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6.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5.xml" ContentType="application/vnd.openxmlformats-officedocument.spreadsheetml.comments+xml"/>
  <Override PartName="/xl/charts/chart2.xml" ContentType="application/vnd.openxmlformats-officedocument.drawingml.chart+xml"/>
  <Override PartName="/xl/drawings/drawing7.xml" ContentType="application/vnd.openxmlformats-officedocument.drawing+xml"/>
  <Override PartName="/xl/drawings/drawing8.xml" ContentType="application/vnd.openxmlformats-officedocument.drawing+xml"/>
  <Override PartName="/xl/ctrlProps/ctrlProp12.xml" ContentType="application/vnd.ms-excel.controlproperties+xml"/>
  <Override PartName="/xl/ctrlProps/ctrlProp13.xml" ContentType="application/vnd.ms-excel.controlproperties+xml"/>
  <Override PartName="/xl/charts/chart3.xml" ContentType="application/vnd.openxmlformats-officedocument.drawingml.chart+xml"/>
  <Override PartName="/xl/drawings/drawing9.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drawings/drawing10.xml" ContentType="application/vnd.openxmlformats-officedocument.drawing+xml"/>
  <Override PartName="/xl/ctrlProps/ctrlProp21.xml" ContentType="application/vnd.ms-excel.controlproperties+xml"/>
  <Override PartName="/xl/ctrlProps/ctrlProp22.xml" ContentType="application/vnd.ms-excel.controlproperties+xml"/>
  <Override PartName="/xl/comments9.xml" ContentType="application/vnd.openxmlformats-officedocument.spreadsheetml.comments+xml"/>
  <Override PartName="/xl/charts/chart4.xml" ContentType="application/vnd.openxmlformats-officedocument.drawingml.chart+xml"/>
  <Override PartName="/xl/comments10.xml" ContentType="application/vnd.openxmlformats-officedocument.spreadsheetml.comments+xml"/>
  <Override PartName="/xl/comments11.xml" ContentType="application/vnd.openxmlformats-officedocument.spreadsheetml.comments+xml"/>
  <Override PartName="/xl/drawings/drawing11.xml" ContentType="application/vnd.openxmlformats-officedocument.drawing+xml"/>
  <Override PartName="/xl/ctrlProps/ctrlProp23.xml" ContentType="application/vnd.ms-excel.controlproperties+xml"/>
  <Override PartName="/xl/ctrlProps/ctrlProp24.xml" ContentType="application/vnd.ms-excel.controlproperties+xml"/>
  <Override PartName="/xl/comments12.xml" ContentType="application/vnd.openxmlformats-officedocument.spreadsheetml.comments+xml"/>
  <Override PartName="/xl/drawings/drawing12.xml" ContentType="application/vnd.openxmlformats-officedocument.drawing+xml"/>
  <Override PartName="/xl/comments13.xml" ContentType="application/vnd.openxmlformats-officedocument.spreadsheetml.comments+xml"/>
  <Override PartName="/xl/comments14.xml" ContentType="application/vnd.openxmlformats-officedocument.spreadsheetml.comments+xml"/>
  <Override PartName="/xl/drawings/drawing13.xml" ContentType="application/vnd.openxmlformats-officedocument.drawing+xml"/>
  <Override PartName="/xl/comments15.xml" ContentType="application/vnd.openxmlformats-officedocument.spreadsheetml.comments+xml"/>
  <Override PartName="/xl/charts/chart5.xml" ContentType="application/vnd.openxmlformats-officedocument.drawingml.chart+xml"/>
  <Override PartName="/xl/drawings/drawing14.xml" ContentType="application/vnd.openxmlformats-officedocument.drawing+xml"/>
  <Override PartName="/xl/ctrlProps/ctrlProp25.xml" ContentType="application/vnd.ms-excel.controlproperties+xml"/>
  <Override PartName="/xl/comments16.xml" ContentType="application/vnd.openxmlformats-officedocument.spreadsheetml.comments+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style2.xml" ContentType="application/vnd.ms-office.chartstyle+xml"/>
  <Override PartName="/xl/charts/colors2.xml" ContentType="application/vnd.ms-office.chartcolorstyle+xml"/>
  <Override PartName="/xl/comments17.xml" ContentType="application/vnd.openxmlformats-officedocument.spreadsheetml.comments+xml"/>
  <Override PartName="/xl/drawings/drawing15.xml" ContentType="application/vnd.openxmlformats-officedocument.drawing+xml"/>
  <Override PartName="/xl/comments18.xml" ContentType="application/vnd.openxmlformats-officedocument.spreadsheetml.comments+xml"/>
  <Override PartName="/xl/charts/chart10.xml" ContentType="application/vnd.openxmlformats-officedocument.drawingml.chart+xml"/>
  <Override PartName="/xl/comments19.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328" codeName="{74837BA0-65D6-932C-5D65-3B800EBDC722}"/>
  <workbookPr codeName="ThisWorkbook" defaultThemeVersion="124226"/>
  <mc:AlternateContent xmlns:mc="http://schemas.openxmlformats.org/markup-compatibility/2006">
    <mc:Choice Requires="x15">
      <x15ac:absPath xmlns:x15ac="http://schemas.microsoft.com/office/spreadsheetml/2010/11/ac" url="\\ims.gov.uk\data\Users\GBBULVD\BULHOME19\KKhunpha\Data\Desktop\DCP model development\Core model\"/>
    </mc:Choice>
  </mc:AlternateContent>
  <xr:revisionPtr revIDLastSave="0" documentId="13_ncr:1_{E3F77553-F398-4339-AF73-F8051FA81877}" xr6:coauthVersionLast="41" xr6:coauthVersionMax="41" xr10:uidLastSave="{00000000-0000-0000-0000-000000000000}"/>
  <bookViews>
    <workbookView xWindow="-108" yWindow="-108" windowWidth="23256" windowHeight="12576" tabRatio="794" activeTab="4" xr2:uid="{00000000-000D-0000-FFFF-FFFF00000000}"/>
  </bookViews>
  <sheets>
    <sheet name="Version control" sheetId="1" r:id="rId1"/>
    <sheet name="List" sheetId="38" state="hidden" r:id="rId2"/>
    <sheet name="Control sheet (hide)" sheetId="2" state="hidden" r:id="rId3"/>
    <sheet name="Notes" sheetId="33" r:id="rId4"/>
    <sheet name="Setup" sheetId="4" r:id="rId5"/>
    <sheet name="Demand" sheetId="3" r:id="rId6"/>
    <sheet name="Demand background (hide)" sheetId="6" state="hidden" r:id="rId7"/>
    <sheet name="Demand adjustments for Covid" sheetId="40" r:id="rId8"/>
    <sheet name="SPC Chart" sheetId="7" state="hidden" r:id="rId9"/>
    <sheet name="SPC background (hide)" sheetId="12" state="hidden" r:id="rId10"/>
    <sheet name="Planned" sheetId="14" state="hidden" r:id="rId11"/>
    <sheet name="Planned background (hide)" sheetId="15" state="hidden" r:id="rId12"/>
    <sheet name="Planned SPC" sheetId="21" state="hidden" r:id="rId13"/>
    <sheet name="Capacity" sheetId="20" r:id="rId14"/>
    <sheet name="Critical resources" sheetId="22" state="hidden" r:id="rId15"/>
    <sheet name="Capacity setup" sheetId="32" state="hidden" r:id="rId16"/>
    <sheet name="Capacity summary" sheetId="24" r:id="rId17"/>
    <sheet name="Critical resources (hide)" sheetId="30" state="hidden" r:id="rId18"/>
    <sheet name="Capacity calculation (hide)" sheetId="31" state="hidden" r:id="rId19"/>
    <sheet name="Parameters" sheetId="11" r:id="rId20"/>
    <sheet name="Parameters calculator" sheetId="25" state="hidden" r:id="rId21"/>
    <sheet name="Parameters calculator (hide)" sheetId="26" state="hidden" r:id="rId22"/>
    <sheet name="Pathway" sheetId="28" r:id="rId23"/>
    <sheet name="Summary" sheetId="18" r:id="rId24"/>
    <sheet name="Lock (hide)" sheetId="27" state="hidden" r:id="rId25"/>
    <sheet name="Summary Calculations (hide)" sheetId="17" state="hidden" r:id="rId26"/>
    <sheet name="WL PI Backing (hide)" sheetId="39" state="hidden" r:id="rId27"/>
    <sheet name="Planning" sheetId="35" r:id="rId28"/>
    <sheet name="Planning (hide)" sheetId="36" state="hidden" r:id="rId29"/>
    <sheet name="Export (hide)" sheetId="37" state="hidden" r:id="rId30"/>
  </sheets>
  <functionGroups builtInGroupCount="19"/>
  <externalReferences>
    <externalReference r:id="rId31"/>
  </externalReferences>
  <definedNames>
    <definedName name="Cap_Chart_Adhoc_Range" localSheetId="27">OFFSET('Capacity calculation (hide)'!$BK$111,MATCH(Planning!$C$6,'Capacity calculation (hide)'!$C$111:$C$211,0)-1,0,1,52)</definedName>
    <definedName name="Cap_Chart_Adhoc_Range">OFFSET('Capacity calculation (hide)'!$BK$111,MATCH('Capacity summary'!$C$11,'Capacity calculation (hide)'!$C$111:$C$211,0)-1,0,1,52)</definedName>
    <definedName name="Cap_Chart_Core_Range" localSheetId="27">OFFSET('Capacity calculation (hide)'!$BK$4,MATCH(Planning!$C$5,'Capacity calculation (hide)'!$C$4:$C$104,0)-1,0,1,52)</definedName>
    <definedName name="Cap_Chart_Core_Range">OFFSET('Capacity calculation (hide)'!$BK$4,MATCH('Capacity summary'!$C$10,'Capacity calculation (hide)'!$C$4:$C$104,0)-1,0,1,52)</definedName>
    <definedName name="Cap_Chart_Xaxis">'Critical resources (hide)'!$B$6:$B$57</definedName>
    <definedName name="Capacity_Resource">IF('Critical resources'!$A$11=0,'Critical resources'!$A$1,OFFSET('Critical resources (hide)'!$G$6,0,0,'Critical resources'!$A$11,1))</definedName>
    <definedName name="ChartRange_Data">OFFSET('SPC background (hide)'!$C$16,0,0,MaxRows,1)</definedName>
    <definedName name="ChartRange_E1">OFFSET('SPC background (hide)'!$Q$16,0,0,MaxRows,1)</definedName>
    <definedName name="ChartRange_E2">OFFSET('SPC background (hide)'!$S$16,0,0,MaxRows,1)</definedName>
    <definedName name="ChartRange_E3">OFFSET('SPC background (hide)'!$Y$16,0,0,MaxRows,1)</definedName>
    <definedName name="ChartRange_E4">OFFSET('SPC background (hide)'!$W$16,0,0,MaxRows,1)</definedName>
    <definedName name="ChartRange_Emergencies">OFFSET('SPC background (hide)'!$AA$16,0,0,MaxRows,1)</definedName>
    <definedName name="ChartRange_Exclusion">OFFSET('SPC background (hide)'!$H$16,0,0,MaxRows,1)</definedName>
    <definedName name="ChartRange_LCL">OFFSET('SPC background (hide)'!$J$16,0,0,MaxRows,1)</definedName>
    <definedName name="ChartRange_Mean">OFFSET('SPC background (hide)'!$M$16,0,0,MaxRows,1)</definedName>
    <definedName name="ChartRange_PercLower">OFFSET('SPC background (hide)'!$AC$16,0,0,MaxRows,1)</definedName>
    <definedName name="ChartRange_PercUpper">OFFSET('SPC background (hide)'!$AD$16,0,0,MaxRows,1)</definedName>
    <definedName name="ChartRange_S1">OFFSET('SPC background (hide)'!$D$16,0,0,MaxRows,1)</definedName>
    <definedName name="ChartRange_S2">OFFSET('SPC background (hide)'!$E$16,0,0,MaxRows,1)</definedName>
    <definedName name="ChartRange_S3">OFFSET('SPC background (hide)'!$F$16,0,0,MaxRows,1)</definedName>
    <definedName name="ChartRange_S4">OFFSET('SPC background (hide)'!$G$16,0,0,MaxRows,1)</definedName>
    <definedName name="ChartRange_UCL">OFFSET('SPC background (hide)'!$P$16,0,0,MaxRows,1)</definedName>
    <definedName name="D_Adj_Backlog" comment="Backlog from known and unknown pts post-Covid">OFFSET('Demand background (hide)'!$DX$4,0,0,'Demand background (hide)'!$EA$5,1)</definedName>
    <definedName name="D_Adj_Lower" comment="Demand (Lower bound), adjusted for reduced elective demand due to Covid + transition + 8 wks">OFFSET('Demand background (hide)'!$DS$4,0,0,'Demand background (hide)'!$EA$5,1)</definedName>
    <definedName name="D_Adj_Missing" comment="Historic baseline, over transition period. Will be used to illustrate 'missing' patients who may not be visible as demand, but we assume will still need to be seen.">OFFSET('Demand background (hide)'!$DO$4,0,0,'Demand background (hide)'!$EE$5,1)</definedName>
    <definedName name="D_Adj_Upper" comment="Demand (upper bound), adjusted for reduced elective care due to Covid + transition and an additional 8 wks">OFFSET('Demand background (hide)'!$DT$4,0,0,'Demand background (hide)'!$EA$5,1)</definedName>
    <definedName name="D_Adj_Xaxis" comment="X-axis range for adjusted demand chart">OFFSET('Demand background (hide)'!$DN$4,0,0,'Demand background (hide)'!$EA$5,1)</definedName>
    <definedName name="Emergency1">'Demand background (hide)'!$AX$3</definedName>
    <definedName name="Emergency2">'Demand background (hide)'!$AX$10</definedName>
    <definedName name="Emergency3">'Demand background (hide)'!$AX$17</definedName>
    <definedName name="Emergency4">'Demand background (hide)'!$AX$25</definedName>
    <definedName name="frequency_number">'[1]Control sheet (hide)'!$D$2</definedName>
    <definedName name="MaxRows">Demand!$A$6</definedName>
    <definedName name="Mean1">'Demand background (hide)'!$AW$3</definedName>
    <definedName name="Mean2">'Demand background (hide)'!$AW$10</definedName>
    <definedName name="Mean3">'Demand background (hide)'!$AW$17</definedName>
    <definedName name="Mean4">'Demand background (hide)'!$AW$25</definedName>
    <definedName name="Num_Modalities">Setup!$I$11</definedName>
    <definedName name="PercLower1">'Demand background (hide)'!$AW$6</definedName>
    <definedName name="PercLower2">'Demand background (hide)'!$AW$13</definedName>
    <definedName name="PercLower3">'Demand background (hide)'!$AW$20</definedName>
    <definedName name="PercLower4">'Demand background (hide)'!$AW$28</definedName>
    <definedName name="PercUpper1">'Demand background (hide)'!$AW$7</definedName>
    <definedName name="PercUpper2">'Demand background (hide)'!$AW$14</definedName>
    <definedName name="PercUpper3">'Demand background (hide)'!$AW$21</definedName>
    <definedName name="PercUpper4">'Demand background (hide)'!$AW$29</definedName>
    <definedName name="Plan_SPC_Baseline">OFFSET('Planned background (hide)'!$AD$3,0,0,PMaxRows,1)</definedName>
    <definedName name="Plan_SPC_Date">OFFSET('Planned background (hide)'!$BH$3,0,0,PMaxRows,1+IF(Planned!$C$8&lt;&gt;"",1,0))</definedName>
    <definedName name="Plan_SPC_Demand">OFFSET('Planned background (hide)'!$AE$3,0,0,PMaxRows,1)</definedName>
    <definedName name="Plan_SPC_LCL">OFFSET('Planned background (hide)'!$AH$3,0,0,PMaxRows,1)</definedName>
    <definedName name="Plan_SPC_Mean">OFFSET('Planned background (hide)'!$AF$3,0,0,PMaxRows,1)</definedName>
    <definedName name="Plan_SPC_Neg1Sig">OFFSET('Planned background (hide)'!$AJ$3,0,0,PMaxRows,1)</definedName>
    <definedName name="Plan_SPC_Neg2Sig">OFFSET('Planned background (hide)'!$AI$3,0,0,PMaxRows,1)</definedName>
    <definedName name="Plan_SPC_Pos1Sig">OFFSET('Planned background (hide)'!$AK$3,0,0,PMaxRows,1)</definedName>
    <definedName name="Plan_SPC_Pos2Sig">OFFSET('Planned background (hide)'!$AL$3,0,0,PMaxRows,1)</definedName>
    <definedName name="Plan_SPC_R1">OFFSET('Planned background (hide)'!$AP$3,0,0,PMaxRows,1)</definedName>
    <definedName name="Plan_SPC_R2">OFFSET('Planned background (hide)'!$AR$3,0,0,PMaxRows,1)</definedName>
    <definedName name="Plan_SPC_R3">OFFSET('Planned background (hide)'!$AT$3,0,0,PMaxRows,1)</definedName>
    <definedName name="Plan_SPC_R4">OFFSET('Planned background (hide)'!$AV$3,0,0,PMaxRows,1)</definedName>
    <definedName name="Plan_SPC_Sigma">OFFSET('Planned background (hide)'!$AG$3,0,0,PMaxRows,1)</definedName>
    <definedName name="Plan_SPC_UCL">OFFSET('Planned background (hide)'!$AM$3,0,0,PMaxRows,1)</definedName>
    <definedName name="Planned_RangeEnd">OFFSET(IF(Planned!$C$8 = 0,'Planned background (hide)'!$F$3,'Planned background (hide)'!$G$3),'Planned background (hide)'!$V$19-1,0,'Planned background (hide)'!$X$19,1)</definedName>
    <definedName name="Planned_RangeStart">OFFSET(IF(Planned!$C$8=0,'Planned background (hide)'!$F$3,'Planned background (hide)'!$G$3),0,0,'Planned background (hide)'!$X$18+1,1)</definedName>
    <definedName name="PMaxRows">Planned!$A$6</definedName>
    <definedName name="Range_Blank">'SPC background (hide)'!$A$1</definedName>
    <definedName name="Range_DateAxis">OFFSET('Demand background (hide)'!$AP$4,0,0,MaxRows,1+IF(Demand!$C$6&lt;&gt;"",1,0))</definedName>
    <definedName name="Range_S1End">OFFSET(IF(Demand!$C$6&lt;&gt;"",Demand!$D$12,'Control sheet (hide)'!$A$2),'SPC background (hide)'!$D$5,0,'SPC background (hide)'!$F$5,1)</definedName>
    <definedName name="Range_S1Start" comment="Start point for baseline selection">OFFSET(IF(Demand!$C$6&lt;&gt;"",Demand!$D$13,'Control sheet (hide)'!$A$3),0,0,'SPC background (hide)'!$F$4,1)</definedName>
    <definedName name="Range_S2End">IF('SPC background (hide)'!$C$6=2,OFFSET(IF(Demand!$C$6&lt;&gt;"",Demand!$D$12,'Control sheet (hide)'!$A$2),'SPC background (hide)'!$D$7,0,'SPC background (hide)'!$F$7,1),Range_Blank)</definedName>
    <definedName name="Range_S2Start">IF(ISNA('SPC background (hide)'!$F$6),Range_Blank,'Control sheet (hide)'!$C$6:$C$7)</definedName>
    <definedName name="Range_S3End">IF('SPC background (hide)'!$C$8=2,OFFSET(IF(Demand!$C$6&lt;&gt;"",Demand!$D$12,'Control sheet (hide)'!$A$2),'SPC background (hide)'!$D$9,0,'SPC background (hide)'!$F$9,1),Range_Blank)</definedName>
    <definedName name="Range_S3Start">IF(ISNA('SPC background (hide)'!$F$8),Range_Blank,'Control sheet (hide)'!$C$6:$C$7)</definedName>
    <definedName name="Range_S4End">IF('SPC background (hide)'!$C$10=2,OFFSET(IF(Demand!$C$6&lt;&gt;"",Demand!$D$12,'Control sheet (hide)'!$A$2),'SPC background (hide)'!$D$11,0,'SPC background (hide)'!$F$11,1),Range_Blank)</definedName>
    <definedName name="Range_S4Start">IF(ISNA('SPC background (hide)'!$F$10),Range_Blank,'Control sheet (hide)'!$C$6:$C$7)</definedName>
    <definedName name="SampleLength">'SPC background (hide)'!$I$11</definedName>
    <definedName name="Sigma1">'Demand background (hide)'!$AW$5</definedName>
    <definedName name="Sigma2">'Demand background (hide)'!$AW$12</definedName>
    <definedName name="Sigma3">'Demand background (hide)'!$AW$19</definedName>
    <definedName name="Sigma4">'Demand background (hide)'!$AW$27</definedName>
    <definedName name="SPC_Type">'SPC Chart'!$B$1</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EA5" i="6" l="1"/>
  <c r="B13" i="18" l="1"/>
  <c r="C3" i="20"/>
  <c r="C13" i="35"/>
  <c r="C6" i="35" l="1"/>
  <c r="B41" i="18" l="1"/>
  <c r="B9" i="3" l="1"/>
  <c r="G33" i="40"/>
  <c r="D33" i="40"/>
  <c r="F33" i="40"/>
  <c r="A11" i="11"/>
  <c r="A13" i="40" l="1"/>
  <c r="D13" i="3" l="1"/>
  <c r="DN4" i="6" l="1"/>
  <c r="K3" i="2"/>
  <c r="K4" i="2" s="1"/>
  <c r="K5" i="2" s="1"/>
  <c r="K6" i="2" s="1"/>
  <c r="K7" i="2" s="1"/>
  <c r="K8" i="2" s="1"/>
  <c r="K9" i="2" s="1"/>
  <c r="K10" i="2" s="1"/>
  <c r="K11" i="2" s="1"/>
  <c r="K12" i="2" s="1"/>
  <c r="K13" i="2" s="1"/>
  <c r="K14" i="2" s="1"/>
  <c r="K15" i="2" s="1"/>
  <c r="K16" i="2" s="1"/>
  <c r="K17" i="2" s="1"/>
  <c r="K18" i="2" s="1"/>
  <c r="K19" i="2" s="1"/>
  <c r="K20" i="2" s="1"/>
  <c r="K21" i="2" s="1"/>
  <c r="K22" i="2" s="1"/>
  <c r="K23" i="2" s="1"/>
  <c r="K24" i="2" s="1"/>
  <c r="K25" i="2" s="1"/>
  <c r="K26" i="2" s="1"/>
  <c r="K27" i="2" s="1"/>
  <c r="K28" i="2" s="1"/>
  <c r="K29" i="2" s="1"/>
  <c r="K30" i="2" s="1"/>
  <c r="K31" i="2" s="1"/>
  <c r="K32" i="2" s="1"/>
  <c r="K33" i="2" s="1"/>
  <c r="K34" i="2" s="1"/>
  <c r="K35" i="2" s="1"/>
  <c r="K36" i="2" s="1"/>
  <c r="K37" i="2" s="1"/>
  <c r="K38" i="2" s="1"/>
  <c r="K39" i="2" s="1"/>
  <c r="K40" i="2" s="1"/>
  <c r="K41" i="2" s="1"/>
  <c r="K42" i="2" s="1"/>
  <c r="K43" i="2" s="1"/>
  <c r="K44" i="2" s="1"/>
  <c r="K45" i="2" s="1"/>
  <c r="K46" i="2" s="1"/>
  <c r="K47" i="2" s="1"/>
  <c r="K48" i="2" s="1"/>
  <c r="K49" i="2" s="1"/>
  <c r="K50" i="2" s="1"/>
  <c r="K51" i="2" s="1"/>
  <c r="K52" i="2" s="1"/>
  <c r="K53" i="2" s="1"/>
  <c r="K54" i="2" s="1"/>
  <c r="C13" i="3"/>
  <c r="DQ4" i="6" l="1"/>
  <c r="DN5" i="6"/>
  <c r="DM4" i="6"/>
  <c r="D5" i="12"/>
  <c r="DQ5" i="6" l="1"/>
  <c r="DN6" i="6"/>
  <c r="DM5" i="6"/>
  <c r="H16" i="20"/>
  <c r="DQ6" i="6" l="1"/>
  <c r="DN7" i="6"/>
  <c r="DM6" i="6"/>
  <c r="D3" i="22"/>
  <c r="DQ7" i="6" l="1"/>
  <c r="DN8" i="6"/>
  <c r="DM7" i="6"/>
  <c r="C4" i="20"/>
  <c r="D4" i="22" s="1"/>
  <c r="DN9" i="6" l="1"/>
  <c r="DM8" i="6"/>
  <c r="B223" i="24"/>
  <c r="D223" i="24" s="1"/>
  <c r="B222" i="24"/>
  <c r="C222" i="24" s="1"/>
  <c r="B221" i="24"/>
  <c r="D221" i="24" s="1"/>
  <c r="B220" i="24"/>
  <c r="B219" i="24"/>
  <c r="B218" i="24"/>
  <c r="D218" i="24" s="1"/>
  <c r="B217" i="24"/>
  <c r="B216" i="24"/>
  <c r="B215" i="24"/>
  <c r="D215" i="24" s="1"/>
  <c r="B214" i="24"/>
  <c r="C214" i="24" s="1"/>
  <c r="B213" i="24"/>
  <c r="C213" i="24" s="1"/>
  <c r="B212" i="24"/>
  <c r="B211" i="24"/>
  <c r="B210" i="24"/>
  <c r="B209" i="24"/>
  <c r="D209" i="24" s="1"/>
  <c r="B208" i="24"/>
  <c r="B207" i="24"/>
  <c r="D207" i="24" s="1"/>
  <c r="B206" i="24"/>
  <c r="C206" i="24" s="1"/>
  <c r="B205" i="24"/>
  <c r="C205" i="24" s="1"/>
  <c r="B204" i="24"/>
  <c r="B203" i="24"/>
  <c r="B202" i="24"/>
  <c r="B201" i="24"/>
  <c r="B200" i="24"/>
  <c r="B199" i="24"/>
  <c r="D199" i="24" s="1"/>
  <c r="B198" i="24"/>
  <c r="C198" i="24" s="1"/>
  <c r="B197" i="24"/>
  <c r="C197" i="24" s="1"/>
  <c r="B196" i="24"/>
  <c r="B195" i="24"/>
  <c r="B194" i="24"/>
  <c r="B193" i="24"/>
  <c r="B192" i="24"/>
  <c r="B191" i="24"/>
  <c r="D191" i="24" s="1"/>
  <c r="B190" i="24"/>
  <c r="C190" i="24" s="1"/>
  <c r="B189" i="24"/>
  <c r="C189" i="24" s="1"/>
  <c r="B188" i="24"/>
  <c r="B187" i="24"/>
  <c r="B186" i="24"/>
  <c r="B185" i="24"/>
  <c r="C185" i="24" s="1"/>
  <c r="B184" i="24"/>
  <c r="B183" i="24"/>
  <c r="D183" i="24" s="1"/>
  <c r="B182" i="24"/>
  <c r="C182" i="24" s="1"/>
  <c r="B181" i="24"/>
  <c r="C181" i="24" s="1"/>
  <c r="B180" i="24"/>
  <c r="B179" i="24"/>
  <c r="B178" i="24"/>
  <c r="B177" i="24"/>
  <c r="D177" i="24" s="1"/>
  <c r="B176" i="24"/>
  <c r="B175" i="24"/>
  <c r="D175" i="24" s="1"/>
  <c r="B174" i="24"/>
  <c r="C174" i="24" s="1"/>
  <c r="B173" i="24"/>
  <c r="C173" i="24" s="1"/>
  <c r="B172" i="24"/>
  <c r="B171" i="24"/>
  <c r="B170" i="24"/>
  <c r="B169" i="24"/>
  <c r="D169" i="24" s="1"/>
  <c r="B168" i="24"/>
  <c r="B167" i="24"/>
  <c r="D167" i="24" s="1"/>
  <c r="B166" i="24"/>
  <c r="C166" i="24" s="1"/>
  <c r="B165" i="24"/>
  <c r="C165" i="24" s="1"/>
  <c r="B164" i="24"/>
  <c r="B163" i="24"/>
  <c r="B162" i="24"/>
  <c r="B161" i="24"/>
  <c r="B160" i="24"/>
  <c r="B159" i="24"/>
  <c r="D159" i="24" s="1"/>
  <c r="B158" i="24"/>
  <c r="C158" i="24" s="1"/>
  <c r="B157" i="24"/>
  <c r="C157" i="24" s="1"/>
  <c r="B156" i="24"/>
  <c r="B155" i="24"/>
  <c r="B154" i="24"/>
  <c r="B153" i="24"/>
  <c r="D153" i="24" s="1"/>
  <c r="B152" i="24"/>
  <c r="B151" i="24"/>
  <c r="D151" i="24" s="1"/>
  <c r="B150" i="24"/>
  <c r="C150" i="24" s="1"/>
  <c r="B149" i="24"/>
  <c r="C149" i="24" s="1"/>
  <c r="B148" i="24"/>
  <c r="B147" i="24"/>
  <c r="B146" i="24"/>
  <c r="B145" i="24"/>
  <c r="B144" i="24"/>
  <c r="B143" i="24"/>
  <c r="D143" i="24" s="1"/>
  <c r="B142" i="24"/>
  <c r="C142" i="24" s="1"/>
  <c r="B141" i="24"/>
  <c r="C141" i="24" s="1"/>
  <c r="B140" i="24"/>
  <c r="B139" i="24"/>
  <c r="C139" i="24" s="1"/>
  <c r="B138" i="24"/>
  <c r="C138" i="24" s="1"/>
  <c r="B137" i="24"/>
  <c r="D137" i="24" s="1"/>
  <c r="B136" i="24"/>
  <c r="B135" i="24"/>
  <c r="D135" i="24" s="1"/>
  <c r="B134" i="24"/>
  <c r="C134" i="24" s="1"/>
  <c r="B133" i="24"/>
  <c r="C133" i="24" s="1"/>
  <c r="B132" i="24"/>
  <c r="B131" i="24"/>
  <c r="B130" i="24"/>
  <c r="D130" i="24" s="1"/>
  <c r="B129" i="24"/>
  <c r="D129" i="24" s="1"/>
  <c r="B128" i="24"/>
  <c r="B127" i="24"/>
  <c r="D127" i="24" s="1"/>
  <c r="B126" i="24"/>
  <c r="C126" i="24" s="1"/>
  <c r="B125" i="24"/>
  <c r="C125" i="24" s="1"/>
  <c r="B124" i="24"/>
  <c r="C124" i="24" s="1"/>
  <c r="V19" i="15"/>
  <c r="DN10" i="6" l="1"/>
  <c r="DM9" i="6"/>
  <c r="C147" i="24"/>
  <c r="C187" i="24"/>
  <c r="D202" i="24"/>
  <c r="C163" i="24"/>
  <c r="C153" i="24"/>
  <c r="C179" i="24"/>
  <c r="D141" i="24"/>
  <c r="C186" i="24"/>
  <c r="C199" i="24"/>
  <c r="C201" i="24"/>
  <c r="D145" i="24"/>
  <c r="D146" i="24"/>
  <c r="C169" i="24"/>
  <c r="D170" i="24"/>
  <c r="C183" i="24"/>
  <c r="D185" i="24"/>
  <c r="D186" i="24"/>
  <c r="D188" i="24"/>
  <c r="C191" i="24"/>
  <c r="C194" i="24"/>
  <c r="D197" i="24"/>
  <c r="C203" i="24"/>
  <c r="C209" i="24"/>
  <c r="C215" i="24"/>
  <c r="D219" i="24"/>
  <c r="C143" i="24"/>
  <c r="C145" i="24"/>
  <c r="C146" i="24"/>
  <c r="D205" i="24"/>
  <c r="D149" i="24"/>
  <c r="D165" i="24"/>
  <c r="C202" i="24"/>
  <c r="C218" i="24"/>
  <c r="D125" i="24"/>
  <c r="D124" i="24"/>
  <c r="D156" i="24"/>
  <c r="C167" i="24"/>
  <c r="C170" i="24"/>
  <c r="D181" i="24"/>
  <c r="D194" i="24"/>
  <c r="D212" i="24"/>
  <c r="C223" i="24"/>
  <c r="D157" i="24"/>
  <c r="C175" i="24"/>
  <c r="C178" i="24"/>
  <c r="C195" i="24"/>
  <c r="D213" i="24"/>
  <c r="C217" i="24"/>
  <c r="C161" i="24"/>
  <c r="C151" i="24"/>
  <c r="C154" i="24"/>
  <c r="D161" i="24"/>
  <c r="C171" i="24"/>
  <c r="D178" i="24"/>
  <c r="D189" i="24"/>
  <c r="C193" i="24"/>
  <c r="C207" i="24"/>
  <c r="C210" i="24"/>
  <c r="D217" i="24"/>
  <c r="D220" i="24"/>
  <c r="C127" i="24"/>
  <c r="D154" i="24"/>
  <c r="D193" i="24"/>
  <c r="D210" i="24"/>
  <c r="C155" i="24"/>
  <c r="C159" i="24"/>
  <c r="C162" i="24"/>
  <c r="D173" i="24"/>
  <c r="C177" i="24"/>
  <c r="D201" i="24"/>
  <c r="C211" i="24"/>
  <c r="D162" i="24"/>
  <c r="D138" i="24"/>
  <c r="C137" i="24"/>
  <c r="C135" i="24"/>
  <c r="D133" i="24"/>
  <c r="C131" i="24"/>
  <c r="C129" i="24"/>
  <c r="C130" i="24"/>
  <c r="D126" i="24"/>
  <c r="D134" i="24"/>
  <c r="D142" i="24"/>
  <c r="D150" i="24"/>
  <c r="D158" i="24"/>
  <c r="D166" i="24"/>
  <c r="D174" i="24"/>
  <c r="D182" i="24"/>
  <c r="D190" i="24"/>
  <c r="D198" i="24"/>
  <c r="D206" i="24"/>
  <c r="D214" i="24"/>
  <c r="C219" i="24"/>
  <c r="D222" i="24"/>
  <c r="C128" i="24"/>
  <c r="D131" i="24"/>
  <c r="C136" i="24"/>
  <c r="D139" i="24"/>
  <c r="C144" i="24"/>
  <c r="D147" i="24"/>
  <c r="C152" i="24"/>
  <c r="D155" i="24"/>
  <c r="C160" i="24"/>
  <c r="D163" i="24"/>
  <c r="C168" i="24"/>
  <c r="D171" i="24"/>
  <c r="C176" i="24"/>
  <c r="D179" i="24"/>
  <c r="C184" i="24"/>
  <c r="D187" i="24"/>
  <c r="C192" i="24"/>
  <c r="D195" i="24"/>
  <c r="C200" i="24"/>
  <c r="D203" i="24"/>
  <c r="C208" i="24"/>
  <c r="D211" i="24"/>
  <c r="C216" i="24"/>
  <c r="D132" i="24"/>
  <c r="D128" i="24"/>
  <c r="D136" i="24"/>
  <c r="D144" i="24"/>
  <c r="D152" i="24"/>
  <c r="D160" i="24"/>
  <c r="D168" i="24"/>
  <c r="D176" i="24"/>
  <c r="D184" i="24"/>
  <c r="D192" i="24"/>
  <c r="D200" i="24"/>
  <c r="D208" i="24"/>
  <c r="D216" i="24"/>
  <c r="C221" i="24"/>
  <c r="C132" i="24"/>
  <c r="C140" i="24"/>
  <c r="C148" i="24"/>
  <c r="C156" i="24"/>
  <c r="C164" i="24"/>
  <c r="C172" i="24"/>
  <c r="C180" i="24"/>
  <c r="C188" i="24"/>
  <c r="C196" i="24"/>
  <c r="C204" i="24"/>
  <c r="C212" i="24"/>
  <c r="C220" i="24"/>
  <c r="D140" i="24"/>
  <c r="D148" i="24"/>
  <c r="D164" i="24"/>
  <c r="D172" i="24"/>
  <c r="D180" i="24"/>
  <c r="D196" i="24"/>
  <c r="D204" i="24"/>
  <c r="DN11" i="6" l="1"/>
  <c r="DM10" i="6"/>
  <c r="B2" i="12"/>
  <c r="DN12" i="6" l="1"/>
  <c r="DM11" i="6"/>
  <c r="L4" i="12"/>
  <c r="DN13" i="6" l="1"/>
  <c r="DM12" i="6"/>
  <c r="D275" i="12"/>
  <c r="D274" i="12"/>
  <c r="D273" i="12"/>
  <c r="D272" i="12"/>
  <c r="D271" i="12"/>
  <c r="D268" i="12"/>
  <c r="D264" i="12"/>
  <c r="D267" i="12"/>
  <c r="D262" i="12"/>
  <c r="D260" i="12"/>
  <c r="D259" i="12"/>
  <c r="D258" i="12"/>
  <c r="D257" i="12"/>
  <c r="D256" i="12"/>
  <c r="D255" i="12"/>
  <c r="D254" i="12"/>
  <c r="D253" i="12"/>
  <c r="D252" i="12"/>
  <c r="D251" i="12"/>
  <c r="D250" i="12"/>
  <c r="D249" i="12"/>
  <c r="D248" i="12"/>
  <c r="D247" i="12"/>
  <c r="D270" i="12"/>
  <c r="D266" i="12"/>
  <c r="D261" i="12"/>
  <c r="D245" i="12"/>
  <c r="D241" i="12"/>
  <c r="D263" i="12"/>
  <c r="D244" i="12"/>
  <c r="D265" i="12"/>
  <c r="D246" i="12"/>
  <c r="D243" i="12"/>
  <c r="D242" i="12"/>
  <c r="D240" i="12"/>
  <c r="D238" i="12"/>
  <c r="D236" i="12"/>
  <c r="D234" i="12"/>
  <c r="D232" i="12"/>
  <c r="D230" i="12"/>
  <c r="D229" i="12"/>
  <c r="D228" i="12"/>
  <c r="D227" i="12"/>
  <c r="D226" i="12"/>
  <c r="D225" i="12"/>
  <c r="D224" i="12"/>
  <c r="D223" i="12"/>
  <c r="D222" i="12"/>
  <c r="D221" i="12"/>
  <c r="D220" i="12"/>
  <c r="D219" i="12"/>
  <c r="D218" i="12"/>
  <c r="D217" i="12"/>
  <c r="D216" i="12"/>
  <c r="D215" i="12"/>
  <c r="D214" i="12"/>
  <c r="D213" i="12"/>
  <c r="D212" i="12"/>
  <c r="D211" i="12"/>
  <c r="D210" i="12"/>
  <c r="D209" i="12"/>
  <c r="D208" i="12"/>
  <c r="D207" i="12"/>
  <c r="D206" i="12"/>
  <c r="D205" i="12"/>
  <c r="D204" i="12"/>
  <c r="D203" i="12"/>
  <c r="D235" i="12"/>
  <c r="D200" i="12"/>
  <c r="D196" i="12"/>
  <c r="D237" i="12"/>
  <c r="D199" i="12"/>
  <c r="D195" i="12"/>
  <c r="D269" i="12"/>
  <c r="D239" i="12"/>
  <c r="D231" i="12"/>
  <c r="D182" i="12"/>
  <c r="D201" i="12"/>
  <c r="D197" i="12"/>
  <c r="D193" i="12"/>
  <c r="D191" i="12"/>
  <c r="D189" i="12"/>
  <c r="D187" i="12"/>
  <c r="D185" i="12"/>
  <c r="D181" i="12"/>
  <c r="D202" i="12"/>
  <c r="D198" i="12"/>
  <c r="D194" i="12"/>
  <c r="D184" i="12"/>
  <c r="D180" i="12"/>
  <c r="D176" i="12"/>
  <c r="D172" i="12"/>
  <c r="D168" i="12"/>
  <c r="D163" i="12"/>
  <c r="D161" i="12"/>
  <c r="D159" i="12"/>
  <c r="D157" i="12"/>
  <c r="D155" i="12"/>
  <c r="D153" i="12"/>
  <c r="D149" i="12"/>
  <c r="D145" i="12"/>
  <c r="D192" i="12"/>
  <c r="D190" i="12"/>
  <c r="D188" i="12"/>
  <c r="D186" i="12"/>
  <c r="D177" i="12"/>
  <c r="D173" i="12"/>
  <c r="D169" i="12"/>
  <c r="D165" i="12"/>
  <c r="D148" i="12"/>
  <c r="D144" i="12"/>
  <c r="D143" i="12"/>
  <c r="D142" i="12"/>
  <c r="D141" i="12"/>
  <c r="D140" i="12"/>
  <c r="D139" i="12"/>
  <c r="D138" i="12"/>
  <c r="D137" i="12"/>
  <c r="D136" i="12"/>
  <c r="D135" i="12"/>
  <c r="D134" i="12"/>
  <c r="D133" i="12"/>
  <c r="D132" i="12"/>
  <c r="D131" i="12"/>
  <c r="D130" i="12"/>
  <c r="D129" i="12"/>
  <c r="D128" i="12"/>
  <c r="D127" i="12"/>
  <c r="D126" i="12"/>
  <c r="D125" i="12"/>
  <c r="D124" i="12"/>
  <c r="D123" i="12"/>
  <c r="D122" i="12"/>
  <c r="D121" i="12"/>
  <c r="D120" i="12"/>
  <c r="D119" i="12"/>
  <c r="D118" i="12"/>
  <c r="D117" i="12"/>
  <c r="D116" i="12"/>
  <c r="D115" i="12"/>
  <c r="D114" i="12"/>
  <c r="D113" i="12"/>
  <c r="D112" i="12"/>
  <c r="D111" i="12"/>
  <c r="D110" i="12"/>
  <c r="D109" i="12"/>
  <c r="D233" i="12"/>
  <c r="D183" i="12"/>
  <c r="D178" i="12"/>
  <c r="D174" i="12"/>
  <c r="D170" i="12"/>
  <c r="D166" i="12"/>
  <c r="D164" i="12"/>
  <c r="D162" i="12"/>
  <c r="D160" i="12"/>
  <c r="D158" i="12"/>
  <c r="D156" i="12"/>
  <c r="D154" i="12"/>
  <c r="D152" i="12"/>
  <c r="D151" i="12"/>
  <c r="D147" i="12"/>
  <c r="D179" i="12"/>
  <c r="D171" i="12"/>
  <c r="D150" i="12"/>
  <c r="D146" i="12"/>
  <c r="D108" i="12"/>
  <c r="D54" i="12"/>
  <c r="D50" i="12"/>
  <c r="D46" i="12"/>
  <c r="D42" i="12"/>
  <c r="D38" i="12"/>
  <c r="D53" i="12"/>
  <c r="D49" i="12"/>
  <c r="D45" i="12"/>
  <c r="D41" i="12"/>
  <c r="D37" i="12"/>
  <c r="D175" i="12"/>
  <c r="D167" i="12"/>
  <c r="D52" i="12"/>
  <c r="D48" i="12"/>
  <c r="D44" i="12"/>
  <c r="D40" i="12"/>
  <c r="D36" i="12"/>
  <c r="D106" i="12"/>
  <c r="D102" i="12"/>
  <c r="D98" i="12"/>
  <c r="D94" i="12"/>
  <c r="D90" i="12"/>
  <c r="D86" i="12"/>
  <c r="D82" i="12"/>
  <c r="D78" i="12"/>
  <c r="D74" i="12"/>
  <c r="D70" i="12"/>
  <c r="D66" i="12"/>
  <c r="D62" i="12"/>
  <c r="D58" i="12"/>
  <c r="D34" i="12"/>
  <c r="D30" i="12"/>
  <c r="D26" i="12"/>
  <c r="D22" i="12"/>
  <c r="D18" i="12"/>
  <c r="D97" i="12"/>
  <c r="D69" i="12"/>
  <c r="D61" i="12"/>
  <c r="D23" i="12"/>
  <c r="D107" i="12"/>
  <c r="D103" i="12"/>
  <c r="D99" i="12"/>
  <c r="D95" i="12"/>
  <c r="D91" i="12"/>
  <c r="D87" i="12"/>
  <c r="D83" i="12"/>
  <c r="D79" i="12"/>
  <c r="D75" i="12"/>
  <c r="D71" i="12"/>
  <c r="D67" i="12"/>
  <c r="D63" i="12"/>
  <c r="D59" i="12"/>
  <c r="D55" i="12"/>
  <c r="D51" i="12"/>
  <c r="D47" i="12"/>
  <c r="D43" i="12"/>
  <c r="D39" i="12"/>
  <c r="D33" i="12"/>
  <c r="D29" i="12"/>
  <c r="D25" i="12"/>
  <c r="D21" i="12"/>
  <c r="D17" i="12"/>
  <c r="D101" i="12"/>
  <c r="D89" i="12"/>
  <c r="D81" i="12"/>
  <c r="D73" i="12"/>
  <c r="D35" i="12"/>
  <c r="D31" i="12"/>
  <c r="D27" i="12"/>
  <c r="D19" i="12"/>
  <c r="D16" i="12"/>
  <c r="D104" i="12"/>
  <c r="D100" i="12"/>
  <c r="D96" i="12"/>
  <c r="D92" i="12"/>
  <c r="D88" i="12"/>
  <c r="D84" i="12"/>
  <c r="D80" i="12"/>
  <c r="D76" i="12"/>
  <c r="D72" i="12"/>
  <c r="D68" i="12"/>
  <c r="D64" i="12"/>
  <c r="D60" i="12"/>
  <c r="D56" i="12"/>
  <c r="D32" i="12"/>
  <c r="D28" i="12"/>
  <c r="D24" i="12"/>
  <c r="D20" i="12"/>
  <c r="D105" i="12"/>
  <c r="D93" i="12"/>
  <c r="D85" i="12"/>
  <c r="D77" i="12"/>
  <c r="D65" i="12"/>
  <c r="D57" i="12"/>
  <c r="DN14" i="6" l="1"/>
  <c r="DM13" i="6"/>
  <c r="B4" i="39"/>
  <c r="B3" i="39"/>
  <c r="DN15" i="6" l="1"/>
  <c r="DM14" i="6"/>
  <c r="H12" i="39"/>
  <c r="I12" i="39"/>
  <c r="J12" i="39"/>
  <c r="K12" i="39"/>
  <c r="DN16" i="6" l="1"/>
  <c r="DM15" i="6"/>
  <c r="C13" i="14"/>
  <c r="DN17" i="6" l="1"/>
  <c r="DM16" i="6"/>
  <c r="A16" i="12"/>
  <c r="DN18" i="6" l="1"/>
  <c r="DM17" i="6"/>
  <c r="B2" i="33"/>
  <c r="DN19" i="6" l="1"/>
  <c r="DM18" i="6"/>
  <c r="C61" i="18"/>
  <c r="D57" i="26"/>
  <c r="N57" i="26" s="1"/>
  <c r="D56" i="26"/>
  <c r="N56" i="26" s="1"/>
  <c r="D55" i="26"/>
  <c r="N55" i="26" s="1"/>
  <c r="DN20" i="6" l="1"/>
  <c r="DM19" i="6"/>
  <c r="B6" i="30"/>
  <c r="DN21" i="6" l="1"/>
  <c r="DM20" i="6"/>
  <c r="A6" i="30"/>
  <c r="E11" i="17"/>
  <c r="F6" i="30"/>
  <c r="A13" i="14"/>
  <c r="DN22" i="6" l="1"/>
  <c r="DM21" i="6"/>
  <c r="I6" i="28"/>
  <c r="DN23" i="6" l="1"/>
  <c r="DM22" i="6"/>
  <c r="B3" i="15"/>
  <c r="P14" i="14" s="1"/>
  <c r="B4" i="15"/>
  <c r="B5" i="15"/>
  <c r="B6" i="15"/>
  <c r="B7" i="15"/>
  <c r="B8" i="15"/>
  <c r="B9" i="15"/>
  <c r="B10" i="15"/>
  <c r="B11" i="15"/>
  <c r="B12" i="15"/>
  <c r="B13" i="15"/>
  <c r="B14" i="15"/>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2" i="15"/>
  <c r="DN24" i="6" l="1"/>
  <c r="DM23" i="6"/>
  <c r="B69" i="26"/>
  <c r="B70" i="26"/>
  <c r="B71" i="26"/>
  <c r="B72" i="26"/>
  <c r="B73" i="26"/>
  <c r="B74" i="26"/>
  <c r="B75" i="26"/>
  <c r="B76" i="26"/>
  <c r="B77" i="26"/>
  <c r="B68" i="26"/>
  <c r="DN25" i="6" l="1"/>
  <c r="DM24" i="6"/>
  <c r="B79" i="26"/>
  <c r="B4" i="24"/>
  <c r="DN26" i="6" l="1"/>
  <c r="DM25" i="6"/>
  <c r="I1" i="31"/>
  <c r="T16" i="20"/>
  <c r="R16" i="20"/>
  <c r="F16" i="20"/>
  <c r="C26" i="35"/>
  <c r="C27" i="35"/>
  <c r="C28" i="35"/>
  <c r="C29" i="35"/>
  <c r="C30" i="35"/>
  <c r="C31" i="35"/>
  <c r="C32" i="35"/>
  <c r="C33" i="35"/>
  <c r="C34" i="35"/>
  <c r="C35" i="35"/>
  <c r="C36" i="35"/>
  <c r="C37" i="35"/>
  <c r="C38" i="35"/>
  <c r="C39" i="35"/>
  <c r="C40" i="35"/>
  <c r="C41" i="35"/>
  <c r="C42" i="35"/>
  <c r="C43" i="35"/>
  <c r="C44" i="35"/>
  <c r="C45" i="35"/>
  <c r="C46" i="35"/>
  <c r="C25" i="35"/>
  <c r="DN27" i="6" l="1"/>
  <c r="DM26" i="6"/>
  <c r="C17" i="37"/>
  <c r="A4" i="36"/>
  <c r="DN28" i="6" l="1"/>
  <c r="DM27" i="6"/>
  <c r="A10" i="38"/>
  <c r="A9" i="38"/>
  <c r="A18" i="20"/>
  <c r="A19" i="20"/>
  <c r="A20" i="20"/>
  <c r="A21" i="20"/>
  <c r="A22" i="20"/>
  <c r="A23" i="20"/>
  <c r="A24" i="20"/>
  <c r="A25" i="20"/>
  <c r="A26" i="20"/>
  <c r="A27" i="20"/>
  <c r="A28" i="20"/>
  <c r="A29" i="20"/>
  <c r="A30" i="20"/>
  <c r="A31" i="20"/>
  <c r="A32" i="20"/>
  <c r="A33" i="20"/>
  <c r="A34" i="20"/>
  <c r="A35" i="20"/>
  <c r="A36" i="20"/>
  <c r="A37" i="20"/>
  <c r="A38" i="20"/>
  <c r="A39" i="20"/>
  <c r="A40" i="20"/>
  <c r="A41" i="20"/>
  <c r="A42" i="20"/>
  <c r="A43" i="20"/>
  <c r="A44" i="20"/>
  <c r="A45" i="20"/>
  <c r="A46" i="20"/>
  <c r="A47" i="20"/>
  <c r="A48" i="20"/>
  <c r="A49" i="20"/>
  <c r="A50" i="20"/>
  <c r="A51" i="20"/>
  <c r="A52" i="20"/>
  <c r="A53" i="20"/>
  <c r="A54" i="20"/>
  <c r="A55" i="20"/>
  <c r="A56" i="20"/>
  <c r="A57" i="20"/>
  <c r="A58" i="20"/>
  <c r="A59" i="20"/>
  <c r="A60" i="20"/>
  <c r="A61" i="20"/>
  <c r="A62" i="20"/>
  <c r="A63" i="20"/>
  <c r="A64" i="20"/>
  <c r="A65" i="20"/>
  <c r="A66" i="20"/>
  <c r="A67" i="20"/>
  <c r="A68" i="20"/>
  <c r="A69" i="20"/>
  <c r="A70" i="20"/>
  <c r="A71" i="20"/>
  <c r="A72" i="20"/>
  <c r="A73" i="20"/>
  <c r="A74" i="20"/>
  <c r="A75" i="20"/>
  <c r="A76" i="20"/>
  <c r="A77" i="20"/>
  <c r="A78" i="20"/>
  <c r="A79" i="20"/>
  <c r="A80" i="20"/>
  <c r="A81" i="20"/>
  <c r="A82" i="20"/>
  <c r="A83" i="20"/>
  <c r="A84" i="20"/>
  <c r="A85" i="20"/>
  <c r="A86" i="20"/>
  <c r="A87" i="20"/>
  <c r="A88" i="20"/>
  <c r="A89" i="20"/>
  <c r="A90" i="20"/>
  <c r="A91" i="20"/>
  <c r="A92" i="20"/>
  <c r="A93" i="20"/>
  <c r="A94" i="20"/>
  <c r="A95" i="20"/>
  <c r="A96" i="20"/>
  <c r="A97" i="20"/>
  <c r="A98" i="20"/>
  <c r="A99" i="20"/>
  <c r="A100" i="20"/>
  <c r="A101" i="20"/>
  <c r="A102" i="20"/>
  <c r="A103" i="20"/>
  <c r="A104" i="20"/>
  <c r="A105" i="20"/>
  <c r="A106" i="20"/>
  <c r="A107" i="20"/>
  <c r="A108" i="20"/>
  <c r="A109" i="20"/>
  <c r="A110" i="20"/>
  <c r="A111" i="20"/>
  <c r="A112" i="20"/>
  <c r="A113" i="20"/>
  <c r="A114" i="20"/>
  <c r="A115" i="20"/>
  <c r="A116" i="20"/>
  <c r="A17" i="20"/>
  <c r="M18" i="20"/>
  <c r="M19" i="20"/>
  <c r="M20" i="20"/>
  <c r="M21" i="20"/>
  <c r="M22" i="20"/>
  <c r="M23" i="20"/>
  <c r="M24" i="20"/>
  <c r="M25" i="20"/>
  <c r="M26" i="20"/>
  <c r="M27" i="20"/>
  <c r="M28" i="20"/>
  <c r="M29" i="20"/>
  <c r="M30" i="20"/>
  <c r="M31" i="20"/>
  <c r="M32" i="20"/>
  <c r="M33" i="20"/>
  <c r="M34" i="20"/>
  <c r="M35" i="20"/>
  <c r="M36" i="20"/>
  <c r="M37" i="20"/>
  <c r="M38" i="20"/>
  <c r="M39" i="20"/>
  <c r="M40" i="20"/>
  <c r="M41" i="20"/>
  <c r="M42" i="20"/>
  <c r="M43" i="20"/>
  <c r="M44" i="20"/>
  <c r="M45" i="20"/>
  <c r="M46" i="20"/>
  <c r="M47" i="20"/>
  <c r="M48" i="20"/>
  <c r="M49" i="20"/>
  <c r="M50" i="20"/>
  <c r="M51" i="20"/>
  <c r="M52" i="20"/>
  <c r="M53" i="20"/>
  <c r="M54" i="20"/>
  <c r="M55" i="20"/>
  <c r="M56" i="20"/>
  <c r="M57" i="20"/>
  <c r="M58" i="20"/>
  <c r="M59" i="20"/>
  <c r="M60" i="20"/>
  <c r="M61" i="20"/>
  <c r="M62" i="20"/>
  <c r="M63" i="20"/>
  <c r="M64" i="20"/>
  <c r="M65" i="20"/>
  <c r="M66" i="20"/>
  <c r="M67" i="20"/>
  <c r="M68" i="20"/>
  <c r="M69" i="20"/>
  <c r="M70" i="20"/>
  <c r="M71" i="20"/>
  <c r="M72" i="20"/>
  <c r="M73" i="20"/>
  <c r="M74" i="20"/>
  <c r="M75" i="20"/>
  <c r="M76" i="20"/>
  <c r="M77" i="20"/>
  <c r="M78" i="20"/>
  <c r="M79" i="20"/>
  <c r="M80" i="20"/>
  <c r="M81" i="20"/>
  <c r="M82" i="20"/>
  <c r="M83" i="20"/>
  <c r="M84" i="20"/>
  <c r="M85" i="20"/>
  <c r="M86" i="20"/>
  <c r="M87" i="20"/>
  <c r="M88" i="20"/>
  <c r="M89" i="20"/>
  <c r="M90" i="20"/>
  <c r="M91" i="20"/>
  <c r="M92" i="20"/>
  <c r="M93" i="20"/>
  <c r="M94" i="20"/>
  <c r="M95" i="20"/>
  <c r="M96" i="20"/>
  <c r="M97" i="20"/>
  <c r="M98" i="20"/>
  <c r="M99" i="20"/>
  <c r="M100" i="20"/>
  <c r="M101" i="20"/>
  <c r="M102" i="20"/>
  <c r="M103" i="20"/>
  <c r="M104" i="20"/>
  <c r="M105" i="20"/>
  <c r="M106" i="20"/>
  <c r="M107" i="20"/>
  <c r="M108" i="20"/>
  <c r="M109" i="20"/>
  <c r="M110" i="20"/>
  <c r="M111" i="20"/>
  <c r="M112" i="20"/>
  <c r="M113" i="20"/>
  <c r="M114" i="20"/>
  <c r="M115" i="20"/>
  <c r="M116" i="20"/>
  <c r="M17" i="20"/>
  <c r="DN29" i="6" l="1"/>
  <c r="DM28" i="6"/>
  <c r="J3" i="36"/>
  <c r="AC3" i="36"/>
  <c r="AB3" i="36"/>
  <c r="AA3" i="36"/>
  <c r="Z3" i="36"/>
  <c r="Y3" i="36"/>
  <c r="X3" i="36"/>
  <c r="W3" i="36"/>
  <c r="V3" i="36"/>
  <c r="U3" i="36"/>
  <c r="T3" i="36"/>
  <c r="S3" i="36"/>
  <c r="R3" i="36"/>
  <c r="Q3" i="36"/>
  <c r="P3" i="36"/>
  <c r="O3" i="36"/>
  <c r="N3" i="36"/>
  <c r="M3" i="36"/>
  <c r="L3" i="36"/>
  <c r="AC55" i="36"/>
  <c r="AB55" i="36"/>
  <c r="AA55" i="36"/>
  <c r="Z55" i="36"/>
  <c r="Y55" i="36"/>
  <c r="X55" i="36"/>
  <c r="W55" i="36"/>
  <c r="V55" i="36"/>
  <c r="U55" i="36"/>
  <c r="T55" i="36"/>
  <c r="S55" i="36"/>
  <c r="R55" i="36"/>
  <c r="Q55" i="36"/>
  <c r="P55" i="36"/>
  <c r="O55" i="36"/>
  <c r="N55" i="36"/>
  <c r="M55" i="36"/>
  <c r="L55" i="36"/>
  <c r="K55" i="36"/>
  <c r="AC54" i="36"/>
  <c r="AB54" i="36"/>
  <c r="AA54" i="36"/>
  <c r="Z54" i="36"/>
  <c r="Y54" i="36"/>
  <c r="X54" i="36"/>
  <c r="W54" i="36"/>
  <c r="V54" i="36"/>
  <c r="U54" i="36"/>
  <c r="T54" i="36"/>
  <c r="S54" i="36"/>
  <c r="R54" i="36"/>
  <c r="Q54" i="36"/>
  <c r="P54" i="36"/>
  <c r="O54" i="36"/>
  <c r="N54" i="36"/>
  <c r="M54" i="36"/>
  <c r="L54" i="36"/>
  <c r="K54" i="36"/>
  <c r="AC53" i="36"/>
  <c r="AB53" i="36"/>
  <c r="AA53" i="36"/>
  <c r="Z53" i="36"/>
  <c r="Y53" i="36"/>
  <c r="X53" i="36"/>
  <c r="W53" i="36"/>
  <c r="V53" i="36"/>
  <c r="U53" i="36"/>
  <c r="T53" i="36"/>
  <c r="S53" i="36"/>
  <c r="R53" i="36"/>
  <c r="Q53" i="36"/>
  <c r="P53" i="36"/>
  <c r="O53" i="36"/>
  <c r="N53" i="36"/>
  <c r="M53" i="36"/>
  <c r="L53" i="36"/>
  <c r="K53" i="36"/>
  <c r="AC52" i="36"/>
  <c r="AB52" i="36"/>
  <c r="AA52" i="36"/>
  <c r="Z52" i="36"/>
  <c r="Y52" i="36"/>
  <c r="X52" i="36"/>
  <c r="W52" i="36"/>
  <c r="V52" i="36"/>
  <c r="U52" i="36"/>
  <c r="T52" i="36"/>
  <c r="S52" i="36"/>
  <c r="R52" i="36"/>
  <c r="Q52" i="36"/>
  <c r="P52" i="36"/>
  <c r="O52" i="36"/>
  <c r="N52" i="36"/>
  <c r="M52" i="36"/>
  <c r="L52" i="36"/>
  <c r="K52" i="36"/>
  <c r="AC51" i="36"/>
  <c r="AB51" i="36"/>
  <c r="AA51" i="36"/>
  <c r="Z51" i="36"/>
  <c r="Y51" i="36"/>
  <c r="X51" i="36"/>
  <c r="W51" i="36"/>
  <c r="V51" i="36"/>
  <c r="U51" i="36"/>
  <c r="T51" i="36"/>
  <c r="S51" i="36"/>
  <c r="R51" i="36"/>
  <c r="Q51" i="36"/>
  <c r="P51" i="36"/>
  <c r="O51" i="36"/>
  <c r="N51" i="36"/>
  <c r="M51" i="36"/>
  <c r="L51" i="36"/>
  <c r="K51" i="36"/>
  <c r="AC50" i="36"/>
  <c r="AB50" i="36"/>
  <c r="AA50" i="36"/>
  <c r="Z50" i="36"/>
  <c r="Y50" i="36"/>
  <c r="X50" i="36"/>
  <c r="W50" i="36"/>
  <c r="V50" i="36"/>
  <c r="U50" i="36"/>
  <c r="T50" i="36"/>
  <c r="S50" i="36"/>
  <c r="R50" i="36"/>
  <c r="Q50" i="36"/>
  <c r="P50" i="36"/>
  <c r="O50" i="36"/>
  <c r="N50" i="36"/>
  <c r="M50" i="36"/>
  <c r="L50" i="36"/>
  <c r="K50" i="36"/>
  <c r="AC49" i="36"/>
  <c r="AB49" i="36"/>
  <c r="AA49" i="36"/>
  <c r="Z49" i="36"/>
  <c r="Y49" i="36"/>
  <c r="X49" i="36"/>
  <c r="W49" i="36"/>
  <c r="V49" i="36"/>
  <c r="U49" i="36"/>
  <c r="T49" i="36"/>
  <c r="S49" i="36"/>
  <c r="R49" i="36"/>
  <c r="Q49" i="36"/>
  <c r="P49" i="36"/>
  <c r="O49" i="36"/>
  <c r="N49" i="36"/>
  <c r="M49" i="36"/>
  <c r="L49" i="36"/>
  <c r="K49" i="36"/>
  <c r="AC48" i="36"/>
  <c r="AB48" i="36"/>
  <c r="AA48" i="36"/>
  <c r="Z48" i="36"/>
  <c r="Y48" i="36"/>
  <c r="X48" i="36"/>
  <c r="W48" i="36"/>
  <c r="V48" i="36"/>
  <c r="U48" i="36"/>
  <c r="T48" i="36"/>
  <c r="S48" i="36"/>
  <c r="R48" i="36"/>
  <c r="Q48" i="36"/>
  <c r="P48" i="36"/>
  <c r="O48" i="36"/>
  <c r="N48" i="36"/>
  <c r="M48" i="36"/>
  <c r="L48" i="36"/>
  <c r="K48" i="36"/>
  <c r="AC47" i="36"/>
  <c r="AB47" i="36"/>
  <c r="AA47" i="36"/>
  <c r="Z47" i="36"/>
  <c r="Y47" i="36"/>
  <c r="X47" i="36"/>
  <c r="W47" i="36"/>
  <c r="V47" i="36"/>
  <c r="U47" i="36"/>
  <c r="T47" i="36"/>
  <c r="S47" i="36"/>
  <c r="R47" i="36"/>
  <c r="Q47" i="36"/>
  <c r="P47" i="36"/>
  <c r="O47" i="36"/>
  <c r="N47" i="36"/>
  <c r="M47" i="36"/>
  <c r="L47" i="36"/>
  <c r="K47" i="36"/>
  <c r="AC46" i="36"/>
  <c r="AB46" i="36"/>
  <c r="AA46" i="36"/>
  <c r="Z46" i="36"/>
  <c r="Y46" i="36"/>
  <c r="X46" i="36"/>
  <c r="W46" i="36"/>
  <c r="V46" i="36"/>
  <c r="U46" i="36"/>
  <c r="T46" i="36"/>
  <c r="S46" i="36"/>
  <c r="R46" i="36"/>
  <c r="Q46" i="36"/>
  <c r="P46" i="36"/>
  <c r="O46" i="36"/>
  <c r="N46" i="36"/>
  <c r="M46" i="36"/>
  <c r="L46" i="36"/>
  <c r="K46" i="36"/>
  <c r="AC45" i="36"/>
  <c r="AB45" i="36"/>
  <c r="AA45" i="36"/>
  <c r="Z45" i="36"/>
  <c r="Y45" i="36"/>
  <c r="X45" i="36"/>
  <c r="W45" i="36"/>
  <c r="V45" i="36"/>
  <c r="U45" i="36"/>
  <c r="T45" i="36"/>
  <c r="S45" i="36"/>
  <c r="R45" i="36"/>
  <c r="Q45" i="36"/>
  <c r="P45" i="36"/>
  <c r="O45" i="36"/>
  <c r="N45" i="36"/>
  <c r="M45" i="36"/>
  <c r="L45" i="36"/>
  <c r="K45" i="36"/>
  <c r="AC44" i="36"/>
  <c r="AB44" i="36"/>
  <c r="AA44" i="36"/>
  <c r="Z44" i="36"/>
  <c r="Y44" i="36"/>
  <c r="X44" i="36"/>
  <c r="W44" i="36"/>
  <c r="V44" i="36"/>
  <c r="U44" i="36"/>
  <c r="T44" i="36"/>
  <c r="S44" i="36"/>
  <c r="R44" i="36"/>
  <c r="Q44" i="36"/>
  <c r="P44" i="36"/>
  <c r="O44" i="36"/>
  <c r="N44" i="36"/>
  <c r="M44" i="36"/>
  <c r="L44" i="36"/>
  <c r="K44" i="36"/>
  <c r="AC43" i="36"/>
  <c r="AB43" i="36"/>
  <c r="AA43" i="36"/>
  <c r="Z43" i="36"/>
  <c r="Y43" i="36"/>
  <c r="X43" i="36"/>
  <c r="W43" i="36"/>
  <c r="V43" i="36"/>
  <c r="U43" i="36"/>
  <c r="T43" i="36"/>
  <c r="S43" i="36"/>
  <c r="R43" i="36"/>
  <c r="Q43" i="36"/>
  <c r="P43" i="36"/>
  <c r="O43" i="36"/>
  <c r="N43" i="36"/>
  <c r="M43" i="36"/>
  <c r="L43" i="36"/>
  <c r="K43" i="36"/>
  <c r="AC42" i="36"/>
  <c r="AB42" i="36"/>
  <c r="AA42" i="36"/>
  <c r="Z42" i="36"/>
  <c r="Y42" i="36"/>
  <c r="X42" i="36"/>
  <c r="W42" i="36"/>
  <c r="V42" i="36"/>
  <c r="U42" i="36"/>
  <c r="T42" i="36"/>
  <c r="S42" i="36"/>
  <c r="R42" i="36"/>
  <c r="Q42" i="36"/>
  <c r="P42" i="36"/>
  <c r="O42" i="36"/>
  <c r="N42" i="36"/>
  <c r="M42" i="36"/>
  <c r="L42" i="36"/>
  <c r="K42" i="36"/>
  <c r="AC41" i="36"/>
  <c r="AB41" i="36"/>
  <c r="AA41" i="36"/>
  <c r="Z41" i="36"/>
  <c r="Y41" i="36"/>
  <c r="X41" i="36"/>
  <c r="W41" i="36"/>
  <c r="V41" i="36"/>
  <c r="U41" i="36"/>
  <c r="T41" i="36"/>
  <c r="S41" i="36"/>
  <c r="R41" i="36"/>
  <c r="Q41" i="36"/>
  <c r="P41" i="36"/>
  <c r="O41" i="36"/>
  <c r="N41" i="36"/>
  <c r="M41" i="36"/>
  <c r="L41" i="36"/>
  <c r="K41" i="36"/>
  <c r="AC40" i="36"/>
  <c r="AB40" i="36"/>
  <c r="AA40" i="36"/>
  <c r="Z40" i="36"/>
  <c r="Y40" i="36"/>
  <c r="X40" i="36"/>
  <c r="W40" i="36"/>
  <c r="V40" i="36"/>
  <c r="U40" i="36"/>
  <c r="T40" i="36"/>
  <c r="S40" i="36"/>
  <c r="R40" i="36"/>
  <c r="Q40" i="36"/>
  <c r="P40" i="36"/>
  <c r="O40" i="36"/>
  <c r="N40" i="36"/>
  <c r="M40" i="36"/>
  <c r="L40" i="36"/>
  <c r="K40" i="36"/>
  <c r="AC39" i="36"/>
  <c r="AB39" i="36"/>
  <c r="AA39" i="36"/>
  <c r="Z39" i="36"/>
  <c r="Y39" i="36"/>
  <c r="X39" i="36"/>
  <c r="W39" i="36"/>
  <c r="V39" i="36"/>
  <c r="U39" i="36"/>
  <c r="T39" i="36"/>
  <c r="S39" i="36"/>
  <c r="R39" i="36"/>
  <c r="Q39" i="36"/>
  <c r="P39" i="36"/>
  <c r="O39" i="36"/>
  <c r="N39" i="36"/>
  <c r="M39" i="36"/>
  <c r="L39" i="36"/>
  <c r="K39" i="36"/>
  <c r="AC38" i="36"/>
  <c r="AB38" i="36"/>
  <c r="AA38" i="36"/>
  <c r="Z38" i="36"/>
  <c r="Y38" i="36"/>
  <c r="X38" i="36"/>
  <c r="W38" i="36"/>
  <c r="V38" i="36"/>
  <c r="U38" i="36"/>
  <c r="T38" i="36"/>
  <c r="S38" i="36"/>
  <c r="R38" i="36"/>
  <c r="Q38" i="36"/>
  <c r="P38" i="36"/>
  <c r="O38" i="36"/>
  <c r="N38" i="36"/>
  <c r="M38" i="36"/>
  <c r="L38" i="36"/>
  <c r="K38" i="36"/>
  <c r="AC37" i="36"/>
  <c r="AB37" i="36"/>
  <c r="AA37" i="36"/>
  <c r="Z37" i="36"/>
  <c r="Y37" i="36"/>
  <c r="X37" i="36"/>
  <c r="W37" i="36"/>
  <c r="V37" i="36"/>
  <c r="U37" i="36"/>
  <c r="T37" i="36"/>
  <c r="S37" i="36"/>
  <c r="R37" i="36"/>
  <c r="Q37" i="36"/>
  <c r="P37" i="36"/>
  <c r="O37" i="36"/>
  <c r="N37" i="36"/>
  <c r="M37" i="36"/>
  <c r="L37" i="36"/>
  <c r="K37" i="36"/>
  <c r="AC36" i="36"/>
  <c r="AB36" i="36"/>
  <c r="AA36" i="36"/>
  <c r="Z36" i="36"/>
  <c r="Y36" i="36"/>
  <c r="X36" i="36"/>
  <c r="W36" i="36"/>
  <c r="V36" i="36"/>
  <c r="U36" i="36"/>
  <c r="T36" i="36"/>
  <c r="S36" i="36"/>
  <c r="R36" i="36"/>
  <c r="Q36" i="36"/>
  <c r="P36" i="36"/>
  <c r="O36" i="36"/>
  <c r="N36" i="36"/>
  <c r="M36" i="36"/>
  <c r="L36" i="36"/>
  <c r="K36" i="36"/>
  <c r="AC35" i="36"/>
  <c r="AB35" i="36"/>
  <c r="AA35" i="36"/>
  <c r="Z35" i="36"/>
  <c r="Y35" i="36"/>
  <c r="X35" i="36"/>
  <c r="W35" i="36"/>
  <c r="V35" i="36"/>
  <c r="U35" i="36"/>
  <c r="T35" i="36"/>
  <c r="S35" i="36"/>
  <c r="R35" i="36"/>
  <c r="Q35" i="36"/>
  <c r="P35" i="36"/>
  <c r="O35" i="36"/>
  <c r="N35" i="36"/>
  <c r="M35" i="36"/>
  <c r="L35" i="36"/>
  <c r="K35" i="36"/>
  <c r="AC34" i="36"/>
  <c r="AB34" i="36"/>
  <c r="AA34" i="36"/>
  <c r="Z34" i="36"/>
  <c r="Y34" i="36"/>
  <c r="X34" i="36"/>
  <c r="W34" i="36"/>
  <c r="V34" i="36"/>
  <c r="U34" i="36"/>
  <c r="T34" i="36"/>
  <c r="S34" i="36"/>
  <c r="R34" i="36"/>
  <c r="Q34" i="36"/>
  <c r="P34" i="36"/>
  <c r="O34" i="36"/>
  <c r="N34" i="36"/>
  <c r="M34" i="36"/>
  <c r="L34" i="36"/>
  <c r="K34" i="36"/>
  <c r="AC33" i="36"/>
  <c r="AB33" i="36"/>
  <c r="AA33" i="36"/>
  <c r="Z33" i="36"/>
  <c r="Y33" i="36"/>
  <c r="X33" i="36"/>
  <c r="W33" i="36"/>
  <c r="V33" i="36"/>
  <c r="U33" i="36"/>
  <c r="T33" i="36"/>
  <c r="S33" i="36"/>
  <c r="R33" i="36"/>
  <c r="Q33" i="36"/>
  <c r="P33" i="36"/>
  <c r="O33" i="36"/>
  <c r="N33" i="36"/>
  <c r="M33" i="36"/>
  <c r="L33" i="36"/>
  <c r="K33" i="36"/>
  <c r="AC32" i="36"/>
  <c r="AB32" i="36"/>
  <c r="AA32" i="36"/>
  <c r="Z32" i="36"/>
  <c r="Y32" i="36"/>
  <c r="X32" i="36"/>
  <c r="W32" i="36"/>
  <c r="V32" i="36"/>
  <c r="U32" i="36"/>
  <c r="T32" i="36"/>
  <c r="S32" i="36"/>
  <c r="R32" i="36"/>
  <c r="Q32" i="36"/>
  <c r="P32" i="36"/>
  <c r="O32" i="36"/>
  <c r="N32" i="36"/>
  <c r="M32" i="36"/>
  <c r="L32" i="36"/>
  <c r="K32" i="36"/>
  <c r="AC31" i="36"/>
  <c r="AB31" i="36"/>
  <c r="AA31" i="36"/>
  <c r="Z31" i="36"/>
  <c r="Y31" i="36"/>
  <c r="X31" i="36"/>
  <c r="W31" i="36"/>
  <c r="V31" i="36"/>
  <c r="U31" i="36"/>
  <c r="T31" i="36"/>
  <c r="S31" i="36"/>
  <c r="R31" i="36"/>
  <c r="Q31" i="36"/>
  <c r="P31" i="36"/>
  <c r="O31" i="36"/>
  <c r="N31" i="36"/>
  <c r="M31" i="36"/>
  <c r="L31" i="36"/>
  <c r="K31" i="36"/>
  <c r="AC30" i="36"/>
  <c r="AB30" i="36"/>
  <c r="AA30" i="36"/>
  <c r="Z30" i="36"/>
  <c r="Y30" i="36"/>
  <c r="X30" i="36"/>
  <c r="W30" i="36"/>
  <c r="V30" i="36"/>
  <c r="U30" i="36"/>
  <c r="T30" i="36"/>
  <c r="S30" i="36"/>
  <c r="R30" i="36"/>
  <c r="Q30" i="36"/>
  <c r="P30" i="36"/>
  <c r="O30" i="36"/>
  <c r="N30" i="36"/>
  <c r="M30" i="36"/>
  <c r="L30" i="36"/>
  <c r="K30" i="36"/>
  <c r="AC29" i="36"/>
  <c r="AB29" i="36"/>
  <c r="AA29" i="36"/>
  <c r="Z29" i="36"/>
  <c r="Y29" i="36"/>
  <c r="X29" i="36"/>
  <c r="W29" i="36"/>
  <c r="V29" i="36"/>
  <c r="U29" i="36"/>
  <c r="T29" i="36"/>
  <c r="S29" i="36"/>
  <c r="R29" i="36"/>
  <c r="Q29" i="36"/>
  <c r="P29" i="36"/>
  <c r="O29" i="36"/>
  <c r="N29" i="36"/>
  <c r="M29" i="36"/>
  <c r="L29" i="36"/>
  <c r="K29" i="36"/>
  <c r="AC28" i="36"/>
  <c r="AB28" i="36"/>
  <c r="AA28" i="36"/>
  <c r="Z28" i="36"/>
  <c r="Y28" i="36"/>
  <c r="X28" i="36"/>
  <c r="W28" i="36"/>
  <c r="V28" i="36"/>
  <c r="U28" i="36"/>
  <c r="T28" i="36"/>
  <c r="S28" i="36"/>
  <c r="R28" i="36"/>
  <c r="Q28" i="36"/>
  <c r="P28" i="36"/>
  <c r="O28" i="36"/>
  <c r="N28" i="36"/>
  <c r="M28" i="36"/>
  <c r="L28" i="36"/>
  <c r="K28" i="36"/>
  <c r="AC27" i="36"/>
  <c r="AB27" i="36"/>
  <c r="AA27" i="36"/>
  <c r="Z27" i="36"/>
  <c r="Y27" i="36"/>
  <c r="X27" i="36"/>
  <c r="W27" i="36"/>
  <c r="V27" i="36"/>
  <c r="U27" i="36"/>
  <c r="T27" i="36"/>
  <c r="S27" i="36"/>
  <c r="R27" i="36"/>
  <c r="Q27" i="36"/>
  <c r="P27" i="36"/>
  <c r="O27" i="36"/>
  <c r="N27" i="36"/>
  <c r="M27" i="36"/>
  <c r="L27" i="36"/>
  <c r="K27" i="36"/>
  <c r="AC26" i="36"/>
  <c r="AB26" i="36"/>
  <c r="AA26" i="36"/>
  <c r="Z26" i="36"/>
  <c r="Y26" i="36"/>
  <c r="X26" i="36"/>
  <c r="W26" i="36"/>
  <c r="V26" i="36"/>
  <c r="U26" i="36"/>
  <c r="T26" i="36"/>
  <c r="S26" i="36"/>
  <c r="R26" i="36"/>
  <c r="Q26" i="36"/>
  <c r="P26" i="36"/>
  <c r="O26" i="36"/>
  <c r="N26" i="36"/>
  <c r="M26" i="36"/>
  <c r="L26" i="36"/>
  <c r="K26" i="36"/>
  <c r="AC25" i="36"/>
  <c r="AB25" i="36"/>
  <c r="AA25" i="36"/>
  <c r="Z25" i="36"/>
  <c r="Y25" i="36"/>
  <c r="X25" i="36"/>
  <c r="W25" i="36"/>
  <c r="V25" i="36"/>
  <c r="U25" i="36"/>
  <c r="T25" i="36"/>
  <c r="S25" i="36"/>
  <c r="R25" i="36"/>
  <c r="Q25" i="36"/>
  <c r="P25" i="36"/>
  <c r="O25" i="36"/>
  <c r="N25" i="36"/>
  <c r="M25" i="36"/>
  <c r="L25" i="36"/>
  <c r="K25" i="36"/>
  <c r="AC24" i="36"/>
  <c r="AB24" i="36"/>
  <c r="AA24" i="36"/>
  <c r="Z24" i="36"/>
  <c r="Y24" i="36"/>
  <c r="X24" i="36"/>
  <c r="W24" i="36"/>
  <c r="V24" i="36"/>
  <c r="U24" i="36"/>
  <c r="T24" i="36"/>
  <c r="S24" i="36"/>
  <c r="R24" i="36"/>
  <c r="Q24" i="36"/>
  <c r="P24" i="36"/>
  <c r="O24" i="36"/>
  <c r="N24" i="36"/>
  <c r="M24" i="36"/>
  <c r="L24" i="36"/>
  <c r="K24" i="36"/>
  <c r="AC23" i="36"/>
  <c r="AB23" i="36"/>
  <c r="AA23" i="36"/>
  <c r="Z23" i="36"/>
  <c r="Y23" i="36"/>
  <c r="X23" i="36"/>
  <c r="W23" i="36"/>
  <c r="V23" i="36"/>
  <c r="U23" i="36"/>
  <c r="T23" i="36"/>
  <c r="S23" i="36"/>
  <c r="R23" i="36"/>
  <c r="Q23" i="36"/>
  <c r="P23" i="36"/>
  <c r="O23" i="36"/>
  <c r="N23" i="36"/>
  <c r="M23" i="36"/>
  <c r="L23" i="36"/>
  <c r="K23" i="36"/>
  <c r="AC22" i="36"/>
  <c r="AB22" i="36"/>
  <c r="AA22" i="36"/>
  <c r="Z22" i="36"/>
  <c r="Y22" i="36"/>
  <c r="X22" i="36"/>
  <c r="W22" i="36"/>
  <c r="V22" i="36"/>
  <c r="U22" i="36"/>
  <c r="T22" i="36"/>
  <c r="S22" i="36"/>
  <c r="R22" i="36"/>
  <c r="Q22" i="36"/>
  <c r="P22" i="36"/>
  <c r="O22" i="36"/>
  <c r="N22" i="36"/>
  <c r="M22" i="36"/>
  <c r="L22" i="36"/>
  <c r="K22" i="36"/>
  <c r="AC21" i="36"/>
  <c r="AB21" i="36"/>
  <c r="AA21" i="36"/>
  <c r="Z21" i="36"/>
  <c r="Y21" i="36"/>
  <c r="X21" i="36"/>
  <c r="W21" i="36"/>
  <c r="V21" i="36"/>
  <c r="U21" i="36"/>
  <c r="T21" i="36"/>
  <c r="S21" i="36"/>
  <c r="R21" i="36"/>
  <c r="Q21" i="36"/>
  <c r="P21" i="36"/>
  <c r="O21" i="36"/>
  <c r="N21" i="36"/>
  <c r="M21" i="36"/>
  <c r="L21" i="36"/>
  <c r="K21" i="36"/>
  <c r="AC20" i="36"/>
  <c r="AB20" i="36"/>
  <c r="AA20" i="36"/>
  <c r="Z20" i="36"/>
  <c r="Y20" i="36"/>
  <c r="X20" i="36"/>
  <c r="W20" i="36"/>
  <c r="V20" i="36"/>
  <c r="U20" i="36"/>
  <c r="T20" i="36"/>
  <c r="S20" i="36"/>
  <c r="R20" i="36"/>
  <c r="Q20" i="36"/>
  <c r="P20" i="36"/>
  <c r="O20" i="36"/>
  <c r="N20" i="36"/>
  <c r="M20" i="36"/>
  <c r="L20" i="36"/>
  <c r="K20" i="36"/>
  <c r="AC19" i="36"/>
  <c r="AB19" i="36"/>
  <c r="AA19" i="36"/>
  <c r="Z19" i="36"/>
  <c r="Y19" i="36"/>
  <c r="X19" i="36"/>
  <c r="W19" i="36"/>
  <c r="V19" i="36"/>
  <c r="U19" i="36"/>
  <c r="T19" i="36"/>
  <c r="S19" i="36"/>
  <c r="R19" i="36"/>
  <c r="Q19" i="36"/>
  <c r="P19" i="36"/>
  <c r="O19" i="36"/>
  <c r="N19" i="36"/>
  <c r="M19" i="36"/>
  <c r="L19" i="36"/>
  <c r="K19" i="36"/>
  <c r="AC18" i="36"/>
  <c r="AB18" i="36"/>
  <c r="AA18" i="36"/>
  <c r="Z18" i="36"/>
  <c r="Y18" i="36"/>
  <c r="X18" i="36"/>
  <c r="W18" i="36"/>
  <c r="V18" i="36"/>
  <c r="U18" i="36"/>
  <c r="T18" i="36"/>
  <c r="S18" i="36"/>
  <c r="R18" i="36"/>
  <c r="Q18" i="36"/>
  <c r="P18" i="36"/>
  <c r="O18" i="36"/>
  <c r="N18" i="36"/>
  <c r="M18" i="36"/>
  <c r="L18" i="36"/>
  <c r="K18" i="36"/>
  <c r="AC17" i="36"/>
  <c r="AB17" i="36"/>
  <c r="AA17" i="36"/>
  <c r="Z17" i="36"/>
  <c r="Y17" i="36"/>
  <c r="X17" i="36"/>
  <c r="W17" i="36"/>
  <c r="V17" i="36"/>
  <c r="U17" i="36"/>
  <c r="T17" i="36"/>
  <c r="S17" i="36"/>
  <c r="R17" i="36"/>
  <c r="Q17" i="36"/>
  <c r="P17" i="36"/>
  <c r="O17" i="36"/>
  <c r="N17" i="36"/>
  <c r="M17" i="36"/>
  <c r="L17" i="36"/>
  <c r="K17" i="36"/>
  <c r="AC16" i="36"/>
  <c r="AB16" i="36"/>
  <c r="AA16" i="36"/>
  <c r="Z16" i="36"/>
  <c r="Y16" i="36"/>
  <c r="X16" i="36"/>
  <c r="W16" i="36"/>
  <c r="V16" i="36"/>
  <c r="U16" i="36"/>
  <c r="T16" i="36"/>
  <c r="S16" i="36"/>
  <c r="R16" i="36"/>
  <c r="Q16" i="36"/>
  <c r="P16" i="36"/>
  <c r="O16" i="36"/>
  <c r="N16" i="36"/>
  <c r="M16" i="36"/>
  <c r="L16" i="36"/>
  <c r="K16" i="36"/>
  <c r="AC15" i="36"/>
  <c r="AB15" i="36"/>
  <c r="AA15" i="36"/>
  <c r="Z15" i="36"/>
  <c r="Y15" i="36"/>
  <c r="X15" i="36"/>
  <c r="W15" i="36"/>
  <c r="V15" i="36"/>
  <c r="U15" i="36"/>
  <c r="T15" i="36"/>
  <c r="S15" i="36"/>
  <c r="R15" i="36"/>
  <c r="Q15" i="36"/>
  <c r="P15" i="36"/>
  <c r="O15" i="36"/>
  <c r="N15" i="36"/>
  <c r="M15" i="36"/>
  <c r="L15" i="36"/>
  <c r="K15" i="36"/>
  <c r="AC14" i="36"/>
  <c r="AB14" i="36"/>
  <c r="AA14" i="36"/>
  <c r="Z14" i="36"/>
  <c r="Y14" i="36"/>
  <c r="X14" i="36"/>
  <c r="W14" i="36"/>
  <c r="V14" i="36"/>
  <c r="U14" i="36"/>
  <c r="T14" i="36"/>
  <c r="S14" i="36"/>
  <c r="R14" i="36"/>
  <c r="Q14" i="36"/>
  <c r="P14" i="36"/>
  <c r="O14" i="36"/>
  <c r="N14" i="36"/>
  <c r="M14" i="36"/>
  <c r="L14" i="36"/>
  <c r="K14" i="36"/>
  <c r="AC13" i="36"/>
  <c r="AB13" i="36"/>
  <c r="AA13" i="36"/>
  <c r="Z13" i="36"/>
  <c r="Y13" i="36"/>
  <c r="X13" i="36"/>
  <c r="W13" i="36"/>
  <c r="V13" i="36"/>
  <c r="U13" i="36"/>
  <c r="T13" i="36"/>
  <c r="S13" i="36"/>
  <c r="R13" i="36"/>
  <c r="Q13" i="36"/>
  <c r="P13" i="36"/>
  <c r="O13" i="36"/>
  <c r="N13" i="36"/>
  <c r="M13" i="36"/>
  <c r="L13" i="36"/>
  <c r="K13" i="36"/>
  <c r="AC12" i="36"/>
  <c r="AB12" i="36"/>
  <c r="AA12" i="36"/>
  <c r="Z12" i="36"/>
  <c r="Y12" i="36"/>
  <c r="X12" i="36"/>
  <c r="W12" i="36"/>
  <c r="V12" i="36"/>
  <c r="U12" i="36"/>
  <c r="T12" i="36"/>
  <c r="S12" i="36"/>
  <c r="R12" i="36"/>
  <c r="Q12" i="36"/>
  <c r="P12" i="36"/>
  <c r="O12" i="36"/>
  <c r="N12" i="36"/>
  <c r="M12" i="36"/>
  <c r="L12" i="36"/>
  <c r="K12" i="36"/>
  <c r="AC11" i="36"/>
  <c r="AB11" i="36"/>
  <c r="AA11" i="36"/>
  <c r="Z11" i="36"/>
  <c r="Y11" i="36"/>
  <c r="X11" i="36"/>
  <c r="W11" i="36"/>
  <c r="V11" i="36"/>
  <c r="U11" i="36"/>
  <c r="T11" i="36"/>
  <c r="S11" i="36"/>
  <c r="R11" i="36"/>
  <c r="Q11" i="36"/>
  <c r="P11" i="36"/>
  <c r="O11" i="36"/>
  <c r="N11" i="36"/>
  <c r="M11" i="36"/>
  <c r="L11" i="36"/>
  <c r="K11" i="36"/>
  <c r="AC10" i="36"/>
  <c r="AB10" i="36"/>
  <c r="AA10" i="36"/>
  <c r="Z10" i="36"/>
  <c r="Y10" i="36"/>
  <c r="X10" i="36"/>
  <c r="W10" i="36"/>
  <c r="V10" i="36"/>
  <c r="U10" i="36"/>
  <c r="T10" i="36"/>
  <c r="S10" i="36"/>
  <c r="R10" i="36"/>
  <c r="Q10" i="36"/>
  <c r="P10" i="36"/>
  <c r="O10" i="36"/>
  <c r="N10" i="36"/>
  <c r="M10" i="36"/>
  <c r="L10" i="36"/>
  <c r="K10" i="36"/>
  <c r="AC9" i="36"/>
  <c r="AB9" i="36"/>
  <c r="AA9" i="36"/>
  <c r="Z9" i="36"/>
  <c r="Y9" i="36"/>
  <c r="X9" i="36"/>
  <c r="W9" i="36"/>
  <c r="V9" i="36"/>
  <c r="U9" i="36"/>
  <c r="T9" i="36"/>
  <c r="S9" i="36"/>
  <c r="R9" i="36"/>
  <c r="Q9" i="36"/>
  <c r="P9" i="36"/>
  <c r="O9" i="36"/>
  <c r="N9" i="36"/>
  <c r="M9" i="36"/>
  <c r="L9" i="36"/>
  <c r="K9" i="36"/>
  <c r="AC8" i="36"/>
  <c r="AB8" i="36"/>
  <c r="AA8" i="36"/>
  <c r="Z8" i="36"/>
  <c r="Y8" i="36"/>
  <c r="X8" i="36"/>
  <c r="W8" i="36"/>
  <c r="V8" i="36"/>
  <c r="U8" i="36"/>
  <c r="T8" i="36"/>
  <c r="S8" i="36"/>
  <c r="R8" i="36"/>
  <c r="Q8" i="36"/>
  <c r="P8" i="36"/>
  <c r="O8" i="36"/>
  <c r="N8" i="36"/>
  <c r="M8" i="36"/>
  <c r="L8" i="36"/>
  <c r="K8" i="36"/>
  <c r="AC7" i="36"/>
  <c r="AB7" i="36"/>
  <c r="AA7" i="36"/>
  <c r="Z7" i="36"/>
  <c r="Y7" i="36"/>
  <c r="X7" i="36"/>
  <c r="W7" i="36"/>
  <c r="V7" i="36"/>
  <c r="U7" i="36"/>
  <c r="T7" i="36"/>
  <c r="S7" i="36"/>
  <c r="R7" i="36"/>
  <c r="Q7" i="36"/>
  <c r="P7" i="36"/>
  <c r="O7" i="36"/>
  <c r="N7" i="36"/>
  <c r="M7" i="36"/>
  <c r="L7" i="36"/>
  <c r="K7" i="36"/>
  <c r="AC6" i="36"/>
  <c r="AB6" i="36"/>
  <c r="AA6" i="36"/>
  <c r="Z6" i="36"/>
  <c r="Y6" i="36"/>
  <c r="X6" i="36"/>
  <c r="W6" i="36"/>
  <c r="V6" i="36"/>
  <c r="U6" i="36"/>
  <c r="T6" i="36"/>
  <c r="S6" i="36"/>
  <c r="R6" i="36"/>
  <c r="Q6" i="36"/>
  <c r="P6" i="36"/>
  <c r="O6" i="36"/>
  <c r="N6" i="36"/>
  <c r="M6" i="36"/>
  <c r="L6" i="36"/>
  <c r="K6" i="36"/>
  <c r="AC5" i="36"/>
  <c r="AB5" i="36"/>
  <c r="AA5" i="36"/>
  <c r="Z5" i="36"/>
  <c r="Y5" i="36"/>
  <c r="X5" i="36"/>
  <c r="W5" i="36"/>
  <c r="V5" i="36"/>
  <c r="U5" i="36"/>
  <c r="T5" i="36"/>
  <c r="S5" i="36"/>
  <c r="R5" i="36"/>
  <c r="Q5" i="36"/>
  <c r="P5" i="36"/>
  <c r="O5" i="36"/>
  <c r="N5" i="36"/>
  <c r="M5" i="36"/>
  <c r="L5" i="36"/>
  <c r="K5" i="36"/>
  <c r="AC4" i="36"/>
  <c r="AB4" i="36"/>
  <c r="AA4" i="36"/>
  <c r="Z4" i="36"/>
  <c r="Y4" i="36"/>
  <c r="X4" i="36"/>
  <c r="W4" i="36"/>
  <c r="V4" i="36"/>
  <c r="U4" i="36"/>
  <c r="T4" i="36"/>
  <c r="S4" i="36"/>
  <c r="R4" i="36"/>
  <c r="Q4" i="36"/>
  <c r="P4" i="36"/>
  <c r="O4" i="36"/>
  <c r="N4" i="36"/>
  <c r="M4" i="36"/>
  <c r="L4" i="36"/>
  <c r="K4" i="36"/>
  <c r="J5" i="36"/>
  <c r="J6" i="36"/>
  <c r="J7" i="36"/>
  <c r="J8" i="36"/>
  <c r="J9" i="36"/>
  <c r="J10" i="36"/>
  <c r="J11" i="36"/>
  <c r="J12" i="36"/>
  <c r="J13" i="36"/>
  <c r="J14" i="36"/>
  <c r="J15" i="36"/>
  <c r="J16" i="36"/>
  <c r="J17" i="36"/>
  <c r="J18" i="36"/>
  <c r="J19" i="36"/>
  <c r="J20" i="36"/>
  <c r="J21" i="36"/>
  <c r="J22" i="36"/>
  <c r="J23" i="36"/>
  <c r="J24" i="36"/>
  <c r="J25" i="36"/>
  <c r="J26" i="36"/>
  <c r="J27" i="36"/>
  <c r="J28" i="36"/>
  <c r="J29" i="36"/>
  <c r="J30" i="36"/>
  <c r="J31" i="36"/>
  <c r="J32" i="36"/>
  <c r="J33" i="36"/>
  <c r="J34" i="36"/>
  <c r="J35" i="36"/>
  <c r="J36" i="36"/>
  <c r="J37" i="36"/>
  <c r="J38" i="36"/>
  <c r="J39" i="36"/>
  <c r="J40" i="36"/>
  <c r="J41" i="36"/>
  <c r="J42" i="36"/>
  <c r="J43" i="36"/>
  <c r="J44" i="36"/>
  <c r="J45" i="36"/>
  <c r="J46" i="36"/>
  <c r="J47" i="36"/>
  <c r="J48" i="36"/>
  <c r="J49" i="36"/>
  <c r="J50" i="36"/>
  <c r="J51" i="36"/>
  <c r="J52" i="36"/>
  <c r="J53" i="36"/>
  <c r="J54" i="36"/>
  <c r="J55" i="36"/>
  <c r="J4" i="36"/>
  <c r="A5" i="36"/>
  <c r="A6" i="36" s="1"/>
  <c r="A7" i="36" s="1"/>
  <c r="A8" i="36" s="1"/>
  <c r="A9" i="36" s="1"/>
  <c r="A10" i="36" s="1"/>
  <c r="A11" i="36" s="1"/>
  <c r="A12" i="36" s="1"/>
  <c r="A13" i="36" s="1"/>
  <c r="A14" i="36" s="1"/>
  <c r="A15" i="36" s="1"/>
  <c r="A16" i="36" s="1"/>
  <c r="A17" i="36" s="1"/>
  <c r="A18" i="36" s="1"/>
  <c r="A19" i="36" s="1"/>
  <c r="A20" i="36" s="1"/>
  <c r="A21" i="36" s="1"/>
  <c r="A22" i="36" s="1"/>
  <c r="A23" i="36" s="1"/>
  <c r="A24" i="36" s="1"/>
  <c r="A25" i="36" s="1"/>
  <c r="A26" i="36" s="1"/>
  <c r="A27" i="36" s="1"/>
  <c r="A28" i="36" s="1"/>
  <c r="A29" i="36" s="1"/>
  <c r="A30" i="36" s="1"/>
  <c r="A31" i="36" s="1"/>
  <c r="A32" i="36" s="1"/>
  <c r="A33" i="36" s="1"/>
  <c r="A34" i="36" s="1"/>
  <c r="A35" i="36" s="1"/>
  <c r="A36" i="36" s="1"/>
  <c r="A37" i="36" s="1"/>
  <c r="A38" i="36" s="1"/>
  <c r="A39" i="36" s="1"/>
  <c r="A40" i="36" s="1"/>
  <c r="A41" i="36" s="1"/>
  <c r="A42" i="36" s="1"/>
  <c r="A43" i="36" s="1"/>
  <c r="A44" i="36" s="1"/>
  <c r="A45" i="36" s="1"/>
  <c r="A46" i="36" s="1"/>
  <c r="A47" i="36" s="1"/>
  <c r="A48" i="36" s="1"/>
  <c r="A49" i="36" s="1"/>
  <c r="A50" i="36" s="1"/>
  <c r="A51" i="36" s="1"/>
  <c r="A52" i="36" s="1"/>
  <c r="A53" i="36" s="1"/>
  <c r="A54" i="36" s="1"/>
  <c r="A55" i="36" s="1"/>
  <c r="B55" i="36" s="1"/>
  <c r="I5" i="36"/>
  <c r="I7" i="36"/>
  <c r="I12" i="36"/>
  <c r="I16" i="36"/>
  <c r="I17" i="36"/>
  <c r="I18" i="36"/>
  <c r="I19" i="36"/>
  <c r="I20" i="36"/>
  <c r="I21" i="36"/>
  <c r="I22" i="36"/>
  <c r="I23" i="36"/>
  <c r="I24" i="36"/>
  <c r="I25" i="36"/>
  <c r="I26" i="36"/>
  <c r="I27" i="36"/>
  <c r="I28" i="36"/>
  <c r="I29" i="36"/>
  <c r="I30" i="36"/>
  <c r="I32" i="36"/>
  <c r="I33" i="36"/>
  <c r="I34" i="36"/>
  <c r="I35" i="36"/>
  <c r="I36" i="36"/>
  <c r="I37" i="36"/>
  <c r="I38" i="36"/>
  <c r="I39" i="36"/>
  <c r="I40" i="36"/>
  <c r="I41" i="36"/>
  <c r="I42" i="36"/>
  <c r="I43" i="36"/>
  <c r="I44" i="36"/>
  <c r="I45" i="36"/>
  <c r="I47" i="36"/>
  <c r="I50" i="36"/>
  <c r="I51" i="36"/>
  <c r="I52" i="36"/>
  <c r="I53" i="36"/>
  <c r="I54" i="36"/>
  <c r="I55" i="36"/>
  <c r="I4" i="36"/>
  <c r="E42" i="26"/>
  <c r="DN30" i="6" l="1"/>
  <c r="DM29" i="6"/>
  <c r="B52" i="36"/>
  <c r="B48" i="36"/>
  <c r="B44" i="36"/>
  <c r="B40" i="36"/>
  <c r="B36" i="36"/>
  <c r="B32" i="36"/>
  <c r="B28" i="36"/>
  <c r="B24" i="36"/>
  <c r="B20" i="36"/>
  <c r="B16" i="36"/>
  <c r="B12" i="36"/>
  <c r="B8" i="36"/>
  <c r="B51" i="36"/>
  <c r="B47" i="36"/>
  <c r="B43" i="36"/>
  <c r="B39" i="36"/>
  <c r="B35" i="36"/>
  <c r="B31" i="36"/>
  <c r="B27" i="36"/>
  <c r="B23" i="36"/>
  <c r="B19" i="36"/>
  <c r="B15" i="36"/>
  <c r="B11" i="36"/>
  <c r="B7" i="36"/>
  <c r="B54" i="36"/>
  <c r="B50" i="36"/>
  <c r="B46" i="36"/>
  <c r="B42" i="36"/>
  <c r="B38" i="36"/>
  <c r="B34" i="36"/>
  <c r="B30" i="36"/>
  <c r="B26" i="36"/>
  <c r="B22" i="36"/>
  <c r="B18" i="36"/>
  <c r="B14" i="36"/>
  <c r="B10" i="36"/>
  <c r="B6" i="36"/>
  <c r="B53" i="36"/>
  <c r="B49" i="36"/>
  <c r="B45" i="36"/>
  <c r="B41" i="36"/>
  <c r="B37" i="36"/>
  <c r="B33" i="36"/>
  <c r="B29" i="36"/>
  <c r="B25" i="36"/>
  <c r="B21" i="36"/>
  <c r="B17" i="36"/>
  <c r="B13" i="36"/>
  <c r="B9" i="36"/>
  <c r="B5" i="36"/>
  <c r="B4" i="36"/>
  <c r="DN31" i="6" l="1"/>
  <c r="DM30" i="6"/>
  <c r="B38" i="18"/>
  <c r="A2" i="17"/>
  <c r="DN32" i="6" l="1"/>
  <c r="DM31" i="6"/>
  <c r="B123" i="35"/>
  <c r="C123" i="35" s="1"/>
  <c r="B122" i="35"/>
  <c r="B121" i="35"/>
  <c r="C121" i="35" s="1"/>
  <c r="B120" i="35"/>
  <c r="C120" i="35" s="1"/>
  <c r="B119" i="35"/>
  <c r="C119" i="35" s="1"/>
  <c r="B118" i="35"/>
  <c r="C118" i="35" s="1"/>
  <c r="B117" i="35"/>
  <c r="B116" i="35"/>
  <c r="C116" i="35" s="1"/>
  <c r="B115" i="35"/>
  <c r="C115" i="35" s="1"/>
  <c r="B114" i="35"/>
  <c r="C114" i="35" s="1"/>
  <c r="B113" i="35"/>
  <c r="C113" i="35" s="1"/>
  <c r="B112" i="35"/>
  <c r="C112" i="35" s="1"/>
  <c r="B111" i="35"/>
  <c r="C111" i="35" s="1"/>
  <c r="B110" i="35"/>
  <c r="C110" i="35" s="1"/>
  <c r="B109" i="35"/>
  <c r="B108" i="35"/>
  <c r="C108" i="35" s="1"/>
  <c r="B107" i="35"/>
  <c r="C107" i="35" s="1"/>
  <c r="B106" i="35"/>
  <c r="B105" i="35"/>
  <c r="C105" i="35" s="1"/>
  <c r="B104" i="35"/>
  <c r="C104" i="35" s="1"/>
  <c r="B103" i="35"/>
  <c r="C103" i="35" s="1"/>
  <c r="B102" i="35"/>
  <c r="C102" i="35" s="1"/>
  <c r="B101" i="35"/>
  <c r="B100" i="35"/>
  <c r="C100" i="35" s="1"/>
  <c r="B99" i="35"/>
  <c r="C99" i="35" s="1"/>
  <c r="B98" i="35"/>
  <c r="C98" i="35" s="1"/>
  <c r="B97" i="35"/>
  <c r="B96" i="35"/>
  <c r="C96" i="35" s="1"/>
  <c r="B95" i="35"/>
  <c r="B94" i="35"/>
  <c r="C94" i="35" s="1"/>
  <c r="B93" i="35"/>
  <c r="C93" i="35" s="1"/>
  <c r="B92" i="35"/>
  <c r="C92" i="35" s="1"/>
  <c r="B91" i="35"/>
  <c r="B90" i="35"/>
  <c r="C90" i="35" s="1"/>
  <c r="B89" i="35"/>
  <c r="C89" i="35" s="1"/>
  <c r="B88" i="35"/>
  <c r="C88" i="35" s="1"/>
  <c r="B87" i="35"/>
  <c r="B86" i="35"/>
  <c r="C86" i="35" s="1"/>
  <c r="B85" i="35"/>
  <c r="C85" i="35" s="1"/>
  <c r="B84" i="35"/>
  <c r="C84" i="35" s="1"/>
  <c r="B83" i="35"/>
  <c r="B82" i="35"/>
  <c r="C82" i="35" s="1"/>
  <c r="B81" i="35"/>
  <c r="C81" i="35" s="1"/>
  <c r="B80" i="35"/>
  <c r="C80" i="35" s="1"/>
  <c r="B79" i="35"/>
  <c r="B78" i="35"/>
  <c r="C78" i="35" s="1"/>
  <c r="B77" i="35"/>
  <c r="C77" i="35" s="1"/>
  <c r="B76" i="35"/>
  <c r="C76" i="35" s="1"/>
  <c r="B75" i="35"/>
  <c r="B74" i="35"/>
  <c r="C74" i="35" s="1"/>
  <c r="B73" i="35"/>
  <c r="B72" i="35"/>
  <c r="C72" i="35" s="1"/>
  <c r="B71" i="35"/>
  <c r="B70" i="35"/>
  <c r="C70" i="35" s="1"/>
  <c r="B69" i="35"/>
  <c r="C69" i="35" s="1"/>
  <c r="B68" i="35"/>
  <c r="C68" i="35" s="1"/>
  <c r="B67" i="35"/>
  <c r="B66" i="35"/>
  <c r="C66" i="35" s="1"/>
  <c r="B65" i="35"/>
  <c r="B64" i="35"/>
  <c r="C64" i="35" s="1"/>
  <c r="B63" i="35"/>
  <c r="B62" i="35"/>
  <c r="C62" i="35" s="1"/>
  <c r="B61" i="35"/>
  <c r="C61" i="35" s="1"/>
  <c r="B60" i="35"/>
  <c r="C60" i="35" s="1"/>
  <c r="B59" i="35"/>
  <c r="B58" i="35"/>
  <c r="C58" i="35" s="1"/>
  <c r="B57" i="35"/>
  <c r="C57" i="35" s="1"/>
  <c r="B56" i="35"/>
  <c r="C56" i="35" s="1"/>
  <c r="B55" i="35"/>
  <c r="B54" i="35"/>
  <c r="C54" i="35" s="1"/>
  <c r="B53" i="35"/>
  <c r="C53" i="35" s="1"/>
  <c r="B52" i="35"/>
  <c r="C52" i="35" s="1"/>
  <c r="B51" i="35"/>
  <c r="B50" i="35"/>
  <c r="C50" i="35" s="1"/>
  <c r="B49" i="35"/>
  <c r="C49" i="35" s="1"/>
  <c r="B48" i="35"/>
  <c r="C48" i="35" s="1"/>
  <c r="B47" i="35"/>
  <c r="DN33" i="6" l="1"/>
  <c r="DM32" i="6"/>
  <c r="D49" i="35"/>
  <c r="D89" i="35"/>
  <c r="D51" i="35"/>
  <c r="C51" i="35"/>
  <c r="D55" i="35"/>
  <c r="C55" i="35"/>
  <c r="D91" i="35"/>
  <c r="C91" i="35"/>
  <c r="D95" i="35"/>
  <c r="C95" i="35"/>
  <c r="D106" i="35"/>
  <c r="C106" i="35"/>
  <c r="D117" i="35"/>
  <c r="C117" i="35"/>
  <c r="D59" i="35"/>
  <c r="C59" i="35"/>
  <c r="D63" i="35"/>
  <c r="C63" i="35"/>
  <c r="D67" i="35"/>
  <c r="C67" i="35"/>
  <c r="D71" i="35"/>
  <c r="C71" i="35"/>
  <c r="D75" i="35"/>
  <c r="C75" i="35"/>
  <c r="D81" i="35"/>
  <c r="D114" i="35"/>
  <c r="D121" i="35"/>
  <c r="D79" i="35"/>
  <c r="C79" i="35"/>
  <c r="D97" i="35"/>
  <c r="C97" i="35"/>
  <c r="D101" i="35"/>
  <c r="C101" i="35"/>
  <c r="D122" i="35"/>
  <c r="C122" i="35"/>
  <c r="D47" i="35"/>
  <c r="C47" i="35"/>
  <c r="D57" i="35"/>
  <c r="D65" i="35"/>
  <c r="C65" i="35"/>
  <c r="D73" i="35"/>
  <c r="C73" i="35"/>
  <c r="D76" i="35"/>
  <c r="D83" i="35"/>
  <c r="C83" i="35"/>
  <c r="D87" i="35"/>
  <c r="C87" i="35"/>
  <c r="D105" i="35"/>
  <c r="D109" i="35"/>
  <c r="C109" i="35"/>
  <c r="K3" i="36"/>
  <c r="D52" i="35"/>
  <c r="D84" i="35"/>
  <c r="D60" i="35"/>
  <c r="D92" i="35"/>
  <c r="D113" i="35"/>
  <c r="D68" i="35"/>
  <c r="D53" i="35"/>
  <c r="D61" i="35"/>
  <c r="D69" i="35"/>
  <c r="D77" i="35"/>
  <c r="D85" i="35"/>
  <c r="D93" i="35"/>
  <c r="D48" i="35"/>
  <c r="D56" i="35"/>
  <c r="D64" i="35"/>
  <c r="D72" i="35"/>
  <c r="D80" i="35"/>
  <c r="D88" i="35"/>
  <c r="D96" i="35"/>
  <c r="D102" i="35"/>
  <c r="D110" i="35"/>
  <c r="D118" i="35"/>
  <c r="D103" i="35"/>
  <c r="D108" i="35"/>
  <c r="D119" i="35"/>
  <c r="D46" i="35"/>
  <c r="D50" i="35"/>
  <c r="D54" i="35"/>
  <c r="D58" i="35"/>
  <c r="D62" i="35"/>
  <c r="D66" i="35"/>
  <c r="D70" i="35"/>
  <c r="D74" i="35"/>
  <c r="D78" i="35"/>
  <c r="D82" i="35"/>
  <c r="D86" i="35"/>
  <c r="D90" i="35"/>
  <c r="D94" i="35"/>
  <c r="D98" i="35"/>
  <c r="D107" i="35"/>
  <c r="D112" i="35"/>
  <c r="D123" i="35"/>
  <c r="D100" i="35"/>
  <c r="D111" i="35"/>
  <c r="D116" i="35"/>
  <c r="D99" i="35"/>
  <c r="D104" i="35"/>
  <c r="D115" i="35"/>
  <c r="D120" i="35"/>
  <c r="B25" i="24"/>
  <c r="B26" i="24"/>
  <c r="B27" i="24"/>
  <c r="B28" i="24"/>
  <c r="B29" i="24"/>
  <c r="B30" i="24"/>
  <c r="B31" i="24"/>
  <c r="B32" i="24"/>
  <c r="C32" i="24" s="1"/>
  <c r="B33" i="24"/>
  <c r="B34" i="24"/>
  <c r="B35" i="24"/>
  <c r="B36" i="24"/>
  <c r="C36" i="24" s="1"/>
  <c r="B37" i="24"/>
  <c r="B38" i="24"/>
  <c r="B39" i="24"/>
  <c r="B40" i="24"/>
  <c r="C40" i="24" s="1"/>
  <c r="B41" i="24"/>
  <c r="B42" i="24"/>
  <c r="B43" i="24"/>
  <c r="B44" i="24"/>
  <c r="B45" i="24"/>
  <c r="B46" i="24"/>
  <c r="B47" i="24"/>
  <c r="B48" i="24"/>
  <c r="C48" i="24" s="1"/>
  <c r="B49" i="24"/>
  <c r="B50" i="24"/>
  <c r="B51" i="24"/>
  <c r="B52" i="24"/>
  <c r="B53" i="24"/>
  <c r="B54" i="24"/>
  <c r="B55" i="24"/>
  <c r="B56" i="24"/>
  <c r="B57" i="24"/>
  <c r="B58" i="24"/>
  <c r="B59" i="24"/>
  <c r="B60" i="24"/>
  <c r="C60" i="24" s="1"/>
  <c r="B61" i="24"/>
  <c r="B62" i="24"/>
  <c r="B63" i="24"/>
  <c r="B64" i="24"/>
  <c r="B65" i="24"/>
  <c r="B66" i="24"/>
  <c r="B67" i="24"/>
  <c r="B68" i="24"/>
  <c r="C68" i="24" s="1"/>
  <c r="B69" i="24"/>
  <c r="B70" i="24"/>
  <c r="B71" i="24"/>
  <c r="B72" i="24"/>
  <c r="B73" i="24"/>
  <c r="B74" i="24"/>
  <c r="B75" i="24"/>
  <c r="B76" i="24"/>
  <c r="C76" i="24" s="1"/>
  <c r="B77" i="24"/>
  <c r="B78" i="24"/>
  <c r="B79" i="24"/>
  <c r="B80" i="24"/>
  <c r="C80" i="24" s="1"/>
  <c r="B81" i="24"/>
  <c r="B82" i="24"/>
  <c r="B83" i="24"/>
  <c r="B84" i="24"/>
  <c r="B85" i="24"/>
  <c r="B86" i="24"/>
  <c r="B87" i="24"/>
  <c r="B88" i="24"/>
  <c r="C88" i="24" s="1"/>
  <c r="B89" i="24"/>
  <c r="B90" i="24"/>
  <c r="B91" i="24"/>
  <c r="B92" i="24"/>
  <c r="B93" i="24"/>
  <c r="B94" i="24"/>
  <c r="B95" i="24"/>
  <c r="B96" i="24"/>
  <c r="B97" i="24"/>
  <c r="B98" i="24"/>
  <c r="B99" i="24"/>
  <c r="B100" i="24"/>
  <c r="C100" i="24" s="1"/>
  <c r="B101" i="24"/>
  <c r="B102" i="24"/>
  <c r="B103" i="24"/>
  <c r="B104" i="24"/>
  <c r="C104" i="24" s="1"/>
  <c r="B105" i="24"/>
  <c r="B106" i="24"/>
  <c r="B107" i="24"/>
  <c r="B108" i="24"/>
  <c r="B109" i="24"/>
  <c r="B110" i="24"/>
  <c r="B111" i="24"/>
  <c r="B112" i="24"/>
  <c r="C112" i="24" s="1"/>
  <c r="B113" i="24"/>
  <c r="B114" i="24"/>
  <c r="B115" i="24"/>
  <c r="B116" i="24"/>
  <c r="B117" i="24"/>
  <c r="B118" i="24"/>
  <c r="B119" i="24"/>
  <c r="B120" i="24"/>
  <c r="B121" i="24"/>
  <c r="B122" i="24"/>
  <c r="B123" i="24"/>
  <c r="B24" i="24"/>
  <c r="D113" i="31"/>
  <c r="E113" i="31"/>
  <c r="F113" i="31"/>
  <c r="D114" i="31"/>
  <c r="E114" i="31"/>
  <c r="F114" i="31"/>
  <c r="D115" i="31"/>
  <c r="E115" i="31"/>
  <c r="F115" i="31"/>
  <c r="D116" i="31"/>
  <c r="E116" i="31"/>
  <c r="F116" i="31"/>
  <c r="D117" i="31"/>
  <c r="E117" i="31"/>
  <c r="F117" i="31"/>
  <c r="D118" i="31"/>
  <c r="E118" i="31"/>
  <c r="F118" i="31"/>
  <c r="D119" i="31"/>
  <c r="E119" i="31"/>
  <c r="F119" i="31"/>
  <c r="D120" i="31"/>
  <c r="E120" i="31"/>
  <c r="F120" i="31"/>
  <c r="D121" i="31"/>
  <c r="E121" i="31"/>
  <c r="F121" i="31"/>
  <c r="D122" i="31"/>
  <c r="E122" i="31"/>
  <c r="F122" i="31"/>
  <c r="D123" i="31"/>
  <c r="E123" i="31"/>
  <c r="F123" i="31"/>
  <c r="D124" i="31"/>
  <c r="E124" i="31"/>
  <c r="F124" i="31"/>
  <c r="D125" i="31"/>
  <c r="E125" i="31"/>
  <c r="F125" i="31"/>
  <c r="D126" i="31"/>
  <c r="E126" i="31"/>
  <c r="F126" i="31"/>
  <c r="D127" i="31"/>
  <c r="E127" i="31"/>
  <c r="F127" i="31"/>
  <c r="D128" i="31"/>
  <c r="E128" i="31"/>
  <c r="F128" i="31"/>
  <c r="D129" i="31"/>
  <c r="E129" i="31"/>
  <c r="F129" i="31"/>
  <c r="D130" i="31"/>
  <c r="E130" i="31"/>
  <c r="F130" i="31"/>
  <c r="D131" i="31"/>
  <c r="E131" i="31"/>
  <c r="F131" i="31"/>
  <c r="D132" i="31"/>
  <c r="E132" i="31"/>
  <c r="F132" i="31"/>
  <c r="D133" i="31"/>
  <c r="E133" i="31"/>
  <c r="F133" i="31"/>
  <c r="D134" i="31"/>
  <c r="E134" i="31"/>
  <c r="F134" i="31"/>
  <c r="D135" i="31"/>
  <c r="E135" i="31"/>
  <c r="F135" i="31"/>
  <c r="D136" i="31"/>
  <c r="E136" i="31"/>
  <c r="F136" i="31"/>
  <c r="D137" i="31"/>
  <c r="E137" i="31"/>
  <c r="F137" i="31"/>
  <c r="D138" i="31"/>
  <c r="E138" i="31"/>
  <c r="F138" i="31"/>
  <c r="D139" i="31"/>
  <c r="E139" i="31"/>
  <c r="F139" i="31"/>
  <c r="D140" i="31"/>
  <c r="E140" i="31"/>
  <c r="F140" i="31"/>
  <c r="D141" i="31"/>
  <c r="E141" i="31"/>
  <c r="F141" i="31"/>
  <c r="D142" i="31"/>
  <c r="E142" i="31"/>
  <c r="F142" i="31"/>
  <c r="D143" i="31"/>
  <c r="E143" i="31"/>
  <c r="F143" i="31"/>
  <c r="D144" i="31"/>
  <c r="E144" i="31"/>
  <c r="F144" i="31"/>
  <c r="D145" i="31"/>
  <c r="E145" i="31"/>
  <c r="F145" i="31"/>
  <c r="D146" i="31"/>
  <c r="E146" i="31"/>
  <c r="F146" i="31"/>
  <c r="D147" i="31"/>
  <c r="E147" i="31"/>
  <c r="F147" i="31"/>
  <c r="D148" i="31"/>
  <c r="E148" i="31"/>
  <c r="F148" i="31"/>
  <c r="D149" i="31"/>
  <c r="E149" i="31"/>
  <c r="F149" i="31"/>
  <c r="D150" i="31"/>
  <c r="E150" i="31"/>
  <c r="F150" i="31"/>
  <c r="D151" i="31"/>
  <c r="E151" i="31"/>
  <c r="F151" i="31"/>
  <c r="D152" i="31"/>
  <c r="E152" i="31"/>
  <c r="F152" i="31"/>
  <c r="D153" i="31"/>
  <c r="E153" i="31"/>
  <c r="F153" i="31"/>
  <c r="D154" i="31"/>
  <c r="E154" i="31"/>
  <c r="F154" i="31"/>
  <c r="D155" i="31"/>
  <c r="E155" i="31"/>
  <c r="F155" i="31"/>
  <c r="D156" i="31"/>
  <c r="E156" i="31"/>
  <c r="F156" i="31"/>
  <c r="D157" i="31"/>
  <c r="E157" i="31"/>
  <c r="F157" i="31"/>
  <c r="D158" i="31"/>
  <c r="E158" i="31"/>
  <c r="F158" i="31"/>
  <c r="D159" i="31"/>
  <c r="E159" i="31"/>
  <c r="F159" i="31"/>
  <c r="D160" i="31"/>
  <c r="E160" i="31"/>
  <c r="F160" i="31"/>
  <c r="D161" i="31"/>
  <c r="E161" i="31"/>
  <c r="F161" i="31"/>
  <c r="D162" i="31"/>
  <c r="E162" i="31"/>
  <c r="F162" i="31"/>
  <c r="D163" i="31"/>
  <c r="E163" i="31"/>
  <c r="F163" i="31"/>
  <c r="D164" i="31"/>
  <c r="E164" i="31"/>
  <c r="F164" i="31"/>
  <c r="D165" i="31"/>
  <c r="E165" i="31"/>
  <c r="F165" i="31"/>
  <c r="D166" i="31"/>
  <c r="E166" i="31"/>
  <c r="F166" i="31"/>
  <c r="D167" i="31"/>
  <c r="E167" i="31"/>
  <c r="F167" i="31"/>
  <c r="D168" i="31"/>
  <c r="E168" i="31"/>
  <c r="F168" i="31"/>
  <c r="D169" i="31"/>
  <c r="E169" i="31"/>
  <c r="F169" i="31"/>
  <c r="D170" i="31"/>
  <c r="E170" i="31"/>
  <c r="F170" i="31"/>
  <c r="D171" i="31"/>
  <c r="E171" i="31"/>
  <c r="F171" i="31"/>
  <c r="D172" i="31"/>
  <c r="E172" i="31"/>
  <c r="F172" i="31"/>
  <c r="D173" i="31"/>
  <c r="E173" i="31"/>
  <c r="F173" i="31"/>
  <c r="D174" i="31"/>
  <c r="E174" i="31"/>
  <c r="F174" i="31"/>
  <c r="D175" i="31"/>
  <c r="E175" i="31"/>
  <c r="F175" i="31"/>
  <c r="D176" i="31"/>
  <c r="E176" i="31"/>
  <c r="F176" i="31"/>
  <c r="D177" i="31"/>
  <c r="E177" i="31"/>
  <c r="F177" i="31"/>
  <c r="D178" i="31"/>
  <c r="E178" i="31"/>
  <c r="F178" i="31"/>
  <c r="D179" i="31"/>
  <c r="E179" i="31"/>
  <c r="F179" i="31"/>
  <c r="D180" i="31"/>
  <c r="E180" i="31"/>
  <c r="F180" i="31"/>
  <c r="D181" i="31"/>
  <c r="E181" i="31"/>
  <c r="F181" i="31"/>
  <c r="D182" i="31"/>
  <c r="E182" i="31"/>
  <c r="F182" i="31"/>
  <c r="D183" i="31"/>
  <c r="E183" i="31"/>
  <c r="F183" i="31"/>
  <c r="D184" i="31"/>
  <c r="E184" i="31"/>
  <c r="F184" i="31"/>
  <c r="D185" i="31"/>
  <c r="E185" i="31"/>
  <c r="F185" i="31"/>
  <c r="D186" i="31"/>
  <c r="E186" i="31"/>
  <c r="F186" i="31"/>
  <c r="D187" i="31"/>
  <c r="E187" i="31"/>
  <c r="F187" i="31"/>
  <c r="D188" i="31"/>
  <c r="E188" i="31"/>
  <c r="F188" i="31"/>
  <c r="D189" i="31"/>
  <c r="E189" i="31"/>
  <c r="F189" i="31"/>
  <c r="D190" i="31"/>
  <c r="E190" i="31"/>
  <c r="F190" i="31"/>
  <c r="D191" i="31"/>
  <c r="E191" i="31"/>
  <c r="F191" i="31"/>
  <c r="D192" i="31"/>
  <c r="E192" i="31"/>
  <c r="F192" i="31"/>
  <c r="D193" i="31"/>
  <c r="E193" i="31"/>
  <c r="F193" i="31"/>
  <c r="D194" i="31"/>
  <c r="E194" i="31"/>
  <c r="F194" i="31"/>
  <c r="D195" i="31"/>
  <c r="E195" i="31"/>
  <c r="F195" i="31"/>
  <c r="D196" i="31"/>
  <c r="E196" i="31"/>
  <c r="F196" i="31"/>
  <c r="D197" i="31"/>
  <c r="E197" i="31"/>
  <c r="F197" i="31"/>
  <c r="D198" i="31"/>
  <c r="E198" i="31"/>
  <c r="F198" i="31"/>
  <c r="D199" i="31"/>
  <c r="E199" i="31"/>
  <c r="F199" i="31"/>
  <c r="D200" i="31"/>
  <c r="E200" i="31"/>
  <c r="F200" i="31"/>
  <c r="D201" i="31"/>
  <c r="E201" i="31"/>
  <c r="F201" i="31"/>
  <c r="D202" i="31"/>
  <c r="E202" i="31"/>
  <c r="F202" i="31"/>
  <c r="D203" i="31"/>
  <c r="E203" i="31"/>
  <c r="F203" i="31"/>
  <c r="D204" i="31"/>
  <c r="E204" i="31"/>
  <c r="F204" i="31"/>
  <c r="D205" i="31"/>
  <c r="E205" i="31"/>
  <c r="F205" i="31"/>
  <c r="D206" i="31"/>
  <c r="E206" i="31"/>
  <c r="F206" i="31"/>
  <c r="D207" i="31"/>
  <c r="E207" i="31"/>
  <c r="F207" i="31"/>
  <c r="D208" i="31"/>
  <c r="E208" i="31"/>
  <c r="F208" i="31"/>
  <c r="D209" i="31"/>
  <c r="E209" i="31"/>
  <c r="F209" i="31"/>
  <c r="D210" i="31"/>
  <c r="E210" i="31"/>
  <c r="F210" i="31"/>
  <c r="D211" i="31"/>
  <c r="E211" i="31"/>
  <c r="F211" i="31"/>
  <c r="F112" i="31"/>
  <c r="E112" i="31"/>
  <c r="D112" i="31"/>
  <c r="C6" i="31"/>
  <c r="C7" i="31"/>
  <c r="C8" i="31"/>
  <c r="C9" i="31"/>
  <c r="C10" i="31"/>
  <c r="C11" i="31"/>
  <c r="C12" i="31"/>
  <c r="C13" i="31"/>
  <c r="C14" i="31"/>
  <c r="C15" i="31"/>
  <c r="C16" i="31"/>
  <c r="C17" i="31"/>
  <c r="C18" i="31"/>
  <c r="C19" i="31"/>
  <c r="C20" i="31"/>
  <c r="C21" i="31"/>
  <c r="C22" i="31"/>
  <c r="C23" i="31"/>
  <c r="C24" i="31"/>
  <c r="C25" i="31"/>
  <c r="C26" i="31"/>
  <c r="C27" i="31"/>
  <c r="C28" i="31"/>
  <c r="C29" i="31"/>
  <c r="C30" i="31"/>
  <c r="C31" i="31"/>
  <c r="C32" i="31"/>
  <c r="C33" i="31"/>
  <c r="C34" i="31"/>
  <c r="C35" i="31"/>
  <c r="C36" i="31"/>
  <c r="C37" i="31"/>
  <c r="C38" i="31"/>
  <c r="C39" i="31"/>
  <c r="C40" i="31"/>
  <c r="C41" i="31"/>
  <c r="C42" i="31"/>
  <c r="C43" i="31"/>
  <c r="C44" i="31"/>
  <c r="C45" i="31"/>
  <c r="C46" i="31"/>
  <c r="C47" i="31"/>
  <c r="C48" i="31"/>
  <c r="C49" i="31"/>
  <c r="C50" i="31"/>
  <c r="C51" i="31"/>
  <c r="C52" i="31"/>
  <c r="C53" i="31"/>
  <c r="C54" i="31"/>
  <c r="C55" i="31"/>
  <c r="C56" i="31"/>
  <c r="C57" i="31"/>
  <c r="C58" i="31"/>
  <c r="C59" i="31"/>
  <c r="C60" i="31"/>
  <c r="C61" i="31"/>
  <c r="C62" i="31"/>
  <c r="C63" i="31"/>
  <c r="C64" i="31"/>
  <c r="C65" i="31"/>
  <c r="C66" i="31"/>
  <c r="C67" i="31"/>
  <c r="C68" i="31"/>
  <c r="C69" i="31"/>
  <c r="C70" i="31"/>
  <c r="C71" i="31"/>
  <c r="C72" i="31"/>
  <c r="C73" i="31"/>
  <c r="C74" i="31"/>
  <c r="C75" i="31"/>
  <c r="C76" i="31"/>
  <c r="C77" i="31"/>
  <c r="C78" i="31"/>
  <c r="C79" i="31"/>
  <c r="C80" i="31"/>
  <c r="C81" i="31"/>
  <c r="C82" i="31"/>
  <c r="C83" i="31"/>
  <c r="C84" i="31"/>
  <c r="C85" i="31"/>
  <c r="C86" i="31"/>
  <c r="C87" i="31"/>
  <c r="C88" i="31"/>
  <c r="C89" i="31"/>
  <c r="C90" i="31"/>
  <c r="C91" i="31"/>
  <c r="C92" i="31"/>
  <c r="C93" i="31"/>
  <c r="C94" i="31"/>
  <c r="C95" i="31"/>
  <c r="C96" i="31"/>
  <c r="C97" i="31"/>
  <c r="C98" i="31"/>
  <c r="C99" i="31"/>
  <c r="C100" i="31"/>
  <c r="C101" i="31"/>
  <c r="C102" i="31"/>
  <c r="C103" i="31"/>
  <c r="C104" i="31"/>
  <c r="C5" i="31"/>
  <c r="DN34" i="6" l="1"/>
  <c r="DM33" i="6"/>
  <c r="D31" i="24"/>
  <c r="D116" i="24"/>
  <c r="D108" i="24"/>
  <c r="D100" i="24"/>
  <c r="D92" i="24"/>
  <c r="D84" i="24"/>
  <c r="D76" i="24"/>
  <c r="D68" i="24"/>
  <c r="D60" i="24"/>
  <c r="D56" i="24"/>
  <c r="D48" i="24"/>
  <c r="D32" i="24"/>
  <c r="D122" i="24"/>
  <c r="D118" i="24"/>
  <c r="D114" i="24"/>
  <c r="D110" i="24"/>
  <c r="D106" i="24"/>
  <c r="D102" i="24"/>
  <c r="D98" i="24"/>
  <c r="D94" i="24"/>
  <c r="D90" i="24"/>
  <c r="D86" i="24"/>
  <c r="D82" i="24"/>
  <c r="D78" i="24"/>
  <c r="D74" i="24"/>
  <c r="D70" i="24"/>
  <c r="D66" i="24"/>
  <c r="D62" i="24"/>
  <c r="D58" i="24"/>
  <c r="D54" i="24"/>
  <c r="D50" i="24"/>
  <c r="D46" i="24"/>
  <c r="D42" i="24"/>
  <c r="D38" i="24"/>
  <c r="D34" i="24"/>
  <c r="D30" i="24"/>
  <c r="D26" i="24"/>
  <c r="D24" i="24"/>
  <c r="D120" i="24"/>
  <c r="D112" i="24"/>
  <c r="D104" i="24"/>
  <c r="D96" i="24"/>
  <c r="D88" i="24"/>
  <c r="D80" i="24"/>
  <c r="D72" i="24"/>
  <c r="D64" i="24"/>
  <c r="D52" i="24"/>
  <c r="D44" i="24"/>
  <c r="D40" i="24"/>
  <c r="D36" i="24"/>
  <c r="D28" i="24"/>
  <c r="D123" i="24"/>
  <c r="D119" i="24"/>
  <c r="D115" i="24"/>
  <c r="D111" i="24"/>
  <c r="D107" i="24"/>
  <c r="D103" i="24"/>
  <c r="D99" i="24"/>
  <c r="D95" i="24"/>
  <c r="D91" i="24"/>
  <c r="D87" i="24"/>
  <c r="D83" i="24"/>
  <c r="D79" i="24"/>
  <c r="D75" i="24"/>
  <c r="D71" i="24"/>
  <c r="D67" i="24"/>
  <c r="D63" i="24"/>
  <c r="D59" i="24"/>
  <c r="D55" i="24"/>
  <c r="D51" i="24"/>
  <c r="D47" i="24"/>
  <c r="D43" i="24"/>
  <c r="D39" i="24"/>
  <c r="D35" i="24"/>
  <c r="D27" i="24"/>
  <c r="D121" i="24"/>
  <c r="D117" i="24"/>
  <c r="D113" i="24"/>
  <c r="D109" i="24"/>
  <c r="D105" i="24"/>
  <c r="D101" i="24"/>
  <c r="D97" i="24"/>
  <c r="D93" i="24"/>
  <c r="D89" i="24"/>
  <c r="D85" i="24"/>
  <c r="D81" i="24"/>
  <c r="D77" i="24"/>
  <c r="D73" i="24"/>
  <c r="D69" i="24"/>
  <c r="D65" i="24"/>
  <c r="D61" i="24"/>
  <c r="D57" i="24"/>
  <c r="D53" i="24"/>
  <c r="D49" i="24"/>
  <c r="D45" i="24"/>
  <c r="D41" i="24"/>
  <c r="D37" i="24"/>
  <c r="D33" i="24"/>
  <c r="D29" i="24"/>
  <c r="D25" i="24"/>
  <c r="C123" i="24"/>
  <c r="C119" i="24"/>
  <c r="C115" i="24"/>
  <c r="C111" i="24"/>
  <c r="C107" i="24"/>
  <c r="C103" i="24"/>
  <c r="C99" i="24"/>
  <c r="C95" i="24"/>
  <c r="C91" i="24"/>
  <c r="C87" i="24"/>
  <c r="C83" i="24"/>
  <c r="C79" i="24"/>
  <c r="C75" i="24"/>
  <c r="C71" i="24"/>
  <c r="C67" i="24"/>
  <c r="C63" i="24"/>
  <c r="C59" i="24"/>
  <c r="C55" i="24"/>
  <c r="C51" i="24"/>
  <c r="C47" i="24"/>
  <c r="C43" i="24"/>
  <c r="C39" i="24"/>
  <c r="C35" i="24"/>
  <c r="C31" i="24"/>
  <c r="C27" i="24"/>
  <c r="C24" i="24"/>
  <c r="C120" i="24"/>
  <c r="C116" i="24"/>
  <c r="C108" i="24"/>
  <c r="C92" i="24"/>
  <c r="C84" i="24"/>
  <c r="C64" i="24"/>
  <c r="C52" i="24"/>
  <c r="C44" i="24"/>
  <c r="C28" i="24"/>
  <c r="C122" i="24"/>
  <c r="C118" i="24"/>
  <c r="C114" i="24"/>
  <c r="C110" i="24"/>
  <c r="C106" i="24"/>
  <c r="C102" i="24"/>
  <c r="C98" i="24"/>
  <c r="C94" i="24"/>
  <c r="C90" i="24"/>
  <c r="C86" i="24"/>
  <c r="C82" i="24"/>
  <c r="C78" i="24"/>
  <c r="C74" i="24"/>
  <c r="C70" i="24"/>
  <c r="C66" i="24"/>
  <c r="C62" i="24"/>
  <c r="C58" i="24"/>
  <c r="C54" i="24"/>
  <c r="C50" i="24"/>
  <c r="C46" i="24"/>
  <c r="C42" i="24"/>
  <c r="C38" i="24"/>
  <c r="C34" i="24"/>
  <c r="C30" i="24"/>
  <c r="C26" i="24"/>
  <c r="C96" i="24"/>
  <c r="C72" i="24"/>
  <c r="C56" i="24"/>
  <c r="C121" i="24"/>
  <c r="C117" i="24"/>
  <c r="C113" i="24"/>
  <c r="C109" i="24"/>
  <c r="C105" i="24"/>
  <c r="C101" i="24"/>
  <c r="C97" i="24"/>
  <c r="C93" i="24"/>
  <c r="C89" i="24"/>
  <c r="C85" i="24"/>
  <c r="C81" i="24"/>
  <c r="C77" i="24"/>
  <c r="C73" i="24"/>
  <c r="C69" i="24"/>
  <c r="C65" i="24"/>
  <c r="C61" i="24"/>
  <c r="C57" i="24"/>
  <c r="C53" i="24"/>
  <c r="C49" i="24"/>
  <c r="C45" i="24"/>
  <c r="C41" i="24"/>
  <c r="C37" i="24"/>
  <c r="C33" i="24"/>
  <c r="C29" i="24"/>
  <c r="C25" i="24"/>
  <c r="C113" i="31"/>
  <c r="C114" i="31"/>
  <c r="C115" i="31"/>
  <c r="C116" i="31"/>
  <c r="C117" i="31"/>
  <c r="C118" i="31"/>
  <c r="C119" i="31"/>
  <c r="C120" i="31"/>
  <c r="C121" i="31"/>
  <c r="C122" i="31"/>
  <c r="C123" i="31"/>
  <c r="C124" i="31"/>
  <c r="C125" i="31"/>
  <c r="C126" i="31"/>
  <c r="C127" i="31"/>
  <c r="C128" i="31"/>
  <c r="C129" i="31"/>
  <c r="C130" i="31"/>
  <c r="C131" i="31"/>
  <c r="C132" i="31"/>
  <c r="C133" i="31"/>
  <c r="C134" i="31"/>
  <c r="C135" i="31"/>
  <c r="C136" i="31"/>
  <c r="C137" i="31"/>
  <c r="C138" i="31"/>
  <c r="C139" i="31"/>
  <c r="C140" i="31"/>
  <c r="C141" i="31"/>
  <c r="C142" i="31"/>
  <c r="C143" i="31"/>
  <c r="C144" i="31"/>
  <c r="C145" i="31"/>
  <c r="C146" i="31"/>
  <c r="C147" i="31"/>
  <c r="C148" i="31"/>
  <c r="C149" i="31"/>
  <c r="C150" i="31"/>
  <c r="C151" i="31"/>
  <c r="C152" i="31"/>
  <c r="C153" i="31"/>
  <c r="C154" i="31"/>
  <c r="C155" i="31"/>
  <c r="C156" i="31"/>
  <c r="C157" i="31"/>
  <c r="C158" i="31"/>
  <c r="C159" i="31"/>
  <c r="C160" i="31"/>
  <c r="C161" i="31"/>
  <c r="C162" i="31"/>
  <c r="C163" i="31"/>
  <c r="C164" i="31"/>
  <c r="C165" i="31"/>
  <c r="C166" i="31"/>
  <c r="C167" i="31"/>
  <c r="C168" i="31"/>
  <c r="C169" i="31"/>
  <c r="C170" i="31"/>
  <c r="C171" i="31"/>
  <c r="C172" i="31"/>
  <c r="C173" i="31"/>
  <c r="C174" i="31"/>
  <c r="C175" i="31"/>
  <c r="C176" i="31"/>
  <c r="C177" i="31"/>
  <c r="C178" i="31"/>
  <c r="C179" i="31"/>
  <c r="C180" i="31"/>
  <c r="C181" i="31"/>
  <c r="C182" i="31"/>
  <c r="C183" i="31"/>
  <c r="C184" i="31"/>
  <c r="C185" i="31"/>
  <c r="C186" i="31"/>
  <c r="C187" i="31"/>
  <c r="C188" i="31"/>
  <c r="C189" i="31"/>
  <c r="C190" i="31"/>
  <c r="C191" i="31"/>
  <c r="C192" i="31"/>
  <c r="C193" i="31"/>
  <c r="C194" i="31"/>
  <c r="C195" i="31"/>
  <c r="C196" i="31"/>
  <c r="C197" i="31"/>
  <c r="C198" i="31"/>
  <c r="C199" i="31"/>
  <c r="C200" i="31"/>
  <c r="C201" i="31"/>
  <c r="C202" i="31"/>
  <c r="C203" i="31"/>
  <c r="C204" i="31"/>
  <c r="C205" i="31"/>
  <c r="C206" i="31"/>
  <c r="C207" i="31"/>
  <c r="C208" i="31"/>
  <c r="C209" i="31"/>
  <c r="C210" i="31"/>
  <c r="C211" i="31"/>
  <c r="C112" i="31"/>
  <c r="B119" i="32"/>
  <c r="B120" i="32"/>
  <c r="B121" i="32"/>
  <c r="B122" i="32"/>
  <c r="B123" i="32"/>
  <c r="B124" i="32"/>
  <c r="B125" i="32"/>
  <c r="B126" i="32"/>
  <c r="B127" i="32"/>
  <c r="B128" i="32"/>
  <c r="B129" i="32"/>
  <c r="B130" i="32"/>
  <c r="B131" i="32"/>
  <c r="B132" i="32"/>
  <c r="B133" i="32"/>
  <c r="B134" i="32"/>
  <c r="B135" i="32"/>
  <c r="B136" i="32"/>
  <c r="B137" i="32"/>
  <c r="B138" i="32"/>
  <c r="B139" i="32"/>
  <c r="B140" i="32"/>
  <c r="B141" i="32"/>
  <c r="B142" i="32"/>
  <c r="B143" i="32"/>
  <c r="B144" i="32"/>
  <c r="B145" i="32"/>
  <c r="B146" i="32"/>
  <c r="B147" i="32"/>
  <c r="B148" i="32"/>
  <c r="B149" i="32"/>
  <c r="B150" i="32"/>
  <c r="B151" i="32"/>
  <c r="B152" i="32"/>
  <c r="B153" i="32"/>
  <c r="B154" i="32"/>
  <c r="B155" i="32"/>
  <c r="B156" i="32"/>
  <c r="B157" i="32"/>
  <c r="B158" i="32"/>
  <c r="B159" i="32"/>
  <c r="B160" i="32"/>
  <c r="B161" i="32"/>
  <c r="B162" i="32"/>
  <c r="B163" i="32"/>
  <c r="B164" i="32"/>
  <c r="B165" i="32"/>
  <c r="B166" i="32"/>
  <c r="B167" i="32"/>
  <c r="B168" i="32"/>
  <c r="B169" i="32"/>
  <c r="B170" i="32"/>
  <c r="B171" i="32"/>
  <c r="B172" i="32"/>
  <c r="B173" i="32"/>
  <c r="B174" i="32"/>
  <c r="B175" i="32"/>
  <c r="B176" i="32"/>
  <c r="B177" i="32"/>
  <c r="B178" i="32"/>
  <c r="B179" i="32"/>
  <c r="B180" i="32"/>
  <c r="B181" i="32"/>
  <c r="B182" i="32"/>
  <c r="B183" i="32"/>
  <c r="B184" i="32"/>
  <c r="B185" i="32"/>
  <c r="B186" i="32"/>
  <c r="B187" i="32"/>
  <c r="B188" i="32"/>
  <c r="B189" i="32"/>
  <c r="B190" i="32"/>
  <c r="B191" i="32"/>
  <c r="B192" i="32"/>
  <c r="B193" i="32"/>
  <c r="B194" i="32"/>
  <c r="B195" i="32"/>
  <c r="B196" i="32"/>
  <c r="B197" i="32"/>
  <c r="B198" i="32"/>
  <c r="B199" i="32"/>
  <c r="B200" i="32"/>
  <c r="B201" i="32"/>
  <c r="B202" i="32"/>
  <c r="B203" i="32"/>
  <c r="B204" i="32"/>
  <c r="B205" i="32"/>
  <c r="B206" i="32"/>
  <c r="B207" i="32"/>
  <c r="B208" i="32"/>
  <c r="B209" i="32"/>
  <c r="B210" i="32"/>
  <c r="B211" i="32"/>
  <c r="B212" i="32"/>
  <c r="B213" i="32"/>
  <c r="B214" i="32"/>
  <c r="B215" i="32"/>
  <c r="B216" i="32"/>
  <c r="B217" i="32"/>
  <c r="B118" i="32"/>
  <c r="G7" i="30"/>
  <c r="G8" i="30"/>
  <c r="G9" i="30"/>
  <c r="G10" i="30"/>
  <c r="G11" i="30"/>
  <c r="G12" i="30"/>
  <c r="G13" i="30"/>
  <c r="G14" i="30"/>
  <c r="G15" i="30"/>
  <c r="G16" i="30"/>
  <c r="G17" i="30"/>
  <c r="G18" i="30"/>
  <c r="G19" i="30"/>
  <c r="G20" i="30"/>
  <c r="G21" i="30"/>
  <c r="G22" i="30"/>
  <c r="G23" i="30"/>
  <c r="G24" i="30"/>
  <c r="G25" i="30"/>
  <c r="G26" i="30"/>
  <c r="G27" i="30"/>
  <c r="G28" i="30"/>
  <c r="G29" i="30"/>
  <c r="G30" i="30"/>
  <c r="G31" i="30"/>
  <c r="G32" i="30"/>
  <c r="G33" i="30"/>
  <c r="G34" i="30"/>
  <c r="G35" i="30"/>
  <c r="G36" i="30"/>
  <c r="G37" i="30"/>
  <c r="G38" i="30"/>
  <c r="G39" i="30"/>
  <c r="G40" i="30"/>
  <c r="G41" i="30"/>
  <c r="G42" i="30"/>
  <c r="G43" i="30"/>
  <c r="G44" i="30"/>
  <c r="G45" i="30"/>
  <c r="G46" i="30"/>
  <c r="G47" i="30"/>
  <c r="G48" i="30"/>
  <c r="G49" i="30"/>
  <c r="G50" i="30"/>
  <c r="G51" i="30"/>
  <c r="G52" i="30"/>
  <c r="G53" i="30"/>
  <c r="G54" i="30"/>
  <c r="G55" i="30"/>
  <c r="G56" i="30"/>
  <c r="G57" i="30"/>
  <c r="G58" i="30"/>
  <c r="G59" i="30"/>
  <c r="G60" i="30"/>
  <c r="G61" i="30"/>
  <c r="G62" i="30"/>
  <c r="G63" i="30"/>
  <c r="G64" i="30"/>
  <c r="G65" i="30"/>
  <c r="G66" i="30"/>
  <c r="G67" i="30"/>
  <c r="G68" i="30"/>
  <c r="G69" i="30"/>
  <c r="G70" i="30"/>
  <c r="G71" i="30"/>
  <c r="G72" i="30"/>
  <c r="G73" i="30"/>
  <c r="G74" i="30"/>
  <c r="G75" i="30"/>
  <c r="G76" i="30"/>
  <c r="G77" i="30"/>
  <c r="G78" i="30"/>
  <c r="G79" i="30"/>
  <c r="G80" i="30"/>
  <c r="G81" i="30"/>
  <c r="G82" i="30"/>
  <c r="G83" i="30"/>
  <c r="G84" i="30"/>
  <c r="G85" i="30"/>
  <c r="G86" i="30"/>
  <c r="G87" i="30"/>
  <c r="G88" i="30"/>
  <c r="G89" i="30"/>
  <c r="G90" i="30"/>
  <c r="G91" i="30"/>
  <c r="G92" i="30"/>
  <c r="G93" i="30"/>
  <c r="G94" i="30"/>
  <c r="G95" i="30"/>
  <c r="G96" i="30"/>
  <c r="G97" i="30"/>
  <c r="G98" i="30"/>
  <c r="G99" i="30"/>
  <c r="G100" i="30"/>
  <c r="G101" i="30"/>
  <c r="G102" i="30"/>
  <c r="G103" i="30"/>
  <c r="G104" i="30"/>
  <c r="G105" i="30"/>
  <c r="G6" i="30"/>
  <c r="DN35" i="6" l="1"/>
  <c r="DM34" i="6"/>
  <c r="AE4" i="2"/>
  <c r="AE5" i="2"/>
  <c r="AE6" i="2"/>
  <c r="AE7" i="2"/>
  <c r="AE8" i="2"/>
  <c r="AE9" i="2"/>
  <c r="AE10" i="2"/>
  <c r="AE11" i="2"/>
  <c r="AE12" i="2"/>
  <c r="AE13" i="2"/>
  <c r="AE14" i="2"/>
  <c r="AE15" i="2"/>
  <c r="AE16" i="2"/>
  <c r="AE17" i="2"/>
  <c r="AE18" i="2"/>
  <c r="AE19" i="2"/>
  <c r="AE20" i="2"/>
  <c r="AE21" i="2"/>
  <c r="AE22" i="2"/>
  <c r="AE23" i="2"/>
  <c r="AE24" i="2"/>
  <c r="AE25" i="2"/>
  <c r="AE26" i="2"/>
  <c r="AE27" i="2"/>
  <c r="AE28" i="2"/>
  <c r="AE29" i="2"/>
  <c r="AE30" i="2"/>
  <c r="AE31" i="2"/>
  <c r="AE32" i="2"/>
  <c r="AE33" i="2"/>
  <c r="AE34" i="2"/>
  <c r="AE35" i="2"/>
  <c r="AE36" i="2"/>
  <c r="AE37" i="2"/>
  <c r="AE38" i="2"/>
  <c r="AE39" i="2"/>
  <c r="AE40" i="2"/>
  <c r="AE41" i="2"/>
  <c r="AE42" i="2"/>
  <c r="AE43" i="2"/>
  <c r="AE44" i="2"/>
  <c r="AE45" i="2"/>
  <c r="AE46" i="2"/>
  <c r="AE47" i="2"/>
  <c r="AE48" i="2"/>
  <c r="AE49" i="2"/>
  <c r="AE50" i="2"/>
  <c r="AE51" i="2"/>
  <c r="AE52" i="2"/>
  <c r="AE53" i="2"/>
  <c r="AE54" i="2"/>
  <c r="AE55" i="2"/>
  <c r="AE56" i="2"/>
  <c r="AE57" i="2"/>
  <c r="AE58" i="2"/>
  <c r="AE59" i="2"/>
  <c r="AE60" i="2"/>
  <c r="AE61" i="2"/>
  <c r="AE62" i="2"/>
  <c r="AE63" i="2"/>
  <c r="AE64" i="2"/>
  <c r="AE65" i="2"/>
  <c r="AE66" i="2"/>
  <c r="AE67" i="2"/>
  <c r="AE68" i="2"/>
  <c r="AE69" i="2"/>
  <c r="AE70" i="2"/>
  <c r="AE71" i="2"/>
  <c r="AE72" i="2"/>
  <c r="AE73" i="2"/>
  <c r="AE74" i="2"/>
  <c r="AE75" i="2"/>
  <c r="AE76" i="2"/>
  <c r="AE77" i="2"/>
  <c r="AE78" i="2"/>
  <c r="AE79" i="2"/>
  <c r="AE80" i="2"/>
  <c r="AE81" i="2"/>
  <c r="AE82" i="2"/>
  <c r="AE83" i="2"/>
  <c r="AE84" i="2"/>
  <c r="AE85" i="2"/>
  <c r="AE86" i="2"/>
  <c r="AE87" i="2"/>
  <c r="AE88" i="2"/>
  <c r="AE89" i="2"/>
  <c r="AE90" i="2"/>
  <c r="AE91" i="2"/>
  <c r="AE92" i="2"/>
  <c r="AE93" i="2"/>
  <c r="AE94" i="2"/>
  <c r="AE95" i="2"/>
  <c r="AE96" i="2"/>
  <c r="AE97" i="2"/>
  <c r="AE98" i="2"/>
  <c r="AE99" i="2"/>
  <c r="AE100" i="2"/>
  <c r="AE101" i="2"/>
  <c r="AE102" i="2"/>
  <c r="AE103" i="2"/>
  <c r="AE104" i="2"/>
  <c r="AE3" i="2"/>
  <c r="F104" i="31"/>
  <c r="E104" i="31"/>
  <c r="D104" i="31"/>
  <c r="F103" i="31"/>
  <c r="E103" i="31"/>
  <c r="D103" i="31"/>
  <c r="F102" i="31"/>
  <c r="E102" i="31"/>
  <c r="D102" i="31"/>
  <c r="F101" i="31"/>
  <c r="E101" i="31"/>
  <c r="D101" i="31"/>
  <c r="F100" i="31"/>
  <c r="E100" i="31"/>
  <c r="D100" i="31"/>
  <c r="F99" i="31"/>
  <c r="E99" i="31"/>
  <c r="D99" i="31"/>
  <c r="F98" i="31"/>
  <c r="E98" i="31"/>
  <c r="D98" i="31"/>
  <c r="F97" i="31"/>
  <c r="E97" i="31"/>
  <c r="D97" i="31"/>
  <c r="F96" i="31"/>
  <c r="E96" i="31"/>
  <c r="D96" i="31"/>
  <c r="F95" i="31"/>
  <c r="E95" i="31"/>
  <c r="D95" i="31"/>
  <c r="F94" i="31"/>
  <c r="E94" i="31"/>
  <c r="D94" i="31"/>
  <c r="F93" i="31"/>
  <c r="E93" i="31"/>
  <c r="D93" i="31"/>
  <c r="F92" i="31"/>
  <c r="E92" i="31"/>
  <c r="D92" i="31"/>
  <c r="F91" i="31"/>
  <c r="E91" i="31"/>
  <c r="D91" i="31"/>
  <c r="F90" i="31"/>
  <c r="E90" i="31"/>
  <c r="D90" i="31"/>
  <c r="F89" i="31"/>
  <c r="E89" i="31"/>
  <c r="D89" i="31"/>
  <c r="F88" i="31"/>
  <c r="E88" i="31"/>
  <c r="D88" i="31"/>
  <c r="F87" i="31"/>
  <c r="E87" i="31"/>
  <c r="D87" i="31"/>
  <c r="F86" i="31"/>
  <c r="E86" i="31"/>
  <c r="D86" i="31"/>
  <c r="F85" i="31"/>
  <c r="E85" i="31"/>
  <c r="D85" i="31"/>
  <c r="F84" i="31"/>
  <c r="E84" i="31"/>
  <c r="D84" i="31"/>
  <c r="F83" i="31"/>
  <c r="E83" i="31"/>
  <c r="D83" i="31"/>
  <c r="F82" i="31"/>
  <c r="E82" i="31"/>
  <c r="D82" i="31"/>
  <c r="F81" i="31"/>
  <c r="E81" i="31"/>
  <c r="D81" i="31"/>
  <c r="F80" i="31"/>
  <c r="E80" i="31"/>
  <c r="D80" i="31"/>
  <c r="F79" i="31"/>
  <c r="E79" i="31"/>
  <c r="D79" i="31"/>
  <c r="F78" i="31"/>
  <c r="E78" i="31"/>
  <c r="D78" i="31"/>
  <c r="F77" i="31"/>
  <c r="E77" i="31"/>
  <c r="D77" i="31"/>
  <c r="F76" i="31"/>
  <c r="E76" i="31"/>
  <c r="D76" i="31"/>
  <c r="F75" i="31"/>
  <c r="E75" i="31"/>
  <c r="D75" i="31"/>
  <c r="F74" i="31"/>
  <c r="E74" i="31"/>
  <c r="D74" i="31"/>
  <c r="F73" i="31"/>
  <c r="E73" i="31"/>
  <c r="D73" i="31"/>
  <c r="F72" i="31"/>
  <c r="E72" i="31"/>
  <c r="D72" i="31"/>
  <c r="F71" i="31"/>
  <c r="E71" i="31"/>
  <c r="D71" i="31"/>
  <c r="F70" i="31"/>
  <c r="E70" i="31"/>
  <c r="D70" i="31"/>
  <c r="F69" i="31"/>
  <c r="E69" i="31"/>
  <c r="D69" i="31"/>
  <c r="F68" i="31"/>
  <c r="E68" i="31"/>
  <c r="D68" i="31"/>
  <c r="F67" i="31"/>
  <c r="E67" i="31"/>
  <c r="D67" i="31"/>
  <c r="F66" i="31"/>
  <c r="E66" i="31"/>
  <c r="D66" i="31"/>
  <c r="F65" i="31"/>
  <c r="E65" i="31"/>
  <c r="D65" i="31"/>
  <c r="F64" i="31"/>
  <c r="E64" i="31"/>
  <c r="D64" i="31"/>
  <c r="F63" i="31"/>
  <c r="E63" i="31"/>
  <c r="D63" i="31"/>
  <c r="F62" i="31"/>
  <c r="E62" i="31"/>
  <c r="D62" i="31"/>
  <c r="F61" i="31"/>
  <c r="E61" i="31"/>
  <c r="D61" i="31"/>
  <c r="F60" i="31"/>
  <c r="E60" i="31"/>
  <c r="D60" i="31"/>
  <c r="F59" i="31"/>
  <c r="E59" i="31"/>
  <c r="D59" i="31"/>
  <c r="F58" i="31"/>
  <c r="E58" i="31"/>
  <c r="D58" i="31"/>
  <c r="F57" i="31"/>
  <c r="E57" i="31"/>
  <c r="D57" i="31"/>
  <c r="F56" i="31"/>
  <c r="E56" i="31"/>
  <c r="D56" i="31"/>
  <c r="F55" i="31"/>
  <c r="E55" i="31"/>
  <c r="D55" i="31"/>
  <c r="F54" i="31"/>
  <c r="E54" i="31"/>
  <c r="D54" i="31"/>
  <c r="F53" i="31"/>
  <c r="E53" i="31"/>
  <c r="D53" i="31"/>
  <c r="F52" i="31"/>
  <c r="E52" i="31"/>
  <c r="D52" i="31"/>
  <c r="F51" i="31"/>
  <c r="E51" i="31"/>
  <c r="D51" i="31"/>
  <c r="F50" i="31"/>
  <c r="E50" i="31"/>
  <c r="D50" i="31"/>
  <c r="F49" i="31"/>
  <c r="E49" i="31"/>
  <c r="D49" i="31"/>
  <c r="F48" i="31"/>
  <c r="E48" i="31"/>
  <c r="D48" i="31"/>
  <c r="F47" i="31"/>
  <c r="E47" i="31"/>
  <c r="D47" i="31"/>
  <c r="F46" i="31"/>
  <c r="E46" i="31"/>
  <c r="D46" i="31"/>
  <c r="F45" i="31"/>
  <c r="E45" i="31"/>
  <c r="D45" i="31"/>
  <c r="F44" i="31"/>
  <c r="E44" i="31"/>
  <c r="D44" i="31"/>
  <c r="F43" i="31"/>
  <c r="E43" i="31"/>
  <c r="D43" i="31"/>
  <c r="F42" i="31"/>
  <c r="E42" i="31"/>
  <c r="D42" i="31"/>
  <c r="F41" i="31"/>
  <c r="E41" i="31"/>
  <c r="D41" i="31"/>
  <c r="F40" i="31"/>
  <c r="E40" i="31"/>
  <c r="D40" i="31"/>
  <c r="F39" i="31"/>
  <c r="E39" i="31"/>
  <c r="D39" i="31"/>
  <c r="F38" i="31"/>
  <c r="E38" i="31"/>
  <c r="D38" i="31"/>
  <c r="F37" i="31"/>
  <c r="E37" i="31"/>
  <c r="D37" i="31"/>
  <c r="F36" i="31"/>
  <c r="E36" i="31"/>
  <c r="D36" i="31"/>
  <c r="F35" i="31"/>
  <c r="E35" i="31"/>
  <c r="D35" i="31"/>
  <c r="F34" i="31"/>
  <c r="E34" i="31"/>
  <c r="D34" i="31"/>
  <c r="F33" i="31"/>
  <c r="E33" i="31"/>
  <c r="D33" i="31"/>
  <c r="F32" i="31"/>
  <c r="E32" i="31"/>
  <c r="D32" i="31"/>
  <c r="F31" i="31"/>
  <c r="E31" i="31"/>
  <c r="D31" i="31"/>
  <c r="F30" i="31"/>
  <c r="E30" i="31"/>
  <c r="D30" i="31"/>
  <c r="F29" i="31"/>
  <c r="E29" i="31"/>
  <c r="D29" i="31"/>
  <c r="F28" i="31"/>
  <c r="E28" i="31"/>
  <c r="D28" i="31"/>
  <c r="F27" i="31"/>
  <c r="E27" i="31"/>
  <c r="D27" i="31"/>
  <c r="F26" i="31"/>
  <c r="E26" i="31"/>
  <c r="D26" i="31"/>
  <c r="F25" i="31"/>
  <c r="E25" i="31"/>
  <c r="D25" i="31"/>
  <c r="F24" i="31"/>
  <c r="E24" i="31"/>
  <c r="D24" i="31"/>
  <c r="F23" i="31"/>
  <c r="E23" i="31"/>
  <c r="D23" i="31"/>
  <c r="F22" i="31"/>
  <c r="E22" i="31"/>
  <c r="D22" i="31"/>
  <c r="F21" i="31"/>
  <c r="E21" i="31"/>
  <c r="D21" i="31"/>
  <c r="F20" i="31"/>
  <c r="E20" i="31"/>
  <c r="D20" i="31"/>
  <c r="F19" i="31"/>
  <c r="E19" i="31"/>
  <c r="D19" i="31"/>
  <c r="F18" i="31"/>
  <c r="E18" i="31"/>
  <c r="D18" i="31"/>
  <c r="F17" i="31"/>
  <c r="E17" i="31"/>
  <c r="D17" i="31"/>
  <c r="F16" i="31"/>
  <c r="E16" i="31"/>
  <c r="D16" i="31"/>
  <c r="F15" i="31"/>
  <c r="E15" i="31"/>
  <c r="D15" i="31"/>
  <c r="F14" i="31"/>
  <c r="E14" i="31"/>
  <c r="D14" i="31"/>
  <c r="F13" i="31"/>
  <c r="E13" i="31"/>
  <c r="D13" i="31"/>
  <c r="F12" i="31"/>
  <c r="E12" i="31"/>
  <c r="D12" i="31"/>
  <c r="F11" i="31"/>
  <c r="E11" i="31"/>
  <c r="D11" i="31"/>
  <c r="F10" i="31"/>
  <c r="E10" i="31"/>
  <c r="D10" i="31"/>
  <c r="F9" i="31"/>
  <c r="E9" i="31"/>
  <c r="D9" i="31"/>
  <c r="F8" i="31"/>
  <c r="E8" i="31"/>
  <c r="D8" i="31"/>
  <c r="F7" i="31"/>
  <c r="E7" i="31"/>
  <c r="D7" i="31"/>
  <c r="F6" i="31"/>
  <c r="E6" i="31"/>
  <c r="D6" i="31"/>
  <c r="F5" i="31"/>
  <c r="E5" i="31"/>
  <c r="D5" i="31"/>
  <c r="DN36" i="6" l="1"/>
  <c r="DM35" i="6"/>
  <c r="B111" i="32"/>
  <c r="B110" i="32"/>
  <c r="B109" i="32"/>
  <c r="B108" i="32"/>
  <c r="B107" i="32"/>
  <c r="B106" i="32"/>
  <c r="B105" i="32"/>
  <c r="B104" i="32"/>
  <c r="B103" i="32"/>
  <c r="B102" i="32"/>
  <c r="B101" i="32"/>
  <c r="B100" i="32"/>
  <c r="B99" i="32"/>
  <c r="B98" i="32"/>
  <c r="B97" i="32"/>
  <c r="B96" i="32"/>
  <c r="B95" i="32"/>
  <c r="B94" i="32"/>
  <c r="B93" i="32"/>
  <c r="B92" i="32"/>
  <c r="B91" i="32"/>
  <c r="B90" i="32"/>
  <c r="B89" i="32"/>
  <c r="B88" i="32"/>
  <c r="B87" i="32"/>
  <c r="B86" i="32"/>
  <c r="B85" i="32"/>
  <c r="B84" i="32"/>
  <c r="B83" i="32"/>
  <c r="B82" i="32"/>
  <c r="B81" i="32"/>
  <c r="B80" i="32"/>
  <c r="B79" i="32"/>
  <c r="B78" i="32"/>
  <c r="B77" i="32"/>
  <c r="B76" i="32"/>
  <c r="B75" i="32"/>
  <c r="B74" i="32"/>
  <c r="B73" i="32"/>
  <c r="B72" i="32"/>
  <c r="B71" i="32"/>
  <c r="B70" i="32"/>
  <c r="B69" i="32"/>
  <c r="B68" i="32"/>
  <c r="B67" i="32"/>
  <c r="B66" i="32"/>
  <c r="B65" i="32"/>
  <c r="B64" i="32"/>
  <c r="B63" i="32"/>
  <c r="B62" i="32"/>
  <c r="B61" i="32"/>
  <c r="B60" i="32"/>
  <c r="B59" i="32"/>
  <c r="B58" i="32"/>
  <c r="B57" i="32"/>
  <c r="B56" i="32"/>
  <c r="B55" i="32"/>
  <c r="B54" i="32"/>
  <c r="B53" i="32"/>
  <c r="B52" i="32"/>
  <c r="B51" i="32"/>
  <c r="B50" i="32"/>
  <c r="B49" i="32"/>
  <c r="B48" i="32"/>
  <c r="B47" i="32"/>
  <c r="B46" i="32"/>
  <c r="B45" i="32"/>
  <c r="B44" i="32"/>
  <c r="B43" i="32"/>
  <c r="B42" i="32"/>
  <c r="B41" i="32"/>
  <c r="B40" i="32"/>
  <c r="B39" i="32"/>
  <c r="B38" i="32"/>
  <c r="B37" i="32"/>
  <c r="B36" i="32"/>
  <c r="B35" i="32"/>
  <c r="B34" i="32"/>
  <c r="B33" i="32"/>
  <c r="B32" i="32"/>
  <c r="B31" i="32"/>
  <c r="B30" i="32"/>
  <c r="B29" i="32"/>
  <c r="B28" i="32"/>
  <c r="B27" i="32"/>
  <c r="B26" i="32"/>
  <c r="B25" i="32"/>
  <c r="B24" i="32"/>
  <c r="B23" i="32"/>
  <c r="B22" i="32"/>
  <c r="B21" i="32"/>
  <c r="B20" i="32"/>
  <c r="B19" i="32"/>
  <c r="B18" i="32"/>
  <c r="B17" i="32"/>
  <c r="B16" i="32"/>
  <c r="B15" i="32"/>
  <c r="B14" i="32"/>
  <c r="B13" i="32"/>
  <c r="B12" i="32"/>
  <c r="DN37" i="6" l="1"/>
  <c r="DM36" i="6"/>
  <c r="T103" i="30"/>
  <c r="T104" i="30"/>
  <c r="T105" i="30"/>
  <c r="T64" i="30"/>
  <c r="T65" i="30"/>
  <c r="T66" i="30"/>
  <c r="T67" i="30"/>
  <c r="T68" i="30"/>
  <c r="T69" i="30"/>
  <c r="T70" i="30"/>
  <c r="T71" i="30"/>
  <c r="T72" i="30"/>
  <c r="T73" i="30"/>
  <c r="T74" i="30"/>
  <c r="T75" i="30"/>
  <c r="T76" i="30"/>
  <c r="T77" i="30"/>
  <c r="T78" i="30"/>
  <c r="T79" i="30"/>
  <c r="T80" i="30"/>
  <c r="T81" i="30"/>
  <c r="T82" i="30"/>
  <c r="T83" i="30"/>
  <c r="T84" i="30"/>
  <c r="T85" i="30"/>
  <c r="T86" i="30"/>
  <c r="T87" i="30"/>
  <c r="T88" i="30"/>
  <c r="T89" i="30"/>
  <c r="T90" i="30"/>
  <c r="T91" i="30"/>
  <c r="T92" i="30"/>
  <c r="T93" i="30"/>
  <c r="T94" i="30"/>
  <c r="T95" i="30"/>
  <c r="T96" i="30"/>
  <c r="T97" i="30"/>
  <c r="T98" i="30"/>
  <c r="T99" i="30"/>
  <c r="T100" i="30"/>
  <c r="T101" i="30"/>
  <c r="T102" i="30"/>
  <c r="T7" i="30"/>
  <c r="T8" i="30"/>
  <c r="T9" i="30"/>
  <c r="T10" i="30"/>
  <c r="T11" i="30"/>
  <c r="T12" i="30"/>
  <c r="T13" i="30"/>
  <c r="T14" i="30"/>
  <c r="T15" i="30"/>
  <c r="T16" i="30"/>
  <c r="T17" i="30"/>
  <c r="T18" i="30"/>
  <c r="T19" i="30"/>
  <c r="T20" i="30"/>
  <c r="T21" i="30"/>
  <c r="T22" i="30"/>
  <c r="T23" i="30"/>
  <c r="T24" i="30"/>
  <c r="T25" i="30"/>
  <c r="T26" i="30"/>
  <c r="T27" i="30"/>
  <c r="T28" i="30"/>
  <c r="T29" i="30"/>
  <c r="T30" i="30"/>
  <c r="T31" i="30"/>
  <c r="T32" i="30"/>
  <c r="T33" i="30"/>
  <c r="T34" i="30"/>
  <c r="T35" i="30"/>
  <c r="T36" i="30"/>
  <c r="T37" i="30"/>
  <c r="T38" i="30"/>
  <c r="T39" i="30"/>
  <c r="T40" i="30"/>
  <c r="T41" i="30"/>
  <c r="T42" i="30"/>
  <c r="T43" i="30"/>
  <c r="T44" i="30"/>
  <c r="T45" i="30"/>
  <c r="T46" i="30"/>
  <c r="T47" i="30"/>
  <c r="T48" i="30"/>
  <c r="T49" i="30"/>
  <c r="T50" i="30"/>
  <c r="T51" i="30"/>
  <c r="T52" i="30"/>
  <c r="T53" i="30"/>
  <c r="T54" i="30"/>
  <c r="T55" i="30"/>
  <c r="T56" i="30"/>
  <c r="T57" i="30"/>
  <c r="T58" i="30"/>
  <c r="T59" i="30"/>
  <c r="T60" i="30"/>
  <c r="T61" i="30"/>
  <c r="T62" i="30"/>
  <c r="T63" i="30"/>
  <c r="T6" i="30"/>
  <c r="DN38" i="6" l="1"/>
  <c r="DM37" i="6"/>
  <c r="BK3" i="31"/>
  <c r="E6" i="30"/>
  <c r="D6" i="30"/>
  <c r="B7" i="30"/>
  <c r="A7" i="30" s="1"/>
  <c r="DN39" i="6" l="1"/>
  <c r="DM38" i="6"/>
  <c r="F7" i="30"/>
  <c r="BL3" i="31" s="1"/>
  <c r="BL110" i="31" s="1"/>
  <c r="BK110" i="31"/>
  <c r="D7" i="30"/>
  <c r="E7" i="30"/>
  <c r="B8" i="30"/>
  <c r="A13" i="22"/>
  <c r="A14" i="22"/>
  <c r="A15" i="22"/>
  <c r="A16" i="22"/>
  <c r="A17" i="22"/>
  <c r="A18" i="22"/>
  <c r="A19" i="22"/>
  <c r="A20" i="22"/>
  <c r="A21" i="22"/>
  <c r="A22" i="22"/>
  <c r="A23" i="22"/>
  <c r="A24" i="22"/>
  <c r="A25" i="22"/>
  <c r="A26" i="22"/>
  <c r="A27" i="22"/>
  <c r="A28" i="22"/>
  <c r="A29" i="22"/>
  <c r="A30" i="22"/>
  <c r="A31" i="22"/>
  <c r="A32" i="22"/>
  <c r="A33" i="22"/>
  <c r="A34" i="22"/>
  <c r="A35" i="22"/>
  <c r="A36" i="22"/>
  <c r="A37" i="22"/>
  <c r="A38" i="22"/>
  <c r="A39" i="22"/>
  <c r="A40" i="22"/>
  <c r="A41" i="22"/>
  <c r="A42" i="22"/>
  <c r="A43" i="22"/>
  <c r="A44" i="22"/>
  <c r="A45" i="22"/>
  <c r="A46" i="22"/>
  <c r="A47" i="22"/>
  <c r="A48" i="22"/>
  <c r="A49" i="22"/>
  <c r="A50" i="22"/>
  <c r="A51" i="22"/>
  <c r="A52" i="22"/>
  <c r="A53" i="22"/>
  <c r="A54" i="22"/>
  <c r="A55" i="22"/>
  <c r="A56" i="22"/>
  <c r="A57" i="22"/>
  <c r="A58" i="22"/>
  <c r="A59" i="22"/>
  <c r="A60" i="22"/>
  <c r="A61" i="22"/>
  <c r="A62" i="22"/>
  <c r="A63" i="22"/>
  <c r="A64" i="22"/>
  <c r="A65" i="22"/>
  <c r="A66" i="22"/>
  <c r="A67" i="22"/>
  <c r="A68" i="22"/>
  <c r="A69" i="22"/>
  <c r="A70" i="22"/>
  <c r="A71" i="22"/>
  <c r="A72" i="22"/>
  <c r="A73" i="22"/>
  <c r="A74" i="22"/>
  <c r="A75" i="22"/>
  <c r="A76" i="22"/>
  <c r="A77" i="22"/>
  <c r="A78" i="22"/>
  <c r="A79" i="22"/>
  <c r="A80" i="22"/>
  <c r="A81" i="22"/>
  <c r="A82" i="22"/>
  <c r="A83" i="22"/>
  <c r="A84" i="22"/>
  <c r="A85" i="22"/>
  <c r="A86" i="22"/>
  <c r="A87" i="22"/>
  <c r="A88" i="22"/>
  <c r="A89" i="22"/>
  <c r="A90" i="22"/>
  <c r="A91" i="22"/>
  <c r="A92" i="22"/>
  <c r="A93" i="22"/>
  <c r="A94" i="22"/>
  <c r="A95" i="22"/>
  <c r="A96" i="22"/>
  <c r="A97" i="22"/>
  <c r="A98" i="22"/>
  <c r="A99" i="22"/>
  <c r="A100" i="22"/>
  <c r="A101" i="22"/>
  <c r="A102" i="22"/>
  <c r="A103" i="22"/>
  <c r="A104" i="22"/>
  <c r="A105" i="22"/>
  <c r="A106" i="22"/>
  <c r="A107" i="22"/>
  <c r="A108" i="22"/>
  <c r="A109" i="22"/>
  <c r="A110" i="22"/>
  <c r="A111" i="22"/>
  <c r="A12" i="22"/>
  <c r="DN40" i="6" l="1"/>
  <c r="DM39" i="6"/>
  <c r="F8" i="30"/>
  <c r="BM3" i="31" s="1"/>
  <c r="BM110" i="31" s="1"/>
  <c r="A8" i="30"/>
  <c r="D8" i="30"/>
  <c r="E8" i="30"/>
  <c r="B9" i="30"/>
  <c r="A9" i="30" s="1"/>
  <c r="A11" i="22"/>
  <c r="G65" i="26"/>
  <c r="R12" i="17"/>
  <c r="A15" i="17"/>
  <c r="H13" i="39" s="1"/>
  <c r="DN41" i="6" l="1"/>
  <c r="DM40" i="6"/>
  <c r="BA22" i="31"/>
  <c r="AJ22" i="31"/>
  <c r="AA22" i="31"/>
  <c r="Q22" i="31"/>
  <c r="AN22" i="31"/>
  <c r="N22" i="31"/>
  <c r="Z22" i="31"/>
  <c r="T86" i="31"/>
  <c r="K86" i="31"/>
  <c r="BE86" i="31"/>
  <c r="AU86" i="31"/>
  <c r="AV86" i="31"/>
  <c r="AL86" i="31"/>
  <c r="BE25" i="31"/>
  <c r="AV25" i="31"/>
  <c r="AM25" i="31"/>
  <c r="U25" i="31"/>
  <c r="K25" i="31"/>
  <c r="AB25" i="31"/>
  <c r="T25" i="31"/>
  <c r="Y49" i="31"/>
  <c r="P49" i="31"/>
  <c r="BB49" i="31"/>
  <c r="AK49" i="31"/>
  <c r="T49" i="31"/>
  <c r="J49" i="31"/>
  <c r="BE11" i="31"/>
  <c r="AV11" i="31"/>
  <c r="AM11" i="31"/>
  <c r="U11" i="31"/>
  <c r="K11" i="31"/>
  <c r="AD11" i="31"/>
  <c r="AR11" i="31"/>
  <c r="Y19" i="31"/>
  <c r="P19" i="31"/>
  <c r="BA19" i="31"/>
  <c r="AQ19" i="31"/>
  <c r="V19" i="31"/>
  <c r="N19" i="31"/>
  <c r="BE27" i="31"/>
  <c r="AV27" i="31"/>
  <c r="AM27" i="31"/>
  <c r="U27" i="31"/>
  <c r="K27" i="31"/>
  <c r="AZ27" i="31"/>
  <c r="AR27" i="31"/>
  <c r="Y35" i="31"/>
  <c r="P35" i="31"/>
  <c r="BA35" i="31"/>
  <c r="AX35" i="31"/>
  <c r="AI35" i="31"/>
  <c r="AA35" i="31"/>
  <c r="BE43" i="31"/>
  <c r="AV43" i="31"/>
  <c r="AM43" i="31"/>
  <c r="V43" i="31"/>
  <c r="AZ43" i="31"/>
  <c r="AP43" i="31"/>
  <c r="AQ43" i="31"/>
  <c r="Y51" i="31"/>
  <c r="AS22" i="31"/>
  <c r="AB22" i="31"/>
  <c r="S22" i="31"/>
  <c r="I22" i="31"/>
  <c r="R22" i="31"/>
  <c r="BB22" i="31"/>
  <c r="AP22" i="31"/>
  <c r="L86" i="31"/>
  <c r="BF86" i="31"/>
  <c r="AW86" i="31"/>
  <c r="AM86" i="31"/>
  <c r="AC86" i="31"/>
  <c r="AK86" i="31"/>
  <c r="AW25" i="31"/>
  <c r="AN25" i="31"/>
  <c r="AE25" i="31"/>
  <c r="M25" i="31"/>
  <c r="BB25" i="31"/>
  <c r="AL25" i="31"/>
  <c r="BF25" i="31"/>
  <c r="Q49" i="31"/>
  <c r="H49" i="31"/>
  <c r="AT49" i="31"/>
  <c r="AC49" i="31"/>
  <c r="L49" i="31"/>
  <c r="S49" i="31"/>
  <c r="AW11" i="31"/>
  <c r="AN11" i="31"/>
  <c r="AE11" i="31"/>
  <c r="M11" i="31"/>
  <c r="BF11" i="31"/>
  <c r="J11" i="31"/>
  <c r="V11" i="31"/>
  <c r="Q19" i="31"/>
  <c r="H19" i="31"/>
  <c r="AS19" i="31"/>
  <c r="AI19" i="31"/>
  <c r="AZ19" i="31"/>
  <c r="BB19" i="31"/>
  <c r="AW27" i="31"/>
  <c r="AN27" i="31"/>
  <c r="AE27" i="31"/>
  <c r="M27" i="31"/>
  <c r="BF27" i="31"/>
  <c r="AD27" i="31"/>
  <c r="V27" i="31"/>
  <c r="Q35" i="31"/>
  <c r="H35" i="31"/>
  <c r="AS35" i="31"/>
  <c r="AP35" i="31"/>
  <c r="O35" i="31"/>
  <c r="K35" i="31"/>
  <c r="AW43" i="31"/>
  <c r="AN43" i="31"/>
  <c r="AE43" i="31"/>
  <c r="N43" i="31"/>
  <c r="AR43" i="31"/>
  <c r="AH43" i="31"/>
  <c r="AI43" i="31"/>
  <c r="Q51" i="31"/>
  <c r="H51" i="31"/>
  <c r="AT51" i="31"/>
  <c r="AC51" i="31"/>
  <c r="L51" i="31"/>
  <c r="AQ51" i="31"/>
  <c r="AU59" i="31"/>
  <c r="AI59" i="31"/>
  <c r="I59" i="31"/>
  <c r="AB59" i="31"/>
  <c r="AT59" i="31"/>
  <c r="J59" i="31"/>
  <c r="L59" i="31"/>
  <c r="O67" i="31"/>
  <c r="BA67" i="31"/>
  <c r="Q67" i="31"/>
  <c r="AG67" i="31"/>
  <c r="R67" i="31"/>
  <c r="AD67" i="31"/>
  <c r="AW75" i="31"/>
  <c r="AN75" i="31"/>
  <c r="V75" i="31"/>
  <c r="AL75" i="31"/>
  <c r="Z75" i="31"/>
  <c r="AI75" i="31"/>
  <c r="N75" i="31"/>
  <c r="P83" i="31"/>
  <c r="BB83" i="31"/>
  <c r="AK83" i="31"/>
  <c r="AA83" i="31"/>
  <c r="L83" i="31"/>
  <c r="Y83" i="31"/>
  <c r="BD91" i="31"/>
  <c r="AR91" i="31"/>
  <c r="AG91" i="31"/>
  <c r="BB91" i="31"/>
  <c r="AX91" i="31"/>
  <c r="W91" i="31"/>
  <c r="AK22" i="31"/>
  <c r="T22" i="31"/>
  <c r="K22" i="31"/>
  <c r="BC22" i="31"/>
  <c r="BF22" i="31"/>
  <c r="AF22" i="31"/>
  <c r="V22" i="31"/>
  <c r="BG86" i="31"/>
  <c r="AX86" i="31"/>
  <c r="AO86" i="31"/>
  <c r="AE86" i="31"/>
  <c r="AT86" i="31"/>
  <c r="V86" i="31"/>
  <c r="AO25" i="31"/>
  <c r="AF25" i="31"/>
  <c r="W25" i="31"/>
  <c r="BG25" i="31"/>
  <c r="AH25" i="31"/>
  <c r="AT25" i="31"/>
  <c r="AJ25" i="31"/>
  <c r="I49" i="31"/>
  <c r="BC49" i="31"/>
  <c r="AL49" i="31"/>
  <c r="U49" i="31"/>
  <c r="BF49" i="31"/>
  <c r="K49" i="31"/>
  <c r="AO11" i="31"/>
  <c r="AF11" i="31"/>
  <c r="W11" i="31"/>
  <c r="BG11" i="31"/>
  <c r="AJ11" i="31"/>
  <c r="T11" i="31"/>
  <c r="AL11" i="31"/>
  <c r="I19" i="31"/>
  <c r="BC19" i="31"/>
  <c r="AK19" i="31"/>
  <c r="AA19" i="31"/>
  <c r="AP19" i="31"/>
  <c r="AH19" i="31"/>
  <c r="AO27" i="31"/>
  <c r="AF27" i="31"/>
  <c r="W27" i="31"/>
  <c r="BG27" i="31"/>
  <c r="AJ27" i="31"/>
  <c r="J27" i="31"/>
  <c r="AL27" i="31"/>
  <c r="I35" i="31"/>
  <c r="BB35" i="31"/>
  <c r="AK35" i="31"/>
  <c r="AH35" i="31"/>
  <c r="AE35" i="31"/>
  <c r="AY35" i="31"/>
  <c r="AO43" i="31"/>
  <c r="AF43" i="31"/>
  <c r="W43" i="31"/>
  <c r="BA43" i="31"/>
  <c r="AJ43" i="31"/>
  <c r="Z43" i="31"/>
  <c r="S43" i="31"/>
  <c r="I51" i="31"/>
  <c r="BC51" i="31"/>
  <c r="AL51" i="31"/>
  <c r="U51" i="31"/>
  <c r="BF51" i="31"/>
  <c r="AI51" i="31"/>
  <c r="AM59" i="31"/>
  <c r="AA59" i="31"/>
  <c r="AX59" i="31"/>
  <c r="Q59" i="31"/>
  <c r="AJ59" i="31"/>
  <c r="AS59" i="31"/>
  <c r="BD59" i="31"/>
  <c r="BG67" i="31"/>
  <c r="AP67" i="31"/>
  <c r="BF67" i="31"/>
  <c r="V67" i="31"/>
  <c r="BE67" i="31"/>
  <c r="I67" i="31"/>
  <c r="AO75" i="31"/>
  <c r="BA75" i="31"/>
  <c r="M75" i="31"/>
  <c r="AA75" i="31"/>
  <c r="L75" i="31"/>
  <c r="S75" i="31"/>
  <c r="AU75" i="31"/>
  <c r="H83" i="31"/>
  <c r="AT83" i="31"/>
  <c r="AC83" i="31"/>
  <c r="S83" i="31"/>
  <c r="AZ83" i="31"/>
  <c r="T83" i="31"/>
  <c r="BA91" i="31"/>
  <c r="AJ91" i="31"/>
  <c r="Y91" i="31"/>
  <c r="AN91" i="31"/>
  <c r="AL91" i="31"/>
  <c r="BE91" i="31"/>
  <c r="J91" i="31"/>
  <c r="BG99" i="31"/>
  <c r="AV99" i="31"/>
  <c r="AG99" i="31"/>
  <c r="Z99" i="31"/>
  <c r="W99" i="31"/>
  <c r="M99" i="31"/>
  <c r="AK14" i="31"/>
  <c r="T14" i="31"/>
  <c r="K14" i="31"/>
  <c r="BC14" i="31"/>
  <c r="H14" i="31"/>
  <c r="AN14" i="31"/>
  <c r="J14" i="31"/>
  <c r="BB57" i="31"/>
  <c r="AK57" i="31"/>
  <c r="T57" i="31"/>
  <c r="AC22" i="31"/>
  <c r="L22" i="31"/>
  <c r="BE22" i="31"/>
  <c r="AU22" i="31"/>
  <c r="AL22" i="31"/>
  <c r="J22" i="31"/>
  <c r="AT22" i="31"/>
  <c r="AY86" i="31"/>
  <c r="AP86" i="31"/>
  <c r="AG86" i="31"/>
  <c r="W86" i="31"/>
  <c r="X86" i="31"/>
  <c r="AF86" i="31"/>
  <c r="AG25" i="31"/>
  <c r="X25" i="31"/>
  <c r="O25" i="31"/>
  <c r="AY25" i="31"/>
  <c r="L25" i="31"/>
  <c r="Z25" i="31"/>
  <c r="N25" i="31"/>
  <c r="BD49" i="31"/>
  <c r="AU49" i="31"/>
  <c r="AD49" i="31"/>
  <c r="M49" i="31"/>
  <c r="AX49" i="31"/>
  <c r="BG49" i="31"/>
  <c r="AG11" i="31"/>
  <c r="X11" i="31"/>
  <c r="O11" i="31"/>
  <c r="AY11" i="31"/>
  <c r="N11" i="31"/>
  <c r="AX11" i="31"/>
  <c r="R11" i="31"/>
  <c r="BD19" i="31"/>
  <c r="AU19" i="31"/>
  <c r="AC19" i="31"/>
  <c r="S19" i="31"/>
  <c r="T19" i="31"/>
  <c r="L19" i="31"/>
  <c r="AG27" i="31"/>
  <c r="X27" i="31"/>
  <c r="O27" i="31"/>
  <c r="AY27" i="31"/>
  <c r="N27" i="31"/>
  <c r="AX27" i="31"/>
  <c r="R27" i="31"/>
  <c r="BD35" i="31"/>
  <c r="AT35" i="31"/>
  <c r="AZ35" i="31"/>
  <c r="Z35" i="31"/>
  <c r="M35" i="31"/>
  <c r="W35" i="31"/>
  <c r="AG43" i="31"/>
  <c r="X43" i="31"/>
  <c r="O43" i="31"/>
  <c r="AS43" i="31"/>
  <c r="AB43" i="31"/>
  <c r="R43" i="31"/>
  <c r="AA43" i="31"/>
  <c r="BD51" i="31"/>
  <c r="AU51" i="31"/>
  <c r="AD51" i="31"/>
  <c r="M51" i="31"/>
  <c r="AX51" i="31"/>
  <c r="AA51" i="31"/>
  <c r="AE59" i="31"/>
  <c r="S59" i="31"/>
  <c r="AN59" i="31"/>
  <c r="BF59" i="31"/>
  <c r="Y59" i="31"/>
  <c r="AR59" i="31"/>
  <c r="M59" i="31"/>
  <c r="AY67" i="31"/>
  <c r="AF67" i="31"/>
  <c r="AV67" i="31"/>
  <c r="L67" i="31"/>
  <c r="AJ67" i="31"/>
  <c r="AT67" i="31"/>
  <c r="AG75" i="31"/>
  <c r="AS75" i="31"/>
  <c r="BB75" i="31"/>
  <c r="R75" i="31"/>
  <c r="AQ75" i="31"/>
  <c r="AJ75" i="31"/>
  <c r="AX75" i="31"/>
  <c r="BC83" i="31"/>
  <c r="AL83" i="31"/>
  <c r="U83" i="31"/>
  <c r="K83" i="31"/>
  <c r="AG83" i="31"/>
  <c r="AX83" i="31"/>
  <c r="AS91" i="31"/>
  <c r="AB91" i="31"/>
  <c r="Q91" i="31"/>
  <c r="AA91" i="31"/>
  <c r="X91" i="31"/>
  <c r="S91" i="31"/>
  <c r="AE91" i="31"/>
  <c r="AY99" i="31"/>
  <c r="AN99" i="31"/>
  <c r="U99" i="31"/>
  <c r="N99" i="31"/>
  <c r="AO99" i="31"/>
  <c r="BB99" i="31"/>
  <c r="AC14" i="31"/>
  <c r="U22" i="31"/>
  <c r="BG22" i="31"/>
  <c r="AW22" i="31"/>
  <c r="AM22" i="31"/>
  <c r="P22" i="31"/>
  <c r="AX22" i="31"/>
  <c r="AZ86" i="31"/>
  <c r="AQ86" i="31"/>
  <c r="AH86" i="31"/>
  <c r="Y86" i="31"/>
  <c r="O86" i="31"/>
  <c r="AN86" i="31"/>
  <c r="BB86" i="31"/>
  <c r="Y25" i="31"/>
  <c r="P25" i="31"/>
  <c r="BA25" i="31"/>
  <c r="AQ25" i="31"/>
  <c r="AZ25" i="31"/>
  <c r="R25" i="31"/>
  <c r="BE49" i="31"/>
  <c r="AV49" i="31"/>
  <c r="AM49" i="31"/>
  <c r="V49" i="31"/>
  <c r="AZ49" i="31"/>
  <c r="AP49" i="31"/>
  <c r="AY49" i="31"/>
  <c r="Y11" i="31"/>
  <c r="P11" i="31"/>
  <c r="BA11" i="31"/>
  <c r="AQ11" i="31"/>
  <c r="BB11" i="31"/>
  <c r="AB11" i="31"/>
  <c r="BE19" i="31"/>
  <c r="AV19" i="31"/>
  <c r="AM19" i="31"/>
  <c r="U19" i="31"/>
  <c r="K19" i="31"/>
  <c r="AL19" i="31"/>
  <c r="J19" i="31"/>
  <c r="Y27" i="31"/>
  <c r="P27" i="31"/>
  <c r="BA27" i="31"/>
  <c r="AQ27" i="31"/>
  <c r="BB27" i="31"/>
  <c r="AB27" i="31"/>
  <c r="BE35" i="31"/>
  <c r="AV35" i="31"/>
  <c r="AL35" i="31"/>
  <c r="AR35" i="31"/>
  <c r="R35" i="31"/>
  <c r="BG35" i="31"/>
  <c r="AQ35" i="31"/>
  <c r="Y43" i="31"/>
  <c r="P43" i="31"/>
  <c r="BB43" i="31"/>
  <c r="AK43" i="31"/>
  <c r="T43" i="31"/>
  <c r="J43" i="31"/>
  <c r="BE51" i="31"/>
  <c r="AV51" i="31"/>
  <c r="AM51" i="31"/>
  <c r="V51" i="31"/>
  <c r="AZ51" i="31"/>
  <c r="AP51" i="31"/>
  <c r="S51" i="31"/>
  <c r="W59" i="31"/>
  <c r="K59" i="31"/>
  <c r="AC59" i="31"/>
  <c r="AV59" i="31"/>
  <c r="N59" i="31"/>
  <c r="AH59" i="31"/>
  <c r="BC67" i="31"/>
  <c r="AQ67" i="31"/>
  <c r="U67" i="31"/>
  <c r="AK67" i="31"/>
  <c r="AS67" i="31"/>
  <c r="N67" i="31"/>
  <c r="Y67" i="31"/>
  <c r="Y75" i="31"/>
  <c r="AK75" i="31"/>
  <c r="AP75" i="31"/>
  <c r="H75" i="31"/>
  <c r="X75" i="31"/>
  <c r="AE75" i="31"/>
  <c r="BD83" i="31"/>
  <c r="AU83" i="31"/>
  <c r="AD83" i="31"/>
  <c r="M83" i="31"/>
  <c r="BF83" i="31"/>
  <c r="J83" i="31"/>
  <c r="I83" i="31"/>
  <c r="AK91" i="31"/>
  <c r="T91" i="31"/>
  <c r="I91" i="31"/>
  <c r="O91" i="31"/>
  <c r="K91" i="31"/>
  <c r="AV91" i="31"/>
  <c r="AZ99" i="31"/>
  <c r="AQ99" i="31"/>
  <c r="AF99" i="31"/>
  <c r="BE99" i="31"/>
  <c r="AW99" i="31"/>
  <c r="V99" i="31"/>
  <c r="AX99" i="31"/>
  <c r="U14" i="31"/>
  <c r="BG14" i="31"/>
  <c r="AW14" i="31"/>
  <c r="AM14" i="31"/>
  <c r="Z14" i="31"/>
  <c r="BF14" i="31"/>
  <c r="BC57" i="31"/>
  <c r="AL57" i="31"/>
  <c r="M22" i="31"/>
  <c r="AY22" i="31"/>
  <c r="AO22" i="31"/>
  <c r="AE22" i="31"/>
  <c r="X22" i="31"/>
  <c r="AD22" i="31"/>
  <c r="AR86" i="31"/>
  <c r="AI86" i="31"/>
  <c r="Z86" i="31"/>
  <c r="Q86" i="31"/>
  <c r="BA86" i="31"/>
  <c r="U86" i="31"/>
  <c r="BD86" i="31"/>
  <c r="Q25" i="31"/>
  <c r="H25" i="31"/>
  <c r="AS25" i="31"/>
  <c r="AI25" i="31"/>
  <c r="AD25" i="31"/>
  <c r="AR25" i="31"/>
  <c r="AW49" i="31"/>
  <c r="AN49" i="31"/>
  <c r="AE49" i="31"/>
  <c r="N49" i="31"/>
  <c r="AR49" i="31"/>
  <c r="AH49" i="31"/>
  <c r="AQ49" i="31"/>
  <c r="Q11" i="31"/>
  <c r="H11" i="31"/>
  <c r="AS11" i="31"/>
  <c r="AI11" i="31"/>
  <c r="AH11" i="31"/>
  <c r="AP11" i="31"/>
  <c r="AW19" i="31"/>
  <c r="AN19" i="31"/>
  <c r="AE19" i="31"/>
  <c r="M19" i="31"/>
  <c r="AT19" i="31"/>
  <c r="R19" i="31"/>
  <c r="AX19" i="31"/>
  <c r="Q27" i="31"/>
  <c r="H27" i="31"/>
  <c r="AS27" i="31"/>
  <c r="AI27" i="31"/>
  <c r="AH27" i="31"/>
  <c r="AT27" i="31"/>
  <c r="AW35" i="31"/>
  <c r="AN35" i="31"/>
  <c r="AD35" i="31"/>
  <c r="AJ35" i="31"/>
  <c r="J35" i="31"/>
  <c r="AC35" i="31"/>
  <c r="T35" i="31"/>
  <c r="Q43" i="31"/>
  <c r="H43" i="31"/>
  <c r="AT43" i="31"/>
  <c r="AC43" i="31"/>
  <c r="L43" i="31"/>
  <c r="K43" i="31"/>
  <c r="AW51" i="31"/>
  <c r="AN51" i="31"/>
  <c r="AE51" i="31"/>
  <c r="N51" i="31"/>
  <c r="AR51" i="31"/>
  <c r="AH51" i="31"/>
  <c r="K51" i="31"/>
  <c r="O59" i="31"/>
  <c r="AZ59" i="31"/>
  <c r="R59" i="31"/>
  <c r="AK59" i="31"/>
  <c r="BA59" i="31"/>
  <c r="AG59" i="31"/>
  <c r="AU67" i="31"/>
  <c r="AI67" i="31"/>
  <c r="J67" i="31"/>
  <c r="Z67" i="31"/>
  <c r="X67" i="31"/>
  <c r="BD67" i="31"/>
  <c r="AX67" i="31"/>
  <c r="Q75" i="31"/>
  <c r="AC75" i="31"/>
  <c r="AD75" i="31"/>
  <c r="AZ75" i="31"/>
  <c r="J75" i="31"/>
  <c r="AB75" i="31"/>
  <c r="AV83" i="31"/>
  <c r="AM83" i="31"/>
  <c r="V83" i="31"/>
  <c r="BG83" i="31"/>
  <c r="AJ83" i="31"/>
  <c r="AW83" i="31"/>
  <c r="AO83" i="31"/>
  <c r="AC91" i="31"/>
  <c r="L91" i="31"/>
  <c r="BC91" i="31"/>
  <c r="AY91" i="31"/>
  <c r="AU91" i="31"/>
  <c r="AZ22" i="31"/>
  <c r="AQ22" i="31"/>
  <c r="AG22" i="31"/>
  <c r="W22" i="31"/>
  <c r="BD22" i="31"/>
  <c r="H22" i="31"/>
  <c r="AJ86" i="31"/>
  <c r="AA86" i="31"/>
  <c r="R86" i="31"/>
  <c r="I86" i="31"/>
  <c r="AD86" i="31"/>
  <c r="P86" i="31"/>
  <c r="N86" i="31"/>
  <c r="I25" i="31"/>
  <c r="BC25" i="31"/>
  <c r="AK25" i="31"/>
  <c r="AA25" i="31"/>
  <c r="J25" i="31"/>
  <c r="V25" i="31"/>
  <c r="AO49" i="31"/>
  <c r="AF49" i="31"/>
  <c r="W49" i="31"/>
  <c r="BA49" i="31"/>
  <c r="AJ49" i="31"/>
  <c r="Z49" i="31"/>
  <c r="AA49" i="31"/>
  <c r="I11" i="31"/>
  <c r="BC11" i="31"/>
  <c r="AK11" i="31"/>
  <c r="AA11" i="31"/>
  <c r="L11" i="31"/>
  <c r="AT11" i="31"/>
  <c r="AO19" i="31"/>
  <c r="AF19" i="31"/>
  <c r="W19" i="31"/>
  <c r="BG19" i="31"/>
  <c r="Z19" i="31"/>
  <c r="BF19" i="31"/>
  <c r="AB19" i="31"/>
  <c r="I27" i="31"/>
  <c r="BC27" i="31"/>
  <c r="AK27" i="31"/>
  <c r="AA27" i="31"/>
  <c r="L27" i="31"/>
  <c r="Z27" i="31"/>
  <c r="AO35" i="31"/>
  <c r="AF35" i="31"/>
  <c r="V35" i="31"/>
  <c r="AB35" i="31"/>
  <c r="AM35" i="31"/>
  <c r="L35" i="31"/>
  <c r="AU35" i="31"/>
  <c r="I43" i="31"/>
  <c r="BC43" i="31"/>
  <c r="AL43" i="31"/>
  <c r="U43" i="31"/>
  <c r="BF43" i="31"/>
  <c r="BG43" i="31"/>
  <c r="AO51" i="31"/>
  <c r="AF51" i="31"/>
  <c r="W51" i="31"/>
  <c r="BA51" i="31"/>
  <c r="AJ51" i="31"/>
  <c r="Z51" i="31"/>
  <c r="AY51" i="31"/>
  <c r="BG59" i="31"/>
  <c r="AO59" i="31"/>
  <c r="H59" i="31"/>
  <c r="Z59" i="31"/>
  <c r="AP59" i="31"/>
  <c r="X59" i="31"/>
  <c r="AM67" i="31"/>
  <c r="AA67" i="31"/>
  <c r="AW67" i="31"/>
  <c r="P67" i="31"/>
  <c r="AO67" i="31"/>
  <c r="AH67" i="31"/>
  <c r="AC67" i="31"/>
  <c r="I75" i="31"/>
  <c r="BF75" i="31"/>
  <c r="T75" i="31"/>
  <c r="AH75" i="31"/>
  <c r="AM75" i="31"/>
  <c r="U75" i="31"/>
  <c r="AN83" i="31"/>
  <c r="AR22" i="31"/>
  <c r="AI22" i="31"/>
  <c r="Y22" i="31"/>
  <c r="O22" i="31"/>
  <c r="AH22" i="31"/>
  <c r="AV22" i="31"/>
  <c r="AB86" i="31"/>
  <c r="S86" i="31"/>
  <c r="J86" i="31"/>
  <c r="BC86" i="31"/>
  <c r="H86" i="31"/>
  <c r="AS86" i="31"/>
  <c r="M86" i="31"/>
  <c r="BD25" i="31"/>
  <c r="AU25" i="31"/>
  <c r="AC25" i="31"/>
  <c r="S25" i="31"/>
  <c r="AX25" i="31"/>
  <c r="AP25" i="31"/>
  <c r="AG49" i="31"/>
  <c r="X49" i="31"/>
  <c r="O49" i="31"/>
  <c r="AS49" i="31"/>
  <c r="AB49" i="31"/>
  <c r="R49" i="31"/>
  <c r="AI49" i="31"/>
  <c r="BD11" i="31"/>
  <c r="AU11" i="31"/>
  <c r="AC11" i="31"/>
  <c r="S11" i="31"/>
  <c r="AZ11" i="31"/>
  <c r="Z11" i="31"/>
  <c r="AG19" i="31"/>
  <c r="X19" i="31"/>
  <c r="O19" i="31"/>
  <c r="AY19" i="31"/>
  <c r="AR19" i="31"/>
  <c r="AJ19" i="31"/>
  <c r="AD19" i="31"/>
  <c r="BD27" i="31"/>
  <c r="AU27" i="31"/>
  <c r="AC27" i="31"/>
  <c r="S27" i="31"/>
  <c r="AP27" i="31"/>
  <c r="T27" i="31"/>
  <c r="AG35" i="31"/>
  <c r="X35" i="31"/>
  <c r="N35" i="31"/>
  <c r="BF35" i="31"/>
  <c r="S35" i="31"/>
  <c r="BC35" i="31"/>
  <c r="U35" i="31"/>
  <c r="BD43" i="31"/>
  <c r="AU43" i="31"/>
  <c r="AD43" i="31"/>
  <c r="M43" i="31"/>
  <c r="AX43" i="31"/>
  <c r="AY43" i="31"/>
  <c r="AG51" i="31"/>
  <c r="X51" i="31"/>
  <c r="O51" i="31"/>
  <c r="P51" i="31"/>
  <c r="BG51" i="31"/>
  <c r="P59" i="31"/>
  <c r="S67" i="31"/>
  <c r="M67" i="31"/>
  <c r="K75" i="31"/>
  <c r="AF83" i="31"/>
  <c r="AY83" i="31"/>
  <c r="AB83" i="31"/>
  <c r="AW91" i="31"/>
  <c r="AH91" i="31"/>
  <c r="AR99" i="31"/>
  <c r="K99" i="31"/>
  <c r="AE99" i="31"/>
  <c r="AP99" i="31"/>
  <c r="AH99" i="31"/>
  <c r="L14" i="31"/>
  <c r="AG14" i="31"/>
  <c r="AX14" i="31"/>
  <c r="R14" i="31"/>
  <c r="AM57" i="31"/>
  <c r="BA57" i="31"/>
  <c r="AB57" i="31"/>
  <c r="K57" i="31"/>
  <c r="AP57" i="31"/>
  <c r="BE57" i="31"/>
  <c r="AM73" i="31"/>
  <c r="U73" i="31"/>
  <c r="K73" i="31"/>
  <c r="T73" i="31"/>
  <c r="AD73" i="31"/>
  <c r="BB73" i="31"/>
  <c r="AH73" i="31"/>
  <c r="I81" i="31"/>
  <c r="BC81" i="31"/>
  <c r="AR81" i="31"/>
  <c r="AL81" i="31"/>
  <c r="AH81" i="31"/>
  <c r="O81" i="31"/>
  <c r="AK89" i="31"/>
  <c r="T89" i="31"/>
  <c r="I89" i="31"/>
  <c r="P89" i="31"/>
  <c r="N89" i="31"/>
  <c r="V89" i="31"/>
  <c r="AH89" i="31"/>
  <c r="BG97" i="31"/>
  <c r="AV97" i="31"/>
  <c r="V97" i="31"/>
  <c r="AC97" i="31"/>
  <c r="Y97" i="31"/>
  <c r="M97" i="31"/>
  <c r="AK38" i="31"/>
  <c r="T38" i="31"/>
  <c r="K38" i="31"/>
  <c r="BE38" i="31"/>
  <c r="AV38" i="31"/>
  <c r="AL38" i="31"/>
  <c r="W38" i="31"/>
  <c r="AZ78" i="31"/>
  <c r="AO78" i="31"/>
  <c r="V78" i="31"/>
  <c r="AY78" i="31"/>
  <c r="BD78" i="31"/>
  <c r="X78" i="31"/>
  <c r="AN102" i="31"/>
  <c r="AE102" i="31"/>
  <c r="L102" i="31"/>
  <c r="Q102" i="31"/>
  <c r="BA102" i="31"/>
  <c r="I102" i="31"/>
  <c r="AT102" i="31"/>
  <c r="I17" i="31"/>
  <c r="BC17" i="31"/>
  <c r="AK17" i="31"/>
  <c r="AA17" i="31"/>
  <c r="R17" i="31"/>
  <c r="AZ17" i="31"/>
  <c r="AO33" i="31"/>
  <c r="AF33" i="31"/>
  <c r="V33" i="31"/>
  <c r="J33" i="31"/>
  <c r="BA33" i="31"/>
  <c r="S33" i="31"/>
  <c r="M33" i="31"/>
  <c r="I41" i="31"/>
  <c r="BC41" i="31"/>
  <c r="AL41" i="31"/>
  <c r="U41" i="31"/>
  <c r="BF41" i="31"/>
  <c r="AQ41" i="31"/>
  <c r="AM65" i="31"/>
  <c r="AA65" i="31"/>
  <c r="BE65" i="31"/>
  <c r="AZ65" i="31"/>
  <c r="U65" i="31"/>
  <c r="AF65" i="31"/>
  <c r="Z65" i="31"/>
  <c r="AZ12" i="31"/>
  <c r="AQ12" i="31"/>
  <c r="AG12" i="31"/>
  <c r="W12" i="31"/>
  <c r="V12" i="31"/>
  <c r="AH12" i="31"/>
  <c r="AK20" i="31"/>
  <c r="T20" i="31"/>
  <c r="K20" i="31"/>
  <c r="BC20" i="31"/>
  <c r="P20" i="31"/>
  <c r="AX20" i="31"/>
  <c r="AN20" i="31"/>
  <c r="AZ28" i="31"/>
  <c r="AQ28" i="31"/>
  <c r="AG28" i="31"/>
  <c r="W28" i="31"/>
  <c r="AN28" i="31"/>
  <c r="N28" i="31"/>
  <c r="AK36" i="31"/>
  <c r="T36" i="31"/>
  <c r="Z36" i="31"/>
  <c r="Q36" i="31"/>
  <c r="H36" i="31"/>
  <c r="S36" i="31"/>
  <c r="W36" i="31"/>
  <c r="AZ44" i="31"/>
  <c r="AQ44" i="31"/>
  <c r="AH44" i="31"/>
  <c r="Y44" i="31"/>
  <c r="P44" i="31"/>
  <c r="W44" i="31"/>
  <c r="AK52" i="31"/>
  <c r="T52" i="31"/>
  <c r="K52" i="31"/>
  <c r="BE52" i="31"/>
  <c r="AV52" i="31"/>
  <c r="AL52" i="31"/>
  <c r="W52" i="31"/>
  <c r="K60" i="31"/>
  <c r="BA60" i="31"/>
  <c r="T60" i="31"/>
  <c r="AL60" i="31"/>
  <c r="AT60" i="31"/>
  <c r="L60" i="31"/>
  <c r="AQ68" i="31"/>
  <c r="AM68" i="31"/>
  <c r="L68" i="31"/>
  <c r="AB68" i="31"/>
  <c r="AJ68" i="31"/>
  <c r="AV68" i="31"/>
  <c r="AO68" i="31"/>
  <c r="AZ76" i="31"/>
  <c r="AO76" i="31"/>
  <c r="R76" i="31"/>
  <c r="K76" i="31"/>
  <c r="J76" i="31"/>
  <c r="Z76" i="31"/>
  <c r="AJ84" i="31"/>
  <c r="AA84" i="31"/>
  <c r="R84" i="31"/>
  <c r="I84" i="31"/>
  <c r="AC84" i="31"/>
  <c r="U84" i="31"/>
  <c r="H84" i="31"/>
  <c r="H92" i="31"/>
  <c r="AR92" i="31"/>
  <c r="M92" i="31"/>
  <c r="S92" i="31"/>
  <c r="BE92" i="31"/>
  <c r="AW92" i="31"/>
  <c r="AN100" i="31"/>
  <c r="AE100" i="31"/>
  <c r="BB51" i="31"/>
  <c r="BC59" i="31"/>
  <c r="BE59" i="31"/>
  <c r="K67" i="31"/>
  <c r="AZ67" i="31"/>
  <c r="AY75" i="31"/>
  <c r="X83" i="31"/>
  <c r="AQ83" i="31"/>
  <c r="R83" i="31"/>
  <c r="AO91" i="31"/>
  <c r="V91" i="31"/>
  <c r="AJ99" i="31"/>
  <c r="BD99" i="31"/>
  <c r="R99" i="31"/>
  <c r="BC99" i="31"/>
  <c r="BA14" i="31"/>
  <c r="AY14" i="31"/>
  <c r="Y14" i="31"/>
  <c r="AD14" i="31"/>
  <c r="AL14" i="31"/>
  <c r="AE57" i="31"/>
  <c r="AS57" i="31"/>
  <c r="L57" i="31"/>
  <c r="BD57" i="31"/>
  <c r="J57" i="31"/>
  <c r="Y57" i="31"/>
  <c r="AE73" i="31"/>
  <c r="M73" i="31"/>
  <c r="AX73" i="31"/>
  <c r="H73" i="31"/>
  <c r="Q73" i="31"/>
  <c r="V73" i="31"/>
  <c r="AJ73" i="31"/>
  <c r="BD81" i="31"/>
  <c r="AU81" i="31"/>
  <c r="AE81" i="31"/>
  <c r="Z81" i="31"/>
  <c r="T81" i="31"/>
  <c r="AP81" i="31"/>
  <c r="AC89" i="31"/>
  <c r="L89" i="31"/>
  <c r="BD89" i="31"/>
  <c r="BB89" i="31"/>
  <c r="AV89" i="31"/>
  <c r="AX89" i="31"/>
  <c r="AF89" i="31"/>
  <c r="AY97" i="31"/>
  <c r="AN97" i="31"/>
  <c r="I97" i="31"/>
  <c r="O97" i="31"/>
  <c r="AP97" i="31"/>
  <c r="BA97" i="31"/>
  <c r="AC38" i="31"/>
  <c r="L38" i="31"/>
  <c r="BF38" i="31"/>
  <c r="AW38" i="31"/>
  <c r="AN38" i="31"/>
  <c r="AD38" i="31"/>
  <c r="AE38" i="31"/>
  <c r="AR78" i="31"/>
  <c r="AG78" i="31"/>
  <c r="BC78" i="31"/>
  <c r="AM78" i="31"/>
  <c r="S78" i="31"/>
  <c r="AX78" i="31"/>
  <c r="AF102" i="31"/>
  <c r="W102" i="31"/>
  <c r="BE102" i="31"/>
  <c r="AX102" i="31"/>
  <c r="AH102" i="31"/>
  <c r="AS102" i="31"/>
  <c r="AO102" i="31"/>
  <c r="BD17" i="31"/>
  <c r="AU17" i="31"/>
  <c r="AC17" i="31"/>
  <c r="S17" i="31"/>
  <c r="BF17" i="31"/>
  <c r="AD17" i="31"/>
  <c r="AG33" i="31"/>
  <c r="X33" i="31"/>
  <c r="N33" i="31"/>
  <c r="BG33" i="31"/>
  <c r="AK33" i="31"/>
  <c r="AU33" i="31"/>
  <c r="AS33" i="31"/>
  <c r="BD41" i="31"/>
  <c r="AU41" i="31"/>
  <c r="AD41" i="31"/>
  <c r="M41" i="31"/>
  <c r="AX41" i="31"/>
  <c r="AI41" i="31"/>
  <c r="AE65" i="31"/>
  <c r="S65" i="31"/>
  <c r="AT65" i="31"/>
  <c r="AO65" i="31"/>
  <c r="BF65" i="31"/>
  <c r="M65" i="31"/>
  <c r="J65" i="31"/>
  <c r="AR12" i="31"/>
  <c r="AI12" i="31"/>
  <c r="Y12" i="31"/>
  <c r="O12" i="31"/>
  <c r="AN12" i="31"/>
  <c r="N12" i="31"/>
  <c r="AC20" i="31"/>
  <c r="L20" i="31"/>
  <c r="BE20" i="31"/>
  <c r="AU20" i="31"/>
  <c r="V20" i="31"/>
  <c r="AD20" i="31"/>
  <c r="R20" i="31"/>
  <c r="AR28" i="31"/>
  <c r="AI28" i="31"/>
  <c r="Y28" i="31"/>
  <c r="O28" i="31"/>
  <c r="R28" i="31"/>
  <c r="AX28" i="31"/>
  <c r="AC36" i="31"/>
  <c r="L36" i="31"/>
  <c r="R36" i="31"/>
  <c r="I36" i="31"/>
  <c r="BB36" i="31"/>
  <c r="AU36" i="31"/>
  <c r="AA36" i="31"/>
  <c r="AR44" i="31"/>
  <c r="AI44" i="31"/>
  <c r="Z44" i="31"/>
  <c r="Q44" i="31"/>
  <c r="H44" i="31"/>
  <c r="O44" i="31"/>
  <c r="AC52" i="31"/>
  <c r="L52" i="31"/>
  <c r="BF52" i="31"/>
  <c r="AW52" i="31"/>
  <c r="AN52" i="31"/>
  <c r="AD52" i="31"/>
  <c r="O52" i="31"/>
  <c r="BC60" i="31"/>
  <c r="AP60" i="31"/>
  <c r="I60" i="31"/>
  <c r="AB60" i="31"/>
  <c r="AJ60" i="31"/>
  <c r="BE60" i="31"/>
  <c r="AI68" i="31"/>
  <c r="AE68" i="31"/>
  <c r="AX68" i="31"/>
  <c r="Q68" i="31"/>
  <c r="N68" i="31"/>
  <c r="Z68" i="31"/>
  <c r="T68" i="31"/>
  <c r="AR76" i="31"/>
  <c r="AG76" i="31"/>
  <c r="BB76" i="31"/>
  <c r="AP76" i="31"/>
  <c r="AV76" i="31"/>
  <c r="S76" i="31"/>
  <c r="AB84" i="31"/>
  <c r="S84" i="31"/>
  <c r="J84" i="31"/>
  <c r="BC84" i="31"/>
  <c r="AT84" i="31"/>
  <c r="BD84" i="31"/>
  <c r="BA84" i="31"/>
  <c r="BC92" i="31"/>
  <c r="AJ92" i="31"/>
  <c r="AX92" i="31"/>
  <c r="AQ92" i="31"/>
  <c r="AI92" i="31"/>
  <c r="AH92" i="31"/>
  <c r="AF100" i="31"/>
  <c r="AS51" i="31"/>
  <c r="AY59" i="31"/>
  <c r="AF59" i="31"/>
  <c r="AL67" i="31"/>
  <c r="H67" i="31"/>
  <c r="P75" i="31"/>
  <c r="AE83" i="31"/>
  <c r="AI83" i="31"/>
  <c r="AP83" i="31"/>
  <c r="AP91" i="31"/>
  <c r="H91" i="31"/>
  <c r="AB99" i="31"/>
  <c r="X99" i="31"/>
  <c r="BA99" i="31"/>
  <c r="AK99" i="31"/>
  <c r="AS14" i="31"/>
  <c r="AQ14" i="31"/>
  <c r="Q14" i="31"/>
  <c r="AV14" i="31"/>
  <c r="P14" i="31"/>
  <c r="W57" i="31"/>
  <c r="AC57" i="31"/>
  <c r="BG57" i="31"/>
  <c r="AV57" i="31"/>
  <c r="AO57" i="31"/>
  <c r="AW57" i="31"/>
  <c r="W73" i="31"/>
  <c r="BG73" i="31"/>
  <c r="AL73" i="31"/>
  <c r="BE73" i="31"/>
  <c r="AZ73" i="31"/>
  <c r="AW73" i="31"/>
  <c r="BE81" i="31"/>
  <c r="AV81" i="31"/>
  <c r="BA81" i="31"/>
  <c r="S81" i="31"/>
  <c r="L81" i="31"/>
  <c r="AI81" i="31"/>
  <c r="AQ81" i="31"/>
  <c r="U89" i="31"/>
  <c r="BE89" i="31"/>
  <c r="AQ89" i="31"/>
  <c r="AN89" i="31"/>
  <c r="AI89" i="31"/>
  <c r="S89" i="31"/>
  <c r="AZ97" i="31"/>
  <c r="AQ97" i="31"/>
  <c r="AF97" i="31"/>
  <c r="BF97" i="31"/>
  <c r="AX97" i="31"/>
  <c r="W97" i="31"/>
  <c r="BC97" i="31"/>
  <c r="U38" i="31"/>
  <c r="BG38" i="31"/>
  <c r="AX38" i="31"/>
  <c r="AO38" i="31"/>
  <c r="AF38" i="31"/>
  <c r="V38" i="31"/>
  <c r="BA78" i="31"/>
  <c r="AJ78" i="31"/>
  <c r="Y78" i="31"/>
  <c r="AP78" i="31"/>
  <c r="Z78" i="31"/>
  <c r="AQ78" i="31"/>
  <c r="AT78" i="31"/>
  <c r="X102" i="31"/>
  <c r="O102" i="31"/>
  <c r="AQ102" i="31"/>
  <c r="AK102" i="31"/>
  <c r="M102" i="31"/>
  <c r="V102" i="31"/>
  <c r="BE17" i="31"/>
  <c r="AV17" i="31"/>
  <c r="AM17" i="31"/>
  <c r="U17" i="31"/>
  <c r="K17" i="31"/>
  <c r="AJ17" i="31"/>
  <c r="J17" i="31"/>
  <c r="Y33" i="31"/>
  <c r="P33" i="31"/>
  <c r="BF33" i="31"/>
  <c r="AQ33" i="31"/>
  <c r="U33" i="31"/>
  <c r="AE33" i="31"/>
  <c r="BE41" i="31"/>
  <c r="AV41" i="31"/>
  <c r="AM41" i="31"/>
  <c r="V41" i="31"/>
  <c r="AZ41" i="31"/>
  <c r="AP41" i="31"/>
  <c r="AA41" i="31"/>
  <c r="W65" i="31"/>
  <c r="K65" i="31"/>
  <c r="AJ65" i="31"/>
  <c r="AD65" i="31"/>
  <c r="AK65" i="31"/>
  <c r="AW65" i="31"/>
  <c r="BA12" i="31"/>
  <c r="AJ12" i="31"/>
  <c r="AA12" i="31"/>
  <c r="Q12" i="31"/>
  <c r="AV12" i="31"/>
  <c r="R12" i="31"/>
  <c r="AX12" i="31"/>
  <c r="U20" i="31"/>
  <c r="BG20" i="31"/>
  <c r="AW20" i="31"/>
  <c r="AM20" i="31"/>
  <c r="BD20" i="31"/>
  <c r="H20" i="31"/>
  <c r="BA28" i="31"/>
  <c r="AJ28" i="31"/>
  <c r="AA28" i="31"/>
  <c r="Q28" i="31"/>
  <c r="AV28" i="31"/>
  <c r="AF28" i="31"/>
  <c r="AD28" i="31"/>
  <c r="U36" i="31"/>
  <c r="BG36" i="31"/>
  <c r="J36" i="31"/>
  <c r="BD36" i="31"/>
  <c r="AT36" i="31"/>
  <c r="O36" i="31"/>
  <c r="BA44" i="31"/>
  <c r="AJ44" i="31"/>
  <c r="AA44" i="31"/>
  <c r="R44" i="31"/>
  <c r="I44" i="31"/>
  <c r="BB44" i="31"/>
  <c r="BC44" i="31"/>
  <c r="U52" i="31"/>
  <c r="BG52" i="31"/>
  <c r="AX52" i="31"/>
  <c r="AO52" i="31"/>
  <c r="AF52" i="31"/>
  <c r="V52" i="31"/>
  <c r="BG60" i="31"/>
  <c r="AU60" i="31"/>
  <c r="AF60" i="31"/>
  <c r="AX60" i="31"/>
  <c r="Q60" i="31"/>
  <c r="Y60" i="31"/>
  <c r="AS60" i="31"/>
  <c r="AA68" i="31"/>
  <c r="W68" i="31"/>
  <c r="AN68" i="31"/>
  <c r="BD68" i="31"/>
  <c r="BA68" i="31"/>
  <c r="AT68" i="31"/>
  <c r="BA76" i="31"/>
  <c r="AJ76" i="31"/>
  <c r="Y76" i="31"/>
  <c r="AN76" i="31"/>
  <c r="V76" i="31"/>
  <c r="AD76" i="31"/>
  <c r="P76" i="31"/>
  <c r="T84" i="31"/>
  <c r="K84" i="31"/>
  <c r="BE84" i="31"/>
  <c r="AU84" i="31"/>
  <c r="X84" i="31"/>
  <c r="N84" i="31"/>
  <c r="BD92" i="31"/>
  <c r="AU92" i="31"/>
  <c r="AB92" i="31"/>
  <c r="AK92" i="31"/>
  <c r="V92" i="31"/>
  <c r="Q92" i="31"/>
  <c r="AC92" i="31"/>
  <c r="X100" i="31"/>
  <c r="AK51" i="31"/>
  <c r="AQ59" i="31"/>
  <c r="U59" i="31"/>
  <c r="AB67" i="31"/>
  <c r="BE75" i="31"/>
  <c r="AT75" i="31"/>
  <c r="W83" i="31"/>
  <c r="Q83" i="31"/>
  <c r="BG91" i="31"/>
  <c r="AD91" i="31"/>
  <c r="R91" i="31"/>
  <c r="T99" i="31"/>
  <c r="P99" i="31"/>
  <c r="AM99" i="31"/>
  <c r="O99" i="31"/>
  <c r="M14" i="31"/>
  <c r="AI14" i="31"/>
  <c r="I14" i="31"/>
  <c r="AT14" i="31"/>
  <c r="AH14" i="31"/>
  <c r="O57" i="31"/>
  <c r="U57" i="31"/>
  <c r="AY57" i="31"/>
  <c r="AN57" i="31"/>
  <c r="I57" i="31"/>
  <c r="Q57" i="31"/>
  <c r="O73" i="31"/>
  <c r="AY73" i="31"/>
  <c r="Y73" i="31"/>
  <c r="AR73" i="31"/>
  <c r="AN73" i="31"/>
  <c r="P73" i="31"/>
  <c r="AW81" i="31"/>
  <c r="AN81" i="31"/>
  <c r="AS81" i="31"/>
  <c r="BB81" i="31"/>
  <c r="AY81" i="31"/>
  <c r="BG81" i="31"/>
  <c r="AD81" i="31"/>
  <c r="M89" i="31"/>
  <c r="AW89" i="31"/>
  <c r="AE89" i="31"/>
  <c r="AA89" i="31"/>
  <c r="W89" i="31"/>
  <c r="AT89" i="31"/>
  <c r="AR97" i="31"/>
  <c r="AI97" i="31"/>
  <c r="X97" i="31"/>
  <c r="AT97" i="31"/>
  <c r="AD97" i="31"/>
  <c r="BE97" i="31"/>
  <c r="AM97" i="31"/>
  <c r="M38" i="31"/>
  <c r="AY38" i="31"/>
  <c r="AP38" i="31"/>
  <c r="AG38" i="31"/>
  <c r="X38" i="31"/>
  <c r="N38" i="31"/>
  <c r="AS78" i="31"/>
  <c r="AB78" i="31"/>
  <c r="Q78" i="31"/>
  <c r="AD78" i="31"/>
  <c r="N78" i="31"/>
  <c r="K78" i="31"/>
  <c r="AE78" i="31"/>
  <c r="P102" i="31"/>
  <c r="AZ102" i="31"/>
  <c r="AD102" i="31"/>
  <c r="Y102" i="31"/>
  <c r="AY102" i="31"/>
  <c r="AL102" i="31"/>
  <c r="AW17" i="31"/>
  <c r="AN17" i="31"/>
  <c r="AE17" i="31"/>
  <c r="M17" i="31"/>
  <c r="AR17" i="31"/>
  <c r="N17" i="31"/>
  <c r="AT17" i="31"/>
  <c r="Q33" i="31"/>
  <c r="H33" i="31"/>
  <c r="AX33" i="31"/>
  <c r="AA33" i="31"/>
  <c r="AZ33" i="31"/>
  <c r="O33" i="31"/>
  <c r="AW41" i="31"/>
  <c r="AN41" i="31"/>
  <c r="AE41" i="31"/>
  <c r="N41" i="31"/>
  <c r="AR41" i="31"/>
  <c r="AH41" i="31"/>
  <c r="S41" i="31"/>
  <c r="O65" i="31"/>
  <c r="AX65" i="31"/>
  <c r="Y65" i="31"/>
  <c r="T65" i="31"/>
  <c r="Q65" i="31"/>
  <c r="AB65" i="31"/>
  <c r="AS12" i="31"/>
  <c r="AB12" i="31"/>
  <c r="S12" i="31"/>
  <c r="I12" i="31"/>
  <c r="Z12" i="31"/>
  <c r="BF12" i="31"/>
  <c r="AD12" i="31"/>
  <c r="M20" i="31"/>
  <c r="AY20" i="31"/>
  <c r="AO20" i="31"/>
  <c r="AE20" i="31"/>
  <c r="AH20" i="31"/>
  <c r="AV20" i="31"/>
  <c r="AS28" i="31"/>
  <c r="AB28" i="31"/>
  <c r="S28" i="31"/>
  <c r="I28" i="31"/>
  <c r="Z28" i="31"/>
  <c r="BF28" i="31"/>
  <c r="H28" i="31"/>
  <c r="M36" i="31"/>
  <c r="AY36" i="31"/>
  <c r="BE36" i="31"/>
  <c r="AV36" i="31"/>
  <c r="AL36" i="31"/>
  <c r="AQ36" i="31"/>
  <c r="AS44" i="31"/>
  <c r="AB44" i="31"/>
  <c r="S44" i="31"/>
  <c r="J44" i="31"/>
  <c r="BD44" i="31"/>
  <c r="AT44" i="31"/>
  <c r="AU44" i="31"/>
  <c r="M52" i="31"/>
  <c r="AY52" i="31"/>
  <c r="AP52" i="31"/>
  <c r="AG52" i="31"/>
  <c r="X52" i="31"/>
  <c r="N52" i="31"/>
  <c r="AY60" i="31"/>
  <c r="AM60" i="31"/>
  <c r="U60" i="31"/>
  <c r="AN60" i="31"/>
  <c r="AV60" i="31"/>
  <c r="N60" i="31"/>
  <c r="AH60" i="31"/>
  <c r="S68" i="31"/>
  <c r="O68" i="31"/>
  <c r="AC68" i="31"/>
  <c r="AS68" i="31"/>
  <c r="AF68" i="31"/>
  <c r="Y68" i="31"/>
  <c r="AS76" i="31"/>
  <c r="AB76" i="31"/>
  <c r="Q76" i="31"/>
  <c r="AA76" i="31"/>
  <c r="BC76" i="31"/>
  <c r="H76" i="31"/>
  <c r="BG76" i="31"/>
  <c r="L84" i="31"/>
  <c r="BF84" i="31"/>
  <c r="AW84" i="31"/>
  <c r="AM84" i="31"/>
  <c r="AS84" i="31"/>
  <c r="BB84" i="31"/>
  <c r="AV92" i="31"/>
  <c r="AM92" i="31"/>
  <c r="T92" i="31"/>
  <c r="Y92" i="31"/>
  <c r="AP92" i="31"/>
  <c r="BA92" i="31"/>
  <c r="AT92" i="31"/>
  <c r="AB51" i="31"/>
  <c r="AD59" i="31"/>
  <c r="V59" i="31"/>
  <c r="BB67" i="31"/>
  <c r="BD75" i="31"/>
  <c r="W75" i="31"/>
  <c r="O83" i="31"/>
  <c r="BE83" i="31"/>
  <c r="U91" i="31"/>
  <c r="P91" i="31"/>
  <c r="AQ91" i="31"/>
  <c r="L99" i="31"/>
  <c r="H99" i="31"/>
  <c r="AC99" i="31"/>
  <c r="AD99" i="31"/>
  <c r="AZ14" i="31"/>
  <c r="AA14" i="31"/>
  <c r="AU14" i="31"/>
  <c r="X14" i="31"/>
  <c r="BB14" i="31"/>
  <c r="AT57" i="31"/>
  <c r="M57" i="31"/>
  <c r="AQ57" i="31"/>
  <c r="AF57" i="31"/>
  <c r="AH57" i="31"/>
  <c r="AX57" i="31"/>
  <c r="BA73" i="31"/>
  <c r="AQ73" i="31"/>
  <c r="L73" i="31"/>
  <c r="AF73" i="31"/>
  <c r="Z73" i="31"/>
  <c r="AV73" i="31"/>
  <c r="AO81" i="31"/>
  <c r="AF81" i="31"/>
  <c r="AK81" i="31"/>
  <c r="AM81" i="31"/>
  <c r="AJ81" i="31"/>
  <c r="V81" i="31"/>
  <c r="J81" i="31"/>
  <c r="AZ89" i="31"/>
  <c r="AO89" i="31"/>
  <c r="R89" i="31"/>
  <c r="O89" i="31"/>
  <c r="J89" i="31"/>
  <c r="H89" i="31"/>
  <c r="AJ97" i="31"/>
  <c r="AA97" i="31"/>
  <c r="P97" i="31"/>
  <c r="AG97" i="31"/>
  <c r="J97" i="31"/>
  <c r="AL97" i="31"/>
  <c r="AK97" i="31"/>
  <c r="AZ38" i="31"/>
  <c r="AQ38" i="31"/>
  <c r="AH38" i="31"/>
  <c r="Y38" i="31"/>
  <c r="P38" i="31"/>
  <c r="O38" i="31"/>
  <c r="AK78" i="31"/>
  <c r="T78" i="31"/>
  <c r="I78" i="31"/>
  <c r="P78" i="31"/>
  <c r="AV78" i="31"/>
  <c r="AL78" i="31"/>
  <c r="R78" i="31"/>
  <c r="H102" i="31"/>
  <c r="AR102" i="31"/>
  <c r="R102" i="31"/>
  <c r="K102" i="31"/>
  <c r="AG102" i="31"/>
  <c r="Z102" i="31"/>
  <c r="AO17" i="31"/>
  <c r="AF17" i="31"/>
  <c r="W17" i="31"/>
  <c r="BG17" i="31"/>
  <c r="V17" i="31"/>
  <c r="AX17" i="31"/>
  <c r="Z17" i="31"/>
  <c r="I33" i="31"/>
  <c r="BB33" i="31"/>
  <c r="AP33" i="31"/>
  <c r="K33" i="31"/>
  <c r="AJ33" i="31"/>
  <c r="AR33" i="31"/>
  <c r="AO41" i="31"/>
  <c r="AF41" i="31"/>
  <c r="W41" i="31"/>
  <c r="BA41" i="31"/>
  <c r="AJ41" i="31"/>
  <c r="Z41" i="31"/>
  <c r="K41" i="31"/>
  <c r="BG65" i="31"/>
  <c r="AN65" i="31"/>
  <c r="N65" i="31"/>
  <c r="I65" i="31"/>
  <c r="BB65" i="31"/>
  <c r="L65" i="31"/>
  <c r="AK12" i="31"/>
  <c r="T12" i="31"/>
  <c r="K12" i="31"/>
  <c r="BC12" i="31"/>
  <c r="BB12" i="31"/>
  <c r="AL12" i="31"/>
  <c r="H12" i="31"/>
  <c r="AZ20" i="31"/>
  <c r="AQ20" i="31"/>
  <c r="AG20" i="31"/>
  <c r="W20" i="31"/>
  <c r="N20" i="31"/>
  <c r="Z20" i="31"/>
  <c r="AK28" i="31"/>
  <c r="T28" i="31"/>
  <c r="K28" i="31"/>
  <c r="BC28" i="31"/>
  <c r="AT28" i="31"/>
  <c r="AL28" i="31"/>
  <c r="BB28" i="31"/>
  <c r="AZ36" i="31"/>
  <c r="BF36" i="31"/>
  <c r="AW36" i="31"/>
  <c r="AN36" i="31"/>
  <c r="AD36" i="31"/>
  <c r="K36" i="31"/>
  <c r="AK44" i="31"/>
  <c r="T44" i="31"/>
  <c r="K44" i="31"/>
  <c r="BE44" i="31"/>
  <c r="AV44" i="31"/>
  <c r="AL44" i="31"/>
  <c r="AE44" i="31"/>
  <c r="AZ52" i="31"/>
  <c r="AQ52" i="31"/>
  <c r="AH52" i="31"/>
  <c r="Y52" i="31"/>
  <c r="P52" i="31"/>
  <c r="BC52" i="31"/>
  <c r="AQ60" i="31"/>
  <c r="AE60" i="31"/>
  <c r="J60" i="31"/>
  <c r="AC60" i="31"/>
  <c r="AK60" i="31"/>
  <c r="BD60" i="31"/>
  <c r="X60" i="31"/>
  <c r="K68" i="31"/>
  <c r="BB68" i="31"/>
  <c r="R68" i="31"/>
  <c r="AH68" i="31"/>
  <c r="J68" i="31"/>
  <c r="AP68" i="31"/>
  <c r="AK76" i="31"/>
  <c r="T76" i="31"/>
  <c r="I76" i="31"/>
  <c r="O76" i="31"/>
  <c r="AH76" i="31"/>
  <c r="T51" i="31"/>
  <c r="T59" i="31"/>
  <c r="BB59" i="31"/>
  <c r="AR67" i="31"/>
  <c r="AV75" i="31"/>
  <c r="BC75" i="31"/>
  <c r="N83" i="31"/>
  <c r="AH83" i="31"/>
  <c r="M91" i="31"/>
  <c r="AM91" i="31"/>
  <c r="AT91" i="31"/>
  <c r="AI99" i="31"/>
  <c r="BF99" i="31"/>
  <c r="I99" i="31"/>
  <c r="Q99" i="31"/>
  <c r="AR14" i="31"/>
  <c r="S14" i="31"/>
  <c r="AE14" i="31"/>
  <c r="AP14" i="31"/>
  <c r="AF14" i="31"/>
  <c r="AD57" i="31"/>
  <c r="AZ57" i="31"/>
  <c r="AI57" i="31"/>
  <c r="X57" i="31"/>
  <c r="AG57" i="31"/>
  <c r="R57" i="31"/>
  <c r="AS73" i="31"/>
  <c r="AI73" i="31"/>
  <c r="BF73" i="31"/>
  <c r="R73" i="31"/>
  <c r="N73" i="31"/>
  <c r="J73" i="31"/>
  <c r="AG81" i="31"/>
  <c r="X81" i="31"/>
  <c r="AC81" i="31"/>
  <c r="AA81" i="31"/>
  <c r="W81" i="31"/>
  <c r="BF81" i="31"/>
  <c r="AB81" i="31"/>
  <c r="AR89" i="31"/>
  <c r="AG89" i="31"/>
  <c r="BC89" i="31"/>
  <c r="AY89" i="31"/>
  <c r="BG89" i="31"/>
  <c r="AL89" i="31"/>
  <c r="AB97" i="31"/>
  <c r="S97" i="31"/>
  <c r="H97" i="31"/>
  <c r="U97" i="31"/>
  <c r="AW97" i="31"/>
  <c r="Q97" i="31"/>
  <c r="AE97" i="31"/>
  <c r="AR38" i="31"/>
  <c r="AI38" i="31"/>
  <c r="Z38" i="31"/>
  <c r="Q38" i="31"/>
  <c r="H38" i="31"/>
  <c r="BC38" i="31"/>
  <c r="AC78" i="31"/>
  <c r="L78" i="31"/>
  <c r="BG78" i="31"/>
  <c r="BB78" i="31"/>
  <c r="AI78" i="31"/>
  <c r="H78" i="31"/>
  <c r="O78" i="31"/>
  <c r="BC102" i="31"/>
  <c r="AJ102" i="31"/>
  <c r="BB102" i="31"/>
  <c r="BF102" i="31"/>
  <c r="J102" i="31"/>
  <c r="U102" i="31"/>
  <c r="AG17" i="31"/>
  <c r="X17" i="31"/>
  <c r="O17" i="31"/>
  <c r="AY17" i="31"/>
  <c r="AP17" i="31"/>
  <c r="BB17" i="31"/>
  <c r="AB17" i="31"/>
  <c r="BD33" i="31"/>
  <c r="AT33" i="31"/>
  <c r="AH33" i="31"/>
  <c r="BC33" i="31"/>
  <c r="T33" i="31"/>
  <c r="AB33" i="31"/>
  <c r="AG41" i="31"/>
  <c r="X41" i="31"/>
  <c r="O41" i="31"/>
  <c r="AS41" i="31"/>
  <c r="AB41" i="31"/>
  <c r="R41" i="31"/>
  <c r="BG41" i="31"/>
  <c r="AY65" i="31"/>
  <c r="AC65" i="31"/>
  <c r="BD65" i="31"/>
  <c r="AP65" i="31"/>
  <c r="AG65" i="31"/>
  <c r="AR65" i="31"/>
  <c r="AC12" i="31"/>
  <c r="L12" i="31"/>
  <c r="BE12" i="31"/>
  <c r="AU12" i="31"/>
  <c r="AT12" i="31"/>
  <c r="P12" i="31"/>
  <c r="AF12" i="31"/>
  <c r="AR20" i="31"/>
  <c r="AI20" i="31"/>
  <c r="Y20" i="31"/>
  <c r="O20" i="31"/>
  <c r="BB20" i="31"/>
  <c r="AP20" i="31"/>
  <c r="AC28" i="31"/>
  <c r="L28" i="31"/>
  <c r="BE28" i="31"/>
  <c r="AU28" i="31"/>
  <c r="X28" i="31"/>
  <c r="P28" i="31"/>
  <c r="J28" i="31"/>
  <c r="AR36" i="31"/>
  <c r="AX36" i="31"/>
  <c r="AO36" i="31"/>
  <c r="AF36" i="31"/>
  <c r="V36" i="31"/>
  <c r="AM36" i="31"/>
  <c r="AC44" i="31"/>
  <c r="L44" i="31"/>
  <c r="BF44" i="31"/>
  <c r="AW44" i="31"/>
  <c r="AN44" i="31"/>
  <c r="AD44" i="31"/>
  <c r="AM44" i="31"/>
  <c r="AR52" i="31"/>
  <c r="AI52" i="31"/>
  <c r="Z52" i="31"/>
  <c r="Q52" i="31"/>
  <c r="H52" i="31"/>
  <c r="AU52" i="31"/>
  <c r="AI60" i="31"/>
  <c r="W60" i="31"/>
  <c r="AZ60" i="31"/>
  <c r="R60" i="31"/>
  <c r="Z60" i="31"/>
  <c r="AR60" i="31"/>
  <c r="M60" i="31"/>
  <c r="BE68" i="31"/>
  <c r="AR68" i="31"/>
  <c r="H68" i="31"/>
  <c r="X68" i="31"/>
  <c r="AZ68" i="31"/>
  <c r="U68" i="31"/>
  <c r="AC76" i="31"/>
  <c r="L76" i="31"/>
  <c r="BD76" i="31"/>
  <c r="AX76" i="31"/>
  <c r="N76" i="31"/>
  <c r="W76" i="31"/>
  <c r="R51" i="31"/>
  <c r="AW59" i="31"/>
  <c r="AE67" i="31"/>
  <c r="T67" i="31"/>
  <c r="AR75" i="31"/>
  <c r="O75" i="31"/>
  <c r="BA83" i="31"/>
  <c r="Z83" i="31"/>
  <c r="AZ91" i="31"/>
  <c r="Z91" i="31"/>
  <c r="AI91" i="31"/>
  <c r="AA99" i="31"/>
  <c r="AT99" i="31"/>
  <c r="AU99" i="31"/>
  <c r="AL99" i="31"/>
  <c r="AJ14" i="31"/>
  <c r="BE14" i="31"/>
  <c r="W14" i="31"/>
  <c r="V14" i="31"/>
  <c r="N14" i="31"/>
  <c r="V57" i="31"/>
  <c r="AR57" i="31"/>
  <c r="AA57" i="31"/>
  <c r="P57" i="31"/>
  <c r="BF57" i="31"/>
  <c r="BC73" i="31"/>
  <c r="AK73" i="31"/>
  <c r="AA73" i="31"/>
  <c r="AT73" i="31"/>
  <c r="BD73" i="31"/>
  <c r="AB73" i="31"/>
  <c r="AO73" i="31"/>
  <c r="Y81" i="31"/>
  <c r="P81" i="31"/>
  <c r="U81" i="31"/>
  <c r="N81" i="31"/>
  <c r="K81" i="31"/>
  <c r="R81" i="31"/>
  <c r="BA89" i="31"/>
  <c r="AJ89" i="31"/>
  <c r="Y89" i="31"/>
  <c r="AP89" i="31"/>
  <c r="AM89" i="31"/>
  <c r="X89" i="31"/>
  <c r="K89" i="31"/>
  <c r="T97" i="31"/>
  <c r="K97" i="31"/>
  <c r="AU97" i="31"/>
  <c r="BB97" i="31"/>
  <c r="Z97" i="31"/>
  <c r="R97" i="31"/>
  <c r="BA38" i="31"/>
  <c r="AJ38" i="31"/>
  <c r="AA38" i="31"/>
  <c r="R38" i="31"/>
  <c r="I38" i="31"/>
  <c r="BB38" i="31"/>
  <c r="AU38" i="31"/>
  <c r="U78" i="31"/>
  <c r="BE78" i="31"/>
  <c r="AU78" i="31"/>
  <c r="AN78" i="31"/>
  <c r="W78" i="31"/>
  <c r="AF78" i="31"/>
  <c r="BD102" i="31"/>
  <c r="AU102" i="31"/>
  <c r="AB102" i="31"/>
  <c r="AP102" i="31"/>
  <c r="AI102" i="31"/>
  <c r="AW102" i="31"/>
  <c r="BG102" i="31"/>
  <c r="Y17" i="31"/>
  <c r="P17" i="31"/>
  <c r="BA17" i="31"/>
  <c r="AQ17" i="31"/>
  <c r="T17" i="31"/>
  <c r="AH17" i="31"/>
  <c r="BE33" i="31"/>
  <c r="AV33" i="31"/>
  <c r="AL33" i="31"/>
  <c r="Z33" i="31"/>
  <c r="AM33" i="31"/>
  <c r="AY33" i="31"/>
  <c r="L33" i="31"/>
  <c r="Y41" i="31"/>
  <c r="P41" i="31"/>
  <c r="BB41" i="31"/>
  <c r="AK41" i="31"/>
  <c r="T41" i="31"/>
  <c r="J41" i="31"/>
  <c r="BC65" i="31"/>
  <c r="AQ65" i="31"/>
  <c r="R65" i="31"/>
  <c r="AS65" i="31"/>
  <c r="V65" i="31"/>
  <c r="P65" i="31"/>
  <c r="X65" i="31"/>
  <c r="U12" i="31"/>
  <c r="BG12" i="31"/>
  <c r="AW12" i="31"/>
  <c r="AM12" i="31"/>
  <c r="X12" i="31"/>
  <c r="J12" i="31"/>
  <c r="BA20" i="31"/>
  <c r="AJ20" i="31"/>
  <c r="AA20" i="31"/>
  <c r="Q20" i="31"/>
  <c r="BF20" i="31"/>
  <c r="AF20" i="31"/>
  <c r="AT20" i="31"/>
  <c r="U28" i="31"/>
  <c r="BG28" i="31"/>
  <c r="AW28" i="31"/>
  <c r="AM28" i="31"/>
  <c r="AP28" i="31"/>
  <c r="BD28" i="31"/>
  <c r="BA36" i="31"/>
  <c r="AJ36" i="31"/>
  <c r="AP36" i="31"/>
  <c r="AG36" i="31"/>
  <c r="X36" i="31"/>
  <c r="N36" i="31"/>
  <c r="AI36" i="31"/>
  <c r="U44" i="31"/>
  <c r="BG44" i="31"/>
  <c r="AX44" i="31"/>
  <c r="AO44" i="31"/>
  <c r="AF44" i="31"/>
  <c r="V44" i="31"/>
  <c r="BA52" i="31"/>
  <c r="AJ52" i="31"/>
  <c r="AA52" i="31"/>
  <c r="R52" i="31"/>
  <c r="I52" i="31"/>
  <c r="BB52" i="31"/>
  <c r="AM52" i="31"/>
  <c r="AA60" i="31"/>
  <c r="O60" i="31"/>
  <c r="AO60" i="31"/>
  <c r="H60" i="31"/>
  <c r="P60" i="31"/>
  <c r="AG60" i="31"/>
  <c r="BG68" i="31"/>
  <c r="BC68" i="31"/>
  <c r="AG68" i="31"/>
  <c r="AW68" i="31"/>
  <c r="M68" i="31"/>
  <c r="AD68" i="31"/>
  <c r="AK68" i="31"/>
  <c r="U76" i="31"/>
  <c r="BE76" i="31"/>
  <c r="AQ76" i="31"/>
  <c r="AL76" i="31"/>
  <c r="AY76" i="31"/>
  <c r="AM76" i="31"/>
  <c r="AZ84" i="31"/>
  <c r="AQ84" i="31"/>
  <c r="AH84" i="31"/>
  <c r="Y84" i="31"/>
  <c r="O84" i="31"/>
  <c r="P84" i="31"/>
  <c r="AD84" i="31"/>
  <c r="X92" i="31"/>
  <c r="O92" i="31"/>
  <c r="AL92" i="31"/>
  <c r="AS92" i="31"/>
  <c r="AO92" i="31"/>
  <c r="J51" i="31"/>
  <c r="AL59" i="31"/>
  <c r="W67" i="31"/>
  <c r="AN67" i="31"/>
  <c r="AF75" i="31"/>
  <c r="BG75" i="31"/>
  <c r="AS83" i="31"/>
  <c r="AR83" i="31"/>
  <c r="BF91" i="31"/>
  <c r="N91" i="31"/>
  <c r="AF91" i="31"/>
  <c r="S99" i="31"/>
  <c r="AS99" i="31"/>
  <c r="Y99" i="31"/>
  <c r="J99" i="31"/>
  <c r="AB14" i="31"/>
  <c r="AO14" i="31"/>
  <c r="O14" i="31"/>
  <c r="BD14" i="31"/>
  <c r="AU57" i="31"/>
  <c r="N57" i="31"/>
  <c r="AJ57" i="31"/>
  <c r="S57" i="31"/>
  <c r="H57" i="31"/>
  <c r="Z57" i="31"/>
  <c r="AU73" i="31"/>
  <c r="AC73" i="31"/>
  <c r="S73" i="31"/>
  <c r="AG73" i="31"/>
  <c r="AP73" i="31"/>
  <c r="X73" i="31"/>
  <c r="I73" i="31"/>
  <c r="Q81" i="31"/>
  <c r="H81" i="31"/>
  <c r="M81" i="31"/>
  <c r="AZ81" i="31"/>
  <c r="AT81" i="31"/>
  <c r="AX81" i="31"/>
  <c r="AS89" i="31"/>
  <c r="AB89" i="31"/>
  <c r="Q89" i="31"/>
  <c r="AD89" i="31"/>
  <c r="Z89" i="31"/>
  <c r="BF89" i="31"/>
  <c r="AU89" i="31"/>
  <c r="L97" i="31"/>
  <c r="BD97" i="31"/>
  <c r="AH97" i="31"/>
  <c r="AO97" i="31"/>
  <c r="AS97" i="31"/>
  <c r="N97" i="31"/>
  <c r="AS38" i="31"/>
  <c r="AB38" i="31"/>
  <c r="S38" i="31"/>
  <c r="J38" i="31"/>
  <c r="BD38" i="31"/>
  <c r="AT38" i="31"/>
  <c r="AM38" i="31"/>
  <c r="M78" i="31"/>
  <c r="AW78" i="31"/>
  <c r="AH78" i="31"/>
  <c r="AA78" i="31"/>
  <c r="J78" i="31"/>
  <c r="BF78" i="31"/>
  <c r="AV102" i="31"/>
  <c r="AM102" i="31"/>
  <c r="T102" i="31"/>
  <c r="AC102" i="31"/>
  <c r="N102" i="31"/>
  <c r="AA102" i="31"/>
  <c r="S102" i="31"/>
  <c r="Q17" i="31"/>
  <c r="H17" i="31"/>
  <c r="AS17" i="31"/>
  <c r="AI17" i="31"/>
  <c r="AL17" i="31"/>
  <c r="L17" i="31"/>
  <c r="AW33" i="31"/>
  <c r="AN33" i="31"/>
  <c r="AD33" i="31"/>
  <c r="R33" i="31"/>
  <c r="W33" i="31"/>
  <c r="AI33" i="31"/>
  <c r="AC33" i="31"/>
  <c r="Q41" i="31"/>
  <c r="H41" i="31"/>
  <c r="AT41" i="31"/>
  <c r="AC41" i="31"/>
  <c r="L41" i="31"/>
  <c r="AY41" i="31"/>
  <c r="AU65" i="31"/>
  <c r="AI65" i="31"/>
  <c r="H65" i="31"/>
  <c r="AH65" i="31"/>
  <c r="AL65" i="31"/>
  <c r="BA65" i="31"/>
  <c r="AV65" i="31"/>
  <c r="M12" i="31"/>
  <c r="AY12" i="31"/>
  <c r="AO12" i="31"/>
  <c r="AE12" i="31"/>
  <c r="AP12" i="31"/>
  <c r="BD12" i="31"/>
  <c r="AS20" i="31"/>
  <c r="AB20" i="31"/>
  <c r="S20" i="31"/>
  <c r="I20" i="31"/>
  <c r="AL20" i="31"/>
  <c r="J20" i="31"/>
  <c r="X20" i="31"/>
  <c r="M28" i="31"/>
  <c r="AY28" i="31"/>
  <c r="AO28" i="31"/>
  <c r="AE28" i="31"/>
  <c r="V28" i="31"/>
  <c r="AH28" i="31"/>
  <c r="AS36" i="31"/>
  <c r="AB36" i="31"/>
  <c r="AH36" i="31"/>
  <c r="Y36" i="31"/>
  <c r="P36" i="31"/>
  <c r="BC36" i="31"/>
  <c r="AE36" i="31"/>
  <c r="M44" i="31"/>
  <c r="AY44" i="31"/>
  <c r="AP44" i="31"/>
  <c r="AG44" i="31"/>
  <c r="X44" i="31"/>
  <c r="N44" i="31"/>
  <c r="AS52" i="31"/>
  <c r="AB52" i="31"/>
  <c r="S52" i="31"/>
  <c r="J52" i="31"/>
  <c r="BD52" i="31"/>
  <c r="AT52" i="31"/>
  <c r="AE52" i="31"/>
  <c r="S60" i="31"/>
  <c r="BB60" i="31"/>
  <c r="AD60" i="31"/>
  <c r="AW60" i="31"/>
  <c r="BF60" i="31"/>
  <c r="V60" i="31"/>
  <c r="AY68" i="31"/>
  <c r="AU68" i="31"/>
  <c r="V68" i="31"/>
  <c r="AL68" i="31"/>
  <c r="BF68" i="31"/>
  <c r="I68" i="31"/>
  <c r="P68" i="31"/>
  <c r="M76" i="31"/>
  <c r="AW76" i="31"/>
  <c r="AE76" i="31"/>
  <c r="X76" i="31"/>
  <c r="AF76" i="31"/>
  <c r="AI76" i="31"/>
  <c r="AR84" i="31"/>
  <c r="AI84" i="31"/>
  <c r="Z84" i="31"/>
  <c r="Q84" i="31"/>
  <c r="AV84" i="31"/>
  <c r="AK84" i="31"/>
  <c r="AF84" i="31"/>
  <c r="P92" i="31"/>
  <c r="AZ92" i="31"/>
  <c r="AT76" i="31"/>
  <c r="AG84" i="31"/>
  <c r="AF92" i="31"/>
  <c r="AG92" i="31"/>
  <c r="N92" i="31"/>
  <c r="AM100" i="31"/>
  <c r="L100" i="31"/>
  <c r="R100" i="31"/>
  <c r="BB100" i="31"/>
  <c r="J100" i="31"/>
  <c r="AO100" i="31"/>
  <c r="AP30" i="31"/>
  <c r="N30" i="31"/>
  <c r="AB30" i="31"/>
  <c r="AU30" i="31"/>
  <c r="Y30" i="31"/>
  <c r="BE30" i="31"/>
  <c r="AQ70" i="31"/>
  <c r="AG70" i="31"/>
  <c r="W70" i="31"/>
  <c r="V70" i="31"/>
  <c r="AF70" i="31"/>
  <c r="AR70" i="31"/>
  <c r="BD70" i="31"/>
  <c r="I15" i="31"/>
  <c r="BC15" i="31"/>
  <c r="AK15" i="31"/>
  <c r="AA15" i="31"/>
  <c r="AJ15" i="31"/>
  <c r="J15" i="31"/>
  <c r="AO23" i="31"/>
  <c r="AF23" i="31"/>
  <c r="W23" i="31"/>
  <c r="BG23" i="31"/>
  <c r="AD23" i="31"/>
  <c r="V23" i="31"/>
  <c r="AH23" i="31"/>
  <c r="I31" i="31"/>
  <c r="BB31" i="31"/>
  <c r="AP31" i="31"/>
  <c r="AU31" i="31"/>
  <c r="L31" i="31"/>
  <c r="AZ31" i="31"/>
  <c r="AO39" i="31"/>
  <c r="AF39" i="31"/>
  <c r="W39" i="31"/>
  <c r="BA39" i="31"/>
  <c r="AJ39" i="31"/>
  <c r="Z39" i="31"/>
  <c r="AI39" i="31"/>
  <c r="I47" i="31"/>
  <c r="BC47" i="31"/>
  <c r="AL47" i="31"/>
  <c r="U47" i="31"/>
  <c r="BF47" i="31"/>
  <c r="AY47" i="31"/>
  <c r="AM55" i="31"/>
  <c r="V55" i="31"/>
  <c r="AZ55" i="31"/>
  <c r="AN55" i="31"/>
  <c r="AO55" i="31"/>
  <c r="AY55" i="31"/>
  <c r="AW55" i="31"/>
  <c r="BG63" i="31"/>
  <c r="AV63" i="31"/>
  <c r="L63" i="31"/>
  <c r="H63" i="31"/>
  <c r="AH63" i="31"/>
  <c r="AP63" i="31"/>
  <c r="AM71" i="31"/>
  <c r="U71" i="31"/>
  <c r="K71" i="31"/>
  <c r="I71" i="31"/>
  <c r="AF71" i="31"/>
  <c r="BD71" i="31"/>
  <c r="AJ71" i="31"/>
  <c r="I79" i="31"/>
  <c r="BA79" i="31"/>
  <c r="AH79" i="31"/>
  <c r="AA79" i="31"/>
  <c r="V79" i="31"/>
  <c r="R79" i="31"/>
  <c r="AK87" i="31"/>
  <c r="L87" i="31"/>
  <c r="BF87" i="31"/>
  <c r="R87" i="31"/>
  <c r="O87" i="31"/>
  <c r="AY87" i="31"/>
  <c r="N87" i="31"/>
  <c r="BG95" i="31"/>
  <c r="AV95" i="31"/>
  <c r="W95" i="31"/>
  <c r="AD95" i="31"/>
  <c r="Z95" i="31"/>
  <c r="BE95" i="31"/>
  <c r="AJ103" i="31"/>
  <c r="AA103" i="31"/>
  <c r="P103" i="31"/>
  <c r="AC103" i="31"/>
  <c r="AS103" i="31"/>
  <c r="AG103" i="31"/>
  <c r="N103" i="31"/>
  <c r="K54" i="31"/>
  <c r="BE54" i="31"/>
  <c r="AV54" i="31"/>
  <c r="AF54" i="31"/>
  <c r="AN54" i="31"/>
  <c r="W54" i="31"/>
  <c r="BD9" i="31"/>
  <c r="U9" i="31"/>
  <c r="L9" i="31"/>
  <c r="AP9" i="31"/>
  <c r="AU76" i="31"/>
  <c r="AE84" i="31"/>
  <c r="AE92" i="31"/>
  <c r="U92" i="31"/>
  <c r="AA92" i="31"/>
  <c r="W100" i="31"/>
  <c r="BF100" i="31"/>
  <c r="AY100" i="31"/>
  <c r="AI100" i="31"/>
  <c r="AT100" i="31"/>
  <c r="AP100" i="31"/>
  <c r="BB30" i="31"/>
  <c r="AY30" i="31"/>
  <c r="T30" i="31"/>
  <c r="AH30" i="31"/>
  <c r="Q30" i="31"/>
  <c r="AO30" i="31"/>
  <c r="AI70" i="31"/>
  <c r="Y70" i="31"/>
  <c r="O70" i="31"/>
  <c r="J70" i="31"/>
  <c r="T70" i="31"/>
  <c r="L70" i="31"/>
  <c r="X70" i="31"/>
  <c r="BD15" i="31"/>
  <c r="AU15" i="31"/>
  <c r="AC15" i="31"/>
  <c r="S15" i="31"/>
  <c r="N15" i="31"/>
  <c r="AX15" i="31"/>
  <c r="AG23" i="31"/>
  <c r="X23" i="31"/>
  <c r="O23" i="31"/>
  <c r="AY23" i="31"/>
  <c r="J23" i="31"/>
  <c r="AJ23" i="31"/>
  <c r="L23" i="31"/>
  <c r="BD31" i="31"/>
  <c r="AT31" i="31"/>
  <c r="AH31" i="31"/>
  <c r="AE31" i="31"/>
  <c r="BG31" i="31"/>
  <c r="AJ31" i="31"/>
  <c r="AG39" i="31"/>
  <c r="X39" i="31"/>
  <c r="O39" i="31"/>
  <c r="AS39" i="31"/>
  <c r="AB39" i="31"/>
  <c r="R39" i="31"/>
  <c r="AQ39" i="31"/>
  <c r="BD47" i="31"/>
  <c r="AU47" i="31"/>
  <c r="AD47" i="31"/>
  <c r="M47" i="31"/>
  <c r="AX47" i="31"/>
  <c r="AQ47" i="31"/>
  <c r="AE55" i="31"/>
  <c r="N55" i="31"/>
  <c r="AR55" i="31"/>
  <c r="AF55" i="31"/>
  <c r="R55" i="31"/>
  <c r="AG55" i="31"/>
  <c r="Z55" i="31"/>
  <c r="AY63" i="31"/>
  <c r="AK63" i="31"/>
  <c r="AW63" i="31"/>
  <c r="BD63" i="31"/>
  <c r="R63" i="31"/>
  <c r="Y63" i="31"/>
  <c r="AE71" i="31"/>
  <c r="M71" i="31"/>
  <c r="AZ71" i="31"/>
  <c r="BF71" i="31"/>
  <c r="R71" i="31"/>
  <c r="X71" i="31"/>
  <c r="AL71" i="31"/>
  <c r="BD79" i="31"/>
  <c r="AS79" i="31"/>
  <c r="T79" i="31"/>
  <c r="N79" i="31"/>
  <c r="J79" i="31"/>
  <c r="AQ79" i="31"/>
  <c r="AC87" i="31"/>
  <c r="BE87" i="31"/>
  <c r="AT87" i="31"/>
  <c r="BC87" i="31"/>
  <c r="AX87" i="31"/>
  <c r="V87" i="31"/>
  <c r="AH87" i="31"/>
  <c r="AY95" i="31"/>
  <c r="AN95" i="31"/>
  <c r="J95" i="31"/>
  <c r="Q95" i="31"/>
  <c r="AS95" i="31"/>
  <c r="AO95" i="31"/>
  <c r="AB103" i="31"/>
  <c r="S103" i="31"/>
  <c r="H103" i="31"/>
  <c r="O103" i="31"/>
  <c r="V103" i="31"/>
  <c r="M103" i="31"/>
  <c r="AU103" i="31"/>
  <c r="BF54" i="31"/>
  <c r="AW54" i="31"/>
  <c r="AZ54" i="31"/>
  <c r="U54" i="31"/>
  <c r="AC54" i="31"/>
  <c r="L54" i="31"/>
  <c r="AV9" i="31"/>
  <c r="M9" i="31"/>
  <c r="BB9" i="31"/>
  <c r="AH9" i="31"/>
  <c r="Y9" i="31"/>
  <c r="P9" i="31"/>
  <c r="O9" i="31"/>
  <c r="AR10" i="31"/>
  <c r="AI10" i="31"/>
  <c r="Y10" i="31"/>
  <c r="X10" i="31"/>
  <c r="AL10" i="31"/>
  <c r="N10" i="31"/>
  <c r="AC18" i="31"/>
  <c r="L18" i="31"/>
  <c r="BE18" i="31"/>
  <c r="AU18" i="31"/>
  <c r="BB18" i="31"/>
  <c r="Z18" i="31"/>
  <c r="P18" i="31"/>
  <c r="AR26" i="31"/>
  <c r="AI26" i="31"/>
  <c r="Y26" i="31"/>
  <c r="O26" i="31"/>
  <c r="BF26" i="31"/>
  <c r="AF26" i="31"/>
  <c r="AC34" i="31"/>
  <c r="L34" i="31"/>
  <c r="BB34" i="31"/>
  <c r="W34" i="31"/>
  <c r="AF34" i="31"/>
  <c r="K34" i="31"/>
  <c r="Y34" i="31"/>
  <c r="AR42" i="31"/>
  <c r="AI42" i="31"/>
  <c r="Z42" i="31"/>
  <c r="Q42" i="31"/>
  <c r="H42" i="31"/>
  <c r="AU42" i="31"/>
  <c r="AC50" i="31"/>
  <c r="L50" i="31"/>
  <c r="BF50" i="31"/>
  <c r="AW50" i="31"/>
  <c r="AN50" i="31"/>
  <c r="AD50" i="31"/>
  <c r="AU50" i="31"/>
  <c r="K58" i="31"/>
  <c r="AW58" i="31"/>
  <c r="AN58" i="31"/>
  <c r="AE58" i="31"/>
  <c r="L58" i="31"/>
  <c r="M58" i="31"/>
  <c r="AI66" i="31"/>
  <c r="W66" i="31"/>
  <c r="AV66" i="31"/>
  <c r="N66" i="31"/>
  <c r="L66" i="31"/>
  <c r="AR66" i="31"/>
  <c r="AL66" i="31"/>
  <c r="AL74" i="31"/>
  <c r="Q74" i="31"/>
  <c r="AN74" i="31"/>
  <c r="R74" i="31"/>
  <c r="M74" i="31"/>
  <c r="W74" i="31"/>
  <c r="AB82" i="31"/>
  <c r="AW82" i="31"/>
  <c r="AK82" i="31"/>
  <c r="AG82" i="31"/>
  <c r="BD82" i="31"/>
  <c r="P82" i="31"/>
  <c r="N82" i="31"/>
  <c r="BD90" i="31"/>
  <c r="AS90" i="31"/>
  <c r="R90" i="31"/>
  <c r="N90" i="31"/>
  <c r="J90" i="31"/>
  <c r="T90" i="31"/>
  <c r="AF98" i="31"/>
  <c r="W98" i="31"/>
  <c r="BG98" i="31"/>
  <c r="S98" i="31"/>
  <c r="AK98" i="31"/>
  <c r="AW98" i="31"/>
  <c r="AC98" i="31"/>
  <c r="BC94" i="31"/>
  <c r="AJ94" i="31"/>
  <c r="BF76" i="31"/>
  <c r="W84" i="31"/>
  <c r="W92" i="31"/>
  <c r="BG92" i="31"/>
  <c r="BD100" i="31"/>
  <c r="O100" i="31"/>
  <c r="AS100" i="31"/>
  <c r="AL100" i="31"/>
  <c r="N100" i="31"/>
  <c r="Y100" i="31"/>
  <c r="BA30" i="31"/>
  <c r="AT30" i="31"/>
  <c r="AK30" i="31"/>
  <c r="L30" i="31"/>
  <c r="Z30" i="31"/>
  <c r="I30" i="31"/>
  <c r="AF30" i="31"/>
  <c r="AA70" i="31"/>
  <c r="Q70" i="31"/>
  <c r="BA70" i="31"/>
  <c r="AT70" i="31"/>
  <c r="BB70" i="31"/>
  <c r="AL70" i="31"/>
  <c r="BE15" i="31"/>
  <c r="AV15" i="31"/>
  <c r="AM15" i="31"/>
  <c r="U15" i="31"/>
  <c r="K15" i="31"/>
  <c r="Z15" i="31"/>
  <c r="AB15" i="31"/>
  <c r="Y23" i="31"/>
  <c r="P23" i="31"/>
  <c r="BA23" i="31"/>
  <c r="AQ23" i="31"/>
  <c r="AX23" i="31"/>
  <c r="AP23" i="31"/>
  <c r="BE31" i="31"/>
  <c r="AV31" i="31"/>
  <c r="AL31" i="31"/>
  <c r="Z31" i="31"/>
  <c r="O31" i="31"/>
  <c r="AQ31" i="31"/>
  <c r="T31" i="31"/>
  <c r="Y39" i="31"/>
  <c r="P39" i="31"/>
  <c r="BB39" i="31"/>
  <c r="AK39" i="31"/>
  <c r="T39" i="31"/>
  <c r="J39" i="31"/>
  <c r="BE47" i="31"/>
  <c r="AV47" i="31"/>
  <c r="AM47" i="31"/>
  <c r="V47" i="31"/>
  <c r="AZ47" i="31"/>
  <c r="AP47" i="31"/>
  <c r="AI47" i="31"/>
  <c r="W55" i="31"/>
  <c r="BA55" i="31"/>
  <c r="AJ55" i="31"/>
  <c r="X55" i="31"/>
  <c r="BF55" i="31"/>
  <c r="J55" i="31"/>
  <c r="BC63" i="31"/>
  <c r="AQ63" i="31"/>
  <c r="Z63" i="31"/>
  <c r="AL63" i="31"/>
  <c r="AN63" i="31"/>
  <c r="AX63" i="31"/>
  <c r="I63" i="31"/>
  <c r="W71" i="31"/>
  <c r="BG71" i="31"/>
  <c r="AN71" i="31"/>
  <c r="AT71" i="31"/>
  <c r="BB71" i="31"/>
  <c r="AX71" i="31"/>
  <c r="BE79" i="31"/>
  <c r="AV79" i="31"/>
  <c r="AK79" i="31"/>
  <c r="BB79" i="31"/>
  <c r="AY79" i="31"/>
  <c r="AJ79" i="31"/>
  <c r="K79" i="31"/>
  <c r="U87" i="31"/>
  <c r="AW87" i="31"/>
  <c r="AF87" i="31"/>
  <c r="AP87" i="31"/>
  <c r="AL87" i="31"/>
  <c r="AU87" i="31"/>
  <c r="AZ95" i="31"/>
  <c r="AQ95" i="31"/>
  <c r="AF95" i="31"/>
  <c r="AU95" i="31"/>
  <c r="BA95" i="31"/>
  <c r="Y95" i="31"/>
  <c r="BB95" i="31"/>
  <c r="T103" i="31"/>
  <c r="K103" i="31"/>
  <c r="BC103" i="31"/>
  <c r="AW103" i="31"/>
  <c r="AM103" i="31"/>
  <c r="AH103" i="31"/>
  <c r="BG54" i="31"/>
  <c r="AX54" i="31"/>
  <c r="AO54" i="31"/>
  <c r="AR54" i="31"/>
  <c r="AT54" i="31"/>
  <c r="O54" i="31"/>
  <c r="X54" i="31"/>
  <c r="BC9" i="31"/>
  <c r="AE9" i="31"/>
  <c r="AQ9" i="31"/>
  <c r="Z9" i="31"/>
  <c r="Q9" i="31"/>
  <c r="H9" i="31"/>
  <c r="BA10" i="31"/>
  <c r="AJ10" i="31"/>
  <c r="AA10" i="31"/>
  <c r="BC10" i="31"/>
  <c r="H10" i="31"/>
  <c r="Q10" i="31"/>
  <c r="AV10" i="31"/>
  <c r="U18" i="31"/>
  <c r="BG18" i="31"/>
  <c r="AW18" i="31"/>
  <c r="AM18" i="31"/>
  <c r="AF18" i="31"/>
  <c r="AT18" i="31"/>
  <c r="BA26" i="31"/>
  <c r="AJ26" i="31"/>
  <c r="AA26" i="31"/>
  <c r="Q26" i="31"/>
  <c r="AT26" i="31"/>
  <c r="AL26" i="31"/>
  <c r="J26" i="31"/>
  <c r="U34" i="31"/>
  <c r="BF34" i="31"/>
  <c r="AT34" i="31"/>
  <c r="AY34" i="31"/>
  <c r="P34" i="31"/>
  <c r="BD34" i="31"/>
  <c r="BA42" i="31"/>
  <c r="AJ42" i="31"/>
  <c r="AA42" i="31"/>
  <c r="R42" i="31"/>
  <c r="I42" i="31"/>
  <c r="BB42" i="31"/>
  <c r="AM42" i="31"/>
  <c r="U50" i="31"/>
  <c r="BG50" i="31"/>
  <c r="AX50" i="31"/>
  <c r="AO50" i="31"/>
  <c r="AF50" i="31"/>
  <c r="V50" i="31"/>
  <c r="BG58" i="31"/>
  <c r="AX58" i="31"/>
  <c r="AO58" i="31"/>
  <c r="AF58" i="31"/>
  <c r="W58" i="31"/>
  <c r="BB58" i="31"/>
  <c r="AL58" i="31"/>
  <c r="AA66" i="31"/>
  <c r="O66" i="31"/>
  <c r="AK66" i="31"/>
  <c r="BA66" i="31"/>
  <c r="AX66" i="31"/>
  <c r="V66" i="31"/>
  <c r="BA74" i="31"/>
  <c r="AB74" i="31"/>
  <c r="I74" i="31"/>
  <c r="Y74" i="31"/>
  <c r="BG74" i="31"/>
  <c r="AX74" i="31"/>
  <c r="AZ74" i="31"/>
  <c r="T82" i="31"/>
  <c r="BC82" i="31"/>
  <c r="X82" i="31"/>
  <c r="U82" i="31"/>
  <c r="AC82" i="31"/>
  <c r="AF82" i="31"/>
  <c r="BE90" i="31"/>
  <c r="AV90" i="31"/>
  <c r="AK90" i="31"/>
  <c r="BB90" i="31"/>
  <c r="AY90" i="31"/>
  <c r="AR90" i="31"/>
  <c r="S90" i="31"/>
  <c r="X98" i="31"/>
  <c r="O98" i="31"/>
  <c r="AT98" i="31"/>
  <c r="BA98" i="31"/>
  <c r="Q98" i="31"/>
  <c r="Z98" i="31"/>
  <c r="BD94" i="31"/>
  <c r="AU94" i="31"/>
  <c r="AB94" i="31"/>
  <c r="BG84" i="31"/>
  <c r="V84" i="31"/>
  <c r="L92" i="31"/>
  <c r="R92" i="31"/>
  <c r="AV100" i="31"/>
  <c r="AZ100" i="31"/>
  <c r="AG100" i="31"/>
  <c r="Z100" i="31"/>
  <c r="BA100" i="31"/>
  <c r="AA100" i="31"/>
  <c r="AS30" i="31"/>
  <c r="AL30" i="31"/>
  <c r="AC30" i="31"/>
  <c r="AV30" i="31"/>
  <c r="R30" i="31"/>
  <c r="BD30" i="31"/>
  <c r="X30" i="31"/>
  <c r="S70" i="31"/>
  <c r="I70" i="31"/>
  <c r="AN70" i="31"/>
  <c r="AH70" i="31"/>
  <c r="AP70" i="31"/>
  <c r="AK70" i="31"/>
  <c r="AW15" i="31"/>
  <c r="AN15" i="31"/>
  <c r="AE15" i="31"/>
  <c r="M15" i="31"/>
  <c r="AP15" i="31"/>
  <c r="BB15" i="31"/>
  <c r="AR15" i="31"/>
  <c r="Q23" i="31"/>
  <c r="H23" i="31"/>
  <c r="AS23" i="31"/>
  <c r="AI23" i="31"/>
  <c r="AB23" i="31"/>
  <c r="T23" i="31"/>
  <c r="AW31" i="31"/>
  <c r="AN31" i="31"/>
  <c r="AD31" i="31"/>
  <c r="R31" i="31"/>
  <c r="AS31" i="31"/>
  <c r="AA31" i="31"/>
  <c r="AK31" i="31"/>
  <c r="Q39" i="31"/>
  <c r="H39" i="31"/>
  <c r="AT39" i="31"/>
  <c r="AC39" i="31"/>
  <c r="L39" i="31"/>
  <c r="AA39" i="31"/>
  <c r="AW47" i="31"/>
  <c r="AN47" i="31"/>
  <c r="AE47" i="31"/>
  <c r="N47" i="31"/>
  <c r="AR47" i="31"/>
  <c r="AH47" i="31"/>
  <c r="AA47" i="31"/>
  <c r="O55" i="31"/>
  <c r="AS55" i="31"/>
  <c r="AB55" i="31"/>
  <c r="P55" i="31"/>
  <c r="AI55" i="31"/>
  <c r="AX55" i="31"/>
  <c r="AU63" i="31"/>
  <c r="AI63" i="31"/>
  <c r="P63" i="31"/>
  <c r="AB63" i="31"/>
  <c r="U63" i="31"/>
  <c r="AF63" i="31"/>
  <c r="J63" i="31"/>
  <c r="O71" i="31"/>
  <c r="AY71" i="31"/>
  <c r="Z71" i="31"/>
  <c r="AG71" i="31"/>
  <c r="AO71" i="31"/>
  <c r="Q71" i="31"/>
  <c r="AW79" i="31"/>
  <c r="AN79" i="31"/>
  <c r="AC79" i="31"/>
  <c r="AP79" i="31"/>
  <c r="AL79" i="31"/>
  <c r="BF79" i="31"/>
  <c r="AR79" i="31"/>
  <c r="AZ87" i="31"/>
  <c r="AO87" i="31"/>
  <c r="S87" i="31"/>
  <c r="AD87" i="31"/>
  <c r="X87" i="31"/>
  <c r="K87" i="31"/>
  <c r="AR95" i="31"/>
  <c r="AI95" i="31"/>
  <c r="X95" i="31"/>
  <c r="AH95" i="31"/>
  <c r="AE95" i="31"/>
  <c r="BF95" i="31"/>
  <c r="AL95" i="31"/>
  <c r="L103" i="31"/>
  <c r="BD103" i="31"/>
  <c r="AP103" i="31"/>
  <c r="AK103" i="31"/>
  <c r="U103" i="31"/>
  <c r="AE103" i="31"/>
  <c r="AY54" i="31"/>
  <c r="AP54" i="31"/>
  <c r="AG54" i="31"/>
  <c r="BA54" i="31"/>
  <c r="AE54" i="31"/>
  <c r="AM54" i="31"/>
  <c r="M54" i="31"/>
  <c r="BG9" i="31"/>
  <c r="BF9" i="31"/>
  <c r="AI9" i="31"/>
  <c r="R9" i="31"/>
  <c r="I9" i="31"/>
  <c r="AU9" i="31"/>
  <c r="AS10" i="31"/>
  <c r="AB10" i="31"/>
  <c r="S10" i="31"/>
  <c r="AU10" i="31"/>
  <c r="AP10" i="31"/>
  <c r="BD10" i="31"/>
  <c r="Z10" i="31"/>
  <c r="M18" i="31"/>
  <c r="AY18" i="31"/>
  <c r="AO18" i="31"/>
  <c r="AE18" i="31"/>
  <c r="J18" i="31"/>
  <c r="X18" i="31"/>
  <c r="AS26" i="31"/>
  <c r="AB26" i="31"/>
  <c r="S26" i="31"/>
  <c r="I26" i="31"/>
  <c r="X26" i="31"/>
  <c r="P26" i="31"/>
  <c r="AV26" i="31"/>
  <c r="M34" i="31"/>
  <c r="AX34" i="31"/>
  <c r="AL34" i="31"/>
  <c r="AI34" i="31"/>
  <c r="AU34" i="31"/>
  <c r="AN34" i="31"/>
  <c r="AS42" i="31"/>
  <c r="AB42" i="31"/>
  <c r="S42" i="31"/>
  <c r="J42" i="31"/>
  <c r="BD42" i="31"/>
  <c r="AT42" i="31"/>
  <c r="AE42" i="31"/>
  <c r="M50" i="31"/>
  <c r="AY50" i="31"/>
  <c r="AP50" i="31"/>
  <c r="AG50" i="31"/>
  <c r="X50" i="31"/>
  <c r="N50" i="31"/>
  <c r="BC58" i="31"/>
  <c r="AP58" i="31"/>
  <c r="AG58" i="31"/>
  <c r="X58" i="31"/>
  <c r="O58" i="31"/>
  <c r="V58" i="31"/>
  <c r="AK58" i="31"/>
  <c r="S66" i="31"/>
  <c r="AZ66" i="31"/>
  <c r="Z66" i="31"/>
  <c r="AP66" i="31"/>
  <c r="AC66" i="31"/>
  <c r="AN66" i="31"/>
  <c r="AS74" i="31"/>
  <c r="S74" i="31"/>
  <c r="AY84" i="31"/>
  <c r="AL84" i="31"/>
  <c r="AY92" i="31"/>
  <c r="AD92" i="31"/>
  <c r="P100" i="31"/>
  <c r="AR100" i="31"/>
  <c r="S100" i="31"/>
  <c r="M100" i="31"/>
  <c r="AH100" i="31"/>
  <c r="V100" i="31"/>
  <c r="AZ30" i="31"/>
  <c r="BC30" i="31"/>
  <c r="U30" i="31"/>
  <c r="AI30" i="31"/>
  <c r="J30" i="31"/>
  <c r="AN30" i="31"/>
  <c r="P30" i="31"/>
  <c r="K70" i="31"/>
  <c r="BC70" i="31"/>
  <c r="AB70" i="31"/>
  <c r="U70" i="31"/>
  <c r="AC70" i="31"/>
  <c r="AD70" i="31"/>
  <c r="AO15" i="31"/>
  <c r="AF15" i="31"/>
  <c r="W15" i="31"/>
  <c r="BG15" i="31"/>
  <c r="T15" i="31"/>
  <c r="AH15" i="31"/>
  <c r="V15" i="31"/>
  <c r="I23" i="31"/>
  <c r="BC23" i="31"/>
  <c r="AK23" i="31"/>
  <c r="AA23" i="31"/>
  <c r="BF23" i="31"/>
  <c r="AL23" i="31"/>
  <c r="AO31" i="31"/>
  <c r="AF31" i="31"/>
  <c r="V31" i="31"/>
  <c r="J31" i="31"/>
  <c r="AC31" i="31"/>
  <c r="K31" i="31"/>
  <c r="BA31" i="31"/>
  <c r="I39" i="31"/>
  <c r="BC39" i="31"/>
  <c r="AL39" i="31"/>
  <c r="U39" i="31"/>
  <c r="BF39" i="31"/>
  <c r="S39" i="31"/>
  <c r="AO47" i="31"/>
  <c r="AF47" i="31"/>
  <c r="W47" i="31"/>
  <c r="BA47" i="31"/>
  <c r="AJ47" i="31"/>
  <c r="Z47" i="31"/>
  <c r="S47" i="31"/>
  <c r="BB55" i="31"/>
  <c r="AK55" i="31"/>
  <c r="T55" i="31"/>
  <c r="H55" i="31"/>
  <c r="Q55" i="31"/>
  <c r="AA55" i="31"/>
  <c r="AM63" i="31"/>
  <c r="AA63" i="31"/>
  <c r="BB63" i="31"/>
  <c r="Q63" i="31"/>
  <c r="BA63" i="31"/>
  <c r="N63" i="31"/>
  <c r="AC63" i="31"/>
  <c r="BA71" i="31"/>
  <c r="AQ71" i="31"/>
  <c r="N71" i="31"/>
  <c r="T71" i="31"/>
  <c r="AB71" i="31"/>
  <c r="AW71" i="31"/>
  <c r="AO79" i="31"/>
  <c r="AF79" i="31"/>
  <c r="U79" i="31"/>
  <c r="AB79" i="31"/>
  <c r="Z79" i="31"/>
  <c r="W79" i="31"/>
  <c r="AD79" i="31"/>
  <c r="AR87" i="31"/>
  <c r="AG87" i="31"/>
  <c r="H87" i="31"/>
  <c r="P87" i="31"/>
  <c r="M87" i="31"/>
  <c r="J87" i="31"/>
  <c r="AJ95" i="31"/>
  <c r="AA95" i="31"/>
  <c r="P95" i="31"/>
  <c r="V95" i="31"/>
  <c r="M95" i="31"/>
  <c r="AM95" i="31"/>
  <c r="AG95" i="31"/>
  <c r="BG103" i="31"/>
  <c r="AX84" i="31"/>
  <c r="M84" i="31"/>
  <c r="Z92" i="31"/>
  <c r="J92" i="31"/>
  <c r="H100" i="31"/>
  <c r="AJ100" i="31"/>
  <c r="BE100" i="31"/>
  <c r="BG100" i="31"/>
  <c r="K100" i="31"/>
  <c r="U100" i="31"/>
  <c r="AR30" i="31"/>
  <c r="AM30" i="31"/>
  <c r="M30" i="31"/>
  <c r="AA30" i="31"/>
  <c r="BG30" i="31"/>
  <c r="AE30" i="31"/>
  <c r="H30" i="31"/>
  <c r="BE70" i="31"/>
  <c r="AU70" i="31"/>
  <c r="N70" i="31"/>
  <c r="H70" i="31"/>
  <c r="P70" i="31"/>
  <c r="Z70" i="31"/>
  <c r="AG15" i="31"/>
  <c r="X15" i="31"/>
  <c r="O15" i="31"/>
  <c r="AY15" i="31"/>
  <c r="AL15" i="31"/>
  <c r="L15" i="31"/>
  <c r="AT15" i="31"/>
  <c r="BD23" i="31"/>
  <c r="AU23" i="31"/>
  <c r="AC23" i="31"/>
  <c r="S23" i="31"/>
  <c r="AT23" i="31"/>
  <c r="R23" i="31"/>
  <c r="AG31" i="31"/>
  <c r="X31" i="31"/>
  <c r="N31" i="31"/>
  <c r="AY31" i="31"/>
  <c r="M31" i="31"/>
  <c r="BC31" i="31"/>
  <c r="U31" i="31"/>
  <c r="BD39" i="31"/>
  <c r="AU39" i="31"/>
  <c r="AD39" i="31"/>
  <c r="M39" i="31"/>
  <c r="AX39" i="31"/>
  <c r="K39" i="31"/>
  <c r="AG47" i="31"/>
  <c r="X47" i="31"/>
  <c r="O47" i="31"/>
  <c r="AS47" i="31"/>
  <c r="AB47" i="31"/>
  <c r="R47" i="31"/>
  <c r="K47" i="31"/>
  <c r="AT55" i="31"/>
  <c r="AC55" i="31"/>
  <c r="L55" i="31"/>
  <c r="AP55" i="31"/>
  <c r="BE55" i="31"/>
  <c r="I55" i="31"/>
  <c r="AE63" i="31"/>
  <c r="S63" i="31"/>
  <c r="AR63" i="31"/>
  <c r="BE63" i="31"/>
  <c r="AJ63" i="31"/>
  <c r="AT63" i="31"/>
  <c r="AS63" i="31"/>
  <c r="AS71" i="31"/>
  <c r="AI71" i="31"/>
  <c r="AV71" i="31"/>
  <c r="H71" i="31"/>
  <c r="P71" i="31"/>
  <c r="L71" i="31"/>
  <c r="AG79" i="31"/>
  <c r="X79" i="31"/>
  <c r="M79" i="31"/>
  <c r="O79" i="31"/>
  <c r="L79" i="31"/>
  <c r="BC79" i="31"/>
  <c r="AE79" i="31"/>
  <c r="AJ87" i="31"/>
  <c r="Y87" i="31"/>
  <c r="BD87" i="31"/>
  <c r="BB87" i="31"/>
  <c r="Z87" i="31"/>
  <c r="AV87" i="31"/>
  <c r="AB95" i="31"/>
  <c r="S95" i="31"/>
  <c r="H95" i="31"/>
  <c r="I95" i="31"/>
  <c r="AX95" i="31"/>
  <c r="R95" i="31"/>
  <c r="U95" i="31"/>
  <c r="AY103" i="31"/>
  <c r="AN103" i="31"/>
  <c r="Q103" i="31"/>
  <c r="J103" i="31"/>
  <c r="AL103" i="31"/>
  <c r="I103" i="31"/>
  <c r="AI54" i="31"/>
  <c r="AO84" i="31"/>
  <c r="AN92" i="31"/>
  <c r="BF92" i="31"/>
  <c r="BB92" i="31"/>
  <c r="AU100" i="31"/>
  <c r="T100" i="31"/>
  <c r="AD100" i="31"/>
  <c r="Q100" i="31"/>
  <c r="AC100" i="31"/>
  <c r="I100" i="31"/>
  <c r="AX30" i="31"/>
  <c r="V30" i="31"/>
  <c r="AJ30" i="31"/>
  <c r="K30" i="31"/>
  <c r="AG30" i="31"/>
  <c r="O30" i="31"/>
  <c r="AY70" i="31"/>
  <c r="AO70" i="31"/>
  <c r="AE70" i="31"/>
  <c r="AJ70" i="31"/>
  <c r="AS70" i="31"/>
  <c r="M70" i="31"/>
  <c r="R70" i="31"/>
  <c r="Q15" i="31"/>
  <c r="H15" i="31"/>
  <c r="AS15" i="31"/>
  <c r="AI15" i="31"/>
  <c r="BF15" i="31"/>
  <c r="AD15" i="31"/>
  <c r="AW23" i="31"/>
  <c r="AN23" i="31"/>
  <c r="AE23" i="31"/>
  <c r="M23" i="31"/>
  <c r="AZ23" i="31"/>
  <c r="AR23" i="31"/>
  <c r="BB23" i="31"/>
  <c r="Q31" i="31"/>
  <c r="H31" i="31"/>
  <c r="AX31" i="31"/>
  <c r="S31" i="31"/>
  <c r="AB31" i="31"/>
  <c r="W31" i="31"/>
  <c r="AW39" i="31"/>
  <c r="AN39" i="31"/>
  <c r="AE39" i="31"/>
  <c r="N39" i="31"/>
  <c r="AR39" i="31"/>
  <c r="AH39" i="31"/>
  <c r="AY39" i="31"/>
  <c r="Q47" i="31"/>
  <c r="H47" i="31"/>
  <c r="AT47" i="31"/>
  <c r="AC47" i="31"/>
  <c r="L47" i="31"/>
  <c r="BG47" i="31"/>
  <c r="AU55" i="31"/>
  <c r="AD55" i="31"/>
  <c r="M55" i="31"/>
  <c r="AV55" i="31"/>
  <c r="BG55" i="31"/>
  <c r="K55" i="31"/>
  <c r="Y55" i="31"/>
  <c r="O63" i="31"/>
  <c r="BF63" i="31"/>
  <c r="V63" i="31"/>
  <c r="X63" i="31"/>
  <c r="AZ63" i="31"/>
  <c r="M63" i="31"/>
  <c r="AU71" i="31"/>
  <c r="AC71" i="31"/>
  <c r="S71" i="31"/>
  <c r="V71" i="31"/>
  <c r="AR71" i="31"/>
  <c r="Y71" i="31"/>
  <c r="J71" i="31"/>
  <c r="Q79" i="31"/>
  <c r="H79" i="31"/>
  <c r="AT79" i="31"/>
  <c r="AM79" i="31"/>
  <c r="AI79" i="31"/>
  <c r="AX79" i="31"/>
  <c r="AS87" i="31"/>
  <c r="T87" i="31"/>
  <c r="I87" i="31"/>
  <c r="AE87" i="31"/>
  <c r="AA87" i="31"/>
  <c r="W87" i="31"/>
  <c r="AI87" i="31"/>
  <c r="L95" i="31"/>
  <c r="BD95" i="31"/>
  <c r="AK95" i="31"/>
  <c r="AP95" i="31"/>
  <c r="AT95" i="31"/>
  <c r="N95" i="31"/>
  <c r="AR103" i="31"/>
  <c r="AI103" i="31"/>
  <c r="X103" i="31"/>
  <c r="AO103" i="31"/>
  <c r="Y103" i="31"/>
  <c r="BA103" i="31"/>
  <c r="AX103" i="31"/>
  <c r="S54" i="31"/>
  <c r="J54" i="31"/>
  <c r="BD54" i="31"/>
  <c r="AU54" i="31"/>
  <c r="P54" i="31"/>
  <c r="AK54" i="31"/>
  <c r="AW9" i="31"/>
  <c r="AC9" i="31"/>
  <c r="T9" i="31"/>
  <c r="BA9" i="31"/>
  <c r="AO9" i="31"/>
  <c r="AF9" i="31"/>
  <c r="V9" i="31"/>
  <c r="M10" i="31"/>
  <c r="AY10" i="31"/>
  <c r="AO10" i="31"/>
  <c r="O10" i="31"/>
  <c r="R10" i="31"/>
  <c r="BB10" i="31"/>
  <c r="AS18" i="31"/>
  <c r="AB18" i="31"/>
  <c r="S18" i="31"/>
  <c r="I18" i="31"/>
  <c r="AH18" i="31"/>
  <c r="AN18" i="31"/>
  <c r="BF18" i="31"/>
  <c r="M26" i="31"/>
  <c r="AY26" i="31"/>
  <c r="AO26" i="31"/>
  <c r="AE26" i="31"/>
  <c r="AN26" i="31"/>
  <c r="N26" i="31"/>
  <c r="AS34" i="31"/>
  <c r="AB34" i="31"/>
  <c r="R34" i="31"/>
  <c r="BC34" i="31"/>
  <c r="Q34" i="31"/>
  <c r="AQ34" i="31"/>
  <c r="BE34" i="31"/>
  <c r="M42" i="31"/>
  <c r="AY42" i="31"/>
  <c r="AP42" i="31"/>
  <c r="AG42" i="31"/>
  <c r="X42" i="31"/>
  <c r="N42" i="31"/>
  <c r="AS50" i="31"/>
  <c r="AB50" i="31"/>
  <c r="S50" i="31"/>
  <c r="J50" i="31"/>
  <c r="BD50" i="31"/>
  <c r="AT50" i="31"/>
  <c r="BC50" i="31"/>
  <c r="AA58" i="31"/>
  <c r="J58" i="31"/>
  <c r="BE58" i="31"/>
  <c r="AU58" i="31"/>
  <c r="AB58" i="31"/>
  <c r="N58" i="31"/>
  <c r="AY66" i="31"/>
  <c r="AM66" i="31"/>
  <c r="I66" i="31"/>
  <c r="AJ66" i="31"/>
  <c r="BB66" i="31"/>
  <c r="AS66" i="31"/>
  <c r="M66" i="31"/>
  <c r="BD74" i="31"/>
  <c r="AI74" i="31"/>
  <c r="O74" i="31"/>
  <c r="AV74" i="31"/>
  <c r="AP84" i="31"/>
  <c r="AX100" i="31"/>
  <c r="BG70" i="31"/>
  <c r="P15" i="31"/>
  <c r="U23" i="31"/>
  <c r="AR31" i="31"/>
  <c r="BG39" i="31"/>
  <c r="AL55" i="31"/>
  <c r="AG63" i="31"/>
  <c r="BE71" i="31"/>
  <c r="S79" i="31"/>
  <c r="T95" i="31"/>
  <c r="AV103" i="31"/>
  <c r="Z103" i="31"/>
  <c r="Q54" i="31"/>
  <c r="AB54" i="31"/>
  <c r="AK9" i="31"/>
  <c r="AM9" i="31"/>
  <c r="AL9" i="31"/>
  <c r="L10" i="31"/>
  <c r="AE10" i="31"/>
  <c r="P10" i="31"/>
  <c r="AR18" i="31"/>
  <c r="Y18" i="31"/>
  <c r="AD18" i="31"/>
  <c r="AC26" i="31"/>
  <c r="BE26" i="31"/>
  <c r="AP26" i="31"/>
  <c r="AD26" i="31"/>
  <c r="AH34" i="31"/>
  <c r="AW34" i="31"/>
  <c r="H34" i="31"/>
  <c r="L42" i="31"/>
  <c r="AW42" i="31"/>
  <c r="AD42" i="31"/>
  <c r="AR50" i="31"/>
  <c r="Z50" i="31"/>
  <c r="H50" i="31"/>
  <c r="AQ58" i="31"/>
  <c r="Q58" i="31"/>
  <c r="AR58" i="31"/>
  <c r="AD58" i="31"/>
  <c r="AD66" i="31"/>
  <c r="U66" i="31"/>
  <c r="BD66" i="31"/>
  <c r="BB74" i="31"/>
  <c r="L74" i="31"/>
  <c r="BE74" i="31"/>
  <c r="AD74" i="31"/>
  <c r="AX82" i="31"/>
  <c r="W82" i="31"/>
  <c r="AT82" i="31"/>
  <c r="AS82" i="31"/>
  <c r="AL82" i="31"/>
  <c r="I90" i="31"/>
  <c r="U90" i="31"/>
  <c r="AZ90" i="31"/>
  <c r="V90" i="31"/>
  <c r="K90" i="31"/>
  <c r="AU98" i="31"/>
  <c r="L98" i="31"/>
  <c r="AA98" i="31"/>
  <c r="AY98" i="31"/>
  <c r="AP98" i="31"/>
  <c r="AE94" i="31"/>
  <c r="AK94" i="31"/>
  <c r="AQ94" i="31"/>
  <c r="BF94" i="31"/>
  <c r="I94" i="31"/>
  <c r="BE13" i="31"/>
  <c r="AV13" i="31"/>
  <c r="AM13" i="31"/>
  <c r="U13" i="31"/>
  <c r="K13" i="31"/>
  <c r="AH13" i="31"/>
  <c r="AT13" i="31"/>
  <c r="Y21" i="31"/>
  <c r="P21" i="31"/>
  <c r="BA21" i="31"/>
  <c r="AQ21" i="31"/>
  <c r="Z21" i="31"/>
  <c r="R21" i="31"/>
  <c r="BF29" i="31"/>
  <c r="Q29" i="31"/>
  <c r="H29" i="31"/>
  <c r="AT29" i="31"/>
  <c r="AY29" i="31"/>
  <c r="AJ29" i="31"/>
  <c r="Z29" i="31"/>
  <c r="Y37" i="31"/>
  <c r="P37" i="31"/>
  <c r="BB37" i="31"/>
  <c r="AK37" i="31"/>
  <c r="T37" i="31"/>
  <c r="J37" i="31"/>
  <c r="BE45" i="31"/>
  <c r="AV45" i="31"/>
  <c r="AM45" i="31"/>
  <c r="V45" i="31"/>
  <c r="AZ45" i="31"/>
  <c r="AP45" i="31"/>
  <c r="K45" i="31"/>
  <c r="AO53" i="31"/>
  <c r="AF53" i="31"/>
  <c r="W53" i="31"/>
  <c r="BD53" i="31"/>
  <c r="AJ53" i="31"/>
  <c r="R53" i="31"/>
  <c r="BC61" i="31"/>
  <c r="AQ61" i="31"/>
  <c r="X61" i="31"/>
  <c r="Y61" i="31"/>
  <c r="AG61" i="31"/>
  <c r="BB61" i="31"/>
  <c r="Q61" i="31"/>
  <c r="W69" i="31"/>
  <c r="BG69" i="31"/>
  <c r="AO69" i="31"/>
  <c r="AH69" i="31"/>
  <c r="AD69" i="31"/>
  <c r="AX69" i="31"/>
  <c r="BE77" i="31"/>
  <c r="AV77" i="31"/>
  <c r="AK77" i="31"/>
  <c r="AZ77" i="31"/>
  <c r="AY77" i="31"/>
  <c r="AL77" i="31"/>
  <c r="Z77" i="31"/>
  <c r="X85" i="31"/>
  <c r="O85" i="31"/>
  <c r="AS85" i="31"/>
  <c r="AI85" i="31"/>
  <c r="Q85" i="31"/>
  <c r="AZ85" i="31"/>
  <c r="AZ93" i="31"/>
  <c r="AQ93" i="31"/>
  <c r="AF93" i="31"/>
  <c r="AW93" i="31"/>
  <c r="BB93" i="31"/>
  <c r="AT93" i="31"/>
  <c r="AP93" i="31"/>
  <c r="T101" i="31"/>
  <c r="K101" i="31"/>
  <c r="BE101" i="31"/>
  <c r="AX101" i="31"/>
  <c r="AO101" i="31"/>
  <c r="AC101" i="31"/>
  <c r="BA46" i="31"/>
  <c r="AJ46" i="31"/>
  <c r="AA46" i="31"/>
  <c r="R46" i="31"/>
  <c r="I46" i="31"/>
  <c r="BB46" i="31"/>
  <c r="AE46" i="31"/>
  <c r="AA62" i="31"/>
  <c r="O62" i="31"/>
  <c r="V62" i="31"/>
  <c r="AR62" i="31"/>
  <c r="BA62" i="31"/>
  <c r="AW62" i="31"/>
  <c r="BA16" i="31"/>
  <c r="AJ16" i="31"/>
  <c r="AA16" i="31"/>
  <c r="Q16" i="31"/>
  <c r="BB16" i="31"/>
  <c r="AV16" i="31"/>
  <c r="R16" i="31"/>
  <c r="U24" i="31"/>
  <c r="BG24" i="31"/>
  <c r="AN84" i="31"/>
  <c r="AW100" i="31"/>
  <c r="AW70" i="31"/>
  <c r="BA15" i="31"/>
  <c r="K23" i="31"/>
  <c r="AM31" i="31"/>
  <c r="Y47" i="31"/>
  <c r="U55" i="31"/>
  <c r="AO63" i="31"/>
  <c r="AD71" i="31"/>
  <c r="BA87" i="31"/>
  <c r="K95" i="31"/>
  <c r="AF103" i="31"/>
  <c r="BE103" i="31"/>
  <c r="I54" i="31"/>
  <c r="N54" i="31"/>
  <c r="AR9" i="31"/>
  <c r="AZ9" i="31"/>
  <c r="AD9" i="31"/>
  <c r="BG10" i="31"/>
  <c r="W10" i="31"/>
  <c r="AD10" i="31"/>
  <c r="AJ18" i="31"/>
  <c r="Q18" i="31"/>
  <c r="H18" i="31"/>
  <c r="U26" i="31"/>
  <c r="AW26" i="31"/>
  <c r="V26" i="31"/>
  <c r="BA34" i="31"/>
  <c r="Z34" i="31"/>
  <c r="AG34" i="31"/>
  <c r="I34" i="31"/>
  <c r="BG42" i="31"/>
  <c r="AO42" i="31"/>
  <c r="V42" i="31"/>
  <c r="AJ50" i="31"/>
  <c r="R50" i="31"/>
  <c r="BB50" i="31"/>
  <c r="AI58" i="31"/>
  <c r="I58" i="31"/>
  <c r="AJ58" i="31"/>
  <c r="BG66" i="31"/>
  <c r="T66" i="31"/>
  <c r="J66" i="31"/>
  <c r="AH66" i="31"/>
  <c r="AR74" i="31"/>
  <c r="AW74" i="31"/>
  <c r="AO74" i="31"/>
  <c r="N74" i="31"/>
  <c r="AP82" i="31"/>
  <c r="O82" i="31"/>
  <c r="K82" i="31"/>
  <c r="S82" i="31"/>
  <c r="BA82" i="31"/>
  <c r="AN90" i="31"/>
  <c r="M90" i="31"/>
  <c r="AM90" i="31"/>
  <c r="AJ90" i="31"/>
  <c r="AT90" i="31"/>
  <c r="AM98" i="31"/>
  <c r="AH98" i="31"/>
  <c r="N98" i="31"/>
  <c r="AD98" i="31"/>
  <c r="AV94" i="31"/>
  <c r="W94" i="31"/>
  <c r="Y94" i="31"/>
  <c r="AD94" i="31"/>
  <c r="AL94" i="31"/>
  <c r="M94" i="31"/>
  <c r="AW13" i="31"/>
  <c r="AN13" i="31"/>
  <c r="AE13" i="31"/>
  <c r="M13" i="31"/>
  <c r="AL13" i="31"/>
  <c r="L13" i="31"/>
  <c r="Z13" i="31"/>
  <c r="Q21" i="31"/>
  <c r="H21" i="31"/>
  <c r="AS21" i="31"/>
  <c r="AI21" i="31"/>
  <c r="AR21" i="31"/>
  <c r="BF21" i="31"/>
  <c r="AX29" i="31"/>
  <c r="I29" i="31"/>
  <c r="BC29" i="31"/>
  <c r="BA29" i="31"/>
  <c r="AQ29" i="31"/>
  <c r="N29" i="31"/>
  <c r="AZ29" i="31"/>
  <c r="Q37" i="31"/>
  <c r="H37" i="31"/>
  <c r="AT37" i="31"/>
  <c r="AC37" i="31"/>
  <c r="L37" i="31"/>
  <c r="BG37" i="31"/>
  <c r="AW45" i="31"/>
  <c r="AN45" i="31"/>
  <c r="AE45" i="31"/>
  <c r="N45" i="31"/>
  <c r="AR45" i="31"/>
  <c r="AH45" i="31"/>
  <c r="BG45" i="31"/>
  <c r="AG53" i="31"/>
  <c r="X53" i="31"/>
  <c r="O53" i="31"/>
  <c r="AS53" i="31"/>
  <c r="AB53" i="31"/>
  <c r="J53" i="31"/>
  <c r="AU61" i="31"/>
  <c r="AI61" i="31"/>
  <c r="M61" i="31"/>
  <c r="L61" i="31"/>
  <c r="U61" i="31"/>
  <c r="AP61" i="31"/>
  <c r="BA61" i="31"/>
  <c r="O69" i="31"/>
  <c r="AY69" i="31"/>
  <c r="AB69" i="31"/>
  <c r="V69" i="31"/>
  <c r="Q69" i="31"/>
  <c r="R69" i="31"/>
  <c r="AW77" i="31"/>
  <c r="AN77" i="31"/>
  <c r="AC77" i="31"/>
  <c r="AM77" i="31"/>
  <c r="AE77" i="31"/>
  <c r="S77" i="31"/>
  <c r="O77" i="31"/>
  <c r="P85" i="31"/>
  <c r="BB85" i="31"/>
  <c r="AK85" i="31"/>
  <c r="AA85" i="31"/>
  <c r="BE85" i="31"/>
  <c r="J85" i="31"/>
  <c r="AR93" i="31"/>
  <c r="AI93" i="31"/>
  <c r="X93" i="31"/>
  <c r="AK93" i="31"/>
  <c r="AG93" i="31"/>
  <c r="Z93" i="31"/>
  <c r="AH93" i="31"/>
  <c r="L101" i="31"/>
  <c r="BD101" i="31"/>
  <c r="AS101" i="31"/>
  <c r="AL101" i="31"/>
  <c r="V101" i="31"/>
  <c r="O101" i="31"/>
  <c r="AS46" i="31"/>
  <c r="AB46" i="31"/>
  <c r="S46" i="31"/>
  <c r="J46" i="31"/>
  <c r="BD46" i="31"/>
  <c r="AT46" i="31"/>
  <c r="W46" i="31"/>
  <c r="S62" i="31"/>
  <c r="BE62" i="31"/>
  <c r="J62" i="31"/>
  <c r="AF62" i="31"/>
  <c r="AO62" i="31"/>
  <c r="AK62" i="31"/>
  <c r="AS16" i="31"/>
  <c r="AB16" i="31"/>
  <c r="S16" i="31"/>
  <c r="I16" i="31"/>
  <c r="AF16" i="31"/>
  <c r="Z16" i="31"/>
  <c r="BD16" i="31"/>
  <c r="M24" i="31"/>
  <c r="AY24" i="31"/>
  <c r="AO24" i="31"/>
  <c r="AE24" i="31"/>
  <c r="AL24" i="31"/>
  <c r="K92" i="31"/>
  <c r="BF30" i="31"/>
  <c r="AM70" i="31"/>
  <c r="AQ15" i="31"/>
  <c r="Z23" i="31"/>
  <c r="BE39" i="31"/>
  <c r="P47" i="31"/>
  <c r="BD55" i="31"/>
  <c r="T63" i="31"/>
  <c r="AP71" i="31"/>
  <c r="AB87" i="31"/>
  <c r="AW95" i="31"/>
  <c r="AD103" i="31"/>
  <c r="AQ54" i="31"/>
  <c r="AJ54" i="31"/>
  <c r="BB54" i="31"/>
  <c r="AJ9" i="31"/>
  <c r="AG9" i="31"/>
  <c r="N9" i="31"/>
  <c r="AQ10" i="31"/>
  <c r="AT10" i="31"/>
  <c r="AF10" i="31"/>
  <c r="T18" i="31"/>
  <c r="BC18" i="31"/>
  <c r="AV18" i="31"/>
  <c r="AZ26" i="31"/>
  <c r="AG26" i="31"/>
  <c r="R26" i="31"/>
  <c r="AK34" i="31"/>
  <c r="J34" i="31"/>
  <c r="AV34" i="31"/>
  <c r="AO34" i="31"/>
  <c r="AQ42" i="31"/>
  <c r="Y42" i="31"/>
  <c r="BC42" i="31"/>
  <c r="T50" i="31"/>
  <c r="BE50" i="31"/>
  <c r="AL50" i="31"/>
  <c r="S58" i="31"/>
  <c r="AV58" i="31"/>
  <c r="T58" i="31"/>
  <c r="AQ66" i="31"/>
  <c r="BF66" i="31"/>
  <c r="AG66" i="31"/>
  <c r="Q66" i="31"/>
  <c r="Z74" i="31"/>
  <c r="AH74" i="31"/>
  <c r="AA74" i="31"/>
  <c r="V74" i="31"/>
  <c r="AH82" i="31"/>
  <c r="AY82" i="31"/>
  <c r="BG82" i="31"/>
  <c r="AO82" i="31"/>
  <c r="Y82" i="31"/>
  <c r="AF90" i="31"/>
  <c r="BC90" i="31"/>
  <c r="AA90" i="31"/>
  <c r="AH90" i="31"/>
  <c r="BD98" i="31"/>
  <c r="AE98" i="31"/>
  <c r="U98" i="31"/>
  <c r="AL98" i="31"/>
  <c r="K98" i="31"/>
  <c r="AN94" i="31"/>
  <c r="O94" i="31"/>
  <c r="K94" i="31"/>
  <c r="R94" i="31"/>
  <c r="Q94" i="31"/>
  <c r="BA94" i="31"/>
  <c r="AO13" i="31"/>
  <c r="AF13" i="31"/>
  <c r="W13" i="31"/>
  <c r="BG13" i="31"/>
  <c r="R13" i="31"/>
  <c r="AZ13" i="31"/>
  <c r="AP13" i="31"/>
  <c r="I21" i="31"/>
  <c r="BC21" i="31"/>
  <c r="AK21" i="31"/>
  <c r="AA21" i="31"/>
  <c r="V21" i="31"/>
  <c r="AJ21" i="31"/>
  <c r="AP29" i="31"/>
  <c r="BD29" i="31"/>
  <c r="AU29" i="31"/>
  <c r="AS29" i="31"/>
  <c r="AI29" i="31"/>
  <c r="AH29" i="31"/>
  <c r="AR29" i="31"/>
  <c r="I37" i="31"/>
  <c r="BC37" i="31"/>
  <c r="AL37" i="31"/>
  <c r="U37" i="31"/>
  <c r="BF37" i="31"/>
  <c r="AY37" i="31"/>
  <c r="AO45" i="31"/>
  <c r="AF45" i="31"/>
  <c r="W45" i="31"/>
  <c r="BA45" i="31"/>
  <c r="AJ45" i="31"/>
  <c r="Z45" i="31"/>
  <c r="AQ45" i="31"/>
  <c r="Y53" i="31"/>
  <c r="P53" i="31"/>
  <c r="BE53" i="31"/>
  <c r="AK53" i="31"/>
  <c r="T53" i="31"/>
  <c r="AY53" i="31"/>
  <c r="AM61" i="31"/>
  <c r="AA61" i="31"/>
  <c r="AX61" i="31"/>
  <c r="AV61" i="31"/>
  <c r="I61" i="31"/>
  <c r="AD61" i="31"/>
  <c r="AC61" i="31"/>
  <c r="BA69" i="31"/>
  <c r="AQ69" i="31"/>
  <c r="P69" i="31"/>
  <c r="I69" i="31"/>
  <c r="AF69" i="31"/>
  <c r="AR69" i="31"/>
  <c r="AO77" i="31"/>
  <c r="AF77" i="31"/>
  <c r="U77" i="31"/>
  <c r="AA77" i="31"/>
  <c r="J77" i="31"/>
  <c r="BB77" i="31"/>
  <c r="AU77" i="31"/>
  <c r="H85" i="31"/>
  <c r="AT85" i="31"/>
  <c r="AC85" i="31"/>
  <c r="S85" i="31"/>
  <c r="AH85" i="31"/>
  <c r="AW85" i="31"/>
  <c r="AJ93" i="31"/>
  <c r="AA93" i="31"/>
  <c r="P93" i="31"/>
  <c r="W93" i="31"/>
  <c r="N93" i="31"/>
  <c r="AO93" i="31"/>
  <c r="V93" i="31"/>
  <c r="BG101" i="31"/>
  <c r="AV101" i="31"/>
  <c r="AE101" i="31"/>
  <c r="Y101" i="31"/>
  <c r="AM101" i="31"/>
  <c r="BF101" i="31"/>
  <c r="AK46" i="31"/>
  <c r="T46" i="31"/>
  <c r="K46" i="31"/>
  <c r="BE46" i="31"/>
  <c r="AV46" i="31"/>
  <c r="AL46" i="31"/>
  <c r="O46" i="31"/>
  <c r="K62" i="31"/>
  <c r="AT62" i="31"/>
  <c r="BF62" i="31"/>
  <c r="T62" i="31"/>
  <c r="AC62" i="31"/>
  <c r="X62" i="31"/>
  <c r="AK16" i="31"/>
  <c r="T16" i="31"/>
  <c r="K16" i="31"/>
  <c r="BC16" i="31"/>
  <c r="J16" i="31"/>
  <c r="AT16" i="31"/>
  <c r="AH16" i="31"/>
  <c r="AZ24" i="31"/>
  <c r="AQ24" i="31"/>
  <c r="I92" i="31"/>
  <c r="AD30" i="31"/>
  <c r="AV70" i="31"/>
  <c r="R15" i="31"/>
  <c r="N23" i="31"/>
  <c r="AV39" i="31"/>
  <c r="BB47" i="31"/>
  <c r="S55" i="31"/>
  <c r="AD63" i="31"/>
  <c r="Y79" i="31"/>
  <c r="Q87" i="31"/>
  <c r="BC95" i="31"/>
  <c r="BB103" i="31"/>
  <c r="AA54" i="31"/>
  <c r="V54" i="31"/>
  <c r="AL54" i="31"/>
  <c r="AB9" i="31"/>
  <c r="W9" i="31"/>
  <c r="AK10" i="31"/>
  <c r="K10" i="31"/>
  <c r="V10" i="31"/>
  <c r="I10" i="31"/>
  <c r="AQ18" i="31"/>
  <c r="W18" i="31"/>
  <c r="R18" i="31"/>
  <c r="T26" i="31"/>
  <c r="BC26" i="31"/>
  <c r="AX26" i="31"/>
  <c r="AZ34" i="31"/>
  <c r="AD34" i="31"/>
  <c r="AE34" i="31"/>
  <c r="AK42" i="31"/>
  <c r="K42" i="31"/>
  <c r="AV42" i="31"/>
  <c r="W42" i="31"/>
  <c r="AQ50" i="31"/>
  <c r="Y50" i="31"/>
  <c r="AE50" i="31"/>
  <c r="AH58" i="31"/>
  <c r="P58" i="31"/>
  <c r="BA58" i="31"/>
  <c r="K66" i="31"/>
  <c r="P66" i="31"/>
  <c r="H66" i="31"/>
  <c r="AK74" i="31"/>
  <c r="AY74" i="31"/>
  <c r="T74" i="31"/>
  <c r="J74" i="31"/>
  <c r="BF74" i="31"/>
  <c r="Z82" i="31"/>
  <c r="M82" i="31"/>
  <c r="AQ82" i="31"/>
  <c r="Q82" i="31"/>
  <c r="AW90" i="31"/>
  <c r="X90" i="31"/>
  <c r="AQ90" i="31"/>
  <c r="AL90" i="31"/>
  <c r="BG90" i="31"/>
  <c r="AV98" i="31"/>
  <c r="AZ98" i="31"/>
  <c r="I98" i="31"/>
  <c r="R98" i="31"/>
  <c r="Y98" i="31"/>
  <c r="AF94" i="31"/>
  <c r="AZ94" i="31"/>
  <c r="AW94" i="31"/>
  <c r="AP94" i="31"/>
  <c r="BB94" i="31"/>
  <c r="AS94" i="31"/>
  <c r="AG13" i="31"/>
  <c r="X13" i="31"/>
  <c r="O13" i="31"/>
  <c r="AY13" i="31"/>
  <c r="BF13" i="31"/>
  <c r="AD13" i="31"/>
  <c r="T13" i="31"/>
  <c r="BD21" i="31"/>
  <c r="AU21" i="31"/>
  <c r="AC21" i="31"/>
  <c r="S21" i="31"/>
  <c r="BB21" i="31"/>
  <c r="N21" i="31"/>
  <c r="BE29" i="31"/>
  <c r="AV29" i="31"/>
  <c r="AM29" i="31"/>
  <c r="AK29" i="31"/>
  <c r="AA29" i="31"/>
  <c r="L29" i="31"/>
  <c r="T29" i="31"/>
  <c r="BD37" i="31"/>
  <c r="AU37" i="31"/>
  <c r="AD37" i="31"/>
  <c r="M37" i="31"/>
  <c r="AX37" i="31"/>
  <c r="AQ37" i="31"/>
  <c r="AG45" i="31"/>
  <c r="X45" i="31"/>
  <c r="O45" i="31"/>
  <c r="AS45" i="31"/>
  <c r="AB45" i="31"/>
  <c r="R45" i="31"/>
  <c r="AY45" i="31"/>
  <c r="Q53" i="31"/>
  <c r="H53" i="31"/>
  <c r="AT53" i="31"/>
  <c r="AC53" i="31"/>
  <c r="L53" i="31"/>
  <c r="AQ53" i="31"/>
  <c r="AE61" i="31"/>
  <c r="S61" i="31"/>
  <c r="AL61" i="31"/>
  <c r="AJ61" i="31"/>
  <c r="BE61" i="31"/>
  <c r="R61" i="31"/>
  <c r="AO61" i="31"/>
  <c r="AS69" i="31"/>
  <c r="AI69" i="31"/>
  <c r="AW69" i="31"/>
  <c r="BF69" i="31"/>
  <c r="Z69" i="31"/>
  <c r="N69" i="31"/>
  <c r="AG77" i="31"/>
  <c r="X77" i="31"/>
  <c r="M77" i="31"/>
  <c r="N77" i="31"/>
  <c r="AR77" i="31"/>
  <c r="AH77" i="31"/>
  <c r="BF77" i="31"/>
  <c r="BC85" i="31"/>
  <c r="AL85" i="31"/>
  <c r="U85" i="31"/>
  <c r="K85" i="31"/>
  <c r="L85" i="31"/>
  <c r="AR85" i="31"/>
  <c r="AB93" i="31"/>
  <c r="S93" i="31"/>
  <c r="H93" i="31"/>
  <c r="J93" i="31"/>
  <c r="BA93" i="31"/>
  <c r="U93" i="31"/>
  <c r="Q93" i="31"/>
  <c r="AY101" i="31"/>
  <c r="AN101" i="31"/>
  <c r="R101" i="31"/>
  <c r="M101" i="31"/>
  <c r="U101" i="31"/>
  <c r="I101" i="31"/>
  <c r="AC46" i="31"/>
  <c r="L46" i="31"/>
  <c r="BF46" i="31"/>
  <c r="AW46" i="31"/>
  <c r="AN46" i="31"/>
  <c r="AD46" i="31"/>
  <c r="BC46" i="31"/>
  <c r="BC62" i="31"/>
  <c r="AJ62" i="31"/>
  <c r="AS62" i="31"/>
  <c r="H62" i="31"/>
  <c r="Q62" i="31"/>
  <c r="L62" i="31"/>
  <c r="AC16" i="31"/>
  <c r="L16" i="31"/>
  <c r="BE16" i="31"/>
  <c r="AU16" i="31"/>
  <c r="AL16" i="31"/>
  <c r="X16" i="31"/>
  <c r="N16" i="31"/>
  <c r="AR24" i="31"/>
  <c r="AI24" i="31"/>
  <c r="Y24" i="31"/>
  <c r="BC100" i="31"/>
  <c r="AW30" i="31"/>
  <c r="BF70" i="31"/>
  <c r="AZ15" i="31"/>
  <c r="Y31" i="31"/>
  <c r="AM39" i="31"/>
  <c r="AK47" i="31"/>
  <c r="AH55" i="31"/>
  <c r="BC71" i="31"/>
  <c r="P79" i="31"/>
  <c r="AQ87" i="31"/>
  <c r="AC95" i="31"/>
  <c r="W103" i="31"/>
  <c r="AH54" i="31"/>
  <c r="H54" i="31"/>
  <c r="BC54" i="31"/>
  <c r="AA9" i="31"/>
  <c r="AX9" i="31"/>
  <c r="AC10" i="31"/>
  <c r="BE10" i="31"/>
  <c r="J10" i="31"/>
  <c r="AX10" i="31"/>
  <c r="AI18" i="31"/>
  <c r="O18" i="31"/>
  <c r="AP18" i="31"/>
  <c r="L26" i="31"/>
  <c r="AU26" i="31"/>
  <c r="BD26" i="31"/>
  <c r="AR34" i="31"/>
  <c r="V34" i="31"/>
  <c r="O34" i="31"/>
  <c r="AC42" i="31"/>
  <c r="BF42" i="31"/>
  <c r="AN42" i="31"/>
  <c r="O42" i="31"/>
  <c r="AI50" i="31"/>
  <c r="Q50" i="31"/>
  <c r="W50" i="31"/>
  <c r="Z58" i="31"/>
  <c r="H58" i="31"/>
  <c r="U58" i="31"/>
  <c r="BC66" i="31"/>
  <c r="BE66" i="31"/>
  <c r="AW66" i="31"/>
  <c r="AC74" i="31"/>
  <c r="AP74" i="31"/>
  <c r="AF74" i="31"/>
  <c r="AQ74" i="31"/>
  <c r="AZ82" i="31"/>
  <c r="BE82" i="31"/>
  <c r="AV82" i="31"/>
  <c r="AD82" i="31"/>
  <c r="AN82" i="31"/>
  <c r="AO90" i="31"/>
  <c r="P90" i="31"/>
  <c r="AD90" i="31"/>
  <c r="Z90" i="31"/>
  <c r="W90" i="31"/>
  <c r="AN98" i="31"/>
  <c r="AR98" i="31"/>
  <c r="BF98" i="31"/>
  <c r="BE98" i="31"/>
  <c r="V98" i="31"/>
  <c r="X94" i="31"/>
  <c r="AR94" i="31"/>
  <c r="AI94" i="31"/>
  <c r="U94" i="31"/>
  <c r="AH94" i="31"/>
  <c r="AG94" i="31"/>
  <c r="Y13" i="31"/>
  <c r="P13" i="31"/>
  <c r="BA13" i="31"/>
  <c r="AQ13" i="31"/>
  <c r="AJ13" i="31"/>
  <c r="J13" i="31"/>
  <c r="BE21" i="31"/>
  <c r="AV21" i="31"/>
  <c r="AM21" i="31"/>
  <c r="U21" i="31"/>
  <c r="K21" i="31"/>
  <c r="AP21" i="31"/>
  <c r="AZ21" i="31"/>
  <c r="AW29" i="31"/>
  <c r="AN29" i="31"/>
  <c r="AE29" i="31"/>
  <c r="AC29" i="31"/>
  <c r="S29" i="31"/>
  <c r="AD29" i="31"/>
  <c r="BE37" i="31"/>
  <c r="AV37" i="31"/>
  <c r="AM37" i="31"/>
  <c r="V37" i="31"/>
  <c r="AZ37" i="31"/>
  <c r="AP37" i="31"/>
  <c r="AI37" i="31"/>
  <c r="Y45" i="31"/>
  <c r="P45" i="31"/>
  <c r="BB45" i="31"/>
  <c r="AK45" i="31"/>
  <c r="T45" i="31"/>
  <c r="J45" i="31"/>
  <c r="BC53" i="31"/>
  <c r="AB100" i="31"/>
  <c r="S30" i="31"/>
  <c r="AX70" i="31"/>
  <c r="BE23" i="31"/>
  <c r="P31" i="31"/>
  <c r="V39" i="31"/>
  <c r="T47" i="31"/>
  <c r="AQ55" i="31"/>
  <c r="AK71" i="31"/>
  <c r="BG79" i="31"/>
  <c r="AN87" i="31"/>
  <c r="O95" i="31"/>
  <c r="AT103" i="31"/>
  <c r="Z54" i="31"/>
  <c r="T54" i="31"/>
  <c r="BE9" i="31"/>
  <c r="S9" i="31"/>
  <c r="AN9" i="31"/>
  <c r="U10" i="31"/>
  <c r="AW10" i="31"/>
  <c r="AN10" i="31"/>
  <c r="BA18" i="31"/>
  <c r="AA18" i="31"/>
  <c r="BD18" i="31"/>
  <c r="V18" i="31"/>
  <c r="BG26" i="31"/>
  <c r="AM26" i="31"/>
  <c r="AH26" i="31"/>
  <c r="AJ34" i="31"/>
  <c r="N34" i="31"/>
  <c r="BG34" i="31"/>
  <c r="U42" i="31"/>
  <c r="AX42" i="31"/>
  <c r="AF42" i="31"/>
  <c r="BA50" i="31"/>
  <c r="AA50" i="31"/>
  <c r="I50" i="31"/>
  <c r="O50" i="31"/>
  <c r="R58" i="31"/>
  <c r="BD58" i="31"/>
  <c r="AT58" i="31"/>
  <c r="AU66" i="31"/>
  <c r="AT66" i="31"/>
  <c r="AB66" i="31"/>
  <c r="U74" i="31"/>
  <c r="AG74" i="31"/>
  <c r="AT74" i="31"/>
  <c r="H74" i="31"/>
  <c r="AR82" i="31"/>
  <c r="AU82" i="31"/>
  <c r="AI82" i="31"/>
  <c r="R82" i="31"/>
  <c r="J82" i="31"/>
  <c r="AG90" i="31"/>
  <c r="H90" i="31"/>
  <c r="AP90" i="31"/>
  <c r="L90" i="31"/>
  <c r="BF90" i="31"/>
  <c r="P98" i="31"/>
  <c r="AJ98" i="31"/>
  <c r="AS98" i="31"/>
  <c r="BB98" i="31"/>
  <c r="J98" i="31"/>
  <c r="P94" i="31"/>
  <c r="T94" i="31"/>
  <c r="V94" i="31"/>
  <c r="BG94" i="31"/>
  <c r="N94" i="31"/>
  <c r="AT94" i="31"/>
  <c r="Q13" i="31"/>
  <c r="H13" i="31"/>
  <c r="AS13" i="31"/>
  <c r="AI13" i="31"/>
  <c r="N13" i="31"/>
  <c r="AX13" i="31"/>
  <c r="AW21" i="31"/>
  <c r="AN21" i="31"/>
  <c r="AE21" i="31"/>
  <c r="M21" i="31"/>
  <c r="AX21" i="31"/>
  <c r="T21" i="31"/>
  <c r="AD21" i="31"/>
  <c r="AO29" i="31"/>
  <c r="AF29" i="31"/>
  <c r="W29" i="31"/>
  <c r="U29" i="31"/>
  <c r="K29" i="31"/>
  <c r="J29" i="31"/>
  <c r="AW37" i="31"/>
  <c r="AN37" i="31"/>
  <c r="AE37" i="31"/>
  <c r="N37" i="31"/>
  <c r="AR37" i="31"/>
  <c r="AH37" i="31"/>
  <c r="AA37" i="31"/>
  <c r="Q45" i="31"/>
  <c r="H45" i="31"/>
  <c r="AT45" i="31"/>
  <c r="AC45" i="31"/>
  <c r="L45" i="31"/>
  <c r="AI45" i="31"/>
  <c r="BB53" i="31"/>
  <c r="BG53" i="31"/>
  <c r="AU53" i="31"/>
  <c r="AD53" i="31"/>
  <c r="M53" i="31"/>
  <c r="AP53" i="31"/>
  <c r="AA53" i="31"/>
  <c r="O61" i="31"/>
  <c r="BD61" i="31"/>
  <c r="N61" i="31"/>
  <c r="J61" i="31"/>
  <c r="AF61" i="31"/>
  <c r="AN61" i="31"/>
  <c r="AU69" i="31"/>
  <c r="AC69" i="31"/>
  <c r="S69" i="31"/>
  <c r="X69" i="31"/>
  <c r="AG69" i="31"/>
  <c r="Y69" i="31"/>
  <c r="H69" i="31"/>
  <c r="Q77" i="31"/>
  <c r="H77" i="31"/>
  <c r="AQ77" i="31"/>
  <c r="AJ77" i="31"/>
  <c r="AP77" i="31"/>
  <c r="AT77" i="31"/>
  <c r="AV85" i="31"/>
  <c r="AM85" i="31"/>
  <c r="V85" i="31"/>
  <c r="BG85" i="31"/>
  <c r="R85" i="31"/>
  <c r="AB85" i="31"/>
  <c r="AP85" i="31"/>
  <c r="L93" i="31"/>
  <c r="BD93" i="31"/>
  <c r="AL93" i="31"/>
  <c r="AS93" i="31"/>
  <c r="I93" i="31"/>
  <c r="BF93" i="31"/>
  <c r="AR101" i="31"/>
  <c r="AI101" i="31"/>
  <c r="X101" i="31"/>
  <c r="AP101" i="31"/>
  <c r="Z101" i="31"/>
  <c r="AH101" i="31"/>
  <c r="AW101" i="31"/>
  <c r="M46" i="31"/>
  <c r="AY46" i="31"/>
  <c r="AP46" i="31"/>
  <c r="AG46" i="31"/>
  <c r="X46" i="31"/>
  <c r="N46" i="31"/>
  <c r="AY62" i="31"/>
  <c r="AM62" i="31"/>
  <c r="N62" i="31"/>
  <c r="U62" i="31"/>
  <c r="AP62" i="31"/>
  <c r="AN62" i="31"/>
  <c r="AL62" i="31"/>
  <c r="M16" i="31"/>
  <c r="AY16" i="31"/>
  <c r="AO16" i="31"/>
  <c r="AQ100" i="31"/>
  <c r="AQ30" i="31"/>
  <c r="AZ70" i="31"/>
  <c r="AV23" i="31"/>
  <c r="BF31" i="31"/>
  <c r="AZ39" i="31"/>
  <c r="J47" i="31"/>
  <c r="W63" i="31"/>
  <c r="AA71" i="31"/>
  <c r="AZ79" i="31"/>
  <c r="BG87" i="31"/>
  <c r="AZ103" i="31"/>
  <c r="BF103" i="31"/>
  <c r="R54" i="31"/>
  <c r="AS54" i="31"/>
  <c r="AY9" i="31"/>
  <c r="K9" i="31"/>
  <c r="X9" i="31"/>
  <c r="AZ10" i="31"/>
  <c r="AG10" i="31"/>
  <c r="BF10" i="31"/>
  <c r="AK18" i="31"/>
  <c r="K18" i="31"/>
  <c r="N18" i="31"/>
  <c r="AL18" i="31"/>
  <c r="AQ26" i="31"/>
  <c r="W26" i="31"/>
  <c r="BB26" i="31"/>
  <c r="T34" i="31"/>
  <c r="AM34" i="31"/>
  <c r="AA34" i="31"/>
  <c r="AZ42" i="31"/>
  <c r="AH42" i="31"/>
  <c r="P42" i="31"/>
  <c r="AK50" i="31"/>
  <c r="K50" i="31"/>
  <c r="AV50" i="31"/>
  <c r="AM50" i="31"/>
  <c r="BF58" i="31"/>
  <c r="AM58" i="31"/>
  <c r="AS58" i="31"/>
  <c r="AE66" i="31"/>
  <c r="Y66" i="31"/>
  <c r="X66" i="31"/>
  <c r="AU74" i="31"/>
  <c r="X74" i="31"/>
  <c r="AE74" i="31"/>
  <c r="AM74" i="31"/>
  <c r="AJ82" i="31"/>
  <c r="AM82" i="31"/>
  <c r="V82" i="31"/>
  <c r="I82" i="31"/>
  <c r="AA82" i="31"/>
  <c r="Y90" i="31"/>
  <c r="BA90" i="31"/>
  <c r="AB90" i="31"/>
  <c r="AU90" i="31"/>
  <c r="AE90" i="31"/>
  <c r="H98" i="31"/>
  <c r="AB98" i="31"/>
  <c r="AG98" i="31"/>
  <c r="AI98" i="31"/>
  <c r="AX98" i="31"/>
  <c r="H94" i="31"/>
  <c r="L94" i="31"/>
  <c r="J94" i="31"/>
  <c r="AO94" i="31"/>
  <c r="AY94" i="31"/>
  <c r="Z94" i="31"/>
  <c r="I13" i="31"/>
  <c r="BC13" i="31"/>
  <c r="AK13" i="31"/>
  <c r="AA13" i="31"/>
  <c r="V13" i="31"/>
  <c r="AB13" i="31"/>
  <c r="AO21" i="31"/>
  <c r="AF21" i="31"/>
  <c r="W21" i="31"/>
  <c r="BG21" i="31"/>
  <c r="AB21" i="31"/>
  <c r="L21" i="31"/>
  <c r="J21" i="31"/>
  <c r="AG29" i="31"/>
  <c r="X29" i="31"/>
  <c r="O29" i="31"/>
  <c r="M29" i="31"/>
  <c r="AL29" i="31"/>
  <c r="V29" i="31"/>
  <c r="AO37" i="31"/>
  <c r="AF37" i="31"/>
  <c r="W37" i="31"/>
  <c r="BA37" i="31"/>
  <c r="AJ37" i="31"/>
  <c r="Z37" i="31"/>
  <c r="K37" i="31"/>
  <c r="I45" i="31"/>
  <c r="BC45" i="31"/>
  <c r="AL45" i="31"/>
  <c r="U45" i="31"/>
  <c r="BF45" i="31"/>
  <c r="AA45" i="31"/>
  <c r="BA53" i="31"/>
  <c r="AV53" i="31"/>
  <c r="AM53" i="31"/>
  <c r="V53" i="31"/>
  <c r="AZ53" i="31"/>
  <c r="AH53" i="31"/>
  <c r="K53" i="31"/>
  <c r="BG61" i="31"/>
  <c r="AS61" i="31"/>
  <c r="AW61" i="31"/>
  <c r="BF61" i="31"/>
  <c r="T61" i="31"/>
  <c r="AB61" i="31"/>
  <c r="AM69" i="31"/>
  <c r="U69" i="31"/>
  <c r="K69" i="31"/>
  <c r="J69" i="31"/>
  <c r="BD69" i="31"/>
  <c r="AZ69" i="31"/>
  <c r="L69" i="31"/>
  <c r="I77" i="31"/>
  <c r="BA77" i="31"/>
  <c r="AD77" i="31"/>
  <c r="W77" i="31"/>
  <c r="T77" i="31"/>
  <c r="AI77" i="31"/>
  <c r="AN85" i="31"/>
  <c r="AE85" i="31"/>
  <c r="N85" i="31"/>
  <c r="AY85" i="31"/>
  <c r="BF85" i="31"/>
  <c r="I85" i="31"/>
  <c r="Y85" i="31"/>
  <c r="BG93" i="31"/>
  <c r="AV93" i="31"/>
  <c r="Y93" i="31"/>
  <c r="AE93" i="31"/>
  <c r="AU93" i="31"/>
  <c r="BC93" i="31"/>
  <c r="AJ101" i="31"/>
  <c r="AA101" i="31"/>
  <c r="P101" i="31"/>
  <c r="AD101" i="31"/>
  <c r="AT101" i="31"/>
  <c r="N101" i="31"/>
  <c r="J101" i="31"/>
  <c r="AZ46" i="31"/>
  <c r="AQ46" i="31"/>
  <c r="AH46" i="31"/>
  <c r="Y46" i="31"/>
  <c r="P46" i="31"/>
  <c r="AU46" i="31"/>
  <c r="AQ62" i="31"/>
  <c r="AE62" i="31"/>
  <c r="AV62" i="31"/>
  <c r="I62" i="31"/>
  <c r="AD62" i="31"/>
  <c r="AB62" i="31"/>
  <c r="Z62" i="31"/>
  <c r="AZ16" i="31"/>
  <c r="AQ16" i="31"/>
  <c r="AG16" i="31"/>
  <c r="W16" i="31"/>
  <c r="H16" i="31"/>
  <c r="P16" i="31"/>
  <c r="AK100" i="31"/>
  <c r="AH71" i="31"/>
  <c r="J9" i="31"/>
  <c r="AK26" i="31"/>
  <c r="BE42" i="31"/>
  <c r="AC58" i="31"/>
  <c r="BF82" i="31"/>
  <c r="AI90" i="31"/>
  <c r="AX94" i="31"/>
  <c r="S13" i="31"/>
  <c r="AL21" i="31"/>
  <c r="AG37" i="31"/>
  <c r="AU45" i="31"/>
  <c r="BF53" i="31"/>
  <c r="AI53" i="31"/>
  <c r="V61" i="31"/>
  <c r="AK69" i="31"/>
  <c r="BE69" i="31"/>
  <c r="BC77" i="31"/>
  <c r="BD85" i="31"/>
  <c r="AO85" i="31"/>
  <c r="K93" i="31"/>
  <c r="O93" i="31"/>
  <c r="BC101" i="31"/>
  <c r="U46" i="31"/>
  <c r="AF46" i="31"/>
  <c r="Y62" i="31"/>
  <c r="AX62" i="31"/>
  <c r="AM16" i="31"/>
  <c r="AN16" i="31"/>
  <c r="L24" i="31"/>
  <c r="I24" i="31"/>
  <c r="AN24" i="31"/>
  <c r="AF24" i="31"/>
  <c r="AV24" i="31"/>
  <c r="AR32" i="31"/>
  <c r="AH32" i="31"/>
  <c r="V32" i="31"/>
  <c r="K32" i="31"/>
  <c r="H32" i="31"/>
  <c r="AF32" i="31"/>
  <c r="AC40" i="31"/>
  <c r="L40" i="31"/>
  <c r="BF40" i="31"/>
  <c r="AW40" i="31"/>
  <c r="AN40" i="31"/>
  <c r="AD40" i="31"/>
  <c r="BC40" i="31"/>
  <c r="AR48" i="31"/>
  <c r="AI48" i="31"/>
  <c r="Q48" i="31"/>
  <c r="H48" i="31"/>
  <c r="AU48" i="31"/>
  <c r="AI56" i="31"/>
  <c r="Z56" i="31"/>
  <c r="Q56" i="31"/>
  <c r="T56" i="31"/>
  <c r="W56" i="31"/>
  <c r="BC64" i="31"/>
  <c r="AK64" i="31"/>
  <c r="Y64" i="31"/>
  <c r="Y72" i="31"/>
  <c r="H72" i="31"/>
  <c r="J72" i="31"/>
  <c r="AR80" i="31"/>
  <c r="BB80" i="31"/>
  <c r="H80" i="31"/>
  <c r="AG88" i="31"/>
  <c r="R88" i="31"/>
  <c r="AI88" i="31"/>
  <c r="BC96" i="31"/>
  <c r="BG96" i="31"/>
  <c r="N96" i="31"/>
  <c r="AF104" i="31"/>
  <c r="BB104" i="31"/>
  <c r="AG104" i="31"/>
  <c r="AS104" i="31"/>
  <c r="X34" i="31"/>
  <c r="AQ98" i="31"/>
  <c r="AX53" i="31"/>
  <c r="P77" i="31"/>
  <c r="AU62" i="31"/>
  <c r="AG24" i="31"/>
  <c r="AQ32" i="31"/>
  <c r="J40" i="31"/>
  <c r="AP48" i="31"/>
  <c r="X56" i="31"/>
  <c r="M64" i="31"/>
  <c r="AR72" i="31"/>
  <c r="AF80" i="31"/>
  <c r="AM88" i="31"/>
  <c r="V96" i="31"/>
  <c r="AA104" i="31"/>
  <c r="W30" i="31"/>
  <c r="AU79" i="31"/>
  <c r="AT9" i="31"/>
  <c r="K26" i="31"/>
  <c r="AL42" i="31"/>
  <c r="AO66" i="31"/>
  <c r="AE82" i="31"/>
  <c r="AX90" i="31"/>
  <c r="BE94" i="31"/>
  <c r="BB13" i="31"/>
  <c r="AH21" i="31"/>
  <c r="X37" i="31"/>
  <c r="AD45" i="31"/>
  <c r="AE53" i="31"/>
  <c r="S53" i="31"/>
  <c r="AT61" i="31"/>
  <c r="M69" i="31"/>
  <c r="T69" i="31"/>
  <c r="R77" i="31"/>
  <c r="AF85" i="31"/>
  <c r="AJ85" i="31"/>
  <c r="AN93" i="31"/>
  <c r="AM93" i="31"/>
  <c r="Q101" i="31"/>
  <c r="AR46" i="31"/>
  <c r="H46" i="31"/>
  <c r="AH62" i="31"/>
  <c r="M62" i="31"/>
  <c r="AE16" i="31"/>
  <c r="BA24" i="31"/>
  <c r="AA24" i="31"/>
  <c r="BC24" i="31"/>
  <c r="R24" i="31"/>
  <c r="J24" i="31"/>
  <c r="BA32" i="31"/>
  <c r="AJ32" i="31"/>
  <c r="Z32" i="31"/>
  <c r="N32" i="31"/>
  <c r="BE32" i="31"/>
  <c r="BC32" i="31"/>
  <c r="P32" i="31"/>
  <c r="U40" i="31"/>
  <c r="BG40" i="31"/>
  <c r="AX40" i="31"/>
  <c r="AO40" i="31"/>
  <c r="AF40" i="31"/>
  <c r="V40" i="31"/>
  <c r="BA48" i="31"/>
  <c r="AJ48" i="31"/>
  <c r="AA48" i="31"/>
  <c r="R48" i="31"/>
  <c r="I48" i="31"/>
  <c r="BB48" i="31"/>
  <c r="AM48" i="31"/>
  <c r="AA56" i="31"/>
  <c r="R56" i="31"/>
  <c r="I56" i="31"/>
  <c r="BC56" i="31"/>
  <c r="L56" i="31"/>
  <c r="AT56" i="31"/>
  <c r="BG64" i="31"/>
  <c r="AU64" i="31"/>
  <c r="Q64" i="31"/>
  <c r="AC64" i="31"/>
  <c r="U64" i="31"/>
  <c r="AF64" i="31"/>
  <c r="I64" i="31"/>
  <c r="AA72" i="31"/>
  <c r="Q72" i="31"/>
  <c r="AZ72" i="31"/>
  <c r="BF72" i="31"/>
  <c r="BA72" i="31"/>
  <c r="AK72" i="31"/>
  <c r="BA80" i="31"/>
  <c r="AJ80" i="31"/>
  <c r="Y80" i="31"/>
  <c r="AN80" i="31"/>
  <c r="AL80" i="31"/>
  <c r="BC80" i="31"/>
  <c r="AQ80" i="31"/>
  <c r="Y88" i="31"/>
  <c r="P88" i="31"/>
  <c r="BF88" i="31"/>
  <c r="BB88" i="31"/>
  <c r="AX88" i="31"/>
  <c r="Z88" i="31"/>
  <c r="BD96" i="31"/>
  <c r="AU96" i="31"/>
  <c r="AB96" i="31"/>
  <c r="AT96" i="31"/>
  <c r="AO96" i="31"/>
  <c r="BA96" i="31"/>
  <c r="AQ96" i="31"/>
  <c r="X104" i="31"/>
  <c r="O104" i="31"/>
  <c r="AP104" i="31"/>
  <c r="AI104" i="31"/>
  <c r="K104" i="31"/>
  <c r="AL104" i="31"/>
  <c r="J64" i="31"/>
  <c r="X72" i="31"/>
  <c r="BF80" i="31"/>
  <c r="BD88" i="31"/>
  <c r="O88" i="31"/>
  <c r="K88" i="31"/>
  <c r="AW96" i="31"/>
  <c r="AX96" i="31"/>
  <c r="BA104" i="31"/>
  <c r="I104" i="31"/>
  <c r="AX72" i="31"/>
  <c r="AV88" i="31"/>
  <c r="AZ88" i="31"/>
  <c r="X96" i="31"/>
  <c r="R96" i="31"/>
  <c r="AU104" i="31"/>
  <c r="AT104" i="31"/>
  <c r="BC55" i="31"/>
  <c r="Z61" i="31"/>
  <c r="AD93" i="31"/>
  <c r="AW16" i="31"/>
  <c r="AT24" i="31"/>
  <c r="S40" i="31"/>
  <c r="AY48" i="31"/>
  <c r="AG56" i="31"/>
  <c r="S64" i="31"/>
  <c r="AO72" i="31"/>
  <c r="M80" i="31"/>
  <c r="AW88" i="31"/>
  <c r="P96" i="31"/>
  <c r="AV104" i="31"/>
  <c r="Y15" i="31"/>
  <c r="AM87" i="31"/>
  <c r="T10" i="31"/>
  <c r="H26" i="31"/>
  <c r="AZ50" i="31"/>
  <c r="AF66" i="31"/>
  <c r="L82" i="31"/>
  <c r="BC98" i="31"/>
  <c r="S94" i="31"/>
  <c r="AR13" i="31"/>
  <c r="Y29" i="31"/>
  <c r="O37" i="31"/>
  <c r="M45" i="31"/>
  <c r="AL53" i="31"/>
  <c r="W61" i="31"/>
  <c r="AR61" i="31"/>
  <c r="AA69" i="31"/>
  <c r="AL69" i="31"/>
  <c r="AX77" i="31"/>
  <c r="AU85" i="31"/>
  <c r="AX85" i="31"/>
  <c r="AX93" i="31"/>
  <c r="AZ101" i="31"/>
  <c r="AU101" i="31"/>
  <c r="BG46" i="31"/>
  <c r="V46" i="31"/>
  <c r="AG62" i="31"/>
  <c r="U16" i="31"/>
  <c r="O16" i="31"/>
  <c r="AS24" i="31"/>
  <c r="S24" i="31"/>
  <c r="AU24" i="31"/>
  <c r="BF24" i="31"/>
  <c r="Z24" i="31"/>
  <c r="AS32" i="31"/>
  <c r="AB32" i="31"/>
  <c r="R32" i="31"/>
  <c r="AU32" i="31"/>
  <c r="AO32" i="31"/>
  <c r="AM32" i="31"/>
  <c r="AW32" i="31"/>
  <c r="M40" i="31"/>
  <c r="AY40" i="31"/>
  <c r="AP40" i="31"/>
  <c r="AG40" i="31"/>
  <c r="X40" i="31"/>
  <c r="N40" i="31"/>
  <c r="AS48" i="31"/>
  <c r="AB48" i="31"/>
  <c r="S48" i="31"/>
  <c r="J48" i="31"/>
  <c r="BD48" i="31"/>
  <c r="AT48" i="31"/>
  <c r="AE48" i="31"/>
  <c r="S56" i="31"/>
  <c r="J56" i="31"/>
  <c r="BD56" i="31"/>
  <c r="AU56" i="31"/>
  <c r="AE56" i="31"/>
  <c r="V56" i="31"/>
  <c r="AY64" i="31"/>
  <c r="AM64" i="31"/>
  <c r="BD64" i="31"/>
  <c r="R64" i="31"/>
  <c r="BA64" i="31"/>
  <c r="N64" i="31"/>
  <c r="AR64" i="31"/>
  <c r="S72" i="31"/>
  <c r="I72" i="31"/>
  <c r="AL72" i="31"/>
  <c r="AS72" i="31"/>
  <c r="AN72" i="31"/>
  <c r="AJ72" i="31"/>
  <c r="AS80" i="31"/>
  <c r="AB80" i="31"/>
  <c r="Q80" i="31"/>
  <c r="AA80" i="31"/>
  <c r="X80" i="31"/>
  <c r="R80" i="31"/>
  <c r="AD80" i="31"/>
  <c r="Q88" i="31"/>
  <c r="H88" i="31"/>
  <c r="AR88" i="31"/>
  <c r="AP88" i="31"/>
  <c r="AJ88" i="31"/>
  <c r="V88" i="31"/>
  <c r="AV96" i="31"/>
  <c r="AM96" i="31"/>
  <c r="T96" i="31"/>
  <c r="AH96" i="31"/>
  <c r="S96" i="31"/>
  <c r="AG96" i="31"/>
  <c r="AY96" i="31"/>
  <c r="P104" i="31"/>
  <c r="AZ104" i="31"/>
  <c r="AC104" i="31"/>
  <c r="V104" i="31"/>
  <c r="AX104" i="31"/>
  <c r="AK104" i="31"/>
  <c r="BE64" i="31"/>
  <c r="N72" i="31"/>
  <c r="AY80" i="31"/>
  <c r="J80" i="31"/>
  <c r="S88" i="31"/>
  <c r="AF96" i="31"/>
  <c r="I96" i="31"/>
  <c r="Z96" i="31"/>
  <c r="BE104" i="31"/>
  <c r="R104" i="31"/>
  <c r="U80" i="31"/>
  <c r="BE88" i="31"/>
  <c r="AT88" i="31"/>
  <c r="O96" i="31"/>
  <c r="AA96" i="31"/>
  <c r="AB104" i="31"/>
  <c r="AH104" i="31"/>
  <c r="AD54" i="31"/>
  <c r="S37" i="31"/>
  <c r="T93" i="31"/>
  <c r="AZ62" i="31"/>
  <c r="M32" i="31"/>
  <c r="AS40" i="31"/>
  <c r="M48" i="31"/>
  <c r="AP56" i="31"/>
  <c r="AW64" i="31"/>
  <c r="AE72" i="31"/>
  <c r="AW80" i="31"/>
  <c r="AC88" i="31"/>
  <c r="AZ96" i="31"/>
  <c r="AM104" i="31"/>
  <c r="AM23" i="31"/>
  <c r="AQ103" i="31"/>
  <c r="AM10" i="31"/>
  <c r="Z26" i="31"/>
  <c r="AH50" i="31"/>
  <c r="R66" i="31"/>
  <c r="H82" i="31"/>
  <c r="T98" i="31"/>
  <c r="AC94" i="31"/>
  <c r="AG21" i="31"/>
  <c r="P29" i="31"/>
  <c r="AS37" i="31"/>
  <c r="AX45" i="31"/>
  <c r="N53" i="31"/>
  <c r="AY61" i="31"/>
  <c r="H61" i="31"/>
  <c r="BB69" i="31"/>
  <c r="AN69" i="31"/>
  <c r="K77" i="31"/>
  <c r="W85" i="31"/>
  <c r="Z85" i="31"/>
  <c r="M93" i="31"/>
  <c r="AB101" i="31"/>
  <c r="W101" i="31"/>
  <c r="AI46" i="31"/>
  <c r="AM46" i="31"/>
  <c r="BD62" i="31"/>
  <c r="AR16" i="31"/>
  <c r="AX16" i="31"/>
  <c r="AK24" i="31"/>
  <c r="K24" i="31"/>
  <c r="AM24" i="31"/>
  <c r="P24" i="31"/>
  <c r="AX24" i="31"/>
  <c r="AK32" i="31"/>
  <c r="T32" i="31"/>
  <c r="J32" i="31"/>
  <c r="AE32" i="31"/>
  <c r="Y32" i="31"/>
  <c r="W32" i="31"/>
  <c r="AG32" i="31"/>
  <c r="AZ40" i="31"/>
  <c r="AQ40" i="31"/>
  <c r="AH40" i="31"/>
  <c r="Y40" i="31"/>
  <c r="P40" i="31"/>
  <c r="AM40" i="31"/>
  <c r="AK48" i="31"/>
  <c r="T48" i="31"/>
  <c r="K48" i="31"/>
  <c r="BE48" i="31"/>
  <c r="AV48" i="31"/>
  <c r="AL48" i="31"/>
  <c r="O48" i="31"/>
  <c r="K56" i="31"/>
  <c r="BE56" i="31"/>
  <c r="AV56" i="31"/>
  <c r="AM56" i="31"/>
  <c r="M56" i="31"/>
  <c r="AS56" i="31"/>
  <c r="AQ64" i="31"/>
  <c r="AE64" i="31"/>
  <c r="AS64" i="31"/>
  <c r="H64" i="31"/>
  <c r="AJ64" i="31"/>
  <c r="AT64" i="31"/>
  <c r="Z64" i="31"/>
  <c r="K72" i="31"/>
  <c r="BC72" i="31"/>
  <c r="Z72" i="31"/>
  <c r="AF72" i="31"/>
  <c r="AB72" i="31"/>
  <c r="AC72" i="31"/>
  <c r="AK80" i="31"/>
  <c r="T80" i="31"/>
  <c r="I80" i="31"/>
  <c r="O80" i="31"/>
  <c r="K80" i="31"/>
  <c r="AP80" i="31"/>
  <c r="P80" i="31"/>
  <c r="I88" i="31"/>
  <c r="BA88" i="31"/>
  <c r="AE88" i="31"/>
  <c r="AB88" i="31"/>
  <c r="W88" i="31"/>
  <c r="BG88" i="31"/>
  <c r="AN96" i="31"/>
  <c r="AE96" i="31"/>
  <c r="L96" i="31"/>
  <c r="U96" i="31"/>
  <c r="BF96" i="31"/>
  <c r="M96" i="31"/>
  <c r="AD96" i="31"/>
  <c r="H104" i="31"/>
  <c r="AR104" i="31"/>
  <c r="Q104" i="31"/>
  <c r="J104" i="31"/>
  <c r="AD104" i="31"/>
  <c r="Y104" i="31"/>
  <c r="AD64" i="31"/>
  <c r="AU72" i="31"/>
  <c r="T72" i="31"/>
  <c r="L80" i="31"/>
  <c r="BG80" i="31"/>
  <c r="AS88" i="31"/>
  <c r="W96" i="31"/>
  <c r="AL96" i="31"/>
  <c r="AJ104" i="31"/>
  <c r="AT80" i="31"/>
  <c r="BC88" i="31"/>
  <c r="AI96" i="31"/>
  <c r="BD104" i="31"/>
  <c r="BG104" i="31"/>
  <c r="AG18" i="31"/>
  <c r="R29" i="31"/>
  <c r="AT69" i="31"/>
  <c r="AF101" i="31"/>
  <c r="AP16" i="31"/>
  <c r="AL32" i="31"/>
  <c r="S32" i="31"/>
  <c r="AT40" i="31"/>
  <c r="N48" i="31"/>
  <c r="AC56" i="31"/>
  <c r="AG64" i="31"/>
  <c r="L72" i="31"/>
  <c r="AH80" i="31"/>
  <c r="J88" i="31"/>
  <c r="BE96" i="31"/>
  <c r="S104" i="31"/>
  <c r="AI31" i="31"/>
  <c r="R103" i="31"/>
  <c r="AH10" i="31"/>
  <c r="AP34" i="31"/>
  <c r="P50" i="31"/>
  <c r="K74" i="31"/>
  <c r="BB82" i="31"/>
  <c r="AO98" i="31"/>
  <c r="AA94" i="31"/>
  <c r="X21" i="31"/>
  <c r="BB29" i="31"/>
  <c r="AB37" i="31"/>
  <c r="S45" i="31"/>
  <c r="U53" i="31"/>
  <c r="K61" i="31"/>
  <c r="AZ61" i="31"/>
  <c r="AJ69" i="31"/>
  <c r="Y77" i="31"/>
  <c r="V77" i="31"/>
  <c r="AD85" i="31"/>
  <c r="AG85" i="31"/>
  <c r="BE93" i="31"/>
  <c r="AQ101" i="31"/>
  <c r="BB101" i="31"/>
  <c r="AX46" i="31"/>
  <c r="BG62" i="31"/>
  <c r="BB62" i="31"/>
  <c r="BG16" i="31"/>
  <c r="AD16" i="31"/>
  <c r="AC24" i="31"/>
  <c r="BE24" i="31"/>
  <c r="W24" i="31"/>
  <c r="BD24" i="31"/>
  <c r="AD24" i="31"/>
  <c r="AC32" i="31"/>
  <c r="L32" i="31"/>
  <c r="BB32" i="31"/>
  <c r="O32" i="31"/>
  <c r="I32" i="31"/>
  <c r="AY32" i="31"/>
  <c r="Q32" i="31"/>
  <c r="AR40" i="31"/>
  <c r="AI40" i="31"/>
  <c r="Z40" i="31"/>
  <c r="Q40" i="31"/>
  <c r="H40" i="31"/>
  <c r="AE40" i="31"/>
  <c r="AC48" i="31"/>
  <c r="L48" i="31"/>
  <c r="BF48" i="31"/>
  <c r="AW48" i="31"/>
  <c r="AN48" i="31"/>
  <c r="AD48" i="31"/>
  <c r="W48" i="31"/>
  <c r="BF56" i="31"/>
  <c r="AW56" i="31"/>
  <c r="AN56" i="31"/>
  <c r="AZ56" i="31"/>
  <c r="AD56" i="31"/>
  <c r="U56" i="31"/>
  <c r="AI64" i="31"/>
  <c r="W64" i="31"/>
  <c r="AH64" i="31"/>
  <c r="T64" i="31"/>
  <c r="BE72" i="31"/>
  <c r="M72" i="31"/>
  <c r="AC80" i="31"/>
  <c r="AI80" i="31"/>
  <c r="AY88" i="31"/>
  <c r="BC104" i="31"/>
  <c r="AU80" i="31"/>
  <c r="AC90" i="31"/>
  <c r="N24" i="31"/>
  <c r="X48" i="31"/>
  <c r="AY72" i="31"/>
  <c r="AN88" i="31"/>
  <c r="T104" i="31"/>
  <c r="AP39" i="31"/>
  <c r="Y54" i="31"/>
  <c r="AZ18" i="31"/>
  <c r="S34" i="31"/>
  <c r="AY58" i="31"/>
  <c r="BC74" i="31"/>
  <c r="Q90" i="31"/>
  <c r="M98" i="31"/>
  <c r="BD13" i="31"/>
  <c r="O21" i="31"/>
  <c r="BG29" i="31"/>
  <c r="R37" i="31"/>
  <c r="AW53" i="31"/>
  <c r="AR53" i="31"/>
  <c r="AH61" i="31"/>
  <c r="P61" i="31"/>
  <c r="AV69" i="31"/>
  <c r="BD77" i="31"/>
  <c r="BG77" i="31"/>
  <c r="BA85" i="31"/>
  <c r="T85" i="31"/>
  <c r="R93" i="31"/>
  <c r="S101" i="31"/>
  <c r="AG101" i="31"/>
  <c r="Z46" i="31"/>
  <c r="AI62" i="31"/>
  <c r="R62" i="31"/>
  <c r="AI16" i="31"/>
  <c r="BF16" i="31"/>
  <c r="AJ24" i="31"/>
  <c r="AW24" i="31"/>
  <c r="O24" i="31"/>
  <c r="AH24" i="31"/>
  <c r="H24" i="31"/>
  <c r="U32" i="31"/>
  <c r="BF32" i="31"/>
  <c r="AT32" i="31"/>
  <c r="BG32" i="31"/>
  <c r="BD32" i="31"/>
  <c r="AI32" i="31"/>
  <c r="BA40" i="31"/>
  <c r="AJ40" i="31"/>
  <c r="AA40" i="31"/>
  <c r="R40" i="31"/>
  <c r="I40" i="31"/>
  <c r="BB40" i="31"/>
  <c r="W40" i="31"/>
  <c r="U48" i="31"/>
  <c r="BG48" i="31"/>
  <c r="AX48" i="31"/>
  <c r="AO48" i="31"/>
  <c r="AF48" i="31"/>
  <c r="V48" i="31"/>
  <c r="BG56" i="31"/>
  <c r="AX56" i="31"/>
  <c r="AO56" i="31"/>
  <c r="AF56" i="31"/>
  <c r="AR56" i="31"/>
  <c r="BB56" i="31"/>
  <c r="AK56" i="31"/>
  <c r="AA64" i="31"/>
  <c r="O64" i="31"/>
  <c r="X64" i="31"/>
  <c r="AO64" i="31"/>
  <c r="AZ64" i="31"/>
  <c r="L64" i="31"/>
  <c r="BG72" i="31"/>
  <c r="AW72" i="31"/>
  <c r="AM72" i="31"/>
  <c r="AT72" i="31"/>
  <c r="BD72" i="31"/>
  <c r="AV72" i="31"/>
  <c r="BE80" i="31"/>
  <c r="AM80" i="31"/>
  <c r="AE80" i="31"/>
  <c r="AK88" i="31"/>
  <c r="AH88" i="31"/>
  <c r="BB96" i="31"/>
  <c r="AO104" i="31"/>
  <c r="P74" i="31"/>
  <c r="AU13" i="31"/>
  <c r="I53" i="31"/>
  <c r="L77" i="31"/>
  <c r="AO46" i="31"/>
  <c r="AP24" i="31"/>
  <c r="AN32" i="31"/>
  <c r="BD40" i="31"/>
  <c r="AG48" i="31"/>
  <c r="AJ56" i="31"/>
  <c r="V64" i="31"/>
  <c r="AH72" i="31"/>
  <c r="Z80" i="31"/>
  <c r="AQ88" i="31"/>
  <c r="AP96" i="31"/>
  <c r="M104" i="31"/>
  <c r="K63" i="31"/>
  <c r="AS9" i="31"/>
  <c r="AX18" i="31"/>
  <c r="T42" i="31"/>
  <c r="AZ58" i="31"/>
  <c r="AJ74" i="31"/>
  <c r="O90" i="31"/>
  <c r="AM94" i="31"/>
  <c r="AC13" i="31"/>
  <c r="AT21" i="31"/>
  <c r="AB29" i="31"/>
  <c r="BD45" i="31"/>
  <c r="AN53" i="31"/>
  <c r="Z53" i="31"/>
  <c r="AK61" i="31"/>
  <c r="AE69" i="31"/>
  <c r="AP69" i="31"/>
  <c r="AS77" i="31"/>
  <c r="AB77" i="31"/>
  <c r="AQ85" i="31"/>
  <c r="AY93" i="31"/>
  <c r="AC93" i="31"/>
  <c r="H101" i="31"/>
  <c r="AK101" i="31"/>
  <c r="Q46" i="31"/>
  <c r="W62" i="31"/>
  <c r="P62" i="31"/>
  <c r="Y16" i="31"/>
  <c r="V16" i="31"/>
  <c r="T24" i="31"/>
  <c r="Q24" i="31"/>
  <c r="V24" i="31"/>
  <c r="BB24" i="31"/>
  <c r="X24" i="31"/>
  <c r="AZ32" i="31"/>
  <c r="AP32" i="31"/>
  <c r="AD32" i="31"/>
  <c r="AA32" i="31"/>
  <c r="X32" i="31"/>
  <c r="AV32" i="31"/>
  <c r="AK40" i="31"/>
  <c r="T40" i="31"/>
  <c r="K40" i="31"/>
  <c r="BE40" i="31"/>
  <c r="AV40" i="31"/>
  <c r="AL40" i="31"/>
  <c r="AU40" i="31"/>
  <c r="AZ48" i="31"/>
  <c r="AQ48" i="31"/>
  <c r="AH48" i="31"/>
  <c r="Y48" i="31"/>
  <c r="P48" i="31"/>
  <c r="BC48" i="31"/>
  <c r="AQ56" i="31"/>
  <c r="AH56" i="31"/>
  <c r="Y56" i="31"/>
  <c r="P56" i="31"/>
  <c r="AB56" i="31"/>
  <c r="BA56" i="31"/>
  <c r="AL56" i="31"/>
  <c r="K64" i="31"/>
  <c r="AL64" i="31"/>
  <c r="AX64" i="31"/>
  <c r="BB64" i="31"/>
  <c r="P64" i="31"/>
  <c r="AP64" i="31"/>
  <c r="AQ72" i="31"/>
  <c r="AG72" i="31"/>
  <c r="W72" i="31"/>
  <c r="U72" i="31"/>
  <c r="AD72" i="31"/>
  <c r="AP72" i="31"/>
  <c r="BB72" i="31"/>
  <c r="AZ80" i="31"/>
  <c r="AO80" i="31"/>
  <c r="S80" i="31"/>
  <c r="N80" i="31"/>
  <c r="V80" i="31"/>
  <c r="W80" i="31"/>
  <c r="AO88" i="31"/>
  <c r="AF88" i="31"/>
  <c r="U88" i="31"/>
  <c r="AD88" i="31"/>
  <c r="AA88" i="31"/>
  <c r="AL88" i="31"/>
  <c r="L88" i="31"/>
  <c r="H96" i="31"/>
  <c r="AR96" i="31"/>
  <c r="J96" i="31"/>
  <c r="AC96" i="31"/>
  <c r="AK96" i="31"/>
  <c r="K96" i="31"/>
  <c r="AN104" i="31"/>
  <c r="AE104" i="31"/>
  <c r="L104" i="31"/>
  <c r="N104" i="31"/>
  <c r="AY104" i="31"/>
  <c r="AQ104" i="31"/>
  <c r="BF104" i="31"/>
  <c r="Z48" i="31"/>
  <c r="H56" i="31"/>
  <c r="O56" i="31"/>
  <c r="AB64" i="31"/>
  <c r="AN64" i="31"/>
  <c r="AV64" i="31"/>
  <c r="AI72" i="31"/>
  <c r="O72" i="31"/>
  <c r="R72" i="31"/>
  <c r="V72" i="31"/>
  <c r="AG80" i="31"/>
  <c r="AX80" i="31"/>
  <c r="AV80" i="31"/>
  <c r="X88" i="31"/>
  <c r="M88" i="31"/>
  <c r="N88" i="31"/>
  <c r="AU88" i="31"/>
  <c r="AJ96" i="31"/>
  <c r="Q96" i="31"/>
  <c r="AS96" i="31"/>
  <c r="W104" i="31"/>
  <c r="AW104" i="31"/>
  <c r="U104" i="31"/>
  <c r="Y58" i="31"/>
  <c r="AY21" i="31"/>
  <c r="BC69" i="31"/>
  <c r="M85" i="31"/>
  <c r="BA101" i="31"/>
  <c r="AB24" i="31"/>
  <c r="AX32" i="31"/>
  <c r="AB40" i="31"/>
  <c r="O40" i="31"/>
  <c r="AY56" i="31"/>
  <c r="N56" i="31"/>
  <c r="BF64" i="31"/>
  <c r="P72" i="31"/>
  <c r="BD80" i="31"/>
  <c r="T88" i="31"/>
  <c r="Y96" i="31"/>
  <c r="Z104" i="31"/>
  <c r="F9" i="30"/>
  <c r="BN3" i="31" s="1"/>
  <c r="BN110" i="31" s="1"/>
  <c r="A16" i="17"/>
  <c r="H14" i="39" s="1"/>
  <c r="D15" i="17"/>
  <c r="AN114" i="31"/>
  <c r="AB116" i="31"/>
  <c r="P118" i="31"/>
  <c r="H120" i="31"/>
  <c r="AR121" i="31"/>
  <c r="V124" i="31"/>
  <c r="X117" i="31"/>
  <c r="AR117" i="31"/>
  <c r="L115" i="31"/>
  <c r="AV116" i="31"/>
  <c r="AN118" i="31"/>
  <c r="AB120" i="31"/>
  <c r="P122" i="31"/>
  <c r="AF115" i="31"/>
  <c r="L119" i="31"/>
  <c r="AV120" i="31"/>
  <c r="AN122" i="31"/>
  <c r="H116" i="31"/>
  <c r="AF119" i="31"/>
  <c r="X121" i="31"/>
  <c r="Q123" i="31"/>
  <c r="Y202" i="31"/>
  <c r="AT126" i="31"/>
  <c r="X126" i="31"/>
  <c r="BE126" i="31"/>
  <c r="AQ130" i="31"/>
  <c r="U130" i="31"/>
  <c r="I134" i="31"/>
  <c r="BE138" i="31"/>
  <c r="BB146" i="31"/>
  <c r="AW150" i="31"/>
  <c r="AT154" i="31"/>
  <c r="AQ158" i="31"/>
  <c r="AJ166" i="31"/>
  <c r="AG170" i="31"/>
  <c r="AD174" i="31"/>
  <c r="Z178" i="31"/>
  <c r="W186" i="31"/>
  <c r="Q190" i="31"/>
  <c r="AL194" i="31"/>
  <c r="J198" i="31"/>
  <c r="BF123" i="31"/>
  <c r="AN121" i="31"/>
  <c r="AV119" i="31"/>
  <c r="L118" i="31"/>
  <c r="X116" i="31"/>
  <c r="AF114" i="31"/>
  <c r="AX126" i="31"/>
  <c r="AB126" i="31"/>
  <c r="N130" i="31"/>
  <c r="AU130" i="31"/>
  <c r="Y130" i="31"/>
  <c r="Y134" i="31"/>
  <c r="V142" i="31"/>
  <c r="S146" i="31"/>
  <c r="N150" i="31"/>
  <c r="K154" i="31"/>
  <c r="BG158" i="31"/>
  <c r="AZ166" i="31"/>
  <c r="AW170" i="31"/>
  <c r="AT174" i="31"/>
  <c r="AP178" i="31"/>
  <c r="AM186" i="31"/>
  <c r="AG190" i="31"/>
  <c r="O194" i="31"/>
  <c r="Z198" i="31"/>
  <c r="R125" i="31"/>
  <c r="H122" i="31"/>
  <c r="P120" i="31"/>
  <c r="AB118" i="31"/>
  <c r="AN116" i="31"/>
  <c r="AV114" i="31"/>
  <c r="AH126" i="31"/>
  <c r="L126" i="31"/>
  <c r="AW126" i="31"/>
  <c r="AE130" i="31"/>
  <c r="I130" i="31"/>
  <c r="AB134" i="31"/>
  <c r="Y138" i="31"/>
  <c r="V146" i="31"/>
  <c r="Q150" i="31"/>
  <c r="N154" i="31"/>
  <c r="K158" i="31"/>
  <c r="BG162" i="31"/>
  <c r="AZ170" i="31"/>
  <c r="AW174" i="31"/>
  <c r="AS178" i="31"/>
  <c r="AP182" i="31"/>
  <c r="AJ190" i="31"/>
  <c r="AV194" i="31"/>
  <c r="AC198" i="31"/>
  <c r="P114" i="31"/>
  <c r="O126" i="31"/>
  <c r="AR126" i="31"/>
  <c r="AD130" i="31"/>
  <c r="H130" i="31"/>
  <c r="AO130" i="31"/>
  <c r="V138" i="31"/>
  <c r="S142" i="31"/>
  <c r="L146" i="31"/>
  <c r="K150" i="31"/>
  <c r="BG154" i="31"/>
  <c r="X162" i="31"/>
  <c r="AW166" i="31"/>
  <c r="AT170" i="31"/>
  <c r="AQ174" i="31"/>
  <c r="AM182" i="31"/>
  <c r="AF186" i="31"/>
  <c r="AD190" i="31"/>
  <c r="AS194" i="31"/>
  <c r="N202" i="31"/>
  <c r="I123" i="31"/>
  <c r="P121" i="31"/>
  <c r="AB119" i="31"/>
  <c r="AN117" i="31"/>
  <c r="AV115" i="31"/>
  <c r="L114" i="31"/>
  <c r="S126" i="31"/>
  <c r="AZ126" i="31"/>
  <c r="AH130" i="31"/>
  <c r="L130" i="31"/>
  <c r="BA130" i="31"/>
  <c r="AL138" i="31"/>
  <c r="AI142" i="31"/>
  <c r="AB146" i="31"/>
  <c r="AA150" i="31"/>
  <c r="T158" i="31"/>
  <c r="AB162" i="31"/>
  <c r="N166" i="31"/>
  <c r="K170" i="31"/>
  <c r="BG174" i="31"/>
  <c r="BC182" i="31"/>
  <c r="AV186" i="31"/>
  <c r="AT190" i="31"/>
  <c r="AP194" i="31"/>
  <c r="AH202" i="31"/>
  <c r="AP123" i="31"/>
  <c r="AF121" i="31"/>
  <c r="AR119" i="31"/>
  <c r="H118" i="31"/>
  <c r="P116" i="31"/>
  <c r="AB114" i="31"/>
  <c r="BB126" i="31"/>
  <c r="AJ126" i="31"/>
  <c r="R130" i="31"/>
  <c r="AY130" i="31"/>
  <c r="AG130" i="31"/>
  <c r="AO134" i="31"/>
  <c r="AL142" i="31"/>
  <c r="AI146" i="31"/>
  <c r="AD150" i="31"/>
  <c r="AA154" i="31"/>
  <c r="U162" i="31"/>
  <c r="Q166" i="31"/>
  <c r="N170" i="31"/>
  <c r="K174" i="31"/>
  <c r="BF178" i="31"/>
  <c r="BC186" i="31"/>
  <c r="AW190" i="31"/>
  <c r="AE194" i="31"/>
  <c r="AP198" i="31"/>
  <c r="AP150" i="31"/>
  <c r="AC150" i="31"/>
  <c r="P150" i="31"/>
  <c r="BD146" i="31"/>
  <c r="AU146" i="31"/>
  <c r="AH146" i="31"/>
  <c r="U142" i="31"/>
  <c r="H142" i="31"/>
  <c r="AX142" i="31"/>
  <c r="AK138" i="31"/>
  <c r="X138" i="31"/>
  <c r="O138" i="31"/>
  <c r="BA134" i="31"/>
  <c r="AN134" i="31"/>
  <c r="AE134" i="31"/>
  <c r="BC122" i="31"/>
  <c r="Q126" i="31"/>
  <c r="AB130" i="31"/>
  <c r="AI138" i="31"/>
  <c r="Y146" i="31"/>
  <c r="Q158" i="31"/>
  <c r="K166" i="31"/>
  <c r="BC178" i="31"/>
  <c r="AS186" i="31"/>
  <c r="AM198" i="31"/>
  <c r="AF122" i="31"/>
  <c r="H119" i="31"/>
  <c r="AB115" i="31"/>
  <c r="AQ126" i="31"/>
  <c r="BB130" i="31"/>
  <c r="BB134" i="31"/>
  <c r="AR142" i="31"/>
  <c r="AJ154" i="31"/>
  <c r="BE162" i="31"/>
  <c r="T174" i="31"/>
  <c r="M182" i="31"/>
  <c r="BG190" i="31"/>
  <c r="AY202" i="31"/>
  <c r="L121" i="31"/>
  <c r="AF117" i="31"/>
  <c r="H114" i="31"/>
  <c r="BD126" i="31"/>
  <c r="T130" i="31"/>
  <c r="BB138" i="31"/>
  <c r="AR146" i="31"/>
  <c r="AJ158" i="31"/>
  <c r="AD166" i="31"/>
  <c r="W178" i="31"/>
  <c r="M186" i="31"/>
  <c r="BF194" i="31"/>
  <c r="BF150" i="31"/>
  <c r="M150" i="31"/>
  <c r="AK146" i="31"/>
  <c r="H146" i="31"/>
  <c r="R146" i="31"/>
  <c r="AN142" i="31"/>
  <c r="O142" i="31"/>
  <c r="U138" i="31"/>
  <c r="AU138" i="31"/>
  <c r="R138" i="31"/>
  <c r="X134" i="31"/>
  <c r="AX134" i="31"/>
  <c r="BE150" i="31"/>
  <c r="AR150" i="31"/>
  <c r="AG146" i="31"/>
  <c r="T146" i="31"/>
  <c r="K146" i="31"/>
  <c r="AW142" i="31"/>
  <c r="AJ142" i="31"/>
  <c r="AA142" i="31"/>
  <c r="N142" i="31"/>
  <c r="AZ138" i="31"/>
  <c r="AQ138" i="31"/>
  <c r="AD138" i="31"/>
  <c r="Q134" i="31"/>
  <c r="BG134" i="31"/>
  <c r="AT134" i="31"/>
  <c r="U152" i="31"/>
  <c r="V185" i="31"/>
  <c r="AJ177" i="31"/>
  <c r="AG169" i="31"/>
  <c r="O161" i="31"/>
  <c r="R157" i="31"/>
  <c r="U153" i="31"/>
  <c r="X149" i="31"/>
  <c r="AC141" i="31"/>
  <c r="AF137" i="31"/>
  <c r="AV133" i="31"/>
  <c r="Z133" i="31"/>
  <c r="AB129" i="31"/>
  <c r="AT129" i="31"/>
  <c r="M125" i="31"/>
  <c r="AI125" i="31"/>
  <c r="AQ114" i="31"/>
  <c r="W116" i="31"/>
  <c r="BC117" i="31"/>
  <c r="AM119" i="31"/>
  <c r="S121" i="31"/>
  <c r="BA122" i="31"/>
  <c r="L210" i="31"/>
  <c r="V126" i="31"/>
  <c r="AK126" i="31"/>
  <c r="AZ130" i="31"/>
  <c r="AR138" i="31"/>
  <c r="AJ150" i="31"/>
  <c r="AD158" i="31"/>
  <c r="T170" i="31"/>
  <c r="M178" i="31"/>
  <c r="BF186" i="31"/>
  <c r="AV198" i="31"/>
  <c r="L122" i="31"/>
  <c r="AF118" i="31"/>
  <c r="H115" i="31"/>
  <c r="H126" i="31"/>
  <c r="AA130" i="31"/>
  <c r="L134" i="31"/>
  <c r="BE142" i="31"/>
  <c r="AW154" i="31"/>
  <c r="AQ162" i="31"/>
  <c r="AG174" i="31"/>
  <c r="Z182" i="31"/>
  <c r="AC194" i="31"/>
  <c r="I202" i="31"/>
  <c r="AN120" i="31"/>
  <c r="L117" i="31"/>
  <c r="N126" i="31"/>
  <c r="Y126" i="31"/>
  <c r="AN130" i="31"/>
  <c r="L138" i="31"/>
  <c r="BE146" i="31"/>
  <c r="AW158" i="31"/>
  <c r="AQ166" i="31"/>
  <c r="AF178" i="31"/>
  <c r="Z186" i="31"/>
  <c r="P198" i="31"/>
  <c r="Z150" i="31"/>
  <c r="AV150" i="31"/>
  <c r="U146" i="31"/>
  <c r="AE146" i="31"/>
  <c r="BA142" i="31"/>
  <c r="X142" i="31"/>
  <c r="AH142" i="31"/>
  <c r="BD138" i="31"/>
  <c r="AE138" i="31"/>
  <c r="AK134" i="31"/>
  <c r="H134" i="31"/>
  <c r="AH134" i="31"/>
  <c r="AO150" i="31"/>
  <c r="AB150" i="31"/>
  <c r="Q146" i="31"/>
  <c r="BG146" i="31"/>
  <c r="AT146" i="31"/>
  <c r="AG142" i="31"/>
  <c r="T142" i="31"/>
  <c r="K142" i="31"/>
  <c r="AW138" i="31"/>
  <c r="AJ138" i="31"/>
  <c r="AA138" i="31"/>
  <c r="N138" i="31"/>
  <c r="AZ134" i="31"/>
  <c r="AQ134" i="31"/>
  <c r="AD134" i="31"/>
  <c r="AD117" i="31"/>
  <c r="O185" i="31"/>
  <c r="AE173" i="31"/>
  <c r="BC165" i="31"/>
  <c r="BA161" i="31"/>
  <c r="BD157" i="31"/>
  <c r="H153" i="31"/>
  <c r="M145" i="31"/>
  <c r="P141" i="31"/>
  <c r="W137" i="31"/>
  <c r="P133" i="31"/>
  <c r="AS129" i="31"/>
  <c r="BG129" i="31"/>
  <c r="Z129" i="31"/>
  <c r="AR125" i="31"/>
  <c r="K125" i="31"/>
  <c r="K115" i="31"/>
  <c r="AQ116" i="31"/>
  <c r="AA118" i="31"/>
  <c r="BG119" i="31"/>
  <c r="AM121" i="31"/>
  <c r="R124" i="31"/>
  <c r="AU210" i="31"/>
  <c r="AI126" i="31"/>
  <c r="AL134" i="31"/>
  <c r="T154" i="31"/>
  <c r="BG170" i="31"/>
  <c r="AQ190" i="31"/>
  <c r="AR120" i="31"/>
  <c r="BG122" i="31"/>
  <c r="AJ130" i="31"/>
  <c r="AO146" i="31"/>
  <c r="AA166" i="31"/>
  <c r="J186" i="31"/>
  <c r="AW122" i="31"/>
  <c r="AR115" i="31"/>
  <c r="AL130" i="31"/>
  <c r="AY142" i="31"/>
  <c r="AR162" i="31"/>
  <c r="P182" i="31"/>
  <c r="BB202" i="31"/>
  <c r="AF150" i="31"/>
  <c r="O146" i="31"/>
  <c r="AU142" i="31"/>
  <c r="AN138" i="31"/>
  <c r="U134" i="31"/>
  <c r="R134" i="31"/>
  <c r="L150" i="31"/>
  <c r="AQ146" i="31"/>
  <c r="Q142" i="31"/>
  <c r="AT142" i="31"/>
  <c r="T138" i="31"/>
  <c r="AW134" i="31"/>
  <c r="AA134" i="31"/>
  <c r="K201" i="31"/>
  <c r="U173" i="31"/>
  <c r="AN161" i="31"/>
  <c r="AX149" i="31"/>
  <c r="BF141" i="31"/>
  <c r="AM133" i="31"/>
  <c r="AM129" i="31"/>
  <c r="T125" i="31"/>
  <c r="AE115" i="31"/>
  <c r="AU118" i="31"/>
  <c r="K122" i="31"/>
  <c r="AA210" i="31"/>
  <c r="Y210" i="31"/>
  <c r="H206" i="31"/>
  <c r="AC206" i="31"/>
  <c r="BB124" i="31"/>
  <c r="AV121" i="31"/>
  <c r="L120" i="31"/>
  <c r="X118" i="31"/>
  <c r="AF116" i="31"/>
  <c r="AR114" i="31"/>
  <c r="AL126" i="31"/>
  <c r="T126" i="31"/>
  <c r="BA126" i="31"/>
  <c r="AI130" i="31"/>
  <c r="Q130" i="31"/>
  <c r="AR134" i="31"/>
  <c r="AO138" i="31"/>
  <c r="AL146" i="31"/>
  <c r="AG150" i="31"/>
  <c r="AD154" i="31"/>
  <c r="AA158" i="31"/>
  <c r="T166" i="31"/>
  <c r="Q170" i="31"/>
  <c r="N174" i="31"/>
  <c r="J178" i="31"/>
  <c r="BF182" i="31"/>
  <c r="AZ190" i="31"/>
  <c r="V194" i="31"/>
  <c r="AS198" i="31"/>
  <c r="AS202" i="31"/>
  <c r="AZ211" i="31"/>
  <c r="AQ211" i="31"/>
  <c r="AD211" i="31"/>
  <c r="Q211" i="31"/>
  <c r="BG207" i="31"/>
  <c r="AS207" i="31"/>
  <c r="AT207" i="31"/>
  <c r="U203" i="31"/>
  <c r="H203" i="31"/>
  <c r="AX203" i="31"/>
  <c r="AL199" i="31"/>
  <c r="Y199" i="31"/>
  <c r="L199" i="31"/>
  <c r="BB195" i="31"/>
  <c r="AO195" i="31"/>
  <c r="AB195" i="31"/>
  <c r="S195" i="31"/>
  <c r="BF191" i="31"/>
  <c r="AS191" i="31"/>
  <c r="AF191" i="31"/>
  <c r="V187" i="31"/>
  <c r="BD116" i="31"/>
  <c r="AY211" i="31"/>
  <c r="AL211" i="31"/>
  <c r="Y211" i="31"/>
  <c r="L207" i="31"/>
  <c r="BA207" i="31"/>
  <c r="AH207" i="31"/>
  <c r="AC203" i="31"/>
  <c r="P203" i="31"/>
  <c r="BF203" i="31"/>
  <c r="AT199" i="31"/>
  <c r="AG199" i="31"/>
  <c r="T199" i="31"/>
  <c r="K199" i="31"/>
  <c r="AW195" i="31"/>
  <c r="AJ195" i="31"/>
  <c r="AA195" i="31"/>
  <c r="O191" i="31"/>
  <c r="BA191" i="31"/>
  <c r="AN191" i="31"/>
  <c r="AD187" i="31"/>
  <c r="BD120" i="31"/>
  <c r="AP211" i="31"/>
  <c r="P207" i="31"/>
  <c r="AX207" i="31"/>
  <c r="T203" i="31"/>
  <c r="AX199" i="31"/>
  <c r="X199" i="31"/>
  <c r="BA195" i="31"/>
  <c r="AE195" i="31"/>
  <c r="BE191" i="31"/>
  <c r="AH187" i="31"/>
  <c r="AZ187" i="31"/>
  <c r="AQ187" i="31"/>
  <c r="AD183" i="31"/>
  <c r="Q183" i="31"/>
  <c r="BG183" i="31"/>
  <c r="AT179" i="31"/>
  <c r="AG179" i="31"/>
  <c r="T179" i="31"/>
  <c r="K179" i="31"/>
  <c r="AK175" i="31"/>
  <c r="AU175" i="31"/>
  <c r="AM211" i="31"/>
  <c r="M211" i="31"/>
  <c r="AO207" i="31"/>
  <c r="Q203" i="31"/>
  <c r="AT203" i="31"/>
  <c r="U199" i="31"/>
  <c r="AX195" i="31"/>
  <c r="X195" i="31"/>
  <c r="BB191" i="31"/>
  <c r="AB191" i="31"/>
  <c r="Y187" i="31"/>
  <c r="L187" i="31"/>
  <c r="BB183" i="31"/>
  <c r="AO183" i="31"/>
  <c r="AB183" i="31"/>
  <c r="S183" i="31"/>
  <c r="BE179" i="31"/>
  <c r="AR179" i="31"/>
  <c r="AI179" i="31"/>
  <c r="V175" i="31"/>
  <c r="AF175" i="31"/>
  <c r="O211" i="31"/>
  <c r="Q207" i="31"/>
  <c r="V203" i="31"/>
  <c r="Z195" i="31"/>
  <c r="AD191" i="31"/>
  <c r="M187" i="31"/>
  <c r="AP183" i="31"/>
  <c r="P183" i="31"/>
  <c r="AS179" i="31"/>
  <c r="W179" i="31"/>
  <c r="BG175" i="31"/>
  <c r="M175" i="31"/>
  <c r="S171" i="31"/>
  <c r="BG126" i="31"/>
  <c r="AY134" i="31"/>
  <c r="AG154" i="31"/>
  <c r="Q174" i="31"/>
  <c r="M194" i="31"/>
  <c r="X120" i="31"/>
  <c r="AD126" i="31"/>
  <c r="BD130" i="31"/>
  <c r="AZ150" i="31"/>
  <c r="AJ170" i="31"/>
  <c r="T190" i="31"/>
  <c r="AB122" i="31"/>
  <c r="X115" i="31"/>
  <c r="K130" i="31"/>
  <c r="I142" i="31"/>
  <c r="AL162" i="31"/>
  <c r="AC182" i="31"/>
  <c r="L202" i="31"/>
  <c r="BA146" i="31"/>
  <c r="AX146" i="31"/>
  <c r="AE142" i="31"/>
  <c r="H138" i="31"/>
  <c r="BD134" i="31"/>
  <c r="V150" i="31"/>
  <c r="AW146" i="31"/>
  <c r="AA146" i="31"/>
  <c r="AZ142" i="31"/>
  <c r="AD142" i="31"/>
  <c r="BG138" i="31"/>
  <c r="AG134" i="31"/>
  <c r="K134" i="31"/>
  <c r="BA193" i="31"/>
  <c r="O169" i="31"/>
  <c r="AE157" i="31"/>
  <c r="AK149" i="31"/>
  <c r="AS137" i="31"/>
  <c r="BF133" i="31"/>
  <c r="S129" i="31"/>
  <c r="BC125" i="31"/>
  <c r="BC115" i="31"/>
  <c r="O119" i="31"/>
  <c r="AE122" i="31"/>
  <c r="BB210" i="31"/>
  <c r="J210" i="31"/>
  <c r="AQ206" i="31"/>
  <c r="BF206" i="31"/>
  <c r="Y123" i="31"/>
  <c r="AB121" i="31"/>
  <c r="AN119" i="31"/>
  <c r="AV117" i="31"/>
  <c r="L116" i="31"/>
  <c r="X114" i="31"/>
  <c r="K126" i="31"/>
  <c r="AN126" i="31"/>
  <c r="V130" i="31"/>
  <c r="BG130" i="31"/>
  <c r="AK130" i="31"/>
  <c r="BE134" i="31"/>
  <c r="BB142" i="31"/>
  <c r="AY146" i="31"/>
  <c r="AT150" i="31"/>
  <c r="AQ154" i="31"/>
  <c r="V162" i="31"/>
  <c r="AG166" i="31"/>
  <c r="AD170" i="31"/>
  <c r="AA174" i="31"/>
  <c r="W182" i="31"/>
  <c r="P186" i="31"/>
  <c r="N190" i="31"/>
  <c r="BC194" i="31"/>
  <c r="BF198" i="31"/>
  <c r="BD121" i="31"/>
  <c r="AJ211" i="31"/>
  <c r="AA211" i="31"/>
  <c r="N211" i="31"/>
  <c r="AZ207" i="31"/>
  <c r="AQ207" i="31"/>
  <c r="AC207" i="31"/>
  <c r="AP207" i="31"/>
  <c r="BD203" i="31"/>
  <c r="AU203" i="31"/>
  <c r="AH203" i="31"/>
  <c r="V199" i="31"/>
  <c r="I199" i="31"/>
  <c r="AY199" i="31"/>
  <c r="AL195" i="31"/>
  <c r="Y195" i="31"/>
  <c r="L195" i="31"/>
  <c r="BC191" i="31"/>
  <c r="AP191" i="31"/>
  <c r="AC191" i="31"/>
  <c r="P191" i="31"/>
  <c r="BE187" i="31"/>
  <c r="AR211" i="31"/>
  <c r="AI211" i="31"/>
  <c r="V211" i="31"/>
  <c r="I211" i="31"/>
  <c r="AY207" i="31"/>
  <c r="AK207" i="31"/>
  <c r="N207" i="31"/>
  <c r="M203" i="31"/>
  <c r="BC203" i="31"/>
  <c r="AP203" i="31"/>
  <c r="AD199" i="31"/>
  <c r="Q199" i="31"/>
  <c r="BG199" i="31"/>
  <c r="AT195" i="31"/>
  <c r="AG195" i="31"/>
  <c r="T195" i="31"/>
  <c r="K195" i="31"/>
  <c r="AX191" i="31"/>
  <c r="AK191" i="31"/>
  <c r="X191" i="31"/>
  <c r="N187" i="31"/>
  <c r="AF211" i="31"/>
  <c r="J211" i="31"/>
  <c r="AM207" i="31"/>
  <c r="Z207" i="31"/>
  <c r="AQ203" i="31"/>
  <c r="R199" i="31"/>
  <c r="AU199" i="31"/>
  <c r="U195" i="31"/>
  <c r="AY191" i="31"/>
  <c r="Y191" i="31"/>
  <c r="BA187" i="31"/>
  <c r="AJ187" i="31"/>
  <c r="AA187" i="31"/>
  <c r="N183" i="31"/>
  <c r="AZ183" i="31"/>
  <c r="AQ183" i="31"/>
  <c r="AD179" i="31"/>
  <c r="Q179" i="31"/>
  <c r="BG179" i="31"/>
  <c r="AT175" i="31"/>
  <c r="BD175" i="31"/>
  <c r="BD119" i="31"/>
  <c r="BF211" i="31"/>
  <c r="AF207" i="31"/>
  <c r="I207" i="31"/>
  <c r="AJ203" i="31"/>
  <c r="N203" i="31"/>
  <c r="AN199" i="31"/>
  <c r="R195" i="31"/>
  <c r="AU195" i="31"/>
  <c r="V191" i="31"/>
  <c r="AX187" i="31"/>
  <c r="I187" i="31"/>
  <c r="AY187" i="31"/>
  <c r="AL183" i="31"/>
  <c r="Y183" i="31"/>
  <c r="L183" i="31"/>
  <c r="BB179" i="31"/>
  <c r="AO179" i="31"/>
  <c r="AB179" i="31"/>
  <c r="S179" i="31"/>
  <c r="AS175" i="31"/>
  <c r="BC175" i="31"/>
  <c r="BA211" i="31"/>
  <c r="BE203" i="31"/>
  <c r="J199" i="31"/>
  <c r="M195" i="31"/>
  <c r="Q191" i="31"/>
  <c r="AF187" i="31"/>
  <c r="J183" i="31"/>
  <c r="AM183" i="31"/>
  <c r="M179" i="31"/>
  <c r="AP175" i="31"/>
  <c r="AI175" i="31"/>
  <c r="L175" i="31"/>
  <c r="AX130" i="31"/>
  <c r="AO162" i="31"/>
  <c r="AI202" i="31"/>
  <c r="U126" i="31"/>
  <c r="AG158" i="31"/>
  <c r="BC198" i="31"/>
  <c r="AA126" i="31"/>
  <c r="AQ150" i="31"/>
  <c r="K190" i="31"/>
  <c r="AN146" i="31"/>
  <c r="R142" i="31"/>
  <c r="AU134" i="31"/>
  <c r="AZ146" i="31"/>
  <c r="BG142" i="31"/>
  <c r="K138" i="31"/>
  <c r="N134" i="31"/>
  <c r="R165" i="31"/>
  <c r="BC145" i="31"/>
  <c r="Q129" i="31"/>
  <c r="AP125" i="31"/>
  <c r="AA120" i="31"/>
  <c r="AH210" i="31"/>
  <c r="S206" i="31"/>
  <c r="AR122" i="31"/>
  <c r="P119" i="31"/>
  <c r="AN115" i="31"/>
  <c r="AE126" i="31"/>
  <c r="AT130" i="31"/>
  <c r="V134" i="31"/>
  <c r="L142" i="31"/>
  <c r="BG150" i="31"/>
  <c r="Y162" i="31"/>
  <c r="AQ170" i="31"/>
  <c r="AF182" i="31"/>
  <c r="AA190" i="31"/>
  <c r="S202" i="31"/>
  <c r="T211" i="31"/>
  <c r="AW211" i="31"/>
  <c r="AA207" i="31"/>
  <c r="BA203" i="31"/>
  <c r="AE203" i="31"/>
  <c r="BE199" i="31"/>
  <c r="AI199" i="31"/>
  <c r="I195" i="31"/>
  <c r="AM191" i="31"/>
  <c r="M191" i="31"/>
  <c r="BD118" i="31"/>
  <c r="S211" i="31"/>
  <c r="AR207" i="31"/>
  <c r="U207" i="31"/>
  <c r="AV203" i="31"/>
  <c r="Z203" i="31"/>
  <c r="AZ199" i="31"/>
  <c r="AD195" i="31"/>
  <c r="BG195" i="31"/>
  <c r="AH191" i="31"/>
  <c r="H191" i="31"/>
  <c r="BC211" i="31"/>
  <c r="BE207" i="31"/>
  <c r="K203" i="31"/>
  <c r="O199" i="31"/>
  <c r="S191" i="31"/>
  <c r="AG187" i="31"/>
  <c r="K187" i="31"/>
  <c r="AJ183" i="31"/>
  <c r="N179" i="31"/>
  <c r="AQ179" i="31"/>
  <c r="AN175" i="31"/>
  <c r="Z211" i="31"/>
  <c r="AD207" i="31"/>
  <c r="AH199" i="31"/>
  <c r="AK195" i="31"/>
  <c r="AO191" i="31"/>
  <c r="AR187" i="31"/>
  <c r="V183" i="31"/>
  <c r="AY183" i="31"/>
  <c r="Y179" i="31"/>
  <c r="BB175" i="31"/>
  <c r="BD114" i="31"/>
  <c r="AR203" i="31"/>
  <c r="BC195" i="31"/>
  <c r="BC187" i="31"/>
  <c r="BF179" i="31"/>
  <c r="AW175" i="31"/>
  <c r="AY171" i="31"/>
  <c r="V171" i="31"/>
  <c r="I171" i="31"/>
  <c r="AY167" i="31"/>
  <c r="AL167" i="31"/>
  <c r="Y167" i="31"/>
  <c r="L167" i="31"/>
  <c r="BB163" i="31"/>
  <c r="AO163" i="31"/>
  <c r="AB163" i="31"/>
  <c r="S159" i="31"/>
  <c r="BE159" i="31"/>
  <c r="AR159" i="31"/>
  <c r="AI155" i="31"/>
  <c r="V155" i="31"/>
  <c r="I155" i="31"/>
  <c r="AY151" i="31"/>
  <c r="AL151" i="31"/>
  <c r="Y151" i="31"/>
  <c r="L151" i="31"/>
  <c r="AZ147" i="31"/>
  <c r="AQ147" i="31"/>
  <c r="AD147" i="31"/>
  <c r="Q143" i="31"/>
  <c r="BG143" i="31"/>
  <c r="AT143" i="31"/>
  <c r="AG139" i="31"/>
  <c r="T139" i="31"/>
  <c r="K139" i="31"/>
  <c r="AW135" i="31"/>
  <c r="AJ135" i="31"/>
  <c r="U211" i="31"/>
  <c r="Y203" i="31"/>
  <c r="AC199" i="31"/>
  <c r="AF195" i="31"/>
  <c r="AJ191" i="31"/>
  <c r="P187" i="31"/>
  <c r="AS183" i="31"/>
  <c r="W183" i="31"/>
  <c r="AV179" i="31"/>
  <c r="Z175" i="31"/>
  <c r="AA175" i="31"/>
  <c r="BG171" i="31"/>
  <c r="AT171" i="31"/>
  <c r="AG171" i="31"/>
  <c r="T171" i="31"/>
  <c r="K167" i="31"/>
  <c r="AW167" i="31"/>
  <c r="AJ167" i="31"/>
  <c r="AA163" i="31"/>
  <c r="N163" i="31"/>
  <c r="AZ163" i="31"/>
  <c r="AQ159" i="31"/>
  <c r="AD159" i="31"/>
  <c r="Q159" i="31"/>
  <c r="BG155" i="31"/>
  <c r="AT155" i="31"/>
  <c r="AG155" i="31"/>
  <c r="T155" i="31"/>
  <c r="K151" i="31"/>
  <c r="AW151" i="31"/>
  <c r="AJ151" i="31"/>
  <c r="Y147" i="31"/>
  <c r="L147" i="31"/>
  <c r="BB147" i="31"/>
  <c r="AO143" i="31"/>
  <c r="AB143" i="31"/>
  <c r="S143" i="31"/>
  <c r="BE139" i="31"/>
  <c r="AR139" i="31"/>
  <c r="AI139" i="31"/>
  <c r="V139" i="31"/>
  <c r="I135" i="31"/>
  <c r="AX211" i="31"/>
  <c r="BF199" i="31"/>
  <c r="N191" i="31"/>
  <c r="AH183" i="31"/>
  <c r="AK179" i="31"/>
  <c r="AY175" i="31"/>
  <c r="O171" i="31"/>
  <c r="AN171" i="31"/>
  <c r="R167" i="31"/>
  <c r="AU163" i="31"/>
  <c r="U163" i="31"/>
  <c r="AX159" i="31"/>
  <c r="X159" i="31"/>
  <c r="BA155" i="31"/>
  <c r="AE151" i="31"/>
  <c r="S130" i="31"/>
  <c r="AA162" i="31"/>
  <c r="AR202" i="31"/>
  <c r="AO126" i="31"/>
  <c r="AT158" i="31"/>
  <c r="M198" i="31"/>
  <c r="AU126" i="31"/>
  <c r="AZ154" i="31"/>
  <c r="T194" i="31"/>
  <c r="X146" i="31"/>
  <c r="BA138" i="31"/>
  <c r="O134" i="31"/>
  <c r="AJ146" i="31"/>
  <c r="AQ142" i="31"/>
  <c r="AT138" i="31"/>
  <c r="AW130" i="31"/>
  <c r="AJ165" i="31"/>
  <c r="AP145" i="31"/>
  <c r="AV129" i="31"/>
  <c r="S114" i="31"/>
  <c r="AY120" i="31"/>
  <c r="AW210" i="31"/>
  <c r="AW206" i="31"/>
  <c r="X122" i="31"/>
  <c r="AR118" i="31"/>
  <c r="P115" i="31"/>
  <c r="AY126" i="31"/>
  <c r="O130" i="31"/>
  <c r="AI134" i="31"/>
  <c r="Y142" i="31"/>
  <c r="Q154" i="31"/>
  <c r="BB162" i="31"/>
  <c r="AZ174" i="31"/>
  <c r="AS182" i="31"/>
  <c r="AJ194" i="31"/>
  <c r="AB202" i="31"/>
  <c r="BG211" i="31"/>
  <c r="AG211" i="31"/>
  <c r="K207" i="31"/>
  <c r="AK203" i="31"/>
  <c r="O203" i="31"/>
  <c r="AO199" i="31"/>
  <c r="S199" i="31"/>
  <c r="AR195" i="31"/>
  <c r="W191" i="31"/>
  <c r="AV191" i="31"/>
  <c r="BD115" i="31"/>
  <c r="BB211" i="31"/>
  <c r="AB207" i="31"/>
  <c r="BB207" i="31"/>
  <c r="AF203" i="31"/>
  <c r="J203" i="31"/>
  <c r="AJ199" i="31"/>
  <c r="N195" i="31"/>
  <c r="AQ195" i="31"/>
  <c r="R191" i="31"/>
  <c r="AT187" i="31"/>
  <c r="W211" i="31"/>
  <c r="Y207" i="31"/>
  <c r="AD203" i="31"/>
  <c r="AH195" i="31"/>
  <c r="AL191" i="31"/>
  <c r="Q187" i="31"/>
  <c r="AT183" i="31"/>
  <c r="T183" i="31"/>
  <c r="AW179" i="31"/>
  <c r="AA179" i="31"/>
  <c r="X175" i="31"/>
  <c r="AS211" i="31"/>
  <c r="AW203" i="31"/>
  <c r="BA199" i="31"/>
  <c r="BD195" i="31"/>
  <c r="I191" i="31"/>
  <c r="AB187" i="31"/>
  <c r="BE183" i="31"/>
  <c r="AI183" i="31"/>
  <c r="I179" i="31"/>
  <c r="AL175" i="31"/>
  <c r="X211" i="31"/>
  <c r="AI203" i="31"/>
  <c r="AQ191" i="31"/>
  <c r="W187" i="31"/>
  <c r="Z179" i="31"/>
  <c r="AZ175" i="31"/>
  <c r="AI171" i="31"/>
  <c r="BE171" i="31"/>
  <c r="AR171" i="31"/>
  <c r="AI167" i="31"/>
  <c r="V167" i="31"/>
  <c r="I167" i="31"/>
  <c r="AY163" i="31"/>
  <c r="AL163" i="31"/>
  <c r="Y163" i="31"/>
  <c r="L163" i="31"/>
  <c r="BB159" i="31"/>
  <c r="AO159" i="31"/>
  <c r="AB159" i="31"/>
  <c r="S155" i="31"/>
  <c r="BE155" i="31"/>
  <c r="AR155" i="31"/>
  <c r="AI151" i="31"/>
  <c r="V151" i="31"/>
  <c r="I151" i="31"/>
  <c r="AW147" i="31"/>
  <c r="AJ147" i="31"/>
  <c r="AA147" i="31"/>
  <c r="N147" i="31"/>
  <c r="AZ143" i="31"/>
  <c r="AQ143" i="31"/>
  <c r="AD143" i="31"/>
  <c r="Q139" i="31"/>
  <c r="BG139" i="31"/>
  <c r="AT139" i="31"/>
  <c r="AG135" i="31"/>
  <c r="BD211" i="31"/>
  <c r="H207" i="31"/>
  <c r="L203" i="31"/>
  <c r="P199" i="31"/>
  <c r="W195" i="31"/>
  <c r="Z187" i="31"/>
  <c r="AM187" i="31"/>
  <c r="M183" i="31"/>
  <c r="AP179" i="31"/>
  <c r="P179" i="31"/>
  <c r="AG175" i="31"/>
  <c r="W175" i="31"/>
  <c r="AQ171" i="31"/>
  <c r="AD171" i="31"/>
  <c r="Q171" i="31"/>
  <c r="BG167" i="31"/>
  <c r="AT167" i="31"/>
  <c r="AG167" i="31"/>
  <c r="T167" i="31"/>
  <c r="K163" i="31"/>
  <c r="AW163" i="31"/>
  <c r="AJ163" i="31"/>
  <c r="AA159" i="31"/>
  <c r="N159" i="31"/>
  <c r="AZ159" i="31"/>
  <c r="AQ155" i="31"/>
  <c r="AD155" i="31"/>
  <c r="Q155" i="31"/>
  <c r="BG151" i="31"/>
  <c r="AT151" i="31"/>
  <c r="AG151" i="31"/>
  <c r="T151" i="31"/>
  <c r="I147" i="31"/>
  <c r="AY147" i="31"/>
  <c r="AL147" i="31"/>
  <c r="Y143" i="31"/>
  <c r="L143" i="31"/>
  <c r="BB143" i="31"/>
  <c r="AO139" i="31"/>
  <c r="AB139" i="31"/>
  <c r="S139" i="31"/>
  <c r="BE135" i="31"/>
  <c r="AR135" i="31"/>
  <c r="X207" i="31"/>
  <c r="AF199" i="31"/>
  <c r="AP187" i="31"/>
  <c r="U183" i="31"/>
  <c r="X179" i="31"/>
  <c r="K175" i="31"/>
  <c r="AH171" i="31"/>
  <c r="H171" i="31"/>
  <c r="AK167" i="31"/>
  <c r="O163" i="31"/>
  <c r="AN163" i="31"/>
  <c r="R159" i="31"/>
  <c r="AU155" i="31"/>
  <c r="AB142" i="31"/>
  <c r="P117" i="31"/>
  <c r="P178" i="31"/>
  <c r="BE130" i="31"/>
  <c r="J150" i="31"/>
  <c r="AX138" i="31"/>
  <c r="AD146" i="31"/>
  <c r="AJ134" i="31"/>
  <c r="AU153" i="31"/>
  <c r="BE125" i="31"/>
  <c r="BD210" i="31"/>
  <c r="AL206" i="31"/>
  <c r="AB117" i="31"/>
  <c r="I126" i="31"/>
  <c r="S138" i="31"/>
  <c r="AZ158" i="31"/>
  <c r="AM178" i="31"/>
  <c r="W198" i="31"/>
  <c r="K211" i="31"/>
  <c r="M207" i="31"/>
  <c r="R203" i="31"/>
  <c r="V195" i="31"/>
  <c r="Z191" i="31"/>
  <c r="AB211" i="31"/>
  <c r="AI207" i="31"/>
  <c r="AM203" i="31"/>
  <c r="AQ199" i="31"/>
  <c r="AU191" i="31"/>
  <c r="AW187" i="31"/>
  <c r="AG203" i="31"/>
  <c r="AN195" i="31"/>
  <c r="T187" i="31"/>
  <c r="AA183" i="31"/>
  <c r="AD175" i="31"/>
  <c r="BC207" i="31"/>
  <c r="H199" i="31"/>
  <c r="R187" i="31"/>
  <c r="I183" i="31"/>
  <c r="L179" i="31"/>
  <c r="AN207" i="31"/>
  <c r="BF187" i="31"/>
  <c r="AF179" i="31"/>
  <c r="BB171" i="31"/>
  <c r="AB171" i="31"/>
  <c r="BE167" i="31"/>
  <c r="AI163" i="31"/>
  <c r="I163" i="31"/>
  <c r="AL159" i="31"/>
  <c r="L159" i="31"/>
  <c r="AO155" i="31"/>
  <c r="S151" i="31"/>
  <c r="AR151" i="31"/>
  <c r="T147" i="31"/>
  <c r="AW143" i="31"/>
  <c r="AA143" i="31"/>
  <c r="AZ139" i="31"/>
  <c r="AD139" i="31"/>
  <c r="AU211" i="31"/>
  <c r="BB203" i="31"/>
  <c r="K191" i="31"/>
  <c r="BF183" i="31"/>
  <c r="J179" i="31"/>
  <c r="AJ175" i="31"/>
  <c r="AA171" i="31"/>
  <c r="AZ171" i="31"/>
  <c r="AD167" i="31"/>
  <c r="BG163" i="31"/>
  <c r="AG163" i="31"/>
  <c r="K159" i="31"/>
  <c r="AJ159" i="31"/>
  <c r="N155" i="31"/>
  <c r="AQ151" i="31"/>
  <c r="Q151" i="31"/>
  <c r="AR147" i="31"/>
  <c r="V147" i="31"/>
  <c r="AY143" i="31"/>
  <c r="Y139" i="31"/>
  <c r="BB139" i="31"/>
  <c r="AB135" i="31"/>
  <c r="J195" i="31"/>
  <c r="H183" i="31"/>
  <c r="I175" i="31"/>
  <c r="AE167" i="31"/>
  <c r="AH163" i="31"/>
  <c r="AK159" i="31"/>
  <c r="U155" i="31"/>
  <c r="R151" i="31"/>
  <c r="AS147" i="31"/>
  <c r="W147" i="31"/>
  <c r="AV143" i="31"/>
  <c r="Z143" i="31"/>
  <c r="BC139" i="31"/>
  <c r="AC135" i="31"/>
  <c r="AQ135" i="31"/>
  <c r="AD135" i="31"/>
  <c r="Q131" i="31"/>
  <c r="BG131" i="31"/>
  <c r="AT131" i="31"/>
  <c r="AG127" i="31"/>
  <c r="T127" i="31"/>
  <c r="K127" i="31"/>
  <c r="AW123" i="31"/>
  <c r="BG123" i="31"/>
  <c r="U114" i="31"/>
  <c r="AG115" i="31"/>
  <c r="AS116" i="31"/>
  <c r="BE117" i="31"/>
  <c r="Q119" i="31"/>
  <c r="AC120" i="31"/>
  <c r="AO121" i="31"/>
  <c r="BD122" i="31"/>
  <c r="AF208" i="31"/>
  <c r="W208" i="31"/>
  <c r="I208" i="31"/>
  <c r="AW204" i="31"/>
  <c r="AO203" i="31"/>
  <c r="AV195" i="31"/>
  <c r="X187" i="31"/>
  <c r="AE183" i="31"/>
  <c r="AH175" i="31"/>
  <c r="H175" i="31"/>
  <c r="AK171" i="31"/>
  <c r="O167" i="31"/>
  <c r="AN167" i="31"/>
  <c r="R163" i="31"/>
  <c r="AU159" i="31"/>
  <c r="U159" i="31"/>
  <c r="AX155" i="31"/>
  <c r="X155" i="31"/>
  <c r="BA151" i="31"/>
  <c r="AC147" i="31"/>
  <c r="BF147" i="31"/>
  <c r="AF143" i="31"/>
  <c r="J143" i="31"/>
  <c r="AM139" i="31"/>
  <c r="M135" i="31"/>
  <c r="AI135" i="31"/>
  <c r="V135" i="31"/>
  <c r="I131" i="31"/>
  <c r="AY131" i="31"/>
  <c r="AL131" i="31"/>
  <c r="Y127" i="31"/>
  <c r="L127" i="31"/>
  <c r="BB127" i="31"/>
  <c r="AO123" i="31"/>
  <c r="AY123" i="31"/>
  <c r="AC114" i="31"/>
  <c r="AO115" i="31"/>
  <c r="BA116" i="31"/>
  <c r="M118" i="31"/>
  <c r="Y119" i="31"/>
  <c r="AK120" i="31"/>
  <c r="AW121" i="31"/>
  <c r="R123" i="31"/>
  <c r="X208" i="31"/>
  <c r="O208" i="31"/>
  <c r="AH208" i="31"/>
  <c r="AU207" i="31"/>
  <c r="J187" i="31"/>
  <c r="H179" i="31"/>
  <c r="Z171" i="31"/>
  <c r="AC167" i="31"/>
  <c r="AF163" i="31"/>
  <c r="AM155" i="31"/>
  <c r="AP151" i="31"/>
  <c r="AU147" i="31"/>
  <c r="AX143" i="31"/>
  <c r="BA135" i="31"/>
  <c r="AP135" i="31"/>
  <c r="P131" i="31"/>
  <c r="AS127" i="31"/>
  <c r="W127" i="31"/>
  <c r="P123" i="31"/>
  <c r="U115" i="31"/>
  <c r="AS117" i="31"/>
  <c r="Q120" i="31"/>
  <c r="AO122" i="31"/>
  <c r="AI208" i="31"/>
  <c r="V208" i="31"/>
  <c r="AR204" i="31"/>
  <c r="AI204" i="31"/>
  <c r="V204" i="31"/>
  <c r="AM200" i="31"/>
  <c r="Y200" i="31"/>
  <c r="AW200" i="31"/>
  <c r="Z196" i="31"/>
  <c r="M196" i="31"/>
  <c r="BC196" i="31"/>
  <c r="AQ192" i="31"/>
  <c r="AD192" i="31"/>
  <c r="Q192" i="31"/>
  <c r="BG188" i="31"/>
  <c r="AL188" i="31"/>
  <c r="AN188" i="31"/>
  <c r="AB188" i="31"/>
  <c r="J184" i="31"/>
  <c r="AV184" i="31"/>
  <c r="AM184" i="31"/>
  <c r="Z180" i="31"/>
  <c r="M180" i="31"/>
  <c r="BC180" i="31"/>
  <c r="AP176" i="31"/>
  <c r="AC176" i="31"/>
  <c r="P176" i="31"/>
  <c r="BG172" i="31"/>
  <c r="AT172" i="31"/>
  <c r="AG172" i="31"/>
  <c r="T172" i="31"/>
  <c r="K168" i="31"/>
  <c r="AW168" i="31"/>
  <c r="AJ168" i="31"/>
  <c r="AA164" i="31"/>
  <c r="N164" i="31"/>
  <c r="AZ164" i="31"/>
  <c r="AQ160" i="31"/>
  <c r="AD160" i="31"/>
  <c r="Q160" i="31"/>
  <c r="BG156" i="31"/>
  <c r="AT156" i="31"/>
  <c r="AG156" i="31"/>
  <c r="T156" i="31"/>
  <c r="K152" i="31"/>
  <c r="AW152" i="31"/>
  <c r="AJ152" i="31"/>
  <c r="AS148" i="31"/>
  <c r="AB148" i="31"/>
  <c r="K148" i="31"/>
  <c r="AO144" i="31"/>
  <c r="AB144" i="31"/>
  <c r="S144" i="31"/>
  <c r="BE140" i="31"/>
  <c r="AR140" i="31"/>
  <c r="AI140" i="31"/>
  <c r="V140" i="31"/>
  <c r="I136" i="31"/>
  <c r="AY136" i="31"/>
  <c r="AL136" i="31"/>
  <c r="Y132" i="31"/>
  <c r="L132" i="31"/>
  <c r="BB132" i="31"/>
  <c r="AO128" i="31"/>
  <c r="AB128" i="31"/>
  <c r="R211" i="31"/>
  <c r="AG191" i="31"/>
  <c r="U179" i="31"/>
  <c r="BF171" i="31"/>
  <c r="J167" i="31"/>
  <c r="M163" i="31"/>
  <c r="P159" i="31"/>
  <c r="W151" i="31"/>
  <c r="X147" i="31"/>
  <c r="AE143" i="31"/>
  <c r="AH139" i="31"/>
  <c r="BF135" i="31"/>
  <c r="AF131" i="31"/>
  <c r="J131" i="31"/>
  <c r="AM127" i="31"/>
  <c r="AF123" i="31"/>
  <c r="BE114" i="31"/>
  <c r="AC117" i="31"/>
  <c r="BA119" i="31"/>
  <c r="Y122" i="31"/>
  <c r="AY208" i="31"/>
  <c r="Z208" i="31"/>
  <c r="AZ204" i="31"/>
  <c r="AQ204" i="31"/>
  <c r="AD204" i="31"/>
  <c r="AU200" i="31"/>
  <c r="AK200" i="31"/>
  <c r="H200" i="31"/>
  <c r="AH196" i="31"/>
  <c r="U196" i="31"/>
  <c r="H196" i="31"/>
  <c r="AY192" i="31"/>
  <c r="AL192" i="31"/>
  <c r="Y192" i="31"/>
  <c r="L192" i="31"/>
  <c r="AT188" i="31"/>
  <c r="AV188" i="31"/>
  <c r="L188" i="31"/>
  <c r="R184" i="31"/>
  <c r="BD184" i="31"/>
  <c r="AU184" i="31"/>
  <c r="AH180" i="31"/>
  <c r="U180" i="31"/>
  <c r="H180" i="31"/>
  <c r="AX176" i="31"/>
  <c r="AK176" i="31"/>
  <c r="X176" i="31"/>
  <c r="O176" i="31"/>
  <c r="BB172" i="31"/>
  <c r="AO172" i="31"/>
  <c r="AB172" i="31"/>
  <c r="S168" i="31"/>
  <c r="BE168" i="31"/>
  <c r="AR168" i="31"/>
  <c r="AI164" i="31"/>
  <c r="V164" i="31"/>
  <c r="I164" i="31"/>
  <c r="AY160" i="31"/>
  <c r="AL160" i="31"/>
  <c r="Y160" i="31"/>
  <c r="L160" i="31"/>
  <c r="BB156" i="31"/>
  <c r="AO156" i="31"/>
  <c r="AB156" i="31"/>
  <c r="S152" i="31"/>
  <c r="BE152" i="31"/>
  <c r="AR152" i="31"/>
  <c r="BE148" i="31"/>
  <c r="AJ148" i="31"/>
  <c r="S148" i="31"/>
  <c r="AW144" i="31"/>
  <c r="AJ144" i="31"/>
  <c r="AA144" i="31"/>
  <c r="N144" i="31"/>
  <c r="AZ140" i="31"/>
  <c r="AQ140" i="31"/>
  <c r="AD140" i="31"/>
  <c r="Q136" i="31"/>
  <c r="BG136" i="31"/>
  <c r="AT136" i="31"/>
  <c r="AG132" i="31"/>
  <c r="T132" i="31"/>
  <c r="K132" i="31"/>
  <c r="AW128" i="31"/>
  <c r="AJ128" i="31"/>
  <c r="AA128" i="31"/>
  <c r="AX183" i="31"/>
  <c r="AV171" i="31"/>
  <c r="BF159" i="31"/>
  <c r="M151" i="31"/>
  <c r="U139" i="31"/>
  <c r="BA131" i="31"/>
  <c r="BD127" i="31"/>
  <c r="AE123" i="31"/>
  <c r="AG118" i="31"/>
  <c r="Z124" i="31"/>
  <c r="AK204" i="31"/>
  <c r="O204" i="31"/>
  <c r="AL200" i="31"/>
  <c r="AO142" i="31"/>
  <c r="AR116" i="31"/>
  <c r="AC178" i="31"/>
  <c r="S134" i="31"/>
  <c r="AS150" i="31"/>
  <c r="AH138" i="31"/>
  <c r="N146" i="31"/>
  <c r="T134" i="31"/>
  <c r="AH153" i="31"/>
  <c r="AG125" i="31"/>
  <c r="AJ210" i="31"/>
  <c r="AT206" i="31"/>
  <c r="H117" i="31"/>
  <c r="AG126" i="31"/>
  <c r="AB138" i="31"/>
  <c r="N158" i="31"/>
  <c r="AV178" i="31"/>
  <c r="AF198" i="31"/>
  <c r="AT211" i="31"/>
  <c r="V207" i="31"/>
  <c r="BB199" i="31"/>
  <c r="BE195" i="31"/>
  <c r="J191" i="31"/>
  <c r="L211" i="31"/>
  <c r="S207" i="31"/>
  <c r="W203" i="31"/>
  <c r="AA199" i="31"/>
  <c r="AE191" i="31"/>
  <c r="BF122" i="31"/>
  <c r="AZ203" i="31"/>
  <c r="H195" i="31"/>
  <c r="BG187" i="31"/>
  <c r="K183" i="31"/>
  <c r="BA175" i="31"/>
  <c r="W207" i="31"/>
  <c r="AE199" i="31"/>
  <c r="AO187" i="31"/>
  <c r="AR183" i="31"/>
  <c r="AY179" i="31"/>
  <c r="AE207" i="31"/>
  <c r="AS187" i="31"/>
  <c r="BC179" i="31"/>
  <c r="AL171" i="31"/>
  <c r="L171" i="31"/>
  <c r="AO167" i="31"/>
  <c r="S163" i="31"/>
  <c r="AR163" i="31"/>
  <c r="V159" i="31"/>
  <c r="AY155" i="31"/>
  <c r="Y155" i="31"/>
  <c r="BB151" i="31"/>
  <c r="AB151" i="31"/>
  <c r="BG147" i="31"/>
  <c r="AG143" i="31"/>
  <c r="K143" i="31"/>
  <c r="AJ139" i="31"/>
  <c r="N139" i="31"/>
  <c r="AH211" i="31"/>
  <c r="AP199" i="31"/>
  <c r="AW191" i="31"/>
  <c r="Z183" i="31"/>
  <c r="AC179" i="31"/>
  <c r="AQ175" i="31"/>
  <c r="K171" i="31"/>
  <c r="AJ171" i="31"/>
  <c r="N167" i="31"/>
  <c r="AQ163" i="31"/>
  <c r="Q163" i="31"/>
  <c r="AT159" i="31"/>
  <c r="T159" i="31"/>
  <c r="AW155" i="31"/>
  <c r="AA151" i="31"/>
  <c r="AZ151" i="31"/>
  <c r="AB147" i="31"/>
  <c r="BE143" i="31"/>
  <c r="AI143" i="31"/>
  <c r="I139" i="31"/>
  <c r="AL139" i="31"/>
  <c r="Z125" i="31"/>
  <c r="AM195" i="31"/>
  <c r="AX179" i="31"/>
  <c r="AU171" i="31"/>
  <c r="AX167" i="31"/>
  <c r="BA163" i="31"/>
  <c r="BD159" i="31"/>
  <c r="AN155" i="31"/>
  <c r="AK151" i="31"/>
  <c r="M147" i="31"/>
  <c r="AP147" i="31"/>
  <c r="P143" i="31"/>
  <c r="AS139" i="31"/>
  <c r="W139" i="31"/>
  <c r="AV135" i="31"/>
  <c r="AA135" i="31"/>
  <c r="N135" i="31"/>
  <c r="AZ131" i="31"/>
  <c r="AQ131" i="31"/>
  <c r="AD131" i="31"/>
  <c r="Q127" i="31"/>
  <c r="BG127" i="31"/>
  <c r="AT127" i="31"/>
  <c r="AZ123" i="31"/>
  <c r="AQ123" i="31"/>
  <c r="AK114" i="31"/>
  <c r="AW115" i="31"/>
  <c r="I117" i="31"/>
  <c r="U118" i="31"/>
  <c r="AG119" i="31"/>
  <c r="AS120" i="31"/>
  <c r="BE121" i="31"/>
  <c r="AH123" i="31"/>
  <c r="P208" i="31"/>
  <c r="BE208" i="31"/>
  <c r="AT208" i="31"/>
  <c r="H211" i="31"/>
  <c r="S203" i="31"/>
  <c r="AA191" i="31"/>
  <c r="O187" i="31"/>
  <c r="R179" i="31"/>
  <c r="AR175" i="31"/>
  <c r="AE171" i="31"/>
  <c r="BD171" i="31"/>
  <c r="AH167" i="31"/>
  <c r="H167" i="31"/>
  <c r="AK163" i="31"/>
  <c r="O159" i="31"/>
  <c r="AN159" i="31"/>
  <c r="R155" i="31"/>
  <c r="AU151" i="31"/>
  <c r="U151" i="31"/>
  <c r="AV147" i="31"/>
  <c r="Z147" i="31"/>
  <c r="BC143" i="31"/>
  <c r="AC139" i="31"/>
  <c r="BF139" i="31"/>
  <c r="AF135" i="31"/>
  <c r="S135" i="31"/>
  <c r="BE131" i="31"/>
  <c r="AR131" i="31"/>
  <c r="AI131" i="31"/>
  <c r="V131" i="31"/>
  <c r="I127" i="31"/>
  <c r="AY127" i="31"/>
  <c r="AL127" i="31"/>
  <c r="AR123" i="31"/>
  <c r="AI123" i="31"/>
  <c r="AS114" i="31"/>
  <c r="BE115" i="31"/>
  <c r="Q117" i="31"/>
  <c r="AC118" i="31"/>
  <c r="AO119" i="31"/>
  <c r="BA120" i="31"/>
  <c r="M122" i="31"/>
  <c r="J124" i="31"/>
  <c r="H208" i="31"/>
  <c r="AW208" i="31"/>
  <c r="N208" i="31"/>
  <c r="AY203" i="31"/>
  <c r="AE187" i="31"/>
  <c r="Y175" i="31"/>
  <c r="M171" i="31"/>
  <c r="P167" i="31"/>
  <c r="W159" i="31"/>
  <c r="Z155" i="31"/>
  <c r="AC151" i="31"/>
  <c r="AH147" i="31"/>
  <c r="AK139" i="31"/>
  <c r="AN135" i="31"/>
  <c r="J135" i="31"/>
  <c r="AM131" i="31"/>
  <c r="M127" i="31"/>
  <c r="AP127" i="31"/>
  <c r="AM123" i="31"/>
  <c r="BA115" i="31"/>
  <c r="Y118" i="31"/>
  <c r="AW120" i="31"/>
  <c r="AT123" i="31"/>
  <c r="BA208" i="31"/>
  <c r="AO204" i="31"/>
  <c r="AB204" i="31"/>
  <c r="S204" i="31"/>
  <c r="BD200" i="31"/>
  <c r="AT200" i="31"/>
  <c r="I200" i="31"/>
  <c r="W200" i="31"/>
  <c r="J196" i="31"/>
  <c r="AV196" i="31"/>
  <c r="AM196" i="31"/>
  <c r="AA192" i="31"/>
  <c r="N192" i="31"/>
  <c r="AZ192" i="31"/>
  <c r="AQ188" i="31"/>
  <c r="V188" i="31"/>
  <c r="N188" i="31"/>
  <c r="BF184" i="31"/>
  <c r="AS184" i="31"/>
  <c r="AF184" i="31"/>
  <c r="W184" i="31"/>
  <c r="J180" i="31"/>
  <c r="AV180" i="31"/>
  <c r="AM180" i="31"/>
  <c r="Z176" i="31"/>
  <c r="M176" i="31"/>
  <c r="BC176" i="31"/>
  <c r="AQ172" i="31"/>
  <c r="AD172" i="31"/>
  <c r="Q172" i="31"/>
  <c r="BG168" i="31"/>
  <c r="AT168" i="31"/>
  <c r="AG168" i="31"/>
  <c r="T168" i="31"/>
  <c r="K164" i="31"/>
  <c r="AW164" i="31"/>
  <c r="AJ164" i="31"/>
  <c r="AA160" i="31"/>
  <c r="N160" i="31"/>
  <c r="AZ160" i="31"/>
  <c r="AQ156" i="31"/>
  <c r="AD156" i="31"/>
  <c r="Q156" i="31"/>
  <c r="BG152" i="31"/>
  <c r="AT152" i="31"/>
  <c r="AG152" i="31"/>
  <c r="T152" i="31"/>
  <c r="AC148" i="31"/>
  <c r="L148" i="31"/>
  <c r="AL148" i="31"/>
  <c r="Y144" i="31"/>
  <c r="L144" i="31"/>
  <c r="BB144" i="31"/>
  <c r="AO140" i="31"/>
  <c r="AB140" i="31"/>
  <c r="S140" i="31"/>
  <c r="BE136" i="31"/>
  <c r="AR136" i="31"/>
  <c r="AI136" i="31"/>
  <c r="V136" i="31"/>
  <c r="I132" i="31"/>
  <c r="AY132" i="31"/>
  <c r="AL132" i="31"/>
  <c r="Y128" i="31"/>
  <c r="L128" i="31"/>
  <c r="BF207" i="31"/>
  <c r="AN187" i="31"/>
  <c r="AX175" i="31"/>
  <c r="AS171" i="31"/>
  <c r="AV167" i="31"/>
  <c r="BC159" i="31"/>
  <c r="BF155" i="31"/>
  <c r="J151" i="31"/>
  <c r="O147" i="31"/>
  <c r="R143" i="31"/>
  <c r="U135" i="31"/>
  <c r="Z135" i="31"/>
  <c r="BC131" i="31"/>
  <c r="AC127" i="31"/>
  <c r="BF127" i="31"/>
  <c r="BC123" i="31"/>
  <c r="AK115" i="31"/>
  <c r="I118" i="31"/>
  <c r="AG120" i="31"/>
  <c r="J123" i="31"/>
  <c r="S208" i="31"/>
  <c r="BA204" i="31"/>
  <c r="AJ204" i="31"/>
  <c r="AA204" i="31"/>
  <c r="N204" i="31"/>
  <c r="AE200" i="31"/>
  <c r="Q200" i="31"/>
  <c r="AG200" i="31"/>
  <c r="R196" i="31"/>
  <c r="BD196" i="31"/>
  <c r="AU196" i="31"/>
  <c r="AI192" i="31"/>
  <c r="V192" i="31"/>
  <c r="I192" i="31"/>
  <c r="AY188" i="31"/>
  <c r="AD188" i="31"/>
  <c r="Y188" i="31"/>
  <c r="O188" i="31"/>
  <c r="BA184" i="31"/>
  <c r="AN184" i="31"/>
  <c r="AE184" i="31"/>
  <c r="R180" i="31"/>
  <c r="BD180" i="31"/>
  <c r="AU180" i="31"/>
  <c r="AH176" i="31"/>
  <c r="U176" i="31"/>
  <c r="H176" i="31"/>
  <c r="AY172" i="31"/>
  <c r="AL172" i="31"/>
  <c r="Y172" i="31"/>
  <c r="L172" i="31"/>
  <c r="BB168" i="31"/>
  <c r="AO168" i="31"/>
  <c r="AB168" i="31"/>
  <c r="S164" i="31"/>
  <c r="BE164" i="31"/>
  <c r="AR164" i="31"/>
  <c r="AI160" i="31"/>
  <c r="V160" i="31"/>
  <c r="I160" i="31"/>
  <c r="AY156" i="31"/>
  <c r="AL156" i="31"/>
  <c r="Y156" i="31"/>
  <c r="L156" i="31"/>
  <c r="BB152" i="31"/>
  <c r="AO152" i="31"/>
  <c r="AB152" i="31"/>
  <c r="AK148" i="31"/>
  <c r="T148" i="31"/>
  <c r="AT148" i="31"/>
  <c r="AG144" i="31"/>
  <c r="T144" i="31"/>
  <c r="K144" i="31"/>
  <c r="AW140" i="31"/>
  <c r="AJ140" i="31"/>
  <c r="AA140" i="31"/>
  <c r="N140" i="31"/>
  <c r="AZ136" i="31"/>
  <c r="AQ136" i="31"/>
  <c r="AD136" i="31"/>
  <c r="Q132" i="31"/>
  <c r="BG132" i="31"/>
  <c r="AT132" i="31"/>
  <c r="AG128" i="31"/>
  <c r="T128" i="31"/>
  <c r="AE211" i="31"/>
  <c r="BA179" i="31"/>
  <c r="Z167" i="31"/>
  <c r="AF159" i="31"/>
  <c r="AN147" i="31"/>
  <c r="AX139" i="31"/>
  <c r="AN131" i="31"/>
  <c r="AU127" i="31"/>
  <c r="AW114" i="31"/>
  <c r="AS119" i="31"/>
  <c r="BG208" i="31"/>
  <c r="BD204" i="31"/>
  <c r="AH204" i="31"/>
  <c r="AS200" i="31"/>
  <c r="AV182" i="31"/>
  <c r="X119" i="31"/>
  <c r="AK142" i="31"/>
  <c r="AG138" i="31"/>
  <c r="J137" i="31"/>
  <c r="AZ206" i="31"/>
  <c r="AY122" i="31"/>
  <c r="I146" i="31"/>
  <c r="AC186" i="31"/>
  <c r="AJ207" i="31"/>
  <c r="AR199" i="31"/>
  <c r="BB187" i="31"/>
  <c r="J207" i="31"/>
  <c r="Q195" i="31"/>
  <c r="AC211" i="31"/>
  <c r="AR191" i="31"/>
  <c r="AZ179" i="31"/>
  <c r="BG203" i="31"/>
  <c r="AI187" i="31"/>
  <c r="AC175" i="31"/>
  <c r="AC183" i="31"/>
  <c r="AO171" i="31"/>
  <c r="AR167" i="31"/>
  <c r="AY159" i="31"/>
  <c r="BB155" i="31"/>
  <c r="BE151" i="31"/>
  <c r="K147" i="31"/>
  <c r="N143" i="31"/>
  <c r="Q135" i="31"/>
  <c r="BF195" i="31"/>
  <c r="AF183" i="31"/>
  <c r="U175" i="31"/>
  <c r="AQ167" i="31"/>
  <c r="AT163" i="31"/>
  <c r="AW159" i="31"/>
  <c r="AZ155" i="31"/>
  <c r="BE147" i="31"/>
  <c r="I143" i="31"/>
  <c r="L139" i="31"/>
  <c r="AL207" i="31"/>
  <c r="O179" i="31"/>
  <c r="BD167" i="31"/>
  <c r="O155" i="31"/>
  <c r="BD151" i="31"/>
  <c r="J147" i="31"/>
  <c r="M139" i="31"/>
  <c r="T135" i="31"/>
  <c r="AW131" i="31"/>
  <c r="AA131" i="31"/>
  <c r="AZ127" i="31"/>
  <c r="AD127" i="31"/>
  <c r="AA123" i="31"/>
  <c r="M116" i="31"/>
  <c r="AK118" i="31"/>
  <c r="I121" i="31"/>
  <c r="AP124" i="31"/>
  <c r="AO208" i="31"/>
  <c r="AK211" i="31"/>
  <c r="AZ191" i="31"/>
  <c r="BD179" i="31"/>
  <c r="AX171" i="31"/>
  <c r="BA167" i="31"/>
  <c r="BD163" i="31"/>
  <c r="H159" i="31"/>
  <c r="O151" i="31"/>
  <c r="P147" i="31"/>
  <c r="W143" i="31"/>
  <c r="Z139" i="31"/>
  <c r="BB135" i="31"/>
  <c r="AB131" i="31"/>
  <c r="BE127" i="31"/>
  <c r="AI127" i="31"/>
  <c r="AB123" i="31"/>
  <c r="I115" i="31"/>
  <c r="AG117" i="31"/>
  <c r="BE119" i="31"/>
  <c r="AC122" i="31"/>
  <c r="AU208" i="31"/>
  <c r="J208" i="31"/>
  <c r="BD183" i="31"/>
  <c r="BC167" i="31"/>
  <c r="J159" i="31"/>
  <c r="P151" i="31"/>
  <c r="X139" i="31"/>
  <c r="AC131" i="31"/>
  <c r="AF127" i="31"/>
  <c r="I114" i="31"/>
  <c r="BE118" i="31"/>
  <c r="AR208" i="31"/>
  <c r="Y204" i="31"/>
  <c r="BB204" i="31"/>
  <c r="V200" i="31"/>
  <c r="BF196" i="31"/>
  <c r="AF196" i="31"/>
  <c r="K192" i="31"/>
  <c r="AJ192" i="31"/>
  <c r="AS188" i="31"/>
  <c r="AP184" i="31"/>
  <c r="P184" i="31"/>
  <c r="AS180" i="31"/>
  <c r="W180" i="31"/>
  <c r="AV176" i="31"/>
  <c r="AA172" i="31"/>
  <c r="AZ172" i="31"/>
  <c r="AD168" i="31"/>
  <c r="BG164" i="31"/>
  <c r="AG164" i="31"/>
  <c r="K160" i="31"/>
  <c r="AJ160" i="31"/>
  <c r="N156" i="31"/>
  <c r="AQ152" i="31"/>
  <c r="Q152" i="31"/>
  <c r="M148" i="31"/>
  <c r="V148" i="31"/>
  <c r="AY144" i="31"/>
  <c r="Y140" i="31"/>
  <c r="BB140" i="31"/>
  <c r="AB136" i="31"/>
  <c r="BE132" i="31"/>
  <c r="AI132" i="31"/>
  <c r="I128" i="31"/>
  <c r="Z199" i="31"/>
  <c r="AM175" i="31"/>
  <c r="AM163" i="31"/>
  <c r="AS155" i="31"/>
  <c r="BA143" i="31"/>
  <c r="P135" i="31"/>
  <c r="W131" i="31"/>
  <c r="Z127" i="31"/>
  <c r="Q116" i="31"/>
  <c r="M121" i="31"/>
  <c r="AK208" i="31"/>
  <c r="T204" i="31"/>
  <c r="AV200" i="31"/>
  <c r="AX200" i="31"/>
  <c r="BA196" i="31"/>
  <c r="AE196" i="31"/>
  <c r="BE192" i="31"/>
  <c r="AI188" i="31"/>
  <c r="AF188" i="31"/>
  <c r="AK184" i="31"/>
  <c r="O184" i="31"/>
  <c r="AN180" i="31"/>
  <c r="R176" i="31"/>
  <c r="AU176" i="31"/>
  <c r="V172" i="31"/>
  <c r="AY168" i="31"/>
  <c r="Y168" i="31"/>
  <c r="BB164" i="31"/>
  <c r="AB164" i="31"/>
  <c r="BE160" i="31"/>
  <c r="AI156" i="31"/>
  <c r="I156" i="31"/>
  <c r="AL152" i="31"/>
  <c r="L152" i="31"/>
  <c r="BA148" i="31"/>
  <c r="Q144" i="31"/>
  <c r="AT144" i="31"/>
  <c r="T140" i="31"/>
  <c r="AW136" i="31"/>
  <c r="AA136" i="31"/>
  <c r="AZ132" i="31"/>
  <c r="AD132" i="31"/>
  <c r="BG128" i="31"/>
  <c r="AB175" i="31"/>
  <c r="J155" i="31"/>
  <c r="X135" i="31"/>
  <c r="AH127" i="31"/>
  <c r="BE120" i="31"/>
  <c r="X204" i="31"/>
  <c r="BF200" i="31"/>
  <c r="BE196" i="31"/>
  <c r="AI196" i="31"/>
  <c r="J192" i="31"/>
  <c r="AM188" i="31"/>
  <c r="J188" i="31"/>
  <c r="AO184" i="31"/>
  <c r="S184" i="31"/>
  <c r="AR180" i="31"/>
  <c r="V176" i="31"/>
  <c r="AY176" i="31"/>
  <c r="Z172" i="31"/>
  <c r="M199" i="31"/>
  <c r="S175" i="31"/>
  <c r="W163" i="31"/>
  <c r="AC155" i="31"/>
  <c r="AK143" i="31"/>
  <c r="H135" i="31"/>
  <c r="O131" i="31"/>
  <c r="R127" i="31"/>
  <c r="Y116" i="31"/>
  <c r="U121" i="31"/>
  <c r="AC208" i="31"/>
  <c r="P204" i="31"/>
  <c r="AR200" i="31"/>
  <c r="AP200" i="31"/>
  <c r="AW196" i="31"/>
  <c r="AA196" i="31"/>
  <c r="BA192" i="31"/>
  <c r="AE188" i="31"/>
  <c r="X188" i="31"/>
  <c r="AG184" i="31"/>
  <c r="K184" i="31"/>
  <c r="AG207" i="31"/>
  <c r="AE179" i="31"/>
  <c r="M167" i="31"/>
  <c r="W155" i="31"/>
  <c r="AE147" i="31"/>
  <c r="AK135" i="31"/>
  <c r="H131" i="31"/>
  <c r="O127" i="31"/>
  <c r="AC115" i="31"/>
  <c r="Y120" i="31"/>
  <c r="AA208" i="31"/>
  <c r="AN204" i="31"/>
  <c r="R204" i="31"/>
  <c r="U200" i="31"/>
  <c r="V196" i="31"/>
  <c r="AY196" i="31"/>
  <c r="Z192" i="31"/>
  <c r="BC188" i="31"/>
  <c r="AJ188" i="31"/>
  <c r="BE184" i="31"/>
  <c r="AI184" i="31"/>
  <c r="I180" i="31"/>
  <c r="AL176" i="31"/>
  <c r="L176" i="31"/>
  <c r="AP172" i="31"/>
  <c r="P172" i="31"/>
  <c r="AS168" i="31"/>
  <c r="AP155" i="31"/>
  <c r="AX127" i="31"/>
  <c r="AF204" i="31"/>
  <c r="AQ196" i="31"/>
  <c r="AW184" i="31"/>
  <c r="AD176" i="31"/>
  <c r="AH172" i="31"/>
  <c r="AP168" i="31"/>
  <c r="BC164" i="31"/>
  <c r="AC164" i="31"/>
  <c r="BF160" i="31"/>
  <c r="AF160" i="31"/>
  <c r="J156" i="31"/>
  <c r="AM152" i="31"/>
  <c r="M152" i="31"/>
  <c r="I148" i="31"/>
  <c r="R148" i="31"/>
  <c r="AU144" i="31"/>
  <c r="U140" i="31"/>
  <c r="AX140" i="31"/>
  <c r="X136" i="31"/>
  <c r="BA132" i="31"/>
  <c r="AE132" i="31"/>
  <c r="BD128" i="31"/>
  <c r="BB128" i="31"/>
  <c r="AO124" i="31"/>
  <c r="AB124" i="31"/>
  <c r="S124" i="31"/>
  <c r="J115" i="31"/>
  <c r="V116" i="31"/>
  <c r="AH117" i="31"/>
  <c r="AT118" i="31"/>
  <c r="BF119" i="31"/>
  <c r="R121" i="31"/>
  <c r="AD122" i="31"/>
  <c r="BD209" i="31"/>
  <c r="AU209" i="31"/>
  <c r="AG209" i="31"/>
  <c r="V209" i="31"/>
  <c r="AC205" i="31"/>
  <c r="L205" i="31"/>
  <c r="AN205" i="31"/>
  <c r="Y201" i="31"/>
  <c r="H201" i="31"/>
  <c r="Z201" i="31"/>
  <c r="AP197" i="31"/>
  <c r="AC197" i="31"/>
  <c r="P197" i="31"/>
  <c r="BG193" i="31"/>
  <c r="AT193" i="31"/>
  <c r="AG193" i="31"/>
  <c r="T193" i="31"/>
  <c r="K189" i="31"/>
  <c r="AW189" i="31"/>
  <c r="AJ189" i="31"/>
  <c r="Z185" i="31"/>
  <c r="M185" i="31"/>
  <c r="BC185" i="31"/>
  <c r="AP181" i="31"/>
  <c r="AC181" i="31"/>
  <c r="P181" i="31"/>
  <c r="BF177" i="31"/>
  <c r="AS177" i="31"/>
  <c r="AF177" i="31"/>
  <c r="W177" i="31"/>
  <c r="K173" i="31"/>
  <c r="AW173" i="31"/>
  <c r="AJ173" i="31"/>
  <c r="P195" i="31"/>
  <c r="X143" i="31"/>
  <c r="BE116" i="31"/>
  <c r="BG200" i="31"/>
  <c r="AK192" i="31"/>
  <c r="AT180" i="31"/>
  <c r="AZ176" i="31"/>
  <c r="BD172" i="31"/>
  <c r="AK168" i="31"/>
  <c r="O164" i="31"/>
  <c r="AN164" i="31"/>
  <c r="R160" i="31"/>
  <c r="AU156" i="31"/>
  <c r="U156" i="31"/>
  <c r="AX152" i="31"/>
  <c r="X152" i="31"/>
  <c r="P148" i="31"/>
  <c r="AC144" i="31"/>
  <c r="BF144" i="31"/>
  <c r="AF140" i="31"/>
  <c r="J140" i="31"/>
  <c r="AM136" i="31"/>
  <c r="M132" i="31"/>
  <c r="AP132" i="31"/>
  <c r="P128" i="31"/>
  <c r="AH128" i="31"/>
  <c r="U124" i="31"/>
  <c r="H124" i="31"/>
  <c r="R114" i="31"/>
  <c r="AD115" i="31"/>
  <c r="AP116" i="31"/>
  <c r="BB117" i="31"/>
  <c r="N119" i="31"/>
  <c r="Z120" i="31"/>
  <c r="AL121" i="31"/>
  <c r="AZ122" i="31"/>
  <c r="J182" i="31"/>
  <c r="AV118" i="31"/>
  <c r="BD142" i="31"/>
  <c r="Q138" i="31"/>
  <c r="AC133" i="31"/>
  <c r="AB206" i="31"/>
  <c r="R126" i="31"/>
  <c r="T150" i="31"/>
  <c r="AP186" i="31"/>
  <c r="T207" i="31"/>
  <c r="AB199" i="31"/>
  <c r="AL187" i="31"/>
  <c r="AS203" i="31"/>
  <c r="AZ195" i="31"/>
  <c r="AV207" i="31"/>
  <c r="L191" i="31"/>
  <c r="AJ179" i="31"/>
  <c r="AA203" i="31"/>
  <c r="S187" i="31"/>
  <c r="AV175" i="31"/>
  <c r="AV183" i="31"/>
  <c r="Y171" i="31"/>
  <c r="AB167" i="31"/>
  <c r="AI159" i="31"/>
  <c r="AL155" i="31"/>
  <c r="AO151" i="31"/>
  <c r="AT147" i="31"/>
  <c r="AW139" i="31"/>
  <c r="AZ135" i="31"/>
  <c r="AS195" i="31"/>
  <c r="BC183" i="31"/>
  <c r="T175" i="31"/>
  <c r="AA167" i="31"/>
  <c r="AD163" i="31"/>
  <c r="AG159" i="31"/>
  <c r="AJ155" i="31"/>
  <c r="AO147" i="31"/>
  <c r="AR143" i="31"/>
  <c r="AY139" i="31"/>
  <c r="AB203" i="31"/>
  <c r="AO175" i="31"/>
  <c r="X167" i="31"/>
  <c r="AH155" i="31"/>
  <c r="X151" i="31"/>
  <c r="AC143" i="31"/>
  <c r="AF139" i="31"/>
  <c r="BG135" i="31"/>
  <c r="AG131" i="31"/>
  <c r="K131" i="31"/>
  <c r="AJ127" i="31"/>
  <c r="N127" i="31"/>
  <c r="K123" i="31"/>
  <c r="AC116" i="31"/>
  <c r="BA118" i="31"/>
  <c r="Y121" i="31"/>
  <c r="AV208" i="31"/>
  <c r="Y208" i="31"/>
  <c r="O207" i="31"/>
  <c r="AK187" i="31"/>
  <c r="AU179" i="31"/>
  <c r="R171" i="31"/>
  <c r="U167" i="31"/>
  <c r="X163" i="31"/>
  <c r="AE155" i="31"/>
  <c r="AH151" i="31"/>
  <c r="AM147" i="31"/>
  <c r="AP143" i="31"/>
  <c r="AS135" i="31"/>
  <c r="AL135" i="31"/>
  <c r="L131" i="31"/>
  <c r="AO127" i="31"/>
  <c r="S127" i="31"/>
  <c r="L123" i="31"/>
  <c r="Y115" i="31"/>
  <c r="AW117" i="31"/>
  <c r="U120" i="31"/>
  <c r="AS122" i="31"/>
  <c r="AE208" i="31"/>
  <c r="AN211" i="31"/>
  <c r="AH179" i="31"/>
  <c r="AP167" i="31"/>
  <c r="AV159" i="31"/>
  <c r="BD147" i="31"/>
  <c r="O139" i="31"/>
  <c r="AV131" i="31"/>
  <c r="BC127" i="31"/>
  <c r="AO114" i="31"/>
  <c r="AK119" i="31"/>
  <c r="L208" i="31"/>
  <c r="I204" i="31"/>
  <c r="AL204" i="31"/>
  <c r="BA200" i="31"/>
  <c r="AP196" i="31"/>
  <c r="P196" i="31"/>
  <c r="AT192" i="31"/>
  <c r="T192" i="31"/>
  <c r="BD188" i="31"/>
  <c r="Z184" i="31"/>
  <c r="BC184" i="31"/>
  <c r="AC180" i="31"/>
  <c r="BF176" i="31"/>
  <c r="AF176" i="31"/>
  <c r="K172" i="31"/>
  <c r="AJ172" i="31"/>
  <c r="N168" i="31"/>
  <c r="AQ164" i="31"/>
  <c r="Q164" i="31"/>
  <c r="AT160" i="31"/>
  <c r="T160" i="31"/>
  <c r="AW156" i="31"/>
  <c r="AA152" i="31"/>
  <c r="AZ152" i="31"/>
  <c r="AR148" i="31"/>
  <c r="BE144" i="31"/>
  <c r="AI144" i="31"/>
  <c r="I140" i="31"/>
  <c r="AL140" i="31"/>
  <c r="L136" i="31"/>
  <c r="AO132" i="31"/>
  <c r="S132" i="31"/>
  <c r="AR128" i="31"/>
  <c r="AC195" i="31"/>
  <c r="P175" i="31"/>
  <c r="Z163" i="31"/>
  <c r="AF155" i="31"/>
  <c r="AN143" i="31"/>
  <c r="AM135" i="31"/>
  <c r="AP131" i="31"/>
  <c r="AS123" i="31"/>
  <c r="AW116" i="31"/>
  <c r="AS121" i="31"/>
  <c r="AX208" i="31"/>
  <c r="BG204" i="31"/>
  <c r="AF200" i="31"/>
  <c r="X200" i="31"/>
  <c r="AK196" i="31"/>
  <c r="O196" i="31"/>
  <c r="AO192" i="31"/>
  <c r="S188" i="31"/>
  <c r="I188" i="31"/>
  <c r="U184" i="31"/>
  <c r="AX180" i="31"/>
  <c r="X180" i="31"/>
  <c r="BA176" i="31"/>
  <c r="AE176" i="31"/>
  <c r="BE172" i="31"/>
  <c r="AI168" i="31"/>
  <c r="I168" i="31"/>
  <c r="AL164" i="31"/>
  <c r="L164" i="31"/>
  <c r="AO160" i="31"/>
  <c r="S156" i="31"/>
  <c r="AR156" i="31"/>
  <c r="V152" i="31"/>
  <c r="AY148" i="31"/>
  <c r="AI148" i="31"/>
  <c r="AZ144" i="31"/>
  <c r="AD144" i="31"/>
  <c r="BG140" i="31"/>
  <c r="AG136" i="31"/>
  <c r="K136" i="31"/>
  <c r="AJ132" i="31"/>
  <c r="N132" i="31"/>
  <c r="AQ128" i="31"/>
  <c r="W171" i="31"/>
  <c r="AM151" i="31"/>
  <c r="O135" i="31"/>
  <c r="AN123" i="31"/>
  <c r="Q122" i="31"/>
  <c r="AU204" i="31"/>
  <c r="L200" i="31"/>
  <c r="Y196" i="31"/>
  <c r="BC192" i="31"/>
  <c r="AC192" i="31"/>
  <c r="AX188" i="31"/>
  <c r="P188" i="31"/>
  <c r="I184" i="31"/>
  <c r="AL180" i="31"/>
  <c r="L180" i="31"/>
  <c r="AO176" i="31"/>
  <c r="S176" i="31"/>
  <c r="AS172" i="31"/>
  <c r="T191" i="31"/>
  <c r="AP171" i="31"/>
  <c r="AV163" i="31"/>
  <c r="BF151" i="31"/>
  <c r="O143" i="31"/>
  <c r="AX135" i="31"/>
  <c r="BA127" i="31"/>
  <c r="X123" i="31"/>
  <c r="AK117" i="31"/>
  <c r="AG122" i="31"/>
  <c r="BB208" i="31"/>
  <c r="AM204" i="31"/>
  <c r="AQ200" i="31"/>
  <c r="BE200" i="31"/>
  <c r="Q196" i="31"/>
  <c r="AU192" i="31"/>
  <c r="U192" i="31"/>
  <c r="AP188" i="31"/>
  <c r="H188" i="31"/>
  <c r="AZ184" i="31"/>
  <c r="AD180" i="31"/>
  <c r="AP195" i="31"/>
  <c r="Q175" i="31"/>
  <c r="AP163" i="31"/>
  <c r="AV155" i="31"/>
  <c r="BD143" i="31"/>
  <c r="AU135" i="31"/>
  <c r="AX131" i="31"/>
  <c r="BA123" i="31"/>
  <c r="AO116" i="31"/>
  <c r="AK121" i="31"/>
  <c r="M208" i="31"/>
  <c r="H204" i="31"/>
  <c r="AJ200" i="31"/>
  <c r="AB200" i="31"/>
  <c r="AO196" i="31"/>
  <c r="S196" i="31"/>
  <c r="AS192" i="31"/>
  <c r="W188" i="31"/>
  <c r="M188" i="31"/>
  <c r="Y184" i="31"/>
  <c r="BB180" i="31"/>
  <c r="AB180" i="31"/>
  <c r="BE176" i="31"/>
  <c r="AI176" i="31"/>
  <c r="J172" i="31"/>
  <c r="AM168" i="31"/>
  <c r="I203" i="31"/>
  <c r="AX147" i="31"/>
  <c r="AS115" i="31"/>
  <c r="J204" i="31"/>
  <c r="R192" i="31"/>
  <c r="AA184" i="31"/>
  <c r="Q176" i="31"/>
  <c r="U172" i="31"/>
  <c r="BA168" i="31"/>
  <c r="W164" i="31"/>
  <c r="AV164" i="31"/>
  <c r="Z160" i="31"/>
  <c r="BC156" i="31"/>
  <c r="AC156" i="31"/>
  <c r="BF152" i="31"/>
  <c r="AF152" i="31"/>
  <c r="X148" i="31"/>
  <c r="AK144" i="31"/>
  <c r="O144" i="31"/>
  <c r="AN140" i="31"/>
  <c r="R140" i="31"/>
  <c r="AU136" i="31"/>
  <c r="U132" i="31"/>
  <c r="AX132" i="31"/>
  <c r="X128" i="31"/>
  <c r="AL128" i="31"/>
  <c r="Y124" i="31"/>
  <c r="L124" i="31"/>
  <c r="N114" i="31"/>
  <c r="Z115" i="31"/>
  <c r="AL116" i="31"/>
  <c r="AX117" i="31"/>
  <c r="J119" i="31"/>
  <c r="V120" i="31"/>
  <c r="AH121" i="31"/>
  <c r="AT122" i="31"/>
  <c r="AN209" i="31"/>
  <c r="AE209" i="31"/>
  <c r="Q209" i="31"/>
  <c r="BE205" i="31"/>
  <c r="M205" i="31"/>
  <c r="AU205" i="31"/>
  <c r="V205" i="31"/>
  <c r="BD201" i="31"/>
  <c r="AU201" i="31"/>
  <c r="V201" i="31"/>
  <c r="Z197" i="31"/>
  <c r="M197" i="31"/>
  <c r="BC197" i="31"/>
  <c r="AQ193" i="31"/>
  <c r="AD193" i="31"/>
  <c r="Q193" i="31"/>
  <c r="BG189" i="31"/>
  <c r="AT189" i="31"/>
  <c r="AG189" i="31"/>
  <c r="T189" i="31"/>
  <c r="J185" i="31"/>
  <c r="AV185" i="31"/>
  <c r="AM185" i="31"/>
  <c r="Z181" i="31"/>
  <c r="M181" i="31"/>
  <c r="BC181" i="31"/>
  <c r="AP177" i="31"/>
  <c r="AC177" i="31"/>
  <c r="P177" i="31"/>
  <c r="BG173" i="31"/>
  <c r="AT173" i="31"/>
  <c r="AG173" i="31"/>
  <c r="T173" i="31"/>
  <c r="BC171" i="31"/>
  <c r="AE135" i="31"/>
  <c r="BA121" i="31"/>
  <c r="T200" i="31"/>
  <c r="BF188" i="31"/>
  <c r="AJ180" i="31"/>
  <c r="AQ176" i="31"/>
  <c r="H172" i="31"/>
  <c r="BD168" i="31"/>
  <c r="AH164" i="31"/>
  <c r="H164" i="31"/>
  <c r="AK160" i="31"/>
  <c r="O156" i="31"/>
  <c r="AN156" i="31"/>
  <c r="R152" i="31"/>
  <c r="AU148" i="31"/>
  <c r="AE148" i="31"/>
  <c r="AV144" i="31"/>
  <c r="Z144" i="31"/>
  <c r="BC140" i="31"/>
  <c r="AC136" i="31"/>
  <c r="BF136" i="31"/>
  <c r="AF132" i="31"/>
  <c r="J132" i="31"/>
  <c r="AM128" i="31"/>
  <c r="R128" i="31"/>
  <c r="BD124" i="31"/>
  <c r="AU124" i="31"/>
  <c r="AH114" i="31"/>
  <c r="AT115" i="31"/>
  <c r="BF116" i="31"/>
  <c r="R118" i="31"/>
  <c r="AD119" i="31"/>
  <c r="AP120" i="31"/>
  <c r="BB121" i="31"/>
  <c r="AC123" i="31"/>
  <c r="T209" i="31"/>
  <c r="K209" i="31"/>
  <c r="N209" i="31"/>
  <c r="AK205" i="31"/>
  <c r="AQ205" i="31"/>
  <c r="W205" i="31"/>
  <c r="BA201" i="31"/>
  <c r="AY138" i="31"/>
  <c r="Y150" i="31"/>
  <c r="O117" i="31"/>
  <c r="X130" i="31"/>
  <c r="BD117" i="31"/>
  <c r="AY195" i="31"/>
  <c r="N199" i="31"/>
  <c r="AK199" i="31"/>
  <c r="AV211" i="31"/>
  <c r="AL179" i="31"/>
  <c r="O175" i="31"/>
  <c r="V163" i="31"/>
  <c r="AB155" i="31"/>
  <c r="AJ143" i="31"/>
  <c r="AW207" i="31"/>
  <c r="AM179" i="31"/>
  <c r="Q167" i="31"/>
  <c r="AA155" i="31"/>
  <c r="AI147" i="31"/>
  <c r="AO135" i="31"/>
  <c r="BA171" i="31"/>
  <c r="H155" i="31"/>
  <c r="AM143" i="31"/>
  <c r="K135" i="31"/>
  <c r="N131" i="31"/>
  <c r="AJ123" i="31"/>
  <c r="Y117" i="31"/>
  <c r="U122" i="31"/>
  <c r="AP208" i="31"/>
  <c r="BA183" i="31"/>
  <c r="X171" i="31"/>
  <c r="AH159" i="31"/>
  <c r="AN151" i="31"/>
  <c r="AV139" i="31"/>
  <c r="AO131" i="31"/>
  <c r="AR127" i="31"/>
  <c r="S123" i="31"/>
  <c r="AS118" i="31"/>
  <c r="BD208" i="31"/>
  <c r="BC199" i="31"/>
  <c r="BF163" i="31"/>
  <c r="U143" i="31"/>
  <c r="BF131" i="31"/>
  <c r="AG116" i="31"/>
  <c r="U208" i="31"/>
  <c r="AN200" i="31"/>
  <c r="AS196" i="31"/>
  <c r="AW192" i="31"/>
  <c r="Q188" i="31"/>
  <c r="BF180" i="31"/>
  <c r="J176" i="31"/>
  <c r="N172" i="31"/>
  <c r="Q168" i="31"/>
  <c r="T164" i="31"/>
  <c r="AA156" i="31"/>
  <c r="AD152" i="31"/>
  <c r="AQ148" i="31"/>
  <c r="AL144" i="31"/>
  <c r="AO136" i="31"/>
  <c r="AR132" i="31"/>
  <c r="AY128" i="31"/>
  <c r="AF171" i="31"/>
  <c r="AV151" i="31"/>
  <c r="AS131" i="31"/>
  <c r="W123" i="31"/>
  <c r="V125" i="31"/>
  <c r="K204" i="31"/>
  <c r="O200" i="31"/>
  <c r="S192" i="31"/>
  <c r="BA188" i="31"/>
  <c r="X184" i="31"/>
  <c r="AE180" i="31"/>
  <c r="AI172" i="31"/>
  <c r="AL168" i="31"/>
  <c r="AO164" i="31"/>
  <c r="AR160" i="31"/>
  <c r="AY152" i="31"/>
  <c r="U148" i="31"/>
  <c r="BG144" i="31"/>
  <c r="K140" i="31"/>
  <c r="N136" i="31"/>
  <c r="Q128" i="31"/>
  <c r="BC163" i="31"/>
  <c r="AE131" i="31"/>
  <c r="AS208" i="31"/>
  <c r="S200" i="31"/>
  <c r="W192" i="31"/>
  <c r="BE188" i="31"/>
  <c r="AB184" i="31"/>
  <c r="AI180" i="31"/>
  <c r="AM172" i="31"/>
  <c r="AK183" i="31"/>
  <c r="Z159" i="31"/>
  <c r="AN139" i="31"/>
  <c r="AN127" i="31"/>
  <c r="AW118" i="31"/>
  <c r="AC204" i="31"/>
  <c r="Z200" i="31"/>
  <c r="AJ196" i="31"/>
  <c r="AN192" i="31"/>
  <c r="AT184" i="31"/>
  <c r="AW180" i="31"/>
  <c r="J171" i="31"/>
  <c r="Z151" i="31"/>
  <c r="AH135" i="31"/>
  <c r="H123" i="31"/>
  <c r="AX122" i="31"/>
  <c r="AE204" i="31"/>
  <c r="AO200" i="31"/>
  <c r="AM192" i="31"/>
  <c r="AH188" i="31"/>
  <c r="AR184" i="31"/>
  <c r="AY180" i="31"/>
  <c r="BC172" i="31"/>
  <c r="BF168" i="31"/>
  <c r="BD135" i="31"/>
  <c r="M200" i="31"/>
  <c r="AZ180" i="31"/>
  <c r="X172" i="31"/>
  <c r="AP164" i="31"/>
  <c r="AS160" i="31"/>
  <c r="AV156" i="31"/>
  <c r="BC148" i="31"/>
  <c r="BD144" i="31"/>
  <c r="H140" i="31"/>
  <c r="O136" i="31"/>
  <c r="R132" i="31"/>
  <c r="V128" i="31"/>
  <c r="AY124" i="31"/>
  <c r="AP115" i="31"/>
  <c r="N118" i="31"/>
  <c r="AL120" i="31"/>
  <c r="U123" i="31"/>
  <c r="O209" i="31"/>
  <c r="AO205" i="31"/>
  <c r="AA205" i="31"/>
  <c r="AN201" i="31"/>
  <c r="R201" i="31"/>
  <c r="AV197" i="31"/>
  <c r="AA193" i="31"/>
  <c r="AZ193" i="31"/>
  <c r="AD189" i="31"/>
  <c r="BF185" i="31"/>
  <c r="AF185" i="31"/>
  <c r="J181" i="31"/>
  <c r="AM181" i="31"/>
  <c r="M177" i="31"/>
  <c r="AQ173" i="31"/>
  <c r="Q173" i="31"/>
  <c r="J163" i="31"/>
  <c r="R208" i="31"/>
  <c r="AC188" i="31"/>
  <c r="AE172" i="31"/>
  <c r="X168" i="31"/>
  <c r="AE160" i="31"/>
  <c r="AH156" i="31"/>
  <c r="AK152" i="31"/>
  <c r="AP148" i="31"/>
  <c r="AS140" i="31"/>
  <c r="AV136" i="31"/>
  <c r="BC132" i="31"/>
  <c r="O128" i="31"/>
  <c r="AN124" i="31"/>
  <c r="AX114" i="31"/>
  <c r="V117" i="31"/>
  <c r="AT119" i="31"/>
  <c r="R122" i="31"/>
  <c r="AJ209" i="31"/>
  <c r="AS209" i="31"/>
  <c r="AX209" i="31"/>
  <c r="I205" i="31"/>
  <c r="BD205" i="31"/>
  <c r="AC171" i="31"/>
  <c r="R135" i="31"/>
  <c r="Z123" i="31"/>
  <c r="AA200" i="31"/>
  <c r="Z188" i="31"/>
  <c r="T180" i="31"/>
  <c r="AA176" i="31"/>
  <c r="BC168" i="31"/>
  <c r="AV168" i="31"/>
  <c r="Z164" i="31"/>
  <c r="BC160" i="31"/>
  <c r="AC160" i="31"/>
  <c r="BF156" i="31"/>
  <c r="AF156" i="31"/>
  <c r="J152" i="31"/>
  <c r="BB148" i="31"/>
  <c r="W148" i="31"/>
  <c r="AN144" i="31"/>
  <c r="R144" i="31"/>
  <c r="AU140" i="31"/>
  <c r="U136" i="31"/>
  <c r="AX136" i="31"/>
  <c r="X132" i="31"/>
  <c r="BA128" i="31"/>
  <c r="AE128" i="31"/>
  <c r="N128" i="31"/>
  <c r="AZ124" i="31"/>
  <c r="AQ124" i="31"/>
  <c r="AL114" i="31"/>
  <c r="AX115" i="31"/>
  <c r="J117" i="31"/>
  <c r="V118" i="31"/>
  <c r="AH119" i="31"/>
  <c r="AT120" i="31"/>
  <c r="BF121" i="31"/>
  <c r="AK123" i="31"/>
  <c r="P209" i="31"/>
  <c r="BE209" i="31"/>
  <c r="BF209" i="31"/>
  <c r="AG205" i="31"/>
  <c r="AL205" i="31"/>
  <c r="S205" i="31"/>
  <c r="AW201" i="31"/>
  <c r="AF201" i="31"/>
  <c r="W201" i="31"/>
  <c r="AD201" i="31"/>
  <c r="O183" i="31"/>
  <c r="X192" i="31"/>
  <c r="U168" i="31"/>
  <c r="AE156" i="31"/>
  <c r="AV148" i="31"/>
  <c r="AS136" i="31"/>
  <c r="BC128" i="31"/>
  <c r="Z114" i="31"/>
  <c r="V119" i="31"/>
  <c r="AB209" i="31"/>
  <c r="BB205" i="31"/>
  <c r="AJ201" i="31"/>
  <c r="AT201" i="31"/>
  <c r="Q197" i="31"/>
  <c r="AI197" i="31"/>
  <c r="BB193" i="31"/>
  <c r="U193" i="31"/>
  <c r="AM189" i="31"/>
  <c r="BE189" i="31"/>
  <c r="X189" i="31"/>
  <c r="AO185" i="31"/>
  <c r="H185" i="31"/>
  <c r="AD181" i="31"/>
  <c r="AR181" i="31"/>
  <c r="O181" i="31"/>
  <c r="AG177" i="31"/>
  <c r="AY177" i="31"/>
  <c r="S173" i="31"/>
  <c r="AK173" i="31"/>
  <c r="BC169" i="31"/>
  <c r="AL169" i="31"/>
  <c r="Y169" i="31"/>
  <c r="L169" i="31"/>
  <c r="BB165" i="31"/>
  <c r="AO165" i="31"/>
  <c r="AB165" i="31"/>
  <c r="BD131" i="31"/>
  <c r="BG180" i="31"/>
  <c r="R164" i="31"/>
  <c r="X156" i="31"/>
  <c r="AF144" i="31"/>
  <c r="AP136" i="31"/>
  <c r="J128" i="31"/>
  <c r="BB115" i="31"/>
  <c r="AX120" i="31"/>
  <c r="BA209" i="31"/>
  <c r="O205" i="31"/>
  <c r="AY201" i="31"/>
  <c r="AD197" i="31"/>
  <c r="AN197" i="31"/>
  <c r="K197" i="31"/>
  <c r="Z193" i="31"/>
  <c r="AR193" i="31"/>
  <c r="O189" i="31"/>
  <c r="AC189" i="31"/>
  <c r="AX185" i="31"/>
  <c r="AP204" i="31"/>
  <c r="AK172" i="31"/>
  <c r="AH160" i="31"/>
  <c r="AN152" i="31"/>
  <c r="AV140" i="31"/>
  <c r="BF132" i="31"/>
  <c r="P124" i="31"/>
  <c r="AT117" i="31"/>
  <c r="AP122" i="31"/>
  <c r="R209" i="31"/>
  <c r="AC201" i="31"/>
  <c r="AP201" i="31"/>
  <c r="AO197" i="31"/>
  <c r="H197" i="31"/>
  <c r="AE193" i="31"/>
  <c r="AS193" i="31"/>
  <c r="L193" i="31"/>
  <c r="AH189" i="31"/>
  <c r="AV189" i="31"/>
  <c r="R185" i="31"/>
  <c r="AJ185" i="31"/>
  <c r="AD184" i="31"/>
  <c r="AF136" i="31"/>
  <c r="AY209" i="31"/>
  <c r="BD197" i="31"/>
  <c r="AE189" i="31"/>
  <c r="I185" i="31"/>
  <c r="V181" i="31"/>
  <c r="L181" i="31"/>
  <c r="BE177" i="31"/>
  <c r="AU177" i="31"/>
  <c r="AL173" i="31"/>
  <c r="AB173" i="31"/>
  <c r="AH169" i="31"/>
  <c r="AZ169" i="31"/>
  <c r="W165" i="31"/>
  <c r="AK165" i="31"/>
  <c r="BG161" i="31"/>
  <c r="AP161" i="31"/>
  <c r="AC161" i="31"/>
  <c r="P161" i="31"/>
  <c r="BF157" i="31"/>
  <c r="AS157" i="31"/>
  <c r="AF157" i="31"/>
  <c r="W153" i="31"/>
  <c r="J153" i="31"/>
  <c r="AV153" i="31"/>
  <c r="AM149" i="31"/>
  <c r="Z149" i="31"/>
  <c r="M149" i="31"/>
  <c r="BA145" i="31"/>
  <c r="AN145" i="31"/>
  <c r="AE145" i="31"/>
  <c r="R145" i="31"/>
  <c r="BD141" i="31"/>
  <c r="AU141" i="31"/>
  <c r="AH141" i="31"/>
  <c r="U137" i="31"/>
  <c r="H137" i="31"/>
  <c r="AX137" i="31"/>
  <c r="AK133" i="31"/>
  <c r="X133" i="31"/>
  <c r="O133" i="31"/>
  <c r="BA129" i="31"/>
  <c r="AN129" i="31"/>
  <c r="AE129" i="31"/>
  <c r="R129" i="31"/>
  <c r="BD125" i="31"/>
  <c r="AU125" i="31"/>
  <c r="AH125" i="31"/>
  <c r="S115" i="31"/>
  <c r="AE116" i="31"/>
  <c r="AQ117" i="31"/>
  <c r="BC118" i="31"/>
  <c r="O120" i="31"/>
  <c r="AA121" i="31"/>
  <c r="AM122" i="31"/>
  <c r="AV210" i="31"/>
  <c r="AM210" i="31"/>
  <c r="Z210" i="31"/>
  <c r="R210" i="31"/>
  <c r="BC206" i="31"/>
  <c r="AO206" i="31"/>
  <c r="AX206" i="31"/>
  <c r="H127" i="31"/>
  <c r="BC144" i="31"/>
  <c r="N121" i="31"/>
  <c r="V197" i="31"/>
  <c r="AN193" i="31"/>
  <c r="AK185" i="31"/>
  <c r="AT181" i="31"/>
  <c r="AJ181" i="31"/>
  <c r="AD177" i="31"/>
  <c r="L177" i="31"/>
  <c r="BF173" i="31"/>
  <c r="AV173" i="31"/>
  <c r="AX169" i="31"/>
  <c r="Q169" i="31"/>
  <c r="AM165" i="31"/>
  <c r="BA165" i="31"/>
  <c r="T165" i="31"/>
  <c r="BB161" i="31"/>
  <c r="AO161" i="31"/>
  <c r="AB161" i="31"/>
  <c r="S157" i="31"/>
  <c r="BE157" i="31"/>
  <c r="AR157" i="31"/>
  <c r="AI153" i="31"/>
  <c r="V153" i="31"/>
  <c r="I153" i="31"/>
  <c r="AY149" i="31"/>
  <c r="AL149" i="31"/>
  <c r="Y149" i="31"/>
  <c r="L149" i="31"/>
  <c r="AZ145" i="31"/>
  <c r="AQ145" i="31"/>
  <c r="AD145" i="31"/>
  <c r="Q141" i="31"/>
  <c r="BG141" i="31"/>
  <c r="AT141" i="31"/>
  <c r="AG137" i="31"/>
  <c r="T137" i="31"/>
  <c r="K137" i="31"/>
  <c r="T196" i="31"/>
  <c r="BF140" i="31"/>
  <c r="J125" i="31"/>
  <c r="Y197" i="31"/>
  <c r="AY189" i="31"/>
  <c r="Q185" i="31"/>
  <c r="AH181" i="31"/>
  <c r="T181" i="31"/>
  <c r="N177" i="31"/>
  <c r="BG177" i="31"/>
  <c r="AP173" i="31"/>
  <c r="AF173" i="31"/>
  <c r="AP169" i="31"/>
  <c r="BD169" i="31"/>
  <c r="AA165" i="31"/>
  <c r="AS165" i="31"/>
  <c r="H165" i="31"/>
  <c r="AT161" i="31"/>
  <c r="AG161" i="31"/>
  <c r="T161" i="31"/>
  <c r="K157" i="31"/>
  <c r="AW157" i="31"/>
  <c r="AJ157" i="31"/>
  <c r="AA153" i="31"/>
  <c r="N153" i="31"/>
  <c r="AZ153" i="31"/>
  <c r="AQ149" i="31"/>
  <c r="AD149" i="31"/>
  <c r="Q149" i="31"/>
  <c r="BE145" i="31"/>
  <c r="AR145" i="31"/>
  <c r="AI145" i="31"/>
  <c r="V145" i="31"/>
  <c r="I141" i="31"/>
  <c r="AY141" i="31"/>
  <c r="AL141" i="31"/>
  <c r="Y137" i="31"/>
  <c r="L137" i="31"/>
  <c r="BB137" i="31"/>
  <c r="AO133" i="31"/>
  <c r="AB133" i="31"/>
  <c r="S133" i="31"/>
  <c r="BE129" i="31"/>
  <c r="BB122" i="31"/>
  <c r="AJ121" i="31"/>
  <c r="T120" i="31"/>
  <c r="AZ118" i="31"/>
  <c r="AJ117" i="31"/>
  <c r="T116" i="31"/>
  <c r="AZ114" i="31"/>
  <c r="J126" i="31"/>
  <c r="W126" i="31"/>
  <c r="AF126" i="31"/>
  <c r="AS126" i="31"/>
  <c r="BF130" i="31"/>
  <c r="P130" i="31"/>
  <c r="AC130" i="31"/>
  <c r="AP134" i="31"/>
  <c r="BC134" i="31"/>
  <c r="M134" i="31"/>
  <c r="Z138" i="31"/>
  <c r="AM138" i="31"/>
  <c r="AV138" i="31"/>
  <c r="J142" i="31"/>
  <c r="W142" i="31"/>
  <c r="AF142" i="31"/>
  <c r="AS142" i="31"/>
  <c r="BF146" i="31"/>
  <c r="P146" i="31"/>
  <c r="AC146" i="31"/>
  <c r="AN150" i="31"/>
  <c r="BA150" i="31"/>
  <c r="O150" i="31"/>
  <c r="X154" i="31"/>
  <c r="AK154" i="31"/>
  <c r="AX154" i="31"/>
  <c r="H158" i="31"/>
  <c r="U158" i="31"/>
  <c r="AH158" i="31"/>
  <c r="AU158" i="31"/>
  <c r="K162" i="31"/>
  <c r="AS162" i="31"/>
  <c r="AE162" i="31"/>
  <c r="AN166" i="31"/>
  <c r="BA166" i="31"/>
  <c r="O166" i="31"/>
  <c r="X170" i="31"/>
  <c r="AK170" i="31"/>
  <c r="AX170" i="31"/>
  <c r="H174" i="31"/>
  <c r="U174" i="31"/>
  <c r="AH174" i="31"/>
  <c r="AU174" i="31"/>
  <c r="BG178" i="31"/>
  <c r="Q178" i="31"/>
  <c r="AD178" i="31"/>
  <c r="AQ182" i="31"/>
  <c r="AZ182" i="31"/>
  <c r="N182" i="31"/>
  <c r="AA186" i="31"/>
  <c r="AJ186" i="31"/>
  <c r="AW186" i="31"/>
  <c r="H190" i="31"/>
  <c r="U190" i="31"/>
  <c r="AH190" i="31"/>
  <c r="AU190" i="31"/>
  <c r="Q194" i="31"/>
  <c r="AQ194" i="31"/>
  <c r="AW194" i="31"/>
  <c r="AQ198" i="31"/>
  <c r="AZ198" i="31"/>
  <c r="N198" i="31"/>
  <c r="AD202" i="31"/>
  <c r="AM202" i="31"/>
  <c r="AV202" i="31"/>
  <c r="R206" i="31"/>
  <c r="BA206" i="31"/>
  <c r="AJ206" i="31"/>
  <c r="BA210" i="31"/>
  <c r="AY210" i="31"/>
  <c r="AL123" i="31"/>
  <c r="AI121" i="31"/>
  <c r="BC119" i="31"/>
  <c r="S118" i="31"/>
  <c r="AM116" i="31"/>
  <c r="BG114" i="31"/>
  <c r="S125" i="31"/>
  <c r="AV125" i="31"/>
  <c r="AD129" i="31"/>
  <c r="L129" i="31"/>
  <c r="AW129" i="31"/>
  <c r="T133" i="31"/>
  <c r="AM137" i="31"/>
  <c r="AF141" i="31"/>
  <c r="AC145" i="31"/>
  <c r="X153" i="31"/>
  <c r="U157" i="31"/>
  <c r="R161" i="31"/>
  <c r="T169" i="31"/>
  <c r="BC173" i="31"/>
  <c r="AY185" i="31"/>
  <c r="AF124" i="31"/>
  <c r="S150" i="31"/>
  <c r="AB154" i="31"/>
  <c r="AO154" i="31"/>
  <c r="BB154" i="31"/>
  <c r="L158" i="31"/>
  <c r="Y158" i="31"/>
  <c r="AL158" i="31"/>
  <c r="AY158" i="31"/>
  <c r="O162" i="31"/>
  <c r="AW162" i="31"/>
  <c r="AI162" i="31"/>
  <c r="AR166" i="31"/>
  <c r="BE166" i="31"/>
  <c r="S166" i="31"/>
  <c r="AB170" i="31"/>
  <c r="AO170" i="31"/>
  <c r="BB170" i="31"/>
  <c r="L174" i="31"/>
  <c r="Y174" i="31"/>
  <c r="AL174" i="31"/>
  <c r="AY174" i="31"/>
  <c r="H178" i="31"/>
  <c r="U178" i="31"/>
  <c r="AH178" i="31"/>
  <c r="AU182" i="31"/>
  <c r="BD182" i="31"/>
  <c r="R182" i="31"/>
  <c r="AE186" i="31"/>
  <c r="AN186" i="31"/>
  <c r="BA186" i="31"/>
  <c r="L190" i="31"/>
  <c r="Y190" i="31"/>
  <c r="AL190" i="31"/>
  <c r="AY190" i="31"/>
  <c r="U194" i="31"/>
  <c r="AY194" i="31"/>
  <c r="BA194" i="31"/>
  <c r="AU198" i="31"/>
  <c r="BD198" i="31"/>
  <c r="R198" i="31"/>
  <c r="AT202" i="31"/>
  <c r="AQ202" i="31"/>
  <c r="AZ202" i="31"/>
  <c r="AH206" i="31"/>
  <c r="K206" i="31"/>
  <c r="AN206" i="31"/>
  <c r="BE210" i="31"/>
  <c r="BG210" i="31"/>
  <c r="AD123" i="31"/>
  <c r="AE121" i="31"/>
  <c r="AU119" i="31"/>
  <c r="O118" i="31"/>
  <c r="AI116" i="31"/>
  <c r="AY114" i="31"/>
  <c r="W125" i="31"/>
  <c r="AZ125" i="31"/>
  <c r="AL129" i="31"/>
  <c r="P129" i="31"/>
  <c r="J133" i="31"/>
  <c r="AF133" i="31"/>
  <c r="BC137" i="31"/>
  <c r="AV141" i="31"/>
  <c r="AS145" i="31"/>
  <c r="AN153" i="31"/>
  <c r="AK157" i="31"/>
  <c r="AH161" i="31"/>
  <c r="AN169" i="31"/>
  <c r="AI177" i="31"/>
  <c r="AN185" i="31"/>
  <c r="AM132" i="31"/>
  <c r="BC150" i="31"/>
  <c r="M154" i="31"/>
  <c r="Z154" i="31"/>
  <c r="AM154" i="31"/>
  <c r="AV158" i="31"/>
  <c r="J158" i="31"/>
  <c r="W158" i="31"/>
  <c r="Q162" i="31"/>
  <c r="BD162" i="31"/>
  <c r="AX162" i="31"/>
  <c r="P166" i="31"/>
  <c r="AC166" i="31"/>
  <c r="AP166" i="31"/>
  <c r="BC166" i="31"/>
  <c r="M170" i="31"/>
  <c r="Z170" i="31"/>
  <c r="AM170" i="31"/>
  <c r="AV174" i="31"/>
  <c r="J174" i="31"/>
  <c r="W174" i="31"/>
  <c r="AI178" i="31"/>
  <c r="AR178" i="31"/>
  <c r="BE178" i="31"/>
  <c r="S182" i="31"/>
  <c r="AB182" i="31"/>
  <c r="AO182" i="31"/>
  <c r="BB182" i="31"/>
  <c r="L186" i="31"/>
  <c r="Y186" i="31"/>
  <c r="AL186" i="31"/>
  <c r="AV190" i="31"/>
  <c r="J190" i="31"/>
  <c r="W190" i="31"/>
  <c r="AF194" i="31"/>
  <c r="R194" i="31"/>
  <c r="AR194" i="31"/>
  <c r="S198" i="31"/>
  <c r="AB198" i="31"/>
  <c r="AO198" i="31"/>
  <c r="BB198" i="31"/>
  <c r="O202" i="31"/>
  <c r="X202" i="31"/>
  <c r="AO202" i="31"/>
  <c r="U206" i="31"/>
  <c r="BG206" i="31"/>
  <c r="U210" i="31"/>
  <c r="S210" i="31"/>
  <c r="AZ210" i="31"/>
  <c r="O122" i="31"/>
  <c r="AI120" i="31"/>
  <c r="AY118" i="31"/>
  <c r="S117" i="31"/>
  <c r="AM115" i="31"/>
  <c r="AL125" i="31"/>
  <c r="P125" i="31"/>
  <c r="AW125" i="31"/>
  <c r="AI129" i="31"/>
  <c r="M129" i="31"/>
  <c r="AA133" i="31"/>
  <c r="AW133" i="31"/>
  <c r="AP141" i="31"/>
  <c r="AM145" i="31"/>
  <c r="AH149" i="31"/>
  <c r="AE153" i="31"/>
  <c r="X161" i="31"/>
  <c r="AW165" i="31"/>
  <c r="AN173" i="31"/>
  <c r="AB181" i="31"/>
  <c r="AW197" i="31"/>
  <c r="BD181" i="31"/>
  <c r="AN203" i="31"/>
  <c r="U191" i="31"/>
  <c r="I138" i="31"/>
  <c r="I150" i="31"/>
  <c r="AI117" i="31"/>
  <c r="AR130" i="31"/>
  <c r="BF124" i="31"/>
  <c r="AI195" i="31"/>
  <c r="AW199" i="31"/>
  <c r="BD199" i="31"/>
  <c r="P211" i="31"/>
  <c r="V179" i="31"/>
  <c r="N175" i="31"/>
  <c r="BE163" i="31"/>
  <c r="L155" i="31"/>
  <c r="T143" i="31"/>
  <c r="R207" i="31"/>
  <c r="BF175" i="31"/>
  <c r="AZ167" i="31"/>
  <c r="K155" i="31"/>
  <c r="S147" i="31"/>
  <c r="Y135" i="31"/>
  <c r="U171" i="31"/>
  <c r="AX151" i="31"/>
  <c r="BF143" i="31"/>
  <c r="AT135" i="31"/>
  <c r="AW127" i="31"/>
  <c r="T123" i="31"/>
  <c r="AO117" i="31"/>
  <c r="AK122" i="31"/>
  <c r="AL208" i="31"/>
  <c r="AN183" i="31"/>
  <c r="AU167" i="31"/>
  <c r="BA159" i="31"/>
  <c r="H151" i="31"/>
  <c r="P139" i="31"/>
  <c r="Y131" i="31"/>
  <c r="AB127" i="31"/>
  <c r="M114" i="31"/>
  <c r="I119" i="31"/>
  <c r="AN208" i="31"/>
  <c r="BG191" i="31"/>
  <c r="AS163" i="31"/>
  <c r="H143" i="31"/>
  <c r="Z131" i="31"/>
  <c r="M117" i="31"/>
  <c r="AD208" i="31"/>
  <c r="BC200" i="31"/>
  <c r="AC196" i="31"/>
  <c r="AG192" i="31"/>
  <c r="U188" i="31"/>
  <c r="AP180" i="31"/>
  <c r="AS176" i="31"/>
  <c r="AW172" i="31"/>
  <c r="AZ168" i="31"/>
  <c r="BG160" i="31"/>
  <c r="K156" i="31"/>
  <c r="N152" i="31"/>
  <c r="AA148" i="31"/>
  <c r="V144" i="31"/>
  <c r="Y136" i="31"/>
  <c r="AB132" i="31"/>
  <c r="AI128" i="31"/>
  <c r="W167" i="31"/>
  <c r="AK147" i="31"/>
  <c r="M131" i="31"/>
  <c r="Y114" i="31"/>
  <c r="AB208" i="31"/>
  <c r="AT204" i="31"/>
  <c r="AX196" i="31"/>
  <c r="BB192" i="31"/>
  <c r="AK188" i="31"/>
  <c r="H184" i="31"/>
  <c r="O180" i="31"/>
  <c r="S172" i="31"/>
  <c r="V168" i="31"/>
  <c r="Y164" i="31"/>
  <c r="AB160" i="31"/>
  <c r="AI152" i="31"/>
  <c r="BD148" i="31"/>
  <c r="AQ144" i="31"/>
  <c r="AT140" i="31"/>
  <c r="AW132" i="31"/>
  <c r="AZ128" i="31"/>
  <c r="AC163" i="31"/>
  <c r="R131" i="31"/>
  <c r="BF208" i="31"/>
  <c r="AL196" i="31"/>
  <c r="AP192" i="31"/>
  <c r="AZ188" i="31"/>
  <c r="AY184" i="31"/>
  <c r="BB176" i="31"/>
  <c r="BF172" i="31"/>
  <c r="AN179" i="31"/>
  <c r="BC155" i="31"/>
  <c r="R139" i="31"/>
  <c r="AE127" i="31"/>
  <c r="I120" i="31"/>
  <c r="AV204" i="31"/>
  <c r="AC200" i="31"/>
  <c r="BG196" i="31"/>
  <c r="H192" i="31"/>
  <c r="N184" i="31"/>
  <c r="Q180" i="31"/>
  <c r="AM167" i="31"/>
  <c r="BA147" i="31"/>
  <c r="U131" i="31"/>
  <c r="Q114" i="31"/>
  <c r="AJ208" i="31"/>
  <c r="AX204" i="31"/>
  <c r="BB196" i="31"/>
  <c r="BF192" i="31"/>
  <c r="AO188" i="31"/>
  <c r="L184" i="31"/>
  <c r="S180" i="31"/>
  <c r="W172" i="31"/>
  <c r="Z168" i="31"/>
  <c r="AU131" i="31"/>
  <c r="N196" i="31"/>
  <c r="AQ180" i="31"/>
  <c r="AE168" i="31"/>
  <c r="J164" i="31"/>
  <c r="M160" i="31"/>
  <c r="P156" i="31"/>
  <c r="AO148" i="31"/>
  <c r="X144" i="31"/>
  <c r="AE140" i="31"/>
  <c r="AH136" i="31"/>
  <c r="AK128" i="31"/>
  <c r="BE124" i="31"/>
  <c r="AI124" i="31"/>
  <c r="BF115" i="31"/>
  <c r="AD118" i="31"/>
  <c r="BB120" i="31"/>
  <c r="N124" i="31"/>
  <c r="AW209" i="31"/>
  <c r="AX205" i="31"/>
  <c r="K205" i="31"/>
  <c r="X201" i="31"/>
  <c r="BF197" i="31"/>
  <c r="AF197" i="31"/>
  <c r="K193" i="31"/>
  <c r="AJ193" i="31"/>
  <c r="N189" i="31"/>
  <c r="AP185" i="31"/>
  <c r="P185" i="31"/>
  <c r="AS181" i="31"/>
  <c r="W181" i="31"/>
  <c r="AV177" i="31"/>
  <c r="AA173" i="31"/>
  <c r="AZ173" i="31"/>
  <c r="P155" i="31"/>
  <c r="BC204" i="31"/>
  <c r="Q184" i="31"/>
  <c r="R172" i="31"/>
  <c r="AU164" i="31"/>
  <c r="AX160" i="31"/>
  <c r="BA156" i="31"/>
  <c r="BD152" i="31"/>
  <c r="J148" i="31"/>
  <c r="M140" i="31"/>
  <c r="P136" i="31"/>
  <c r="W132" i="31"/>
  <c r="AX128" i="31"/>
  <c r="X124" i="31"/>
  <c r="N115" i="31"/>
  <c r="AL117" i="31"/>
  <c r="J120" i="31"/>
  <c r="AH122" i="31"/>
  <c r="BG209" i="31"/>
  <c r="AC209" i="31"/>
  <c r="BA205" i="31"/>
  <c r="X205" i="31"/>
  <c r="AI205" i="31"/>
  <c r="AM159" i="31"/>
  <c r="U127" i="31"/>
  <c r="AS204" i="31"/>
  <c r="AZ196" i="31"/>
  <c r="K188" i="31"/>
  <c r="K180" i="31"/>
  <c r="O172" i="31"/>
  <c r="O168" i="31"/>
  <c r="P168" i="31"/>
  <c r="AS164" i="31"/>
  <c r="W160" i="31"/>
  <c r="AV160" i="31"/>
  <c r="Z156" i="31"/>
  <c r="BC152" i="31"/>
  <c r="AC152" i="31"/>
  <c r="Y148" i="31"/>
  <c r="AH148" i="31"/>
  <c r="H144" i="31"/>
  <c r="AK140" i="31"/>
  <c r="O140" i="31"/>
  <c r="AN136" i="31"/>
  <c r="R136" i="31"/>
  <c r="AU132" i="31"/>
  <c r="U128" i="31"/>
  <c r="K128" i="31"/>
  <c r="AW124" i="31"/>
  <c r="AJ124" i="31"/>
  <c r="AA124" i="31"/>
  <c r="BB114" i="31"/>
  <c r="N116" i="31"/>
  <c r="Z117" i="31"/>
  <c r="AL118" i="31"/>
  <c r="AX119" i="31"/>
  <c r="J121" i="31"/>
  <c r="V122" i="31"/>
  <c r="AT124" i="31"/>
  <c r="BC209" i="31"/>
  <c r="AO209" i="31"/>
  <c r="BB209" i="31"/>
  <c r="AM205" i="31"/>
  <c r="T205" i="31"/>
  <c r="AY205" i="31"/>
  <c r="AG201" i="31"/>
  <c r="P201" i="31"/>
  <c r="BF201" i="31"/>
  <c r="AX197" i="31"/>
  <c r="AE139" i="31"/>
  <c r="AG180" i="31"/>
  <c r="AX164" i="31"/>
  <c r="BD156" i="31"/>
  <c r="M144" i="31"/>
  <c r="W136" i="31"/>
  <c r="Z128" i="31"/>
  <c r="AL115" i="31"/>
  <c r="AH120" i="31"/>
  <c r="S209" i="31"/>
  <c r="AE205" i="31"/>
  <c r="BG201" i="31"/>
  <c r="AL197" i="31"/>
  <c r="AR197" i="31"/>
  <c r="O197" i="31"/>
  <c r="AH193" i="31"/>
  <c r="AV193" i="31"/>
  <c r="S189" i="31"/>
  <c r="AK189" i="31"/>
  <c r="BB185" i="31"/>
  <c r="U185" i="31"/>
  <c r="AQ185" i="31"/>
  <c r="BE181" i="31"/>
  <c r="X181" i="31"/>
  <c r="AT177" i="31"/>
  <c r="I177" i="31"/>
  <c r="AE177" i="31"/>
  <c r="AX173" i="31"/>
  <c r="M173" i="31"/>
  <c r="AI169" i="31"/>
  <c r="V169" i="31"/>
  <c r="I169" i="31"/>
  <c r="AY165" i="31"/>
  <c r="AL165" i="31"/>
  <c r="Y165" i="31"/>
  <c r="L165" i="31"/>
  <c r="T208" i="31"/>
  <c r="K176" i="31"/>
  <c r="AU160" i="31"/>
  <c r="BA152" i="31"/>
  <c r="J144" i="31"/>
  <c r="P132" i="31"/>
  <c r="AV124" i="31"/>
  <c r="N117" i="31"/>
  <c r="J122" i="31"/>
  <c r="AP209" i="31"/>
  <c r="AS201" i="31"/>
  <c r="S201" i="31"/>
  <c r="BA197" i="31"/>
  <c r="T197" i="31"/>
  <c r="AM193" i="31"/>
  <c r="BE193" i="31"/>
  <c r="X193" i="31"/>
  <c r="AP189" i="31"/>
  <c r="I189" i="31"/>
  <c r="AD185" i="31"/>
  <c r="AX192" i="31"/>
  <c r="J168" i="31"/>
  <c r="H160" i="31"/>
  <c r="AF148" i="31"/>
  <c r="Z140" i="31"/>
  <c r="AF128" i="31"/>
  <c r="J114" i="31"/>
  <c r="BF118" i="31"/>
  <c r="AR209" i="31"/>
  <c r="Q205" i="31"/>
  <c r="AR201" i="31"/>
  <c r="AH201" i="31"/>
  <c r="U197" i="31"/>
  <c r="AQ197" i="31"/>
  <c r="BF193" i="31"/>
  <c r="Y193" i="31"/>
  <c r="AU189" i="31"/>
  <c r="J189" i="31"/>
  <c r="AB189" i="31"/>
  <c r="AW185" i="31"/>
  <c r="L185" i="31"/>
  <c r="H168" i="31"/>
  <c r="BF128" i="31"/>
  <c r="P205" i="31"/>
  <c r="AA197" i="31"/>
  <c r="AS189" i="31"/>
  <c r="T185" i="31"/>
  <c r="AW181" i="31"/>
  <c r="AQ181" i="31"/>
  <c r="Y177" i="31"/>
  <c r="S177" i="31"/>
  <c r="J173" i="31"/>
  <c r="AY169" i="31"/>
  <c r="N169" i="31"/>
  <c r="AF169" i="31"/>
  <c r="AX165" i="31"/>
  <c r="Q165" i="31"/>
  <c r="AM161" i="31"/>
  <c r="Z161" i="31"/>
  <c r="M161" i="31"/>
  <c r="BC157" i="31"/>
  <c r="AP157" i="31"/>
  <c r="AC157" i="31"/>
  <c r="P157" i="31"/>
  <c r="BF153" i="31"/>
  <c r="AS153" i="31"/>
  <c r="AF153" i="31"/>
  <c r="W149" i="31"/>
  <c r="J149" i="31"/>
  <c r="AV149" i="31"/>
  <c r="AK145" i="31"/>
  <c r="X145" i="31"/>
  <c r="O145" i="31"/>
  <c r="BA141" i="31"/>
  <c r="AN141" i="31"/>
  <c r="AE141" i="31"/>
  <c r="R141" i="31"/>
  <c r="BD137" i="31"/>
  <c r="AU137" i="31"/>
  <c r="AH137" i="31"/>
  <c r="U133" i="31"/>
  <c r="H133" i="31"/>
  <c r="AX133" i="31"/>
  <c r="AK129" i="31"/>
  <c r="X129" i="31"/>
  <c r="O129" i="31"/>
  <c r="BA125" i="31"/>
  <c r="AN125" i="31"/>
  <c r="AE125" i="31"/>
  <c r="W114" i="31"/>
  <c r="AI115" i="31"/>
  <c r="AU116" i="31"/>
  <c r="BG117" i="31"/>
  <c r="S119" i="31"/>
  <c r="AE120" i="31"/>
  <c r="AQ121" i="31"/>
  <c r="N123" i="31"/>
  <c r="AF210" i="31"/>
  <c r="W210" i="31"/>
  <c r="AS210" i="31"/>
  <c r="AV206" i="31"/>
  <c r="AM206" i="31"/>
  <c r="Y206" i="31"/>
  <c r="AD206" i="31"/>
  <c r="AT176" i="31"/>
  <c r="J136" i="31"/>
  <c r="AK209" i="31"/>
  <c r="AJ197" i="31"/>
  <c r="BF189" i="31"/>
  <c r="AR185" i="31"/>
  <c r="R181" i="31"/>
  <c r="H181" i="31"/>
  <c r="AW177" i="31"/>
  <c r="AQ177" i="31"/>
  <c r="AH173" i="31"/>
  <c r="P173" i="31"/>
  <c r="AD169" i="31"/>
  <c r="AV169" i="31"/>
  <c r="O165" i="31"/>
  <c r="AG165" i="31"/>
  <c r="BC161" i="31"/>
  <c r="AL161" i="31"/>
  <c r="Y161" i="31"/>
  <c r="L161" i="31"/>
  <c r="BB157" i="31"/>
  <c r="AO157" i="31"/>
  <c r="AB157" i="31"/>
  <c r="S153" i="31"/>
  <c r="BE153" i="31"/>
  <c r="AR153" i="31"/>
  <c r="AI149" i="31"/>
  <c r="V149" i="31"/>
  <c r="I149" i="31"/>
  <c r="AW145" i="31"/>
  <c r="AJ145" i="31"/>
  <c r="AA145" i="31"/>
  <c r="N145" i="31"/>
  <c r="AZ141" i="31"/>
  <c r="AQ141" i="31"/>
  <c r="AD141" i="31"/>
  <c r="Q137" i="31"/>
  <c r="BG137" i="31"/>
  <c r="AT137" i="31"/>
  <c r="AX168" i="31"/>
  <c r="M128" i="31"/>
  <c r="AH205" i="31"/>
  <c r="AU197" i="31"/>
  <c r="R189" i="31"/>
  <c r="X185" i="31"/>
  <c r="BA181" i="31"/>
  <c r="AU181" i="31"/>
  <c r="AK177" i="31"/>
  <c r="AA177" i="31"/>
  <c r="R173" i="31"/>
  <c r="H173" i="31"/>
  <c r="R169" i="31"/>
  <c r="AJ169" i="31"/>
  <c r="BF165" i="31"/>
  <c r="U165" i="31"/>
  <c r="AQ161" i="31"/>
  <c r="AD161" i="31"/>
  <c r="Q161" i="31"/>
  <c r="BG157" i="31"/>
  <c r="AT157" i="31"/>
  <c r="AG157" i="31"/>
  <c r="T157" i="31"/>
  <c r="K153" i="31"/>
  <c r="AW153" i="31"/>
  <c r="AJ153" i="31"/>
  <c r="AA149" i="31"/>
  <c r="N149" i="31"/>
  <c r="AZ149" i="31"/>
  <c r="AO145" i="31"/>
  <c r="AB145" i="31"/>
  <c r="S145" i="31"/>
  <c r="BE141" i="31"/>
  <c r="AR141" i="31"/>
  <c r="AI141" i="31"/>
  <c r="V141" i="31"/>
  <c r="I137" i="31"/>
  <c r="AY137" i="31"/>
  <c r="AL137" i="31"/>
  <c r="Y133" i="31"/>
  <c r="L133" i="31"/>
  <c r="BB133" i="31"/>
  <c r="AO129" i="31"/>
  <c r="AJ122" i="31"/>
  <c r="T121" i="31"/>
  <c r="AZ119" i="31"/>
  <c r="AJ118" i="31"/>
  <c r="T117" i="31"/>
  <c r="AZ115" i="31"/>
  <c r="AJ114" i="31"/>
  <c r="Z126" i="31"/>
  <c r="AM126" i="31"/>
  <c r="AV126" i="31"/>
  <c r="J130" i="31"/>
  <c r="W130" i="31"/>
  <c r="AF130" i="31"/>
  <c r="AS130" i="31"/>
  <c r="BF134" i="31"/>
  <c r="P134" i="31"/>
  <c r="AC134" i="31"/>
  <c r="AP138" i="31"/>
  <c r="BC138" i="31"/>
  <c r="M138" i="31"/>
  <c r="Z142" i="31"/>
  <c r="AM142" i="31"/>
  <c r="AV142" i="31"/>
  <c r="J146" i="31"/>
  <c r="W146" i="31"/>
  <c r="AF146" i="31"/>
  <c r="AS146" i="31"/>
  <c r="BD150" i="31"/>
  <c r="R150" i="31"/>
  <c r="AE150" i="31"/>
  <c r="AN154" i="31"/>
  <c r="BA154" i="31"/>
  <c r="O154" i="31"/>
  <c r="X158" i="31"/>
  <c r="AK158" i="31"/>
  <c r="AX158" i="31"/>
  <c r="H162" i="31"/>
  <c r="AF162" i="31"/>
  <c r="Z162" i="31"/>
  <c r="AU162" i="31"/>
  <c r="BD166" i="31"/>
  <c r="R166" i="31"/>
  <c r="AE166" i="31"/>
  <c r="AN170" i="31"/>
  <c r="BA170" i="31"/>
  <c r="O170" i="31"/>
  <c r="X174" i="31"/>
  <c r="AK174" i="31"/>
  <c r="AX174" i="31"/>
  <c r="K178" i="31"/>
  <c r="T178" i="31"/>
  <c r="AG178" i="31"/>
  <c r="AT178" i="31"/>
  <c r="BG182" i="31"/>
  <c r="Q182" i="31"/>
  <c r="AD182" i="31"/>
  <c r="AQ186" i="31"/>
  <c r="AZ186" i="31"/>
  <c r="N186" i="31"/>
  <c r="X190" i="31"/>
  <c r="AK190" i="31"/>
  <c r="AX190" i="31"/>
  <c r="H194" i="31"/>
  <c r="AG194" i="31"/>
  <c r="S194" i="31"/>
  <c r="AT194" i="31"/>
  <c r="BG198" i="31"/>
  <c r="Q198" i="31"/>
  <c r="AD198" i="31"/>
  <c r="AX202" i="31"/>
  <c r="BC202" i="31"/>
  <c r="M202" i="31"/>
  <c r="BB206" i="31"/>
  <c r="AA206" i="31"/>
  <c r="BD206" i="31"/>
  <c r="AL210" i="31"/>
  <c r="T210" i="31"/>
  <c r="AV122" i="31"/>
  <c r="O121" i="31"/>
  <c r="AE119" i="31"/>
  <c r="AY117" i="31"/>
  <c r="S116" i="31"/>
  <c r="AI114" i="31"/>
  <c r="AM125" i="31"/>
  <c r="Q125" i="31"/>
  <c r="BB129" i="31"/>
  <c r="AF129" i="31"/>
  <c r="AD133" i="31"/>
  <c r="AZ133" i="31"/>
  <c r="AV137" i="31"/>
  <c r="AS141" i="31"/>
  <c r="AN149" i="31"/>
  <c r="AK153" i="31"/>
  <c r="AH157" i="31"/>
  <c r="AE161" i="31"/>
  <c r="BA169" i="31"/>
  <c r="Q177" i="31"/>
  <c r="BD189" i="31"/>
  <c r="O160" i="31"/>
  <c r="AI150" i="31"/>
  <c r="AR154" i="31"/>
  <c r="BE154" i="31"/>
  <c r="S154" i="31"/>
  <c r="AB158" i="31"/>
  <c r="AO158" i="31"/>
  <c r="BB158" i="31"/>
  <c r="L162" i="31"/>
  <c r="AJ162" i="31"/>
  <c r="AD162" i="31"/>
  <c r="AY162" i="31"/>
  <c r="I166" i="31"/>
  <c r="V166" i="31"/>
  <c r="AI166" i="31"/>
  <c r="AR170" i="31"/>
  <c r="BE170" i="31"/>
  <c r="S170" i="31"/>
  <c r="AB174" i="31"/>
  <c r="AO174" i="31"/>
  <c r="BB174" i="31"/>
  <c r="O178" i="31"/>
  <c r="X178" i="31"/>
  <c r="AK178" i="31"/>
  <c r="AX178" i="31"/>
  <c r="H182" i="31"/>
  <c r="U182" i="31"/>
  <c r="AH182" i="31"/>
  <c r="AU186" i="31"/>
  <c r="BD186" i="31"/>
  <c r="R186" i="31"/>
  <c r="AB190" i="31"/>
  <c r="AO190" i="31"/>
  <c r="BB190" i="31"/>
  <c r="L194" i="31"/>
  <c r="AK194" i="31"/>
  <c r="W194" i="31"/>
  <c r="AX194" i="31"/>
  <c r="H198" i="31"/>
  <c r="U198" i="31"/>
  <c r="AH198" i="31"/>
  <c r="V202" i="31"/>
  <c r="BG202" i="31"/>
  <c r="Q202" i="31"/>
  <c r="Z206" i="31"/>
  <c r="AE206" i="31"/>
  <c r="N210" i="31"/>
  <c r="AT210" i="31"/>
  <c r="X210" i="31"/>
  <c r="AQ122" i="31"/>
  <c r="BG120" i="31"/>
  <c r="AA119" i="31"/>
  <c r="AU117" i="31"/>
  <c r="K116" i="31"/>
  <c r="AE114" i="31"/>
  <c r="AQ125" i="31"/>
  <c r="Y125" i="31"/>
  <c r="BF129" i="31"/>
  <c r="AJ129" i="31"/>
  <c r="AP133" i="31"/>
  <c r="M133" i="31"/>
  <c r="M137" i="31"/>
  <c r="J145" i="31"/>
  <c r="BD149" i="31"/>
  <c r="BA153" i="31"/>
  <c r="AX157" i="31"/>
  <c r="AU161" i="31"/>
  <c r="Z169" i="31"/>
  <c r="AO177" i="31"/>
  <c r="AL189" i="31"/>
  <c r="AX172" i="31"/>
  <c r="P154" i="31"/>
  <c r="AC154" i="31"/>
  <c r="AP154" i="31"/>
  <c r="BC154" i="31"/>
  <c r="M158" i="31"/>
  <c r="Z158" i="31"/>
  <c r="AM158" i="31"/>
  <c r="R162" i="31"/>
  <c r="AK162" i="31"/>
  <c r="W162" i="31"/>
  <c r="AF166" i="31"/>
  <c r="AS166" i="31"/>
  <c r="BF166" i="31"/>
  <c r="P170" i="31"/>
  <c r="AC170" i="31"/>
  <c r="AP170" i="31"/>
  <c r="BC170" i="31"/>
  <c r="M174" i="31"/>
  <c r="Z174" i="31"/>
  <c r="AM174" i="31"/>
  <c r="AY178" i="31"/>
  <c r="I178" i="31"/>
  <c r="V178" i="31"/>
  <c r="AI182" i="31"/>
  <c r="AR182" i="31"/>
  <c r="BE182" i="31"/>
  <c r="S186" i="31"/>
  <c r="AB186" i="31"/>
  <c r="AO186" i="31"/>
  <c r="BB186" i="31"/>
  <c r="M190" i="31"/>
  <c r="Z190" i="31"/>
  <c r="AM190" i="31"/>
  <c r="I194" i="31"/>
  <c r="AH194" i="31"/>
  <c r="BD194" i="31"/>
  <c r="AI198" i="31"/>
  <c r="AR198" i="31"/>
  <c r="BE198" i="31"/>
  <c r="AP202" i="31"/>
  <c r="AE202" i="31"/>
  <c r="AN202" i="31"/>
  <c r="N206" i="31"/>
  <c r="AS206" i="31"/>
  <c r="X206" i="31"/>
  <c r="AO210" i="31"/>
  <c r="AQ210" i="31"/>
  <c r="AH124" i="31"/>
  <c r="AU121" i="31"/>
  <c r="K120" i="31"/>
  <c r="AE118" i="31"/>
  <c r="AY116" i="31"/>
  <c r="O115" i="31"/>
  <c r="BF125" i="31"/>
  <c r="AJ125" i="31"/>
  <c r="V129" i="31"/>
  <c r="BC129" i="31"/>
  <c r="AG129" i="31"/>
  <c r="BG133" i="31"/>
  <c r="BF137" i="31"/>
  <c r="BC141" i="31"/>
  <c r="AV145" i="31"/>
  <c r="AU149" i="31"/>
  <c r="AN157" i="31"/>
  <c r="AK161" i="31"/>
  <c r="AE165" i="31"/>
  <c r="BB173" i="31"/>
  <c r="AL181" i="31"/>
  <c r="Z122" i="31"/>
  <c r="AA170" i="31"/>
  <c r="H121" i="31"/>
  <c r="AT166" i="31"/>
  <c r="BE211" i="31"/>
  <c r="AJ174" i="31"/>
  <c r="X203" i="31"/>
  <c r="AG183" i="31"/>
  <c r="AM199" i="31"/>
  <c r="I159" i="31"/>
  <c r="AA139" i="31"/>
  <c r="AW171" i="31"/>
  <c r="N151" i="31"/>
  <c r="AU187" i="31"/>
  <c r="BC147" i="31"/>
  <c r="T131" i="31"/>
  <c r="Q115" i="31"/>
  <c r="AM208" i="31"/>
  <c r="J175" i="31"/>
  <c r="BD155" i="31"/>
  <c r="AY135" i="31"/>
  <c r="BE123" i="31"/>
  <c r="AG121" i="31"/>
  <c r="AM171" i="31"/>
  <c r="W135" i="31"/>
  <c r="I122" i="31"/>
  <c r="P200" i="31"/>
  <c r="BB188" i="31"/>
  <c r="P180" i="31"/>
  <c r="AA168" i="31"/>
  <c r="AG160" i="31"/>
  <c r="BF148" i="31"/>
  <c r="AY140" i="31"/>
  <c r="BE128" i="31"/>
  <c r="AC159" i="31"/>
  <c r="P127" i="31"/>
  <c r="Q204" i="31"/>
  <c r="X196" i="31"/>
  <c r="AH184" i="31"/>
  <c r="AN176" i="31"/>
  <c r="AY164" i="31"/>
  <c r="BE156" i="31"/>
  <c r="N148" i="31"/>
  <c r="T136" i="31"/>
  <c r="AT191" i="31"/>
  <c r="U117" i="31"/>
  <c r="L196" i="31"/>
  <c r="V184" i="31"/>
  <c r="AB176" i="31"/>
  <c r="AS167" i="31"/>
  <c r="X131" i="31"/>
  <c r="AQ208" i="31"/>
  <c r="AD196" i="31"/>
  <c r="AR188" i="31"/>
  <c r="X183" i="31"/>
  <c r="H139" i="31"/>
  <c r="M119" i="31"/>
  <c r="R200" i="31"/>
  <c r="AF192" i="31"/>
  <c r="AO180" i="31"/>
  <c r="AV172" i="31"/>
  <c r="K208" i="31"/>
  <c r="AU172" i="31"/>
  <c r="AM160" i="31"/>
  <c r="AS152" i="31"/>
  <c r="BA140" i="31"/>
  <c r="H132" i="31"/>
  <c r="AR124" i="31"/>
  <c r="R117" i="31"/>
  <c r="N122" i="31"/>
  <c r="Z209" i="31"/>
  <c r="AO201" i="31"/>
  <c r="AS197" i="31"/>
  <c r="AW193" i="31"/>
  <c r="AZ189" i="31"/>
  <c r="BF181" i="31"/>
  <c r="J177" i="31"/>
  <c r="N173" i="31"/>
  <c r="BD123" i="31"/>
  <c r="N176" i="31"/>
  <c r="U164" i="31"/>
  <c r="AE152" i="31"/>
  <c r="AM144" i="31"/>
  <c r="AS132" i="31"/>
  <c r="AK124" i="31"/>
  <c r="Z116" i="31"/>
  <c r="V121" i="31"/>
  <c r="AA209" i="31"/>
  <c r="Y205" i="31"/>
  <c r="H187" i="31"/>
  <c r="Q118" i="31"/>
  <c r="BD192" i="31"/>
  <c r="AJ176" i="31"/>
  <c r="AC168" i="31"/>
  <c r="AF164" i="31"/>
  <c r="AM156" i="31"/>
  <c r="AP152" i="31"/>
  <c r="H148" i="31"/>
  <c r="AX144" i="31"/>
  <c r="BA136" i="31"/>
  <c r="BD132" i="31"/>
  <c r="H128" i="31"/>
  <c r="Q124" i="31"/>
  <c r="V114" i="31"/>
  <c r="AT116" i="31"/>
  <c r="R119" i="31"/>
  <c r="AP121" i="31"/>
  <c r="AF209" i="31"/>
  <c r="I209" i="31"/>
  <c r="BG205" i="31"/>
  <c r="N205" i="31"/>
  <c r="AM201" i="31"/>
  <c r="R197" i="31"/>
  <c r="AF172" i="31"/>
  <c r="H152" i="31"/>
  <c r="Z132" i="31"/>
  <c r="J118" i="31"/>
  <c r="AS205" i="31"/>
  <c r="J201" i="31"/>
  <c r="BG197" i="31"/>
  <c r="AO193" i="31"/>
  <c r="Z189" i="31"/>
  <c r="N185" i="31"/>
  <c r="AX181" i="31"/>
  <c r="AI181" i="31"/>
  <c r="T177" i="31"/>
  <c r="BE173" i="31"/>
  <c r="BB169" i="31"/>
  <c r="AB169" i="31"/>
  <c r="BE165" i="31"/>
  <c r="BF167" i="31"/>
  <c r="AN168" i="31"/>
  <c r="O148" i="31"/>
  <c r="W128" i="31"/>
  <c r="AL119" i="31"/>
  <c r="AF205" i="31"/>
  <c r="N201" i="31"/>
  <c r="AE197" i="31"/>
  <c r="M193" i="31"/>
  <c r="BA189" i="31"/>
  <c r="AG114" i="31"/>
  <c r="BD164" i="31"/>
  <c r="W144" i="31"/>
  <c r="AC124" i="31"/>
  <c r="AD121" i="31"/>
  <c r="Z205" i="31"/>
  <c r="N197" i="31"/>
  <c r="AY193" i="31"/>
  <c r="AF193" i="31"/>
  <c r="U189" i="31"/>
  <c r="BD185" i="31"/>
  <c r="Z148" i="31"/>
  <c r="BB197" i="31"/>
  <c r="BA185" i="31"/>
  <c r="AN181" i="31"/>
  <c r="X177" i="31"/>
  <c r="BD173" i="31"/>
  <c r="U169" i="31"/>
  <c r="J165" i="31"/>
  <c r="BF161" i="31"/>
  <c r="AF161" i="31"/>
  <c r="J157" i="31"/>
  <c r="AM153" i="31"/>
  <c r="M153" i="31"/>
  <c r="AP149" i="31"/>
  <c r="P149" i="31"/>
  <c r="AU145" i="31"/>
  <c r="U141" i="31"/>
  <c r="AX141" i="31"/>
  <c r="X137" i="31"/>
  <c r="BA133" i="31"/>
  <c r="AE133" i="31"/>
  <c r="BD129" i="31"/>
  <c r="AH129" i="31"/>
  <c r="H125" i="31"/>
  <c r="BC114" i="31"/>
  <c r="AA117" i="31"/>
  <c r="AY119" i="31"/>
  <c r="W122" i="31"/>
  <c r="BC210" i="31"/>
  <c r="M210" i="31"/>
  <c r="BE206" i="31"/>
  <c r="AG202" i="31"/>
  <c r="R116" i="31"/>
  <c r="V193" i="31"/>
  <c r="AA185" i="31"/>
  <c r="BB177" i="31"/>
  <c r="AI173" i="31"/>
  <c r="W169" i="31"/>
  <c r="BG165" i="31"/>
  <c r="AN165" i="31"/>
  <c r="BE161" i="31"/>
  <c r="AI157" i="31"/>
  <c r="I157" i="31"/>
  <c r="AL153" i="31"/>
  <c r="L153" i="31"/>
  <c r="AO149" i="31"/>
  <c r="Q145" i="31"/>
  <c r="AT145" i="31"/>
  <c r="T141" i="31"/>
  <c r="AW137" i="31"/>
  <c r="AA137" i="31"/>
  <c r="Q148" i="31"/>
  <c r="I201" i="31"/>
  <c r="BE185" i="31"/>
  <c r="AZ181" i="31"/>
  <c r="AB177" i="31"/>
  <c r="I173" i="31"/>
  <c r="AC169" i="31"/>
  <c r="N165" i="31"/>
  <c r="K161" i="31"/>
  <c r="AJ161" i="31"/>
  <c r="N157" i="31"/>
  <c r="AQ153" i="31"/>
  <c r="Q153" i="31"/>
  <c r="AT149" i="31"/>
  <c r="T149" i="31"/>
  <c r="AY145" i="31"/>
  <c r="Y141" i="31"/>
  <c r="BB141" i="31"/>
  <c r="AB137" i="31"/>
  <c r="BE133" i="31"/>
  <c r="AI133" i="31"/>
  <c r="AG123" i="31"/>
  <c r="AJ120" i="31"/>
  <c r="AZ117" i="31"/>
  <c r="T115" i="31"/>
  <c r="BF126" i="31"/>
  <c r="AC126" i="31"/>
  <c r="BC130" i="31"/>
  <c r="Z134" i="31"/>
  <c r="AV134" i="31"/>
  <c r="W138" i="31"/>
  <c r="AS138" i="31"/>
  <c r="P142" i="31"/>
  <c r="AP146" i="31"/>
  <c r="M146" i="31"/>
  <c r="AK150" i="31"/>
  <c r="H154" i="31"/>
  <c r="AH154" i="31"/>
  <c r="BD158" i="31"/>
  <c r="AE158" i="31"/>
  <c r="AC162" i="31"/>
  <c r="X166" i="31"/>
  <c r="AX166" i="31"/>
  <c r="U170" i="31"/>
  <c r="AU170" i="31"/>
  <c r="R174" i="31"/>
  <c r="AQ178" i="31"/>
  <c r="N178" i="31"/>
  <c r="AJ182" i="31"/>
  <c r="K186" i="31"/>
  <c r="AG186" i="31"/>
  <c r="BD190" i="31"/>
  <c r="AE190" i="31"/>
  <c r="Z194" i="31"/>
  <c r="AA198" i="31"/>
  <c r="AW198" i="31"/>
  <c r="W202" i="31"/>
  <c r="BA202" i="31"/>
  <c r="L206" i="31"/>
  <c r="AE210" i="31"/>
  <c r="BC121" i="31"/>
  <c r="AQ118" i="31"/>
  <c r="AA115" i="31"/>
  <c r="AB125" i="31"/>
  <c r="AQ129" i="31"/>
  <c r="AQ133" i="31"/>
  <c r="W141" i="31"/>
  <c r="O149" i="31"/>
  <c r="BD161" i="31"/>
  <c r="AS173" i="31"/>
  <c r="AK201" i="31"/>
  <c r="L154" i="31"/>
  <c r="AL154" i="31"/>
  <c r="I158" i="31"/>
  <c r="AI158" i="31"/>
  <c r="AG162" i="31"/>
  <c r="AB166" i="31"/>
  <c r="BB166" i="31"/>
  <c r="Y170" i="31"/>
  <c r="AY170" i="31"/>
  <c r="V174" i="31"/>
  <c r="AU178" i="31"/>
  <c r="R178" i="31"/>
  <c r="AN182" i="31"/>
  <c r="O186" i="31"/>
  <c r="AK186" i="31"/>
  <c r="I190" i="31"/>
  <c r="AI190" i="31"/>
  <c r="AD194" i="31"/>
  <c r="AE198" i="31"/>
  <c r="BA198" i="31"/>
  <c r="AA202" i="31"/>
  <c r="BE202" i="31"/>
  <c r="T206" i="31"/>
  <c r="AI210" i="31"/>
  <c r="AY121" i="31"/>
  <c r="AI118" i="31"/>
  <c r="W115" i="31"/>
  <c r="AF125" i="31"/>
  <c r="AY129" i="31"/>
  <c r="BC133" i="31"/>
  <c r="AM141" i="31"/>
  <c r="AE149" i="31"/>
  <c r="U161" i="31"/>
  <c r="V173" i="31"/>
  <c r="AL209" i="31"/>
  <c r="AV154" i="31"/>
  <c r="W154" i="31"/>
  <c r="AS158" i="31"/>
  <c r="P162" i="31"/>
  <c r="AH162" i="31"/>
  <c r="M166" i="31"/>
  <c r="AM166" i="31"/>
  <c r="J170" i="31"/>
  <c r="AF174" i="31"/>
  <c r="BF174" i="31"/>
  <c r="AB178" i="31"/>
  <c r="BB178" i="31"/>
  <c r="Y182" i="31"/>
  <c r="AY186" i="31"/>
  <c r="V186" i="31"/>
  <c r="AS190" i="31"/>
  <c r="P194" i="31"/>
  <c r="AA194" i="31"/>
  <c r="L198" i="31"/>
  <c r="AL198" i="31"/>
  <c r="H202" i="31"/>
  <c r="AP206" i="31"/>
  <c r="V210" i="31"/>
  <c r="AB210" i="31"/>
  <c r="BC120" i="31"/>
  <c r="AM117" i="31"/>
  <c r="AA114" i="31"/>
  <c r="AC125" i="31"/>
  <c r="AR129" i="31"/>
  <c r="Q133" i="31"/>
  <c r="Z145" i="31"/>
  <c r="R153" i="31"/>
  <c r="P165" i="31"/>
  <c r="R177" i="31"/>
  <c r="M204" i="31"/>
  <c r="V182" i="31"/>
  <c r="BD202" i="31"/>
  <c r="AD210" i="31"/>
  <c r="AQ119" i="31"/>
  <c r="AA125" i="31"/>
  <c r="N133" i="31"/>
  <c r="P137" i="31"/>
  <c r="BA157" i="31"/>
  <c r="AG185" i="31"/>
  <c r="AF120" i="31"/>
  <c r="AI191" i="31"/>
  <c r="BB167" i="31"/>
  <c r="Q147" i="31"/>
  <c r="AV187" i="31"/>
  <c r="V143" i="31"/>
  <c r="J139" i="31"/>
  <c r="M120" i="31"/>
  <c r="W199" i="31"/>
  <c r="M143" i="31"/>
  <c r="AK116" i="31"/>
  <c r="AV123" i="31"/>
  <c r="AY204" i="31"/>
  <c r="M184" i="31"/>
  <c r="AD164" i="31"/>
  <c r="AR144" i="31"/>
  <c r="AU183" i="31"/>
  <c r="U119" i="31"/>
  <c r="AB192" i="31"/>
  <c r="AR172" i="31"/>
  <c r="I152" i="31"/>
  <c r="AA132" i="31"/>
  <c r="AY200" i="31"/>
  <c r="Y180" i="31"/>
  <c r="H147" i="31"/>
  <c r="Z204" i="31"/>
  <c r="AH192" i="31"/>
  <c r="X127" i="31"/>
  <c r="U204" i="31"/>
  <c r="AL184" i="31"/>
  <c r="AF167" i="31"/>
  <c r="AF168" i="31"/>
  <c r="AZ148" i="31"/>
  <c r="S128" i="31"/>
  <c r="AP119" i="31"/>
  <c r="AB205" i="31"/>
  <c r="O201" i="31"/>
  <c r="AA189" i="31"/>
  <c r="AF181" i="31"/>
  <c r="AQ169" i="31"/>
  <c r="AH168" i="31"/>
  <c r="AW148" i="31"/>
  <c r="AV128" i="31"/>
  <c r="AX118" i="31"/>
  <c r="J209" i="31"/>
  <c r="BA139" i="31"/>
  <c r="BB200" i="31"/>
  <c r="AN172" i="31"/>
  <c r="J160" i="31"/>
  <c r="P152" i="31"/>
  <c r="X140" i="31"/>
  <c r="AH132" i="31"/>
  <c r="BG124" i="31"/>
  <c r="BF117" i="31"/>
  <c r="BE122" i="31"/>
  <c r="W209" i="31"/>
  <c r="AV201" i="31"/>
  <c r="J200" i="31"/>
  <c r="P140" i="31"/>
  <c r="M123" i="31"/>
  <c r="AK197" i="31"/>
  <c r="W193" i="31"/>
  <c r="AB185" i="31"/>
  <c r="BA177" i="31"/>
  <c r="X173" i="31"/>
  <c r="S165" i="31"/>
  <c r="AR165" i="31"/>
  <c r="AX156" i="31"/>
  <c r="AP114" i="31"/>
  <c r="AB201" i="31"/>
  <c r="AX193" i="31"/>
  <c r="P189" i="31"/>
  <c r="O152" i="31"/>
  <c r="AH116" i="31"/>
  <c r="U209" i="31"/>
  <c r="AB197" i="31"/>
  <c r="BB189" i="31"/>
  <c r="M159" i="31"/>
  <c r="I193" i="31"/>
  <c r="AH177" i="31"/>
  <c r="BF169" i="31"/>
  <c r="X165" i="31"/>
  <c r="W157" i="31"/>
  <c r="Z153" i="31"/>
  <c r="AC149" i="31"/>
  <c r="BD145" i="31"/>
  <c r="H141" i="31"/>
  <c r="O137" i="31"/>
  <c r="R133" i="31"/>
  <c r="U125" i="31"/>
  <c r="O116" i="31"/>
  <c r="K121" i="31"/>
  <c r="AP210" i="31"/>
  <c r="J206" i="31"/>
  <c r="AQ201" i="31"/>
  <c r="I181" i="31"/>
  <c r="Y173" i="31"/>
  <c r="Z165" i="31"/>
  <c r="AR161" i="31"/>
  <c r="AY153" i="31"/>
  <c r="BB149" i="31"/>
  <c r="BG145" i="31"/>
  <c r="K141" i="31"/>
  <c r="AJ137" i="31"/>
  <c r="AP118" i="31"/>
  <c r="K185" i="31"/>
  <c r="K169" i="31"/>
  <c r="AF165" i="31"/>
  <c r="AZ157" i="31"/>
  <c r="AG149" i="31"/>
  <c r="AL145" i="31"/>
  <c r="S137" i="31"/>
  <c r="AZ121" i="31"/>
  <c r="AJ116" i="31"/>
  <c r="AP130" i="31"/>
  <c r="AM134" i="31"/>
  <c r="BF142" i="31"/>
  <c r="BC146" i="31"/>
  <c r="U154" i="31"/>
  <c r="J162" i="31"/>
  <c r="AK166" i="31"/>
  <c r="BD174" i="31"/>
  <c r="AE174" i="31"/>
  <c r="AZ178" i="31"/>
  <c r="AA182" i="31"/>
  <c r="AW182" i="31"/>
  <c r="T186" i="31"/>
  <c r="AT186" i="31"/>
  <c r="R190" i="31"/>
  <c r="AN194" i="31"/>
  <c r="BG194" i="31"/>
  <c r="AJ198" i="31"/>
  <c r="J202" i="31"/>
  <c r="AF202" i="31"/>
  <c r="AG206" i="31"/>
  <c r="AG210" i="31"/>
  <c r="AD125" i="31"/>
  <c r="W120" i="31"/>
  <c r="BG116" i="31"/>
  <c r="AT125" i="31"/>
  <c r="J129" i="31"/>
  <c r="Y129" i="31"/>
  <c r="Z137" i="31"/>
  <c r="P145" i="31"/>
  <c r="H157" i="31"/>
  <c r="AP165" i="31"/>
  <c r="AG181" i="31"/>
  <c r="BB150" i="31"/>
  <c r="Y154" i="31"/>
  <c r="AY154" i="31"/>
  <c r="V158" i="31"/>
  <c r="N162" i="31"/>
  <c r="S162" i="31"/>
  <c r="AO166" i="31"/>
  <c r="L170" i="31"/>
  <c r="AL170" i="31"/>
  <c r="I174" i="31"/>
  <c r="AI174" i="31"/>
  <c r="AE182" i="31"/>
  <c r="BA182" i="31"/>
  <c r="X186" i="31"/>
  <c r="AX186" i="31"/>
  <c r="V190" i="31"/>
  <c r="AU194" i="31"/>
  <c r="AZ194" i="31"/>
  <c r="Z202" i="31"/>
  <c r="AK206" i="31"/>
  <c r="AX124" i="31"/>
  <c r="BC116" i="31"/>
  <c r="N129" i="31"/>
  <c r="AP137" i="31"/>
  <c r="X157" i="31"/>
  <c r="K165" i="31"/>
  <c r="AM150" i="31"/>
  <c r="AF158" i="31"/>
  <c r="AN162" i="31"/>
  <c r="AV170" i="31"/>
  <c r="AS174" i="31"/>
  <c r="AO178" i="31"/>
  <c r="AL182" i="31"/>
  <c r="AF190" i="31"/>
  <c r="AO194" i="31"/>
  <c r="Y198" i="31"/>
  <c r="U202" i="31"/>
  <c r="AX210" i="31"/>
  <c r="W119" i="31"/>
  <c r="AY125" i="31"/>
  <c r="AT133" i="31"/>
  <c r="AC137" i="31"/>
  <c r="O157" i="31"/>
  <c r="P193" i="31"/>
  <c r="AW183" i="31"/>
  <c r="AD151" i="31"/>
  <c r="AF147" i="31"/>
  <c r="AJ131" i="31"/>
  <c r="BC208" i="31"/>
  <c r="AK155" i="31"/>
  <c r="V127" i="31"/>
  <c r="R175" i="31"/>
  <c r="AC121" i="31"/>
  <c r="AA188" i="31"/>
  <c r="AQ168" i="31"/>
  <c r="AW160" i="31"/>
  <c r="V132" i="31"/>
  <c r="AP159" i="31"/>
  <c r="AG204" i="31"/>
  <c r="BD176" i="31"/>
  <c r="V156" i="31"/>
  <c r="AJ136" i="31"/>
  <c r="I116" i="31"/>
  <c r="BB184" i="31"/>
  <c r="P171" i="31"/>
  <c r="AZ208" i="31"/>
  <c r="K200" i="31"/>
  <c r="AH143" i="31"/>
  <c r="AI200" i="31"/>
  <c r="M192" i="31"/>
  <c r="AO120" i="31"/>
  <c r="BG176" i="31"/>
  <c r="Z152" i="31"/>
  <c r="AN132" i="31"/>
  <c r="BB116" i="31"/>
  <c r="AD209" i="31"/>
  <c r="J197" i="31"/>
  <c r="Q189" i="31"/>
  <c r="W185" i="31"/>
  <c r="AD173" i="31"/>
  <c r="AA180" i="31"/>
  <c r="H156" i="31"/>
  <c r="Z136" i="31"/>
  <c r="J116" i="31"/>
  <c r="AQ209" i="31"/>
  <c r="R205" i="31"/>
  <c r="AE192" i="31"/>
  <c r="R168" i="31"/>
  <c r="P160" i="31"/>
  <c r="AN148" i="31"/>
  <c r="AH140" i="31"/>
  <c r="AN128" i="31"/>
  <c r="K124" i="31"/>
  <c r="BB118" i="31"/>
  <c r="AV209" i="31"/>
  <c r="U205" i="31"/>
  <c r="BC201" i="31"/>
  <c r="T176" i="31"/>
  <c r="AV132" i="31"/>
  <c r="AX116" i="31"/>
  <c r="AA201" i="31"/>
  <c r="J193" i="31"/>
  <c r="S185" i="31"/>
  <c r="AN177" i="31"/>
  <c r="S169" i="31"/>
  <c r="AR169" i="31"/>
  <c r="AY161" i="31"/>
  <c r="AX148" i="31"/>
  <c r="Z118" i="31"/>
  <c r="AL201" i="31"/>
  <c r="AK193" i="31"/>
  <c r="U147" i="31"/>
  <c r="AS144" i="31"/>
  <c r="AP128" i="31"/>
  <c r="AZ205" i="31"/>
  <c r="S197" i="31"/>
  <c r="AO189" i="31"/>
  <c r="R156" i="31"/>
  <c r="L189" i="31"/>
  <c r="AZ177" i="31"/>
  <c r="AS169" i="31"/>
  <c r="W161" i="31"/>
  <c r="AV161" i="31"/>
  <c r="BC153" i="31"/>
  <c r="BF149" i="31"/>
  <c r="H145" i="31"/>
  <c r="O141" i="31"/>
  <c r="R137" i="31"/>
  <c r="U129" i="31"/>
  <c r="X125" i="31"/>
  <c r="K117" i="31"/>
  <c r="BG121" i="31"/>
  <c r="P210" i="31"/>
  <c r="W206" i="31"/>
  <c r="AS124" i="31"/>
  <c r="BG185" i="31"/>
  <c r="O177" i="31"/>
  <c r="X169" i="31"/>
  <c r="V161" i="31"/>
  <c r="Y157" i="31"/>
  <c r="AB153" i="31"/>
  <c r="K145" i="31"/>
  <c r="N141" i="31"/>
  <c r="AN160" i="31"/>
  <c r="AF189" i="31"/>
  <c r="Y181" i="31"/>
  <c r="AO173" i="31"/>
  <c r="AH165" i="31"/>
  <c r="AZ161" i="31"/>
  <c r="BG153" i="31"/>
  <c r="K149" i="31"/>
  <c r="L145" i="31"/>
  <c r="S141" i="31"/>
  <c r="V137" i="31"/>
  <c r="AL124" i="31"/>
  <c r="T118" i="31"/>
  <c r="AJ115" i="31"/>
  <c r="M126" i="31"/>
  <c r="J134" i="31"/>
  <c r="BF138" i="31"/>
  <c r="BC142" i="31"/>
  <c r="AV146" i="31"/>
  <c r="AU150" i="31"/>
  <c r="AN158" i="31"/>
  <c r="AV162" i="31"/>
  <c r="AH166" i="31"/>
  <c r="AE170" i="31"/>
  <c r="AA178" i="31"/>
  <c r="T182" i="31"/>
  <c r="Q186" i="31"/>
  <c r="O190" i="31"/>
  <c r="K198" i="31"/>
  <c r="BF202" i="31"/>
  <c r="AU206" i="31"/>
  <c r="AA122" i="31"/>
  <c r="AU115" i="31"/>
  <c r="BG125" i="31"/>
  <c r="K133" i="31"/>
  <c r="BA149" i="31"/>
  <c r="AM169" i="31"/>
  <c r="AY150" i="31"/>
  <c r="AR158" i="31"/>
  <c r="AZ162" i="31"/>
  <c r="AL166" i="31"/>
  <c r="AI170" i="31"/>
  <c r="AE178" i="31"/>
  <c r="X182" i="31"/>
  <c r="AX182" i="31"/>
  <c r="AX177" i="31"/>
  <c r="AO211" i="31"/>
  <c r="O195" i="31"/>
  <c r="S167" i="31"/>
  <c r="AG147" i="31"/>
  <c r="AC187" i="31"/>
  <c r="T163" i="31"/>
  <c r="AL143" i="31"/>
  <c r="H163" i="31"/>
  <c r="AP139" i="31"/>
  <c r="AQ127" i="31"/>
  <c r="AW119" i="31"/>
  <c r="AS199" i="31"/>
  <c r="AE163" i="31"/>
  <c r="AS143" i="31"/>
  <c r="S131" i="31"/>
  <c r="U116" i="31"/>
  <c r="AG208" i="31"/>
  <c r="M155" i="31"/>
  <c r="J127" i="31"/>
  <c r="L204" i="31"/>
  <c r="W196" i="31"/>
  <c r="AC184" i="31"/>
  <c r="AM176" i="31"/>
  <c r="AT164" i="31"/>
  <c r="AZ156" i="31"/>
  <c r="I144" i="31"/>
  <c r="S136" i="31"/>
  <c r="R183" i="31"/>
  <c r="BD139" i="31"/>
  <c r="AO118" i="31"/>
  <c r="AD200" i="31"/>
  <c r="AR192" i="31"/>
  <c r="BA180" i="31"/>
  <c r="I172" i="31"/>
  <c r="S160" i="31"/>
  <c r="Y152" i="31"/>
  <c r="AG140" i="31"/>
  <c r="AQ132" i="31"/>
  <c r="R147" i="31"/>
  <c r="AZ200" i="31"/>
  <c r="AV192" i="31"/>
  <c r="BE180" i="31"/>
  <c r="M172" i="31"/>
  <c r="AF151" i="31"/>
  <c r="O123" i="31"/>
  <c r="BF204" i="31"/>
  <c r="O192" i="31"/>
  <c r="T184" i="31"/>
  <c r="P163" i="31"/>
  <c r="AK127" i="31"/>
  <c r="BE204" i="31"/>
  <c r="I196" i="31"/>
  <c r="T188" i="31"/>
  <c r="Y176" i="31"/>
  <c r="BE175" i="31"/>
  <c r="AU188" i="31"/>
  <c r="M168" i="31"/>
  <c r="W156" i="31"/>
  <c r="AM148" i="31"/>
  <c r="AK136" i="31"/>
  <c r="AU128" i="31"/>
  <c r="AD114" i="31"/>
  <c r="Z119" i="31"/>
  <c r="X209" i="31"/>
  <c r="AV205" i="31"/>
  <c r="AE201" i="31"/>
  <c r="AM197" i="31"/>
  <c r="AQ189" i="31"/>
  <c r="AS185" i="31"/>
  <c r="AV181" i="31"/>
  <c r="BC177" i="31"/>
  <c r="BG169" i="31"/>
  <c r="AG196" i="31"/>
  <c r="W168" i="31"/>
  <c r="BD160" i="31"/>
  <c r="AG148" i="31"/>
  <c r="W140" i="31"/>
  <c r="AC128" i="31"/>
  <c r="AE124" i="31"/>
  <c r="AH118" i="31"/>
  <c r="AD124" i="31"/>
  <c r="M209" i="31"/>
  <c r="H205" i="31"/>
  <c r="AS151" i="31"/>
  <c r="W204" i="31"/>
  <c r="AJ184" i="31"/>
  <c r="BA172" i="31"/>
  <c r="AM164" i="31"/>
  <c r="AP160" i="31"/>
  <c r="AS156" i="31"/>
  <c r="AV152" i="31"/>
  <c r="BA144" i="31"/>
  <c r="BD140" i="31"/>
  <c r="H136" i="31"/>
  <c r="O132" i="31"/>
  <c r="AT128" i="31"/>
  <c r="T124" i="31"/>
  <c r="R115" i="31"/>
  <c r="AP117" i="31"/>
  <c r="N120" i="31"/>
  <c r="AL122" i="31"/>
  <c r="AM209" i="31"/>
  <c r="AH209" i="31"/>
  <c r="BF205" i="31"/>
  <c r="Q201" i="31"/>
  <c r="BB201" i="31"/>
  <c r="AC119" i="31"/>
  <c r="X164" i="31"/>
  <c r="AP144" i="31"/>
  <c r="M124" i="31"/>
  <c r="AT121" i="31"/>
  <c r="J205" i="31"/>
  <c r="BE197" i="31"/>
  <c r="AU193" i="31"/>
  <c r="AB193" i="31"/>
  <c r="M189" i="31"/>
  <c r="AZ185" i="31"/>
  <c r="AK181" i="31"/>
  <c r="V177" i="31"/>
  <c r="K177" i="31"/>
  <c r="AR173" i="31"/>
  <c r="BE169" i="31"/>
  <c r="AI165" i="31"/>
  <c r="I165" i="31"/>
  <c r="AT196" i="31"/>
  <c r="U160" i="31"/>
  <c r="AM140" i="31"/>
  <c r="AM124" i="31"/>
  <c r="AX123" i="31"/>
  <c r="M201" i="31"/>
  <c r="AG197" i="31"/>
  <c r="S193" i="31"/>
  <c r="BC189" i="31"/>
  <c r="AN189" i="31"/>
  <c r="BG184" i="31"/>
  <c r="AK156" i="31"/>
  <c r="BC136" i="31"/>
  <c r="V115" i="31"/>
  <c r="AI209" i="31"/>
  <c r="L201" i="31"/>
  <c r="AZ197" i="31"/>
  <c r="AL193" i="31"/>
  <c r="W189" i="31"/>
  <c r="H189" i="31"/>
  <c r="AU185" i="31"/>
  <c r="BF114" i="31"/>
  <c r="AP193" i="31"/>
  <c r="AE185" i="31"/>
  <c r="K181" i="31"/>
  <c r="AU173" i="31"/>
  <c r="AA169" i="31"/>
  <c r="H169" i="31"/>
  <c r="AV165" i="31"/>
  <c r="J161" i="31"/>
  <c r="AM157" i="31"/>
  <c r="M157" i="31"/>
  <c r="AP153" i="31"/>
  <c r="P153" i="31"/>
  <c r="AS149" i="31"/>
  <c r="U145" i="31"/>
  <c r="AX145" i="31"/>
  <c r="X141" i="31"/>
  <c r="BA137" i="31"/>
  <c r="AE137" i="31"/>
  <c r="BD133" i="31"/>
  <c r="AH133" i="31"/>
  <c r="H129" i="31"/>
  <c r="AK125" i="31"/>
  <c r="O125" i="31"/>
  <c r="AY115" i="31"/>
  <c r="W118" i="31"/>
  <c r="AU120" i="31"/>
  <c r="BB123" i="31"/>
  <c r="BF210" i="31"/>
  <c r="AF206" i="31"/>
  <c r="I206" i="31"/>
  <c r="AK164" i="31"/>
  <c r="AT205" i="31"/>
  <c r="Y189" i="31"/>
  <c r="AO181" i="31"/>
  <c r="U177" i="31"/>
  <c r="BA173" i="31"/>
  <c r="J169" i="31"/>
  <c r="AT165" i="31"/>
  <c r="AI161" i="31"/>
  <c r="I161" i="31"/>
  <c r="AL157" i="31"/>
  <c r="L157" i="31"/>
  <c r="AO153" i="31"/>
  <c r="S149" i="31"/>
  <c r="AR149" i="31"/>
  <c r="T145" i="31"/>
  <c r="AW141" i="31"/>
  <c r="AA141" i="31"/>
  <c r="AZ137" i="31"/>
  <c r="AD137" i="31"/>
  <c r="W124" i="31"/>
  <c r="O193" i="31"/>
  <c r="AI185" i="31"/>
  <c r="S181" i="31"/>
  <c r="AY173" i="31"/>
  <c r="AE169" i="31"/>
  <c r="P169" i="31"/>
  <c r="AZ165" i="31"/>
  <c r="N161" i="31"/>
  <c r="AQ157" i="31"/>
  <c r="Q157" i="31"/>
  <c r="AT153" i="31"/>
  <c r="T153" i="31"/>
  <c r="AW149" i="31"/>
  <c r="Y145" i="31"/>
  <c r="BB145" i="31"/>
  <c r="AB141" i="31"/>
  <c r="BE137" i="31"/>
  <c r="AI137" i="31"/>
  <c r="I133" i="31"/>
  <c r="AL133" i="31"/>
  <c r="T122" i="31"/>
  <c r="AJ119" i="31"/>
  <c r="AZ116" i="31"/>
  <c r="T114" i="31"/>
  <c r="BC126" i="31"/>
  <c r="Z130" i="31"/>
  <c r="AV130" i="31"/>
  <c r="W134" i="31"/>
  <c r="AS134" i="31"/>
  <c r="P138" i="31"/>
  <c r="AP142" i="31"/>
  <c r="M142" i="31"/>
  <c r="AM146" i="31"/>
  <c r="H150" i="31"/>
  <c r="AH150" i="31"/>
  <c r="BD154" i="31"/>
  <c r="AE154" i="31"/>
  <c r="BA158" i="31"/>
  <c r="I162" i="31"/>
  <c r="AP162" i="31"/>
  <c r="U166" i="31"/>
  <c r="AU166" i="31"/>
  <c r="R170" i="31"/>
  <c r="AN174" i="31"/>
  <c r="O174" i="31"/>
  <c r="AJ178" i="31"/>
  <c r="K182" i="31"/>
  <c r="AG182" i="31"/>
  <c r="BG186" i="31"/>
  <c r="AD186" i="31"/>
  <c r="BA190" i="31"/>
  <c r="X194" i="31"/>
  <c r="AI194" i="31"/>
  <c r="T198" i="31"/>
  <c r="AT198" i="31"/>
  <c r="P202" i="31"/>
  <c r="M206" i="31"/>
  <c r="I210" i="31"/>
  <c r="AN210" i="31"/>
  <c r="AQ120" i="31"/>
  <c r="AE117" i="31"/>
  <c r="O114" i="31"/>
  <c r="AO125" i="31"/>
  <c r="AZ129" i="31"/>
  <c r="AG133" i="31"/>
  <c r="BF145" i="31"/>
  <c r="AX153" i="31"/>
  <c r="BD165" i="31"/>
  <c r="AA181" i="31"/>
  <c r="AL150" i="31"/>
  <c r="I154" i="31"/>
  <c r="AI154" i="31"/>
  <c r="BE158" i="31"/>
  <c r="M162" i="31"/>
  <c r="AT162" i="31"/>
  <c r="Y166" i="31"/>
  <c r="AY166" i="31"/>
  <c r="V170" i="31"/>
  <c r="AR174" i="31"/>
  <c r="S174" i="31"/>
  <c r="AN178" i="31"/>
  <c r="O182" i="31"/>
  <c r="AK182" i="31"/>
  <c r="H186" i="31"/>
  <c r="AH186" i="31"/>
  <c r="BE190" i="31"/>
  <c r="AB194" i="31"/>
  <c r="AM194" i="31"/>
  <c r="X198" i="31"/>
  <c r="AX198" i="31"/>
  <c r="T202" i="31"/>
  <c r="Q206" i="31"/>
  <c r="Q210" i="31"/>
  <c r="AR210" i="31"/>
  <c r="AM120" i="31"/>
  <c r="W117" i="31"/>
  <c r="K114" i="31"/>
  <c r="AS125" i="31"/>
  <c r="I129" i="31"/>
  <c r="AS133" i="31"/>
  <c r="W145" i="31"/>
  <c r="O153" i="31"/>
  <c r="AC165" i="31"/>
  <c r="AY181" i="31"/>
  <c r="W150" i="31"/>
  <c r="AS154" i="31"/>
  <c r="P158" i="31"/>
  <c r="AP158" i="31"/>
  <c r="T162" i="31"/>
  <c r="AM162" i="31"/>
  <c r="J166" i="31"/>
  <c r="AF170" i="31"/>
  <c r="BF170" i="31"/>
  <c r="AC174" i="31"/>
  <c r="BC174" i="31"/>
  <c r="Y178" i="31"/>
  <c r="AY182" i="31"/>
  <c r="AR186" i="31"/>
  <c r="P190" i="31"/>
  <c r="AP190" i="31"/>
  <c r="Y194" i="31"/>
  <c r="BE194" i="31"/>
  <c r="I198" i="31"/>
  <c r="R202" i="31"/>
  <c r="O206" i="31"/>
  <c r="V123" i="31"/>
  <c r="AA116" i="31"/>
  <c r="AP129" i="31"/>
  <c r="H149" i="31"/>
  <c r="M169" i="31"/>
  <c r="BD191" i="31"/>
  <c r="BG159" i="31"/>
  <c r="AE159" i="31"/>
  <c r="AA127" i="31"/>
  <c r="AX163" i="31"/>
  <c r="BB131" i="31"/>
  <c r="Q208" i="31"/>
  <c r="BC151" i="31"/>
  <c r="BG192" i="31"/>
  <c r="W176" i="31"/>
  <c r="AJ156" i="31"/>
  <c r="BB136" i="31"/>
  <c r="AU139" i="31"/>
  <c r="N200" i="31"/>
  <c r="AK180" i="31"/>
  <c r="BB160" i="31"/>
  <c r="Q140" i="31"/>
  <c r="AU143" i="31"/>
  <c r="P192" i="31"/>
  <c r="BD207" i="31"/>
  <c r="M115" i="31"/>
  <c r="AQ184" i="31"/>
  <c r="AS159" i="31"/>
  <c r="AB196" i="31"/>
  <c r="AR176" i="31"/>
  <c r="R188" i="31"/>
  <c r="AP156" i="31"/>
  <c r="BD136" i="31"/>
  <c r="AT114" i="31"/>
  <c r="H209" i="31"/>
  <c r="W197" i="31"/>
  <c r="AC185" i="31"/>
  <c r="AM177" i="31"/>
  <c r="K196" i="31"/>
  <c r="X160" i="31"/>
  <c r="AP140" i="31"/>
  <c r="O124" i="31"/>
  <c r="AZ209" i="31"/>
  <c r="AP205" i="31"/>
  <c r="N180" i="31"/>
  <c r="BF164" i="31"/>
  <c r="M156" i="31"/>
  <c r="U144" i="31"/>
  <c r="AE136" i="31"/>
  <c r="AD128" i="31"/>
  <c r="AH115" i="31"/>
  <c r="AD120" i="31"/>
  <c r="AW205" i="31"/>
  <c r="AJ205" i="31"/>
  <c r="AX201" i="31"/>
  <c r="BA160" i="31"/>
  <c r="BC124" i="31"/>
  <c r="U201" i="31"/>
  <c r="H193" i="31"/>
  <c r="AR189" i="31"/>
  <c r="Q181" i="31"/>
  <c r="AM173" i="31"/>
  <c r="AO169" i="31"/>
  <c r="AG188" i="31"/>
  <c r="M136" i="31"/>
  <c r="L209" i="31"/>
  <c r="I197" i="31"/>
  <c r="AI189" i="31"/>
  <c r="AG176" i="31"/>
  <c r="AC132" i="31"/>
  <c r="AI201" i="31"/>
  <c r="R193" i="31"/>
  <c r="AL185" i="31"/>
  <c r="BB119" i="31"/>
  <c r="BB181" i="31"/>
  <c r="O173" i="31"/>
  <c r="AQ165" i="31"/>
  <c r="AS161" i="31"/>
  <c r="AV157" i="31"/>
  <c r="BC149" i="31"/>
  <c r="AH145" i="31"/>
  <c r="AK137" i="31"/>
  <c r="AN133" i="31"/>
  <c r="AU129" i="31"/>
  <c r="AX125" i="31"/>
  <c r="AM118" i="31"/>
  <c r="N125" i="31"/>
  <c r="P206" i="31"/>
  <c r="AU152" i="31"/>
  <c r="AT185" i="31"/>
  <c r="AR177" i="31"/>
  <c r="AK169" i="31"/>
  <c r="S161" i="31"/>
  <c r="V157" i="31"/>
  <c r="Y153" i="31"/>
  <c r="AB149" i="31"/>
  <c r="AG141" i="31"/>
  <c r="N137" i="31"/>
  <c r="AC193" i="31"/>
  <c r="AL177" i="31"/>
  <c r="W173" i="31"/>
  <c r="AU165" i="31"/>
  <c r="AW161" i="31"/>
  <c r="AA157" i="31"/>
  <c r="AD153" i="31"/>
  <c r="BG149" i="31"/>
  <c r="I145" i="31"/>
  <c r="L141" i="31"/>
  <c r="AO137" i="31"/>
  <c r="AR133" i="31"/>
  <c r="V133" i="31"/>
  <c r="T119" i="31"/>
  <c r="AU122" i="31"/>
  <c r="P126" i="31"/>
  <c r="M130" i="31"/>
  <c r="J138" i="31"/>
  <c r="AF138" i="31"/>
  <c r="AC142" i="31"/>
  <c r="X150" i="31"/>
  <c r="AX150" i="31"/>
  <c r="AU154" i="31"/>
  <c r="R158" i="31"/>
  <c r="BF162" i="31"/>
  <c r="H170" i="31"/>
  <c r="AH170" i="31"/>
  <c r="BD178" i="31"/>
  <c r="AN198" i="31"/>
  <c r="AJ202" i="31"/>
  <c r="AK210" i="31"/>
  <c r="S120" i="31"/>
  <c r="BB125" i="31"/>
  <c r="AC129" i="31"/>
  <c r="AF145" i="31"/>
  <c r="N181" i="31"/>
  <c r="J154" i="31"/>
  <c r="BF158" i="31"/>
  <c r="BC162" i="31"/>
  <c r="Z166" i="31"/>
  <c r="W170" i="31"/>
  <c r="S178" i="31"/>
  <c r="L182" i="31"/>
  <c r="I186" i="31"/>
  <c r="BF190" i="31"/>
  <c r="BB194" i="31"/>
  <c r="AL202" i="31"/>
  <c r="AI206" i="31"/>
  <c r="AI122" i="31"/>
  <c r="BG115" i="31"/>
  <c r="K129" i="31"/>
  <c r="U149" i="31"/>
  <c r="AT169" i="31"/>
  <c r="BG166" i="31"/>
  <c r="AV199" i="31"/>
  <c r="Y159" i="31"/>
  <c r="AQ139" i="31"/>
  <c r="N171" i="31"/>
  <c r="BD187" i="31"/>
  <c r="BA114" i="31"/>
  <c r="AE175" i="31"/>
  <c r="L135" i="31"/>
  <c r="Q121" i="31"/>
  <c r="BC135" i="31"/>
  <c r="AH200" i="31"/>
  <c r="AF180" i="31"/>
  <c r="BG148" i="31"/>
  <c r="L140" i="31"/>
  <c r="AV127" i="31"/>
  <c r="AN196" i="31"/>
  <c r="AX184" i="31"/>
  <c r="L168" i="31"/>
  <c r="AD148" i="31"/>
  <c r="AL203" i="31"/>
  <c r="AR196" i="31"/>
  <c r="I176" i="31"/>
  <c r="AK131" i="31"/>
  <c r="AW188" i="31"/>
  <c r="U187" i="31"/>
  <c r="BA117" i="31"/>
  <c r="V180" i="31"/>
  <c r="AC172" i="31"/>
  <c r="P164" i="31"/>
  <c r="AH144" i="31"/>
  <c r="I124" i="31"/>
  <c r="AX121" i="31"/>
  <c r="BE201" i="31"/>
  <c r="N193" i="31"/>
  <c r="Z177" i="31"/>
  <c r="AH131" i="31"/>
  <c r="BA164" i="31"/>
  <c r="P144" i="31"/>
  <c r="BA124" i="31"/>
  <c r="BF120" i="31"/>
  <c r="AR205" i="31"/>
  <c r="AU123" i="31"/>
  <c r="AW176" i="31"/>
  <c r="M164" i="31"/>
  <c r="W152" i="31"/>
  <c r="AE144" i="31"/>
  <c r="AK132" i="31"/>
  <c r="AG124" i="31"/>
  <c r="AD116" i="31"/>
  <c r="Z121" i="31"/>
  <c r="Y209" i="31"/>
  <c r="AD205" i="31"/>
  <c r="AH197" i="31"/>
  <c r="AH152" i="31"/>
  <c r="AT209" i="31"/>
  <c r="X197" i="31"/>
  <c r="AX189" i="31"/>
  <c r="AH185" i="31"/>
  <c r="BG181" i="31"/>
  <c r="Z173" i="31"/>
  <c r="V165" i="31"/>
  <c r="AU168" i="31"/>
  <c r="AS128" i="31"/>
  <c r="BC205" i="31"/>
  <c r="AY197" i="31"/>
  <c r="V189" i="31"/>
  <c r="AE164" i="31"/>
  <c r="R120" i="31"/>
  <c r="AT197" i="31"/>
  <c r="BD193" i="31"/>
  <c r="Y185" i="31"/>
  <c r="T201" i="31"/>
  <c r="U181" i="31"/>
  <c r="AC173" i="31"/>
  <c r="AD165" i="31"/>
  <c r="Z157" i="31"/>
  <c r="AC153" i="31"/>
  <c r="AF149" i="31"/>
  <c r="AK141" i="31"/>
  <c r="AN137" i="31"/>
  <c r="AU133" i="31"/>
  <c r="AX129" i="31"/>
  <c r="AM114" i="31"/>
  <c r="AI119" i="31"/>
  <c r="AC210" i="31"/>
  <c r="AW202" i="31"/>
  <c r="BC193" i="31"/>
  <c r="AE181" i="31"/>
  <c r="AU169" i="31"/>
  <c r="M165" i="31"/>
  <c r="AY157" i="31"/>
  <c r="BB153" i="31"/>
  <c r="BE149" i="31"/>
  <c r="AG145" i="31"/>
  <c r="AJ141" i="31"/>
  <c r="AQ137" i="31"/>
  <c r="AZ201" i="31"/>
  <c r="BD177" i="31"/>
  <c r="AW169" i="31"/>
  <c r="AA161" i="31"/>
  <c r="AD157" i="31"/>
  <c r="AG153" i="31"/>
  <c r="AJ149" i="31"/>
  <c r="AO141" i="31"/>
  <c r="AR137" i="31"/>
  <c r="AY133" i="31"/>
  <c r="AZ120" i="31"/>
  <c r="AP126" i="31"/>
  <c r="AM130" i="31"/>
  <c r="AF134" i="31"/>
  <c r="AC138" i="31"/>
  <c r="Z146" i="31"/>
  <c r="U150" i="31"/>
  <c r="R154" i="31"/>
  <c r="O158" i="31"/>
  <c r="H166" i="31"/>
  <c r="BD170" i="31"/>
  <c r="BA174" i="31"/>
  <c r="AW178" i="31"/>
  <c r="AT182" i="31"/>
  <c r="AN190" i="31"/>
  <c r="J194" i="31"/>
  <c r="AG198" i="31"/>
  <c r="AC202" i="31"/>
  <c r="K210" i="31"/>
  <c r="K119" i="31"/>
  <c r="W129" i="31"/>
  <c r="J141" i="31"/>
  <c r="AU157" i="31"/>
  <c r="AI193" i="31"/>
  <c r="V154" i="31"/>
  <c r="S158" i="31"/>
  <c r="L166" i="31"/>
  <c r="I170" i="31"/>
  <c r="BE174" i="31"/>
  <c r="BA178" i="31"/>
  <c r="U186" i="31"/>
  <c r="AR190" i="31"/>
  <c r="AK198" i="31"/>
  <c r="O210" i="31"/>
  <c r="L125" i="31"/>
  <c r="R149" i="31"/>
  <c r="AF154" i="31"/>
  <c r="BA162" i="31"/>
  <c r="P174" i="31"/>
  <c r="I182" i="31"/>
  <c r="BC190" i="31"/>
  <c r="AU202" i="31"/>
  <c r="W121" i="31"/>
  <c r="T129" i="31"/>
  <c r="AX161" i="31"/>
  <c r="N194" i="31"/>
  <c r="BG118" i="31"/>
  <c r="L173" i="31"/>
  <c r="L178" i="31"/>
  <c r="AY198" i="31"/>
  <c r="AU114" i="31"/>
  <c r="AC140" i="31"/>
  <c r="O198" i="31"/>
  <c r="Z141" i="31"/>
  <c r="BC158" i="31"/>
  <c r="AL178" i="31"/>
  <c r="AC190" i="31"/>
  <c r="H210" i="31"/>
  <c r="BD153" i="31"/>
  <c r="S190" i="31"/>
  <c r="K202" i="31"/>
  <c r="S122" i="31"/>
  <c r="AA129" i="31"/>
  <c r="H161" i="31"/>
  <c r="BF154" i="31"/>
  <c r="AV166" i="31"/>
  <c r="AP174" i="31"/>
  <c r="AI186" i="31"/>
  <c r="K194" i="31"/>
  <c r="V206" i="31"/>
  <c r="K118" i="31"/>
  <c r="AJ133" i="31"/>
  <c r="H177" i="31"/>
  <c r="AK202" i="31"/>
  <c r="W133" i="31"/>
  <c r="AC158" i="31"/>
  <c r="W166" i="31"/>
  <c r="BE186" i="31"/>
  <c r="AR206" i="31"/>
  <c r="M141" i="31"/>
  <c r="AY206" i="31"/>
  <c r="AQ115" i="31"/>
  <c r="L197" i="31"/>
  <c r="AS170" i="31"/>
  <c r="V198" i="31"/>
  <c r="I125" i="31"/>
  <c r="D9" i="30"/>
  <c r="E9" i="30"/>
  <c r="B10" i="30"/>
  <c r="A10" i="30" s="1"/>
  <c r="C15" i="17"/>
  <c r="J13" i="39" s="1"/>
  <c r="B15" i="17"/>
  <c r="I13" i="39" s="1"/>
  <c r="A56" i="26"/>
  <c r="A55" i="26"/>
  <c r="A57" i="26"/>
  <c r="E4" i="17"/>
  <c r="A69" i="26"/>
  <c r="A70" i="26"/>
  <c r="A71" i="26"/>
  <c r="A72" i="26"/>
  <c r="A73" i="26"/>
  <c r="A74" i="26"/>
  <c r="A75" i="26"/>
  <c r="A76" i="26"/>
  <c r="A77" i="26"/>
  <c r="A68" i="26"/>
  <c r="DN42" i="6" l="1"/>
  <c r="DM41" i="6"/>
  <c r="E143" i="24"/>
  <c r="E200" i="24"/>
  <c r="E205" i="24"/>
  <c r="E183" i="24"/>
  <c r="E180" i="24"/>
  <c r="E207" i="24"/>
  <c r="E177" i="24"/>
  <c r="E153" i="24"/>
  <c r="E142" i="24"/>
  <c r="E159" i="24"/>
  <c r="E201" i="24"/>
  <c r="E151" i="24"/>
  <c r="E188" i="24"/>
  <c r="E164" i="24"/>
  <c r="E173" i="24"/>
  <c r="E212" i="24"/>
  <c r="E140" i="24"/>
  <c r="E134" i="24"/>
  <c r="E128" i="24"/>
  <c r="E136" i="24"/>
  <c r="E208" i="24"/>
  <c r="E218" i="24"/>
  <c r="E144" i="24"/>
  <c r="E138" i="24"/>
  <c r="E223" i="24"/>
  <c r="E165" i="24"/>
  <c r="E191" i="24"/>
  <c r="E135" i="24"/>
  <c r="E193" i="24"/>
  <c r="E172" i="24"/>
  <c r="E204" i="24"/>
  <c r="E169" i="24"/>
  <c r="E176" i="24"/>
  <c r="E187" i="24"/>
  <c r="E147" i="24"/>
  <c r="E163" i="24"/>
  <c r="E211" i="24"/>
  <c r="E141" i="24"/>
  <c r="E162" i="24"/>
  <c r="E132" i="24"/>
  <c r="E209" i="24"/>
  <c r="E148" i="24"/>
  <c r="E189" i="24"/>
  <c r="E219" i="24"/>
  <c r="E206" i="24"/>
  <c r="E158" i="24"/>
  <c r="E182" i="24"/>
  <c r="E157" i="24"/>
  <c r="E139" i="24"/>
  <c r="E203" i="24"/>
  <c r="E215" i="24"/>
  <c r="E220" i="24"/>
  <c r="E217" i="24"/>
  <c r="E181" i="24"/>
  <c r="E156" i="24"/>
  <c r="E150" i="24"/>
  <c r="E174" i="24"/>
  <c r="E129" i="24"/>
  <c r="E161" i="24"/>
  <c r="E222" i="24"/>
  <c r="E160" i="24"/>
  <c r="E197" i="24"/>
  <c r="E216" i="24"/>
  <c r="E221" i="24"/>
  <c r="E195" i="24"/>
  <c r="E186" i="24"/>
  <c r="E155" i="24"/>
  <c r="E178" i="24"/>
  <c r="E130" i="24"/>
  <c r="E154" i="24"/>
  <c r="E167" i="24"/>
  <c r="E198" i="24"/>
  <c r="E214" i="24"/>
  <c r="E184" i="24"/>
  <c r="E179" i="24"/>
  <c r="E171" i="24"/>
  <c r="E192" i="24"/>
  <c r="E202" i="24"/>
  <c r="E175" i="24"/>
  <c r="E145" i="24"/>
  <c r="E199" i="24"/>
  <c r="E185" i="24"/>
  <c r="E137" i="24"/>
  <c r="E131" i="24"/>
  <c r="E210" i="24"/>
  <c r="E194" i="24"/>
  <c r="E133" i="24"/>
  <c r="E168" i="24"/>
  <c r="E213" i="24"/>
  <c r="E196" i="24"/>
  <c r="E166" i="24"/>
  <c r="E190" i="24"/>
  <c r="E149" i="24"/>
  <c r="E152" i="24"/>
  <c r="E146" i="24"/>
  <c r="E170" i="24"/>
  <c r="E122" i="24"/>
  <c r="E89" i="24"/>
  <c r="E73" i="24"/>
  <c r="E62" i="24"/>
  <c r="E41" i="24"/>
  <c r="E53" i="24"/>
  <c r="E66" i="24"/>
  <c r="E37" i="24"/>
  <c r="E94" i="24"/>
  <c r="E104" i="24"/>
  <c r="E49" i="24"/>
  <c r="E52" i="24"/>
  <c r="E84" i="24"/>
  <c r="E71" i="24"/>
  <c r="E29" i="24"/>
  <c r="E119" i="24"/>
  <c r="E78" i="24"/>
  <c r="E82" i="24"/>
  <c r="E61" i="24"/>
  <c r="E48" i="24"/>
  <c r="E40" i="24"/>
  <c r="E102" i="24"/>
  <c r="E100" i="24"/>
  <c r="E79" i="24"/>
  <c r="E108" i="24"/>
  <c r="E87" i="24"/>
  <c r="E95" i="24"/>
  <c r="E31" i="24"/>
  <c r="E30" i="24"/>
  <c r="E34" i="24"/>
  <c r="E32" i="24"/>
  <c r="E105" i="24"/>
  <c r="E121" i="24"/>
  <c r="E68" i="24"/>
  <c r="E55" i="24"/>
  <c r="E36" i="24"/>
  <c r="E120" i="24"/>
  <c r="E123" i="24"/>
  <c r="E91" i="24"/>
  <c r="E115" i="24"/>
  <c r="E46" i="24"/>
  <c r="E38" i="24"/>
  <c r="E110" i="24"/>
  <c r="E85" i="24"/>
  <c r="E63" i="24"/>
  <c r="E70" i="24"/>
  <c r="E35" i="24"/>
  <c r="E116" i="24"/>
  <c r="E50" i="24"/>
  <c r="E65" i="24"/>
  <c r="E27" i="24"/>
  <c r="E26" i="24"/>
  <c r="E28" i="24"/>
  <c r="E117" i="24"/>
  <c r="E64" i="24"/>
  <c r="E44" i="24"/>
  <c r="E33" i="24"/>
  <c r="E45" i="24"/>
  <c r="E80" i="24"/>
  <c r="E90" i="24"/>
  <c r="E47" i="24"/>
  <c r="E88" i="24"/>
  <c r="E92" i="24"/>
  <c r="E112" i="24"/>
  <c r="E54" i="24"/>
  <c r="E60" i="24"/>
  <c r="E99" i="24"/>
  <c r="E106" i="24"/>
  <c r="E96" i="24"/>
  <c r="E109" i="24"/>
  <c r="E97" i="24"/>
  <c r="E76" i="24"/>
  <c r="E42" i="24"/>
  <c r="E98" i="24"/>
  <c r="E57" i="24"/>
  <c r="E69" i="24"/>
  <c r="E59" i="24"/>
  <c r="E114" i="24"/>
  <c r="E93" i="24"/>
  <c r="E56" i="24"/>
  <c r="E86" i="24"/>
  <c r="E39" i="24"/>
  <c r="E113" i="24"/>
  <c r="E43" i="24"/>
  <c r="E107" i="24"/>
  <c r="E111" i="24"/>
  <c r="E118" i="24"/>
  <c r="E58" i="24"/>
  <c r="E81" i="24"/>
  <c r="E101" i="24"/>
  <c r="E75" i="24"/>
  <c r="E51" i="24"/>
  <c r="E74" i="24"/>
  <c r="E72" i="24"/>
  <c r="E77" i="24"/>
  <c r="E67" i="24"/>
  <c r="E83" i="24"/>
  <c r="E103" i="24"/>
  <c r="B16" i="17"/>
  <c r="I14" i="39" s="1"/>
  <c r="C16" i="17"/>
  <c r="J14" i="39" s="1"/>
  <c r="F10" i="30"/>
  <c r="BO3" i="31" s="1"/>
  <c r="BO110" i="31" s="1"/>
  <c r="K13" i="39"/>
  <c r="A17" i="17"/>
  <c r="H15" i="39" s="1"/>
  <c r="D16" i="17"/>
  <c r="K14" i="39" s="1"/>
  <c r="D10" i="30"/>
  <c r="E10" i="30"/>
  <c r="B11" i="30"/>
  <c r="C55" i="26"/>
  <c r="C56" i="26"/>
  <c r="C57" i="26"/>
  <c r="B55" i="26"/>
  <c r="L55" i="26" s="1"/>
  <c r="B56" i="26"/>
  <c r="L56" i="26" s="1"/>
  <c r="B57" i="26"/>
  <c r="L57" i="26" s="1"/>
  <c r="A8" i="28"/>
  <c r="A7" i="28"/>
  <c r="A6" i="28"/>
  <c r="C20" i="25"/>
  <c r="DN43" i="6" l="1"/>
  <c r="DM42" i="6"/>
  <c r="F11" i="30"/>
  <c r="BP3" i="31" s="1"/>
  <c r="BP110" i="31" s="1"/>
  <c r="A11" i="30"/>
  <c r="M55" i="26"/>
  <c r="A18" i="17"/>
  <c r="H16" i="39" s="1"/>
  <c r="D17" i="17"/>
  <c r="B17" i="17"/>
  <c r="I15" i="39" s="1"/>
  <c r="C17" i="17"/>
  <c r="J15" i="39" s="1"/>
  <c r="M56" i="26"/>
  <c r="M57" i="26"/>
  <c r="D11" i="30"/>
  <c r="E11" i="30"/>
  <c r="B12" i="30"/>
  <c r="A12" i="30" s="1"/>
  <c r="A27" i="11"/>
  <c r="A10" i="11"/>
  <c r="DN44" i="6" l="1"/>
  <c r="DM43" i="6"/>
  <c r="F12" i="30"/>
  <c r="BQ3" i="31" s="1"/>
  <c r="BQ110" i="31" s="1"/>
  <c r="K15" i="39"/>
  <c r="A19" i="17"/>
  <c r="H17" i="39" s="1"/>
  <c r="D18" i="17"/>
  <c r="B18" i="17"/>
  <c r="I16" i="39" s="1"/>
  <c r="C18" i="17"/>
  <c r="J16" i="39" s="1"/>
  <c r="D12" i="30"/>
  <c r="E12" i="30"/>
  <c r="B13" i="30"/>
  <c r="B6" i="26"/>
  <c r="B7" i="26"/>
  <c r="B8" i="26"/>
  <c r="B9" i="26"/>
  <c r="B10" i="26"/>
  <c r="B11" i="26"/>
  <c r="B12" i="26"/>
  <c r="B13" i="26"/>
  <c r="B14" i="26"/>
  <c r="B5" i="26"/>
  <c r="DN45" i="6" l="1"/>
  <c r="DM44" i="6"/>
  <c r="F13" i="30"/>
  <c r="BR3" i="31" s="1"/>
  <c r="BR110" i="31" s="1"/>
  <c r="A13" i="30"/>
  <c r="K16" i="39"/>
  <c r="A20" i="17"/>
  <c r="H18" i="39" s="1"/>
  <c r="D19" i="17"/>
  <c r="B19" i="17"/>
  <c r="I17" i="39" s="1"/>
  <c r="C19" i="17"/>
  <c r="J17" i="39" s="1"/>
  <c r="D13" i="30"/>
  <c r="E13" i="30"/>
  <c r="B14" i="30"/>
  <c r="D5" i="26"/>
  <c r="H6" i="26"/>
  <c r="H7" i="26"/>
  <c r="H8" i="26"/>
  <c r="H9" i="26"/>
  <c r="H10" i="26"/>
  <c r="H11" i="26"/>
  <c r="H12" i="26"/>
  <c r="H13" i="26"/>
  <c r="H14" i="26"/>
  <c r="H5" i="26"/>
  <c r="F6" i="26"/>
  <c r="F7" i="26"/>
  <c r="F8" i="26"/>
  <c r="F9" i="26"/>
  <c r="F10" i="26"/>
  <c r="F11" i="26"/>
  <c r="F12" i="26"/>
  <c r="F13" i="26"/>
  <c r="F14" i="26"/>
  <c r="F5" i="26"/>
  <c r="D6" i="26"/>
  <c r="D7" i="26"/>
  <c r="D8" i="26"/>
  <c r="D9" i="26"/>
  <c r="D10" i="26"/>
  <c r="D11" i="26"/>
  <c r="D12" i="26"/>
  <c r="D13" i="26"/>
  <c r="D14" i="26"/>
  <c r="A25" i="25"/>
  <c r="A10" i="25"/>
  <c r="A11" i="25"/>
  <c r="A12" i="25"/>
  <c r="A13" i="25"/>
  <c r="A14" i="25"/>
  <c r="A15" i="25"/>
  <c r="A16" i="25"/>
  <c r="A17" i="25"/>
  <c r="A18" i="25"/>
  <c r="A9" i="25"/>
  <c r="DN46" i="6" l="1"/>
  <c r="DM45" i="6"/>
  <c r="F14" i="30"/>
  <c r="BS3" i="31" s="1"/>
  <c r="BS110" i="31" s="1"/>
  <c r="A14" i="30"/>
  <c r="K17" i="39"/>
  <c r="A21" i="17"/>
  <c r="H19" i="39" s="1"/>
  <c r="D20" i="17"/>
  <c r="B20" i="17"/>
  <c r="I18" i="39" s="1"/>
  <c r="C20" i="17"/>
  <c r="J18" i="39" s="1"/>
  <c r="D14" i="30"/>
  <c r="E14" i="30"/>
  <c r="B15" i="30"/>
  <c r="A15" i="30" s="1"/>
  <c r="DN47" i="6" l="1"/>
  <c r="DM46" i="6"/>
  <c r="K18" i="39"/>
  <c r="F15" i="30"/>
  <c r="BT3" i="31" s="1"/>
  <c r="BT110" i="31" s="1"/>
  <c r="A22" i="17"/>
  <c r="H20" i="39" s="1"/>
  <c r="D21" i="17"/>
  <c r="K19" i="39" s="1"/>
  <c r="C21" i="17"/>
  <c r="J19" i="39" s="1"/>
  <c r="B21" i="17"/>
  <c r="I19" i="39" s="1"/>
  <c r="D15" i="30"/>
  <c r="E15" i="30"/>
  <c r="B16" i="30"/>
  <c r="A16" i="30" s="1"/>
  <c r="DN48" i="6" l="1"/>
  <c r="DM47" i="6"/>
  <c r="F16" i="30"/>
  <c r="BU3" i="31" s="1"/>
  <c r="BU110" i="31" s="1"/>
  <c r="A23" i="17"/>
  <c r="H21" i="39" s="1"/>
  <c r="D22" i="17"/>
  <c r="K20" i="39" s="1"/>
  <c r="C22" i="17"/>
  <c r="J20" i="39" s="1"/>
  <c r="B22" i="17"/>
  <c r="I20" i="39" s="1"/>
  <c r="D16" i="30"/>
  <c r="E16" i="30"/>
  <c r="B17" i="30"/>
  <c r="A17" i="30" s="1"/>
  <c r="I97" i="3"/>
  <c r="I98" i="3"/>
  <c r="I99" i="3"/>
  <c r="I100" i="3"/>
  <c r="I101" i="3"/>
  <c r="I102" i="3"/>
  <c r="I103" i="3"/>
  <c r="I104" i="3"/>
  <c r="I105" i="3"/>
  <c r="I106" i="3"/>
  <c r="I107" i="3"/>
  <c r="I108" i="3"/>
  <c r="I109" i="3"/>
  <c r="I110" i="3"/>
  <c r="I111" i="3"/>
  <c r="I112" i="3"/>
  <c r="I113" i="3"/>
  <c r="I114" i="3"/>
  <c r="I115" i="3"/>
  <c r="I116" i="3"/>
  <c r="I117" i="3"/>
  <c r="I118" i="3"/>
  <c r="I119" i="3"/>
  <c r="I120" i="3"/>
  <c r="I121" i="3"/>
  <c r="I122" i="3"/>
  <c r="I123" i="3"/>
  <c r="I124" i="3"/>
  <c r="I125" i="3"/>
  <c r="I126" i="3"/>
  <c r="I127" i="3"/>
  <c r="I128" i="3"/>
  <c r="I129" i="3"/>
  <c r="I130" i="3"/>
  <c r="DN49" i="6" l="1"/>
  <c r="DM48" i="6"/>
  <c r="F17" i="30"/>
  <c r="BV3" i="31" s="1"/>
  <c r="BV110" i="31" s="1"/>
  <c r="A24" i="17"/>
  <c r="H22" i="39" s="1"/>
  <c r="D23" i="17"/>
  <c r="C23" i="17"/>
  <c r="J21" i="39" s="1"/>
  <c r="B23" i="17"/>
  <c r="I21" i="39" s="1"/>
  <c r="D17" i="30"/>
  <c r="E17" i="30"/>
  <c r="B18" i="30"/>
  <c r="A18" i="30" s="1"/>
  <c r="K21" i="39" l="1"/>
  <c r="DN50" i="6"/>
  <c r="DM49" i="6"/>
  <c r="F18" i="30"/>
  <c r="BW3" i="31" s="1"/>
  <c r="BW110" i="31" s="1"/>
  <c r="A25" i="17"/>
  <c r="H23" i="39" s="1"/>
  <c r="D24" i="17"/>
  <c r="C24" i="17"/>
  <c r="J22" i="39" s="1"/>
  <c r="B24" i="17"/>
  <c r="I22" i="39" s="1"/>
  <c r="D18" i="30"/>
  <c r="E18" i="30"/>
  <c r="B19" i="30"/>
  <c r="A19" i="30" s="1"/>
  <c r="K22" i="39" l="1"/>
  <c r="DN51" i="6"/>
  <c r="DM50" i="6"/>
  <c r="F19" i="30"/>
  <c r="BX3" i="31" s="1"/>
  <c r="BX110" i="31" s="1"/>
  <c r="A26" i="17"/>
  <c r="H24" i="39" s="1"/>
  <c r="D25" i="17"/>
  <c r="C25" i="17"/>
  <c r="J23" i="39" s="1"/>
  <c r="B25" i="17"/>
  <c r="I23" i="39" s="1"/>
  <c r="M16" i="20"/>
  <c r="D19" i="30"/>
  <c r="E19" i="30"/>
  <c r="B20" i="30"/>
  <c r="A20" i="30" s="1"/>
  <c r="K23" i="39" l="1"/>
  <c r="DN52" i="6"/>
  <c r="DM51" i="6"/>
  <c r="F20" i="30"/>
  <c r="BY3" i="31" s="1"/>
  <c r="BY110" i="31" s="1"/>
  <c r="BH116" i="31"/>
  <c r="BH124" i="31"/>
  <c r="G130" i="32" s="1"/>
  <c r="BH132" i="31"/>
  <c r="BH140" i="31"/>
  <c r="BH148" i="31"/>
  <c r="G154" i="32" s="1"/>
  <c r="BH156" i="31"/>
  <c r="G162" i="32" s="1"/>
  <c r="BH164" i="31"/>
  <c r="G170" i="32" s="1"/>
  <c r="BH172" i="31"/>
  <c r="G178" i="32" s="1"/>
  <c r="BH180" i="31"/>
  <c r="BH188" i="31"/>
  <c r="BH196" i="31"/>
  <c r="BH204" i="31"/>
  <c r="BH149" i="31"/>
  <c r="G155" i="32" s="1"/>
  <c r="BH181" i="31"/>
  <c r="G187" i="32" s="1"/>
  <c r="BH205" i="31"/>
  <c r="G211" i="32" s="1"/>
  <c r="BH131" i="31"/>
  <c r="G137" i="32" s="1"/>
  <c r="BH171" i="31"/>
  <c r="BH195" i="31"/>
  <c r="G201" i="32" s="1"/>
  <c r="BH117" i="31"/>
  <c r="BH125" i="31"/>
  <c r="G131" i="32" s="1"/>
  <c r="BH133" i="31"/>
  <c r="G139" i="32" s="1"/>
  <c r="BH141" i="31"/>
  <c r="G147" i="32" s="1"/>
  <c r="BH157" i="31"/>
  <c r="G163" i="32" s="1"/>
  <c r="BH165" i="31"/>
  <c r="BH173" i="31"/>
  <c r="BH189" i="31"/>
  <c r="BH197" i="31"/>
  <c r="BH120" i="31"/>
  <c r="BH128" i="31"/>
  <c r="G134" i="32" s="1"/>
  <c r="BH136" i="31"/>
  <c r="G142" i="32" s="1"/>
  <c r="BH144" i="31"/>
  <c r="G150" i="32" s="1"/>
  <c r="BH152" i="31"/>
  <c r="BH160" i="31"/>
  <c r="BH168" i="31"/>
  <c r="BH176" i="31"/>
  <c r="BH184" i="31"/>
  <c r="BH192" i="31"/>
  <c r="G198" i="32" s="1"/>
  <c r="BH200" i="31"/>
  <c r="G206" i="32" s="1"/>
  <c r="BH208" i="31"/>
  <c r="G214" i="32" s="1"/>
  <c r="BH118" i="31"/>
  <c r="G124" i="32" s="1"/>
  <c r="BH126" i="31"/>
  <c r="G132" i="32" s="1"/>
  <c r="BH134" i="31"/>
  <c r="BH142" i="31"/>
  <c r="BH150" i="31"/>
  <c r="G156" i="32" s="1"/>
  <c r="BH158" i="31"/>
  <c r="G164" i="32" s="1"/>
  <c r="BH166" i="31"/>
  <c r="G172" i="32" s="1"/>
  <c r="BH174" i="31"/>
  <c r="G180" i="32" s="1"/>
  <c r="BH182" i="31"/>
  <c r="G188" i="32" s="1"/>
  <c r="BH190" i="31"/>
  <c r="G196" i="32" s="1"/>
  <c r="BH198" i="31"/>
  <c r="BH206" i="31"/>
  <c r="BH119" i="31"/>
  <c r="G125" i="32" s="1"/>
  <c r="BH127" i="31"/>
  <c r="G133" i="32" s="1"/>
  <c r="BH135" i="31"/>
  <c r="G141" i="32" s="1"/>
  <c r="BH143" i="31"/>
  <c r="G149" i="32" s="1"/>
  <c r="BH151" i="31"/>
  <c r="G157" i="32" s="1"/>
  <c r="BH159" i="31"/>
  <c r="G165" i="32" s="1"/>
  <c r="BH167" i="31"/>
  <c r="G173" i="32" s="1"/>
  <c r="BH175" i="31"/>
  <c r="BH183" i="31"/>
  <c r="G189" i="32" s="1"/>
  <c r="BH191" i="31"/>
  <c r="G197" i="32" s="1"/>
  <c r="BH199" i="31"/>
  <c r="G205" i="32" s="1"/>
  <c r="BH207" i="31"/>
  <c r="G213" i="32" s="1"/>
  <c r="BH139" i="31"/>
  <c r="BH179" i="31"/>
  <c r="BH203" i="31"/>
  <c r="BH121" i="31"/>
  <c r="G127" i="32" s="1"/>
  <c r="BH129" i="31"/>
  <c r="BH137" i="31"/>
  <c r="G143" i="32" s="1"/>
  <c r="BH145" i="31"/>
  <c r="G151" i="32" s="1"/>
  <c r="BH153" i="31"/>
  <c r="G159" i="32" s="1"/>
  <c r="BH161" i="31"/>
  <c r="G167" i="32" s="1"/>
  <c r="BH169" i="31"/>
  <c r="G175" i="32" s="1"/>
  <c r="BH177" i="31"/>
  <c r="BH185" i="31"/>
  <c r="BH193" i="31"/>
  <c r="BH201" i="31"/>
  <c r="G207" i="32" s="1"/>
  <c r="BH209" i="31"/>
  <c r="G215" i="32" s="1"/>
  <c r="BH162" i="31"/>
  <c r="G168" i="32" s="1"/>
  <c r="BH186" i="31"/>
  <c r="G192" i="32" s="1"/>
  <c r="BH202" i="31"/>
  <c r="BH115" i="31"/>
  <c r="BH123" i="31"/>
  <c r="BH147" i="31"/>
  <c r="G153" i="32" s="1"/>
  <c r="BH155" i="31"/>
  <c r="G161" i="32" s="1"/>
  <c r="BH163" i="31"/>
  <c r="BH187" i="31"/>
  <c r="BH211" i="31"/>
  <c r="G217" i="32" s="1"/>
  <c r="BH114" i="31"/>
  <c r="G120" i="32" s="1"/>
  <c r="BH122" i="31"/>
  <c r="BH130" i="31"/>
  <c r="BH138" i="31"/>
  <c r="BH146" i="31"/>
  <c r="G152" i="32" s="1"/>
  <c r="BH154" i="31"/>
  <c r="G160" i="32" s="1"/>
  <c r="BH170" i="31"/>
  <c r="BH178" i="31"/>
  <c r="G184" i="32" s="1"/>
  <c r="BH194" i="31"/>
  <c r="BH210" i="31"/>
  <c r="G216" i="32" s="1"/>
  <c r="A27" i="17"/>
  <c r="H25" i="39" s="1"/>
  <c r="D26" i="17"/>
  <c r="C26" i="17"/>
  <c r="J24" i="39" s="1"/>
  <c r="B26" i="17"/>
  <c r="I24" i="39" s="1"/>
  <c r="H139" i="32"/>
  <c r="H143" i="32"/>
  <c r="H147" i="32"/>
  <c r="H203" i="32"/>
  <c r="H207" i="32"/>
  <c r="H211" i="32"/>
  <c r="H205" i="32"/>
  <c r="H172" i="32"/>
  <c r="H176" i="32"/>
  <c r="H204" i="32"/>
  <c r="H138" i="32"/>
  <c r="H142" i="32"/>
  <c r="H158" i="32"/>
  <c r="H170" i="32"/>
  <c r="H202" i="32"/>
  <c r="H206" i="32"/>
  <c r="H157" i="32"/>
  <c r="T21" i="20"/>
  <c r="U21" i="20" s="1"/>
  <c r="T25" i="20"/>
  <c r="U25" i="20" s="1"/>
  <c r="T29" i="20"/>
  <c r="U29" i="20" s="1"/>
  <c r="T33" i="20"/>
  <c r="U33" i="20" s="1"/>
  <c r="T37" i="20"/>
  <c r="U37" i="20" s="1"/>
  <c r="T41" i="20"/>
  <c r="U41" i="20" s="1"/>
  <c r="T45" i="20"/>
  <c r="U45" i="20" s="1"/>
  <c r="T49" i="20"/>
  <c r="U49" i="20" s="1"/>
  <c r="T53" i="20"/>
  <c r="U53" i="20" s="1"/>
  <c r="T57" i="20"/>
  <c r="U57" i="20" s="1"/>
  <c r="T61" i="20"/>
  <c r="U61" i="20" s="1"/>
  <c r="T65" i="20"/>
  <c r="U65" i="20" s="1"/>
  <c r="T69" i="20"/>
  <c r="U69" i="20" s="1"/>
  <c r="T73" i="20"/>
  <c r="U73" i="20" s="1"/>
  <c r="T77" i="20"/>
  <c r="U77" i="20" s="1"/>
  <c r="T81" i="20"/>
  <c r="U81" i="20" s="1"/>
  <c r="T85" i="20"/>
  <c r="U85" i="20" s="1"/>
  <c r="T89" i="20"/>
  <c r="U89" i="20" s="1"/>
  <c r="T93" i="20"/>
  <c r="U93" i="20" s="1"/>
  <c r="T97" i="20"/>
  <c r="U97" i="20" s="1"/>
  <c r="T101" i="20"/>
  <c r="U101" i="20" s="1"/>
  <c r="T105" i="20"/>
  <c r="U105" i="20" s="1"/>
  <c r="T109" i="20"/>
  <c r="U109" i="20" s="1"/>
  <c r="T113" i="20"/>
  <c r="U113" i="20" s="1"/>
  <c r="T17" i="20"/>
  <c r="H118" i="32" s="1"/>
  <c r="T18" i="20"/>
  <c r="U18" i="20" s="1"/>
  <c r="T22" i="20"/>
  <c r="U22" i="20" s="1"/>
  <c r="T26" i="20"/>
  <c r="U26" i="20" s="1"/>
  <c r="T30" i="20"/>
  <c r="U30" i="20" s="1"/>
  <c r="T34" i="20"/>
  <c r="U34" i="20" s="1"/>
  <c r="T38" i="20"/>
  <c r="U38" i="20" s="1"/>
  <c r="T42" i="20"/>
  <c r="U42" i="20" s="1"/>
  <c r="T46" i="20"/>
  <c r="U46" i="20" s="1"/>
  <c r="T50" i="20"/>
  <c r="U50" i="20" s="1"/>
  <c r="T54" i="20"/>
  <c r="U54" i="20" s="1"/>
  <c r="T58" i="20"/>
  <c r="U58" i="20" s="1"/>
  <c r="T62" i="20"/>
  <c r="U62" i="20" s="1"/>
  <c r="T66" i="20"/>
  <c r="U66" i="20" s="1"/>
  <c r="T70" i="20"/>
  <c r="U70" i="20" s="1"/>
  <c r="T74" i="20"/>
  <c r="U74" i="20" s="1"/>
  <c r="T78" i="20"/>
  <c r="U78" i="20" s="1"/>
  <c r="T82" i="20"/>
  <c r="U82" i="20" s="1"/>
  <c r="T86" i="20"/>
  <c r="U86" i="20" s="1"/>
  <c r="T90" i="20"/>
  <c r="U90" i="20" s="1"/>
  <c r="T94" i="20"/>
  <c r="U94" i="20" s="1"/>
  <c r="T98" i="20"/>
  <c r="U98" i="20" s="1"/>
  <c r="T102" i="20"/>
  <c r="U102" i="20" s="1"/>
  <c r="T106" i="20"/>
  <c r="U106" i="20" s="1"/>
  <c r="T110" i="20"/>
  <c r="U110" i="20" s="1"/>
  <c r="T114" i="20"/>
  <c r="U114" i="20" s="1"/>
  <c r="T19" i="20"/>
  <c r="U19" i="20" s="1"/>
  <c r="T23" i="20"/>
  <c r="U23" i="20" s="1"/>
  <c r="T27" i="20"/>
  <c r="U27" i="20" s="1"/>
  <c r="T31" i="20"/>
  <c r="U31" i="20" s="1"/>
  <c r="T35" i="20"/>
  <c r="U35" i="20" s="1"/>
  <c r="T39" i="20"/>
  <c r="U39" i="20" s="1"/>
  <c r="T43" i="20"/>
  <c r="U43" i="20" s="1"/>
  <c r="T47" i="20"/>
  <c r="U47" i="20" s="1"/>
  <c r="T51" i="20"/>
  <c r="U51" i="20" s="1"/>
  <c r="T55" i="20"/>
  <c r="U55" i="20" s="1"/>
  <c r="T59" i="20"/>
  <c r="U59" i="20" s="1"/>
  <c r="T63" i="20"/>
  <c r="U63" i="20" s="1"/>
  <c r="T67" i="20"/>
  <c r="U67" i="20" s="1"/>
  <c r="T71" i="20"/>
  <c r="U71" i="20" s="1"/>
  <c r="T75" i="20"/>
  <c r="U75" i="20" s="1"/>
  <c r="T79" i="20"/>
  <c r="U79" i="20" s="1"/>
  <c r="T83" i="20"/>
  <c r="U83" i="20" s="1"/>
  <c r="T87" i="20"/>
  <c r="U87" i="20" s="1"/>
  <c r="T91" i="20"/>
  <c r="U91" i="20" s="1"/>
  <c r="T95" i="20"/>
  <c r="U95" i="20" s="1"/>
  <c r="T99" i="20"/>
  <c r="U99" i="20" s="1"/>
  <c r="T103" i="20"/>
  <c r="U103" i="20" s="1"/>
  <c r="T107" i="20"/>
  <c r="U107" i="20" s="1"/>
  <c r="T111" i="20"/>
  <c r="U111" i="20" s="1"/>
  <c r="T115" i="20"/>
  <c r="U115" i="20" s="1"/>
  <c r="T20" i="20"/>
  <c r="U20" i="20" s="1"/>
  <c r="T24" i="20"/>
  <c r="U24" i="20" s="1"/>
  <c r="T28" i="20"/>
  <c r="U28" i="20" s="1"/>
  <c r="T32" i="20"/>
  <c r="U32" i="20" s="1"/>
  <c r="T36" i="20"/>
  <c r="U36" i="20" s="1"/>
  <c r="T40" i="20"/>
  <c r="U40" i="20" s="1"/>
  <c r="T44" i="20"/>
  <c r="U44" i="20" s="1"/>
  <c r="T48" i="20"/>
  <c r="U48" i="20" s="1"/>
  <c r="T52" i="20"/>
  <c r="U52" i="20" s="1"/>
  <c r="T56" i="20"/>
  <c r="U56" i="20" s="1"/>
  <c r="T60" i="20"/>
  <c r="U60" i="20" s="1"/>
  <c r="T64" i="20"/>
  <c r="U64" i="20" s="1"/>
  <c r="T68" i="20"/>
  <c r="U68" i="20" s="1"/>
  <c r="T72" i="20"/>
  <c r="U72" i="20" s="1"/>
  <c r="T76" i="20"/>
  <c r="U76" i="20" s="1"/>
  <c r="T80" i="20"/>
  <c r="U80" i="20" s="1"/>
  <c r="T84" i="20"/>
  <c r="U84" i="20" s="1"/>
  <c r="T88" i="20"/>
  <c r="U88" i="20" s="1"/>
  <c r="T92" i="20"/>
  <c r="U92" i="20" s="1"/>
  <c r="T96" i="20"/>
  <c r="U96" i="20" s="1"/>
  <c r="T100" i="20"/>
  <c r="U100" i="20" s="1"/>
  <c r="T104" i="20"/>
  <c r="U104" i="20" s="1"/>
  <c r="T108" i="20"/>
  <c r="U108" i="20" s="1"/>
  <c r="T112" i="20"/>
  <c r="U112" i="20" s="1"/>
  <c r="T116" i="20"/>
  <c r="U116" i="20" s="1"/>
  <c r="F122" i="32"/>
  <c r="F126" i="32"/>
  <c r="F130" i="32"/>
  <c r="F134" i="32"/>
  <c r="F138" i="32"/>
  <c r="F142" i="32"/>
  <c r="F146" i="32"/>
  <c r="F150" i="32"/>
  <c r="F154" i="32"/>
  <c r="F158" i="32"/>
  <c r="F162" i="32"/>
  <c r="F166" i="32"/>
  <c r="F170" i="32"/>
  <c r="F174" i="32"/>
  <c r="F178" i="32"/>
  <c r="F182" i="32"/>
  <c r="F186" i="32"/>
  <c r="F190" i="32"/>
  <c r="F194" i="32"/>
  <c r="F198" i="32"/>
  <c r="F202" i="32"/>
  <c r="F206" i="32"/>
  <c r="F210" i="32"/>
  <c r="F214" i="32"/>
  <c r="F118" i="32"/>
  <c r="F121" i="32"/>
  <c r="F127" i="32"/>
  <c r="F132" i="32"/>
  <c r="F137" i="32"/>
  <c r="F143" i="32"/>
  <c r="F148" i="32"/>
  <c r="F153" i="32"/>
  <c r="F159" i="32"/>
  <c r="F164" i="32"/>
  <c r="F169" i="32"/>
  <c r="F131" i="32"/>
  <c r="F145" i="32"/>
  <c r="F160" i="32"/>
  <c r="F173" i="32"/>
  <c r="F184" i="32"/>
  <c r="F195" i="32"/>
  <c r="F205" i="32"/>
  <c r="F216" i="32"/>
  <c r="F120" i="32"/>
  <c r="F128" i="32"/>
  <c r="F135" i="32"/>
  <c r="F141" i="32"/>
  <c r="F149" i="32"/>
  <c r="F156" i="32"/>
  <c r="F163" i="32"/>
  <c r="F171" i="32"/>
  <c r="F176" i="32"/>
  <c r="F181" i="32"/>
  <c r="F187" i="32"/>
  <c r="F192" i="32"/>
  <c r="F197" i="32"/>
  <c r="F203" i="32"/>
  <c r="F208" i="32"/>
  <c r="F213" i="32"/>
  <c r="F123" i="32"/>
  <c r="F129" i="32"/>
  <c r="F136" i="32"/>
  <c r="F144" i="32"/>
  <c r="F151" i="32"/>
  <c r="F157" i="32"/>
  <c r="F165" i="32"/>
  <c r="F172" i="32"/>
  <c r="F177" i="32"/>
  <c r="F183" i="32"/>
  <c r="F188" i="32"/>
  <c r="F193" i="32"/>
  <c r="F199" i="32"/>
  <c r="F204" i="32"/>
  <c r="F209" i="32"/>
  <c r="F215" i="32"/>
  <c r="F124" i="32"/>
  <c r="F139" i="32"/>
  <c r="F152" i="32"/>
  <c r="F167" i="32"/>
  <c r="F179" i="32"/>
  <c r="F189" i="32"/>
  <c r="F200" i="32"/>
  <c r="F211" i="32"/>
  <c r="F140" i="32"/>
  <c r="F168" i="32"/>
  <c r="F191" i="32"/>
  <c r="F212" i="32"/>
  <c r="F180" i="32"/>
  <c r="F161" i="32"/>
  <c r="F207" i="32"/>
  <c r="F119" i="32"/>
  <c r="F147" i="32"/>
  <c r="F175" i="32"/>
  <c r="F196" i="32"/>
  <c r="F217" i="32"/>
  <c r="F125" i="32"/>
  <c r="F155" i="32"/>
  <c r="F201" i="32"/>
  <c r="F133" i="32"/>
  <c r="F185" i="32"/>
  <c r="D20" i="30"/>
  <c r="E20" i="30"/>
  <c r="B21" i="30"/>
  <c r="A21" i="30" s="1"/>
  <c r="K24" i="39" l="1"/>
  <c r="DN53" i="6"/>
  <c r="DM52" i="6"/>
  <c r="H190" i="32"/>
  <c r="H126" i="32"/>
  <c r="H168" i="32"/>
  <c r="H178" i="32"/>
  <c r="H173" i="32"/>
  <c r="H144" i="32"/>
  <c r="H179" i="32"/>
  <c r="BI138" i="31"/>
  <c r="DC138" i="31" s="1"/>
  <c r="BI193" i="31"/>
  <c r="BX193" i="31" s="1"/>
  <c r="BI129" i="31"/>
  <c r="CR129" i="31" s="1"/>
  <c r="BI184" i="31"/>
  <c r="BW184" i="31" s="1"/>
  <c r="BI120" i="31"/>
  <c r="DE120" i="31" s="1"/>
  <c r="BI204" i="31"/>
  <c r="BZ204" i="31" s="1"/>
  <c r="BI140" i="31"/>
  <c r="H177" i="32"/>
  <c r="H174" i="32"/>
  <c r="H161" i="32"/>
  <c r="H140" i="32"/>
  <c r="H175" i="32"/>
  <c r="BI130" i="31"/>
  <c r="BW130" i="31" s="1"/>
  <c r="BI123" i="31"/>
  <c r="DF123" i="31" s="1"/>
  <c r="BI206" i="31"/>
  <c r="BI142" i="31"/>
  <c r="CL142" i="31" s="1"/>
  <c r="BI176" i="31"/>
  <c r="CG176" i="31" s="1"/>
  <c r="BI197" i="31"/>
  <c r="BL197" i="31" s="1"/>
  <c r="BI196" i="31"/>
  <c r="CO196" i="31" s="1"/>
  <c r="BI132" i="31"/>
  <c r="DJ132" i="31" s="1"/>
  <c r="H165" i="32"/>
  <c r="H208" i="32"/>
  <c r="H136" i="32"/>
  <c r="H171" i="32"/>
  <c r="H210" i="32"/>
  <c r="H146" i="32"/>
  <c r="H200" i="32"/>
  <c r="H197" i="32"/>
  <c r="BO138" i="31"/>
  <c r="BP193" i="31"/>
  <c r="DG193" i="31"/>
  <c r="CQ193" i="31"/>
  <c r="DC193" i="31"/>
  <c r="CM193" i="31"/>
  <c r="CP129" i="31"/>
  <c r="BZ129" i="31"/>
  <c r="BX129" i="31"/>
  <c r="DI129" i="31"/>
  <c r="CL129" i="31"/>
  <c r="CD129" i="31"/>
  <c r="BK129" i="31"/>
  <c r="DD204" i="31"/>
  <c r="DD140" i="31"/>
  <c r="CV140" i="31"/>
  <c r="CN140" i="31"/>
  <c r="CF140" i="31"/>
  <c r="BX140" i="31"/>
  <c r="BP140" i="31"/>
  <c r="DI140" i="31"/>
  <c r="DA140" i="31"/>
  <c r="CS140" i="31"/>
  <c r="CK140" i="31"/>
  <c r="CC140" i="31"/>
  <c r="BU140" i="31"/>
  <c r="BM140" i="31"/>
  <c r="DH140" i="31"/>
  <c r="CZ140" i="31"/>
  <c r="CR140" i="31"/>
  <c r="CJ140" i="31"/>
  <c r="CB140" i="31"/>
  <c r="BT140" i="31"/>
  <c r="BL140" i="31"/>
  <c r="DG140" i="31"/>
  <c r="CY140" i="31"/>
  <c r="CQ140" i="31"/>
  <c r="CI140" i="31"/>
  <c r="CA140" i="31"/>
  <c r="BS140" i="31"/>
  <c r="BK140" i="31"/>
  <c r="DF140" i="31"/>
  <c r="CX140" i="31"/>
  <c r="CP140" i="31"/>
  <c r="CH140" i="31"/>
  <c r="BZ140" i="31"/>
  <c r="BR140" i="31"/>
  <c r="CT140" i="31"/>
  <c r="BW140" i="31"/>
  <c r="CO140" i="31"/>
  <c r="BV140" i="31"/>
  <c r="DJ140" i="31"/>
  <c r="CM140" i="31"/>
  <c r="BQ140" i="31"/>
  <c r="DE140" i="31"/>
  <c r="CL140" i="31"/>
  <c r="BO140" i="31"/>
  <c r="DC140" i="31"/>
  <c r="CG140" i="31"/>
  <c r="BN140" i="31"/>
  <c r="DB140" i="31"/>
  <c r="CE140" i="31"/>
  <c r="CW140" i="31"/>
  <c r="CD140" i="31"/>
  <c r="BY140" i="31"/>
  <c r="CU140" i="31"/>
  <c r="DD206" i="31"/>
  <c r="CV206" i="31"/>
  <c r="CN206" i="31"/>
  <c r="CF206" i="31"/>
  <c r="BX206" i="31"/>
  <c r="BP206" i="31"/>
  <c r="DI206" i="31"/>
  <c r="DA206" i="31"/>
  <c r="CS206" i="31"/>
  <c r="CK206" i="31"/>
  <c r="CC206" i="31"/>
  <c r="BU206" i="31"/>
  <c r="BM206" i="31"/>
  <c r="DH206" i="31"/>
  <c r="CZ206" i="31"/>
  <c r="CR206" i="31"/>
  <c r="CJ206" i="31"/>
  <c r="CB206" i="31"/>
  <c r="BT206" i="31"/>
  <c r="BL206" i="31"/>
  <c r="DG206" i="31"/>
  <c r="CY206" i="31"/>
  <c r="CQ206" i="31"/>
  <c r="CI206" i="31"/>
  <c r="CA206" i="31"/>
  <c r="BS206" i="31"/>
  <c r="BK206" i="31"/>
  <c r="DF206" i="31"/>
  <c r="CX206" i="31"/>
  <c r="CP206" i="31"/>
  <c r="CH206" i="31"/>
  <c r="BZ206" i="31"/>
  <c r="BR206" i="31"/>
  <c r="CU206" i="31"/>
  <c r="BY206" i="31"/>
  <c r="CO206" i="31"/>
  <c r="BV206" i="31"/>
  <c r="DJ206" i="31"/>
  <c r="CM206" i="31"/>
  <c r="BQ206" i="31"/>
  <c r="DE206" i="31"/>
  <c r="CL206" i="31"/>
  <c r="BO206" i="31"/>
  <c r="DC206" i="31"/>
  <c r="CG206" i="31"/>
  <c r="BN206" i="31"/>
  <c r="BW206" i="31"/>
  <c r="DB206" i="31"/>
  <c r="CW206" i="31"/>
  <c r="CD206" i="31"/>
  <c r="CT206" i="31"/>
  <c r="CE206" i="31"/>
  <c r="DJ142" i="31"/>
  <c r="DB142" i="31"/>
  <c r="CD142" i="31"/>
  <c r="BV142" i="31"/>
  <c r="CY142" i="31"/>
  <c r="CQ142" i="31"/>
  <c r="BS142" i="31"/>
  <c r="BK142" i="31"/>
  <c r="CP142" i="31"/>
  <c r="CH142" i="31"/>
  <c r="DE142" i="31"/>
  <c r="CW142" i="31"/>
  <c r="BY142" i="31"/>
  <c r="BQ142" i="31"/>
  <c r="CN142" i="31"/>
  <c r="CF142" i="31"/>
  <c r="CS142" i="31"/>
  <c r="BW142" i="31"/>
  <c r="DI142" i="31"/>
  <c r="CM142" i="31"/>
  <c r="CK142" i="31"/>
  <c r="BO142" i="31"/>
  <c r="BM142" i="31"/>
  <c r="DA142" i="31"/>
  <c r="CZ142" i="31"/>
  <c r="CC142" i="31"/>
  <c r="CD176" i="31"/>
  <c r="CF176" i="31"/>
  <c r="CZ197" i="31"/>
  <c r="CR197" i="31"/>
  <c r="CJ197" i="31"/>
  <c r="CP197" i="31"/>
  <c r="CH197" i="31"/>
  <c r="BZ197" i="31"/>
  <c r="BY197" i="31"/>
  <c r="BQ197" i="31"/>
  <c r="DD197" i="31"/>
  <c r="DC197" i="31"/>
  <c r="CU197" i="31"/>
  <c r="CM197" i="31"/>
  <c r="BK197" i="31"/>
  <c r="CY197" i="31"/>
  <c r="CC197" i="31"/>
  <c r="DG197" i="31"/>
  <c r="BU197" i="31"/>
  <c r="DB197" i="31"/>
  <c r="CQ197" i="31"/>
  <c r="CK197" i="31"/>
  <c r="CI197" i="31"/>
  <c r="DC196" i="31"/>
  <c r="CU196" i="31"/>
  <c r="CT196" i="31"/>
  <c r="CL196" i="31"/>
  <c r="CK196" i="31"/>
  <c r="CC196" i="31"/>
  <c r="CB196" i="31"/>
  <c r="BT196" i="31"/>
  <c r="DD196" i="31"/>
  <c r="CH196" i="31"/>
  <c r="CF196" i="31"/>
  <c r="CA196" i="31"/>
  <c r="CC132" i="31"/>
  <c r="CP132" i="31"/>
  <c r="H145" i="32"/>
  <c r="H194" i="32"/>
  <c r="H162" i="32"/>
  <c r="H130" i="32"/>
  <c r="H149" i="32"/>
  <c r="H196" i="32"/>
  <c r="H164" i="32"/>
  <c r="H132" i="32"/>
  <c r="H169" i="32"/>
  <c r="H199" i="32"/>
  <c r="H167" i="32"/>
  <c r="H135" i="32"/>
  <c r="BI210" i="31"/>
  <c r="BI122" i="31"/>
  <c r="BI115" i="31"/>
  <c r="BI177" i="31"/>
  <c r="BI203" i="31"/>
  <c r="F115" i="24" s="1"/>
  <c r="BI167" i="31"/>
  <c r="BI198" i="31"/>
  <c r="F110" i="24" s="1"/>
  <c r="BI134" i="31"/>
  <c r="BI168" i="31"/>
  <c r="BI189" i="31"/>
  <c r="BI195" i="31"/>
  <c r="BI188" i="31"/>
  <c r="BI124" i="31"/>
  <c r="F36" i="24" s="1"/>
  <c r="G121" i="32"/>
  <c r="J121" i="32" s="1"/>
  <c r="G135" i="32"/>
  <c r="J135" i="32" s="1"/>
  <c r="G209" i="32"/>
  <c r="J209" i="32" s="1"/>
  <c r="BI175" i="31"/>
  <c r="BI117" i="31"/>
  <c r="H133" i="32"/>
  <c r="H137" i="32"/>
  <c r="H192" i="32"/>
  <c r="H160" i="32"/>
  <c r="H128" i="32"/>
  <c r="H153" i="32"/>
  <c r="H195" i="32"/>
  <c r="H163" i="32"/>
  <c r="H131" i="32"/>
  <c r="BI194" i="31"/>
  <c r="BI202" i="31"/>
  <c r="F114" i="24" s="1"/>
  <c r="BI169" i="31"/>
  <c r="F81" i="24" s="1"/>
  <c r="BI179" i="31"/>
  <c r="F91" i="24" s="1"/>
  <c r="BI159" i="31"/>
  <c r="BI190" i="31"/>
  <c r="BI126" i="31"/>
  <c r="BI160" i="31"/>
  <c r="BI173" i="31"/>
  <c r="BI171" i="31"/>
  <c r="F83" i="24" s="1"/>
  <c r="BI180" i="31"/>
  <c r="F92" i="24" s="1"/>
  <c r="BI116" i="31"/>
  <c r="F28" i="24" s="1"/>
  <c r="G126" i="32"/>
  <c r="J126" i="32" s="1"/>
  <c r="G194" i="32"/>
  <c r="J194" i="32" s="1"/>
  <c r="G203" i="32"/>
  <c r="J203" i="32" s="1"/>
  <c r="G177" i="32"/>
  <c r="J177" i="32" s="1"/>
  <c r="H166" i="32"/>
  <c r="H134" i="32"/>
  <c r="BI121" i="31"/>
  <c r="F33" i="24" s="1"/>
  <c r="H213" i="32"/>
  <c r="H125" i="32"/>
  <c r="H186" i="32"/>
  <c r="H154" i="32"/>
  <c r="H122" i="32"/>
  <c r="H121" i="32"/>
  <c r="H188" i="32"/>
  <c r="H156" i="32"/>
  <c r="H124" i="32"/>
  <c r="H141" i="32"/>
  <c r="H191" i="32"/>
  <c r="H159" i="32"/>
  <c r="H127" i="32"/>
  <c r="BI178" i="31"/>
  <c r="BI211" i="31"/>
  <c r="BI186" i="31"/>
  <c r="BI161" i="31"/>
  <c r="BI139" i="31"/>
  <c r="BI151" i="31"/>
  <c r="BI182" i="31"/>
  <c r="BI118" i="31"/>
  <c r="BI152" i="31"/>
  <c r="BI165" i="31"/>
  <c r="BI131" i="31"/>
  <c r="BI172" i="31"/>
  <c r="G182" i="32"/>
  <c r="J182" i="32" s="1"/>
  <c r="G185" i="32"/>
  <c r="J185" i="32" s="1"/>
  <c r="G128" i="32"/>
  <c r="J128" i="32" s="1"/>
  <c r="G195" i="32"/>
  <c r="J195" i="32" s="1"/>
  <c r="G145" i="32"/>
  <c r="J145" i="32" s="1"/>
  <c r="H181" i="32"/>
  <c r="G136" i="32"/>
  <c r="J136" i="32" s="1"/>
  <c r="H201" i="32"/>
  <c r="H214" i="32"/>
  <c r="H182" i="32"/>
  <c r="H150" i="32"/>
  <c r="H209" i="32"/>
  <c r="H216" i="32"/>
  <c r="H184" i="32"/>
  <c r="H152" i="32"/>
  <c r="H120" i="32"/>
  <c r="H129" i="32"/>
  <c r="H187" i="32"/>
  <c r="H155" i="32"/>
  <c r="H123" i="32"/>
  <c r="BI170" i="31"/>
  <c r="BI187" i="31"/>
  <c r="BI162" i="31"/>
  <c r="BI153" i="31"/>
  <c r="F65" i="24" s="1"/>
  <c r="BI207" i="31"/>
  <c r="BI143" i="31"/>
  <c r="BI174" i="31"/>
  <c r="BI208" i="31"/>
  <c r="BI144" i="31"/>
  <c r="BI157" i="31"/>
  <c r="F69" i="24" s="1"/>
  <c r="BI205" i="31"/>
  <c r="BI164" i="31"/>
  <c r="G174" i="32"/>
  <c r="J174" i="32" s="1"/>
  <c r="G138" i="32"/>
  <c r="J138" i="32" s="1"/>
  <c r="G190" i="32"/>
  <c r="J190" i="32" s="1"/>
  <c r="G123" i="32"/>
  <c r="J123" i="32" s="1"/>
  <c r="G208" i="32"/>
  <c r="J208" i="32" s="1"/>
  <c r="H198" i="32"/>
  <c r="BI185" i="31"/>
  <c r="H189" i="32"/>
  <c r="H193" i="32"/>
  <c r="H212" i="32"/>
  <c r="H180" i="32"/>
  <c r="H148" i="32"/>
  <c r="H217" i="32"/>
  <c r="H215" i="32"/>
  <c r="H183" i="32"/>
  <c r="H151" i="32"/>
  <c r="BI154" i="31"/>
  <c r="BI163" i="31"/>
  <c r="BI209" i="31"/>
  <c r="BI145" i="31"/>
  <c r="BI199" i="31"/>
  <c r="BI135" i="31"/>
  <c r="BI166" i="31"/>
  <c r="BI200" i="31"/>
  <c r="BI136" i="31"/>
  <c r="BI141" i="31"/>
  <c r="BI181" i="31"/>
  <c r="BI156" i="31"/>
  <c r="G186" i="32"/>
  <c r="J186" i="32" s="1"/>
  <c r="G166" i="32"/>
  <c r="J166" i="32" s="1"/>
  <c r="G129" i="32"/>
  <c r="J129" i="32" s="1"/>
  <c r="G193" i="32"/>
  <c r="J193" i="32" s="1"/>
  <c r="G199" i="32"/>
  <c r="J199" i="32" s="1"/>
  <c r="G212" i="32"/>
  <c r="J212" i="32" s="1"/>
  <c r="G148" i="32"/>
  <c r="J148" i="32" s="1"/>
  <c r="G179" i="32"/>
  <c r="J179" i="32" s="1"/>
  <c r="G122" i="32"/>
  <c r="J122" i="32" s="1"/>
  <c r="G176" i="32"/>
  <c r="J176" i="32" s="1"/>
  <c r="H185" i="32"/>
  <c r="BI146" i="31"/>
  <c r="BI155" i="31"/>
  <c r="BI201" i="31"/>
  <c r="BI137" i="31"/>
  <c r="BI191" i="31"/>
  <c r="BI127" i="31"/>
  <c r="BI158" i="31"/>
  <c r="BI192" i="31"/>
  <c r="BI128" i="31"/>
  <c r="BI133" i="31"/>
  <c r="BI149" i="31"/>
  <c r="BI148" i="31"/>
  <c r="G146" i="32"/>
  <c r="J146" i="32" s="1"/>
  <c r="G183" i="32"/>
  <c r="J183" i="32" s="1"/>
  <c r="G158" i="32"/>
  <c r="J158" i="32" s="1"/>
  <c r="G200" i="32"/>
  <c r="J200" i="32" s="1"/>
  <c r="G169" i="32"/>
  <c r="J169" i="32" s="1"/>
  <c r="G191" i="32"/>
  <c r="J191" i="32" s="1"/>
  <c r="G204" i="32"/>
  <c r="J204" i="32" s="1"/>
  <c r="G140" i="32"/>
  <c r="J140" i="32" s="1"/>
  <c r="G171" i="32"/>
  <c r="J171" i="32" s="1"/>
  <c r="G202" i="32"/>
  <c r="J202" i="32" s="1"/>
  <c r="G144" i="32"/>
  <c r="J144" i="32" s="1"/>
  <c r="BI147" i="31"/>
  <c r="BI183" i="31"/>
  <c r="BI119" i="31"/>
  <c r="BI150" i="31"/>
  <c r="BI125" i="31"/>
  <c r="G181" i="32"/>
  <c r="J181" i="32" s="1"/>
  <c r="G210" i="32"/>
  <c r="J210" i="32" s="1"/>
  <c r="BI114" i="31"/>
  <c r="F26" i="24" s="1"/>
  <c r="F21" i="30"/>
  <c r="BZ3" i="31" s="1"/>
  <c r="BZ110" i="31" s="1"/>
  <c r="F50" i="24"/>
  <c r="F52" i="24"/>
  <c r="F118" i="24"/>
  <c r="F54" i="24"/>
  <c r="F109" i="24"/>
  <c r="J197" i="32"/>
  <c r="A28" i="17"/>
  <c r="H26" i="39" s="1"/>
  <c r="D27" i="17"/>
  <c r="C27" i="17"/>
  <c r="J25" i="39" s="1"/>
  <c r="B27" i="17"/>
  <c r="I25" i="39" s="1"/>
  <c r="H119" i="32"/>
  <c r="J153" i="32"/>
  <c r="J188" i="32"/>
  <c r="J127" i="32"/>
  <c r="J160" i="32"/>
  <c r="J143" i="32"/>
  <c r="U17" i="20"/>
  <c r="U15" i="20" s="1"/>
  <c r="T15" i="20"/>
  <c r="J132" i="32"/>
  <c r="J124" i="32"/>
  <c r="J180" i="32"/>
  <c r="J151" i="32"/>
  <c r="J192" i="32"/>
  <c r="J164" i="32"/>
  <c r="J167" i="32"/>
  <c r="J216" i="32"/>
  <c r="J173" i="32"/>
  <c r="J152" i="32"/>
  <c r="J170" i="32"/>
  <c r="J161" i="32"/>
  <c r="J178" i="32"/>
  <c r="J162" i="32"/>
  <c r="J130" i="32"/>
  <c r="J172" i="32"/>
  <c r="J156" i="32"/>
  <c r="J198" i="32"/>
  <c r="J134" i="32"/>
  <c r="J155" i="32"/>
  <c r="J175" i="32"/>
  <c r="J201" i="32"/>
  <c r="J213" i="32"/>
  <c r="J217" i="32"/>
  <c r="J211" i="32"/>
  <c r="J189" i="32"/>
  <c r="J168" i="32"/>
  <c r="J147" i="32"/>
  <c r="J125" i="32"/>
  <c r="J154" i="32"/>
  <c r="J165" i="32"/>
  <c r="J137" i="32"/>
  <c r="J207" i="32"/>
  <c r="J149" i="32"/>
  <c r="J196" i="32"/>
  <c r="J205" i="32"/>
  <c r="J184" i="32"/>
  <c r="J163" i="32"/>
  <c r="J141" i="32"/>
  <c r="J214" i="32"/>
  <c r="J150" i="32"/>
  <c r="J131" i="32"/>
  <c r="J133" i="32"/>
  <c r="J215" i="32"/>
  <c r="J187" i="32"/>
  <c r="J159" i="32"/>
  <c r="J139" i="32"/>
  <c r="J157" i="32"/>
  <c r="J206" i="32"/>
  <c r="J142" i="32"/>
  <c r="D21" i="30"/>
  <c r="E21" i="30"/>
  <c r="B22" i="30"/>
  <c r="A22" i="30" s="1"/>
  <c r="CI123" i="31" l="1"/>
  <c r="BT120" i="31"/>
  <c r="CW130" i="31"/>
  <c r="CM130" i="31"/>
  <c r="BP129" i="31"/>
  <c r="CD193" i="31"/>
  <c r="CO176" i="31"/>
  <c r="CU120" i="31"/>
  <c r="CG138" i="31"/>
  <c r="BR176" i="31"/>
  <c r="CU142" i="31"/>
  <c r="DC142" i="31"/>
  <c r="CR142" i="31"/>
  <c r="DD142" i="31"/>
  <c r="BZ142" i="31"/>
  <c r="CI142" i="31"/>
  <c r="CT142" i="31"/>
  <c r="CO130" i="31"/>
  <c r="CZ138" i="31"/>
  <c r="CU176" i="31"/>
  <c r="BL176" i="31"/>
  <c r="BL142" i="31"/>
  <c r="DH142" i="31"/>
  <c r="BP142" i="31"/>
  <c r="CG142" i="31"/>
  <c r="CX142" i="31"/>
  <c r="DG142" i="31"/>
  <c r="CC130" i="31"/>
  <c r="CF120" i="31"/>
  <c r="CF130" i="31"/>
  <c r="CE132" i="31"/>
  <c r="BU176" i="31"/>
  <c r="CE142" i="31"/>
  <c r="BT142" i="31"/>
  <c r="BX142" i="31"/>
  <c r="CO142" i="31"/>
  <c r="DF142" i="31"/>
  <c r="BN142" i="31"/>
  <c r="CE130" i="31"/>
  <c r="BX120" i="31"/>
  <c r="F42" i="24"/>
  <c r="CB142" i="31"/>
  <c r="CJ142" i="31"/>
  <c r="BU142" i="31"/>
  <c r="CV142" i="31"/>
  <c r="BR142" i="31"/>
  <c r="CA142" i="31"/>
  <c r="CJ184" i="31"/>
  <c r="CI138" i="31"/>
  <c r="CK132" i="31"/>
  <c r="F44" i="24"/>
  <c r="F41" i="24"/>
  <c r="DC132" i="31"/>
  <c r="CO132" i="31"/>
  <c r="CJ132" i="31"/>
  <c r="BP196" i="31"/>
  <c r="DF196" i="31"/>
  <c r="CP196" i="31"/>
  <c r="BM196" i="31"/>
  <c r="BV196" i="31"/>
  <c r="CE196" i="31"/>
  <c r="CW196" i="31"/>
  <c r="CT197" i="31"/>
  <c r="BV197" i="31"/>
  <c r="BW197" i="31"/>
  <c r="CN197" i="31"/>
  <c r="DE197" i="31"/>
  <c r="BT197" i="31"/>
  <c r="DG184" i="31"/>
  <c r="CC129" i="31"/>
  <c r="BN129" i="31"/>
  <c r="CM129" i="31"/>
  <c r="CO129" i="31"/>
  <c r="CZ129" i="31"/>
  <c r="CE193" i="31"/>
  <c r="DI193" i="31"/>
  <c r="DF132" i="31"/>
  <c r="BR196" i="31"/>
  <c r="CS196" i="31"/>
  <c r="BQ196" i="31"/>
  <c r="BM129" i="31"/>
  <c r="BY193" i="31"/>
  <c r="F108" i="24"/>
  <c r="F105" i="24"/>
  <c r="CD132" i="31"/>
  <c r="BZ132" i="31"/>
  <c r="BM132" i="31"/>
  <c r="BX196" i="31"/>
  <c r="BK196" i="31"/>
  <c r="BL196" i="31"/>
  <c r="BU196" i="31"/>
  <c r="CD196" i="31"/>
  <c r="CM196" i="31"/>
  <c r="DE196" i="31"/>
  <c r="BS197" i="31"/>
  <c r="CS197" i="31"/>
  <c r="CE197" i="31"/>
  <c r="CV197" i="31"/>
  <c r="BR197" i="31"/>
  <c r="CB197" i="31"/>
  <c r="DI184" i="31"/>
  <c r="CY129" i="31"/>
  <c r="CK129" i="31"/>
  <c r="DC129" i="31"/>
  <c r="CW129" i="31"/>
  <c r="DH129" i="31"/>
  <c r="CX193" i="31"/>
  <c r="BV193" i="31"/>
  <c r="CZ184" i="31"/>
  <c r="CX132" i="31"/>
  <c r="DH184" i="31"/>
  <c r="BU129" i="31"/>
  <c r="CX129" i="31"/>
  <c r="CF193" i="31"/>
  <c r="CM132" i="31"/>
  <c r="DD132" i="31"/>
  <c r="CI132" i="31"/>
  <c r="DB132" i="31"/>
  <c r="CQ196" i="31"/>
  <c r="CN196" i="31"/>
  <c r="CR196" i="31"/>
  <c r="DA196" i="31"/>
  <c r="DJ196" i="31"/>
  <c r="BY196" i="31"/>
  <c r="DJ197" i="31"/>
  <c r="CA197" i="31"/>
  <c r="CD197" i="31"/>
  <c r="BP197" i="31"/>
  <c r="CG197" i="31"/>
  <c r="CX197" i="31"/>
  <c r="DH197" i="31"/>
  <c r="DC120" i="31"/>
  <c r="BV129" i="31"/>
  <c r="CI129" i="31"/>
  <c r="CQ129" i="31"/>
  <c r="DD129" i="31"/>
  <c r="DF129" i="31"/>
  <c r="CG193" i="31"/>
  <c r="CZ193" i="31"/>
  <c r="CN193" i="31"/>
  <c r="BX132" i="31"/>
  <c r="CS132" i="31"/>
  <c r="CI196" i="31"/>
  <c r="CJ196" i="31"/>
  <c r="DB196" i="31"/>
  <c r="CF129" i="31"/>
  <c r="BL193" i="31"/>
  <c r="CU132" i="31"/>
  <c r="BY132" i="31"/>
  <c r="CY132" i="31"/>
  <c r="CX196" i="31"/>
  <c r="CV196" i="31"/>
  <c r="DG196" i="31"/>
  <c r="CZ196" i="31"/>
  <c r="DI196" i="31"/>
  <c r="BO196" i="31"/>
  <c r="CG196" i="31"/>
  <c r="BM197" i="31"/>
  <c r="DI197" i="31"/>
  <c r="DA197" i="31"/>
  <c r="BX197" i="31"/>
  <c r="CO197" i="31"/>
  <c r="DF197" i="31"/>
  <c r="BR184" i="31"/>
  <c r="CA129" i="31"/>
  <c r="DB129" i="31"/>
  <c r="DJ129" i="31"/>
  <c r="BY129" i="31"/>
  <c r="BL129" i="31"/>
  <c r="CH193" i="31"/>
  <c r="BM193" i="31"/>
  <c r="BP132" i="31"/>
  <c r="F96" i="24"/>
  <c r="BV132" i="31"/>
  <c r="CG132" i="31"/>
  <c r="DG132" i="31"/>
  <c r="CY196" i="31"/>
  <c r="BZ196" i="31"/>
  <c r="BS196" i="31"/>
  <c r="DH196" i="31"/>
  <c r="BN196" i="31"/>
  <c r="BW196" i="31"/>
  <c r="BN197" i="31"/>
  <c r="CL197" i="31"/>
  <c r="BO197" i="31"/>
  <c r="CF197" i="31"/>
  <c r="CW197" i="31"/>
  <c r="CV184" i="31"/>
  <c r="CT129" i="31"/>
  <c r="CS129" i="31"/>
  <c r="BO129" i="31"/>
  <c r="CG129" i="31"/>
  <c r="CJ129" i="31"/>
  <c r="BZ193" i="31"/>
  <c r="BU193" i="31"/>
  <c r="CO204" i="31"/>
  <c r="BV123" i="31"/>
  <c r="CZ204" i="31"/>
  <c r="BW132" i="31"/>
  <c r="CF132" i="31"/>
  <c r="CW132" i="31"/>
  <c r="BK132" i="31"/>
  <c r="CR132" i="31"/>
  <c r="DA132" i="31"/>
  <c r="CE123" i="31"/>
  <c r="DF130" i="31"/>
  <c r="DI204" i="31"/>
  <c r="CB120" i="31"/>
  <c r="CG184" i="31"/>
  <c r="BZ184" i="31"/>
  <c r="BO184" i="31"/>
  <c r="CL132" i="31"/>
  <c r="BN132" i="31"/>
  <c r="CN132" i="31"/>
  <c r="DE132" i="31"/>
  <c r="BS132" i="31"/>
  <c r="CZ132" i="31"/>
  <c r="DI132" i="31"/>
  <c r="CV123" i="31"/>
  <c r="BK130" i="31"/>
  <c r="BO204" i="31"/>
  <c r="CC120" i="31"/>
  <c r="BV184" i="31"/>
  <c r="CK184" i="31"/>
  <c r="CE184" i="31"/>
  <c r="DG129" i="31"/>
  <c r="BW129" i="31"/>
  <c r="CN129" i="31"/>
  <c r="DE129" i="31"/>
  <c r="BT129" i="31"/>
  <c r="BM123" i="31"/>
  <c r="BO132" i="31"/>
  <c r="CB132" i="31"/>
  <c r="CV132" i="31"/>
  <c r="BR132" i="31"/>
  <c r="CA132" i="31"/>
  <c r="DH132" i="31"/>
  <c r="CT132" i="31"/>
  <c r="BN130" i="31"/>
  <c r="BL130" i="31"/>
  <c r="CH204" i="31"/>
  <c r="CK120" i="31"/>
  <c r="CC184" i="31"/>
  <c r="CY184" i="31"/>
  <c r="CM184" i="31"/>
  <c r="DA129" i="31"/>
  <c r="BS129" i="31"/>
  <c r="CE129" i="31"/>
  <c r="CV129" i="31"/>
  <c r="BR129" i="31"/>
  <c r="CB129" i="31"/>
  <c r="DD130" i="31"/>
  <c r="BT130" i="31"/>
  <c r="CI120" i="31"/>
  <c r="CL120" i="31"/>
  <c r="DF184" i="31"/>
  <c r="CF184" i="31"/>
  <c r="BT132" i="31"/>
  <c r="BL132" i="31"/>
  <c r="BQ132" i="31"/>
  <c r="CH132" i="31"/>
  <c r="CQ132" i="31"/>
  <c r="BU132" i="31"/>
  <c r="CW123" i="31"/>
  <c r="BV130" i="31"/>
  <c r="BU130" i="31"/>
  <c r="CQ204" i="31"/>
  <c r="DF120" i="31"/>
  <c r="CT120" i="31"/>
  <c r="BX184" i="31"/>
  <c r="CQ184" i="31"/>
  <c r="CU129" i="31"/>
  <c r="BQ129" i="31"/>
  <c r="CH129" i="31"/>
  <c r="F32" i="24"/>
  <c r="CY123" i="31"/>
  <c r="BQ123" i="31"/>
  <c r="CC123" i="31"/>
  <c r="CL123" i="31"/>
  <c r="CU123" i="31"/>
  <c r="BR123" i="31"/>
  <c r="BP130" i="31"/>
  <c r="BX130" i="31"/>
  <c r="DB130" i="31"/>
  <c r="BS130" i="31"/>
  <c r="CB130" i="31"/>
  <c r="CK130" i="31"/>
  <c r="CU130" i="31"/>
  <c r="BX204" i="31"/>
  <c r="CI204" i="31"/>
  <c r="CV204" i="31"/>
  <c r="BM204" i="31"/>
  <c r="BV204" i="31"/>
  <c r="CE204" i="31"/>
  <c r="CX204" i="31"/>
  <c r="CY120" i="31"/>
  <c r="CQ120" i="31"/>
  <c r="CJ120" i="31"/>
  <c r="CS120" i="31"/>
  <c r="DB120" i="31"/>
  <c r="BQ120" i="31"/>
  <c r="CD123" i="31"/>
  <c r="BW204" i="31"/>
  <c r="BK123" i="31"/>
  <c r="CJ123" i="31"/>
  <c r="CK123" i="31"/>
  <c r="CT123" i="31"/>
  <c r="DC123" i="31"/>
  <c r="BZ123" i="31"/>
  <c r="CL130" i="31"/>
  <c r="CT130" i="31"/>
  <c r="BR130" i="31"/>
  <c r="CA130" i="31"/>
  <c r="CJ130" i="31"/>
  <c r="CS130" i="31"/>
  <c r="DC130" i="31"/>
  <c r="CA204" i="31"/>
  <c r="DE204" i="31"/>
  <c r="BL204" i="31"/>
  <c r="BU204" i="31"/>
  <c r="CD204" i="31"/>
  <c r="CM204" i="31"/>
  <c r="DF204" i="31"/>
  <c r="BR120" i="31"/>
  <c r="BZ120" i="31"/>
  <c r="CR120" i="31"/>
  <c r="DA120" i="31"/>
  <c r="DJ120" i="31"/>
  <c r="BY120" i="31"/>
  <c r="BU123" i="31"/>
  <c r="DD123" i="31"/>
  <c r="BP204" i="31"/>
  <c r="DH204" i="31"/>
  <c r="BN204" i="31"/>
  <c r="BT123" i="31"/>
  <c r="CG123" i="31"/>
  <c r="DG123" i="31"/>
  <c r="CS123" i="31"/>
  <c r="DB123" i="31"/>
  <c r="BP123" i="31"/>
  <c r="CH123" i="31"/>
  <c r="DE130" i="31"/>
  <c r="CG130" i="31"/>
  <c r="BZ130" i="31"/>
  <c r="CI130" i="31"/>
  <c r="CR130" i="31"/>
  <c r="DA130" i="31"/>
  <c r="CF204" i="31"/>
  <c r="BQ204" i="31"/>
  <c r="BT204" i="31"/>
  <c r="CC204" i="31"/>
  <c r="CL204" i="31"/>
  <c r="CU204" i="31"/>
  <c r="BK120" i="31"/>
  <c r="CN120" i="31"/>
  <c r="CV120" i="31"/>
  <c r="CZ120" i="31"/>
  <c r="DI120" i="31"/>
  <c r="BO120" i="31"/>
  <c r="CG120" i="31"/>
  <c r="F116" i="24"/>
  <c r="CB123" i="31"/>
  <c r="DE123" i="31"/>
  <c r="CM123" i="31"/>
  <c r="CY204" i="31"/>
  <c r="BY204" i="31"/>
  <c r="CP204" i="31"/>
  <c r="BY123" i="31"/>
  <c r="CZ123" i="31"/>
  <c r="BS123" i="31"/>
  <c r="DA123" i="31"/>
  <c r="DJ123" i="31"/>
  <c r="BX123" i="31"/>
  <c r="CP123" i="31"/>
  <c r="BQ130" i="31"/>
  <c r="BY130" i="31"/>
  <c r="CH130" i="31"/>
  <c r="CQ130" i="31"/>
  <c r="CZ130" i="31"/>
  <c r="DI130" i="31"/>
  <c r="CW204" i="31"/>
  <c r="CN204" i="31"/>
  <c r="CB204" i="31"/>
  <c r="CK204" i="31"/>
  <c r="CT204" i="31"/>
  <c r="DC204" i="31"/>
  <c r="CH120" i="31"/>
  <c r="DG120" i="31"/>
  <c r="CA120" i="31"/>
  <c r="DH120" i="31"/>
  <c r="BN120" i="31"/>
  <c r="BW120" i="31"/>
  <c r="CO120" i="31"/>
  <c r="F35" i="24"/>
  <c r="CR123" i="31"/>
  <c r="CQ123" i="31"/>
  <c r="CO123" i="31"/>
  <c r="DI123" i="31"/>
  <c r="BO123" i="31"/>
  <c r="CF123" i="31"/>
  <c r="CX123" i="31"/>
  <c r="CN130" i="31"/>
  <c r="CV130" i="31"/>
  <c r="CP130" i="31"/>
  <c r="CY130" i="31"/>
  <c r="DH130" i="31"/>
  <c r="BO130" i="31"/>
  <c r="BK204" i="31"/>
  <c r="DG204" i="31"/>
  <c r="CJ204" i="31"/>
  <c r="CS204" i="31"/>
  <c r="DB204" i="31"/>
  <c r="BR204" i="31"/>
  <c r="DD120" i="31"/>
  <c r="BS120" i="31"/>
  <c r="CX120" i="31"/>
  <c r="BM120" i="31"/>
  <c r="BV120" i="31"/>
  <c r="CE120" i="31"/>
  <c r="CW120" i="31"/>
  <c r="BZ138" i="31"/>
  <c r="CA123" i="31"/>
  <c r="BL123" i="31"/>
  <c r="DH123" i="31"/>
  <c r="BN123" i="31"/>
  <c r="BW123" i="31"/>
  <c r="CN123" i="31"/>
  <c r="DJ130" i="31"/>
  <c r="CD130" i="31"/>
  <c r="CX130" i="31"/>
  <c r="DG130" i="31"/>
  <c r="BM130" i="31"/>
  <c r="CG204" i="31"/>
  <c r="BS204" i="31"/>
  <c r="CR204" i="31"/>
  <c r="DA204" i="31"/>
  <c r="DJ204" i="31"/>
  <c r="BP120" i="31"/>
  <c r="CP120" i="31"/>
  <c r="BL120" i="31"/>
  <c r="BU120" i="31"/>
  <c r="CD120" i="31"/>
  <c r="CM120" i="31"/>
  <c r="CC138" i="31"/>
  <c r="K25" i="39"/>
  <c r="DN54" i="6"/>
  <c r="DM53" i="6"/>
  <c r="CN176" i="31"/>
  <c r="CH176" i="31"/>
  <c r="BK176" i="31"/>
  <c r="BT176" i="31"/>
  <c r="CC176" i="31"/>
  <c r="CL176" i="31"/>
  <c r="CW176" i="31"/>
  <c r="CS184" i="31"/>
  <c r="CD184" i="31"/>
  <c r="BN184" i="31"/>
  <c r="CX184" i="31"/>
  <c r="DE184" i="31"/>
  <c r="CL184" i="31"/>
  <c r="CU184" i="31"/>
  <c r="BQ193" i="31"/>
  <c r="BO193" i="31"/>
  <c r="BK193" i="31"/>
  <c r="BT193" i="31"/>
  <c r="CC193" i="31"/>
  <c r="CL193" i="31"/>
  <c r="CV193" i="31"/>
  <c r="CS138" i="31"/>
  <c r="CW138" i="31"/>
  <c r="CN138" i="31"/>
  <c r="CP138" i="31"/>
  <c r="DH138" i="31"/>
  <c r="BW138" i="31"/>
  <c r="CV176" i="31"/>
  <c r="BP176" i="31"/>
  <c r="BS176" i="31"/>
  <c r="CB176" i="31"/>
  <c r="CK176" i="31"/>
  <c r="CT176" i="31"/>
  <c r="DE176" i="31"/>
  <c r="CO184" i="31"/>
  <c r="BK184" i="31"/>
  <c r="BY184" i="31"/>
  <c r="BQ184" i="31"/>
  <c r="BL184" i="31"/>
  <c r="CT184" i="31"/>
  <c r="DC184" i="31"/>
  <c r="CO193" i="31"/>
  <c r="CU193" i="31"/>
  <c r="BS193" i="31"/>
  <c r="CB193" i="31"/>
  <c r="CK193" i="31"/>
  <c r="CT193" i="31"/>
  <c r="DD193" i="31"/>
  <c r="DF138" i="31"/>
  <c r="DI138" i="31"/>
  <c r="CY138" i="31"/>
  <c r="DD138" i="31"/>
  <c r="BN138" i="31"/>
  <c r="CE138" i="31"/>
  <c r="BO176" i="31"/>
  <c r="CM176" i="31"/>
  <c r="CA176" i="31"/>
  <c r="CJ176" i="31"/>
  <c r="CS176" i="31"/>
  <c r="DB176" i="31"/>
  <c r="BS184" i="31"/>
  <c r="CP184" i="31"/>
  <c r="CI184" i="31"/>
  <c r="CA184" i="31"/>
  <c r="BT184" i="31"/>
  <c r="DB184" i="31"/>
  <c r="BR193" i="31"/>
  <c r="BW193" i="31"/>
  <c r="CA193" i="31"/>
  <c r="CJ193" i="31"/>
  <c r="CS193" i="31"/>
  <c r="DB193" i="31"/>
  <c r="BR138" i="31"/>
  <c r="BU138" i="31"/>
  <c r="BK138" i="31"/>
  <c r="BP138" i="31"/>
  <c r="BL138" i="31"/>
  <c r="BV138" i="31"/>
  <c r="CM138" i="31"/>
  <c r="CX176" i="31"/>
  <c r="DF176" i="31"/>
  <c r="CI176" i="31"/>
  <c r="CR176" i="31"/>
  <c r="DA176" i="31"/>
  <c r="DJ176" i="31"/>
  <c r="DA184" i="31"/>
  <c r="BM184" i="31"/>
  <c r="CW184" i="31"/>
  <c r="CN184" i="31"/>
  <c r="CB184" i="31"/>
  <c r="DJ184" i="31"/>
  <c r="DE193" i="31"/>
  <c r="CP193" i="31"/>
  <c r="CI193" i="31"/>
  <c r="CR193" i="31"/>
  <c r="DA193" i="31"/>
  <c r="DJ193" i="31"/>
  <c r="CF138" i="31"/>
  <c r="CH138" i="31"/>
  <c r="BY138" i="31"/>
  <c r="CA138" i="31"/>
  <c r="BT138" i="31"/>
  <c r="CD138" i="31"/>
  <c r="CU138" i="31"/>
  <c r="F88" i="24"/>
  <c r="BZ176" i="31"/>
  <c r="BW176" i="31"/>
  <c r="CQ176" i="31"/>
  <c r="CZ176" i="31"/>
  <c r="DI176" i="31"/>
  <c r="BQ176" i="31"/>
  <c r="CQ138" i="31"/>
  <c r="CV138" i="31"/>
  <c r="CK138" i="31"/>
  <c r="CO138" i="31"/>
  <c r="CB138" i="31"/>
  <c r="CL138" i="31"/>
  <c r="DD176" i="31"/>
  <c r="CP176" i="31"/>
  <c r="CY176" i="31"/>
  <c r="DH176" i="31"/>
  <c r="BN176" i="31"/>
  <c r="BY176" i="31"/>
  <c r="DD184" i="31"/>
  <c r="CH184" i="31"/>
  <c r="BP184" i="31"/>
  <c r="BU184" i="31"/>
  <c r="CR184" i="31"/>
  <c r="DF193" i="31"/>
  <c r="CW193" i="31"/>
  <c r="CY193" i="31"/>
  <c r="DH193" i="31"/>
  <c r="BN193" i="31"/>
  <c r="DE138" i="31"/>
  <c r="DG138" i="31"/>
  <c r="CX138" i="31"/>
  <c r="DA138" i="31"/>
  <c r="CJ138" i="31"/>
  <c r="DB138" i="31"/>
  <c r="DC176" i="31"/>
  <c r="CE176" i="31"/>
  <c r="BX176" i="31"/>
  <c r="DG176" i="31"/>
  <c r="BM176" i="31"/>
  <c r="BV176" i="31"/>
  <c r="BS138" i="31"/>
  <c r="BX138" i="31"/>
  <c r="BM138" i="31"/>
  <c r="BQ138" i="31"/>
  <c r="CR138" i="31"/>
  <c r="DJ138" i="31"/>
  <c r="CT138" i="31"/>
  <c r="DE143" i="31"/>
  <c r="CW143" i="31"/>
  <c r="CO143" i="31"/>
  <c r="CG143" i="31"/>
  <c r="BY143" i="31"/>
  <c r="BQ143" i="31"/>
  <c r="DJ143" i="31"/>
  <c r="DB143" i="31"/>
  <c r="CT143" i="31"/>
  <c r="CL143" i="31"/>
  <c r="CD143" i="31"/>
  <c r="BV143" i="31"/>
  <c r="BN143" i="31"/>
  <c r="DI143" i="31"/>
  <c r="DA143" i="31"/>
  <c r="CS143" i="31"/>
  <c r="CK143" i="31"/>
  <c r="CC143" i="31"/>
  <c r="BU143" i="31"/>
  <c r="BM143" i="31"/>
  <c r="DH143" i="31"/>
  <c r="CZ143" i="31"/>
  <c r="CR143" i="31"/>
  <c r="CJ143" i="31"/>
  <c r="CB143" i="31"/>
  <c r="BT143" i="31"/>
  <c r="BL143" i="31"/>
  <c r="DG143" i="31"/>
  <c r="CY143" i="31"/>
  <c r="CQ143" i="31"/>
  <c r="CI143" i="31"/>
  <c r="CA143" i="31"/>
  <c r="BS143" i="31"/>
  <c r="BK143" i="31"/>
  <c r="DD143" i="31"/>
  <c r="CH143" i="31"/>
  <c r="BO143" i="31"/>
  <c r="DC143" i="31"/>
  <c r="CF143" i="31"/>
  <c r="CX143" i="31"/>
  <c r="CE143" i="31"/>
  <c r="CV143" i="31"/>
  <c r="BZ143" i="31"/>
  <c r="CU143" i="31"/>
  <c r="BX143" i="31"/>
  <c r="CP143" i="31"/>
  <c r="BW143" i="31"/>
  <c r="CN143" i="31"/>
  <c r="BR143" i="31"/>
  <c r="CM143" i="31"/>
  <c r="BP143" i="31"/>
  <c r="DF143" i="31"/>
  <c r="DH168" i="31"/>
  <c r="CZ168" i="31"/>
  <c r="CR168" i="31"/>
  <c r="CJ168" i="31"/>
  <c r="CB168" i="31"/>
  <c r="BT168" i="31"/>
  <c r="BL168" i="31"/>
  <c r="DG168" i="31"/>
  <c r="CY168" i="31"/>
  <c r="CQ168" i="31"/>
  <c r="CI168" i="31"/>
  <c r="CA168" i="31"/>
  <c r="BS168" i="31"/>
  <c r="BK168" i="31"/>
  <c r="DE168" i="31"/>
  <c r="CW168" i="31"/>
  <c r="CO168" i="31"/>
  <c r="CG168" i="31"/>
  <c r="BY168" i="31"/>
  <c r="BQ168" i="31"/>
  <c r="CX168" i="31"/>
  <c r="CL168" i="31"/>
  <c r="BX168" i="31"/>
  <c r="BM168" i="31"/>
  <c r="DJ168" i="31"/>
  <c r="CV168" i="31"/>
  <c r="CK168" i="31"/>
  <c r="BW168" i="31"/>
  <c r="DI168" i="31"/>
  <c r="CU168" i="31"/>
  <c r="CH168" i="31"/>
  <c r="BV168" i="31"/>
  <c r="DF168" i="31"/>
  <c r="CT168" i="31"/>
  <c r="CF168" i="31"/>
  <c r="BU168" i="31"/>
  <c r="DC168" i="31"/>
  <c r="CP168" i="31"/>
  <c r="CD168" i="31"/>
  <c r="BP168" i="31"/>
  <c r="CS168" i="31"/>
  <c r="BN168" i="31"/>
  <c r="CN168" i="31"/>
  <c r="CM168" i="31"/>
  <c r="CE168" i="31"/>
  <c r="CC168" i="31"/>
  <c r="DD168" i="31"/>
  <c r="BZ168" i="31"/>
  <c r="DB168" i="31"/>
  <c r="BR168" i="31"/>
  <c r="DA168" i="31"/>
  <c r="BO168" i="31"/>
  <c r="DE133" i="31"/>
  <c r="CW133" i="31"/>
  <c r="CO133" i="31"/>
  <c r="CG133" i="31"/>
  <c r="BY133" i="31"/>
  <c r="BQ133" i="31"/>
  <c r="DD133" i="31"/>
  <c r="CV133" i="31"/>
  <c r="CN133" i="31"/>
  <c r="CF133" i="31"/>
  <c r="BX133" i="31"/>
  <c r="BP133" i="31"/>
  <c r="DC133" i="31"/>
  <c r="CU133" i="31"/>
  <c r="CM133" i="31"/>
  <c r="CE133" i="31"/>
  <c r="BW133" i="31"/>
  <c r="BO133" i="31"/>
  <c r="DJ133" i="31"/>
  <c r="DB133" i="31"/>
  <c r="CT133" i="31"/>
  <c r="CL133" i="31"/>
  <c r="CD133" i="31"/>
  <c r="BV133" i="31"/>
  <c r="BN133" i="31"/>
  <c r="DI133" i="31"/>
  <c r="DA133" i="31"/>
  <c r="CS133" i="31"/>
  <c r="CK133" i="31"/>
  <c r="CC133" i="31"/>
  <c r="BU133" i="31"/>
  <c r="BM133" i="31"/>
  <c r="DH133" i="31"/>
  <c r="CZ133" i="31"/>
  <c r="CR133" i="31"/>
  <c r="CJ133" i="31"/>
  <c r="CB133" i="31"/>
  <c r="BT133" i="31"/>
  <c r="BL133" i="31"/>
  <c r="DG133" i="31"/>
  <c r="CY133" i="31"/>
  <c r="CQ133" i="31"/>
  <c r="CI133" i="31"/>
  <c r="CA133" i="31"/>
  <c r="BS133" i="31"/>
  <c r="BK133" i="31"/>
  <c r="CH133" i="31"/>
  <c r="BZ133" i="31"/>
  <c r="BR133" i="31"/>
  <c r="CP133" i="31"/>
  <c r="DF133" i="31"/>
  <c r="CX133" i="31"/>
  <c r="DG149" i="31"/>
  <c r="CY149" i="31"/>
  <c r="CQ149" i="31"/>
  <c r="CI149" i="31"/>
  <c r="CA149" i="31"/>
  <c r="BS149" i="31"/>
  <c r="BK149" i="31"/>
  <c r="DD149" i="31"/>
  <c r="CV149" i="31"/>
  <c r="CN149" i="31"/>
  <c r="CF149" i="31"/>
  <c r="BX149" i="31"/>
  <c r="BP149" i="31"/>
  <c r="DC149" i="31"/>
  <c r="CU149" i="31"/>
  <c r="CM149" i="31"/>
  <c r="CE149" i="31"/>
  <c r="BW149" i="31"/>
  <c r="BO149" i="31"/>
  <c r="DJ149" i="31"/>
  <c r="DB149" i="31"/>
  <c r="CT149" i="31"/>
  <c r="CL149" i="31"/>
  <c r="CD149" i="31"/>
  <c r="BV149" i="31"/>
  <c r="BN149" i="31"/>
  <c r="DI149" i="31"/>
  <c r="DA149" i="31"/>
  <c r="CS149" i="31"/>
  <c r="CK149" i="31"/>
  <c r="CC149" i="31"/>
  <c r="BU149" i="31"/>
  <c r="BM149" i="31"/>
  <c r="DF149" i="31"/>
  <c r="CJ149" i="31"/>
  <c r="BQ149" i="31"/>
  <c r="DE149" i="31"/>
  <c r="CH149" i="31"/>
  <c r="BL149" i="31"/>
  <c r="CZ149" i="31"/>
  <c r="CG149" i="31"/>
  <c r="CX149" i="31"/>
  <c r="CB149" i="31"/>
  <c r="CW149" i="31"/>
  <c r="BZ149" i="31"/>
  <c r="CR149" i="31"/>
  <c r="BY149" i="31"/>
  <c r="CP149" i="31"/>
  <c r="BT149" i="31"/>
  <c r="DH149" i="31"/>
  <c r="CO149" i="31"/>
  <c r="BR149" i="31"/>
  <c r="DJ175" i="31"/>
  <c r="DB175" i="31"/>
  <c r="CT175" i="31"/>
  <c r="CL175" i="31"/>
  <c r="CD175" i="31"/>
  <c r="BV175" i="31"/>
  <c r="BN175" i="31"/>
  <c r="DG175" i="31"/>
  <c r="CY175" i="31"/>
  <c r="CQ175" i="31"/>
  <c r="CI175" i="31"/>
  <c r="CA175" i="31"/>
  <c r="BS175" i="31"/>
  <c r="BK175" i="31"/>
  <c r="DF175" i="31"/>
  <c r="CX175" i="31"/>
  <c r="CP175" i="31"/>
  <c r="CH175" i="31"/>
  <c r="BZ175" i="31"/>
  <c r="BR175" i="31"/>
  <c r="DE175" i="31"/>
  <c r="CW175" i="31"/>
  <c r="CO175" i="31"/>
  <c r="CG175" i="31"/>
  <c r="BY175" i="31"/>
  <c r="BQ175" i="31"/>
  <c r="DD175" i="31"/>
  <c r="CV175" i="31"/>
  <c r="CN175" i="31"/>
  <c r="CF175" i="31"/>
  <c r="BX175" i="31"/>
  <c r="BP175" i="31"/>
  <c r="DC175" i="31"/>
  <c r="CJ175" i="31"/>
  <c r="BM175" i="31"/>
  <c r="DA175" i="31"/>
  <c r="CE175" i="31"/>
  <c r="BL175" i="31"/>
  <c r="CU175" i="31"/>
  <c r="CB175" i="31"/>
  <c r="DH175" i="31"/>
  <c r="BU175" i="31"/>
  <c r="CZ175" i="31"/>
  <c r="BT175" i="31"/>
  <c r="CS175" i="31"/>
  <c r="BO175" i="31"/>
  <c r="CR175" i="31"/>
  <c r="CK175" i="31"/>
  <c r="DI175" i="31"/>
  <c r="CM175" i="31"/>
  <c r="CC175" i="31"/>
  <c r="BW175" i="31"/>
  <c r="DF159" i="31"/>
  <c r="CX159" i="31"/>
  <c r="CP159" i="31"/>
  <c r="CH159" i="31"/>
  <c r="BZ159" i="31"/>
  <c r="BR159" i="31"/>
  <c r="DE159" i="31"/>
  <c r="CW159" i="31"/>
  <c r="CO159" i="31"/>
  <c r="CG159" i="31"/>
  <c r="BY159" i="31"/>
  <c r="BQ159" i="31"/>
  <c r="DD159" i="31"/>
  <c r="CV159" i="31"/>
  <c r="CN159" i="31"/>
  <c r="CF159" i="31"/>
  <c r="BX159" i="31"/>
  <c r="BP159" i="31"/>
  <c r="DC159" i="31"/>
  <c r="CU159" i="31"/>
  <c r="CM159" i="31"/>
  <c r="CE159" i="31"/>
  <c r="BW159" i="31"/>
  <c r="BO159" i="31"/>
  <c r="DI159" i="31"/>
  <c r="DA159" i="31"/>
  <c r="CS159" i="31"/>
  <c r="CK159" i="31"/>
  <c r="CC159" i="31"/>
  <c r="BU159" i="31"/>
  <c r="BM159" i="31"/>
  <c r="DG159" i="31"/>
  <c r="CJ159" i="31"/>
  <c r="BN159" i="31"/>
  <c r="DB159" i="31"/>
  <c r="CI159" i="31"/>
  <c r="BL159" i="31"/>
  <c r="CZ159" i="31"/>
  <c r="CD159" i="31"/>
  <c r="BK159" i="31"/>
  <c r="CY159" i="31"/>
  <c r="CB159" i="31"/>
  <c r="CT159" i="31"/>
  <c r="CA159" i="31"/>
  <c r="CR159" i="31"/>
  <c r="BV159" i="31"/>
  <c r="DJ159" i="31"/>
  <c r="CQ159" i="31"/>
  <c r="BT159" i="31"/>
  <c r="DH159" i="31"/>
  <c r="CL159" i="31"/>
  <c r="BS159" i="31"/>
  <c r="DG134" i="31"/>
  <c r="DD134" i="31"/>
  <c r="DJ134" i="31"/>
  <c r="CZ134" i="31"/>
  <c r="CR134" i="31"/>
  <c r="CJ134" i="31"/>
  <c r="CB134" i="31"/>
  <c r="BT134" i="31"/>
  <c r="BL134" i="31"/>
  <c r="DI134" i="31"/>
  <c r="CY134" i="31"/>
  <c r="CQ134" i="31"/>
  <c r="CI134" i="31"/>
  <c r="CA134" i="31"/>
  <c r="BS134" i="31"/>
  <c r="BK134" i="31"/>
  <c r="DH134" i="31"/>
  <c r="CX134" i="31"/>
  <c r="CP134" i="31"/>
  <c r="CH134" i="31"/>
  <c r="BZ134" i="31"/>
  <c r="BR134" i="31"/>
  <c r="DF134" i="31"/>
  <c r="CW134" i="31"/>
  <c r="CO134" i="31"/>
  <c r="CG134" i="31"/>
  <c r="BY134" i="31"/>
  <c r="BQ134" i="31"/>
  <c r="DE134" i="31"/>
  <c r="CV134" i="31"/>
  <c r="CN134" i="31"/>
  <c r="CF134" i="31"/>
  <c r="BX134" i="31"/>
  <c r="BP134" i="31"/>
  <c r="DC134" i="31"/>
  <c r="CU134" i="31"/>
  <c r="CM134" i="31"/>
  <c r="CE134" i="31"/>
  <c r="BW134" i="31"/>
  <c r="BO134" i="31"/>
  <c r="DB134" i="31"/>
  <c r="CT134" i="31"/>
  <c r="CL134" i="31"/>
  <c r="CD134" i="31"/>
  <c r="BV134" i="31"/>
  <c r="BN134" i="31"/>
  <c r="CS134" i="31"/>
  <c r="CK134" i="31"/>
  <c r="CC134" i="31"/>
  <c r="BU134" i="31"/>
  <c r="BM134" i="31"/>
  <c r="DA134" i="31"/>
  <c r="F95" i="24"/>
  <c r="DH183" i="31"/>
  <c r="CZ183" i="31"/>
  <c r="CR183" i="31"/>
  <c r="CJ183" i="31"/>
  <c r="DE183" i="31"/>
  <c r="CW183" i="31"/>
  <c r="CO183" i="31"/>
  <c r="CG183" i="31"/>
  <c r="DA183" i="31"/>
  <c r="CP183" i="31"/>
  <c r="CE183" i="31"/>
  <c r="BW183" i="31"/>
  <c r="BO183" i="31"/>
  <c r="DG183" i="31"/>
  <c r="CV183" i="31"/>
  <c r="CL183" i="31"/>
  <c r="CB183" i="31"/>
  <c r="BT183" i="31"/>
  <c r="BL183" i="31"/>
  <c r="DF183" i="31"/>
  <c r="CU183" i="31"/>
  <c r="CK183" i="31"/>
  <c r="CA183" i="31"/>
  <c r="BS183" i="31"/>
  <c r="BK183" i="31"/>
  <c r="DD183" i="31"/>
  <c r="CT183" i="31"/>
  <c r="CI183" i="31"/>
  <c r="BZ183" i="31"/>
  <c r="BR183" i="31"/>
  <c r="DC183" i="31"/>
  <c r="CS183" i="31"/>
  <c r="CH183" i="31"/>
  <c r="BY183" i="31"/>
  <c r="BQ183" i="31"/>
  <c r="CM183" i="31"/>
  <c r="BN183" i="31"/>
  <c r="DB183" i="31"/>
  <c r="CC183" i="31"/>
  <c r="CY183" i="31"/>
  <c r="BX183" i="31"/>
  <c r="CX183" i="31"/>
  <c r="BV183" i="31"/>
  <c r="CQ183" i="31"/>
  <c r="BU183" i="31"/>
  <c r="CN183" i="31"/>
  <c r="CF183" i="31"/>
  <c r="BP183" i="31"/>
  <c r="DJ183" i="31"/>
  <c r="CD183" i="31"/>
  <c r="DI183" i="31"/>
  <c r="BM183" i="31"/>
  <c r="DE128" i="31"/>
  <c r="CW128" i="31"/>
  <c r="CO128" i="31"/>
  <c r="CG128" i="31"/>
  <c r="BY128" i="31"/>
  <c r="BQ128" i="31"/>
  <c r="DC128" i="31"/>
  <c r="CU128" i="31"/>
  <c r="CM128" i="31"/>
  <c r="CE128" i="31"/>
  <c r="BW128" i="31"/>
  <c r="BO128" i="31"/>
  <c r="DJ128" i="31"/>
  <c r="DB128" i="31"/>
  <c r="CT128" i="31"/>
  <c r="CL128" i="31"/>
  <c r="CD128" i="31"/>
  <c r="BV128" i="31"/>
  <c r="BN128" i="31"/>
  <c r="DI128" i="31"/>
  <c r="DA128" i="31"/>
  <c r="CS128" i="31"/>
  <c r="CK128" i="31"/>
  <c r="CC128" i="31"/>
  <c r="BU128" i="31"/>
  <c r="BM128" i="31"/>
  <c r="DH128" i="31"/>
  <c r="CZ128" i="31"/>
  <c r="CR128" i="31"/>
  <c r="CJ128" i="31"/>
  <c r="CB128" i="31"/>
  <c r="BT128" i="31"/>
  <c r="BL128" i="31"/>
  <c r="CY128" i="31"/>
  <c r="CF128" i="31"/>
  <c r="CX128" i="31"/>
  <c r="CA128" i="31"/>
  <c r="CV128" i="31"/>
  <c r="BZ128" i="31"/>
  <c r="DD128" i="31"/>
  <c r="BK128" i="31"/>
  <c r="CQ128" i="31"/>
  <c r="BX128" i="31"/>
  <c r="CP128" i="31"/>
  <c r="BS128" i="31"/>
  <c r="DG128" i="31"/>
  <c r="CN128" i="31"/>
  <c r="BR128" i="31"/>
  <c r="DF128" i="31"/>
  <c r="CI128" i="31"/>
  <c r="BP128" i="31"/>
  <c r="CH128" i="31"/>
  <c r="DF146" i="31"/>
  <c r="CX146" i="31"/>
  <c r="CP146" i="31"/>
  <c r="CH146" i="31"/>
  <c r="BZ146" i="31"/>
  <c r="BR146" i="31"/>
  <c r="DC146" i="31"/>
  <c r="CU146" i="31"/>
  <c r="CM146" i="31"/>
  <c r="CE146" i="31"/>
  <c r="BW146" i="31"/>
  <c r="BO146" i="31"/>
  <c r="DJ146" i="31"/>
  <c r="DB146" i="31"/>
  <c r="CT146" i="31"/>
  <c r="CL146" i="31"/>
  <c r="CD146" i="31"/>
  <c r="BV146" i="31"/>
  <c r="BN146" i="31"/>
  <c r="DI146" i="31"/>
  <c r="DA146" i="31"/>
  <c r="CS146" i="31"/>
  <c r="CK146" i="31"/>
  <c r="CC146" i="31"/>
  <c r="BU146" i="31"/>
  <c r="BM146" i="31"/>
  <c r="DH146" i="31"/>
  <c r="CZ146" i="31"/>
  <c r="CR146" i="31"/>
  <c r="CJ146" i="31"/>
  <c r="CB146" i="31"/>
  <c r="BT146" i="31"/>
  <c r="BL146" i="31"/>
  <c r="CV146" i="31"/>
  <c r="BY146" i="31"/>
  <c r="CQ146" i="31"/>
  <c r="BX146" i="31"/>
  <c r="CO146" i="31"/>
  <c r="BS146" i="31"/>
  <c r="DG146" i="31"/>
  <c r="CN146" i="31"/>
  <c r="BQ146" i="31"/>
  <c r="DE146" i="31"/>
  <c r="CI146" i="31"/>
  <c r="BP146" i="31"/>
  <c r="DD146" i="31"/>
  <c r="CG146" i="31"/>
  <c r="BK146" i="31"/>
  <c r="CY146" i="31"/>
  <c r="CF146" i="31"/>
  <c r="CW146" i="31"/>
  <c r="CA146" i="31"/>
  <c r="DJ200" i="31"/>
  <c r="DB200" i="31"/>
  <c r="CT200" i="31"/>
  <c r="CL200" i="31"/>
  <c r="CD200" i="31"/>
  <c r="BV200" i="31"/>
  <c r="BN200" i="31"/>
  <c r="DG200" i="31"/>
  <c r="CY200" i="31"/>
  <c r="CQ200" i="31"/>
  <c r="CI200" i="31"/>
  <c r="CA200" i="31"/>
  <c r="BS200" i="31"/>
  <c r="BK200" i="31"/>
  <c r="DF200" i="31"/>
  <c r="CX200" i="31"/>
  <c r="CP200" i="31"/>
  <c r="CH200" i="31"/>
  <c r="BZ200" i="31"/>
  <c r="BR200" i="31"/>
  <c r="DE200" i="31"/>
  <c r="CW200" i="31"/>
  <c r="CO200" i="31"/>
  <c r="CG200" i="31"/>
  <c r="BY200" i="31"/>
  <c r="BQ200" i="31"/>
  <c r="DD200" i="31"/>
  <c r="CV200" i="31"/>
  <c r="CN200" i="31"/>
  <c r="CF200" i="31"/>
  <c r="BX200" i="31"/>
  <c r="BP200" i="31"/>
  <c r="CS200" i="31"/>
  <c r="BW200" i="31"/>
  <c r="DI200" i="31"/>
  <c r="CM200" i="31"/>
  <c r="BT200" i="31"/>
  <c r="DH200" i="31"/>
  <c r="CK200" i="31"/>
  <c r="BO200" i="31"/>
  <c r="DC200" i="31"/>
  <c r="CJ200" i="31"/>
  <c r="BM200" i="31"/>
  <c r="DA200" i="31"/>
  <c r="CE200" i="31"/>
  <c r="BL200" i="31"/>
  <c r="CZ200" i="31"/>
  <c r="CU200" i="31"/>
  <c r="CC200" i="31"/>
  <c r="CR200" i="31"/>
  <c r="CB200" i="31"/>
  <c r="BU200" i="31"/>
  <c r="DD164" i="31"/>
  <c r="CV164" i="31"/>
  <c r="CN164" i="31"/>
  <c r="CF164" i="31"/>
  <c r="BX164" i="31"/>
  <c r="BP164" i="31"/>
  <c r="DC164" i="31"/>
  <c r="CU164" i="31"/>
  <c r="CM164" i="31"/>
  <c r="CE164" i="31"/>
  <c r="BW164" i="31"/>
  <c r="BO164" i="31"/>
  <c r="DI164" i="31"/>
  <c r="DA164" i="31"/>
  <c r="CS164" i="31"/>
  <c r="CK164" i="31"/>
  <c r="CC164" i="31"/>
  <c r="BU164" i="31"/>
  <c r="BM164" i="31"/>
  <c r="DF164" i="31"/>
  <c r="CR164" i="31"/>
  <c r="CG164" i="31"/>
  <c r="BS164" i="31"/>
  <c r="DE164" i="31"/>
  <c r="CQ164" i="31"/>
  <c r="CD164" i="31"/>
  <c r="BR164" i="31"/>
  <c r="DB164" i="31"/>
  <c r="CP164" i="31"/>
  <c r="CB164" i="31"/>
  <c r="BQ164" i="31"/>
  <c r="CZ164" i="31"/>
  <c r="CO164" i="31"/>
  <c r="CA164" i="31"/>
  <c r="BN164" i="31"/>
  <c r="DJ164" i="31"/>
  <c r="CX164" i="31"/>
  <c r="CJ164" i="31"/>
  <c r="BY164" i="31"/>
  <c r="BK164" i="31"/>
  <c r="CY164" i="31"/>
  <c r="BT164" i="31"/>
  <c r="CW164" i="31"/>
  <c r="BL164" i="31"/>
  <c r="CT164" i="31"/>
  <c r="CL164" i="31"/>
  <c r="CI164" i="31"/>
  <c r="CH164" i="31"/>
  <c r="DH164" i="31"/>
  <c r="BZ164" i="31"/>
  <c r="DG164" i="31"/>
  <c r="BV164" i="31"/>
  <c r="DJ153" i="31"/>
  <c r="DB153" i="31"/>
  <c r="CT153" i="31"/>
  <c r="CL153" i="31"/>
  <c r="CD153" i="31"/>
  <c r="BV153" i="31"/>
  <c r="BN153" i="31"/>
  <c r="DI153" i="31"/>
  <c r="DA153" i="31"/>
  <c r="CS153" i="31"/>
  <c r="CK153" i="31"/>
  <c r="CC153" i="31"/>
  <c r="BU153" i="31"/>
  <c r="BM153" i="31"/>
  <c r="DG153" i="31"/>
  <c r="CY153" i="31"/>
  <c r="CQ153" i="31"/>
  <c r="CI153" i="31"/>
  <c r="CA153" i="31"/>
  <c r="BS153" i="31"/>
  <c r="BK153" i="31"/>
  <c r="DC153" i="31"/>
  <c r="CO153" i="31"/>
  <c r="CB153" i="31"/>
  <c r="BP153" i="31"/>
  <c r="CW153" i="31"/>
  <c r="CJ153" i="31"/>
  <c r="BX153" i="31"/>
  <c r="DH153" i="31"/>
  <c r="CV153" i="31"/>
  <c r="CH153" i="31"/>
  <c r="BW153" i="31"/>
  <c r="DF153" i="31"/>
  <c r="CU153" i="31"/>
  <c r="CG153" i="31"/>
  <c r="BT153" i="31"/>
  <c r="DE153" i="31"/>
  <c r="CR153" i="31"/>
  <c r="CF153" i="31"/>
  <c r="BR153" i="31"/>
  <c r="DD153" i="31"/>
  <c r="BY153" i="31"/>
  <c r="CZ153" i="31"/>
  <c r="BQ153" i="31"/>
  <c r="CX153" i="31"/>
  <c r="BO153" i="31"/>
  <c r="CP153" i="31"/>
  <c r="BL153" i="31"/>
  <c r="CN153" i="31"/>
  <c r="CM153" i="31"/>
  <c r="CE153" i="31"/>
  <c r="BZ153" i="31"/>
  <c r="DI172" i="31"/>
  <c r="DA172" i="31"/>
  <c r="CS172" i="31"/>
  <c r="CK172" i="31"/>
  <c r="CC172" i="31"/>
  <c r="BU172" i="31"/>
  <c r="BM172" i="31"/>
  <c r="DF172" i="31"/>
  <c r="CX172" i="31"/>
  <c r="CP172" i="31"/>
  <c r="CH172" i="31"/>
  <c r="BZ172" i="31"/>
  <c r="BR172" i="31"/>
  <c r="DE172" i="31"/>
  <c r="CW172" i="31"/>
  <c r="CO172" i="31"/>
  <c r="CG172" i="31"/>
  <c r="BY172" i="31"/>
  <c r="BQ172" i="31"/>
  <c r="DD172" i="31"/>
  <c r="CV172" i="31"/>
  <c r="CN172" i="31"/>
  <c r="CF172" i="31"/>
  <c r="BX172" i="31"/>
  <c r="BP172" i="31"/>
  <c r="DC172" i="31"/>
  <c r="CU172" i="31"/>
  <c r="CM172" i="31"/>
  <c r="CE172" i="31"/>
  <c r="BW172" i="31"/>
  <c r="BO172" i="31"/>
  <c r="CR172" i="31"/>
  <c r="BV172" i="31"/>
  <c r="DJ172" i="31"/>
  <c r="CQ172" i="31"/>
  <c r="BT172" i="31"/>
  <c r="DG172" i="31"/>
  <c r="CJ172" i="31"/>
  <c r="BN172" i="31"/>
  <c r="CT172" i="31"/>
  <c r="BK172" i="31"/>
  <c r="CL172" i="31"/>
  <c r="CI172" i="31"/>
  <c r="CD172" i="31"/>
  <c r="DB172" i="31"/>
  <c r="CA172" i="31"/>
  <c r="DH172" i="31"/>
  <c r="CZ172" i="31"/>
  <c r="CY172" i="31"/>
  <c r="CB172" i="31"/>
  <c r="BS172" i="31"/>
  <c r="BL172" i="31"/>
  <c r="DD161" i="31"/>
  <c r="CV161" i="31"/>
  <c r="CN161" i="31"/>
  <c r="CF161" i="31"/>
  <c r="BX161" i="31"/>
  <c r="BP161" i="31"/>
  <c r="DC161" i="31"/>
  <c r="CU161" i="31"/>
  <c r="CM161" i="31"/>
  <c r="CE161" i="31"/>
  <c r="BW161" i="31"/>
  <c r="BO161" i="31"/>
  <c r="DJ161" i="31"/>
  <c r="DB161" i="31"/>
  <c r="CT161" i="31"/>
  <c r="CL161" i="31"/>
  <c r="CD161" i="31"/>
  <c r="BV161" i="31"/>
  <c r="BN161" i="31"/>
  <c r="DI161" i="31"/>
  <c r="DA161" i="31"/>
  <c r="CS161" i="31"/>
  <c r="CK161" i="31"/>
  <c r="CC161" i="31"/>
  <c r="BU161" i="31"/>
  <c r="BM161" i="31"/>
  <c r="DG161" i="31"/>
  <c r="CY161" i="31"/>
  <c r="CQ161" i="31"/>
  <c r="CI161" i="31"/>
  <c r="CA161" i="31"/>
  <c r="BS161" i="31"/>
  <c r="BK161" i="31"/>
  <c r="DF161" i="31"/>
  <c r="CJ161" i="31"/>
  <c r="BQ161" i="31"/>
  <c r="DE161" i="31"/>
  <c r="CH161" i="31"/>
  <c r="BL161" i="31"/>
  <c r="CZ161" i="31"/>
  <c r="CG161" i="31"/>
  <c r="CX161" i="31"/>
  <c r="CB161" i="31"/>
  <c r="CW161" i="31"/>
  <c r="BZ161" i="31"/>
  <c r="CR161" i="31"/>
  <c r="BY161" i="31"/>
  <c r="CP161" i="31"/>
  <c r="BT161" i="31"/>
  <c r="DH161" i="31"/>
  <c r="CO161" i="31"/>
  <c r="BR161" i="31"/>
  <c r="DC116" i="31"/>
  <c r="CU116" i="31"/>
  <c r="CM116" i="31"/>
  <c r="CE116" i="31"/>
  <c r="BW116" i="31"/>
  <c r="BO116" i="31"/>
  <c r="BX116" i="31"/>
  <c r="DJ116" i="31"/>
  <c r="DB116" i="31"/>
  <c r="CT116" i="31"/>
  <c r="CL116" i="31"/>
  <c r="CD116" i="31"/>
  <c r="BV116" i="31"/>
  <c r="BN116" i="31"/>
  <c r="CN116" i="31"/>
  <c r="DI116" i="31"/>
  <c r="DA116" i="31"/>
  <c r="CS116" i="31"/>
  <c r="CK116" i="31"/>
  <c r="CC116" i="31"/>
  <c r="BU116" i="31"/>
  <c r="BM116" i="31"/>
  <c r="CF116" i="31"/>
  <c r="DH116" i="31"/>
  <c r="CZ116" i="31"/>
  <c r="CR116" i="31"/>
  <c r="CJ116" i="31"/>
  <c r="CB116" i="31"/>
  <c r="BT116" i="31"/>
  <c r="BL116" i="31"/>
  <c r="DG116" i="31"/>
  <c r="CY116" i="31"/>
  <c r="CQ116" i="31"/>
  <c r="CI116" i="31"/>
  <c r="CA116" i="31"/>
  <c r="BS116" i="31"/>
  <c r="BK116" i="31"/>
  <c r="DD116" i="31"/>
  <c r="DF116" i="31"/>
  <c r="CX116" i="31"/>
  <c r="CP116" i="31"/>
  <c r="CH116" i="31"/>
  <c r="BZ116" i="31"/>
  <c r="BR116" i="31"/>
  <c r="DE116" i="31"/>
  <c r="CW116" i="31"/>
  <c r="CO116" i="31"/>
  <c r="CG116" i="31"/>
  <c r="BY116" i="31"/>
  <c r="BQ116" i="31"/>
  <c r="CV116" i="31"/>
  <c r="BP116" i="31"/>
  <c r="DG179" i="31"/>
  <c r="CY179" i="31"/>
  <c r="CQ179" i="31"/>
  <c r="CI179" i="31"/>
  <c r="CA179" i="31"/>
  <c r="BS179" i="31"/>
  <c r="BK179" i="31"/>
  <c r="DD179" i="31"/>
  <c r="CV179" i="31"/>
  <c r="CN179" i="31"/>
  <c r="CF179" i="31"/>
  <c r="BX179" i="31"/>
  <c r="BP179" i="31"/>
  <c r="DC179" i="31"/>
  <c r="CU179" i="31"/>
  <c r="CM179" i="31"/>
  <c r="CE179" i="31"/>
  <c r="BW179" i="31"/>
  <c r="BO179" i="31"/>
  <c r="DJ179" i="31"/>
  <c r="DB179" i="31"/>
  <c r="DI179" i="31"/>
  <c r="DA179" i="31"/>
  <c r="CS179" i="31"/>
  <c r="CK179" i="31"/>
  <c r="DE179" i="31"/>
  <c r="CL179" i="31"/>
  <c r="BY179" i="31"/>
  <c r="BL179" i="31"/>
  <c r="CW179" i="31"/>
  <c r="CG179" i="31"/>
  <c r="BT179" i="31"/>
  <c r="CT179" i="31"/>
  <c r="CD179" i="31"/>
  <c r="BR179" i="31"/>
  <c r="CR179" i="31"/>
  <c r="CC179" i="31"/>
  <c r="BQ179" i="31"/>
  <c r="DH179" i="31"/>
  <c r="CP179" i="31"/>
  <c r="CB179" i="31"/>
  <c r="BN179" i="31"/>
  <c r="CH179" i="31"/>
  <c r="BZ179" i="31"/>
  <c r="DF179" i="31"/>
  <c r="BU179" i="31"/>
  <c r="CJ179" i="31"/>
  <c r="BV179" i="31"/>
  <c r="BM179" i="31"/>
  <c r="CZ179" i="31"/>
  <c r="CX179" i="31"/>
  <c r="CO179" i="31"/>
  <c r="DC198" i="31"/>
  <c r="CU198" i="31"/>
  <c r="CM198" i="31"/>
  <c r="CE198" i="31"/>
  <c r="BW198" i="31"/>
  <c r="BO198" i="31"/>
  <c r="DI198" i="31"/>
  <c r="DA198" i="31"/>
  <c r="CS198" i="31"/>
  <c r="CK198" i="31"/>
  <c r="CC198" i="31"/>
  <c r="BU198" i="31"/>
  <c r="BM198" i="31"/>
  <c r="DH198" i="31"/>
  <c r="CZ198" i="31"/>
  <c r="CR198" i="31"/>
  <c r="CJ198" i="31"/>
  <c r="CB198" i="31"/>
  <c r="BT198" i="31"/>
  <c r="BL198" i="31"/>
  <c r="DG198" i="31"/>
  <c r="CY198" i="31"/>
  <c r="CQ198" i="31"/>
  <c r="CI198" i="31"/>
  <c r="CA198" i="31"/>
  <c r="BS198" i="31"/>
  <c r="BK198" i="31"/>
  <c r="DF198" i="31"/>
  <c r="CX198" i="31"/>
  <c r="CP198" i="31"/>
  <c r="CH198" i="31"/>
  <c r="BZ198" i="31"/>
  <c r="BR198" i="31"/>
  <c r="CO198" i="31"/>
  <c r="BV198" i="31"/>
  <c r="DJ198" i="31"/>
  <c r="CN198" i="31"/>
  <c r="BQ198" i="31"/>
  <c r="DD198" i="31"/>
  <c r="CG198" i="31"/>
  <c r="BN198" i="31"/>
  <c r="DB198" i="31"/>
  <c r="BX198" i="31"/>
  <c r="CT198" i="31"/>
  <c r="CL198" i="31"/>
  <c r="CF198" i="31"/>
  <c r="CD198" i="31"/>
  <c r="CW198" i="31"/>
  <c r="BP198" i="31"/>
  <c r="CV198" i="31"/>
  <c r="DE198" i="31"/>
  <c r="BY198" i="31"/>
  <c r="F113" i="24"/>
  <c r="DE201" i="31"/>
  <c r="CW201" i="31"/>
  <c r="CO201" i="31"/>
  <c r="CG201" i="31"/>
  <c r="BY201" i="31"/>
  <c r="BQ201" i="31"/>
  <c r="DJ201" i="31"/>
  <c r="DB201" i="31"/>
  <c r="CT201" i="31"/>
  <c r="CL201" i="31"/>
  <c r="CD201" i="31"/>
  <c r="BV201" i="31"/>
  <c r="BN201" i="31"/>
  <c r="DI201" i="31"/>
  <c r="DA201" i="31"/>
  <c r="CS201" i="31"/>
  <c r="CK201" i="31"/>
  <c r="CC201" i="31"/>
  <c r="BU201" i="31"/>
  <c r="BM201" i="31"/>
  <c r="DH201" i="31"/>
  <c r="CZ201" i="31"/>
  <c r="CR201" i="31"/>
  <c r="CJ201" i="31"/>
  <c r="CB201" i="31"/>
  <c r="BT201" i="31"/>
  <c r="BL201" i="31"/>
  <c r="DG201" i="31"/>
  <c r="CY201" i="31"/>
  <c r="CQ201" i="31"/>
  <c r="CI201" i="31"/>
  <c r="CA201" i="31"/>
  <c r="BS201" i="31"/>
  <c r="BK201" i="31"/>
  <c r="DD201" i="31"/>
  <c r="CH201" i="31"/>
  <c r="BO201" i="31"/>
  <c r="CX201" i="31"/>
  <c r="CE201" i="31"/>
  <c r="CV201" i="31"/>
  <c r="BZ201" i="31"/>
  <c r="CU201" i="31"/>
  <c r="BX201" i="31"/>
  <c r="CP201" i="31"/>
  <c r="BW201" i="31"/>
  <c r="DF201" i="31"/>
  <c r="DC201" i="31"/>
  <c r="CM201" i="31"/>
  <c r="CN201" i="31"/>
  <c r="BP201" i="31"/>
  <c r="BR201" i="31"/>
  <c r="CF201" i="31"/>
  <c r="F102" i="24"/>
  <c r="DE190" i="31"/>
  <c r="CW190" i="31"/>
  <c r="CO190" i="31"/>
  <c r="CG190" i="31"/>
  <c r="BY190" i="31"/>
  <c r="BQ190" i="31"/>
  <c r="DD190" i="31"/>
  <c r="CV190" i="31"/>
  <c r="CN190" i="31"/>
  <c r="CF190" i="31"/>
  <c r="BX190" i="31"/>
  <c r="BP190" i="31"/>
  <c r="DJ190" i="31"/>
  <c r="DB190" i="31"/>
  <c r="CT190" i="31"/>
  <c r="CL190" i="31"/>
  <c r="CD190" i="31"/>
  <c r="BV190" i="31"/>
  <c r="BN190" i="31"/>
  <c r="DG190" i="31"/>
  <c r="CS190" i="31"/>
  <c r="CH190" i="31"/>
  <c r="BT190" i="31"/>
  <c r="DA190" i="31"/>
  <c r="CP190" i="31"/>
  <c r="CB190" i="31"/>
  <c r="BO190" i="31"/>
  <c r="CZ190" i="31"/>
  <c r="CM190" i="31"/>
  <c r="CA190" i="31"/>
  <c r="BM190" i="31"/>
  <c r="CY190" i="31"/>
  <c r="CK190" i="31"/>
  <c r="BZ190" i="31"/>
  <c r="BL190" i="31"/>
  <c r="DI190" i="31"/>
  <c r="CX190" i="31"/>
  <c r="CJ190" i="31"/>
  <c r="BW190" i="31"/>
  <c r="BK190" i="31"/>
  <c r="CE190" i="31"/>
  <c r="DC190" i="31"/>
  <c r="BS190" i="31"/>
  <c r="CU190" i="31"/>
  <c r="BR190" i="31"/>
  <c r="CR190" i="31"/>
  <c r="CQ190" i="31"/>
  <c r="CC190" i="31"/>
  <c r="BU190" i="31"/>
  <c r="CI190" i="31"/>
  <c r="DH190" i="31"/>
  <c r="DF190" i="31"/>
  <c r="F48" i="24"/>
  <c r="DE136" i="31"/>
  <c r="CW136" i="31"/>
  <c r="CO136" i="31"/>
  <c r="CG136" i="31"/>
  <c r="BY136" i="31"/>
  <c r="BQ136" i="31"/>
  <c r="DJ136" i="31"/>
  <c r="DB136" i="31"/>
  <c r="CT136" i="31"/>
  <c r="CL136" i="31"/>
  <c r="CD136" i="31"/>
  <c r="BV136" i="31"/>
  <c r="BN136" i="31"/>
  <c r="CZ136" i="31"/>
  <c r="CP136" i="31"/>
  <c r="CE136" i="31"/>
  <c r="BT136" i="31"/>
  <c r="DI136" i="31"/>
  <c r="CY136" i="31"/>
  <c r="CN136" i="31"/>
  <c r="CC136" i="31"/>
  <c r="BS136" i="31"/>
  <c r="DH136" i="31"/>
  <c r="CX136" i="31"/>
  <c r="CM136" i="31"/>
  <c r="CB136" i="31"/>
  <c r="BR136" i="31"/>
  <c r="DG136" i="31"/>
  <c r="CV136" i="31"/>
  <c r="CK136" i="31"/>
  <c r="CA136" i="31"/>
  <c r="BP136" i="31"/>
  <c r="DF136" i="31"/>
  <c r="CU136" i="31"/>
  <c r="CJ136" i="31"/>
  <c r="BZ136" i="31"/>
  <c r="BO136" i="31"/>
  <c r="DD136" i="31"/>
  <c r="CS136" i="31"/>
  <c r="CI136" i="31"/>
  <c r="BX136" i="31"/>
  <c r="BM136" i="31"/>
  <c r="DC136" i="31"/>
  <c r="CR136" i="31"/>
  <c r="CH136" i="31"/>
  <c r="BW136" i="31"/>
  <c r="BL136" i="31"/>
  <c r="BU136" i="31"/>
  <c r="BK136" i="31"/>
  <c r="CF136" i="31"/>
  <c r="DA136" i="31"/>
  <c r="CQ136" i="31"/>
  <c r="F119" i="24"/>
  <c r="DG207" i="31"/>
  <c r="CY207" i="31"/>
  <c r="CQ207" i="31"/>
  <c r="CI207" i="31"/>
  <c r="CA207" i="31"/>
  <c r="BS207" i="31"/>
  <c r="BK207" i="31"/>
  <c r="DD207" i="31"/>
  <c r="CV207" i="31"/>
  <c r="CN207" i="31"/>
  <c r="CF207" i="31"/>
  <c r="BX207" i="31"/>
  <c r="BP207" i="31"/>
  <c r="DC207" i="31"/>
  <c r="CU207" i="31"/>
  <c r="CM207" i="31"/>
  <c r="CE207" i="31"/>
  <c r="BW207" i="31"/>
  <c r="BO207" i="31"/>
  <c r="DJ207" i="31"/>
  <c r="DB207" i="31"/>
  <c r="CT207" i="31"/>
  <c r="CL207" i="31"/>
  <c r="CD207" i="31"/>
  <c r="BV207" i="31"/>
  <c r="BN207" i="31"/>
  <c r="DI207" i="31"/>
  <c r="DA207" i="31"/>
  <c r="CS207" i="31"/>
  <c r="CK207" i="31"/>
  <c r="CC207" i="31"/>
  <c r="BU207" i="31"/>
  <c r="BM207" i="31"/>
  <c r="DF207" i="31"/>
  <c r="CJ207" i="31"/>
  <c r="BQ207" i="31"/>
  <c r="CZ207" i="31"/>
  <c r="CG207" i="31"/>
  <c r="CX207" i="31"/>
  <c r="CB207" i="31"/>
  <c r="CW207" i="31"/>
  <c r="BZ207" i="31"/>
  <c r="CR207" i="31"/>
  <c r="BY207" i="31"/>
  <c r="BT207" i="31"/>
  <c r="BR207" i="31"/>
  <c r="DH207" i="31"/>
  <c r="DE207" i="31"/>
  <c r="CP207" i="31"/>
  <c r="CO207" i="31"/>
  <c r="CH207" i="31"/>
  <c r="BL207" i="31"/>
  <c r="DI147" i="31"/>
  <c r="DA147" i="31"/>
  <c r="CS147" i="31"/>
  <c r="CK147" i="31"/>
  <c r="CC147" i="31"/>
  <c r="BU147" i="31"/>
  <c r="BM147" i="31"/>
  <c r="DF147" i="31"/>
  <c r="CX147" i="31"/>
  <c r="CP147" i="31"/>
  <c r="CH147" i="31"/>
  <c r="BZ147" i="31"/>
  <c r="BR147" i="31"/>
  <c r="DE147" i="31"/>
  <c r="CW147" i="31"/>
  <c r="CO147" i="31"/>
  <c r="CG147" i="31"/>
  <c r="BY147" i="31"/>
  <c r="BQ147" i="31"/>
  <c r="DD147" i="31"/>
  <c r="CV147" i="31"/>
  <c r="CN147" i="31"/>
  <c r="CF147" i="31"/>
  <c r="BX147" i="31"/>
  <c r="BP147" i="31"/>
  <c r="DC147" i="31"/>
  <c r="CU147" i="31"/>
  <c r="CM147" i="31"/>
  <c r="CE147" i="31"/>
  <c r="BW147" i="31"/>
  <c r="BO147" i="31"/>
  <c r="DG147" i="31"/>
  <c r="CJ147" i="31"/>
  <c r="BN147" i="31"/>
  <c r="DB147" i="31"/>
  <c r="CI147" i="31"/>
  <c r="BL147" i="31"/>
  <c r="CZ147" i="31"/>
  <c r="CD147" i="31"/>
  <c r="BK147" i="31"/>
  <c r="CY147" i="31"/>
  <c r="CB147" i="31"/>
  <c r="CT147" i="31"/>
  <c r="CA147" i="31"/>
  <c r="CR147" i="31"/>
  <c r="BV147" i="31"/>
  <c r="DJ147" i="31"/>
  <c r="CQ147" i="31"/>
  <c r="BT147" i="31"/>
  <c r="DH147" i="31"/>
  <c r="BS147" i="31"/>
  <c r="CL147" i="31"/>
  <c r="DI192" i="31"/>
  <c r="DA192" i="31"/>
  <c r="CS192" i="31"/>
  <c r="CK192" i="31"/>
  <c r="CC192" i="31"/>
  <c r="BU192" i="31"/>
  <c r="BM192" i="31"/>
  <c r="DG192" i="31"/>
  <c r="CY192" i="31"/>
  <c r="CQ192" i="31"/>
  <c r="CI192" i="31"/>
  <c r="CA192" i="31"/>
  <c r="BS192" i="31"/>
  <c r="BK192" i="31"/>
  <c r="DF192" i="31"/>
  <c r="CX192" i="31"/>
  <c r="CP192" i="31"/>
  <c r="CH192" i="31"/>
  <c r="BZ192" i="31"/>
  <c r="BR192" i="31"/>
  <c r="DE192" i="31"/>
  <c r="CW192" i="31"/>
  <c r="CO192" i="31"/>
  <c r="CG192" i="31"/>
  <c r="BY192" i="31"/>
  <c r="BQ192" i="31"/>
  <c r="DD192" i="31"/>
  <c r="CV192" i="31"/>
  <c r="CN192" i="31"/>
  <c r="CF192" i="31"/>
  <c r="BX192" i="31"/>
  <c r="BP192" i="31"/>
  <c r="DJ192" i="31"/>
  <c r="CM192" i="31"/>
  <c r="BT192" i="31"/>
  <c r="DH192" i="31"/>
  <c r="CL192" i="31"/>
  <c r="BO192" i="31"/>
  <c r="DB192" i="31"/>
  <c r="CE192" i="31"/>
  <c r="BL192" i="31"/>
  <c r="CD192" i="31"/>
  <c r="CZ192" i="31"/>
  <c r="BV192" i="31"/>
  <c r="CU192" i="31"/>
  <c r="BN192" i="31"/>
  <c r="CT192" i="31"/>
  <c r="CR192" i="31"/>
  <c r="DC192" i="31"/>
  <c r="CJ192" i="31"/>
  <c r="CB192" i="31"/>
  <c r="BW192" i="31"/>
  <c r="DJ166" i="31"/>
  <c r="DB166" i="31"/>
  <c r="CT166" i="31"/>
  <c r="CL166" i="31"/>
  <c r="CD166" i="31"/>
  <c r="BV166" i="31"/>
  <c r="BN166" i="31"/>
  <c r="DI166" i="31"/>
  <c r="DA166" i="31"/>
  <c r="CS166" i="31"/>
  <c r="CK166" i="31"/>
  <c r="CC166" i="31"/>
  <c r="BU166" i="31"/>
  <c r="BM166" i="31"/>
  <c r="DG166" i="31"/>
  <c r="CY166" i="31"/>
  <c r="CQ166" i="31"/>
  <c r="CI166" i="31"/>
  <c r="CA166" i="31"/>
  <c r="BS166" i="31"/>
  <c r="BK166" i="31"/>
  <c r="DC166" i="31"/>
  <c r="CO166" i="31"/>
  <c r="CB166" i="31"/>
  <c r="BP166" i="31"/>
  <c r="CZ166" i="31"/>
  <c r="CN166" i="31"/>
  <c r="BZ166" i="31"/>
  <c r="BO166" i="31"/>
  <c r="CX166" i="31"/>
  <c r="CM166" i="31"/>
  <c r="BY166" i="31"/>
  <c r="BL166" i="31"/>
  <c r="CW166" i="31"/>
  <c r="CJ166" i="31"/>
  <c r="BX166" i="31"/>
  <c r="DF166" i="31"/>
  <c r="CU166" i="31"/>
  <c r="CG166" i="31"/>
  <c r="BT166" i="31"/>
  <c r="CV166" i="31"/>
  <c r="BQ166" i="31"/>
  <c r="CR166" i="31"/>
  <c r="CP166" i="31"/>
  <c r="CH166" i="31"/>
  <c r="CF166" i="31"/>
  <c r="DH166" i="31"/>
  <c r="CE166" i="31"/>
  <c r="DE166" i="31"/>
  <c r="BW166" i="31"/>
  <c r="DD166" i="31"/>
  <c r="BR166" i="31"/>
  <c r="DF185" i="31"/>
  <c r="CX185" i="31"/>
  <c r="CP185" i="31"/>
  <c r="CH185" i="31"/>
  <c r="BZ185" i="31"/>
  <c r="BR185" i="31"/>
  <c r="DE185" i="31"/>
  <c r="CW185" i="31"/>
  <c r="CO185" i="31"/>
  <c r="CG185" i="31"/>
  <c r="BY185" i="31"/>
  <c r="BQ185" i="31"/>
  <c r="DC185" i="31"/>
  <c r="CU185" i="31"/>
  <c r="CM185" i="31"/>
  <c r="CE185" i="31"/>
  <c r="BW185" i="31"/>
  <c r="BO185" i="31"/>
  <c r="DB185" i="31"/>
  <c r="CQ185" i="31"/>
  <c r="CC185" i="31"/>
  <c r="BP185" i="31"/>
  <c r="DJ185" i="31"/>
  <c r="CY185" i="31"/>
  <c r="CK185" i="31"/>
  <c r="BX185" i="31"/>
  <c r="BL185" i="31"/>
  <c r="DI185" i="31"/>
  <c r="CV185" i="31"/>
  <c r="CJ185" i="31"/>
  <c r="BV185" i="31"/>
  <c r="BK185" i="31"/>
  <c r="DH185" i="31"/>
  <c r="CT185" i="31"/>
  <c r="CI185" i="31"/>
  <c r="BU185" i="31"/>
  <c r="DG185" i="31"/>
  <c r="CS185" i="31"/>
  <c r="CF185" i="31"/>
  <c r="BT185" i="31"/>
  <c r="DD185" i="31"/>
  <c r="CA185" i="31"/>
  <c r="CR185" i="31"/>
  <c r="BM185" i="31"/>
  <c r="CN185" i="31"/>
  <c r="CL185" i="31"/>
  <c r="CD185" i="31"/>
  <c r="BS185" i="31"/>
  <c r="BN185" i="31"/>
  <c r="DA185" i="31"/>
  <c r="CZ185" i="31"/>
  <c r="CB185" i="31"/>
  <c r="F117" i="24"/>
  <c r="DI205" i="31"/>
  <c r="DA205" i="31"/>
  <c r="CS205" i="31"/>
  <c r="CK205" i="31"/>
  <c r="CC205" i="31"/>
  <c r="BU205" i="31"/>
  <c r="BM205" i="31"/>
  <c r="DF205" i="31"/>
  <c r="CX205" i="31"/>
  <c r="CP205" i="31"/>
  <c r="CH205" i="31"/>
  <c r="BZ205" i="31"/>
  <c r="BR205" i="31"/>
  <c r="DE205" i="31"/>
  <c r="CW205" i="31"/>
  <c r="CO205" i="31"/>
  <c r="CG205" i="31"/>
  <c r="BY205" i="31"/>
  <c r="BQ205" i="31"/>
  <c r="DD205" i="31"/>
  <c r="CV205" i="31"/>
  <c r="CN205" i="31"/>
  <c r="CF205" i="31"/>
  <c r="BX205" i="31"/>
  <c r="BP205" i="31"/>
  <c r="DC205" i="31"/>
  <c r="CU205" i="31"/>
  <c r="CM205" i="31"/>
  <c r="CE205" i="31"/>
  <c r="BW205" i="31"/>
  <c r="BO205" i="31"/>
  <c r="DG205" i="31"/>
  <c r="CJ205" i="31"/>
  <c r="BN205" i="31"/>
  <c r="CZ205" i="31"/>
  <c r="CD205" i="31"/>
  <c r="BK205" i="31"/>
  <c r="CY205" i="31"/>
  <c r="CB205" i="31"/>
  <c r="CT205" i="31"/>
  <c r="CA205" i="31"/>
  <c r="CR205" i="31"/>
  <c r="BV205" i="31"/>
  <c r="BS205" i="31"/>
  <c r="DJ205" i="31"/>
  <c r="BL205" i="31"/>
  <c r="DB205" i="31"/>
  <c r="BT205" i="31"/>
  <c r="DH205" i="31"/>
  <c r="CQ205" i="31"/>
  <c r="CL205" i="31"/>
  <c r="CI205" i="31"/>
  <c r="DF162" i="31"/>
  <c r="CX162" i="31"/>
  <c r="CP162" i="31"/>
  <c r="CH162" i="31"/>
  <c r="BZ162" i="31"/>
  <c r="DC162" i="31"/>
  <c r="CU162" i="31"/>
  <c r="CM162" i="31"/>
  <c r="CE162" i="31"/>
  <c r="BW162" i="31"/>
  <c r="DI162" i="31"/>
  <c r="CY162" i="31"/>
  <c r="CN162" i="31"/>
  <c r="CC162" i="31"/>
  <c r="BS162" i="31"/>
  <c r="BK162" i="31"/>
  <c r="DH162" i="31"/>
  <c r="CW162" i="31"/>
  <c r="CL162" i="31"/>
  <c r="CB162" i="31"/>
  <c r="BR162" i="31"/>
  <c r="DG162" i="31"/>
  <c r="CV162" i="31"/>
  <c r="CK162" i="31"/>
  <c r="CA162" i="31"/>
  <c r="BQ162" i="31"/>
  <c r="DE162" i="31"/>
  <c r="CT162" i="31"/>
  <c r="CJ162" i="31"/>
  <c r="BY162" i="31"/>
  <c r="BP162" i="31"/>
  <c r="DB162" i="31"/>
  <c r="CR162" i="31"/>
  <c r="CG162" i="31"/>
  <c r="BV162" i="31"/>
  <c r="BN162" i="31"/>
  <c r="DD162" i="31"/>
  <c r="CD162" i="31"/>
  <c r="DA162" i="31"/>
  <c r="BX162" i="31"/>
  <c r="CZ162" i="31"/>
  <c r="BU162" i="31"/>
  <c r="CS162" i="31"/>
  <c r="BT162" i="31"/>
  <c r="CQ162" i="31"/>
  <c r="BO162" i="31"/>
  <c r="CO162" i="31"/>
  <c r="BM162" i="31"/>
  <c r="CI162" i="31"/>
  <c r="BL162" i="31"/>
  <c r="DJ162" i="31"/>
  <c r="CF162" i="31"/>
  <c r="DF131" i="31"/>
  <c r="CX131" i="31"/>
  <c r="CP131" i="31"/>
  <c r="CH131" i="31"/>
  <c r="BZ131" i="31"/>
  <c r="BR131" i="31"/>
  <c r="DD131" i="31"/>
  <c r="CV131" i="31"/>
  <c r="CN131" i="31"/>
  <c r="CF131" i="31"/>
  <c r="BX131" i="31"/>
  <c r="BP131" i="31"/>
  <c r="DC131" i="31"/>
  <c r="CU131" i="31"/>
  <c r="CM131" i="31"/>
  <c r="CE131" i="31"/>
  <c r="BW131" i="31"/>
  <c r="BO131" i="31"/>
  <c r="DJ131" i="31"/>
  <c r="DB131" i="31"/>
  <c r="CT131" i="31"/>
  <c r="CL131" i="31"/>
  <c r="CD131" i="31"/>
  <c r="BV131" i="31"/>
  <c r="BN131" i="31"/>
  <c r="DI131" i="31"/>
  <c r="DA131" i="31"/>
  <c r="CS131" i="31"/>
  <c r="CK131" i="31"/>
  <c r="CC131" i="31"/>
  <c r="BU131" i="31"/>
  <c r="BM131" i="31"/>
  <c r="CQ131" i="31"/>
  <c r="BT131" i="31"/>
  <c r="DH131" i="31"/>
  <c r="CO131" i="31"/>
  <c r="BS131" i="31"/>
  <c r="DG131" i="31"/>
  <c r="CJ131" i="31"/>
  <c r="BQ131" i="31"/>
  <c r="DE131" i="31"/>
  <c r="CI131" i="31"/>
  <c r="BL131" i="31"/>
  <c r="CZ131" i="31"/>
  <c r="CG131" i="31"/>
  <c r="BK131" i="31"/>
  <c r="CY131" i="31"/>
  <c r="CB131" i="31"/>
  <c r="CW131" i="31"/>
  <c r="CA131" i="31"/>
  <c r="CR131" i="31"/>
  <c r="BY131" i="31"/>
  <c r="DI186" i="31"/>
  <c r="DA186" i="31"/>
  <c r="CS186" i="31"/>
  <c r="CK186" i="31"/>
  <c r="CC186" i="31"/>
  <c r="BU186" i="31"/>
  <c r="BM186" i="31"/>
  <c r="DH186" i="31"/>
  <c r="CZ186" i="31"/>
  <c r="CR186" i="31"/>
  <c r="CJ186" i="31"/>
  <c r="CB186" i="31"/>
  <c r="BT186" i="31"/>
  <c r="BL186" i="31"/>
  <c r="DF186" i="31"/>
  <c r="CX186" i="31"/>
  <c r="CP186" i="31"/>
  <c r="CH186" i="31"/>
  <c r="BZ186" i="31"/>
  <c r="BR186" i="31"/>
  <c r="DB186" i="31"/>
  <c r="CN186" i="31"/>
  <c r="CA186" i="31"/>
  <c r="BO186" i="31"/>
  <c r="DJ186" i="31"/>
  <c r="CV186" i="31"/>
  <c r="CI186" i="31"/>
  <c r="BW186" i="31"/>
  <c r="DG186" i="31"/>
  <c r="CU186" i="31"/>
  <c r="CG186" i="31"/>
  <c r="BV186" i="31"/>
  <c r="DE186" i="31"/>
  <c r="CT186" i="31"/>
  <c r="CF186" i="31"/>
  <c r="BS186" i="31"/>
  <c r="DD186" i="31"/>
  <c r="CQ186" i="31"/>
  <c r="CE186" i="31"/>
  <c r="BQ186" i="31"/>
  <c r="CM186" i="31"/>
  <c r="BY186" i="31"/>
  <c r="DC186" i="31"/>
  <c r="BX186" i="31"/>
  <c r="CY186" i="31"/>
  <c r="BP186" i="31"/>
  <c r="CW186" i="31"/>
  <c r="BN186" i="31"/>
  <c r="CO186" i="31"/>
  <c r="CD186" i="31"/>
  <c r="CL186" i="31"/>
  <c r="BK186" i="31"/>
  <c r="DH121" i="31"/>
  <c r="CZ121" i="31"/>
  <c r="CR121" i="31"/>
  <c r="CJ121" i="31"/>
  <c r="CB121" i="31"/>
  <c r="BT121" i="31"/>
  <c r="BL121" i="31"/>
  <c r="DF121" i="31"/>
  <c r="CX121" i="31"/>
  <c r="CP121" i="31"/>
  <c r="CH121" i="31"/>
  <c r="BZ121" i="31"/>
  <c r="BR121" i="31"/>
  <c r="DE121" i="31"/>
  <c r="CW121" i="31"/>
  <c r="CO121" i="31"/>
  <c r="CG121" i="31"/>
  <c r="BY121" i="31"/>
  <c r="BQ121" i="31"/>
  <c r="DD121" i="31"/>
  <c r="CV121" i="31"/>
  <c r="CN121" i="31"/>
  <c r="CF121" i="31"/>
  <c r="BX121" i="31"/>
  <c r="BP121" i="31"/>
  <c r="DC121" i="31"/>
  <c r="CU121" i="31"/>
  <c r="CM121" i="31"/>
  <c r="CE121" i="31"/>
  <c r="BW121" i="31"/>
  <c r="BO121" i="31"/>
  <c r="DI121" i="31"/>
  <c r="CL121" i="31"/>
  <c r="BS121" i="31"/>
  <c r="DG121" i="31"/>
  <c r="CK121" i="31"/>
  <c r="BN121" i="31"/>
  <c r="DB121" i="31"/>
  <c r="CI121" i="31"/>
  <c r="BM121" i="31"/>
  <c r="DA121" i="31"/>
  <c r="CD121" i="31"/>
  <c r="BK121" i="31"/>
  <c r="DJ121" i="31"/>
  <c r="CY121" i="31"/>
  <c r="CC121" i="31"/>
  <c r="CT121" i="31"/>
  <c r="CA121" i="31"/>
  <c r="BU121" i="31"/>
  <c r="CS121" i="31"/>
  <c r="BV121" i="31"/>
  <c r="CQ121" i="31"/>
  <c r="DJ180" i="31"/>
  <c r="DB180" i="31"/>
  <c r="CT180" i="31"/>
  <c r="CL180" i="31"/>
  <c r="CD180" i="31"/>
  <c r="BV180" i="31"/>
  <c r="BN180" i="31"/>
  <c r="DG180" i="31"/>
  <c r="CY180" i="31"/>
  <c r="CQ180" i="31"/>
  <c r="CI180" i="31"/>
  <c r="CA180" i="31"/>
  <c r="BS180" i="31"/>
  <c r="BK180" i="31"/>
  <c r="DF180" i="31"/>
  <c r="CX180" i="31"/>
  <c r="CP180" i="31"/>
  <c r="CH180" i="31"/>
  <c r="BZ180" i="31"/>
  <c r="BR180" i="31"/>
  <c r="DE180" i="31"/>
  <c r="CW180" i="31"/>
  <c r="CO180" i="31"/>
  <c r="CG180" i="31"/>
  <c r="BY180" i="31"/>
  <c r="BQ180" i="31"/>
  <c r="DD180" i="31"/>
  <c r="CV180" i="31"/>
  <c r="CN180" i="31"/>
  <c r="CF180" i="31"/>
  <c r="BX180" i="31"/>
  <c r="BP180" i="31"/>
  <c r="CS180" i="31"/>
  <c r="BW180" i="31"/>
  <c r="DH180" i="31"/>
  <c r="CK180" i="31"/>
  <c r="BO180" i="31"/>
  <c r="DC180" i="31"/>
  <c r="CJ180" i="31"/>
  <c r="BM180" i="31"/>
  <c r="DA180" i="31"/>
  <c r="CE180" i="31"/>
  <c r="BL180" i="31"/>
  <c r="CZ180" i="31"/>
  <c r="CC180" i="31"/>
  <c r="CB180" i="31"/>
  <c r="BU180" i="31"/>
  <c r="DI180" i="31"/>
  <c r="CU180" i="31"/>
  <c r="CR180" i="31"/>
  <c r="CM180" i="31"/>
  <c r="BT180" i="31"/>
  <c r="DC169" i="31"/>
  <c r="CU169" i="31"/>
  <c r="CM169" i="31"/>
  <c r="CE169" i="31"/>
  <c r="BW169" i="31"/>
  <c r="BO169" i="31"/>
  <c r="DJ169" i="31"/>
  <c r="DB169" i="31"/>
  <c r="CT169" i="31"/>
  <c r="CL169" i="31"/>
  <c r="CD169" i="31"/>
  <c r="BV169" i="31"/>
  <c r="BN169" i="31"/>
  <c r="DH169" i="31"/>
  <c r="CZ169" i="31"/>
  <c r="CR169" i="31"/>
  <c r="CJ169" i="31"/>
  <c r="CB169" i="31"/>
  <c r="BT169" i="31"/>
  <c r="BL169" i="31"/>
  <c r="DI169" i="31"/>
  <c r="CW169" i="31"/>
  <c r="CI169" i="31"/>
  <c r="BX169" i="31"/>
  <c r="DG169" i="31"/>
  <c r="CV169" i="31"/>
  <c r="CH169" i="31"/>
  <c r="BU169" i="31"/>
  <c r="DF169" i="31"/>
  <c r="CS169" i="31"/>
  <c r="CG169" i="31"/>
  <c r="BS169" i="31"/>
  <c r="DE169" i="31"/>
  <c r="CQ169" i="31"/>
  <c r="CF169" i="31"/>
  <c r="BR169" i="31"/>
  <c r="DA169" i="31"/>
  <c r="CO169" i="31"/>
  <c r="CA169" i="31"/>
  <c r="BP169" i="31"/>
  <c r="BZ169" i="31"/>
  <c r="DD169" i="31"/>
  <c r="BY169" i="31"/>
  <c r="CY169" i="31"/>
  <c r="BQ169" i="31"/>
  <c r="CX169" i="31"/>
  <c r="BM169" i="31"/>
  <c r="CP169" i="31"/>
  <c r="BK169" i="31"/>
  <c r="CN169" i="31"/>
  <c r="CK169" i="31"/>
  <c r="CC169" i="31"/>
  <c r="DE167" i="31"/>
  <c r="CW167" i="31"/>
  <c r="CO167" i="31"/>
  <c r="CG167" i="31"/>
  <c r="BY167" i="31"/>
  <c r="BQ167" i="31"/>
  <c r="DD167" i="31"/>
  <c r="CV167" i="31"/>
  <c r="CN167" i="31"/>
  <c r="CF167" i="31"/>
  <c r="BX167" i="31"/>
  <c r="BP167" i="31"/>
  <c r="DJ167" i="31"/>
  <c r="DB167" i="31"/>
  <c r="CT167" i="31"/>
  <c r="CL167" i="31"/>
  <c r="CD167" i="31"/>
  <c r="BV167" i="31"/>
  <c r="BN167" i="31"/>
  <c r="CZ167" i="31"/>
  <c r="CM167" i="31"/>
  <c r="CA167" i="31"/>
  <c r="BM167" i="31"/>
  <c r="CY167" i="31"/>
  <c r="CK167" i="31"/>
  <c r="BZ167" i="31"/>
  <c r="BL167" i="31"/>
  <c r="DI167" i="31"/>
  <c r="CX167" i="31"/>
  <c r="CJ167" i="31"/>
  <c r="BW167" i="31"/>
  <c r="BK167" i="31"/>
  <c r="DH167" i="31"/>
  <c r="CU167" i="31"/>
  <c r="CI167" i="31"/>
  <c r="BU167" i="31"/>
  <c r="DF167" i="31"/>
  <c r="CR167" i="31"/>
  <c r="CE167" i="31"/>
  <c r="BS167" i="31"/>
  <c r="CC167" i="31"/>
  <c r="DG167" i="31"/>
  <c r="CB167" i="31"/>
  <c r="DC167" i="31"/>
  <c r="BT167" i="31"/>
  <c r="DA167" i="31"/>
  <c r="BR167" i="31"/>
  <c r="CS167" i="31"/>
  <c r="BO167" i="31"/>
  <c r="CQ167" i="31"/>
  <c r="CP167" i="31"/>
  <c r="CH167" i="31"/>
  <c r="F80" i="24"/>
  <c r="DE114" i="31"/>
  <c r="CW114" i="31"/>
  <c r="CO114" i="31"/>
  <c r="CG114" i="31"/>
  <c r="BY114" i="31"/>
  <c r="BQ114" i="31"/>
  <c r="CI114" i="31"/>
  <c r="BR114" i="31"/>
  <c r="DD114" i="31"/>
  <c r="CV114" i="31"/>
  <c r="CN114" i="31"/>
  <c r="CF114" i="31"/>
  <c r="BX114" i="31"/>
  <c r="BP114" i="31"/>
  <c r="BS114" i="31"/>
  <c r="DC114" i="31"/>
  <c r="CU114" i="31"/>
  <c r="CM114" i="31"/>
  <c r="CE114" i="31"/>
  <c r="BW114" i="31"/>
  <c r="BO114" i="31"/>
  <c r="BZ114" i="31"/>
  <c r="DJ114" i="31"/>
  <c r="DB114" i="31"/>
  <c r="CT114" i="31"/>
  <c r="CL114" i="31"/>
  <c r="CD114" i="31"/>
  <c r="BV114" i="31"/>
  <c r="BN114" i="31"/>
  <c r="CY114" i="31"/>
  <c r="CP114" i="31"/>
  <c r="DI114" i="31"/>
  <c r="DA114" i="31"/>
  <c r="CS114" i="31"/>
  <c r="CK114" i="31"/>
  <c r="CC114" i="31"/>
  <c r="BU114" i="31"/>
  <c r="BM114" i="31"/>
  <c r="DG114" i="31"/>
  <c r="BK114" i="31"/>
  <c r="CX114" i="31"/>
  <c r="DH114" i="31"/>
  <c r="CZ114" i="31"/>
  <c r="CR114" i="31"/>
  <c r="CJ114" i="31"/>
  <c r="CB114" i="31"/>
  <c r="BT114" i="31"/>
  <c r="BL114" i="31"/>
  <c r="CQ114" i="31"/>
  <c r="DF114" i="31"/>
  <c r="CA114" i="31"/>
  <c r="CH114" i="31"/>
  <c r="DC158" i="31"/>
  <c r="CU158" i="31"/>
  <c r="CM158" i="31"/>
  <c r="CE158" i="31"/>
  <c r="BW158" i="31"/>
  <c r="BO158" i="31"/>
  <c r="DJ158" i="31"/>
  <c r="DB158" i="31"/>
  <c r="CT158" i="31"/>
  <c r="CL158" i="31"/>
  <c r="CD158" i="31"/>
  <c r="BV158" i="31"/>
  <c r="BN158" i="31"/>
  <c r="DI158" i="31"/>
  <c r="DA158" i="31"/>
  <c r="CS158" i="31"/>
  <c r="CK158" i="31"/>
  <c r="CC158" i="31"/>
  <c r="BU158" i="31"/>
  <c r="BM158" i="31"/>
  <c r="DH158" i="31"/>
  <c r="CZ158" i="31"/>
  <c r="CR158" i="31"/>
  <c r="CJ158" i="31"/>
  <c r="CB158" i="31"/>
  <c r="BT158" i="31"/>
  <c r="BL158" i="31"/>
  <c r="DF158" i="31"/>
  <c r="CX158" i="31"/>
  <c r="CP158" i="31"/>
  <c r="CH158" i="31"/>
  <c r="BZ158" i="31"/>
  <c r="BR158" i="31"/>
  <c r="CV158" i="31"/>
  <c r="BY158" i="31"/>
  <c r="CQ158" i="31"/>
  <c r="BX158" i="31"/>
  <c r="CO158" i="31"/>
  <c r="BS158" i="31"/>
  <c r="DG158" i="31"/>
  <c r="CN158" i="31"/>
  <c r="BQ158" i="31"/>
  <c r="DE158" i="31"/>
  <c r="CI158" i="31"/>
  <c r="BP158" i="31"/>
  <c r="DD158" i="31"/>
  <c r="CG158" i="31"/>
  <c r="BK158" i="31"/>
  <c r="CY158" i="31"/>
  <c r="CF158" i="31"/>
  <c r="CW158" i="31"/>
  <c r="CA158" i="31"/>
  <c r="DJ135" i="31"/>
  <c r="DB135" i="31"/>
  <c r="CT135" i="31"/>
  <c r="CL135" i="31"/>
  <c r="CD135" i="31"/>
  <c r="BV135" i="31"/>
  <c r="BN135" i="31"/>
  <c r="DG135" i="31"/>
  <c r="CY135" i="31"/>
  <c r="CQ135" i="31"/>
  <c r="CI135" i="31"/>
  <c r="CA135" i="31"/>
  <c r="BS135" i="31"/>
  <c r="BK135" i="31"/>
  <c r="CZ135" i="31"/>
  <c r="CO135" i="31"/>
  <c r="CE135" i="31"/>
  <c r="BT135" i="31"/>
  <c r="DI135" i="31"/>
  <c r="CX135" i="31"/>
  <c r="CN135" i="31"/>
  <c r="CC135" i="31"/>
  <c r="BR135" i="31"/>
  <c r="DH135" i="31"/>
  <c r="CW135" i="31"/>
  <c r="CM135" i="31"/>
  <c r="CB135" i="31"/>
  <c r="BQ135" i="31"/>
  <c r="DF135" i="31"/>
  <c r="CV135" i="31"/>
  <c r="CK135" i="31"/>
  <c r="BZ135" i="31"/>
  <c r="BP135" i="31"/>
  <c r="DE135" i="31"/>
  <c r="CU135" i="31"/>
  <c r="CJ135" i="31"/>
  <c r="BY135" i="31"/>
  <c r="BO135" i="31"/>
  <c r="DD135" i="31"/>
  <c r="CS135" i="31"/>
  <c r="CH135" i="31"/>
  <c r="BX135" i="31"/>
  <c r="BM135" i="31"/>
  <c r="DC135" i="31"/>
  <c r="CR135" i="31"/>
  <c r="CG135" i="31"/>
  <c r="BW135" i="31"/>
  <c r="BL135" i="31"/>
  <c r="DA135" i="31"/>
  <c r="CP135" i="31"/>
  <c r="CF135" i="31"/>
  <c r="BU135" i="31"/>
  <c r="DF157" i="31"/>
  <c r="CX157" i="31"/>
  <c r="CP157" i="31"/>
  <c r="CH157" i="31"/>
  <c r="BZ157" i="31"/>
  <c r="BR157" i="31"/>
  <c r="DE157" i="31"/>
  <c r="CW157" i="31"/>
  <c r="CO157" i="31"/>
  <c r="CG157" i="31"/>
  <c r="BY157" i="31"/>
  <c r="BQ157" i="31"/>
  <c r="DC157" i="31"/>
  <c r="CU157" i="31"/>
  <c r="CM157" i="31"/>
  <c r="CE157" i="31"/>
  <c r="BW157" i="31"/>
  <c r="BO157" i="31"/>
  <c r="DH157" i="31"/>
  <c r="CT157" i="31"/>
  <c r="CI157" i="31"/>
  <c r="BU157" i="31"/>
  <c r="DG157" i="31"/>
  <c r="CS157" i="31"/>
  <c r="CF157" i="31"/>
  <c r="BT157" i="31"/>
  <c r="DD157" i="31"/>
  <c r="CR157" i="31"/>
  <c r="CD157" i="31"/>
  <c r="BS157" i="31"/>
  <c r="DB157" i="31"/>
  <c r="CQ157" i="31"/>
  <c r="CC157" i="31"/>
  <c r="BP157" i="31"/>
  <c r="DA157" i="31"/>
  <c r="CN157" i="31"/>
  <c r="CB157" i="31"/>
  <c r="BN157" i="31"/>
  <c r="CZ157" i="31"/>
  <c r="CL157" i="31"/>
  <c r="CA157" i="31"/>
  <c r="BM157" i="31"/>
  <c r="DJ157" i="31"/>
  <c r="CY157" i="31"/>
  <c r="CK157" i="31"/>
  <c r="BX157" i="31"/>
  <c r="BL157" i="31"/>
  <c r="CV157" i="31"/>
  <c r="CJ157" i="31"/>
  <c r="BV157" i="31"/>
  <c r="BK157" i="31"/>
  <c r="DI157" i="31"/>
  <c r="DD187" i="31"/>
  <c r="CV187" i="31"/>
  <c r="CN187" i="31"/>
  <c r="CF187" i="31"/>
  <c r="BX187" i="31"/>
  <c r="BP187" i="31"/>
  <c r="DC187" i="31"/>
  <c r="CU187" i="31"/>
  <c r="CM187" i="31"/>
  <c r="CE187" i="31"/>
  <c r="BW187" i="31"/>
  <c r="BO187" i="31"/>
  <c r="DI187" i="31"/>
  <c r="DA187" i="31"/>
  <c r="CS187" i="31"/>
  <c r="CK187" i="31"/>
  <c r="CC187" i="31"/>
  <c r="BU187" i="31"/>
  <c r="BM187" i="31"/>
  <c r="CY187" i="31"/>
  <c r="CL187" i="31"/>
  <c r="BZ187" i="31"/>
  <c r="BL187" i="31"/>
  <c r="DG187" i="31"/>
  <c r="CT187" i="31"/>
  <c r="CH187" i="31"/>
  <c r="BT187" i="31"/>
  <c r="DF187" i="31"/>
  <c r="CR187" i="31"/>
  <c r="CG187" i="31"/>
  <c r="BS187" i="31"/>
  <c r="DE187" i="31"/>
  <c r="CQ187" i="31"/>
  <c r="CD187" i="31"/>
  <c r="BR187" i="31"/>
  <c r="DB187" i="31"/>
  <c r="CP187" i="31"/>
  <c r="CB187" i="31"/>
  <c r="BQ187" i="31"/>
  <c r="CZ187" i="31"/>
  <c r="BV187" i="31"/>
  <c r="CO187" i="31"/>
  <c r="CJ187" i="31"/>
  <c r="CI187" i="31"/>
  <c r="DJ187" i="31"/>
  <c r="CA187" i="31"/>
  <c r="BK187" i="31"/>
  <c r="DH187" i="31"/>
  <c r="CW187" i="31"/>
  <c r="BY187" i="31"/>
  <c r="BN187" i="31"/>
  <c r="CX187" i="31"/>
  <c r="DG165" i="31"/>
  <c r="CY165" i="31"/>
  <c r="CQ165" i="31"/>
  <c r="CI165" i="31"/>
  <c r="CA165" i="31"/>
  <c r="BS165" i="31"/>
  <c r="BK165" i="31"/>
  <c r="DF165" i="31"/>
  <c r="CX165" i="31"/>
  <c r="CP165" i="31"/>
  <c r="CH165" i="31"/>
  <c r="BZ165" i="31"/>
  <c r="BR165" i="31"/>
  <c r="DD165" i="31"/>
  <c r="CV165" i="31"/>
  <c r="CN165" i="31"/>
  <c r="CF165" i="31"/>
  <c r="BX165" i="31"/>
  <c r="BP165" i="31"/>
  <c r="DC165" i="31"/>
  <c r="CR165" i="31"/>
  <c r="CD165" i="31"/>
  <c r="BQ165" i="31"/>
  <c r="DB165" i="31"/>
  <c r="CO165" i="31"/>
  <c r="CC165" i="31"/>
  <c r="BO165" i="31"/>
  <c r="DA165" i="31"/>
  <c r="CM165" i="31"/>
  <c r="CB165" i="31"/>
  <c r="BN165" i="31"/>
  <c r="CZ165" i="31"/>
  <c r="CL165" i="31"/>
  <c r="BY165" i="31"/>
  <c r="BM165" i="31"/>
  <c r="DI165" i="31"/>
  <c r="CU165" i="31"/>
  <c r="CJ165" i="31"/>
  <c r="BV165" i="31"/>
  <c r="CG165" i="31"/>
  <c r="DJ165" i="31"/>
  <c r="CE165" i="31"/>
  <c r="DH165" i="31"/>
  <c r="BW165" i="31"/>
  <c r="DE165" i="31"/>
  <c r="BU165" i="31"/>
  <c r="CW165" i="31"/>
  <c r="BT165" i="31"/>
  <c r="CT165" i="31"/>
  <c r="BL165" i="31"/>
  <c r="CS165" i="31"/>
  <c r="CK165" i="31"/>
  <c r="DC211" i="31"/>
  <c r="CU211" i="31"/>
  <c r="CM211" i="31"/>
  <c r="CE211" i="31"/>
  <c r="BW211" i="31"/>
  <c r="BO211" i="31"/>
  <c r="DH211" i="31"/>
  <c r="CZ211" i="31"/>
  <c r="CR211" i="31"/>
  <c r="CJ211" i="31"/>
  <c r="CB211" i="31"/>
  <c r="BT211" i="31"/>
  <c r="BL211" i="31"/>
  <c r="DG211" i="31"/>
  <c r="CY211" i="31"/>
  <c r="CQ211" i="31"/>
  <c r="CI211" i="31"/>
  <c r="CA211" i="31"/>
  <c r="BS211" i="31"/>
  <c r="BK211" i="31"/>
  <c r="DF211" i="31"/>
  <c r="CX211" i="31"/>
  <c r="CP211" i="31"/>
  <c r="CH211" i="31"/>
  <c r="BZ211" i="31"/>
  <c r="BR211" i="31"/>
  <c r="DE211" i="31"/>
  <c r="CW211" i="31"/>
  <c r="CO211" i="31"/>
  <c r="CG211" i="31"/>
  <c r="BY211" i="31"/>
  <c r="BQ211" i="31"/>
  <c r="DI211" i="31"/>
  <c r="CL211" i="31"/>
  <c r="BP211" i="31"/>
  <c r="DB211" i="31"/>
  <c r="CF211" i="31"/>
  <c r="BM211" i="31"/>
  <c r="DA211" i="31"/>
  <c r="CD211" i="31"/>
  <c r="CV211" i="31"/>
  <c r="CC211" i="31"/>
  <c r="CT211" i="31"/>
  <c r="BX211" i="31"/>
  <c r="CN211" i="31"/>
  <c r="CK211" i="31"/>
  <c r="BU211" i="31"/>
  <c r="DJ211" i="31"/>
  <c r="BV211" i="31"/>
  <c r="BN211" i="31"/>
  <c r="DD211" i="31"/>
  <c r="CS211" i="31"/>
  <c r="DF171" i="31"/>
  <c r="CX171" i="31"/>
  <c r="CP171" i="31"/>
  <c r="CH171" i="31"/>
  <c r="BZ171" i="31"/>
  <c r="BR171" i="31"/>
  <c r="DC171" i="31"/>
  <c r="CU171" i="31"/>
  <c r="CM171" i="31"/>
  <c r="CE171" i="31"/>
  <c r="BW171" i="31"/>
  <c r="DJ171" i="31"/>
  <c r="DB171" i="31"/>
  <c r="CT171" i="31"/>
  <c r="CL171" i="31"/>
  <c r="DI171" i="31"/>
  <c r="DA171" i="31"/>
  <c r="CS171" i="31"/>
  <c r="CK171" i="31"/>
  <c r="CC171" i="31"/>
  <c r="BU171" i="31"/>
  <c r="BM171" i="31"/>
  <c r="DH171" i="31"/>
  <c r="CZ171" i="31"/>
  <c r="CR171" i="31"/>
  <c r="CJ171" i="31"/>
  <c r="CB171" i="31"/>
  <c r="BT171" i="31"/>
  <c r="DD171" i="31"/>
  <c r="CG171" i="31"/>
  <c r="BQ171" i="31"/>
  <c r="CY171" i="31"/>
  <c r="CF171" i="31"/>
  <c r="BP171" i="31"/>
  <c r="CV171" i="31"/>
  <c r="CA171" i="31"/>
  <c r="BN171" i="31"/>
  <c r="CD171" i="31"/>
  <c r="DG171" i="31"/>
  <c r="BY171" i="31"/>
  <c r="DE171" i="31"/>
  <c r="BX171" i="31"/>
  <c r="CW171" i="31"/>
  <c r="BV171" i="31"/>
  <c r="CO171" i="31"/>
  <c r="BO171" i="31"/>
  <c r="CN171" i="31"/>
  <c r="CI171" i="31"/>
  <c r="BS171" i="31"/>
  <c r="BL171" i="31"/>
  <c r="BK171" i="31"/>
  <c r="CQ171" i="31"/>
  <c r="DH202" i="31"/>
  <c r="CZ202" i="31"/>
  <c r="CR202" i="31"/>
  <c r="CJ202" i="31"/>
  <c r="CB202" i="31"/>
  <c r="BT202" i="31"/>
  <c r="BL202" i="31"/>
  <c r="DE202" i="31"/>
  <c r="CW202" i="31"/>
  <c r="CO202" i="31"/>
  <c r="CG202" i="31"/>
  <c r="BY202" i="31"/>
  <c r="BQ202" i="31"/>
  <c r="DD202" i="31"/>
  <c r="CV202" i="31"/>
  <c r="CN202" i="31"/>
  <c r="CF202" i="31"/>
  <c r="BX202" i="31"/>
  <c r="BP202" i="31"/>
  <c r="DC202" i="31"/>
  <c r="CU202" i="31"/>
  <c r="CM202" i="31"/>
  <c r="CE202" i="31"/>
  <c r="BW202" i="31"/>
  <c r="BO202" i="31"/>
  <c r="DJ202" i="31"/>
  <c r="DB202" i="31"/>
  <c r="CT202" i="31"/>
  <c r="CL202" i="31"/>
  <c r="CD202" i="31"/>
  <c r="BV202" i="31"/>
  <c r="BN202" i="31"/>
  <c r="CS202" i="31"/>
  <c r="BZ202" i="31"/>
  <c r="DI202" i="31"/>
  <c r="CP202" i="31"/>
  <c r="BS202" i="31"/>
  <c r="DG202" i="31"/>
  <c r="CK202" i="31"/>
  <c r="BR202" i="31"/>
  <c r="DF202" i="31"/>
  <c r="CI202" i="31"/>
  <c r="BM202" i="31"/>
  <c r="DA202" i="31"/>
  <c r="CH202" i="31"/>
  <c r="BK202" i="31"/>
  <c r="CY202" i="31"/>
  <c r="CQ202" i="31"/>
  <c r="CX202" i="31"/>
  <c r="CC202" i="31"/>
  <c r="CA202" i="31"/>
  <c r="BU202" i="31"/>
  <c r="DI124" i="31"/>
  <c r="DA124" i="31"/>
  <c r="CS124" i="31"/>
  <c r="CK124" i="31"/>
  <c r="CC124" i="31"/>
  <c r="BU124" i="31"/>
  <c r="BM124" i="31"/>
  <c r="DG124" i="31"/>
  <c r="CY124" i="31"/>
  <c r="CQ124" i="31"/>
  <c r="CI124" i="31"/>
  <c r="CA124" i="31"/>
  <c r="BS124" i="31"/>
  <c r="BK124" i="31"/>
  <c r="DF124" i="31"/>
  <c r="CX124" i="31"/>
  <c r="CP124" i="31"/>
  <c r="CH124" i="31"/>
  <c r="BZ124" i="31"/>
  <c r="BR124" i="31"/>
  <c r="DE124" i="31"/>
  <c r="CW124" i="31"/>
  <c r="CO124" i="31"/>
  <c r="CG124" i="31"/>
  <c r="BY124" i="31"/>
  <c r="BQ124" i="31"/>
  <c r="DD124" i="31"/>
  <c r="CV124" i="31"/>
  <c r="CN124" i="31"/>
  <c r="CF124" i="31"/>
  <c r="BX124" i="31"/>
  <c r="BP124" i="31"/>
  <c r="CZ124" i="31"/>
  <c r="CD124" i="31"/>
  <c r="CE124" i="31"/>
  <c r="CU124" i="31"/>
  <c r="CB124" i="31"/>
  <c r="CT124" i="31"/>
  <c r="BW124" i="31"/>
  <c r="DB124" i="31"/>
  <c r="CR124" i="31"/>
  <c r="BV124" i="31"/>
  <c r="DJ124" i="31"/>
  <c r="CM124" i="31"/>
  <c r="BT124" i="31"/>
  <c r="DH124" i="31"/>
  <c r="CL124" i="31"/>
  <c r="BO124" i="31"/>
  <c r="DC124" i="31"/>
  <c r="CJ124" i="31"/>
  <c r="BN124" i="31"/>
  <c r="BL124" i="31"/>
  <c r="DC203" i="31"/>
  <c r="CU203" i="31"/>
  <c r="CM203" i="31"/>
  <c r="CE203" i="31"/>
  <c r="BW203" i="31"/>
  <c r="BO203" i="31"/>
  <c r="DH203" i="31"/>
  <c r="CZ203" i="31"/>
  <c r="CR203" i="31"/>
  <c r="CJ203" i="31"/>
  <c r="CB203" i="31"/>
  <c r="BT203" i="31"/>
  <c r="BL203" i="31"/>
  <c r="DG203" i="31"/>
  <c r="CY203" i="31"/>
  <c r="CQ203" i="31"/>
  <c r="CI203" i="31"/>
  <c r="CA203" i="31"/>
  <c r="BS203" i="31"/>
  <c r="BK203" i="31"/>
  <c r="DF203" i="31"/>
  <c r="CX203" i="31"/>
  <c r="CP203" i="31"/>
  <c r="CH203" i="31"/>
  <c r="BZ203" i="31"/>
  <c r="BR203" i="31"/>
  <c r="DE203" i="31"/>
  <c r="CW203" i="31"/>
  <c r="CO203" i="31"/>
  <c r="CG203" i="31"/>
  <c r="BY203" i="31"/>
  <c r="BQ203" i="31"/>
  <c r="DD203" i="31"/>
  <c r="CK203" i="31"/>
  <c r="BN203" i="31"/>
  <c r="DA203" i="31"/>
  <c r="CD203" i="31"/>
  <c r="CV203" i="31"/>
  <c r="CC203" i="31"/>
  <c r="CT203" i="31"/>
  <c r="BX203" i="31"/>
  <c r="CS203" i="31"/>
  <c r="BV203" i="31"/>
  <c r="DJ203" i="31"/>
  <c r="BM203" i="31"/>
  <c r="DI203" i="31"/>
  <c r="CN203" i="31"/>
  <c r="CF203" i="31"/>
  <c r="DB203" i="31"/>
  <c r="BP203" i="31"/>
  <c r="CL203" i="31"/>
  <c r="BU203" i="31"/>
  <c r="DJ150" i="31"/>
  <c r="DB150" i="31"/>
  <c r="CT150" i="31"/>
  <c r="CL150" i="31"/>
  <c r="CD150" i="31"/>
  <c r="BV150" i="31"/>
  <c r="BN150" i="31"/>
  <c r="DG150" i="31"/>
  <c r="CY150" i="31"/>
  <c r="CQ150" i="31"/>
  <c r="CI150" i="31"/>
  <c r="CA150" i="31"/>
  <c r="BS150" i="31"/>
  <c r="BK150" i="31"/>
  <c r="DF150" i="31"/>
  <c r="CX150" i="31"/>
  <c r="CP150" i="31"/>
  <c r="CH150" i="31"/>
  <c r="BZ150" i="31"/>
  <c r="BR150" i="31"/>
  <c r="DE150" i="31"/>
  <c r="CW150" i="31"/>
  <c r="CO150" i="31"/>
  <c r="CG150" i="31"/>
  <c r="BY150" i="31"/>
  <c r="BQ150" i="31"/>
  <c r="DD150" i="31"/>
  <c r="CV150" i="31"/>
  <c r="CN150" i="31"/>
  <c r="CF150" i="31"/>
  <c r="BX150" i="31"/>
  <c r="BP150" i="31"/>
  <c r="CU150" i="31"/>
  <c r="CB150" i="31"/>
  <c r="CS150" i="31"/>
  <c r="BW150" i="31"/>
  <c r="CR150" i="31"/>
  <c r="BU150" i="31"/>
  <c r="DI150" i="31"/>
  <c r="CM150" i="31"/>
  <c r="BT150" i="31"/>
  <c r="DH150" i="31"/>
  <c r="CK150" i="31"/>
  <c r="BO150" i="31"/>
  <c r="DC150" i="31"/>
  <c r="CJ150" i="31"/>
  <c r="BM150" i="31"/>
  <c r="DA150" i="31"/>
  <c r="CE150" i="31"/>
  <c r="BL150" i="31"/>
  <c r="CC150" i="31"/>
  <c r="CZ150" i="31"/>
  <c r="DI163" i="31"/>
  <c r="DA163" i="31"/>
  <c r="CS163" i="31"/>
  <c r="CK163" i="31"/>
  <c r="CC163" i="31"/>
  <c r="BU163" i="31"/>
  <c r="BM163" i="31"/>
  <c r="DH163" i="31"/>
  <c r="CZ163" i="31"/>
  <c r="CR163" i="31"/>
  <c r="CJ163" i="31"/>
  <c r="CB163" i="31"/>
  <c r="BT163" i="31"/>
  <c r="BL163" i="31"/>
  <c r="DF163" i="31"/>
  <c r="CX163" i="31"/>
  <c r="CP163" i="31"/>
  <c r="CH163" i="31"/>
  <c r="BZ163" i="31"/>
  <c r="BR163" i="31"/>
  <c r="DG163" i="31"/>
  <c r="CU163" i="31"/>
  <c r="CG163" i="31"/>
  <c r="BV163" i="31"/>
  <c r="DE163" i="31"/>
  <c r="CT163" i="31"/>
  <c r="CF163" i="31"/>
  <c r="BS163" i="31"/>
  <c r="DD163" i="31"/>
  <c r="CQ163" i="31"/>
  <c r="CE163" i="31"/>
  <c r="BQ163" i="31"/>
  <c r="DC163" i="31"/>
  <c r="CO163" i="31"/>
  <c r="CD163" i="31"/>
  <c r="BP163" i="31"/>
  <c r="CY163" i="31"/>
  <c r="CM163" i="31"/>
  <c r="BY163" i="31"/>
  <c r="BN163" i="31"/>
  <c r="CL163" i="31"/>
  <c r="CI163" i="31"/>
  <c r="CA163" i="31"/>
  <c r="DJ163" i="31"/>
  <c r="BX163" i="31"/>
  <c r="DB163" i="31"/>
  <c r="BW163" i="31"/>
  <c r="CW163" i="31"/>
  <c r="BO163" i="31"/>
  <c r="CV163" i="31"/>
  <c r="BK163" i="31"/>
  <c r="CN163" i="31"/>
  <c r="DD151" i="31"/>
  <c r="CV151" i="31"/>
  <c r="DI151" i="31"/>
  <c r="DA151" i="31"/>
  <c r="DH151" i="31"/>
  <c r="CX151" i="31"/>
  <c r="CO151" i="31"/>
  <c r="CG151" i="31"/>
  <c r="BY151" i="31"/>
  <c r="BQ151" i="31"/>
  <c r="DE151" i="31"/>
  <c r="CT151" i="31"/>
  <c r="CL151" i="31"/>
  <c r="CD151" i="31"/>
  <c r="BV151" i="31"/>
  <c r="BN151" i="31"/>
  <c r="DC151" i="31"/>
  <c r="CS151" i="31"/>
  <c r="CK151" i="31"/>
  <c r="CC151" i="31"/>
  <c r="BU151" i="31"/>
  <c r="BM151" i="31"/>
  <c r="DB151" i="31"/>
  <c r="CR151" i="31"/>
  <c r="CJ151" i="31"/>
  <c r="CB151" i="31"/>
  <c r="BT151" i="31"/>
  <c r="BL151" i="31"/>
  <c r="CZ151" i="31"/>
  <c r="CQ151" i="31"/>
  <c r="CI151" i="31"/>
  <c r="CA151" i="31"/>
  <c r="BS151" i="31"/>
  <c r="BK151" i="31"/>
  <c r="DJ151" i="31"/>
  <c r="CM151" i="31"/>
  <c r="BP151" i="31"/>
  <c r="DG151" i="31"/>
  <c r="CH151" i="31"/>
  <c r="BO151" i="31"/>
  <c r="DF151" i="31"/>
  <c r="CF151" i="31"/>
  <c r="CY151" i="31"/>
  <c r="CE151" i="31"/>
  <c r="CW151" i="31"/>
  <c r="BZ151" i="31"/>
  <c r="CU151" i="31"/>
  <c r="BX151" i="31"/>
  <c r="CP151" i="31"/>
  <c r="BW151" i="31"/>
  <c r="CN151" i="31"/>
  <c r="BR151" i="31"/>
  <c r="DH210" i="31"/>
  <c r="CZ210" i="31"/>
  <c r="CR210" i="31"/>
  <c r="CJ210" i="31"/>
  <c r="CB210" i="31"/>
  <c r="BT210" i="31"/>
  <c r="BL210" i="31"/>
  <c r="DE210" i="31"/>
  <c r="CW210" i="31"/>
  <c r="CO210" i="31"/>
  <c r="CG210" i="31"/>
  <c r="BY210" i="31"/>
  <c r="BQ210" i="31"/>
  <c r="DD210" i="31"/>
  <c r="CV210" i="31"/>
  <c r="CN210" i="31"/>
  <c r="CF210" i="31"/>
  <c r="BX210" i="31"/>
  <c r="BP210" i="31"/>
  <c r="DC210" i="31"/>
  <c r="CU210" i="31"/>
  <c r="CM210" i="31"/>
  <c r="CE210" i="31"/>
  <c r="BW210" i="31"/>
  <c r="BO210" i="31"/>
  <c r="DJ210" i="31"/>
  <c r="DB210" i="31"/>
  <c r="CT210" i="31"/>
  <c r="CL210" i="31"/>
  <c r="CD210" i="31"/>
  <c r="BV210" i="31"/>
  <c r="BN210" i="31"/>
  <c r="CX210" i="31"/>
  <c r="CA210" i="31"/>
  <c r="CQ210" i="31"/>
  <c r="BU210" i="31"/>
  <c r="DI210" i="31"/>
  <c r="CP210" i="31"/>
  <c r="BS210" i="31"/>
  <c r="DG210" i="31"/>
  <c r="CK210" i="31"/>
  <c r="BR210" i="31"/>
  <c r="DF210" i="31"/>
  <c r="CI210" i="31"/>
  <c r="BM210" i="31"/>
  <c r="CH210" i="31"/>
  <c r="CC210" i="31"/>
  <c r="BK210" i="31"/>
  <c r="BZ210" i="31"/>
  <c r="DA210" i="31"/>
  <c r="CY210" i="31"/>
  <c r="CS210" i="31"/>
  <c r="DH155" i="31"/>
  <c r="CZ155" i="31"/>
  <c r="CR155" i="31"/>
  <c r="CJ155" i="31"/>
  <c r="CB155" i="31"/>
  <c r="BT155" i="31"/>
  <c r="BL155" i="31"/>
  <c r="DG155" i="31"/>
  <c r="CY155" i="31"/>
  <c r="CQ155" i="31"/>
  <c r="CI155" i="31"/>
  <c r="CA155" i="31"/>
  <c r="BS155" i="31"/>
  <c r="BK155" i="31"/>
  <c r="DE155" i="31"/>
  <c r="CW155" i="31"/>
  <c r="CO155" i="31"/>
  <c r="CG155" i="31"/>
  <c r="BY155" i="31"/>
  <c r="BQ155" i="31"/>
  <c r="CX155" i="31"/>
  <c r="CL155" i="31"/>
  <c r="BX155" i="31"/>
  <c r="BM155" i="31"/>
  <c r="DF155" i="31"/>
  <c r="CT155" i="31"/>
  <c r="CF155" i="31"/>
  <c r="BU155" i="31"/>
  <c r="DD155" i="31"/>
  <c r="CS155" i="31"/>
  <c r="CE155" i="31"/>
  <c r="BR155" i="31"/>
  <c r="DC155" i="31"/>
  <c r="CP155" i="31"/>
  <c r="CD155" i="31"/>
  <c r="BP155" i="31"/>
  <c r="DB155" i="31"/>
  <c r="CN155" i="31"/>
  <c r="CC155" i="31"/>
  <c r="BO155" i="31"/>
  <c r="DA155" i="31"/>
  <c r="BV155" i="31"/>
  <c r="CV155" i="31"/>
  <c r="BN155" i="31"/>
  <c r="CU155" i="31"/>
  <c r="CM155" i="31"/>
  <c r="CK155" i="31"/>
  <c r="CH155" i="31"/>
  <c r="DJ155" i="31"/>
  <c r="BZ155" i="31"/>
  <c r="DI155" i="31"/>
  <c r="BW155" i="31"/>
  <c r="DI139" i="31"/>
  <c r="DA139" i="31"/>
  <c r="CS139" i="31"/>
  <c r="CK139" i="31"/>
  <c r="CC139" i="31"/>
  <c r="BU139" i="31"/>
  <c r="DF139" i="31"/>
  <c r="CX139" i="31"/>
  <c r="CP139" i="31"/>
  <c r="CH139" i="31"/>
  <c r="BZ139" i="31"/>
  <c r="BR139" i="31"/>
  <c r="DE139" i="31"/>
  <c r="CW139" i="31"/>
  <c r="CO139" i="31"/>
  <c r="CG139" i="31"/>
  <c r="BY139" i="31"/>
  <c r="BQ139" i="31"/>
  <c r="DD139" i="31"/>
  <c r="CV139" i="31"/>
  <c r="CN139" i="31"/>
  <c r="CF139" i="31"/>
  <c r="BX139" i="31"/>
  <c r="DC139" i="31"/>
  <c r="CU139" i="31"/>
  <c r="CM139" i="31"/>
  <c r="CE139" i="31"/>
  <c r="BW139" i="31"/>
  <c r="BO139" i="31"/>
  <c r="DB139" i="31"/>
  <c r="CI139" i="31"/>
  <c r="BN139" i="31"/>
  <c r="CZ139" i="31"/>
  <c r="CD139" i="31"/>
  <c r="BM139" i="31"/>
  <c r="CY139" i="31"/>
  <c r="CB139" i="31"/>
  <c r="BL139" i="31"/>
  <c r="CT139" i="31"/>
  <c r="CA139" i="31"/>
  <c r="BK139" i="31"/>
  <c r="CR139" i="31"/>
  <c r="BV139" i="31"/>
  <c r="DJ139" i="31"/>
  <c r="CQ139" i="31"/>
  <c r="BT139" i="31"/>
  <c r="DH139" i="31"/>
  <c r="CL139" i="31"/>
  <c r="BS139" i="31"/>
  <c r="DG139" i="31"/>
  <c r="CJ139" i="31"/>
  <c r="BP139" i="31"/>
  <c r="DJ127" i="31"/>
  <c r="DB127" i="31"/>
  <c r="CT127" i="31"/>
  <c r="CL127" i="31"/>
  <c r="CD127" i="31"/>
  <c r="BV127" i="31"/>
  <c r="BN127" i="31"/>
  <c r="DH127" i="31"/>
  <c r="CZ127" i="31"/>
  <c r="CR127" i="31"/>
  <c r="CJ127" i="31"/>
  <c r="CB127" i="31"/>
  <c r="BT127" i="31"/>
  <c r="BL127" i="31"/>
  <c r="DG127" i="31"/>
  <c r="CY127" i="31"/>
  <c r="CQ127" i="31"/>
  <c r="CI127" i="31"/>
  <c r="CA127" i="31"/>
  <c r="BS127" i="31"/>
  <c r="BK127" i="31"/>
  <c r="DF127" i="31"/>
  <c r="CX127" i="31"/>
  <c r="CP127" i="31"/>
  <c r="CH127" i="31"/>
  <c r="BZ127" i="31"/>
  <c r="BR127" i="31"/>
  <c r="DE127" i="31"/>
  <c r="CW127" i="31"/>
  <c r="CO127" i="31"/>
  <c r="CG127" i="31"/>
  <c r="BY127" i="31"/>
  <c r="BQ127" i="31"/>
  <c r="CN127" i="31"/>
  <c r="BU127" i="31"/>
  <c r="DI127" i="31"/>
  <c r="CM127" i="31"/>
  <c r="BP127" i="31"/>
  <c r="CS127" i="31"/>
  <c r="DD127" i="31"/>
  <c r="CK127" i="31"/>
  <c r="BO127" i="31"/>
  <c r="DC127" i="31"/>
  <c r="CF127" i="31"/>
  <c r="BM127" i="31"/>
  <c r="DA127" i="31"/>
  <c r="CE127" i="31"/>
  <c r="CV127" i="31"/>
  <c r="CC127" i="31"/>
  <c r="CU127" i="31"/>
  <c r="BX127" i="31"/>
  <c r="BW127" i="31"/>
  <c r="DG199" i="31"/>
  <c r="CY199" i="31"/>
  <c r="CQ199" i="31"/>
  <c r="CI199" i="31"/>
  <c r="CA199" i="31"/>
  <c r="DD199" i="31"/>
  <c r="CV199" i="31"/>
  <c r="CN199" i="31"/>
  <c r="CF199" i="31"/>
  <c r="BX199" i="31"/>
  <c r="DC199" i="31"/>
  <c r="CU199" i="31"/>
  <c r="CM199" i="31"/>
  <c r="CE199" i="31"/>
  <c r="DJ199" i="31"/>
  <c r="DB199" i="31"/>
  <c r="CT199" i="31"/>
  <c r="CL199" i="31"/>
  <c r="CD199" i="31"/>
  <c r="BV199" i="31"/>
  <c r="DI199" i="31"/>
  <c r="DA199" i="31"/>
  <c r="CS199" i="31"/>
  <c r="CK199" i="31"/>
  <c r="CC199" i="31"/>
  <c r="BU199" i="31"/>
  <c r="DE199" i="31"/>
  <c r="CH199" i="31"/>
  <c r="BR199" i="31"/>
  <c r="CX199" i="31"/>
  <c r="CB199" i="31"/>
  <c r="BP199" i="31"/>
  <c r="CW199" i="31"/>
  <c r="BZ199" i="31"/>
  <c r="BO199" i="31"/>
  <c r="CR199" i="31"/>
  <c r="BY199" i="31"/>
  <c r="BN199" i="31"/>
  <c r="CP199" i="31"/>
  <c r="BW199" i="31"/>
  <c r="BM199" i="31"/>
  <c r="CZ199" i="31"/>
  <c r="BK199" i="31"/>
  <c r="CO199" i="31"/>
  <c r="CG199" i="31"/>
  <c r="DH199" i="31"/>
  <c r="BT199" i="31"/>
  <c r="BS199" i="31"/>
  <c r="BQ199" i="31"/>
  <c r="BL199" i="31"/>
  <c r="DF199" i="31"/>
  <c r="CJ199" i="31"/>
  <c r="DH144" i="31"/>
  <c r="CZ144" i="31"/>
  <c r="CR144" i="31"/>
  <c r="CJ144" i="31"/>
  <c r="CB144" i="31"/>
  <c r="BT144" i="31"/>
  <c r="BL144" i="31"/>
  <c r="DE144" i="31"/>
  <c r="CW144" i="31"/>
  <c r="CO144" i="31"/>
  <c r="CG144" i="31"/>
  <c r="BY144" i="31"/>
  <c r="BQ144" i="31"/>
  <c r="DD144" i="31"/>
  <c r="CV144" i="31"/>
  <c r="CN144" i="31"/>
  <c r="CF144" i="31"/>
  <c r="BX144" i="31"/>
  <c r="BP144" i="31"/>
  <c r="DC144" i="31"/>
  <c r="CU144" i="31"/>
  <c r="CM144" i="31"/>
  <c r="CE144" i="31"/>
  <c r="BW144" i="31"/>
  <c r="BO144" i="31"/>
  <c r="DJ144" i="31"/>
  <c r="DB144" i="31"/>
  <c r="CT144" i="31"/>
  <c r="CL144" i="31"/>
  <c r="CD144" i="31"/>
  <c r="BV144" i="31"/>
  <c r="BN144" i="31"/>
  <c r="CS144" i="31"/>
  <c r="BZ144" i="31"/>
  <c r="CQ144" i="31"/>
  <c r="BU144" i="31"/>
  <c r="DI144" i="31"/>
  <c r="CP144" i="31"/>
  <c r="BS144" i="31"/>
  <c r="DG144" i="31"/>
  <c r="CK144" i="31"/>
  <c r="BR144" i="31"/>
  <c r="DF144" i="31"/>
  <c r="CI144" i="31"/>
  <c r="BM144" i="31"/>
  <c r="DA144" i="31"/>
  <c r="CH144" i="31"/>
  <c r="BK144" i="31"/>
  <c r="CY144" i="31"/>
  <c r="CC144" i="31"/>
  <c r="CX144" i="31"/>
  <c r="CA144" i="31"/>
  <c r="DC170" i="31"/>
  <c r="DF170" i="31"/>
  <c r="DH170" i="31"/>
  <c r="CX170" i="31"/>
  <c r="CP170" i="31"/>
  <c r="CH170" i="31"/>
  <c r="BZ170" i="31"/>
  <c r="BR170" i="31"/>
  <c r="DG170" i="31"/>
  <c r="CW170" i="31"/>
  <c r="CO170" i="31"/>
  <c r="CG170" i="31"/>
  <c r="BY170" i="31"/>
  <c r="BQ170" i="31"/>
  <c r="DD170" i="31"/>
  <c r="CU170" i="31"/>
  <c r="CM170" i="31"/>
  <c r="CE170" i="31"/>
  <c r="BW170" i="31"/>
  <c r="BO170" i="31"/>
  <c r="DJ170" i="31"/>
  <c r="CT170" i="31"/>
  <c r="CI170" i="31"/>
  <c r="BU170" i="31"/>
  <c r="DI170" i="31"/>
  <c r="CS170" i="31"/>
  <c r="CF170" i="31"/>
  <c r="BT170" i="31"/>
  <c r="DE170" i="31"/>
  <c r="CR170" i="31"/>
  <c r="CD170" i="31"/>
  <c r="BS170" i="31"/>
  <c r="DB170" i="31"/>
  <c r="CQ170" i="31"/>
  <c r="CC170" i="31"/>
  <c r="BP170" i="31"/>
  <c r="CZ170" i="31"/>
  <c r="CL170" i="31"/>
  <c r="CA170" i="31"/>
  <c r="BM170" i="31"/>
  <c r="CN170" i="31"/>
  <c r="BK170" i="31"/>
  <c r="CK170" i="31"/>
  <c r="CJ170" i="31"/>
  <c r="CB170" i="31"/>
  <c r="BX170" i="31"/>
  <c r="DA170" i="31"/>
  <c r="BV170" i="31"/>
  <c r="CY170" i="31"/>
  <c r="BN170" i="31"/>
  <c r="BL170" i="31"/>
  <c r="CV170" i="31"/>
  <c r="DG152" i="31"/>
  <c r="CY152" i="31"/>
  <c r="CQ152" i="31"/>
  <c r="CI152" i="31"/>
  <c r="CA152" i="31"/>
  <c r="BS152" i="31"/>
  <c r="BK152" i="31"/>
  <c r="DF152" i="31"/>
  <c r="CX152" i="31"/>
  <c r="CP152" i="31"/>
  <c r="CH152" i="31"/>
  <c r="BZ152" i="31"/>
  <c r="DD152" i="31"/>
  <c r="CV152" i="31"/>
  <c r="CN152" i="31"/>
  <c r="CF152" i="31"/>
  <c r="BX152" i="31"/>
  <c r="BP152" i="31"/>
  <c r="DC152" i="31"/>
  <c r="CR152" i="31"/>
  <c r="CD152" i="31"/>
  <c r="BR152" i="31"/>
  <c r="CZ152" i="31"/>
  <c r="CL152" i="31"/>
  <c r="BY152" i="31"/>
  <c r="BN152" i="31"/>
  <c r="DJ152" i="31"/>
  <c r="CW152" i="31"/>
  <c r="CK152" i="31"/>
  <c r="BW152" i="31"/>
  <c r="BM152" i="31"/>
  <c r="DI152" i="31"/>
  <c r="CU152" i="31"/>
  <c r="CJ152" i="31"/>
  <c r="BV152" i="31"/>
  <c r="BL152" i="31"/>
  <c r="DH152" i="31"/>
  <c r="CT152" i="31"/>
  <c r="CG152" i="31"/>
  <c r="BU152" i="31"/>
  <c r="CO152" i="31"/>
  <c r="CM152" i="31"/>
  <c r="CE152" i="31"/>
  <c r="CC152" i="31"/>
  <c r="DE152" i="31"/>
  <c r="CB152" i="31"/>
  <c r="DB152" i="31"/>
  <c r="BT152" i="31"/>
  <c r="DA152" i="31"/>
  <c r="BQ152" i="31"/>
  <c r="CS152" i="31"/>
  <c r="BO152" i="31"/>
  <c r="DD178" i="31"/>
  <c r="CV178" i="31"/>
  <c r="CN178" i="31"/>
  <c r="CF178" i="31"/>
  <c r="BX178" i="31"/>
  <c r="DI178" i="31"/>
  <c r="DA178" i="31"/>
  <c r="DH178" i="31"/>
  <c r="CZ178" i="31"/>
  <c r="CY178" i="31"/>
  <c r="CP178" i="31"/>
  <c r="CG178" i="31"/>
  <c r="BW178" i="31"/>
  <c r="BO178" i="31"/>
  <c r="DG178" i="31"/>
  <c r="CU178" i="31"/>
  <c r="CL178" i="31"/>
  <c r="CC178" i="31"/>
  <c r="BT178" i="31"/>
  <c r="BL178" i="31"/>
  <c r="DF178" i="31"/>
  <c r="CT178" i="31"/>
  <c r="CK178" i="31"/>
  <c r="CB178" i="31"/>
  <c r="BS178" i="31"/>
  <c r="BK178" i="31"/>
  <c r="DE178" i="31"/>
  <c r="CS178" i="31"/>
  <c r="CJ178" i="31"/>
  <c r="CA178" i="31"/>
  <c r="BR178" i="31"/>
  <c r="DC178" i="31"/>
  <c r="CR178" i="31"/>
  <c r="CI178" i="31"/>
  <c r="BZ178" i="31"/>
  <c r="BQ178" i="31"/>
  <c r="CX178" i="31"/>
  <c r="BY178" i="31"/>
  <c r="CW178" i="31"/>
  <c r="BV178" i="31"/>
  <c r="CO178" i="31"/>
  <c r="BP178" i="31"/>
  <c r="CH178" i="31"/>
  <c r="CE178" i="31"/>
  <c r="CD178" i="31"/>
  <c r="BU178" i="31"/>
  <c r="DB178" i="31"/>
  <c r="BM178" i="31"/>
  <c r="CM178" i="31"/>
  <c r="BN178" i="31"/>
  <c r="DJ178" i="31"/>
  <c r="CQ178" i="31"/>
  <c r="DD173" i="31"/>
  <c r="CV173" i="31"/>
  <c r="CN173" i="31"/>
  <c r="CF173" i="31"/>
  <c r="BX173" i="31"/>
  <c r="BP173" i="31"/>
  <c r="DI173" i="31"/>
  <c r="DA173" i="31"/>
  <c r="CS173" i="31"/>
  <c r="CK173" i="31"/>
  <c r="CC173" i="31"/>
  <c r="BU173" i="31"/>
  <c r="BM173" i="31"/>
  <c r="DH173" i="31"/>
  <c r="CZ173" i="31"/>
  <c r="CR173" i="31"/>
  <c r="CJ173" i="31"/>
  <c r="CB173" i="31"/>
  <c r="BT173" i="31"/>
  <c r="BL173" i="31"/>
  <c r="DG173" i="31"/>
  <c r="CY173" i="31"/>
  <c r="CQ173" i="31"/>
  <c r="CI173" i="31"/>
  <c r="CA173" i="31"/>
  <c r="BS173" i="31"/>
  <c r="BK173" i="31"/>
  <c r="DF173" i="31"/>
  <c r="CX173" i="31"/>
  <c r="CP173" i="31"/>
  <c r="CH173" i="31"/>
  <c r="BZ173" i="31"/>
  <c r="BR173" i="31"/>
  <c r="DC173" i="31"/>
  <c r="CG173" i="31"/>
  <c r="BN173" i="31"/>
  <c r="DB173" i="31"/>
  <c r="CE173" i="31"/>
  <c r="CU173" i="31"/>
  <c r="BY173" i="31"/>
  <c r="DJ173" i="31"/>
  <c r="BW173" i="31"/>
  <c r="DE173" i="31"/>
  <c r="BV173" i="31"/>
  <c r="CW173" i="31"/>
  <c r="BQ173" i="31"/>
  <c r="CT173" i="31"/>
  <c r="BO173" i="31"/>
  <c r="CM173" i="31"/>
  <c r="CD173" i="31"/>
  <c r="CO173" i="31"/>
  <c r="CL173" i="31"/>
  <c r="DG194" i="31"/>
  <c r="CY194" i="31"/>
  <c r="CQ194" i="31"/>
  <c r="CI194" i="31"/>
  <c r="CA194" i="31"/>
  <c r="BS194" i="31"/>
  <c r="BK194" i="31"/>
  <c r="DE194" i="31"/>
  <c r="CW194" i="31"/>
  <c r="CO194" i="31"/>
  <c r="CG194" i="31"/>
  <c r="BY194" i="31"/>
  <c r="BQ194" i="31"/>
  <c r="DD194" i="31"/>
  <c r="CV194" i="31"/>
  <c r="CN194" i="31"/>
  <c r="CF194" i="31"/>
  <c r="BX194" i="31"/>
  <c r="BP194" i="31"/>
  <c r="DC194" i="31"/>
  <c r="CU194" i="31"/>
  <c r="CM194" i="31"/>
  <c r="CE194" i="31"/>
  <c r="BW194" i="31"/>
  <c r="BO194" i="31"/>
  <c r="DJ194" i="31"/>
  <c r="DB194" i="31"/>
  <c r="CT194" i="31"/>
  <c r="CL194" i="31"/>
  <c r="CD194" i="31"/>
  <c r="BV194" i="31"/>
  <c r="BN194" i="31"/>
  <c r="DI194" i="31"/>
  <c r="CP194" i="31"/>
  <c r="BT194" i="31"/>
  <c r="DH194" i="31"/>
  <c r="CK194" i="31"/>
  <c r="BR194" i="31"/>
  <c r="DA194" i="31"/>
  <c r="CH194" i="31"/>
  <c r="BL194" i="31"/>
  <c r="CB194" i="31"/>
  <c r="CX194" i="31"/>
  <c r="BM194" i="31"/>
  <c r="CS194" i="31"/>
  <c r="CR194" i="31"/>
  <c r="CJ194" i="31"/>
  <c r="CZ194" i="31"/>
  <c r="CC194" i="31"/>
  <c r="BZ194" i="31"/>
  <c r="BU194" i="31"/>
  <c r="DF194" i="31"/>
  <c r="DG188" i="31"/>
  <c r="CY188" i="31"/>
  <c r="CQ188" i="31"/>
  <c r="CI188" i="31"/>
  <c r="CA188" i="31"/>
  <c r="BS188" i="31"/>
  <c r="BK188" i="31"/>
  <c r="DF188" i="31"/>
  <c r="CX188" i="31"/>
  <c r="CP188" i="31"/>
  <c r="CH188" i="31"/>
  <c r="BZ188" i="31"/>
  <c r="BR188" i="31"/>
  <c r="DD188" i="31"/>
  <c r="CV188" i="31"/>
  <c r="CN188" i="31"/>
  <c r="CF188" i="31"/>
  <c r="BX188" i="31"/>
  <c r="BP188" i="31"/>
  <c r="DJ188" i="31"/>
  <c r="CW188" i="31"/>
  <c r="CK188" i="31"/>
  <c r="BW188" i="31"/>
  <c r="BL188" i="31"/>
  <c r="DE188" i="31"/>
  <c r="CS188" i="31"/>
  <c r="CE188" i="31"/>
  <c r="BT188" i="31"/>
  <c r="DC188" i="31"/>
  <c r="CR188" i="31"/>
  <c r="CD188" i="31"/>
  <c r="BQ188" i="31"/>
  <c r="DB188" i="31"/>
  <c r="CO188" i="31"/>
  <c r="CC188" i="31"/>
  <c r="BO188" i="31"/>
  <c r="DA188" i="31"/>
  <c r="CM188" i="31"/>
  <c r="CB188" i="31"/>
  <c r="BN188" i="31"/>
  <c r="CJ188" i="31"/>
  <c r="DH188" i="31"/>
  <c r="BV188" i="31"/>
  <c r="CZ188" i="31"/>
  <c r="BU188" i="31"/>
  <c r="CU188" i="31"/>
  <c r="BM188" i="31"/>
  <c r="CT188" i="31"/>
  <c r="CL188" i="31"/>
  <c r="CG188" i="31"/>
  <c r="DI188" i="31"/>
  <c r="BY188" i="31"/>
  <c r="DH177" i="31"/>
  <c r="CZ177" i="31"/>
  <c r="CR177" i="31"/>
  <c r="CJ177" i="31"/>
  <c r="CB177" i="31"/>
  <c r="BT177" i="31"/>
  <c r="BL177" i="31"/>
  <c r="DE177" i="31"/>
  <c r="CW177" i="31"/>
  <c r="CO177" i="31"/>
  <c r="CG177" i="31"/>
  <c r="BY177" i="31"/>
  <c r="BQ177" i="31"/>
  <c r="DD177" i="31"/>
  <c r="CV177" i="31"/>
  <c r="CN177" i="31"/>
  <c r="CF177" i="31"/>
  <c r="BX177" i="31"/>
  <c r="BP177" i="31"/>
  <c r="DC177" i="31"/>
  <c r="CU177" i="31"/>
  <c r="CM177" i="31"/>
  <c r="CE177" i="31"/>
  <c r="BW177" i="31"/>
  <c r="BO177" i="31"/>
  <c r="DJ177" i="31"/>
  <c r="DB177" i="31"/>
  <c r="CT177" i="31"/>
  <c r="CL177" i="31"/>
  <c r="CD177" i="31"/>
  <c r="BV177" i="31"/>
  <c r="BN177" i="31"/>
  <c r="DF177" i="31"/>
  <c r="CI177" i="31"/>
  <c r="BM177" i="31"/>
  <c r="DA177" i="31"/>
  <c r="CH177" i="31"/>
  <c r="BK177" i="31"/>
  <c r="CX177" i="31"/>
  <c r="CA177" i="31"/>
  <c r="CY177" i="31"/>
  <c r="BS177" i="31"/>
  <c r="CS177" i="31"/>
  <c r="BR177" i="31"/>
  <c r="CQ177" i="31"/>
  <c r="CP177" i="31"/>
  <c r="CC177" i="31"/>
  <c r="DI177" i="31"/>
  <c r="DG177" i="31"/>
  <c r="CK177" i="31"/>
  <c r="BZ177" i="31"/>
  <c r="BU177" i="31"/>
  <c r="F71" i="24"/>
  <c r="DF191" i="31"/>
  <c r="CX191" i="31"/>
  <c r="CP191" i="31"/>
  <c r="CH191" i="31"/>
  <c r="BZ191" i="31"/>
  <c r="DD191" i="31"/>
  <c r="CV191" i="31"/>
  <c r="CN191" i="31"/>
  <c r="CF191" i="31"/>
  <c r="BX191" i="31"/>
  <c r="DJ191" i="31"/>
  <c r="DB191" i="31"/>
  <c r="DI191" i="31"/>
  <c r="DA191" i="31"/>
  <c r="CZ191" i="31"/>
  <c r="CO191" i="31"/>
  <c r="CD191" i="31"/>
  <c r="BT191" i="31"/>
  <c r="BL191" i="31"/>
  <c r="CY191" i="31"/>
  <c r="CM191" i="31"/>
  <c r="CC191" i="31"/>
  <c r="BS191" i="31"/>
  <c r="BK191" i="31"/>
  <c r="CU191" i="31"/>
  <c r="CK191" i="31"/>
  <c r="CA191" i="31"/>
  <c r="BQ191" i="31"/>
  <c r="DC191" i="31"/>
  <c r="CI191" i="31"/>
  <c r="BR191" i="31"/>
  <c r="CS191" i="31"/>
  <c r="CB191" i="31"/>
  <c r="BN191" i="31"/>
  <c r="CR191" i="31"/>
  <c r="BY191" i="31"/>
  <c r="BM191" i="31"/>
  <c r="DH191" i="31"/>
  <c r="CQ191" i="31"/>
  <c r="BW191" i="31"/>
  <c r="DG191" i="31"/>
  <c r="CL191" i="31"/>
  <c r="BV191" i="31"/>
  <c r="DE191" i="31"/>
  <c r="BO191" i="31"/>
  <c r="CJ191" i="31"/>
  <c r="CG191" i="31"/>
  <c r="CE191" i="31"/>
  <c r="BU191" i="31"/>
  <c r="CT191" i="31"/>
  <c r="BP191" i="31"/>
  <c r="CW191" i="31"/>
  <c r="F68" i="24"/>
  <c r="DC156" i="31"/>
  <c r="CU156" i="31"/>
  <c r="CM156" i="31"/>
  <c r="CE156" i="31"/>
  <c r="BW156" i="31"/>
  <c r="BO156" i="31"/>
  <c r="DJ156" i="31"/>
  <c r="DB156" i="31"/>
  <c r="CT156" i="31"/>
  <c r="CL156" i="31"/>
  <c r="CD156" i="31"/>
  <c r="BV156" i="31"/>
  <c r="BN156" i="31"/>
  <c r="DH156" i="31"/>
  <c r="CZ156" i="31"/>
  <c r="CR156" i="31"/>
  <c r="CJ156" i="31"/>
  <c r="CB156" i="31"/>
  <c r="BT156" i="31"/>
  <c r="BL156" i="31"/>
  <c r="DI156" i="31"/>
  <c r="CW156" i="31"/>
  <c r="CI156" i="31"/>
  <c r="BX156" i="31"/>
  <c r="DG156" i="31"/>
  <c r="DF156" i="31"/>
  <c r="DE156" i="31"/>
  <c r="CQ156" i="31"/>
  <c r="CF156" i="31"/>
  <c r="BR156" i="31"/>
  <c r="DD156" i="31"/>
  <c r="CP156" i="31"/>
  <c r="CC156" i="31"/>
  <c r="BQ156" i="31"/>
  <c r="DA156" i="31"/>
  <c r="CO156" i="31"/>
  <c r="CA156" i="31"/>
  <c r="BP156" i="31"/>
  <c r="CY156" i="31"/>
  <c r="CN156" i="31"/>
  <c r="BZ156" i="31"/>
  <c r="BM156" i="31"/>
  <c r="CH156" i="31"/>
  <c r="CG156" i="31"/>
  <c r="BY156" i="31"/>
  <c r="BU156" i="31"/>
  <c r="CX156" i="31"/>
  <c r="BS156" i="31"/>
  <c r="CV156" i="31"/>
  <c r="BK156" i="31"/>
  <c r="CS156" i="31"/>
  <c r="CK156" i="31"/>
  <c r="DC145" i="31"/>
  <c r="CU145" i="31"/>
  <c r="CM145" i="31"/>
  <c r="CE145" i="31"/>
  <c r="BW145" i="31"/>
  <c r="BO145" i="31"/>
  <c r="DH145" i="31"/>
  <c r="CZ145" i="31"/>
  <c r="CR145" i="31"/>
  <c r="CJ145" i="31"/>
  <c r="CB145" i="31"/>
  <c r="BT145" i="31"/>
  <c r="BL145" i="31"/>
  <c r="DG145" i="31"/>
  <c r="CY145" i="31"/>
  <c r="CQ145" i="31"/>
  <c r="CI145" i="31"/>
  <c r="CA145" i="31"/>
  <c r="BS145" i="31"/>
  <c r="BK145" i="31"/>
  <c r="DF145" i="31"/>
  <c r="CX145" i="31"/>
  <c r="CP145" i="31"/>
  <c r="CH145" i="31"/>
  <c r="BZ145" i="31"/>
  <c r="BR145" i="31"/>
  <c r="DE145" i="31"/>
  <c r="CW145" i="31"/>
  <c r="CO145" i="31"/>
  <c r="CG145" i="31"/>
  <c r="BY145" i="31"/>
  <c r="BQ145" i="31"/>
  <c r="DD145" i="31"/>
  <c r="CK145" i="31"/>
  <c r="BN145" i="31"/>
  <c r="DB145" i="31"/>
  <c r="CF145" i="31"/>
  <c r="BM145" i="31"/>
  <c r="DA145" i="31"/>
  <c r="CD145" i="31"/>
  <c r="CV145" i="31"/>
  <c r="CC145" i="31"/>
  <c r="CT145" i="31"/>
  <c r="BX145" i="31"/>
  <c r="CS145" i="31"/>
  <c r="BV145" i="31"/>
  <c r="DJ145" i="31"/>
  <c r="CN145" i="31"/>
  <c r="BU145" i="31"/>
  <c r="DI145" i="31"/>
  <c r="CL145" i="31"/>
  <c r="BP145" i="31"/>
  <c r="DJ208" i="31"/>
  <c r="DB208" i="31"/>
  <c r="CT208" i="31"/>
  <c r="CL208" i="31"/>
  <c r="CD208" i="31"/>
  <c r="BV208" i="31"/>
  <c r="BN208" i="31"/>
  <c r="DG208" i="31"/>
  <c r="CY208" i="31"/>
  <c r="CQ208" i="31"/>
  <c r="CI208" i="31"/>
  <c r="CA208" i="31"/>
  <c r="BS208" i="31"/>
  <c r="BK208" i="31"/>
  <c r="DF208" i="31"/>
  <c r="CX208" i="31"/>
  <c r="CP208" i="31"/>
  <c r="CH208" i="31"/>
  <c r="BZ208" i="31"/>
  <c r="BR208" i="31"/>
  <c r="DE208" i="31"/>
  <c r="CW208" i="31"/>
  <c r="CO208" i="31"/>
  <c r="CG208" i="31"/>
  <c r="BY208" i="31"/>
  <c r="BQ208" i="31"/>
  <c r="DD208" i="31"/>
  <c r="CV208" i="31"/>
  <c r="CN208" i="31"/>
  <c r="CF208" i="31"/>
  <c r="BX208" i="31"/>
  <c r="BP208" i="31"/>
  <c r="CU208" i="31"/>
  <c r="CB208" i="31"/>
  <c r="CR208" i="31"/>
  <c r="BU208" i="31"/>
  <c r="DI208" i="31"/>
  <c r="CM208" i="31"/>
  <c r="BT208" i="31"/>
  <c r="DH208" i="31"/>
  <c r="CK208" i="31"/>
  <c r="BO208" i="31"/>
  <c r="DC208" i="31"/>
  <c r="CJ208" i="31"/>
  <c r="BM208" i="31"/>
  <c r="CC208" i="31"/>
  <c r="BW208" i="31"/>
  <c r="CS208" i="31"/>
  <c r="DA208" i="31"/>
  <c r="CZ208" i="31"/>
  <c r="CE208" i="31"/>
  <c r="BL208" i="31"/>
  <c r="F30" i="24"/>
  <c r="DE118" i="31"/>
  <c r="DD118" i="31"/>
  <c r="DC118" i="31"/>
  <c r="DJ118" i="31"/>
  <c r="DA118" i="31"/>
  <c r="CS118" i="31"/>
  <c r="CK118" i="31"/>
  <c r="CC118" i="31"/>
  <c r="BU118" i="31"/>
  <c r="BM118" i="31"/>
  <c r="CZ118" i="31"/>
  <c r="CR118" i="31"/>
  <c r="CJ118" i="31"/>
  <c r="CB118" i="31"/>
  <c r="BT118" i="31"/>
  <c r="BL118" i="31"/>
  <c r="CT118" i="31"/>
  <c r="CY118" i="31"/>
  <c r="CQ118" i="31"/>
  <c r="CI118" i="31"/>
  <c r="CA118" i="31"/>
  <c r="BS118" i="31"/>
  <c r="BK118" i="31"/>
  <c r="BN118" i="31"/>
  <c r="DI118" i="31"/>
  <c r="CX118" i="31"/>
  <c r="CP118" i="31"/>
  <c r="CH118" i="31"/>
  <c r="BZ118" i="31"/>
  <c r="BR118" i="31"/>
  <c r="CL118" i="31"/>
  <c r="DH118" i="31"/>
  <c r="CW118" i="31"/>
  <c r="CO118" i="31"/>
  <c r="CG118" i="31"/>
  <c r="BY118" i="31"/>
  <c r="BQ118" i="31"/>
  <c r="BV118" i="31"/>
  <c r="DG118" i="31"/>
  <c r="CV118" i="31"/>
  <c r="CN118" i="31"/>
  <c r="CF118" i="31"/>
  <c r="BX118" i="31"/>
  <c r="BP118" i="31"/>
  <c r="CD118" i="31"/>
  <c r="DF118" i="31"/>
  <c r="CU118" i="31"/>
  <c r="CM118" i="31"/>
  <c r="CE118" i="31"/>
  <c r="BW118" i="31"/>
  <c r="BO118" i="31"/>
  <c r="DB118" i="31"/>
  <c r="DI160" i="31"/>
  <c r="DA160" i="31"/>
  <c r="CS160" i="31"/>
  <c r="CK160" i="31"/>
  <c r="CC160" i="31"/>
  <c r="BU160" i="31"/>
  <c r="BM160" i="31"/>
  <c r="DH160" i="31"/>
  <c r="CZ160" i="31"/>
  <c r="CR160" i="31"/>
  <c r="CJ160" i="31"/>
  <c r="CB160" i="31"/>
  <c r="BT160" i="31"/>
  <c r="BL160" i="31"/>
  <c r="DG160" i="31"/>
  <c r="CY160" i="31"/>
  <c r="CQ160" i="31"/>
  <c r="CI160" i="31"/>
  <c r="CA160" i="31"/>
  <c r="BS160" i="31"/>
  <c r="BK160" i="31"/>
  <c r="DF160" i="31"/>
  <c r="CX160" i="31"/>
  <c r="CP160" i="31"/>
  <c r="CH160" i="31"/>
  <c r="BZ160" i="31"/>
  <c r="BR160" i="31"/>
  <c r="DD160" i="31"/>
  <c r="CV160" i="31"/>
  <c r="CN160" i="31"/>
  <c r="CF160" i="31"/>
  <c r="BX160" i="31"/>
  <c r="BP160" i="31"/>
  <c r="CU160" i="31"/>
  <c r="BY160" i="31"/>
  <c r="CT160" i="31"/>
  <c r="BW160" i="31"/>
  <c r="CO160" i="31"/>
  <c r="BV160" i="31"/>
  <c r="DJ160" i="31"/>
  <c r="CM160" i="31"/>
  <c r="BQ160" i="31"/>
  <c r="DE160" i="31"/>
  <c r="CL160" i="31"/>
  <c r="BO160" i="31"/>
  <c r="DC160" i="31"/>
  <c r="CG160" i="31"/>
  <c r="BN160" i="31"/>
  <c r="DB160" i="31"/>
  <c r="CE160" i="31"/>
  <c r="CW160" i="31"/>
  <c r="CD160" i="31"/>
  <c r="DJ195" i="31"/>
  <c r="DB195" i="31"/>
  <c r="CT195" i="31"/>
  <c r="CL195" i="31"/>
  <c r="CD195" i="31"/>
  <c r="BV195" i="31"/>
  <c r="BN195" i="31"/>
  <c r="DH195" i="31"/>
  <c r="CZ195" i="31"/>
  <c r="CR195" i="31"/>
  <c r="CJ195" i="31"/>
  <c r="CB195" i="31"/>
  <c r="BT195" i="31"/>
  <c r="BL195" i="31"/>
  <c r="DG195" i="31"/>
  <c r="CY195" i="31"/>
  <c r="CQ195" i="31"/>
  <c r="CI195" i="31"/>
  <c r="CA195" i="31"/>
  <c r="BS195" i="31"/>
  <c r="BK195" i="31"/>
  <c r="DF195" i="31"/>
  <c r="CX195" i="31"/>
  <c r="CP195" i="31"/>
  <c r="CH195" i="31"/>
  <c r="BZ195" i="31"/>
  <c r="BR195" i="31"/>
  <c r="DE195" i="31"/>
  <c r="CW195" i="31"/>
  <c r="CO195" i="31"/>
  <c r="CG195" i="31"/>
  <c r="BY195" i="31"/>
  <c r="BQ195" i="31"/>
  <c r="DA195" i="31"/>
  <c r="CE195" i="31"/>
  <c r="CV195" i="31"/>
  <c r="CC195" i="31"/>
  <c r="CS195" i="31"/>
  <c r="BW195" i="31"/>
  <c r="CN195" i="31"/>
  <c r="BM195" i="31"/>
  <c r="CF195" i="31"/>
  <c r="DI195" i="31"/>
  <c r="BX195" i="31"/>
  <c r="DD195" i="31"/>
  <c r="BU195" i="31"/>
  <c r="DC195" i="31"/>
  <c r="BP195" i="31"/>
  <c r="CK195" i="31"/>
  <c r="CU195" i="31"/>
  <c r="CM195" i="31"/>
  <c r="BO195" i="31"/>
  <c r="DH115" i="31"/>
  <c r="CZ115" i="31"/>
  <c r="CR115" i="31"/>
  <c r="CJ115" i="31"/>
  <c r="CB115" i="31"/>
  <c r="BT115" i="31"/>
  <c r="BL115" i="31"/>
  <c r="BU115" i="31"/>
  <c r="DG115" i="31"/>
  <c r="CY115" i="31"/>
  <c r="CQ115" i="31"/>
  <c r="CI115" i="31"/>
  <c r="CA115" i="31"/>
  <c r="BS115" i="31"/>
  <c r="BK115" i="31"/>
  <c r="BM115" i="31"/>
  <c r="DF115" i="31"/>
  <c r="CX115" i="31"/>
  <c r="CP115" i="31"/>
  <c r="CH115" i="31"/>
  <c r="BZ115" i="31"/>
  <c r="BR115" i="31"/>
  <c r="BN115" i="31"/>
  <c r="CK115" i="31"/>
  <c r="DE115" i="31"/>
  <c r="CW115" i="31"/>
  <c r="CO115" i="31"/>
  <c r="CG115" i="31"/>
  <c r="BY115" i="31"/>
  <c r="BQ115" i="31"/>
  <c r="DA115" i="31"/>
  <c r="DD115" i="31"/>
  <c r="CV115" i="31"/>
  <c r="CN115" i="31"/>
  <c r="CF115" i="31"/>
  <c r="BX115" i="31"/>
  <c r="BP115" i="31"/>
  <c r="CS115" i="31"/>
  <c r="DC115" i="31"/>
  <c r="CU115" i="31"/>
  <c r="CM115" i="31"/>
  <c r="CE115" i="31"/>
  <c r="BW115" i="31"/>
  <c r="BO115" i="31"/>
  <c r="DI115" i="31"/>
  <c r="DJ115" i="31"/>
  <c r="DB115" i="31"/>
  <c r="CT115" i="31"/>
  <c r="CL115" i="31"/>
  <c r="CD115" i="31"/>
  <c r="BV115" i="31"/>
  <c r="CC115" i="31"/>
  <c r="DG141" i="31"/>
  <c r="CY141" i="31"/>
  <c r="CQ141" i="31"/>
  <c r="CI141" i="31"/>
  <c r="CA141" i="31"/>
  <c r="BS141" i="31"/>
  <c r="BK141" i="31"/>
  <c r="DD141" i="31"/>
  <c r="CV141" i="31"/>
  <c r="CN141" i="31"/>
  <c r="CF141" i="31"/>
  <c r="BX141" i="31"/>
  <c r="BP141" i="31"/>
  <c r="DC141" i="31"/>
  <c r="CU141" i="31"/>
  <c r="CM141" i="31"/>
  <c r="CE141" i="31"/>
  <c r="BW141" i="31"/>
  <c r="BO141" i="31"/>
  <c r="DJ141" i="31"/>
  <c r="DB141" i="31"/>
  <c r="CT141" i="31"/>
  <c r="CL141" i="31"/>
  <c r="CD141" i="31"/>
  <c r="BV141" i="31"/>
  <c r="BN141" i="31"/>
  <c r="DI141" i="31"/>
  <c r="DA141" i="31"/>
  <c r="CS141" i="31"/>
  <c r="CK141" i="31"/>
  <c r="CC141" i="31"/>
  <c r="BU141" i="31"/>
  <c r="BM141" i="31"/>
  <c r="DE141" i="31"/>
  <c r="CH141" i="31"/>
  <c r="BL141" i="31"/>
  <c r="CZ141" i="31"/>
  <c r="CG141" i="31"/>
  <c r="CX141" i="31"/>
  <c r="CB141" i="31"/>
  <c r="CW141" i="31"/>
  <c r="BZ141" i="31"/>
  <c r="CR141" i="31"/>
  <c r="BY141" i="31"/>
  <c r="CP141" i="31"/>
  <c r="BT141" i="31"/>
  <c r="DH141" i="31"/>
  <c r="CO141" i="31"/>
  <c r="BR141" i="31"/>
  <c r="DF141" i="31"/>
  <c r="CJ141" i="31"/>
  <c r="BQ141" i="31"/>
  <c r="DJ119" i="31"/>
  <c r="DB119" i="31"/>
  <c r="CT119" i="31"/>
  <c r="CL119" i="31"/>
  <c r="CD119" i="31"/>
  <c r="BV119" i="31"/>
  <c r="BN119" i="31"/>
  <c r="DH119" i="31"/>
  <c r="CZ119" i="31"/>
  <c r="CR119" i="31"/>
  <c r="CJ119" i="31"/>
  <c r="CB119" i="31"/>
  <c r="BT119" i="31"/>
  <c r="BL119" i="31"/>
  <c r="DG119" i="31"/>
  <c r="CY119" i="31"/>
  <c r="CQ119" i="31"/>
  <c r="CI119" i="31"/>
  <c r="CA119" i="31"/>
  <c r="BS119" i="31"/>
  <c r="BK119" i="31"/>
  <c r="DF119" i="31"/>
  <c r="CX119" i="31"/>
  <c r="CP119" i="31"/>
  <c r="CH119" i="31"/>
  <c r="BZ119" i="31"/>
  <c r="BR119" i="31"/>
  <c r="DE119" i="31"/>
  <c r="CW119" i="31"/>
  <c r="CO119" i="31"/>
  <c r="CG119" i="31"/>
  <c r="BY119" i="31"/>
  <c r="BQ119" i="31"/>
  <c r="DI119" i="31"/>
  <c r="CM119" i="31"/>
  <c r="BP119" i="31"/>
  <c r="CN119" i="31"/>
  <c r="DD119" i="31"/>
  <c r="CK119" i="31"/>
  <c r="BO119" i="31"/>
  <c r="DC119" i="31"/>
  <c r="CF119" i="31"/>
  <c r="BM119" i="31"/>
  <c r="BU119" i="31"/>
  <c r="DA119" i="31"/>
  <c r="CE119" i="31"/>
  <c r="CV119" i="31"/>
  <c r="CC119" i="31"/>
  <c r="CU119" i="31"/>
  <c r="BX119" i="31"/>
  <c r="CS119" i="31"/>
  <c r="BW119" i="31"/>
  <c r="DE154" i="31"/>
  <c r="CW154" i="31"/>
  <c r="CO154" i="31"/>
  <c r="CG154" i="31"/>
  <c r="BY154" i="31"/>
  <c r="BQ154" i="31"/>
  <c r="DD154" i="31"/>
  <c r="CV154" i="31"/>
  <c r="CN154" i="31"/>
  <c r="CF154" i="31"/>
  <c r="BX154" i="31"/>
  <c r="BP154" i="31"/>
  <c r="DJ154" i="31"/>
  <c r="DB154" i="31"/>
  <c r="CT154" i="31"/>
  <c r="CL154" i="31"/>
  <c r="CD154" i="31"/>
  <c r="BV154" i="31"/>
  <c r="BN154" i="31"/>
  <c r="CZ154" i="31"/>
  <c r="CM154" i="31"/>
  <c r="CA154" i="31"/>
  <c r="BM154" i="31"/>
  <c r="DH154" i="31"/>
  <c r="CU154" i="31"/>
  <c r="CI154" i="31"/>
  <c r="BU154" i="31"/>
  <c r="DG154" i="31"/>
  <c r="CS154" i="31"/>
  <c r="CH154" i="31"/>
  <c r="BT154" i="31"/>
  <c r="DF154" i="31"/>
  <c r="CR154" i="31"/>
  <c r="CE154" i="31"/>
  <c r="BS154" i="31"/>
  <c r="DC154" i="31"/>
  <c r="CQ154" i="31"/>
  <c r="CC154" i="31"/>
  <c r="BR154" i="31"/>
  <c r="CK154" i="31"/>
  <c r="CJ154" i="31"/>
  <c r="CB154" i="31"/>
  <c r="DI154" i="31"/>
  <c r="BZ154" i="31"/>
  <c r="DA154" i="31"/>
  <c r="BW154" i="31"/>
  <c r="CY154" i="31"/>
  <c r="BO154" i="31"/>
  <c r="CX154" i="31"/>
  <c r="BL154" i="31"/>
  <c r="BK154" i="31"/>
  <c r="CP154" i="31"/>
  <c r="F122" i="24"/>
  <c r="F97" i="24"/>
  <c r="F37" i="24"/>
  <c r="DD125" i="31"/>
  <c r="CV125" i="31"/>
  <c r="CN125" i="31"/>
  <c r="CF125" i="31"/>
  <c r="BX125" i="31"/>
  <c r="BP125" i="31"/>
  <c r="DJ125" i="31"/>
  <c r="DB125" i="31"/>
  <c r="CT125" i="31"/>
  <c r="CL125" i="31"/>
  <c r="CD125" i="31"/>
  <c r="BV125" i="31"/>
  <c r="BN125" i="31"/>
  <c r="DI125" i="31"/>
  <c r="DA125" i="31"/>
  <c r="CS125" i="31"/>
  <c r="CK125" i="31"/>
  <c r="CC125" i="31"/>
  <c r="BU125" i="31"/>
  <c r="BM125" i="31"/>
  <c r="DH125" i="31"/>
  <c r="CZ125" i="31"/>
  <c r="CR125" i="31"/>
  <c r="CJ125" i="31"/>
  <c r="CB125" i="31"/>
  <c r="BT125" i="31"/>
  <c r="BL125" i="31"/>
  <c r="DG125" i="31"/>
  <c r="CY125" i="31"/>
  <c r="CQ125" i="31"/>
  <c r="CI125" i="31"/>
  <c r="CA125" i="31"/>
  <c r="BS125" i="31"/>
  <c r="BK125" i="31"/>
  <c r="CO125" i="31"/>
  <c r="BR125" i="31"/>
  <c r="DF125" i="31"/>
  <c r="CM125" i="31"/>
  <c r="BQ125" i="31"/>
  <c r="DE125" i="31"/>
  <c r="CH125" i="31"/>
  <c r="BO125" i="31"/>
  <c r="DC125" i="31"/>
  <c r="CG125" i="31"/>
  <c r="CX125" i="31"/>
  <c r="CE125" i="31"/>
  <c r="CP125" i="31"/>
  <c r="CW125" i="31"/>
  <c r="BZ125" i="31"/>
  <c r="CU125" i="31"/>
  <c r="BY125" i="31"/>
  <c r="BW125" i="31"/>
  <c r="DD148" i="31"/>
  <c r="CV148" i="31"/>
  <c r="CN148" i="31"/>
  <c r="CF148" i="31"/>
  <c r="BX148" i="31"/>
  <c r="BP148" i="31"/>
  <c r="DI148" i="31"/>
  <c r="DA148" i="31"/>
  <c r="CS148" i="31"/>
  <c r="CK148" i="31"/>
  <c r="CC148" i="31"/>
  <c r="BU148" i="31"/>
  <c r="BM148" i="31"/>
  <c r="DH148" i="31"/>
  <c r="CZ148" i="31"/>
  <c r="CR148" i="31"/>
  <c r="CJ148" i="31"/>
  <c r="CB148" i="31"/>
  <c r="BT148" i="31"/>
  <c r="BL148" i="31"/>
  <c r="DG148" i="31"/>
  <c r="CY148" i="31"/>
  <c r="CQ148" i="31"/>
  <c r="CI148" i="31"/>
  <c r="CA148" i="31"/>
  <c r="BS148" i="31"/>
  <c r="BK148" i="31"/>
  <c r="DF148" i="31"/>
  <c r="CX148" i="31"/>
  <c r="CP148" i="31"/>
  <c r="CH148" i="31"/>
  <c r="BZ148" i="31"/>
  <c r="BR148" i="31"/>
  <c r="CU148" i="31"/>
  <c r="BY148" i="31"/>
  <c r="CT148" i="31"/>
  <c r="BW148" i="31"/>
  <c r="CO148" i="31"/>
  <c r="BV148" i="31"/>
  <c r="DJ148" i="31"/>
  <c r="CM148" i="31"/>
  <c r="BQ148" i="31"/>
  <c r="DE148" i="31"/>
  <c r="CL148" i="31"/>
  <c r="BO148" i="31"/>
  <c r="DC148" i="31"/>
  <c r="CG148" i="31"/>
  <c r="BN148" i="31"/>
  <c r="DB148" i="31"/>
  <c r="CE148" i="31"/>
  <c r="CW148" i="31"/>
  <c r="CD148" i="31"/>
  <c r="DH137" i="31"/>
  <c r="CZ137" i="31"/>
  <c r="CR137" i="31"/>
  <c r="CJ137" i="31"/>
  <c r="CB137" i="31"/>
  <c r="BT137" i="31"/>
  <c r="BL137" i="31"/>
  <c r="DG137" i="31"/>
  <c r="CY137" i="31"/>
  <c r="CQ137" i="31"/>
  <c r="CI137" i="31"/>
  <c r="DE137" i="31"/>
  <c r="CW137" i="31"/>
  <c r="CO137" i="31"/>
  <c r="CG137" i="31"/>
  <c r="BY137" i="31"/>
  <c r="BQ137" i="31"/>
  <c r="DD137" i="31"/>
  <c r="CS137" i="31"/>
  <c r="CE137" i="31"/>
  <c r="BU137" i="31"/>
  <c r="DC137" i="31"/>
  <c r="CP137" i="31"/>
  <c r="CD137" i="31"/>
  <c r="BS137" i="31"/>
  <c r="DB137" i="31"/>
  <c r="CN137" i="31"/>
  <c r="CC137" i="31"/>
  <c r="BR137" i="31"/>
  <c r="DA137" i="31"/>
  <c r="CM137" i="31"/>
  <c r="CA137" i="31"/>
  <c r="BP137" i="31"/>
  <c r="CX137" i="31"/>
  <c r="CL137" i="31"/>
  <c r="BZ137" i="31"/>
  <c r="BO137" i="31"/>
  <c r="DJ137" i="31"/>
  <c r="CV137" i="31"/>
  <c r="CK137" i="31"/>
  <c r="BX137" i="31"/>
  <c r="BN137" i="31"/>
  <c r="DI137" i="31"/>
  <c r="CU137" i="31"/>
  <c r="CH137" i="31"/>
  <c r="BW137" i="31"/>
  <c r="BM137" i="31"/>
  <c r="DF137" i="31"/>
  <c r="CT137" i="31"/>
  <c r="CF137" i="31"/>
  <c r="BV137" i="31"/>
  <c r="BK137" i="31"/>
  <c r="DE181" i="31"/>
  <c r="CW181" i="31"/>
  <c r="CO181" i="31"/>
  <c r="CG181" i="31"/>
  <c r="BY181" i="31"/>
  <c r="BQ181" i="31"/>
  <c r="DJ181" i="31"/>
  <c r="DB181" i="31"/>
  <c r="CT181" i="31"/>
  <c r="CL181" i="31"/>
  <c r="CD181" i="31"/>
  <c r="BV181" i="31"/>
  <c r="BN181" i="31"/>
  <c r="DI181" i="31"/>
  <c r="DA181" i="31"/>
  <c r="CS181" i="31"/>
  <c r="CK181" i="31"/>
  <c r="CC181" i="31"/>
  <c r="BU181" i="31"/>
  <c r="BM181" i="31"/>
  <c r="DH181" i="31"/>
  <c r="CZ181" i="31"/>
  <c r="CR181" i="31"/>
  <c r="CJ181" i="31"/>
  <c r="CB181" i="31"/>
  <c r="BT181" i="31"/>
  <c r="BL181" i="31"/>
  <c r="DG181" i="31"/>
  <c r="CY181" i="31"/>
  <c r="CQ181" i="31"/>
  <c r="CI181" i="31"/>
  <c r="CA181" i="31"/>
  <c r="BS181" i="31"/>
  <c r="BK181" i="31"/>
  <c r="DD181" i="31"/>
  <c r="CH181" i="31"/>
  <c r="BO181" i="31"/>
  <c r="CV181" i="31"/>
  <c r="BZ181" i="31"/>
  <c r="CU181" i="31"/>
  <c r="BX181" i="31"/>
  <c r="CP181" i="31"/>
  <c r="BW181" i="31"/>
  <c r="CN181" i="31"/>
  <c r="BR181" i="31"/>
  <c r="CF181" i="31"/>
  <c r="CE181" i="31"/>
  <c r="DF181" i="31"/>
  <c r="CX181" i="31"/>
  <c r="DC181" i="31"/>
  <c r="CM181" i="31"/>
  <c r="BP181" i="31"/>
  <c r="F121" i="24"/>
  <c r="DE209" i="31"/>
  <c r="CW209" i="31"/>
  <c r="CO209" i="31"/>
  <c r="CG209" i="31"/>
  <c r="BY209" i="31"/>
  <c r="BQ209" i="31"/>
  <c r="DJ209" i="31"/>
  <c r="DB209" i="31"/>
  <c r="CT209" i="31"/>
  <c r="CL209" i="31"/>
  <c r="CD209" i="31"/>
  <c r="BV209" i="31"/>
  <c r="BN209" i="31"/>
  <c r="DI209" i="31"/>
  <c r="DA209" i="31"/>
  <c r="CS209" i="31"/>
  <c r="CK209" i="31"/>
  <c r="CC209" i="31"/>
  <c r="BU209" i="31"/>
  <c r="BM209" i="31"/>
  <c r="DH209" i="31"/>
  <c r="CZ209" i="31"/>
  <c r="CR209" i="31"/>
  <c r="CJ209" i="31"/>
  <c r="CB209" i="31"/>
  <c r="BT209" i="31"/>
  <c r="BL209" i="31"/>
  <c r="DG209" i="31"/>
  <c r="CY209" i="31"/>
  <c r="CQ209" i="31"/>
  <c r="CI209" i="31"/>
  <c r="CA209" i="31"/>
  <c r="BS209" i="31"/>
  <c r="BK209" i="31"/>
  <c r="DF209" i="31"/>
  <c r="CM209" i="31"/>
  <c r="BP209" i="31"/>
  <c r="DC209" i="31"/>
  <c r="CF209" i="31"/>
  <c r="CX209" i="31"/>
  <c r="CE209" i="31"/>
  <c r="CV209" i="31"/>
  <c r="BZ209" i="31"/>
  <c r="CU209" i="31"/>
  <c r="BX209" i="31"/>
  <c r="CH209" i="31"/>
  <c r="BW209" i="31"/>
  <c r="BO209" i="31"/>
  <c r="CP209" i="31"/>
  <c r="CN209" i="31"/>
  <c r="BR209" i="31"/>
  <c r="DD209" i="31"/>
  <c r="DG174" i="31"/>
  <c r="CY174" i="31"/>
  <c r="CQ174" i="31"/>
  <c r="CI174" i="31"/>
  <c r="CA174" i="31"/>
  <c r="BS174" i="31"/>
  <c r="BK174" i="31"/>
  <c r="DD174" i="31"/>
  <c r="CV174" i="31"/>
  <c r="CN174" i="31"/>
  <c r="CF174" i="31"/>
  <c r="BX174" i="31"/>
  <c r="BP174" i="31"/>
  <c r="DC174" i="31"/>
  <c r="CU174" i="31"/>
  <c r="CM174" i="31"/>
  <c r="CE174" i="31"/>
  <c r="BW174" i="31"/>
  <c r="BO174" i="31"/>
  <c r="DJ174" i="31"/>
  <c r="DB174" i="31"/>
  <c r="CT174" i="31"/>
  <c r="CL174" i="31"/>
  <c r="CD174" i="31"/>
  <c r="BV174" i="31"/>
  <c r="BN174" i="31"/>
  <c r="DI174" i="31"/>
  <c r="DA174" i="31"/>
  <c r="CS174" i="31"/>
  <c r="CK174" i="31"/>
  <c r="CC174" i="31"/>
  <c r="BU174" i="31"/>
  <c r="BM174" i="31"/>
  <c r="CR174" i="31"/>
  <c r="BY174" i="31"/>
  <c r="CP174" i="31"/>
  <c r="BT174" i="31"/>
  <c r="DF174" i="31"/>
  <c r="CJ174" i="31"/>
  <c r="BQ174" i="31"/>
  <c r="CO174" i="31"/>
  <c r="CH174" i="31"/>
  <c r="CG174" i="31"/>
  <c r="DH174" i="31"/>
  <c r="CB174" i="31"/>
  <c r="CZ174" i="31"/>
  <c r="BR174" i="31"/>
  <c r="DE174" i="31"/>
  <c r="CX174" i="31"/>
  <c r="CW174" i="31"/>
  <c r="BZ174" i="31"/>
  <c r="BL174" i="31"/>
  <c r="DH182" i="31"/>
  <c r="CZ182" i="31"/>
  <c r="CR182" i="31"/>
  <c r="CJ182" i="31"/>
  <c r="CB182" i="31"/>
  <c r="BT182" i="31"/>
  <c r="BL182" i="31"/>
  <c r="DE182" i="31"/>
  <c r="CW182" i="31"/>
  <c r="CO182" i="31"/>
  <c r="CG182" i="31"/>
  <c r="BY182" i="31"/>
  <c r="BQ182" i="31"/>
  <c r="DD182" i="31"/>
  <c r="CV182" i="31"/>
  <c r="CN182" i="31"/>
  <c r="CF182" i="31"/>
  <c r="BX182" i="31"/>
  <c r="BP182" i="31"/>
  <c r="DC182" i="31"/>
  <c r="CU182" i="31"/>
  <c r="CM182" i="31"/>
  <c r="CE182" i="31"/>
  <c r="BW182" i="31"/>
  <c r="BO182" i="31"/>
  <c r="DJ182" i="31"/>
  <c r="DB182" i="31"/>
  <c r="CT182" i="31"/>
  <c r="CL182" i="31"/>
  <c r="CD182" i="31"/>
  <c r="BV182" i="31"/>
  <c r="BN182" i="31"/>
  <c r="CS182" i="31"/>
  <c r="BZ182" i="31"/>
  <c r="DG182" i="31"/>
  <c r="CK182" i="31"/>
  <c r="BR182" i="31"/>
  <c r="DF182" i="31"/>
  <c r="CI182" i="31"/>
  <c r="BM182" i="31"/>
  <c r="DA182" i="31"/>
  <c r="CH182" i="31"/>
  <c r="BK182" i="31"/>
  <c r="CY182" i="31"/>
  <c r="CC182" i="31"/>
  <c r="CP182" i="31"/>
  <c r="CA182" i="31"/>
  <c r="BS182" i="31"/>
  <c r="CX182" i="31"/>
  <c r="CQ182" i="31"/>
  <c r="BU182" i="31"/>
  <c r="DI182" i="31"/>
  <c r="DG126" i="31"/>
  <c r="CY126" i="31"/>
  <c r="CQ126" i="31"/>
  <c r="CI126" i="31"/>
  <c r="CA126" i="31"/>
  <c r="BS126" i="31"/>
  <c r="BK126" i="31"/>
  <c r="DE126" i="31"/>
  <c r="CW126" i="31"/>
  <c r="CO126" i="31"/>
  <c r="CG126" i="31"/>
  <c r="BY126" i="31"/>
  <c r="BQ126" i="31"/>
  <c r="DD126" i="31"/>
  <c r="CV126" i="31"/>
  <c r="CN126" i="31"/>
  <c r="CF126" i="31"/>
  <c r="BX126" i="31"/>
  <c r="BP126" i="31"/>
  <c r="DC126" i="31"/>
  <c r="CU126" i="31"/>
  <c r="CM126" i="31"/>
  <c r="CE126" i="31"/>
  <c r="BW126" i="31"/>
  <c r="BO126" i="31"/>
  <c r="DJ126" i="31"/>
  <c r="DB126" i="31"/>
  <c r="CT126" i="31"/>
  <c r="CL126" i="31"/>
  <c r="CD126" i="31"/>
  <c r="BV126" i="31"/>
  <c r="BN126" i="31"/>
  <c r="CZ126" i="31"/>
  <c r="CC126" i="31"/>
  <c r="CX126" i="31"/>
  <c r="CB126" i="31"/>
  <c r="CS126" i="31"/>
  <c r="BZ126" i="31"/>
  <c r="BL126" i="31"/>
  <c r="CR126" i="31"/>
  <c r="BU126" i="31"/>
  <c r="DA126" i="31"/>
  <c r="DI126" i="31"/>
  <c r="CP126" i="31"/>
  <c r="BT126" i="31"/>
  <c r="DH126" i="31"/>
  <c r="CK126" i="31"/>
  <c r="BR126" i="31"/>
  <c r="CH126" i="31"/>
  <c r="DF126" i="31"/>
  <c r="CJ126" i="31"/>
  <c r="BM126" i="31"/>
  <c r="DF117" i="31"/>
  <c r="CX117" i="31"/>
  <c r="CP117" i="31"/>
  <c r="CH117" i="31"/>
  <c r="BZ117" i="31"/>
  <c r="BR117" i="31"/>
  <c r="CQ117" i="31"/>
  <c r="DE117" i="31"/>
  <c r="CW117" i="31"/>
  <c r="CO117" i="31"/>
  <c r="CG117" i="31"/>
  <c r="BY117" i="31"/>
  <c r="BQ117" i="31"/>
  <c r="DD117" i="31"/>
  <c r="CV117" i="31"/>
  <c r="CN117" i="31"/>
  <c r="CF117" i="31"/>
  <c r="BX117" i="31"/>
  <c r="BP117" i="31"/>
  <c r="CY117" i="31"/>
  <c r="BS117" i="31"/>
  <c r="DC117" i="31"/>
  <c r="CU117" i="31"/>
  <c r="CM117" i="31"/>
  <c r="CE117" i="31"/>
  <c r="BW117" i="31"/>
  <c r="BO117" i="31"/>
  <c r="BK117" i="31"/>
  <c r="DJ117" i="31"/>
  <c r="DB117" i="31"/>
  <c r="CT117" i="31"/>
  <c r="CL117" i="31"/>
  <c r="CD117" i="31"/>
  <c r="BV117" i="31"/>
  <c r="BN117" i="31"/>
  <c r="DI117" i="31"/>
  <c r="DA117" i="31"/>
  <c r="CS117" i="31"/>
  <c r="CK117" i="31"/>
  <c r="CC117" i="31"/>
  <c r="BU117" i="31"/>
  <c r="BM117" i="31"/>
  <c r="CA117" i="31"/>
  <c r="DH117" i="31"/>
  <c r="CZ117" i="31"/>
  <c r="CR117" i="31"/>
  <c r="CJ117" i="31"/>
  <c r="CB117" i="31"/>
  <c r="BT117" i="31"/>
  <c r="BL117" i="31"/>
  <c r="DG117" i="31"/>
  <c r="CI117" i="31"/>
  <c r="DJ189" i="31"/>
  <c r="DB189" i="31"/>
  <c r="CT189" i="31"/>
  <c r="CL189" i="31"/>
  <c r="CD189" i="31"/>
  <c r="BV189" i="31"/>
  <c r="BN189" i="31"/>
  <c r="DI189" i="31"/>
  <c r="DA189" i="31"/>
  <c r="CS189" i="31"/>
  <c r="CK189" i="31"/>
  <c r="CC189" i="31"/>
  <c r="BU189" i="31"/>
  <c r="BM189" i="31"/>
  <c r="DG189" i="31"/>
  <c r="CY189" i="31"/>
  <c r="CQ189" i="31"/>
  <c r="CI189" i="31"/>
  <c r="CA189" i="31"/>
  <c r="BS189" i="31"/>
  <c r="BK189" i="31"/>
  <c r="DH189" i="31"/>
  <c r="CV189" i="31"/>
  <c r="CH189" i="31"/>
  <c r="BW189" i="31"/>
  <c r="DD189" i="31"/>
  <c r="CP189" i="31"/>
  <c r="CE189" i="31"/>
  <c r="BQ189" i="31"/>
  <c r="DC189" i="31"/>
  <c r="CO189" i="31"/>
  <c r="CB189" i="31"/>
  <c r="BP189" i="31"/>
  <c r="CZ189" i="31"/>
  <c r="CN189" i="31"/>
  <c r="BZ189" i="31"/>
  <c r="BO189" i="31"/>
  <c r="CX189" i="31"/>
  <c r="CM189" i="31"/>
  <c r="BY189" i="31"/>
  <c r="BL189" i="31"/>
  <c r="CW189" i="31"/>
  <c r="BR189" i="31"/>
  <c r="CJ189" i="31"/>
  <c r="CG189" i="31"/>
  <c r="CF189" i="31"/>
  <c r="DF189" i="31"/>
  <c r="BX189" i="31"/>
  <c r="CU189" i="31"/>
  <c r="DE189" i="31"/>
  <c r="CR189" i="31"/>
  <c r="BT189" i="31"/>
  <c r="DC122" i="31"/>
  <c r="CU122" i="31"/>
  <c r="CM122" i="31"/>
  <c r="CE122" i="31"/>
  <c r="BW122" i="31"/>
  <c r="BO122" i="31"/>
  <c r="DI122" i="31"/>
  <c r="DA122" i="31"/>
  <c r="CS122" i="31"/>
  <c r="CK122" i="31"/>
  <c r="CC122" i="31"/>
  <c r="BU122" i="31"/>
  <c r="BM122" i="31"/>
  <c r="DH122" i="31"/>
  <c r="CZ122" i="31"/>
  <c r="CR122" i="31"/>
  <c r="CJ122" i="31"/>
  <c r="CB122" i="31"/>
  <c r="BT122" i="31"/>
  <c r="BL122" i="31"/>
  <c r="DG122" i="31"/>
  <c r="CY122" i="31"/>
  <c r="CQ122" i="31"/>
  <c r="CI122" i="31"/>
  <c r="CA122" i="31"/>
  <c r="BS122" i="31"/>
  <c r="BK122" i="31"/>
  <c r="DF122" i="31"/>
  <c r="CX122" i="31"/>
  <c r="CP122" i="31"/>
  <c r="CH122" i="31"/>
  <c r="BZ122" i="31"/>
  <c r="BR122" i="31"/>
  <c r="CW122" i="31"/>
  <c r="CD122" i="31"/>
  <c r="CV122" i="31"/>
  <c r="BY122" i="31"/>
  <c r="DB122" i="31"/>
  <c r="CT122" i="31"/>
  <c r="BX122" i="31"/>
  <c r="CF122" i="31"/>
  <c r="CO122" i="31"/>
  <c r="BV122" i="31"/>
  <c r="DJ122" i="31"/>
  <c r="CN122" i="31"/>
  <c r="BQ122" i="31"/>
  <c r="DE122" i="31"/>
  <c r="CL122" i="31"/>
  <c r="BP122" i="31"/>
  <c r="DD122" i="31"/>
  <c r="CG122" i="31"/>
  <c r="BN122" i="31"/>
  <c r="F66" i="24"/>
  <c r="F46" i="24"/>
  <c r="F79" i="24"/>
  <c r="F74" i="24"/>
  <c r="F120" i="24"/>
  <c r="F72" i="24"/>
  <c r="F57" i="24"/>
  <c r="F27" i="24"/>
  <c r="F87" i="24"/>
  <c r="F59" i="24"/>
  <c r="F78" i="24"/>
  <c r="F76" i="24"/>
  <c r="F53" i="24"/>
  <c r="F62" i="24"/>
  <c r="F31" i="24"/>
  <c r="F51" i="24"/>
  <c r="F67" i="24"/>
  <c r="F45" i="24"/>
  <c r="F107" i="24"/>
  <c r="F112" i="24"/>
  <c r="F58" i="24"/>
  <c r="F38" i="24"/>
  <c r="F101" i="24"/>
  <c r="F70" i="24"/>
  <c r="F75" i="24"/>
  <c r="F61" i="24"/>
  <c r="F63" i="24"/>
  <c r="F104" i="24"/>
  <c r="F99" i="24"/>
  <c r="F40" i="24"/>
  <c r="F98" i="24"/>
  <c r="F84" i="24"/>
  <c r="F43" i="24"/>
  <c r="F77" i="24"/>
  <c r="F73" i="24"/>
  <c r="F47" i="24"/>
  <c r="F55" i="24"/>
  <c r="F34" i="24"/>
  <c r="F60" i="24"/>
  <c r="F29" i="24"/>
  <c r="F49" i="24"/>
  <c r="F85" i="24"/>
  <c r="F56" i="24"/>
  <c r="F103" i="24"/>
  <c r="F94" i="24"/>
  <c r="F93" i="24"/>
  <c r="F86" i="24"/>
  <c r="F39" i="24"/>
  <c r="F111" i="24"/>
  <c r="F64" i="24"/>
  <c r="F90" i="24"/>
  <c r="F106" i="24"/>
  <c r="F100" i="24"/>
  <c r="F89" i="24"/>
  <c r="F82" i="24"/>
  <c r="F123" i="24"/>
  <c r="F22" i="30"/>
  <c r="CA3" i="31" s="1"/>
  <c r="CA110" i="31" s="1"/>
  <c r="A29" i="17"/>
  <c r="H27" i="39" s="1"/>
  <c r="D28" i="17"/>
  <c r="C28" i="17"/>
  <c r="J26" i="39" s="1"/>
  <c r="B28" i="17"/>
  <c r="I26" i="39" s="1"/>
  <c r="D22" i="30"/>
  <c r="E22" i="30"/>
  <c r="B23" i="30"/>
  <c r="A23" i="30" s="1"/>
  <c r="K26" i="39" l="1"/>
  <c r="DN55" i="6"/>
  <c r="DN56" i="6" s="1"/>
  <c r="DM54" i="6"/>
  <c r="F23" i="30"/>
  <c r="CB3" i="31" s="1"/>
  <c r="CB110" i="31" s="1"/>
  <c r="A30" i="17"/>
  <c r="H28" i="39" s="1"/>
  <c r="D29" i="17"/>
  <c r="B29" i="17"/>
  <c r="I27" i="39" s="1"/>
  <c r="C29" i="17"/>
  <c r="J27" i="39" s="1"/>
  <c r="D23" i="30"/>
  <c r="E23" i="30"/>
  <c r="B24" i="30"/>
  <c r="A24" i="30" s="1"/>
  <c r="EE4" i="6" l="1"/>
  <c r="K27" i="39"/>
  <c r="DM55" i="6"/>
  <c r="DM56" i="6" s="1"/>
  <c r="F24" i="30"/>
  <c r="CC3" i="31" s="1"/>
  <c r="CC110" i="31" s="1"/>
  <c r="A31" i="17"/>
  <c r="H29" i="39" s="1"/>
  <c r="D30" i="17"/>
  <c r="B30" i="17"/>
  <c r="I28" i="39" s="1"/>
  <c r="C30" i="17"/>
  <c r="J28" i="39" s="1"/>
  <c r="D24" i="30"/>
  <c r="E24" i="30"/>
  <c r="B25" i="30"/>
  <c r="A25" i="30" s="1"/>
  <c r="EE5" i="6" l="1"/>
  <c r="DR33" i="6"/>
  <c r="DR34" i="6"/>
  <c r="DR6" i="6"/>
  <c r="DR38" i="6"/>
  <c r="DR44" i="6"/>
  <c r="DR37" i="6"/>
  <c r="DR47" i="6"/>
  <c r="DR35" i="6"/>
  <c r="DR32" i="6"/>
  <c r="DR9" i="6"/>
  <c r="DR12" i="6"/>
  <c r="DR19" i="6"/>
  <c r="DR42" i="6"/>
  <c r="DR21" i="6"/>
  <c r="DR28" i="6"/>
  <c r="DR52" i="6"/>
  <c r="DR7" i="6"/>
  <c r="DR49" i="6"/>
  <c r="DR26" i="6"/>
  <c r="DR43" i="6"/>
  <c r="DR40" i="6"/>
  <c r="DR23" i="6"/>
  <c r="DR31" i="6"/>
  <c r="DR13" i="6"/>
  <c r="DR48" i="6"/>
  <c r="K28" i="39"/>
  <c r="F25" i="30"/>
  <c r="CD3" i="31" s="1"/>
  <c r="CD110" i="31" s="1"/>
  <c r="A32" i="17"/>
  <c r="H30" i="39" s="1"/>
  <c r="D31" i="17"/>
  <c r="K29" i="39" s="1"/>
  <c r="B31" i="17"/>
  <c r="I29" i="39" s="1"/>
  <c r="C31" i="17"/>
  <c r="J29" i="39" s="1"/>
  <c r="D25" i="30"/>
  <c r="E25" i="30"/>
  <c r="B26" i="30"/>
  <c r="A26" i="30" s="1"/>
  <c r="DR8" i="6" l="1"/>
  <c r="DW56" i="6"/>
  <c r="DV56" i="6"/>
  <c r="DW12" i="6"/>
  <c r="DW20" i="6"/>
  <c r="DW28" i="6"/>
  <c r="DW36" i="6"/>
  <c r="DW44" i="6"/>
  <c r="DW52" i="6"/>
  <c r="DV8" i="6"/>
  <c r="DV16" i="6"/>
  <c r="DV24" i="6"/>
  <c r="DV32" i="6"/>
  <c r="DV40" i="6"/>
  <c r="DV48" i="6"/>
  <c r="DV4" i="6"/>
  <c r="DW5" i="6"/>
  <c r="DW13" i="6"/>
  <c r="DW21" i="6"/>
  <c r="DW29" i="6"/>
  <c r="DW37" i="6"/>
  <c r="DW45" i="6"/>
  <c r="DW53" i="6"/>
  <c r="DV9" i="6"/>
  <c r="DV17" i="6"/>
  <c r="DV25" i="6"/>
  <c r="DV33" i="6"/>
  <c r="DV41" i="6"/>
  <c r="DV49" i="6"/>
  <c r="DW6" i="6"/>
  <c r="DW14" i="6"/>
  <c r="DW22" i="6"/>
  <c r="DW30" i="6"/>
  <c r="DW38" i="6"/>
  <c r="DW46" i="6"/>
  <c r="DW54" i="6"/>
  <c r="DV10" i="6"/>
  <c r="DV18" i="6"/>
  <c r="DV26" i="6"/>
  <c r="DV34" i="6"/>
  <c r="DV42" i="6"/>
  <c r="DV50" i="6"/>
  <c r="DW31" i="6"/>
  <c r="DW47" i="6"/>
  <c r="DW55" i="6"/>
  <c r="DV19" i="6"/>
  <c r="DV27" i="6"/>
  <c r="DV43" i="6"/>
  <c r="DV51" i="6"/>
  <c r="DW8" i="6"/>
  <c r="DW16" i="6"/>
  <c r="DW32" i="6"/>
  <c r="DW40" i="6"/>
  <c r="DW48" i="6"/>
  <c r="DW4" i="6"/>
  <c r="DV20" i="6"/>
  <c r="DV28" i="6"/>
  <c r="DV44" i="6"/>
  <c r="DW9" i="6"/>
  <c r="DW25" i="6"/>
  <c r="DW41" i="6"/>
  <c r="DV5" i="6"/>
  <c r="DV21" i="6"/>
  <c r="DV37" i="6"/>
  <c r="DV53" i="6"/>
  <c r="DV39" i="6"/>
  <c r="DW7" i="6"/>
  <c r="DW15" i="6"/>
  <c r="DW23" i="6"/>
  <c r="DW39" i="6"/>
  <c r="DV11" i="6"/>
  <c r="DV35" i="6"/>
  <c r="DW24" i="6"/>
  <c r="DV12" i="6"/>
  <c r="DV36" i="6"/>
  <c r="DV52" i="6"/>
  <c r="DW17" i="6"/>
  <c r="DW33" i="6"/>
  <c r="DW49" i="6"/>
  <c r="DV13" i="6"/>
  <c r="DV29" i="6"/>
  <c r="DV45" i="6"/>
  <c r="DV31" i="6"/>
  <c r="DV47" i="6"/>
  <c r="DW10" i="6"/>
  <c r="DW18" i="6"/>
  <c r="DW26" i="6"/>
  <c r="DW34" i="6"/>
  <c r="DW42" i="6"/>
  <c r="DW50" i="6"/>
  <c r="DV6" i="6"/>
  <c r="DV14" i="6"/>
  <c r="DV22" i="6"/>
  <c r="DV30" i="6"/>
  <c r="DV38" i="6"/>
  <c r="DV46" i="6"/>
  <c r="DV54" i="6"/>
  <c r="DW11" i="6"/>
  <c r="DW19" i="6"/>
  <c r="DW27" i="6"/>
  <c r="DW35" i="6"/>
  <c r="DW43" i="6"/>
  <c r="DW51" i="6"/>
  <c r="DV7" i="6"/>
  <c r="DV15" i="6"/>
  <c r="DV23" i="6"/>
  <c r="DV55" i="6"/>
  <c r="DR53" i="6"/>
  <c r="DR27" i="6"/>
  <c r="DR50" i="6"/>
  <c r="DR24" i="6"/>
  <c r="DR20" i="6"/>
  <c r="DR41" i="6"/>
  <c r="DR46" i="6"/>
  <c r="DR15" i="6"/>
  <c r="DR29" i="6"/>
  <c r="DR36" i="6"/>
  <c r="DR14" i="6"/>
  <c r="DR17" i="6"/>
  <c r="DR30" i="6"/>
  <c r="DR10" i="6"/>
  <c r="DR16" i="6"/>
  <c r="DR51" i="6"/>
  <c r="DR18" i="6"/>
  <c r="DR22" i="6"/>
  <c r="DR4" i="6"/>
  <c r="DR55" i="6"/>
  <c r="DR25" i="6"/>
  <c r="DR54" i="6"/>
  <c r="DR11" i="6"/>
  <c r="DR39" i="6"/>
  <c r="DR5" i="6"/>
  <c r="DR45" i="6"/>
  <c r="DR56" i="6"/>
  <c r="F26" i="30"/>
  <c r="CE3" i="31" s="1"/>
  <c r="CE110" i="31" s="1"/>
  <c r="A33" i="17"/>
  <c r="H31" i="39" s="1"/>
  <c r="D32" i="17"/>
  <c r="B32" i="17"/>
  <c r="I30" i="39" s="1"/>
  <c r="C32" i="17"/>
  <c r="J30" i="39" s="1"/>
  <c r="D26" i="30"/>
  <c r="E26" i="30"/>
  <c r="B27" i="30"/>
  <c r="A27" i="30" s="1"/>
  <c r="K30" i="39" l="1"/>
  <c r="F27" i="30"/>
  <c r="CF3" i="31" s="1"/>
  <c r="CF110" i="31" s="1"/>
  <c r="A34" i="17"/>
  <c r="H32" i="39" s="1"/>
  <c r="D33" i="17"/>
  <c r="B33" i="17"/>
  <c r="I31" i="39" s="1"/>
  <c r="C33" i="17"/>
  <c r="J31" i="39" s="1"/>
  <c r="D27" i="30"/>
  <c r="E27" i="30"/>
  <c r="B28" i="30"/>
  <c r="A28" i="30" s="1"/>
  <c r="K31" i="39" l="1"/>
  <c r="F28" i="30"/>
  <c r="CG3" i="31" s="1"/>
  <c r="CG110" i="31" s="1"/>
  <c r="A35" i="17"/>
  <c r="H33" i="39" s="1"/>
  <c r="D34" i="17"/>
  <c r="K32" i="39" s="1"/>
  <c r="B34" i="17"/>
  <c r="I32" i="39" s="1"/>
  <c r="C34" i="17"/>
  <c r="J32" i="39" s="1"/>
  <c r="D28" i="30"/>
  <c r="E28" i="30"/>
  <c r="B29" i="30"/>
  <c r="A29" i="30" s="1"/>
  <c r="F29" i="30" l="1"/>
  <c r="CH3" i="31" s="1"/>
  <c r="CH110" i="31" s="1"/>
  <c r="A36" i="17"/>
  <c r="H34" i="39" s="1"/>
  <c r="D35" i="17"/>
  <c r="B35" i="17"/>
  <c r="I33" i="39" s="1"/>
  <c r="C35" i="17"/>
  <c r="J33" i="39" s="1"/>
  <c r="D29" i="30"/>
  <c r="E29" i="30"/>
  <c r="B30" i="30"/>
  <c r="A30" i="30" s="1"/>
  <c r="K33" i="39" l="1"/>
  <c r="F30" i="30"/>
  <c r="CI3" i="31" s="1"/>
  <c r="CI110" i="31" s="1"/>
  <c r="A37" i="17"/>
  <c r="H35" i="39" s="1"/>
  <c r="D36" i="17"/>
  <c r="K34" i="39" s="1"/>
  <c r="B36" i="17"/>
  <c r="I34" i="39" s="1"/>
  <c r="C36" i="17"/>
  <c r="J34" i="39" s="1"/>
  <c r="D30" i="30"/>
  <c r="E30" i="30"/>
  <c r="B31" i="30"/>
  <c r="A31" i="30" s="1"/>
  <c r="F31" i="30" l="1"/>
  <c r="CJ3" i="31" s="1"/>
  <c r="CJ110" i="31" s="1"/>
  <c r="A38" i="17"/>
  <c r="H36" i="39" s="1"/>
  <c r="D37" i="17"/>
  <c r="K35" i="39" s="1"/>
  <c r="B37" i="17"/>
  <c r="I35" i="39" s="1"/>
  <c r="C37" i="17"/>
  <c r="J35" i="39" s="1"/>
  <c r="D31" i="30"/>
  <c r="E31" i="30"/>
  <c r="B32" i="30"/>
  <c r="A32" i="30" s="1"/>
  <c r="F32" i="30" l="1"/>
  <c r="CK3" i="31" s="1"/>
  <c r="CK110" i="31" s="1"/>
  <c r="A39" i="17"/>
  <c r="H37" i="39" s="1"/>
  <c r="D38" i="17"/>
  <c r="K36" i="39" s="1"/>
  <c r="C38" i="17"/>
  <c r="J36" i="39" s="1"/>
  <c r="B38" i="17"/>
  <c r="I36" i="39" s="1"/>
  <c r="D32" i="30"/>
  <c r="E32" i="30"/>
  <c r="B33" i="30"/>
  <c r="A33" i="30" s="1"/>
  <c r="F33" i="30" l="1"/>
  <c r="CL3" i="31" s="1"/>
  <c r="CL110" i="31" s="1"/>
  <c r="A40" i="17"/>
  <c r="H38" i="39" s="1"/>
  <c r="D39" i="17"/>
  <c r="K37" i="39" s="1"/>
  <c r="C39" i="17"/>
  <c r="J37" i="39" s="1"/>
  <c r="B39" i="17"/>
  <c r="I37" i="39" s="1"/>
  <c r="D33" i="30"/>
  <c r="E33" i="30"/>
  <c r="B34" i="30"/>
  <c r="A34" i="30" s="1"/>
  <c r="F34" i="30" l="1"/>
  <c r="CM3" i="31" s="1"/>
  <c r="CM110" i="31" s="1"/>
  <c r="A41" i="17"/>
  <c r="H39" i="39" s="1"/>
  <c r="D40" i="17"/>
  <c r="K38" i="39" s="1"/>
  <c r="C40" i="17"/>
  <c r="J38" i="39" s="1"/>
  <c r="B40" i="17"/>
  <c r="I38" i="39" s="1"/>
  <c r="D34" i="30"/>
  <c r="E34" i="30"/>
  <c r="B35" i="30"/>
  <c r="A35" i="30" s="1"/>
  <c r="F35" i="30" l="1"/>
  <c r="CN3" i="31" s="1"/>
  <c r="CN110" i="31" s="1"/>
  <c r="A42" i="17"/>
  <c r="H40" i="39" s="1"/>
  <c r="D41" i="17"/>
  <c r="K39" i="39" s="1"/>
  <c r="B41" i="17"/>
  <c r="I39" i="39" s="1"/>
  <c r="C41" i="17"/>
  <c r="J39" i="39" s="1"/>
  <c r="D35" i="30"/>
  <c r="E35" i="30"/>
  <c r="B36" i="30"/>
  <c r="A36" i="30" s="1"/>
  <c r="F36" i="30" l="1"/>
  <c r="CO3" i="31" s="1"/>
  <c r="CO110" i="31" s="1"/>
  <c r="A43" i="17"/>
  <c r="H41" i="39" s="1"/>
  <c r="D42" i="17"/>
  <c r="K40" i="39" s="1"/>
  <c r="C42" i="17"/>
  <c r="J40" i="39" s="1"/>
  <c r="B42" i="17"/>
  <c r="I40" i="39" s="1"/>
  <c r="D36" i="30"/>
  <c r="E36" i="30"/>
  <c r="B37" i="30"/>
  <c r="A37" i="30" s="1"/>
  <c r="F37" i="30" l="1"/>
  <c r="CP3" i="31" s="1"/>
  <c r="CP110" i="31" s="1"/>
  <c r="A44" i="17"/>
  <c r="H42" i="39" s="1"/>
  <c r="D43" i="17"/>
  <c r="K41" i="39" s="1"/>
  <c r="C43" i="17"/>
  <c r="J41" i="39" s="1"/>
  <c r="B43" i="17"/>
  <c r="I41" i="39" s="1"/>
  <c r="D37" i="30"/>
  <c r="E37" i="30"/>
  <c r="B38" i="30"/>
  <c r="A38" i="30" s="1"/>
  <c r="F38" i="30" l="1"/>
  <c r="CQ3" i="31" s="1"/>
  <c r="CQ110" i="31" s="1"/>
  <c r="A45" i="17"/>
  <c r="H43" i="39" s="1"/>
  <c r="D44" i="17"/>
  <c r="K42" i="39" s="1"/>
  <c r="C44" i="17"/>
  <c r="J42" i="39" s="1"/>
  <c r="B44" i="17"/>
  <c r="I42" i="39" s="1"/>
  <c r="D38" i="30"/>
  <c r="E38" i="30"/>
  <c r="B39" i="30"/>
  <c r="A39" i="30" s="1"/>
  <c r="F39" i="30" l="1"/>
  <c r="CR3" i="31" s="1"/>
  <c r="CR110" i="31" s="1"/>
  <c r="A46" i="17"/>
  <c r="H44" i="39" s="1"/>
  <c r="D45" i="17"/>
  <c r="K43" i="39" s="1"/>
  <c r="B45" i="17"/>
  <c r="I43" i="39" s="1"/>
  <c r="C45" i="17"/>
  <c r="J43" i="39" s="1"/>
  <c r="D39" i="30"/>
  <c r="E39" i="30"/>
  <c r="B40" i="30"/>
  <c r="A40" i="30" s="1"/>
  <c r="F40" i="30" l="1"/>
  <c r="CS3" i="31" s="1"/>
  <c r="CS110" i="31" s="1"/>
  <c r="A47" i="17"/>
  <c r="H45" i="39" s="1"/>
  <c r="D46" i="17"/>
  <c r="K44" i="39" s="1"/>
  <c r="B46" i="17"/>
  <c r="I44" i="39" s="1"/>
  <c r="C46" i="17"/>
  <c r="J44" i="39" s="1"/>
  <c r="D40" i="30"/>
  <c r="E40" i="30"/>
  <c r="B41" i="30"/>
  <c r="A41" i="30" s="1"/>
  <c r="F41" i="30" l="1"/>
  <c r="CT3" i="31" s="1"/>
  <c r="CT110" i="31" s="1"/>
  <c r="A48" i="17"/>
  <c r="H46" i="39" s="1"/>
  <c r="D47" i="17"/>
  <c r="K45" i="39" s="1"/>
  <c r="C47" i="17"/>
  <c r="J45" i="39" s="1"/>
  <c r="B47" i="17"/>
  <c r="I45" i="39" s="1"/>
  <c r="D41" i="30"/>
  <c r="E41" i="30"/>
  <c r="B42" i="30"/>
  <c r="A42" i="30" s="1"/>
  <c r="F42" i="30" l="1"/>
  <c r="CU3" i="31" s="1"/>
  <c r="CU110" i="31" s="1"/>
  <c r="A49" i="17"/>
  <c r="D48" i="17"/>
  <c r="K46" i="39" s="1"/>
  <c r="B48" i="17"/>
  <c r="I46" i="39" s="1"/>
  <c r="C48" i="17"/>
  <c r="J46" i="39" s="1"/>
  <c r="D42" i="30"/>
  <c r="E42" i="30"/>
  <c r="B43" i="30"/>
  <c r="A43" i="30" s="1"/>
  <c r="F43" i="30" l="1"/>
  <c r="CV3" i="31" s="1"/>
  <c r="CV110" i="31" s="1"/>
  <c r="D49" i="17"/>
  <c r="K47" i="39" s="1"/>
  <c r="H47" i="39"/>
  <c r="A50" i="17"/>
  <c r="H48" i="39" s="1"/>
  <c r="B49" i="17"/>
  <c r="I47" i="39" s="1"/>
  <c r="C49" i="17"/>
  <c r="J47" i="39" s="1"/>
  <c r="D43" i="30"/>
  <c r="E43" i="30"/>
  <c r="B44" i="30"/>
  <c r="A44" i="30" s="1"/>
  <c r="F44" i="30" l="1"/>
  <c r="CW3" i="31" s="1"/>
  <c r="CW110" i="31" s="1"/>
  <c r="A51" i="17"/>
  <c r="H49" i="39" s="1"/>
  <c r="D50" i="17"/>
  <c r="K48" i="39" s="1"/>
  <c r="B50" i="17"/>
  <c r="I48" i="39" s="1"/>
  <c r="C50" i="17"/>
  <c r="J48" i="39" s="1"/>
  <c r="D44" i="30"/>
  <c r="E44" i="30"/>
  <c r="B45" i="30"/>
  <c r="A45" i="30" s="1"/>
  <c r="F45" i="30" l="1"/>
  <c r="CX3" i="31" s="1"/>
  <c r="CX110" i="31" s="1"/>
  <c r="A52" i="17"/>
  <c r="H50" i="39" s="1"/>
  <c r="D51" i="17"/>
  <c r="K49" i="39" s="1"/>
  <c r="B51" i="17"/>
  <c r="I49" i="39" s="1"/>
  <c r="C51" i="17"/>
  <c r="J49" i="39" s="1"/>
  <c r="D45" i="30"/>
  <c r="E45" i="30"/>
  <c r="B46" i="30"/>
  <c r="A46" i="30" s="1"/>
  <c r="F46" i="30" l="1"/>
  <c r="CY3" i="31" s="1"/>
  <c r="CY110" i="31" s="1"/>
  <c r="A53" i="17"/>
  <c r="H51" i="39" s="1"/>
  <c r="D52" i="17"/>
  <c r="K50" i="39" s="1"/>
  <c r="B52" i="17"/>
  <c r="I50" i="39" s="1"/>
  <c r="C52" i="17"/>
  <c r="J50" i="39" s="1"/>
  <c r="D46" i="30"/>
  <c r="E46" i="30"/>
  <c r="B47" i="30"/>
  <c r="A47" i="30" s="1"/>
  <c r="F47" i="30" l="1"/>
  <c r="CZ3" i="31" s="1"/>
  <c r="CZ110" i="31" s="1"/>
  <c r="A54" i="17"/>
  <c r="H52" i="39" s="1"/>
  <c r="D53" i="17"/>
  <c r="K51" i="39" s="1"/>
  <c r="B53" i="17"/>
  <c r="I51" i="39" s="1"/>
  <c r="C53" i="17"/>
  <c r="J51" i="39" s="1"/>
  <c r="D47" i="30"/>
  <c r="E47" i="30"/>
  <c r="B48" i="30"/>
  <c r="A48" i="30" s="1"/>
  <c r="F48" i="30" l="1"/>
  <c r="DA3" i="31" s="1"/>
  <c r="DA110" i="31" s="1"/>
  <c r="A55" i="17"/>
  <c r="H53" i="39" s="1"/>
  <c r="D54" i="17"/>
  <c r="K52" i="39" s="1"/>
  <c r="C54" i="17"/>
  <c r="J52" i="39" s="1"/>
  <c r="B54" i="17"/>
  <c r="I52" i="39" s="1"/>
  <c r="D48" i="30"/>
  <c r="E48" i="30"/>
  <c r="B49" i="30"/>
  <c r="A49" i="30" s="1"/>
  <c r="F49" i="30" l="1"/>
  <c r="DB3" i="31" s="1"/>
  <c r="DB110" i="31" s="1"/>
  <c r="A56" i="17"/>
  <c r="H54" i="39" s="1"/>
  <c r="D55" i="17"/>
  <c r="K53" i="39" s="1"/>
  <c r="C55" i="17"/>
  <c r="J53" i="39" s="1"/>
  <c r="B55" i="17"/>
  <c r="I53" i="39" s="1"/>
  <c r="D49" i="30"/>
  <c r="E49" i="30"/>
  <c r="B50" i="30"/>
  <c r="A50" i="30" s="1"/>
  <c r="F50" i="30" l="1"/>
  <c r="DC3" i="31" s="1"/>
  <c r="DC110" i="31" s="1"/>
  <c r="A57" i="17"/>
  <c r="H55" i="39" s="1"/>
  <c r="D56" i="17"/>
  <c r="K54" i="39" s="1"/>
  <c r="C56" i="17"/>
  <c r="J54" i="39" s="1"/>
  <c r="B56" i="17"/>
  <c r="I54" i="39" s="1"/>
  <c r="D50" i="30"/>
  <c r="E50" i="30"/>
  <c r="B51" i="30"/>
  <c r="A51" i="30" s="1"/>
  <c r="F51" i="30" l="1"/>
  <c r="DD3" i="31" s="1"/>
  <c r="DD110" i="31" s="1"/>
  <c r="A58" i="17"/>
  <c r="H56" i="39" s="1"/>
  <c r="D57" i="17"/>
  <c r="K55" i="39" s="1"/>
  <c r="B57" i="17"/>
  <c r="I55" i="39" s="1"/>
  <c r="C57" i="17"/>
  <c r="J55" i="39" s="1"/>
  <c r="D51" i="30"/>
  <c r="E51" i="30"/>
  <c r="B52" i="30"/>
  <c r="A52" i="30" s="1"/>
  <c r="F52" i="30" l="1"/>
  <c r="DE3" i="31" s="1"/>
  <c r="DE110" i="31" s="1"/>
  <c r="A59" i="17"/>
  <c r="H57" i="39" s="1"/>
  <c r="D58" i="17"/>
  <c r="K56" i="39" s="1"/>
  <c r="C58" i="17"/>
  <c r="J56" i="39" s="1"/>
  <c r="B58" i="17"/>
  <c r="I56" i="39" s="1"/>
  <c r="D52" i="30"/>
  <c r="E52" i="30"/>
  <c r="B53" i="30"/>
  <c r="A53" i="30" s="1"/>
  <c r="F53" i="30" l="1"/>
  <c r="DF3" i="31" s="1"/>
  <c r="DF110" i="31" s="1"/>
  <c r="A60" i="17"/>
  <c r="H58" i="39" s="1"/>
  <c r="D59" i="17"/>
  <c r="K57" i="39" s="1"/>
  <c r="B59" i="17"/>
  <c r="I57" i="39" s="1"/>
  <c r="C59" i="17"/>
  <c r="J57" i="39" s="1"/>
  <c r="D53" i="30"/>
  <c r="E53" i="30"/>
  <c r="B54" i="30"/>
  <c r="A54" i="30" s="1"/>
  <c r="F54" i="30" l="1"/>
  <c r="DG3" i="31" s="1"/>
  <c r="DG110" i="31" s="1"/>
  <c r="A61" i="17"/>
  <c r="H59" i="39" s="1"/>
  <c r="D60" i="17"/>
  <c r="K58" i="39" s="1"/>
  <c r="C60" i="17"/>
  <c r="J58" i="39" s="1"/>
  <c r="B60" i="17"/>
  <c r="I58" i="39" s="1"/>
  <c r="D54" i="30"/>
  <c r="E54" i="30"/>
  <c r="B55" i="30"/>
  <c r="A55" i="30" s="1"/>
  <c r="F55" i="30" l="1"/>
  <c r="DH3" i="31" s="1"/>
  <c r="DH110" i="31" s="1"/>
  <c r="A62" i="17"/>
  <c r="H60" i="39" s="1"/>
  <c r="D61" i="17"/>
  <c r="K59" i="39" s="1"/>
  <c r="B61" i="17"/>
  <c r="I59" i="39" s="1"/>
  <c r="C61" i="17"/>
  <c r="J59" i="39" s="1"/>
  <c r="D55" i="30"/>
  <c r="E55" i="30"/>
  <c r="B56" i="30"/>
  <c r="A56" i="30" s="1"/>
  <c r="F56" i="30" l="1"/>
  <c r="DI3" i="31" s="1"/>
  <c r="DI110" i="31" s="1"/>
  <c r="A63" i="17"/>
  <c r="H61" i="39" s="1"/>
  <c r="D62" i="17"/>
  <c r="K60" i="39" s="1"/>
  <c r="B62" i="17"/>
  <c r="I60" i="39" s="1"/>
  <c r="C62" i="17"/>
  <c r="J60" i="39" s="1"/>
  <c r="E56" i="30"/>
  <c r="D56" i="30"/>
  <c r="B57" i="30"/>
  <c r="F57" i="30" l="1"/>
  <c r="DJ3" i="31" s="1"/>
  <c r="DJ110" i="31" s="1"/>
  <c r="A57" i="30"/>
  <c r="I63" i="30" s="1"/>
  <c r="A64" i="17"/>
  <c r="H62" i="39" s="1"/>
  <c r="D63" i="17"/>
  <c r="K61" i="39" s="1"/>
  <c r="B63" i="17"/>
  <c r="I61" i="39" s="1"/>
  <c r="C63" i="17"/>
  <c r="J61" i="39" s="1"/>
  <c r="H6" i="30"/>
  <c r="L95" i="30"/>
  <c r="H64" i="30"/>
  <c r="N33" i="30"/>
  <c r="N54" i="30"/>
  <c r="H105" i="30"/>
  <c r="P23" i="30"/>
  <c r="H82" i="30"/>
  <c r="K36" i="30"/>
  <c r="J58" i="30"/>
  <c r="P46" i="30"/>
  <c r="N47" i="30"/>
  <c r="J91" i="30"/>
  <c r="K37" i="30"/>
  <c r="P98" i="30"/>
  <c r="H36" i="30"/>
  <c r="N81" i="30"/>
  <c r="K34" i="30"/>
  <c r="H53" i="30"/>
  <c r="N12" i="30"/>
  <c r="J99" i="30"/>
  <c r="K76" i="30"/>
  <c r="P83" i="30"/>
  <c r="J20" i="30"/>
  <c r="K9" i="30"/>
  <c r="K57" i="30"/>
  <c r="K28" i="30"/>
  <c r="N79" i="30"/>
  <c r="H26" i="30"/>
  <c r="P14" i="30"/>
  <c r="J24" i="30"/>
  <c r="N29" i="30"/>
  <c r="P77" i="30"/>
  <c r="J32" i="30"/>
  <c r="K69" i="30"/>
  <c r="J45" i="30"/>
  <c r="N32" i="30"/>
  <c r="L7" i="30"/>
  <c r="N102" i="30"/>
  <c r="P54" i="30"/>
  <c r="J42" i="30"/>
  <c r="K35" i="30"/>
  <c r="J18" i="30"/>
  <c r="N28" i="30"/>
  <c r="P66" i="30"/>
  <c r="N64" i="30"/>
  <c r="L86" i="30"/>
  <c r="P42" i="30"/>
  <c r="N37" i="30"/>
  <c r="N65" i="30"/>
  <c r="N36" i="30"/>
  <c r="L13" i="30"/>
  <c r="L83" i="30"/>
  <c r="K75" i="30"/>
  <c r="L30" i="30"/>
  <c r="N95" i="30"/>
  <c r="N76" i="30"/>
  <c r="P20" i="30"/>
  <c r="N83" i="30"/>
  <c r="L51" i="30"/>
  <c r="J69" i="30"/>
  <c r="J38" i="30"/>
  <c r="L32" i="30"/>
  <c r="K20" i="30"/>
  <c r="J90" i="30"/>
  <c r="H25" i="30"/>
  <c r="N72" i="30"/>
  <c r="K11" i="30"/>
  <c r="N9" i="30"/>
  <c r="H92" i="30"/>
  <c r="H45" i="30"/>
  <c r="P94" i="30"/>
  <c r="L96" i="30"/>
  <c r="K45" i="30"/>
  <c r="K78" i="30"/>
  <c r="N67" i="30"/>
  <c r="P8" i="30"/>
  <c r="N92" i="30"/>
  <c r="L33" i="30"/>
  <c r="K104" i="30"/>
  <c r="L16" i="30"/>
  <c r="N104" i="30"/>
  <c r="P48" i="30"/>
  <c r="L68" i="30"/>
  <c r="P75" i="30"/>
  <c r="K52" i="30"/>
  <c r="J39" i="30"/>
  <c r="H104" i="30"/>
  <c r="L75" i="30"/>
  <c r="H78" i="30"/>
  <c r="L39" i="30"/>
  <c r="K46" i="30"/>
  <c r="H80" i="30"/>
  <c r="L101" i="30"/>
  <c r="N55" i="30"/>
  <c r="K26" i="30"/>
  <c r="P88" i="30"/>
  <c r="K33" i="30"/>
  <c r="J79" i="30"/>
  <c r="J56" i="30"/>
  <c r="N34" i="30"/>
  <c r="L36" i="30"/>
  <c r="J10" i="30"/>
  <c r="L38" i="30"/>
  <c r="P61" i="30"/>
  <c r="N25" i="30"/>
  <c r="H94" i="30"/>
  <c r="P79" i="30"/>
  <c r="J60" i="30"/>
  <c r="J67" i="30"/>
  <c r="K65" i="30"/>
  <c r="H48" i="30"/>
  <c r="L93" i="30"/>
  <c r="L61" i="30"/>
  <c r="H42" i="30"/>
  <c r="N103" i="30"/>
  <c r="H79" i="30"/>
  <c r="J54" i="30"/>
  <c r="H41" i="30"/>
  <c r="P70" i="30"/>
  <c r="L48" i="30"/>
  <c r="J81" i="30"/>
  <c r="L105" i="30"/>
  <c r="H39" i="30"/>
  <c r="K41" i="30"/>
  <c r="N20" i="30"/>
  <c r="H84" i="30"/>
  <c r="H101" i="30"/>
  <c r="L71" i="30"/>
  <c r="N62" i="30"/>
  <c r="P26" i="30"/>
  <c r="P27" i="30"/>
  <c r="K23" i="30"/>
  <c r="J25" i="30"/>
  <c r="N101" i="30"/>
  <c r="J19" i="30"/>
  <c r="P86" i="30"/>
  <c r="P17" i="30"/>
  <c r="H62" i="30"/>
  <c r="P39" i="30"/>
  <c r="N14" i="30"/>
  <c r="P52" i="30"/>
  <c r="H87" i="30"/>
  <c r="K70" i="30"/>
  <c r="H9" i="30"/>
  <c r="H15" i="30"/>
  <c r="H77" i="30"/>
  <c r="H63" i="30"/>
  <c r="K89" i="30"/>
  <c r="K25" i="30"/>
  <c r="P21" i="30"/>
  <c r="K64" i="30"/>
  <c r="K85" i="30"/>
  <c r="P89" i="30"/>
  <c r="L28" i="30"/>
  <c r="L80" i="30"/>
  <c r="P58" i="30"/>
  <c r="J82" i="30"/>
  <c r="J52" i="30"/>
  <c r="L49" i="30"/>
  <c r="P68" i="30"/>
  <c r="P24" i="30"/>
  <c r="K19" i="30"/>
  <c r="J8" i="30"/>
  <c r="L88" i="30"/>
  <c r="P90" i="30"/>
  <c r="J51" i="30"/>
  <c r="L14" i="30"/>
  <c r="L19" i="30"/>
  <c r="K53" i="30"/>
  <c r="P93" i="30"/>
  <c r="H24" i="30"/>
  <c r="L15" i="30"/>
  <c r="N87" i="30"/>
  <c r="N86" i="30"/>
  <c r="H43" i="30"/>
  <c r="P15" i="30"/>
  <c r="K12" i="30"/>
  <c r="P10" i="30"/>
  <c r="P84" i="30"/>
  <c r="J36" i="30"/>
  <c r="P31" i="30"/>
  <c r="J101" i="30"/>
  <c r="J28" i="30"/>
  <c r="L21" i="30"/>
  <c r="K87" i="30"/>
  <c r="K15" i="30"/>
  <c r="H58" i="30"/>
  <c r="H27" i="30"/>
  <c r="P51" i="30"/>
  <c r="K14" i="30"/>
  <c r="H95" i="30"/>
  <c r="L54" i="30"/>
  <c r="K27" i="30"/>
  <c r="K60" i="30"/>
  <c r="N44" i="30"/>
  <c r="H13" i="30"/>
  <c r="L20" i="30"/>
  <c r="K58" i="30"/>
  <c r="L82" i="30"/>
  <c r="H47" i="30"/>
  <c r="J105" i="30"/>
  <c r="L57" i="30"/>
  <c r="K72" i="30"/>
  <c r="P72" i="30"/>
  <c r="H16" i="30"/>
  <c r="K105" i="30"/>
  <c r="P32" i="30"/>
  <c r="H19" i="30"/>
  <c r="L90" i="30"/>
  <c r="N77" i="30"/>
  <c r="H22" i="30"/>
  <c r="H33" i="30"/>
  <c r="P55" i="30"/>
  <c r="K42" i="30"/>
  <c r="N31" i="30"/>
  <c r="N99" i="30"/>
  <c r="J48" i="30"/>
  <c r="N21" i="30"/>
  <c r="L92" i="30"/>
  <c r="H83" i="30"/>
  <c r="J46" i="30"/>
  <c r="L98" i="30"/>
  <c r="H40" i="30"/>
  <c r="N24" i="30"/>
  <c r="K83" i="30"/>
  <c r="J29" i="30"/>
  <c r="P13" i="30"/>
  <c r="J76" i="30"/>
  <c r="N50" i="30"/>
  <c r="J73" i="30"/>
  <c r="L27" i="30"/>
  <c r="J55" i="30"/>
  <c r="P16" i="30"/>
  <c r="J104" i="30"/>
  <c r="N43" i="30"/>
  <c r="K22" i="30"/>
  <c r="L34" i="30"/>
  <c r="H69" i="30"/>
  <c r="J17" i="30"/>
  <c r="J26" i="30"/>
  <c r="H55" i="30"/>
  <c r="J75" i="30"/>
  <c r="H12" i="30"/>
  <c r="N41" i="30"/>
  <c r="K84" i="30"/>
  <c r="J59" i="30"/>
  <c r="P81" i="30"/>
  <c r="J9" i="30"/>
  <c r="K80" i="30"/>
  <c r="L77" i="30"/>
  <c r="L42" i="30"/>
  <c r="H14" i="30"/>
  <c r="L31" i="30"/>
  <c r="P59" i="30"/>
  <c r="H7" i="30"/>
  <c r="J88" i="30"/>
  <c r="P12" i="30"/>
  <c r="J89" i="30"/>
  <c r="L89" i="30"/>
  <c r="K18" i="30"/>
  <c r="K99" i="30"/>
  <c r="K17" i="30"/>
  <c r="H44" i="30"/>
  <c r="K97" i="30"/>
  <c r="N80" i="30"/>
  <c r="J66" i="30"/>
  <c r="J31" i="30"/>
  <c r="J40" i="30"/>
  <c r="H29" i="30"/>
  <c r="J65" i="30"/>
  <c r="N69" i="30"/>
  <c r="H11" i="30"/>
  <c r="L87" i="30"/>
  <c r="K54" i="30"/>
  <c r="J61" i="30"/>
  <c r="H72" i="30"/>
  <c r="L69" i="30"/>
  <c r="N98" i="30"/>
  <c r="K102" i="30"/>
  <c r="P30" i="30"/>
  <c r="N51" i="30"/>
  <c r="P50" i="30"/>
  <c r="P43" i="30"/>
  <c r="J77" i="30"/>
  <c r="L63" i="30"/>
  <c r="H91" i="30"/>
  <c r="L79" i="30"/>
  <c r="P92" i="30"/>
  <c r="N71" i="30"/>
  <c r="H46" i="30"/>
  <c r="H18" i="30"/>
  <c r="L37" i="30"/>
  <c r="H34" i="30"/>
  <c r="L17" i="30"/>
  <c r="J37" i="30"/>
  <c r="H100" i="30"/>
  <c r="N93" i="30"/>
  <c r="N89" i="30"/>
  <c r="J83" i="30"/>
  <c r="K16" i="30"/>
  <c r="J14" i="30"/>
  <c r="P60" i="30"/>
  <c r="H32" i="30"/>
  <c r="J57" i="30"/>
  <c r="N22" i="30"/>
  <c r="K50" i="30"/>
  <c r="L58" i="30"/>
  <c r="H103" i="30"/>
  <c r="P91" i="30"/>
  <c r="P63" i="30"/>
  <c r="H102" i="30"/>
  <c r="N42" i="30"/>
  <c r="J86" i="30"/>
  <c r="K67" i="30"/>
  <c r="H89" i="30"/>
  <c r="J11" i="30"/>
  <c r="J13" i="30"/>
  <c r="H99" i="30"/>
  <c r="H23" i="30"/>
  <c r="H81" i="30"/>
  <c r="P69" i="30"/>
  <c r="N13" i="30"/>
  <c r="L50" i="30"/>
  <c r="K74" i="30"/>
  <c r="L8" i="30"/>
  <c r="J16" i="30"/>
  <c r="P18" i="30"/>
  <c r="H17" i="30"/>
  <c r="P99" i="30"/>
  <c r="L29" i="30"/>
  <c r="N23" i="30"/>
  <c r="L94" i="30"/>
  <c r="J15" i="30"/>
  <c r="L12" i="30"/>
  <c r="K40" i="30"/>
  <c r="H66" i="30"/>
  <c r="N57" i="30"/>
  <c r="N88" i="30"/>
  <c r="J70" i="30"/>
  <c r="N27" i="30"/>
  <c r="N58" i="30"/>
  <c r="K7" i="30"/>
  <c r="P38" i="30"/>
  <c r="K62" i="30"/>
  <c r="H71" i="30"/>
  <c r="L102" i="30"/>
  <c r="P56" i="30"/>
  <c r="N66" i="30"/>
  <c r="N56" i="30"/>
  <c r="K103" i="30"/>
  <c r="H21" i="30"/>
  <c r="N90" i="30"/>
  <c r="N17" i="30"/>
  <c r="L24" i="30"/>
  <c r="N10" i="30"/>
  <c r="H35" i="30"/>
  <c r="K63" i="30"/>
  <c r="N19" i="30"/>
  <c r="L11" i="30"/>
  <c r="N61" i="30"/>
  <c r="N78" i="30"/>
  <c r="J94" i="30"/>
  <c r="L59" i="30"/>
  <c r="K49" i="30"/>
  <c r="N75" i="30"/>
  <c r="L55" i="30"/>
  <c r="J95" i="30"/>
  <c r="H61" i="30"/>
  <c r="J21" i="30"/>
  <c r="P40" i="30"/>
  <c r="K13" i="30"/>
  <c r="N7" i="30"/>
  <c r="H51" i="30"/>
  <c r="P47" i="30"/>
  <c r="N40" i="30"/>
  <c r="K44" i="30"/>
  <c r="H93" i="30"/>
  <c r="P96" i="30"/>
  <c r="J103" i="30"/>
  <c r="J71" i="30"/>
  <c r="P73" i="30"/>
  <c r="J41" i="30"/>
  <c r="N15" i="30"/>
  <c r="N82" i="30"/>
  <c r="J96" i="30"/>
  <c r="K48" i="30"/>
  <c r="N63" i="30"/>
  <c r="L78" i="30"/>
  <c r="H28" i="30"/>
  <c r="P36" i="30"/>
  <c r="J47" i="30"/>
  <c r="N60" i="30"/>
  <c r="K101" i="30"/>
  <c r="J12" i="30"/>
  <c r="J7" i="30"/>
  <c r="P64" i="30"/>
  <c r="H30" i="30"/>
  <c r="K30" i="30"/>
  <c r="H31" i="30"/>
  <c r="N30" i="30"/>
  <c r="H54" i="30"/>
  <c r="H70" i="30"/>
  <c r="N59" i="30"/>
  <c r="L43" i="30"/>
  <c r="J53" i="30"/>
  <c r="H73" i="30"/>
  <c r="H85" i="30"/>
  <c r="L97" i="30"/>
  <c r="J100" i="30"/>
  <c r="P19" i="30"/>
  <c r="J80" i="30"/>
  <c r="J63" i="30"/>
  <c r="H57" i="30"/>
  <c r="N94" i="30"/>
  <c r="N18" i="30"/>
  <c r="N16" i="30"/>
  <c r="P41" i="30"/>
  <c r="N26" i="30"/>
  <c r="L44" i="30"/>
  <c r="K66" i="30"/>
  <c r="K82" i="30"/>
  <c r="J22" i="30"/>
  <c r="H52" i="30"/>
  <c r="L41" i="30"/>
  <c r="H56" i="30"/>
  <c r="L103" i="30"/>
  <c r="N74" i="30"/>
  <c r="L60" i="30"/>
  <c r="H76" i="30"/>
  <c r="H68" i="30"/>
  <c r="P62" i="30"/>
  <c r="N48" i="30"/>
  <c r="N73" i="30"/>
  <c r="P67" i="30"/>
  <c r="L66" i="30"/>
  <c r="N35" i="30"/>
  <c r="L56" i="30"/>
  <c r="J43" i="30"/>
  <c r="J49" i="30"/>
  <c r="J35" i="30"/>
  <c r="P25" i="30"/>
  <c r="K100" i="30"/>
  <c r="J34" i="30"/>
  <c r="J97" i="30"/>
  <c r="L46" i="30"/>
  <c r="H86" i="30"/>
  <c r="H74" i="30"/>
  <c r="P97" i="30"/>
  <c r="H10" i="30"/>
  <c r="P95" i="30"/>
  <c r="H20" i="30"/>
  <c r="P28" i="30"/>
  <c r="P82" i="30"/>
  <c r="K81" i="30"/>
  <c r="K96" i="30"/>
  <c r="N105" i="30"/>
  <c r="L53" i="30"/>
  <c r="J23" i="30"/>
  <c r="H49" i="30"/>
  <c r="L9" i="30"/>
  <c r="P7" i="30"/>
  <c r="N38" i="30"/>
  <c r="L64" i="30"/>
  <c r="K51" i="30"/>
  <c r="N52" i="30"/>
  <c r="L25" i="30"/>
  <c r="H38" i="30"/>
  <c r="K68" i="30"/>
  <c r="P34" i="30"/>
  <c r="J30" i="30"/>
  <c r="L23" i="30"/>
  <c r="J84" i="30"/>
  <c r="J74" i="30"/>
  <c r="K94" i="30"/>
  <c r="P103" i="30"/>
  <c r="J78" i="30"/>
  <c r="P105" i="30"/>
  <c r="K95" i="30"/>
  <c r="P9" i="30"/>
  <c r="J102" i="30"/>
  <c r="K31" i="30"/>
  <c r="H67" i="30"/>
  <c r="K47" i="30"/>
  <c r="H90" i="30"/>
  <c r="K43" i="30"/>
  <c r="L104" i="30"/>
  <c r="L35" i="30"/>
  <c r="N96" i="30"/>
  <c r="L85" i="30"/>
  <c r="L100" i="30"/>
  <c r="H88" i="30"/>
  <c r="N8" i="30"/>
  <c r="J68" i="30"/>
  <c r="L10" i="30"/>
  <c r="K92" i="30"/>
  <c r="K73" i="30"/>
  <c r="H8" i="30"/>
  <c r="P37" i="30"/>
  <c r="J44" i="30"/>
  <c r="H50" i="30"/>
  <c r="J98" i="30"/>
  <c r="L76" i="30"/>
  <c r="L73" i="30"/>
  <c r="K56" i="30"/>
  <c r="P102" i="30"/>
  <c r="L26" i="30"/>
  <c r="K86" i="30"/>
  <c r="L22" i="30"/>
  <c r="H37" i="30"/>
  <c r="P100" i="30"/>
  <c r="K8" i="30"/>
  <c r="P45" i="30"/>
  <c r="N70" i="30"/>
  <c r="L18" i="30"/>
  <c r="P29" i="30"/>
  <c r="L40" i="30"/>
  <c r="P22" i="30"/>
  <c r="L52" i="30"/>
  <c r="N46" i="30"/>
  <c r="J93" i="30"/>
  <c r="K90" i="30"/>
  <c r="K10" i="30"/>
  <c r="P35" i="30"/>
  <c r="K93" i="30"/>
  <c r="L74" i="30"/>
  <c r="L72" i="30"/>
  <c r="H96" i="30"/>
  <c r="N68" i="30"/>
  <c r="N45" i="30"/>
  <c r="N84" i="30"/>
  <c r="P74" i="30"/>
  <c r="J85" i="30"/>
  <c r="N97" i="30"/>
  <c r="N49" i="30"/>
  <c r="J92" i="30"/>
  <c r="P76" i="30"/>
  <c r="N53" i="30"/>
  <c r="K24" i="30"/>
  <c r="N85" i="30"/>
  <c r="P49" i="30"/>
  <c r="L91" i="30"/>
  <c r="K71" i="30"/>
  <c r="P57" i="30"/>
  <c r="L45" i="30"/>
  <c r="L84" i="30"/>
  <c r="J27" i="30"/>
  <c r="L67" i="30"/>
  <c r="J33" i="30"/>
  <c r="K79" i="30"/>
  <c r="K88" i="30"/>
  <c r="J62" i="30"/>
  <c r="H75" i="30"/>
  <c r="K39" i="30"/>
  <c r="N100" i="30"/>
  <c r="L65" i="30"/>
  <c r="P87" i="30"/>
  <c r="K61" i="30"/>
  <c r="K91" i="30"/>
  <c r="K77" i="30"/>
  <c r="P44" i="30"/>
  <c r="J64" i="30"/>
  <c r="P101" i="30"/>
  <c r="K32" i="30"/>
  <c r="P80" i="30"/>
  <c r="K21" i="30"/>
  <c r="P65" i="30"/>
  <c r="P78" i="30"/>
  <c r="K55" i="30"/>
  <c r="N39" i="30"/>
  <c r="P11" i="30"/>
  <c r="P33" i="30"/>
  <c r="H98" i="30"/>
  <c r="P104" i="30"/>
  <c r="L47" i="30"/>
  <c r="K38" i="30"/>
  <c r="N91" i="30"/>
  <c r="H59" i="30"/>
  <c r="P71" i="30"/>
  <c r="L99" i="30"/>
  <c r="J87" i="30"/>
  <c r="L81" i="30"/>
  <c r="K29" i="30"/>
  <c r="H97" i="30"/>
  <c r="J72" i="30"/>
  <c r="H65" i="30"/>
  <c r="K98" i="30"/>
  <c r="L62" i="30"/>
  <c r="J50" i="30"/>
  <c r="K59" i="30"/>
  <c r="P53" i="30"/>
  <c r="L70" i="30"/>
  <c r="N11" i="30"/>
  <c r="P85" i="30"/>
  <c r="H60" i="30"/>
  <c r="P6" i="30"/>
  <c r="N6" i="30"/>
  <c r="L6" i="30"/>
  <c r="E57" i="30"/>
  <c r="J6" i="30"/>
  <c r="D57" i="30"/>
  <c r="M6" i="30" l="1"/>
  <c r="O6" i="30"/>
  <c r="I7" i="30"/>
  <c r="I6" i="30"/>
  <c r="I8" i="30"/>
  <c r="Q46" i="30"/>
  <c r="Q73" i="30"/>
  <c r="Q97" i="30"/>
  <c r="Q44" i="30"/>
  <c r="Q31" i="30"/>
  <c r="Q89" i="30"/>
  <c r="Q22" i="30"/>
  <c r="Q61" i="30"/>
  <c r="O79" i="30"/>
  <c r="Q20" i="30"/>
  <c r="Q84" i="30"/>
  <c r="O13" i="30"/>
  <c r="Q23" i="30"/>
  <c r="Q47" i="30"/>
  <c r="O85" i="30"/>
  <c r="Q19" i="30"/>
  <c r="Q38" i="30"/>
  <c r="Q104" i="30"/>
  <c r="Q80" i="30"/>
  <c r="Q11" i="30"/>
  <c r="Q56" i="30"/>
  <c r="Q95" i="30"/>
  <c r="Q76" i="30"/>
  <c r="Q103" i="30"/>
  <c r="Q50" i="30"/>
  <c r="Q12" i="30"/>
  <c r="Q72" i="30"/>
  <c r="Q15" i="30"/>
  <c r="Q67" i="30"/>
  <c r="Q101" i="30"/>
  <c r="Q18" i="30"/>
  <c r="O97" i="30"/>
  <c r="Q87" i="30"/>
  <c r="Q81" i="30"/>
  <c r="Q85" i="30"/>
  <c r="Q57" i="30"/>
  <c r="Q59" i="30"/>
  <c r="Q53" i="30"/>
  <c r="Q64" i="30"/>
  <c r="Q42" i="30"/>
  <c r="Q26" i="30"/>
  <c r="Q13" i="30"/>
  <c r="Q48" i="30"/>
  <c r="Q28" i="30"/>
  <c r="Q78" i="30"/>
  <c r="Q60" i="30"/>
  <c r="Q30" i="30"/>
  <c r="Q91" i="30"/>
  <c r="Q74" i="30"/>
  <c r="Q43" i="30"/>
  <c r="Q24" i="30"/>
  <c r="Q86" i="30"/>
  <c r="Q37" i="30"/>
  <c r="Q92" i="30"/>
  <c r="Q16" i="30"/>
  <c r="Q17" i="30"/>
  <c r="Q75" i="30"/>
  <c r="Q34" i="30"/>
  <c r="Q21" i="30"/>
  <c r="Q66" i="30"/>
  <c r="Q68" i="30"/>
  <c r="Q14" i="30"/>
  <c r="Q63" i="30"/>
  <c r="Q93" i="30"/>
  <c r="Q71" i="30"/>
  <c r="Q62" i="30"/>
  <c r="Q79" i="30"/>
  <c r="Q49" i="30"/>
  <c r="Q10" i="30"/>
  <c r="Q90" i="30"/>
  <c r="Q36" i="30"/>
  <c r="Q58" i="30"/>
  <c r="Q45" i="30"/>
  <c r="Q55" i="30"/>
  <c r="Q41" i="30"/>
  <c r="Q82" i="30"/>
  <c r="Q39" i="30"/>
  <c r="Q102" i="30"/>
  <c r="Q100" i="30"/>
  <c r="Q54" i="30"/>
  <c r="Q83" i="30"/>
  <c r="Q27" i="30"/>
  <c r="Q51" i="30"/>
  <c r="Q96" i="30"/>
  <c r="Q33" i="30"/>
  <c r="Q98" i="30"/>
  <c r="Q77" i="30"/>
  <c r="Q105" i="30"/>
  <c r="Q9" i="30"/>
  <c r="Q88" i="30"/>
  <c r="O43" i="30"/>
  <c r="Q32" i="30"/>
  <c r="Q40" i="30"/>
  <c r="Q25" i="30"/>
  <c r="Q99" i="30"/>
  <c r="Q52" i="30"/>
  <c r="Q29" i="30"/>
  <c r="Q94" i="30"/>
  <c r="Q70" i="30"/>
  <c r="Q65" i="30"/>
  <c r="Q35" i="30"/>
  <c r="Q7" i="30"/>
  <c r="Q69" i="30"/>
  <c r="Q8" i="30"/>
  <c r="O31" i="30"/>
  <c r="O89" i="30"/>
  <c r="O74" i="30"/>
  <c r="O48" i="30"/>
  <c r="O33" i="30"/>
  <c r="O15" i="30"/>
  <c r="O32" i="30"/>
  <c r="O21" i="30"/>
  <c r="O51" i="30"/>
  <c r="O29" i="30"/>
  <c r="O61" i="30"/>
  <c r="O42" i="30"/>
  <c r="O45" i="30"/>
  <c r="O66" i="30"/>
  <c r="O40" i="30"/>
  <c r="O39" i="30"/>
  <c r="O71" i="30"/>
  <c r="O90" i="30"/>
  <c r="O16" i="30"/>
  <c r="O54" i="30"/>
  <c r="O28" i="30"/>
  <c r="O96" i="30"/>
  <c r="O82" i="30"/>
  <c r="O73" i="30"/>
  <c r="Q6" i="30"/>
  <c r="O99" i="30"/>
  <c r="O91" i="30"/>
  <c r="O83" i="30"/>
  <c r="O19" i="30"/>
  <c r="O88" i="30"/>
  <c r="O76" i="30"/>
  <c r="O37" i="30"/>
  <c r="O10" i="30"/>
  <c r="O22" i="30"/>
  <c r="O75" i="30"/>
  <c r="O12" i="30"/>
  <c r="O87" i="30"/>
  <c r="O57" i="30"/>
  <c r="O81" i="30"/>
  <c r="O36" i="30"/>
  <c r="O24" i="30"/>
  <c r="O70" i="30"/>
  <c r="O25" i="30"/>
  <c r="O84" i="30"/>
  <c r="O38" i="30"/>
  <c r="O50" i="30"/>
  <c r="O41" i="30"/>
  <c r="O94" i="30"/>
  <c r="O95" i="30"/>
  <c r="O46" i="30"/>
  <c r="O101" i="30"/>
  <c r="O9" i="30"/>
  <c r="O67" i="30"/>
  <c r="O105" i="30"/>
  <c r="O100" i="30"/>
  <c r="O58" i="30"/>
  <c r="O60" i="30"/>
  <c r="O7" i="30"/>
  <c r="O14" i="30"/>
  <c r="O77" i="30"/>
  <c r="O93" i="30"/>
  <c r="O65" i="30"/>
  <c r="O52" i="30"/>
  <c r="O27" i="30"/>
  <c r="O64" i="30"/>
  <c r="O102" i="30"/>
  <c r="O35" i="30"/>
  <c r="O68" i="30"/>
  <c r="O56" i="30"/>
  <c r="O34" i="30"/>
  <c r="O98" i="30"/>
  <c r="O49" i="30"/>
  <c r="O86" i="30"/>
  <c r="O20" i="30"/>
  <c r="O23" i="30"/>
  <c r="O59" i="30"/>
  <c r="O26" i="30"/>
  <c r="O55" i="30"/>
  <c r="O47" i="30"/>
  <c r="O63" i="30"/>
  <c r="O103" i="30"/>
  <c r="O72" i="30"/>
  <c r="O80" i="30"/>
  <c r="O104" i="30"/>
  <c r="O17" i="30"/>
  <c r="O18" i="30"/>
  <c r="O62" i="30"/>
  <c r="O69" i="30"/>
  <c r="O44" i="30"/>
  <c r="O8" i="30"/>
  <c r="O53" i="30"/>
  <c r="O92" i="30"/>
  <c r="O30" i="30"/>
  <c r="O11" i="30"/>
  <c r="O78" i="30"/>
  <c r="M8" i="30"/>
  <c r="M91" i="30"/>
  <c r="M79" i="30"/>
  <c r="M21" i="30"/>
  <c r="M37" i="30"/>
  <c r="M49" i="30"/>
  <c r="M103" i="30"/>
  <c r="M50" i="30"/>
  <c r="M20" i="30"/>
  <c r="M101" i="30"/>
  <c r="M77" i="30"/>
  <c r="M68" i="30"/>
  <c r="M100" i="30"/>
  <c r="M60" i="30"/>
  <c r="M98" i="30"/>
  <c r="M29" i="30"/>
  <c r="M42" i="30"/>
  <c r="M63" i="30"/>
  <c r="M59" i="30"/>
  <c r="M33" i="30"/>
  <c r="M35" i="30"/>
  <c r="M82" i="30"/>
  <c r="M94" i="30"/>
  <c r="M32" i="30"/>
  <c r="M26" i="30"/>
  <c r="M34" i="30"/>
  <c r="M16" i="30"/>
  <c r="M84" i="30"/>
  <c r="M57" i="30"/>
  <c r="M31" i="30"/>
  <c r="M89" i="30"/>
  <c r="M28" i="30"/>
  <c r="M96" i="30"/>
  <c r="M92" i="30"/>
  <c r="M65" i="30"/>
  <c r="M71" i="30"/>
  <c r="M56" i="30"/>
  <c r="M15" i="30"/>
  <c r="M9" i="30"/>
  <c r="M81" i="30"/>
  <c r="M52" i="30"/>
  <c r="M36" i="30"/>
  <c r="M38" i="30"/>
  <c r="M45" i="30"/>
  <c r="M73" i="30"/>
  <c r="M95" i="30"/>
  <c r="M87" i="30"/>
  <c r="M51" i="30"/>
  <c r="M97" i="30"/>
  <c r="M80" i="30"/>
  <c r="M19" i="30"/>
  <c r="M12" i="30"/>
  <c r="M76" i="30"/>
  <c r="M53" i="30"/>
  <c r="M44" i="30"/>
  <c r="M25" i="30"/>
  <c r="M27" i="30"/>
  <c r="M102" i="30"/>
  <c r="M90" i="30"/>
  <c r="M11" i="30"/>
  <c r="M72" i="30"/>
  <c r="M13" i="30"/>
  <c r="M43" i="30"/>
  <c r="M99" i="30"/>
  <c r="M58" i="30"/>
  <c r="M47" i="30"/>
  <c r="M46" i="30"/>
  <c r="M62" i="30"/>
  <c r="M24" i="30"/>
  <c r="M14" i="30"/>
  <c r="M66" i="30"/>
  <c r="M86" i="30"/>
  <c r="M30" i="30"/>
  <c r="M93" i="30"/>
  <c r="M22" i="30"/>
  <c r="M61" i="30"/>
  <c r="M88" i="30"/>
  <c r="M23" i="30"/>
  <c r="M39" i="30"/>
  <c r="M41" i="30"/>
  <c r="M67" i="30"/>
  <c r="M18" i="30"/>
  <c r="M10" i="30"/>
  <c r="M104" i="30"/>
  <c r="M55" i="30"/>
  <c r="M64" i="30"/>
  <c r="M7" i="30"/>
  <c r="M75" i="30"/>
  <c r="M54" i="30"/>
  <c r="M69" i="30"/>
  <c r="M17" i="30"/>
  <c r="M70" i="30"/>
  <c r="M40" i="30"/>
  <c r="M78" i="30"/>
  <c r="M83" i="30"/>
  <c r="M105" i="30"/>
  <c r="M85" i="30"/>
  <c r="M74" i="30"/>
  <c r="M48" i="30"/>
  <c r="K6" i="30"/>
  <c r="I55" i="30"/>
  <c r="I79" i="30"/>
  <c r="I97" i="30"/>
  <c r="I67" i="30"/>
  <c r="I64" i="30"/>
  <c r="I72" i="30"/>
  <c r="I37" i="30"/>
  <c r="I58" i="30"/>
  <c r="I40" i="30"/>
  <c r="I48" i="30"/>
  <c r="I62" i="30"/>
  <c r="I81" i="30"/>
  <c r="I82" i="30"/>
  <c r="I12" i="30"/>
  <c r="I19" i="30"/>
  <c r="I85" i="30"/>
  <c r="I46" i="30"/>
  <c r="I43" i="30"/>
  <c r="I54" i="30"/>
  <c r="I33" i="30"/>
  <c r="I34" i="30"/>
  <c r="I84" i="30"/>
  <c r="I16" i="30"/>
  <c r="I14" i="30"/>
  <c r="I77" i="30"/>
  <c r="I21" i="30"/>
  <c r="I56" i="30"/>
  <c r="I9" i="30"/>
  <c r="I32" i="30"/>
  <c r="I90" i="30"/>
  <c r="I53" i="30"/>
  <c r="I23" i="30"/>
  <c r="I91" i="30"/>
  <c r="I15" i="30"/>
  <c r="I68" i="30"/>
  <c r="I35" i="30"/>
  <c r="I80" i="30"/>
  <c r="I28" i="30"/>
  <c r="I102" i="30"/>
  <c r="I93" i="30"/>
  <c r="I70" i="30"/>
  <c r="I99" i="30"/>
  <c r="I59" i="30"/>
  <c r="I13" i="30"/>
  <c r="I76" i="30"/>
  <c r="I41" i="30"/>
  <c r="I96" i="30"/>
  <c r="I57" i="30"/>
  <c r="I29" i="30"/>
  <c r="I71" i="30"/>
  <c r="I22" i="30"/>
  <c r="I17" i="30"/>
  <c r="I95" i="30"/>
  <c r="I27" i="30"/>
  <c r="I44" i="30"/>
  <c r="I94" i="30"/>
  <c r="I61" i="30"/>
  <c r="I20" i="30"/>
  <c r="I89" i="30"/>
  <c r="I10" i="30"/>
  <c r="I98" i="30"/>
  <c r="I88" i="30"/>
  <c r="I38" i="30"/>
  <c r="I65" i="30"/>
  <c r="I18" i="30"/>
  <c r="I26" i="30"/>
  <c r="I83" i="30"/>
  <c r="I25" i="30"/>
  <c r="I24" i="30"/>
  <c r="I78" i="30"/>
  <c r="I75" i="30"/>
  <c r="I104" i="30"/>
  <c r="I86" i="30"/>
  <c r="I103" i="30"/>
  <c r="I60" i="30"/>
  <c r="I100" i="30"/>
  <c r="I74" i="30"/>
  <c r="I36" i="30"/>
  <c r="I51" i="30"/>
  <c r="I87" i="30"/>
  <c r="I47" i="30"/>
  <c r="I92" i="30"/>
  <c r="I73" i="30"/>
  <c r="I45" i="30"/>
  <c r="I11" i="30"/>
  <c r="I101" i="30"/>
  <c r="I52" i="30"/>
  <c r="I69" i="30"/>
  <c r="I66" i="30"/>
  <c r="I42" i="30"/>
  <c r="I105" i="30"/>
  <c r="I31" i="30"/>
  <c r="I39" i="30"/>
  <c r="I30" i="30"/>
  <c r="I49" i="30"/>
  <c r="I50" i="30"/>
  <c r="A65" i="17"/>
  <c r="H63" i="39" s="1"/>
  <c r="D64" i="17"/>
  <c r="K62" i="39" s="1"/>
  <c r="B64" i="17"/>
  <c r="I62" i="39" s="1"/>
  <c r="C64" i="17"/>
  <c r="J62" i="39" s="1"/>
  <c r="I2" i="30" l="1" a="1"/>
  <c r="I2" i="30" s="1"/>
  <c r="AK6" i="30"/>
  <c r="X5" i="31" s="1"/>
  <c r="BE81" i="30"/>
  <c r="AR89" i="30"/>
  <c r="AY70" i="30"/>
  <c r="AF46" i="30"/>
  <c r="BE6" i="30"/>
  <c r="AR5" i="31" s="1"/>
  <c r="BM72" i="30"/>
  <c r="AA104" i="30"/>
  <c r="Y84" i="30"/>
  <c r="BJ6" i="30"/>
  <c r="AI6" i="30"/>
  <c r="V5" i="31" s="1"/>
  <c r="BR6" i="30"/>
  <c r="BE5" i="31" s="1"/>
  <c r="BH6" i="30"/>
  <c r="Z6" i="30"/>
  <c r="M5" i="31" s="1"/>
  <c r="AU6" i="30"/>
  <c r="AH5" i="31" s="1"/>
  <c r="BP6" i="30"/>
  <c r="BC5" i="31" s="1"/>
  <c r="AB6" i="30"/>
  <c r="O5" i="31" s="1"/>
  <c r="AX6" i="30"/>
  <c r="AK5" i="31" s="1"/>
  <c r="AN104" i="30"/>
  <c r="BQ6" i="30"/>
  <c r="BD5" i="31" s="1"/>
  <c r="BT6" i="30"/>
  <c r="BG5" i="31" s="1"/>
  <c r="AY6" i="30"/>
  <c r="AL5" i="31" s="1"/>
  <c r="BB6" i="30"/>
  <c r="AO5" i="31" s="1"/>
  <c r="AR6" i="30"/>
  <c r="AE5" i="31" s="1"/>
  <c r="AS6" i="30"/>
  <c r="AF5" i="31" s="1"/>
  <c r="U6" i="30"/>
  <c r="H5" i="31" s="1"/>
  <c r="AD6" i="30"/>
  <c r="Q5" i="31" s="1"/>
  <c r="BS6" i="30"/>
  <c r="BF5" i="31" s="1"/>
  <c r="AM6" i="30"/>
  <c r="Z5" i="31" s="1"/>
  <c r="BA6" i="30"/>
  <c r="BO6" i="30"/>
  <c r="BB5" i="31" s="1"/>
  <c r="AF6" i="30"/>
  <c r="S5" i="31" s="1"/>
  <c r="AH6" i="30"/>
  <c r="U5" i="31" s="1"/>
  <c r="BF6" i="30"/>
  <c r="AS5" i="31" s="1"/>
  <c r="AE6" i="30"/>
  <c r="R5" i="31" s="1"/>
  <c r="BH71" i="30"/>
  <c r="AQ79" i="30"/>
  <c r="Y6" i="30"/>
  <c r="L5" i="31" s="1"/>
  <c r="AV6" i="30"/>
  <c r="AI5" i="31" s="1"/>
  <c r="AC6" i="30"/>
  <c r="P5" i="31" s="1"/>
  <c r="BG6" i="30"/>
  <c r="AT5" i="31" s="1"/>
  <c r="BD6" i="30"/>
  <c r="AQ5" i="31" s="1"/>
  <c r="AQ72" i="30"/>
  <c r="AN6" i="30"/>
  <c r="AA5" i="31" s="1"/>
  <c r="BC6" i="30"/>
  <c r="BK6" i="30"/>
  <c r="AX5" i="31" s="1"/>
  <c r="BM6" i="30"/>
  <c r="AZ5" i="31" s="1"/>
  <c r="AP6" i="30"/>
  <c r="AC5" i="31" s="1"/>
  <c r="AA6" i="30"/>
  <c r="N5" i="31" s="1"/>
  <c r="AZ6" i="30"/>
  <c r="AM5" i="31" s="1"/>
  <c r="BL6" i="30"/>
  <c r="AY5" i="31" s="1"/>
  <c r="AT6" i="30"/>
  <c r="AG5" i="31" s="1"/>
  <c r="AQ6" i="30"/>
  <c r="AD5" i="31" s="1"/>
  <c r="X6" i="30"/>
  <c r="K5" i="31" s="1"/>
  <c r="BH84" i="30"/>
  <c r="AX70" i="30"/>
  <c r="AP72" i="30"/>
  <c r="AO104" i="30"/>
  <c r="BO84" i="30"/>
  <c r="AX72" i="30"/>
  <c r="BG104" i="30"/>
  <c r="AL72" i="30"/>
  <c r="BP72" i="30"/>
  <c r="BI84" i="30"/>
  <c r="BN84" i="30"/>
  <c r="AW104" i="30"/>
  <c r="AB104" i="30"/>
  <c r="BB84" i="30"/>
  <c r="BM46" i="30"/>
  <c r="AY104" i="30"/>
  <c r="V72" i="30"/>
  <c r="AC84" i="30"/>
  <c r="AQ70" i="30"/>
  <c r="AZ84" i="30"/>
  <c r="BH72" i="30"/>
  <c r="AA72" i="30"/>
  <c r="AC72" i="30"/>
  <c r="BF72" i="30"/>
  <c r="AT72" i="30"/>
  <c r="AZ104" i="30"/>
  <c r="AJ104" i="30"/>
  <c r="BQ104" i="30"/>
  <c r="Y104" i="30"/>
  <c r="AH104" i="30"/>
  <c r="AQ104" i="30"/>
  <c r="AA48" i="30"/>
  <c r="AB84" i="30"/>
  <c r="AM72" i="30"/>
  <c r="BC84" i="30"/>
  <c r="AH84" i="30"/>
  <c r="Z46" i="30"/>
  <c r="AG72" i="30"/>
  <c r="BG72" i="30"/>
  <c r="BT72" i="30"/>
  <c r="U72" i="30"/>
  <c r="AI72" i="30"/>
  <c r="BK104" i="30"/>
  <c r="BP104" i="30"/>
  <c r="BO104" i="30"/>
  <c r="BE104" i="30"/>
  <c r="AP104" i="30"/>
  <c r="AN72" i="30"/>
  <c r="AI84" i="30"/>
  <c r="AS104" i="30"/>
  <c r="AP84" i="30"/>
  <c r="BI72" i="30"/>
  <c r="AM84" i="30"/>
  <c r="BD84" i="30"/>
  <c r="AI46" i="30"/>
  <c r="X72" i="30"/>
  <c r="Z72" i="30"/>
  <c r="AO72" i="30"/>
  <c r="BL72" i="30"/>
  <c r="BO72" i="30"/>
  <c r="AL104" i="30"/>
  <c r="BL104" i="30"/>
  <c r="BN104" i="30"/>
  <c r="W104" i="30"/>
  <c r="AD104" i="30"/>
  <c r="AW72" i="30"/>
  <c r="AR84" i="30"/>
  <c r="BC72" i="30"/>
  <c r="AQ84" i="30"/>
  <c r="BL84" i="30"/>
  <c r="AF72" i="30"/>
  <c r="W84" i="30"/>
  <c r="X84" i="30"/>
  <c r="AZ46" i="30"/>
  <c r="AS72" i="30"/>
  <c r="AB72" i="30"/>
  <c r="BJ72" i="30"/>
  <c r="BB72" i="30"/>
  <c r="BD104" i="30"/>
  <c r="BM104" i="30"/>
  <c r="AT104" i="30"/>
  <c r="BF104" i="30"/>
  <c r="AM104" i="30"/>
  <c r="BJ104" i="30"/>
  <c r="BF84" i="30"/>
  <c r="BG84" i="30"/>
  <c r="AD72" i="30"/>
  <c r="AA84" i="30"/>
  <c r="AF84" i="30"/>
  <c r="AL46" i="30"/>
  <c r="BE84" i="30"/>
  <c r="V84" i="30"/>
  <c r="AV46" i="30"/>
  <c r="BN72" i="30"/>
  <c r="BR72" i="30"/>
  <c r="AE72" i="30"/>
  <c r="AH72" i="30"/>
  <c r="AG104" i="30"/>
  <c r="AV104" i="30"/>
  <c r="U104" i="30"/>
  <c r="Z104" i="30"/>
  <c r="BC104" i="30"/>
  <c r="AC104" i="30"/>
  <c r="AV84" i="30"/>
  <c r="AL84" i="30"/>
  <c r="AO84" i="30"/>
  <c r="BQ72" i="30"/>
  <c r="BA72" i="30"/>
  <c r="BD72" i="30"/>
  <c r="BR104" i="30"/>
  <c r="BS104" i="30"/>
  <c r="BT70" i="30"/>
  <c r="BS70" i="30"/>
  <c r="AJ72" i="30"/>
  <c r="AU72" i="30"/>
  <c r="AU104" i="30"/>
  <c r="AK104" i="30"/>
  <c r="AF104" i="30"/>
  <c r="BI104" i="30"/>
  <c r="AS84" i="30"/>
  <c r="BR84" i="30"/>
  <c r="U70" i="30"/>
  <c r="AV72" i="30"/>
  <c r="BE72" i="30"/>
  <c r="AR72" i="30"/>
  <c r="BK72" i="30"/>
  <c r="Y72" i="30"/>
  <c r="BT104" i="30"/>
  <c r="AE104" i="30"/>
  <c r="BA104" i="30"/>
  <c r="V104" i="30"/>
  <c r="X104" i="30"/>
  <c r="BE83" i="30"/>
  <c r="BQ38" i="30"/>
  <c r="AX104" i="30"/>
  <c r="BH104" i="30"/>
  <c r="AI104" i="30"/>
  <c r="BB104" i="30"/>
  <c r="AR104" i="30"/>
  <c r="AZ12" i="30"/>
  <c r="BS72" i="30"/>
  <c r="AP23" i="30"/>
  <c r="BE38" i="30"/>
  <c r="BR38" i="30"/>
  <c r="BO71" i="30"/>
  <c r="AT79" i="30"/>
  <c r="BB23" i="30"/>
  <c r="V38" i="30"/>
  <c r="AH71" i="30"/>
  <c r="U79" i="30"/>
  <c r="AS79" i="30"/>
  <c r="AE48" i="30"/>
  <c r="AH38" i="30"/>
  <c r="AT71" i="30"/>
  <c r="Y79" i="30"/>
  <c r="BI23" i="30"/>
  <c r="BE56" i="30"/>
  <c r="BL38" i="30"/>
  <c r="AY71" i="30"/>
  <c r="AB79" i="30"/>
  <c r="AB23" i="30"/>
  <c r="AR38" i="30"/>
  <c r="BL71" i="30"/>
  <c r="AW79" i="30"/>
  <c r="AW71" i="30"/>
  <c r="U71" i="30"/>
  <c r="BH79" i="30"/>
  <c r="AM79" i="30"/>
  <c r="AY48" i="30"/>
  <c r="AB71" i="30"/>
  <c r="AO79" i="30"/>
  <c r="BC79" i="30"/>
  <c r="BJ48" i="30"/>
  <c r="AL38" i="30"/>
  <c r="BD71" i="30"/>
  <c r="AE79" i="30"/>
  <c r="X79" i="30"/>
  <c r="BI48" i="30"/>
  <c r="AQ23" i="30"/>
  <c r="BM38" i="30"/>
  <c r="BR71" i="30"/>
  <c r="AX38" i="30"/>
  <c r="X38" i="30"/>
  <c r="W71" i="30"/>
  <c r="AV71" i="30"/>
  <c r="AW38" i="30"/>
  <c r="AL71" i="30"/>
  <c r="AK79" i="30"/>
  <c r="AX79" i="30"/>
  <c r="BD79" i="30"/>
  <c r="BQ79" i="30"/>
  <c r="W79" i="30"/>
  <c r="BB79" i="30"/>
  <c r="BG79" i="30"/>
  <c r="BN23" i="30"/>
  <c r="BK48" i="30"/>
  <c r="AV48" i="30"/>
  <c r="BG71" i="30"/>
  <c r="AE31" i="30"/>
  <c r="BD45" i="30"/>
  <c r="BA13" i="30"/>
  <c r="AP71" i="30"/>
  <c r="BA38" i="30"/>
  <c r="BM71" i="30"/>
  <c r="AQ38" i="30"/>
  <c r="AJ38" i="30"/>
  <c r="AI71" i="30"/>
  <c r="AD71" i="30"/>
  <c r="BK79" i="30"/>
  <c r="AV79" i="30"/>
  <c r="BP79" i="30"/>
  <c r="BR79" i="30"/>
  <c r="BS79" i="30"/>
  <c r="BN79" i="30"/>
  <c r="AV23" i="30"/>
  <c r="BR23" i="30"/>
  <c r="BS48" i="30"/>
  <c r="AL48" i="30"/>
  <c r="BK38" i="30"/>
  <c r="AK38" i="30"/>
  <c r="AR71" i="30"/>
  <c r="AA38" i="30"/>
  <c r="BT71" i="30"/>
  <c r="AK71" i="30"/>
  <c r="Z79" i="30"/>
  <c r="V79" i="30"/>
  <c r="AI79" i="30"/>
  <c r="AN79" i="30"/>
  <c r="BF79" i="30"/>
  <c r="AJ79" i="30"/>
  <c r="BK23" i="30"/>
  <c r="AF23" i="30"/>
  <c r="AQ48" i="30"/>
  <c r="AS48" i="30"/>
  <c r="BJ71" i="30"/>
  <c r="AA23" i="30"/>
  <c r="Y38" i="30"/>
  <c r="AI38" i="30"/>
  <c r="AF38" i="30"/>
  <c r="AA71" i="30"/>
  <c r="BF71" i="30"/>
  <c r="AU38" i="30"/>
  <c r="U38" i="30"/>
  <c r="BS71" i="30"/>
  <c r="V71" i="30"/>
  <c r="BJ38" i="30"/>
  <c r="AX71" i="30"/>
  <c r="BP71" i="30"/>
  <c r="AL79" i="30"/>
  <c r="AC79" i="30"/>
  <c r="AR79" i="30"/>
  <c r="AY79" i="30"/>
  <c r="BI79" i="30"/>
  <c r="BL79" i="30"/>
  <c r="BE79" i="30"/>
  <c r="AR23" i="30"/>
  <c r="AW23" i="30"/>
  <c r="BL48" i="30"/>
  <c r="BO48" i="30"/>
  <c r="AS38" i="30"/>
  <c r="AO38" i="30"/>
  <c r="AY38" i="30"/>
  <c r="AQ71" i="30"/>
  <c r="AZ71" i="30"/>
  <c r="BS38" i="30"/>
  <c r="BP38" i="30"/>
  <c r="BI71" i="30"/>
  <c r="BE71" i="30"/>
  <c r="AC48" i="30"/>
  <c r="AE38" i="30"/>
  <c r="BH38" i="30"/>
  <c r="BC71" i="30"/>
  <c r="AF71" i="30"/>
  <c r="AD38" i="30"/>
  <c r="AC71" i="30"/>
  <c r="BT79" i="30"/>
  <c r="BJ79" i="30"/>
  <c r="BM79" i="30"/>
  <c r="BO79" i="30"/>
  <c r="AD79" i="30"/>
  <c r="AF79" i="30"/>
  <c r="AA79" i="30"/>
  <c r="AM23" i="30"/>
  <c r="AD23" i="30"/>
  <c r="Y48" i="30"/>
  <c r="AP48" i="30"/>
  <c r="BC23" i="30"/>
  <c r="BB38" i="30"/>
  <c r="AN38" i="30"/>
  <c r="AN71" i="30"/>
  <c r="AJ71" i="30"/>
  <c r="AC23" i="30"/>
  <c r="BN38" i="30"/>
  <c r="AZ38" i="30"/>
  <c r="AM71" i="30"/>
  <c r="AO71" i="30"/>
  <c r="AU79" i="30"/>
  <c r="BA79" i="30"/>
  <c r="AH79" i="30"/>
  <c r="AP79" i="30"/>
  <c r="AZ79" i="30"/>
  <c r="AG79" i="30"/>
  <c r="AH23" i="30"/>
  <c r="AR48" i="30"/>
  <c r="BK12" i="30"/>
  <c r="BI6" i="30"/>
  <c r="AV5" i="31" s="1"/>
  <c r="AY84" i="30"/>
  <c r="Z84" i="30"/>
  <c r="BT84" i="30"/>
  <c r="BG12" i="30"/>
  <c r="BQ24" i="30"/>
  <c r="BQ84" i="30"/>
  <c r="BJ84" i="30"/>
  <c r="BS84" i="30"/>
  <c r="AW84" i="30"/>
  <c r="BO60" i="30"/>
  <c r="AX59" i="30"/>
  <c r="BK7" i="30"/>
  <c r="AY72" i="30"/>
  <c r="BA84" i="30"/>
  <c r="AT84" i="30"/>
  <c r="AD48" i="30"/>
  <c r="AU48" i="30"/>
  <c r="BB48" i="30"/>
  <c r="AG6" i="30"/>
  <c r="T5" i="31" s="1"/>
  <c r="BP84" i="30"/>
  <c r="BJ12" i="30"/>
  <c r="AK84" i="30"/>
  <c r="AT48" i="30"/>
  <c r="AX48" i="30"/>
  <c r="BC48" i="30"/>
  <c r="AZ72" i="30"/>
  <c r="AN12" i="30"/>
  <c r="U84" i="30"/>
  <c r="AW48" i="30"/>
  <c r="BN48" i="30"/>
  <c r="AA12" i="30"/>
  <c r="AW6" i="30"/>
  <c r="AJ5" i="31" s="1"/>
  <c r="AU43" i="30"/>
  <c r="BT89" i="30"/>
  <c r="BI60" i="30"/>
  <c r="BS12" i="30"/>
  <c r="Z71" i="30"/>
  <c r="AJ84" i="30"/>
  <c r="AE23" i="30"/>
  <c r="BA23" i="30"/>
  <c r="V23" i="30"/>
  <c r="AG23" i="30"/>
  <c r="W6" i="30"/>
  <c r="J5" i="31" s="1"/>
  <c r="AO12" i="30"/>
  <c r="BD12" i="30"/>
  <c r="BC12" i="30"/>
  <c r="AI80" i="30"/>
  <c r="AF49" i="30"/>
  <c r="BQ91" i="30"/>
  <c r="AB68" i="30"/>
  <c r="BD23" i="30"/>
  <c r="AS23" i="30"/>
  <c r="AZ23" i="30"/>
  <c r="AI23" i="30"/>
  <c r="AT23" i="30"/>
  <c r="AL6" i="30"/>
  <c r="BP12" i="30"/>
  <c r="BL12" i="30"/>
  <c r="AJ23" i="30"/>
  <c r="Z23" i="30"/>
  <c r="AN23" i="30"/>
  <c r="BO23" i="30"/>
  <c r="BJ23" i="30"/>
  <c r="AO6" i="30"/>
  <c r="AB5" i="31" s="1"/>
  <c r="BR12" i="30"/>
  <c r="AY12" i="30"/>
  <c r="AK23" i="30"/>
  <c r="BS23" i="30"/>
  <c r="AO23" i="30"/>
  <c r="BL23" i="30"/>
  <c r="BG23" i="30"/>
  <c r="AJ6" i="30"/>
  <c r="W5" i="31" s="1"/>
  <c r="AE12" i="30"/>
  <c r="BF12" i="30"/>
  <c r="AX23" i="30"/>
  <c r="X23" i="30"/>
  <c r="BE23" i="30"/>
  <c r="BH23" i="30"/>
  <c r="BN6" i="30"/>
  <c r="BA5" i="31" s="1"/>
  <c r="BQ12" i="30"/>
  <c r="AJ48" i="30"/>
  <c r="BA46" i="30"/>
  <c r="BT48" i="30"/>
  <c r="U48" i="30"/>
  <c r="AH48" i="30"/>
  <c r="AN48" i="30"/>
  <c r="AB48" i="30"/>
  <c r="Z48" i="30"/>
  <c r="BH58" i="30"/>
  <c r="BB27" i="30"/>
  <c r="AI8" i="30"/>
  <c r="V8" i="31" s="1"/>
  <c r="AT38" i="30"/>
  <c r="W23" i="30"/>
  <c r="BP23" i="30"/>
  <c r="U23" i="30"/>
  <c r="Y23" i="30"/>
  <c r="AY23" i="30"/>
  <c r="BM23" i="30"/>
  <c r="AM48" i="30"/>
  <c r="BG48" i="30"/>
  <c r="AI48" i="30"/>
  <c r="AG48" i="30"/>
  <c r="AZ48" i="30"/>
  <c r="BA48" i="30"/>
  <c r="AV38" i="30"/>
  <c r="BQ71" i="30"/>
  <c r="BM48" i="30"/>
  <c r="AO48" i="30"/>
  <c r="BD48" i="30"/>
  <c r="W48" i="30"/>
  <c r="V48" i="30"/>
  <c r="X48" i="30"/>
  <c r="V70" i="30"/>
  <c r="BG38" i="30"/>
  <c r="AG38" i="30"/>
  <c r="BQ23" i="30"/>
  <c r="BF23" i="30"/>
  <c r="AU23" i="30"/>
  <c r="AL23" i="30"/>
  <c r="BT23" i="30"/>
  <c r="AK48" i="30"/>
  <c r="BH48" i="30"/>
  <c r="BP48" i="30"/>
  <c r="BQ48" i="30"/>
  <c r="BR48" i="30"/>
  <c r="BO38" i="30"/>
  <c r="V6" i="30"/>
  <c r="I5" i="31" s="1"/>
  <c r="BI38" i="30"/>
  <c r="BM84" i="30"/>
  <c r="AG12" i="30"/>
  <c r="W72" i="30"/>
  <c r="AO87" i="30"/>
  <c r="AR34" i="30"/>
  <c r="BT90" i="30"/>
  <c r="BN60" i="30"/>
  <c r="AH89" i="30"/>
  <c r="BA7" i="30"/>
  <c r="BL42" i="30"/>
  <c r="BP20" i="30"/>
  <c r="BB49" i="30"/>
  <c r="V37" i="30"/>
  <c r="BI21" i="30"/>
  <c r="AC19" i="30"/>
  <c r="AI58" i="30"/>
  <c r="AW42" i="30"/>
  <c r="AF80" i="30"/>
  <c r="BF80" i="30"/>
  <c r="BA8" i="30"/>
  <c r="AN8" i="31" s="1"/>
  <c r="AG42" i="30"/>
  <c r="AW24" i="30"/>
  <c r="BI24" i="30"/>
  <c r="AX58" i="30"/>
  <c r="AN27" i="30"/>
  <c r="AM20" i="30"/>
  <c r="AH42" i="30"/>
  <c r="AT20" i="30"/>
  <c r="AN37" i="30"/>
  <c r="AC37" i="30"/>
  <c r="AA37" i="30"/>
  <c r="AX37" i="30"/>
  <c r="W26" i="30"/>
  <c r="BP43" i="30"/>
  <c r="AF44" i="30"/>
  <c r="BM87" i="30"/>
  <c r="U55" i="30"/>
  <c r="Z34" i="30"/>
  <c r="AV88" i="30"/>
  <c r="AH15" i="30"/>
  <c r="BI102" i="30"/>
  <c r="BG101" i="30"/>
  <c r="BK71" i="30"/>
  <c r="AS71" i="30"/>
  <c r="Y71" i="30"/>
  <c r="BD15" i="30"/>
  <c r="BS60" i="30"/>
  <c r="AL87" i="30"/>
  <c r="AN20" i="30"/>
  <c r="X44" i="30"/>
  <c r="AK7" i="30"/>
  <c r="BE89" i="30"/>
  <c r="AA68" i="30"/>
  <c r="BA44" i="30"/>
  <c r="AG88" i="30"/>
  <c r="AQ59" i="30"/>
  <c r="AE55" i="30"/>
  <c r="AC88" i="30"/>
  <c r="AJ66" i="30"/>
  <c r="BA43" i="30"/>
  <c r="AV44" i="30"/>
  <c r="BN87" i="30"/>
  <c r="V55" i="30"/>
  <c r="BH65" i="30"/>
  <c r="AI57" i="30"/>
  <c r="BB88" i="30"/>
  <c r="BR102" i="30"/>
  <c r="AK90" i="30"/>
  <c r="BN14" i="30"/>
  <c r="AL92" i="30"/>
  <c r="V53" i="30"/>
  <c r="BF101" i="30"/>
  <c r="BT43" i="30"/>
  <c r="AT88" i="30"/>
  <c r="AA88" i="30"/>
  <c r="AX60" i="30"/>
  <c r="AW87" i="30"/>
  <c r="AC89" i="30"/>
  <c r="AJ89" i="30"/>
  <c r="AJ59" i="30"/>
  <c r="BS39" i="30"/>
  <c r="AP34" i="30"/>
  <c r="AN54" i="30"/>
  <c r="AC97" i="30"/>
  <c r="AK96" i="30"/>
  <c r="AC42" i="30"/>
  <c r="AN49" i="30"/>
  <c r="V94" i="30"/>
  <c r="AO37" i="30"/>
  <c r="Z21" i="30"/>
  <c r="AW93" i="30"/>
  <c r="BM91" i="30"/>
  <c r="BR19" i="30"/>
  <c r="BE68" i="30"/>
  <c r="V43" i="30"/>
  <c r="BA14" i="30"/>
  <c r="V7" i="30"/>
  <c r="AY88" i="30"/>
  <c r="AC60" i="30"/>
  <c r="AE60" i="30"/>
  <c r="BR87" i="30"/>
  <c r="AX89" i="30"/>
  <c r="AH14" i="30"/>
  <c r="AS65" i="30"/>
  <c r="BB68" i="30"/>
  <c r="Y87" i="30"/>
  <c r="W68" i="30"/>
  <c r="AK14" i="30"/>
  <c r="BP7" i="30"/>
  <c r="AM88" i="30"/>
  <c r="AT60" i="30"/>
  <c r="AW60" i="30"/>
  <c r="AF87" i="30"/>
  <c r="AY87" i="30"/>
  <c r="AM89" i="30"/>
  <c r="AI14" i="30"/>
  <c r="AT87" i="30"/>
  <c r="AP68" i="30"/>
  <c r="BP87" i="30"/>
  <c r="AZ68" i="30"/>
  <c r="BB43" i="30"/>
  <c r="BS14" i="30"/>
  <c r="AE88" i="30"/>
  <c r="AR60" i="30"/>
  <c r="AM60" i="30"/>
  <c r="BL87" i="30"/>
  <c r="BO87" i="30"/>
  <c r="BH89" i="30"/>
  <c r="AJ87" i="30"/>
  <c r="AQ43" i="30"/>
  <c r="X57" i="30"/>
  <c r="AW55" i="30"/>
  <c r="AL55" i="30"/>
  <c r="AR68" i="30"/>
  <c r="BS43" i="30"/>
  <c r="BO14" i="30"/>
  <c r="Y88" i="30"/>
  <c r="AL88" i="30"/>
  <c r="AQ60" i="30"/>
  <c r="BE60" i="30"/>
  <c r="AX87" i="30"/>
  <c r="AQ89" i="30"/>
  <c r="BD89" i="30"/>
  <c r="AV14" i="30"/>
  <c r="BK56" i="30"/>
  <c r="AB55" i="30"/>
  <c r="AF68" i="30"/>
  <c r="AF88" i="30"/>
  <c r="BL60" i="30"/>
  <c r="Z60" i="30"/>
  <c r="AO89" i="30"/>
  <c r="AS89" i="30"/>
  <c r="BA20" i="30"/>
  <c r="BT42" i="30"/>
  <c r="AJ34" i="30"/>
  <c r="BR94" i="30"/>
  <c r="BL20" i="30"/>
  <c r="AF42" i="30"/>
  <c r="BQ80" i="30"/>
  <c r="Z80" i="30"/>
  <c r="AS24" i="30"/>
  <c r="AS21" i="30"/>
  <c r="AV37" i="30"/>
  <c r="BG37" i="30"/>
  <c r="BN37" i="30"/>
  <c r="AL37" i="30"/>
  <c r="BM94" i="30"/>
  <c r="W27" i="30"/>
  <c r="AX19" i="30"/>
  <c r="BT80" i="30"/>
  <c r="BT24" i="30"/>
  <c r="AT39" i="30"/>
  <c r="V58" i="30"/>
  <c r="BA94" i="30"/>
  <c r="AE20" i="30"/>
  <c r="BG42" i="30"/>
  <c r="BB42" i="30"/>
  <c r="BA80" i="30"/>
  <c r="AO80" i="30"/>
  <c r="BS24" i="30"/>
  <c r="BD24" i="30"/>
  <c r="BJ39" i="30"/>
  <c r="BC21" i="30"/>
  <c r="AC21" i="30"/>
  <c r="BC54" i="30"/>
  <c r="AG37" i="30"/>
  <c r="AR37" i="30"/>
  <c r="AU37" i="30"/>
  <c r="BR37" i="30"/>
  <c r="AN94" i="30"/>
  <c r="AI54" i="30"/>
  <c r="AH97" i="30"/>
  <c r="U20" i="30"/>
  <c r="AS37" i="30"/>
  <c r="Z20" i="30"/>
  <c r="BJ42" i="30"/>
  <c r="BD80" i="30"/>
  <c r="AH80" i="30"/>
  <c r="AA24" i="30"/>
  <c r="BP24" i="30"/>
  <c r="X39" i="30"/>
  <c r="U93" i="30"/>
  <c r="AQ58" i="30"/>
  <c r="BG20" i="30"/>
  <c r="AQ42" i="30"/>
  <c r="V42" i="30"/>
  <c r="BP80" i="30"/>
  <c r="BN80" i="30"/>
  <c r="AM24" i="30"/>
  <c r="AZ24" i="30"/>
  <c r="AM21" i="30"/>
  <c r="AZ21" i="30"/>
  <c r="AG54" i="30"/>
  <c r="AW37" i="30"/>
  <c r="BD37" i="30"/>
  <c r="BK37" i="30"/>
  <c r="AI37" i="30"/>
  <c r="BS42" i="30"/>
  <c r="AS20" i="30"/>
  <c r="AQ24" i="30"/>
  <c r="X37" i="30"/>
  <c r="W20" i="30"/>
  <c r="AU42" i="30"/>
  <c r="AD42" i="30"/>
  <c r="BS80" i="30"/>
  <c r="V80" i="30"/>
  <c r="BJ24" i="30"/>
  <c r="AR24" i="30"/>
  <c r="AL49" i="30"/>
  <c r="AJ58" i="30"/>
  <c r="BN20" i="30"/>
  <c r="AA42" i="30"/>
  <c r="AR42" i="30"/>
  <c r="AZ80" i="30"/>
  <c r="AC80" i="30"/>
  <c r="W24" i="30"/>
  <c r="BL24" i="30"/>
  <c r="W21" i="30"/>
  <c r="AV21" i="30"/>
  <c r="BC97" i="30"/>
  <c r="BM37" i="30"/>
  <c r="U37" i="30"/>
  <c r="BH37" i="30"/>
  <c r="AY37" i="30"/>
  <c r="BE42" i="30"/>
  <c r="AW49" i="30"/>
  <c r="BB80" i="30"/>
  <c r="AG24" i="30"/>
  <c r="AN42" i="30"/>
  <c r="Y80" i="30"/>
  <c r="AL58" i="30"/>
  <c r="V20" i="30"/>
  <c r="AE42" i="30"/>
  <c r="AZ42" i="30"/>
  <c r="BC80" i="30"/>
  <c r="AB80" i="30"/>
  <c r="AT24" i="30"/>
  <c r="AB24" i="30"/>
  <c r="AP54" i="30"/>
  <c r="BK49" i="30"/>
  <c r="AH20" i="30"/>
  <c r="BI42" i="30"/>
  <c r="BF42" i="30"/>
  <c r="BO80" i="30"/>
  <c r="AL80" i="30"/>
  <c r="BF24" i="30"/>
  <c r="BF21" i="30"/>
  <c r="AR21" i="30"/>
  <c r="AM97" i="30"/>
  <c r="AD37" i="30"/>
  <c r="AK37" i="30"/>
  <c r="BT37" i="30"/>
  <c r="BO37" i="30"/>
  <c r="AS93" i="30"/>
  <c r="BS37" i="30"/>
  <c r="BF37" i="30"/>
  <c r="AE93" i="30"/>
  <c r="BL58" i="30"/>
  <c r="BS20" i="30"/>
  <c r="BM42" i="30"/>
  <c r="BN42" i="30"/>
  <c r="AA34" i="30"/>
  <c r="AM80" i="30"/>
  <c r="AD24" i="30"/>
  <c r="BI54" i="30"/>
  <c r="AB49" i="30"/>
  <c r="BC37" i="30"/>
  <c r="AO20" i="30"/>
  <c r="AS42" i="30"/>
  <c r="Z42" i="30"/>
  <c r="AY80" i="30"/>
  <c r="AP24" i="30"/>
  <c r="AP21" i="30"/>
  <c r="X97" i="30"/>
  <c r="AT37" i="30"/>
  <c r="BA37" i="30"/>
  <c r="AJ37" i="30"/>
  <c r="AA58" i="30"/>
  <c r="BJ34" i="30"/>
  <c r="W80" i="30"/>
  <c r="BM24" i="30"/>
  <c r="AP37" i="30"/>
  <c r="Z24" i="30"/>
  <c r="AB37" i="30"/>
  <c r="BJ37" i="30"/>
  <c r="BQ37" i="30"/>
  <c r="AN84" i="30"/>
  <c r="AD84" i="30"/>
  <c r="Y12" i="30"/>
  <c r="AV12" i="30"/>
  <c r="AI12" i="30"/>
  <c r="AJ12" i="30"/>
  <c r="AX12" i="30"/>
  <c r="BJ74" i="30"/>
  <c r="AQ80" i="30"/>
  <c r="AG71" i="30"/>
  <c r="BA71" i="30"/>
  <c r="AU71" i="30"/>
  <c r="AU84" i="30"/>
  <c r="BN12" i="30"/>
  <c r="BA12" i="30"/>
  <c r="AQ12" i="30"/>
  <c r="AU12" i="30"/>
  <c r="BK84" i="30"/>
  <c r="AR12" i="30"/>
  <c r="AK12" i="30"/>
  <c r="V12" i="30"/>
  <c r="AC12" i="30"/>
  <c r="AG84" i="30"/>
  <c r="AE84" i="30"/>
  <c r="W12" i="30"/>
  <c r="U12" i="30"/>
  <c r="AZ39" i="30"/>
  <c r="Y43" i="30"/>
  <c r="BH44" i="30"/>
  <c r="BQ87" i="30"/>
  <c r="AI94" i="30"/>
  <c r="AB103" i="30"/>
  <c r="AP11" i="30"/>
  <c r="W55" i="30"/>
  <c r="AB34" i="30"/>
  <c r="BC65" i="30"/>
  <c r="BA57" i="30"/>
  <c r="AP88" i="30"/>
  <c r="V15" i="30"/>
  <c r="BB102" i="30"/>
  <c r="AW90" i="30"/>
  <c r="BK14" i="30"/>
  <c r="AE92" i="30"/>
  <c r="AO53" i="30"/>
  <c r="BT101" i="30"/>
  <c r="AR59" i="30"/>
  <c r="AX103" i="30"/>
  <c r="BK11" i="30"/>
  <c r="AN55" i="30"/>
  <c r="AW89" i="30"/>
  <c r="AF102" i="30"/>
  <c r="BC87" i="30"/>
  <c r="AO57" i="30"/>
  <c r="AI44" i="30"/>
  <c r="BS55" i="30"/>
  <c r="AQ34" i="30"/>
  <c r="BL34" i="30"/>
  <c r="AQ68" i="30"/>
  <c r="AV68" i="30"/>
  <c r="BO39" i="30"/>
  <c r="AI43" i="30"/>
  <c r="BG43" i="30"/>
  <c r="AA54" i="30"/>
  <c r="AM87" i="30"/>
  <c r="BS57" i="30"/>
  <c r="BD44" i="30"/>
  <c r="AB44" i="30"/>
  <c r="BB55" i="30"/>
  <c r="AZ55" i="30"/>
  <c r="BF34" i="30"/>
  <c r="BT34" i="30"/>
  <c r="AM68" i="30"/>
  <c r="AK68" i="30"/>
  <c r="AE39" i="30"/>
  <c r="AS43" i="30"/>
  <c r="V54" i="30"/>
  <c r="AE54" i="30"/>
  <c r="AZ97" i="30"/>
  <c r="BC15" i="30"/>
  <c r="Z15" i="30"/>
  <c r="AP14" i="30"/>
  <c r="BG90" i="30"/>
  <c r="BP90" i="30"/>
  <c r="AQ7" i="30"/>
  <c r="BM88" i="30"/>
  <c r="X88" i="30"/>
  <c r="BG88" i="30"/>
  <c r="AU88" i="30"/>
  <c r="V88" i="30"/>
  <c r="AO88" i="30"/>
  <c r="BF88" i="30"/>
  <c r="BT60" i="30"/>
  <c r="U60" i="30"/>
  <c r="AH60" i="30"/>
  <c r="AN60" i="30"/>
  <c r="W60" i="30"/>
  <c r="AJ60" i="30"/>
  <c r="BB87" i="30"/>
  <c r="BG87" i="30"/>
  <c r="AG87" i="30"/>
  <c r="BH87" i="30"/>
  <c r="AI87" i="30"/>
  <c r="X89" i="30"/>
  <c r="AK89" i="30"/>
  <c r="BP89" i="30"/>
  <c r="BL89" i="30"/>
  <c r="BR89" i="30"/>
  <c r="BM89" i="30"/>
  <c r="AB94" i="30"/>
  <c r="BD87" i="30"/>
  <c r="BR14" i="30"/>
  <c r="AV59" i="30"/>
  <c r="AC102" i="30"/>
  <c r="BN92" i="30"/>
  <c r="X101" i="30"/>
  <c r="AB11" i="30"/>
  <c r="BA95" i="30"/>
  <c r="BB59" i="30"/>
  <c r="BR92" i="30"/>
  <c r="AS94" i="30"/>
  <c r="BE44" i="30"/>
  <c r="BE55" i="30"/>
  <c r="AT34" i="30"/>
  <c r="X34" i="30"/>
  <c r="AJ68" i="30"/>
  <c r="U68" i="30"/>
  <c r="BC39" i="30"/>
  <c r="AC43" i="30"/>
  <c r="Z54" i="30"/>
  <c r="AZ54" i="30"/>
  <c r="V59" i="30"/>
  <c r="BB92" i="30"/>
  <c r="X94" i="30"/>
  <c r="AA44" i="30"/>
  <c r="BD55" i="30"/>
  <c r="AF55" i="30"/>
  <c r="BI34" i="30"/>
  <c r="AD68" i="30"/>
  <c r="BQ39" i="30"/>
  <c r="AX39" i="30"/>
  <c r="AW43" i="30"/>
  <c r="AF43" i="30"/>
  <c r="BL54" i="30"/>
  <c r="W97" i="30"/>
  <c r="Y97" i="30"/>
  <c r="BR15" i="30"/>
  <c r="U14" i="30"/>
  <c r="AT14" i="30"/>
  <c r="AY90" i="30"/>
  <c r="U7" i="30"/>
  <c r="AU7" i="30"/>
  <c r="BO88" i="30"/>
  <c r="AJ88" i="30"/>
  <c r="BT88" i="30"/>
  <c r="U88" i="30"/>
  <c r="BR88" i="30"/>
  <c r="BQ88" i="30"/>
  <c r="BK60" i="30"/>
  <c r="BG60" i="30"/>
  <c r="AI60" i="30"/>
  <c r="AB60" i="30"/>
  <c r="AZ60" i="30"/>
  <c r="AF60" i="30"/>
  <c r="AP60" i="30"/>
  <c r="AC87" i="30"/>
  <c r="AZ87" i="30"/>
  <c r="AE87" i="30"/>
  <c r="AV87" i="30"/>
  <c r="AD89" i="30"/>
  <c r="BJ89" i="30"/>
  <c r="BA89" i="30"/>
  <c r="BN89" i="30"/>
  <c r="AE89" i="30"/>
  <c r="BG89" i="30"/>
  <c r="Z89" i="30"/>
  <c r="AY94" i="30"/>
  <c r="BN94" i="30"/>
  <c r="BE11" i="30"/>
  <c r="BM92" i="30"/>
  <c r="BI43" i="30"/>
  <c r="BN90" i="30"/>
  <c r="AL59" i="30"/>
  <c r="AG102" i="30"/>
  <c r="U57" i="30"/>
  <c r="BT53" i="30"/>
  <c r="AJ55" i="30"/>
  <c r="BN68" i="30"/>
  <c r="AO39" i="30"/>
  <c r="AH39" i="30"/>
  <c r="BD43" i="30"/>
  <c r="BH54" i="30"/>
  <c r="Y54" i="30"/>
  <c r="W59" i="30"/>
  <c r="AI92" i="30"/>
  <c r="BS94" i="30"/>
  <c r="AU44" i="30"/>
  <c r="AI55" i="30"/>
  <c r="BS34" i="30"/>
  <c r="AS34" i="30"/>
  <c r="BI68" i="30"/>
  <c r="BA39" i="30"/>
  <c r="AB39" i="30"/>
  <c r="AE43" i="30"/>
  <c r="AV43" i="30"/>
  <c r="AQ54" i="30"/>
  <c r="BA97" i="30"/>
  <c r="V97" i="30"/>
  <c r="AV15" i="30"/>
  <c r="BB14" i="30"/>
  <c r="X14" i="30"/>
  <c r="AC90" i="30"/>
  <c r="BC7" i="30"/>
  <c r="Z7" i="30"/>
  <c r="BP88" i="30"/>
  <c r="AB88" i="30"/>
  <c r="AH88" i="30"/>
  <c r="AQ88" i="30"/>
  <c r="W88" i="30"/>
  <c r="AN88" i="30"/>
  <c r="BH60" i="30"/>
  <c r="AO60" i="30"/>
  <c r="BD60" i="30"/>
  <c r="BC60" i="30"/>
  <c r="V60" i="30"/>
  <c r="BA60" i="30"/>
  <c r="BF60" i="30"/>
  <c r="AP87" i="30"/>
  <c r="AS87" i="30"/>
  <c r="AD87" i="30"/>
  <c r="AU87" i="30"/>
  <c r="U87" i="30"/>
  <c r="BQ89" i="30"/>
  <c r="AA89" i="30"/>
  <c r="AG89" i="30"/>
  <c r="AI89" i="30"/>
  <c r="AZ89" i="30"/>
  <c r="AY89" i="30"/>
  <c r="AP89" i="30"/>
  <c r="BT94" i="30"/>
  <c r="AM102" i="30"/>
  <c r="AW57" i="30"/>
  <c r="BH55" i="30"/>
  <c r="BM15" i="30"/>
  <c r="X90" i="30"/>
  <c r="AH59" i="30"/>
  <c r="AB102" i="30"/>
  <c r="BL57" i="30"/>
  <c r="BD92" i="30"/>
  <c r="AP55" i="30"/>
  <c r="AD34" i="30"/>
  <c r="AA59" i="30"/>
  <c r="AF92" i="30"/>
  <c r="W44" i="30"/>
  <c r="Z55" i="30"/>
  <c r="AQ55" i="30"/>
  <c r="BM34" i="30"/>
  <c r="AS68" i="30"/>
  <c r="Y39" i="30"/>
  <c r="AF39" i="30"/>
  <c r="BL43" i="30"/>
  <c r="AM54" i="30"/>
  <c r="AJ54" i="30"/>
  <c r="X83" i="30"/>
  <c r="BG59" i="30"/>
  <c r="U11" i="30"/>
  <c r="AW92" i="30"/>
  <c r="BR44" i="30"/>
  <c r="BC44" i="30"/>
  <c r="BM55" i="30"/>
  <c r="BC34" i="30"/>
  <c r="AC34" i="30"/>
  <c r="AN68" i="30"/>
  <c r="AK39" i="30"/>
  <c r="BR39" i="30"/>
  <c r="BK43" i="30"/>
  <c r="BR54" i="30"/>
  <c r="U54" i="30"/>
  <c r="AF97" i="30"/>
  <c r="BA15" i="30"/>
  <c r="AA15" i="30"/>
  <c r="AF14" i="30"/>
  <c r="BB90" i="30"/>
  <c r="AR90" i="30"/>
  <c r="AH7" i="30"/>
  <c r="BA88" i="30"/>
  <c r="BS88" i="30"/>
  <c r="AX88" i="30"/>
  <c r="BL88" i="30"/>
  <c r="BC88" i="30"/>
  <c r="BI88" i="30"/>
  <c r="AY60" i="30"/>
  <c r="BJ60" i="30"/>
  <c r="Y60" i="30"/>
  <c r="AA60" i="30"/>
  <c r="AL60" i="30"/>
  <c r="X60" i="30"/>
  <c r="AH87" i="30"/>
  <c r="BI87" i="30"/>
  <c r="BJ87" i="30"/>
  <c r="BK87" i="30"/>
  <c r="AK87" i="30"/>
  <c r="BI89" i="30"/>
  <c r="AB89" i="30"/>
  <c r="BC89" i="30"/>
  <c r="AV89" i="30"/>
  <c r="V89" i="30"/>
  <c r="AF89" i="30"/>
  <c r="BF89" i="30"/>
  <c r="Z94" i="30"/>
  <c r="BD53" i="30"/>
  <c r="AS44" i="30"/>
  <c r="AM55" i="30"/>
  <c r="AW15" i="30"/>
  <c r="AG90" i="30"/>
  <c r="BT102" i="30"/>
  <c r="BL101" i="30"/>
  <c r="AK11" i="30"/>
  <c r="BB44" i="30"/>
  <c r="BD11" i="30"/>
  <c r="AU92" i="30"/>
  <c r="AD44" i="30"/>
  <c r="AE44" i="30"/>
  <c r="BI55" i="30"/>
  <c r="BA55" i="30"/>
  <c r="AW34" i="30"/>
  <c r="X68" i="30"/>
  <c r="BF39" i="30"/>
  <c r="BG39" i="30"/>
  <c r="AP43" i="30"/>
  <c r="Z43" i="30"/>
  <c r="BQ54" i="30"/>
  <c r="AQ97" i="30"/>
  <c r="BL11" i="30"/>
  <c r="BR57" i="30"/>
  <c r="AT44" i="30"/>
  <c r="BK44" i="30"/>
  <c r="AR55" i="30"/>
  <c r="AM34" i="30"/>
  <c r="AV34" i="30"/>
  <c r="BS68" i="30"/>
  <c r="BR68" i="30"/>
  <c r="U39" i="30"/>
  <c r="AL39" i="30"/>
  <c r="AO43" i="30"/>
  <c r="BB54" i="30"/>
  <c r="BD54" i="30"/>
  <c r="BJ97" i="30"/>
  <c r="AK15" i="30"/>
  <c r="BP15" i="30"/>
  <c r="AX14" i="30"/>
  <c r="AL90" i="30"/>
  <c r="AZ90" i="30"/>
  <c r="AY7" i="30"/>
  <c r="AS88" i="30"/>
  <c r="AD88" i="30"/>
  <c r="BK88" i="30"/>
  <c r="BN88" i="30"/>
  <c r="AI88" i="30"/>
  <c r="BE88" i="30"/>
  <c r="Z88" i="30"/>
  <c r="AD60" i="30"/>
  <c r="BM60" i="30"/>
  <c r="AU60" i="30"/>
  <c r="AV60" i="30"/>
  <c r="BB60" i="30"/>
  <c r="AS60" i="30"/>
  <c r="AR87" i="30"/>
  <c r="AA87" i="30"/>
  <c r="AN87" i="30"/>
  <c r="Z87" i="30"/>
  <c r="BA87" i="30"/>
  <c r="BS89" i="30"/>
  <c r="BK89" i="30"/>
  <c r="Y89" i="30"/>
  <c r="AN89" i="30"/>
  <c r="AL89" i="30"/>
  <c r="W89" i="30"/>
  <c r="BP94" i="30"/>
  <c r="BQ44" i="30"/>
  <c r="AQ15" i="30"/>
  <c r="AG7" i="30"/>
  <c r="X102" i="30"/>
  <c r="AR92" i="30"/>
  <c r="AH101" i="30"/>
  <c r="AU94" i="30"/>
  <c r="BM44" i="30"/>
  <c r="V57" i="30"/>
  <c r="BI44" i="30"/>
  <c r="AM44" i="30"/>
  <c r="AA55" i="30"/>
  <c r="AG34" i="30"/>
  <c r="AL68" i="30"/>
  <c r="AJ39" i="30"/>
  <c r="V39" i="30"/>
  <c r="BC43" i="30"/>
  <c r="AN43" i="30"/>
  <c r="AV54" i="30"/>
  <c r="AZ88" i="30"/>
  <c r="Z44" i="30"/>
  <c r="BS44" i="30"/>
  <c r="BR55" i="30"/>
  <c r="W34" i="30"/>
  <c r="BC68" i="30"/>
  <c r="AL54" i="30"/>
  <c r="U15" i="30"/>
  <c r="AU15" i="30"/>
  <c r="V90" i="30"/>
  <c r="BL7" i="30"/>
  <c r="BJ88" i="30"/>
  <c r="BH88" i="30"/>
  <c r="AK88" i="30"/>
  <c r="AR88" i="30"/>
  <c r="BD88" i="30"/>
  <c r="AW88" i="30"/>
  <c r="AK60" i="30"/>
  <c r="AG60" i="30"/>
  <c r="BP60" i="30"/>
  <c r="BQ60" i="30"/>
  <c r="BR60" i="30"/>
  <c r="V87" i="30"/>
  <c r="AQ87" i="30"/>
  <c r="BT87" i="30"/>
  <c r="AB87" i="30"/>
  <c r="AT89" i="30"/>
  <c r="BO89" i="30"/>
  <c r="AU89" i="30"/>
  <c r="U89" i="30"/>
  <c r="BB89" i="30"/>
  <c r="BF48" i="30"/>
  <c r="BC38" i="30"/>
  <c r="AN39" i="30"/>
  <c r="AF48" i="30"/>
  <c r="W38" i="30"/>
  <c r="BE48" i="30"/>
  <c r="AP38" i="30"/>
  <c r="BT38" i="30"/>
  <c r="BH26" i="30"/>
  <c r="AC38" i="30"/>
  <c r="AB38" i="30"/>
  <c r="BD38" i="30"/>
  <c r="BN71" i="30"/>
  <c r="X71" i="30"/>
  <c r="BB71" i="30"/>
  <c r="BE20" i="30"/>
  <c r="AE71" i="30"/>
  <c r="BF38" i="30"/>
  <c r="BB10" i="30"/>
  <c r="Z38" i="30"/>
  <c r="AM38" i="30"/>
  <c r="AK72" i="30"/>
  <c r="BG11" i="30"/>
  <c r="AC11" i="30"/>
  <c r="AZ11" i="30"/>
  <c r="BT11" i="30"/>
  <c r="BO11" i="30"/>
  <c r="BM11" i="30"/>
  <c r="AL11" i="30"/>
  <c r="BN11" i="30"/>
  <c r="AE11" i="30"/>
  <c r="BR11" i="30"/>
  <c r="AW11" i="30"/>
  <c r="BJ11" i="30"/>
  <c r="AR11" i="30"/>
  <c r="AI11" i="30"/>
  <c r="AV11" i="30"/>
  <c r="BS11" i="30"/>
  <c r="AJ11" i="30"/>
  <c r="AD11" i="30"/>
  <c r="AO11" i="30"/>
  <c r="BP11" i="30"/>
  <c r="AX11" i="30"/>
  <c r="AY11" i="30"/>
  <c r="BB11" i="30"/>
  <c r="Y11" i="30"/>
  <c r="AU11" i="30"/>
  <c r="BH74" i="30"/>
  <c r="BT74" i="30"/>
  <c r="BL74" i="30"/>
  <c r="AY74" i="30"/>
  <c r="Y74" i="30"/>
  <c r="BA74" i="30"/>
  <c r="AL74" i="30"/>
  <c r="AX74" i="30"/>
  <c r="AP74" i="30"/>
  <c r="AI74" i="30"/>
  <c r="AH74" i="30"/>
  <c r="X74" i="30"/>
  <c r="BQ74" i="30"/>
  <c r="BS74" i="30"/>
  <c r="U74" i="30"/>
  <c r="BR74" i="30"/>
  <c r="AO74" i="30"/>
  <c r="BM74" i="30"/>
  <c r="AV74" i="30"/>
  <c r="BC74" i="30"/>
  <c r="AJ74" i="30"/>
  <c r="AW74" i="30"/>
  <c r="BI74" i="30"/>
  <c r="AF74" i="30"/>
  <c r="Z74" i="30"/>
  <c r="AM74" i="30"/>
  <c r="AS74" i="30"/>
  <c r="AB74" i="30"/>
  <c r="AU74" i="30"/>
  <c r="AD74" i="30"/>
  <c r="BG74" i="30"/>
  <c r="AT74" i="30"/>
  <c r="W74" i="30"/>
  <c r="AZ74" i="30"/>
  <c r="BF74" i="30"/>
  <c r="V74" i="30"/>
  <c r="AR74" i="30"/>
  <c r="BK74" i="30"/>
  <c r="AQ74" i="30"/>
  <c r="BD74" i="30"/>
  <c r="BB74" i="30"/>
  <c r="AC74" i="30"/>
  <c r="AK74" i="30"/>
  <c r="BN74" i="30"/>
  <c r="BE74" i="30"/>
  <c r="BG24" i="30"/>
  <c r="AE24" i="30"/>
  <c r="AN24" i="30"/>
  <c r="AI24" i="30"/>
  <c r="Y24" i="30"/>
  <c r="AY24" i="30"/>
  <c r="AO24" i="30"/>
  <c r="BO24" i="30"/>
  <c r="BE24" i="30"/>
  <c r="BH24" i="30"/>
  <c r="V24" i="30"/>
  <c r="BA24" i="30"/>
  <c r="U24" i="30"/>
  <c r="AL24" i="30"/>
  <c r="BN24" i="30"/>
  <c r="X24" i="30"/>
  <c r="AH24" i="30"/>
  <c r="AV24" i="30"/>
  <c r="BB24" i="30"/>
  <c r="AD80" i="30"/>
  <c r="AN80" i="30"/>
  <c r="AT80" i="30"/>
  <c r="AP80" i="30"/>
  <c r="AR80" i="30"/>
  <c r="AE80" i="30"/>
  <c r="BI80" i="30"/>
  <c r="AU80" i="30"/>
  <c r="BG80" i="30"/>
  <c r="AG80" i="30"/>
  <c r="BK80" i="30"/>
  <c r="BR80" i="30"/>
  <c r="X80" i="30"/>
  <c r="AV80" i="30"/>
  <c r="BJ80" i="30"/>
  <c r="AX80" i="30"/>
  <c r="BL80" i="30"/>
  <c r="AS80" i="30"/>
  <c r="BH80" i="30"/>
  <c r="AJ80" i="30"/>
  <c r="AW80" i="30"/>
  <c r="AF34" i="30"/>
  <c r="Y34" i="30"/>
  <c r="AI34" i="30"/>
  <c r="AY34" i="30"/>
  <c r="AO54" i="30"/>
  <c r="AB54" i="30"/>
  <c r="BD58" i="30"/>
  <c r="AH58" i="30"/>
  <c r="AC58" i="30"/>
  <c r="W58" i="30"/>
  <c r="BF58" i="30"/>
  <c r="BI58" i="30"/>
  <c r="BB58" i="30"/>
  <c r="AG58" i="30"/>
  <c r="AU58" i="30"/>
  <c r="BS58" i="30"/>
  <c r="AZ58" i="30"/>
  <c r="BA58" i="30"/>
  <c r="AP58" i="30"/>
  <c r="AN58" i="30"/>
  <c r="U58" i="30"/>
  <c r="AW58" i="30"/>
  <c r="Y58" i="30"/>
  <c r="AF58" i="30"/>
  <c r="Z58" i="30"/>
  <c r="BE58" i="30"/>
  <c r="BG58" i="30"/>
  <c r="AT58" i="30"/>
  <c r="AS58" i="30"/>
  <c r="AM58" i="30"/>
  <c r="AO58" i="30"/>
  <c r="AK58" i="30"/>
  <c r="AD58" i="30"/>
  <c r="X58" i="30"/>
  <c r="BQ58" i="30"/>
  <c r="BN58" i="30"/>
  <c r="BT58" i="30"/>
  <c r="BM58" i="30"/>
  <c r="AE58" i="30"/>
  <c r="AV58" i="30"/>
  <c r="AL27" i="30"/>
  <c r="BK27" i="30"/>
  <c r="AK27" i="30"/>
  <c r="BJ27" i="30"/>
  <c r="AV27" i="30"/>
  <c r="AC27" i="30"/>
  <c r="V27" i="30"/>
  <c r="AU27" i="30"/>
  <c r="U27" i="30"/>
  <c r="AT27" i="30"/>
  <c r="AJ27" i="30"/>
  <c r="AM27" i="30"/>
  <c r="BE27" i="30"/>
  <c r="AE27" i="30"/>
  <c r="BT27" i="30"/>
  <c r="AD27" i="30"/>
  <c r="BS27" i="30"/>
  <c r="Z27" i="30"/>
  <c r="BO27" i="30"/>
  <c r="AO27" i="30"/>
  <c r="BN27" i="30"/>
  <c r="BL27" i="30"/>
  <c r="BM27" i="30"/>
  <c r="BF27" i="30"/>
  <c r="AR27" i="30"/>
  <c r="AY27" i="30"/>
  <c r="Y27" i="30"/>
  <c r="AX27" i="30"/>
  <c r="AZ27" i="30"/>
  <c r="AW27" i="30"/>
  <c r="AS27" i="30"/>
  <c r="AI27" i="30"/>
  <c r="AB27" i="30"/>
  <c r="AH27" i="30"/>
  <c r="BG27" i="30"/>
  <c r="AG27" i="30"/>
  <c r="AF27" i="30"/>
  <c r="BR27" i="30"/>
  <c r="X27" i="30"/>
  <c r="BQ27" i="30"/>
  <c r="AQ27" i="30"/>
  <c r="BH27" i="30"/>
  <c r="BC27" i="30"/>
  <c r="AH96" i="30"/>
  <c r="AY96" i="30"/>
  <c r="BQ96" i="30"/>
  <c r="AE96" i="30"/>
  <c r="BO26" i="30"/>
  <c r="AO26" i="30"/>
  <c r="BN26" i="30"/>
  <c r="AZ26" i="30"/>
  <c r="BM26" i="30"/>
  <c r="BF26" i="30"/>
  <c r="AV26" i="30"/>
  <c r="AY26" i="30"/>
  <c r="Y26" i="30"/>
  <c r="AX26" i="30"/>
  <c r="AN26" i="30"/>
  <c r="AW26" i="30"/>
  <c r="AS26" i="30"/>
  <c r="AI26" i="30"/>
  <c r="AF26" i="30"/>
  <c r="AH26" i="30"/>
  <c r="BG26" i="30"/>
  <c r="AG26" i="30"/>
  <c r="BT26" i="30"/>
  <c r="BR26" i="30"/>
  <c r="BP26" i="30"/>
  <c r="BQ26" i="30"/>
  <c r="AQ26" i="30"/>
  <c r="BL26" i="30"/>
  <c r="BC26" i="30"/>
  <c r="BB26" i="30"/>
  <c r="BD26" i="30"/>
  <c r="BA26" i="30"/>
  <c r="AA26" i="30"/>
  <c r="AR26" i="30"/>
  <c r="AP26" i="30"/>
  <c r="AL26" i="30"/>
  <c r="BK26" i="30"/>
  <c r="AK26" i="30"/>
  <c r="BJ26" i="30"/>
  <c r="AJ26" i="30"/>
  <c r="AC26" i="30"/>
  <c r="AB26" i="30"/>
  <c r="V26" i="30"/>
  <c r="AU26" i="30"/>
  <c r="U26" i="30"/>
  <c r="AT26" i="30"/>
  <c r="X26" i="30"/>
  <c r="AM26" i="30"/>
  <c r="BR42" i="30"/>
  <c r="BD42" i="30"/>
  <c r="AP42" i="30"/>
  <c r="AB42" i="30"/>
  <c r="Y42" i="30"/>
  <c r="AI42" i="30"/>
  <c r="BQ42" i="30"/>
  <c r="AO42" i="30"/>
  <c r="U42" i="30"/>
  <c r="AL42" i="30"/>
  <c r="BK42" i="30"/>
  <c r="BH42" i="30"/>
  <c r="AY42" i="30"/>
  <c r="AV42" i="30"/>
  <c r="AJ42" i="30"/>
  <c r="W42" i="30"/>
  <c r="BP42" i="30"/>
  <c r="AM42" i="30"/>
  <c r="BO42" i="30"/>
  <c r="AT42" i="30"/>
  <c r="BC42" i="30"/>
  <c r="AF20" i="30"/>
  <c r="AP20" i="30"/>
  <c r="AA20" i="30"/>
  <c r="AC20" i="30"/>
  <c r="AV20" i="30"/>
  <c r="AQ20" i="30"/>
  <c r="BM20" i="30"/>
  <c r="BK20" i="30"/>
  <c r="BD20" i="30"/>
  <c r="AJ20" i="30"/>
  <c r="AR20" i="30"/>
  <c r="AW20" i="30"/>
  <c r="AU20" i="30"/>
  <c r="AD20" i="30"/>
  <c r="AG20" i="30"/>
  <c r="BR20" i="30"/>
  <c r="BO20" i="30"/>
  <c r="BT20" i="30"/>
  <c r="BB20" i="30"/>
  <c r="BQ20" i="30"/>
  <c r="AY20" i="30"/>
  <c r="X20" i="30"/>
  <c r="AL20" i="30"/>
  <c r="BJ20" i="30"/>
  <c r="AI20" i="30"/>
  <c r="AZ20" i="30"/>
  <c r="BI20" i="30"/>
  <c r="BC20" i="30"/>
  <c r="AU8" i="30"/>
  <c r="AH8" i="31" s="1"/>
  <c r="AS8" i="30"/>
  <c r="AF8" i="31" s="1"/>
  <c r="AJ8" i="30"/>
  <c r="W8" i="31" s="1"/>
  <c r="AN8" i="30"/>
  <c r="AA8" i="31" s="1"/>
  <c r="Z8" i="30"/>
  <c r="M8" i="31" s="1"/>
  <c r="BD8" i="30"/>
  <c r="AQ8" i="31" s="1"/>
  <c r="BH8" i="30"/>
  <c r="AU8" i="31" s="1"/>
  <c r="AC8" i="30"/>
  <c r="P8" i="31" s="1"/>
  <c r="BB8" i="30"/>
  <c r="AO8" i="31" s="1"/>
  <c r="BP8" i="30"/>
  <c r="BC8" i="31" s="1"/>
  <c r="AK8" i="30"/>
  <c r="X8" i="31" s="1"/>
  <c r="AR8" i="30"/>
  <c r="AE8" i="31" s="1"/>
  <c r="BM8" i="30"/>
  <c r="AZ8" i="31" s="1"/>
  <c r="AM8" i="30"/>
  <c r="Z8" i="31" s="1"/>
  <c r="BO8" i="30"/>
  <c r="BB8" i="31" s="1"/>
  <c r="AF8" i="30"/>
  <c r="S8" i="31" s="1"/>
  <c r="BS8" i="30"/>
  <c r="BF8" i="31" s="1"/>
  <c r="AZ8" i="30"/>
  <c r="AM8" i="31" s="1"/>
  <c r="V8" i="30"/>
  <c r="I8" i="31" s="1"/>
  <c r="W8" i="30"/>
  <c r="J8" i="31" s="1"/>
  <c r="AW8" i="30"/>
  <c r="AJ8" i="31" s="1"/>
  <c r="BK8" i="30"/>
  <c r="AX8" i="31" s="1"/>
  <c r="AT8" i="30"/>
  <c r="AG8" i="31" s="1"/>
  <c r="AP8" i="30"/>
  <c r="AC8" i="31" s="1"/>
  <c r="AX8" i="30"/>
  <c r="AK8" i="31" s="1"/>
  <c r="BL8" i="30"/>
  <c r="AY8" i="31" s="1"/>
  <c r="AG8" i="30"/>
  <c r="T8" i="31" s="1"/>
  <c r="BG8" i="30"/>
  <c r="AT8" i="31" s="1"/>
  <c r="X8" i="30"/>
  <c r="K8" i="31" s="1"/>
  <c r="BE8" i="30"/>
  <c r="AR8" i="31" s="1"/>
  <c r="AB8" i="30"/>
  <c r="O8" i="31" s="1"/>
  <c r="U8" i="30"/>
  <c r="H8" i="31" s="1"/>
  <c r="BT8" i="30"/>
  <c r="BG8" i="31" s="1"/>
  <c r="AL8" i="30"/>
  <c r="Y8" i="31" s="1"/>
  <c r="AE8" i="30"/>
  <c r="R8" i="31" s="1"/>
  <c r="AO8" i="30"/>
  <c r="AB8" i="31" s="1"/>
  <c r="BR8" i="30"/>
  <c r="BE8" i="31" s="1"/>
  <c r="BN8" i="30"/>
  <c r="BA8" i="31" s="1"/>
  <c r="AY8" i="30"/>
  <c r="AL8" i="31" s="1"/>
  <c r="BF8" i="30"/>
  <c r="AS8" i="31" s="1"/>
  <c r="BC8" i="30"/>
  <c r="AP8" i="31" s="1"/>
  <c r="Y8" i="30"/>
  <c r="L8" i="31" s="1"/>
  <c r="AV8" i="30"/>
  <c r="AI8" i="31" s="1"/>
  <c r="AQ8" i="30"/>
  <c r="AD8" i="31" s="1"/>
  <c r="AJ49" i="30"/>
  <c r="AD49" i="30"/>
  <c r="BD49" i="30"/>
  <c r="BP49" i="30"/>
  <c r="BN49" i="30"/>
  <c r="BM49" i="30"/>
  <c r="BL49" i="30"/>
  <c r="AC49" i="30"/>
  <c r="AU49" i="30"/>
  <c r="AX49" i="30"/>
  <c r="AR49" i="30"/>
  <c r="AQ49" i="30"/>
  <c r="BI49" i="30"/>
  <c r="Y49" i="30"/>
  <c r="BT49" i="30"/>
  <c r="AH49" i="30"/>
  <c r="W49" i="30"/>
  <c r="U49" i="30"/>
  <c r="BF49" i="30"/>
  <c r="BC49" i="30"/>
  <c r="BR49" i="30"/>
  <c r="BQ49" i="30"/>
  <c r="AY49" i="30"/>
  <c r="AZ49" i="30"/>
  <c r="AP49" i="30"/>
  <c r="AG49" i="30"/>
  <c r="V49" i="30"/>
  <c r="AV49" i="30"/>
  <c r="X49" i="30"/>
  <c r="AE49" i="30"/>
  <c r="Z49" i="30"/>
  <c r="AI49" i="30"/>
  <c r="BA49" i="30"/>
  <c r="AA49" i="30"/>
  <c r="BJ49" i="30"/>
  <c r="BH49" i="30"/>
  <c r="BG49" i="30"/>
  <c r="BO49" i="30"/>
  <c r="AX94" i="30"/>
  <c r="W94" i="30"/>
  <c r="AQ94" i="30"/>
  <c r="BH94" i="30"/>
  <c r="AC94" i="30"/>
  <c r="AH94" i="30"/>
  <c r="AE94" i="30"/>
  <c r="U94" i="30"/>
  <c r="BF94" i="30"/>
  <c r="AR94" i="30"/>
  <c r="BQ94" i="30"/>
  <c r="AJ94" i="30"/>
  <c r="BD94" i="30"/>
  <c r="AP94" i="30"/>
  <c r="AA94" i="30"/>
  <c r="BJ94" i="30"/>
  <c r="BC94" i="30"/>
  <c r="BG94" i="30"/>
  <c r="AM94" i="30"/>
  <c r="BI94" i="30"/>
  <c r="AT94" i="30"/>
  <c r="BK94" i="30"/>
  <c r="AK94" i="30"/>
  <c r="AW94" i="30"/>
  <c r="AF37" i="30"/>
  <c r="Z37" i="30"/>
  <c r="BB37" i="30"/>
  <c r="AM37" i="30"/>
  <c r="BE37" i="30"/>
  <c r="AE37" i="30"/>
  <c r="BL37" i="30"/>
  <c r="BI37" i="30"/>
  <c r="AT21" i="30"/>
  <c r="X21" i="30"/>
  <c r="AN21" i="30"/>
  <c r="Y21" i="30"/>
  <c r="AY21" i="30"/>
  <c r="AK21" i="30"/>
  <c r="BP21" i="30"/>
  <c r="AO21" i="30"/>
  <c r="BO21" i="30"/>
  <c r="BL21" i="30"/>
  <c r="BQ21" i="30"/>
  <c r="AD21" i="30"/>
  <c r="BE21" i="30"/>
  <c r="BG21" i="30"/>
  <c r="AU21" i="30"/>
  <c r="AA21" i="30"/>
  <c r="AX21" i="30"/>
  <c r="BH21" i="30"/>
  <c r="BT21" i="30"/>
  <c r="V21" i="30"/>
  <c r="AG21" i="30"/>
  <c r="AE21" i="30"/>
  <c r="AW21" i="30"/>
  <c r="U21" i="30"/>
  <c r="BS21" i="30"/>
  <c r="AL21" i="30"/>
  <c r="BM21" i="30"/>
  <c r="BK21" i="30"/>
  <c r="BJ21" i="30"/>
  <c r="BA21" i="30"/>
  <c r="AB21" i="30"/>
  <c r="BB21" i="30"/>
  <c r="AQ21" i="30"/>
  <c r="AH21" i="30"/>
  <c r="AF21" i="30"/>
  <c r="BR21" i="30"/>
  <c r="BP93" i="30"/>
  <c r="AI93" i="30"/>
  <c r="AB93" i="30"/>
  <c r="BE93" i="30"/>
  <c r="AV93" i="30"/>
  <c r="AZ93" i="30"/>
  <c r="BF93" i="30"/>
  <c r="AU93" i="30"/>
  <c r="BQ93" i="30"/>
  <c r="AQ93" i="30"/>
  <c r="AJ93" i="30"/>
  <c r="BG93" i="30"/>
  <c r="BL93" i="30"/>
  <c r="AP93" i="30"/>
  <c r="Y93" i="30"/>
  <c r="BR93" i="30"/>
  <c r="BI93" i="30"/>
  <c r="BM93" i="30"/>
  <c r="BB93" i="30"/>
  <c r="AK93" i="30"/>
  <c r="Z93" i="30"/>
  <c r="BC93" i="30"/>
  <c r="AL93" i="30"/>
  <c r="BO93" i="30"/>
  <c r="AR93" i="30"/>
  <c r="BH93" i="30"/>
  <c r="BN93" i="30"/>
  <c r="AG93" i="30"/>
  <c r="BK93" i="30"/>
  <c r="X93" i="30"/>
  <c r="W93" i="30"/>
  <c r="AN93" i="30"/>
  <c r="AX93" i="30"/>
  <c r="BA93" i="30"/>
  <c r="AO93" i="30"/>
  <c r="AA93" i="30"/>
  <c r="AF93" i="30"/>
  <c r="V93" i="30"/>
  <c r="AH93" i="30"/>
  <c r="BT93" i="30"/>
  <c r="BS93" i="30"/>
  <c r="BJ93" i="30"/>
  <c r="AY93" i="30"/>
  <c r="AM93" i="30"/>
  <c r="BF91" i="30"/>
  <c r="BE91" i="30"/>
  <c r="AV19" i="30"/>
  <c r="AK19" i="30"/>
  <c r="BP19" i="30"/>
  <c r="AB19" i="30"/>
  <c r="BI19" i="30"/>
  <c r="X19" i="30"/>
  <c r="BE19" i="30"/>
  <c r="AA19" i="30"/>
  <c r="U19" i="30"/>
  <c r="AU19" i="30"/>
  <c r="AN19" i="30"/>
  <c r="AR19" i="30"/>
  <c r="BF19" i="30"/>
  <c r="AO19" i="30"/>
  <c r="AD19" i="30"/>
  <c r="BC19" i="30"/>
  <c r="Z19" i="30"/>
  <c r="BG19" i="30"/>
  <c r="AF19" i="30"/>
  <c r="BN19" i="30"/>
  <c r="Y19" i="30"/>
  <c r="AZ19" i="30"/>
  <c r="AH19" i="30"/>
  <c r="BM19" i="30"/>
  <c r="AL19" i="30"/>
  <c r="AY19" i="30"/>
  <c r="BB19" i="30"/>
  <c r="BH19" i="30"/>
  <c r="AE19" i="30"/>
  <c r="AT19" i="30"/>
  <c r="AW19" i="30"/>
  <c r="BT19" i="30"/>
  <c r="AS19" i="30"/>
  <c r="AJ19" i="30"/>
  <c r="AM19" i="30"/>
  <c r="AI19" i="30"/>
  <c r="BL19" i="30"/>
  <c r="AG19" i="30"/>
  <c r="BK19" i="30"/>
  <c r="W19" i="30"/>
  <c r="BJ19" i="30"/>
  <c r="BQ19" i="30"/>
  <c r="AQ19" i="30"/>
  <c r="BS19" i="30"/>
  <c r="AP19" i="30"/>
  <c r="BD19" i="30"/>
  <c r="BE61" i="30"/>
  <c r="AT61" i="30"/>
  <c r="AM61" i="30"/>
  <c r="AK61" i="30"/>
  <c r="AI61" i="30"/>
  <c r="BB61" i="30"/>
  <c r="AN11" i="30"/>
  <c r="AG11" i="30"/>
  <c r="BK58" i="30"/>
  <c r="X42" i="30"/>
  <c r="BH20" i="30"/>
  <c r="AK49" i="30"/>
  <c r="AE26" i="30"/>
  <c r="AA74" i="30"/>
  <c r="BN21" i="30"/>
  <c r="Y94" i="30"/>
  <c r="AV94" i="30"/>
  <c r="AF11" i="30"/>
  <c r="BO58" i="30"/>
  <c r="AX42" i="30"/>
  <c r="BM80" i="30"/>
  <c r="AI21" i="30"/>
  <c r="BQ8" i="30"/>
  <c r="BD8" i="31" s="1"/>
  <c r="BF20" i="30"/>
  <c r="BD93" i="30"/>
  <c r="AM49" i="30"/>
  <c r="BE26" i="30"/>
  <c r="BE80" i="30"/>
  <c r="AA80" i="30"/>
  <c r="X11" i="30"/>
  <c r="W11" i="30"/>
  <c r="AR58" i="30"/>
  <c r="BI26" i="30"/>
  <c r="U80" i="30"/>
  <c r="AJ21" i="30"/>
  <c r="AL96" i="30"/>
  <c r="AA8" i="30"/>
  <c r="N8" i="31" s="1"/>
  <c r="AP27" i="30"/>
  <c r="AD93" i="30"/>
  <c r="AT49" i="30"/>
  <c r="AN74" i="30"/>
  <c r="BO19" i="30"/>
  <c r="BR58" i="30"/>
  <c r="Z11" i="30"/>
  <c r="AS11" i="30"/>
  <c r="BJ58" i="30"/>
  <c r="BC58" i="30"/>
  <c r="BR24" i="30"/>
  <c r="BJ8" i="30"/>
  <c r="AW8" i="31" s="1"/>
  <c r="BD27" i="30"/>
  <c r="BE49" i="30"/>
  <c r="AE74" i="30"/>
  <c r="AU24" i="30"/>
  <c r="BD21" i="30"/>
  <c r="W37" i="30"/>
  <c r="BE94" i="30"/>
  <c r="BL94" i="30"/>
  <c r="AA11" i="30"/>
  <c r="BI11" i="30"/>
  <c r="AY58" i="30"/>
  <c r="AZ37" i="30"/>
  <c r="AJ24" i="30"/>
  <c r="AH8" i="30"/>
  <c r="U8" i="31" s="1"/>
  <c r="AA27" i="30"/>
  <c r="AC93" i="30"/>
  <c r="Z26" i="30"/>
  <c r="BP74" i="30"/>
  <c r="V19" i="30"/>
  <c r="AH91" i="30"/>
  <c r="AK80" i="30"/>
  <c r="BC24" i="30"/>
  <c r="AC24" i="30"/>
  <c r="BK54" i="30"/>
  <c r="BP37" i="30"/>
  <c r="AQ37" i="30"/>
  <c r="AH37" i="30"/>
  <c r="Y37" i="30"/>
  <c r="AZ94" i="30"/>
  <c r="AD94" i="30"/>
  <c r="AM11" i="30"/>
  <c r="BF11" i="30"/>
  <c r="BP58" i="30"/>
  <c r="AB58" i="30"/>
  <c r="AO49" i="30"/>
  <c r="AK20" i="30"/>
  <c r="BI8" i="30"/>
  <c r="AV8" i="31" s="1"/>
  <c r="BA27" i="30"/>
  <c r="AT93" i="30"/>
  <c r="BS26" i="30"/>
  <c r="BO74" i="30"/>
  <c r="BA19" i="30"/>
  <c r="BH11" i="30"/>
  <c r="AT11" i="30"/>
  <c r="AD8" i="30"/>
  <c r="Q8" i="31" s="1"/>
  <c r="BP27" i="30"/>
  <c r="AD26" i="30"/>
  <c r="AG74" i="30"/>
  <c r="AB20" i="30"/>
  <c r="BA42" i="30"/>
  <c r="AH100" i="30"/>
  <c r="AM17" i="30"/>
  <c r="AP35" i="30"/>
  <c r="BG70" i="30"/>
  <c r="AT59" i="30"/>
  <c r="AU56" i="30"/>
  <c r="AS97" i="30"/>
  <c r="AY91" i="30"/>
  <c r="X91" i="30"/>
  <c r="AS49" i="30"/>
  <c r="Y91" i="30"/>
  <c r="AF70" i="30"/>
  <c r="BD9" i="30"/>
  <c r="AB57" i="30"/>
  <c r="BT67" i="30"/>
  <c r="BS49" i="30"/>
  <c r="BI46" i="30"/>
  <c r="BR64" i="30"/>
  <c r="BP75" i="30"/>
  <c r="BC41" i="30"/>
  <c r="BA99" i="30"/>
  <c r="AQ51" i="30"/>
  <c r="Z28" i="30"/>
  <c r="Z32" i="30"/>
  <c r="AR78" i="30"/>
  <c r="BL62" i="30"/>
  <c r="BQ52" i="30"/>
  <c r="AV77" i="30"/>
  <c r="AP36" i="30"/>
  <c r="BS63" i="30"/>
  <c r="BN16" i="30"/>
  <c r="AA30" i="30"/>
  <c r="BA64" i="30"/>
  <c r="AO18" i="30"/>
  <c r="AW22" i="30"/>
  <c r="BD32" i="30"/>
  <c r="AQ64" i="30"/>
  <c r="X100" i="30"/>
  <c r="BJ67" i="30"/>
  <c r="AO75" i="30"/>
  <c r="BM70" i="30"/>
  <c r="BA30" i="30"/>
  <c r="AI81" i="30"/>
  <c r="AG62" i="30"/>
  <c r="AC30" i="30"/>
  <c r="BJ76" i="30"/>
  <c r="BR9" i="30"/>
  <c r="AR31" i="30"/>
  <c r="BT63" i="30"/>
  <c r="BL76" i="30"/>
  <c r="AH36" i="30"/>
  <c r="U9" i="30"/>
  <c r="AZ13" i="30"/>
  <c r="BN10" i="30"/>
  <c r="BL50" i="30"/>
  <c r="AG50" i="30"/>
  <c r="AL50" i="30"/>
  <c r="BB50" i="30"/>
  <c r="BD50" i="30"/>
  <c r="AM75" i="30"/>
  <c r="BD28" i="30"/>
  <c r="AS100" i="30"/>
  <c r="BQ13" i="30"/>
  <c r="BE50" i="30"/>
  <c r="AP30" i="30"/>
  <c r="AG31" i="30"/>
  <c r="BG10" i="30"/>
  <c r="AN64" i="30"/>
  <c r="AV99" i="30"/>
  <c r="AX100" i="30"/>
  <c r="BQ9" i="30"/>
  <c r="AR99" i="30"/>
  <c r="BC75" i="30"/>
  <c r="AC81" i="30"/>
  <c r="V100" i="30"/>
  <c r="BS100" i="30"/>
  <c r="BB100" i="30"/>
  <c r="BJ100" i="30"/>
  <c r="Y100" i="30"/>
  <c r="AC100" i="30"/>
  <c r="AO100" i="30"/>
  <c r="AF100" i="30"/>
  <c r="BE100" i="30"/>
  <c r="BH100" i="30"/>
  <c r="BI100" i="30"/>
  <c r="AB100" i="30"/>
  <c r="W100" i="30"/>
  <c r="AP100" i="30"/>
  <c r="AA100" i="30"/>
  <c r="AJ100" i="30"/>
  <c r="BC100" i="30"/>
  <c r="AV100" i="30"/>
  <c r="BL17" i="30"/>
  <c r="AN17" i="30"/>
  <c r="AZ17" i="30"/>
  <c r="AM62" i="30"/>
  <c r="BM62" i="30"/>
  <c r="AA62" i="30"/>
  <c r="AT62" i="30"/>
  <c r="AE62" i="30"/>
  <c r="W62" i="30"/>
  <c r="BE62" i="30"/>
  <c r="BQ62" i="30"/>
  <c r="AS62" i="30"/>
  <c r="AD62" i="30"/>
  <c r="BD62" i="30"/>
  <c r="BT62" i="30"/>
  <c r="BR62" i="30"/>
  <c r="AF62" i="30"/>
  <c r="BP62" i="30"/>
  <c r="X62" i="30"/>
  <c r="AW62" i="30"/>
  <c r="Z62" i="30"/>
  <c r="AP62" i="30"/>
  <c r="AZ62" i="30"/>
  <c r="AY62" i="30"/>
  <c r="AX62" i="30"/>
  <c r="BA62" i="30"/>
  <c r="AB62" i="30"/>
  <c r="BN62" i="30"/>
  <c r="AK62" i="30"/>
  <c r="BC62" i="30"/>
  <c r="AC62" i="30"/>
  <c r="AH62" i="30"/>
  <c r="BO62" i="30"/>
  <c r="AQ62" i="30"/>
  <c r="BG62" i="30"/>
  <c r="AU62" i="30"/>
  <c r="BB62" i="30"/>
  <c r="AJ62" i="30"/>
  <c r="BI62" i="30"/>
  <c r="BH62" i="30"/>
  <c r="U62" i="30"/>
  <c r="AR62" i="30"/>
  <c r="V62" i="30"/>
  <c r="BS62" i="30"/>
  <c r="AV62" i="30"/>
  <c r="BJ62" i="30"/>
  <c r="AO62" i="30"/>
  <c r="BF62" i="30"/>
  <c r="BG52" i="30"/>
  <c r="AK52" i="30"/>
  <c r="BH52" i="30"/>
  <c r="AA52" i="30"/>
  <c r="BM52" i="30"/>
  <c r="AI76" i="30"/>
  <c r="AK76" i="30"/>
  <c r="BH76" i="30"/>
  <c r="AJ76" i="30"/>
  <c r="BD76" i="30"/>
  <c r="V76" i="30"/>
  <c r="BN76" i="30"/>
  <c r="AH76" i="30"/>
  <c r="BC76" i="30"/>
  <c r="AS76" i="30"/>
  <c r="AL76" i="30"/>
  <c r="AX76" i="30"/>
  <c r="X76" i="30"/>
  <c r="AW76" i="30"/>
  <c r="BB76" i="30"/>
  <c r="BG76" i="30"/>
  <c r="AR76" i="30"/>
  <c r="AU76" i="30"/>
  <c r="AY76" i="30"/>
  <c r="AA76" i="30"/>
  <c r="BI76" i="30"/>
  <c r="U76" i="30"/>
  <c r="AQ69" i="30"/>
  <c r="AS69" i="30"/>
  <c r="BM69" i="30"/>
  <c r="AB63" i="30"/>
  <c r="AM63" i="30"/>
  <c r="AF63" i="30"/>
  <c r="AC63" i="30"/>
  <c r="AE63" i="30"/>
  <c r="BL63" i="30"/>
  <c r="BG63" i="30"/>
  <c r="BF63" i="30"/>
  <c r="W63" i="30"/>
  <c r="AD63" i="30"/>
  <c r="BH63" i="30"/>
  <c r="BB63" i="30"/>
  <c r="AO63" i="30"/>
  <c r="AQ63" i="30"/>
  <c r="AK63" i="30"/>
  <c r="BD63" i="30"/>
  <c r="BE63" i="30"/>
  <c r="AL63" i="30"/>
  <c r="U63" i="30"/>
  <c r="X63" i="30"/>
  <c r="AA63" i="30"/>
  <c r="AZ63" i="30"/>
  <c r="AH63" i="30"/>
  <c r="BO63" i="30"/>
  <c r="BQ63" i="30"/>
  <c r="BN63" i="30"/>
  <c r="AP63" i="30"/>
  <c r="BI63" i="30"/>
  <c r="Y63" i="30"/>
  <c r="BM63" i="30"/>
  <c r="AY63" i="30"/>
  <c r="AV63" i="30"/>
  <c r="AG63" i="30"/>
  <c r="AN63" i="30"/>
  <c r="BJ63" i="30"/>
  <c r="AR63" i="30"/>
  <c r="AI63" i="30"/>
  <c r="Z63" i="30"/>
  <c r="AT63" i="30"/>
  <c r="AW63" i="30"/>
  <c r="BC63" i="30"/>
  <c r="BA63" i="30"/>
  <c r="AX63" i="30"/>
  <c r="AJ63" i="30"/>
  <c r="AS63" i="30"/>
  <c r="V30" i="30"/>
  <c r="AU30" i="30"/>
  <c r="U30" i="30"/>
  <c r="AT30" i="30"/>
  <c r="X30" i="30"/>
  <c r="BE30" i="30"/>
  <c r="AE30" i="30"/>
  <c r="AJ30" i="30"/>
  <c r="AD30" i="30"/>
  <c r="BO30" i="30"/>
  <c r="AO30" i="30"/>
  <c r="BN30" i="30"/>
  <c r="BP30" i="30"/>
  <c r="BM30" i="30"/>
  <c r="AY30" i="30"/>
  <c r="Y30" i="30"/>
  <c r="AX30" i="30"/>
  <c r="AN30" i="30"/>
  <c r="AW30" i="30"/>
  <c r="AI30" i="30"/>
  <c r="AF30" i="30"/>
  <c r="AH30" i="30"/>
  <c r="BG30" i="30"/>
  <c r="AG30" i="30"/>
  <c r="BR30" i="30"/>
  <c r="AB30" i="30"/>
  <c r="BQ30" i="30"/>
  <c r="AQ30" i="30"/>
  <c r="BL30" i="30"/>
  <c r="AV30" i="30"/>
  <c r="AL30" i="30"/>
  <c r="BK30" i="30"/>
  <c r="AK30" i="30"/>
  <c r="BJ30" i="30"/>
  <c r="AZ30" i="30"/>
  <c r="AM30" i="30"/>
  <c r="AZ64" i="30"/>
  <c r="AH64" i="30"/>
  <c r="AX64" i="30"/>
  <c r="BF64" i="30"/>
  <c r="BD64" i="30"/>
  <c r="AP64" i="30"/>
  <c r="BT64" i="30"/>
  <c r="Y64" i="30"/>
  <c r="W64" i="30"/>
  <c r="AG64" i="30"/>
  <c r="BC64" i="30"/>
  <c r="AR64" i="30"/>
  <c r="BI64" i="30"/>
  <c r="BJ64" i="30"/>
  <c r="BS64" i="30"/>
  <c r="AD64" i="30"/>
  <c r="BL64" i="30"/>
  <c r="AO64" i="30"/>
  <c r="AR18" i="30"/>
  <c r="BA18" i="30"/>
  <c r="BR18" i="30"/>
  <c r="BO18" i="30"/>
  <c r="AB85" i="30"/>
  <c r="AT85" i="30"/>
  <c r="BC85" i="30"/>
  <c r="BH85" i="30"/>
  <c r="X85" i="30"/>
  <c r="BQ85" i="30"/>
  <c r="BD85" i="30"/>
  <c r="AI85" i="30"/>
  <c r="Y85" i="30"/>
  <c r="AO85" i="30"/>
  <c r="AH85" i="30"/>
  <c r="BE85" i="30"/>
  <c r="BP85" i="30"/>
  <c r="AM85" i="30"/>
  <c r="AQ22" i="30"/>
  <c r="BL22" i="30"/>
  <c r="BB22" i="30"/>
  <c r="AN22" i="30"/>
  <c r="BC22" i="30"/>
  <c r="AH22" i="30"/>
  <c r="AV22" i="30"/>
  <c r="AA22" i="30"/>
  <c r="BH22" i="30"/>
  <c r="AL22" i="30"/>
  <c r="BK22" i="30"/>
  <c r="W22" i="30"/>
  <c r="BA22" i="30"/>
  <c r="BJ22" i="30"/>
  <c r="BT22" i="30"/>
  <c r="V22" i="30"/>
  <c r="AE22" i="30"/>
  <c r="AP22" i="30"/>
  <c r="U22" i="30"/>
  <c r="AT22" i="30"/>
  <c r="AZ22" i="30"/>
  <c r="BE22" i="30"/>
  <c r="AX22" i="30"/>
  <c r="BI22" i="30"/>
  <c r="BP22" i="30"/>
  <c r="AD22" i="30"/>
  <c r="BO22" i="30"/>
  <c r="AO22" i="30"/>
  <c r="BQ22" i="30"/>
  <c r="AC22" i="30"/>
  <c r="Z22" i="30"/>
  <c r="BM22" i="30"/>
  <c r="AY22" i="30"/>
  <c r="Y22" i="30"/>
  <c r="AK22" i="30"/>
  <c r="AR22" i="30"/>
  <c r="BS22" i="30"/>
  <c r="BG22" i="30"/>
  <c r="AG22" i="30"/>
  <c r="BR22" i="30"/>
  <c r="AB22" i="30"/>
  <c r="X22" i="30"/>
  <c r="BN22" i="30"/>
  <c r="AM22" i="30"/>
  <c r="AP69" i="30"/>
  <c r="AI13" i="30"/>
  <c r="BG31" i="30"/>
  <c r="BL31" i="30"/>
  <c r="BP10" i="30"/>
  <c r="BQ64" i="30"/>
  <c r="BQ99" i="30"/>
  <c r="BT76" i="30"/>
  <c r="Z30" i="30"/>
  <c r="AP67" i="30"/>
  <c r="BD30" i="30"/>
  <c r="AN75" i="30"/>
  <c r="Y62" i="30"/>
  <c r="AB35" i="30"/>
  <c r="AZ76" i="30"/>
  <c r="AP25" i="30"/>
  <c r="X25" i="30"/>
  <c r="BF25" i="30"/>
  <c r="AF25" i="30"/>
  <c r="W25" i="30"/>
  <c r="AZ25" i="30"/>
  <c r="AM25" i="30"/>
  <c r="AC25" i="30"/>
  <c r="BC25" i="30"/>
  <c r="AS25" i="30"/>
  <c r="AL25" i="30"/>
  <c r="Z25" i="30"/>
  <c r="AV13" i="30"/>
  <c r="AE13" i="30"/>
  <c r="AI9" i="30"/>
  <c r="AZ9" i="30"/>
  <c r="BO81" i="30"/>
  <c r="BH81" i="30"/>
  <c r="AZ81" i="30"/>
  <c r="AH81" i="30"/>
  <c r="AN81" i="30"/>
  <c r="Y81" i="30"/>
  <c r="BI81" i="30"/>
  <c r="AM81" i="30"/>
  <c r="AG81" i="30"/>
  <c r="AQ81" i="30"/>
  <c r="X81" i="30"/>
  <c r="AR81" i="30"/>
  <c r="AS81" i="30"/>
  <c r="W81" i="30"/>
  <c r="BR81" i="30"/>
  <c r="BQ81" i="30"/>
  <c r="AX81" i="30"/>
  <c r="AW81" i="30"/>
  <c r="BF81" i="30"/>
  <c r="BB81" i="30"/>
  <c r="AT81" i="30"/>
  <c r="BA81" i="30"/>
  <c r="AE81" i="30"/>
  <c r="BD81" i="30"/>
  <c r="AK81" i="30"/>
  <c r="BN81" i="30"/>
  <c r="AB81" i="30"/>
  <c r="BT81" i="30"/>
  <c r="AL81" i="30"/>
  <c r="AA81" i="30"/>
  <c r="U81" i="30"/>
  <c r="BK81" i="30"/>
  <c r="BC81" i="30"/>
  <c r="AU81" i="30"/>
  <c r="AV81" i="30"/>
  <c r="BL81" i="30"/>
  <c r="AF81" i="30"/>
  <c r="AO81" i="30"/>
  <c r="BG81" i="30"/>
  <c r="BJ81" i="30"/>
  <c r="BM81" i="30"/>
  <c r="V81" i="30"/>
  <c r="AO86" i="30"/>
  <c r="BO86" i="30"/>
  <c r="BF86" i="30"/>
  <c r="BK86" i="30"/>
  <c r="AZ32" i="30"/>
  <c r="W32" i="30"/>
  <c r="BE16" i="30"/>
  <c r="W16" i="30"/>
  <c r="U16" i="30"/>
  <c r="AQ16" i="30"/>
  <c r="AJ16" i="30"/>
  <c r="AT16" i="30"/>
  <c r="BB16" i="30"/>
  <c r="AO16" i="30"/>
  <c r="BR16" i="30"/>
  <c r="BD16" i="30"/>
  <c r="V16" i="30"/>
  <c r="BC16" i="30"/>
  <c r="AB16" i="30"/>
  <c r="AX16" i="30"/>
  <c r="Y16" i="30"/>
  <c r="AV16" i="30"/>
  <c r="AI16" i="30"/>
  <c r="BM16" i="30"/>
  <c r="AH16" i="30"/>
  <c r="AP16" i="30"/>
  <c r="AF16" i="30"/>
  <c r="BJ16" i="30"/>
  <c r="AA16" i="30"/>
  <c r="AZ16" i="30"/>
  <c r="AW16" i="30"/>
  <c r="AU16" i="30"/>
  <c r="AS16" i="30"/>
  <c r="AN16" i="30"/>
  <c r="Z16" i="30"/>
  <c r="BH16" i="30"/>
  <c r="AG16" i="30"/>
  <c r="BG16" i="30"/>
  <c r="X16" i="30"/>
  <c r="BK16" i="30"/>
  <c r="BQ16" i="30"/>
  <c r="AM16" i="30"/>
  <c r="BT16" i="30"/>
  <c r="AL16" i="30"/>
  <c r="AE16" i="30"/>
  <c r="AR16" i="30"/>
  <c r="AK16" i="30"/>
  <c r="BL16" i="30"/>
  <c r="AD16" i="30"/>
  <c r="BI16" i="30"/>
  <c r="BS16" i="30"/>
  <c r="BR13" i="30"/>
  <c r="AM9" i="30"/>
  <c r="AM31" i="30"/>
  <c r="AJ31" i="30"/>
  <c r="AU77" i="30"/>
  <c r="Z10" i="30"/>
  <c r="BH64" i="30"/>
  <c r="BQ17" i="30"/>
  <c r="BB30" i="30"/>
  <c r="AC16" i="30"/>
  <c r="AY81" i="30"/>
  <c r="AS22" i="30"/>
  <c r="AL62" i="30"/>
  <c r="AQ76" i="30"/>
  <c r="AO31" i="30"/>
  <c r="BO31" i="30"/>
  <c r="BQ31" i="30"/>
  <c r="AY31" i="30"/>
  <c r="AP31" i="30"/>
  <c r="BR31" i="30"/>
  <c r="BJ31" i="30"/>
  <c r="BM31" i="30"/>
  <c r="BB31" i="30"/>
  <c r="X31" i="30"/>
  <c r="AV31" i="30"/>
  <c r="BC31" i="30"/>
  <c r="BP31" i="30"/>
  <c r="BT31" i="30"/>
  <c r="AW31" i="30"/>
  <c r="BM10" i="30"/>
  <c r="BO10" i="30"/>
  <c r="AK10" i="30"/>
  <c r="BS10" i="30"/>
  <c r="BA10" i="30"/>
  <c r="AY10" i="30"/>
  <c r="AP10" i="30"/>
  <c r="BQ10" i="30"/>
  <c r="AJ10" i="30"/>
  <c r="AW10" i="30"/>
  <c r="BC10" i="30"/>
  <c r="AU10" i="30"/>
  <c r="AF10" i="30"/>
  <c r="AT10" i="30"/>
  <c r="U10" i="30"/>
  <c r="AB10" i="30"/>
  <c r="AL10" i="30"/>
  <c r="AQ35" i="30"/>
  <c r="AD35" i="30"/>
  <c r="AN35" i="30"/>
  <c r="BK35" i="30"/>
  <c r="AG35" i="30"/>
  <c r="BO35" i="30"/>
  <c r="AK35" i="30"/>
  <c r="BH35" i="30"/>
  <c r="AY35" i="30"/>
  <c r="AZ35" i="30"/>
  <c r="BS35" i="30"/>
  <c r="V35" i="30"/>
  <c r="BT35" i="30"/>
  <c r="BC35" i="30"/>
  <c r="BE35" i="30"/>
  <c r="BF35" i="30"/>
  <c r="Y35" i="30"/>
  <c r="AT35" i="30"/>
  <c r="AC35" i="30"/>
  <c r="BL35" i="30"/>
  <c r="Y67" i="30"/>
  <c r="AB67" i="30"/>
  <c r="AM67" i="30"/>
  <c r="AT67" i="30"/>
  <c r="AC67" i="30"/>
  <c r="BN67" i="30"/>
  <c r="X67" i="30"/>
  <c r="BG67" i="30"/>
  <c r="AV67" i="30"/>
  <c r="W67" i="30"/>
  <c r="BA67" i="30"/>
  <c r="BH67" i="30"/>
  <c r="AG67" i="30"/>
  <c r="BP67" i="30"/>
  <c r="AQ67" i="30"/>
  <c r="BE67" i="30"/>
  <c r="BD67" i="30"/>
  <c r="AZ67" i="30"/>
  <c r="AL67" i="30"/>
  <c r="AF67" i="30"/>
  <c r="AE67" i="30"/>
  <c r="AA67" i="30"/>
  <c r="BL67" i="30"/>
  <c r="AH67" i="30"/>
  <c r="BO67" i="30"/>
  <c r="BQ67" i="30"/>
  <c r="BK67" i="30"/>
  <c r="BB67" i="30"/>
  <c r="BI67" i="30"/>
  <c r="U67" i="30"/>
  <c r="BM67" i="30"/>
  <c r="AY67" i="30"/>
  <c r="Z67" i="30"/>
  <c r="AS67" i="30"/>
  <c r="AN67" i="30"/>
  <c r="AD67" i="30"/>
  <c r="AR67" i="30"/>
  <c r="AI67" i="30"/>
  <c r="AJ67" i="30"/>
  <c r="BF67" i="30"/>
  <c r="AW67" i="30"/>
  <c r="BC67" i="30"/>
  <c r="AK67" i="30"/>
  <c r="AX67" i="30"/>
  <c r="AO67" i="30"/>
  <c r="AU67" i="30"/>
  <c r="BO75" i="30"/>
  <c r="BQ75" i="30"/>
  <c r="BN75" i="30"/>
  <c r="AF75" i="30"/>
  <c r="AW75" i="30"/>
  <c r="AR75" i="30"/>
  <c r="AK75" i="30"/>
  <c r="AY75" i="30"/>
  <c r="Z75" i="30"/>
  <c r="AS75" i="30"/>
  <c r="AD75" i="30"/>
  <c r="AB75" i="30"/>
  <c r="BA75" i="30"/>
  <c r="BM75" i="30"/>
  <c r="AI75" i="30"/>
  <c r="AJ75" i="30"/>
  <c r="X75" i="30"/>
  <c r="BG75" i="30"/>
  <c r="AV75" i="30"/>
  <c r="BS75" i="30"/>
  <c r="BT75" i="30"/>
  <c r="AP75" i="30"/>
  <c r="BB75" i="30"/>
  <c r="AQ75" i="30"/>
  <c r="BE75" i="30"/>
  <c r="BD75" i="30"/>
  <c r="AX75" i="30"/>
  <c r="AZ75" i="30"/>
  <c r="AG75" i="30"/>
  <c r="AA75" i="30"/>
  <c r="BL75" i="30"/>
  <c r="V75" i="30"/>
  <c r="AC75" i="30"/>
  <c r="BK75" i="30"/>
  <c r="BF75" i="30"/>
  <c r="BI75" i="30"/>
  <c r="U75" i="30"/>
  <c r="BJ75" i="30"/>
  <c r="AL75" i="30"/>
  <c r="AE75" i="30"/>
  <c r="Y75" i="30"/>
  <c r="BR75" i="30"/>
  <c r="W75" i="30"/>
  <c r="AH75" i="30"/>
  <c r="BB99" i="30"/>
  <c r="AW99" i="30"/>
  <c r="AY99" i="30"/>
  <c r="Z99" i="30"/>
  <c r="BM99" i="30"/>
  <c r="AH99" i="30"/>
  <c r="BL99" i="30"/>
  <c r="BC99" i="30"/>
  <c r="AC99" i="30"/>
  <c r="BR99" i="30"/>
  <c r="BF99" i="30"/>
  <c r="BD99" i="30"/>
  <c r="Y99" i="30"/>
  <c r="AP99" i="30"/>
  <c r="AX99" i="30"/>
  <c r="V99" i="30"/>
  <c r="AH78" i="30"/>
  <c r="AD78" i="30"/>
  <c r="BD78" i="30"/>
  <c r="AO78" i="30"/>
  <c r="W78" i="30"/>
  <c r="BH78" i="30"/>
  <c r="AF78" i="30"/>
  <c r="AM78" i="30"/>
  <c r="AX78" i="30"/>
  <c r="BA78" i="30"/>
  <c r="BC78" i="30"/>
  <c r="V78" i="30"/>
  <c r="BM78" i="30"/>
  <c r="BL36" i="30"/>
  <c r="AV36" i="30"/>
  <c r="AU36" i="30"/>
  <c r="AD36" i="30"/>
  <c r="BM36" i="30"/>
  <c r="W36" i="30"/>
  <c r="AY36" i="30"/>
  <c r="U17" i="30"/>
  <c r="AM28" i="30"/>
  <c r="BN31" i="30"/>
  <c r="AO77" i="30"/>
  <c r="BT10" i="30"/>
  <c r="AF64" i="30"/>
  <c r="AI99" i="30"/>
  <c r="BI32" i="30"/>
  <c r="AC31" i="30"/>
  <c r="BK10" i="30"/>
  <c r="W85" i="30"/>
  <c r="V67" i="30"/>
  <c r="BF16" i="30"/>
  <c r="AU75" i="30"/>
  <c r="AU22" i="30"/>
  <c r="BK63" i="30"/>
  <c r="BG35" i="30"/>
  <c r="BO76" i="30"/>
  <c r="AH52" i="30"/>
  <c r="AD81" i="30"/>
  <c r="BJ17" i="30"/>
  <c r="BR50" i="30"/>
  <c r="AT31" i="30"/>
  <c r="AD10" i="30"/>
  <c r="AK64" i="30"/>
  <c r="BP99" i="30"/>
  <c r="AQ100" i="30"/>
  <c r="X10" i="30"/>
  <c r="AJ85" i="30"/>
  <c r="BS67" i="30"/>
  <c r="AY16" i="30"/>
  <c r="BH75" i="30"/>
  <c r="AJ22" i="30"/>
  <c r="BP63" i="30"/>
  <c r="AZ28" i="30"/>
  <c r="BI28" i="30"/>
  <c r="W28" i="30"/>
  <c r="AS28" i="30"/>
  <c r="BS28" i="30"/>
  <c r="Z31" i="30"/>
  <c r="BS81" i="30"/>
  <c r="AM64" i="30"/>
  <c r="BS99" i="30"/>
  <c r="BI25" i="30"/>
  <c r="BR67" i="30"/>
  <c r="BP16" i="30"/>
  <c r="AJ81" i="30"/>
  <c r="AF22" i="30"/>
  <c r="BR63" i="30"/>
  <c r="AI62" i="30"/>
  <c r="BC50" i="30"/>
  <c r="AO10" i="30"/>
  <c r="BH99" i="30"/>
  <c r="AM32" i="30"/>
  <c r="U50" i="30"/>
  <c r="BC30" i="30"/>
  <c r="BA31" i="30"/>
  <c r="Y10" i="30"/>
  <c r="AA64" i="30"/>
  <c r="AG99" i="30"/>
  <c r="AD100" i="30"/>
  <c r="AJ64" i="30"/>
  <c r="AE99" i="30"/>
  <c r="AM100" i="30"/>
  <c r="BH30" i="30"/>
  <c r="BA16" i="30"/>
  <c r="Z81" i="30"/>
  <c r="AI22" i="30"/>
  <c r="V63" i="30"/>
  <c r="AN62" i="30"/>
  <c r="AO41" i="30"/>
  <c r="BP86" i="30"/>
  <c r="BJ99" i="30"/>
  <c r="AB28" i="30"/>
  <c r="BF32" i="30"/>
  <c r="BP70" i="30"/>
  <c r="AD12" i="30"/>
  <c r="U29" i="30"/>
  <c r="AS52" i="30"/>
  <c r="AU40" i="30"/>
  <c r="U69" i="30"/>
  <c r="BN39" i="30"/>
  <c r="W66" i="30"/>
  <c r="BM43" i="30"/>
  <c r="AI18" i="30"/>
  <c r="AC55" i="30"/>
  <c r="AO34" i="30"/>
  <c r="AZ57" i="30"/>
  <c r="AP96" i="30"/>
  <c r="BL15" i="30"/>
  <c r="BO102" i="30"/>
  <c r="AA90" i="30"/>
  <c r="AN14" i="30"/>
  <c r="BA92" i="30"/>
  <c r="Z101" i="30"/>
  <c r="AH12" i="30"/>
  <c r="BN61" i="30"/>
  <c r="AZ70" i="30"/>
  <c r="BH12" i="30"/>
  <c r="BI12" i="30"/>
  <c r="BT12" i="30"/>
  <c r="AM12" i="30"/>
  <c r="BE12" i="30"/>
  <c r="AT12" i="30"/>
  <c r="AX84" i="30"/>
  <c r="X12" i="30"/>
  <c r="AU35" i="30"/>
  <c r="X35" i="30"/>
  <c r="AI35" i="30"/>
  <c r="Z35" i="30"/>
  <c r="BD35" i="30"/>
  <c r="AA31" i="30"/>
  <c r="AL31" i="30"/>
  <c r="AF31" i="30"/>
  <c r="AU31" i="30"/>
  <c r="V31" i="30"/>
  <c r="BD31" i="30"/>
  <c r="BE31" i="30"/>
  <c r="U31" i="30"/>
  <c r="BF31" i="30"/>
  <c r="AO45" i="30"/>
  <c r="AY45" i="30"/>
  <c r="BN100" i="30"/>
  <c r="BQ100" i="30"/>
  <c r="BT100" i="30"/>
  <c r="AI100" i="30"/>
  <c r="Z100" i="30"/>
  <c r="AY100" i="30"/>
  <c r="BP100" i="30"/>
  <c r="BO100" i="30"/>
  <c r="AT100" i="30"/>
  <c r="AR100" i="30"/>
  <c r="BA100" i="30"/>
  <c r="AV25" i="30"/>
  <c r="U25" i="30"/>
  <c r="BT25" i="30"/>
  <c r="BR25" i="30"/>
  <c r="AJ25" i="30"/>
  <c r="AI25" i="30"/>
  <c r="Y25" i="30"/>
  <c r="AY25" i="30"/>
  <c r="AO25" i="30"/>
  <c r="BO25" i="30"/>
  <c r="BE25" i="30"/>
  <c r="BH25" i="30"/>
  <c r="BB25" i="30"/>
  <c r="AR10" i="30"/>
  <c r="AM10" i="30"/>
  <c r="AA10" i="30"/>
  <c r="BH10" i="30"/>
  <c r="AV10" i="30"/>
  <c r="AN10" i="30"/>
  <c r="BR10" i="30"/>
  <c r="BJ10" i="30"/>
  <c r="AG10" i="30"/>
  <c r="BF10" i="30"/>
  <c r="BA17" i="30"/>
  <c r="AE17" i="30"/>
  <c r="AY13" i="30"/>
  <c r="BT13" i="30"/>
  <c r="AN13" i="30"/>
  <c r="BH13" i="30"/>
  <c r="AC13" i="30"/>
  <c r="AA13" i="30"/>
  <c r="AB13" i="30"/>
  <c r="AK13" i="30"/>
  <c r="AE35" i="30"/>
  <c r="AW35" i="30"/>
  <c r="AM35" i="30"/>
  <c r="AR35" i="30"/>
  <c r="AL35" i="30"/>
  <c r="BN35" i="30"/>
  <c r="AH35" i="30"/>
  <c r="AV9" i="30"/>
  <c r="AE9" i="30"/>
  <c r="BA9" i="30"/>
  <c r="BE33" i="30"/>
  <c r="BA33" i="30"/>
  <c r="BN33" i="30"/>
  <c r="AV41" i="30"/>
  <c r="BH41" i="30"/>
  <c r="X41" i="30"/>
  <c r="X99" i="30"/>
  <c r="AT99" i="30"/>
  <c r="AA99" i="30"/>
  <c r="AB99" i="30"/>
  <c r="AQ99" i="30"/>
  <c r="AJ99" i="30"/>
  <c r="AS99" i="30"/>
  <c r="AK99" i="30"/>
  <c r="BO99" i="30"/>
  <c r="BI51" i="30"/>
  <c r="U51" i="30"/>
  <c r="AZ51" i="30"/>
  <c r="AC51" i="30"/>
  <c r="AT51" i="30"/>
  <c r="BQ51" i="30"/>
  <c r="AV32" i="30"/>
  <c r="AB32" i="30"/>
  <c r="AS32" i="30"/>
  <c r="BP50" i="30"/>
  <c r="AW50" i="30"/>
  <c r="Z50" i="30"/>
  <c r="AJ50" i="30"/>
  <c r="AF50" i="30"/>
  <c r="AC78" i="30"/>
  <c r="BE78" i="30"/>
  <c r="AI78" i="30"/>
  <c r="Z78" i="30"/>
  <c r="AY78" i="30"/>
  <c r="AV78" i="30"/>
  <c r="BO78" i="30"/>
  <c r="BQ78" i="30"/>
  <c r="AL78" i="30"/>
  <c r="BP78" i="30"/>
  <c r="BT78" i="30"/>
  <c r="AI52" i="30"/>
  <c r="AD52" i="30"/>
  <c r="BS52" i="30"/>
  <c r="BO52" i="30"/>
  <c r="BB52" i="30"/>
  <c r="AB52" i="30"/>
  <c r="AX52" i="30"/>
  <c r="AQ52" i="30"/>
  <c r="AO52" i="30"/>
  <c r="BC52" i="30"/>
  <c r="X52" i="30"/>
  <c r="AV52" i="30"/>
  <c r="AU52" i="30"/>
  <c r="AT52" i="30"/>
  <c r="BF52" i="30"/>
  <c r="AW52" i="30"/>
  <c r="AN52" i="30"/>
  <c r="Y52" i="30"/>
  <c r="BK52" i="30"/>
  <c r="AP52" i="30"/>
  <c r="W52" i="30"/>
  <c r="BR52" i="30"/>
  <c r="BD52" i="30"/>
  <c r="BT52" i="30"/>
  <c r="Z52" i="30"/>
  <c r="AG52" i="30"/>
  <c r="BL52" i="30"/>
  <c r="AY52" i="30"/>
  <c r="BE52" i="30"/>
  <c r="AE52" i="30"/>
  <c r="U52" i="30"/>
  <c r="AC52" i="30"/>
  <c r="AJ52" i="30"/>
  <c r="AL52" i="30"/>
  <c r="BP52" i="30"/>
  <c r="BJ52" i="30"/>
  <c r="AR52" i="30"/>
  <c r="AF52" i="30"/>
  <c r="V52" i="30"/>
  <c r="AC76" i="30"/>
  <c r="BQ76" i="30"/>
  <c r="AG76" i="30"/>
  <c r="BP76" i="30"/>
  <c r="BS76" i="30"/>
  <c r="W76" i="30"/>
  <c r="AD76" i="30"/>
  <c r="AV76" i="30"/>
  <c r="BM76" i="30"/>
  <c r="AT76" i="30"/>
  <c r="AE76" i="30"/>
  <c r="AF76" i="30"/>
  <c r="AN76" i="30"/>
  <c r="Z76" i="30"/>
  <c r="BK76" i="30"/>
  <c r="Y76" i="30"/>
  <c r="AP76" i="30"/>
  <c r="AO76" i="30"/>
  <c r="BR76" i="30"/>
  <c r="AA69" i="30"/>
  <c r="BD69" i="30"/>
  <c r="AF69" i="30"/>
  <c r="BO69" i="30"/>
  <c r="BI69" i="30"/>
  <c r="AE69" i="30"/>
  <c r="BK69" i="30"/>
  <c r="BF69" i="30"/>
  <c r="AG69" i="30"/>
  <c r="BJ69" i="30"/>
  <c r="AY69" i="30"/>
  <c r="AK69" i="30"/>
  <c r="BB69" i="30"/>
  <c r="AO69" i="30"/>
  <c r="AI69" i="30"/>
  <c r="AB69" i="30"/>
  <c r="BN69" i="30"/>
  <c r="BP69" i="30"/>
  <c r="BS69" i="30"/>
  <c r="BT69" i="30"/>
  <c r="BQ69" i="30"/>
  <c r="AH69" i="30"/>
  <c r="AT69" i="30"/>
  <c r="BC69" i="30"/>
  <c r="AC69" i="30"/>
  <c r="AV69" i="30"/>
  <c r="AW69" i="30"/>
  <c r="BE69" i="30"/>
  <c r="BL69" i="30"/>
  <c r="AM69" i="30"/>
  <c r="AJ69" i="30"/>
  <c r="AD69" i="30"/>
  <c r="W69" i="30"/>
  <c r="BR69" i="30"/>
  <c r="X69" i="30"/>
  <c r="BA69" i="30"/>
  <c r="V69" i="30"/>
  <c r="AX69" i="30"/>
  <c r="BG69" i="30"/>
  <c r="AL69" i="30"/>
  <c r="AU69" i="30"/>
  <c r="AR69" i="30"/>
  <c r="AN69" i="30"/>
  <c r="Z69" i="30"/>
  <c r="AZ69" i="30"/>
  <c r="BC77" i="30"/>
  <c r="AZ77" i="30"/>
  <c r="AW36" i="30"/>
  <c r="AM36" i="30"/>
  <c r="BD36" i="30"/>
  <c r="AL36" i="30"/>
  <c r="AE36" i="30"/>
  <c r="AK36" i="30"/>
  <c r="AQ36" i="30"/>
  <c r="BT36" i="30"/>
  <c r="BF36" i="30"/>
  <c r="AB36" i="30"/>
  <c r="BE36" i="30"/>
  <c r="X36" i="30"/>
  <c r="U36" i="30"/>
  <c r="BP36" i="30"/>
  <c r="BI36" i="30"/>
  <c r="BB36" i="30"/>
  <c r="BN36" i="30"/>
  <c r="BG36" i="30"/>
  <c r="AR36" i="30"/>
  <c r="AS36" i="30"/>
  <c r="V36" i="30"/>
  <c r="BA36" i="30"/>
  <c r="AA36" i="30"/>
  <c r="AF36" i="30"/>
  <c r="AC36" i="30"/>
  <c r="AO36" i="30"/>
  <c r="BH36" i="30"/>
  <c r="BJ36" i="30"/>
  <c r="BS36" i="30"/>
  <c r="AZ36" i="30"/>
  <c r="Y36" i="30"/>
  <c r="BK36" i="30"/>
  <c r="AT36" i="30"/>
  <c r="BC36" i="30"/>
  <c r="BO36" i="30"/>
  <c r="AN36" i="30"/>
  <c r="AX36" i="30"/>
  <c r="AG36" i="30"/>
  <c r="Z36" i="30"/>
  <c r="BR36" i="30"/>
  <c r="BQ36" i="30"/>
  <c r="AR30" i="30"/>
  <c r="BI30" i="30"/>
  <c r="Z64" i="30"/>
  <c r="AY64" i="30"/>
  <c r="BB64" i="30"/>
  <c r="BO64" i="30"/>
  <c r="AB64" i="30"/>
  <c r="BE64" i="30"/>
  <c r="AC64" i="30"/>
  <c r="AT64" i="30"/>
  <c r="AI64" i="30"/>
  <c r="BR85" i="30"/>
  <c r="BO85" i="30"/>
  <c r="AV85" i="30"/>
  <c r="U85" i="30"/>
  <c r="AK85" i="30"/>
  <c r="BF85" i="30"/>
  <c r="BA85" i="30"/>
  <c r="AL85" i="30"/>
  <c r="AY85" i="30"/>
  <c r="AA73" i="30"/>
  <c r="BI73" i="30"/>
  <c r="AF73" i="30"/>
  <c r="BO73" i="30"/>
  <c r="BD73" i="30"/>
  <c r="AW73" i="30"/>
  <c r="AD73" i="30"/>
  <c r="BF73" i="30"/>
  <c r="AL73" i="30"/>
  <c r="BJ73" i="30"/>
  <c r="AY73" i="30"/>
  <c r="BM73" i="30"/>
  <c r="AU73" i="30"/>
  <c r="AK73" i="30"/>
  <c r="BH73" i="30"/>
  <c r="AO73" i="30"/>
  <c r="AI73" i="30"/>
  <c r="V73" i="30"/>
  <c r="U73" i="30"/>
  <c r="BP73" i="30"/>
  <c r="BS73" i="30"/>
  <c r="BN73" i="30"/>
  <c r="BQ73" i="30"/>
  <c r="AN73" i="30"/>
  <c r="BB73" i="30"/>
  <c r="AT73" i="30"/>
  <c r="BC73" i="30"/>
  <c r="X73" i="30"/>
  <c r="AV73" i="30"/>
  <c r="AB73" i="30"/>
  <c r="AE73" i="30"/>
  <c r="AQ73" i="30"/>
  <c r="AR73" i="30"/>
  <c r="BA73" i="30"/>
  <c r="BR73" i="30"/>
  <c r="AJ73" i="30"/>
  <c r="AS73" i="30"/>
  <c r="BL73" i="30"/>
  <c r="BG73" i="30"/>
  <c r="BE73" i="30"/>
  <c r="Y73" i="30"/>
  <c r="BK73" i="30"/>
  <c r="AH73" i="30"/>
  <c r="AP73" i="30"/>
  <c r="AM73" i="30"/>
  <c r="AZ73" i="30"/>
  <c r="W73" i="30"/>
  <c r="BT73" i="30"/>
  <c r="Z73" i="30"/>
  <c r="AG73" i="30"/>
  <c r="AX73" i="30"/>
  <c r="AC73" i="30"/>
  <c r="BQ83" i="30"/>
  <c r="AB83" i="30"/>
  <c r="BT83" i="30"/>
  <c r="AQ83" i="30"/>
  <c r="V83" i="30"/>
  <c r="Y83" i="30"/>
  <c r="BS83" i="30"/>
  <c r="BA83" i="30"/>
  <c r="AH83" i="30"/>
  <c r="AN83" i="30"/>
  <c r="AA83" i="30"/>
  <c r="AR83" i="30"/>
  <c r="BP83" i="30"/>
  <c r="AK83" i="30"/>
  <c r="BK83" i="30"/>
  <c r="BJ83" i="30"/>
  <c r="BI83" i="30"/>
  <c r="AP83" i="30"/>
  <c r="W83" i="30"/>
  <c r="U83" i="30"/>
  <c r="AU83" i="30"/>
  <c r="AD83" i="30"/>
  <c r="AS83" i="30"/>
  <c r="Z83" i="30"/>
  <c r="BD83" i="30"/>
  <c r="AV83" i="30"/>
  <c r="AE83" i="30"/>
  <c r="AZ83" i="30"/>
  <c r="AC83" i="30"/>
  <c r="BC83" i="30"/>
  <c r="AJ83" i="30"/>
  <c r="AI83" i="30"/>
  <c r="BH83" i="30"/>
  <c r="AG83" i="30"/>
  <c r="BG83" i="30"/>
  <c r="BB83" i="30"/>
  <c r="AM83" i="30"/>
  <c r="AW83" i="30"/>
  <c r="AX83" i="30"/>
  <c r="BF83" i="30"/>
  <c r="BO83" i="30"/>
  <c r="BL83" i="30"/>
  <c r="AY83" i="30"/>
  <c r="AF83" i="30"/>
  <c r="BM83" i="30"/>
  <c r="AT83" i="30"/>
  <c r="AO83" i="30"/>
  <c r="BM59" i="30"/>
  <c r="BT59" i="30"/>
  <c r="BO59" i="30"/>
  <c r="AK59" i="30"/>
  <c r="AO59" i="30"/>
  <c r="AW59" i="30"/>
  <c r="BF59" i="30"/>
  <c r="AM59" i="30"/>
  <c r="X59" i="30"/>
  <c r="AD59" i="30"/>
  <c r="AF59" i="30"/>
  <c r="AE59" i="30"/>
  <c r="AP59" i="30"/>
  <c r="BP59" i="30"/>
  <c r="BC59" i="30"/>
  <c r="AS59" i="30"/>
  <c r="Z59" i="30"/>
  <c r="AU59" i="30"/>
  <c r="AG59" i="30"/>
  <c r="BS59" i="30"/>
  <c r="BI59" i="30"/>
  <c r="Y59" i="30"/>
  <c r="BK59" i="30"/>
  <c r="AB59" i="30"/>
  <c r="BN59" i="30"/>
  <c r="AN59" i="30"/>
  <c r="BL59" i="30"/>
  <c r="BQ59" i="30"/>
  <c r="BE59" i="30"/>
  <c r="AY59" i="30"/>
  <c r="BH59" i="30"/>
  <c r="BD59" i="30"/>
  <c r="BJ59" i="30"/>
  <c r="U59" i="30"/>
  <c r="AI59" i="30"/>
  <c r="AE68" i="30"/>
  <c r="AC68" i="30"/>
  <c r="AX68" i="30"/>
  <c r="BG68" i="30"/>
  <c r="BM68" i="30"/>
  <c r="BK68" i="30"/>
  <c r="BT68" i="30"/>
  <c r="AO68" i="30"/>
  <c r="V68" i="30"/>
  <c r="AW68" i="30"/>
  <c r="BL68" i="30"/>
  <c r="BJ68" i="30"/>
  <c r="BF68" i="30"/>
  <c r="AU68" i="30"/>
  <c r="AG68" i="30"/>
  <c r="BP68" i="30"/>
  <c r="Z68" i="30"/>
  <c r="AI68" i="30"/>
  <c r="BQ68" i="30"/>
  <c r="AY68" i="30"/>
  <c r="BH68" i="30"/>
  <c r="BO68" i="30"/>
  <c r="AH68" i="30"/>
  <c r="BA68" i="30"/>
  <c r="AT68" i="30"/>
  <c r="BF56" i="30"/>
  <c r="BA56" i="30"/>
  <c r="V56" i="30"/>
  <c r="BS56" i="30"/>
  <c r="BD56" i="30"/>
  <c r="AO56" i="30"/>
  <c r="BC56" i="30"/>
  <c r="AP56" i="30"/>
  <c r="AF56" i="30"/>
  <c r="AZ56" i="30"/>
  <c r="AR56" i="30"/>
  <c r="AI56" i="30"/>
  <c r="BG56" i="30"/>
  <c r="AC56" i="30"/>
  <c r="AJ56" i="30"/>
  <c r="AM56" i="30"/>
  <c r="AN56" i="30"/>
  <c r="AH56" i="30"/>
  <c r="U56" i="30"/>
  <c r="BT56" i="30"/>
  <c r="X56" i="30"/>
  <c r="BQ56" i="30"/>
  <c r="BL56" i="30"/>
  <c r="AD56" i="30"/>
  <c r="AG56" i="30"/>
  <c r="AV56" i="30"/>
  <c r="AQ56" i="30"/>
  <c r="AY56" i="30"/>
  <c r="BM56" i="30"/>
  <c r="AA56" i="30"/>
  <c r="AW56" i="30"/>
  <c r="AB56" i="30"/>
  <c r="BR56" i="30"/>
  <c r="BN56" i="30"/>
  <c r="W56" i="30"/>
  <c r="Z56" i="30"/>
  <c r="BB56" i="30"/>
  <c r="AX56" i="30"/>
  <c r="BJ56" i="30"/>
  <c r="AS56" i="30"/>
  <c r="AT56" i="30"/>
  <c r="AL56" i="30"/>
  <c r="AK56" i="30"/>
  <c r="AE56" i="30"/>
  <c r="BI56" i="30"/>
  <c r="BP56" i="30"/>
  <c r="BO56" i="30"/>
  <c r="BH56" i="30"/>
  <c r="AR54" i="30"/>
  <c r="AU54" i="30"/>
  <c r="AS54" i="30"/>
  <c r="BO54" i="30"/>
  <c r="BJ54" i="30"/>
  <c r="AF54" i="30"/>
  <c r="W54" i="30"/>
  <c r="AT54" i="30"/>
  <c r="BF54" i="30"/>
  <c r="BE54" i="30"/>
  <c r="AC54" i="30"/>
  <c r="AH54" i="30"/>
  <c r="AY54" i="30"/>
  <c r="AX54" i="30"/>
  <c r="BT54" i="30"/>
  <c r="BN54" i="30"/>
  <c r="AK54" i="30"/>
  <c r="BG54" i="30"/>
  <c r="BP54" i="30"/>
  <c r="BS54" i="30"/>
  <c r="BK97" i="30"/>
  <c r="AK97" i="30"/>
  <c r="AT97" i="30"/>
  <c r="AJ97" i="30"/>
  <c r="AX97" i="30"/>
  <c r="BS97" i="30"/>
  <c r="BE97" i="30"/>
  <c r="AD97" i="30"/>
  <c r="BB97" i="30"/>
  <c r="AU97" i="30"/>
  <c r="BL97" i="30"/>
  <c r="AN97" i="30"/>
  <c r="AP97" i="30"/>
  <c r="AA97" i="30"/>
  <c r="AL97" i="30"/>
  <c r="BG97" i="30"/>
  <c r="BN97" i="30"/>
  <c r="AW97" i="30"/>
  <c r="U97" i="30"/>
  <c r="AO97" i="30"/>
  <c r="Z97" i="30"/>
  <c r="BM97" i="30"/>
  <c r="AV97" i="30"/>
  <c r="BI97" i="30"/>
  <c r="BQ97" i="30"/>
  <c r="BP97" i="30"/>
  <c r="AI97" i="30"/>
  <c r="BT97" i="30"/>
  <c r="AY97" i="30"/>
  <c r="BD97" i="30"/>
  <c r="AZ7" i="30"/>
  <c r="AM6" i="31" s="1"/>
  <c r="AA7" i="30"/>
  <c r="BF7" i="30"/>
  <c r="BO7" i="30"/>
  <c r="BB7" i="30"/>
  <c r="BR7" i="30"/>
  <c r="Y7" i="30"/>
  <c r="BE7" i="30"/>
  <c r="AF7" i="30"/>
  <c r="BH7" i="30"/>
  <c r="W7" i="30"/>
  <c r="X7" i="30"/>
  <c r="AE7" i="30"/>
  <c r="BN7" i="30"/>
  <c r="BA6" i="31" s="1"/>
  <c r="AR7" i="30"/>
  <c r="AV7" i="30"/>
  <c r="AI113" i="31" s="1"/>
  <c r="AC7" i="30"/>
  <c r="AO7" i="30"/>
  <c r="AD7" i="30"/>
  <c r="AS7" i="30"/>
  <c r="AF6" i="31" s="1"/>
  <c r="AT7" i="30"/>
  <c r="AI7" i="30"/>
  <c r="V6" i="31" s="1"/>
  <c r="BD7" i="30"/>
  <c r="AL7" i="30"/>
  <c r="BM7" i="30"/>
  <c r="BQ7" i="30"/>
  <c r="BI7" i="30"/>
  <c r="AJ7" i="30"/>
  <c r="AM7" i="30"/>
  <c r="BG7" i="30"/>
  <c r="AN7" i="30"/>
  <c r="AA6" i="31" s="1"/>
  <c r="AB7" i="30"/>
  <c r="O6" i="31" s="1"/>
  <c r="AX7" i="30"/>
  <c r="AK6" i="31" s="1"/>
  <c r="BJ7" i="30"/>
  <c r="BS7" i="30"/>
  <c r="BT7" i="30"/>
  <c r="BE39" i="30"/>
  <c r="AQ39" i="30"/>
  <c r="AA39" i="30"/>
  <c r="AC39" i="30"/>
  <c r="BH39" i="30"/>
  <c r="AD39" i="30"/>
  <c r="BI39" i="30"/>
  <c r="BK39" i="30"/>
  <c r="BB39" i="30"/>
  <c r="AY39" i="30"/>
  <c r="Z39" i="30"/>
  <c r="BL39" i="30"/>
  <c r="AU39" i="30"/>
  <c r="AV39" i="30"/>
  <c r="BP39" i="30"/>
  <c r="W39" i="30"/>
  <c r="AG39" i="30"/>
  <c r="AR39" i="30"/>
  <c r="AW39" i="30"/>
  <c r="BD39" i="30"/>
  <c r="AH66" i="30"/>
  <c r="AI66" i="30"/>
  <c r="V66" i="30"/>
  <c r="BG66" i="30"/>
  <c r="AT66" i="30"/>
  <c r="BQ43" i="30"/>
  <c r="AH43" i="30"/>
  <c r="AZ43" i="30"/>
  <c r="AD43" i="30"/>
  <c r="BR43" i="30"/>
  <c r="BO43" i="30"/>
  <c r="AT43" i="30"/>
  <c r="AB43" i="30"/>
  <c r="BJ43" i="30"/>
  <c r="AY43" i="30"/>
  <c r="W43" i="30"/>
  <c r="AM43" i="30"/>
  <c r="AG43" i="30"/>
  <c r="BH43" i="30"/>
  <c r="BF43" i="30"/>
  <c r="U43" i="30"/>
  <c r="AK43" i="30"/>
  <c r="BE43" i="30"/>
  <c r="AL43" i="30"/>
  <c r="AA43" i="30"/>
  <c r="X43" i="30"/>
  <c r="AR43" i="30"/>
  <c r="AJ43" i="30"/>
  <c r="BN43" i="30"/>
  <c r="AK44" i="30"/>
  <c r="AW44" i="30"/>
  <c r="AO44" i="30"/>
  <c r="BL44" i="30"/>
  <c r="AN44" i="30"/>
  <c r="Y44" i="30"/>
  <c r="AG44" i="30"/>
  <c r="BO44" i="30"/>
  <c r="AL44" i="30"/>
  <c r="BP44" i="30"/>
  <c r="BT44" i="30"/>
  <c r="AH44" i="30"/>
  <c r="AR44" i="30"/>
  <c r="BJ44" i="30"/>
  <c r="AY44" i="30"/>
  <c r="AJ44" i="30"/>
  <c r="AC44" i="30"/>
  <c r="U44" i="30"/>
  <c r="BG44" i="30"/>
  <c r="AQ44" i="30"/>
  <c r="AX44" i="30"/>
  <c r="AZ44" i="30"/>
  <c r="AP44" i="30"/>
  <c r="BS87" i="30"/>
  <c r="X87" i="30"/>
  <c r="W87" i="30"/>
  <c r="BE87" i="30"/>
  <c r="BF87" i="30"/>
  <c r="BO94" i="30"/>
  <c r="AL94" i="30"/>
  <c r="AO94" i="30"/>
  <c r="BB94" i="30"/>
  <c r="AF94" i="30"/>
  <c r="AG94" i="30"/>
  <c r="AB98" i="30"/>
  <c r="AI103" i="30"/>
  <c r="BR103" i="30"/>
  <c r="AG103" i="30"/>
  <c r="BG103" i="30"/>
  <c r="AN103" i="30"/>
  <c r="BH103" i="30"/>
  <c r="BQ103" i="30"/>
  <c r="BB103" i="30"/>
  <c r="BN103" i="30"/>
  <c r="AQ103" i="30"/>
  <c r="AJ103" i="30"/>
  <c r="BC103" i="30"/>
  <c r="BA103" i="30"/>
  <c r="AF103" i="30"/>
  <c r="AH103" i="30"/>
  <c r="AA103" i="30"/>
  <c r="AR103" i="30"/>
  <c r="AO103" i="30"/>
  <c r="AK103" i="30"/>
  <c r="BK103" i="30"/>
  <c r="AZ103" i="30"/>
  <c r="BI103" i="30"/>
  <c r="AT103" i="30"/>
  <c r="AD103" i="30"/>
  <c r="U103" i="30"/>
  <c r="AU103" i="30"/>
  <c r="AV103" i="30"/>
  <c r="AS103" i="30"/>
  <c r="BP103" i="30"/>
  <c r="AM103" i="30"/>
  <c r="AY103" i="30"/>
  <c r="BL103" i="30"/>
  <c r="AW103" i="30"/>
  <c r="AL103" i="30"/>
  <c r="Z103" i="30"/>
  <c r="BT103" i="30"/>
  <c r="BO103" i="30"/>
  <c r="BF103" i="30"/>
  <c r="AP103" i="30"/>
  <c r="BS103" i="30"/>
  <c r="BJ103" i="30"/>
  <c r="BE103" i="30"/>
  <c r="AE103" i="30"/>
  <c r="Y103" i="30"/>
  <c r="BM103" i="30"/>
  <c r="V103" i="30"/>
  <c r="AC103" i="30"/>
  <c r="X103" i="30"/>
  <c r="BD103" i="30"/>
  <c r="AH11" i="30"/>
  <c r="BA11" i="30"/>
  <c r="V11" i="30"/>
  <c r="BQ11" i="30"/>
  <c r="BC11" i="30"/>
  <c r="AQ11" i="30"/>
  <c r="AX35" i="30"/>
  <c r="AO35" i="30"/>
  <c r="AF35" i="30"/>
  <c r="W35" i="30"/>
  <c r="BM35" i="30"/>
  <c r="AI31" i="30"/>
  <c r="AZ59" i="30"/>
  <c r="BF28" i="30"/>
  <c r="AX10" i="30"/>
  <c r="AW54" i="30"/>
  <c r="AW7" i="30"/>
  <c r="AJ7" i="31" s="1"/>
  <c r="BA59" i="30"/>
  <c r="AM52" i="30"/>
  <c r="Y69" i="30"/>
  <c r="AH31" i="30"/>
  <c r="BF44" i="30"/>
  <c r="AL83" i="30"/>
  <c r="BQ35" i="30"/>
  <c r="BA35" i="30"/>
  <c r="BB35" i="30"/>
  <c r="AS35" i="30"/>
  <c r="AJ35" i="30"/>
  <c r="BJ35" i="30"/>
  <c r="AF86" i="30"/>
  <c r="AB31" i="30"/>
  <c r="BF76" i="30"/>
  <c r="BE76" i="30"/>
  <c r="BN83" i="30"/>
  <c r="BG17" i="30"/>
  <c r="AI50" i="30"/>
  <c r="AS31" i="30"/>
  <c r="Y68" i="30"/>
  <c r="BI99" i="30"/>
  <c r="BM39" i="30"/>
  <c r="AK100" i="30"/>
  <c r="BO97" i="30"/>
  <c r="V25" i="30"/>
  <c r="AP7" i="30"/>
  <c r="AC113" i="31" s="1"/>
  <c r="BR59" i="30"/>
  <c r="AJ36" i="30"/>
  <c r="BI52" i="30"/>
  <c r="BN52" i="30"/>
  <c r="BR83" i="30"/>
  <c r="U35" i="30"/>
  <c r="BP35" i="30"/>
  <c r="BR35" i="30"/>
  <c r="BI35" i="30"/>
  <c r="AV35" i="30"/>
  <c r="AA35" i="30"/>
  <c r="AA86" i="30"/>
  <c r="Y31" i="30"/>
  <c r="BS32" i="30"/>
  <c r="V44" i="30"/>
  <c r="BD68" i="30"/>
  <c r="AZ99" i="30"/>
  <c r="AI39" i="30"/>
  <c r="U100" i="30"/>
  <c r="AX43" i="30"/>
  <c r="AB97" i="30"/>
  <c r="BN44" i="30"/>
  <c r="AC59" i="30"/>
  <c r="AI36" i="30"/>
  <c r="BA52" i="30"/>
  <c r="BH69" i="30"/>
  <c r="Y56" i="30"/>
  <c r="AF57" i="30"/>
  <c r="BO34" i="30"/>
  <c r="AG14" i="30"/>
  <c r="AS90" i="30"/>
  <c r="BS102" i="30"/>
  <c r="BJ102" i="30"/>
  <c r="BH102" i="30"/>
  <c r="BN102" i="30"/>
  <c r="BE92" i="30"/>
  <c r="AN96" i="30"/>
  <c r="BK101" i="30"/>
  <c r="BA101" i="30"/>
  <c r="BF55" i="30"/>
  <c r="AG55" i="30"/>
  <c r="BO55" i="30"/>
  <c r="AD55" i="30"/>
  <c r="BC55" i="30"/>
  <c r="AK55" i="30"/>
  <c r="BL55" i="30"/>
  <c r="X55" i="30"/>
  <c r="AT55" i="30"/>
  <c r="BJ55" i="30"/>
  <c r="AO55" i="30"/>
  <c r="AV55" i="30"/>
  <c r="AS55" i="30"/>
  <c r="BK55" i="30"/>
  <c r="AK34" i="30"/>
  <c r="BK34" i="30"/>
  <c r="BG34" i="30"/>
  <c r="AH34" i="30"/>
  <c r="AE34" i="30"/>
  <c r="AX34" i="30"/>
  <c r="U34" i="30"/>
  <c r="BN34" i="30"/>
  <c r="BH34" i="30"/>
  <c r="AN34" i="30"/>
  <c r="BO65" i="30"/>
  <c r="AH65" i="30"/>
  <c r="BL65" i="30"/>
  <c r="BR65" i="30"/>
  <c r="AJ65" i="30"/>
  <c r="AF65" i="30"/>
  <c r="AY65" i="30"/>
  <c r="AR65" i="30"/>
  <c r="AP65" i="30"/>
  <c r="AL65" i="30"/>
  <c r="BD65" i="30"/>
  <c r="BB65" i="30"/>
  <c r="AI65" i="30"/>
  <c r="BI65" i="30"/>
  <c r="BJ65" i="30"/>
  <c r="BG65" i="30"/>
  <c r="BM65" i="30"/>
  <c r="BQ65" i="30"/>
  <c r="V65" i="30"/>
  <c r="AO65" i="30"/>
  <c r="AQ65" i="30"/>
  <c r="X65" i="30"/>
  <c r="AZ65" i="30"/>
  <c r="AV65" i="30"/>
  <c r="U65" i="30"/>
  <c r="BN65" i="30"/>
  <c r="AA65" i="30"/>
  <c r="AN65" i="30"/>
  <c r="BT65" i="30"/>
  <c r="BA65" i="30"/>
  <c r="AG65" i="30"/>
  <c r="AM65" i="30"/>
  <c r="BP65" i="30"/>
  <c r="AX65" i="30"/>
  <c r="W65" i="30"/>
  <c r="AT65" i="30"/>
  <c r="BF65" i="30"/>
  <c r="AD65" i="30"/>
  <c r="Y65" i="30"/>
  <c r="AK65" i="30"/>
  <c r="AC65" i="30"/>
  <c r="BK65" i="30"/>
  <c r="BE65" i="30"/>
  <c r="AA57" i="30"/>
  <c r="BJ57" i="30"/>
  <c r="BH57" i="30"/>
  <c r="BG57" i="30"/>
  <c r="BE57" i="30"/>
  <c r="AT57" i="30"/>
  <c r="AM57" i="30"/>
  <c r="AK57" i="30"/>
  <c r="BK57" i="30"/>
  <c r="AX57" i="30"/>
  <c r="AR57" i="30"/>
  <c r="AQ57" i="30"/>
  <c r="BM57" i="30"/>
  <c r="AE57" i="30"/>
  <c r="AU57" i="30"/>
  <c r="W57" i="30"/>
  <c r="BO57" i="30"/>
  <c r="Y57" i="30"/>
  <c r="AL57" i="30"/>
  <c r="BI57" i="30"/>
  <c r="AN57" i="30"/>
  <c r="BC57" i="30"/>
  <c r="BN57" i="30"/>
  <c r="BT57" i="30"/>
  <c r="AY57" i="30"/>
  <c r="AG57" i="30"/>
  <c r="AH57" i="30"/>
  <c r="AD57" i="30"/>
  <c r="BF57" i="30"/>
  <c r="AS57" i="30"/>
  <c r="Z96" i="30"/>
  <c r="AF96" i="30"/>
  <c r="X96" i="30"/>
  <c r="AI96" i="30"/>
  <c r="BL96" i="30"/>
  <c r="AG96" i="30"/>
  <c r="BF96" i="30"/>
  <c r="BS96" i="30"/>
  <c r="AV96" i="30"/>
  <c r="BE96" i="30"/>
  <c r="BR96" i="30"/>
  <c r="AS96" i="30"/>
  <c r="AC96" i="30"/>
  <c r="BC96" i="30"/>
  <c r="U96" i="30"/>
  <c r="AJ96" i="30"/>
  <c r="BH96" i="30"/>
  <c r="AU96" i="30"/>
  <c r="BB96" i="30"/>
  <c r="AM96" i="30"/>
  <c r="Y96" i="30"/>
  <c r="BT96" i="30"/>
  <c r="AZ96" i="30"/>
  <c r="BM96" i="30"/>
  <c r="BG96" i="30"/>
  <c r="AA96" i="30"/>
  <c r="BJ96" i="30"/>
  <c r="W96" i="30"/>
  <c r="AR96" i="30"/>
  <c r="BI96" i="30"/>
  <c r="BA96" i="30"/>
  <c r="BE15" i="30"/>
  <c r="AC15" i="30"/>
  <c r="BG15" i="30"/>
  <c r="BI15" i="30"/>
  <c r="AE15" i="30"/>
  <c r="W15" i="30"/>
  <c r="AS15" i="30"/>
  <c r="BB15" i="30"/>
  <c r="BN15" i="30"/>
  <c r="AT15" i="30"/>
  <c r="AN15" i="30"/>
  <c r="AF15" i="30"/>
  <c r="BF15" i="30"/>
  <c r="BT15" i="30"/>
  <c r="AR15" i="30"/>
  <c r="BJ15" i="30"/>
  <c r="Y15" i="30"/>
  <c r="AI15" i="30"/>
  <c r="BH15" i="30"/>
  <c r="AO15" i="30"/>
  <c r="BQ15" i="30"/>
  <c r="AD15" i="30"/>
  <c r="AM15" i="30"/>
  <c r="AZ15" i="30"/>
  <c r="AL15" i="30"/>
  <c r="AJ15" i="30"/>
  <c r="Y102" i="30"/>
  <c r="BA102" i="30"/>
  <c r="Z102" i="30"/>
  <c r="AL102" i="30"/>
  <c r="AA102" i="30"/>
  <c r="AJ102" i="30"/>
  <c r="V102" i="30"/>
  <c r="U102" i="30"/>
  <c r="AU102" i="30"/>
  <c r="BF102" i="30"/>
  <c r="AS102" i="30"/>
  <c r="AH102" i="30"/>
  <c r="BC102" i="30"/>
  <c r="BM90" i="30"/>
  <c r="BI90" i="30"/>
  <c r="AU90" i="30"/>
  <c r="BH90" i="30"/>
  <c r="BC90" i="30"/>
  <c r="AV90" i="30"/>
  <c r="BK90" i="30"/>
  <c r="BR90" i="30"/>
  <c r="AQ90" i="30"/>
  <c r="Z90" i="30"/>
  <c r="BF90" i="30"/>
  <c r="AD90" i="30"/>
  <c r="AI90" i="30"/>
  <c r="AB90" i="30"/>
  <c r="BD90" i="30"/>
  <c r="BJ90" i="30"/>
  <c r="BL90" i="30"/>
  <c r="W90" i="30"/>
  <c r="AE90" i="30"/>
  <c r="AP90" i="30"/>
  <c r="BQ90" i="30"/>
  <c r="U90" i="30"/>
  <c r="AO90" i="30"/>
  <c r="AH90" i="30"/>
  <c r="AT90" i="30"/>
  <c r="BE90" i="30"/>
  <c r="AN90" i="30"/>
  <c r="AJ90" i="30"/>
  <c r="BI14" i="30"/>
  <c r="V14" i="30"/>
  <c r="Z14" i="30"/>
  <c r="Y14" i="30"/>
  <c r="AR14" i="30"/>
  <c r="AD14" i="30"/>
  <c r="BL14" i="30"/>
  <c r="AL14" i="30"/>
  <c r="BD14" i="30"/>
  <c r="AS14" i="30"/>
  <c r="BE14" i="30"/>
  <c r="AE14" i="30"/>
  <c r="W14" i="30"/>
  <c r="BT14" i="30"/>
  <c r="AU14" i="30"/>
  <c r="BH14" i="30"/>
  <c r="AQ14" i="30"/>
  <c r="AZ14" i="30"/>
  <c r="BP14" i="30"/>
  <c r="BQ14" i="30"/>
  <c r="BF14" i="30"/>
  <c r="AO14" i="30"/>
  <c r="AX92" i="30"/>
  <c r="AM92" i="30"/>
  <c r="AS92" i="30"/>
  <c r="BP92" i="30"/>
  <c r="AO92" i="30"/>
  <c r="AK92" i="30"/>
  <c r="AH92" i="30"/>
  <c r="BC92" i="30"/>
  <c r="BQ92" i="30"/>
  <c r="BF92" i="30"/>
  <c r="BH92" i="30"/>
  <c r="BT92" i="30"/>
  <c r="U92" i="30"/>
  <c r="AV92" i="30"/>
  <c r="AP92" i="30"/>
  <c r="X92" i="30"/>
  <c r="V92" i="30"/>
  <c r="AY92" i="30"/>
  <c r="AJ92" i="30"/>
  <c r="AZ92" i="30"/>
  <c r="Z92" i="30"/>
  <c r="AG92" i="30"/>
  <c r="AA92" i="30"/>
  <c r="AC92" i="30"/>
  <c r="BJ92" i="30"/>
  <c r="BS92" i="30"/>
  <c r="BI92" i="30"/>
  <c r="W92" i="30"/>
  <c r="AH53" i="30"/>
  <c r="W53" i="30"/>
  <c r="U53" i="30"/>
  <c r="BF53" i="30"/>
  <c r="BC53" i="30"/>
  <c r="AC53" i="30"/>
  <c r="BQ53" i="30"/>
  <c r="AI53" i="30"/>
  <c r="AZ53" i="30"/>
  <c r="AP53" i="30"/>
  <c r="AG53" i="30"/>
  <c r="BB53" i="30"/>
  <c r="AV53" i="30"/>
  <c r="BO53" i="30"/>
  <c r="AE53" i="30"/>
  <c r="Z53" i="30"/>
  <c r="AN53" i="30"/>
  <c r="AF53" i="30"/>
  <c r="AA53" i="30"/>
  <c r="BJ53" i="30"/>
  <c r="BH53" i="30"/>
  <c r="BG53" i="30"/>
  <c r="AY53" i="30"/>
  <c r="AW53" i="30"/>
  <c r="BE53" i="30"/>
  <c r="AT53" i="30"/>
  <c r="AM53" i="30"/>
  <c r="AK53" i="30"/>
  <c r="X53" i="30"/>
  <c r="AL53" i="30"/>
  <c r="AX53" i="30"/>
  <c r="AR53" i="30"/>
  <c r="AQ53" i="30"/>
  <c r="AS53" i="30"/>
  <c r="Y53" i="30"/>
  <c r="BS53" i="30"/>
  <c r="BN53" i="30"/>
  <c r="AU53" i="30"/>
  <c r="AJ53" i="30"/>
  <c r="BR53" i="30"/>
  <c r="BM53" i="30"/>
  <c r="BA53" i="30"/>
  <c r="AD53" i="30"/>
  <c r="BK53" i="30"/>
  <c r="BL53" i="30"/>
  <c r="AB53" i="30"/>
  <c r="BP53" i="30"/>
  <c r="AD101" i="30"/>
  <c r="AQ101" i="30"/>
  <c r="AN101" i="30"/>
  <c r="BE101" i="30"/>
  <c r="AZ101" i="30"/>
  <c r="AP101" i="30"/>
  <c r="BB101" i="30"/>
  <c r="AW101" i="30"/>
  <c r="AA101" i="30"/>
  <c r="AF101" i="30"/>
  <c r="AO101" i="30"/>
  <c r="BO101" i="30"/>
  <c r="BH101" i="30"/>
  <c r="AE101" i="30"/>
  <c r="AV101" i="30"/>
  <c r="BI101" i="30"/>
  <c r="AJ101" i="30"/>
  <c r="Y101" i="30"/>
  <c r="AY101" i="30"/>
  <c r="BP101" i="30"/>
  <c r="BN101" i="30"/>
  <c r="AS101" i="30"/>
  <c r="BD101" i="30"/>
  <c r="AX101" i="30"/>
  <c r="AI101" i="30"/>
  <c r="BJ101" i="30"/>
  <c r="AT101" i="30"/>
  <c r="AC101" i="30"/>
  <c r="BS101" i="30"/>
  <c r="BR101" i="30"/>
  <c r="BQ101" i="30"/>
  <c r="AR101" i="30"/>
  <c r="BM101" i="30"/>
  <c r="AU95" i="30"/>
  <c r="BB95" i="30"/>
  <c r="X95" i="30"/>
  <c r="AW95" i="30"/>
  <c r="BI95" i="30"/>
  <c r="AR95" i="30"/>
  <c r="Y95" i="30"/>
  <c r="AL95" i="30"/>
  <c r="AF95" i="30"/>
  <c r="AB95" i="30"/>
  <c r="AD95" i="30"/>
  <c r="AS95" i="30"/>
  <c r="BF95" i="30"/>
  <c r="AI95" i="30"/>
  <c r="V95" i="30"/>
  <c r="AV95" i="30"/>
  <c r="BE95" i="30"/>
  <c r="AZ95" i="30"/>
  <c r="AY95" i="30"/>
  <c r="AP95" i="30"/>
  <c r="AQ95" i="30"/>
  <c r="BC95" i="30"/>
  <c r="AC95" i="30"/>
  <c r="AJ95" i="30"/>
  <c r="BQ95" i="30"/>
  <c r="AT95" i="30"/>
  <c r="Z95" i="30"/>
  <c r="BG95" i="30"/>
  <c r="AG95" i="30"/>
  <c r="BN95" i="30"/>
  <c r="BD95" i="30"/>
  <c r="BM95" i="30"/>
  <c r="W95" i="30"/>
  <c r="BP95" i="30"/>
  <c r="BR95" i="30"/>
  <c r="BO95" i="30"/>
  <c r="BS95" i="30"/>
  <c r="AK95" i="30"/>
  <c r="BJ95" i="30"/>
  <c r="AM95" i="30"/>
  <c r="U95" i="30"/>
  <c r="BT95" i="30"/>
  <c r="AE95" i="30"/>
  <c r="AN95" i="30"/>
  <c r="AA95" i="30"/>
  <c r="BK95" i="30"/>
  <c r="AO95" i="30"/>
  <c r="BH95" i="30"/>
  <c r="BL95" i="30"/>
  <c r="BN55" i="30"/>
  <c r="BP55" i="30"/>
  <c r="BR34" i="30"/>
  <c r="BP34" i="30"/>
  <c r="AG15" i="30"/>
  <c r="BK15" i="30"/>
  <c r="AA14" i="30"/>
  <c r="AX90" i="30"/>
  <c r="AM90" i="30"/>
  <c r="W102" i="30"/>
  <c r="AQ102" i="30"/>
  <c r="AW102" i="30"/>
  <c r="AT102" i="30"/>
  <c r="BO92" i="30"/>
  <c r="AW96" i="30"/>
  <c r="BO96" i="30"/>
  <c r="AT96" i="30"/>
  <c r="AG101" i="30"/>
  <c r="AB101" i="30"/>
  <c r="AC57" i="30"/>
  <c r="AJ57" i="30"/>
  <c r="AW65" i="30"/>
  <c r="BI53" i="30"/>
  <c r="AH95" i="30"/>
  <c r="AY14" i="30"/>
  <c r="BG14" i="30"/>
  <c r="AX55" i="30"/>
  <c r="AU55" i="30"/>
  <c r="BB34" i="30"/>
  <c r="BD34" i="30"/>
  <c r="BS15" i="30"/>
  <c r="AP15" i="30"/>
  <c r="AM14" i="30"/>
  <c r="BS90" i="30"/>
  <c r="Y90" i="30"/>
  <c r="AN102" i="30"/>
  <c r="AP102" i="30"/>
  <c r="BG102" i="30"/>
  <c r="BM102" i="30"/>
  <c r="AK102" i="30"/>
  <c r="AB92" i="30"/>
  <c r="AD92" i="30"/>
  <c r="AD96" i="30"/>
  <c r="AB96" i="30"/>
  <c r="BP96" i="30"/>
  <c r="AU101" i="30"/>
  <c r="W101" i="30"/>
  <c r="BD57" i="30"/>
  <c r="AV57" i="30"/>
  <c r="AB65" i="30"/>
  <c r="AX95" i="30"/>
  <c r="AB14" i="30"/>
  <c r="BG92" i="30"/>
  <c r="AH55" i="30"/>
  <c r="Y55" i="30"/>
  <c r="AL34" i="30"/>
  <c r="AX15" i="30"/>
  <c r="BO15" i="30"/>
  <c r="AJ14" i="30"/>
  <c r="BA90" i="30"/>
  <c r="AO102" i="30"/>
  <c r="AR102" i="30"/>
  <c r="BL102" i="30"/>
  <c r="AE102" i="30"/>
  <c r="BQ102" i="30"/>
  <c r="AQ92" i="30"/>
  <c r="AT92" i="30"/>
  <c r="BK96" i="30"/>
  <c r="AX96" i="30"/>
  <c r="AQ96" i="30"/>
  <c r="V101" i="30"/>
  <c r="AM101" i="30"/>
  <c r="BP57" i="30"/>
  <c r="BQ57" i="30"/>
  <c r="Z65" i="30"/>
  <c r="BS65" i="30"/>
  <c r="BT55" i="30"/>
  <c r="BG55" i="30"/>
  <c r="V34" i="30"/>
  <c r="AB15" i="30"/>
  <c r="BM14" i="30"/>
  <c r="BC14" i="30"/>
  <c r="AF90" i="30"/>
  <c r="BD102" i="30"/>
  <c r="AX102" i="30"/>
  <c r="BP102" i="30"/>
  <c r="BK102" i="30"/>
  <c r="AI102" i="30"/>
  <c r="BL92" i="30"/>
  <c r="Y92" i="30"/>
  <c r="BD96" i="30"/>
  <c r="V96" i="30"/>
  <c r="U101" i="30"/>
  <c r="BC101" i="30"/>
  <c r="Z57" i="30"/>
  <c r="AE65" i="30"/>
  <c r="X15" i="30"/>
  <c r="BB57" i="30"/>
  <c r="AY55" i="30"/>
  <c r="BQ55" i="30"/>
  <c r="BE34" i="30"/>
  <c r="AY15" i="30"/>
  <c r="AW14" i="30"/>
  <c r="BJ14" i="30"/>
  <c r="BO90" i="30"/>
  <c r="BE102" i="30"/>
  <c r="AD102" i="30"/>
  <c r="AZ102" i="30"/>
  <c r="AV102" i="30"/>
  <c r="AY102" i="30"/>
  <c r="AN92" i="30"/>
  <c r="BK92" i="30"/>
  <c r="BN96" i="30"/>
  <c r="AO96" i="30"/>
  <c r="AK101" i="30"/>
  <c r="AL101" i="30"/>
  <c r="AP57" i="30"/>
  <c r="AU65" i="30"/>
  <c r="AC14" i="30"/>
  <c r="AS39" i="30"/>
  <c r="BA34" i="30"/>
  <c r="W103" i="30"/>
  <c r="AW66" i="30"/>
  <c r="AT75" i="30"/>
  <c r="AL41" i="30"/>
  <c r="AN51" i="30"/>
  <c r="AW32" i="30"/>
  <c r="BD29" i="30"/>
  <c r="AB50" i="30"/>
  <c r="BK62" i="30"/>
  <c r="BM98" i="30"/>
  <c r="AZ52" i="30"/>
  <c r="BQ82" i="30"/>
  <c r="X40" i="30"/>
  <c r="BO16" i="30"/>
  <c r="AU18" i="30"/>
  <c r="BL85" i="30"/>
  <c r="AO50" i="30"/>
  <c r="BH50" i="30"/>
  <c r="BO50" i="30"/>
  <c r="BJ50" i="30"/>
  <c r="AT29" i="30"/>
  <c r="AK40" i="30"/>
  <c r="BJ51" i="30"/>
  <c r="X51" i="30"/>
  <c r="BH51" i="30"/>
  <c r="AE51" i="30"/>
  <c r="BB51" i="30"/>
  <c r="BL13" i="30"/>
  <c r="AL13" i="30"/>
  <c r="BK13" i="30"/>
  <c r="BN41" i="30"/>
  <c r="AB41" i="30"/>
  <c r="BT85" i="30"/>
  <c r="BK31" i="30"/>
  <c r="BI31" i="30"/>
  <c r="AZ31" i="30"/>
  <c r="AD31" i="30"/>
  <c r="AX31" i="30"/>
  <c r="AQ31" i="30"/>
  <c r="BS31" i="30"/>
  <c r="BF45" i="30"/>
  <c r="AK45" i="30"/>
  <c r="V45" i="30"/>
  <c r="AQ45" i="30"/>
  <c r="BC45" i="30"/>
  <c r="AW45" i="30"/>
  <c r="AN45" i="30"/>
  <c r="AP45" i="30"/>
  <c r="AS45" i="30"/>
  <c r="AZ45" i="30"/>
  <c r="BI45" i="30"/>
  <c r="AG45" i="30"/>
  <c r="BL45" i="30"/>
  <c r="AT45" i="30"/>
  <c r="Z45" i="30"/>
  <c r="BA45" i="30"/>
  <c r="AE45" i="30"/>
  <c r="BN45" i="30"/>
  <c r="BG45" i="30"/>
  <c r="BK45" i="30"/>
  <c r="BS45" i="30"/>
  <c r="BE45" i="30"/>
  <c r="BT45" i="30"/>
  <c r="BH45" i="30"/>
  <c r="AX45" i="30"/>
  <c r="BO45" i="30"/>
  <c r="AB45" i="30"/>
  <c r="AJ45" i="30"/>
  <c r="AC45" i="30"/>
  <c r="AM45" i="30"/>
  <c r="AH45" i="30"/>
  <c r="X45" i="30"/>
  <c r="U45" i="30"/>
  <c r="BM45" i="30"/>
  <c r="BR45" i="30"/>
  <c r="BQ45" i="30"/>
  <c r="BP45" i="30"/>
  <c r="AF45" i="30"/>
  <c r="BJ45" i="30"/>
  <c r="W45" i="30"/>
  <c r="AL45" i="30"/>
  <c r="AI45" i="30"/>
  <c r="Y45" i="30"/>
  <c r="AD45" i="30"/>
  <c r="AV45" i="30"/>
  <c r="BM100" i="30"/>
  <c r="AE100" i="30"/>
  <c r="AL100" i="30"/>
  <c r="AN100" i="30"/>
  <c r="BK100" i="30"/>
  <c r="BL100" i="30"/>
  <c r="AG100" i="30"/>
  <c r="AZ100" i="30"/>
  <c r="BR100" i="30"/>
  <c r="AW100" i="30"/>
  <c r="AH25" i="30"/>
  <c r="AA25" i="30"/>
  <c r="BG25" i="30"/>
  <c r="BN25" i="30"/>
  <c r="AU25" i="30"/>
  <c r="AR25" i="30"/>
  <c r="AW25" i="30"/>
  <c r="BL25" i="30"/>
  <c r="BS25" i="30"/>
  <c r="AD25" i="30"/>
  <c r="AN25" i="30"/>
  <c r="BP25" i="30"/>
  <c r="AK25" i="30"/>
  <c r="BJ25" i="30"/>
  <c r="AQ25" i="30"/>
  <c r="BD25" i="30"/>
  <c r="AB25" i="30"/>
  <c r="BQ25" i="30"/>
  <c r="BA25" i="30"/>
  <c r="BM25" i="30"/>
  <c r="AT25" i="30"/>
  <c r="AE25" i="30"/>
  <c r="AC10" i="30"/>
  <c r="AH10" i="30"/>
  <c r="BL10" i="30"/>
  <c r="AE10" i="30"/>
  <c r="W10" i="30"/>
  <c r="AZ10" i="30"/>
  <c r="BI10" i="30"/>
  <c r="AI10" i="30"/>
  <c r="BD10" i="30"/>
  <c r="BE10" i="30"/>
  <c r="V10" i="30"/>
  <c r="AQ10" i="30"/>
  <c r="BP17" i="30"/>
  <c r="AH17" i="30"/>
  <c r="BT17" i="30"/>
  <c r="AO17" i="30"/>
  <c r="BN17" i="30"/>
  <c r="AU17" i="30"/>
  <c r="AV17" i="30"/>
  <c r="AY17" i="30"/>
  <c r="Y17" i="30"/>
  <c r="AR17" i="30"/>
  <c r="Z17" i="30"/>
  <c r="BI17" i="30"/>
  <c r="AD17" i="30"/>
  <c r="BF17" i="30"/>
  <c r="W17" i="30"/>
  <c r="AA17" i="30"/>
  <c r="AS17" i="30"/>
  <c r="BS17" i="30"/>
  <c r="AJ17" i="30"/>
  <c r="V17" i="30"/>
  <c r="BD17" i="30"/>
  <c r="AC17" i="30"/>
  <c r="AX17" i="30"/>
  <c r="BB17" i="30"/>
  <c r="AK17" i="30"/>
  <c r="BH17" i="30"/>
  <c r="BM17" i="30"/>
  <c r="AI17" i="30"/>
  <c r="BK17" i="30"/>
  <c r="AB17" i="30"/>
  <c r="BO17" i="30"/>
  <c r="AQ17" i="30"/>
  <c r="AG17" i="30"/>
  <c r="BC17" i="30"/>
  <c r="BR17" i="30"/>
  <c r="BE17" i="30"/>
  <c r="X17" i="30"/>
  <c r="AU13" i="30"/>
  <c r="BB13" i="30"/>
  <c r="AT13" i="30"/>
  <c r="Y13" i="30"/>
  <c r="AR13" i="30"/>
  <c r="BD13" i="30"/>
  <c r="U13" i="30"/>
  <c r="AM13" i="30"/>
  <c r="AY9" i="30"/>
  <c r="AC9" i="30"/>
  <c r="AX9" i="30"/>
  <c r="AQ9" i="30"/>
  <c r="BM9" i="30"/>
  <c r="AD9" i="30"/>
  <c r="BK9" i="30"/>
  <c r="AB9" i="30"/>
  <c r="BJ9" i="30"/>
  <c r="BH9" i="30"/>
  <c r="AW9" i="30"/>
  <c r="AA9" i="30"/>
  <c r="AP9" i="30"/>
  <c r="AL9" i="30"/>
  <c r="AN9" i="30"/>
  <c r="AK9" i="30"/>
  <c r="AG9" i="30"/>
  <c r="BC9" i="30"/>
  <c r="BG9" i="30"/>
  <c r="BE9" i="30"/>
  <c r="BL9" i="30"/>
  <c r="AF9" i="30"/>
  <c r="BP9" i="30"/>
  <c r="AH9" i="30"/>
  <c r="BO9" i="30"/>
  <c r="AO9" i="30"/>
  <c r="BN9" i="30"/>
  <c r="AU9" i="30"/>
  <c r="BB9" i="30"/>
  <c r="AT9" i="30"/>
  <c r="Y9" i="30"/>
  <c r="AR9" i="30"/>
  <c r="BT9" i="30"/>
  <c r="AS9" i="30"/>
  <c r="BS9" i="30"/>
  <c r="AJ9" i="30"/>
  <c r="V9" i="30"/>
  <c r="BQ33" i="30"/>
  <c r="AF33" i="30"/>
  <c r="AS33" i="30"/>
  <c r="AN33" i="30"/>
  <c r="BJ33" i="30"/>
  <c r="AL33" i="30"/>
  <c r="AE33" i="30"/>
  <c r="AC33" i="30"/>
  <c r="Z33" i="30"/>
  <c r="AV33" i="30"/>
  <c r="AA33" i="30"/>
  <c r="BH33" i="30"/>
  <c r="BB33" i="30"/>
  <c r="AK33" i="30"/>
  <c r="BI33" i="30"/>
  <c r="BF33" i="30"/>
  <c r="BP33" i="30"/>
  <c r="AQ33" i="30"/>
  <c r="BT33" i="30"/>
  <c r="BR33" i="30"/>
  <c r="AR33" i="30"/>
  <c r="AU33" i="30"/>
  <c r="BO33" i="30"/>
  <c r="AP33" i="30"/>
  <c r="AM33" i="30"/>
  <c r="AG33" i="30"/>
  <c r="BG33" i="30"/>
  <c r="AJ33" i="30"/>
  <c r="AI33" i="30"/>
  <c r="W33" i="30"/>
  <c r="BS33" i="30"/>
  <c r="AW33" i="30"/>
  <c r="Y33" i="30"/>
  <c r="AY33" i="30"/>
  <c r="BD33" i="30"/>
  <c r="U33" i="30"/>
  <c r="BC33" i="30"/>
  <c r="BM33" i="30"/>
  <c r="AO33" i="30"/>
  <c r="AX33" i="30"/>
  <c r="BL33" i="30"/>
  <c r="AZ33" i="30"/>
  <c r="AB33" i="30"/>
  <c r="AT33" i="30"/>
  <c r="V33" i="30"/>
  <c r="BP81" i="30"/>
  <c r="AP81" i="30"/>
  <c r="BL105" i="30"/>
  <c r="BO105" i="30"/>
  <c r="AC105" i="30"/>
  <c r="BJ105" i="30"/>
  <c r="BQ105" i="30"/>
  <c r="AZ105" i="30"/>
  <c r="AW105" i="30"/>
  <c r="X105" i="30"/>
  <c r="AB105" i="30"/>
  <c r="AS105" i="30"/>
  <c r="AD105" i="30"/>
  <c r="AI105" i="30"/>
  <c r="AH105" i="30"/>
  <c r="V105" i="30"/>
  <c r="AR105" i="30"/>
  <c r="AT105" i="30"/>
  <c r="BD105" i="30"/>
  <c r="BI105" i="30"/>
  <c r="AF105" i="30"/>
  <c r="AY105" i="30"/>
  <c r="AG105" i="30"/>
  <c r="AX105" i="30"/>
  <c r="BR105" i="30"/>
  <c r="AL105" i="30"/>
  <c r="AA105" i="30"/>
  <c r="BP105" i="30"/>
  <c r="BK105" i="30"/>
  <c r="AU105" i="30"/>
  <c r="AO105" i="30"/>
  <c r="Y105" i="30"/>
  <c r="BH105" i="30"/>
  <c r="AQ105" i="30"/>
  <c r="AP105" i="30"/>
  <c r="AE105" i="30"/>
  <c r="BS105" i="30"/>
  <c r="W105" i="30"/>
  <c r="BE105" i="30"/>
  <c r="BB105" i="30"/>
  <c r="BG105" i="30"/>
  <c r="U105" i="30"/>
  <c r="AJ105" i="30"/>
  <c r="BM105" i="30"/>
  <c r="AV105" i="30"/>
  <c r="BF105" i="30"/>
  <c r="AN105" i="30"/>
  <c r="BA105" i="30"/>
  <c r="AH41" i="30"/>
  <c r="AK41" i="30"/>
  <c r="BK41" i="30"/>
  <c r="AX41" i="30"/>
  <c r="BI41" i="30"/>
  <c r="BB41" i="30"/>
  <c r="BS41" i="30"/>
  <c r="U41" i="30"/>
  <c r="AU41" i="30"/>
  <c r="BT41" i="30"/>
  <c r="AS41" i="30"/>
  <c r="V41" i="30"/>
  <c r="BE41" i="30"/>
  <c r="AR41" i="30"/>
  <c r="AE41" i="30"/>
  <c r="AN41" i="30"/>
  <c r="AC41" i="30"/>
  <c r="BO41" i="30"/>
  <c r="BF41" i="30"/>
  <c r="BM41" i="30"/>
  <c r="AY41" i="30"/>
  <c r="Z41" i="30"/>
  <c r="AW41" i="30"/>
  <c r="BQ41" i="30"/>
  <c r="BR41" i="30"/>
  <c r="BP41" i="30"/>
  <c r="AQ41" i="30"/>
  <c r="BL41" i="30"/>
  <c r="AZ41" i="30"/>
  <c r="AM99" i="30"/>
  <c r="AO99" i="30"/>
  <c r="BK99" i="30"/>
  <c r="BT99" i="30"/>
  <c r="BN99" i="30"/>
  <c r="AL99" i="30"/>
  <c r="W99" i="30"/>
  <c r="U99" i="30"/>
  <c r="AN99" i="30"/>
  <c r="AU99" i="30"/>
  <c r="BE99" i="30"/>
  <c r="BG99" i="30"/>
  <c r="AD99" i="30"/>
  <c r="BS51" i="30"/>
  <c r="BR51" i="30"/>
  <c r="W51" i="30"/>
  <c r="BT51" i="30"/>
  <c r="AL28" i="30"/>
  <c r="BK28" i="30"/>
  <c r="AK28" i="30"/>
  <c r="BJ28" i="30"/>
  <c r="AR28" i="30"/>
  <c r="V28" i="30"/>
  <c r="AU28" i="30"/>
  <c r="U28" i="30"/>
  <c r="AT28" i="30"/>
  <c r="AF28" i="30"/>
  <c r="BE28" i="30"/>
  <c r="AE28" i="30"/>
  <c r="X28" i="30"/>
  <c r="AD28" i="30"/>
  <c r="BO28" i="30"/>
  <c r="AO28" i="30"/>
  <c r="BN28" i="30"/>
  <c r="BH28" i="30"/>
  <c r="BM28" i="30"/>
  <c r="AY28" i="30"/>
  <c r="Y28" i="30"/>
  <c r="AX28" i="30"/>
  <c r="AV28" i="30"/>
  <c r="AW28" i="30"/>
  <c r="AI28" i="30"/>
  <c r="AN28" i="30"/>
  <c r="AH28" i="30"/>
  <c r="BG28" i="30"/>
  <c r="AG28" i="30"/>
  <c r="AP28" i="30"/>
  <c r="BC28" i="30"/>
  <c r="BB28" i="30"/>
  <c r="BL28" i="30"/>
  <c r="BA28" i="30"/>
  <c r="AA28" i="30"/>
  <c r="BP28" i="30"/>
  <c r="BR32" i="30"/>
  <c r="AJ32" i="30"/>
  <c r="BQ32" i="30"/>
  <c r="AQ32" i="30"/>
  <c r="BT32" i="30"/>
  <c r="BB32" i="30"/>
  <c r="BL32" i="30"/>
  <c r="BA32" i="30"/>
  <c r="AA32" i="30"/>
  <c r="BP32" i="30"/>
  <c r="AL32" i="30"/>
  <c r="BK32" i="30"/>
  <c r="AK32" i="30"/>
  <c r="BJ32" i="30"/>
  <c r="AR32" i="30"/>
  <c r="V32" i="30"/>
  <c r="AU32" i="30"/>
  <c r="U32" i="30"/>
  <c r="AT32" i="30"/>
  <c r="AF32" i="30"/>
  <c r="BC32" i="30"/>
  <c r="BE32" i="30"/>
  <c r="AE32" i="30"/>
  <c r="X32" i="30"/>
  <c r="AD32" i="30"/>
  <c r="AC32" i="30"/>
  <c r="BO32" i="30"/>
  <c r="AO32" i="30"/>
  <c r="BN32" i="30"/>
  <c r="BH32" i="30"/>
  <c r="BM32" i="30"/>
  <c r="AI32" i="30"/>
  <c r="AN32" i="30"/>
  <c r="AH32" i="30"/>
  <c r="BG32" i="30"/>
  <c r="AG32" i="30"/>
  <c r="V50" i="30"/>
  <c r="AU50" i="30"/>
  <c r="AU78" i="30"/>
  <c r="Y78" i="30"/>
  <c r="AS78" i="30"/>
  <c r="BJ78" i="30"/>
  <c r="BF78" i="30"/>
  <c r="AE78" i="30"/>
  <c r="AW78" i="30"/>
  <c r="AN78" i="30"/>
  <c r="BK78" i="30"/>
  <c r="AJ78" i="30"/>
  <c r="AA78" i="30"/>
  <c r="BG78" i="30"/>
  <c r="AZ78" i="30"/>
  <c r="AP78" i="30"/>
  <c r="AT78" i="30"/>
  <c r="AK78" i="30"/>
  <c r="BI78" i="30"/>
  <c r="AG78" i="30"/>
  <c r="U78" i="30"/>
  <c r="BN78" i="30"/>
  <c r="BB78" i="30"/>
  <c r="BS78" i="30"/>
  <c r="Y47" i="30"/>
  <c r="BG47" i="30"/>
  <c r="AX47" i="30"/>
  <c r="BA47" i="30"/>
  <c r="BS47" i="30"/>
  <c r="AZ47" i="30"/>
  <c r="AQ98" i="30"/>
  <c r="AV98" i="30"/>
  <c r="BB98" i="30"/>
  <c r="Z98" i="30"/>
  <c r="Y98" i="30"/>
  <c r="AK98" i="30"/>
  <c r="AE98" i="30"/>
  <c r="AA98" i="30"/>
  <c r="AD98" i="30"/>
  <c r="AG98" i="30"/>
  <c r="BO98" i="30"/>
  <c r="AX98" i="30"/>
  <c r="BK98" i="30"/>
  <c r="AT98" i="30"/>
  <c r="BH98" i="30"/>
  <c r="X98" i="30"/>
  <c r="BI98" i="30"/>
  <c r="AY98" i="30"/>
  <c r="U98" i="30"/>
  <c r="AR98" i="30"/>
  <c r="AS98" i="30"/>
  <c r="AL98" i="30"/>
  <c r="AO98" i="30"/>
  <c r="AF98" i="30"/>
  <c r="AI98" i="30"/>
  <c r="BF98" i="30"/>
  <c r="AP98" i="30"/>
  <c r="BP98" i="30"/>
  <c r="BS98" i="30"/>
  <c r="BE98" i="30"/>
  <c r="BR98" i="30"/>
  <c r="AZ98" i="30"/>
  <c r="BD98" i="30"/>
  <c r="AN98" i="30"/>
  <c r="BC98" i="30"/>
  <c r="AC98" i="30"/>
  <c r="AW98" i="30"/>
  <c r="BQ98" i="30"/>
  <c r="AU98" i="30"/>
  <c r="BG98" i="30"/>
  <c r="AJ98" i="30"/>
  <c r="W98" i="30"/>
  <c r="BN98" i="30"/>
  <c r="BA98" i="30"/>
  <c r="BT98" i="30"/>
  <c r="BJ98" i="30"/>
  <c r="AB76" i="30"/>
  <c r="AM76" i="30"/>
  <c r="BA76" i="30"/>
  <c r="BG82" i="30"/>
  <c r="AY82" i="30"/>
  <c r="AB82" i="30"/>
  <c r="AL82" i="30"/>
  <c r="AD82" i="30"/>
  <c r="BC82" i="30"/>
  <c r="AS82" i="30"/>
  <c r="AG82" i="30"/>
  <c r="BI82" i="30"/>
  <c r="BA82" i="30"/>
  <c r="AQ82" i="30"/>
  <c r="AI82" i="30"/>
  <c r="AW77" i="30"/>
  <c r="AT77" i="30"/>
  <c r="BF30" i="30"/>
  <c r="AS30" i="30"/>
  <c r="BT30" i="30"/>
  <c r="BS30" i="30"/>
  <c r="W30" i="30"/>
  <c r="V64" i="30"/>
  <c r="BK64" i="30"/>
  <c r="AU64" i="30"/>
  <c r="AS64" i="30"/>
  <c r="AV64" i="30"/>
  <c r="BM64" i="30"/>
  <c r="AE64" i="30"/>
  <c r="AW64" i="30"/>
  <c r="U64" i="30"/>
  <c r="BP64" i="30"/>
  <c r="BG64" i="30"/>
  <c r="BG85" i="30"/>
  <c r="AE85" i="30"/>
  <c r="AP85" i="30"/>
  <c r="AA85" i="30"/>
  <c r="BK85" i="30"/>
  <c r="BN85" i="30"/>
  <c r="V85" i="30"/>
  <c r="AD85" i="30"/>
  <c r="AF85" i="30"/>
  <c r="AC85" i="30"/>
  <c r="AN85" i="30"/>
  <c r="Z85" i="30"/>
  <c r="AQ85" i="30"/>
  <c r="BI85" i="30"/>
  <c r="AG85" i="30"/>
  <c r="AZ85" i="30"/>
  <c r="BM85" i="30"/>
  <c r="BJ85" i="30"/>
  <c r="BS85" i="30"/>
  <c r="AW85" i="30"/>
  <c r="BF22" i="30"/>
  <c r="BD22" i="30"/>
  <c r="AN50" i="30"/>
  <c r="AP50" i="30"/>
  <c r="BA50" i="30"/>
  <c r="Y50" i="30"/>
  <c r="BS50" i="30"/>
  <c r="AU29" i="30"/>
  <c r="AG51" i="30"/>
  <c r="BL51" i="30"/>
  <c r="AY51" i="30"/>
  <c r="AR51" i="30"/>
  <c r="AV51" i="30"/>
  <c r="Z51" i="30"/>
  <c r="BJ13" i="30"/>
  <c r="AX13" i="30"/>
  <c r="AS13" i="30"/>
  <c r="Z13" i="30"/>
  <c r="W41" i="30"/>
  <c r="AA41" i="30"/>
  <c r="BA41" i="30"/>
  <c r="AU45" i="30"/>
  <c r="AT17" i="30"/>
  <c r="BT28" i="30"/>
  <c r="AH98" i="30"/>
  <c r="AX32" i="30"/>
  <c r="W9" i="30"/>
  <c r="BG100" i="30"/>
  <c r="BK25" i="30"/>
  <c r="BI50" i="30"/>
  <c r="BF50" i="30"/>
  <c r="W50" i="30"/>
  <c r="AC50" i="30"/>
  <c r="AH50" i="30"/>
  <c r="V29" i="30"/>
  <c r="BO51" i="30"/>
  <c r="AF51" i="30"/>
  <c r="AH51" i="30"/>
  <c r="BM51" i="30"/>
  <c r="AK51" i="30"/>
  <c r="AP51" i="30"/>
  <c r="AQ13" i="30"/>
  <c r="BS13" i="30"/>
  <c r="BI13" i="30"/>
  <c r="BP13" i="30"/>
  <c r="BD41" i="30"/>
  <c r="BG41" i="30"/>
  <c r="AI41" i="30"/>
  <c r="AA45" i="30"/>
  <c r="AF17" i="30"/>
  <c r="AQ28" i="30"/>
  <c r="AM98" i="30"/>
  <c r="Y32" i="30"/>
  <c r="BF9" i="30"/>
  <c r="BC105" i="30"/>
  <c r="AK31" i="30"/>
  <c r="W31" i="30"/>
  <c r="BD100" i="30"/>
  <c r="AH33" i="30"/>
  <c r="Z82" i="30"/>
  <c r="AA50" i="30"/>
  <c r="AZ50" i="30"/>
  <c r="AR50" i="30"/>
  <c r="AY50" i="30"/>
  <c r="AX50" i="30"/>
  <c r="AE40" i="30"/>
  <c r="BG51" i="30"/>
  <c r="Y51" i="30"/>
  <c r="AX51" i="30"/>
  <c r="AI51" i="30"/>
  <c r="AJ51" i="30"/>
  <c r="BF51" i="30"/>
  <c r="AJ13" i="30"/>
  <c r="X13" i="30"/>
  <c r="AH13" i="30"/>
  <c r="AG13" i="30"/>
  <c r="Y41" i="30"/>
  <c r="AD41" i="30"/>
  <c r="BB45" i="30"/>
  <c r="AP17" i="30"/>
  <c r="BQ28" i="30"/>
  <c r="BL98" i="30"/>
  <c r="AY32" i="30"/>
  <c r="X9" i="30"/>
  <c r="AA82" i="30"/>
  <c r="BF100" i="30"/>
  <c r="AL64" i="30"/>
  <c r="AB78" i="30"/>
  <c r="AV50" i="30"/>
  <c r="BK50" i="30"/>
  <c r="BM50" i="30"/>
  <c r="BT50" i="30"/>
  <c r="BN50" i="30"/>
  <c r="AS40" i="30"/>
  <c r="BC51" i="30"/>
  <c r="AU51" i="30"/>
  <c r="BN51" i="30"/>
  <c r="BD51" i="30"/>
  <c r="BE51" i="30"/>
  <c r="V13" i="30"/>
  <c r="BF13" i="30"/>
  <c r="BO13" i="30"/>
  <c r="BC13" i="30"/>
  <c r="AW13" i="30"/>
  <c r="AM41" i="30"/>
  <c r="BJ41" i="30"/>
  <c r="AR45" i="30"/>
  <c r="AL17" i="30"/>
  <c r="AJ28" i="30"/>
  <c r="BI9" i="30"/>
  <c r="AK105" i="30"/>
  <c r="AD33" i="30"/>
  <c r="AF99" i="30"/>
  <c r="AX25" i="30"/>
  <c r="AN31" i="30"/>
  <c r="AC28" i="30"/>
  <c r="BQ50" i="30"/>
  <c r="X50" i="30"/>
  <c r="AD50" i="30"/>
  <c r="AK50" i="30"/>
  <c r="BC29" i="30"/>
  <c r="AA40" i="30"/>
  <c r="BK51" i="30"/>
  <c r="AD51" i="30"/>
  <c r="BP51" i="30"/>
  <c r="AA51" i="30"/>
  <c r="V51" i="30"/>
  <c r="AB51" i="30"/>
  <c r="W13" i="30"/>
  <c r="AO13" i="30"/>
  <c r="BG13" i="30"/>
  <c r="AF13" i="30"/>
  <c r="BM13" i="30"/>
  <c r="AF41" i="30"/>
  <c r="AJ41" i="30"/>
  <c r="AW17" i="30"/>
  <c r="BR28" i="30"/>
  <c r="Z9" i="30"/>
  <c r="BT105" i="30"/>
  <c r="BL78" i="30"/>
  <c r="X78" i="30"/>
  <c r="AS10" i="30"/>
  <c r="BR78" i="30"/>
  <c r="BK33" i="30"/>
  <c r="AE50" i="30"/>
  <c r="AM50" i="30"/>
  <c r="AS50" i="30"/>
  <c r="AT50" i="30"/>
  <c r="BG50" i="30"/>
  <c r="AS51" i="30"/>
  <c r="AO51" i="30"/>
  <c r="AM51" i="30"/>
  <c r="BA51" i="30"/>
  <c r="AL51" i="30"/>
  <c r="AW51" i="30"/>
  <c r="BN13" i="30"/>
  <c r="BE13" i="30"/>
  <c r="AP13" i="30"/>
  <c r="AD13" i="30"/>
  <c r="AT41" i="30"/>
  <c r="AP41" i="30"/>
  <c r="AG41" i="30"/>
  <c r="AF47" i="30"/>
  <c r="V98" i="30"/>
  <c r="Z105" i="30"/>
  <c r="AM105" i="30"/>
  <c r="AG25" i="30"/>
  <c r="AQ50" i="30"/>
  <c r="BH31" i="30"/>
  <c r="AU100" i="30"/>
  <c r="X33" i="30"/>
  <c r="BN105" i="30"/>
  <c r="AP32" i="30"/>
  <c r="AX82" i="30"/>
  <c r="X64" i="30"/>
  <c r="BT47" i="30"/>
  <c r="AS86" i="30"/>
  <c r="BO29" i="30"/>
  <c r="BP77" i="30"/>
  <c r="BE40" i="30"/>
  <c r="AQ78" i="30"/>
  <c r="AR85" i="30"/>
  <c r="BA54" i="30"/>
  <c r="BI27" i="30"/>
  <c r="BH97" i="30"/>
  <c r="AK42" i="30"/>
  <c r="AX20" i="30"/>
  <c r="AU63" i="30"/>
  <c r="AX24" i="30"/>
  <c r="BN64" i="30"/>
  <c r="BM54" i="30"/>
  <c r="BT39" i="30"/>
  <c r="BH82" i="30"/>
  <c r="BD82" i="30"/>
  <c r="AR82" i="30"/>
  <c r="BS82" i="30"/>
  <c r="AM82" i="30"/>
  <c r="BK24" i="30"/>
  <c r="BO82" i="30"/>
  <c r="AP82" i="30"/>
  <c r="AO82" i="30"/>
  <c r="BK82" i="30"/>
  <c r="X54" i="30"/>
  <c r="BR82" i="30"/>
  <c r="AN82" i="30"/>
  <c r="BM82" i="30"/>
  <c r="AP39" i="30"/>
  <c r="AU34" i="30"/>
  <c r="AR97" i="30"/>
  <c r="BL82" i="30"/>
  <c r="BN82" i="30"/>
  <c r="U82" i="30"/>
  <c r="AS85" i="30"/>
  <c r="BQ34" i="30"/>
  <c r="AF82" i="30"/>
  <c r="AH82" i="30"/>
  <c r="AJ82" i="30"/>
  <c r="BE82" i="30"/>
  <c r="Y20" i="30"/>
  <c r="AM39" i="30"/>
  <c r="AX85" i="30"/>
  <c r="AD54" i="30"/>
  <c r="AK24" i="30"/>
  <c r="AE97" i="30"/>
  <c r="AE82" i="30"/>
  <c r="BJ82" i="30"/>
  <c r="W82" i="30"/>
  <c r="X82" i="30"/>
  <c r="AV82" i="30"/>
  <c r="BP82" i="30"/>
  <c r="BT82" i="30"/>
  <c r="AZ34" i="30"/>
  <c r="BF97" i="30"/>
  <c r="AU85" i="30"/>
  <c r="BR97" i="30"/>
  <c r="AW82" i="30"/>
  <c r="AT82" i="30"/>
  <c r="Y82" i="30"/>
  <c r="AF24" i="30"/>
  <c r="V82" i="30"/>
  <c r="BB82" i="30"/>
  <c r="AU82" i="30"/>
  <c r="AG97" i="30"/>
  <c r="BB85" i="30"/>
  <c r="AC82" i="30"/>
  <c r="AZ82" i="30"/>
  <c r="AK82" i="30"/>
  <c r="BF82" i="30"/>
  <c r="AB12" i="30"/>
  <c r="AL12" i="30"/>
  <c r="Z12" i="30"/>
  <c r="AW12" i="30"/>
  <c r="AS12" i="30"/>
  <c r="AC18" i="30"/>
  <c r="BO12" i="30"/>
  <c r="BB12" i="30"/>
  <c r="BM12" i="30"/>
  <c r="AF12" i="30"/>
  <c r="AP12" i="30"/>
  <c r="AF77" i="30"/>
  <c r="AP18" i="30"/>
  <c r="Z70" i="30"/>
  <c r="AG66" i="30"/>
  <c r="AE91" i="30"/>
  <c r="BB46" i="30"/>
  <c r="BJ77" i="30"/>
  <c r="BN18" i="30"/>
  <c r="AO70" i="30"/>
  <c r="AR91" i="30"/>
  <c r="BQ77" i="30"/>
  <c r="BQ18" i="30"/>
  <c r="AJ18" i="30"/>
  <c r="AP70" i="30"/>
  <c r="W46" i="30"/>
  <c r="BG46" i="30"/>
  <c r="BH46" i="30"/>
  <c r="BJ46" i="30"/>
  <c r="AA46" i="30"/>
  <c r="AW86" i="30"/>
  <c r="Z86" i="30"/>
  <c r="AY86" i="30"/>
  <c r="Y86" i="30"/>
  <c r="AT86" i="30"/>
  <c r="BI86" i="30"/>
  <c r="BK61" i="30"/>
  <c r="AQ91" i="30"/>
  <c r="BS77" i="30"/>
  <c r="U77" i="30"/>
  <c r="AG18" i="30"/>
  <c r="BD18" i="30"/>
  <c r="BO70" i="30"/>
  <c r="BJ70" i="30"/>
  <c r="AP66" i="30"/>
  <c r="BD66" i="30"/>
  <c r="AQ66" i="30"/>
  <c r="BA66" i="30"/>
  <c r="AO66" i="30"/>
  <c r="BR66" i="30"/>
  <c r="AF61" i="30"/>
  <c r="V61" i="30"/>
  <c r="BP61" i="30"/>
  <c r="BT61" i="30"/>
  <c r="AD61" i="30"/>
  <c r="AJ61" i="30"/>
  <c r="AP29" i="30"/>
  <c r="W29" i="30"/>
  <c r="AD29" i="30"/>
  <c r="BL29" i="30"/>
  <c r="AE29" i="30"/>
  <c r="BE29" i="30"/>
  <c r="AX40" i="30"/>
  <c r="V40" i="30"/>
  <c r="BF40" i="30"/>
  <c r="BH40" i="30"/>
  <c r="U40" i="30"/>
  <c r="Z40" i="30"/>
  <c r="BO40" i="30"/>
  <c r="AL47" i="30"/>
  <c r="AE47" i="30"/>
  <c r="BF47" i="30"/>
  <c r="AW47" i="30"/>
  <c r="AV47" i="30"/>
  <c r="AH47" i="30"/>
  <c r="AJ91" i="30"/>
  <c r="AP91" i="30"/>
  <c r="BC91" i="30"/>
  <c r="AV91" i="30"/>
  <c r="BT91" i="30"/>
  <c r="V46" i="30"/>
  <c r="AH70" i="30"/>
  <c r="AD18" i="30"/>
  <c r="BR77" i="30"/>
  <c r="AY18" i="30"/>
  <c r="AU70" i="30"/>
  <c r="AB61" i="30"/>
  <c r="AM29" i="30"/>
  <c r="BA70" i="30"/>
  <c r="BC66" i="30"/>
  <c r="AE77" i="30"/>
  <c r="BT77" i="30"/>
  <c r="Y18" i="30"/>
  <c r="AT18" i="30"/>
  <c r="AA70" i="30"/>
  <c r="BE70" i="30"/>
  <c r="BO46" i="30"/>
  <c r="Z77" i="30"/>
  <c r="AK18" i="30"/>
  <c r="BJ18" i="30"/>
  <c r="BC70" i="30"/>
  <c r="AD70" i="30"/>
  <c r="BE46" i="30"/>
  <c r="AP46" i="30"/>
  <c r="BD46" i="30"/>
  <c r="AR46" i="30"/>
  <c r="BQ46" i="30"/>
  <c r="AE86" i="30"/>
  <c r="V86" i="30"/>
  <c r="AR86" i="30"/>
  <c r="BR86" i="30"/>
  <c r="BE86" i="30"/>
  <c r="BL86" i="30"/>
  <c r="AQ86" i="30"/>
  <c r="AM77" i="30"/>
  <c r="AD77" i="30"/>
  <c r="AV18" i="30"/>
  <c r="BC18" i="30"/>
  <c r="AI70" i="30"/>
  <c r="AC70" i="30"/>
  <c r="AS66" i="30"/>
  <c r="Z66" i="30"/>
  <c r="AC66" i="30"/>
  <c r="AR66" i="30"/>
  <c r="Y66" i="30"/>
  <c r="AY66" i="30"/>
  <c r="BI61" i="30"/>
  <c r="X61" i="30"/>
  <c r="BG61" i="30"/>
  <c r="BH61" i="30"/>
  <c r="BJ61" i="30"/>
  <c r="AA61" i="30"/>
  <c r="BH29" i="30"/>
  <c r="X29" i="30"/>
  <c r="BJ29" i="30"/>
  <c r="AK29" i="30"/>
  <c r="BK29" i="30"/>
  <c r="AL29" i="30"/>
  <c r="BL40" i="30"/>
  <c r="AH40" i="30"/>
  <c r="AV40" i="30"/>
  <c r="AT40" i="30"/>
  <c r="BA40" i="30"/>
  <c r="BR40" i="30"/>
  <c r="BH47" i="30"/>
  <c r="W47" i="30"/>
  <c r="AI47" i="30"/>
  <c r="BO47" i="30"/>
  <c r="AO47" i="30"/>
  <c r="BN47" i="30"/>
  <c r="AB91" i="30"/>
  <c r="AK91" i="30"/>
  <c r="AS91" i="30"/>
  <c r="AU91" i="30"/>
  <c r="AX91" i="30"/>
  <c r="AQ40" i="30"/>
  <c r="AN77" i="30"/>
  <c r="Y70" i="30"/>
  <c r="BL18" i="30"/>
  <c r="AB77" i="30"/>
  <c r="BK46" i="30"/>
  <c r="BI70" i="30"/>
  <c r="AZ91" i="30"/>
  <c r="AE70" i="30"/>
  <c r="AQ18" i="30"/>
  <c r="Y77" i="30"/>
  <c r="BR47" i="30"/>
  <c r="AM46" i="30"/>
  <c r="BM77" i="30"/>
  <c r="AS77" i="30"/>
  <c r="BG18" i="30"/>
  <c r="X18" i="30"/>
  <c r="BH70" i="30"/>
  <c r="BN70" i="30"/>
  <c r="BD47" i="30"/>
  <c r="AU46" i="30"/>
  <c r="BG77" i="30"/>
  <c r="BE77" i="30"/>
  <c r="U18" i="30"/>
  <c r="AN18" i="30"/>
  <c r="AM70" i="30"/>
  <c r="AN70" i="30"/>
  <c r="AW46" i="30"/>
  <c r="BF46" i="30"/>
  <c r="U46" i="30"/>
  <c r="AJ46" i="30"/>
  <c r="AH46" i="30"/>
  <c r="BT86" i="30"/>
  <c r="AJ86" i="30"/>
  <c r="U86" i="30"/>
  <c r="X86" i="30"/>
  <c r="W86" i="30"/>
  <c r="AP86" i="30"/>
  <c r="BG86" i="30"/>
  <c r="W77" i="30"/>
  <c r="AC77" i="30"/>
  <c r="AA18" i="30"/>
  <c r="BR70" i="30"/>
  <c r="AJ70" i="30"/>
  <c r="AX66" i="30"/>
  <c r="BL66" i="30"/>
  <c r="AV66" i="30"/>
  <c r="AD66" i="30"/>
  <c r="BM66" i="30"/>
  <c r="BP66" i="30"/>
  <c r="BO66" i="30"/>
  <c r="BS61" i="30"/>
  <c r="AY61" i="30"/>
  <c r="Z61" i="30"/>
  <c r="AE61" i="30"/>
  <c r="AN61" i="30"/>
  <c r="AV61" i="30"/>
  <c r="AS29" i="30"/>
  <c r="AV29" i="30"/>
  <c r="AA29" i="30"/>
  <c r="BA29" i="30"/>
  <c r="AR29" i="30"/>
  <c r="BB29" i="30"/>
  <c r="BS40" i="30"/>
  <c r="AM40" i="30"/>
  <c r="BT40" i="30"/>
  <c r="BP40" i="30"/>
  <c r="BQ40" i="30"/>
  <c r="AL40" i="30"/>
  <c r="BL47" i="30"/>
  <c r="BB47" i="30"/>
  <c r="AR47" i="30"/>
  <c r="AK47" i="30"/>
  <c r="AD47" i="30"/>
  <c r="BK47" i="30"/>
  <c r="AW91" i="30"/>
  <c r="AA91" i="30"/>
  <c r="BO91" i="30"/>
  <c r="BP91" i="30"/>
  <c r="BN91" i="30"/>
  <c r="BP18" i="30"/>
  <c r="AY77" i="30"/>
  <c r="BB91" i="30"/>
  <c r="AI77" i="30"/>
  <c r="BO77" i="30"/>
  <c r="Z29" i="30"/>
  <c r="AR77" i="30"/>
  <c r="AH77" i="30"/>
  <c r="AL18" i="30"/>
  <c r="AB18" i="30"/>
  <c r="AL70" i="30"/>
  <c r="AS70" i="30"/>
  <c r="AQ77" i="30"/>
  <c r="AJ77" i="30"/>
  <c r="BB18" i="30"/>
  <c r="BS18" i="30"/>
  <c r="W70" i="30"/>
  <c r="AT70" i="30"/>
  <c r="AC46" i="30"/>
  <c r="AO46" i="30"/>
  <c r="AQ46" i="30"/>
  <c r="AB46" i="30"/>
  <c r="AX46" i="30"/>
  <c r="AG86" i="30"/>
  <c r="BM86" i="30"/>
  <c r="AK86" i="30"/>
  <c r="BD86" i="30"/>
  <c r="AM86" i="30"/>
  <c r="AB86" i="30"/>
  <c r="AS46" i="30"/>
  <c r="BB77" i="30"/>
  <c r="BI77" i="30"/>
  <c r="AH18" i="30"/>
  <c r="AW70" i="30"/>
  <c r="BD70" i="30"/>
  <c r="U66" i="30"/>
  <c r="AM66" i="30"/>
  <c r="BQ66" i="30"/>
  <c r="X66" i="30"/>
  <c r="AE66" i="30"/>
  <c r="AK66" i="30"/>
  <c r="BA61" i="30"/>
  <c r="AG61" i="30"/>
  <c r="AP61" i="30"/>
  <c r="AZ61" i="30"/>
  <c r="BO61" i="30"/>
  <c r="BQ61" i="30"/>
  <c r="BF29" i="30"/>
  <c r="BP29" i="30"/>
  <c r="AQ29" i="30"/>
  <c r="BQ29" i="30"/>
  <c r="BT29" i="30"/>
  <c r="BR29" i="30"/>
  <c r="AR40" i="30"/>
  <c r="BN40" i="30"/>
  <c r="AG40" i="30"/>
  <c r="AP40" i="30"/>
  <c r="AB40" i="30"/>
  <c r="BG40" i="30"/>
  <c r="BP47" i="30"/>
  <c r="U47" i="30"/>
  <c r="BM47" i="30"/>
  <c r="AN47" i="30"/>
  <c r="AT47" i="30"/>
  <c r="AG47" i="30"/>
  <c r="BS91" i="30"/>
  <c r="BA91" i="30"/>
  <c r="AD91" i="30"/>
  <c r="AM91" i="30"/>
  <c r="AI91" i="30"/>
  <c r="BF77" i="30"/>
  <c r="Z18" i="30"/>
  <c r="X46" i="30"/>
  <c r="AM18" i="30"/>
  <c r="BD40" i="30"/>
  <c r="V77" i="30"/>
  <c r="BH18" i="30"/>
  <c r="BQ70" i="30"/>
  <c r="AZ29" i="30"/>
  <c r="AA77" i="30"/>
  <c r="AX77" i="30"/>
  <c r="AF18" i="30"/>
  <c r="BB70" i="30"/>
  <c r="X70" i="30"/>
  <c r="AY46" i="30"/>
  <c r="AG46" i="30"/>
  <c r="BL46" i="30"/>
  <c r="BS46" i="30"/>
  <c r="BN46" i="30"/>
  <c r="AU86" i="30"/>
  <c r="AL86" i="30"/>
  <c r="BA86" i="30"/>
  <c r="AH86" i="30"/>
  <c r="BC86" i="30"/>
  <c r="BH86" i="30"/>
  <c r="AU47" i="30"/>
  <c r="BR91" i="30"/>
  <c r="BC46" i="30"/>
  <c r="AG77" i="30"/>
  <c r="AZ18" i="30"/>
  <c r="AB70" i="30"/>
  <c r="BB66" i="30"/>
  <c r="AN66" i="30"/>
  <c r="AL66" i="30"/>
  <c r="BN66" i="30"/>
  <c r="AU66" i="30"/>
  <c r="BF66" i="30"/>
  <c r="BR61" i="30"/>
  <c r="BC61" i="30"/>
  <c r="BF61" i="30"/>
  <c r="U61" i="30"/>
  <c r="W61" i="30"/>
  <c r="AH61" i="30"/>
  <c r="BS29" i="30"/>
  <c r="AG29" i="30"/>
  <c r="BG29" i="30"/>
  <c r="AH29" i="30"/>
  <c r="AJ29" i="30"/>
  <c r="AI29" i="30"/>
  <c r="AZ40" i="30"/>
  <c r="AN40" i="30"/>
  <c r="AW40" i="30"/>
  <c r="BK40" i="30"/>
  <c r="W40" i="30"/>
  <c r="Y40" i="30"/>
  <c r="V47" i="30"/>
  <c r="X47" i="30"/>
  <c r="BI47" i="30"/>
  <c r="AJ47" i="30"/>
  <c r="BJ47" i="30"/>
  <c r="BC47" i="30"/>
  <c r="BG91" i="30"/>
  <c r="AN91" i="30"/>
  <c r="AO91" i="30"/>
  <c r="AT91" i="30"/>
  <c r="BH91" i="30"/>
  <c r="BT18" i="30"/>
  <c r="BK70" i="30"/>
  <c r="AL91" i="30"/>
  <c r="BA77" i="30"/>
  <c r="BK18" i="30"/>
  <c r="AV70" i="30"/>
  <c r="AN86" i="30"/>
  <c r="AL61" i="30"/>
  <c r="BH77" i="30"/>
  <c r="X77" i="30"/>
  <c r="AX18" i="30"/>
  <c r="AG70" i="30"/>
  <c r="BT46" i="30"/>
  <c r="Y46" i="30"/>
  <c r="AD46" i="30"/>
  <c r="AN46" i="30"/>
  <c r="BJ86" i="30"/>
  <c r="BB86" i="30"/>
  <c r="BQ86" i="30"/>
  <c r="BN86" i="30"/>
  <c r="BS86" i="30"/>
  <c r="AC86" i="30"/>
  <c r="BD91" i="30"/>
  <c r="BL77" i="30"/>
  <c r="BM18" i="30"/>
  <c r="AE18" i="30"/>
  <c r="BF70" i="30"/>
  <c r="BS66" i="30"/>
  <c r="BI66" i="30"/>
  <c r="BH66" i="30"/>
  <c r="BE66" i="30"/>
  <c r="BK66" i="30"/>
  <c r="AB66" i="30"/>
  <c r="AC61" i="30"/>
  <c r="Y61" i="30"/>
  <c r="BD61" i="30"/>
  <c r="AQ61" i="30"/>
  <c r="AR61" i="30"/>
  <c r="AX61" i="30"/>
  <c r="AF29" i="30"/>
  <c r="AW29" i="30"/>
  <c r="AB29" i="30"/>
  <c r="AX29" i="30"/>
  <c r="Y29" i="30"/>
  <c r="AY29" i="30"/>
  <c r="AC40" i="30"/>
  <c r="BJ40" i="30"/>
  <c r="BM40" i="30"/>
  <c r="AF40" i="30"/>
  <c r="AD40" i="30"/>
  <c r="AO40" i="30"/>
  <c r="BQ47" i="30"/>
  <c r="AA47" i="30"/>
  <c r="Z47" i="30"/>
  <c r="BE47" i="30"/>
  <c r="AQ47" i="30"/>
  <c r="AY47" i="30"/>
  <c r="BL91" i="30"/>
  <c r="BI91" i="30"/>
  <c r="BK91" i="30"/>
  <c r="BJ91" i="30"/>
  <c r="AC91" i="30"/>
  <c r="BK77" i="30"/>
  <c r="V18" i="30"/>
  <c r="BR46" i="30"/>
  <c r="AR70" i="30"/>
  <c r="BN77" i="30"/>
  <c r="BI18" i="30"/>
  <c r="V91" i="30"/>
  <c r="AL77" i="30"/>
  <c r="BD77" i="30"/>
  <c r="BF18" i="30"/>
  <c r="BL70" i="30"/>
  <c r="AE46" i="30"/>
  <c r="AK46" i="30"/>
  <c r="BP46" i="30"/>
  <c r="AT46" i="30"/>
  <c r="AX86" i="30"/>
  <c r="AV86" i="30"/>
  <c r="AI86" i="30"/>
  <c r="AZ86" i="30"/>
  <c r="AD86" i="30"/>
  <c r="BI40" i="30"/>
  <c r="W91" i="30"/>
  <c r="AP77" i="30"/>
  <c r="AW18" i="30"/>
  <c r="W18" i="30"/>
  <c r="AK70" i="30"/>
  <c r="AZ66" i="30"/>
  <c r="BJ66" i="30"/>
  <c r="AA66" i="30"/>
  <c r="AF66" i="30"/>
  <c r="BT66" i="30"/>
  <c r="AW61" i="30"/>
  <c r="AO61" i="30"/>
  <c r="AU61" i="30"/>
  <c r="AS61" i="30"/>
  <c r="BL61" i="30"/>
  <c r="BM61" i="30"/>
  <c r="AC29" i="30"/>
  <c r="BI29" i="30"/>
  <c r="BM29" i="30"/>
  <c r="AN29" i="30"/>
  <c r="BN29" i="30"/>
  <c r="AO29" i="30"/>
  <c r="AI40" i="30"/>
  <c r="AJ40" i="30"/>
  <c r="BC40" i="30"/>
  <c r="BB40" i="30"/>
  <c r="AY40" i="30"/>
  <c r="AM47" i="30"/>
  <c r="AC47" i="30"/>
  <c r="AP47" i="30"/>
  <c r="AB47" i="30"/>
  <c r="AS47" i="30"/>
  <c r="AF91" i="30"/>
  <c r="Z91" i="30"/>
  <c r="AG91" i="30"/>
  <c r="U91" i="30"/>
  <c r="BE18" i="30"/>
  <c r="AS18" i="30"/>
  <c r="AK77" i="30"/>
  <c r="I7" i="31"/>
  <c r="AW5" i="31"/>
  <c r="AP5" i="31"/>
  <c r="AN5" i="31"/>
  <c r="AU5" i="31"/>
  <c r="A66" i="17"/>
  <c r="H64" i="39" s="1"/>
  <c r="D65" i="17"/>
  <c r="K63" i="39" s="1"/>
  <c r="B65" i="17"/>
  <c r="I63" i="39" s="1"/>
  <c r="C65" i="17"/>
  <c r="J63" i="39" s="1"/>
  <c r="E127" i="24" l="1"/>
  <c r="AU6" i="31"/>
  <c r="S112" i="31"/>
  <c r="AS6" i="31"/>
  <c r="H6" i="31"/>
  <c r="AG112" i="31"/>
  <c r="X6" i="31"/>
  <c r="AP6" i="31"/>
  <c r="AD6" i="31"/>
  <c r="BE6" i="31"/>
  <c r="S6" i="31"/>
  <c r="R6" i="31"/>
  <c r="AY6" i="31"/>
  <c r="AV6" i="31"/>
  <c r="M6" i="31"/>
  <c r="K6" i="31"/>
  <c r="AX6" i="31"/>
  <c r="AL6" i="31"/>
  <c r="AR6" i="31"/>
  <c r="AN6" i="31"/>
  <c r="L6" i="31"/>
  <c r="AO6" i="31"/>
  <c r="BB6" i="31"/>
  <c r="AZ6" i="31"/>
  <c r="AH6" i="31"/>
  <c r="BC6" i="31"/>
  <c r="AT6" i="31"/>
  <c r="U6" i="31"/>
  <c r="N6" i="31"/>
  <c r="T112" i="31"/>
  <c r="V112" i="31"/>
  <c r="BE112" i="31"/>
  <c r="T6" i="31"/>
  <c r="AW112" i="31"/>
  <c r="X7" i="31"/>
  <c r="W112" i="31"/>
  <c r="AI112" i="31"/>
  <c r="R112" i="31"/>
  <c r="I112" i="31"/>
  <c r="W7" i="31"/>
  <c r="I113" i="31"/>
  <c r="X113" i="31"/>
  <c r="X112" i="31"/>
  <c r="AW7" i="31"/>
  <c r="AN113" i="31"/>
  <c r="AN7" i="31"/>
  <c r="AN112" i="31"/>
  <c r="O113" i="31"/>
  <c r="AI6" i="31"/>
  <c r="AI7" i="31"/>
  <c r="AC112" i="31"/>
  <c r="P112" i="31"/>
  <c r="Y6" i="31"/>
  <c r="T113" i="31"/>
  <c r="Y5" i="31"/>
  <c r="E124" i="24" s="1"/>
  <c r="AY7" i="31"/>
  <c r="AJ113" i="31"/>
  <c r="AW6" i="31"/>
  <c r="I6" i="31"/>
  <c r="AV112" i="31"/>
  <c r="Q112" i="31"/>
  <c r="AS112" i="31"/>
  <c r="H112" i="31"/>
  <c r="V113" i="31"/>
  <c r="AB112" i="31"/>
  <c r="BB112" i="31"/>
  <c r="O112" i="31"/>
  <c r="AG7" i="31"/>
  <c r="N112" i="31"/>
  <c r="AU112" i="31"/>
  <c r="O7" i="31"/>
  <c r="AL112" i="31"/>
  <c r="AL113" i="31"/>
  <c r="AL7" i="31"/>
  <c r="AG113" i="31"/>
  <c r="P7" i="31"/>
  <c r="BF112" i="31"/>
  <c r="BD112" i="31"/>
  <c r="V7" i="31"/>
  <c r="T7" i="31"/>
  <c r="BG7" i="31"/>
  <c r="U113" i="31"/>
  <c r="AH113" i="31"/>
  <c r="AC6" i="31"/>
  <c r="BF7" i="31"/>
  <c r="AP112" i="31"/>
  <c r="AP7" i="31"/>
  <c r="BD113" i="31"/>
  <c r="AH112" i="31"/>
  <c r="AP113" i="31"/>
  <c r="AK112" i="31"/>
  <c r="AO112" i="31"/>
  <c r="U7" i="31"/>
  <c r="U112" i="31"/>
  <c r="BG112" i="31"/>
  <c r="AH7" i="31"/>
  <c r="L113" i="31"/>
  <c r="Y7" i="31"/>
  <c r="L112" i="31"/>
  <c r="BC112" i="31"/>
  <c r="H7" i="31"/>
  <c r="AF112" i="31"/>
  <c r="BC113" i="31"/>
  <c r="AY112" i="31"/>
  <c r="Y112" i="31"/>
  <c r="BC7" i="31"/>
  <c r="AY113" i="31"/>
  <c r="Y113" i="31"/>
  <c r="AM112" i="31"/>
  <c r="H113" i="31"/>
  <c r="Q7" i="31"/>
  <c r="S113" i="31"/>
  <c r="AT113" i="31"/>
  <c r="AB113" i="31"/>
  <c r="J112" i="31"/>
  <c r="S7" i="31"/>
  <c r="P6" i="31"/>
  <c r="AK7" i="31"/>
  <c r="J113" i="31"/>
  <c r="AA112" i="31"/>
  <c r="AE113" i="31"/>
  <c r="AM113" i="31"/>
  <c r="AM7" i="31"/>
  <c r="AK113" i="31"/>
  <c r="P113" i="31"/>
  <c r="AD7" i="31"/>
  <c r="AT7" i="31"/>
  <c r="AD112" i="31"/>
  <c r="AD113" i="31"/>
  <c r="AT112" i="31"/>
  <c r="AE112" i="31"/>
  <c r="J7" i="31"/>
  <c r="BF113" i="31"/>
  <c r="AV113" i="31"/>
  <c r="BA7" i="31"/>
  <c r="AX7" i="31"/>
  <c r="Q113" i="31"/>
  <c r="AQ112" i="31"/>
  <c r="BA113" i="31"/>
  <c r="AR7" i="31"/>
  <c r="AX112" i="31"/>
  <c r="AR112" i="31"/>
  <c r="BA112" i="31"/>
  <c r="AQ113" i="31"/>
  <c r="Z112" i="31"/>
  <c r="AS113" i="31"/>
  <c r="AX113" i="31"/>
  <c r="AR113" i="31"/>
  <c r="Z7" i="31"/>
  <c r="AJ112" i="31"/>
  <c r="BE7" i="31"/>
  <c r="AJ6" i="31"/>
  <c r="BE113" i="31"/>
  <c r="N7" i="31"/>
  <c r="N113" i="31"/>
  <c r="BD7" i="31"/>
  <c r="AZ7" i="31"/>
  <c r="AB6" i="31"/>
  <c r="AB7" i="31"/>
  <c r="M7" i="31"/>
  <c r="M112" i="31"/>
  <c r="AU113" i="31"/>
  <c r="BD6" i="31"/>
  <c r="AU7" i="31"/>
  <c r="AZ112" i="31"/>
  <c r="AW113" i="31"/>
  <c r="K112" i="31"/>
  <c r="M113" i="31"/>
  <c r="AZ113" i="31"/>
  <c r="Z6" i="31"/>
  <c r="R7" i="31"/>
  <c r="AG6" i="31"/>
  <c r="AO7" i="31"/>
  <c r="Z113" i="31"/>
  <c r="R113" i="31"/>
  <c r="AC7" i="31"/>
  <c r="AO113" i="31"/>
  <c r="J6" i="31"/>
  <c r="BF6" i="31"/>
  <c r="Q6" i="31"/>
  <c r="AV7" i="31"/>
  <c r="AS7" i="31"/>
  <c r="K113" i="31"/>
  <c r="W113" i="31"/>
  <c r="BB7" i="31"/>
  <c r="BG6" i="31"/>
  <c r="W6" i="31"/>
  <c r="BB113" i="31"/>
  <c r="K7" i="31"/>
  <c r="AF113" i="31"/>
  <c r="AF7" i="31"/>
  <c r="BG113" i="31"/>
  <c r="AE7" i="31"/>
  <c r="AQ6" i="31"/>
  <c r="AQ7" i="31"/>
  <c r="AA7" i="31"/>
  <c r="AA113" i="31"/>
  <c r="L7" i="31"/>
  <c r="AE6" i="31"/>
  <c r="B66" i="17"/>
  <c r="I64" i="39" s="1"/>
  <c r="D66" i="17"/>
  <c r="A67" i="17"/>
  <c r="C66" i="17"/>
  <c r="J64" i="39" s="1"/>
  <c r="E126" i="24" l="1"/>
  <c r="E125" i="24"/>
  <c r="E25" i="24"/>
  <c r="BH113" i="31" s="1"/>
  <c r="E24" i="24"/>
  <c r="BH112" i="31" s="1"/>
  <c r="D67" i="17"/>
  <c r="K64" i="39"/>
  <c r="C67" i="17"/>
  <c r="B67" i="17"/>
  <c r="Z19" i="15"/>
  <c r="BI113" i="31" l="1"/>
  <c r="G119" i="32"/>
  <c r="BI112" i="31"/>
  <c r="G118" i="32"/>
  <c r="J118" i="32" s="1"/>
  <c r="DC214" i="31"/>
  <c r="CO214" i="31"/>
  <c r="BR214" i="31"/>
  <c r="CT214" i="31"/>
  <c r="CU214" i="31"/>
  <c r="CG214" i="31"/>
  <c r="DD214" i="31"/>
  <c r="CZ214" i="31"/>
  <c r="DA214" i="31"/>
  <c r="DJ214" i="31"/>
  <c r="CA214" i="31"/>
  <c r="CW214" i="31"/>
  <c r="BZ214" i="31"/>
  <c r="DH214" i="31"/>
  <c r="DI214" i="31"/>
  <c r="CQ214" i="31"/>
  <c r="BP214" i="31"/>
  <c r="DE214" i="31"/>
  <c r="CH214" i="31"/>
  <c r="CY214" i="31"/>
  <c r="CI214" i="31"/>
  <c r="BN214" i="31"/>
  <c r="BO214" i="31"/>
  <c r="CF214" i="31"/>
  <c r="BL214" i="31"/>
  <c r="BM214" i="31"/>
  <c r="BV214" i="31"/>
  <c r="BW214" i="31"/>
  <c r="CV214" i="31"/>
  <c r="DG214" i="31"/>
  <c r="CX214" i="31"/>
  <c r="BU214" i="31"/>
  <c r="CD214" i="31"/>
  <c r="CE214" i="31"/>
  <c r="BQ214" i="31"/>
  <c r="DF214" i="31"/>
  <c r="CB214" i="31"/>
  <c r="CC214" i="31"/>
  <c r="CL214" i="31"/>
  <c r="CM214" i="31"/>
  <c r="BY214" i="31"/>
  <c r="CN214" i="31"/>
  <c r="BK214" i="31"/>
  <c r="BT214" i="31"/>
  <c r="BS214" i="31"/>
  <c r="CP214" i="31"/>
  <c r="BX214" i="31"/>
  <c r="Y19" i="15"/>
  <c r="AA19" i="15" s="1"/>
  <c r="BK112" i="31" l="1"/>
  <c r="DG112" i="31"/>
  <c r="CY112" i="31"/>
  <c r="CQ112" i="31"/>
  <c r="CI112" i="31"/>
  <c r="CA112" i="31"/>
  <c r="BS112" i="31"/>
  <c r="BZ112" i="31"/>
  <c r="BR112" i="31"/>
  <c r="DI112" i="31"/>
  <c r="BU112" i="31"/>
  <c r="DF112" i="31"/>
  <c r="CX112" i="31"/>
  <c r="CP112" i="31"/>
  <c r="CH112" i="31"/>
  <c r="DA112" i="31"/>
  <c r="CR112" i="31"/>
  <c r="DE112" i="31"/>
  <c r="CW112" i="31"/>
  <c r="CO112" i="31"/>
  <c r="CG112" i="31"/>
  <c r="BY112" i="31"/>
  <c r="BQ112" i="31"/>
  <c r="CC112" i="31"/>
  <c r="CJ112" i="31"/>
  <c r="DD112" i="31"/>
  <c r="CV112" i="31"/>
  <c r="CN112" i="31"/>
  <c r="CF112" i="31"/>
  <c r="BX112" i="31"/>
  <c r="BP112" i="31"/>
  <c r="BO112" i="31"/>
  <c r="BT112" i="31"/>
  <c r="DC112" i="31"/>
  <c r="CU112" i="31"/>
  <c r="CM112" i="31"/>
  <c r="CE112" i="31"/>
  <c r="BW112" i="31"/>
  <c r="CK112" i="31"/>
  <c r="DH112" i="31"/>
  <c r="CB112" i="31"/>
  <c r="DJ112" i="31"/>
  <c r="DB112" i="31"/>
  <c r="CT112" i="31"/>
  <c r="CL112" i="31"/>
  <c r="CD112" i="31"/>
  <c r="BV112" i="31"/>
  <c r="BN112" i="31"/>
  <c r="CS112" i="31"/>
  <c r="CZ112" i="31"/>
  <c r="BM112" i="31"/>
  <c r="BL112" i="31"/>
  <c r="F25" i="24"/>
  <c r="DJ113" i="31"/>
  <c r="DB113" i="31"/>
  <c r="CT113" i="31"/>
  <c r="CL113" i="31"/>
  <c r="CD113" i="31"/>
  <c r="BV113" i="31"/>
  <c r="BN113" i="31"/>
  <c r="DD113" i="31"/>
  <c r="BO113" i="31"/>
  <c r="DI113" i="31"/>
  <c r="DA113" i="31"/>
  <c r="CS113" i="31"/>
  <c r="CK113" i="31"/>
  <c r="CC113" i="31"/>
  <c r="BU113" i="31"/>
  <c r="BM113" i="31"/>
  <c r="CU113" i="31"/>
  <c r="DH113" i="31"/>
  <c r="CZ113" i="31"/>
  <c r="CR113" i="31"/>
  <c r="CJ113" i="31"/>
  <c r="CB113" i="31"/>
  <c r="BT113" i="31"/>
  <c r="BL113" i="31"/>
  <c r="CV113" i="31"/>
  <c r="CM113" i="31"/>
  <c r="DG113" i="31"/>
  <c r="CY113" i="31"/>
  <c r="CQ113" i="31"/>
  <c r="CI113" i="31"/>
  <c r="CA113" i="31"/>
  <c r="BS113" i="31"/>
  <c r="BK113" i="31"/>
  <c r="BP113" i="31"/>
  <c r="CE113" i="31"/>
  <c r="DF113" i="31"/>
  <c r="CX113" i="31"/>
  <c r="CP113" i="31"/>
  <c r="CH113" i="31"/>
  <c r="BZ113" i="31"/>
  <c r="BR113" i="31"/>
  <c r="BX113" i="31"/>
  <c r="DC113" i="31"/>
  <c r="DE113" i="31"/>
  <c r="CW113" i="31"/>
  <c r="CO113" i="31"/>
  <c r="CG113" i="31"/>
  <c r="BY113" i="31"/>
  <c r="BQ113" i="31"/>
  <c r="CN113" i="31"/>
  <c r="CF113" i="31"/>
  <c r="BW113" i="31"/>
  <c r="F24" i="24"/>
  <c r="CS214" i="31"/>
  <c r="DB214" i="31"/>
  <c r="CR214" i="31"/>
  <c r="CK214" i="31"/>
  <c r="CJ214" i="31"/>
  <c r="A8" i="21"/>
  <c r="S1" i="15"/>
  <c r="AB2" i="15" l="1"/>
  <c r="C2" i="15"/>
  <c r="A14" i="14" l="1"/>
  <c r="P15" i="14"/>
  <c r="A15" i="14" s="1"/>
  <c r="P16" i="14"/>
  <c r="A16" i="14" s="1"/>
  <c r="P17" i="14"/>
  <c r="A17" i="14" s="1"/>
  <c r="P18" i="14"/>
  <c r="A18" i="14" s="1"/>
  <c r="P19" i="14"/>
  <c r="A19" i="14" s="1"/>
  <c r="P20" i="14"/>
  <c r="A20" i="14" s="1"/>
  <c r="P21" i="14"/>
  <c r="A21" i="14" s="1"/>
  <c r="P22" i="14"/>
  <c r="A22" i="14" s="1"/>
  <c r="P23" i="14"/>
  <c r="A23" i="14" s="1"/>
  <c r="P24" i="14"/>
  <c r="A24" i="14" s="1"/>
  <c r="P25" i="14"/>
  <c r="A25" i="14" s="1"/>
  <c r="P26" i="14"/>
  <c r="A26" i="14" s="1"/>
  <c r="P27" i="14"/>
  <c r="A27" i="14" s="1"/>
  <c r="P28" i="14"/>
  <c r="A28" i="14" s="1"/>
  <c r="P29" i="14"/>
  <c r="A29" i="14" s="1"/>
  <c r="P30" i="14"/>
  <c r="A30" i="14" s="1"/>
  <c r="P31" i="14"/>
  <c r="A31" i="14" s="1"/>
  <c r="P32" i="14"/>
  <c r="A32" i="14" s="1"/>
  <c r="P33" i="14"/>
  <c r="A33" i="14" s="1"/>
  <c r="P34" i="14"/>
  <c r="A34" i="14" s="1"/>
  <c r="P35" i="14"/>
  <c r="A35" i="14" s="1"/>
  <c r="P36" i="14"/>
  <c r="A36" i="14" s="1"/>
  <c r="P37" i="14"/>
  <c r="A37" i="14" s="1"/>
  <c r="P38" i="14"/>
  <c r="A38" i="14" s="1"/>
  <c r="P39" i="14"/>
  <c r="A39" i="14" s="1"/>
  <c r="P40" i="14"/>
  <c r="A40" i="14" s="1"/>
  <c r="P41" i="14"/>
  <c r="A41" i="14" s="1"/>
  <c r="P42" i="14"/>
  <c r="A42" i="14" s="1"/>
  <c r="P43" i="14"/>
  <c r="A43" i="14" s="1"/>
  <c r="P44" i="14"/>
  <c r="A44" i="14" s="1"/>
  <c r="P45" i="14"/>
  <c r="A45" i="14" s="1"/>
  <c r="P46" i="14"/>
  <c r="A46" i="14" s="1"/>
  <c r="P47" i="14"/>
  <c r="A47" i="14" s="1"/>
  <c r="P48" i="14"/>
  <c r="A48" i="14" s="1"/>
  <c r="P49" i="14"/>
  <c r="A49" i="14" s="1"/>
  <c r="P50" i="14"/>
  <c r="A50" i="14" s="1"/>
  <c r="P51" i="14"/>
  <c r="A51" i="14" s="1"/>
  <c r="P52" i="14"/>
  <c r="A52" i="14" s="1"/>
  <c r="P53" i="14"/>
  <c r="A53" i="14" s="1"/>
  <c r="P54" i="14"/>
  <c r="A54" i="14" s="1"/>
  <c r="P55" i="14"/>
  <c r="A55" i="14" s="1"/>
  <c r="P56" i="14"/>
  <c r="A56" i="14" s="1"/>
  <c r="P57" i="14"/>
  <c r="A57" i="14" s="1"/>
  <c r="P58" i="14"/>
  <c r="A58" i="14" s="1"/>
  <c r="P59" i="14"/>
  <c r="A59" i="14" s="1"/>
  <c r="P60" i="14"/>
  <c r="A60" i="14" s="1"/>
  <c r="P61" i="14"/>
  <c r="A61" i="14" s="1"/>
  <c r="P62" i="14"/>
  <c r="A62" i="14" s="1"/>
  <c r="P63" i="14"/>
  <c r="A63" i="14" s="1"/>
  <c r="P64" i="14"/>
  <c r="A64" i="14" s="1"/>
  <c r="P13" i="14"/>
  <c r="B13" i="14"/>
  <c r="D13" i="14"/>
  <c r="Q10" i="14"/>
  <c r="C3" i="15"/>
  <c r="C4" i="15"/>
  <c r="C5" i="15"/>
  <c r="C6" i="15"/>
  <c r="C7" i="15"/>
  <c r="C8" i="15"/>
  <c r="C9" i="15"/>
  <c r="C10" i="15"/>
  <c r="C11" i="15"/>
  <c r="C12" i="15"/>
  <c r="C13" i="15"/>
  <c r="C14" i="15"/>
  <c r="C15" i="15"/>
  <c r="C16" i="15"/>
  <c r="C17" i="15"/>
  <c r="C18" i="15"/>
  <c r="C19" i="15"/>
  <c r="C20" i="15"/>
  <c r="C21" i="15"/>
  <c r="C22" i="15"/>
  <c r="C23" i="15"/>
  <c r="C24" i="15"/>
  <c r="C25" i="15"/>
  <c r="C26" i="15"/>
  <c r="C27" i="15"/>
  <c r="C28" i="15"/>
  <c r="C29" i="15"/>
  <c r="C30" i="15"/>
  <c r="C31" i="15"/>
  <c r="C32" i="15"/>
  <c r="C33" i="15"/>
  <c r="C34" i="15"/>
  <c r="C35" i="15"/>
  <c r="C36" i="15"/>
  <c r="C37" i="15"/>
  <c r="C38" i="15"/>
  <c r="C39" i="15"/>
  <c r="C40" i="15"/>
  <c r="C41" i="15"/>
  <c r="C42" i="15"/>
  <c r="C43" i="15"/>
  <c r="C44" i="15"/>
  <c r="C45" i="15"/>
  <c r="C46" i="15"/>
  <c r="C47" i="15"/>
  <c r="C48" i="15"/>
  <c r="C49" i="15"/>
  <c r="C50" i="15"/>
  <c r="C51" i="15"/>
  <c r="C52" i="15"/>
  <c r="C53" i="15"/>
  <c r="F3" i="15"/>
  <c r="G3" i="15" l="1"/>
  <c r="BI3" i="15"/>
  <c r="AC3" i="15" l="1"/>
  <c r="BH3" i="15" s="1"/>
  <c r="G4" i="15"/>
  <c r="F4" i="15" s="1"/>
  <c r="E3" i="15"/>
  <c r="G5" i="15" l="1"/>
  <c r="F5" i="15" s="1"/>
  <c r="AB3" i="15"/>
  <c r="AD3" i="15" s="1"/>
  <c r="E4" i="15"/>
  <c r="E5" i="15" s="1"/>
  <c r="E6" i="15" s="1"/>
  <c r="E7" i="15" s="1"/>
  <c r="E8" i="15" s="1"/>
  <c r="E9" i="15" s="1"/>
  <c r="E10" i="15" s="1"/>
  <c r="E11" i="15" s="1"/>
  <c r="E12" i="15" s="1"/>
  <c r="E13" i="15" s="1"/>
  <c r="E14" i="15" s="1"/>
  <c r="E15" i="15" s="1"/>
  <c r="E16" i="15" s="1"/>
  <c r="E17" i="15" s="1"/>
  <c r="E18" i="15" s="1"/>
  <c r="E19" i="15" s="1"/>
  <c r="E20" i="15" s="1"/>
  <c r="E21" i="15" s="1"/>
  <c r="E22" i="15" s="1"/>
  <c r="E23" i="15" s="1"/>
  <c r="E24" i="15" s="1"/>
  <c r="E25" i="15" s="1"/>
  <c r="E26" i="15" s="1"/>
  <c r="E27" i="15" s="1"/>
  <c r="E28" i="15" s="1"/>
  <c r="E29" i="15" s="1"/>
  <c r="E30" i="15" s="1"/>
  <c r="E31" i="15" s="1"/>
  <c r="E32" i="15" s="1"/>
  <c r="E33" i="15" s="1"/>
  <c r="E34" i="15" s="1"/>
  <c r="E35" i="15" s="1"/>
  <c r="E36" i="15" s="1"/>
  <c r="E37" i="15" s="1"/>
  <c r="E38" i="15" s="1"/>
  <c r="E39" i="15" s="1"/>
  <c r="E40" i="15" s="1"/>
  <c r="E41" i="15" s="1"/>
  <c r="E42" i="15" s="1"/>
  <c r="E43" i="15" s="1"/>
  <c r="E44" i="15" s="1"/>
  <c r="E45" i="15" s="1"/>
  <c r="E46" i="15" s="1"/>
  <c r="E47" i="15" s="1"/>
  <c r="E48" i="15" s="1"/>
  <c r="E49" i="15" s="1"/>
  <c r="E50" i="15" s="1"/>
  <c r="E51" i="15" s="1"/>
  <c r="E52" i="15" s="1"/>
  <c r="E53" i="15" s="1"/>
  <c r="E54" i="15" s="1"/>
  <c r="E55" i="15" s="1"/>
  <c r="AB55" i="15" s="1"/>
  <c r="AD55" i="15" s="1"/>
  <c r="Z4" i="2"/>
  <c r="AA4" i="2" s="1"/>
  <c r="Z5" i="2"/>
  <c r="AA5" i="2" s="1"/>
  <c r="Z6" i="2"/>
  <c r="AA6" i="2" s="1"/>
  <c r="Z7" i="2"/>
  <c r="AA7" i="2" s="1"/>
  <c r="Z8" i="2"/>
  <c r="AA8" i="2" s="1"/>
  <c r="M2" i="15" s="1"/>
  <c r="Z9" i="2"/>
  <c r="AA9" i="2" s="1"/>
  <c r="N2" i="15" s="1"/>
  <c r="Z10" i="2"/>
  <c r="AA10" i="2" s="1"/>
  <c r="I3" i="6" s="1"/>
  <c r="DD3" i="6" s="1"/>
  <c r="Z11" i="2"/>
  <c r="AA11" i="2" s="1"/>
  <c r="Z12" i="2"/>
  <c r="AA12" i="2" s="1"/>
  <c r="Z3" i="2"/>
  <c r="AA3" i="2" s="1"/>
  <c r="CR2" i="6"/>
  <c r="CO2" i="6"/>
  <c r="CL2" i="6"/>
  <c r="CI2" i="6"/>
  <c r="CF2" i="6"/>
  <c r="CC2" i="6"/>
  <c r="BZ2" i="6"/>
  <c r="BW2" i="6"/>
  <c r="BT2" i="6"/>
  <c r="BQ2" i="6"/>
  <c r="A5" i="7"/>
  <c r="A4" i="7"/>
  <c r="G6" i="15" l="1"/>
  <c r="F6" i="15" s="1"/>
  <c r="AB5" i="15"/>
  <c r="AD5" i="15" s="1"/>
  <c r="AB4" i="15"/>
  <c r="AD4" i="15" s="1"/>
  <c r="AB6" i="15"/>
  <c r="AD6" i="15" s="1"/>
  <c r="E10" i="3"/>
  <c r="H2" i="15"/>
  <c r="E10" i="14"/>
  <c r="AI10" i="3"/>
  <c r="P2" i="15"/>
  <c r="K10" i="14"/>
  <c r="O10" i="3"/>
  <c r="J2" i="15"/>
  <c r="G10" i="14"/>
  <c r="AX10" i="3"/>
  <c r="N10" i="14"/>
  <c r="AD10" i="3"/>
  <c r="O2" i="15"/>
  <c r="J10" i="14"/>
  <c r="J10" i="3"/>
  <c r="I2" i="15"/>
  <c r="F10" i="14"/>
  <c r="AS10" i="3"/>
  <c r="M10" i="14"/>
  <c r="Y10" i="3"/>
  <c r="L2" i="15"/>
  <c r="I10" i="14"/>
  <c r="B3" i="6"/>
  <c r="CW3" i="6" s="1"/>
  <c r="AN10" i="3"/>
  <c r="Q2" i="15"/>
  <c r="L10" i="14"/>
  <c r="T10" i="3"/>
  <c r="K2" i="15"/>
  <c r="H10" i="14"/>
  <c r="E3" i="6"/>
  <c r="CZ3" i="6" s="1"/>
  <c r="BB15" i="6"/>
  <c r="BB11" i="6"/>
  <c r="BB7" i="6"/>
  <c r="F3" i="6"/>
  <c r="DA3" i="6" s="1"/>
  <c r="J3" i="6"/>
  <c r="DE3" i="6" s="1"/>
  <c r="BB14" i="6"/>
  <c r="BB10" i="6"/>
  <c r="C3" i="6"/>
  <c r="CX3" i="6" s="1"/>
  <c r="G3" i="6"/>
  <c r="DB3" i="6" s="1"/>
  <c r="K3" i="6"/>
  <c r="DF3" i="6" s="1"/>
  <c r="BB13" i="6"/>
  <c r="BB9" i="6"/>
  <c r="D3" i="6"/>
  <c r="CY3" i="6" s="1"/>
  <c r="H3" i="6"/>
  <c r="DC3" i="6" s="1"/>
  <c r="BB6" i="6"/>
  <c r="BB12" i="6"/>
  <c r="BB8" i="6"/>
  <c r="I4" i="39"/>
  <c r="G7" i="15" l="1"/>
  <c r="F7" i="15" s="1"/>
  <c r="AB7" i="15"/>
  <c r="AD7" i="15" s="1"/>
  <c r="G8" i="15" l="1"/>
  <c r="F8" i="15" s="1"/>
  <c r="AB8" i="15"/>
  <c r="AD8" i="15" s="1"/>
  <c r="I9" i="2"/>
  <c r="I10" i="2"/>
  <c r="G9" i="15" l="1"/>
  <c r="F9" i="15" s="1"/>
  <c r="AB9" i="15"/>
  <c r="AD9" i="15" s="1"/>
  <c r="AZ12" i="3"/>
  <c r="AY12" i="3"/>
  <c r="AX12" i="3"/>
  <c r="AU12" i="3"/>
  <c r="AT12" i="3"/>
  <c r="AS12" i="3"/>
  <c r="AP12" i="3"/>
  <c r="AO12" i="3"/>
  <c r="AN12" i="3"/>
  <c r="AK12" i="3"/>
  <c r="AJ12" i="3"/>
  <c r="AI12" i="3"/>
  <c r="AF12" i="3"/>
  <c r="AE12" i="3"/>
  <c r="AD12" i="3"/>
  <c r="AA12" i="3"/>
  <c r="Z12" i="3"/>
  <c r="Y12" i="3"/>
  <c r="V12" i="3"/>
  <c r="U12" i="3"/>
  <c r="T12" i="3"/>
  <c r="Q12" i="3"/>
  <c r="P12" i="3"/>
  <c r="O12" i="3"/>
  <c r="L12" i="3"/>
  <c r="K12" i="3"/>
  <c r="J12" i="3"/>
  <c r="G12" i="3"/>
  <c r="F12" i="3"/>
  <c r="G10" i="15" l="1"/>
  <c r="F10" i="15" s="1"/>
  <c r="AB10" i="15"/>
  <c r="AD10" i="15" s="1"/>
  <c r="B13" i="3"/>
  <c r="AP4" i="6" s="1"/>
  <c r="AQ4" i="6"/>
  <c r="AN5" i="6"/>
  <c r="H17" i="12" s="1"/>
  <c r="AN6" i="6"/>
  <c r="H18" i="12" s="1"/>
  <c r="AN7" i="6"/>
  <c r="H19" i="12" s="1"/>
  <c r="AN8" i="6"/>
  <c r="H20" i="12" s="1"/>
  <c r="AN9" i="6"/>
  <c r="H21" i="12" s="1"/>
  <c r="AN10" i="6"/>
  <c r="H22" i="12" s="1"/>
  <c r="AN11" i="6"/>
  <c r="H23" i="12" s="1"/>
  <c r="AN12" i="6"/>
  <c r="H24" i="12" s="1"/>
  <c r="AN13" i="6"/>
  <c r="H25" i="12" s="1"/>
  <c r="AN14" i="6"/>
  <c r="H26" i="12" s="1"/>
  <c r="AN15" i="6"/>
  <c r="H27" i="12" s="1"/>
  <c r="AN16" i="6"/>
  <c r="H28" i="12" s="1"/>
  <c r="AN17" i="6"/>
  <c r="H29" i="12" s="1"/>
  <c r="AN18" i="6"/>
  <c r="H30" i="12" s="1"/>
  <c r="AN19" i="6"/>
  <c r="H31" i="12" s="1"/>
  <c r="AN20" i="6"/>
  <c r="H32" i="12" s="1"/>
  <c r="AN21" i="6"/>
  <c r="H33" i="12" s="1"/>
  <c r="AN22" i="6"/>
  <c r="H34" i="12" s="1"/>
  <c r="AN23" i="6"/>
  <c r="H35" i="12" s="1"/>
  <c r="AN24" i="6"/>
  <c r="H36" i="12" s="1"/>
  <c r="AN25" i="6"/>
  <c r="H37" i="12" s="1"/>
  <c r="AN26" i="6"/>
  <c r="H38" i="12" s="1"/>
  <c r="AN27" i="6"/>
  <c r="H39" i="12" s="1"/>
  <c r="AN28" i="6"/>
  <c r="H40" i="12" s="1"/>
  <c r="AN29" i="6"/>
  <c r="H41" i="12" s="1"/>
  <c r="AN30" i="6"/>
  <c r="H42" i="12" s="1"/>
  <c r="AN31" i="6"/>
  <c r="H43" i="12" s="1"/>
  <c r="AN32" i="6"/>
  <c r="H44" i="12" s="1"/>
  <c r="AN33" i="6"/>
  <c r="H45" i="12" s="1"/>
  <c r="AN34" i="6"/>
  <c r="H46" i="12" s="1"/>
  <c r="AN35" i="6"/>
  <c r="H47" i="12" s="1"/>
  <c r="AN36" i="6"/>
  <c r="H48" i="12" s="1"/>
  <c r="AN37" i="6"/>
  <c r="H49" i="12" s="1"/>
  <c r="AN38" i="6"/>
  <c r="H50" i="12" s="1"/>
  <c r="AN39" i="6"/>
  <c r="H51" i="12" s="1"/>
  <c r="AN40" i="6"/>
  <c r="H52" i="12" s="1"/>
  <c r="AN41" i="6"/>
  <c r="H53" i="12" s="1"/>
  <c r="AN42" i="6"/>
  <c r="H54" i="12" s="1"/>
  <c r="AN43" i="6"/>
  <c r="H55" i="12" s="1"/>
  <c r="AN44" i="6"/>
  <c r="H56" i="12" s="1"/>
  <c r="AN45" i="6"/>
  <c r="H57" i="12" s="1"/>
  <c r="AN46" i="6"/>
  <c r="H58" i="12" s="1"/>
  <c r="AN47" i="6"/>
  <c r="H59" i="12" s="1"/>
  <c r="AN48" i="6"/>
  <c r="H60" i="12" s="1"/>
  <c r="AN49" i="6"/>
  <c r="H61" i="12" s="1"/>
  <c r="AN50" i="6"/>
  <c r="H62" i="12" s="1"/>
  <c r="AN51" i="6"/>
  <c r="H63" i="12" s="1"/>
  <c r="AN52" i="6"/>
  <c r="H64" i="12" s="1"/>
  <c r="AN53" i="6"/>
  <c r="H65" i="12" s="1"/>
  <c r="AN54" i="6"/>
  <c r="H66" i="12" s="1"/>
  <c r="AN55" i="6"/>
  <c r="H67" i="12" s="1"/>
  <c r="AN56" i="6"/>
  <c r="H68" i="12" s="1"/>
  <c r="AN57" i="6"/>
  <c r="H69" i="12" s="1"/>
  <c r="AN58" i="6"/>
  <c r="H70" i="12" s="1"/>
  <c r="AN59" i="6"/>
  <c r="H71" i="12" s="1"/>
  <c r="AN60" i="6"/>
  <c r="H72" i="12" s="1"/>
  <c r="AN61" i="6"/>
  <c r="H73" i="12" s="1"/>
  <c r="AN62" i="6"/>
  <c r="H74" i="12" s="1"/>
  <c r="AN63" i="6"/>
  <c r="H75" i="12" s="1"/>
  <c r="AN64" i="6"/>
  <c r="H76" i="12" s="1"/>
  <c r="AN65" i="6"/>
  <c r="H77" i="12" s="1"/>
  <c r="AN66" i="6"/>
  <c r="H78" i="12" s="1"/>
  <c r="AN67" i="6"/>
  <c r="H79" i="12" s="1"/>
  <c r="AN68" i="6"/>
  <c r="H80" i="12" s="1"/>
  <c r="AN69" i="6"/>
  <c r="H81" i="12" s="1"/>
  <c r="AN70" i="6"/>
  <c r="H82" i="12" s="1"/>
  <c r="AN71" i="6"/>
  <c r="H83" i="12" s="1"/>
  <c r="AN72" i="6"/>
  <c r="H84" i="12" s="1"/>
  <c r="AN73" i="6"/>
  <c r="H85" i="12" s="1"/>
  <c r="AN74" i="6"/>
  <c r="H86" i="12" s="1"/>
  <c r="AN75" i="6"/>
  <c r="H87" i="12" s="1"/>
  <c r="AN76" i="6"/>
  <c r="H88" i="12" s="1"/>
  <c r="AN77" i="6"/>
  <c r="H89" i="12" s="1"/>
  <c r="AN78" i="6"/>
  <c r="H90" i="12" s="1"/>
  <c r="AN79" i="6"/>
  <c r="H91" i="12" s="1"/>
  <c r="AN80" i="6"/>
  <c r="H92" i="12" s="1"/>
  <c r="AN81" i="6"/>
  <c r="H93" i="12" s="1"/>
  <c r="AN82" i="6"/>
  <c r="H94" i="12" s="1"/>
  <c r="AN83" i="6"/>
  <c r="H95" i="12" s="1"/>
  <c r="AN84" i="6"/>
  <c r="H96" i="12" s="1"/>
  <c r="AN85" i="6"/>
  <c r="H97" i="12" s="1"/>
  <c r="AN86" i="6"/>
  <c r="H98" i="12" s="1"/>
  <c r="AN87" i="6"/>
  <c r="H99" i="12" s="1"/>
  <c r="AN88" i="6"/>
  <c r="H100" i="12" s="1"/>
  <c r="AN89" i="6"/>
  <c r="H101" i="12" s="1"/>
  <c r="AN90" i="6"/>
  <c r="H102" i="12" s="1"/>
  <c r="AN91" i="6"/>
  <c r="H103" i="12" s="1"/>
  <c r="AN92" i="6"/>
  <c r="H104" i="12" s="1"/>
  <c r="AN93" i="6"/>
  <c r="H105" i="12" s="1"/>
  <c r="AN94" i="6"/>
  <c r="H106" i="12" s="1"/>
  <c r="AN95" i="6"/>
  <c r="H107" i="12" s="1"/>
  <c r="AN96" i="6"/>
  <c r="H108" i="12" s="1"/>
  <c r="AN97" i="6"/>
  <c r="H109" i="12" s="1"/>
  <c r="AN98" i="6"/>
  <c r="H110" i="12" s="1"/>
  <c r="AN99" i="6"/>
  <c r="H111" i="12" s="1"/>
  <c r="AN100" i="6"/>
  <c r="H112" i="12" s="1"/>
  <c r="AN101" i="6"/>
  <c r="H113" i="12" s="1"/>
  <c r="AN102" i="6"/>
  <c r="H114" i="12" s="1"/>
  <c r="AN103" i="6"/>
  <c r="H115" i="12" s="1"/>
  <c r="AN104" i="6"/>
  <c r="H116" i="12" s="1"/>
  <c r="AN105" i="6"/>
  <c r="H117" i="12" s="1"/>
  <c r="AN106" i="6"/>
  <c r="H118" i="12" s="1"/>
  <c r="AN107" i="6"/>
  <c r="H119" i="12" s="1"/>
  <c r="AN108" i="6"/>
  <c r="H120" i="12" s="1"/>
  <c r="AN109" i="6"/>
  <c r="H121" i="12" s="1"/>
  <c r="AN110" i="6"/>
  <c r="H122" i="12" s="1"/>
  <c r="AN111" i="6"/>
  <c r="H123" i="12" s="1"/>
  <c r="AN112" i="6"/>
  <c r="H124" i="12" s="1"/>
  <c r="AN113" i="6"/>
  <c r="H125" i="12" s="1"/>
  <c r="AN114" i="6"/>
  <c r="H126" i="12" s="1"/>
  <c r="AN115" i="6"/>
  <c r="H127" i="12" s="1"/>
  <c r="AN116" i="6"/>
  <c r="H128" i="12" s="1"/>
  <c r="AN117" i="6"/>
  <c r="H129" i="12" s="1"/>
  <c r="AN118" i="6"/>
  <c r="H130" i="12" s="1"/>
  <c r="AN119" i="6"/>
  <c r="H131" i="12" s="1"/>
  <c r="AN120" i="6"/>
  <c r="H132" i="12" s="1"/>
  <c r="AN121" i="6"/>
  <c r="H133" i="12" s="1"/>
  <c r="AN122" i="6"/>
  <c r="H134" i="12" s="1"/>
  <c r="AN123" i="6"/>
  <c r="H135" i="12" s="1"/>
  <c r="AN124" i="6"/>
  <c r="H136" i="12" s="1"/>
  <c r="AN125" i="6"/>
  <c r="H137" i="12" s="1"/>
  <c r="AN126" i="6"/>
  <c r="H138" i="12" s="1"/>
  <c r="AN127" i="6"/>
  <c r="H139" i="12" s="1"/>
  <c r="AN128" i="6"/>
  <c r="H140" i="12" s="1"/>
  <c r="AN129" i="6"/>
  <c r="H141" i="12" s="1"/>
  <c r="AN130" i="6"/>
  <c r="H142" i="12" s="1"/>
  <c r="AN131" i="6"/>
  <c r="H143" i="12" s="1"/>
  <c r="AN132" i="6"/>
  <c r="H144" i="12" s="1"/>
  <c r="AN133" i="6"/>
  <c r="H145" i="12" s="1"/>
  <c r="AN134" i="6"/>
  <c r="H146" i="12" s="1"/>
  <c r="AN135" i="6"/>
  <c r="H147" i="12" s="1"/>
  <c r="AN136" i="6"/>
  <c r="H148" i="12" s="1"/>
  <c r="AN137" i="6"/>
  <c r="H149" i="12" s="1"/>
  <c r="AN138" i="6"/>
  <c r="H150" i="12" s="1"/>
  <c r="AN139" i="6"/>
  <c r="H151" i="12" s="1"/>
  <c r="AN140" i="6"/>
  <c r="H152" i="12" s="1"/>
  <c r="AN141" i="6"/>
  <c r="H153" i="12" s="1"/>
  <c r="AN142" i="6"/>
  <c r="H154" i="12" s="1"/>
  <c r="AN143" i="6"/>
  <c r="H155" i="12" s="1"/>
  <c r="AN144" i="6"/>
  <c r="H156" i="12" s="1"/>
  <c r="AN145" i="6"/>
  <c r="H157" i="12" s="1"/>
  <c r="AN146" i="6"/>
  <c r="H158" i="12" s="1"/>
  <c r="AN147" i="6"/>
  <c r="H159" i="12" s="1"/>
  <c r="AN148" i="6"/>
  <c r="H160" i="12" s="1"/>
  <c r="AN149" i="6"/>
  <c r="H161" i="12" s="1"/>
  <c r="AN150" i="6"/>
  <c r="H162" i="12" s="1"/>
  <c r="AN151" i="6"/>
  <c r="H163" i="12" s="1"/>
  <c r="AN152" i="6"/>
  <c r="H164" i="12" s="1"/>
  <c r="AN153" i="6"/>
  <c r="H165" i="12" s="1"/>
  <c r="AN154" i="6"/>
  <c r="H166" i="12" s="1"/>
  <c r="AN155" i="6"/>
  <c r="H167" i="12" s="1"/>
  <c r="AN156" i="6"/>
  <c r="H168" i="12" s="1"/>
  <c r="AN157" i="6"/>
  <c r="H169" i="12" s="1"/>
  <c r="AN158" i="6"/>
  <c r="H170" i="12" s="1"/>
  <c r="AN159" i="6"/>
  <c r="H171" i="12" s="1"/>
  <c r="AN160" i="6"/>
  <c r="H172" i="12" s="1"/>
  <c r="AN161" i="6"/>
  <c r="H173" i="12" s="1"/>
  <c r="AN162" i="6"/>
  <c r="H174" i="12" s="1"/>
  <c r="AN163" i="6"/>
  <c r="H175" i="12" s="1"/>
  <c r="AN164" i="6"/>
  <c r="H176" i="12" s="1"/>
  <c r="AN165" i="6"/>
  <c r="H177" i="12" s="1"/>
  <c r="AN166" i="6"/>
  <c r="H178" i="12" s="1"/>
  <c r="AN167" i="6"/>
  <c r="H179" i="12" s="1"/>
  <c r="AN168" i="6"/>
  <c r="H180" i="12" s="1"/>
  <c r="AN169" i="6"/>
  <c r="H181" i="12" s="1"/>
  <c r="AN170" i="6"/>
  <c r="H182" i="12" s="1"/>
  <c r="AN171" i="6"/>
  <c r="H183" i="12" s="1"/>
  <c r="AN172" i="6"/>
  <c r="H184" i="12" s="1"/>
  <c r="AN173" i="6"/>
  <c r="H185" i="12" s="1"/>
  <c r="AN174" i="6"/>
  <c r="H186" i="12" s="1"/>
  <c r="AN175" i="6"/>
  <c r="H187" i="12" s="1"/>
  <c r="AN176" i="6"/>
  <c r="H188" i="12" s="1"/>
  <c r="AN177" i="6"/>
  <c r="H189" i="12" s="1"/>
  <c r="AN178" i="6"/>
  <c r="H190" i="12" s="1"/>
  <c r="AN179" i="6"/>
  <c r="H191" i="12" s="1"/>
  <c r="AN180" i="6"/>
  <c r="H192" i="12" s="1"/>
  <c r="AN181" i="6"/>
  <c r="H193" i="12" s="1"/>
  <c r="AN182" i="6"/>
  <c r="H194" i="12" s="1"/>
  <c r="AN183" i="6"/>
  <c r="H195" i="12" s="1"/>
  <c r="AN184" i="6"/>
  <c r="H196" i="12" s="1"/>
  <c r="AN185" i="6"/>
  <c r="H197" i="12" s="1"/>
  <c r="AN186" i="6"/>
  <c r="H198" i="12" s="1"/>
  <c r="AN187" i="6"/>
  <c r="H199" i="12" s="1"/>
  <c r="AN188" i="6"/>
  <c r="H200" i="12" s="1"/>
  <c r="AN189" i="6"/>
  <c r="H201" i="12" s="1"/>
  <c r="AN190" i="6"/>
  <c r="H202" i="12" s="1"/>
  <c r="AN191" i="6"/>
  <c r="H203" i="12" s="1"/>
  <c r="AN192" i="6"/>
  <c r="H204" i="12" s="1"/>
  <c r="AN193" i="6"/>
  <c r="H205" i="12" s="1"/>
  <c r="AN194" i="6"/>
  <c r="H206" i="12" s="1"/>
  <c r="AN195" i="6"/>
  <c r="H207" i="12" s="1"/>
  <c r="AN196" i="6"/>
  <c r="H208" i="12" s="1"/>
  <c r="AN197" i="6"/>
  <c r="H209" i="12" s="1"/>
  <c r="AN198" i="6"/>
  <c r="H210" i="12" s="1"/>
  <c r="AN199" i="6"/>
  <c r="H211" i="12" s="1"/>
  <c r="AN200" i="6"/>
  <c r="H212" i="12" s="1"/>
  <c r="AN201" i="6"/>
  <c r="H213" i="12" s="1"/>
  <c r="AN202" i="6"/>
  <c r="H214" i="12" s="1"/>
  <c r="AN203" i="6"/>
  <c r="H215" i="12" s="1"/>
  <c r="AN204" i="6"/>
  <c r="H216" i="12" s="1"/>
  <c r="AN205" i="6"/>
  <c r="H217" i="12" s="1"/>
  <c r="AN206" i="6"/>
  <c r="H218" i="12" s="1"/>
  <c r="AN207" i="6"/>
  <c r="H219" i="12" s="1"/>
  <c r="AN208" i="6"/>
  <c r="H220" i="12" s="1"/>
  <c r="AN209" i="6"/>
  <c r="H221" i="12" s="1"/>
  <c r="AN210" i="6"/>
  <c r="H222" i="12" s="1"/>
  <c r="AN211" i="6"/>
  <c r="H223" i="12" s="1"/>
  <c r="AN212" i="6"/>
  <c r="H224" i="12" s="1"/>
  <c r="AN213" i="6"/>
  <c r="H225" i="12" s="1"/>
  <c r="AN214" i="6"/>
  <c r="H226" i="12" s="1"/>
  <c r="AN215" i="6"/>
  <c r="H227" i="12" s="1"/>
  <c r="AN216" i="6"/>
  <c r="H228" i="12" s="1"/>
  <c r="AN217" i="6"/>
  <c r="H229" i="12" s="1"/>
  <c r="AN218" i="6"/>
  <c r="H230" i="12" s="1"/>
  <c r="AN219" i="6"/>
  <c r="H231" i="12" s="1"/>
  <c r="AN220" i="6"/>
  <c r="H232" i="12" s="1"/>
  <c r="AN221" i="6"/>
  <c r="H233" i="12" s="1"/>
  <c r="AN222" i="6"/>
  <c r="H234" i="12" s="1"/>
  <c r="AN223" i="6"/>
  <c r="H235" i="12" s="1"/>
  <c r="AN224" i="6"/>
  <c r="H236" i="12" s="1"/>
  <c r="AN225" i="6"/>
  <c r="H237" i="12" s="1"/>
  <c r="AN226" i="6"/>
  <c r="H238" i="12" s="1"/>
  <c r="AN227" i="6"/>
  <c r="H239" i="12" s="1"/>
  <c r="AN228" i="6"/>
  <c r="H240" i="12" s="1"/>
  <c r="AN229" i="6"/>
  <c r="H241" i="12" s="1"/>
  <c r="AN230" i="6"/>
  <c r="H242" i="12" s="1"/>
  <c r="AN231" i="6"/>
  <c r="H243" i="12" s="1"/>
  <c r="AN232" i="6"/>
  <c r="H244" i="12" s="1"/>
  <c r="AN233" i="6"/>
  <c r="H245" i="12" s="1"/>
  <c r="AN234" i="6"/>
  <c r="H246" i="12" s="1"/>
  <c r="AN235" i="6"/>
  <c r="H247" i="12" s="1"/>
  <c r="AN236" i="6"/>
  <c r="H248" i="12" s="1"/>
  <c r="AN237" i="6"/>
  <c r="H249" i="12" s="1"/>
  <c r="AN238" i="6"/>
  <c r="H250" i="12" s="1"/>
  <c r="AN239" i="6"/>
  <c r="H251" i="12" s="1"/>
  <c r="AN240" i="6"/>
  <c r="H252" i="12" s="1"/>
  <c r="AN241" i="6"/>
  <c r="H253" i="12" s="1"/>
  <c r="AN242" i="6"/>
  <c r="H254" i="12" s="1"/>
  <c r="AN243" i="6"/>
  <c r="H255" i="12" s="1"/>
  <c r="AN244" i="6"/>
  <c r="H256" i="12" s="1"/>
  <c r="AN245" i="6"/>
  <c r="H257" i="12" s="1"/>
  <c r="AN246" i="6"/>
  <c r="H258" i="12" s="1"/>
  <c r="AN247" i="6"/>
  <c r="H259" i="12" s="1"/>
  <c r="AN248" i="6"/>
  <c r="H260" i="12" s="1"/>
  <c r="AN249" i="6"/>
  <c r="H261" i="12" s="1"/>
  <c r="AN250" i="6"/>
  <c r="H262" i="12" s="1"/>
  <c r="AN251" i="6"/>
  <c r="H263" i="12" s="1"/>
  <c r="AN252" i="6"/>
  <c r="H264" i="12" s="1"/>
  <c r="AN253" i="6"/>
  <c r="H265" i="12" s="1"/>
  <c r="AN254" i="6"/>
  <c r="H266" i="12" s="1"/>
  <c r="AN255" i="6"/>
  <c r="H267" i="12" s="1"/>
  <c r="AN256" i="6"/>
  <c r="H268" i="12" s="1"/>
  <c r="AN257" i="6"/>
  <c r="H269" i="12" s="1"/>
  <c r="AN258" i="6"/>
  <c r="H270" i="12" s="1"/>
  <c r="AN259" i="6"/>
  <c r="H271" i="12" s="1"/>
  <c r="AN260" i="6"/>
  <c r="H272" i="12" s="1"/>
  <c r="AN261" i="6"/>
  <c r="H273" i="12" s="1"/>
  <c r="AN262" i="6"/>
  <c r="H274" i="12" s="1"/>
  <c r="AN263" i="6"/>
  <c r="H275" i="12" s="1"/>
  <c r="AN4" i="6"/>
  <c r="H16" i="12" s="1"/>
  <c r="G11" i="15" l="1"/>
  <c r="F11" i="15" s="1"/>
  <c r="BT4" i="6"/>
  <c r="BX4" i="6"/>
  <c r="CB4" i="6"/>
  <c r="CF4" i="6"/>
  <c r="CJ4" i="6"/>
  <c r="CN4" i="6"/>
  <c r="CR4" i="6"/>
  <c r="BQ4" i="6"/>
  <c r="BU4" i="6"/>
  <c r="BY4" i="6"/>
  <c r="CC4" i="6"/>
  <c r="CG4" i="6"/>
  <c r="CK4" i="6"/>
  <c r="CO4" i="6"/>
  <c r="CS4" i="6"/>
  <c r="BR4" i="6"/>
  <c r="BV4" i="6"/>
  <c r="BZ4" i="6"/>
  <c r="CD4" i="6"/>
  <c r="CH4" i="6"/>
  <c r="CL4" i="6"/>
  <c r="CP4" i="6"/>
  <c r="CT4" i="6"/>
  <c r="BS4" i="6"/>
  <c r="BW4" i="6"/>
  <c r="CA4" i="6"/>
  <c r="CE4" i="6"/>
  <c r="CI4" i="6"/>
  <c r="CM4" i="6"/>
  <c r="CQ4" i="6"/>
  <c r="BT248" i="6"/>
  <c r="BX248" i="6"/>
  <c r="CB248" i="6"/>
  <c r="CF248" i="6"/>
  <c r="CJ248" i="6"/>
  <c r="CN248" i="6"/>
  <c r="CR248" i="6"/>
  <c r="BQ248" i="6"/>
  <c r="BU248" i="6"/>
  <c r="BY248" i="6"/>
  <c r="CC248" i="6"/>
  <c r="CG248" i="6"/>
  <c r="CK248" i="6"/>
  <c r="CO248" i="6"/>
  <c r="CS248" i="6"/>
  <c r="BR248" i="6"/>
  <c r="BV248" i="6"/>
  <c r="BZ248" i="6"/>
  <c r="CD248" i="6"/>
  <c r="CH248" i="6"/>
  <c r="CL248" i="6"/>
  <c r="CP248" i="6"/>
  <c r="CT248" i="6"/>
  <c r="BS248" i="6"/>
  <c r="BW248" i="6"/>
  <c r="CA248" i="6"/>
  <c r="CE248" i="6"/>
  <c r="CI248" i="6"/>
  <c r="CM248" i="6"/>
  <c r="CQ248" i="6"/>
  <c r="BQ232" i="6"/>
  <c r="BU232" i="6"/>
  <c r="BY232" i="6"/>
  <c r="CC232" i="6"/>
  <c r="CG232" i="6"/>
  <c r="CK232" i="6"/>
  <c r="CO232" i="6"/>
  <c r="CS232" i="6"/>
  <c r="BR232" i="6"/>
  <c r="BV232" i="6"/>
  <c r="BZ232" i="6"/>
  <c r="CD232" i="6"/>
  <c r="CH232" i="6"/>
  <c r="CL232" i="6"/>
  <c r="CP232" i="6"/>
  <c r="CT232" i="6"/>
  <c r="BS232" i="6"/>
  <c r="BW232" i="6"/>
  <c r="CA232" i="6"/>
  <c r="CE232" i="6"/>
  <c r="CI232" i="6"/>
  <c r="CM232" i="6"/>
  <c r="CQ232" i="6"/>
  <c r="BT232" i="6"/>
  <c r="BX232" i="6"/>
  <c r="CB232" i="6"/>
  <c r="CF232" i="6"/>
  <c r="CJ232" i="6"/>
  <c r="CN232" i="6"/>
  <c r="CR232" i="6"/>
  <c r="BT262" i="6"/>
  <c r="BX262" i="6"/>
  <c r="CB262" i="6"/>
  <c r="CF262" i="6"/>
  <c r="CJ262" i="6"/>
  <c r="CN262" i="6"/>
  <c r="CR262" i="6"/>
  <c r="BQ262" i="6"/>
  <c r="BU262" i="6"/>
  <c r="BY262" i="6"/>
  <c r="CC262" i="6"/>
  <c r="CG262" i="6"/>
  <c r="CK262" i="6"/>
  <c r="CO262" i="6"/>
  <c r="CS262" i="6"/>
  <c r="BR262" i="6"/>
  <c r="BV262" i="6"/>
  <c r="BZ262" i="6"/>
  <c r="CD262" i="6"/>
  <c r="CH262" i="6"/>
  <c r="CL262" i="6"/>
  <c r="CP262" i="6"/>
  <c r="CT262" i="6"/>
  <c r="BS262" i="6"/>
  <c r="BW262" i="6"/>
  <c r="CA262" i="6"/>
  <c r="CE262" i="6"/>
  <c r="CI262" i="6"/>
  <c r="CM262" i="6"/>
  <c r="CQ262" i="6"/>
  <c r="BT254" i="6"/>
  <c r="BX254" i="6"/>
  <c r="CB254" i="6"/>
  <c r="CF254" i="6"/>
  <c r="CJ254" i="6"/>
  <c r="CN254" i="6"/>
  <c r="CR254" i="6"/>
  <c r="BQ254" i="6"/>
  <c r="BU254" i="6"/>
  <c r="BY254" i="6"/>
  <c r="CC254" i="6"/>
  <c r="CG254" i="6"/>
  <c r="CK254" i="6"/>
  <c r="CO254" i="6"/>
  <c r="CS254" i="6"/>
  <c r="BR254" i="6"/>
  <c r="BV254" i="6"/>
  <c r="BZ254" i="6"/>
  <c r="CD254" i="6"/>
  <c r="CH254" i="6"/>
  <c r="CL254" i="6"/>
  <c r="CP254" i="6"/>
  <c r="CT254" i="6"/>
  <c r="BS254" i="6"/>
  <c r="BW254" i="6"/>
  <c r="CA254" i="6"/>
  <c r="CE254" i="6"/>
  <c r="CI254" i="6"/>
  <c r="CM254" i="6"/>
  <c r="CQ254" i="6"/>
  <c r="BT250" i="6"/>
  <c r="BX250" i="6"/>
  <c r="CB250" i="6"/>
  <c r="CF250" i="6"/>
  <c r="CJ250" i="6"/>
  <c r="CN250" i="6"/>
  <c r="CR250" i="6"/>
  <c r="BQ250" i="6"/>
  <c r="BU250" i="6"/>
  <c r="BY250" i="6"/>
  <c r="CC250" i="6"/>
  <c r="CG250" i="6"/>
  <c r="CK250" i="6"/>
  <c r="CO250" i="6"/>
  <c r="CS250" i="6"/>
  <c r="BR250" i="6"/>
  <c r="BV250" i="6"/>
  <c r="BZ250" i="6"/>
  <c r="CD250" i="6"/>
  <c r="CH250" i="6"/>
  <c r="CL250" i="6"/>
  <c r="CP250" i="6"/>
  <c r="CT250" i="6"/>
  <c r="BS250" i="6"/>
  <c r="BW250" i="6"/>
  <c r="CA250" i="6"/>
  <c r="CE250" i="6"/>
  <c r="CI250" i="6"/>
  <c r="CM250" i="6"/>
  <c r="CQ250" i="6"/>
  <c r="BT242" i="6"/>
  <c r="BX242" i="6"/>
  <c r="CB242" i="6"/>
  <c r="CF242" i="6"/>
  <c r="CJ242" i="6"/>
  <c r="CN242" i="6"/>
  <c r="CR242" i="6"/>
  <c r="BQ242" i="6"/>
  <c r="BU242" i="6"/>
  <c r="BY242" i="6"/>
  <c r="CC242" i="6"/>
  <c r="CG242" i="6"/>
  <c r="CK242" i="6"/>
  <c r="CO242" i="6"/>
  <c r="CS242" i="6"/>
  <c r="BR242" i="6"/>
  <c r="BV242" i="6"/>
  <c r="BZ242" i="6"/>
  <c r="CD242" i="6"/>
  <c r="CH242" i="6"/>
  <c r="CL242" i="6"/>
  <c r="CP242" i="6"/>
  <c r="CT242" i="6"/>
  <c r="BS242" i="6"/>
  <c r="BW242" i="6"/>
  <c r="CA242" i="6"/>
  <c r="CE242" i="6"/>
  <c r="CI242" i="6"/>
  <c r="CM242" i="6"/>
  <c r="CQ242" i="6"/>
  <c r="BQ234" i="6"/>
  <c r="BU234" i="6"/>
  <c r="BY234" i="6"/>
  <c r="CC234" i="6"/>
  <c r="CG234" i="6"/>
  <c r="CK234" i="6"/>
  <c r="CO234" i="6"/>
  <c r="CS234" i="6"/>
  <c r="BR234" i="6"/>
  <c r="BV234" i="6"/>
  <c r="BZ234" i="6"/>
  <c r="CD234" i="6"/>
  <c r="CH234" i="6"/>
  <c r="CL234" i="6"/>
  <c r="CP234" i="6"/>
  <c r="CT234" i="6"/>
  <c r="BS234" i="6"/>
  <c r="BW234" i="6"/>
  <c r="CA234" i="6"/>
  <c r="CE234" i="6"/>
  <c r="CI234" i="6"/>
  <c r="CM234" i="6"/>
  <c r="CQ234" i="6"/>
  <c r="BT234" i="6"/>
  <c r="BX234" i="6"/>
  <c r="CB234" i="6"/>
  <c r="CF234" i="6"/>
  <c r="CJ234" i="6"/>
  <c r="CN234" i="6"/>
  <c r="CR234" i="6"/>
  <c r="BQ226" i="6"/>
  <c r="BU226" i="6"/>
  <c r="BY226" i="6"/>
  <c r="CC226" i="6"/>
  <c r="CG226" i="6"/>
  <c r="CK226" i="6"/>
  <c r="CO226" i="6"/>
  <c r="CS226" i="6"/>
  <c r="BR226" i="6"/>
  <c r="BV226" i="6"/>
  <c r="BZ226" i="6"/>
  <c r="CD226" i="6"/>
  <c r="CH226" i="6"/>
  <c r="CL226" i="6"/>
  <c r="CP226" i="6"/>
  <c r="CT226" i="6"/>
  <c r="BS226" i="6"/>
  <c r="BW226" i="6"/>
  <c r="CA226" i="6"/>
  <c r="CE226" i="6"/>
  <c r="CI226" i="6"/>
  <c r="CM226" i="6"/>
  <c r="CQ226" i="6"/>
  <c r="BT226" i="6"/>
  <c r="BX226" i="6"/>
  <c r="CB226" i="6"/>
  <c r="CF226" i="6"/>
  <c r="CJ226" i="6"/>
  <c r="CN226" i="6"/>
  <c r="CR226" i="6"/>
  <c r="BQ218" i="6"/>
  <c r="BU218" i="6"/>
  <c r="BY218" i="6"/>
  <c r="CC218" i="6"/>
  <c r="CG218" i="6"/>
  <c r="CK218" i="6"/>
  <c r="CO218" i="6"/>
  <c r="CS218" i="6"/>
  <c r="BR218" i="6"/>
  <c r="BV218" i="6"/>
  <c r="BZ218" i="6"/>
  <c r="CD218" i="6"/>
  <c r="CH218" i="6"/>
  <c r="CL218" i="6"/>
  <c r="CP218" i="6"/>
  <c r="CT218" i="6"/>
  <c r="BS218" i="6"/>
  <c r="BW218" i="6"/>
  <c r="CA218" i="6"/>
  <c r="CE218" i="6"/>
  <c r="CI218" i="6"/>
  <c r="CM218" i="6"/>
  <c r="CQ218" i="6"/>
  <c r="BT218" i="6"/>
  <c r="BX218" i="6"/>
  <c r="CB218" i="6"/>
  <c r="CF218" i="6"/>
  <c r="CJ218" i="6"/>
  <c r="CN218" i="6"/>
  <c r="CR218" i="6"/>
  <c r="BR261" i="6"/>
  <c r="BV261" i="6"/>
  <c r="BZ261" i="6"/>
  <c r="CD261" i="6"/>
  <c r="CH261" i="6"/>
  <c r="CL261" i="6"/>
  <c r="CP261" i="6"/>
  <c r="CT261" i="6"/>
  <c r="BS261" i="6"/>
  <c r="BW261" i="6"/>
  <c r="CA261" i="6"/>
  <c r="CE261" i="6"/>
  <c r="CI261" i="6"/>
  <c r="CM261" i="6"/>
  <c r="CQ261" i="6"/>
  <c r="BT261" i="6"/>
  <c r="BX261" i="6"/>
  <c r="CB261" i="6"/>
  <c r="CF261" i="6"/>
  <c r="CJ261" i="6"/>
  <c r="CN261" i="6"/>
  <c r="CR261" i="6"/>
  <c r="BQ261" i="6"/>
  <c r="BU261" i="6"/>
  <c r="BY261" i="6"/>
  <c r="CC261" i="6"/>
  <c r="CG261" i="6"/>
  <c r="CK261" i="6"/>
  <c r="CO261" i="6"/>
  <c r="CS261" i="6"/>
  <c r="BR257" i="6"/>
  <c r="BV257" i="6"/>
  <c r="BZ257" i="6"/>
  <c r="CD257" i="6"/>
  <c r="CH257" i="6"/>
  <c r="CL257" i="6"/>
  <c r="CP257" i="6"/>
  <c r="CT257" i="6"/>
  <c r="BS257" i="6"/>
  <c r="BW257" i="6"/>
  <c r="CA257" i="6"/>
  <c r="CE257" i="6"/>
  <c r="CI257" i="6"/>
  <c r="CM257" i="6"/>
  <c r="CQ257" i="6"/>
  <c r="BT257" i="6"/>
  <c r="BX257" i="6"/>
  <c r="CB257" i="6"/>
  <c r="CF257" i="6"/>
  <c r="CJ257" i="6"/>
  <c r="CN257" i="6"/>
  <c r="CR257" i="6"/>
  <c r="BQ257" i="6"/>
  <c r="BU257" i="6"/>
  <c r="BY257" i="6"/>
  <c r="CC257" i="6"/>
  <c r="CG257" i="6"/>
  <c r="CK257" i="6"/>
  <c r="CO257" i="6"/>
  <c r="CS257" i="6"/>
  <c r="BR253" i="6"/>
  <c r="BV253" i="6"/>
  <c r="BZ253" i="6"/>
  <c r="CD253" i="6"/>
  <c r="CH253" i="6"/>
  <c r="CL253" i="6"/>
  <c r="CP253" i="6"/>
  <c r="CT253" i="6"/>
  <c r="BS253" i="6"/>
  <c r="BW253" i="6"/>
  <c r="CA253" i="6"/>
  <c r="CE253" i="6"/>
  <c r="CI253" i="6"/>
  <c r="CM253" i="6"/>
  <c r="CQ253" i="6"/>
  <c r="BT253" i="6"/>
  <c r="BX253" i="6"/>
  <c r="CB253" i="6"/>
  <c r="CF253" i="6"/>
  <c r="CJ253" i="6"/>
  <c r="CN253" i="6"/>
  <c r="CR253" i="6"/>
  <c r="BQ253" i="6"/>
  <c r="BU253" i="6"/>
  <c r="BY253" i="6"/>
  <c r="CC253" i="6"/>
  <c r="CG253" i="6"/>
  <c r="CK253" i="6"/>
  <c r="CO253" i="6"/>
  <c r="CS253" i="6"/>
  <c r="BR249" i="6"/>
  <c r="BV249" i="6"/>
  <c r="BZ249" i="6"/>
  <c r="CD249" i="6"/>
  <c r="CH249" i="6"/>
  <c r="CL249" i="6"/>
  <c r="CP249" i="6"/>
  <c r="CT249" i="6"/>
  <c r="BS249" i="6"/>
  <c r="BW249" i="6"/>
  <c r="CA249" i="6"/>
  <c r="CE249" i="6"/>
  <c r="CI249" i="6"/>
  <c r="CM249" i="6"/>
  <c r="CQ249" i="6"/>
  <c r="BT249" i="6"/>
  <c r="BX249" i="6"/>
  <c r="CB249" i="6"/>
  <c r="CF249" i="6"/>
  <c r="CJ249" i="6"/>
  <c r="CN249" i="6"/>
  <c r="CR249" i="6"/>
  <c r="BQ249" i="6"/>
  <c r="BU249" i="6"/>
  <c r="BY249" i="6"/>
  <c r="CC249" i="6"/>
  <c r="CG249" i="6"/>
  <c r="CK249" i="6"/>
  <c r="CO249" i="6"/>
  <c r="CS249" i="6"/>
  <c r="BR245" i="6"/>
  <c r="BV245" i="6"/>
  <c r="BZ245" i="6"/>
  <c r="CD245" i="6"/>
  <c r="CH245" i="6"/>
  <c r="CL245" i="6"/>
  <c r="CP245" i="6"/>
  <c r="CT245" i="6"/>
  <c r="BS245" i="6"/>
  <c r="BW245" i="6"/>
  <c r="CA245" i="6"/>
  <c r="CE245" i="6"/>
  <c r="CI245" i="6"/>
  <c r="CM245" i="6"/>
  <c r="CQ245" i="6"/>
  <c r="BT245" i="6"/>
  <c r="BX245" i="6"/>
  <c r="CB245" i="6"/>
  <c r="CF245" i="6"/>
  <c r="CJ245" i="6"/>
  <c r="CN245" i="6"/>
  <c r="CR245" i="6"/>
  <c r="BQ245" i="6"/>
  <c r="BU245" i="6"/>
  <c r="BY245" i="6"/>
  <c r="CC245" i="6"/>
  <c r="CG245" i="6"/>
  <c r="CK245" i="6"/>
  <c r="CO245" i="6"/>
  <c r="CS245" i="6"/>
  <c r="BR241" i="6"/>
  <c r="BV241" i="6"/>
  <c r="BZ241" i="6"/>
  <c r="CD241" i="6"/>
  <c r="CH241" i="6"/>
  <c r="CL241" i="6"/>
  <c r="CP241" i="6"/>
  <c r="CT241" i="6"/>
  <c r="BS241" i="6"/>
  <c r="BW241" i="6"/>
  <c r="CA241" i="6"/>
  <c r="CE241" i="6"/>
  <c r="CI241" i="6"/>
  <c r="CM241" i="6"/>
  <c r="CQ241" i="6"/>
  <c r="BT241" i="6"/>
  <c r="BX241" i="6"/>
  <c r="CB241" i="6"/>
  <c r="CF241" i="6"/>
  <c r="CJ241" i="6"/>
  <c r="CN241" i="6"/>
  <c r="CR241" i="6"/>
  <c r="BQ241" i="6"/>
  <c r="BU241" i="6"/>
  <c r="BY241" i="6"/>
  <c r="CC241" i="6"/>
  <c r="CG241" i="6"/>
  <c r="CK241" i="6"/>
  <c r="CO241" i="6"/>
  <c r="CS241" i="6"/>
  <c r="BR237" i="6"/>
  <c r="BV237" i="6"/>
  <c r="BZ237" i="6"/>
  <c r="CD237" i="6"/>
  <c r="CH237" i="6"/>
  <c r="CL237" i="6"/>
  <c r="CP237" i="6"/>
  <c r="CT237" i="6"/>
  <c r="BS237" i="6"/>
  <c r="BW237" i="6"/>
  <c r="CA237" i="6"/>
  <c r="CE237" i="6"/>
  <c r="CI237" i="6"/>
  <c r="CM237" i="6"/>
  <c r="CQ237" i="6"/>
  <c r="BT237" i="6"/>
  <c r="BX237" i="6"/>
  <c r="CB237" i="6"/>
  <c r="CF237" i="6"/>
  <c r="CJ237" i="6"/>
  <c r="CN237" i="6"/>
  <c r="CR237" i="6"/>
  <c r="BQ237" i="6"/>
  <c r="BU237" i="6"/>
  <c r="BY237" i="6"/>
  <c r="CC237" i="6"/>
  <c r="CG237" i="6"/>
  <c r="CK237" i="6"/>
  <c r="CO237" i="6"/>
  <c r="CS237" i="6"/>
  <c r="BS233" i="6"/>
  <c r="BW233" i="6"/>
  <c r="CA233" i="6"/>
  <c r="CE233" i="6"/>
  <c r="CI233" i="6"/>
  <c r="CM233" i="6"/>
  <c r="CQ233" i="6"/>
  <c r="BT233" i="6"/>
  <c r="BX233" i="6"/>
  <c r="CB233" i="6"/>
  <c r="CF233" i="6"/>
  <c r="CJ233" i="6"/>
  <c r="CN233" i="6"/>
  <c r="CR233" i="6"/>
  <c r="BQ233" i="6"/>
  <c r="BU233" i="6"/>
  <c r="BY233" i="6"/>
  <c r="CC233" i="6"/>
  <c r="CG233" i="6"/>
  <c r="CK233" i="6"/>
  <c r="CO233" i="6"/>
  <c r="CS233" i="6"/>
  <c r="BR233" i="6"/>
  <c r="BV233" i="6"/>
  <c r="BZ233" i="6"/>
  <c r="CD233" i="6"/>
  <c r="CH233" i="6"/>
  <c r="CL233" i="6"/>
  <c r="CP233" i="6"/>
  <c r="CT233" i="6"/>
  <c r="BS229" i="6"/>
  <c r="BW229" i="6"/>
  <c r="CA229" i="6"/>
  <c r="CE229" i="6"/>
  <c r="CI229" i="6"/>
  <c r="CM229" i="6"/>
  <c r="CQ229" i="6"/>
  <c r="BT229" i="6"/>
  <c r="BX229" i="6"/>
  <c r="CB229" i="6"/>
  <c r="CF229" i="6"/>
  <c r="CJ229" i="6"/>
  <c r="CN229" i="6"/>
  <c r="CR229" i="6"/>
  <c r="BQ229" i="6"/>
  <c r="BU229" i="6"/>
  <c r="BY229" i="6"/>
  <c r="CC229" i="6"/>
  <c r="CG229" i="6"/>
  <c r="CK229" i="6"/>
  <c r="CO229" i="6"/>
  <c r="CS229" i="6"/>
  <c r="BR229" i="6"/>
  <c r="BV229" i="6"/>
  <c r="BZ229" i="6"/>
  <c r="CD229" i="6"/>
  <c r="CH229" i="6"/>
  <c r="CL229" i="6"/>
  <c r="CP229" i="6"/>
  <c r="CT229" i="6"/>
  <c r="BS225" i="6"/>
  <c r="BW225" i="6"/>
  <c r="CA225" i="6"/>
  <c r="CE225" i="6"/>
  <c r="CI225" i="6"/>
  <c r="CM225" i="6"/>
  <c r="CQ225" i="6"/>
  <c r="BT225" i="6"/>
  <c r="BX225" i="6"/>
  <c r="CB225" i="6"/>
  <c r="CF225" i="6"/>
  <c r="CJ225" i="6"/>
  <c r="CN225" i="6"/>
  <c r="CR225" i="6"/>
  <c r="BQ225" i="6"/>
  <c r="BU225" i="6"/>
  <c r="BY225" i="6"/>
  <c r="CC225" i="6"/>
  <c r="CG225" i="6"/>
  <c r="CK225" i="6"/>
  <c r="CO225" i="6"/>
  <c r="CS225" i="6"/>
  <c r="BR225" i="6"/>
  <c r="BV225" i="6"/>
  <c r="BZ225" i="6"/>
  <c r="CD225" i="6"/>
  <c r="CH225" i="6"/>
  <c r="CL225" i="6"/>
  <c r="CP225" i="6"/>
  <c r="CT225" i="6"/>
  <c r="BS221" i="6"/>
  <c r="BW221" i="6"/>
  <c r="CA221" i="6"/>
  <c r="CE221" i="6"/>
  <c r="CI221" i="6"/>
  <c r="CM221" i="6"/>
  <c r="CQ221" i="6"/>
  <c r="BT221" i="6"/>
  <c r="BX221" i="6"/>
  <c r="CB221" i="6"/>
  <c r="CF221" i="6"/>
  <c r="CJ221" i="6"/>
  <c r="CN221" i="6"/>
  <c r="CR221" i="6"/>
  <c r="BQ221" i="6"/>
  <c r="BU221" i="6"/>
  <c r="BY221" i="6"/>
  <c r="CC221" i="6"/>
  <c r="CG221" i="6"/>
  <c r="CK221" i="6"/>
  <c r="CO221" i="6"/>
  <c r="CS221" i="6"/>
  <c r="BR221" i="6"/>
  <c r="BV221" i="6"/>
  <c r="BZ221" i="6"/>
  <c r="CD221" i="6"/>
  <c r="CH221" i="6"/>
  <c r="CL221" i="6"/>
  <c r="CP221" i="6"/>
  <c r="CT221" i="6"/>
  <c r="BS217" i="6"/>
  <c r="BW217" i="6"/>
  <c r="CA217" i="6"/>
  <c r="CE217" i="6"/>
  <c r="CI217" i="6"/>
  <c r="CM217" i="6"/>
  <c r="CQ217" i="6"/>
  <c r="BT217" i="6"/>
  <c r="BX217" i="6"/>
  <c r="CB217" i="6"/>
  <c r="CF217" i="6"/>
  <c r="CJ217" i="6"/>
  <c r="CN217" i="6"/>
  <c r="CR217" i="6"/>
  <c r="BQ217" i="6"/>
  <c r="BU217" i="6"/>
  <c r="BY217" i="6"/>
  <c r="CC217" i="6"/>
  <c r="CG217" i="6"/>
  <c r="CK217" i="6"/>
  <c r="CO217" i="6"/>
  <c r="CS217" i="6"/>
  <c r="BR217" i="6"/>
  <c r="BV217" i="6"/>
  <c r="BZ217" i="6"/>
  <c r="CD217" i="6"/>
  <c r="CH217" i="6"/>
  <c r="CL217" i="6"/>
  <c r="CP217" i="6"/>
  <c r="CT217" i="6"/>
  <c r="BS213" i="6"/>
  <c r="BW213" i="6"/>
  <c r="CA213" i="6"/>
  <c r="CE213" i="6"/>
  <c r="CI213" i="6"/>
  <c r="CM213" i="6"/>
  <c r="CQ213" i="6"/>
  <c r="BT213" i="6"/>
  <c r="BX213" i="6"/>
  <c r="CB213" i="6"/>
  <c r="CF213" i="6"/>
  <c r="CJ213" i="6"/>
  <c r="CN213" i="6"/>
  <c r="CR213" i="6"/>
  <c r="BQ213" i="6"/>
  <c r="BU213" i="6"/>
  <c r="BY213" i="6"/>
  <c r="CC213" i="6"/>
  <c r="CG213" i="6"/>
  <c r="CK213" i="6"/>
  <c r="CO213" i="6"/>
  <c r="CS213" i="6"/>
  <c r="BR213" i="6"/>
  <c r="BV213" i="6"/>
  <c r="BZ213" i="6"/>
  <c r="CD213" i="6"/>
  <c r="CH213" i="6"/>
  <c r="CL213" i="6"/>
  <c r="CP213" i="6"/>
  <c r="CT213" i="6"/>
  <c r="BS209" i="6"/>
  <c r="BW209" i="6"/>
  <c r="CA209" i="6"/>
  <c r="CE209" i="6"/>
  <c r="CI209" i="6"/>
  <c r="CM209" i="6"/>
  <c r="CQ209" i="6"/>
  <c r="BT209" i="6"/>
  <c r="BX209" i="6"/>
  <c r="CB209" i="6"/>
  <c r="CF209" i="6"/>
  <c r="CJ209" i="6"/>
  <c r="CN209" i="6"/>
  <c r="CR209" i="6"/>
  <c r="BQ209" i="6"/>
  <c r="BU209" i="6"/>
  <c r="BY209" i="6"/>
  <c r="CC209" i="6"/>
  <c r="CG209" i="6"/>
  <c r="CK209" i="6"/>
  <c r="CO209" i="6"/>
  <c r="CS209" i="6"/>
  <c r="BR209" i="6"/>
  <c r="BV209" i="6"/>
  <c r="BZ209" i="6"/>
  <c r="CD209" i="6"/>
  <c r="CH209" i="6"/>
  <c r="CL209" i="6"/>
  <c r="CP209" i="6"/>
  <c r="CT209" i="6"/>
  <c r="BS205" i="6"/>
  <c r="BW205" i="6"/>
  <c r="CA205" i="6"/>
  <c r="CE205" i="6"/>
  <c r="CI205" i="6"/>
  <c r="CM205" i="6"/>
  <c r="CQ205" i="6"/>
  <c r="BT205" i="6"/>
  <c r="BX205" i="6"/>
  <c r="CB205" i="6"/>
  <c r="CF205" i="6"/>
  <c r="CJ205" i="6"/>
  <c r="CN205" i="6"/>
  <c r="CR205" i="6"/>
  <c r="BQ205" i="6"/>
  <c r="BU205" i="6"/>
  <c r="BY205" i="6"/>
  <c r="CC205" i="6"/>
  <c r="CG205" i="6"/>
  <c r="CK205" i="6"/>
  <c r="CO205" i="6"/>
  <c r="CS205" i="6"/>
  <c r="BR205" i="6"/>
  <c r="BV205" i="6"/>
  <c r="BZ205" i="6"/>
  <c r="CD205" i="6"/>
  <c r="CH205" i="6"/>
  <c r="CL205" i="6"/>
  <c r="CP205" i="6"/>
  <c r="CT205" i="6"/>
  <c r="BS201" i="6"/>
  <c r="BW201" i="6"/>
  <c r="CA201" i="6"/>
  <c r="CE201" i="6"/>
  <c r="CI201" i="6"/>
  <c r="CM201" i="6"/>
  <c r="CQ201" i="6"/>
  <c r="BT201" i="6"/>
  <c r="BX201" i="6"/>
  <c r="CB201" i="6"/>
  <c r="CF201" i="6"/>
  <c r="CJ201" i="6"/>
  <c r="CN201" i="6"/>
  <c r="CR201" i="6"/>
  <c r="BQ201" i="6"/>
  <c r="BU201" i="6"/>
  <c r="BY201" i="6"/>
  <c r="CC201" i="6"/>
  <c r="CG201" i="6"/>
  <c r="CK201" i="6"/>
  <c r="CO201" i="6"/>
  <c r="CS201" i="6"/>
  <c r="BR201" i="6"/>
  <c r="BV201" i="6"/>
  <c r="BZ201" i="6"/>
  <c r="CD201" i="6"/>
  <c r="CH201" i="6"/>
  <c r="CL201" i="6"/>
  <c r="CP201" i="6"/>
  <c r="CT201" i="6"/>
  <c r="BS197" i="6"/>
  <c r="BW197" i="6"/>
  <c r="CA197" i="6"/>
  <c r="CE197" i="6"/>
  <c r="CI197" i="6"/>
  <c r="CM197" i="6"/>
  <c r="CQ197" i="6"/>
  <c r="BT197" i="6"/>
  <c r="BX197" i="6"/>
  <c r="CB197" i="6"/>
  <c r="CF197" i="6"/>
  <c r="CJ197" i="6"/>
  <c r="CN197" i="6"/>
  <c r="CR197" i="6"/>
  <c r="BQ197" i="6"/>
  <c r="BU197" i="6"/>
  <c r="BY197" i="6"/>
  <c r="CC197" i="6"/>
  <c r="CG197" i="6"/>
  <c r="CK197" i="6"/>
  <c r="CO197" i="6"/>
  <c r="CS197" i="6"/>
  <c r="BR197" i="6"/>
  <c r="BV197" i="6"/>
  <c r="BZ197" i="6"/>
  <c r="CD197" i="6"/>
  <c r="CH197" i="6"/>
  <c r="CL197" i="6"/>
  <c r="CP197" i="6"/>
  <c r="CT197" i="6"/>
  <c r="BS193" i="6"/>
  <c r="BW193" i="6"/>
  <c r="CA193" i="6"/>
  <c r="CE193" i="6"/>
  <c r="CI193" i="6"/>
  <c r="CM193" i="6"/>
  <c r="CQ193" i="6"/>
  <c r="BT193" i="6"/>
  <c r="BX193" i="6"/>
  <c r="CB193" i="6"/>
  <c r="CF193" i="6"/>
  <c r="CJ193" i="6"/>
  <c r="CN193" i="6"/>
  <c r="CR193" i="6"/>
  <c r="BQ193" i="6"/>
  <c r="BU193" i="6"/>
  <c r="BY193" i="6"/>
  <c r="CC193" i="6"/>
  <c r="CG193" i="6"/>
  <c r="CK193" i="6"/>
  <c r="CO193" i="6"/>
  <c r="CS193" i="6"/>
  <c r="BR193" i="6"/>
  <c r="BV193" i="6"/>
  <c r="BZ193" i="6"/>
  <c r="CD193" i="6"/>
  <c r="CH193" i="6"/>
  <c r="CL193" i="6"/>
  <c r="CP193" i="6"/>
  <c r="CT193" i="6"/>
  <c r="BS189" i="6"/>
  <c r="BW189" i="6"/>
  <c r="CA189" i="6"/>
  <c r="CE189" i="6"/>
  <c r="CI189" i="6"/>
  <c r="CM189" i="6"/>
  <c r="CQ189" i="6"/>
  <c r="BT189" i="6"/>
  <c r="BX189" i="6"/>
  <c r="CB189" i="6"/>
  <c r="CF189" i="6"/>
  <c r="CJ189" i="6"/>
  <c r="CN189" i="6"/>
  <c r="CR189" i="6"/>
  <c r="BQ189" i="6"/>
  <c r="BU189" i="6"/>
  <c r="BY189" i="6"/>
  <c r="CC189" i="6"/>
  <c r="CG189" i="6"/>
  <c r="CK189" i="6"/>
  <c r="CO189" i="6"/>
  <c r="CS189" i="6"/>
  <c r="BR189" i="6"/>
  <c r="BV189" i="6"/>
  <c r="BZ189" i="6"/>
  <c r="CD189" i="6"/>
  <c r="CH189" i="6"/>
  <c r="CL189" i="6"/>
  <c r="CP189" i="6"/>
  <c r="CT189" i="6"/>
  <c r="BS185" i="6"/>
  <c r="BW185" i="6"/>
  <c r="CA185" i="6"/>
  <c r="CE185" i="6"/>
  <c r="CI185" i="6"/>
  <c r="CM185" i="6"/>
  <c r="CQ185" i="6"/>
  <c r="BT185" i="6"/>
  <c r="BX185" i="6"/>
  <c r="CB185" i="6"/>
  <c r="CF185" i="6"/>
  <c r="CJ185" i="6"/>
  <c r="CN185" i="6"/>
  <c r="CR185" i="6"/>
  <c r="BQ185" i="6"/>
  <c r="BU185" i="6"/>
  <c r="BY185" i="6"/>
  <c r="CC185" i="6"/>
  <c r="CG185" i="6"/>
  <c r="CK185" i="6"/>
  <c r="CO185" i="6"/>
  <c r="CS185" i="6"/>
  <c r="BR185" i="6"/>
  <c r="BV185" i="6"/>
  <c r="BZ185" i="6"/>
  <c r="CD185" i="6"/>
  <c r="CH185" i="6"/>
  <c r="CL185" i="6"/>
  <c r="CP185" i="6"/>
  <c r="CT185" i="6"/>
  <c r="BS181" i="6"/>
  <c r="BW181" i="6"/>
  <c r="CA181" i="6"/>
  <c r="CE181" i="6"/>
  <c r="CI181" i="6"/>
  <c r="CM181" i="6"/>
  <c r="CQ181" i="6"/>
  <c r="BT181" i="6"/>
  <c r="BX181" i="6"/>
  <c r="CB181" i="6"/>
  <c r="CF181" i="6"/>
  <c r="CJ181" i="6"/>
  <c r="CN181" i="6"/>
  <c r="CR181" i="6"/>
  <c r="BQ181" i="6"/>
  <c r="BU181" i="6"/>
  <c r="BY181" i="6"/>
  <c r="CC181" i="6"/>
  <c r="CG181" i="6"/>
  <c r="CK181" i="6"/>
  <c r="CO181" i="6"/>
  <c r="CS181" i="6"/>
  <c r="BR181" i="6"/>
  <c r="BV181" i="6"/>
  <c r="BZ181" i="6"/>
  <c r="CD181" i="6"/>
  <c r="CH181" i="6"/>
  <c r="CL181" i="6"/>
  <c r="CP181" i="6"/>
  <c r="CT181" i="6"/>
  <c r="BS177" i="6"/>
  <c r="BW177" i="6"/>
  <c r="CA177" i="6"/>
  <c r="CE177" i="6"/>
  <c r="CI177" i="6"/>
  <c r="CM177" i="6"/>
  <c r="CQ177" i="6"/>
  <c r="BT177" i="6"/>
  <c r="BX177" i="6"/>
  <c r="CB177" i="6"/>
  <c r="CF177" i="6"/>
  <c r="CJ177" i="6"/>
  <c r="CN177" i="6"/>
  <c r="CR177" i="6"/>
  <c r="BQ177" i="6"/>
  <c r="BU177" i="6"/>
  <c r="BY177" i="6"/>
  <c r="CC177" i="6"/>
  <c r="CG177" i="6"/>
  <c r="CK177" i="6"/>
  <c r="CO177" i="6"/>
  <c r="CS177" i="6"/>
  <c r="BR177" i="6"/>
  <c r="BV177" i="6"/>
  <c r="BZ177" i="6"/>
  <c r="CD177" i="6"/>
  <c r="CH177" i="6"/>
  <c r="CL177" i="6"/>
  <c r="CP177" i="6"/>
  <c r="CT177" i="6"/>
  <c r="BS173" i="6"/>
  <c r="BW173" i="6"/>
  <c r="CA173" i="6"/>
  <c r="CE173" i="6"/>
  <c r="CI173" i="6"/>
  <c r="CM173" i="6"/>
  <c r="CQ173" i="6"/>
  <c r="BT173" i="6"/>
  <c r="BX173" i="6"/>
  <c r="CB173" i="6"/>
  <c r="CF173" i="6"/>
  <c r="CJ173" i="6"/>
  <c r="CN173" i="6"/>
  <c r="CR173" i="6"/>
  <c r="BQ173" i="6"/>
  <c r="BU173" i="6"/>
  <c r="BY173" i="6"/>
  <c r="CC173" i="6"/>
  <c r="CG173" i="6"/>
  <c r="CK173" i="6"/>
  <c r="CO173" i="6"/>
  <c r="CS173" i="6"/>
  <c r="BR173" i="6"/>
  <c r="BV173" i="6"/>
  <c r="BZ173" i="6"/>
  <c r="CD173" i="6"/>
  <c r="CH173" i="6"/>
  <c r="CL173" i="6"/>
  <c r="CP173" i="6"/>
  <c r="CT173" i="6"/>
  <c r="BS169" i="6"/>
  <c r="BW169" i="6"/>
  <c r="CA169" i="6"/>
  <c r="CE169" i="6"/>
  <c r="CI169" i="6"/>
  <c r="CM169" i="6"/>
  <c r="CQ169" i="6"/>
  <c r="BT169" i="6"/>
  <c r="BX169" i="6"/>
  <c r="CB169" i="6"/>
  <c r="CF169" i="6"/>
  <c r="CJ169" i="6"/>
  <c r="CN169" i="6"/>
  <c r="CR169" i="6"/>
  <c r="BQ169" i="6"/>
  <c r="BU169" i="6"/>
  <c r="BY169" i="6"/>
  <c r="CC169" i="6"/>
  <c r="CG169" i="6"/>
  <c r="CK169" i="6"/>
  <c r="CO169" i="6"/>
  <c r="CS169" i="6"/>
  <c r="BR169" i="6"/>
  <c r="BV169" i="6"/>
  <c r="BZ169" i="6"/>
  <c r="CD169" i="6"/>
  <c r="CH169" i="6"/>
  <c r="CL169" i="6"/>
  <c r="CP169" i="6"/>
  <c r="CT169" i="6"/>
  <c r="BS165" i="6"/>
  <c r="BW165" i="6"/>
  <c r="CA165" i="6"/>
  <c r="CE165" i="6"/>
  <c r="CI165" i="6"/>
  <c r="CM165" i="6"/>
  <c r="CQ165" i="6"/>
  <c r="BT165" i="6"/>
  <c r="BX165" i="6"/>
  <c r="CB165" i="6"/>
  <c r="CF165" i="6"/>
  <c r="CJ165" i="6"/>
  <c r="CN165" i="6"/>
  <c r="CR165" i="6"/>
  <c r="BQ165" i="6"/>
  <c r="BU165" i="6"/>
  <c r="BY165" i="6"/>
  <c r="CC165" i="6"/>
  <c r="CG165" i="6"/>
  <c r="CK165" i="6"/>
  <c r="CO165" i="6"/>
  <c r="CS165" i="6"/>
  <c r="BR165" i="6"/>
  <c r="BV165" i="6"/>
  <c r="BZ165" i="6"/>
  <c r="CD165" i="6"/>
  <c r="CH165" i="6"/>
  <c r="CL165" i="6"/>
  <c r="CP165" i="6"/>
  <c r="CT165" i="6"/>
  <c r="BS161" i="6"/>
  <c r="BW161" i="6"/>
  <c r="CA161" i="6"/>
  <c r="CE161" i="6"/>
  <c r="CI161" i="6"/>
  <c r="CM161" i="6"/>
  <c r="CQ161" i="6"/>
  <c r="BT161" i="6"/>
  <c r="BX161" i="6"/>
  <c r="CB161" i="6"/>
  <c r="CF161" i="6"/>
  <c r="CJ161" i="6"/>
  <c r="CN161" i="6"/>
  <c r="CR161" i="6"/>
  <c r="BQ161" i="6"/>
  <c r="BU161" i="6"/>
  <c r="BY161" i="6"/>
  <c r="CC161" i="6"/>
  <c r="CG161" i="6"/>
  <c r="CK161" i="6"/>
  <c r="CO161" i="6"/>
  <c r="CS161" i="6"/>
  <c r="BR161" i="6"/>
  <c r="BV161" i="6"/>
  <c r="BZ161" i="6"/>
  <c r="CD161" i="6"/>
  <c r="CH161" i="6"/>
  <c r="CL161" i="6"/>
  <c r="CP161" i="6"/>
  <c r="CT161" i="6"/>
  <c r="BS157" i="6"/>
  <c r="BW157" i="6"/>
  <c r="CA157" i="6"/>
  <c r="CE157" i="6"/>
  <c r="CI157" i="6"/>
  <c r="CM157" i="6"/>
  <c r="CQ157" i="6"/>
  <c r="BT157" i="6"/>
  <c r="BX157" i="6"/>
  <c r="CB157" i="6"/>
  <c r="CF157" i="6"/>
  <c r="CJ157" i="6"/>
  <c r="CN157" i="6"/>
  <c r="CR157" i="6"/>
  <c r="BQ157" i="6"/>
  <c r="BU157" i="6"/>
  <c r="BY157" i="6"/>
  <c r="CC157" i="6"/>
  <c r="CG157" i="6"/>
  <c r="CK157" i="6"/>
  <c r="CO157" i="6"/>
  <c r="CS157" i="6"/>
  <c r="BR157" i="6"/>
  <c r="BV157" i="6"/>
  <c r="BZ157" i="6"/>
  <c r="CD157" i="6"/>
  <c r="CH157" i="6"/>
  <c r="CL157" i="6"/>
  <c r="CP157" i="6"/>
  <c r="CT157" i="6"/>
  <c r="BS153" i="6"/>
  <c r="BW153" i="6"/>
  <c r="CA153" i="6"/>
  <c r="CE153" i="6"/>
  <c r="CI153" i="6"/>
  <c r="CM153" i="6"/>
  <c r="CQ153" i="6"/>
  <c r="BT153" i="6"/>
  <c r="BX153" i="6"/>
  <c r="CB153" i="6"/>
  <c r="CF153" i="6"/>
  <c r="CJ153" i="6"/>
  <c r="CN153" i="6"/>
  <c r="CR153" i="6"/>
  <c r="BQ153" i="6"/>
  <c r="BU153" i="6"/>
  <c r="BY153" i="6"/>
  <c r="CC153" i="6"/>
  <c r="CG153" i="6"/>
  <c r="CK153" i="6"/>
  <c r="CO153" i="6"/>
  <c r="CS153" i="6"/>
  <c r="BR153" i="6"/>
  <c r="BV153" i="6"/>
  <c r="BZ153" i="6"/>
  <c r="CD153" i="6"/>
  <c r="CH153" i="6"/>
  <c r="CL153" i="6"/>
  <c r="CP153" i="6"/>
  <c r="CT153" i="6"/>
  <c r="BS149" i="6"/>
  <c r="BW149" i="6"/>
  <c r="CA149" i="6"/>
  <c r="CE149" i="6"/>
  <c r="CI149" i="6"/>
  <c r="CM149" i="6"/>
  <c r="CQ149" i="6"/>
  <c r="BT149" i="6"/>
  <c r="BX149" i="6"/>
  <c r="CB149" i="6"/>
  <c r="CF149" i="6"/>
  <c r="CJ149" i="6"/>
  <c r="CN149" i="6"/>
  <c r="CR149" i="6"/>
  <c r="BQ149" i="6"/>
  <c r="BU149" i="6"/>
  <c r="BY149" i="6"/>
  <c r="CC149" i="6"/>
  <c r="CG149" i="6"/>
  <c r="CK149" i="6"/>
  <c r="CO149" i="6"/>
  <c r="CS149" i="6"/>
  <c r="BR149" i="6"/>
  <c r="BV149" i="6"/>
  <c r="BZ149" i="6"/>
  <c r="CD149" i="6"/>
  <c r="CH149" i="6"/>
  <c r="CL149" i="6"/>
  <c r="CP149" i="6"/>
  <c r="CT149" i="6"/>
  <c r="BS145" i="6"/>
  <c r="BW145" i="6"/>
  <c r="CA145" i="6"/>
  <c r="CE145" i="6"/>
  <c r="CI145" i="6"/>
  <c r="CM145" i="6"/>
  <c r="CQ145" i="6"/>
  <c r="BT145" i="6"/>
  <c r="BX145" i="6"/>
  <c r="CB145" i="6"/>
  <c r="CF145" i="6"/>
  <c r="CJ145" i="6"/>
  <c r="CN145" i="6"/>
  <c r="CR145" i="6"/>
  <c r="BQ145" i="6"/>
  <c r="BU145" i="6"/>
  <c r="BY145" i="6"/>
  <c r="CC145" i="6"/>
  <c r="CG145" i="6"/>
  <c r="CK145" i="6"/>
  <c r="CO145" i="6"/>
  <c r="CS145" i="6"/>
  <c r="BR145" i="6"/>
  <c r="BV145" i="6"/>
  <c r="BZ145" i="6"/>
  <c r="CD145" i="6"/>
  <c r="CH145" i="6"/>
  <c r="CL145" i="6"/>
  <c r="CP145" i="6"/>
  <c r="CT145" i="6"/>
  <c r="BT141" i="6"/>
  <c r="BX141" i="6"/>
  <c r="CB141" i="6"/>
  <c r="CF141" i="6"/>
  <c r="CJ141" i="6"/>
  <c r="CN141" i="6"/>
  <c r="CR141" i="6"/>
  <c r="BQ141" i="6"/>
  <c r="BU141" i="6"/>
  <c r="BY141" i="6"/>
  <c r="CC141" i="6"/>
  <c r="CG141" i="6"/>
  <c r="CK141" i="6"/>
  <c r="CO141" i="6"/>
  <c r="CS141" i="6"/>
  <c r="BR141" i="6"/>
  <c r="BV141" i="6"/>
  <c r="BZ141" i="6"/>
  <c r="CD141" i="6"/>
  <c r="CH141" i="6"/>
  <c r="CL141" i="6"/>
  <c r="CP141" i="6"/>
  <c r="CT141" i="6"/>
  <c r="BS141" i="6"/>
  <c r="BW141" i="6"/>
  <c r="CA141" i="6"/>
  <c r="CE141" i="6"/>
  <c r="CI141" i="6"/>
  <c r="CM141" i="6"/>
  <c r="CQ141" i="6"/>
  <c r="BT137" i="6"/>
  <c r="BX137" i="6"/>
  <c r="CB137" i="6"/>
  <c r="CF137" i="6"/>
  <c r="CJ137" i="6"/>
  <c r="CN137" i="6"/>
  <c r="CR137" i="6"/>
  <c r="BQ137" i="6"/>
  <c r="BU137" i="6"/>
  <c r="BY137" i="6"/>
  <c r="CC137" i="6"/>
  <c r="CG137" i="6"/>
  <c r="CK137" i="6"/>
  <c r="CO137" i="6"/>
  <c r="CS137" i="6"/>
  <c r="BR137" i="6"/>
  <c r="BV137" i="6"/>
  <c r="BZ137" i="6"/>
  <c r="CD137" i="6"/>
  <c r="CH137" i="6"/>
  <c r="CL137" i="6"/>
  <c r="CP137" i="6"/>
  <c r="CT137" i="6"/>
  <c r="BS137" i="6"/>
  <c r="BW137" i="6"/>
  <c r="CA137" i="6"/>
  <c r="CE137" i="6"/>
  <c r="CI137" i="6"/>
  <c r="CM137" i="6"/>
  <c r="CQ137" i="6"/>
  <c r="BT133" i="6"/>
  <c r="BX133" i="6"/>
  <c r="CB133" i="6"/>
  <c r="CF133" i="6"/>
  <c r="CJ133" i="6"/>
  <c r="CN133" i="6"/>
  <c r="CR133" i="6"/>
  <c r="BQ133" i="6"/>
  <c r="BU133" i="6"/>
  <c r="BY133" i="6"/>
  <c r="CC133" i="6"/>
  <c r="CG133" i="6"/>
  <c r="CK133" i="6"/>
  <c r="CO133" i="6"/>
  <c r="CS133" i="6"/>
  <c r="BR133" i="6"/>
  <c r="BV133" i="6"/>
  <c r="BZ133" i="6"/>
  <c r="CD133" i="6"/>
  <c r="CH133" i="6"/>
  <c r="CL133" i="6"/>
  <c r="CP133" i="6"/>
  <c r="CT133" i="6"/>
  <c r="BS133" i="6"/>
  <c r="BW133" i="6"/>
  <c r="CA133" i="6"/>
  <c r="CE133" i="6"/>
  <c r="CI133" i="6"/>
  <c r="CM133" i="6"/>
  <c r="CQ133" i="6"/>
  <c r="BT129" i="6"/>
  <c r="BX129" i="6"/>
  <c r="CB129" i="6"/>
  <c r="CF129" i="6"/>
  <c r="CJ129" i="6"/>
  <c r="CN129" i="6"/>
  <c r="CR129" i="6"/>
  <c r="BQ129" i="6"/>
  <c r="BU129" i="6"/>
  <c r="BY129" i="6"/>
  <c r="CC129" i="6"/>
  <c r="CG129" i="6"/>
  <c r="CK129" i="6"/>
  <c r="CO129" i="6"/>
  <c r="CS129" i="6"/>
  <c r="BR129" i="6"/>
  <c r="BV129" i="6"/>
  <c r="BZ129" i="6"/>
  <c r="CD129" i="6"/>
  <c r="CH129" i="6"/>
  <c r="CL129" i="6"/>
  <c r="CP129" i="6"/>
  <c r="CT129" i="6"/>
  <c r="BS129" i="6"/>
  <c r="BW129" i="6"/>
  <c r="CA129" i="6"/>
  <c r="CE129" i="6"/>
  <c r="CI129" i="6"/>
  <c r="CM129" i="6"/>
  <c r="CQ129" i="6"/>
  <c r="BT125" i="6"/>
  <c r="BX125" i="6"/>
  <c r="CB125" i="6"/>
  <c r="CF125" i="6"/>
  <c r="CJ125" i="6"/>
  <c r="CN125" i="6"/>
  <c r="CR125" i="6"/>
  <c r="BQ125" i="6"/>
  <c r="BU125" i="6"/>
  <c r="BY125" i="6"/>
  <c r="CC125" i="6"/>
  <c r="CG125" i="6"/>
  <c r="CK125" i="6"/>
  <c r="CO125" i="6"/>
  <c r="CS125" i="6"/>
  <c r="BR125" i="6"/>
  <c r="BV125" i="6"/>
  <c r="BZ125" i="6"/>
  <c r="CD125" i="6"/>
  <c r="CH125" i="6"/>
  <c r="CL125" i="6"/>
  <c r="CP125" i="6"/>
  <c r="CT125" i="6"/>
  <c r="BS125" i="6"/>
  <c r="BW125" i="6"/>
  <c r="CA125" i="6"/>
  <c r="CE125" i="6"/>
  <c r="CI125" i="6"/>
  <c r="CM125" i="6"/>
  <c r="CQ125" i="6"/>
  <c r="BT121" i="6"/>
  <c r="BX121" i="6"/>
  <c r="CB121" i="6"/>
  <c r="CF121" i="6"/>
  <c r="CJ121" i="6"/>
  <c r="CN121" i="6"/>
  <c r="CR121" i="6"/>
  <c r="BQ121" i="6"/>
  <c r="BU121" i="6"/>
  <c r="BY121" i="6"/>
  <c r="CC121" i="6"/>
  <c r="CG121" i="6"/>
  <c r="CK121" i="6"/>
  <c r="CO121" i="6"/>
  <c r="CS121" i="6"/>
  <c r="BR121" i="6"/>
  <c r="BV121" i="6"/>
  <c r="BZ121" i="6"/>
  <c r="CD121" i="6"/>
  <c r="CH121" i="6"/>
  <c r="CL121" i="6"/>
  <c r="CP121" i="6"/>
  <c r="CT121" i="6"/>
  <c r="BS121" i="6"/>
  <c r="BW121" i="6"/>
  <c r="CA121" i="6"/>
  <c r="CE121" i="6"/>
  <c r="CI121" i="6"/>
  <c r="CM121" i="6"/>
  <c r="CQ121" i="6"/>
  <c r="BT117" i="6"/>
  <c r="BX117" i="6"/>
  <c r="CB117" i="6"/>
  <c r="CF117" i="6"/>
  <c r="CJ117" i="6"/>
  <c r="CN117" i="6"/>
  <c r="CR117" i="6"/>
  <c r="BQ117" i="6"/>
  <c r="BU117" i="6"/>
  <c r="BY117" i="6"/>
  <c r="CC117" i="6"/>
  <c r="CG117" i="6"/>
  <c r="CK117" i="6"/>
  <c r="CO117" i="6"/>
  <c r="CS117" i="6"/>
  <c r="BR117" i="6"/>
  <c r="BV117" i="6"/>
  <c r="BZ117" i="6"/>
  <c r="CD117" i="6"/>
  <c r="CH117" i="6"/>
  <c r="CL117" i="6"/>
  <c r="CP117" i="6"/>
  <c r="CT117" i="6"/>
  <c r="BS117" i="6"/>
  <c r="BW117" i="6"/>
  <c r="CA117" i="6"/>
  <c r="CE117" i="6"/>
  <c r="CI117" i="6"/>
  <c r="CM117" i="6"/>
  <c r="CQ117" i="6"/>
  <c r="BS113" i="6"/>
  <c r="BW113" i="6"/>
  <c r="CA113" i="6"/>
  <c r="CE113" i="6"/>
  <c r="CI113" i="6"/>
  <c r="CM113" i="6"/>
  <c r="CQ113" i="6"/>
  <c r="BT113" i="6"/>
  <c r="BX113" i="6"/>
  <c r="CB113" i="6"/>
  <c r="CF113" i="6"/>
  <c r="CJ113" i="6"/>
  <c r="CN113" i="6"/>
  <c r="CR113" i="6"/>
  <c r="BQ113" i="6"/>
  <c r="BU113" i="6"/>
  <c r="BY113" i="6"/>
  <c r="CC113" i="6"/>
  <c r="CG113" i="6"/>
  <c r="CK113" i="6"/>
  <c r="CO113" i="6"/>
  <c r="CS113" i="6"/>
  <c r="BR113" i="6"/>
  <c r="BV113" i="6"/>
  <c r="BZ113" i="6"/>
  <c r="CD113" i="6"/>
  <c r="CH113" i="6"/>
  <c r="CL113" i="6"/>
  <c r="CP113" i="6"/>
  <c r="CT113" i="6"/>
  <c r="BS109" i="6"/>
  <c r="BW109" i="6"/>
  <c r="CA109" i="6"/>
  <c r="CE109" i="6"/>
  <c r="CI109" i="6"/>
  <c r="CM109" i="6"/>
  <c r="CQ109" i="6"/>
  <c r="BT109" i="6"/>
  <c r="BX109" i="6"/>
  <c r="CB109" i="6"/>
  <c r="CF109" i="6"/>
  <c r="CJ109" i="6"/>
  <c r="CN109" i="6"/>
  <c r="CR109" i="6"/>
  <c r="BQ109" i="6"/>
  <c r="BU109" i="6"/>
  <c r="BY109" i="6"/>
  <c r="CC109" i="6"/>
  <c r="CG109" i="6"/>
  <c r="CK109" i="6"/>
  <c r="CO109" i="6"/>
  <c r="CS109" i="6"/>
  <c r="BR109" i="6"/>
  <c r="BV109" i="6"/>
  <c r="BZ109" i="6"/>
  <c r="CD109" i="6"/>
  <c r="CH109" i="6"/>
  <c r="CL109" i="6"/>
  <c r="CP109" i="6"/>
  <c r="CT109" i="6"/>
  <c r="BS105" i="6"/>
  <c r="BW105" i="6"/>
  <c r="CA105" i="6"/>
  <c r="CE105" i="6"/>
  <c r="CI105" i="6"/>
  <c r="CM105" i="6"/>
  <c r="CQ105" i="6"/>
  <c r="BT105" i="6"/>
  <c r="BX105" i="6"/>
  <c r="CB105" i="6"/>
  <c r="CF105" i="6"/>
  <c r="CJ105" i="6"/>
  <c r="CN105" i="6"/>
  <c r="CR105" i="6"/>
  <c r="BQ105" i="6"/>
  <c r="BU105" i="6"/>
  <c r="BY105" i="6"/>
  <c r="CC105" i="6"/>
  <c r="CG105" i="6"/>
  <c r="CK105" i="6"/>
  <c r="CO105" i="6"/>
  <c r="CS105" i="6"/>
  <c r="BR105" i="6"/>
  <c r="BV105" i="6"/>
  <c r="BZ105" i="6"/>
  <c r="CD105" i="6"/>
  <c r="CH105" i="6"/>
  <c r="CL105" i="6"/>
  <c r="CP105" i="6"/>
  <c r="CT105" i="6"/>
  <c r="BS101" i="6"/>
  <c r="BW101" i="6"/>
  <c r="CA101" i="6"/>
  <c r="CE101" i="6"/>
  <c r="CI101" i="6"/>
  <c r="CM101" i="6"/>
  <c r="CQ101" i="6"/>
  <c r="BT101" i="6"/>
  <c r="BX101" i="6"/>
  <c r="CB101" i="6"/>
  <c r="CF101" i="6"/>
  <c r="CJ101" i="6"/>
  <c r="CN101" i="6"/>
  <c r="CR101" i="6"/>
  <c r="BQ101" i="6"/>
  <c r="BU101" i="6"/>
  <c r="BY101" i="6"/>
  <c r="CC101" i="6"/>
  <c r="CG101" i="6"/>
  <c r="CK101" i="6"/>
  <c r="CO101" i="6"/>
  <c r="CS101" i="6"/>
  <c r="BR101" i="6"/>
  <c r="BV101" i="6"/>
  <c r="BZ101" i="6"/>
  <c r="CD101" i="6"/>
  <c r="CH101" i="6"/>
  <c r="CL101" i="6"/>
  <c r="CP101" i="6"/>
  <c r="CT101" i="6"/>
  <c r="BS97" i="6"/>
  <c r="BW97" i="6"/>
  <c r="CA97" i="6"/>
  <c r="CE97" i="6"/>
  <c r="CI97" i="6"/>
  <c r="CM97" i="6"/>
  <c r="CQ97" i="6"/>
  <c r="BT97" i="6"/>
  <c r="BX97" i="6"/>
  <c r="CB97" i="6"/>
  <c r="CF97" i="6"/>
  <c r="CJ97" i="6"/>
  <c r="CN97" i="6"/>
  <c r="CR97" i="6"/>
  <c r="BQ97" i="6"/>
  <c r="BU97" i="6"/>
  <c r="BY97" i="6"/>
  <c r="CC97" i="6"/>
  <c r="CG97" i="6"/>
  <c r="CK97" i="6"/>
  <c r="CO97" i="6"/>
  <c r="CS97" i="6"/>
  <c r="BR97" i="6"/>
  <c r="BV97" i="6"/>
  <c r="BZ97" i="6"/>
  <c r="CD97" i="6"/>
  <c r="CH97" i="6"/>
  <c r="CL97" i="6"/>
  <c r="CP97" i="6"/>
  <c r="CT97" i="6"/>
  <c r="BS93" i="6"/>
  <c r="BW93" i="6"/>
  <c r="CA93" i="6"/>
  <c r="CE93" i="6"/>
  <c r="CI93" i="6"/>
  <c r="CM93" i="6"/>
  <c r="CQ93" i="6"/>
  <c r="BT93" i="6"/>
  <c r="BX93" i="6"/>
  <c r="CB93" i="6"/>
  <c r="CF93" i="6"/>
  <c r="CJ93" i="6"/>
  <c r="CN93" i="6"/>
  <c r="CR93" i="6"/>
  <c r="BQ93" i="6"/>
  <c r="BU93" i="6"/>
  <c r="BY93" i="6"/>
  <c r="CC93" i="6"/>
  <c r="CG93" i="6"/>
  <c r="CK93" i="6"/>
  <c r="CO93" i="6"/>
  <c r="CS93" i="6"/>
  <c r="BR93" i="6"/>
  <c r="BV93" i="6"/>
  <c r="BZ93" i="6"/>
  <c r="CD93" i="6"/>
  <c r="CH93" i="6"/>
  <c r="CL93" i="6"/>
  <c r="CP93" i="6"/>
  <c r="CT93" i="6"/>
  <c r="BS89" i="6"/>
  <c r="BW89" i="6"/>
  <c r="CA89" i="6"/>
  <c r="CE89" i="6"/>
  <c r="CI89" i="6"/>
  <c r="CM89" i="6"/>
  <c r="CQ89" i="6"/>
  <c r="BT89" i="6"/>
  <c r="BX89" i="6"/>
  <c r="CB89" i="6"/>
  <c r="CF89" i="6"/>
  <c r="CJ89" i="6"/>
  <c r="CN89" i="6"/>
  <c r="CR89" i="6"/>
  <c r="BQ89" i="6"/>
  <c r="BU89" i="6"/>
  <c r="BY89" i="6"/>
  <c r="CC89" i="6"/>
  <c r="CG89" i="6"/>
  <c r="CK89" i="6"/>
  <c r="CO89" i="6"/>
  <c r="CS89" i="6"/>
  <c r="BR89" i="6"/>
  <c r="BV89" i="6"/>
  <c r="BZ89" i="6"/>
  <c r="CD89" i="6"/>
  <c r="CH89" i="6"/>
  <c r="CL89" i="6"/>
  <c r="CP89" i="6"/>
  <c r="CT89" i="6"/>
  <c r="BS85" i="6"/>
  <c r="BW85" i="6"/>
  <c r="CA85" i="6"/>
  <c r="CE85" i="6"/>
  <c r="CI85" i="6"/>
  <c r="CM85" i="6"/>
  <c r="CQ85" i="6"/>
  <c r="BT85" i="6"/>
  <c r="BX85" i="6"/>
  <c r="CB85" i="6"/>
  <c r="CF85" i="6"/>
  <c r="CJ85" i="6"/>
  <c r="CN85" i="6"/>
  <c r="CR85" i="6"/>
  <c r="BQ85" i="6"/>
  <c r="BU85" i="6"/>
  <c r="BY85" i="6"/>
  <c r="CC85" i="6"/>
  <c r="CG85" i="6"/>
  <c r="CK85" i="6"/>
  <c r="CO85" i="6"/>
  <c r="CS85" i="6"/>
  <c r="BR85" i="6"/>
  <c r="BV85" i="6"/>
  <c r="BZ85" i="6"/>
  <c r="CD85" i="6"/>
  <c r="CH85" i="6"/>
  <c r="CL85" i="6"/>
  <c r="CP85" i="6"/>
  <c r="CT85" i="6"/>
  <c r="BS81" i="6"/>
  <c r="BW81" i="6"/>
  <c r="CA81" i="6"/>
  <c r="CE81" i="6"/>
  <c r="CI81" i="6"/>
  <c r="CM81" i="6"/>
  <c r="CQ81" i="6"/>
  <c r="BT81" i="6"/>
  <c r="BX81" i="6"/>
  <c r="CB81" i="6"/>
  <c r="CF81" i="6"/>
  <c r="CJ81" i="6"/>
  <c r="CN81" i="6"/>
  <c r="CR81" i="6"/>
  <c r="BQ81" i="6"/>
  <c r="BU81" i="6"/>
  <c r="BY81" i="6"/>
  <c r="CC81" i="6"/>
  <c r="CG81" i="6"/>
  <c r="CK81" i="6"/>
  <c r="CO81" i="6"/>
  <c r="CS81" i="6"/>
  <c r="BR81" i="6"/>
  <c r="BV81" i="6"/>
  <c r="BZ81" i="6"/>
  <c r="CD81" i="6"/>
  <c r="CH81" i="6"/>
  <c r="CL81" i="6"/>
  <c r="CP81" i="6"/>
  <c r="CT81" i="6"/>
  <c r="BS77" i="6"/>
  <c r="BW77" i="6"/>
  <c r="CA77" i="6"/>
  <c r="CE77" i="6"/>
  <c r="CI77" i="6"/>
  <c r="CM77" i="6"/>
  <c r="CQ77" i="6"/>
  <c r="BT77" i="6"/>
  <c r="BX77" i="6"/>
  <c r="CB77" i="6"/>
  <c r="CF77" i="6"/>
  <c r="CJ77" i="6"/>
  <c r="CN77" i="6"/>
  <c r="CR77" i="6"/>
  <c r="BQ77" i="6"/>
  <c r="BU77" i="6"/>
  <c r="BY77" i="6"/>
  <c r="CC77" i="6"/>
  <c r="CG77" i="6"/>
  <c r="CK77" i="6"/>
  <c r="CO77" i="6"/>
  <c r="CS77" i="6"/>
  <c r="BR77" i="6"/>
  <c r="BV77" i="6"/>
  <c r="BZ77" i="6"/>
  <c r="CD77" i="6"/>
  <c r="CH77" i="6"/>
  <c r="CL77" i="6"/>
  <c r="CP77" i="6"/>
  <c r="CT77" i="6"/>
  <c r="BS73" i="6"/>
  <c r="BW73" i="6"/>
  <c r="CA73" i="6"/>
  <c r="CE73" i="6"/>
  <c r="CI73" i="6"/>
  <c r="CM73" i="6"/>
  <c r="CQ73" i="6"/>
  <c r="BT73" i="6"/>
  <c r="BX73" i="6"/>
  <c r="CB73" i="6"/>
  <c r="CF73" i="6"/>
  <c r="CJ73" i="6"/>
  <c r="CN73" i="6"/>
  <c r="CR73" i="6"/>
  <c r="BQ73" i="6"/>
  <c r="BU73" i="6"/>
  <c r="BY73" i="6"/>
  <c r="CC73" i="6"/>
  <c r="CG73" i="6"/>
  <c r="CK73" i="6"/>
  <c r="CO73" i="6"/>
  <c r="CS73" i="6"/>
  <c r="BR73" i="6"/>
  <c r="BV73" i="6"/>
  <c r="BZ73" i="6"/>
  <c r="CD73" i="6"/>
  <c r="CH73" i="6"/>
  <c r="CL73" i="6"/>
  <c r="CP73" i="6"/>
  <c r="CT73" i="6"/>
  <c r="BS69" i="6"/>
  <c r="BW69" i="6"/>
  <c r="CA69" i="6"/>
  <c r="CE69" i="6"/>
  <c r="CI69" i="6"/>
  <c r="CM69" i="6"/>
  <c r="CQ69" i="6"/>
  <c r="BT69" i="6"/>
  <c r="BX69" i="6"/>
  <c r="CB69" i="6"/>
  <c r="CF69" i="6"/>
  <c r="CJ69" i="6"/>
  <c r="CN69" i="6"/>
  <c r="CR69" i="6"/>
  <c r="BQ69" i="6"/>
  <c r="BU69" i="6"/>
  <c r="BY69" i="6"/>
  <c r="CC69" i="6"/>
  <c r="CG69" i="6"/>
  <c r="CK69" i="6"/>
  <c r="CO69" i="6"/>
  <c r="CS69" i="6"/>
  <c r="BR69" i="6"/>
  <c r="BV69" i="6"/>
  <c r="BZ69" i="6"/>
  <c r="CD69" i="6"/>
  <c r="CH69" i="6"/>
  <c r="CL69" i="6"/>
  <c r="CP69" i="6"/>
  <c r="CT69" i="6"/>
  <c r="BS65" i="6"/>
  <c r="BW65" i="6"/>
  <c r="CA65" i="6"/>
  <c r="CE65" i="6"/>
  <c r="CI65" i="6"/>
  <c r="CM65" i="6"/>
  <c r="CQ65" i="6"/>
  <c r="BT65" i="6"/>
  <c r="BX65" i="6"/>
  <c r="CB65" i="6"/>
  <c r="CF65" i="6"/>
  <c r="CJ65" i="6"/>
  <c r="CN65" i="6"/>
  <c r="CR65" i="6"/>
  <c r="BQ65" i="6"/>
  <c r="BU65" i="6"/>
  <c r="BY65" i="6"/>
  <c r="CC65" i="6"/>
  <c r="CG65" i="6"/>
  <c r="CK65" i="6"/>
  <c r="CO65" i="6"/>
  <c r="CS65" i="6"/>
  <c r="BR65" i="6"/>
  <c r="BV65" i="6"/>
  <c r="BZ65" i="6"/>
  <c r="CD65" i="6"/>
  <c r="CH65" i="6"/>
  <c r="CL65" i="6"/>
  <c r="CP65" i="6"/>
  <c r="CT65" i="6"/>
  <c r="BS61" i="6"/>
  <c r="BW61" i="6"/>
  <c r="CA61" i="6"/>
  <c r="CE61" i="6"/>
  <c r="CI61" i="6"/>
  <c r="CM61" i="6"/>
  <c r="CQ61" i="6"/>
  <c r="BT61" i="6"/>
  <c r="BX61" i="6"/>
  <c r="CB61" i="6"/>
  <c r="CF61" i="6"/>
  <c r="CJ61" i="6"/>
  <c r="CN61" i="6"/>
  <c r="CR61" i="6"/>
  <c r="BQ61" i="6"/>
  <c r="BU61" i="6"/>
  <c r="BY61" i="6"/>
  <c r="CC61" i="6"/>
  <c r="CG61" i="6"/>
  <c r="CK61" i="6"/>
  <c r="CO61" i="6"/>
  <c r="CS61" i="6"/>
  <c r="BR61" i="6"/>
  <c r="BV61" i="6"/>
  <c r="BZ61" i="6"/>
  <c r="CD61" i="6"/>
  <c r="CH61" i="6"/>
  <c r="CL61" i="6"/>
  <c r="CP61" i="6"/>
  <c r="CT61" i="6"/>
  <c r="BS57" i="6"/>
  <c r="BW57" i="6"/>
  <c r="CA57" i="6"/>
  <c r="CE57" i="6"/>
  <c r="CI57" i="6"/>
  <c r="CM57" i="6"/>
  <c r="CQ57" i="6"/>
  <c r="BT57" i="6"/>
  <c r="BX57" i="6"/>
  <c r="CB57" i="6"/>
  <c r="CF57" i="6"/>
  <c r="CJ57" i="6"/>
  <c r="CN57" i="6"/>
  <c r="CR57" i="6"/>
  <c r="BQ57" i="6"/>
  <c r="BU57" i="6"/>
  <c r="BY57" i="6"/>
  <c r="CC57" i="6"/>
  <c r="CG57" i="6"/>
  <c r="CK57" i="6"/>
  <c r="CO57" i="6"/>
  <c r="CS57" i="6"/>
  <c r="BR57" i="6"/>
  <c r="BV57" i="6"/>
  <c r="BZ57" i="6"/>
  <c r="CD57" i="6"/>
  <c r="CH57" i="6"/>
  <c r="CL57" i="6"/>
  <c r="CP57" i="6"/>
  <c r="CT57" i="6"/>
  <c r="BR53" i="6"/>
  <c r="BV53" i="6"/>
  <c r="BZ53" i="6"/>
  <c r="CD53" i="6"/>
  <c r="BS53" i="6"/>
  <c r="BW53" i="6"/>
  <c r="CA53" i="6"/>
  <c r="CE53" i="6"/>
  <c r="BT53" i="6"/>
  <c r="BX53" i="6"/>
  <c r="CB53" i="6"/>
  <c r="BQ53" i="6"/>
  <c r="BU53" i="6"/>
  <c r="BY53" i="6"/>
  <c r="CC53" i="6"/>
  <c r="CI53" i="6"/>
  <c r="CM53" i="6"/>
  <c r="CQ53" i="6"/>
  <c r="CF53" i="6"/>
  <c r="CJ53" i="6"/>
  <c r="CN53" i="6"/>
  <c r="CR53" i="6"/>
  <c r="CG53" i="6"/>
  <c r="CK53" i="6"/>
  <c r="CO53" i="6"/>
  <c r="CS53" i="6"/>
  <c r="CH53" i="6"/>
  <c r="CL53" i="6"/>
  <c r="CP53" i="6"/>
  <c r="CT53" i="6"/>
  <c r="BR49" i="6"/>
  <c r="BV49" i="6"/>
  <c r="BZ49" i="6"/>
  <c r="CD49" i="6"/>
  <c r="CH49" i="6"/>
  <c r="CL49" i="6"/>
  <c r="CP49" i="6"/>
  <c r="CT49" i="6"/>
  <c r="BS49" i="6"/>
  <c r="BW49" i="6"/>
  <c r="CA49" i="6"/>
  <c r="CE49" i="6"/>
  <c r="CI49" i="6"/>
  <c r="CM49" i="6"/>
  <c r="CQ49" i="6"/>
  <c r="BT49" i="6"/>
  <c r="BX49" i="6"/>
  <c r="CB49" i="6"/>
  <c r="CF49" i="6"/>
  <c r="CJ49" i="6"/>
  <c r="CN49" i="6"/>
  <c r="CR49" i="6"/>
  <c r="BQ49" i="6"/>
  <c r="BU49" i="6"/>
  <c r="BY49" i="6"/>
  <c r="CC49" i="6"/>
  <c r="CG49" i="6"/>
  <c r="CK49" i="6"/>
  <c r="CO49" i="6"/>
  <c r="CS49" i="6"/>
  <c r="BR45" i="6"/>
  <c r="BV45" i="6"/>
  <c r="BZ45" i="6"/>
  <c r="CD45" i="6"/>
  <c r="CH45" i="6"/>
  <c r="CL45" i="6"/>
  <c r="CP45" i="6"/>
  <c r="CT45" i="6"/>
  <c r="BS45" i="6"/>
  <c r="BW45" i="6"/>
  <c r="CA45" i="6"/>
  <c r="CE45" i="6"/>
  <c r="CI45" i="6"/>
  <c r="CM45" i="6"/>
  <c r="CQ45" i="6"/>
  <c r="BT45" i="6"/>
  <c r="BX45" i="6"/>
  <c r="CB45" i="6"/>
  <c r="CF45" i="6"/>
  <c r="CJ45" i="6"/>
  <c r="CN45" i="6"/>
  <c r="CR45" i="6"/>
  <c r="BQ45" i="6"/>
  <c r="BU45" i="6"/>
  <c r="BY45" i="6"/>
  <c r="CC45" i="6"/>
  <c r="CG45" i="6"/>
  <c r="CK45" i="6"/>
  <c r="CO45" i="6"/>
  <c r="CS45" i="6"/>
  <c r="BR41" i="6"/>
  <c r="BV41" i="6"/>
  <c r="BZ41" i="6"/>
  <c r="CD41" i="6"/>
  <c r="CH41" i="6"/>
  <c r="CL41" i="6"/>
  <c r="CP41" i="6"/>
  <c r="CT41" i="6"/>
  <c r="BS41" i="6"/>
  <c r="BW41" i="6"/>
  <c r="CA41" i="6"/>
  <c r="CE41" i="6"/>
  <c r="CI41" i="6"/>
  <c r="CM41" i="6"/>
  <c r="CQ41" i="6"/>
  <c r="BT41" i="6"/>
  <c r="BX41" i="6"/>
  <c r="CB41" i="6"/>
  <c r="CF41" i="6"/>
  <c r="CJ41" i="6"/>
  <c r="CN41" i="6"/>
  <c r="CR41" i="6"/>
  <c r="BQ41" i="6"/>
  <c r="BU41" i="6"/>
  <c r="BY41" i="6"/>
  <c r="CC41" i="6"/>
  <c r="CG41" i="6"/>
  <c r="CK41" i="6"/>
  <c r="CO41" i="6"/>
  <c r="CS41" i="6"/>
  <c r="BR37" i="6"/>
  <c r="BV37" i="6"/>
  <c r="BZ37" i="6"/>
  <c r="CD37" i="6"/>
  <c r="CH37" i="6"/>
  <c r="CL37" i="6"/>
  <c r="CP37" i="6"/>
  <c r="CT37" i="6"/>
  <c r="BS37" i="6"/>
  <c r="BW37" i="6"/>
  <c r="CA37" i="6"/>
  <c r="CE37" i="6"/>
  <c r="CI37" i="6"/>
  <c r="CM37" i="6"/>
  <c r="CQ37" i="6"/>
  <c r="BT37" i="6"/>
  <c r="BX37" i="6"/>
  <c r="CB37" i="6"/>
  <c r="CF37" i="6"/>
  <c r="CJ37" i="6"/>
  <c r="CN37" i="6"/>
  <c r="CR37" i="6"/>
  <c r="BQ37" i="6"/>
  <c r="BU37" i="6"/>
  <c r="BY37" i="6"/>
  <c r="CC37" i="6"/>
  <c r="CG37" i="6"/>
  <c r="CK37" i="6"/>
  <c r="CO37" i="6"/>
  <c r="CS37" i="6"/>
  <c r="BR33" i="6"/>
  <c r="BV33" i="6"/>
  <c r="BZ33" i="6"/>
  <c r="CD33" i="6"/>
  <c r="CH33" i="6"/>
  <c r="CL33" i="6"/>
  <c r="CP33" i="6"/>
  <c r="CT33" i="6"/>
  <c r="BS33" i="6"/>
  <c r="BW33" i="6"/>
  <c r="CA33" i="6"/>
  <c r="CE33" i="6"/>
  <c r="CI33" i="6"/>
  <c r="CM33" i="6"/>
  <c r="CQ33" i="6"/>
  <c r="BT33" i="6"/>
  <c r="BX33" i="6"/>
  <c r="CB33" i="6"/>
  <c r="CF33" i="6"/>
  <c r="CJ33" i="6"/>
  <c r="CN33" i="6"/>
  <c r="CR33" i="6"/>
  <c r="BQ33" i="6"/>
  <c r="BU33" i="6"/>
  <c r="BY33" i="6"/>
  <c r="CC33" i="6"/>
  <c r="CG33" i="6"/>
  <c r="CK33" i="6"/>
  <c r="CO33" i="6"/>
  <c r="CS33" i="6"/>
  <c r="BR29" i="6"/>
  <c r="BV29" i="6"/>
  <c r="BZ29" i="6"/>
  <c r="CD29" i="6"/>
  <c r="CH29" i="6"/>
  <c r="CL29" i="6"/>
  <c r="CP29" i="6"/>
  <c r="CT29" i="6"/>
  <c r="BS29" i="6"/>
  <c r="BW29" i="6"/>
  <c r="CA29" i="6"/>
  <c r="CE29" i="6"/>
  <c r="CI29" i="6"/>
  <c r="CM29" i="6"/>
  <c r="CQ29" i="6"/>
  <c r="BT29" i="6"/>
  <c r="BX29" i="6"/>
  <c r="CB29" i="6"/>
  <c r="CF29" i="6"/>
  <c r="CJ29" i="6"/>
  <c r="CN29" i="6"/>
  <c r="CR29" i="6"/>
  <c r="BQ29" i="6"/>
  <c r="BU29" i="6"/>
  <c r="BY29" i="6"/>
  <c r="CC29" i="6"/>
  <c r="CG29" i="6"/>
  <c r="CK29" i="6"/>
  <c r="CO29" i="6"/>
  <c r="CS29" i="6"/>
  <c r="BR25" i="6"/>
  <c r="BV25" i="6"/>
  <c r="BZ25" i="6"/>
  <c r="CD25" i="6"/>
  <c r="CH25" i="6"/>
  <c r="CL25" i="6"/>
  <c r="CP25" i="6"/>
  <c r="CT25" i="6"/>
  <c r="BS25" i="6"/>
  <c r="BW25" i="6"/>
  <c r="CA25" i="6"/>
  <c r="CE25" i="6"/>
  <c r="CI25" i="6"/>
  <c r="CM25" i="6"/>
  <c r="CQ25" i="6"/>
  <c r="BT25" i="6"/>
  <c r="BX25" i="6"/>
  <c r="CB25" i="6"/>
  <c r="CF25" i="6"/>
  <c r="CJ25" i="6"/>
  <c r="CN25" i="6"/>
  <c r="CR25" i="6"/>
  <c r="BQ25" i="6"/>
  <c r="BU25" i="6"/>
  <c r="BY25" i="6"/>
  <c r="CC25" i="6"/>
  <c r="CG25" i="6"/>
  <c r="CK25" i="6"/>
  <c r="CO25" i="6"/>
  <c r="CS25" i="6"/>
  <c r="BR21" i="6"/>
  <c r="BV21" i="6"/>
  <c r="BZ21" i="6"/>
  <c r="CD21" i="6"/>
  <c r="CH21" i="6"/>
  <c r="CL21" i="6"/>
  <c r="CP21" i="6"/>
  <c r="CT21" i="6"/>
  <c r="BS21" i="6"/>
  <c r="BW21" i="6"/>
  <c r="CA21" i="6"/>
  <c r="CE21" i="6"/>
  <c r="CI21" i="6"/>
  <c r="CM21" i="6"/>
  <c r="CQ21" i="6"/>
  <c r="BT21" i="6"/>
  <c r="BX21" i="6"/>
  <c r="CB21" i="6"/>
  <c r="CF21" i="6"/>
  <c r="CJ21" i="6"/>
  <c r="CN21" i="6"/>
  <c r="CR21" i="6"/>
  <c r="BQ21" i="6"/>
  <c r="BU21" i="6"/>
  <c r="BY21" i="6"/>
  <c r="CC21" i="6"/>
  <c r="CG21" i="6"/>
  <c r="CK21" i="6"/>
  <c r="CO21" i="6"/>
  <c r="CS21" i="6"/>
  <c r="BR17" i="6"/>
  <c r="BV17" i="6"/>
  <c r="BZ17" i="6"/>
  <c r="CD17" i="6"/>
  <c r="CH17" i="6"/>
  <c r="CL17" i="6"/>
  <c r="CP17" i="6"/>
  <c r="CT17" i="6"/>
  <c r="BS17" i="6"/>
  <c r="BW17" i="6"/>
  <c r="CA17" i="6"/>
  <c r="CE17" i="6"/>
  <c r="CI17" i="6"/>
  <c r="CM17" i="6"/>
  <c r="CQ17" i="6"/>
  <c r="BT17" i="6"/>
  <c r="BX17" i="6"/>
  <c r="CB17" i="6"/>
  <c r="CF17" i="6"/>
  <c r="CJ17" i="6"/>
  <c r="CN17" i="6"/>
  <c r="CR17" i="6"/>
  <c r="BQ17" i="6"/>
  <c r="BU17" i="6"/>
  <c r="BY17" i="6"/>
  <c r="CC17" i="6"/>
  <c r="CG17" i="6"/>
  <c r="CK17" i="6"/>
  <c r="CO17" i="6"/>
  <c r="CS17" i="6"/>
  <c r="BR13" i="6"/>
  <c r="BV13" i="6"/>
  <c r="BZ13" i="6"/>
  <c r="CD13" i="6"/>
  <c r="CH13" i="6"/>
  <c r="CL13" i="6"/>
  <c r="CP13" i="6"/>
  <c r="CT13" i="6"/>
  <c r="BS13" i="6"/>
  <c r="BW13" i="6"/>
  <c r="CA13" i="6"/>
  <c r="CE13" i="6"/>
  <c r="CI13" i="6"/>
  <c r="CM13" i="6"/>
  <c r="CQ13" i="6"/>
  <c r="BT13" i="6"/>
  <c r="BX13" i="6"/>
  <c r="CB13" i="6"/>
  <c r="CF13" i="6"/>
  <c r="CJ13" i="6"/>
  <c r="CN13" i="6"/>
  <c r="CR13" i="6"/>
  <c r="BQ13" i="6"/>
  <c r="BU13" i="6"/>
  <c r="BY13" i="6"/>
  <c r="CC13" i="6"/>
  <c r="CG13" i="6"/>
  <c r="CK13" i="6"/>
  <c r="CO13" i="6"/>
  <c r="CS13" i="6"/>
  <c r="BR9" i="6"/>
  <c r="BV9" i="6"/>
  <c r="BZ9" i="6"/>
  <c r="CD9" i="6"/>
  <c r="CH9" i="6"/>
  <c r="CL9" i="6"/>
  <c r="CP9" i="6"/>
  <c r="CT9" i="6"/>
  <c r="BS9" i="6"/>
  <c r="BW9" i="6"/>
  <c r="CA9" i="6"/>
  <c r="CE9" i="6"/>
  <c r="CI9" i="6"/>
  <c r="CM9" i="6"/>
  <c r="CQ9" i="6"/>
  <c r="BT9" i="6"/>
  <c r="BX9" i="6"/>
  <c r="CB9" i="6"/>
  <c r="CF9" i="6"/>
  <c r="CJ9" i="6"/>
  <c r="CN9" i="6"/>
  <c r="CR9" i="6"/>
  <c r="BQ9" i="6"/>
  <c r="BU9" i="6"/>
  <c r="BY9" i="6"/>
  <c r="CC9" i="6"/>
  <c r="CG9" i="6"/>
  <c r="CK9" i="6"/>
  <c r="CO9" i="6"/>
  <c r="CS9" i="6"/>
  <c r="BT260" i="6"/>
  <c r="BX260" i="6"/>
  <c r="CB260" i="6"/>
  <c r="CF260" i="6"/>
  <c r="CJ260" i="6"/>
  <c r="CN260" i="6"/>
  <c r="CR260" i="6"/>
  <c r="BQ260" i="6"/>
  <c r="BU260" i="6"/>
  <c r="BY260" i="6"/>
  <c r="CC260" i="6"/>
  <c r="CG260" i="6"/>
  <c r="CK260" i="6"/>
  <c r="CO260" i="6"/>
  <c r="CS260" i="6"/>
  <c r="BR260" i="6"/>
  <c r="BV260" i="6"/>
  <c r="BZ260" i="6"/>
  <c r="CD260" i="6"/>
  <c r="CH260" i="6"/>
  <c r="CL260" i="6"/>
  <c r="CP260" i="6"/>
  <c r="CT260" i="6"/>
  <c r="BS260" i="6"/>
  <c r="BW260" i="6"/>
  <c r="CA260" i="6"/>
  <c r="CE260" i="6"/>
  <c r="CI260" i="6"/>
  <c r="CM260" i="6"/>
  <c r="CQ260" i="6"/>
  <c r="BT244" i="6"/>
  <c r="BX244" i="6"/>
  <c r="CB244" i="6"/>
  <c r="CF244" i="6"/>
  <c r="CJ244" i="6"/>
  <c r="CN244" i="6"/>
  <c r="CR244" i="6"/>
  <c r="BQ244" i="6"/>
  <c r="BU244" i="6"/>
  <c r="BY244" i="6"/>
  <c r="CC244" i="6"/>
  <c r="CG244" i="6"/>
  <c r="CK244" i="6"/>
  <c r="CO244" i="6"/>
  <c r="CS244" i="6"/>
  <c r="BR244" i="6"/>
  <c r="BV244" i="6"/>
  <c r="BZ244" i="6"/>
  <c r="CD244" i="6"/>
  <c r="CH244" i="6"/>
  <c r="CL244" i="6"/>
  <c r="CP244" i="6"/>
  <c r="CT244" i="6"/>
  <c r="BS244" i="6"/>
  <c r="BW244" i="6"/>
  <c r="CA244" i="6"/>
  <c r="CE244" i="6"/>
  <c r="CI244" i="6"/>
  <c r="CM244" i="6"/>
  <c r="CQ244" i="6"/>
  <c r="BQ228" i="6"/>
  <c r="BU228" i="6"/>
  <c r="BY228" i="6"/>
  <c r="CC228" i="6"/>
  <c r="CG228" i="6"/>
  <c r="CK228" i="6"/>
  <c r="CO228" i="6"/>
  <c r="CS228" i="6"/>
  <c r="BR228" i="6"/>
  <c r="BV228" i="6"/>
  <c r="BZ228" i="6"/>
  <c r="CD228" i="6"/>
  <c r="CH228" i="6"/>
  <c r="CL228" i="6"/>
  <c r="CP228" i="6"/>
  <c r="CT228" i="6"/>
  <c r="BS228" i="6"/>
  <c r="BW228" i="6"/>
  <c r="CA228" i="6"/>
  <c r="CE228" i="6"/>
  <c r="CI228" i="6"/>
  <c r="CM228" i="6"/>
  <c r="CQ228" i="6"/>
  <c r="BT228" i="6"/>
  <c r="BX228" i="6"/>
  <c r="CB228" i="6"/>
  <c r="CF228" i="6"/>
  <c r="CJ228" i="6"/>
  <c r="CN228" i="6"/>
  <c r="CR228" i="6"/>
  <c r="BQ220" i="6"/>
  <c r="BU220" i="6"/>
  <c r="BY220" i="6"/>
  <c r="CC220" i="6"/>
  <c r="CG220" i="6"/>
  <c r="CK220" i="6"/>
  <c r="CO220" i="6"/>
  <c r="CS220" i="6"/>
  <c r="BR220" i="6"/>
  <c r="BV220" i="6"/>
  <c r="BZ220" i="6"/>
  <c r="CD220" i="6"/>
  <c r="CH220" i="6"/>
  <c r="CL220" i="6"/>
  <c r="CP220" i="6"/>
  <c r="CT220" i="6"/>
  <c r="BS220" i="6"/>
  <c r="BW220" i="6"/>
  <c r="CA220" i="6"/>
  <c r="CE220" i="6"/>
  <c r="CI220" i="6"/>
  <c r="CM220" i="6"/>
  <c r="CQ220" i="6"/>
  <c r="BT220" i="6"/>
  <c r="BX220" i="6"/>
  <c r="CB220" i="6"/>
  <c r="CF220" i="6"/>
  <c r="CJ220" i="6"/>
  <c r="CN220" i="6"/>
  <c r="CR220" i="6"/>
  <c r="BQ212" i="6"/>
  <c r="BU212" i="6"/>
  <c r="BY212" i="6"/>
  <c r="CC212" i="6"/>
  <c r="CG212" i="6"/>
  <c r="CK212" i="6"/>
  <c r="CO212" i="6"/>
  <c r="CS212" i="6"/>
  <c r="BR212" i="6"/>
  <c r="BV212" i="6"/>
  <c r="BZ212" i="6"/>
  <c r="CD212" i="6"/>
  <c r="CH212" i="6"/>
  <c r="CL212" i="6"/>
  <c r="CP212" i="6"/>
  <c r="CT212" i="6"/>
  <c r="BS212" i="6"/>
  <c r="BW212" i="6"/>
  <c r="CA212" i="6"/>
  <c r="CE212" i="6"/>
  <c r="CI212" i="6"/>
  <c r="CM212" i="6"/>
  <c r="CQ212" i="6"/>
  <c r="BT212" i="6"/>
  <c r="BX212" i="6"/>
  <c r="CB212" i="6"/>
  <c r="CF212" i="6"/>
  <c r="CJ212" i="6"/>
  <c r="CN212" i="6"/>
  <c r="CR212" i="6"/>
  <c r="BQ204" i="6"/>
  <c r="BU204" i="6"/>
  <c r="BY204" i="6"/>
  <c r="CC204" i="6"/>
  <c r="CG204" i="6"/>
  <c r="CK204" i="6"/>
  <c r="CO204" i="6"/>
  <c r="CS204" i="6"/>
  <c r="BR204" i="6"/>
  <c r="BV204" i="6"/>
  <c r="BZ204" i="6"/>
  <c r="CD204" i="6"/>
  <c r="CH204" i="6"/>
  <c r="CL204" i="6"/>
  <c r="CP204" i="6"/>
  <c r="CT204" i="6"/>
  <c r="BS204" i="6"/>
  <c r="BW204" i="6"/>
  <c r="CA204" i="6"/>
  <c r="CE204" i="6"/>
  <c r="CI204" i="6"/>
  <c r="CM204" i="6"/>
  <c r="CQ204" i="6"/>
  <c r="BT204" i="6"/>
  <c r="BX204" i="6"/>
  <c r="CB204" i="6"/>
  <c r="CF204" i="6"/>
  <c r="CJ204" i="6"/>
  <c r="CN204" i="6"/>
  <c r="CR204" i="6"/>
  <c r="BQ196" i="6"/>
  <c r="BU196" i="6"/>
  <c r="BY196" i="6"/>
  <c r="CC196" i="6"/>
  <c r="CG196" i="6"/>
  <c r="CK196" i="6"/>
  <c r="CO196" i="6"/>
  <c r="CS196" i="6"/>
  <c r="BR196" i="6"/>
  <c r="BV196" i="6"/>
  <c r="BZ196" i="6"/>
  <c r="CD196" i="6"/>
  <c r="CH196" i="6"/>
  <c r="CL196" i="6"/>
  <c r="CP196" i="6"/>
  <c r="CT196" i="6"/>
  <c r="BS196" i="6"/>
  <c r="BW196" i="6"/>
  <c r="CA196" i="6"/>
  <c r="CE196" i="6"/>
  <c r="CI196" i="6"/>
  <c r="CM196" i="6"/>
  <c r="CQ196" i="6"/>
  <c r="BT196" i="6"/>
  <c r="BX196" i="6"/>
  <c r="CB196" i="6"/>
  <c r="CF196" i="6"/>
  <c r="CJ196" i="6"/>
  <c r="CN196" i="6"/>
  <c r="CR196" i="6"/>
  <c r="BQ188" i="6"/>
  <c r="BU188" i="6"/>
  <c r="BY188" i="6"/>
  <c r="CC188" i="6"/>
  <c r="CG188" i="6"/>
  <c r="CK188" i="6"/>
  <c r="CO188" i="6"/>
  <c r="CS188" i="6"/>
  <c r="BR188" i="6"/>
  <c r="BV188" i="6"/>
  <c r="BZ188" i="6"/>
  <c r="CD188" i="6"/>
  <c r="CH188" i="6"/>
  <c r="CL188" i="6"/>
  <c r="CP188" i="6"/>
  <c r="CT188" i="6"/>
  <c r="BS188" i="6"/>
  <c r="BW188" i="6"/>
  <c r="CA188" i="6"/>
  <c r="CE188" i="6"/>
  <c r="CI188" i="6"/>
  <c r="CM188" i="6"/>
  <c r="CQ188" i="6"/>
  <c r="BT188" i="6"/>
  <c r="BX188" i="6"/>
  <c r="CB188" i="6"/>
  <c r="CF188" i="6"/>
  <c r="CJ188" i="6"/>
  <c r="CN188" i="6"/>
  <c r="CR188" i="6"/>
  <c r="BQ180" i="6"/>
  <c r="BU180" i="6"/>
  <c r="BY180" i="6"/>
  <c r="CC180" i="6"/>
  <c r="CG180" i="6"/>
  <c r="CK180" i="6"/>
  <c r="CO180" i="6"/>
  <c r="CS180" i="6"/>
  <c r="BR180" i="6"/>
  <c r="BV180" i="6"/>
  <c r="BZ180" i="6"/>
  <c r="CD180" i="6"/>
  <c r="CH180" i="6"/>
  <c r="CL180" i="6"/>
  <c r="CP180" i="6"/>
  <c r="CT180" i="6"/>
  <c r="BS180" i="6"/>
  <c r="BW180" i="6"/>
  <c r="CA180" i="6"/>
  <c r="CE180" i="6"/>
  <c r="CI180" i="6"/>
  <c r="CM180" i="6"/>
  <c r="CQ180" i="6"/>
  <c r="BT180" i="6"/>
  <c r="BX180" i="6"/>
  <c r="CB180" i="6"/>
  <c r="CF180" i="6"/>
  <c r="CJ180" i="6"/>
  <c r="CN180" i="6"/>
  <c r="CR180" i="6"/>
  <c r="BQ176" i="6"/>
  <c r="BU176" i="6"/>
  <c r="BY176" i="6"/>
  <c r="CC176" i="6"/>
  <c r="CG176" i="6"/>
  <c r="CK176" i="6"/>
  <c r="CO176" i="6"/>
  <c r="CS176" i="6"/>
  <c r="BR176" i="6"/>
  <c r="BV176" i="6"/>
  <c r="BZ176" i="6"/>
  <c r="CD176" i="6"/>
  <c r="CH176" i="6"/>
  <c r="CL176" i="6"/>
  <c r="CP176" i="6"/>
  <c r="CT176" i="6"/>
  <c r="BS176" i="6"/>
  <c r="BW176" i="6"/>
  <c r="CA176" i="6"/>
  <c r="CE176" i="6"/>
  <c r="CI176" i="6"/>
  <c r="CM176" i="6"/>
  <c r="CQ176" i="6"/>
  <c r="BT176" i="6"/>
  <c r="BX176" i="6"/>
  <c r="CB176" i="6"/>
  <c r="CF176" i="6"/>
  <c r="CJ176" i="6"/>
  <c r="CN176" i="6"/>
  <c r="CR176" i="6"/>
  <c r="BQ172" i="6"/>
  <c r="BU172" i="6"/>
  <c r="BY172" i="6"/>
  <c r="CC172" i="6"/>
  <c r="CG172" i="6"/>
  <c r="CK172" i="6"/>
  <c r="CO172" i="6"/>
  <c r="CS172" i="6"/>
  <c r="BR172" i="6"/>
  <c r="BV172" i="6"/>
  <c r="BZ172" i="6"/>
  <c r="CD172" i="6"/>
  <c r="CH172" i="6"/>
  <c r="CL172" i="6"/>
  <c r="CP172" i="6"/>
  <c r="CT172" i="6"/>
  <c r="BS172" i="6"/>
  <c r="BW172" i="6"/>
  <c r="CA172" i="6"/>
  <c r="CE172" i="6"/>
  <c r="CI172" i="6"/>
  <c r="CM172" i="6"/>
  <c r="CQ172" i="6"/>
  <c r="BT172" i="6"/>
  <c r="BX172" i="6"/>
  <c r="CB172" i="6"/>
  <c r="CF172" i="6"/>
  <c r="CJ172" i="6"/>
  <c r="CN172" i="6"/>
  <c r="CR172" i="6"/>
  <c r="BQ168" i="6"/>
  <c r="BU168" i="6"/>
  <c r="BY168" i="6"/>
  <c r="CC168" i="6"/>
  <c r="CG168" i="6"/>
  <c r="CK168" i="6"/>
  <c r="CO168" i="6"/>
  <c r="CS168" i="6"/>
  <c r="BR168" i="6"/>
  <c r="BV168" i="6"/>
  <c r="BZ168" i="6"/>
  <c r="CD168" i="6"/>
  <c r="CH168" i="6"/>
  <c r="CL168" i="6"/>
  <c r="CP168" i="6"/>
  <c r="CT168" i="6"/>
  <c r="BS168" i="6"/>
  <c r="BW168" i="6"/>
  <c r="CA168" i="6"/>
  <c r="CE168" i="6"/>
  <c r="CI168" i="6"/>
  <c r="CM168" i="6"/>
  <c r="CQ168" i="6"/>
  <c r="BT168" i="6"/>
  <c r="BX168" i="6"/>
  <c r="CB168" i="6"/>
  <c r="CF168" i="6"/>
  <c r="CJ168" i="6"/>
  <c r="CN168" i="6"/>
  <c r="CR168" i="6"/>
  <c r="BQ164" i="6"/>
  <c r="BU164" i="6"/>
  <c r="BY164" i="6"/>
  <c r="CC164" i="6"/>
  <c r="CG164" i="6"/>
  <c r="CK164" i="6"/>
  <c r="CO164" i="6"/>
  <c r="CS164" i="6"/>
  <c r="BR164" i="6"/>
  <c r="BV164" i="6"/>
  <c r="BZ164" i="6"/>
  <c r="CD164" i="6"/>
  <c r="CH164" i="6"/>
  <c r="CL164" i="6"/>
  <c r="CP164" i="6"/>
  <c r="CT164" i="6"/>
  <c r="BS164" i="6"/>
  <c r="BW164" i="6"/>
  <c r="CA164" i="6"/>
  <c r="CE164" i="6"/>
  <c r="CI164" i="6"/>
  <c r="CM164" i="6"/>
  <c r="CQ164" i="6"/>
  <c r="BT164" i="6"/>
  <c r="BX164" i="6"/>
  <c r="CB164" i="6"/>
  <c r="CF164" i="6"/>
  <c r="CJ164" i="6"/>
  <c r="CN164" i="6"/>
  <c r="CR164" i="6"/>
  <c r="BQ160" i="6"/>
  <c r="BU160" i="6"/>
  <c r="BY160" i="6"/>
  <c r="CC160" i="6"/>
  <c r="CG160" i="6"/>
  <c r="CK160" i="6"/>
  <c r="CO160" i="6"/>
  <c r="CS160" i="6"/>
  <c r="BR160" i="6"/>
  <c r="BV160" i="6"/>
  <c r="BZ160" i="6"/>
  <c r="CD160" i="6"/>
  <c r="CH160" i="6"/>
  <c r="CL160" i="6"/>
  <c r="CP160" i="6"/>
  <c r="CT160" i="6"/>
  <c r="BS160" i="6"/>
  <c r="BW160" i="6"/>
  <c r="CA160" i="6"/>
  <c r="CE160" i="6"/>
  <c r="CI160" i="6"/>
  <c r="CM160" i="6"/>
  <c r="CQ160" i="6"/>
  <c r="BT160" i="6"/>
  <c r="BX160" i="6"/>
  <c r="CB160" i="6"/>
  <c r="CF160" i="6"/>
  <c r="CJ160" i="6"/>
  <c r="CN160" i="6"/>
  <c r="CR160" i="6"/>
  <c r="BQ156" i="6"/>
  <c r="BU156" i="6"/>
  <c r="BY156" i="6"/>
  <c r="CC156" i="6"/>
  <c r="CG156" i="6"/>
  <c r="CK156" i="6"/>
  <c r="CO156" i="6"/>
  <c r="CS156" i="6"/>
  <c r="BR156" i="6"/>
  <c r="BV156" i="6"/>
  <c r="BZ156" i="6"/>
  <c r="CD156" i="6"/>
  <c r="CH156" i="6"/>
  <c r="CL156" i="6"/>
  <c r="CP156" i="6"/>
  <c r="CT156" i="6"/>
  <c r="BS156" i="6"/>
  <c r="BW156" i="6"/>
  <c r="CA156" i="6"/>
  <c r="CE156" i="6"/>
  <c r="CI156" i="6"/>
  <c r="CM156" i="6"/>
  <c r="CQ156" i="6"/>
  <c r="BT156" i="6"/>
  <c r="BX156" i="6"/>
  <c r="CB156" i="6"/>
  <c r="CF156" i="6"/>
  <c r="CJ156" i="6"/>
  <c r="CN156" i="6"/>
  <c r="CR156" i="6"/>
  <c r="BQ152" i="6"/>
  <c r="BU152" i="6"/>
  <c r="BY152" i="6"/>
  <c r="CC152" i="6"/>
  <c r="CG152" i="6"/>
  <c r="CK152" i="6"/>
  <c r="CO152" i="6"/>
  <c r="CS152" i="6"/>
  <c r="BR152" i="6"/>
  <c r="BV152" i="6"/>
  <c r="BZ152" i="6"/>
  <c r="CD152" i="6"/>
  <c r="CH152" i="6"/>
  <c r="CL152" i="6"/>
  <c r="CP152" i="6"/>
  <c r="CT152" i="6"/>
  <c r="BS152" i="6"/>
  <c r="BW152" i="6"/>
  <c r="CA152" i="6"/>
  <c r="CE152" i="6"/>
  <c r="CI152" i="6"/>
  <c r="CM152" i="6"/>
  <c r="CQ152" i="6"/>
  <c r="BT152" i="6"/>
  <c r="BX152" i="6"/>
  <c r="CB152" i="6"/>
  <c r="CF152" i="6"/>
  <c r="CJ152" i="6"/>
  <c r="CN152" i="6"/>
  <c r="CR152" i="6"/>
  <c r="BQ148" i="6"/>
  <c r="BU148" i="6"/>
  <c r="BY148" i="6"/>
  <c r="CC148" i="6"/>
  <c r="CG148" i="6"/>
  <c r="CK148" i="6"/>
  <c r="CO148" i="6"/>
  <c r="CS148" i="6"/>
  <c r="BR148" i="6"/>
  <c r="BV148" i="6"/>
  <c r="BZ148" i="6"/>
  <c r="CD148" i="6"/>
  <c r="CH148" i="6"/>
  <c r="CL148" i="6"/>
  <c r="CP148" i="6"/>
  <c r="CT148" i="6"/>
  <c r="BS148" i="6"/>
  <c r="BW148" i="6"/>
  <c r="CA148" i="6"/>
  <c r="CE148" i="6"/>
  <c r="CI148" i="6"/>
  <c r="CM148" i="6"/>
  <c r="CQ148" i="6"/>
  <c r="BT148" i="6"/>
  <c r="BX148" i="6"/>
  <c r="CB148" i="6"/>
  <c r="CF148" i="6"/>
  <c r="CJ148" i="6"/>
  <c r="CN148" i="6"/>
  <c r="CR148" i="6"/>
  <c r="BR144" i="6"/>
  <c r="BV144" i="6"/>
  <c r="BZ144" i="6"/>
  <c r="CD144" i="6"/>
  <c r="CH144" i="6"/>
  <c r="BS144" i="6"/>
  <c r="BW144" i="6"/>
  <c r="CA144" i="6"/>
  <c r="CE144" i="6"/>
  <c r="BT144" i="6"/>
  <c r="BX144" i="6"/>
  <c r="CB144" i="6"/>
  <c r="CF144" i="6"/>
  <c r="BQ144" i="6"/>
  <c r="BU144" i="6"/>
  <c r="BY144" i="6"/>
  <c r="CC144" i="6"/>
  <c r="CK144" i="6"/>
  <c r="CO144" i="6"/>
  <c r="CS144" i="6"/>
  <c r="CG144" i="6"/>
  <c r="CL144" i="6"/>
  <c r="CP144" i="6"/>
  <c r="CT144" i="6"/>
  <c r="CI144" i="6"/>
  <c r="CM144" i="6"/>
  <c r="CQ144" i="6"/>
  <c r="CJ144" i="6"/>
  <c r="CN144" i="6"/>
  <c r="CR144" i="6"/>
  <c r="BR140" i="6"/>
  <c r="BV140" i="6"/>
  <c r="BZ140" i="6"/>
  <c r="CD140" i="6"/>
  <c r="CH140" i="6"/>
  <c r="CL140" i="6"/>
  <c r="CP140" i="6"/>
  <c r="CT140" i="6"/>
  <c r="BS140" i="6"/>
  <c r="BW140" i="6"/>
  <c r="CA140" i="6"/>
  <c r="CE140" i="6"/>
  <c r="CI140" i="6"/>
  <c r="CM140" i="6"/>
  <c r="CQ140" i="6"/>
  <c r="BT140" i="6"/>
  <c r="BX140" i="6"/>
  <c r="CB140" i="6"/>
  <c r="CF140" i="6"/>
  <c r="CJ140" i="6"/>
  <c r="CN140" i="6"/>
  <c r="CR140" i="6"/>
  <c r="BQ140" i="6"/>
  <c r="BU140" i="6"/>
  <c r="BY140" i="6"/>
  <c r="CC140" i="6"/>
  <c r="CG140" i="6"/>
  <c r="CK140" i="6"/>
  <c r="CO140" i="6"/>
  <c r="CS140" i="6"/>
  <c r="BR136" i="6"/>
  <c r="BV136" i="6"/>
  <c r="BZ136" i="6"/>
  <c r="CD136" i="6"/>
  <c r="CH136" i="6"/>
  <c r="CL136" i="6"/>
  <c r="CP136" i="6"/>
  <c r="CT136" i="6"/>
  <c r="BS136" i="6"/>
  <c r="BW136" i="6"/>
  <c r="CA136" i="6"/>
  <c r="CE136" i="6"/>
  <c r="CI136" i="6"/>
  <c r="CM136" i="6"/>
  <c r="CQ136" i="6"/>
  <c r="BT136" i="6"/>
  <c r="BX136" i="6"/>
  <c r="CB136" i="6"/>
  <c r="CF136" i="6"/>
  <c r="CJ136" i="6"/>
  <c r="CN136" i="6"/>
  <c r="CR136" i="6"/>
  <c r="BQ136" i="6"/>
  <c r="BU136" i="6"/>
  <c r="BY136" i="6"/>
  <c r="CC136" i="6"/>
  <c r="CG136" i="6"/>
  <c r="CK136" i="6"/>
  <c r="CO136" i="6"/>
  <c r="CS136" i="6"/>
  <c r="BR132" i="6"/>
  <c r="BV132" i="6"/>
  <c r="BZ132" i="6"/>
  <c r="CD132" i="6"/>
  <c r="CH132" i="6"/>
  <c r="CL132" i="6"/>
  <c r="CP132" i="6"/>
  <c r="CT132" i="6"/>
  <c r="BS132" i="6"/>
  <c r="BW132" i="6"/>
  <c r="CA132" i="6"/>
  <c r="CE132" i="6"/>
  <c r="CI132" i="6"/>
  <c r="CM132" i="6"/>
  <c r="CQ132" i="6"/>
  <c r="BT132" i="6"/>
  <c r="BX132" i="6"/>
  <c r="CB132" i="6"/>
  <c r="CF132" i="6"/>
  <c r="CJ132" i="6"/>
  <c r="CN132" i="6"/>
  <c r="CR132" i="6"/>
  <c r="BQ132" i="6"/>
  <c r="BU132" i="6"/>
  <c r="BY132" i="6"/>
  <c r="CC132" i="6"/>
  <c r="CG132" i="6"/>
  <c r="CK132" i="6"/>
  <c r="CO132" i="6"/>
  <c r="CS132" i="6"/>
  <c r="BR128" i="6"/>
  <c r="BV128" i="6"/>
  <c r="BZ128" i="6"/>
  <c r="CD128" i="6"/>
  <c r="CH128" i="6"/>
  <c r="CL128" i="6"/>
  <c r="CP128" i="6"/>
  <c r="CT128" i="6"/>
  <c r="BS128" i="6"/>
  <c r="BW128" i="6"/>
  <c r="CA128" i="6"/>
  <c r="CE128" i="6"/>
  <c r="CI128" i="6"/>
  <c r="CM128" i="6"/>
  <c r="CQ128" i="6"/>
  <c r="BT128" i="6"/>
  <c r="BX128" i="6"/>
  <c r="CB128" i="6"/>
  <c r="CF128" i="6"/>
  <c r="CJ128" i="6"/>
  <c r="CN128" i="6"/>
  <c r="CR128" i="6"/>
  <c r="BQ128" i="6"/>
  <c r="BU128" i="6"/>
  <c r="BY128" i="6"/>
  <c r="CC128" i="6"/>
  <c r="CG128" i="6"/>
  <c r="CK128" i="6"/>
  <c r="CO128" i="6"/>
  <c r="CS128" i="6"/>
  <c r="BR124" i="6"/>
  <c r="BV124" i="6"/>
  <c r="BZ124" i="6"/>
  <c r="CD124" i="6"/>
  <c r="CH124" i="6"/>
  <c r="CL124" i="6"/>
  <c r="CP124" i="6"/>
  <c r="CT124" i="6"/>
  <c r="BS124" i="6"/>
  <c r="BW124" i="6"/>
  <c r="CA124" i="6"/>
  <c r="CE124" i="6"/>
  <c r="CI124" i="6"/>
  <c r="CM124" i="6"/>
  <c r="CQ124" i="6"/>
  <c r="BT124" i="6"/>
  <c r="BX124" i="6"/>
  <c r="CB124" i="6"/>
  <c r="CF124" i="6"/>
  <c r="CJ124" i="6"/>
  <c r="CN124" i="6"/>
  <c r="CR124" i="6"/>
  <c r="BQ124" i="6"/>
  <c r="BU124" i="6"/>
  <c r="BY124" i="6"/>
  <c r="CC124" i="6"/>
  <c r="CG124" i="6"/>
  <c r="CK124" i="6"/>
  <c r="CO124" i="6"/>
  <c r="CS124" i="6"/>
  <c r="BR120" i="6"/>
  <c r="BV120" i="6"/>
  <c r="BZ120" i="6"/>
  <c r="CD120" i="6"/>
  <c r="CH120" i="6"/>
  <c r="CL120" i="6"/>
  <c r="CP120" i="6"/>
  <c r="CT120" i="6"/>
  <c r="BS120" i="6"/>
  <c r="BW120" i="6"/>
  <c r="CA120" i="6"/>
  <c r="CE120" i="6"/>
  <c r="CI120" i="6"/>
  <c r="CM120" i="6"/>
  <c r="CQ120" i="6"/>
  <c r="BT120" i="6"/>
  <c r="BX120" i="6"/>
  <c r="CB120" i="6"/>
  <c r="CF120" i="6"/>
  <c r="CJ120" i="6"/>
  <c r="CN120" i="6"/>
  <c r="CR120" i="6"/>
  <c r="BQ120" i="6"/>
  <c r="BU120" i="6"/>
  <c r="BY120" i="6"/>
  <c r="CC120" i="6"/>
  <c r="CG120" i="6"/>
  <c r="CK120" i="6"/>
  <c r="CO120" i="6"/>
  <c r="CS120" i="6"/>
  <c r="BR116" i="6"/>
  <c r="BV116" i="6"/>
  <c r="BZ116" i="6"/>
  <c r="CD116" i="6"/>
  <c r="CH116" i="6"/>
  <c r="CL116" i="6"/>
  <c r="CP116" i="6"/>
  <c r="CT116" i="6"/>
  <c r="BS116" i="6"/>
  <c r="BW116" i="6"/>
  <c r="CA116" i="6"/>
  <c r="CE116" i="6"/>
  <c r="CI116" i="6"/>
  <c r="CM116" i="6"/>
  <c r="CQ116" i="6"/>
  <c r="BT116" i="6"/>
  <c r="BX116" i="6"/>
  <c r="CB116" i="6"/>
  <c r="CF116" i="6"/>
  <c r="CJ116" i="6"/>
  <c r="CN116" i="6"/>
  <c r="CR116" i="6"/>
  <c r="BQ116" i="6"/>
  <c r="BU116" i="6"/>
  <c r="BY116" i="6"/>
  <c r="CC116" i="6"/>
  <c r="CG116" i="6"/>
  <c r="CK116" i="6"/>
  <c r="CO116" i="6"/>
  <c r="CS116" i="6"/>
  <c r="BQ112" i="6"/>
  <c r="BU112" i="6"/>
  <c r="BY112" i="6"/>
  <c r="CC112" i="6"/>
  <c r="CG112" i="6"/>
  <c r="CK112" i="6"/>
  <c r="CO112" i="6"/>
  <c r="CS112" i="6"/>
  <c r="BR112" i="6"/>
  <c r="BV112" i="6"/>
  <c r="BZ112" i="6"/>
  <c r="CD112" i="6"/>
  <c r="CH112" i="6"/>
  <c r="CL112" i="6"/>
  <c r="CP112" i="6"/>
  <c r="CT112" i="6"/>
  <c r="BS112" i="6"/>
  <c r="BW112" i="6"/>
  <c r="CA112" i="6"/>
  <c r="CE112" i="6"/>
  <c r="CI112" i="6"/>
  <c r="CM112" i="6"/>
  <c r="CQ112" i="6"/>
  <c r="BT112" i="6"/>
  <c r="BX112" i="6"/>
  <c r="CB112" i="6"/>
  <c r="CF112" i="6"/>
  <c r="CJ112" i="6"/>
  <c r="CN112" i="6"/>
  <c r="CR112" i="6"/>
  <c r="BQ108" i="6"/>
  <c r="BU108" i="6"/>
  <c r="BY108" i="6"/>
  <c r="CC108" i="6"/>
  <c r="CG108" i="6"/>
  <c r="CK108" i="6"/>
  <c r="CO108" i="6"/>
  <c r="CS108" i="6"/>
  <c r="BR108" i="6"/>
  <c r="BV108" i="6"/>
  <c r="BZ108" i="6"/>
  <c r="CD108" i="6"/>
  <c r="CH108" i="6"/>
  <c r="CL108" i="6"/>
  <c r="CP108" i="6"/>
  <c r="CT108" i="6"/>
  <c r="BS108" i="6"/>
  <c r="BW108" i="6"/>
  <c r="CA108" i="6"/>
  <c r="CE108" i="6"/>
  <c r="CI108" i="6"/>
  <c r="CM108" i="6"/>
  <c r="CQ108" i="6"/>
  <c r="BT108" i="6"/>
  <c r="BX108" i="6"/>
  <c r="CB108" i="6"/>
  <c r="CF108" i="6"/>
  <c r="CJ108" i="6"/>
  <c r="CN108" i="6"/>
  <c r="CR108" i="6"/>
  <c r="BQ104" i="6"/>
  <c r="BU104" i="6"/>
  <c r="BY104" i="6"/>
  <c r="CC104" i="6"/>
  <c r="CG104" i="6"/>
  <c r="CK104" i="6"/>
  <c r="CO104" i="6"/>
  <c r="CS104" i="6"/>
  <c r="BR104" i="6"/>
  <c r="BV104" i="6"/>
  <c r="BZ104" i="6"/>
  <c r="CD104" i="6"/>
  <c r="CH104" i="6"/>
  <c r="CL104" i="6"/>
  <c r="CP104" i="6"/>
  <c r="CT104" i="6"/>
  <c r="BS104" i="6"/>
  <c r="BW104" i="6"/>
  <c r="CA104" i="6"/>
  <c r="CE104" i="6"/>
  <c r="CI104" i="6"/>
  <c r="CM104" i="6"/>
  <c r="CQ104" i="6"/>
  <c r="BT104" i="6"/>
  <c r="BX104" i="6"/>
  <c r="CB104" i="6"/>
  <c r="CF104" i="6"/>
  <c r="CJ104" i="6"/>
  <c r="CN104" i="6"/>
  <c r="CR104" i="6"/>
  <c r="BQ100" i="6"/>
  <c r="BU100" i="6"/>
  <c r="BY100" i="6"/>
  <c r="CC100" i="6"/>
  <c r="CG100" i="6"/>
  <c r="CK100" i="6"/>
  <c r="CO100" i="6"/>
  <c r="CS100" i="6"/>
  <c r="BR100" i="6"/>
  <c r="BV100" i="6"/>
  <c r="BZ100" i="6"/>
  <c r="CD100" i="6"/>
  <c r="CH100" i="6"/>
  <c r="CL100" i="6"/>
  <c r="CP100" i="6"/>
  <c r="CT100" i="6"/>
  <c r="BS100" i="6"/>
  <c r="BW100" i="6"/>
  <c r="CA100" i="6"/>
  <c r="CE100" i="6"/>
  <c r="CI100" i="6"/>
  <c r="CM100" i="6"/>
  <c r="CQ100" i="6"/>
  <c r="BT100" i="6"/>
  <c r="BX100" i="6"/>
  <c r="CB100" i="6"/>
  <c r="CF100" i="6"/>
  <c r="CJ100" i="6"/>
  <c r="CN100" i="6"/>
  <c r="CR100" i="6"/>
  <c r="BQ96" i="6"/>
  <c r="BU96" i="6"/>
  <c r="BY96" i="6"/>
  <c r="CC96" i="6"/>
  <c r="CG96" i="6"/>
  <c r="CK96" i="6"/>
  <c r="CO96" i="6"/>
  <c r="CS96" i="6"/>
  <c r="BR96" i="6"/>
  <c r="BV96" i="6"/>
  <c r="BZ96" i="6"/>
  <c r="CD96" i="6"/>
  <c r="CH96" i="6"/>
  <c r="CL96" i="6"/>
  <c r="CP96" i="6"/>
  <c r="CT96" i="6"/>
  <c r="BS96" i="6"/>
  <c r="BW96" i="6"/>
  <c r="CA96" i="6"/>
  <c r="CE96" i="6"/>
  <c r="CI96" i="6"/>
  <c r="CM96" i="6"/>
  <c r="CQ96" i="6"/>
  <c r="BT96" i="6"/>
  <c r="BX96" i="6"/>
  <c r="CB96" i="6"/>
  <c r="CF96" i="6"/>
  <c r="CJ96" i="6"/>
  <c r="CN96" i="6"/>
  <c r="CR96" i="6"/>
  <c r="BQ92" i="6"/>
  <c r="BU92" i="6"/>
  <c r="BY92" i="6"/>
  <c r="CC92" i="6"/>
  <c r="CG92" i="6"/>
  <c r="CK92" i="6"/>
  <c r="CO92" i="6"/>
  <c r="CS92" i="6"/>
  <c r="BR92" i="6"/>
  <c r="BV92" i="6"/>
  <c r="BZ92" i="6"/>
  <c r="CD92" i="6"/>
  <c r="CH92" i="6"/>
  <c r="CL92" i="6"/>
  <c r="CP92" i="6"/>
  <c r="CT92" i="6"/>
  <c r="BS92" i="6"/>
  <c r="BW92" i="6"/>
  <c r="CA92" i="6"/>
  <c r="CE92" i="6"/>
  <c r="CI92" i="6"/>
  <c r="CM92" i="6"/>
  <c r="CQ92" i="6"/>
  <c r="BT92" i="6"/>
  <c r="BX92" i="6"/>
  <c r="CB92" i="6"/>
  <c r="CF92" i="6"/>
  <c r="CJ92" i="6"/>
  <c r="CN92" i="6"/>
  <c r="CR92" i="6"/>
  <c r="BQ88" i="6"/>
  <c r="BU88" i="6"/>
  <c r="BY88" i="6"/>
  <c r="CC88" i="6"/>
  <c r="CG88" i="6"/>
  <c r="CK88" i="6"/>
  <c r="CO88" i="6"/>
  <c r="CS88" i="6"/>
  <c r="BR88" i="6"/>
  <c r="BV88" i="6"/>
  <c r="BZ88" i="6"/>
  <c r="CD88" i="6"/>
  <c r="CH88" i="6"/>
  <c r="CL88" i="6"/>
  <c r="CP88" i="6"/>
  <c r="CT88" i="6"/>
  <c r="BS88" i="6"/>
  <c r="BW88" i="6"/>
  <c r="CA88" i="6"/>
  <c r="CE88" i="6"/>
  <c r="CI88" i="6"/>
  <c r="CM88" i="6"/>
  <c r="CQ88" i="6"/>
  <c r="BT88" i="6"/>
  <c r="BX88" i="6"/>
  <c r="CB88" i="6"/>
  <c r="CF88" i="6"/>
  <c r="CJ88" i="6"/>
  <c r="CN88" i="6"/>
  <c r="CR88" i="6"/>
  <c r="BQ84" i="6"/>
  <c r="BU84" i="6"/>
  <c r="BY84" i="6"/>
  <c r="CC84" i="6"/>
  <c r="CG84" i="6"/>
  <c r="CK84" i="6"/>
  <c r="CO84" i="6"/>
  <c r="CS84" i="6"/>
  <c r="BR84" i="6"/>
  <c r="BV84" i="6"/>
  <c r="BZ84" i="6"/>
  <c r="CD84" i="6"/>
  <c r="CH84" i="6"/>
  <c r="CL84" i="6"/>
  <c r="CP84" i="6"/>
  <c r="CT84" i="6"/>
  <c r="BS84" i="6"/>
  <c r="BW84" i="6"/>
  <c r="CA84" i="6"/>
  <c r="CE84" i="6"/>
  <c r="CI84" i="6"/>
  <c r="CM84" i="6"/>
  <c r="CQ84" i="6"/>
  <c r="BT84" i="6"/>
  <c r="BX84" i="6"/>
  <c r="CB84" i="6"/>
  <c r="CF84" i="6"/>
  <c r="CJ84" i="6"/>
  <c r="CN84" i="6"/>
  <c r="CR84" i="6"/>
  <c r="BQ80" i="6"/>
  <c r="BU80" i="6"/>
  <c r="BY80" i="6"/>
  <c r="CC80" i="6"/>
  <c r="CG80" i="6"/>
  <c r="CK80" i="6"/>
  <c r="CO80" i="6"/>
  <c r="CS80" i="6"/>
  <c r="BR80" i="6"/>
  <c r="BV80" i="6"/>
  <c r="BZ80" i="6"/>
  <c r="CD80" i="6"/>
  <c r="CH80" i="6"/>
  <c r="CL80" i="6"/>
  <c r="CP80" i="6"/>
  <c r="CT80" i="6"/>
  <c r="BS80" i="6"/>
  <c r="BW80" i="6"/>
  <c r="CA80" i="6"/>
  <c r="CE80" i="6"/>
  <c r="CI80" i="6"/>
  <c r="CM80" i="6"/>
  <c r="CQ80" i="6"/>
  <c r="BT80" i="6"/>
  <c r="BX80" i="6"/>
  <c r="CB80" i="6"/>
  <c r="CF80" i="6"/>
  <c r="CJ80" i="6"/>
  <c r="CN80" i="6"/>
  <c r="CR80" i="6"/>
  <c r="BQ76" i="6"/>
  <c r="BU76" i="6"/>
  <c r="BY76" i="6"/>
  <c r="CC76" i="6"/>
  <c r="CG76" i="6"/>
  <c r="CK76" i="6"/>
  <c r="CO76" i="6"/>
  <c r="CS76" i="6"/>
  <c r="BR76" i="6"/>
  <c r="BV76" i="6"/>
  <c r="BZ76" i="6"/>
  <c r="CD76" i="6"/>
  <c r="CH76" i="6"/>
  <c r="CL76" i="6"/>
  <c r="CP76" i="6"/>
  <c r="CT76" i="6"/>
  <c r="BS76" i="6"/>
  <c r="BW76" i="6"/>
  <c r="CA76" i="6"/>
  <c r="CE76" i="6"/>
  <c r="CI76" i="6"/>
  <c r="CM76" i="6"/>
  <c r="CQ76" i="6"/>
  <c r="BT76" i="6"/>
  <c r="BX76" i="6"/>
  <c r="CB76" i="6"/>
  <c r="CF76" i="6"/>
  <c r="CJ76" i="6"/>
  <c r="CN76" i="6"/>
  <c r="CR76" i="6"/>
  <c r="BQ72" i="6"/>
  <c r="BU72" i="6"/>
  <c r="BY72" i="6"/>
  <c r="CC72" i="6"/>
  <c r="CG72" i="6"/>
  <c r="CK72" i="6"/>
  <c r="CO72" i="6"/>
  <c r="CS72" i="6"/>
  <c r="BR72" i="6"/>
  <c r="BV72" i="6"/>
  <c r="BZ72" i="6"/>
  <c r="CD72" i="6"/>
  <c r="CH72" i="6"/>
  <c r="CL72" i="6"/>
  <c r="CP72" i="6"/>
  <c r="CT72" i="6"/>
  <c r="BS72" i="6"/>
  <c r="BW72" i="6"/>
  <c r="CA72" i="6"/>
  <c r="CE72" i="6"/>
  <c r="CI72" i="6"/>
  <c r="CM72" i="6"/>
  <c r="CQ72" i="6"/>
  <c r="BT72" i="6"/>
  <c r="BX72" i="6"/>
  <c r="CB72" i="6"/>
  <c r="CF72" i="6"/>
  <c r="CJ72" i="6"/>
  <c r="CN72" i="6"/>
  <c r="CR72" i="6"/>
  <c r="BQ68" i="6"/>
  <c r="BU68" i="6"/>
  <c r="BY68" i="6"/>
  <c r="CC68" i="6"/>
  <c r="CG68" i="6"/>
  <c r="CK68" i="6"/>
  <c r="CO68" i="6"/>
  <c r="CS68" i="6"/>
  <c r="BR68" i="6"/>
  <c r="BV68" i="6"/>
  <c r="BZ68" i="6"/>
  <c r="CD68" i="6"/>
  <c r="CH68" i="6"/>
  <c r="CL68" i="6"/>
  <c r="CP68" i="6"/>
  <c r="CT68" i="6"/>
  <c r="BS68" i="6"/>
  <c r="BW68" i="6"/>
  <c r="CA68" i="6"/>
  <c r="CE68" i="6"/>
  <c r="CI68" i="6"/>
  <c r="CM68" i="6"/>
  <c r="CQ68" i="6"/>
  <c r="BT68" i="6"/>
  <c r="BX68" i="6"/>
  <c r="CB68" i="6"/>
  <c r="CF68" i="6"/>
  <c r="CJ68" i="6"/>
  <c r="CN68" i="6"/>
  <c r="CR68" i="6"/>
  <c r="BQ64" i="6"/>
  <c r="BU64" i="6"/>
  <c r="BY64" i="6"/>
  <c r="CC64" i="6"/>
  <c r="CG64" i="6"/>
  <c r="CK64" i="6"/>
  <c r="CO64" i="6"/>
  <c r="CS64" i="6"/>
  <c r="BR64" i="6"/>
  <c r="BV64" i="6"/>
  <c r="BZ64" i="6"/>
  <c r="CD64" i="6"/>
  <c r="CH64" i="6"/>
  <c r="CL64" i="6"/>
  <c r="CP64" i="6"/>
  <c r="CT64" i="6"/>
  <c r="BS64" i="6"/>
  <c r="BW64" i="6"/>
  <c r="CA64" i="6"/>
  <c r="CE64" i="6"/>
  <c r="CI64" i="6"/>
  <c r="CM64" i="6"/>
  <c r="CQ64" i="6"/>
  <c r="BT64" i="6"/>
  <c r="BX64" i="6"/>
  <c r="CB64" i="6"/>
  <c r="CF64" i="6"/>
  <c r="CJ64" i="6"/>
  <c r="CN64" i="6"/>
  <c r="CR64" i="6"/>
  <c r="BQ60" i="6"/>
  <c r="BU60" i="6"/>
  <c r="BY60" i="6"/>
  <c r="CC60" i="6"/>
  <c r="CG60" i="6"/>
  <c r="CK60" i="6"/>
  <c r="CO60" i="6"/>
  <c r="CS60" i="6"/>
  <c r="BR60" i="6"/>
  <c r="BV60" i="6"/>
  <c r="BZ60" i="6"/>
  <c r="CD60" i="6"/>
  <c r="CH60" i="6"/>
  <c r="CL60" i="6"/>
  <c r="CP60" i="6"/>
  <c r="CT60" i="6"/>
  <c r="BS60" i="6"/>
  <c r="BW60" i="6"/>
  <c r="CA60" i="6"/>
  <c r="CE60" i="6"/>
  <c r="CI60" i="6"/>
  <c r="CM60" i="6"/>
  <c r="CQ60" i="6"/>
  <c r="BT60" i="6"/>
  <c r="BX60" i="6"/>
  <c r="CB60" i="6"/>
  <c r="CF60" i="6"/>
  <c r="CJ60" i="6"/>
  <c r="CN60" i="6"/>
  <c r="CR60" i="6"/>
  <c r="BQ56" i="6"/>
  <c r="BU56" i="6"/>
  <c r="BY56" i="6"/>
  <c r="CC56" i="6"/>
  <c r="CG56" i="6"/>
  <c r="CK56" i="6"/>
  <c r="CO56" i="6"/>
  <c r="CS56" i="6"/>
  <c r="BR56" i="6"/>
  <c r="BV56" i="6"/>
  <c r="BZ56" i="6"/>
  <c r="CD56" i="6"/>
  <c r="CH56" i="6"/>
  <c r="CL56" i="6"/>
  <c r="CP56" i="6"/>
  <c r="CT56" i="6"/>
  <c r="BS56" i="6"/>
  <c r="BW56" i="6"/>
  <c r="CA56" i="6"/>
  <c r="CE56" i="6"/>
  <c r="CI56" i="6"/>
  <c r="CM56" i="6"/>
  <c r="CQ56" i="6"/>
  <c r="BT56" i="6"/>
  <c r="BX56" i="6"/>
  <c r="CB56" i="6"/>
  <c r="CF56" i="6"/>
  <c r="CJ56" i="6"/>
  <c r="CN56" i="6"/>
  <c r="CR56" i="6"/>
  <c r="BT52" i="6"/>
  <c r="BX52" i="6"/>
  <c r="CB52" i="6"/>
  <c r="CF52" i="6"/>
  <c r="CJ52" i="6"/>
  <c r="CN52" i="6"/>
  <c r="CR52" i="6"/>
  <c r="BQ52" i="6"/>
  <c r="BU52" i="6"/>
  <c r="BY52" i="6"/>
  <c r="CC52" i="6"/>
  <c r="CG52" i="6"/>
  <c r="CK52" i="6"/>
  <c r="CO52" i="6"/>
  <c r="CS52" i="6"/>
  <c r="BR52" i="6"/>
  <c r="BV52" i="6"/>
  <c r="BZ52" i="6"/>
  <c r="CD52" i="6"/>
  <c r="CH52" i="6"/>
  <c r="CL52" i="6"/>
  <c r="CP52" i="6"/>
  <c r="CT52" i="6"/>
  <c r="BS52" i="6"/>
  <c r="BW52" i="6"/>
  <c r="CA52" i="6"/>
  <c r="CE52" i="6"/>
  <c r="CI52" i="6"/>
  <c r="CM52" i="6"/>
  <c r="CQ52" i="6"/>
  <c r="BT48" i="6"/>
  <c r="BX48" i="6"/>
  <c r="CB48" i="6"/>
  <c r="CF48" i="6"/>
  <c r="CJ48" i="6"/>
  <c r="CN48" i="6"/>
  <c r="CR48" i="6"/>
  <c r="BQ48" i="6"/>
  <c r="BU48" i="6"/>
  <c r="BY48" i="6"/>
  <c r="CC48" i="6"/>
  <c r="CG48" i="6"/>
  <c r="CK48" i="6"/>
  <c r="CO48" i="6"/>
  <c r="CS48" i="6"/>
  <c r="BR48" i="6"/>
  <c r="BV48" i="6"/>
  <c r="BZ48" i="6"/>
  <c r="CD48" i="6"/>
  <c r="CH48" i="6"/>
  <c r="CL48" i="6"/>
  <c r="CP48" i="6"/>
  <c r="CT48" i="6"/>
  <c r="BS48" i="6"/>
  <c r="BW48" i="6"/>
  <c r="CA48" i="6"/>
  <c r="CE48" i="6"/>
  <c r="CI48" i="6"/>
  <c r="CM48" i="6"/>
  <c r="CQ48" i="6"/>
  <c r="BT44" i="6"/>
  <c r="BX44" i="6"/>
  <c r="CB44" i="6"/>
  <c r="CF44" i="6"/>
  <c r="CJ44" i="6"/>
  <c r="CN44" i="6"/>
  <c r="CR44" i="6"/>
  <c r="BQ44" i="6"/>
  <c r="BU44" i="6"/>
  <c r="BY44" i="6"/>
  <c r="CC44" i="6"/>
  <c r="CG44" i="6"/>
  <c r="CK44" i="6"/>
  <c r="CO44" i="6"/>
  <c r="CS44" i="6"/>
  <c r="BR44" i="6"/>
  <c r="BV44" i="6"/>
  <c r="BZ44" i="6"/>
  <c r="CD44" i="6"/>
  <c r="CH44" i="6"/>
  <c r="CL44" i="6"/>
  <c r="CP44" i="6"/>
  <c r="CT44" i="6"/>
  <c r="BS44" i="6"/>
  <c r="BW44" i="6"/>
  <c r="CA44" i="6"/>
  <c r="CE44" i="6"/>
  <c r="CI44" i="6"/>
  <c r="CM44" i="6"/>
  <c r="CQ44" i="6"/>
  <c r="BT40" i="6"/>
  <c r="BX40" i="6"/>
  <c r="CB40" i="6"/>
  <c r="CF40" i="6"/>
  <c r="CJ40" i="6"/>
  <c r="CN40" i="6"/>
  <c r="CR40" i="6"/>
  <c r="BQ40" i="6"/>
  <c r="BU40" i="6"/>
  <c r="BY40" i="6"/>
  <c r="CC40" i="6"/>
  <c r="CG40" i="6"/>
  <c r="CK40" i="6"/>
  <c r="CO40" i="6"/>
  <c r="CS40" i="6"/>
  <c r="BR40" i="6"/>
  <c r="BV40" i="6"/>
  <c r="BZ40" i="6"/>
  <c r="CD40" i="6"/>
  <c r="CH40" i="6"/>
  <c r="CL40" i="6"/>
  <c r="CP40" i="6"/>
  <c r="CT40" i="6"/>
  <c r="BS40" i="6"/>
  <c r="BW40" i="6"/>
  <c r="CA40" i="6"/>
  <c r="CE40" i="6"/>
  <c r="CI40" i="6"/>
  <c r="CM40" i="6"/>
  <c r="CQ40" i="6"/>
  <c r="BT36" i="6"/>
  <c r="BX36" i="6"/>
  <c r="CB36" i="6"/>
  <c r="CF36" i="6"/>
  <c r="CJ36" i="6"/>
  <c r="CN36" i="6"/>
  <c r="CR36" i="6"/>
  <c r="BQ36" i="6"/>
  <c r="BU36" i="6"/>
  <c r="BY36" i="6"/>
  <c r="CC36" i="6"/>
  <c r="CG36" i="6"/>
  <c r="CK36" i="6"/>
  <c r="CO36" i="6"/>
  <c r="CS36" i="6"/>
  <c r="BR36" i="6"/>
  <c r="BV36" i="6"/>
  <c r="BZ36" i="6"/>
  <c r="CD36" i="6"/>
  <c r="CH36" i="6"/>
  <c r="CL36" i="6"/>
  <c r="CP36" i="6"/>
  <c r="CT36" i="6"/>
  <c r="BS36" i="6"/>
  <c r="BW36" i="6"/>
  <c r="CA36" i="6"/>
  <c r="CE36" i="6"/>
  <c r="CI36" i="6"/>
  <c r="CM36" i="6"/>
  <c r="CQ36" i="6"/>
  <c r="BT32" i="6"/>
  <c r="BX32" i="6"/>
  <c r="CB32" i="6"/>
  <c r="CF32" i="6"/>
  <c r="CJ32" i="6"/>
  <c r="CN32" i="6"/>
  <c r="CR32" i="6"/>
  <c r="BQ32" i="6"/>
  <c r="BU32" i="6"/>
  <c r="BY32" i="6"/>
  <c r="CC32" i="6"/>
  <c r="CG32" i="6"/>
  <c r="CK32" i="6"/>
  <c r="CO32" i="6"/>
  <c r="CS32" i="6"/>
  <c r="BR32" i="6"/>
  <c r="BV32" i="6"/>
  <c r="BZ32" i="6"/>
  <c r="CD32" i="6"/>
  <c r="CH32" i="6"/>
  <c r="CL32" i="6"/>
  <c r="CP32" i="6"/>
  <c r="CT32" i="6"/>
  <c r="BS32" i="6"/>
  <c r="BW32" i="6"/>
  <c r="CA32" i="6"/>
  <c r="CE32" i="6"/>
  <c r="CI32" i="6"/>
  <c r="CM32" i="6"/>
  <c r="CQ32" i="6"/>
  <c r="BT28" i="6"/>
  <c r="BX28" i="6"/>
  <c r="CB28" i="6"/>
  <c r="CF28" i="6"/>
  <c r="CJ28" i="6"/>
  <c r="CN28" i="6"/>
  <c r="CR28" i="6"/>
  <c r="BQ28" i="6"/>
  <c r="BU28" i="6"/>
  <c r="BY28" i="6"/>
  <c r="CC28" i="6"/>
  <c r="CG28" i="6"/>
  <c r="CK28" i="6"/>
  <c r="CO28" i="6"/>
  <c r="CS28" i="6"/>
  <c r="BR28" i="6"/>
  <c r="BV28" i="6"/>
  <c r="BZ28" i="6"/>
  <c r="CD28" i="6"/>
  <c r="CH28" i="6"/>
  <c r="CL28" i="6"/>
  <c r="CP28" i="6"/>
  <c r="CT28" i="6"/>
  <c r="BS28" i="6"/>
  <c r="BW28" i="6"/>
  <c r="CA28" i="6"/>
  <c r="CE28" i="6"/>
  <c r="CI28" i="6"/>
  <c r="CM28" i="6"/>
  <c r="CQ28" i="6"/>
  <c r="BT24" i="6"/>
  <c r="BX24" i="6"/>
  <c r="CB24" i="6"/>
  <c r="CF24" i="6"/>
  <c r="CJ24" i="6"/>
  <c r="CN24" i="6"/>
  <c r="CR24" i="6"/>
  <c r="BQ24" i="6"/>
  <c r="BU24" i="6"/>
  <c r="BY24" i="6"/>
  <c r="CC24" i="6"/>
  <c r="CG24" i="6"/>
  <c r="CK24" i="6"/>
  <c r="CO24" i="6"/>
  <c r="CS24" i="6"/>
  <c r="BR24" i="6"/>
  <c r="BV24" i="6"/>
  <c r="BZ24" i="6"/>
  <c r="CD24" i="6"/>
  <c r="CH24" i="6"/>
  <c r="CL24" i="6"/>
  <c r="CP24" i="6"/>
  <c r="CT24" i="6"/>
  <c r="BS24" i="6"/>
  <c r="BW24" i="6"/>
  <c r="CA24" i="6"/>
  <c r="CE24" i="6"/>
  <c r="CI24" i="6"/>
  <c r="CM24" i="6"/>
  <c r="CQ24" i="6"/>
  <c r="BT20" i="6"/>
  <c r="BX20" i="6"/>
  <c r="CB20" i="6"/>
  <c r="CF20" i="6"/>
  <c r="CJ20" i="6"/>
  <c r="CN20" i="6"/>
  <c r="CR20" i="6"/>
  <c r="BQ20" i="6"/>
  <c r="BU20" i="6"/>
  <c r="BY20" i="6"/>
  <c r="CC20" i="6"/>
  <c r="CG20" i="6"/>
  <c r="CK20" i="6"/>
  <c r="CO20" i="6"/>
  <c r="CS20" i="6"/>
  <c r="BR20" i="6"/>
  <c r="BV20" i="6"/>
  <c r="BZ20" i="6"/>
  <c r="CD20" i="6"/>
  <c r="CH20" i="6"/>
  <c r="CL20" i="6"/>
  <c r="CP20" i="6"/>
  <c r="CT20" i="6"/>
  <c r="BS20" i="6"/>
  <c r="BW20" i="6"/>
  <c r="CA20" i="6"/>
  <c r="CE20" i="6"/>
  <c r="CI20" i="6"/>
  <c r="CM20" i="6"/>
  <c r="CQ20" i="6"/>
  <c r="BT16" i="6"/>
  <c r="BX16" i="6"/>
  <c r="CB16" i="6"/>
  <c r="CF16" i="6"/>
  <c r="CJ16" i="6"/>
  <c r="CN16" i="6"/>
  <c r="CR16" i="6"/>
  <c r="BQ16" i="6"/>
  <c r="BU16" i="6"/>
  <c r="BY16" i="6"/>
  <c r="CC16" i="6"/>
  <c r="CG16" i="6"/>
  <c r="CK16" i="6"/>
  <c r="CO16" i="6"/>
  <c r="CS16" i="6"/>
  <c r="BR16" i="6"/>
  <c r="BV16" i="6"/>
  <c r="BZ16" i="6"/>
  <c r="CD16" i="6"/>
  <c r="CH16" i="6"/>
  <c r="CL16" i="6"/>
  <c r="CP16" i="6"/>
  <c r="CT16" i="6"/>
  <c r="BS16" i="6"/>
  <c r="BW16" i="6"/>
  <c r="CA16" i="6"/>
  <c r="CE16" i="6"/>
  <c r="CI16" i="6"/>
  <c r="CM16" i="6"/>
  <c r="CQ16" i="6"/>
  <c r="BT12" i="6"/>
  <c r="BX12" i="6"/>
  <c r="CB12" i="6"/>
  <c r="CF12" i="6"/>
  <c r="CJ12" i="6"/>
  <c r="CN12" i="6"/>
  <c r="CR12" i="6"/>
  <c r="BQ12" i="6"/>
  <c r="BU12" i="6"/>
  <c r="BY12" i="6"/>
  <c r="CC12" i="6"/>
  <c r="CG12" i="6"/>
  <c r="CK12" i="6"/>
  <c r="CO12" i="6"/>
  <c r="CS12" i="6"/>
  <c r="BR12" i="6"/>
  <c r="BV12" i="6"/>
  <c r="BZ12" i="6"/>
  <c r="CD12" i="6"/>
  <c r="CH12" i="6"/>
  <c r="CL12" i="6"/>
  <c r="CP12" i="6"/>
  <c r="CT12" i="6"/>
  <c r="BS12" i="6"/>
  <c r="BW12" i="6"/>
  <c r="CA12" i="6"/>
  <c r="CE12" i="6"/>
  <c r="CI12" i="6"/>
  <c r="CM12" i="6"/>
  <c r="CQ12" i="6"/>
  <c r="BT8" i="6"/>
  <c r="BX8" i="6"/>
  <c r="CB8" i="6"/>
  <c r="CF8" i="6"/>
  <c r="CJ8" i="6"/>
  <c r="CN8" i="6"/>
  <c r="CR8" i="6"/>
  <c r="BQ8" i="6"/>
  <c r="BU8" i="6"/>
  <c r="BY8" i="6"/>
  <c r="CC8" i="6"/>
  <c r="CG8" i="6"/>
  <c r="CK8" i="6"/>
  <c r="CO8" i="6"/>
  <c r="CS8" i="6"/>
  <c r="BR8" i="6"/>
  <c r="BV8" i="6"/>
  <c r="BZ8" i="6"/>
  <c r="CD8" i="6"/>
  <c r="CH8" i="6"/>
  <c r="CL8" i="6"/>
  <c r="CP8" i="6"/>
  <c r="CT8" i="6"/>
  <c r="BS8" i="6"/>
  <c r="BW8" i="6"/>
  <c r="CA8" i="6"/>
  <c r="CE8" i="6"/>
  <c r="CI8" i="6"/>
  <c r="CM8" i="6"/>
  <c r="CQ8" i="6"/>
  <c r="BT252" i="6"/>
  <c r="BX252" i="6"/>
  <c r="CB252" i="6"/>
  <c r="CF252" i="6"/>
  <c r="CJ252" i="6"/>
  <c r="CN252" i="6"/>
  <c r="CR252" i="6"/>
  <c r="BQ252" i="6"/>
  <c r="BU252" i="6"/>
  <c r="BY252" i="6"/>
  <c r="CC252" i="6"/>
  <c r="CG252" i="6"/>
  <c r="CK252" i="6"/>
  <c r="CO252" i="6"/>
  <c r="CS252" i="6"/>
  <c r="BR252" i="6"/>
  <c r="BV252" i="6"/>
  <c r="BZ252" i="6"/>
  <c r="CD252" i="6"/>
  <c r="CH252" i="6"/>
  <c r="CL252" i="6"/>
  <c r="CP252" i="6"/>
  <c r="CT252" i="6"/>
  <c r="BS252" i="6"/>
  <c r="BW252" i="6"/>
  <c r="CA252" i="6"/>
  <c r="CE252" i="6"/>
  <c r="CI252" i="6"/>
  <c r="CM252" i="6"/>
  <c r="CQ252" i="6"/>
  <c r="BT236" i="6"/>
  <c r="BX236" i="6"/>
  <c r="CB236" i="6"/>
  <c r="CF236" i="6"/>
  <c r="CJ236" i="6"/>
  <c r="CN236" i="6"/>
  <c r="CR236" i="6"/>
  <c r="BQ236" i="6"/>
  <c r="BU236" i="6"/>
  <c r="BY236" i="6"/>
  <c r="CC236" i="6"/>
  <c r="CG236" i="6"/>
  <c r="CK236" i="6"/>
  <c r="CO236" i="6"/>
  <c r="CS236" i="6"/>
  <c r="BR236" i="6"/>
  <c r="BV236" i="6"/>
  <c r="BZ236" i="6"/>
  <c r="CD236" i="6"/>
  <c r="CH236" i="6"/>
  <c r="CL236" i="6"/>
  <c r="CP236" i="6"/>
  <c r="CT236" i="6"/>
  <c r="BS236" i="6"/>
  <c r="BW236" i="6"/>
  <c r="CA236" i="6"/>
  <c r="CE236" i="6"/>
  <c r="CI236" i="6"/>
  <c r="CM236" i="6"/>
  <c r="CQ236" i="6"/>
  <c r="BQ224" i="6"/>
  <c r="BU224" i="6"/>
  <c r="BY224" i="6"/>
  <c r="CC224" i="6"/>
  <c r="CG224" i="6"/>
  <c r="CK224" i="6"/>
  <c r="CO224" i="6"/>
  <c r="CS224" i="6"/>
  <c r="BR224" i="6"/>
  <c r="BV224" i="6"/>
  <c r="BZ224" i="6"/>
  <c r="CD224" i="6"/>
  <c r="CH224" i="6"/>
  <c r="CL224" i="6"/>
  <c r="CP224" i="6"/>
  <c r="CT224" i="6"/>
  <c r="BS224" i="6"/>
  <c r="BW224" i="6"/>
  <c r="CA224" i="6"/>
  <c r="CE224" i="6"/>
  <c r="CI224" i="6"/>
  <c r="CM224" i="6"/>
  <c r="CQ224" i="6"/>
  <c r="BT224" i="6"/>
  <c r="BX224" i="6"/>
  <c r="CB224" i="6"/>
  <c r="CF224" i="6"/>
  <c r="CJ224" i="6"/>
  <c r="CN224" i="6"/>
  <c r="CR224" i="6"/>
  <c r="BQ216" i="6"/>
  <c r="BU216" i="6"/>
  <c r="BY216" i="6"/>
  <c r="CC216" i="6"/>
  <c r="CG216" i="6"/>
  <c r="CK216" i="6"/>
  <c r="CO216" i="6"/>
  <c r="CS216" i="6"/>
  <c r="BR216" i="6"/>
  <c r="BV216" i="6"/>
  <c r="BZ216" i="6"/>
  <c r="CD216" i="6"/>
  <c r="CH216" i="6"/>
  <c r="CL216" i="6"/>
  <c r="CP216" i="6"/>
  <c r="CT216" i="6"/>
  <c r="BS216" i="6"/>
  <c r="BW216" i="6"/>
  <c r="CA216" i="6"/>
  <c r="CE216" i="6"/>
  <c r="CI216" i="6"/>
  <c r="CM216" i="6"/>
  <c r="CQ216" i="6"/>
  <c r="BT216" i="6"/>
  <c r="BX216" i="6"/>
  <c r="CB216" i="6"/>
  <c r="CF216" i="6"/>
  <c r="CJ216" i="6"/>
  <c r="CN216" i="6"/>
  <c r="CR216" i="6"/>
  <c r="BQ208" i="6"/>
  <c r="BU208" i="6"/>
  <c r="BY208" i="6"/>
  <c r="CC208" i="6"/>
  <c r="CG208" i="6"/>
  <c r="CK208" i="6"/>
  <c r="CO208" i="6"/>
  <c r="CS208" i="6"/>
  <c r="BR208" i="6"/>
  <c r="BV208" i="6"/>
  <c r="BZ208" i="6"/>
  <c r="CD208" i="6"/>
  <c r="CH208" i="6"/>
  <c r="CL208" i="6"/>
  <c r="CP208" i="6"/>
  <c r="CT208" i="6"/>
  <c r="BS208" i="6"/>
  <c r="BW208" i="6"/>
  <c r="CA208" i="6"/>
  <c r="CE208" i="6"/>
  <c r="CI208" i="6"/>
  <c r="CM208" i="6"/>
  <c r="CQ208" i="6"/>
  <c r="BT208" i="6"/>
  <c r="BX208" i="6"/>
  <c r="CB208" i="6"/>
  <c r="CF208" i="6"/>
  <c r="CJ208" i="6"/>
  <c r="CN208" i="6"/>
  <c r="CR208" i="6"/>
  <c r="BQ200" i="6"/>
  <c r="BU200" i="6"/>
  <c r="BY200" i="6"/>
  <c r="CC200" i="6"/>
  <c r="CG200" i="6"/>
  <c r="CK200" i="6"/>
  <c r="CO200" i="6"/>
  <c r="CS200" i="6"/>
  <c r="BR200" i="6"/>
  <c r="BV200" i="6"/>
  <c r="BZ200" i="6"/>
  <c r="CD200" i="6"/>
  <c r="CH200" i="6"/>
  <c r="CL200" i="6"/>
  <c r="CP200" i="6"/>
  <c r="CT200" i="6"/>
  <c r="BS200" i="6"/>
  <c r="BW200" i="6"/>
  <c r="CA200" i="6"/>
  <c r="CE200" i="6"/>
  <c r="CI200" i="6"/>
  <c r="CM200" i="6"/>
  <c r="CQ200" i="6"/>
  <c r="BT200" i="6"/>
  <c r="BX200" i="6"/>
  <c r="CB200" i="6"/>
  <c r="CF200" i="6"/>
  <c r="CJ200" i="6"/>
  <c r="CN200" i="6"/>
  <c r="CR200" i="6"/>
  <c r="BQ192" i="6"/>
  <c r="BU192" i="6"/>
  <c r="BY192" i="6"/>
  <c r="CC192" i="6"/>
  <c r="CG192" i="6"/>
  <c r="CK192" i="6"/>
  <c r="CO192" i="6"/>
  <c r="CS192" i="6"/>
  <c r="BR192" i="6"/>
  <c r="BV192" i="6"/>
  <c r="BZ192" i="6"/>
  <c r="CD192" i="6"/>
  <c r="CH192" i="6"/>
  <c r="CL192" i="6"/>
  <c r="CP192" i="6"/>
  <c r="CT192" i="6"/>
  <c r="BS192" i="6"/>
  <c r="BW192" i="6"/>
  <c r="CA192" i="6"/>
  <c r="CE192" i="6"/>
  <c r="CI192" i="6"/>
  <c r="CM192" i="6"/>
  <c r="CQ192" i="6"/>
  <c r="BT192" i="6"/>
  <c r="BX192" i="6"/>
  <c r="CB192" i="6"/>
  <c r="CF192" i="6"/>
  <c r="CJ192" i="6"/>
  <c r="CN192" i="6"/>
  <c r="CR192" i="6"/>
  <c r="BQ184" i="6"/>
  <c r="BU184" i="6"/>
  <c r="BY184" i="6"/>
  <c r="CC184" i="6"/>
  <c r="CG184" i="6"/>
  <c r="CK184" i="6"/>
  <c r="CO184" i="6"/>
  <c r="CS184" i="6"/>
  <c r="BR184" i="6"/>
  <c r="BV184" i="6"/>
  <c r="BZ184" i="6"/>
  <c r="CD184" i="6"/>
  <c r="CH184" i="6"/>
  <c r="CL184" i="6"/>
  <c r="CP184" i="6"/>
  <c r="CT184" i="6"/>
  <c r="BS184" i="6"/>
  <c r="BW184" i="6"/>
  <c r="CA184" i="6"/>
  <c r="CE184" i="6"/>
  <c r="CI184" i="6"/>
  <c r="CM184" i="6"/>
  <c r="CQ184" i="6"/>
  <c r="BT184" i="6"/>
  <c r="BX184" i="6"/>
  <c r="CB184" i="6"/>
  <c r="CF184" i="6"/>
  <c r="CJ184" i="6"/>
  <c r="CN184" i="6"/>
  <c r="CR184" i="6"/>
  <c r="BR263" i="6"/>
  <c r="BV263" i="6"/>
  <c r="BZ263" i="6"/>
  <c r="CD263" i="6"/>
  <c r="CH263" i="6"/>
  <c r="CL263" i="6"/>
  <c r="CP263" i="6"/>
  <c r="CT263" i="6"/>
  <c r="BS263" i="6"/>
  <c r="BW263" i="6"/>
  <c r="CA263" i="6"/>
  <c r="CE263" i="6"/>
  <c r="CI263" i="6"/>
  <c r="CM263" i="6"/>
  <c r="CQ263" i="6"/>
  <c r="BT263" i="6"/>
  <c r="BX263" i="6"/>
  <c r="CB263" i="6"/>
  <c r="CF263" i="6"/>
  <c r="CJ263" i="6"/>
  <c r="CN263" i="6"/>
  <c r="CR263" i="6"/>
  <c r="BQ263" i="6"/>
  <c r="BU263" i="6"/>
  <c r="BY263" i="6"/>
  <c r="CC263" i="6"/>
  <c r="CG263" i="6"/>
  <c r="CK263" i="6"/>
  <c r="CO263" i="6"/>
  <c r="CS263" i="6"/>
  <c r="BR259" i="6"/>
  <c r="BV259" i="6"/>
  <c r="BZ259" i="6"/>
  <c r="CD259" i="6"/>
  <c r="CH259" i="6"/>
  <c r="CL259" i="6"/>
  <c r="CP259" i="6"/>
  <c r="CT259" i="6"/>
  <c r="BS259" i="6"/>
  <c r="BW259" i="6"/>
  <c r="CA259" i="6"/>
  <c r="CE259" i="6"/>
  <c r="CI259" i="6"/>
  <c r="CM259" i="6"/>
  <c r="CQ259" i="6"/>
  <c r="BT259" i="6"/>
  <c r="BX259" i="6"/>
  <c r="CB259" i="6"/>
  <c r="CF259" i="6"/>
  <c r="CJ259" i="6"/>
  <c r="CN259" i="6"/>
  <c r="CR259" i="6"/>
  <c r="BQ259" i="6"/>
  <c r="BU259" i="6"/>
  <c r="BY259" i="6"/>
  <c r="CC259" i="6"/>
  <c r="CG259" i="6"/>
  <c r="CK259" i="6"/>
  <c r="CO259" i="6"/>
  <c r="CS259" i="6"/>
  <c r="BR255" i="6"/>
  <c r="BV255" i="6"/>
  <c r="BZ255" i="6"/>
  <c r="CD255" i="6"/>
  <c r="CH255" i="6"/>
  <c r="CL255" i="6"/>
  <c r="CP255" i="6"/>
  <c r="CT255" i="6"/>
  <c r="BS255" i="6"/>
  <c r="BW255" i="6"/>
  <c r="CA255" i="6"/>
  <c r="CE255" i="6"/>
  <c r="CI255" i="6"/>
  <c r="CM255" i="6"/>
  <c r="CQ255" i="6"/>
  <c r="BT255" i="6"/>
  <c r="BX255" i="6"/>
  <c r="CB255" i="6"/>
  <c r="CF255" i="6"/>
  <c r="CJ255" i="6"/>
  <c r="CN255" i="6"/>
  <c r="CR255" i="6"/>
  <c r="BQ255" i="6"/>
  <c r="BU255" i="6"/>
  <c r="BY255" i="6"/>
  <c r="CC255" i="6"/>
  <c r="CG255" i="6"/>
  <c r="CK255" i="6"/>
  <c r="CO255" i="6"/>
  <c r="CS255" i="6"/>
  <c r="BR251" i="6"/>
  <c r="BV251" i="6"/>
  <c r="BZ251" i="6"/>
  <c r="CD251" i="6"/>
  <c r="CH251" i="6"/>
  <c r="CL251" i="6"/>
  <c r="CP251" i="6"/>
  <c r="CT251" i="6"/>
  <c r="BS251" i="6"/>
  <c r="BW251" i="6"/>
  <c r="CA251" i="6"/>
  <c r="CE251" i="6"/>
  <c r="CI251" i="6"/>
  <c r="CM251" i="6"/>
  <c r="CQ251" i="6"/>
  <c r="BT251" i="6"/>
  <c r="BX251" i="6"/>
  <c r="CB251" i="6"/>
  <c r="CF251" i="6"/>
  <c r="CJ251" i="6"/>
  <c r="CN251" i="6"/>
  <c r="CR251" i="6"/>
  <c r="BQ251" i="6"/>
  <c r="BU251" i="6"/>
  <c r="BY251" i="6"/>
  <c r="CC251" i="6"/>
  <c r="CG251" i="6"/>
  <c r="CK251" i="6"/>
  <c r="CO251" i="6"/>
  <c r="CS251" i="6"/>
  <c r="BR247" i="6"/>
  <c r="BV247" i="6"/>
  <c r="BZ247" i="6"/>
  <c r="CD247" i="6"/>
  <c r="CH247" i="6"/>
  <c r="CL247" i="6"/>
  <c r="CP247" i="6"/>
  <c r="CT247" i="6"/>
  <c r="BS247" i="6"/>
  <c r="BW247" i="6"/>
  <c r="CA247" i="6"/>
  <c r="CE247" i="6"/>
  <c r="CI247" i="6"/>
  <c r="CM247" i="6"/>
  <c r="CQ247" i="6"/>
  <c r="BT247" i="6"/>
  <c r="BX247" i="6"/>
  <c r="CB247" i="6"/>
  <c r="CF247" i="6"/>
  <c r="CJ247" i="6"/>
  <c r="CN247" i="6"/>
  <c r="CR247" i="6"/>
  <c r="BQ247" i="6"/>
  <c r="BU247" i="6"/>
  <c r="BY247" i="6"/>
  <c r="CC247" i="6"/>
  <c r="CG247" i="6"/>
  <c r="CK247" i="6"/>
  <c r="CO247" i="6"/>
  <c r="CS247" i="6"/>
  <c r="BR243" i="6"/>
  <c r="BV243" i="6"/>
  <c r="BZ243" i="6"/>
  <c r="CD243" i="6"/>
  <c r="CH243" i="6"/>
  <c r="CL243" i="6"/>
  <c r="CP243" i="6"/>
  <c r="CT243" i="6"/>
  <c r="BS243" i="6"/>
  <c r="BW243" i="6"/>
  <c r="CA243" i="6"/>
  <c r="CE243" i="6"/>
  <c r="CI243" i="6"/>
  <c r="CM243" i="6"/>
  <c r="CQ243" i="6"/>
  <c r="BT243" i="6"/>
  <c r="BX243" i="6"/>
  <c r="CB243" i="6"/>
  <c r="CF243" i="6"/>
  <c r="CJ243" i="6"/>
  <c r="CN243" i="6"/>
  <c r="CR243" i="6"/>
  <c r="BQ243" i="6"/>
  <c r="BU243" i="6"/>
  <c r="BY243" i="6"/>
  <c r="CC243" i="6"/>
  <c r="CG243" i="6"/>
  <c r="CK243" i="6"/>
  <c r="CO243" i="6"/>
  <c r="CS243" i="6"/>
  <c r="BR239" i="6"/>
  <c r="BV239" i="6"/>
  <c r="BZ239" i="6"/>
  <c r="CD239" i="6"/>
  <c r="CH239" i="6"/>
  <c r="CL239" i="6"/>
  <c r="CP239" i="6"/>
  <c r="CT239" i="6"/>
  <c r="BS239" i="6"/>
  <c r="BW239" i="6"/>
  <c r="CA239" i="6"/>
  <c r="CE239" i="6"/>
  <c r="CI239" i="6"/>
  <c r="CM239" i="6"/>
  <c r="CQ239" i="6"/>
  <c r="BT239" i="6"/>
  <c r="BX239" i="6"/>
  <c r="CB239" i="6"/>
  <c r="CF239" i="6"/>
  <c r="CJ239" i="6"/>
  <c r="CN239" i="6"/>
  <c r="CR239" i="6"/>
  <c r="BQ239" i="6"/>
  <c r="BU239" i="6"/>
  <c r="BY239" i="6"/>
  <c r="CC239" i="6"/>
  <c r="CG239" i="6"/>
  <c r="CK239" i="6"/>
  <c r="CO239" i="6"/>
  <c r="CS239" i="6"/>
  <c r="BS235" i="6"/>
  <c r="BW235" i="6"/>
  <c r="CA235" i="6"/>
  <c r="BT235" i="6"/>
  <c r="BX235" i="6"/>
  <c r="CB235" i="6"/>
  <c r="BQ235" i="6"/>
  <c r="BU235" i="6"/>
  <c r="BY235" i="6"/>
  <c r="CC235" i="6"/>
  <c r="BR235" i="6"/>
  <c r="BV235" i="6"/>
  <c r="BZ235" i="6"/>
  <c r="CD235" i="6"/>
  <c r="CH235" i="6"/>
  <c r="CL235" i="6"/>
  <c r="CP235" i="6"/>
  <c r="CT235" i="6"/>
  <c r="CE235" i="6"/>
  <c r="CI235" i="6"/>
  <c r="CM235" i="6"/>
  <c r="CQ235" i="6"/>
  <c r="CF235" i="6"/>
  <c r="CJ235" i="6"/>
  <c r="CN235" i="6"/>
  <c r="CR235" i="6"/>
  <c r="CG235" i="6"/>
  <c r="CK235" i="6"/>
  <c r="CO235" i="6"/>
  <c r="CS235" i="6"/>
  <c r="BS231" i="6"/>
  <c r="BW231" i="6"/>
  <c r="CA231" i="6"/>
  <c r="CE231" i="6"/>
  <c r="CI231" i="6"/>
  <c r="CM231" i="6"/>
  <c r="CQ231" i="6"/>
  <c r="BT231" i="6"/>
  <c r="BX231" i="6"/>
  <c r="CB231" i="6"/>
  <c r="CF231" i="6"/>
  <c r="CJ231" i="6"/>
  <c r="CN231" i="6"/>
  <c r="CR231" i="6"/>
  <c r="BQ231" i="6"/>
  <c r="BU231" i="6"/>
  <c r="BY231" i="6"/>
  <c r="CC231" i="6"/>
  <c r="CG231" i="6"/>
  <c r="CK231" i="6"/>
  <c r="CO231" i="6"/>
  <c r="CS231" i="6"/>
  <c r="BR231" i="6"/>
  <c r="BV231" i="6"/>
  <c r="BZ231" i="6"/>
  <c r="CD231" i="6"/>
  <c r="CH231" i="6"/>
  <c r="CL231" i="6"/>
  <c r="CP231" i="6"/>
  <c r="CT231" i="6"/>
  <c r="BS227" i="6"/>
  <c r="BW227" i="6"/>
  <c r="CA227" i="6"/>
  <c r="CE227" i="6"/>
  <c r="CI227" i="6"/>
  <c r="CM227" i="6"/>
  <c r="CQ227" i="6"/>
  <c r="BT227" i="6"/>
  <c r="BX227" i="6"/>
  <c r="CB227" i="6"/>
  <c r="CF227" i="6"/>
  <c r="CJ227" i="6"/>
  <c r="CN227" i="6"/>
  <c r="CR227" i="6"/>
  <c r="BQ227" i="6"/>
  <c r="BU227" i="6"/>
  <c r="BY227" i="6"/>
  <c r="CC227" i="6"/>
  <c r="CG227" i="6"/>
  <c r="CK227" i="6"/>
  <c r="CO227" i="6"/>
  <c r="CS227" i="6"/>
  <c r="BR227" i="6"/>
  <c r="BV227" i="6"/>
  <c r="BZ227" i="6"/>
  <c r="CD227" i="6"/>
  <c r="CH227" i="6"/>
  <c r="CL227" i="6"/>
  <c r="CP227" i="6"/>
  <c r="CT227" i="6"/>
  <c r="BS223" i="6"/>
  <c r="BW223" i="6"/>
  <c r="CA223" i="6"/>
  <c r="CE223" i="6"/>
  <c r="CI223" i="6"/>
  <c r="CM223" i="6"/>
  <c r="CQ223" i="6"/>
  <c r="BT223" i="6"/>
  <c r="BX223" i="6"/>
  <c r="CB223" i="6"/>
  <c r="CF223" i="6"/>
  <c r="CJ223" i="6"/>
  <c r="CN223" i="6"/>
  <c r="CR223" i="6"/>
  <c r="BQ223" i="6"/>
  <c r="BU223" i="6"/>
  <c r="BY223" i="6"/>
  <c r="CC223" i="6"/>
  <c r="CG223" i="6"/>
  <c r="CK223" i="6"/>
  <c r="CO223" i="6"/>
  <c r="CS223" i="6"/>
  <c r="BR223" i="6"/>
  <c r="BV223" i="6"/>
  <c r="BZ223" i="6"/>
  <c r="CD223" i="6"/>
  <c r="CH223" i="6"/>
  <c r="CL223" i="6"/>
  <c r="CP223" i="6"/>
  <c r="CT223" i="6"/>
  <c r="BS219" i="6"/>
  <c r="BW219" i="6"/>
  <c r="CA219" i="6"/>
  <c r="CE219" i="6"/>
  <c r="CI219" i="6"/>
  <c r="CM219" i="6"/>
  <c r="CQ219" i="6"/>
  <c r="BT219" i="6"/>
  <c r="BX219" i="6"/>
  <c r="CB219" i="6"/>
  <c r="CF219" i="6"/>
  <c r="CJ219" i="6"/>
  <c r="CN219" i="6"/>
  <c r="CR219" i="6"/>
  <c r="BQ219" i="6"/>
  <c r="BU219" i="6"/>
  <c r="BY219" i="6"/>
  <c r="CC219" i="6"/>
  <c r="CG219" i="6"/>
  <c r="CK219" i="6"/>
  <c r="CO219" i="6"/>
  <c r="CS219" i="6"/>
  <c r="BR219" i="6"/>
  <c r="BV219" i="6"/>
  <c r="BZ219" i="6"/>
  <c r="CD219" i="6"/>
  <c r="CH219" i="6"/>
  <c r="CL219" i="6"/>
  <c r="CP219" i="6"/>
  <c r="CT219" i="6"/>
  <c r="BS215" i="6"/>
  <c r="BW215" i="6"/>
  <c r="CA215" i="6"/>
  <c r="CE215" i="6"/>
  <c r="CI215" i="6"/>
  <c r="CM215" i="6"/>
  <c r="CQ215" i="6"/>
  <c r="BT215" i="6"/>
  <c r="BX215" i="6"/>
  <c r="CB215" i="6"/>
  <c r="CF215" i="6"/>
  <c r="CJ215" i="6"/>
  <c r="CN215" i="6"/>
  <c r="CR215" i="6"/>
  <c r="BQ215" i="6"/>
  <c r="BU215" i="6"/>
  <c r="BY215" i="6"/>
  <c r="CC215" i="6"/>
  <c r="CG215" i="6"/>
  <c r="CK215" i="6"/>
  <c r="CO215" i="6"/>
  <c r="CS215" i="6"/>
  <c r="BR215" i="6"/>
  <c r="BV215" i="6"/>
  <c r="BZ215" i="6"/>
  <c r="CD215" i="6"/>
  <c r="CH215" i="6"/>
  <c r="CL215" i="6"/>
  <c r="CP215" i="6"/>
  <c r="CT215" i="6"/>
  <c r="BS211" i="6"/>
  <c r="BW211" i="6"/>
  <c r="CA211" i="6"/>
  <c r="CE211" i="6"/>
  <c r="CI211" i="6"/>
  <c r="CM211" i="6"/>
  <c r="CQ211" i="6"/>
  <c r="BT211" i="6"/>
  <c r="BX211" i="6"/>
  <c r="CB211" i="6"/>
  <c r="CF211" i="6"/>
  <c r="CJ211" i="6"/>
  <c r="CN211" i="6"/>
  <c r="CR211" i="6"/>
  <c r="BQ211" i="6"/>
  <c r="BU211" i="6"/>
  <c r="BY211" i="6"/>
  <c r="CC211" i="6"/>
  <c r="CG211" i="6"/>
  <c r="CK211" i="6"/>
  <c r="CO211" i="6"/>
  <c r="CS211" i="6"/>
  <c r="BR211" i="6"/>
  <c r="BV211" i="6"/>
  <c r="BZ211" i="6"/>
  <c r="CD211" i="6"/>
  <c r="CH211" i="6"/>
  <c r="CL211" i="6"/>
  <c r="CP211" i="6"/>
  <c r="CT211" i="6"/>
  <c r="BS207" i="6"/>
  <c r="BW207" i="6"/>
  <c r="CA207" i="6"/>
  <c r="CE207" i="6"/>
  <c r="CI207" i="6"/>
  <c r="CM207" i="6"/>
  <c r="CQ207" i="6"/>
  <c r="BT207" i="6"/>
  <c r="BX207" i="6"/>
  <c r="CB207" i="6"/>
  <c r="CF207" i="6"/>
  <c r="CJ207" i="6"/>
  <c r="CN207" i="6"/>
  <c r="CR207" i="6"/>
  <c r="BQ207" i="6"/>
  <c r="BU207" i="6"/>
  <c r="BY207" i="6"/>
  <c r="CC207" i="6"/>
  <c r="CG207" i="6"/>
  <c r="CK207" i="6"/>
  <c r="CO207" i="6"/>
  <c r="CS207" i="6"/>
  <c r="BR207" i="6"/>
  <c r="BV207" i="6"/>
  <c r="BZ207" i="6"/>
  <c r="CD207" i="6"/>
  <c r="CH207" i="6"/>
  <c r="CL207" i="6"/>
  <c r="CP207" i="6"/>
  <c r="CT207" i="6"/>
  <c r="BS203" i="6"/>
  <c r="BW203" i="6"/>
  <c r="CA203" i="6"/>
  <c r="CE203" i="6"/>
  <c r="CI203" i="6"/>
  <c r="CM203" i="6"/>
  <c r="CQ203" i="6"/>
  <c r="BT203" i="6"/>
  <c r="BX203" i="6"/>
  <c r="CB203" i="6"/>
  <c r="CF203" i="6"/>
  <c r="CJ203" i="6"/>
  <c r="CN203" i="6"/>
  <c r="CR203" i="6"/>
  <c r="BQ203" i="6"/>
  <c r="BU203" i="6"/>
  <c r="BY203" i="6"/>
  <c r="CC203" i="6"/>
  <c r="CG203" i="6"/>
  <c r="CK203" i="6"/>
  <c r="CO203" i="6"/>
  <c r="CS203" i="6"/>
  <c r="BR203" i="6"/>
  <c r="BV203" i="6"/>
  <c r="BZ203" i="6"/>
  <c r="CD203" i="6"/>
  <c r="CH203" i="6"/>
  <c r="CL203" i="6"/>
  <c r="CP203" i="6"/>
  <c r="CT203" i="6"/>
  <c r="BS199" i="6"/>
  <c r="BW199" i="6"/>
  <c r="CA199" i="6"/>
  <c r="CE199" i="6"/>
  <c r="CI199" i="6"/>
  <c r="CM199" i="6"/>
  <c r="CQ199" i="6"/>
  <c r="BT199" i="6"/>
  <c r="BX199" i="6"/>
  <c r="CB199" i="6"/>
  <c r="CF199" i="6"/>
  <c r="CJ199" i="6"/>
  <c r="CN199" i="6"/>
  <c r="CR199" i="6"/>
  <c r="BQ199" i="6"/>
  <c r="BU199" i="6"/>
  <c r="BY199" i="6"/>
  <c r="CC199" i="6"/>
  <c r="CG199" i="6"/>
  <c r="CK199" i="6"/>
  <c r="CO199" i="6"/>
  <c r="CS199" i="6"/>
  <c r="BR199" i="6"/>
  <c r="BV199" i="6"/>
  <c r="BZ199" i="6"/>
  <c r="CD199" i="6"/>
  <c r="CH199" i="6"/>
  <c r="CL199" i="6"/>
  <c r="CP199" i="6"/>
  <c r="CT199" i="6"/>
  <c r="BS195" i="6"/>
  <c r="BW195" i="6"/>
  <c r="CA195" i="6"/>
  <c r="CE195" i="6"/>
  <c r="CI195" i="6"/>
  <c r="CM195" i="6"/>
  <c r="CQ195" i="6"/>
  <c r="BT195" i="6"/>
  <c r="BX195" i="6"/>
  <c r="CB195" i="6"/>
  <c r="CF195" i="6"/>
  <c r="CJ195" i="6"/>
  <c r="CN195" i="6"/>
  <c r="CR195" i="6"/>
  <c r="BQ195" i="6"/>
  <c r="BU195" i="6"/>
  <c r="BY195" i="6"/>
  <c r="CC195" i="6"/>
  <c r="CG195" i="6"/>
  <c r="CK195" i="6"/>
  <c r="CO195" i="6"/>
  <c r="CS195" i="6"/>
  <c r="BR195" i="6"/>
  <c r="BV195" i="6"/>
  <c r="BZ195" i="6"/>
  <c r="CD195" i="6"/>
  <c r="CH195" i="6"/>
  <c r="CL195" i="6"/>
  <c r="CP195" i="6"/>
  <c r="CT195" i="6"/>
  <c r="BS191" i="6"/>
  <c r="BW191" i="6"/>
  <c r="CA191" i="6"/>
  <c r="CE191" i="6"/>
  <c r="CI191" i="6"/>
  <c r="CM191" i="6"/>
  <c r="CQ191" i="6"/>
  <c r="BT191" i="6"/>
  <c r="BX191" i="6"/>
  <c r="CB191" i="6"/>
  <c r="CF191" i="6"/>
  <c r="CJ191" i="6"/>
  <c r="CN191" i="6"/>
  <c r="CR191" i="6"/>
  <c r="BQ191" i="6"/>
  <c r="BU191" i="6"/>
  <c r="BY191" i="6"/>
  <c r="CC191" i="6"/>
  <c r="CG191" i="6"/>
  <c r="CK191" i="6"/>
  <c r="CO191" i="6"/>
  <c r="CS191" i="6"/>
  <c r="BR191" i="6"/>
  <c r="BV191" i="6"/>
  <c r="BZ191" i="6"/>
  <c r="CD191" i="6"/>
  <c r="CH191" i="6"/>
  <c r="CL191" i="6"/>
  <c r="CP191" i="6"/>
  <c r="CT191" i="6"/>
  <c r="BS187" i="6"/>
  <c r="BW187" i="6"/>
  <c r="CA187" i="6"/>
  <c r="CE187" i="6"/>
  <c r="CI187" i="6"/>
  <c r="CM187" i="6"/>
  <c r="CQ187" i="6"/>
  <c r="BT187" i="6"/>
  <c r="BX187" i="6"/>
  <c r="CB187" i="6"/>
  <c r="CF187" i="6"/>
  <c r="CJ187" i="6"/>
  <c r="CN187" i="6"/>
  <c r="CR187" i="6"/>
  <c r="BQ187" i="6"/>
  <c r="BU187" i="6"/>
  <c r="BY187" i="6"/>
  <c r="CC187" i="6"/>
  <c r="CG187" i="6"/>
  <c r="CK187" i="6"/>
  <c r="CO187" i="6"/>
  <c r="CS187" i="6"/>
  <c r="BR187" i="6"/>
  <c r="BV187" i="6"/>
  <c r="BZ187" i="6"/>
  <c r="CD187" i="6"/>
  <c r="CH187" i="6"/>
  <c r="CL187" i="6"/>
  <c r="CP187" i="6"/>
  <c r="CT187" i="6"/>
  <c r="BS183" i="6"/>
  <c r="BW183" i="6"/>
  <c r="CA183" i="6"/>
  <c r="CE183" i="6"/>
  <c r="CI183" i="6"/>
  <c r="CM183" i="6"/>
  <c r="CQ183" i="6"/>
  <c r="BT183" i="6"/>
  <c r="BX183" i="6"/>
  <c r="CB183" i="6"/>
  <c r="CF183" i="6"/>
  <c r="CJ183" i="6"/>
  <c r="CN183" i="6"/>
  <c r="CR183" i="6"/>
  <c r="BQ183" i="6"/>
  <c r="BU183" i="6"/>
  <c r="BY183" i="6"/>
  <c r="CC183" i="6"/>
  <c r="CG183" i="6"/>
  <c r="CK183" i="6"/>
  <c r="CO183" i="6"/>
  <c r="CS183" i="6"/>
  <c r="BR183" i="6"/>
  <c r="BV183" i="6"/>
  <c r="BZ183" i="6"/>
  <c r="CD183" i="6"/>
  <c r="CH183" i="6"/>
  <c r="CL183" i="6"/>
  <c r="CP183" i="6"/>
  <c r="CT183" i="6"/>
  <c r="BS179" i="6"/>
  <c r="BW179" i="6"/>
  <c r="CA179" i="6"/>
  <c r="CE179" i="6"/>
  <c r="CI179" i="6"/>
  <c r="CM179" i="6"/>
  <c r="CQ179" i="6"/>
  <c r="BT179" i="6"/>
  <c r="BX179" i="6"/>
  <c r="CB179" i="6"/>
  <c r="CF179" i="6"/>
  <c r="CJ179" i="6"/>
  <c r="CN179" i="6"/>
  <c r="CR179" i="6"/>
  <c r="BQ179" i="6"/>
  <c r="BU179" i="6"/>
  <c r="BY179" i="6"/>
  <c r="CC179" i="6"/>
  <c r="CG179" i="6"/>
  <c r="CK179" i="6"/>
  <c r="CO179" i="6"/>
  <c r="CS179" i="6"/>
  <c r="BR179" i="6"/>
  <c r="BV179" i="6"/>
  <c r="BZ179" i="6"/>
  <c r="CD179" i="6"/>
  <c r="CH179" i="6"/>
  <c r="CL179" i="6"/>
  <c r="CP179" i="6"/>
  <c r="CT179" i="6"/>
  <c r="BS175" i="6"/>
  <c r="BW175" i="6"/>
  <c r="CA175" i="6"/>
  <c r="CE175" i="6"/>
  <c r="CI175" i="6"/>
  <c r="CM175" i="6"/>
  <c r="CQ175" i="6"/>
  <c r="BT175" i="6"/>
  <c r="BX175" i="6"/>
  <c r="CB175" i="6"/>
  <c r="CF175" i="6"/>
  <c r="CJ175" i="6"/>
  <c r="CN175" i="6"/>
  <c r="CR175" i="6"/>
  <c r="BQ175" i="6"/>
  <c r="BU175" i="6"/>
  <c r="BY175" i="6"/>
  <c r="CC175" i="6"/>
  <c r="CG175" i="6"/>
  <c r="CK175" i="6"/>
  <c r="CO175" i="6"/>
  <c r="CS175" i="6"/>
  <c r="BR175" i="6"/>
  <c r="BV175" i="6"/>
  <c r="BZ175" i="6"/>
  <c r="CD175" i="6"/>
  <c r="CH175" i="6"/>
  <c r="CL175" i="6"/>
  <c r="CP175" i="6"/>
  <c r="CT175" i="6"/>
  <c r="BS171" i="6"/>
  <c r="BW171" i="6"/>
  <c r="CA171" i="6"/>
  <c r="CE171" i="6"/>
  <c r="CI171" i="6"/>
  <c r="CM171" i="6"/>
  <c r="CQ171" i="6"/>
  <c r="BT171" i="6"/>
  <c r="BX171" i="6"/>
  <c r="CB171" i="6"/>
  <c r="CF171" i="6"/>
  <c r="CJ171" i="6"/>
  <c r="CN171" i="6"/>
  <c r="CR171" i="6"/>
  <c r="BQ171" i="6"/>
  <c r="BU171" i="6"/>
  <c r="BY171" i="6"/>
  <c r="CC171" i="6"/>
  <c r="CG171" i="6"/>
  <c r="CK171" i="6"/>
  <c r="CO171" i="6"/>
  <c r="CS171" i="6"/>
  <c r="BR171" i="6"/>
  <c r="BV171" i="6"/>
  <c r="BZ171" i="6"/>
  <c r="CD171" i="6"/>
  <c r="CH171" i="6"/>
  <c r="CL171" i="6"/>
  <c r="CP171" i="6"/>
  <c r="CT171" i="6"/>
  <c r="BS167" i="6"/>
  <c r="BW167" i="6"/>
  <c r="CA167" i="6"/>
  <c r="CE167" i="6"/>
  <c r="CI167" i="6"/>
  <c r="CM167" i="6"/>
  <c r="CQ167" i="6"/>
  <c r="BT167" i="6"/>
  <c r="BX167" i="6"/>
  <c r="CB167" i="6"/>
  <c r="CF167" i="6"/>
  <c r="CJ167" i="6"/>
  <c r="CN167" i="6"/>
  <c r="CR167" i="6"/>
  <c r="BQ167" i="6"/>
  <c r="BU167" i="6"/>
  <c r="BY167" i="6"/>
  <c r="CC167" i="6"/>
  <c r="CG167" i="6"/>
  <c r="CK167" i="6"/>
  <c r="CO167" i="6"/>
  <c r="CS167" i="6"/>
  <c r="BR167" i="6"/>
  <c r="BV167" i="6"/>
  <c r="BZ167" i="6"/>
  <c r="CD167" i="6"/>
  <c r="CH167" i="6"/>
  <c r="CL167" i="6"/>
  <c r="CP167" i="6"/>
  <c r="CT167" i="6"/>
  <c r="BS163" i="6"/>
  <c r="BW163" i="6"/>
  <c r="CA163" i="6"/>
  <c r="CE163" i="6"/>
  <c r="CI163" i="6"/>
  <c r="CM163" i="6"/>
  <c r="CQ163" i="6"/>
  <c r="BT163" i="6"/>
  <c r="BX163" i="6"/>
  <c r="CB163" i="6"/>
  <c r="CF163" i="6"/>
  <c r="CJ163" i="6"/>
  <c r="CN163" i="6"/>
  <c r="CR163" i="6"/>
  <c r="BQ163" i="6"/>
  <c r="BU163" i="6"/>
  <c r="BY163" i="6"/>
  <c r="CC163" i="6"/>
  <c r="CG163" i="6"/>
  <c r="CK163" i="6"/>
  <c r="CO163" i="6"/>
  <c r="CS163" i="6"/>
  <c r="BR163" i="6"/>
  <c r="BV163" i="6"/>
  <c r="BZ163" i="6"/>
  <c r="CD163" i="6"/>
  <c r="CH163" i="6"/>
  <c r="CL163" i="6"/>
  <c r="CP163" i="6"/>
  <c r="CT163" i="6"/>
  <c r="BS159" i="6"/>
  <c r="BW159" i="6"/>
  <c r="CA159" i="6"/>
  <c r="CE159" i="6"/>
  <c r="CI159" i="6"/>
  <c r="CM159" i="6"/>
  <c r="CQ159" i="6"/>
  <c r="BT159" i="6"/>
  <c r="BX159" i="6"/>
  <c r="CB159" i="6"/>
  <c r="CF159" i="6"/>
  <c r="CJ159" i="6"/>
  <c r="CN159" i="6"/>
  <c r="CR159" i="6"/>
  <c r="BQ159" i="6"/>
  <c r="BU159" i="6"/>
  <c r="BY159" i="6"/>
  <c r="CC159" i="6"/>
  <c r="CG159" i="6"/>
  <c r="CK159" i="6"/>
  <c r="CO159" i="6"/>
  <c r="CS159" i="6"/>
  <c r="BR159" i="6"/>
  <c r="BV159" i="6"/>
  <c r="BZ159" i="6"/>
  <c r="CD159" i="6"/>
  <c r="CH159" i="6"/>
  <c r="CL159" i="6"/>
  <c r="CP159" i="6"/>
  <c r="CT159" i="6"/>
  <c r="BS155" i="6"/>
  <c r="BW155" i="6"/>
  <c r="CA155" i="6"/>
  <c r="CE155" i="6"/>
  <c r="CI155" i="6"/>
  <c r="CM155" i="6"/>
  <c r="CQ155" i="6"/>
  <c r="BT155" i="6"/>
  <c r="BX155" i="6"/>
  <c r="CB155" i="6"/>
  <c r="CF155" i="6"/>
  <c r="CJ155" i="6"/>
  <c r="CN155" i="6"/>
  <c r="CR155" i="6"/>
  <c r="BQ155" i="6"/>
  <c r="BU155" i="6"/>
  <c r="BY155" i="6"/>
  <c r="CC155" i="6"/>
  <c r="CG155" i="6"/>
  <c r="CK155" i="6"/>
  <c r="CO155" i="6"/>
  <c r="CS155" i="6"/>
  <c r="BR155" i="6"/>
  <c r="BV155" i="6"/>
  <c r="BZ155" i="6"/>
  <c r="CD155" i="6"/>
  <c r="CH155" i="6"/>
  <c r="CL155" i="6"/>
  <c r="CP155" i="6"/>
  <c r="CT155" i="6"/>
  <c r="BS151" i="6"/>
  <c r="BW151" i="6"/>
  <c r="CA151" i="6"/>
  <c r="CE151" i="6"/>
  <c r="CI151" i="6"/>
  <c r="CM151" i="6"/>
  <c r="CQ151" i="6"/>
  <c r="BT151" i="6"/>
  <c r="BX151" i="6"/>
  <c r="CB151" i="6"/>
  <c r="CF151" i="6"/>
  <c r="CJ151" i="6"/>
  <c r="CN151" i="6"/>
  <c r="CR151" i="6"/>
  <c r="BQ151" i="6"/>
  <c r="BU151" i="6"/>
  <c r="BY151" i="6"/>
  <c r="CC151" i="6"/>
  <c r="CG151" i="6"/>
  <c r="CK151" i="6"/>
  <c r="CO151" i="6"/>
  <c r="CS151" i="6"/>
  <c r="BR151" i="6"/>
  <c r="BV151" i="6"/>
  <c r="BZ151" i="6"/>
  <c r="CD151" i="6"/>
  <c r="CH151" i="6"/>
  <c r="CL151" i="6"/>
  <c r="CP151" i="6"/>
  <c r="CT151" i="6"/>
  <c r="BS147" i="6"/>
  <c r="BW147" i="6"/>
  <c r="CA147" i="6"/>
  <c r="CE147" i="6"/>
  <c r="CI147" i="6"/>
  <c r="CM147" i="6"/>
  <c r="CQ147" i="6"/>
  <c r="BT147" i="6"/>
  <c r="BX147" i="6"/>
  <c r="CB147" i="6"/>
  <c r="CF147" i="6"/>
  <c r="CJ147" i="6"/>
  <c r="CN147" i="6"/>
  <c r="CR147" i="6"/>
  <c r="BQ147" i="6"/>
  <c r="BU147" i="6"/>
  <c r="BY147" i="6"/>
  <c r="CC147" i="6"/>
  <c r="CG147" i="6"/>
  <c r="CK147" i="6"/>
  <c r="CO147" i="6"/>
  <c r="CS147" i="6"/>
  <c r="BR147" i="6"/>
  <c r="BV147" i="6"/>
  <c r="BZ147" i="6"/>
  <c r="CD147" i="6"/>
  <c r="CH147" i="6"/>
  <c r="CL147" i="6"/>
  <c r="CP147" i="6"/>
  <c r="CT147" i="6"/>
  <c r="BT143" i="6"/>
  <c r="BX143" i="6"/>
  <c r="CB143" i="6"/>
  <c r="CF143" i="6"/>
  <c r="CJ143" i="6"/>
  <c r="CN143" i="6"/>
  <c r="CR143" i="6"/>
  <c r="BQ143" i="6"/>
  <c r="BU143" i="6"/>
  <c r="BY143" i="6"/>
  <c r="CC143" i="6"/>
  <c r="CG143" i="6"/>
  <c r="CK143" i="6"/>
  <c r="CO143" i="6"/>
  <c r="CS143" i="6"/>
  <c r="BR143" i="6"/>
  <c r="BV143" i="6"/>
  <c r="BZ143" i="6"/>
  <c r="CD143" i="6"/>
  <c r="CH143" i="6"/>
  <c r="CL143" i="6"/>
  <c r="CP143" i="6"/>
  <c r="CT143" i="6"/>
  <c r="BS143" i="6"/>
  <c r="BW143" i="6"/>
  <c r="CA143" i="6"/>
  <c r="CE143" i="6"/>
  <c r="CI143" i="6"/>
  <c r="CM143" i="6"/>
  <c r="CQ143" i="6"/>
  <c r="BT139" i="6"/>
  <c r="BX139" i="6"/>
  <c r="CB139" i="6"/>
  <c r="CF139" i="6"/>
  <c r="CJ139" i="6"/>
  <c r="CN139" i="6"/>
  <c r="CR139" i="6"/>
  <c r="BQ139" i="6"/>
  <c r="BU139" i="6"/>
  <c r="BY139" i="6"/>
  <c r="CC139" i="6"/>
  <c r="CG139" i="6"/>
  <c r="CK139" i="6"/>
  <c r="CO139" i="6"/>
  <c r="CS139" i="6"/>
  <c r="BR139" i="6"/>
  <c r="BV139" i="6"/>
  <c r="BZ139" i="6"/>
  <c r="CD139" i="6"/>
  <c r="CH139" i="6"/>
  <c r="CL139" i="6"/>
  <c r="CP139" i="6"/>
  <c r="CT139" i="6"/>
  <c r="BS139" i="6"/>
  <c r="BW139" i="6"/>
  <c r="CA139" i="6"/>
  <c r="CE139" i="6"/>
  <c r="CI139" i="6"/>
  <c r="CM139" i="6"/>
  <c r="CQ139" i="6"/>
  <c r="BT135" i="6"/>
  <c r="BX135" i="6"/>
  <c r="CB135" i="6"/>
  <c r="CF135" i="6"/>
  <c r="CJ135" i="6"/>
  <c r="CN135" i="6"/>
  <c r="CR135" i="6"/>
  <c r="BQ135" i="6"/>
  <c r="BU135" i="6"/>
  <c r="BY135" i="6"/>
  <c r="CC135" i="6"/>
  <c r="CG135" i="6"/>
  <c r="CK135" i="6"/>
  <c r="CO135" i="6"/>
  <c r="CS135" i="6"/>
  <c r="BR135" i="6"/>
  <c r="BV135" i="6"/>
  <c r="BZ135" i="6"/>
  <c r="CD135" i="6"/>
  <c r="CH135" i="6"/>
  <c r="CL135" i="6"/>
  <c r="CP135" i="6"/>
  <c r="CT135" i="6"/>
  <c r="BS135" i="6"/>
  <c r="BW135" i="6"/>
  <c r="CA135" i="6"/>
  <c r="CE135" i="6"/>
  <c r="CI135" i="6"/>
  <c r="CM135" i="6"/>
  <c r="CQ135" i="6"/>
  <c r="BT131" i="6"/>
  <c r="BX131" i="6"/>
  <c r="CB131" i="6"/>
  <c r="CF131" i="6"/>
  <c r="CJ131" i="6"/>
  <c r="CN131" i="6"/>
  <c r="CR131" i="6"/>
  <c r="BQ131" i="6"/>
  <c r="BU131" i="6"/>
  <c r="BY131" i="6"/>
  <c r="CC131" i="6"/>
  <c r="CG131" i="6"/>
  <c r="CK131" i="6"/>
  <c r="CO131" i="6"/>
  <c r="CS131" i="6"/>
  <c r="BR131" i="6"/>
  <c r="BV131" i="6"/>
  <c r="BZ131" i="6"/>
  <c r="CD131" i="6"/>
  <c r="CH131" i="6"/>
  <c r="CL131" i="6"/>
  <c r="CP131" i="6"/>
  <c r="CT131" i="6"/>
  <c r="BS131" i="6"/>
  <c r="BW131" i="6"/>
  <c r="CA131" i="6"/>
  <c r="CE131" i="6"/>
  <c r="CI131" i="6"/>
  <c r="CM131" i="6"/>
  <c r="CQ131" i="6"/>
  <c r="BT127" i="6"/>
  <c r="BX127" i="6"/>
  <c r="CB127" i="6"/>
  <c r="CF127" i="6"/>
  <c r="CJ127" i="6"/>
  <c r="CN127" i="6"/>
  <c r="CR127" i="6"/>
  <c r="BQ127" i="6"/>
  <c r="BU127" i="6"/>
  <c r="BY127" i="6"/>
  <c r="CC127" i="6"/>
  <c r="CG127" i="6"/>
  <c r="CK127" i="6"/>
  <c r="CO127" i="6"/>
  <c r="CS127" i="6"/>
  <c r="BR127" i="6"/>
  <c r="BV127" i="6"/>
  <c r="BZ127" i="6"/>
  <c r="CD127" i="6"/>
  <c r="CH127" i="6"/>
  <c r="CL127" i="6"/>
  <c r="CP127" i="6"/>
  <c r="CT127" i="6"/>
  <c r="BS127" i="6"/>
  <c r="BW127" i="6"/>
  <c r="CA127" i="6"/>
  <c r="CE127" i="6"/>
  <c r="CI127" i="6"/>
  <c r="CM127" i="6"/>
  <c r="CQ127" i="6"/>
  <c r="BT123" i="6"/>
  <c r="BX123" i="6"/>
  <c r="CB123" i="6"/>
  <c r="CF123" i="6"/>
  <c r="CJ123" i="6"/>
  <c r="CN123" i="6"/>
  <c r="CR123" i="6"/>
  <c r="BQ123" i="6"/>
  <c r="BU123" i="6"/>
  <c r="BY123" i="6"/>
  <c r="CC123" i="6"/>
  <c r="CG123" i="6"/>
  <c r="CK123" i="6"/>
  <c r="CO123" i="6"/>
  <c r="CS123" i="6"/>
  <c r="BR123" i="6"/>
  <c r="BV123" i="6"/>
  <c r="BZ123" i="6"/>
  <c r="CD123" i="6"/>
  <c r="CH123" i="6"/>
  <c r="CL123" i="6"/>
  <c r="CP123" i="6"/>
  <c r="CT123" i="6"/>
  <c r="BS123" i="6"/>
  <c r="BW123" i="6"/>
  <c r="CA123" i="6"/>
  <c r="CE123" i="6"/>
  <c r="CI123" i="6"/>
  <c r="CM123" i="6"/>
  <c r="CQ123" i="6"/>
  <c r="BT119" i="6"/>
  <c r="BX119" i="6"/>
  <c r="CB119" i="6"/>
  <c r="CF119" i="6"/>
  <c r="CJ119" i="6"/>
  <c r="CN119" i="6"/>
  <c r="CR119" i="6"/>
  <c r="BQ119" i="6"/>
  <c r="BU119" i="6"/>
  <c r="BY119" i="6"/>
  <c r="CC119" i="6"/>
  <c r="CG119" i="6"/>
  <c r="CK119" i="6"/>
  <c r="CO119" i="6"/>
  <c r="CS119" i="6"/>
  <c r="BR119" i="6"/>
  <c r="BV119" i="6"/>
  <c r="BZ119" i="6"/>
  <c r="CD119" i="6"/>
  <c r="CH119" i="6"/>
  <c r="CL119" i="6"/>
  <c r="CP119" i="6"/>
  <c r="CT119" i="6"/>
  <c r="BS119" i="6"/>
  <c r="BW119" i="6"/>
  <c r="CA119" i="6"/>
  <c r="CE119" i="6"/>
  <c r="CI119" i="6"/>
  <c r="CM119" i="6"/>
  <c r="CQ119" i="6"/>
  <c r="BT115" i="6"/>
  <c r="BX115" i="6"/>
  <c r="CB115" i="6"/>
  <c r="CF115" i="6"/>
  <c r="CJ115" i="6"/>
  <c r="CN115" i="6"/>
  <c r="CR115" i="6"/>
  <c r="BU115" i="6"/>
  <c r="BY115" i="6"/>
  <c r="CC115" i="6"/>
  <c r="CG115" i="6"/>
  <c r="CK115" i="6"/>
  <c r="CO115" i="6"/>
  <c r="CS115" i="6"/>
  <c r="BR115" i="6"/>
  <c r="BV115" i="6"/>
  <c r="BZ115" i="6"/>
  <c r="CD115" i="6"/>
  <c r="CH115" i="6"/>
  <c r="CL115" i="6"/>
  <c r="CP115" i="6"/>
  <c r="CT115" i="6"/>
  <c r="BS115" i="6"/>
  <c r="BW115" i="6"/>
  <c r="CA115" i="6"/>
  <c r="CE115" i="6"/>
  <c r="CI115" i="6"/>
  <c r="CM115" i="6"/>
  <c r="CQ115" i="6"/>
  <c r="BS111" i="6"/>
  <c r="BW111" i="6"/>
  <c r="CA111" i="6"/>
  <c r="CE111" i="6"/>
  <c r="CI111" i="6"/>
  <c r="CM111" i="6"/>
  <c r="CQ111" i="6"/>
  <c r="BT111" i="6"/>
  <c r="BX111" i="6"/>
  <c r="CB111" i="6"/>
  <c r="CF111" i="6"/>
  <c r="CJ111" i="6"/>
  <c r="CN111" i="6"/>
  <c r="CR111" i="6"/>
  <c r="BQ111" i="6"/>
  <c r="BU111" i="6"/>
  <c r="BY111" i="6"/>
  <c r="CC111" i="6"/>
  <c r="CG111" i="6"/>
  <c r="CK111" i="6"/>
  <c r="CO111" i="6"/>
  <c r="CS111" i="6"/>
  <c r="BR111" i="6"/>
  <c r="BV111" i="6"/>
  <c r="BZ111" i="6"/>
  <c r="CD111" i="6"/>
  <c r="CH111" i="6"/>
  <c r="CL111" i="6"/>
  <c r="CP111" i="6"/>
  <c r="CT111" i="6"/>
  <c r="BS107" i="6"/>
  <c r="BW107" i="6"/>
  <c r="CA107" i="6"/>
  <c r="CE107" i="6"/>
  <c r="CI107" i="6"/>
  <c r="CM107" i="6"/>
  <c r="CQ107" i="6"/>
  <c r="BT107" i="6"/>
  <c r="BX107" i="6"/>
  <c r="CB107" i="6"/>
  <c r="CF107" i="6"/>
  <c r="CJ107" i="6"/>
  <c r="CN107" i="6"/>
  <c r="CR107" i="6"/>
  <c r="BQ107" i="6"/>
  <c r="BU107" i="6"/>
  <c r="BY107" i="6"/>
  <c r="CC107" i="6"/>
  <c r="CG107" i="6"/>
  <c r="CK107" i="6"/>
  <c r="CO107" i="6"/>
  <c r="CS107" i="6"/>
  <c r="BR107" i="6"/>
  <c r="BV107" i="6"/>
  <c r="BZ107" i="6"/>
  <c r="CD107" i="6"/>
  <c r="CH107" i="6"/>
  <c r="CL107" i="6"/>
  <c r="CP107" i="6"/>
  <c r="CT107" i="6"/>
  <c r="BS103" i="6"/>
  <c r="BW103" i="6"/>
  <c r="CA103" i="6"/>
  <c r="CE103" i="6"/>
  <c r="CI103" i="6"/>
  <c r="CM103" i="6"/>
  <c r="CQ103" i="6"/>
  <c r="BT103" i="6"/>
  <c r="BX103" i="6"/>
  <c r="CB103" i="6"/>
  <c r="CF103" i="6"/>
  <c r="CJ103" i="6"/>
  <c r="CN103" i="6"/>
  <c r="CR103" i="6"/>
  <c r="BQ103" i="6"/>
  <c r="BU103" i="6"/>
  <c r="BY103" i="6"/>
  <c r="CC103" i="6"/>
  <c r="CG103" i="6"/>
  <c r="CK103" i="6"/>
  <c r="CO103" i="6"/>
  <c r="CS103" i="6"/>
  <c r="BR103" i="6"/>
  <c r="BV103" i="6"/>
  <c r="BZ103" i="6"/>
  <c r="CD103" i="6"/>
  <c r="CH103" i="6"/>
  <c r="CL103" i="6"/>
  <c r="CP103" i="6"/>
  <c r="CT103" i="6"/>
  <c r="BQ99" i="6"/>
  <c r="BS99" i="6"/>
  <c r="BW99" i="6"/>
  <c r="CA99" i="6"/>
  <c r="CE99" i="6"/>
  <c r="CI99" i="6"/>
  <c r="CM99" i="6"/>
  <c r="CQ99" i="6"/>
  <c r="BT99" i="6"/>
  <c r="BX99" i="6"/>
  <c r="CB99" i="6"/>
  <c r="CF99" i="6"/>
  <c r="CJ99" i="6"/>
  <c r="CN99" i="6"/>
  <c r="CR99" i="6"/>
  <c r="BU99" i="6"/>
  <c r="BY99" i="6"/>
  <c r="CC99" i="6"/>
  <c r="CG99" i="6"/>
  <c r="CK99" i="6"/>
  <c r="CO99" i="6"/>
  <c r="CS99" i="6"/>
  <c r="BR99" i="6"/>
  <c r="BV99" i="6"/>
  <c r="BZ99" i="6"/>
  <c r="CD99" i="6"/>
  <c r="CH99" i="6"/>
  <c r="CL99" i="6"/>
  <c r="CP99" i="6"/>
  <c r="CT99" i="6"/>
  <c r="BS95" i="6"/>
  <c r="BW95" i="6"/>
  <c r="CA95" i="6"/>
  <c r="CE95" i="6"/>
  <c r="CI95" i="6"/>
  <c r="CM95" i="6"/>
  <c r="CQ95" i="6"/>
  <c r="BT95" i="6"/>
  <c r="BX95" i="6"/>
  <c r="CB95" i="6"/>
  <c r="CF95" i="6"/>
  <c r="CJ95" i="6"/>
  <c r="CN95" i="6"/>
  <c r="CR95" i="6"/>
  <c r="BQ95" i="6"/>
  <c r="BU95" i="6"/>
  <c r="BY95" i="6"/>
  <c r="CC95" i="6"/>
  <c r="CG95" i="6"/>
  <c r="CK95" i="6"/>
  <c r="CO95" i="6"/>
  <c r="CS95" i="6"/>
  <c r="BR95" i="6"/>
  <c r="BV95" i="6"/>
  <c r="BZ95" i="6"/>
  <c r="CD95" i="6"/>
  <c r="CH95" i="6"/>
  <c r="CL95" i="6"/>
  <c r="CP95" i="6"/>
  <c r="CT95" i="6"/>
  <c r="BS91" i="6"/>
  <c r="BW91" i="6"/>
  <c r="CA91" i="6"/>
  <c r="CE91" i="6"/>
  <c r="CI91" i="6"/>
  <c r="CM91" i="6"/>
  <c r="CQ91" i="6"/>
  <c r="BT91" i="6"/>
  <c r="BX91" i="6"/>
  <c r="CB91" i="6"/>
  <c r="CF91" i="6"/>
  <c r="CJ91" i="6"/>
  <c r="CN91" i="6"/>
  <c r="CR91" i="6"/>
  <c r="BQ91" i="6"/>
  <c r="BU91" i="6"/>
  <c r="BY91" i="6"/>
  <c r="CC91" i="6"/>
  <c r="CG91" i="6"/>
  <c r="CK91" i="6"/>
  <c r="CO91" i="6"/>
  <c r="CS91" i="6"/>
  <c r="BR91" i="6"/>
  <c r="BV91" i="6"/>
  <c r="BZ91" i="6"/>
  <c r="CD91" i="6"/>
  <c r="CH91" i="6"/>
  <c r="CL91" i="6"/>
  <c r="CP91" i="6"/>
  <c r="CT91" i="6"/>
  <c r="BS87" i="6"/>
  <c r="BW87" i="6"/>
  <c r="CA87" i="6"/>
  <c r="CE87" i="6"/>
  <c r="CI87" i="6"/>
  <c r="CM87" i="6"/>
  <c r="CQ87" i="6"/>
  <c r="BT87" i="6"/>
  <c r="BX87" i="6"/>
  <c r="CB87" i="6"/>
  <c r="CF87" i="6"/>
  <c r="CJ87" i="6"/>
  <c r="CN87" i="6"/>
  <c r="CR87" i="6"/>
  <c r="BQ87" i="6"/>
  <c r="BU87" i="6"/>
  <c r="BY87" i="6"/>
  <c r="CC87" i="6"/>
  <c r="CG87" i="6"/>
  <c r="CK87" i="6"/>
  <c r="CO87" i="6"/>
  <c r="CS87" i="6"/>
  <c r="BR87" i="6"/>
  <c r="BV87" i="6"/>
  <c r="BZ87" i="6"/>
  <c r="CD87" i="6"/>
  <c r="CH87" i="6"/>
  <c r="CL87" i="6"/>
  <c r="CP87" i="6"/>
  <c r="CT87" i="6"/>
  <c r="BS83" i="6"/>
  <c r="BW83" i="6"/>
  <c r="CA83" i="6"/>
  <c r="CE83" i="6"/>
  <c r="CI83" i="6"/>
  <c r="CM83" i="6"/>
  <c r="CQ83" i="6"/>
  <c r="BT83" i="6"/>
  <c r="BX83" i="6"/>
  <c r="CB83" i="6"/>
  <c r="CF83" i="6"/>
  <c r="CJ83" i="6"/>
  <c r="CN83" i="6"/>
  <c r="CR83" i="6"/>
  <c r="BQ83" i="6"/>
  <c r="BU83" i="6"/>
  <c r="BY83" i="6"/>
  <c r="CC83" i="6"/>
  <c r="CG83" i="6"/>
  <c r="CK83" i="6"/>
  <c r="CO83" i="6"/>
  <c r="CS83" i="6"/>
  <c r="BR83" i="6"/>
  <c r="BV83" i="6"/>
  <c r="BZ83" i="6"/>
  <c r="CD83" i="6"/>
  <c r="CH83" i="6"/>
  <c r="CL83" i="6"/>
  <c r="CP83" i="6"/>
  <c r="CT83" i="6"/>
  <c r="BS79" i="6"/>
  <c r="BW79" i="6"/>
  <c r="CA79" i="6"/>
  <c r="CE79" i="6"/>
  <c r="CI79" i="6"/>
  <c r="CM79" i="6"/>
  <c r="CQ79" i="6"/>
  <c r="BT79" i="6"/>
  <c r="BX79" i="6"/>
  <c r="CB79" i="6"/>
  <c r="CF79" i="6"/>
  <c r="CJ79" i="6"/>
  <c r="CN79" i="6"/>
  <c r="CR79" i="6"/>
  <c r="BQ79" i="6"/>
  <c r="BU79" i="6"/>
  <c r="BY79" i="6"/>
  <c r="CC79" i="6"/>
  <c r="CG79" i="6"/>
  <c r="CK79" i="6"/>
  <c r="CO79" i="6"/>
  <c r="CS79" i="6"/>
  <c r="BR79" i="6"/>
  <c r="BV79" i="6"/>
  <c r="BZ79" i="6"/>
  <c r="CD79" i="6"/>
  <c r="CH79" i="6"/>
  <c r="CL79" i="6"/>
  <c r="CP79" i="6"/>
  <c r="CT79" i="6"/>
  <c r="BS75" i="6"/>
  <c r="BW75" i="6"/>
  <c r="CA75" i="6"/>
  <c r="CE75" i="6"/>
  <c r="CI75" i="6"/>
  <c r="CM75" i="6"/>
  <c r="CQ75" i="6"/>
  <c r="BT75" i="6"/>
  <c r="BX75" i="6"/>
  <c r="CB75" i="6"/>
  <c r="CF75" i="6"/>
  <c r="CJ75" i="6"/>
  <c r="CN75" i="6"/>
  <c r="CR75" i="6"/>
  <c r="BQ75" i="6"/>
  <c r="BU75" i="6"/>
  <c r="BY75" i="6"/>
  <c r="CC75" i="6"/>
  <c r="CG75" i="6"/>
  <c r="CK75" i="6"/>
  <c r="CO75" i="6"/>
  <c r="CS75" i="6"/>
  <c r="BR75" i="6"/>
  <c r="BV75" i="6"/>
  <c r="BZ75" i="6"/>
  <c r="CD75" i="6"/>
  <c r="CH75" i="6"/>
  <c r="CL75" i="6"/>
  <c r="CP75" i="6"/>
  <c r="CT75" i="6"/>
  <c r="BS71" i="6"/>
  <c r="BW71" i="6"/>
  <c r="CA71" i="6"/>
  <c r="CE71" i="6"/>
  <c r="CI71" i="6"/>
  <c r="CM71" i="6"/>
  <c r="CQ71" i="6"/>
  <c r="BT71" i="6"/>
  <c r="BX71" i="6"/>
  <c r="CB71" i="6"/>
  <c r="CF71" i="6"/>
  <c r="CJ71" i="6"/>
  <c r="CN71" i="6"/>
  <c r="CR71" i="6"/>
  <c r="BQ71" i="6"/>
  <c r="BU71" i="6"/>
  <c r="BY71" i="6"/>
  <c r="CC71" i="6"/>
  <c r="CG71" i="6"/>
  <c r="CK71" i="6"/>
  <c r="CO71" i="6"/>
  <c r="CS71" i="6"/>
  <c r="BR71" i="6"/>
  <c r="BV71" i="6"/>
  <c r="BZ71" i="6"/>
  <c r="CD71" i="6"/>
  <c r="CH71" i="6"/>
  <c r="CL71" i="6"/>
  <c r="CP71" i="6"/>
  <c r="CT71" i="6"/>
  <c r="BS67" i="6"/>
  <c r="BW67" i="6"/>
  <c r="CA67" i="6"/>
  <c r="CE67" i="6"/>
  <c r="CI67" i="6"/>
  <c r="CM67" i="6"/>
  <c r="CQ67" i="6"/>
  <c r="BT67" i="6"/>
  <c r="BX67" i="6"/>
  <c r="CB67" i="6"/>
  <c r="CF67" i="6"/>
  <c r="CJ67" i="6"/>
  <c r="CN67" i="6"/>
  <c r="CR67" i="6"/>
  <c r="BQ67" i="6"/>
  <c r="BU67" i="6"/>
  <c r="BY67" i="6"/>
  <c r="CC67" i="6"/>
  <c r="CG67" i="6"/>
  <c r="CK67" i="6"/>
  <c r="CO67" i="6"/>
  <c r="CS67" i="6"/>
  <c r="BR67" i="6"/>
  <c r="BV67" i="6"/>
  <c r="BZ67" i="6"/>
  <c r="CD67" i="6"/>
  <c r="CH67" i="6"/>
  <c r="CL67" i="6"/>
  <c r="CP67" i="6"/>
  <c r="CT67" i="6"/>
  <c r="BS63" i="6"/>
  <c r="BW63" i="6"/>
  <c r="CA63" i="6"/>
  <c r="CE63" i="6"/>
  <c r="CI63" i="6"/>
  <c r="CM63" i="6"/>
  <c r="CQ63" i="6"/>
  <c r="BT63" i="6"/>
  <c r="BX63" i="6"/>
  <c r="CB63" i="6"/>
  <c r="CF63" i="6"/>
  <c r="CJ63" i="6"/>
  <c r="CN63" i="6"/>
  <c r="CR63" i="6"/>
  <c r="BQ63" i="6"/>
  <c r="BU63" i="6"/>
  <c r="BY63" i="6"/>
  <c r="CC63" i="6"/>
  <c r="CG63" i="6"/>
  <c r="CK63" i="6"/>
  <c r="CO63" i="6"/>
  <c r="CS63" i="6"/>
  <c r="BR63" i="6"/>
  <c r="BV63" i="6"/>
  <c r="BZ63" i="6"/>
  <c r="CD63" i="6"/>
  <c r="CH63" i="6"/>
  <c r="CL63" i="6"/>
  <c r="CP63" i="6"/>
  <c r="CT63" i="6"/>
  <c r="BS59" i="6"/>
  <c r="BW59" i="6"/>
  <c r="CA59" i="6"/>
  <c r="CE59" i="6"/>
  <c r="CI59" i="6"/>
  <c r="CM59" i="6"/>
  <c r="CQ59" i="6"/>
  <c r="BT59" i="6"/>
  <c r="BX59" i="6"/>
  <c r="CB59" i="6"/>
  <c r="CF59" i="6"/>
  <c r="CJ59" i="6"/>
  <c r="CN59" i="6"/>
  <c r="CR59" i="6"/>
  <c r="BQ59" i="6"/>
  <c r="BU59" i="6"/>
  <c r="BY59" i="6"/>
  <c r="CC59" i="6"/>
  <c r="CG59" i="6"/>
  <c r="CK59" i="6"/>
  <c r="CO59" i="6"/>
  <c r="CS59" i="6"/>
  <c r="BR59" i="6"/>
  <c r="BV59" i="6"/>
  <c r="BZ59" i="6"/>
  <c r="CD59" i="6"/>
  <c r="CH59" i="6"/>
  <c r="CL59" i="6"/>
  <c r="CP59" i="6"/>
  <c r="CT59" i="6"/>
  <c r="BS55" i="6"/>
  <c r="BW55" i="6"/>
  <c r="CA55" i="6"/>
  <c r="CE55" i="6"/>
  <c r="CI55" i="6"/>
  <c r="CM55" i="6"/>
  <c r="CQ55" i="6"/>
  <c r="BT55" i="6"/>
  <c r="BX55" i="6"/>
  <c r="CB55" i="6"/>
  <c r="CF55" i="6"/>
  <c r="CJ55" i="6"/>
  <c r="CN55" i="6"/>
  <c r="CR55" i="6"/>
  <c r="BQ55" i="6"/>
  <c r="BU55" i="6"/>
  <c r="BY55" i="6"/>
  <c r="CC55" i="6"/>
  <c r="CG55" i="6"/>
  <c r="CK55" i="6"/>
  <c r="CO55" i="6"/>
  <c r="CS55" i="6"/>
  <c r="BR55" i="6"/>
  <c r="BV55" i="6"/>
  <c r="BZ55" i="6"/>
  <c r="CD55" i="6"/>
  <c r="CH55" i="6"/>
  <c r="CL55" i="6"/>
  <c r="CP55" i="6"/>
  <c r="CT55" i="6"/>
  <c r="BR51" i="6"/>
  <c r="BV51" i="6"/>
  <c r="BZ51" i="6"/>
  <c r="CD51" i="6"/>
  <c r="CH51" i="6"/>
  <c r="CL51" i="6"/>
  <c r="CP51" i="6"/>
  <c r="CT51" i="6"/>
  <c r="BS51" i="6"/>
  <c r="BW51" i="6"/>
  <c r="CA51" i="6"/>
  <c r="CE51" i="6"/>
  <c r="CI51" i="6"/>
  <c r="CM51" i="6"/>
  <c r="CQ51" i="6"/>
  <c r="BT51" i="6"/>
  <c r="BX51" i="6"/>
  <c r="CB51" i="6"/>
  <c r="CF51" i="6"/>
  <c r="CJ51" i="6"/>
  <c r="CN51" i="6"/>
  <c r="CR51" i="6"/>
  <c r="BQ51" i="6"/>
  <c r="BU51" i="6"/>
  <c r="BY51" i="6"/>
  <c r="CC51" i="6"/>
  <c r="CG51" i="6"/>
  <c r="CK51" i="6"/>
  <c r="CO51" i="6"/>
  <c r="CS51" i="6"/>
  <c r="BR47" i="6"/>
  <c r="BV47" i="6"/>
  <c r="BZ47" i="6"/>
  <c r="CD47" i="6"/>
  <c r="CH47" i="6"/>
  <c r="CL47" i="6"/>
  <c r="CP47" i="6"/>
  <c r="CT47" i="6"/>
  <c r="BS47" i="6"/>
  <c r="BW47" i="6"/>
  <c r="CA47" i="6"/>
  <c r="CE47" i="6"/>
  <c r="CI47" i="6"/>
  <c r="CM47" i="6"/>
  <c r="CQ47" i="6"/>
  <c r="BT47" i="6"/>
  <c r="BX47" i="6"/>
  <c r="CB47" i="6"/>
  <c r="CF47" i="6"/>
  <c r="CJ47" i="6"/>
  <c r="CN47" i="6"/>
  <c r="CR47" i="6"/>
  <c r="BQ47" i="6"/>
  <c r="BU47" i="6"/>
  <c r="BY47" i="6"/>
  <c r="CC47" i="6"/>
  <c r="CG47" i="6"/>
  <c r="CK47" i="6"/>
  <c r="CO47" i="6"/>
  <c r="CS47" i="6"/>
  <c r="BR39" i="6"/>
  <c r="BV39" i="6"/>
  <c r="BZ39" i="6"/>
  <c r="CD39" i="6"/>
  <c r="CH39" i="6"/>
  <c r="CL39" i="6"/>
  <c r="CP39" i="6"/>
  <c r="CT39" i="6"/>
  <c r="BS39" i="6"/>
  <c r="BW39" i="6"/>
  <c r="CA39" i="6"/>
  <c r="CE39" i="6"/>
  <c r="CI39" i="6"/>
  <c r="CM39" i="6"/>
  <c r="CQ39" i="6"/>
  <c r="BT39" i="6"/>
  <c r="BX39" i="6"/>
  <c r="CB39" i="6"/>
  <c r="CF39" i="6"/>
  <c r="CJ39" i="6"/>
  <c r="CN39" i="6"/>
  <c r="CR39" i="6"/>
  <c r="BQ39" i="6"/>
  <c r="BU39" i="6"/>
  <c r="BY39" i="6"/>
  <c r="CC39" i="6"/>
  <c r="CG39" i="6"/>
  <c r="CK39" i="6"/>
  <c r="CO39" i="6"/>
  <c r="CS39" i="6"/>
  <c r="BR35" i="6"/>
  <c r="BV35" i="6"/>
  <c r="BZ35" i="6"/>
  <c r="CD35" i="6"/>
  <c r="CH35" i="6"/>
  <c r="CL35" i="6"/>
  <c r="CP35" i="6"/>
  <c r="CT35" i="6"/>
  <c r="BS35" i="6"/>
  <c r="BW35" i="6"/>
  <c r="CA35" i="6"/>
  <c r="CE35" i="6"/>
  <c r="CI35" i="6"/>
  <c r="CM35" i="6"/>
  <c r="CQ35" i="6"/>
  <c r="BT35" i="6"/>
  <c r="BX35" i="6"/>
  <c r="CB35" i="6"/>
  <c r="CF35" i="6"/>
  <c r="CJ35" i="6"/>
  <c r="CN35" i="6"/>
  <c r="CR35" i="6"/>
  <c r="BQ35" i="6"/>
  <c r="BU35" i="6"/>
  <c r="BY35" i="6"/>
  <c r="CC35" i="6"/>
  <c r="CG35" i="6"/>
  <c r="CK35" i="6"/>
  <c r="CO35" i="6"/>
  <c r="CS35" i="6"/>
  <c r="BR31" i="6"/>
  <c r="BV31" i="6"/>
  <c r="BZ31" i="6"/>
  <c r="CD31" i="6"/>
  <c r="CH31" i="6"/>
  <c r="CL31" i="6"/>
  <c r="CP31" i="6"/>
  <c r="CT31" i="6"/>
  <c r="BS31" i="6"/>
  <c r="BW31" i="6"/>
  <c r="CA31" i="6"/>
  <c r="CE31" i="6"/>
  <c r="CI31" i="6"/>
  <c r="CM31" i="6"/>
  <c r="CQ31" i="6"/>
  <c r="BT31" i="6"/>
  <c r="BX31" i="6"/>
  <c r="CB31" i="6"/>
  <c r="CF31" i="6"/>
  <c r="CJ31" i="6"/>
  <c r="CN31" i="6"/>
  <c r="CR31" i="6"/>
  <c r="BQ31" i="6"/>
  <c r="BU31" i="6"/>
  <c r="BY31" i="6"/>
  <c r="CC31" i="6"/>
  <c r="CG31" i="6"/>
  <c r="CK31" i="6"/>
  <c r="CO31" i="6"/>
  <c r="CS31" i="6"/>
  <c r="BR27" i="6"/>
  <c r="BV27" i="6"/>
  <c r="BZ27" i="6"/>
  <c r="CD27" i="6"/>
  <c r="CH27" i="6"/>
  <c r="CL27" i="6"/>
  <c r="CP27" i="6"/>
  <c r="CT27" i="6"/>
  <c r="BS27" i="6"/>
  <c r="BW27" i="6"/>
  <c r="CA27" i="6"/>
  <c r="CE27" i="6"/>
  <c r="CI27" i="6"/>
  <c r="CM27" i="6"/>
  <c r="CQ27" i="6"/>
  <c r="BT27" i="6"/>
  <c r="BX27" i="6"/>
  <c r="CB27" i="6"/>
  <c r="CF27" i="6"/>
  <c r="CJ27" i="6"/>
  <c r="CN27" i="6"/>
  <c r="CR27" i="6"/>
  <c r="BQ27" i="6"/>
  <c r="BU27" i="6"/>
  <c r="BY27" i="6"/>
  <c r="CC27" i="6"/>
  <c r="CG27" i="6"/>
  <c r="CK27" i="6"/>
  <c r="CO27" i="6"/>
  <c r="CS27" i="6"/>
  <c r="BR23" i="6"/>
  <c r="BV23" i="6"/>
  <c r="BZ23" i="6"/>
  <c r="CD23" i="6"/>
  <c r="CH23" i="6"/>
  <c r="CL23" i="6"/>
  <c r="CP23" i="6"/>
  <c r="CT23" i="6"/>
  <c r="BS23" i="6"/>
  <c r="BW23" i="6"/>
  <c r="CA23" i="6"/>
  <c r="CE23" i="6"/>
  <c r="CI23" i="6"/>
  <c r="CM23" i="6"/>
  <c r="CQ23" i="6"/>
  <c r="BT23" i="6"/>
  <c r="BX23" i="6"/>
  <c r="CB23" i="6"/>
  <c r="CF23" i="6"/>
  <c r="CJ23" i="6"/>
  <c r="CN23" i="6"/>
  <c r="CR23" i="6"/>
  <c r="BQ23" i="6"/>
  <c r="BU23" i="6"/>
  <c r="BY23" i="6"/>
  <c r="CC23" i="6"/>
  <c r="CG23" i="6"/>
  <c r="CK23" i="6"/>
  <c r="CO23" i="6"/>
  <c r="CS23" i="6"/>
  <c r="BR19" i="6"/>
  <c r="BV19" i="6"/>
  <c r="BZ19" i="6"/>
  <c r="CD19" i="6"/>
  <c r="CH19" i="6"/>
  <c r="CL19" i="6"/>
  <c r="CP19" i="6"/>
  <c r="CT19" i="6"/>
  <c r="BS19" i="6"/>
  <c r="BW19" i="6"/>
  <c r="CA19" i="6"/>
  <c r="CE19" i="6"/>
  <c r="CI19" i="6"/>
  <c r="CM19" i="6"/>
  <c r="CQ19" i="6"/>
  <c r="BT19" i="6"/>
  <c r="BX19" i="6"/>
  <c r="CB19" i="6"/>
  <c r="CF19" i="6"/>
  <c r="CJ19" i="6"/>
  <c r="CN19" i="6"/>
  <c r="CR19" i="6"/>
  <c r="BQ19" i="6"/>
  <c r="BU19" i="6"/>
  <c r="BY19" i="6"/>
  <c r="CC19" i="6"/>
  <c r="CG19" i="6"/>
  <c r="CK19" i="6"/>
  <c r="CO19" i="6"/>
  <c r="CS19" i="6"/>
  <c r="BR15" i="6"/>
  <c r="BV15" i="6"/>
  <c r="BZ15" i="6"/>
  <c r="CD15" i="6"/>
  <c r="CH15" i="6"/>
  <c r="CL15" i="6"/>
  <c r="CP15" i="6"/>
  <c r="CT15" i="6"/>
  <c r="BS15" i="6"/>
  <c r="BW15" i="6"/>
  <c r="CA15" i="6"/>
  <c r="CE15" i="6"/>
  <c r="CI15" i="6"/>
  <c r="CM15" i="6"/>
  <c r="CQ15" i="6"/>
  <c r="BT15" i="6"/>
  <c r="BX15" i="6"/>
  <c r="CB15" i="6"/>
  <c r="CF15" i="6"/>
  <c r="CJ15" i="6"/>
  <c r="CN15" i="6"/>
  <c r="CR15" i="6"/>
  <c r="BQ15" i="6"/>
  <c r="BU15" i="6"/>
  <c r="BY15" i="6"/>
  <c r="CC15" i="6"/>
  <c r="CG15" i="6"/>
  <c r="CK15" i="6"/>
  <c r="CO15" i="6"/>
  <c r="CS15" i="6"/>
  <c r="BR11" i="6"/>
  <c r="BV11" i="6"/>
  <c r="BZ11" i="6"/>
  <c r="CD11" i="6"/>
  <c r="CH11" i="6"/>
  <c r="CL11" i="6"/>
  <c r="CP11" i="6"/>
  <c r="CT11" i="6"/>
  <c r="BS11" i="6"/>
  <c r="BW11" i="6"/>
  <c r="CA11" i="6"/>
  <c r="CE11" i="6"/>
  <c r="CI11" i="6"/>
  <c r="CM11" i="6"/>
  <c r="CQ11" i="6"/>
  <c r="BT11" i="6"/>
  <c r="BX11" i="6"/>
  <c r="CB11" i="6"/>
  <c r="CF11" i="6"/>
  <c r="CJ11" i="6"/>
  <c r="CN11" i="6"/>
  <c r="CR11" i="6"/>
  <c r="BQ11" i="6"/>
  <c r="BU11" i="6"/>
  <c r="BY11" i="6"/>
  <c r="CC11" i="6"/>
  <c r="CG11" i="6"/>
  <c r="CK11" i="6"/>
  <c r="CO11" i="6"/>
  <c r="CS11" i="6"/>
  <c r="BR7" i="6"/>
  <c r="BV7" i="6"/>
  <c r="BZ7" i="6"/>
  <c r="CD7" i="6"/>
  <c r="CH7" i="6"/>
  <c r="CL7" i="6"/>
  <c r="CP7" i="6"/>
  <c r="CT7" i="6"/>
  <c r="BS7" i="6"/>
  <c r="BW7" i="6"/>
  <c r="CA7" i="6"/>
  <c r="CE7" i="6"/>
  <c r="CI7" i="6"/>
  <c r="CM7" i="6"/>
  <c r="CQ7" i="6"/>
  <c r="BT7" i="6"/>
  <c r="BX7" i="6"/>
  <c r="CB7" i="6"/>
  <c r="CF7" i="6"/>
  <c r="CJ7" i="6"/>
  <c r="CN7" i="6"/>
  <c r="CR7" i="6"/>
  <c r="BQ7" i="6"/>
  <c r="BU7" i="6"/>
  <c r="BY7" i="6"/>
  <c r="CC7" i="6"/>
  <c r="CG7" i="6"/>
  <c r="CK7" i="6"/>
  <c r="CO7" i="6"/>
  <c r="CS7" i="6"/>
  <c r="BT256" i="6"/>
  <c r="BX256" i="6"/>
  <c r="CB256" i="6"/>
  <c r="CF256" i="6"/>
  <c r="CJ256" i="6"/>
  <c r="CN256" i="6"/>
  <c r="CR256" i="6"/>
  <c r="BQ256" i="6"/>
  <c r="BU256" i="6"/>
  <c r="BY256" i="6"/>
  <c r="CC256" i="6"/>
  <c r="CG256" i="6"/>
  <c r="CK256" i="6"/>
  <c r="CO256" i="6"/>
  <c r="CS256" i="6"/>
  <c r="BR256" i="6"/>
  <c r="BV256" i="6"/>
  <c r="BZ256" i="6"/>
  <c r="CD256" i="6"/>
  <c r="CH256" i="6"/>
  <c r="CL256" i="6"/>
  <c r="CP256" i="6"/>
  <c r="CT256" i="6"/>
  <c r="BS256" i="6"/>
  <c r="BW256" i="6"/>
  <c r="CA256" i="6"/>
  <c r="CE256" i="6"/>
  <c r="CI256" i="6"/>
  <c r="CM256" i="6"/>
  <c r="CQ256" i="6"/>
  <c r="BT240" i="6"/>
  <c r="BX240" i="6"/>
  <c r="CB240" i="6"/>
  <c r="CF240" i="6"/>
  <c r="CJ240" i="6"/>
  <c r="CN240" i="6"/>
  <c r="CR240" i="6"/>
  <c r="BQ240" i="6"/>
  <c r="BU240" i="6"/>
  <c r="BY240" i="6"/>
  <c r="CC240" i="6"/>
  <c r="CG240" i="6"/>
  <c r="CK240" i="6"/>
  <c r="CO240" i="6"/>
  <c r="CS240" i="6"/>
  <c r="BR240" i="6"/>
  <c r="BV240" i="6"/>
  <c r="BZ240" i="6"/>
  <c r="CD240" i="6"/>
  <c r="CH240" i="6"/>
  <c r="CL240" i="6"/>
  <c r="CP240" i="6"/>
  <c r="CT240" i="6"/>
  <c r="BS240" i="6"/>
  <c r="BW240" i="6"/>
  <c r="CA240" i="6"/>
  <c r="CE240" i="6"/>
  <c r="CI240" i="6"/>
  <c r="CM240" i="6"/>
  <c r="CQ240" i="6"/>
  <c r="BT258" i="6"/>
  <c r="BX258" i="6"/>
  <c r="CB258" i="6"/>
  <c r="CF258" i="6"/>
  <c r="CJ258" i="6"/>
  <c r="CN258" i="6"/>
  <c r="CR258" i="6"/>
  <c r="BQ258" i="6"/>
  <c r="BU258" i="6"/>
  <c r="BY258" i="6"/>
  <c r="CC258" i="6"/>
  <c r="CG258" i="6"/>
  <c r="CK258" i="6"/>
  <c r="CO258" i="6"/>
  <c r="CS258" i="6"/>
  <c r="BR258" i="6"/>
  <c r="BV258" i="6"/>
  <c r="BZ258" i="6"/>
  <c r="CD258" i="6"/>
  <c r="CH258" i="6"/>
  <c r="CL258" i="6"/>
  <c r="CP258" i="6"/>
  <c r="CT258" i="6"/>
  <c r="BS258" i="6"/>
  <c r="BW258" i="6"/>
  <c r="CA258" i="6"/>
  <c r="CE258" i="6"/>
  <c r="CI258" i="6"/>
  <c r="CM258" i="6"/>
  <c r="CQ258" i="6"/>
  <c r="BT246" i="6"/>
  <c r="BX246" i="6"/>
  <c r="CB246" i="6"/>
  <c r="CF246" i="6"/>
  <c r="CJ246" i="6"/>
  <c r="CN246" i="6"/>
  <c r="CR246" i="6"/>
  <c r="BQ246" i="6"/>
  <c r="BU246" i="6"/>
  <c r="BY246" i="6"/>
  <c r="CC246" i="6"/>
  <c r="CG246" i="6"/>
  <c r="CK246" i="6"/>
  <c r="CO246" i="6"/>
  <c r="CS246" i="6"/>
  <c r="BR246" i="6"/>
  <c r="BV246" i="6"/>
  <c r="BZ246" i="6"/>
  <c r="CD246" i="6"/>
  <c r="CH246" i="6"/>
  <c r="CL246" i="6"/>
  <c r="CP246" i="6"/>
  <c r="CT246" i="6"/>
  <c r="BS246" i="6"/>
  <c r="BW246" i="6"/>
  <c r="CA246" i="6"/>
  <c r="CE246" i="6"/>
  <c r="CI246" i="6"/>
  <c r="CM246" i="6"/>
  <c r="CQ246" i="6"/>
  <c r="BT238" i="6"/>
  <c r="BX238" i="6"/>
  <c r="CB238" i="6"/>
  <c r="CF238" i="6"/>
  <c r="CJ238" i="6"/>
  <c r="CN238" i="6"/>
  <c r="CR238" i="6"/>
  <c r="BQ238" i="6"/>
  <c r="BU238" i="6"/>
  <c r="BY238" i="6"/>
  <c r="CC238" i="6"/>
  <c r="CG238" i="6"/>
  <c r="CK238" i="6"/>
  <c r="CO238" i="6"/>
  <c r="CS238" i="6"/>
  <c r="BR238" i="6"/>
  <c r="BV238" i="6"/>
  <c r="BZ238" i="6"/>
  <c r="CD238" i="6"/>
  <c r="CH238" i="6"/>
  <c r="CL238" i="6"/>
  <c r="CP238" i="6"/>
  <c r="CT238" i="6"/>
  <c r="BS238" i="6"/>
  <c r="BW238" i="6"/>
  <c r="CA238" i="6"/>
  <c r="CE238" i="6"/>
  <c r="CI238" i="6"/>
  <c r="CM238" i="6"/>
  <c r="CQ238" i="6"/>
  <c r="BQ230" i="6"/>
  <c r="BU230" i="6"/>
  <c r="BY230" i="6"/>
  <c r="CC230" i="6"/>
  <c r="CG230" i="6"/>
  <c r="CK230" i="6"/>
  <c r="CO230" i="6"/>
  <c r="CS230" i="6"/>
  <c r="BR230" i="6"/>
  <c r="BV230" i="6"/>
  <c r="BZ230" i="6"/>
  <c r="CD230" i="6"/>
  <c r="CH230" i="6"/>
  <c r="CL230" i="6"/>
  <c r="CP230" i="6"/>
  <c r="CT230" i="6"/>
  <c r="BS230" i="6"/>
  <c r="BW230" i="6"/>
  <c r="CA230" i="6"/>
  <c r="CE230" i="6"/>
  <c r="CI230" i="6"/>
  <c r="CM230" i="6"/>
  <c r="CQ230" i="6"/>
  <c r="BT230" i="6"/>
  <c r="BX230" i="6"/>
  <c r="CB230" i="6"/>
  <c r="CF230" i="6"/>
  <c r="CJ230" i="6"/>
  <c r="CN230" i="6"/>
  <c r="CR230" i="6"/>
  <c r="BQ222" i="6"/>
  <c r="BU222" i="6"/>
  <c r="BY222" i="6"/>
  <c r="CC222" i="6"/>
  <c r="CG222" i="6"/>
  <c r="CK222" i="6"/>
  <c r="CO222" i="6"/>
  <c r="CS222" i="6"/>
  <c r="BR222" i="6"/>
  <c r="BV222" i="6"/>
  <c r="BZ222" i="6"/>
  <c r="CD222" i="6"/>
  <c r="CH222" i="6"/>
  <c r="CL222" i="6"/>
  <c r="CP222" i="6"/>
  <c r="CT222" i="6"/>
  <c r="BS222" i="6"/>
  <c r="BW222" i="6"/>
  <c r="CA222" i="6"/>
  <c r="CE222" i="6"/>
  <c r="CI222" i="6"/>
  <c r="CM222" i="6"/>
  <c r="CQ222" i="6"/>
  <c r="BT222" i="6"/>
  <c r="BX222" i="6"/>
  <c r="CB222" i="6"/>
  <c r="CF222" i="6"/>
  <c r="CJ222" i="6"/>
  <c r="CN222" i="6"/>
  <c r="CR222" i="6"/>
  <c r="BQ214" i="6"/>
  <c r="BU214" i="6"/>
  <c r="BY214" i="6"/>
  <c r="CC214" i="6"/>
  <c r="CG214" i="6"/>
  <c r="CK214" i="6"/>
  <c r="CO214" i="6"/>
  <c r="CS214" i="6"/>
  <c r="BR214" i="6"/>
  <c r="BV214" i="6"/>
  <c r="BZ214" i="6"/>
  <c r="CD214" i="6"/>
  <c r="CH214" i="6"/>
  <c r="CL214" i="6"/>
  <c r="CP214" i="6"/>
  <c r="CT214" i="6"/>
  <c r="BS214" i="6"/>
  <c r="BW214" i="6"/>
  <c r="CA214" i="6"/>
  <c r="CE214" i="6"/>
  <c r="CI214" i="6"/>
  <c r="CM214" i="6"/>
  <c r="CQ214" i="6"/>
  <c r="BT214" i="6"/>
  <c r="BX214" i="6"/>
  <c r="CB214" i="6"/>
  <c r="CF214" i="6"/>
  <c r="CJ214" i="6"/>
  <c r="CN214" i="6"/>
  <c r="CR214" i="6"/>
  <c r="BQ210" i="6"/>
  <c r="BU210" i="6"/>
  <c r="BY210" i="6"/>
  <c r="CC210" i="6"/>
  <c r="CG210" i="6"/>
  <c r="CK210" i="6"/>
  <c r="CO210" i="6"/>
  <c r="CS210" i="6"/>
  <c r="BR210" i="6"/>
  <c r="BV210" i="6"/>
  <c r="BZ210" i="6"/>
  <c r="CD210" i="6"/>
  <c r="CH210" i="6"/>
  <c r="CL210" i="6"/>
  <c r="CP210" i="6"/>
  <c r="CT210" i="6"/>
  <c r="BS210" i="6"/>
  <c r="BW210" i="6"/>
  <c r="CA210" i="6"/>
  <c r="CE210" i="6"/>
  <c r="CI210" i="6"/>
  <c r="CM210" i="6"/>
  <c r="CQ210" i="6"/>
  <c r="BT210" i="6"/>
  <c r="BX210" i="6"/>
  <c r="CB210" i="6"/>
  <c r="CF210" i="6"/>
  <c r="CJ210" i="6"/>
  <c r="CN210" i="6"/>
  <c r="CR210" i="6"/>
  <c r="BQ206" i="6"/>
  <c r="BU206" i="6"/>
  <c r="BY206" i="6"/>
  <c r="CC206" i="6"/>
  <c r="CG206" i="6"/>
  <c r="CK206" i="6"/>
  <c r="CO206" i="6"/>
  <c r="CS206" i="6"/>
  <c r="BR206" i="6"/>
  <c r="BV206" i="6"/>
  <c r="BZ206" i="6"/>
  <c r="CD206" i="6"/>
  <c r="CH206" i="6"/>
  <c r="CL206" i="6"/>
  <c r="CP206" i="6"/>
  <c r="CT206" i="6"/>
  <c r="BS206" i="6"/>
  <c r="BW206" i="6"/>
  <c r="CA206" i="6"/>
  <c r="CE206" i="6"/>
  <c r="CI206" i="6"/>
  <c r="CM206" i="6"/>
  <c r="CQ206" i="6"/>
  <c r="BT206" i="6"/>
  <c r="BX206" i="6"/>
  <c r="CB206" i="6"/>
  <c r="CF206" i="6"/>
  <c r="CJ206" i="6"/>
  <c r="CN206" i="6"/>
  <c r="CR206" i="6"/>
  <c r="BQ202" i="6"/>
  <c r="BU202" i="6"/>
  <c r="BY202" i="6"/>
  <c r="CC202" i="6"/>
  <c r="CG202" i="6"/>
  <c r="CK202" i="6"/>
  <c r="CO202" i="6"/>
  <c r="CS202" i="6"/>
  <c r="BR202" i="6"/>
  <c r="BV202" i="6"/>
  <c r="BZ202" i="6"/>
  <c r="CD202" i="6"/>
  <c r="CH202" i="6"/>
  <c r="CL202" i="6"/>
  <c r="CP202" i="6"/>
  <c r="CT202" i="6"/>
  <c r="BS202" i="6"/>
  <c r="BW202" i="6"/>
  <c r="CA202" i="6"/>
  <c r="CE202" i="6"/>
  <c r="CI202" i="6"/>
  <c r="CM202" i="6"/>
  <c r="CQ202" i="6"/>
  <c r="BT202" i="6"/>
  <c r="BX202" i="6"/>
  <c r="CB202" i="6"/>
  <c r="CF202" i="6"/>
  <c r="CJ202" i="6"/>
  <c r="CN202" i="6"/>
  <c r="CR202" i="6"/>
  <c r="BQ198" i="6"/>
  <c r="BU198" i="6"/>
  <c r="BY198" i="6"/>
  <c r="CC198" i="6"/>
  <c r="CG198" i="6"/>
  <c r="CK198" i="6"/>
  <c r="CO198" i="6"/>
  <c r="CS198" i="6"/>
  <c r="BR198" i="6"/>
  <c r="BV198" i="6"/>
  <c r="BZ198" i="6"/>
  <c r="CD198" i="6"/>
  <c r="CH198" i="6"/>
  <c r="CL198" i="6"/>
  <c r="CP198" i="6"/>
  <c r="CT198" i="6"/>
  <c r="BS198" i="6"/>
  <c r="BW198" i="6"/>
  <c r="CA198" i="6"/>
  <c r="CE198" i="6"/>
  <c r="CI198" i="6"/>
  <c r="CM198" i="6"/>
  <c r="CQ198" i="6"/>
  <c r="BT198" i="6"/>
  <c r="BX198" i="6"/>
  <c r="CB198" i="6"/>
  <c r="CF198" i="6"/>
  <c r="CJ198" i="6"/>
  <c r="CN198" i="6"/>
  <c r="CR198" i="6"/>
  <c r="BQ194" i="6"/>
  <c r="BU194" i="6"/>
  <c r="BY194" i="6"/>
  <c r="CC194" i="6"/>
  <c r="CG194" i="6"/>
  <c r="CK194" i="6"/>
  <c r="CO194" i="6"/>
  <c r="CS194" i="6"/>
  <c r="BR194" i="6"/>
  <c r="BV194" i="6"/>
  <c r="BZ194" i="6"/>
  <c r="CD194" i="6"/>
  <c r="CH194" i="6"/>
  <c r="CL194" i="6"/>
  <c r="CP194" i="6"/>
  <c r="CT194" i="6"/>
  <c r="BS194" i="6"/>
  <c r="BW194" i="6"/>
  <c r="CA194" i="6"/>
  <c r="CE194" i="6"/>
  <c r="CI194" i="6"/>
  <c r="CM194" i="6"/>
  <c r="CQ194" i="6"/>
  <c r="BT194" i="6"/>
  <c r="BX194" i="6"/>
  <c r="CB194" i="6"/>
  <c r="CF194" i="6"/>
  <c r="CJ194" i="6"/>
  <c r="CN194" i="6"/>
  <c r="CR194" i="6"/>
  <c r="BQ190" i="6"/>
  <c r="BU190" i="6"/>
  <c r="BY190" i="6"/>
  <c r="CC190" i="6"/>
  <c r="CG190" i="6"/>
  <c r="CK190" i="6"/>
  <c r="CO190" i="6"/>
  <c r="CS190" i="6"/>
  <c r="BR190" i="6"/>
  <c r="BV190" i="6"/>
  <c r="BZ190" i="6"/>
  <c r="CD190" i="6"/>
  <c r="CH190" i="6"/>
  <c r="CL190" i="6"/>
  <c r="CP190" i="6"/>
  <c r="CT190" i="6"/>
  <c r="BS190" i="6"/>
  <c r="BW190" i="6"/>
  <c r="CA190" i="6"/>
  <c r="CE190" i="6"/>
  <c r="CI190" i="6"/>
  <c r="CM190" i="6"/>
  <c r="CQ190" i="6"/>
  <c r="BT190" i="6"/>
  <c r="BX190" i="6"/>
  <c r="CB190" i="6"/>
  <c r="CF190" i="6"/>
  <c r="CJ190" i="6"/>
  <c r="CN190" i="6"/>
  <c r="CR190" i="6"/>
  <c r="BQ186" i="6"/>
  <c r="BU186" i="6"/>
  <c r="BY186" i="6"/>
  <c r="CC186" i="6"/>
  <c r="CG186" i="6"/>
  <c r="CK186" i="6"/>
  <c r="CO186" i="6"/>
  <c r="CS186" i="6"/>
  <c r="BR186" i="6"/>
  <c r="BV186" i="6"/>
  <c r="BZ186" i="6"/>
  <c r="CD186" i="6"/>
  <c r="CH186" i="6"/>
  <c r="CL186" i="6"/>
  <c r="CP186" i="6"/>
  <c r="CT186" i="6"/>
  <c r="BS186" i="6"/>
  <c r="BW186" i="6"/>
  <c r="CA186" i="6"/>
  <c r="CE186" i="6"/>
  <c r="CI186" i="6"/>
  <c r="CM186" i="6"/>
  <c r="CQ186" i="6"/>
  <c r="BT186" i="6"/>
  <c r="BX186" i="6"/>
  <c r="CB186" i="6"/>
  <c r="CF186" i="6"/>
  <c r="CJ186" i="6"/>
  <c r="CN186" i="6"/>
  <c r="CR186" i="6"/>
  <c r="BQ182" i="6"/>
  <c r="BU182" i="6"/>
  <c r="BY182" i="6"/>
  <c r="CC182" i="6"/>
  <c r="CG182" i="6"/>
  <c r="CK182" i="6"/>
  <c r="CO182" i="6"/>
  <c r="CS182" i="6"/>
  <c r="BR182" i="6"/>
  <c r="BV182" i="6"/>
  <c r="BZ182" i="6"/>
  <c r="CD182" i="6"/>
  <c r="CH182" i="6"/>
  <c r="CL182" i="6"/>
  <c r="CP182" i="6"/>
  <c r="CT182" i="6"/>
  <c r="BS182" i="6"/>
  <c r="BW182" i="6"/>
  <c r="CA182" i="6"/>
  <c r="CE182" i="6"/>
  <c r="CI182" i="6"/>
  <c r="CM182" i="6"/>
  <c r="CQ182" i="6"/>
  <c r="BT182" i="6"/>
  <c r="BX182" i="6"/>
  <c r="CB182" i="6"/>
  <c r="CF182" i="6"/>
  <c r="CJ182" i="6"/>
  <c r="CN182" i="6"/>
  <c r="CR182" i="6"/>
  <c r="BQ178" i="6"/>
  <c r="BU178" i="6"/>
  <c r="BY178" i="6"/>
  <c r="CC178" i="6"/>
  <c r="CG178" i="6"/>
  <c r="CK178" i="6"/>
  <c r="CO178" i="6"/>
  <c r="CS178" i="6"/>
  <c r="BR178" i="6"/>
  <c r="BV178" i="6"/>
  <c r="BZ178" i="6"/>
  <c r="CD178" i="6"/>
  <c r="CH178" i="6"/>
  <c r="CL178" i="6"/>
  <c r="CP178" i="6"/>
  <c r="CT178" i="6"/>
  <c r="BS178" i="6"/>
  <c r="BW178" i="6"/>
  <c r="CA178" i="6"/>
  <c r="CE178" i="6"/>
  <c r="CI178" i="6"/>
  <c r="CM178" i="6"/>
  <c r="CQ178" i="6"/>
  <c r="BT178" i="6"/>
  <c r="BX178" i="6"/>
  <c r="CB178" i="6"/>
  <c r="CF178" i="6"/>
  <c r="CJ178" i="6"/>
  <c r="CN178" i="6"/>
  <c r="CR178" i="6"/>
  <c r="BQ174" i="6"/>
  <c r="BU174" i="6"/>
  <c r="BY174" i="6"/>
  <c r="CC174" i="6"/>
  <c r="CG174" i="6"/>
  <c r="CK174" i="6"/>
  <c r="CO174" i="6"/>
  <c r="CS174" i="6"/>
  <c r="BR174" i="6"/>
  <c r="BV174" i="6"/>
  <c r="BZ174" i="6"/>
  <c r="CD174" i="6"/>
  <c r="CH174" i="6"/>
  <c r="CL174" i="6"/>
  <c r="CP174" i="6"/>
  <c r="CT174" i="6"/>
  <c r="BS174" i="6"/>
  <c r="BW174" i="6"/>
  <c r="CA174" i="6"/>
  <c r="CE174" i="6"/>
  <c r="CI174" i="6"/>
  <c r="CM174" i="6"/>
  <c r="CQ174" i="6"/>
  <c r="BT174" i="6"/>
  <c r="BX174" i="6"/>
  <c r="CB174" i="6"/>
  <c r="CF174" i="6"/>
  <c r="CJ174" i="6"/>
  <c r="CN174" i="6"/>
  <c r="CR174" i="6"/>
  <c r="BQ170" i="6"/>
  <c r="BU170" i="6"/>
  <c r="BY170" i="6"/>
  <c r="CC170" i="6"/>
  <c r="CG170" i="6"/>
  <c r="CK170" i="6"/>
  <c r="CO170" i="6"/>
  <c r="CS170" i="6"/>
  <c r="BR170" i="6"/>
  <c r="BV170" i="6"/>
  <c r="BZ170" i="6"/>
  <c r="CD170" i="6"/>
  <c r="CH170" i="6"/>
  <c r="CL170" i="6"/>
  <c r="CP170" i="6"/>
  <c r="CT170" i="6"/>
  <c r="BS170" i="6"/>
  <c r="BW170" i="6"/>
  <c r="CA170" i="6"/>
  <c r="CE170" i="6"/>
  <c r="CI170" i="6"/>
  <c r="CM170" i="6"/>
  <c r="CQ170" i="6"/>
  <c r="BT170" i="6"/>
  <c r="BX170" i="6"/>
  <c r="CB170" i="6"/>
  <c r="CF170" i="6"/>
  <c r="CJ170" i="6"/>
  <c r="CN170" i="6"/>
  <c r="CR170" i="6"/>
  <c r="BQ166" i="6"/>
  <c r="BU166" i="6"/>
  <c r="BY166" i="6"/>
  <c r="CC166" i="6"/>
  <c r="CG166" i="6"/>
  <c r="CK166" i="6"/>
  <c r="CO166" i="6"/>
  <c r="CS166" i="6"/>
  <c r="BR166" i="6"/>
  <c r="BV166" i="6"/>
  <c r="BZ166" i="6"/>
  <c r="CD166" i="6"/>
  <c r="CH166" i="6"/>
  <c r="CL166" i="6"/>
  <c r="CP166" i="6"/>
  <c r="CT166" i="6"/>
  <c r="BS166" i="6"/>
  <c r="BW166" i="6"/>
  <c r="CA166" i="6"/>
  <c r="CE166" i="6"/>
  <c r="CI166" i="6"/>
  <c r="CM166" i="6"/>
  <c r="CQ166" i="6"/>
  <c r="BT166" i="6"/>
  <c r="BX166" i="6"/>
  <c r="CB166" i="6"/>
  <c r="CF166" i="6"/>
  <c r="CJ166" i="6"/>
  <c r="CN166" i="6"/>
  <c r="CR166" i="6"/>
  <c r="BQ162" i="6"/>
  <c r="BU162" i="6"/>
  <c r="BY162" i="6"/>
  <c r="CC162" i="6"/>
  <c r="CG162" i="6"/>
  <c r="CK162" i="6"/>
  <c r="CO162" i="6"/>
  <c r="CS162" i="6"/>
  <c r="BR162" i="6"/>
  <c r="BV162" i="6"/>
  <c r="BZ162" i="6"/>
  <c r="CD162" i="6"/>
  <c r="CH162" i="6"/>
  <c r="CL162" i="6"/>
  <c r="CP162" i="6"/>
  <c r="CT162" i="6"/>
  <c r="BS162" i="6"/>
  <c r="BW162" i="6"/>
  <c r="CA162" i="6"/>
  <c r="CE162" i="6"/>
  <c r="CI162" i="6"/>
  <c r="CM162" i="6"/>
  <c r="CQ162" i="6"/>
  <c r="BT162" i="6"/>
  <c r="BX162" i="6"/>
  <c r="CB162" i="6"/>
  <c r="CF162" i="6"/>
  <c r="CJ162" i="6"/>
  <c r="CN162" i="6"/>
  <c r="CR162" i="6"/>
  <c r="BQ158" i="6"/>
  <c r="BU158" i="6"/>
  <c r="BY158" i="6"/>
  <c r="CC158" i="6"/>
  <c r="CG158" i="6"/>
  <c r="CK158" i="6"/>
  <c r="CO158" i="6"/>
  <c r="CS158" i="6"/>
  <c r="BR158" i="6"/>
  <c r="BV158" i="6"/>
  <c r="BZ158" i="6"/>
  <c r="CD158" i="6"/>
  <c r="CH158" i="6"/>
  <c r="CL158" i="6"/>
  <c r="CP158" i="6"/>
  <c r="CT158" i="6"/>
  <c r="BS158" i="6"/>
  <c r="BW158" i="6"/>
  <c r="CA158" i="6"/>
  <c r="CE158" i="6"/>
  <c r="CI158" i="6"/>
  <c r="CM158" i="6"/>
  <c r="CQ158" i="6"/>
  <c r="BT158" i="6"/>
  <c r="BX158" i="6"/>
  <c r="CB158" i="6"/>
  <c r="CF158" i="6"/>
  <c r="CJ158" i="6"/>
  <c r="CN158" i="6"/>
  <c r="CR158" i="6"/>
  <c r="BQ154" i="6"/>
  <c r="BU154" i="6"/>
  <c r="BY154" i="6"/>
  <c r="CC154" i="6"/>
  <c r="CG154" i="6"/>
  <c r="CK154" i="6"/>
  <c r="CO154" i="6"/>
  <c r="CS154" i="6"/>
  <c r="BR154" i="6"/>
  <c r="BV154" i="6"/>
  <c r="BZ154" i="6"/>
  <c r="CD154" i="6"/>
  <c r="CH154" i="6"/>
  <c r="CL154" i="6"/>
  <c r="CP154" i="6"/>
  <c r="CT154" i="6"/>
  <c r="BS154" i="6"/>
  <c r="BW154" i="6"/>
  <c r="CA154" i="6"/>
  <c r="CE154" i="6"/>
  <c r="CI154" i="6"/>
  <c r="CM154" i="6"/>
  <c r="CQ154" i="6"/>
  <c r="BT154" i="6"/>
  <c r="BX154" i="6"/>
  <c r="CB154" i="6"/>
  <c r="CF154" i="6"/>
  <c r="CJ154" i="6"/>
  <c r="CN154" i="6"/>
  <c r="CR154" i="6"/>
  <c r="BQ150" i="6"/>
  <c r="BU150" i="6"/>
  <c r="BY150" i="6"/>
  <c r="CC150" i="6"/>
  <c r="CG150" i="6"/>
  <c r="CK150" i="6"/>
  <c r="CO150" i="6"/>
  <c r="CS150" i="6"/>
  <c r="BR150" i="6"/>
  <c r="BV150" i="6"/>
  <c r="BZ150" i="6"/>
  <c r="CD150" i="6"/>
  <c r="CH150" i="6"/>
  <c r="CL150" i="6"/>
  <c r="CP150" i="6"/>
  <c r="CT150" i="6"/>
  <c r="BS150" i="6"/>
  <c r="BW150" i="6"/>
  <c r="CA150" i="6"/>
  <c r="CE150" i="6"/>
  <c r="CI150" i="6"/>
  <c r="CM150" i="6"/>
  <c r="CQ150" i="6"/>
  <c r="BT150" i="6"/>
  <c r="BX150" i="6"/>
  <c r="CB150" i="6"/>
  <c r="CF150" i="6"/>
  <c r="CJ150" i="6"/>
  <c r="CN150" i="6"/>
  <c r="CR150" i="6"/>
  <c r="BQ146" i="6"/>
  <c r="BU146" i="6"/>
  <c r="BY146" i="6"/>
  <c r="CC146" i="6"/>
  <c r="CG146" i="6"/>
  <c r="CK146" i="6"/>
  <c r="CO146" i="6"/>
  <c r="CS146" i="6"/>
  <c r="BR146" i="6"/>
  <c r="BV146" i="6"/>
  <c r="BZ146" i="6"/>
  <c r="CD146" i="6"/>
  <c r="CH146" i="6"/>
  <c r="CL146" i="6"/>
  <c r="CP146" i="6"/>
  <c r="CT146" i="6"/>
  <c r="BS146" i="6"/>
  <c r="BW146" i="6"/>
  <c r="CA146" i="6"/>
  <c r="CE146" i="6"/>
  <c r="CI146" i="6"/>
  <c r="CM146" i="6"/>
  <c r="CQ146" i="6"/>
  <c r="BT146" i="6"/>
  <c r="BX146" i="6"/>
  <c r="CB146" i="6"/>
  <c r="CF146" i="6"/>
  <c r="CJ146" i="6"/>
  <c r="CN146" i="6"/>
  <c r="CR146" i="6"/>
  <c r="BR142" i="6"/>
  <c r="BV142" i="6"/>
  <c r="BZ142" i="6"/>
  <c r="CD142" i="6"/>
  <c r="CH142" i="6"/>
  <c r="CL142" i="6"/>
  <c r="CP142" i="6"/>
  <c r="CT142" i="6"/>
  <c r="BS142" i="6"/>
  <c r="BW142" i="6"/>
  <c r="CA142" i="6"/>
  <c r="CE142" i="6"/>
  <c r="CI142" i="6"/>
  <c r="CM142" i="6"/>
  <c r="CQ142" i="6"/>
  <c r="BT142" i="6"/>
  <c r="BX142" i="6"/>
  <c r="CB142" i="6"/>
  <c r="CF142" i="6"/>
  <c r="CJ142" i="6"/>
  <c r="CN142" i="6"/>
  <c r="CR142" i="6"/>
  <c r="BQ142" i="6"/>
  <c r="BU142" i="6"/>
  <c r="BY142" i="6"/>
  <c r="CC142" i="6"/>
  <c r="CG142" i="6"/>
  <c r="CK142" i="6"/>
  <c r="CO142" i="6"/>
  <c r="CS142" i="6"/>
  <c r="BR138" i="6"/>
  <c r="BV138" i="6"/>
  <c r="BZ138" i="6"/>
  <c r="CD138" i="6"/>
  <c r="CH138" i="6"/>
  <c r="CL138" i="6"/>
  <c r="CP138" i="6"/>
  <c r="CT138" i="6"/>
  <c r="BS138" i="6"/>
  <c r="BW138" i="6"/>
  <c r="CA138" i="6"/>
  <c r="CE138" i="6"/>
  <c r="CI138" i="6"/>
  <c r="CM138" i="6"/>
  <c r="CQ138" i="6"/>
  <c r="BT138" i="6"/>
  <c r="BX138" i="6"/>
  <c r="CB138" i="6"/>
  <c r="CF138" i="6"/>
  <c r="CJ138" i="6"/>
  <c r="CN138" i="6"/>
  <c r="CR138" i="6"/>
  <c r="BQ138" i="6"/>
  <c r="BU138" i="6"/>
  <c r="BY138" i="6"/>
  <c r="CC138" i="6"/>
  <c r="CG138" i="6"/>
  <c r="CK138" i="6"/>
  <c r="CO138" i="6"/>
  <c r="CS138" i="6"/>
  <c r="BR134" i="6"/>
  <c r="BV134" i="6"/>
  <c r="BZ134" i="6"/>
  <c r="CD134" i="6"/>
  <c r="CH134" i="6"/>
  <c r="CL134" i="6"/>
  <c r="CP134" i="6"/>
  <c r="CT134" i="6"/>
  <c r="BS134" i="6"/>
  <c r="BW134" i="6"/>
  <c r="CA134" i="6"/>
  <c r="CE134" i="6"/>
  <c r="CI134" i="6"/>
  <c r="CM134" i="6"/>
  <c r="CQ134" i="6"/>
  <c r="BT134" i="6"/>
  <c r="BX134" i="6"/>
  <c r="CB134" i="6"/>
  <c r="CF134" i="6"/>
  <c r="CJ134" i="6"/>
  <c r="CN134" i="6"/>
  <c r="CR134" i="6"/>
  <c r="BQ134" i="6"/>
  <c r="BU134" i="6"/>
  <c r="BY134" i="6"/>
  <c r="CC134" i="6"/>
  <c r="CG134" i="6"/>
  <c r="CK134" i="6"/>
  <c r="CO134" i="6"/>
  <c r="CS134" i="6"/>
  <c r="BR130" i="6"/>
  <c r="BV130" i="6"/>
  <c r="BZ130" i="6"/>
  <c r="CD130" i="6"/>
  <c r="CH130" i="6"/>
  <c r="CL130" i="6"/>
  <c r="CP130" i="6"/>
  <c r="CT130" i="6"/>
  <c r="BS130" i="6"/>
  <c r="BW130" i="6"/>
  <c r="CA130" i="6"/>
  <c r="CE130" i="6"/>
  <c r="CI130" i="6"/>
  <c r="CM130" i="6"/>
  <c r="CQ130" i="6"/>
  <c r="BT130" i="6"/>
  <c r="BX130" i="6"/>
  <c r="CB130" i="6"/>
  <c r="CF130" i="6"/>
  <c r="CJ130" i="6"/>
  <c r="CN130" i="6"/>
  <c r="CR130" i="6"/>
  <c r="BQ130" i="6"/>
  <c r="BU130" i="6"/>
  <c r="BY130" i="6"/>
  <c r="CC130" i="6"/>
  <c r="CG130" i="6"/>
  <c r="CK130" i="6"/>
  <c r="CO130" i="6"/>
  <c r="CS130" i="6"/>
  <c r="BR126" i="6"/>
  <c r="BV126" i="6"/>
  <c r="BZ126" i="6"/>
  <c r="CD126" i="6"/>
  <c r="CH126" i="6"/>
  <c r="CL126" i="6"/>
  <c r="CP126" i="6"/>
  <c r="CT126" i="6"/>
  <c r="BS126" i="6"/>
  <c r="BW126" i="6"/>
  <c r="CA126" i="6"/>
  <c r="CE126" i="6"/>
  <c r="CI126" i="6"/>
  <c r="CM126" i="6"/>
  <c r="CQ126" i="6"/>
  <c r="BT126" i="6"/>
  <c r="BX126" i="6"/>
  <c r="CB126" i="6"/>
  <c r="CF126" i="6"/>
  <c r="CJ126" i="6"/>
  <c r="CN126" i="6"/>
  <c r="CR126" i="6"/>
  <c r="BQ126" i="6"/>
  <c r="BU126" i="6"/>
  <c r="BY126" i="6"/>
  <c r="CC126" i="6"/>
  <c r="CG126" i="6"/>
  <c r="CK126" i="6"/>
  <c r="CO126" i="6"/>
  <c r="CS126" i="6"/>
  <c r="BR122" i="6"/>
  <c r="BV122" i="6"/>
  <c r="BZ122" i="6"/>
  <c r="CD122" i="6"/>
  <c r="CH122" i="6"/>
  <c r="CL122" i="6"/>
  <c r="CP122" i="6"/>
  <c r="CT122" i="6"/>
  <c r="BS122" i="6"/>
  <c r="BW122" i="6"/>
  <c r="CA122" i="6"/>
  <c r="CE122" i="6"/>
  <c r="CI122" i="6"/>
  <c r="CM122" i="6"/>
  <c r="CQ122" i="6"/>
  <c r="BT122" i="6"/>
  <c r="BX122" i="6"/>
  <c r="CB122" i="6"/>
  <c r="CF122" i="6"/>
  <c r="CJ122" i="6"/>
  <c r="CN122" i="6"/>
  <c r="CR122" i="6"/>
  <c r="BQ122" i="6"/>
  <c r="BU122" i="6"/>
  <c r="BY122" i="6"/>
  <c r="CC122" i="6"/>
  <c r="CG122" i="6"/>
  <c r="CK122" i="6"/>
  <c r="CO122" i="6"/>
  <c r="CS122" i="6"/>
  <c r="BR118" i="6"/>
  <c r="BV118" i="6"/>
  <c r="BZ118" i="6"/>
  <c r="CD118" i="6"/>
  <c r="CH118" i="6"/>
  <c r="CL118" i="6"/>
  <c r="CP118" i="6"/>
  <c r="CT118" i="6"/>
  <c r="BS118" i="6"/>
  <c r="BW118" i="6"/>
  <c r="CA118" i="6"/>
  <c r="CE118" i="6"/>
  <c r="CI118" i="6"/>
  <c r="CM118" i="6"/>
  <c r="CQ118" i="6"/>
  <c r="BT118" i="6"/>
  <c r="BX118" i="6"/>
  <c r="CB118" i="6"/>
  <c r="CF118" i="6"/>
  <c r="CJ118" i="6"/>
  <c r="CN118" i="6"/>
  <c r="CR118" i="6"/>
  <c r="BQ118" i="6"/>
  <c r="BU118" i="6"/>
  <c r="BY118" i="6"/>
  <c r="CC118" i="6"/>
  <c r="CG118" i="6"/>
  <c r="CK118" i="6"/>
  <c r="CO118" i="6"/>
  <c r="CS118" i="6"/>
  <c r="BQ114" i="6"/>
  <c r="BU114" i="6"/>
  <c r="BY114" i="6"/>
  <c r="CC114" i="6"/>
  <c r="CG114" i="6"/>
  <c r="CK114" i="6"/>
  <c r="CO114" i="6"/>
  <c r="CS114" i="6"/>
  <c r="BR114" i="6"/>
  <c r="BV114" i="6"/>
  <c r="BZ114" i="6"/>
  <c r="CD114" i="6"/>
  <c r="CH114" i="6"/>
  <c r="CL114" i="6"/>
  <c r="CP114" i="6"/>
  <c r="CT114" i="6"/>
  <c r="BS114" i="6"/>
  <c r="BW114" i="6"/>
  <c r="CA114" i="6"/>
  <c r="CE114" i="6"/>
  <c r="CI114" i="6"/>
  <c r="CM114" i="6"/>
  <c r="CQ114" i="6"/>
  <c r="BT114" i="6"/>
  <c r="BX114" i="6"/>
  <c r="CB114" i="6"/>
  <c r="CF114" i="6"/>
  <c r="CJ114" i="6"/>
  <c r="CN114" i="6"/>
  <c r="CR114" i="6"/>
  <c r="BQ110" i="6"/>
  <c r="BU110" i="6"/>
  <c r="BY110" i="6"/>
  <c r="CC110" i="6"/>
  <c r="CG110" i="6"/>
  <c r="CK110" i="6"/>
  <c r="CO110" i="6"/>
  <c r="CS110" i="6"/>
  <c r="BR110" i="6"/>
  <c r="BV110" i="6"/>
  <c r="BZ110" i="6"/>
  <c r="CD110" i="6"/>
  <c r="CH110" i="6"/>
  <c r="CL110" i="6"/>
  <c r="CP110" i="6"/>
  <c r="CT110" i="6"/>
  <c r="BS110" i="6"/>
  <c r="BW110" i="6"/>
  <c r="CA110" i="6"/>
  <c r="CE110" i="6"/>
  <c r="CI110" i="6"/>
  <c r="CM110" i="6"/>
  <c r="CQ110" i="6"/>
  <c r="BT110" i="6"/>
  <c r="BX110" i="6"/>
  <c r="CB110" i="6"/>
  <c r="CF110" i="6"/>
  <c r="CJ110" i="6"/>
  <c r="CN110" i="6"/>
  <c r="CR110" i="6"/>
  <c r="BQ106" i="6"/>
  <c r="BU106" i="6"/>
  <c r="BY106" i="6"/>
  <c r="CC106" i="6"/>
  <c r="CG106" i="6"/>
  <c r="CK106" i="6"/>
  <c r="CO106" i="6"/>
  <c r="CS106" i="6"/>
  <c r="BR106" i="6"/>
  <c r="BV106" i="6"/>
  <c r="BZ106" i="6"/>
  <c r="CD106" i="6"/>
  <c r="CH106" i="6"/>
  <c r="CL106" i="6"/>
  <c r="CP106" i="6"/>
  <c r="CT106" i="6"/>
  <c r="BS106" i="6"/>
  <c r="BW106" i="6"/>
  <c r="CA106" i="6"/>
  <c r="CE106" i="6"/>
  <c r="CI106" i="6"/>
  <c r="CM106" i="6"/>
  <c r="CQ106" i="6"/>
  <c r="BT106" i="6"/>
  <c r="BX106" i="6"/>
  <c r="CB106" i="6"/>
  <c r="CF106" i="6"/>
  <c r="CJ106" i="6"/>
  <c r="CN106" i="6"/>
  <c r="CR106" i="6"/>
  <c r="BQ102" i="6"/>
  <c r="BU102" i="6"/>
  <c r="BY102" i="6"/>
  <c r="CC102" i="6"/>
  <c r="CG102" i="6"/>
  <c r="CK102" i="6"/>
  <c r="CO102" i="6"/>
  <c r="CS102" i="6"/>
  <c r="BR102" i="6"/>
  <c r="BV102" i="6"/>
  <c r="BZ102" i="6"/>
  <c r="CD102" i="6"/>
  <c r="CH102" i="6"/>
  <c r="CL102" i="6"/>
  <c r="CP102" i="6"/>
  <c r="CT102" i="6"/>
  <c r="BS102" i="6"/>
  <c r="BW102" i="6"/>
  <c r="CA102" i="6"/>
  <c r="CE102" i="6"/>
  <c r="CI102" i="6"/>
  <c r="CM102" i="6"/>
  <c r="CQ102" i="6"/>
  <c r="BT102" i="6"/>
  <c r="BX102" i="6"/>
  <c r="CB102" i="6"/>
  <c r="CF102" i="6"/>
  <c r="CJ102" i="6"/>
  <c r="CN102" i="6"/>
  <c r="CR102" i="6"/>
  <c r="BQ98" i="6"/>
  <c r="BU98" i="6"/>
  <c r="BY98" i="6"/>
  <c r="CC98" i="6"/>
  <c r="CG98" i="6"/>
  <c r="CK98" i="6"/>
  <c r="CO98" i="6"/>
  <c r="CS98" i="6"/>
  <c r="BR98" i="6"/>
  <c r="BV98" i="6"/>
  <c r="BZ98" i="6"/>
  <c r="CD98" i="6"/>
  <c r="CH98" i="6"/>
  <c r="CL98" i="6"/>
  <c r="CP98" i="6"/>
  <c r="BS98" i="6"/>
  <c r="BW98" i="6"/>
  <c r="CA98" i="6"/>
  <c r="CE98" i="6"/>
  <c r="CI98" i="6"/>
  <c r="CM98" i="6"/>
  <c r="CQ98" i="6"/>
  <c r="BT98" i="6"/>
  <c r="BX98" i="6"/>
  <c r="CB98" i="6"/>
  <c r="CF98" i="6"/>
  <c r="CJ98" i="6"/>
  <c r="CN98" i="6"/>
  <c r="CR98" i="6"/>
  <c r="CT98" i="6"/>
  <c r="BQ94" i="6"/>
  <c r="BU94" i="6"/>
  <c r="BY94" i="6"/>
  <c r="CC94" i="6"/>
  <c r="CG94" i="6"/>
  <c r="CK94" i="6"/>
  <c r="CO94" i="6"/>
  <c r="CS94" i="6"/>
  <c r="BR94" i="6"/>
  <c r="BV94" i="6"/>
  <c r="BZ94" i="6"/>
  <c r="CD94" i="6"/>
  <c r="CH94" i="6"/>
  <c r="CL94" i="6"/>
  <c r="CP94" i="6"/>
  <c r="CT94" i="6"/>
  <c r="BS94" i="6"/>
  <c r="BW94" i="6"/>
  <c r="CA94" i="6"/>
  <c r="CE94" i="6"/>
  <c r="CI94" i="6"/>
  <c r="CM94" i="6"/>
  <c r="CQ94" i="6"/>
  <c r="BT94" i="6"/>
  <c r="BX94" i="6"/>
  <c r="CB94" i="6"/>
  <c r="CF94" i="6"/>
  <c r="CJ94" i="6"/>
  <c r="CN94" i="6"/>
  <c r="CR94" i="6"/>
  <c r="BQ90" i="6"/>
  <c r="BU90" i="6"/>
  <c r="BY90" i="6"/>
  <c r="CC90" i="6"/>
  <c r="CG90" i="6"/>
  <c r="CK90" i="6"/>
  <c r="CO90" i="6"/>
  <c r="CS90" i="6"/>
  <c r="BR90" i="6"/>
  <c r="BV90" i="6"/>
  <c r="BZ90" i="6"/>
  <c r="CD90" i="6"/>
  <c r="CH90" i="6"/>
  <c r="CL90" i="6"/>
  <c r="CP90" i="6"/>
  <c r="CT90" i="6"/>
  <c r="BS90" i="6"/>
  <c r="BW90" i="6"/>
  <c r="CA90" i="6"/>
  <c r="CE90" i="6"/>
  <c r="CI90" i="6"/>
  <c r="CM90" i="6"/>
  <c r="CQ90" i="6"/>
  <c r="BT90" i="6"/>
  <c r="BX90" i="6"/>
  <c r="CB90" i="6"/>
  <c r="CF90" i="6"/>
  <c r="CJ90" i="6"/>
  <c r="CN90" i="6"/>
  <c r="CR90" i="6"/>
  <c r="BQ86" i="6"/>
  <c r="BU86" i="6"/>
  <c r="BY86" i="6"/>
  <c r="CC86" i="6"/>
  <c r="CG86" i="6"/>
  <c r="CK86" i="6"/>
  <c r="CO86" i="6"/>
  <c r="CS86" i="6"/>
  <c r="BR86" i="6"/>
  <c r="BV86" i="6"/>
  <c r="BZ86" i="6"/>
  <c r="CD86" i="6"/>
  <c r="CH86" i="6"/>
  <c r="CL86" i="6"/>
  <c r="CP86" i="6"/>
  <c r="CT86" i="6"/>
  <c r="BS86" i="6"/>
  <c r="BW86" i="6"/>
  <c r="CA86" i="6"/>
  <c r="CE86" i="6"/>
  <c r="CI86" i="6"/>
  <c r="CM86" i="6"/>
  <c r="CQ86" i="6"/>
  <c r="BT86" i="6"/>
  <c r="BX86" i="6"/>
  <c r="CB86" i="6"/>
  <c r="CF86" i="6"/>
  <c r="CJ86" i="6"/>
  <c r="CN86" i="6"/>
  <c r="CR86" i="6"/>
  <c r="BQ82" i="6"/>
  <c r="BU82" i="6"/>
  <c r="BY82" i="6"/>
  <c r="CC82" i="6"/>
  <c r="CG82" i="6"/>
  <c r="CK82" i="6"/>
  <c r="CO82" i="6"/>
  <c r="CS82" i="6"/>
  <c r="BR82" i="6"/>
  <c r="BV82" i="6"/>
  <c r="BZ82" i="6"/>
  <c r="CD82" i="6"/>
  <c r="CH82" i="6"/>
  <c r="CL82" i="6"/>
  <c r="CP82" i="6"/>
  <c r="CT82" i="6"/>
  <c r="BS82" i="6"/>
  <c r="BW82" i="6"/>
  <c r="CA82" i="6"/>
  <c r="CE82" i="6"/>
  <c r="CI82" i="6"/>
  <c r="CM82" i="6"/>
  <c r="CQ82" i="6"/>
  <c r="BT82" i="6"/>
  <c r="BX82" i="6"/>
  <c r="CB82" i="6"/>
  <c r="CF82" i="6"/>
  <c r="CJ82" i="6"/>
  <c r="CN82" i="6"/>
  <c r="CR82" i="6"/>
  <c r="BQ78" i="6"/>
  <c r="BU78" i="6"/>
  <c r="BY78" i="6"/>
  <c r="CC78" i="6"/>
  <c r="CG78" i="6"/>
  <c r="CK78" i="6"/>
  <c r="CO78" i="6"/>
  <c r="CS78" i="6"/>
  <c r="BR78" i="6"/>
  <c r="BV78" i="6"/>
  <c r="BZ78" i="6"/>
  <c r="CD78" i="6"/>
  <c r="CH78" i="6"/>
  <c r="CL78" i="6"/>
  <c r="CP78" i="6"/>
  <c r="CT78" i="6"/>
  <c r="BS78" i="6"/>
  <c r="BW78" i="6"/>
  <c r="CA78" i="6"/>
  <c r="CE78" i="6"/>
  <c r="CI78" i="6"/>
  <c r="CM78" i="6"/>
  <c r="CQ78" i="6"/>
  <c r="BT78" i="6"/>
  <c r="BX78" i="6"/>
  <c r="CB78" i="6"/>
  <c r="CF78" i="6"/>
  <c r="CJ78" i="6"/>
  <c r="CN78" i="6"/>
  <c r="CR78" i="6"/>
  <c r="BQ74" i="6"/>
  <c r="BU74" i="6"/>
  <c r="BY74" i="6"/>
  <c r="CC74" i="6"/>
  <c r="CG74" i="6"/>
  <c r="CK74" i="6"/>
  <c r="CO74" i="6"/>
  <c r="CS74" i="6"/>
  <c r="BR74" i="6"/>
  <c r="BV74" i="6"/>
  <c r="BZ74" i="6"/>
  <c r="CD74" i="6"/>
  <c r="CH74" i="6"/>
  <c r="CL74" i="6"/>
  <c r="CP74" i="6"/>
  <c r="CT74" i="6"/>
  <c r="BS74" i="6"/>
  <c r="BW74" i="6"/>
  <c r="CA74" i="6"/>
  <c r="CE74" i="6"/>
  <c r="CI74" i="6"/>
  <c r="CM74" i="6"/>
  <c r="CQ74" i="6"/>
  <c r="BT74" i="6"/>
  <c r="BX74" i="6"/>
  <c r="CB74" i="6"/>
  <c r="CF74" i="6"/>
  <c r="CJ74" i="6"/>
  <c r="CN74" i="6"/>
  <c r="CR74" i="6"/>
  <c r="BQ70" i="6"/>
  <c r="BU70" i="6"/>
  <c r="BY70" i="6"/>
  <c r="CC70" i="6"/>
  <c r="CG70" i="6"/>
  <c r="CK70" i="6"/>
  <c r="CO70" i="6"/>
  <c r="CS70" i="6"/>
  <c r="BR70" i="6"/>
  <c r="BV70" i="6"/>
  <c r="BZ70" i="6"/>
  <c r="CD70" i="6"/>
  <c r="CH70" i="6"/>
  <c r="CL70" i="6"/>
  <c r="CP70" i="6"/>
  <c r="CT70" i="6"/>
  <c r="BS70" i="6"/>
  <c r="BW70" i="6"/>
  <c r="CA70" i="6"/>
  <c r="CE70" i="6"/>
  <c r="CI70" i="6"/>
  <c r="CM70" i="6"/>
  <c r="CQ70" i="6"/>
  <c r="BT70" i="6"/>
  <c r="BX70" i="6"/>
  <c r="CB70" i="6"/>
  <c r="CF70" i="6"/>
  <c r="CJ70" i="6"/>
  <c r="CN70" i="6"/>
  <c r="CR70" i="6"/>
  <c r="BQ66" i="6"/>
  <c r="BU66" i="6"/>
  <c r="BY66" i="6"/>
  <c r="CC66" i="6"/>
  <c r="CG66" i="6"/>
  <c r="CK66" i="6"/>
  <c r="CO66" i="6"/>
  <c r="CS66" i="6"/>
  <c r="BR66" i="6"/>
  <c r="BV66" i="6"/>
  <c r="BZ66" i="6"/>
  <c r="CD66" i="6"/>
  <c r="CH66" i="6"/>
  <c r="CL66" i="6"/>
  <c r="CP66" i="6"/>
  <c r="CT66" i="6"/>
  <c r="BS66" i="6"/>
  <c r="BW66" i="6"/>
  <c r="CA66" i="6"/>
  <c r="CE66" i="6"/>
  <c r="CI66" i="6"/>
  <c r="CM66" i="6"/>
  <c r="CQ66" i="6"/>
  <c r="BT66" i="6"/>
  <c r="BX66" i="6"/>
  <c r="CB66" i="6"/>
  <c r="CF66" i="6"/>
  <c r="CJ66" i="6"/>
  <c r="CN66" i="6"/>
  <c r="CR66" i="6"/>
  <c r="BQ62" i="6"/>
  <c r="BU62" i="6"/>
  <c r="BY62" i="6"/>
  <c r="CC62" i="6"/>
  <c r="CG62" i="6"/>
  <c r="CK62" i="6"/>
  <c r="CO62" i="6"/>
  <c r="CS62" i="6"/>
  <c r="BR62" i="6"/>
  <c r="BV62" i="6"/>
  <c r="BZ62" i="6"/>
  <c r="CD62" i="6"/>
  <c r="CH62" i="6"/>
  <c r="CL62" i="6"/>
  <c r="CP62" i="6"/>
  <c r="CT62" i="6"/>
  <c r="BS62" i="6"/>
  <c r="BW62" i="6"/>
  <c r="CA62" i="6"/>
  <c r="CE62" i="6"/>
  <c r="CI62" i="6"/>
  <c r="CM62" i="6"/>
  <c r="CQ62" i="6"/>
  <c r="BT62" i="6"/>
  <c r="BX62" i="6"/>
  <c r="CB62" i="6"/>
  <c r="CF62" i="6"/>
  <c r="CJ62" i="6"/>
  <c r="CN62" i="6"/>
  <c r="CR62" i="6"/>
  <c r="BQ58" i="6"/>
  <c r="BU58" i="6"/>
  <c r="BY58" i="6"/>
  <c r="CC58" i="6"/>
  <c r="CG58" i="6"/>
  <c r="CK58" i="6"/>
  <c r="CO58" i="6"/>
  <c r="CS58" i="6"/>
  <c r="BR58" i="6"/>
  <c r="BV58" i="6"/>
  <c r="BZ58" i="6"/>
  <c r="CD58" i="6"/>
  <c r="CH58" i="6"/>
  <c r="CL58" i="6"/>
  <c r="CP58" i="6"/>
  <c r="CT58" i="6"/>
  <c r="BS58" i="6"/>
  <c r="BW58" i="6"/>
  <c r="CA58" i="6"/>
  <c r="CE58" i="6"/>
  <c r="CI58" i="6"/>
  <c r="CM58" i="6"/>
  <c r="CQ58" i="6"/>
  <c r="BT58" i="6"/>
  <c r="BX58" i="6"/>
  <c r="CB58" i="6"/>
  <c r="CF58" i="6"/>
  <c r="CJ58" i="6"/>
  <c r="CN58" i="6"/>
  <c r="CR58" i="6"/>
  <c r="BQ54" i="6"/>
  <c r="BU54" i="6"/>
  <c r="BY54" i="6"/>
  <c r="CC54" i="6"/>
  <c r="CG54" i="6"/>
  <c r="CK54" i="6"/>
  <c r="CO54" i="6"/>
  <c r="CS54" i="6"/>
  <c r="BR54" i="6"/>
  <c r="BV54" i="6"/>
  <c r="BZ54" i="6"/>
  <c r="CD54" i="6"/>
  <c r="CH54" i="6"/>
  <c r="CL54" i="6"/>
  <c r="CP54" i="6"/>
  <c r="CT54" i="6"/>
  <c r="BS54" i="6"/>
  <c r="BW54" i="6"/>
  <c r="CA54" i="6"/>
  <c r="CE54" i="6"/>
  <c r="CI54" i="6"/>
  <c r="CM54" i="6"/>
  <c r="CQ54" i="6"/>
  <c r="BT54" i="6"/>
  <c r="BX54" i="6"/>
  <c r="CB54" i="6"/>
  <c r="CF54" i="6"/>
  <c r="CJ54" i="6"/>
  <c r="CN54" i="6"/>
  <c r="CR54" i="6"/>
  <c r="BT50" i="6"/>
  <c r="BX50" i="6"/>
  <c r="CB50" i="6"/>
  <c r="CF50" i="6"/>
  <c r="CJ50" i="6"/>
  <c r="CN50" i="6"/>
  <c r="CR50" i="6"/>
  <c r="BQ50" i="6"/>
  <c r="BU50" i="6"/>
  <c r="BY50" i="6"/>
  <c r="CC50" i="6"/>
  <c r="CG50" i="6"/>
  <c r="CK50" i="6"/>
  <c r="CO50" i="6"/>
  <c r="CS50" i="6"/>
  <c r="BR50" i="6"/>
  <c r="BV50" i="6"/>
  <c r="BZ50" i="6"/>
  <c r="CD50" i="6"/>
  <c r="CH50" i="6"/>
  <c r="CL50" i="6"/>
  <c r="CP50" i="6"/>
  <c r="CT50" i="6"/>
  <c r="BS50" i="6"/>
  <c r="BW50" i="6"/>
  <c r="CA50" i="6"/>
  <c r="CE50" i="6"/>
  <c r="CI50" i="6"/>
  <c r="CM50" i="6"/>
  <c r="CQ50" i="6"/>
  <c r="BT46" i="6"/>
  <c r="BX46" i="6"/>
  <c r="CB46" i="6"/>
  <c r="CF46" i="6"/>
  <c r="CJ46" i="6"/>
  <c r="CN46" i="6"/>
  <c r="CR46" i="6"/>
  <c r="BQ46" i="6"/>
  <c r="BU46" i="6"/>
  <c r="BY46" i="6"/>
  <c r="CC46" i="6"/>
  <c r="CG46" i="6"/>
  <c r="CK46" i="6"/>
  <c r="CO46" i="6"/>
  <c r="CS46" i="6"/>
  <c r="BR46" i="6"/>
  <c r="BV46" i="6"/>
  <c r="BZ46" i="6"/>
  <c r="CD46" i="6"/>
  <c r="CH46" i="6"/>
  <c r="CL46" i="6"/>
  <c r="CP46" i="6"/>
  <c r="CT46" i="6"/>
  <c r="BS46" i="6"/>
  <c r="BW46" i="6"/>
  <c r="CA46" i="6"/>
  <c r="CE46" i="6"/>
  <c r="CI46" i="6"/>
  <c r="CM46" i="6"/>
  <c r="CQ46" i="6"/>
  <c r="BT38" i="6"/>
  <c r="BX38" i="6"/>
  <c r="CB38" i="6"/>
  <c r="CF38" i="6"/>
  <c r="CJ38" i="6"/>
  <c r="CN38" i="6"/>
  <c r="CR38" i="6"/>
  <c r="BQ38" i="6"/>
  <c r="BU38" i="6"/>
  <c r="BY38" i="6"/>
  <c r="CC38" i="6"/>
  <c r="CG38" i="6"/>
  <c r="CK38" i="6"/>
  <c r="CO38" i="6"/>
  <c r="CS38" i="6"/>
  <c r="BR38" i="6"/>
  <c r="BV38" i="6"/>
  <c r="BZ38" i="6"/>
  <c r="CD38" i="6"/>
  <c r="CH38" i="6"/>
  <c r="CL38" i="6"/>
  <c r="CP38" i="6"/>
  <c r="CT38" i="6"/>
  <c r="BS38" i="6"/>
  <c r="BW38" i="6"/>
  <c r="CA38" i="6"/>
  <c r="CE38" i="6"/>
  <c r="CI38" i="6"/>
  <c r="CM38" i="6"/>
  <c r="CQ38" i="6"/>
  <c r="BT34" i="6"/>
  <c r="BX34" i="6"/>
  <c r="CB34" i="6"/>
  <c r="CF34" i="6"/>
  <c r="CJ34" i="6"/>
  <c r="CN34" i="6"/>
  <c r="CR34" i="6"/>
  <c r="BQ34" i="6"/>
  <c r="BU34" i="6"/>
  <c r="BY34" i="6"/>
  <c r="CC34" i="6"/>
  <c r="CG34" i="6"/>
  <c r="CK34" i="6"/>
  <c r="CO34" i="6"/>
  <c r="CS34" i="6"/>
  <c r="BR34" i="6"/>
  <c r="BV34" i="6"/>
  <c r="BZ34" i="6"/>
  <c r="CD34" i="6"/>
  <c r="CH34" i="6"/>
  <c r="CL34" i="6"/>
  <c r="CP34" i="6"/>
  <c r="CT34" i="6"/>
  <c r="BS34" i="6"/>
  <c r="BW34" i="6"/>
  <c r="CA34" i="6"/>
  <c r="CE34" i="6"/>
  <c r="CI34" i="6"/>
  <c r="CM34" i="6"/>
  <c r="CQ34" i="6"/>
  <c r="BT30" i="6"/>
  <c r="BX30" i="6"/>
  <c r="CB30" i="6"/>
  <c r="CF30" i="6"/>
  <c r="CJ30" i="6"/>
  <c r="CN30" i="6"/>
  <c r="CR30" i="6"/>
  <c r="BQ30" i="6"/>
  <c r="BU30" i="6"/>
  <c r="BY30" i="6"/>
  <c r="CC30" i="6"/>
  <c r="CG30" i="6"/>
  <c r="CK30" i="6"/>
  <c r="CO30" i="6"/>
  <c r="CS30" i="6"/>
  <c r="BR30" i="6"/>
  <c r="BV30" i="6"/>
  <c r="BZ30" i="6"/>
  <c r="CD30" i="6"/>
  <c r="CH30" i="6"/>
  <c r="CL30" i="6"/>
  <c r="CP30" i="6"/>
  <c r="CT30" i="6"/>
  <c r="BS30" i="6"/>
  <c r="BW30" i="6"/>
  <c r="CA30" i="6"/>
  <c r="CE30" i="6"/>
  <c r="CI30" i="6"/>
  <c r="CM30" i="6"/>
  <c r="CQ30" i="6"/>
  <c r="BT26" i="6"/>
  <c r="BX26" i="6"/>
  <c r="CB26" i="6"/>
  <c r="CF26" i="6"/>
  <c r="CJ26" i="6"/>
  <c r="CN26" i="6"/>
  <c r="CR26" i="6"/>
  <c r="BQ26" i="6"/>
  <c r="BU26" i="6"/>
  <c r="BY26" i="6"/>
  <c r="CC26" i="6"/>
  <c r="CG26" i="6"/>
  <c r="CK26" i="6"/>
  <c r="CO26" i="6"/>
  <c r="CS26" i="6"/>
  <c r="BR26" i="6"/>
  <c r="BV26" i="6"/>
  <c r="BZ26" i="6"/>
  <c r="CD26" i="6"/>
  <c r="CH26" i="6"/>
  <c r="CL26" i="6"/>
  <c r="CP26" i="6"/>
  <c r="CT26" i="6"/>
  <c r="BS26" i="6"/>
  <c r="BW26" i="6"/>
  <c r="CA26" i="6"/>
  <c r="CE26" i="6"/>
  <c r="CI26" i="6"/>
  <c r="CM26" i="6"/>
  <c r="CQ26" i="6"/>
  <c r="BT22" i="6"/>
  <c r="BX22" i="6"/>
  <c r="CB22" i="6"/>
  <c r="CF22" i="6"/>
  <c r="CJ22" i="6"/>
  <c r="CN22" i="6"/>
  <c r="CR22" i="6"/>
  <c r="BQ22" i="6"/>
  <c r="BU22" i="6"/>
  <c r="BY22" i="6"/>
  <c r="CC22" i="6"/>
  <c r="CG22" i="6"/>
  <c r="CK22" i="6"/>
  <c r="CO22" i="6"/>
  <c r="CS22" i="6"/>
  <c r="BR22" i="6"/>
  <c r="BV22" i="6"/>
  <c r="BZ22" i="6"/>
  <c r="CD22" i="6"/>
  <c r="CH22" i="6"/>
  <c r="CL22" i="6"/>
  <c r="CP22" i="6"/>
  <c r="CT22" i="6"/>
  <c r="BS22" i="6"/>
  <c r="BW22" i="6"/>
  <c r="CA22" i="6"/>
  <c r="CE22" i="6"/>
  <c r="CI22" i="6"/>
  <c r="CM22" i="6"/>
  <c r="CQ22" i="6"/>
  <c r="BT18" i="6"/>
  <c r="BX18" i="6"/>
  <c r="CB18" i="6"/>
  <c r="CF18" i="6"/>
  <c r="CJ18" i="6"/>
  <c r="CN18" i="6"/>
  <c r="CR18" i="6"/>
  <c r="BQ18" i="6"/>
  <c r="BU18" i="6"/>
  <c r="BY18" i="6"/>
  <c r="CC18" i="6"/>
  <c r="CG18" i="6"/>
  <c r="CK18" i="6"/>
  <c r="CO18" i="6"/>
  <c r="CS18" i="6"/>
  <c r="BR18" i="6"/>
  <c r="BV18" i="6"/>
  <c r="BZ18" i="6"/>
  <c r="CD18" i="6"/>
  <c r="CH18" i="6"/>
  <c r="CL18" i="6"/>
  <c r="CP18" i="6"/>
  <c r="CT18" i="6"/>
  <c r="BS18" i="6"/>
  <c r="BW18" i="6"/>
  <c r="CA18" i="6"/>
  <c r="CE18" i="6"/>
  <c r="CI18" i="6"/>
  <c r="CM18" i="6"/>
  <c r="CQ18" i="6"/>
  <c r="BT14" i="6"/>
  <c r="BX14" i="6"/>
  <c r="CB14" i="6"/>
  <c r="CF14" i="6"/>
  <c r="CJ14" i="6"/>
  <c r="CN14" i="6"/>
  <c r="CR14" i="6"/>
  <c r="BQ14" i="6"/>
  <c r="BU14" i="6"/>
  <c r="BY14" i="6"/>
  <c r="CC14" i="6"/>
  <c r="CG14" i="6"/>
  <c r="CK14" i="6"/>
  <c r="CO14" i="6"/>
  <c r="CS14" i="6"/>
  <c r="BR14" i="6"/>
  <c r="BV14" i="6"/>
  <c r="BZ14" i="6"/>
  <c r="CD14" i="6"/>
  <c r="CH14" i="6"/>
  <c r="CL14" i="6"/>
  <c r="CP14" i="6"/>
  <c r="CT14" i="6"/>
  <c r="BS14" i="6"/>
  <c r="BW14" i="6"/>
  <c r="CA14" i="6"/>
  <c r="CE14" i="6"/>
  <c r="CI14" i="6"/>
  <c r="CM14" i="6"/>
  <c r="CQ14" i="6"/>
  <c r="BT10" i="6"/>
  <c r="BX10" i="6"/>
  <c r="CB10" i="6"/>
  <c r="CF10" i="6"/>
  <c r="CJ10" i="6"/>
  <c r="CN10" i="6"/>
  <c r="CR10" i="6"/>
  <c r="BQ10" i="6"/>
  <c r="BU10" i="6"/>
  <c r="BY10" i="6"/>
  <c r="CC10" i="6"/>
  <c r="CG10" i="6"/>
  <c r="CK10" i="6"/>
  <c r="CO10" i="6"/>
  <c r="CS10" i="6"/>
  <c r="BR10" i="6"/>
  <c r="BV10" i="6"/>
  <c r="BZ10" i="6"/>
  <c r="CD10" i="6"/>
  <c r="CH10" i="6"/>
  <c r="CL10" i="6"/>
  <c r="CP10" i="6"/>
  <c r="CT10" i="6"/>
  <c r="BS10" i="6"/>
  <c r="BW10" i="6"/>
  <c r="CA10" i="6"/>
  <c r="CE10" i="6"/>
  <c r="CI10" i="6"/>
  <c r="CM10" i="6"/>
  <c r="CQ10" i="6"/>
  <c r="BS43" i="6"/>
  <c r="BW43" i="6"/>
  <c r="CA43" i="6"/>
  <c r="CE43" i="6"/>
  <c r="CI43" i="6"/>
  <c r="CM43" i="6"/>
  <c r="CQ43" i="6"/>
  <c r="BT43" i="6"/>
  <c r="BX43" i="6"/>
  <c r="CB43" i="6"/>
  <c r="CF43" i="6"/>
  <c r="CJ43" i="6"/>
  <c r="CN43" i="6"/>
  <c r="CR43" i="6"/>
  <c r="BQ43" i="6"/>
  <c r="BU43" i="6"/>
  <c r="BY43" i="6"/>
  <c r="CC43" i="6"/>
  <c r="CG43" i="6"/>
  <c r="CK43" i="6"/>
  <c r="CO43" i="6"/>
  <c r="CS43" i="6"/>
  <c r="BR43" i="6"/>
  <c r="BV43" i="6"/>
  <c r="BZ43" i="6"/>
  <c r="CD43" i="6"/>
  <c r="CH43" i="6"/>
  <c r="CL43" i="6"/>
  <c r="CP43" i="6"/>
  <c r="CT43" i="6"/>
  <c r="BS42" i="6"/>
  <c r="BW42" i="6"/>
  <c r="CA42" i="6"/>
  <c r="CE42" i="6"/>
  <c r="CI42" i="6"/>
  <c r="CM42" i="6"/>
  <c r="CQ42" i="6"/>
  <c r="BT42" i="6"/>
  <c r="BX42" i="6"/>
  <c r="CB42" i="6"/>
  <c r="CF42" i="6"/>
  <c r="CJ42" i="6"/>
  <c r="CN42" i="6"/>
  <c r="CR42" i="6"/>
  <c r="BQ42" i="6"/>
  <c r="BU42" i="6"/>
  <c r="BY42" i="6"/>
  <c r="CC42" i="6"/>
  <c r="CG42" i="6"/>
  <c r="CK42" i="6"/>
  <c r="CO42" i="6"/>
  <c r="CS42" i="6"/>
  <c r="BR42" i="6"/>
  <c r="BV42" i="6"/>
  <c r="BZ42" i="6"/>
  <c r="CD42" i="6"/>
  <c r="CH42" i="6"/>
  <c r="CL42" i="6"/>
  <c r="CP42" i="6"/>
  <c r="CT42" i="6"/>
  <c r="BQ6" i="6"/>
  <c r="BU6" i="6"/>
  <c r="BY6" i="6"/>
  <c r="CC6" i="6"/>
  <c r="CG6" i="6"/>
  <c r="CK6" i="6"/>
  <c r="CO6" i="6"/>
  <c r="CS6" i="6"/>
  <c r="BR6" i="6"/>
  <c r="BV6" i="6"/>
  <c r="BZ6" i="6"/>
  <c r="CD6" i="6"/>
  <c r="CH6" i="6"/>
  <c r="CL6" i="6"/>
  <c r="CP6" i="6"/>
  <c r="CT6" i="6"/>
  <c r="BS6" i="6"/>
  <c r="BW6" i="6"/>
  <c r="CA6" i="6"/>
  <c r="CE6" i="6"/>
  <c r="CI6" i="6"/>
  <c r="CM6" i="6"/>
  <c r="CQ6" i="6"/>
  <c r="BT6" i="6"/>
  <c r="BX6" i="6"/>
  <c r="CB6" i="6"/>
  <c r="CF6" i="6"/>
  <c r="CJ6" i="6"/>
  <c r="CN6" i="6"/>
  <c r="CR6" i="6"/>
  <c r="BQ5" i="6"/>
  <c r="BU5" i="6"/>
  <c r="BY5" i="6"/>
  <c r="CC5" i="6"/>
  <c r="CG5" i="6"/>
  <c r="CK5" i="6"/>
  <c r="CO5" i="6"/>
  <c r="CS5" i="6"/>
  <c r="CM5" i="6"/>
  <c r="BX5" i="6"/>
  <c r="CJ5" i="6"/>
  <c r="BR5" i="6"/>
  <c r="BV5" i="6"/>
  <c r="BZ5" i="6"/>
  <c r="CD5" i="6"/>
  <c r="CH5" i="6"/>
  <c r="CL5" i="6"/>
  <c r="CP5" i="6"/>
  <c r="CT5" i="6"/>
  <c r="BS5" i="6"/>
  <c r="BW5" i="6"/>
  <c r="CA5" i="6"/>
  <c r="CE5" i="6"/>
  <c r="CI5" i="6"/>
  <c r="CQ5" i="6"/>
  <c r="BT5" i="6"/>
  <c r="CB5" i="6"/>
  <c r="CF5" i="6"/>
  <c r="CN5" i="6"/>
  <c r="CR5" i="6"/>
  <c r="AW64" i="3"/>
  <c r="AW65" i="3"/>
  <c r="AW66" i="3"/>
  <c r="AW67" i="3"/>
  <c r="AW68" i="3"/>
  <c r="AW69" i="3"/>
  <c r="AW70" i="3"/>
  <c r="AW71" i="3"/>
  <c r="AW72" i="3"/>
  <c r="AW73" i="3"/>
  <c r="AW74" i="3"/>
  <c r="AW75" i="3"/>
  <c r="AW76" i="3"/>
  <c r="AW77" i="3"/>
  <c r="AW78" i="3"/>
  <c r="AW79" i="3"/>
  <c r="AW80" i="3"/>
  <c r="AW81" i="3"/>
  <c r="AW82" i="3"/>
  <c r="AW83" i="3"/>
  <c r="AW84" i="3"/>
  <c r="AW85" i="3"/>
  <c r="AW86" i="3"/>
  <c r="AW87" i="3"/>
  <c r="AW88" i="3"/>
  <c r="AW89" i="3"/>
  <c r="AW90" i="3"/>
  <c r="AW91" i="3"/>
  <c r="AW92" i="3"/>
  <c r="AW93" i="3"/>
  <c r="AW94" i="3"/>
  <c r="AW95" i="3"/>
  <c r="AW96" i="3"/>
  <c r="AW97" i="3"/>
  <c r="AW98" i="3"/>
  <c r="AW99" i="3"/>
  <c r="AW100" i="3"/>
  <c r="AW101" i="3"/>
  <c r="AW102" i="3"/>
  <c r="AW103" i="3"/>
  <c r="AW104" i="3"/>
  <c r="AW105" i="3"/>
  <c r="AW106" i="3"/>
  <c r="AW107" i="3"/>
  <c r="AW108" i="3"/>
  <c r="AW109" i="3"/>
  <c r="AW110" i="3"/>
  <c r="AW111" i="3"/>
  <c r="AW112" i="3"/>
  <c r="AW113" i="3"/>
  <c r="AW114" i="3"/>
  <c r="AW115" i="3"/>
  <c r="AW116" i="3"/>
  <c r="AW117" i="3"/>
  <c r="AW118" i="3"/>
  <c r="AW119" i="3"/>
  <c r="AW120" i="3"/>
  <c r="AW121" i="3"/>
  <c r="AW122" i="3"/>
  <c r="AW123" i="3"/>
  <c r="AW124" i="3"/>
  <c r="AW125" i="3"/>
  <c r="AW126" i="3"/>
  <c r="AW127" i="3"/>
  <c r="AW128" i="3"/>
  <c r="AW129" i="3"/>
  <c r="AW130" i="3"/>
  <c r="AW131" i="3"/>
  <c r="AW132" i="3"/>
  <c r="AW133" i="3"/>
  <c r="AW134" i="3"/>
  <c r="AW135" i="3"/>
  <c r="AW136" i="3"/>
  <c r="AW137" i="3"/>
  <c r="AW138" i="3"/>
  <c r="AW139" i="3"/>
  <c r="AW140" i="3"/>
  <c r="AW141" i="3"/>
  <c r="AW142" i="3"/>
  <c r="AW143" i="3"/>
  <c r="AW144" i="3"/>
  <c r="AW145" i="3"/>
  <c r="AW146" i="3"/>
  <c r="AW147" i="3"/>
  <c r="AW148" i="3"/>
  <c r="AW149" i="3"/>
  <c r="AW150" i="3"/>
  <c r="AW151" i="3"/>
  <c r="AW152" i="3"/>
  <c r="AW153" i="3"/>
  <c r="AW154" i="3"/>
  <c r="AW155" i="3"/>
  <c r="AW156" i="3"/>
  <c r="AW157" i="3"/>
  <c r="AW158" i="3"/>
  <c r="AW159" i="3"/>
  <c r="AW160" i="3"/>
  <c r="AW161" i="3"/>
  <c r="AW162" i="3"/>
  <c r="AW163" i="3"/>
  <c r="AW164" i="3"/>
  <c r="AW165" i="3"/>
  <c r="AW166" i="3"/>
  <c r="AW167" i="3"/>
  <c r="AW168" i="3"/>
  <c r="AW169" i="3"/>
  <c r="AW170" i="3"/>
  <c r="AW171" i="3"/>
  <c r="AW172" i="3"/>
  <c r="AW173" i="3"/>
  <c r="AW174" i="3"/>
  <c r="AW175" i="3"/>
  <c r="AW176" i="3"/>
  <c r="AW177" i="3"/>
  <c r="AW178" i="3"/>
  <c r="AW179" i="3"/>
  <c r="AW180" i="3"/>
  <c r="AW181" i="3"/>
  <c r="AW182" i="3"/>
  <c r="AW183" i="3"/>
  <c r="AW184" i="3"/>
  <c r="AW185" i="3"/>
  <c r="AW186" i="3"/>
  <c r="AW187" i="3"/>
  <c r="AW188" i="3"/>
  <c r="AW189" i="3"/>
  <c r="AW190" i="3"/>
  <c r="AW191" i="3"/>
  <c r="AW192" i="3"/>
  <c r="AW193" i="3"/>
  <c r="AW194" i="3"/>
  <c r="AW195" i="3"/>
  <c r="AW196" i="3"/>
  <c r="AW197" i="3"/>
  <c r="AW198" i="3"/>
  <c r="AW199" i="3"/>
  <c r="AW200" i="3"/>
  <c r="AW201" i="3"/>
  <c r="AW202" i="3"/>
  <c r="AW203" i="3"/>
  <c r="AW204" i="3"/>
  <c r="AW205" i="3"/>
  <c r="AW206" i="3"/>
  <c r="AW207" i="3"/>
  <c r="AW208" i="3"/>
  <c r="AW209" i="3"/>
  <c r="AW210" i="3"/>
  <c r="AW211" i="3"/>
  <c r="AW212" i="3"/>
  <c r="AW213" i="3"/>
  <c r="AW214" i="3"/>
  <c r="AW215" i="3"/>
  <c r="AW216" i="3"/>
  <c r="AW217" i="3"/>
  <c r="AW218" i="3"/>
  <c r="AW219" i="3"/>
  <c r="AW220" i="3"/>
  <c r="AW221" i="3"/>
  <c r="AW222" i="3"/>
  <c r="AW223" i="3"/>
  <c r="AW224" i="3"/>
  <c r="AW225" i="3"/>
  <c r="AW226" i="3"/>
  <c r="AW227" i="3"/>
  <c r="AW228" i="3"/>
  <c r="AW229" i="3"/>
  <c r="AW230" i="3"/>
  <c r="AW231" i="3"/>
  <c r="AW232" i="3"/>
  <c r="AW233" i="3"/>
  <c r="AW234" i="3"/>
  <c r="AW235" i="3"/>
  <c r="AW236" i="3"/>
  <c r="AW237" i="3"/>
  <c r="AW238" i="3"/>
  <c r="AW239" i="3"/>
  <c r="AW240" i="3"/>
  <c r="AW241" i="3"/>
  <c r="AW242" i="3"/>
  <c r="AW243" i="3"/>
  <c r="AW244" i="3"/>
  <c r="AW245" i="3"/>
  <c r="AW246" i="3"/>
  <c r="AW247" i="3"/>
  <c r="AW248" i="3"/>
  <c r="AW249" i="3"/>
  <c r="AW250" i="3"/>
  <c r="AW251" i="3"/>
  <c r="AW252" i="3"/>
  <c r="AW253" i="3"/>
  <c r="AW254" i="3"/>
  <c r="AW255" i="3"/>
  <c r="AW256" i="3"/>
  <c r="AW257" i="3"/>
  <c r="AW258" i="3"/>
  <c r="AW259" i="3"/>
  <c r="AW260" i="3"/>
  <c r="AW261" i="3"/>
  <c r="AW262" i="3"/>
  <c r="AW263" i="3"/>
  <c r="AW264" i="3"/>
  <c r="AW265" i="3"/>
  <c r="AW266" i="3"/>
  <c r="AW267" i="3"/>
  <c r="AW268" i="3"/>
  <c r="AW269" i="3"/>
  <c r="AW270" i="3"/>
  <c r="AW271" i="3"/>
  <c r="AW272" i="3"/>
  <c r="AR64" i="3"/>
  <c r="AR65" i="3"/>
  <c r="AR66" i="3"/>
  <c r="AR67" i="3"/>
  <c r="AR68" i="3"/>
  <c r="AR69" i="3"/>
  <c r="AR70" i="3"/>
  <c r="AR71" i="3"/>
  <c r="AR72" i="3"/>
  <c r="AR73" i="3"/>
  <c r="AR74" i="3"/>
  <c r="AR75" i="3"/>
  <c r="AR76" i="3"/>
  <c r="AR77" i="3"/>
  <c r="AR78" i="3"/>
  <c r="AR79" i="3"/>
  <c r="AR80" i="3"/>
  <c r="AR81" i="3"/>
  <c r="AR82" i="3"/>
  <c r="AR83" i="3"/>
  <c r="AR84" i="3"/>
  <c r="AR85" i="3"/>
  <c r="AR86" i="3"/>
  <c r="AR87" i="3"/>
  <c r="AR88" i="3"/>
  <c r="AR89" i="3"/>
  <c r="AR90" i="3"/>
  <c r="AR91" i="3"/>
  <c r="AR92" i="3"/>
  <c r="AR93" i="3"/>
  <c r="AR94" i="3"/>
  <c r="AR95" i="3"/>
  <c r="AR96" i="3"/>
  <c r="AR97" i="3"/>
  <c r="AR98" i="3"/>
  <c r="AR99" i="3"/>
  <c r="AR100" i="3"/>
  <c r="AR101" i="3"/>
  <c r="AR102" i="3"/>
  <c r="AR103" i="3"/>
  <c r="AR104" i="3"/>
  <c r="AR105" i="3"/>
  <c r="AR106" i="3"/>
  <c r="AR107" i="3"/>
  <c r="AR108" i="3"/>
  <c r="AR109" i="3"/>
  <c r="AR110" i="3"/>
  <c r="AR111" i="3"/>
  <c r="AR112" i="3"/>
  <c r="AR113" i="3"/>
  <c r="AR114" i="3"/>
  <c r="AR115" i="3"/>
  <c r="AR116" i="3"/>
  <c r="AR117" i="3"/>
  <c r="AR118" i="3"/>
  <c r="AR119" i="3"/>
  <c r="AR120" i="3"/>
  <c r="AR121" i="3"/>
  <c r="AR122" i="3"/>
  <c r="AR123" i="3"/>
  <c r="AR124" i="3"/>
  <c r="AR125" i="3"/>
  <c r="AR126" i="3"/>
  <c r="AR127" i="3"/>
  <c r="AR128" i="3"/>
  <c r="AR129" i="3"/>
  <c r="AR130" i="3"/>
  <c r="AR131" i="3"/>
  <c r="AR132" i="3"/>
  <c r="AR133" i="3"/>
  <c r="AR134" i="3"/>
  <c r="AR135" i="3"/>
  <c r="AR136" i="3"/>
  <c r="AR137" i="3"/>
  <c r="AR138" i="3"/>
  <c r="AR139" i="3"/>
  <c r="AR140" i="3"/>
  <c r="AR141" i="3"/>
  <c r="AR142" i="3"/>
  <c r="AR143" i="3"/>
  <c r="AR144" i="3"/>
  <c r="AR145" i="3"/>
  <c r="AR146" i="3"/>
  <c r="AR147" i="3"/>
  <c r="AR148" i="3"/>
  <c r="AR149" i="3"/>
  <c r="AR150" i="3"/>
  <c r="AR151" i="3"/>
  <c r="AR152" i="3"/>
  <c r="AR153" i="3"/>
  <c r="AR154" i="3"/>
  <c r="AR155" i="3"/>
  <c r="AR156" i="3"/>
  <c r="AR157" i="3"/>
  <c r="AR158" i="3"/>
  <c r="AR159" i="3"/>
  <c r="AR160" i="3"/>
  <c r="AR161" i="3"/>
  <c r="AR162" i="3"/>
  <c r="AR163" i="3"/>
  <c r="AR164" i="3"/>
  <c r="AR165" i="3"/>
  <c r="AR166" i="3"/>
  <c r="AR167" i="3"/>
  <c r="AR168" i="3"/>
  <c r="AR169" i="3"/>
  <c r="AR170" i="3"/>
  <c r="AR171" i="3"/>
  <c r="AR172" i="3"/>
  <c r="AR173" i="3"/>
  <c r="AR174" i="3"/>
  <c r="AR175" i="3"/>
  <c r="AR176" i="3"/>
  <c r="AR177" i="3"/>
  <c r="AR178" i="3"/>
  <c r="AR179" i="3"/>
  <c r="AR180" i="3"/>
  <c r="AR181" i="3"/>
  <c r="AR182" i="3"/>
  <c r="AR183" i="3"/>
  <c r="AR184" i="3"/>
  <c r="AR185" i="3"/>
  <c r="AR186" i="3"/>
  <c r="AR187" i="3"/>
  <c r="AR188" i="3"/>
  <c r="AR189" i="3"/>
  <c r="AR190" i="3"/>
  <c r="AR191" i="3"/>
  <c r="AR192" i="3"/>
  <c r="AR193" i="3"/>
  <c r="AR194" i="3"/>
  <c r="AR195" i="3"/>
  <c r="AR196" i="3"/>
  <c r="AR197" i="3"/>
  <c r="AR198" i="3"/>
  <c r="AR199" i="3"/>
  <c r="AR200" i="3"/>
  <c r="AR201" i="3"/>
  <c r="AR202" i="3"/>
  <c r="AR203" i="3"/>
  <c r="AR204" i="3"/>
  <c r="AR205" i="3"/>
  <c r="AR206" i="3"/>
  <c r="AR207" i="3"/>
  <c r="AR208" i="3"/>
  <c r="AR209" i="3"/>
  <c r="AR210" i="3"/>
  <c r="AR211" i="3"/>
  <c r="AR212" i="3"/>
  <c r="AR213" i="3"/>
  <c r="AR214" i="3"/>
  <c r="AR215" i="3"/>
  <c r="AR216" i="3"/>
  <c r="AR217" i="3"/>
  <c r="AR218" i="3"/>
  <c r="AR219" i="3"/>
  <c r="AR220" i="3"/>
  <c r="AR221" i="3"/>
  <c r="AR222" i="3"/>
  <c r="AR223" i="3"/>
  <c r="AR224" i="3"/>
  <c r="AR225" i="3"/>
  <c r="AR226" i="3"/>
  <c r="AR227" i="3"/>
  <c r="AR228" i="3"/>
  <c r="AR229" i="3"/>
  <c r="AR230" i="3"/>
  <c r="AR231" i="3"/>
  <c r="AR232" i="3"/>
  <c r="AR233" i="3"/>
  <c r="AR234" i="3"/>
  <c r="AR235" i="3"/>
  <c r="AR236" i="3"/>
  <c r="AR237" i="3"/>
  <c r="AR238" i="3"/>
  <c r="AR239" i="3"/>
  <c r="AR240" i="3"/>
  <c r="AR241" i="3"/>
  <c r="AR242" i="3"/>
  <c r="AR243" i="3"/>
  <c r="AR244" i="3"/>
  <c r="AR245" i="3"/>
  <c r="AR246" i="3"/>
  <c r="AR247" i="3"/>
  <c r="AR248" i="3"/>
  <c r="AR249" i="3"/>
  <c r="AR250" i="3"/>
  <c r="AR251" i="3"/>
  <c r="AR252" i="3"/>
  <c r="AR253" i="3"/>
  <c r="AR254" i="3"/>
  <c r="AR255" i="3"/>
  <c r="AR256" i="3"/>
  <c r="AR257" i="3"/>
  <c r="AR258" i="3"/>
  <c r="AR259" i="3"/>
  <c r="AR260" i="3"/>
  <c r="AR261" i="3"/>
  <c r="AR262" i="3"/>
  <c r="AR263" i="3"/>
  <c r="AR264" i="3"/>
  <c r="AR265" i="3"/>
  <c r="AR266" i="3"/>
  <c r="AR267" i="3"/>
  <c r="AR268" i="3"/>
  <c r="AR269" i="3"/>
  <c r="AR270" i="3"/>
  <c r="AR271" i="3"/>
  <c r="AR272" i="3"/>
  <c r="AM64" i="3"/>
  <c r="AM65" i="3"/>
  <c r="AM66" i="3"/>
  <c r="AM67" i="3"/>
  <c r="AM68" i="3"/>
  <c r="AM69" i="3"/>
  <c r="AM70" i="3"/>
  <c r="AM71" i="3"/>
  <c r="AM72" i="3"/>
  <c r="AM73" i="3"/>
  <c r="AM74" i="3"/>
  <c r="AM75" i="3"/>
  <c r="AM76" i="3"/>
  <c r="AM77" i="3"/>
  <c r="AM78" i="3"/>
  <c r="AM79" i="3"/>
  <c r="AM80" i="3"/>
  <c r="AM81" i="3"/>
  <c r="AM82" i="3"/>
  <c r="AM83" i="3"/>
  <c r="AM84" i="3"/>
  <c r="AM85" i="3"/>
  <c r="AM86" i="3"/>
  <c r="AM87" i="3"/>
  <c r="AM88" i="3"/>
  <c r="AM89" i="3"/>
  <c r="AM90" i="3"/>
  <c r="AM91" i="3"/>
  <c r="AM92" i="3"/>
  <c r="AM93" i="3"/>
  <c r="AM94" i="3"/>
  <c r="AM95" i="3"/>
  <c r="AM96" i="3"/>
  <c r="AM97" i="3"/>
  <c r="AM98" i="3"/>
  <c r="AM99" i="3"/>
  <c r="AM100" i="3"/>
  <c r="AM101" i="3"/>
  <c r="AM102" i="3"/>
  <c r="AM103" i="3"/>
  <c r="AM104" i="3"/>
  <c r="AM105" i="3"/>
  <c r="AM106" i="3"/>
  <c r="AM107" i="3"/>
  <c r="AM108" i="3"/>
  <c r="AM109" i="3"/>
  <c r="AM110" i="3"/>
  <c r="AM111" i="3"/>
  <c r="AM112" i="3"/>
  <c r="AM113" i="3"/>
  <c r="AM114" i="3"/>
  <c r="AM115" i="3"/>
  <c r="AM116" i="3"/>
  <c r="AM117" i="3"/>
  <c r="AM118" i="3"/>
  <c r="AM119" i="3"/>
  <c r="AM120" i="3"/>
  <c r="AM121" i="3"/>
  <c r="AM122" i="3"/>
  <c r="AM123" i="3"/>
  <c r="AM124" i="3"/>
  <c r="AM125" i="3"/>
  <c r="AM126" i="3"/>
  <c r="AM127" i="3"/>
  <c r="AM128" i="3"/>
  <c r="AM129" i="3"/>
  <c r="AM130" i="3"/>
  <c r="AM131" i="3"/>
  <c r="AM132" i="3"/>
  <c r="AM133" i="3"/>
  <c r="AM134" i="3"/>
  <c r="AM135" i="3"/>
  <c r="AM136" i="3"/>
  <c r="AM137" i="3"/>
  <c r="AM138" i="3"/>
  <c r="AM139" i="3"/>
  <c r="AM140" i="3"/>
  <c r="AM141" i="3"/>
  <c r="AM142" i="3"/>
  <c r="AM143" i="3"/>
  <c r="AM144" i="3"/>
  <c r="AM145" i="3"/>
  <c r="AM146" i="3"/>
  <c r="AM147" i="3"/>
  <c r="AM148" i="3"/>
  <c r="AM149" i="3"/>
  <c r="AM150" i="3"/>
  <c r="AM151" i="3"/>
  <c r="AM152" i="3"/>
  <c r="AM153" i="3"/>
  <c r="AM154" i="3"/>
  <c r="AM155" i="3"/>
  <c r="AM156" i="3"/>
  <c r="AM157" i="3"/>
  <c r="AM158" i="3"/>
  <c r="AM159" i="3"/>
  <c r="AM160" i="3"/>
  <c r="AM161" i="3"/>
  <c r="AM162" i="3"/>
  <c r="AM163" i="3"/>
  <c r="AM164" i="3"/>
  <c r="AM165" i="3"/>
  <c r="AM166" i="3"/>
  <c r="AM167" i="3"/>
  <c r="AM168" i="3"/>
  <c r="AM169" i="3"/>
  <c r="AM170" i="3"/>
  <c r="AM171" i="3"/>
  <c r="AM172" i="3"/>
  <c r="AM173" i="3"/>
  <c r="AM174" i="3"/>
  <c r="AM175" i="3"/>
  <c r="AM176" i="3"/>
  <c r="AM177" i="3"/>
  <c r="AM178" i="3"/>
  <c r="AM179" i="3"/>
  <c r="AM180" i="3"/>
  <c r="AM181" i="3"/>
  <c r="AM182" i="3"/>
  <c r="AM183" i="3"/>
  <c r="AM184" i="3"/>
  <c r="AM185" i="3"/>
  <c r="AM186" i="3"/>
  <c r="AM187" i="3"/>
  <c r="AM188" i="3"/>
  <c r="AM189" i="3"/>
  <c r="AM190" i="3"/>
  <c r="AM191" i="3"/>
  <c r="AM192" i="3"/>
  <c r="AM193" i="3"/>
  <c r="AM194" i="3"/>
  <c r="AM195" i="3"/>
  <c r="AM196" i="3"/>
  <c r="AM197" i="3"/>
  <c r="AM198" i="3"/>
  <c r="AM199" i="3"/>
  <c r="AM200" i="3"/>
  <c r="AM201" i="3"/>
  <c r="AM202" i="3"/>
  <c r="AM203" i="3"/>
  <c r="AM204" i="3"/>
  <c r="AM205" i="3"/>
  <c r="AM206" i="3"/>
  <c r="AM207" i="3"/>
  <c r="AM208" i="3"/>
  <c r="AM209" i="3"/>
  <c r="AM210" i="3"/>
  <c r="AM211" i="3"/>
  <c r="AM212" i="3"/>
  <c r="AM213" i="3"/>
  <c r="AM214" i="3"/>
  <c r="AM215" i="3"/>
  <c r="AM216" i="3"/>
  <c r="AM217" i="3"/>
  <c r="AM218" i="3"/>
  <c r="AM219" i="3"/>
  <c r="AM220" i="3"/>
  <c r="AM221" i="3"/>
  <c r="AM222" i="3"/>
  <c r="AM223" i="3"/>
  <c r="AM224" i="3"/>
  <c r="AM225" i="3"/>
  <c r="AM226" i="3"/>
  <c r="AM227" i="3"/>
  <c r="AM228" i="3"/>
  <c r="AM229" i="3"/>
  <c r="AM230" i="3"/>
  <c r="AM231" i="3"/>
  <c r="AM232" i="3"/>
  <c r="AM233" i="3"/>
  <c r="AM234" i="3"/>
  <c r="AM235" i="3"/>
  <c r="AM236" i="3"/>
  <c r="AM237" i="3"/>
  <c r="AM238" i="3"/>
  <c r="AM239" i="3"/>
  <c r="AM240" i="3"/>
  <c r="AM241" i="3"/>
  <c r="AM242" i="3"/>
  <c r="AM243" i="3"/>
  <c r="AM244" i="3"/>
  <c r="AM245" i="3"/>
  <c r="AM246" i="3"/>
  <c r="AM247" i="3"/>
  <c r="AM248" i="3"/>
  <c r="AM249" i="3"/>
  <c r="AM250" i="3"/>
  <c r="AM251" i="3"/>
  <c r="AM252" i="3"/>
  <c r="AM253" i="3"/>
  <c r="AM254" i="3"/>
  <c r="AM255" i="3"/>
  <c r="AM256" i="3"/>
  <c r="AM257" i="3"/>
  <c r="AM258" i="3"/>
  <c r="AM259" i="3"/>
  <c r="AM260" i="3"/>
  <c r="AM261" i="3"/>
  <c r="AM262" i="3"/>
  <c r="AM263" i="3"/>
  <c r="AM264" i="3"/>
  <c r="AM265" i="3"/>
  <c r="AM266" i="3"/>
  <c r="AM267" i="3"/>
  <c r="AM268" i="3"/>
  <c r="AM269" i="3"/>
  <c r="AM270" i="3"/>
  <c r="AM271" i="3"/>
  <c r="AM272" i="3"/>
  <c r="AH64" i="3"/>
  <c r="AH65" i="3"/>
  <c r="AH66" i="3"/>
  <c r="AH67" i="3"/>
  <c r="AH68" i="3"/>
  <c r="AH69" i="3"/>
  <c r="AH70" i="3"/>
  <c r="AH71" i="3"/>
  <c r="AH72" i="3"/>
  <c r="AH73" i="3"/>
  <c r="AH74" i="3"/>
  <c r="AH75" i="3"/>
  <c r="AH76" i="3"/>
  <c r="AH77" i="3"/>
  <c r="AH78" i="3"/>
  <c r="AH79" i="3"/>
  <c r="AH80" i="3"/>
  <c r="AH81" i="3"/>
  <c r="AH82" i="3"/>
  <c r="AH83" i="3"/>
  <c r="AH84" i="3"/>
  <c r="AH85" i="3"/>
  <c r="AH86" i="3"/>
  <c r="AH87" i="3"/>
  <c r="AH88" i="3"/>
  <c r="AH89" i="3"/>
  <c r="AH90" i="3"/>
  <c r="AH91" i="3"/>
  <c r="AH92" i="3"/>
  <c r="AH93" i="3"/>
  <c r="AH94" i="3"/>
  <c r="AH95" i="3"/>
  <c r="AH96" i="3"/>
  <c r="AH97" i="3"/>
  <c r="AH98" i="3"/>
  <c r="AH99" i="3"/>
  <c r="AH100" i="3"/>
  <c r="AH101" i="3"/>
  <c r="AH102" i="3"/>
  <c r="AH103" i="3"/>
  <c r="AH104" i="3"/>
  <c r="AH105" i="3"/>
  <c r="AH106" i="3"/>
  <c r="AH107" i="3"/>
  <c r="AH108" i="3"/>
  <c r="AH109" i="3"/>
  <c r="AH110" i="3"/>
  <c r="AH111" i="3"/>
  <c r="AH112" i="3"/>
  <c r="AH113" i="3"/>
  <c r="AH114" i="3"/>
  <c r="AH115" i="3"/>
  <c r="AH116" i="3"/>
  <c r="AH117" i="3"/>
  <c r="AH118" i="3"/>
  <c r="AH119" i="3"/>
  <c r="AH120" i="3"/>
  <c r="AH121" i="3"/>
  <c r="AH122" i="3"/>
  <c r="AH123" i="3"/>
  <c r="AH124" i="3"/>
  <c r="AH125" i="3"/>
  <c r="AH126" i="3"/>
  <c r="AH127" i="3"/>
  <c r="AH128" i="3"/>
  <c r="AH129" i="3"/>
  <c r="AH130" i="3"/>
  <c r="AH131" i="3"/>
  <c r="AH132" i="3"/>
  <c r="AH133" i="3"/>
  <c r="AH134" i="3"/>
  <c r="AH135" i="3"/>
  <c r="AH136" i="3"/>
  <c r="AH137" i="3"/>
  <c r="AH138" i="3"/>
  <c r="AH139" i="3"/>
  <c r="AH140" i="3"/>
  <c r="AH141" i="3"/>
  <c r="AH142" i="3"/>
  <c r="AH143" i="3"/>
  <c r="AH144" i="3"/>
  <c r="AH145" i="3"/>
  <c r="AH146" i="3"/>
  <c r="AH147" i="3"/>
  <c r="AH148" i="3"/>
  <c r="AH149" i="3"/>
  <c r="AH150" i="3"/>
  <c r="AH151" i="3"/>
  <c r="AH152" i="3"/>
  <c r="AH153" i="3"/>
  <c r="AH154" i="3"/>
  <c r="AH155" i="3"/>
  <c r="AH156" i="3"/>
  <c r="AH157" i="3"/>
  <c r="AH158" i="3"/>
  <c r="AH159" i="3"/>
  <c r="AH160" i="3"/>
  <c r="AH161" i="3"/>
  <c r="AH162" i="3"/>
  <c r="AH163" i="3"/>
  <c r="AH164" i="3"/>
  <c r="AH165" i="3"/>
  <c r="AH166" i="3"/>
  <c r="AH167" i="3"/>
  <c r="AH168" i="3"/>
  <c r="AH169" i="3"/>
  <c r="AH170" i="3"/>
  <c r="AH171" i="3"/>
  <c r="AH172" i="3"/>
  <c r="AH173" i="3"/>
  <c r="AH174" i="3"/>
  <c r="AH175" i="3"/>
  <c r="AH176" i="3"/>
  <c r="AH177" i="3"/>
  <c r="AH178" i="3"/>
  <c r="AH179" i="3"/>
  <c r="AH180" i="3"/>
  <c r="AH181" i="3"/>
  <c r="AH182" i="3"/>
  <c r="AH183" i="3"/>
  <c r="AH184" i="3"/>
  <c r="AH185" i="3"/>
  <c r="AH186" i="3"/>
  <c r="AH187" i="3"/>
  <c r="AH188" i="3"/>
  <c r="AH189" i="3"/>
  <c r="AH190" i="3"/>
  <c r="AH191" i="3"/>
  <c r="AH192" i="3"/>
  <c r="AH193" i="3"/>
  <c r="AH194" i="3"/>
  <c r="AH195" i="3"/>
  <c r="AH196" i="3"/>
  <c r="AH197" i="3"/>
  <c r="AH198" i="3"/>
  <c r="AH199" i="3"/>
  <c r="AH200" i="3"/>
  <c r="AH201" i="3"/>
  <c r="AH202" i="3"/>
  <c r="AH203" i="3"/>
  <c r="AH204" i="3"/>
  <c r="AH205" i="3"/>
  <c r="AH206" i="3"/>
  <c r="AH207" i="3"/>
  <c r="AH208" i="3"/>
  <c r="AH209" i="3"/>
  <c r="AH210" i="3"/>
  <c r="AH211" i="3"/>
  <c r="AH212" i="3"/>
  <c r="AH213" i="3"/>
  <c r="AH214" i="3"/>
  <c r="AH215" i="3"/>
  <c r="AH216" i="3"/>
  <c r="AH217" i="3"/>
  <c r="AH218" i="3"/>
  <c r="AH219" i="3"/>
  <c r="AH220" i="3"/>
  <c r="AH221" i="3"/>
  <c r="AH222" i="3"/>
  <c r="AH223" i="3"/>
  <c r="AH224" i="3"/>
  <c r="AH225" i="3"/>
  <c r="AH226" i="3"/>
  <c r="AH227" i="3"/>
  <c r="AH228" i="3"/>
  <c r="AH229" i="3"/>
  <c r="AH230" i="3"/>
  <c r="AH231" i="3"/>
  <c r="AH232" i="3"/>
  <c r="AH233" i="3"/>
  <c r="AH234" i="3"/>
  <c r="AH235" i="3"/>
  <c r="AH236" i="3"/>
  <c r="AH237" i="3"/>
  <c r="AH238" i="3"/>
  <c r="AH239" i="3"/>
  <c r="AH240" i="3"/>
  <c r="AH241" i="3"/>
  <c r="AH242" i="3"/>
  <c r="AH243" i="3"/>
  <c r="AH244" i="3"/>
  <c r="AH245" i="3"/>
  <c r="AH246" i="3"/>
  <c r="AH247" i="3"/>
  <c r="AH248" i="3"/>
  <c r="AH249" i="3"/>
  <c r="AH250" i="3"/>
  <c r="AH251" i="3"/>
  <c r="AH252" i="3"/>
  <c r="AH253" i="3"/>
  <c r="AH254" i="3"/>
  <c r="AH255" i="3"/>
  <c r="AH256" i="3"/>
  <c r="AH257" i="3"/>
  <c r="AH258" i="3"/>
  <c r="AH259" i="3"/>
  <c r="AH260" i="3"/>
  <c r="AH261" i="3"/>
  <c r="AH262" i="3"/>
  <c r="AH263" i="3"/>
  <c r="AH264" i="3"/>
  <c r="AH265" i="3"/>
  <c r="AH266" i="3"/>
  <c r="AH267" i="3"/>
  <c r="AH268" i="3"/>
  <c r="AH269" i="3"/>
  <c r="AH270" i="3"/>
  <c r="AH271" i="3"/>
  <c r="AH272" i="3"/>
  <c r="AC64" i="3"/>
  <c r="AC65" i="3"/>
  <c r="AC66" i="3"/>
  <c r="AC67" i="3"/>
  <c r="AC68" i="3"/>
  <c r="AC69" i="3"/>
  <c r="AC70" i="3"/>
  <c r="AC71" i="3"/>
  <c r="AC72" i="3"/>
  <c r="AC73" i="3"/>
  <c r="AC74" i="3"/>
  <c r="AC75" i="3"/>
  <c r="AC76" i="3"/>
  <c r="AC77" i="3"/>
  <c r="AC78" i="3"/>
  <c r="AC79" i="3"/>
  <c r="AC80" i="3"/>
  <c r="AC81" i="3"/>
  <c r="AC82" i="3"/>
  <c r="AC83" i="3"/>
  <c r="AC84" i="3"/>
  <c r="AC85" i="3"/>
  <c r="AC86" i="3"/>
  <c r="AC87" i="3"/>
  <c r="AC88" i="3"/>
  <c r="AC89" i="3"/>
  <c r="AC90" i="3"/>
  <c r="AC91" i="3"/>
  <c r="AC92" i="3"/>
  <c r="AC93" i="3"/>
  <c r="AC94" i="3"/>
  <c r="AC95" i="3"/>
  <c r="AC96" i="3"/>
  <c r="AC97" i="3"/>
  <c r="AC98" i="3"/>
  <c r="AC99" i="3"/>
  <c r="AC100" i="3"/>
  <c r="AC101" i="3"/>
  <c r="AC102" i="3"/>
  <c r="AC103" i="3"/>
  <c r="AC104" i="3"/>
  <c r="AC105" i="3"/>
  <c r="AC106" i="3"/>
  <c r="AC107" i="3"/>
  <c r="AC108" i="3"/>
  <c r="AC109" i="3"/>
  <c r="AC110" i="3"/>
  <c r="AC111" i="3"/>
  <c r="AC112" i="3"/>
  <c r="AC113" i="3"/>
  <c r="AC114" i="3"/>
  <c r="AC115" i="3"/>
  <c r="AC116" i="3"/>
  <c r="AC117" i="3"/>
  <c r="AC118" i="3"/>
  <c r="AC119" i="3"/>
  <c r="AC120" i="3"/>
  <c r="AC121" i="3"/>
  <c r="AC122" i="3"/>
  <c r="AC123" i="3"/>
  <c r="AC124" i="3"/>
  <c r="AC125" i="3"/>
  <c r="AC126" i="3"/>
  <c r="AC127" i="3"/>
  <c r="AC128" i="3"/>
  <c r="AC129" i="3"/>
  <c r="AC130" i="3"/>
  <c r="AC131" i="3"/>
  <c r="AC132" i="3"/>
  <c r="AC133" i="3"/>
  <c r="AC134" i="3"/>
  <c r="AC135" i="3"/>
  <c r="AC136" i="3"/>
  <c r="AC137" i="3"/>
  <c r="AC138" i="3"/>
  <c r="AC139" i="3"/>
  <c r="AC140" i="3"/>
  <c r="AC141" i="3"/>
  <c r="AC142" i="3"/>
  <c r="AC143" i="3"/>
  <c r="AC144" i="3"/>
  <c r="AC145" i="3"/>
  <c r="AC146" i="3"/>
  <c r="AC147" i="3"/>
  <c r="AC148" i="3"/>
  <c r="AC149" i="3"/>
  <c r="AC150" i="3"/>
  <c r="AC151" i="3"/>
  <c r="AC152" i="3"/>
  <c r="AC153" i="3"/>
  <c r="AC154" i="3"/>
  <c r="AC155" i="3"/>
  <c r="AC156" i="3"/>
  <c r="AC157" i="3"/>
  <c r="AC158" i="3"/>
  <c r="AC159" i="3"/>
  <c r="AC160" i="3"/>
  <c r="AC161" i="3"/>
  <c r="AC162" i="3"/>
  <c r="AC163" i="3"/>
  <c r="AC164" i="3"/>
  <c r="AC165" i="3"/>
  <c r="AC166" i="3"/>
  <c r="AC167" i="3"/>
  <c r="AC168" i="3"/>
  <c r="AC169" i="3"/>
  <c r="AC170" i="3"/>
  <c r="AC171" i="3"/>
  <c r="AC172" i="3"/>
  <c r="AC173" i="3"/>
  <c r="AC174" i="3"/>
  <c r="AC175" i="3"/>
  <c r="AC176" i="3"/>
  <c r="AC177" i="3"/>
  <c r="AC178" i="3"/>
  <c r="AC179" i="3"/>
  <c r="AC180" i="3"/>
  <c r="AC181" i="3"/>
  <c r="AC182" i="3"/>
  <c r="AC183" i="3"/>
  <c r="AC184" i="3"/>
  <c r="AC185" i="3"/>
  <c r="AC186" i="3"/>
  <c r="AC187" i="3"/>
  <c r="AC188" i="3"/>
  <c r="AC189" i="3"/>
  <c r="AC190" i="3"/>
  <c r="AC191" i="3"/>
  <c r="AC192" i="3"/>
  <c r="AC193" i="3"/>
  <c r="AC194" i="3"/>
  <c r="AC195" i="3"/>
  <c r="AC196" i="3"/>
  <c r="AC197" i="3"/>
  <c r="AC198" i="3"/>
  <c r="AC199" i="3"/>
  <c r="AC200" i="3"/>
  <c r="AC201" i="3"/>
  <c r="AC202" i="3"/>
  <c r="AC203" i="3"/>
  <c r="AC204" i="3"/>
  <c r="AC205" i="3"/>
  <c r="AC206" i="3"/>
  <c r="AC207" i="3"/>
  <c r="AC208" i="3"/>
  <c r="AC209" i="3"/>
  <c r="AC210" i="3"/>
  <c r="AC211" i="3"/>
  <c r="AC212" i="3"/>
  <c r="AC213" i="3"/>
  <c r="AC214" i="3"/>
  <c r="AC215" i="3"/>
  <c r="AC216" i="3"/>
  <c r="AC217" i="3"/>
  <c r="AC218" i="3"/>
  <c r="AC219" i="3"/>
  <c r="AC220" i="3"/>
  <c r="AC221" i="3"/>
  <c r="AC222" i="3"/>
  <c r="AC223" i="3"/>
  <c r="AC224" i="3"/>
  <c r="AC225" i="3"/>
  <c r="AC226" i="3"/>
  <c r="AC227" i="3"/>
  <c r="AC228" i="3"/>
  <c r="AC229" i="3"/>
  <c r="AC230" i="3"/>
  <c r="AC231" i="3"/>
  <c r="AC232" i="3"/>
  <c r="AC233" i="3"/>
  <c r="AC234" i="3"/>
  <c r="AC235" i="3"/>
  <c r="AC236" i="3"/>
  <c r="AC237" i="3"/>
  <c r="AC238" i="3"/>
  <c r="AC239" i="3"/>
  <c r="AC240" i="3"/>
  <c r="AC241" i="3"/>
  <c r="AC242" i="3"/>
  <c r="AC243" i="3"/>
  <c r="AC244" i="3"/>
  <c r="AC245" i="3"/>
  <c r="AC246" i="3"/>
  <c r="AC247" i="3"/>
  <c r="AC248" i="3"/>
  <c r="AC249" i="3"/>
  <c r="AC250" i="3"/>
  <c r="AC251" i="3"/>
  <c r="AC252" i="3"/>
  <c r="AC253" i="3"/>
  <c r="AC254" i="3"/>
  <c r="AC255" i="3"/>
  <c r="AC256" i="3"/>
  <c r="AC257" i="3"/>
  <c r="AC258" i="3"/>
  <c r="AC259" i="3"/>
  <c r="AC260" i="3"/>
  <c r="AC261" i="3"/>
  <c r="AC262" i="3"/>
  <c r="AC263" i="3"/>
  <c r="AC264" i="3"/>
  <c r="AC265" i="3"/>
  <c r="AC266" i="3"/>
  <c r="AC267" i="3"/>
  <c r="AC268" i="3"/>
  <c r="AC269" i="3"/>
  <c r="AC270" i="3"/>
  <c r="AC271" i="3"/>
  <c r="AC272" i="3"/>
  <c r="X64" i="3"/>
  <c r="X65" i="3"/>
  <c r="X66" i="3"/>
  <c r="X67" i="3"/>
  <c r="X68" i="3"/>
  <c r="X69" i="3"/>
  <c r="X70" i="3"/>
  <c r="X71" i="3"/>
  <c r="X72" i="3"/>
  <c r="X73" i="3"/>
  <c r="X74" i="3"/>
  <c r="X75" i="3"/>
  <c r="X76" i="3"/>
  <c r="X77" i="3"/>
  <c r="X78" i="3"/>
  <c r="X79" i="3"/>
  <c r="X80" i="3"/>
  <c r="X81" i="3"/>
  <c r="X82" i="3"/>
  <c r="X83" i="3"/>
  <c r="X84" i="3"/>
  <c r="X85" i="3"/>
  <c r="X86" i="3"/>
  <c r="X87" i="3"/>
  <c r="X88" i="3"/>
  <c r="X89" i="3"/>
  <c r="X90" i="3"/>
  <c r="X91" i="3"/>
  <c r="X92" i="3"/>
  <c r="X93" i="3"/>
  <c r="X94" i="3"/>
  <c r="X95" i="3"/>
  <c r="X96" i="3"/>
  <c r="X97" i="3"/>
  <c r="X98" i="3"/>
  <c r="X99" i="3"/>
  <c r="X100" i="3"/>
  <c r="X101" i="3"/>
  <c r="X102" i="3"/>
  <c r="X103" i="3"/>
  <c r="X104" i="3"/>
  <c r="X105" i="3"/>
  <c r="X106" i="3"/>
  <c r="X107" i="3"/>
  <c r="X108" i="3"/>
  <c r="X109" i="3"/>
  <c r="X110" i="3"/>
  <c r="X111" i="3"/>
  <c r="X112" i="3"/>
  <c r="X113" i="3"/>
  <c r="X114" i="3"/>
  <c r="X115" i="3"/>
  <c r="X116" i="3"/>
  <c r="X117" i="3"/>
  <c r="X118" i="3"/>
  <c r="X119" i="3"/>
  <c r="X120" i="3"/>
  <c r="X121" i="3"/>
  <c r="X122" i="3"/>
  <c r="X123" i="3"/>
  <c r="X124" i="3"/>
  <c r="X125" i="3"/>
  <c r="X126" i="3"/>
  <c r="X127" i="3"/>
  <c r="X128" i="3"/>
  <c r="X129" i="3"/>
  <c r="X130" i="3"/>
  <c r="X131" i="3"/>
  <c r="X132" i="3"/>
  <c r="X133" i="3"/>
  <c r="X134" i="3"/>
  <c r="X135" i="3"/>
  <c r="X136" i="3"/>
  <c r="X137" i="3"/>
  <c r="X138" i="3"/>
  <c r="X139" i="3"/>
  <c r="X140" i="3"/>
  <c r="X141" i="3"/>
  <c r="X142" i="3"/>
  <c r="X143" i="3"/>
  <c r="X144" i="3"/>
  <c r="X145" i="3"/>
  <c r="X146" i="3"/>
  <c r="X147" i="3"/>
  <c r="X148" i="3"/>
  <c r="X149" i="3"/>
  <c r="X150" i="3"/>
  <c r="X151" i="3"/>
  <c r="X152" i="3"/>
  <c r="X153" i="3"/>
  <c r="X154" i="3"/>
  <c r="X155" i="3"/>
  <c r="X156" i="3"/>
  <c r="X157" i="3"/>
  <c r="X158" i="3"/>
  <c r="X159" i="3"/>
  <c r="X160" i="3"/>
  <c r="X161" i="3"/>
  <c r="X162" i="3"/>
  <c r="X163" i="3"/>
  <c r="X164" i="3"/>
  <c r="X165" i="3"/>
  <c r="X166" i="3"/>
  <c r="X167" i="3"/>
  <c r="X168" i="3"/>
  <c r="X169" i="3"/>
  <c r="X170" i="3"/>
  <c r="X171" i="3"/>
  <c r="X172" i="3"/>
  <c r="X173" i="3"/>
  <c r="X174" i="3"/>
  <c r="X175" i="3"/>
  <c r="X176" i="3"/>
  <c r="X177" i="3"/>
  <c r="X178" i="3"/>
  <c r="X179" i="3"/>
  <c r="X180" i="3"/>
  <c r="X181" i="3"/>
  <c r="X182" i="3"/>
  <c r="X183" i="3"/>
  <c r="X184" i="3"/>
  <c r="X185" i="3"/>
  <c r="X186" i="3"/>
  <c r="X187" i="3"/>
  <c r="X188" i="3"/>
  <c r="X189" i="3"/>
  <c r="X190" i="3"/>
  <c r="X191" i="3"/>
  <c r="X192" i="3"/>
  <c r="X193" i="3"/>
  <c r="X194" i="3"/>
  <c r="X195" i="3"/>
  <c r="X196" i="3"/>
  <c r="X197" i="3"/>
  <c r="X198" i="3"/>
  <c r="X199" i="3"/>
  <c r="X200" i="3"/>
  <c r="X201" i="3"/>
  <c r="X202" i="3"/>
  <c r="X203" i="3"/>
  <c r="X204" i="3"/>
  <c r="X205" i="3"/>
  <c r="X206" i="3"/>
  <c r="X207" i="3"/>
  <c r="X208" i="3"/>
  <c r="X209" i="3"/>
  <c r="X210" i="3"/>
  <c r="X211" i="3"/>
  <c r="X212" i="3"/>
  <c r="X213" i="3"/>
  <c r="X214" i="3"/>
  <c r="X215" i="3"/>
  <c r="X216" i="3"/>
  <c r="X217" i="3"/>
  <c r="X218" i="3"/>
  <c r="X219" i="3"/>
  <c r="X220" i="3"/>
  <c r="X221" i="3"/>
  <c r="X222" i="3"/>
  <c r="X223" i="3"/>
  <c r="X224" i="3"/>
  <c r="X225" i="3"/>
  <c r="X226" i="3"/>
  <c r="X227" i="3"/>
  <c r="X228" i="3"/>
  <c r="X229" i="3"/>
  <c r="X230" i="3"/>
  <c r="X231" i="3"/>
  <c r="X232" i="3"/>
  <c r="X233" i="3"/>
  <c r="X234" i="3"/>
  <c r="X235" i="3"/>
  <c r="X236" i="3"/>
  <c r="X237" i="3"/>
  <c r="X238" i="3"/>
  <c r="X239" i="3"/>
  <c r="X240" i="3"/>
  <c r="X241" i="3"/>
  <c r="X242" i="3"/>
  <c r="X243" i="3"/>
  <c r="X244" i="3"/>
  <c r="X245" i="3"/>
  <c r="X246" i="3"/>
  <c r="X247" i="3"/>
  <c r="X248" i="3"/>
  <c r="X249" i="3"/>
  <c r="X250" i="3"/>
  <c r="X251" i="3"/>
  <c r="X252" i="3"/>
  <c r="X253" i="3"/>
  <c r="X254" i="3"/>
  <c r="X255" i="3"/>
  <c r="X256" i="3"/>
  <c r="X257" i="3"/>
  <c r="X258" i="3"/>
  <c r="X259" i="3"/>
  <c r="X260" i="3"/>
  <c r="X261" i="3"/>
  <c r="X262" i="3"/>
  <c r="X263" i="3"/>
  <c r="X264" i="3"/>
  <c r="X265" i="3"/>
  <c r="X266" i="3"/>
  <c r="X267" i="3"/>
  <c r="X268" i="3"/>
  <c r="X269" i="3"/>
  <c r="X270" i="3"/>
  <c r="X271" i="3"/>
  <c r="X272" i="3"/>
  <c r="S64" i="3"/>
  <c r="S65" i="3"/>
  <c r="S66" i="3"/>
  <c r="S67" i="3"/>
  <c r="S68" i="3"/>
  <c r="S69" i="3"/>
  <c r="S70" i="3"/>
  <c r="S71" i="3"/>
  <c r="S72" i="3"/>
  <c r="S73" i="3"/>
  <c r="S74" i="3"/>
  <c r="S75" i="3"/>
  <c r="S76" i="3"/>
  <c r="S77" i="3"/>
  <c r="S78" i="3"/>
  <c r="S79" i="3"/>
  <c r="S80" i="3"/>
  <c r="S81" i="3"/>
  <c r="S82" i="3"/>
  <c r="S83" i="3"/>
  <c r="S84" i="3"/>
  <c r="S85" i="3"/>
  <c r="S86" i="3"/>
  <c r="S87" i="3"/>
  <c r="S88" i="3"/>
  <c r="S89" i="3"/>
  <c r="S90" i="3"/>
  <c r="S91" i="3"/>
  <c r="S92" i="3"/>
  <c r="S93" i="3"/>
  <c r="S94" i="3"/>
  <c r="S95" i="3"/>
  <c r="S96" i="3"/>
  <c r="S97" i="3"/>
  <c r="S98" i="3"/>
  <c r="S99" i="3"/>
  <c r="S100" i="3"/>
  <c r="S101" i="3"/>
  <c r="S102" i="3"/>
  <c r="S103" i="3"/>
  <c r="S104" i="3"/>
  <c r="S105" i="3"/>
  <c r="S106" i="3"/>
  <c r="S107" i="3"/>
  <c r="S108" i="3"/>
  <c r="S109" i="3"/>
  <c r="S110" i="3"/>
  <c r="S111" i="3"/>
  <c r="S112" i="3"/>
  <c r="S113" i="3"/>
  <c r="S114" i="3"/>
  <c r="S115" i="3"/>
  <c r="S116" i="3"/>
  <c r="S117" i="3"/>
  <c r="S118" i="3"/>
  <c r="S119" i="3"/>
  <c r="S120" i="3"/>
  <c r="S121" i="3"/>
  <c r="S122" i="3"/>
  <c r="S123" i="3"/>
  <c r="S124" i="3"/>
  <c r="S125" i="3"/>
  <c r="S126" i="3"/>
  <c r="S127" i="3"/>
  <c r="S128" i="3"/>
  <c r="S129" i="3"/>
  <c r="S130" i="3"/>
  <c r="S131" i="3"/>
  <c r="S132" i="3"/>
  <c r="S133" i="3"/>
  <c r="S134" i="3"/>
  <c r="S135" i="3"/>
  <c r="S136" i="3"/>
  <c r="S137" i="3"/>
  <c r="S138" i="3"/>
  <c r="S139" i="3"/>
  <c r="S140" i="3"/>
  <c r="S141" i="3"/>
  <c r="S142" i="3"/>
  <c r="S143" i="3"/>
  <c r="S144" i="3"/>
  <c r="S145" i="3"/>
  <c r="S146" i="3"/>
  <c r="S147" i="3"/>
  <c r="S148" i="3"/>
  <c r="S149" i="3"/>
  <c r="S150" i="3"/>
  <c r="S151" i="3"/>
  <c r="S152" i="3"/>
  <c r="S153" i="3"/>
  <c r="S154" i="3"/>
  <c r="S155" i="3"/>
  <c r="S156" i="3"/>
  <c r="S157" i="3"/>
  <c r="S158" i="3"/>
  <c r="S159" i="3"/>
  <c r="S160" i="3"/>
  <c r="S161" i="3"/>
  <c r="S162" i="3"/>
  <c r="S163" i="3"/>
  <c r="S164" i="3"/>
  <c r="S165" i="3"/>
  <c r="S166" i="3"/>
  <c r="S167" i="3"/>
  <c r="S168" i="3"/>
  <c r="S169" i="3"/>
  <c r="S170" i="3"/>
  <c r="S171" i="3"/>
  <c r="S172" i="3"/>
  <c r="S173" i="3"/>
  <c r="S174" i="3"/>
  <c r="S175" i="3"/>
  <c r="S176" i="3"/>
  <c r="S177" i="3"/>
  <c r="S178" i="3"/>
  <c r="S179" i="3"/>
  <c r="S180" i="3"/>
  <c r="S181" i="3"/>
  <c r="S182" i="3"/>
  <c r="S183" i="3"/>
  <c r="S184" i="3"/>
  <c r="S185" i="3"/>
  <c r="S186" i="3"/>
  <c r="S187" i="3"/>
  <c r="S188" i="3"/>
  <c r="S189" i="3"/>
  <c r="S190" i="3"/>
  <c r="S191" i="3"/>
  <c r="S192" i="3"/>
  <c r="S193" i="3"/>
  <c r="S194" i="3"/>
  <c r="S195" i="3"/>
  <c r="S196" i="3"/>
  <c r="S197" i="3"/>
  <c r="S198" i="3"/>
  <c r="S199" i="3"/>
  <c r="S200" i="3"/>
  <c r="S201" i="3"/>
  <c r="S202" i="3"/>
  <c r="S203" i="3"/>
  <c r="S204" i="3"/>
  <c r="S205" i="3"/>
  <c r="S206" i="3"/>
  <c r="S207" i="3"/>
  <c r="S208" i="3"/>
  <c r="S209" i="3"/>
  <c r="S210" i="3"/>
  <c r="S211" i="3"/>
  <c r="S212" i="3"/>
  <c r="S213" i="3"/>
  <c r="S214" i="3"/>
  <c r="S215" i="3"/>
  <c r="S216" i="3"/>
  <c r="S217" i="3"/>
  <c r="S218" i="3"/>
  <c r="S219" i="3"/>
  <c r="S220" i="3"/>
  <c r="S221" i="3"/>
  <c r="S222" i="3"/>
  <c r="S223" i="3"/>
  <c r="S224" i="3"/>
  <c r="S225" i="3"/>
  <c r="S226" i="3"/>
  <c r="S227" i="3"/>
  <c r="S228" i="3"/>
  <c r="S229" i="3"/>
  <c r="S230" i="3"/>
  <c r="S231" i="3"/>
  <c r="S232" i="3"/>
  <c r="S233" i="3"/>
  <c r="S234" i="3"/>
  <c r="S235" i="3"/>
  <c r="S236" i="3"/>
  <c r="S237" i="3"/>
  <c r="S238" i="3"/>
  <c r="S239" i="3"/>
  <c r="S240" i="3"/>
  <c r="S241" i="3"/>
  <c r="S242" i="3"/>
  <c r="S243" i="3"/>
  <c r="S244" i="3"/>
  <c r="S245" i="3"/>
  <c r="S246" i="3"/>
  <c r="S247" i="3"/>
  <c r="S248" i="3"/>
  <c r="S249" i="3"/>
  <c r="S250" i="3"/>
  <c r="S251" i="3"/>
  <c r="S252" i="3"/>
  <c r="S253" i="3"/>
  <c r="S254" i="3"/>
  <c r="S255" i="3"/>
  <c r="S256" i="3"/>
  <c r="S257" i="3"/>
  <c r="S258" i="3"/>
  <c r="S259" i="3"/>
  <c r="S260" i="3"/>
  <c r="S261" i="3"/>
  <c r="S262" i="3"/>
  <c r="S263" i="3"/>
  <c r="S264" i="3"/>
  <c r="S265" i="3"/>
  <c r="S266" i="3"/>
  <c r="S267" i="3"/>
  <c r="S268" i="3"/>
  <c r="S269" i="3"/>
  <c r="S270" i="3"/>
  <c r="S271" i="3"/>
  <c r="S272" i="3"/>
  <c r="N64" i="3"/>
  <c r="N65" i="3"/>
  <c r="N66" i="3"/>
  <c r="N67" i="3"/>
  <c r="N68" i="3"/>
  <c r="N69" i="3"/>
  <c r="N70" i="3"/>
  <c r="N71" i="3"/>
  <c r="N72" i="3"/>
  <c r="N73" i="3"/>
  <c r="N74" i="3"/>
  <c r="N75" i="3"/>
  <c r="N76" i="3"/>
  <c r="N77" i="3"/>
  <c r="N78" i="3"/>
  <c r="N79" i="3"/>
  <c r="N80" i="3"/>
  <c r="N81" i="3"/>
  <c r="N82" i="3"/>
  <c r="N83" i="3"/>
  <c r="N84" i="3"/>
  <c r="N85" i="3"/>
  <c r="N86" i="3"/>
  <c r="N87" i="3"/>
  <c r="N88" i="3"/>
  <c r="N89" i="3"/>
  <c r="N90" i="3"/>
  <c r="N91" i="3"/>
  <c r="N92" i="3"/>
  <c r="N93" i="3"/>
  <c r="N94" i="3"/>
  <c r="N95" i="3"/>
  <c r="N96" i="3"/>
  <c r="N97" i="3"/>
  <c r="N98" i="3"/>
  <c r="N99" i="3"/>
  <c r="N100" i="3"/>
  <c r="N101" i="3"/>
  <c r="N102" i="3"/>
  <c r="N103" i="3"/>
  <c r="N104" i="3"/>
  <c r="N105" i="3"/>
  <c r="N106" i="3"/>
  <c r="N107" i="3"/>
  <c r="N108" i="3"/>
  <c r="N109" i="3"/>
  <c r="N110" i="3"/>
  <c r="N111" i="3"/>
  <c r="N112" i="3"/>
  <c r="N113" i="3"/>
  <c r="N114" i="3"/>
  <c r="N115" i="3"/>
  <c r="N116" i="3"/>
  <c r="N117" i="3"/>
  <c r="N118" i="3"/>
  <c r="N119" i="3"/>
  <c r="N120" i="3"/>
  <c r="N121" i="3"/>
  <c r="N122" i="3"/>
  <c r="N123" i="3"/>
  <c r="N124" i="3"/>
  <c r="N125" i="3"/>
  <c r="N126" i="3"/>
  <c r="N127" i="3"/>
  <c r="N128" i="3"/>
  <c r="N129" i="3"/>
  <c r="N130" i="3"/>
  <c r="N131" i="3"/>
  <c r="N132" i="3"/>
  <c r="N133" i="3"/>
  <c r="N134" i="3"/>
  <c r="N135" i="3"/>
  <c r="N136" i="3"/>
  <c r="N137" i="3"/>
  <c r="N138" i="3"/>
  <c r="N139" i="3"/>
  <c r="N140" i="3"/>
  <c r="N141" i="3"/>
  <c r="N142" i="3"/>
  <c r="N143" i="3"/>
  <c r="N144" i="3"/>
  <c r="N145" i="3"/>
  <c r="N146" i="3"/>
  <c r="N147" i="3"/>
  <c r="N148" i="3"/>
  <c r="N149" i="3"/>
  <c r="N150" i="3"/>
  <c r="N151" i="3"/>
  <c r="N152" i="3"/>
  <c r="N153" i="3"/>
  <c r="N154" i="3"/>
  <c r="N155" i="3"/>
  <c r="N156" i="3"/>
  <c r="N157" i="3"/>
  <c r="N158" i="3"/>
  <c r="N159" i="3"/>
  <c r="N160" i="3"/>
  <c r="N161" i="3"/>
  <c r="N162" i="3"/>
  <c r="N163" i="3"/>
  <c r="N164" i="3"/>
  <c r="N165" i="3"/>
  <c r="N166" i="3"/>
  <c r="N167" i="3"/>
  <c r="N168" i="3"/>
  <c r="N169" i="3"/>
  <c r="N170" i="3"/>
  <c r="N171" i="3"/>
  <c r="N172" i="3"/>
  <c r="N173" i="3"/>
  <c r="N174" i="3"/>
  <c r="N175" i="3"/>
  <c r="N176" i="3"/>
  <c r="N177" i="3"/>
  <c r="N178" i="3"/>
  <c r="N179" i="3"/>
  <c r="N180" i="3"/>
  <c r="N181" i="3"/>
  <c r="N182" i="3"/>
  <c r="N183" i="3"/>
  <c r="N184" i="3"/>
  <c r="N185" i="3"/>
  <c r="N186" i="3"/>
  <c r="N187" i="3"/>
  <c r="N188" i="3"/>
  <c r="N189" i="3"/>
  <c r="N190" i="3"/>
  <c r="N191" i="3"/>
  <c r="N192" i="3"/>
  <c r="N193" i="3"/>
  <c r="N194" i="3"/>
  <c r="N195" i="3"/>
  <c r="N196" i="3"/>
  <c r="N197" i="3"/>
  <c r="N198" i="3"/>
  <c r="N199" i="3"/>
  <c r="N200" i="3"/>
  <c r="N201" i="3"/>
  <c r="N202" i="3"/>
  <c r="N203" i="3"/>
  <c r="N204" i="3"/>
  <c r="N205" i="3"/>
  <c r="N206" i="3"/>
  <c r="N207" i="3"/>
  <c r="N208" i="3"/>
  <c r="N209" i="3"/>
  <c r="N210" i="3"/>
  <c r="N211" i="3"/>
  <c r="N212" i="3"/>
  <c r="N213" i="3"/>
  <c r="N214" i="3"/>
  <c r="N215" i="3"/>
  <c r="N216" i="3"/>
  <c r="N217" i="3"/>
  <c r="N218" i="3"/>
  <c r="N219" i="3"/>
  <c r="N220" i="3"/>
  <c r="N221" i="3"/>
  <c r="N222" i="3"/>
  <c r="N223" i="3"/>
  <c r="N224" i="3"/>
  <c r="N225" i="3"/>
  <c r="N226" i="3"/>
  <c r="N227" i="3"/>
  <c r="N228" i="3"/>
  <c r="N229" i="3"/>
  <c r="N230" i="3"/>
  <c r="N231" i="3"/>
  <c r="N232" i="3"/>
  <c r="N233" i="3"/>
  <c r="N234" i="3"/>
  <c r="N235" i="3"/>
  <c r="N236" i="3"/>
  <c r="N237" i="3"/>
  <c r="N238" i="3"/>
  <c r="N239" i="3"/>
  <c r="N240" i="3"/>
  <c r="N241" i="3"/>
  <c r="N242" i="3"/>
  <c r="N243" i="3"/>
  <c r="N244" i="3"/>
  <c r="N245" i="3"/>
  <c r="N246" i="3"/>
  <c r="N247" i="3"/>
  <c r="N248" i="3"/>
  <c r="N249" i="3"/>
  <c r="N250" i="3"/>
  <c r="N251" i="3"/>
  <c r="N252" i="3"/>
  <c r="N253" i="3"/>
  <c r="N254" i="3"/>
  <c r="N255" i="3"/>
  <c r="N256" i="3"/>
  <c r="N257" i="3"/>
  <c r="N258" i="3"/>
  <c r="N259" i="3"/>
  <c r="N260" i="3"/>
  <c r="N261" i="3"/>
  <c r="N262" i="3"/>
  <c r="N263" i="3"/>
  <c r="N264" i="3"/>
  <c r="N265" i="3"/>
  <c r="N266" i="3"/>
  <c r="N267" i="3"/>
  <c r="N268" i="3"/>
  <c r="N269" i="3"/>
  <c r="N270" i="3"/>
  <c r="N271" i="3"/>
  <c r="N272" i="3"/>
  <c r="I64" i="3"/>
  <c r="I65" i="3"/>
  <c r="I66" i="3"/>
  <c r="I67" i="3"/>
  <c r="I68" i="3"/>
  <c r="I69" i="3"/>
  <c r="I70" i="3"/>
  <c r="I71" i="3"/>
  <c r="I72" i="3"/>
  <c r="I73" i="3"/>
  <c r="I74" i="3"/>
  <c r="I75" i="3"/>
  <c r="I76" i="3"/>
  <c r="I77" i="3"/>
  <c r="I78" i="3"/>
  <c r="I79" i="3"/>
  <c r="I80" i="3"/>
  <c r="I81" i="3"/>
  <c r="I82" i="3"/>
  <c r="I83" i="3"/>
  <c r="I84" i="3"/>
  <c r="I85" i="3"/>
  <c r="I86" i="3"/>
  <c r="I87" i="3"/>
  <c r="I88" i="3"/>
  <c r="I89" i="3"/>
  <c r="I90" i="3"/>
  <c r="I91" i="3"/>
  <c r="I92" i="3"/>
  <c r="I93" i="3"/>
  <c r="I94" i="3"/>
  <c r="I95" i="3"/>
  <c r="I96" i="3"/>
  <c r="I131" i="3"/>
  <c r="I132" i="3"/>
  <c r="I133" i="3"/>
  <c r="I134" i="3"/>
  <c r="I135" i="3"/>
  <c r="I136" i="3"/>
  <c r="I137" i="3"/>
  <c r="I138" i="3"/>
  <c r="I139" i="3"/>
  <c r="I140" i="3"/>
  <c r="I141" i="3"/>
  <c r="I142" i="3"/>
  <c r="I143" i="3"/>
  <c r="I144" i="3"/>
  <c r="I145" i="3"/>
  <c r="I146" i="3"/>
  <c r="I147" i="3"/>
  <c r="I148" i="3"/>
  <c r="I149" i="3"/>
  <c r="I150" i="3"/>
  <c r="I151" i="3"/>
  <c r="I152" i="3"/>
  <c r="I153" i="3"/>
  <c r="I154" i="3"/>
  <c r="I155" i="3"/>
  <c r="I156" i="3"/>
  <c r="I157" i="3"/>
  <c r="I158" i="3"/>
  <c r="I159" i="3"/>
  <c r="I160" i="3"/>
  <c r="I161" i="3"/>
  <c r="I162" i="3"/>
  <c r="I163" i="3"/>
  <c r="I164" i="3"/>
  <c r="I165" i="3"/>
  <c r="I166" i="3"/>
  <c r="I167" i="3"/>
  <c r="I168" i="3"/>
  <c r="I169" i="3"/>
  <c r="I170" i="3"/>
  <c r="I171" i="3"/>
  <c r="I172" i="3"/>
  <c r="I173" i="3"/>
  <c r="I174" i="3"/>
  <c r="I175" i="3"/>
  <c r="I176" i="3"/>
  <c r="I177" i="3"/>
  <c r="I178" i="3"/>
  <c r="I179" i="3"/>
  <c r="I180" i="3"/>
  <c r="I181" i="3"/>
  <c r="I182" i="3"/>
  <c r="I183" i="3"/>
  <c r="I184" i="3"/>
  <c r="I185" i="3"/>
  <c r="I186" i="3"/>
  <c r="I187" i="3"/>
  <c r="I188" i="3"/>
  <c r="I189" i="3"/>
  <c r="I190" i="3"/>
  <c r="I191" i="3"/>
  <c r="I192" i="3"/>
  <c r="I193" i="3"/>
  <c r="I194" i="3"/>
  <c r="I195" i="3"/>
  <c r="I196" i="3"/>
  <c r="I197" i="3"/>
  <c r="I198" i="3"/>
  <c r="I199" i="3"/>
  <c r="I200" i="3"/>
  <c r="I201" i="3"/>
  <c r="I202" i="3"/>
  <c r="I203" i="3"/>
  <c r="I204" i="3"/>
  <c r="I205" i="3"/>
  <c r="I206" i="3"/>
  <c r="I207" i="3"/>
  <c r="I208" i="3"/>
  <c r="I209" i="3"/>
  <c r="I210" i="3"/>
  <c r="I211" i="3"/>
  <c r="I212" i="3"/>
  <c r="I213" i="3"/>
  <c r="I214" i="3"/>
  <c r="I215" i="3"/>
  <c r="I216" i="3"/>
  <c r="I217" i="3"/>
  <c r="I218" i="3"/>
  <c r="I219" i="3"/>
  <c r="I220" i="3"/>
  <c r="I221" i="3"/>
  <c r="I222" i="3"/>
  <c r="I223" i="3"/>
  <c r="I224" i="3"/>
  <c r="I225" i="3"/>
  <c r="I226" i="3"/>
  <c r="I227" i="3"/>
  <c r="I228" i="3"/>
  <c r="I229" i="3"/>
  <c r="I230" i="3"/>
  <c r="I231" i="3"/>
  <c r="I232" i="3"/>
  <c r="I233" i="3"/>
  <c r="I234" i="3"/>
  <c r="I235" i="3"/>
  <c r="I236" i="3"/>
  <c r="I237" i="3"/>
  <c r="I238" i="3"/>
  <c r="I239" i="3"/>
  <c r="I240" i="3"/>
  <c r="I241" i="3"/>
  <c r="I242" i="3"/>
  <c r="I243" i="3"/>
  <c r="I244" i="3"/>
  <c r="I245" i="3"/>
  <c r="I246" i="3"/>
  <c r="I247" i="3"/>
  <c r="I248" i="3"/>
  <c r="I249" i="3"/>
  <c r="I250" i="3"/>
  <c r="I251" i="3"/>
  <c r="I252" i="3"/>
  <c r="I253" i="3"/>
  <c r="I254" i="3"/>
  <c r="I255" i="3"/>
  <c r="I256" i="3"/>
  <c r="I257" i="3"/>
  <c r="I258" i="3"/>
  <c r="I259" i="3"/>
  <c r="I260" i="3"/>
  <c r="I261" i="3"/>
  <c r="I262" i="3"/>
  <c r="I263" i="3"/>
  <c r="I264" i="3"/>
  <c r="I265" i="3"/>
  <c r="I266" i="3"/>
  <c r="I267" i="3"/>
  <c r="I268" i="3"/>
  <c r="I269" i="3"/>
  <c r="I270" i="3"/>
  <c r="I271" i="3"/>
  <c r="I272" i="3"/>
  <c r="G12" i="15" l="1"/>
  <c r="F12" i="15" s="1"/>
  <c r="AB11" i="15"/>
  <c r="AD11" i="15" s="1"/>
  <c r="AB12" i="15"/>
  <c r="AD12" i="15" s="1"/>
  <c r="J263" i="6"/>
  <c r="I263" i="6"/>
  <c r="H263" i="6"/>
  <c r="G263" i="6"/>
  <c r="F263" i="6"/>
  <c r="E263" i="6"/>
  <c r="D263" i="6"/>
  <c r="C263" i="6"/>
  <c r="B263" i="6"/>
  <c r="J262" i="6"/>
  <c r="I262" i="6"/>
  <c r="H262" i="6"/>
  <c r="G262" i="6"/>
  <c r="F262" i="6"/>
  <c r="E262" i="6"/>
  <c r="D262" i="6"/>
  <c r="C262" i="6"/>
  <c r="B262" i="6"/>
  <c r="J261" i="6"/>
  <c r="I261" i="6"/>
  <c r="H261" i="6"/>
  <c r="G261" i="6"/>
  <c r="F261" i="6"/>
  <c r="E261" i="6"/>
  <c r="D261" i="6"/>
  <c r="C261" i="6"/>
  <c r="B261" i="6"/>
  <c r="J260" i="6"/>
  <c r="I260" i="6"/>
  <c r="H260" i="6"/>
  <c r="G260" i="6"/>
  <c r="F260" i="6"/>
  <c r="E260" i="6"/>
  <c r="D260" i="6"/>
  <c r="C260" i="6"/>
  <c r="B260" i="6"/>
  <c r="J259" i="6"/>
  <c r="I259" i="6"/>
  <c r="H259" i="6"/>
  <c r="G259" i="6"/>
  <c r="F259" i="6"/>
  <c r="E259" i="6"/>
  <c r="D259" i="6"/>
  <c r="C259" i="6"/>
  <c r="B259" i="6"/>
  <c r="J258" i="6"/>
  <c r="I258" i="6"/>
  <c r="H258" i="6"/>
  <c r="G258" i="6"/>
  <c r="F258" i="6"/>
  <c r="E258" i="6"/>
  <c r="D258" i="6"/>
  <c r="C258" i="6"/>
  <c r="B258" i="6"/>
  <c r="J257" i="6"/>
  <c r="I257" i="6"/>
  <c r="H257" i="6"/>
  <c r="G257" i="6"/>
  <c r="F257" i="6"/>
  <c r="E257" i="6"/>
  <c r="D257" i="6"/>
  <c r="C257" i="6"/>
  <c r="B257" i="6"/>
  <c r="J256" i="6"/>
  <c r="I256" i="6"/>
  <c r="H256" i="6"/>
  <c r="G256" i="6"/>
  <c r="F256" i="6"/>
  <c r="E256" i="6"/>
  <c r="D256" i="6"/>
  <c r="C256" i="6"/>
  <c r="B256" i="6"/>
  <c r="J255" i="6"/>
  <c r="I255" i="6"/>
  <c r="H255" i="6"/>
  <c r="G255" i="6"/>
  <c r="F255" i="6"/>
  <c r="E255" i="6"/>
  <c r="D255" i="6"/>
  <c r="C255" i="6"/>
  <c r="B255" i="6"/>
  <c r="J254" i="6"/>
  <c r="I254" i="6"/>
  <c r="H254" i="6"/>
  <c r="G254" i="6"/>
  <c r="F254" i="6"/>
  <c r="E254" i="6"/>
  <c r="D254" i="6"/>
  <c r="C254" i="6"/>
  <c r="B254" i="6"/>
  <c r="J253" i="6"/>
  <c r="I253" i="6"/>
  <c r="H253" i="6"/>
  <c r="G253" i="6"/>
  <c r="F253" i="6"/>
  <c r="E253" i="6"/>
  <c r="D253" i="6"/>
  <c r="C253" i="6"/>
  <c r="B253" i="6"/>
  <c r="J252" i="6"/>
  <c r="I252" i="6"/>
  <c r="H252" i="6"/>
  <c r="G252" i="6"/>
  <c r="F252" i="6"/>
  <c r="E252" i="6"/>
  <c r="D252" i="6"/>
  <c r="C252" i="6"/>
  <c r="B252" i="6"/>
  <c r="J251" i="6"/>
  <c r="I251" i="6"/>
  <c r="H251" i="6"/>
  <c r="G251" i="6"/>
  <c r="F251" i="6"/>
  <c r="E251" i="6"/>
  <c r="D251" i="6"/>
  <c r="C251" i="6"/>
  <c r="B251" i="6"/>
  <c r="J250" i="6"/>
  <c r="I250" i="6"/>
  <c r="H250" i="6"/>
  <c r="G250" i="6"/>
  <c r="F250" i="6"/>
  <c r="E250" i="6"/>
  <c r="D250" i="6"/>
  <c r="C250" i="6"/>
  <c r="B250" i="6"/>
  <c r="J249" i="6"/>
  <c r="I249" i="6"/>
  <c r="H249" i="6"/>
  <c r="G249" i="6"/>
  <c r="F249" i="6"/>
  <c r="E249" i="6"/>
  <c r="D249" i="6"/>
  <c r="C249" i="6"/>
  <c r="B249" i="6"/>
  <c r="J248" i="6"/>
  <c r="I248" i="6"/>
  <c r="H248" i="6"/>
  <c r="G248" i="6"/>
  <c r="F248" i="6"/>
  <c r="E248" i="6"/>
  <c r="D248" i="6"/>
  <c r="C248" i="6"/>
  <c r="B248" i="6"/>
  <c r="J247" i="6"/>
  <c r="I247" i="6"/>
  <c r="H247" i="6"/>
  <c r="G247" i="6"/>
  <c r="F247" i="6"/>
  <c r="E247" i="6"/>
  <c r="D247" i="6"/>
  <c r="C247" i="6"/>
  <c r="B247" i="6"/>
  <c r="J246" i="6"/>
  <c r="I246" i="6"/>
  <c r="H246" i="6"/>
  <c r="G246" i="6"/>
  <c r="F246" i="6"/>
  <c r="E246" i="6"/>
  <c r="D246" i="6"/>
  <c r="C246" i="6"/>
  <c r="B246" i="6"/>
  <c r="J245" i="6"/>
  <c r="I245" i="6"/>
  <c r="H245" i="6"/>
  <c r="G245" i="6"/>
  <c r="F245" i="6"/>
  <c r="E245" i="6"/>
  <c r="D245" i="6"/>
  <c r="C245" i="6"/>
  <c r="B245" i="6"/>
  <c r="J244" i="6"/>
  <c r="I244" i="6"/>
  <c r="H244" i="6"/>
  <c r="G244" i="6"/>
  <c r="F244" i="6"/>
  <c r="E244" i="6"/>
  <c r="D244" i="6"/>
  <c r="C244" i="6"/>
  <c r="B244" i="6"/>
  <c r="J243" i="6"/>
  <c r="I243" i="6"/>
  <c r="H243" i="6"/>
  <c r="G243" i="6"/>
  <c r="F243" i="6"/>
  <c r="E243" i="6"/>
  <c r="D243" i="6"/>
  <c r="C243" i="6"/>
  <c r="B243" i="6"/>
  <c r="J242" i="6"/>
  <c r="I242" i="6"/>
  <c r="H242" i="6"/>
  <c r="G242" i="6"/>
  <c r="F242" i="6"/>
  <c r="E242" i="6"/>
  <c r="D242" i="6"/>
  <c r="C242" i="6"/>
  <c r="B242" i="6"/>
  <c r="J241" i="6"/>
  <c r="I241" i="6"/>
  <c r="H241" i="6"/>
  <c r="G241" i="6"/>
  <c r="F241" i="6"/>
  <c r="E241" i="6"/>
  <c r="D241" i="6"/>
  <c r="C241" i="6"/>
  <c r="B241" i="6"/>
  <c r="J240" i="6"/>
  <c r="I240" i="6"/>
  <c r="H240" i="6"/>
  <c r="G240" i="6"/>
  <c r="F240" i="6"/>
  <c r="E240" i="6"/>
  <c r="D240" i="6"/>
  <c r="C240" i="6"/>
  <c r="B240" i="6"/>
  <c r="J239" i="6"/>
  <c r="I239" i="6"/>
  <c r="H239" i="6"/>
  <c r="G239" i="6"/>
  <c r="F239" i="6"/>
  <c r="E239" i="6"/>
  <c r="D239" i="6"/>
  <c r="C239" i="6"/>
  <c r="B239" i="6"/>
  <c r="J238" i="6"/>
  <c r="I238" i="6"/>
  <c r="H238" i="6"/>
  <c r="G238" i="6"/>
  <c r="F238" i="6"/>
  <c r="E238" i="6"/>
  <c r="D238" i="6"/>
  <c r="C238" i="6"/>
  <c r="B238" i="6"/>
  <c r="J237" i="6"/>
  <c r="I237" i="6"/>
  <c r="H237" i="6"/>
  <c r="G237" i="6"/>
  <c r="F237" i="6"/>
  <c r="E237" i="6"/>
  <c r="D237" i="6"/>
  <c r="C237" i="6"/>
  <c r="B237" i="6"/>
  <c r="J236" i="6"/>
  <c r="I236" i="6"/>
  <c r="H236" i="6"/>
  <c r="G236" i="6"/>
  <c r="F236" i="6"/>
  <c r="E236" i="6"/>
  <c r="D236" i="6"/>
  <c r="C236" i="6"/>
  <c r="B236" i="6"/>
  <c r="J235" i="6"/>
  <c r="I235" i="6"/>
  <c r="H235" i="6"/>
  <c r="G235" i="6"/>
  <c r="F235" i="6"/>
  <c r="E235" i="6"/>
  <c r="D235" i="6"/>
  <c r="C235" i="6"/>
  <c r="B235" i="6"/>
  <c r="J234" i="6"/>
  <c r="I234" i="6"/>
  <c r="H234" i="6"/>
  <c r="G234" i="6"/>
  <c r="F234" i="6"/>
  <c r="E234" i="6"/>
  <c r="D234" i="6"/>
  <c r="C234" i="6"/>
  <c r="B234" i="6"/>
  <c r="J233" i="6"/>
  <c r="I233" i="6"/>
  <c r="H233" i="6"/>
  <c r="G233" i="6"/>
  <c r="F233" i="6"/>
  <c r="E233" i="6"/>
  <c r="D233" i="6"/>
  <c r="C233" i="6"/>
  <c r="B233" i="6"/>
  <c r="J232" i="6"/>
  <c r="I232" i="6"/>
  <c r="H232" i="6"/>
  <c r="G232" i="6"/>
  <c r="F232" i="6"/>
  <c r="E232" i="6"/>
  <c r="D232" i="6"/>
  <c r="C232" i="6"/>
  <c r="B232" i="6"/>
  <c r="J231" i="6"/>
  <c r="I231" i="6"/>
  <c r="H231" i="6"/>
  <c r="G231" i="6"/>
  <c r="F231" i="6"/>
  <c r="E231" i="6"/>
  <c r="D231" i="6"/>
  <c r="C231" i="6"/>
  <c r="B231" i="6"/>
  <c r="J230" i="6"/>
  <c r="I230" i="6"/>
  <c r="H230" i="6"/>
  <c r="G230" i="6"/>
  <c r="F230" i="6"/>
  <c r="E230" i="6"/>
  <c r="D230" i="6"/>
  <c r="C230" i="6"/>
  <c r="B230" i="6"/>
  <c r="J229" i="6"/>
  <c r="I229" i="6"/>
  <c r="H229" i="6"/>
  <c r="G229" i="6"/>
  <c r="F229" i="6"/>
  <c r="E229" i="6"/>
  <c r="D229" i="6"/>
  <c r="C229" i="6"/>
  <c r="B229" i="6"/>
  <c r="J228" i="6"/>
  <c r="I228" i="6"/>
  <c r="H228" i="6"/>
  <c r="G228" i="6"/>
  <c r="F228" i="6"/>
  <c r="E228" i="6"/>
  <c r="D228" i="6"/>
  <c r="C228" i="6"/>
  <c r="B228" i="6"/>
  <c r="J227" i="6"/>
  <c r="I227" i="6"/>
  <c r="H227" i="6"/>
  <c r="G227" i="6"/>
  <c r="F227" i="6"/>
  <c r="E227" i="6"/>
  <c r="D227" i="6"/>
  <c r="C227" i="6"/>
  <c r="B227" i="6"/>
  <c r="J226" i="6"/>
  <c r="I226" i="6"/>
  <c r="H226" i="6"/>
  <c r="G226" i="6"/>
  <c r="F226" i="6"/>
  <c r="E226" i="6"/>
  <c r="D226" i="6"/>
  <c r="C226" i="6"/>
  <c r="B226" i="6"/>
  <c r="J225" i="6"/>
  <c r="I225" i="6"/>
  <c r="H225" i="6"/>
  <c r="G225" i="6"/>
  <c r="F225" i="6"/>
  <c r="E225" i="6"/>
  <c r="D225" i="6"/>
  <c r="C225" i="6"/>
  <c r="B225" i="6"/>
  <c r="J224" i="6"/>
  <c r="I224" i="6"/>
  <c r="H224" i="6"/>
  <c r="G224" i="6"/>
  <c r="F224" i="6"/>
  <c r="E224" i="6"/>
  <c r="D224" i="6"/>
  <c r="C224" i="6"/>
  <c r="B224" i="6"/>
  <c r="J223" i="6"/>
  <c r="I223" i="6"/>
  <c r="H223" i="6"/>
  <c r="G223" i="6"/>
  <c r="F223" i="6"/>
  <c r="E223" i="6"/>
  <c r="D223" i="6"/>
  <c r="C223" i="6"/>
  <c r="B223" i="6"/>
  <c r="J222" i="6"/>
  <c r="I222" i="6"/>
  <c r="H222" i="6"/>
  <c r="G222" i="6"/>
  <c r="F222" i="6"/>
  <c r="E222" i="6"/>
  <c r="D222" i="6"/>
  <c r="C222" i="6"/>
  <c r="B222" i="6"/>
  <c r="J221" i="6"/>
  <c r="I221" i="6"/>
  <c r="H221" i="6"/>
  <c r="G221" i="6"/>
  <c r="F221" i="6"/>
  <c r="E221" i="6"/>
  <c r="D221" i="6"/>
  <c r="C221" i="6"/>
  <c r="B221" i="6"/>
  <c r="J220" i="6"/>
  <c r="I220" i="6"/>
  <c r="H220" i="6"/>
  <c r="G220" i="6"/>
  <c r="F220" i="6"/>
  <c r="E220" i="6"/>
  <c r="D220" i="6"/>
  <c r="C220" i="6"/>
  <c r="B220" i="6"/>
  <c r="J219" i="6"/>
  <c r="I219" i="6"/>
  <c r="H219" i="6"/>
  <c r="G219" i="6"/>
  <c r="F219" i="6"/>
  <c r="E219" i="6"/>
  <c r="D219" i="6"/>
  <c r="C219" i="6"/>
  <c r="B219" i="6"/>
  <c r="J218" i="6"/>
  <c r="I218" i="6"/>
  <c r="H218" i="6"/>
  <c r="G218" i="6"/>
  <c r="F218" i="6"/>
  <c r="E218" i="6"/>
  <c r="D218" i="6"/>
  <c r="C218" i="6"/>
  <c r="B218" i="6"/>
  <c r="J217" i="6"/>
  <c r="I217" i="6"/>
  <c r="H217" i="6"/>
  <c r="G217" i="6"/>
  <c r="F217" i="6"/>
  <c r="E217" i="6"/>
  <c r="D217" i="6"/>
  <c r="C217" i="6"/>
  <c r="B217" i="6"/>
  <c r="J216" i="6"/>
  <c r="I216" i="6"/>
  <c r="H216" i="6"/>
  <c r="G216" i="6"/>
  <c r="F216" i="6"/>
  <c r="E216" i="6"/>
  <c r="D216" i="6"/>
  <c r="C216" i="6"/>
  <c r="B216" i="6"/>
  <c r="J215" i="6"/>
  <c r="I215" i="6"/>
  <c r="H215" i="6"/>
  <c r="G215" i="6"/>
  <c r="F215" i="6"/>
  <c r="E215" i="6"/>
  <c r="D215" i="6"/>
  <c r="C215" i="6"/>
  <c r="B215" i="6"/>
  <c r="J214" i="6"/>
  <c r="I214" i="6"/>
  <c r="H214" i="6"/>
  <c r="G214" i="6"/>
  <c r="F214" i="6"/>
  <c r="E214" i="6"/>
  <c r="D214" i="6"/>
  <c r="C214" i="6"/>
  <c r="B214" i="6"/>
  <c r="J213" i="6"/>
  <c r="I213" i="6"/>
  <c r="H213" i="6"/>
  <c r="G213" i="6"/>
  <c r="F213" i="6"/>
  <c r="E213" i="6"/>
  <c r="D213" i="6"/>
  <c r="C213" i="6"/>
  <c r="B213" i="6"/>
  <c r="J212" i="6"/>
  <c r="I212" i="6"/>
  <c r="H212" i="6"/>
  <c r="G212" i="6"/>
  <c r="F212" i="6"/>
  <c r="E212" i="6"/>
  <c r="D212" i="6"/>
  <c r="C212" i="6"/>
  <c r="B212" i="6"/>
  <c r="J211" i="6"/>
  <c r="I211" i="6"/>
  <c r="H211" i="6"/>
  <c r="G211" i="6"/>
  <c r="F211" i="6"/>
  <c r="E211" i="6"/>
  <c r="D211" i="6"/>
  <c r="C211" i="6"/>
  <c r="B211" i="6"/>
  <c r="J210" i="6"/>
  <c r="I210" i="6"/>
  <c r="H210" i="6"/>
  <c r="G210" i="6"/>
  <c r="F210" i="6"/>
  <c r="E210" i="6"/>
  <c r="D210" i="6"/>
  <c r="C210" i="6"/>
  <c r="B210" i="6"/>
  <c r="J209" i="6"/>
  <c r="I209" i="6"/>
  <c r="H209" i="6"/>
  <c r="G209" i="6"/>
  <c r="F209" i="6"/>
  <c r="E209" i="6"/>
  <c r="D209" i="6"/>
  <c r="C209" i="6"/>
  <c r="B209" i="6"/>
  <c r="J208" i="6"/>
  <c r="I208" i="6"/>
  <c r="H208" i="6"/>
  <c r="G208" i="6"/>
  <c r="F208" i="6"/>
  <c r="E208" i="6"/>
  <c r="D208" i="6"/>
  <c r="C208" i="6"/>
  <c r="B208" i="6"/>
  <c r="J207" i="6"/>
  <c r="I207" i="6"/>
  <c r="H207" i="6"/>
  <c r="G207" i="6"/>
  <c r="F207" i="6"/>
  <c r="E207" i="6"/>
  <c r="D207" i="6"/>
  <c r="C207" i="6"/>
  <c r="B207" i="6"/>
  <c r="J206" i="6"/>
  <c r="I206" i="6"/>
  <c r="H206" i="6"/>
  <c r="G206" i="6"/>
  <c r="F206" i="6"/>
  <c r="E206" i="6"/>
  <c r="D206" i="6"/>
  <c r="C206" i="6"/>
  <c r="B206" i="6"/>
  <c r="J205" i="6"/>
  <c r="I205" i="6"/>
  <c r="H205" i="6"/>
  <c r="G205" i="6"/>
  <c r="F205" i="6"/>
  <c r="E205" i="6"/>
  <c r="D205" i="6"/>
  <c r="C205" i="6"/>
  <c r="B205" i="6"/>
  <c r="J204" i="6"/>
  <c r="I204" i="6"/>
  <c r="H204" i="6"/>
  <c r="G204" i="6"/>
  <c r="F204" i="6"/>
  <c r="E204" i="6"/>
  <c r="D204" i="6"/>
  <c r="C204" i="6"/>
  <c r="B204" i="6"/>
  <c r="J203" i="6"/>
  <c r="I203" i="6"/>
  <c r="H203" i="6"/>
  <c r="G203" i="6"/>
  <c r="F203" i="6"/>
  <c r="E203" i="6"/>
  <c r="D203" i="6"/>
  <c r="C203" i="6"/>
  <c r="B203" i="6"/>
  <c r="J202" i="6"/>
  <c r="I202" i="6"/>
  <c r="H202" i="6"/>
  <c r="G202" i="6"/>
  <c r="F202" i="6"/>
  <c r="E202" i="6"/>
  <c r="D202" i="6"/>
  <c r="C202" i="6"/>
  <c r="B202" i="6"/>
  <c r="J201" i="6"/>
  <c r="I201" i="6"/>
  <c r="H201" i="6"/>
  <c r="G201" i="6"/>
  <c r="F201" i="6"/>
  <c r="E201" i="6"/>
  <c r="D201" i="6"/>
  <c r="C201" i="6"/>
  <c r="B201" i="6"/>
  <c r="J200" i="6"/>
  <c r="I200" i="6"/>
  <c r="H200" i="6"/>
  <c r="G200" i="6"/>
  <c r="F200" i="6"/>
  <c r="E200" i="6"/>
  <c r="D200" i="6"/>
  <c r="C200" i="6"/>
  <c r="B200" i="6"/>
  <c r="J199" i="6"/>
  <c r="I199" i="6"/>
  <c r="H199" i="6"/>
  <c r="G199" i="6"/>
  <c r="F199" i="6"/>
  <c r="E199" i="6"/>
  <c r="D199" i="6"/>
  <c r="C199" i="6"/>
  <c r="B199" i="6"/>
  <c r="J198" i="6"/>
  <c r="I198" i="6"/>
  <c r="H198" i="6"/>
  <c r="G198" i="6"/>
  <c r="F198" i="6"/>
  <c r="E198" i="6"/>
  <c r="D198" i="6"/>
  <c r="C198" i="6"/>
  <c r="B198" i="6"/>
  <c r="J197" i="6"/>
  <c r="I197" i="6"/>
  <c r="H197" i="6"/>
  <c r="G197" i="6"/>
  <c r="F197" i="6"/>
  <c r="E197" i="6"/>
  <c r="D197" i="6"/>
  <c r="C197" i="6"/>
  <c r="B197" i="6"/>
  <c r="J196" i="6"/>
  <c r="I196" i="6"/>
  <c r="H196" i="6"/>
  <c r="G196" i="6"/>
  <c r="F196" i="6"/>
  <c r="E196" i="6"/>
  <c r="D196" i="6"/>
  <c r="C196" i="6"/>
  <c r="B196" i="6"/>
  <c r="J195" i="6"/>
  <c r="I195" i="6"/>
  <c r="H195" i="6"/>
  <c r="G195" i="6"/>
  <c r="F195" i="6"/>
  <c r="E195" i="6"/>
  <c r="D195" i="6"/>
  <c r="C195" i="6"/>
  <c r="B195" i="6"/>
  <c r="J194" i="6"/>
  <c r="I194" i="6"/>
  <c r="H194" i="6"/>
  <c r="G194" i="6"/>
  <c r="F194" i="6"/>
  <c r="E194" i="6"/>
  <c r="D194" i="6"/>
  <c r="C194" i="6"/>
  <c r="B194" i="6"/>
  <c r="J193" i="6"/>
  <c r="I193" i="6"/>
  <c r="H193" i="6"/>
  <c r="G193" i="6"/>
  <c r="F193" i="6"/>
  <c r="E193" i="6"/>
  <c r="D193" i="6"/>
  <c r="C193" i="6"/>
  <c r="B193" i="6"/>
  <c r="J192" i="6"/>
  <c r="I192" i="6"/>
  <c r="H192" i="6"/>
  <c r="G192" i="6"/>
  <c r="F192" i="6"/>
  <c r="E192" i="6"/>
  <c r="D192" i="6"/>
  <c r="C192" i="6"/>
  <c r="B192" i="6"/>
  <c r="J191" i="6"/>
  <c r="I191" i="6"/>
  <c r="H191" i="6"/>
  <c r="G191" i="6"/>
  <c r="F191" i="6"/>
  <c r="E191" i="6"/>
  <c r="D191" i="6"/>
  <c r="C191" i="6"/>
  <c r="B191" i="6"/>
  <c r="J190" i="6"/>
  <c r="I190" i="6"/>
  <c r="H190" i="6"/>
  <c r="G190" i="6"/>
  <c r="F190" i="6"/>
  <c r="E190" i="6"/>
  <c r="D190" i="6"/>
  <c r="C190" i="6"/>
  <c r="B190" i="6"/>
  <c r="J189" i="6"/>
  <c r="I189" i="6"/>
  <c r="H189" i="6"/>
  <c r="G189" i="6"/>
  <c r="F189" i="6"/>
  <c r="E189" i="6"/>
  <c r="D189" i="6"/>
  <c r="C189" i="6"/>
  <c r="B189" i="6"/>
  <c r="J188" i="6"/>
  <c r="I188" i="6"/>
  <c r="H188" i="6"/>
  <c r="G188" i="6"/>
  <c r="F188" i="6"/>
  <c r="E188" i="6"/>
  <c r="D188" i="6"/>
  <c r="C188" i="6"/>
  <c r="B188" i="6"/>
  <c r="J187" i="6"/>
  <c r="I187" i="6"/>
  <c r="H187" i="6"/>
  <c r="G187" i="6"/>
  <c r="F187" i="6"/>
  <c r="E187" i="6"/>
  <c r="D187" i="6"/>
  <c r="C187" i="6"/>
  <c r="B187" i="6"/>
  <c r="J186" i="6"/>
  <c r="I186" i="6"/>
  <c r="H186" i="6"/>
  <c r="G186" i="6"/>
  <c r="F186" i="6"/>
  <c r="E186" i="6"/>
  <c r="D186" i="6"/>
  <c r="C186" i="6"/>
  <c r="B186" i="6"/>
  <c r="J185" i="6"/>
  <c r="I185" i="6"/>
  <c r="H185" i="6"/>
  <c r="G185" i="6"/>
  <c r="F185" i="6"/>
  <c r="E185" i="6"/>
  <c r="D185" i="6"/>
  <c r="C185" i="6"/>
  <c r="B185" i="6"/>
  <c r="J184" i="6"/>
  <c r="I184" i="6"/>
  <c r="H184" i="6"/>
  <c r="G184" i="6"/>
  <c r="F184" i="6"/>
  <c r="E184" i="6"/>
  <c r="D184" i="6"/>
  <c r="C184" i="6"/>
  <c r="B184" i="6"/>
  <c r="J183" i="6"/>
  <c r="I183" i="6"/>
  <c r="H183" i="6"/>
  <c r="G183" i="6"/>
  <c r="F183" i="6"/>
  <c r="E183" i="6"/>
  <c r="D183" i="6"/>
  <c r="C183" i="6"/>
  <c r="B183" i="6"/>
  <c r="J182" i="6"/>
  <c r="I182" i="6"/>
  <c r="H182" i="6"/>
  <c r="G182" i="6"/>
  <c r="F182" i="6"/>
  <c r="E182" i="6"/>
  <c r="D182" i="6"/>
  <c r="C182" i="6"/>
  <c r="B182" i="6"/>
  <c r="J181" i="6"/>
  <c r="I181" i="6"/>
  <c r="H181" i="6"/>
  <c r="G181" i="6"/>
  <c r="F181" i="6"/>
  <c r="E181" i="6"/>
  <c r="D181" i="6"/>
  <c r="C181" i="6"/>
  <c r="B181" i="6"/>
  <c r="J180" i="6"/>
  <c r="I180" i="6"/>
  <c r="H180" i="6"/>
  <c r="G180" i="6"/>
  <c r="F180" i="6"/>
  <c r="E180" i="6"/>
  <c r="D180" i="6"/>
  <c r="C180" i="6"/>
  <c r="B180" i="6"/>
  <c r="J179" i="6"/>
  <c r="I179" i="6"/>
  <c r="H179" i="6"/>
  <c r="G179" i="6"/>
  <c r="F179" i="6"/>
  <c r="E179" i="6"/>
  <c r="D179" i="6"/>
  <c r="C179" i="6"/>
  <c r="B179" i="6"/>
  <c r="J178" i="6"/>
  <c r="I178" i="6"/>
  <c r="H178" i="6"/>
  <c r="G178" i="6"/>
  <c r="F178" i="6"/>
  <c r="E178" i="6"/>
  <c r="D178" i="6"/>
  <c r="C178" i="6"/>
  <c r="B178" i="6"/>
  <c r="J177" i="6"/>
  <c r="I177" i="6"/>
  <c r="H177" i="6"/>
  <c r="G177" i="6"/>
  <c r="F177" i="6"/>
  <c r="E177" i="6"/>
  <c r="D177" i="6"/>
  <c r="C177" i="6"/>
  <c r="B177" i="6"/>
  <c r="J176" i="6"/>
  <c r="I176" i="6"/>
  <c r="H176" i="6"/>
  <c r="G176" i="6"/>
  <c r="F176" i="6"/>
  <c r="E176" i="6"/>
  <c r="D176" i="6"/>
  <c r="C176" i="6"/>
  <c r="B176" i="6"/>
  <c r="J175" i="6"/>
  <c r="I175" i="6"/>
  <c r="H175" i="6"/>
  <c r="G175" i="6"/>
  <c r="F175" i="6"/>
  <c r="E175" i="6"/>
  <c r="D175" i="6"/>
  <c r="C175" i="6"/>
  <c r="B175" i="6"/>
  <c r="J174" i="6"/>
  <c r="I174" i="6"/>
  <c r="H174" i="6"/>
  <c r="G174" i="6"/>
  <c r="F174" i="6"/>
  <c r="E174" i="6"/>
  <c r="D174" i="6"/>
  <c r="C174" i="6"/>
  <c r="B174" i="6"/>
  <c r="J173" i="6"/>
  <c r="I173" i="6"/>
  <c r="H173" i="6"/>
  <c r="G173" i="6"/>
  <c r="F173" i="6"/>
  <c r="E173" i="6"/>
  <c r="D173" i="6"/>
  <c r="C173" i="6"/>
  <c r="B173" i="6"/>
  <c r="J172" i="6"/>
  <c r="I172" i="6"/>
  <c r="H172" i="6"/>
  <c r="G172" i="6"/>
  <c r="F172" i="6"/>
  <c r="E172" i="6"/>
  <c r="D172" i="6"/>
  <c r="C172" i="6"/>
  <c r="B172" i="6"/>
  <c r="J171" i="6"/>
  <c r="I171" i="6"/>
  <c r="H171" i="6"/>
  <c r="G171" i="6"/>
  <c r="F171" i="6"/>
  <c r="E171" i="6"/>
  <c r="D171" i="6"/>
  <c r="C171" i="6"/>
  <c r="B171" i="6"/>
  <c r="J170" i="6"/>
  <c r="I170" i="6"/>
  <c r="H170" i="6"/>
  <c r="G170" i="6"/>
  <c r="F170" i="6"/>
  <c r="E170" i="6"/>
  <c r="D170" i="6"/>
  <c r="C170" i="6"/>
  <c r="B170" i="6"/>
  <c r="J169" i="6"/>
  <c r="I169" i="6"/>
  <c r="H169" i="6"/>
  <c r="G169" i="6"/>
  <c r="F169" i="6"/>
  <c r="E169" i="6"/>
  <c r="D169" i="6"/>
  <c r="C169" i="6"/>
  <c r="B169" i="6"/>
  <c r="J168" i="6"/>
  <c r="I168" i="6"/>
  <c r="H168" i="6"/>
  <c r="G168" i="6"/>
  <c r="F168" i="6"/>
  <c r="E168" i="6"/>
  <c r="D168" i="6"/>
  <c r="C168" i="6"/>
  <c r="B168" i="6"/>
  <c r="J167" i="6"/>
  <c r="I167" i="6"/>
  <c r="H167" i="6"/>
  <c r="G167" i="6"/>
  <c r="F167" i="6"/>
  <c r="E167" i="6"/>
  <c r="D167" i="6"/>
  <c r="C167" i="6"/>
  <c r="B167" i="6"/>
  <c r="J166" i="6"/>
  <c r="I166" i="6"/>
  <c r="H166" i="6"/>
  <c r="G166" i="6"/>
  <c r="F166" i="6"/>
  <c r="E166" i="6"/>
  <c r="D166" i="6"/>
  <c r="C166" i="6"/>
  <c r="B166" i="6"/>
  <c r="J165" i="6"/>
  <c r="I165" i="6"/>
  <c r="H165" i="6"/>
  <c r="G165" i="6"/>
  <c r="F165" i="6"/>
  <c r="E165" i="6"/>
  <c r="D165" i="6"/>
  <c r="C165" i="6"/>
  <c r="B165" i="6"/>
  <c r="J164" i="6"/>
  <c r="I164" i="6"/>
  <c r="H164" i="6"/>
  <c r="G164" i="6"/>
  <c r="F164" i="6"/>
  <c r="E164" i="6"/>
  <c r="D164" i="6"/>
  <c r="C164" i="6"/>
  <c r="B164" i="6"/>
  <c r="J163" i="6"/>
  <c r="I163" i="6"/>
  <c r="H163" i="6"/>
  <c r="G163" i="6"/>
  <c r="F163" i="6"/>
  <c r="E163" i="6"/>
  <c r="D163" i="6"/>
  <c r="C163" i="6"/>
  <c r="B163" i="6"/>
  <c r="J162" i="6"/>
  <c r="I162" i="6"/>
  <c r="H162" i="6"/>
  <c r="G162" i="6"/>
  <c r="F162" i="6"/>
  <c r="E162" i="6"/>
  <c r="D162" i="6"/>
  <c r="C162" i="6"/>
  <c r="B162" i="6"/>
  <c r="J161" i="6"/>
  <c r="I161" i="6"/>
  <c r="H161" i="6"/>
  <c r="G161" i="6"/>
  <c r="F161" i="6"/>
  <c r="E161" i="6"/>
  <c r="D161" i="6"/>
  <c r="C161" i="6"/>
  <c r="B161" i="6"/>
  <c r="J160" i="6"/>
  <c r="I160" i="6"/>
  <c r="H160" i="6"/>
  <c r="G160" i="6"/>
  <c r="F160" i="6"/>
  <c r="E160" i="6"/>
  <c r="D160" i="6"/>
  <c r="C160" i="6"/>
  <c r="B160" i="6"/>
  <c r="J159" i="6"/>
  <c r="I159" i="6"/>
  <c r="H159" i="6"/>
  <c r="G159" i="6"/>
  <c r="F159" i="6"/>
  <c r="E159" i="6"/>
  <c r="D159" i="6"/>
  <c r="C159" i="6"/>
  <c r="B159" i="6"/>
  <c r="J158" i="6"/>
  <c r="I158" i="6"/>
  <c r="H158" i="6"/>
  <c r="G158" i="6"/>
  <c r="F158" i="6"/>
  <c r="E158" i="6"/>
  <c r="D158" i="6"/>
  <c r="C158" i="6"/>
  <c r="B158" i="6"/>
  <c r="J157" i="6"/>
  <c r="I157" i="6"/>
  <c r="H157" i="6"/>
  <c r="G157" i="6"/>
  <c r="F157" i="6"/>
  <c r="E157" i="6"/>
  <c r="D157" i="6"/>
  <c r="C157" i="6"/>
  <c r="B157" i="6"/>
  <c r="J156" i="6"/>
  <c r="I156" i="6"/>
  <c r="H156" i="6"/>
  <c r="G156" i="6"/>
  <c r="F156" i="6"/>
  <c r="E156" i="6"/>
  <c r="D156" i="6"/>
  <c r="C156" i="6"/>
  <c r="B156" i="6"/>
  <c r="J155" i="6"/>
  <c r="I155" i="6"/>
  <c r="H155" i="6"/>
  <c r="G155" i="6"/>
  <c r="F155" i="6"/>
  <c r="E155" i="6"/>
  <c r="D155" i="6"/>
  <c r="C155" i="6"/>
  <c r="B155" i="6"/>
  <c r="J154" i="6"/>
  <c r="I154" i="6"/>
  <c r="H154" i="6"/>
  <c r="G154" i="6"/>
  <c r="F154" i="6"/>
  <c r="E154" i="6"/>
  <c r="D154" i="6"/>
  <c r="C154" i="6"/>
  <c r="B154" i="6"/>
  <c r="J153" i="6"/>
  <c r="I153" i="6"/>
  <c r="H153" i="6"/>
  <c r="G153" i="6"/>
  <c r="F153" i="6"/>
  <c r="E153" i="6"/>
  <c r="D153" i="6"/>
  <c r="C153" i="6"/>
  <c r="B153" i="6"/>
  <c r="J152" i="6"/>
  <c r="I152" i="6"/>
  <c r="H152" i="6"/>
  <c r="G152" i="6"/>
  <c r="F152" i="6"/>
  <c r="E152" i="6"/>
  <c r="D152" i="6"/>
  <c r="C152" i="6"/>
  <c r="B152" i="6"/>
  <c r="J151" i="6"/>
  <c r="I151" i="6"/>
  <c r="H151" i="6"/>
  <c r="G151" i="6"/>
  <c r="F151" i="6"/>
  <c r="E151" i="6"/>
  <c r="D151" i="6"/>
  <c r="C151" i="6"/>
  <c r="B151" i="6"/>
  <c r="J150" i="6"/>
  <c r="I150" i="6"/>
  <c r="H150" i="6"/>
  <c r="G150" i="6"/>
  <c r="F150" i="6"/>
  <c r="E150" i="6"/>
  <c r="D150" i="6"/>
  <c r="C150" i="6"/>
  <c r="B150" i="6"/>
  <c r="J149" i="6"/>
  <c r="I149" i="6"/>
  <c r="H149" i="6"/>
  <c r="G149" i="6"/>
  <c r="F149" i="6"/>
  <c r="E149" i="6"/>
  <c r="D149" i="6"/>
  <c r="C149" i="6"/>
  <c r="B149" i="6"/>
  <c r="J148" i="6"/>
  <c r="I148" i="6"/>
  <c r="H148" i="6"/>
  <c r="G148" i="6"/>
  <c r="F148" i="6"/>
  <c r="E148" i="6"/>
  <c r="D148" i="6"/>
  <c r="C148" i="6"/>
  <c r="B148" i="6"/>
  <c r="J147" i="6"/>
  <c r="I147" i="6"/>
  <c r="H147" i="6"/>
  <c r="G147" i="6"/>
  <c r="F147" i="6"/>
  <c r="E147" i="6"/>
  <c r="D147" i="6"/>
  <c r="C147" i="6"/>
  <c r="B147" i="6"/>
  <c r="J146" i="6"/>
  <c r="I146" i="6"/>
  <c r="H146" i="6"/>
  <c r="G146" i="6"/>
  <c r="F146" i="6"/>
  <c r="E146" i="6"/>
  <c r="D146" i="6"/>
  <c r="C146" i="6"/>
  <c r="B146" i="6"/>
  <c r="J145" i="6"/>
  <c r="I145" i="6"/>
  <c r="H145" i="6"/>
  <c r="G145" i="6"/>
  <c r="F145" i="6"/>
  <c r="E145" i="6"/>
  <c r="D145" i="6"/>
  <c r="C145" i="6"/>
  <c r="B145" i="6"/>
  <c r="J144" i="6"/>
  <c r="I144" i="6"/>
  <c r="H144" i="6"/>
  <c r="G144" i="6"/>
  <c r="F144" i="6"/>
  <c r="E144" i="6"/>
  <c r="D144" i="6"/>
  <c r="C144" i="6"/>
  <c r="B144" i="6"/>
  <c r="J143" i="6"/>
  <c r="I143" i="6"/>
  <c r="H143" i="6"/>
  <c r="G143" i="6"/>
  <c r="F143" i="6"/>
  <c r="E143" i="6"/>
  <c r="D143" i="6"/>
  <c r="C143" i="6"/>
  <c r="B143" i="6"/>
  <c r="J142" i="6"/>
  <c r="I142" i="6"/>
  <c r="H142" i="6"/>
  <c r="G142" i="6"/>
  <c r="F142" i="6"/>
  <c r="E142" i="6"/>
  <c r="D142" i="6"/>
  <c r="C142" i="6"/>
  <c r="B142" i="6"/>
  <c r="J141" i="6"/>
  <c r="I141" i="6"/>
  <c r="H141" i="6"/>
  <c r="G141" i="6"/>
  <c r="F141" i="6"/>
  <c r="E141" i="6"/>
  <c r="D141" i="6"/>
  <c r="C141" i="6"/>
  <c r="B141" i="6"/>
  <c r="J140" i="6"/>
  <c r="I140" i="6"/>
  <c r="H140" i="6"/>
  <c r="G140" i="6"/>
  <c r="F140" i="6"/>
  <c r="E140" i="6"/>
  <c r="D140" i="6"/>
  <c r="C140" i="6"/>
  <c r="B140" i="6"/>
  <c r="J139" i="6"/>
  <c r="I139" i="6"/>
  <c r="H139" i="6"/>
  <c r="G139" i="6"/>
  <c r="F139" i="6"/>
  <c r="E139" i="6"/>
  <c r="D139" i="6"/>
  <c r="C139" i="6"/>
  <c r="B139" i="6"/>
  <c r="J138" i="6"/>
  <c r="I138" i="6"/>
  <c r="H138" i="6"/>
  <c r="G138" i="6"/>
  <c r="F138" i="6"/>
  <c r="E138" i="6"/>
  <c r="D138" i="6"/>
  <c r="C138" i="6"/>
  <c r="B138" i="6"/>
  <c r="J137" i="6"/>
  <c r="I137" i="6"/>
  <c r="H137" i="6"/>
  <c r="G137" i="6"/>
  <c r="F137" i="6"/>
  <c r="E137" i="6"/>
  <c r="D137" i="6"/>
  <c r="C137" i="6"/>
  <c r="B137" i="6"/>
  <c r="J136" i="6"/>
  <c r="I136" i="6"/>
  <c r="H136" i="6"/>
  <c r="G136" i="6"/>
  <c r="F136" i="6"/>
  <c r="E136" i="6"/>
  <c r="D136" i="6"/>
  <c r="C136" i="6"/>
  <c r="B136" i="6"/>
  <c r="J135" i="6"/>
  <c r="I135" i="6"/>
  <c r="H135" i="6"/>
  <c r="G135" i="6"/>
  <c r="F135" i="6"/>
  <c r="E135" i="6"/>
  <c r="D135" i="6"/>
  <c r="C135" i="6"/>
  <c r="B135" i="6"/>
  <c r="J134" i="6"/>
  <c r="I134" i="6"/>
  <c r="H134" i="6"/>
  <c r="G134" i="6"/>
  <c r="F134" i="6"/>
  <c r="E134" i="6"/>
  <c r="D134" i="6"/>
  <c r="C134" i="6"/>
  <c r="B134" i="6"/>
  <c r="J133" i="6"/>
  <c r="I133" i="6"/>
  <c r="H133" i="6"/>
  <c r="G133" i="6"/>
  <c r="F133" i="6"/>
  <c r="E133" i="6"/>
  <c r="D133" i="6"/>
  <c r="C133" i="6"/>
  <c r="B133" i="6"/>
  <c r="J132" i="6"/>
  <c r="I132" i="6"/>
  <c r="H132" i="6"/>
  <c r="G132" i="6"/>
  <c r="F132" i="6"/>
  <c r="E132" i="6"/>
  <c r="D132" i="6"/>
  <c r="C132" i="6"/>
  <c r="B132" i="6"/>
  <c r="J131" i="6"/>
  <c r="I131" i="6"/>
  <c r="H131" i="6"/>
  <c r="G131" i="6"/>
  <c r="F131" i="6"/>
  <c r="E131" i="6"/>
  <c r="D131" i="6"/>
  <c r="C131" i="6"/>
  <c r="B131" i="6"/>
  <c r="J130" i="6"/>
  <c r="I130" i="6"/>
  <c r="H130" i="6"/>
  <c r="G130" i="6"/>
  <c r="F130" i="6"/>
  <c r="E130" i="6"/>
  <c r="D130" i="6"/>
  <c r="C130" i="6"/>
  <c r="B130" i="6"/>
  <c r="J129" i="6"/>
  <c r="I129" i="6"/>
  <c r="H129" i="6"/>
  <c r="G129" i="6"/>
  <c r="F129" i="6"/>
  <c r="E129" i="6"/>
  <c r="D129" i="6"/>
  <c r="C129" i="6"/>
  <c r="B129" i="6"/>
  <c r="J128" i="6"/>
  <c r="I128" i="6"/>
  <c r="H128" i="6"/>
  <c r="G128" i="6"/>
  <c r="F128" i="6"/>
  <c r="E128" i="6"/>
  <c r="D128" i="6"/>
  <c r="C128" i="6"/>
  <c r="B128" i="6"/>
  <c r="J127" i="6"/>
  <c r="I127" i="6"/>
  <c r="H127" i="6"/>
  <c r="G127" i="6"/>
  <c r="F127" i="6"/>
  <c r="E127" i="6"/>
  <c r="D127" i="6"/>
  <c r="C127" i="6"/>
  <c r="B127" i="6"/>
  <c r="J126" i="6"/>
  <c r="I126" i="6"/>
  <c r="H126" i="6"/>
  <c r="G126" i="6"/>
  <c r="F126" i="6"/>
  <c r="E126" i="6"/>
  <c r="D126" i="6"/>
  <c r="C126" i="6"/>
  <c r="B126" i="6"/>
  <c r="J125" i="6"/>
  <c r="I125" i="6"/>
  <c r="H125" i="6"/>
  <c r="G125" i="6"/>
  <c r="F125" i="6"/>
  <c r="E125" i="6"/>
  <c r="D125" i="6"/>
  <c r="C125" i="6"/>
  <c r="B125" i="6"/>
  <c r="J124" i="6"/>
  <c r="I124" i="6"/>
  <c r="H124" i="6"/>
  <c r="G124" i="6"/>
  <c r="F124" i="6"/>
  <c r="E124" i="6"/>
  <c r="D124" i="6"/>
  <c r="C124" i="6"/>
  <c r="B124" i="6"/>
  <c r="J123" i="6"/>
  <c r="I123" i="6"/>
  <c r="H123" i="6"/>
  <c r="G123" i="6"/>
  <c r="F123" i="6"/>
  <c r="E123" i="6"/>
  <c r="D123" i="6"/>
  <c r="C123" i="6"/>
  <c r="B123" i="6"/>
  <c r="J122" i="6"/>
  <c r="I122" i="6"/>
  <c r="H122" i="6"/>
  <c r="G122" i="6"/>
  <c r="F122" i="6"/>
  <c r="E122" i="6"/>
  <c r="D122" i="6"/>
  <c r="C122" i="6"/>
  <c r="B122" i="6"/>
  <c r="J121" i="6"/>
  <c r="I121" i="6"/>
  <c r="H121" i="6"/>
  <c r="G121" i="6"/>
  <c r="F121" i="6"/>
  <c r="E121" i="6"/>
  <c r="D121" i="6"/>
  <c r="C121" i="6"/>
  <c r="B121" i="6"/>
  <c r="J120" i="6"/>
  <c r="I120" i="6"/>
  <c r="H120" i="6"/>
  <c r="G120" i="6"/>
  <c r="F120" i="6"/>
  <c r="E120" i="6"/>
  <c r="D120" i="6"/>
  <c r="C120" i="6"/>
  <c r="B120" i="6"/>
  <c r="J119" i="6"/>
  <c r="I119" i="6"/>
  <c r="H119" i="6"/>
  <c r="G119" i="6"/>
  <c r="F119" i="6"/>
  <c r="E119" i="6"/>
  <c r="D119" i="6"/>
  <c r="C119" i="6"/>
  <c r="B119" i="6"/>
  <c r="J118" i="6"/>
  <c r="I118" i="6"/>
  <c r="H118" i="6"/>
  <c r="G118" i="6"/>
  <c r="F118" i="6"/>
  <c r="E118" i="6"/>
  <c r="D118" i="6"/>
  <c r="C118" i="6"/>
  <c r="B118" i="6"/>
  <c r="J117" i="6"/>
  <c r="I117" i="6"/>
  <c r="H117" i="6"/>
  <c r="G117" i="6"/>
  <c r="F117" i="6"/>
  <c r="E117" i="6"/>
  <c r="D117" i="6"/>
  <c r="C117" i="6"/>
  <c r="B117" i="6"/>
  <c r="J116" i="6"/>
  <c r="I116" i="6"/>
  <c r="H116" i="6"/>
  <c r="G116" i="6"/>
  <c r="F116" i="6"/>
  <c r="E116" i="6"/>
  <c r="D116" i="6"/>
  <c r="C116" i="6"/>
  <c r="B116" i="6"/>
  <c r="J115" i="6"/>
  <c r="I115" i="6"/>
  <c r="H115" i="6"/>
  <c r="G115" i="6"/>
  <c r="F115" i="6"/>
  <c r="E115" i="6"/>
  <c r="D115" i="6"/>
  <c r="C115" i="6"/>
  <c r="J114" i="6"/>
  <c r="I114" i="6"/>
  <c r="H114" i="6"/>
  <c r="G114" i="6"/>
  <c r="F114" i="6"/>
  <c r="E114" i="6"/>
  <c r="D114" i="6"/>
  <c r="C114" i="6"/>
  <c r="B114" i="6"/>
  <c r="J113" i="6"/>
  <c r="I113" i="6"/>
  <c r="H113" i="6"/>
  <c r="G113" i="6"/>
  <c r="F113" i="6"/>
  <c r="E113" i="6"/>
  <c r="D113" i="6"/>
  <c r="C113" i="6"/>
  <c r="B113" i="6"/>
  <c r="J112" i="6"/>
  <c r="I112" i="6"/>
  <c r="H112" i="6"/>
  <c r="G112" i="6"/>
  <c r="F112" i="6"/>
  <c r="E112" i="6"/>
  <c r="D112" i="6"/>
  <c r="C112" i="6"/>
  <c r="B112" i="6"/>
  <c r="J111" i="6"/>
  <c r="I111" i="6"/>
  <c r="H111" i="6"/>
  <c r="G111" i="6"/>
  <c r="F111" i="6"/>
  <c r="E111" i="6"/>
  <c r="D111" i="6"/>
  <c r="C111" i="6"/>
  <c r="B111" i="6"/>
  <c r="J110" i="6"/>
  <c r="I110" i="6"/>
  <c r="H110" i="6"/>
  <c r="G110" i="6"/>
  <c r="F110" i="6"/>
  <c r="E110" i="6"/>
  <c r="D110" i="6"/>
  <c r="C110" i="6"/>
  <c r="B110" i="6"/>
  <c r="J109" i="6"/>
  <c r="I109" i="6"/>
  <c r="H109" i="6"/>
  <c r="G109" i="6"/>
  <c r="F109" i="6"/>
  <c r="E109" i="6"/>
  <c r="D109" i="6"/>
  <c r="C109" i="6"/>
  <c r="B109" i="6"/>
  <c r="J108" i="6"/>
  <c r="I108" i="6"/>
  <c r="H108" i="6"/>
  <c r="G108" i="6"/>
  <c r="F108" i="6"/>
  <c r="E108" i="6"/>
  <c r="D108" i="6"/>
  <c r="C108" i="6"/>
  <c r="B108" i="6"/>
  <c r="J107" i="6"/>
  <c r="I107" i="6"/>
  <c r="H107" i="6"/>
  <c r="G107" i="6"/>
  <c r="F107" i="6"/>
  <c r="E107" i="6"/>
  <c r="D107" i="6"/>
  <c r="C107" i="6"/>
  <c r="B107" i="6"/>
  <c r="J106" i="6"/>
  <c r="I106" i="6"/>
  <c r="H106" i="6"/>
  <c r="G106" i="6"/>
  <c r="F106" i="6"/>
  <c r="E106" i="6"/>
  <c r="D106" i="6"/>
  <c r="C106" i="6"/>
  <c r="B106" i="6"/>
  <c r="J105" i="6"/>
  <c r="I105" i="6"/>
  <c r="H105" i="6"/>
  <c r="G105" i="6"/>
  <c r="F105" i="6"/>
  <c r="E105" i="6"/>
  <c r="D105" i="6"/>
  <c r="C105" i="6"/>
  <c r="B105" i="6"/>
  <c r="J104" i="6"/>
  <c r="I104" i="6"/>
  <c r="H104" i="6"/>
  <c r="G104" i="6"/>
  <c r="F104" i="6"/>
  <c r="E104" i="6"/>
  <c r="D104" i="6"/>
  <c r="C104" i="6"/>
  <c r="B104" i="6"/>
  <c r="J103" i="6"/>
  <c r="I103" i="6"/>
  <c r="H103" i="6"/>
  <c r="G103" i="6"/>
  <c r="F103" i="6"/>
  <c r="E103" i="6"/>
  <c r="D103" i="6"/>
  <c r="C103" i="6"/>
  <c r="B103" i="6"/>
  <c r="J102" i="6"/>
  <c r="I102" i="6"/>
  <c r="H102" i="6"/>
  <c r="G102" i="6"/>
  <c r="F102" i="6"/>
  <c r="E102" i="6"/>
  <c r="D102" i="6"/>
  <c r="C102" i="6"/>
  <c r="B102" i="6"/>
  <c r="J101" i="6"/>
  <c r="I101" i="6"/>
  <c r="H101" i="6"/>
  <c r="G101" i="6"/>
  <c r="F101" i="6"/>
  <c r="E101" i="6"/>
  <c r="D101" i="6"/>
  <c r="C101" i="6"/>
  <c r="B101" i="6"/>
  <c r="J100" i="6"/>
  <c r="I100" i="6"/>
  <c r="H100" i="6"/>
  <c r="G100" i="6"/>
  <c r="F100" i="6"/>
  <c r="E100" i="6"/>
  <c r="D100" i="6"/>
  <c r="C100" i="6"/>
  <c r="B100" i="6"/>
  <c r="J99" i="6"/>
  <c r="I99" i="6"/>
  <c r="H99" i="6"/>
  <c r="G99" i="6"/>
  <c r="F99" i="6"/>
  <c r="E99" i="6"/>
  <c r="D99" i="6"/>
  <c r="C99" i="6"/>
  <c r="B99" i="6"/>
  <c r="J98" i="6"/>
  <c r="I98" i="6"/>
  <c r="H98" i="6"/>
  <c r="G98" i="6"/>
  <c r="F98" i="6"/>
  <c r="E98" i="6"/>
  <c r="D98" i="6"/>
  <c r="C98" i="6"/>
  <c r="B98" i="6"/>
  <c r="J97" i="6"/>
  <c r="I97" i="6"/>
  <c r="H97" i="6"/>
  <c r="G97" i="6"/>
  <c r="F97" i="6"/>
  <c r="E97" i="6"/>
  <c r="D97" i="6"/>
  <c r="C97" i="6"/>
  <c r="B97" i="6"/>
  <c r="J96" i="6"/>
  <c r="I96" i="6"/>
  <c r="H96" i="6"/>
  <c r="G96" i="6"/>
  <c r="F96" i="6"/>
  <c r="E96" i="6"/>
  <c r="D96" i="6"/>
  <c r="C96" i="6"/>
  <c r="B96" i="6"/>
  <c r="J95" i="6"/>
  <c r="I95" i="6"/>
  <c r="H95" i="6"/>
  <c r="G95" i="6"/>
  <c r="F95" i="6"/>
  <c r="E95" i="6"/>
  <c r="D95" i="6"/>
  <c r="C95" i="6"/>
  <c r="B95" i="6"/>
  <c r="J94" i="6"/>
  <c r="I94" i="6"/>
  <c r="H94" i="6"/>
  <c r="G94" i="6"/>
  <c r="F94" i="6"/>
  <c r="E94" i="6"/>
  <c r="D94" i="6"/>
  <c r="C94" i="6"/>
  <c r="B94" i="6"/>
  <c r="J93" i="6"/>
  <c r="I93" i="6"/>
  <c r="H93" i="6"/>
  <c r="G93" i="6"/>
  <c r="F93" i="6"/>
  <c r="E93" i="6"/>
  <c r="D93" i="6"/>
  <c r="C93" i="6"/>
  <c r="B93" i="6"/>
  <c r="J92" i="6"/>
  <c r="I92" i="6"/>
  <c r="H92" i="6"/>
  <c r="G92" i="6"/>
  <c r="F92" i="6"/>
  <c r="E92" i="6"/>
  <c r="D92" i="6"/>
  <c r="C92" i="6"/>
  <c r="B92" i="6"/>
  <c r="J91" i="6"/>
  <c r="I91" i="6"/>
  <c r="H91" i="6"/>
  <c r="G91" i="6"/>
  <c r="F91" i="6"/>
  <c r="E91" i="6"/>
  <c r="D91" i="6"/>
  <c r="C91" i="6"/>
  <c r="B91" i="6"/>
  <c r="J90" i="6"/>
  <c r="I90" i="6"/>
  <c r="H90" i="6"/>
  <c r="G90" i="6"/>
  <c r="F90" i="6"/>
  <c r="E90" i="6"/>
  <c r="D90" i="6"/>
  <c r="C90" i="6"/>
  <c r="B90" i="6"/>
  <c r="J89" i="6"/>
  <c r="I89" i="6"/>
  <c r="H89" i="6"/>
  <c r="G89" i="6"/>
  <c r="F89" i="6"/>
  <c r="E89" i="6"/>
  <c r="D89" i="6"/>
  <c r="C89" i="6"/>
  <c r="B89" i="6"/>
  <c r="J88" i="6"/>
  <c r="I88" i="6"/>
  <c r="H88" i="6"/>
  <c r="G88" i="6"/>
  <c r="F88" i="6"/>
  <c r="E88" i="6"/>
  <c r="D88" i="6"/>
  <c r="C88" i="6"/>
  <c r="B88" i="6"/>
  <c r="J87" i="6"/>
  <c r="I87" i="6"/>
  <c r="H87" i="6"/>
  <c r="G87" i="6"/>
  <c r="F87" i="6"/>
  <c r="E87" i="6"/>
  <c r="D87" i="6"/>
  <c r="C87" i="6"/>
  <c r="B87" i="6"/>
  <c r="J86" i="6"/>
  <c r="I86" i="6"/>
  <c r="H86" i="6"/>
  <c r="G86" i="6"/>
  <c r="F86" i="6"/>
  <c r="E86" i="6"/>
  <c r="D86" i="6"/>
  <c r="C86" i="6"/>
  <c r="B86" i="6"/>
  <c r="J85" i="6"/>
  <c r="I85" i="6"/>
  <c r="H85" i="6"/>
  <c r="G85" i="6"/>
  <c r="F85" i="6"/>
  <c r="E85" i="6"/>
  <c r="D85" i="6"/>
  <c r="C85" i="6"/>
  <c r="B85" i="6"/>
  <c r="J84" i="6"/>
  <c r="I84" i="6"/>
  <c r="H84" i="6"/>
  <c r="G84" i="6"/>
  <c r="F84" i="6"/>
  <c r="E84" i="6"/>
  <c r="D84" i="6"/>
  <c r="C84" i="6"/>
  <c r="B84" i="6"/>
  <c r="J83" i="6"/>
  <c r="I83" i="6"/>
  <c r="H83" i="6"/>
  <c r="G83" i="6"/>
  <c r="F83" i="6"/>
  <c r="E83" i="6"/>
  <c r="D83" i="6"/>
  <c r="C83" i="6"/>
  <c r="B83" i="6"/>
  <c r="J82" i="6"/>
  <c r="I82" i="6"/>
  <c r="H82" i="6"/>
  <c r="G82" i="6"/>
  <c r="F82" i="6"/>
  <c r="E82" i="6"/>
  <c r="D82" i="6"/>
  <c r="C82" i="6"/>
  <c r="B82" i="6"/>
  <c r="J81" i="6"/>
  <c r="I81" i="6"/>
  <c r="H81" i="6"/>
  <c r="G81" i="6"/>
  <c r="F81" i="6"/>
  <c r="E81" i="6"/>
  <c r="D81" i="6"/>
  <c r="C81" i="6"/>
  <c r="B81" i="6"/>
  <c r="J80" i="6"/>
  <c r="I80" i="6"/>
  <c r="H80" i="6"/>
  <c r="G80" i="6"/>
  <c r="F80" i="6"/>
  <c r="E80" i="6"/>
  <c r="D80" i="6"/>
  <c r="C80" i="6"/>
  <c r="B80" i="6"/>
  <c r="J79" i="6"/>
  <c r="I79" i="6"/>
  <c r="H79" i="6"/>
  <c r="G79" i="6"/>
  <c r="F79" i="6"/>
  <c r="E79" i="6"/>
  <c r="D79" i="6"/>
  <c r="C79" i="6"/>
  <c r="B79" i="6"/>
  <c r="J78" i="6"/>
  <c r="I78" i="6"/>
  <c r="H78" i="6"/>
  <c r="G78" i="6"/>
  <c r="F78" i="6"/>
  <c r="E78" i="6"/>
  <c r="D78" i="6"/>
  <c r="C78" i="6"/>
  <c r="B78" i="6"/>
  <c r="J77" i="6"/>
  <c r="I77" i="6"/>
  <c r="H77" i="6"/>
  <c r="G77" i="6"/>
  <c r="F77" i="6"/>
  <c r="E77" i="6"/>
  <c r="D77" i="6"/>
  <c r="C77" i="6"/>
  <c r="B77" i="6"/>
  <c r="J76" i="6"/>
  <c r="I76" i="6"/>
  <c r="H76" i="6"/>
  <c r="G76" i="6"/>
  <c r="F76" i="6"/>
  <c r="E76" i="6"/>
  <c r="D76" i="6"/>
  <c r="C76" i="6"/>
  <c r="B76" i="6"/>
  <c r="J75" i="6"/>
  <c r="I75" i="6"/>
  <c r="H75" i="6"/>
  <c r="G75" i="6"/>
  <c r="F75" i="6"/>
  <c r="E75" i="6"/>
  <c r="D75" i="6"/>
  <c r="C75" i="6"/>
  <c r="B75" i="6"/>
  <c r="J74" i="6"/>
  <c r="I74" i="6"/>
  <c r="H74" i="6"/>
  <c r="G74" i="6"/>
  <c r="F74" i="6"/>
  <c r="E74" i="6"/>
  <c r="D74" i="6"/>
  <c r="C74" i="6"/>
  <c r="B74" i="6"/>
  <c r="J73" i="6"/>
  <c r="I73" i="6"/>
  <c r="H73" i="6"/>
  <c r="G73" i="6"/>
  <c r="F73" i="6"/>
  <c r="E73" i="6"/>
  <c r="D73" i="6"/>
  <c r="C73" i="6"/>
  <c r="B73" i="6"/>
  <c r="J72" i="6"/>
  <c r="I72" i="6"/>
  <c r="H72" i="6"/>
  <c r="G72" i="6"/>
  <c r="F72" i="6"/>
  <c r="E72" i="6"/>
  <c r="D72" i="6"/>
  <c r="C72" i="6"/>
  <c r="B72" i="6"/>
  <c r="J71" i="6"/>
  <c r="I71" i="6"/>
  <c r="H71" i="6"/>
  <c r="G71" i="6"/>
  <c r="F71" i="6"/>
  <c r="E71" i="6"/>
  <c r="D71" i="6"/>
  <c r="C71" i="6"/>
  <c r="B71" i="6"/>
  <c r="J70" i="6"/>
  <c r="I70" i="6"/>
  <c r="H70" i="6"/>
  <c r="G70" i="6"/>
  <c r="F70" i="6"/>
  <c r="E70" i="6"/>
  <c r="D70" i="6"/>
  <c r="C70" i="6"/>
  <c r="B70" i="6"/>
  <c r="J69" i="6"/>
  <c r="I69" i="6"/>
  <c r="H69" i="6"/>
  <c r="G69" i="6"/>
  <c r="F69" i="6"/>
  <c r="E69" i="6"/>
  <c r="D69" i="6"/>
  <c r="C69" i="6"/>
  <c r="B69" i="6"/>
  <c r="J68" i="6"/>
  <c r="I68" i="6"/>
  <c r="H68" i="6"/>
  <c r="G68" i="6"/>
  <c r="F68" i="6"/>
  <c r="E68" i="6"/>
  <c r="D68" i="6"/>
  <c r="C68" i="6"/>
  <c r="B68" i="6"/>
  <c r="J67" i="6"/>
  <c r="I67" i="6"/>
  <c r="H67" i="6"/>
  <c r="G67" i="6"/>
  <c r="F67" i="6"/>
  <c r="E67" i="6"/>
  <c r="D67" i="6"/>
  <c r="C67" i="6"/>
  <c r="B67" i="6"/>
  <c r="J66" i="6"/>
  <c r="I66" i="6"/>
  <c r="H66" i="6"/>
  <c r="G66" i="6"/>
  <c r="F66" i="6"/>
  <c r="E66" i="6"/>
  <c r="D66" i="6"/>
  <c r="C66" i="6"/>
  <c r="B66" i="6"/>
  <c r="J65" i="6"/>
  <c r="I65" i="6"/>
  <c r="H65" i="6"/>
  <c r="G65" i="6"/>
  <c r="F65" i="6"/>
  <c r="E65" i="6"/>
  <c r="D65" i="6"/>
  <c r="C65" i="6"/>
  <c r="B65" i="6"/>
  <c r="J64" i="6"/>
  <c r="I64" i="6"/>
  <c r="H64" i="6"/>
  <c r="G64" i="6"/>
  <c r="F64" i="6"/>
  <c r="E64" i="6"/>
  <c r="D64" i="6"/>
  <c r="C64" i="6"/>
  <c r="B64" i="6"/>
  <c r="J63" i="6"/>
  <c r="I63" i="6"/>
  <c r="H63" i="6"/>
  <c r="G63" i="6"/>
  <c r="F63" i="6"/>
  <c r="E63" i="6"/>
  <c r="D63" i="6"/>
  <c r="C63" i="6"/>
  <c r="B63" i="6"/>
  <c r="J62" i="6"/>
  <c r="I62" i="6"/>
  <c r="H62" i="6"/>
  <c r="G62" i="6"/>
  <c r="F62" i="6"/>
  <c r="E62" i="6"/>
  <c r="D62" i="6"/>
  <c r="C62" i="6"/>
  <c r="B62" i="6"/>
  <c r="J61" i="6"/>
  <c r="I61" i="6"/>
  <c r="H61" i="6"/>
  <c r="G61" i="6"/>
  <c r="F61" i="6"/>
  <c r="E61" i="6"/>
  <c r="D61" i="6"/>
  <c r="C61" i="6"/>
  <c r="B61" i="6"/>
  <c r="J60" i="6"/>
  <c r="I60" i="6"/>
  <c r="H60" i="6"/>
  <c r="G60" i="6"/>
  <c r="F60" i="6"/>
  <c r="E60" i="6"/>
  <c r="D60" i="6"/>
  <c r="C60" i="6"/>
  <c r="B60" i="6"/>
  <c r="J59" i="6"/>
  <c r="I59" i="6"/>
  <c r="H59" i="6"/>
  <c r="G59" i="6"/>
  <c r="F59" i="6"/>
  <c r="E59" i="6"/>
  <c r="D59" i="6"/>
  <c r="C59" i="6"/>
  <c r="B59" i="6"/>
  <c r="J58" i="6"/>
  <c r="I58" i="6"/>
  <c r="H58" i="6"/>
  <c r="G58" i="6"/>
  <c r="F58" i="6"/>
  <c r="E58" i="6"/>
  <c r="D58" i="6"/>
  <c r="C58" i="6"/>
  <c r="B58" i="6"/>
  <c r="J57" i="6"/>
  <c r="I57" i="6"/>
  <c r="H57" i="6"/>
  <c r="G57" i="6"/>
  <c r="F57" i="6"/>
  <c r="E57" i="6"/>
  <c r="D57" i="6"/>
  <c r="C57" i="6"/>
  <c r="B57" i="6"/>
  <c r="J56" i="6"/>
  <c r="I56" i="6"/>
  <c r="H56" i="6"/>
  <c r="G56" i="6"/>
  <c r="F56" i="6"/>
  <c r="E56" i="6"/>
  <c r="D56" i="6"/>
  <c r="C56" i="6"/>
  <c r="B56" i="6"/>
  <c r="G13" i="15" l="1"/>
  <c r="F13" i="15" s="1"/>
  <c r="AB13" i="15"/>
  <c r="AD13" i="15" s="1"/>
  <c r="G14" i="15" l="1"/>
  <c r="F14" i="15" s="1"/>
  <c r="AB14" i="15"/>
  <c r="AD14" i="15" s="1"/>
  <c r="S2" i="2"/>
  <c r="S3" i="2" s="1"/>
  <c r="S4" i="2" s="1"/>
  <c r="S5" i="2" s="1"/>
  <c r="S6" i="2" s="1"/>
  <c r="S7" i="2" s="1"/>
  <c r="S8" i="2" s="1"/>
  <c r="S9" i="2" s="1"/>
  <c r="S10" i="2" s="1"/>
  <c r="S11" i="2" s="1"/>
  <c r="S12" i="2" s="1"/>
  <c r="S13" i="2" s="1"/>
  <c r="S14" i="2" s="1"/>
  <c r="S15" i="2" s="1"/>
  <c r="S16" i="2" s="1"/>
  <c r="S17" i="2" s="1"/>
  <c r="S18" i="2" s="1"/>
  <c r="S19" i="2" s="1"/>
  <c r="S20" i="2" s="1"/>
  <c r="S21" i="2" s="1"/>
  <c r="S22" i="2" s="1"/>
  <c r="S23" i="2" s="1"/>
  <c r="S24" i="2" s="1"/>
  <c r="S25" i="2" s="1"/>
  <c r="S26" i="2" s="1"/>
  <c r="S27" i="2" s="1"/>
  <c r="S28" i="2" s="1"/>
  <c r="S29" i="2" s="1"/>
  <c r="S30" i="2" s="1"/>
  <c r="S31" i="2" s="1"/>
  <c r="S32" i="2" s="1"/>
  <c r="S33" i="2" s="1"/>
  <c r="S34" i="2" s="1"/>
  <c r="S35" i="2" s="1"/>
  <c r="S36" i="2" s="1"/>
  <c r="S37" i="2" s="1"/>
  <c r="S38" i="2" s="1"/>
  <c r="S39" i="2" s="1"/>
  <c r="S40" i="2" s="1"/>
  <c r="S41" i="2" s="1"/>
  <c r="S42" i="2" s="1"/>
  <c r="S43" i="2" s="1"/>
  <c r="S44" i="2" s="1"/>
  <c r="S45" i="2" s="1"/>
  <c r="S46" i="2" s="1"/>
  <c r="S47" i="2" s="1"/>
  <c r="S48" i="2" s="1"/>
  <c r="S49" i="2" s="1"/>
  <c r="S50" i="2" s="1"/>
  <c r="S51" i="2" s="1"/>
  <c r="S52" i="2" s="1"/>
  <c r="S53" i="2" s="1"/>
  <c r="BD10" i="3"/>
  <c r="BC10" i="3"/>
  <c r="J55" i="6"/>
  <c r="AW63" i="3"/>
  <c r="J54" i="6" s="1"/>
  <c r="AW62" i="3"/>
  <c r="J53" i="6" s="1"/>
  <c r="AW61" i="3"/>
  <c r="J52" i="6" s="1"/>
  <c r="AW60" i="3"/>
  <c r="J51" i="6" s="1"/>
  <c r="AW59" i="3"/>
  <c r="J50" i="6" s="1"/>
  <c r="AW58" i="3"/>
  <c r="J49" i="6" s="1"/>
  <c r="AW57" i="3"/>
  <c r="J48" i="6" s="1"/>
  <c r="AW56" i="3"/>
  <c r="J47" i="6" s="1"/>
  <c r="AW55" i="3"/>
  <c r="J46" i="6" s="1"/>
  <c r="AW54" i="3"/>
  <c r="J45" i="6" s="1"/>
  <c r="AW53" i="3"/>
  <c r="J44" i="6" s="1"/>
  <c r="AW52" i="3"/>
  <c r="J43" i="6" s="1"/>
  <c r="AW51" i="3"/>
  <c r="J42" i="6" s="1"/>
  <c r="AW50" i="3"/>
  <c r="AW49" i="3"/>
  <c r="J40" i="6" s="1"/>
  <c r="AW48" i="3"/>
  <c r="J39" i="6" s="1"/>
  <c r="AW47" i="3"/>
  <c r="J38" i="6" s="1"/>
  <c r="AW46" i="3"/>
  <c r="J37" i="6" s="1"/>
  <c r="AW45" i="3"/>
  <c r="J36" i="6" s="1"/>
  <c r="AW44" i="3"/>
  <c r="J35" i="6" s="1"/>
  <c r="AW43" i="3"/>
  <c r="J34" i="6" s="1"/>
  <c r="AW42" i="3"/>
  <c r="J33" i="6" s="1"/>
  <c r="AW41" i="3"/>
  <c r="J32" i="6" s="1"/>
  <c r="AW40" i="3"/>
  <c r="J31" i="6" s="1"/>
  <c r="AW39" i="3"/>
  <c r="J30" i="6" s="1"/>
  <c r="AW38" i="3"/>
  <c r="J29" i="6" s="1"/>
  <c r="AW37" i="3"/>
  <c r="J28" i="6" s="1"/>
  <c r="AW36" i="3"/>
  <c r="J27" i="6" s="1"/>
  <c r="AW35" i="3"/>
  <c r="J26" i="6" s="1"/>
  <c r="AW34" i="3"/>
  <c r="J25" i="6" s="1"/>
  <c r="AW33" i="3"/>
  <c r="J24" i="6" s="1"/>
  <c r="AW32" i="3"/>
  <c r="J23" i="6" s="1"/>
  <c r="AW31" i="3"/>
  <c r="J22" i="6" s="1"/>
  <c r="AW30" i="3"/>
  <c r="J21" i="6" s="1"/>
  <c r="AW29" i="3"/>
  <c r="J20" i="6" s="1"/>
  <c r="AW28" i="3"/>
  <c r="J19" i="6" s="1"/>
  <c r="AW27" i="3"/>
  <c r="J18" i="6" s="1"/>
  <c r="AW26" i="3"/>
  <c r="J17" i="6" s="1"/>
  <c r="AW25" i="3"/>
  <c r="J16" i="6" s="1"/>
  <c r="AW24" i="3"/>
  <c r="J15" i="6" s="1"/>
  <c r="AW23" i="3"/>
  <c r="J14" i="6" s="1"/>
  <c r="AW22" i="3"/>
  <c r="J13" i="6" s="1"/>
  <c r="AW21" i="3"/>
  <c r="J12" i="6" s="1"/>
  <c r="AW20" i="3"/>
  <c r="J11" i="6" s="1"/>
  <c r="AW19" i="3"/>
  <c r="J10" i="6" s="1"/>
  <c r="AW18" i="3"/>
  <c r="J9" i="6" s="1"/>
  <c r="AW17" i="3"/>
  <c r="J8" i="6" s="1"/>
  <c r="AW16" i="3"/>
  <c r="J7" i="6" s="1"/>
  <c r="AW15" i="3"/>
  <c r="J6" i="6" s="1"/>
  <c r="AW14" i="3"/>
  <c r="J5" i="6" s="1"/>
  <c r="AW13" i="3"/>
  <c r="J4" i="6" s="1"/>
  <c r="I55" i="6"/>
  <c r="H55" i="6"/>
  <c r="AR63" i="3"/>
  <c r="I54" i="6" s="1"/>
  <c r="AM63" i="3"/>
  <c r="H54" i="6" s="1"/>
  <c r="AR62" i="3"/>
  <c r="I53" i="6" s="1"/>
  <c r="AM62" i="3"/>
  <c r="H53" i="6" s="1"/>
  <c r="AR61" i="3"/>
  <c r="I52" i="6" s="1"/>
  <c r="AM61" i="3"/>
  <c r="H52" i="6" s="1"/>
  <c r="AR60" i="3"/>
  <c r="I51" i="6" s="1"/>
  <c r="AM60" i="3"/>
  <c r="H51" i="6" s="1"/>
  <c r="AR59" i="3"/>
  <c r="I50" i="6" s="1"/>
  <c r="AM59" i="3"/>
  <c r="H50" i="6" s="1"/>
  <c r="AR58" i="3"/>
  <c r="I49" i="6" s="1"/>
  <c r="AM58" i="3"/>
  <c r="H49" i="6" s="1"/>
  <c r="AR57" i="3"/>
  <c r="I48" i="6" s="1"/>
  <c r="AM57" i="3"/>
  <c r="H48" i="6" s="1"/>
  <c r="AR56" i="3"/>
  <c r="I47" i="6" s="1"/>
  <c r="AM56" i="3"/>
  <c r="H47" i="6" s="1"/>
  <c r="AR55" i="3"/>
  <c r="I46" i="6" s="1"/>
  <c r="AM55" i="3"/>
  <c r="H46" i="6" s="1"/>
  <c r="AR54" i="3"/>
  <c r="I45" i="6" s="1"/>
  <c r="AM54" i="3"/>
  <c r="H45" i="6" s="1"/>
  <c r="AR53" i="3"/>
  <c r="I44" i="6" s="1"/>
  <c r="AM53" i="3"/>
  <c r="H44" i="6" s="1"/>
  <c r="AR52" i="3"/>
  <c r="I43" i="6" s="1"/>
  <c r="AM52" i="3"/>
  <c r="H43" i="6" s="1"/>
  <c r="AR51" i="3"/>
  <c r="I42" i="6" s="1"/>
  <c r="AM51" i="3"/>
  <c r="H42" i="6" s="1"/>
  <c r="AR50" i="3"/>
  <c r="I41" i="6" s="1"/>
  <c r="AM50" i="3"/>
  <c r="H41" i="6" s="1"/>
  <c r="AR49" i="3"/>
  <c r="I40" i="6" s="1"/>
  <c r="AM49" i="3"/>
  <c r="H40" i="6" s="1"/>
  <c r="AR48" i="3"/>
  <c r="I39" i="6" s="1"/>
  <c r="AM48" i="3"/>
  <c r="H39" i="6" s="1"/>
  <c r="AR47" i="3"/>
  <c r="I38" i="6" s="1"/>
  <c r="AM47" i="3"/>
  <c r="H38" i="6" s="1"/>
  <c r="AR46" i="3"/>
  <c r="I37" i="6" s="1"/>
  <c r="AM46" i="3"/>
  <c r="H37" i="6" s="1"/>
  <c r="AR45" i="3"/>
  <c r="I36" i="6" s="1"/>
  <c r="AM45" i="3"/>
  <c r="H36" i="6" s="1"/>
  <c r="AR44" i="3"/>
  <c r="I35" i="6" s="1"/>
  <c r="AM44" i="3"/>
  <c r="H35" i="6" s="1"/>
  <c r="AR43" i="3"/>
  <c r="I34" i="6" s="1"/>
  <c r="AM43" i="3"/>
  <c r="H34" i="6" s="1"/>
  <c r="AR42" i="3"/>
  <c r="I33" i="6" s="1"/>
  <c r="AM42" i="3"/>
  <c r="H33" i="6" s="1"/>
  <c r="AR41" i="3"/>
  <c r="I32" i="6" s="1"/>
  <c r="AM41" i="3"/>
  <c r="H32" i="6" s="1"/>
  <c r="AR40" i="3"/>
  <c r="I31" i="6" s="1"/>
  <c r="AM40" i="3"/>
  <c r="H31" i="6" s="1"/>
  <c r="AR39" i="3"/>
  <c r="I30" i="6" s="1"/>
  <c r="AM39" i="3"/>
  <c r="H30" i="6" s="1"/>
  <c r="AR38" i="3"/>
  <c r="I29" i="6" s="1"/>
  <c r="AM38" i="3"/>
  <c r="H29" i="6" s="1"/>
  <c r="AR37" i="3"/>
  <c r="I28" i="6" s="1"/>
  <c r="AM37" i="3"/>
  <c r="H28" i="6" s="1"/>
  <c r="AR36" i="3"/>
  <c r="I27" i="6" s="1"/>
  <c r="AM36" i="3"/>
  <c r="H27" i="6" s="1"/>
  <c r="AR35" i="3"/>
  <c r="I26" i="6" s="1"/>
  <c r="AM35" i="3"/>
  <c r="H26" i="6" s="1"/>
  <c r="AR34" i="3"/>
  <c r="I25" i="6" s="1"/>
  <c r="AM34" i="3"/>
  <c r="H25" i="6" s="1"/>
  <c r="AR33" i="3"/>
  <c r="I24" i="6" s="1"/>
  <c r="AM33" i="3"/>
  <c r="H24" i="6" s="1"/>
  <c r="AR32" i="3"/>
  <c r="I23" i="6" s="1"/>
  <c r="AM32" i="3"/>
  <c r="H23" i="6" s="1"/>
  <c r="AR31" i="3"/>
  <c r="I22" i="6" s="1"/>
  <c r="AM31" i="3"/>
  <c r="H22" i="6" s="1"/>
  <c r="AR30" i="3"/>
  <c r="I21" i="6" s="1"/>
  <c r="AM30" i="3"/>
  <c r="H21" i="6" s="1"/>
  <c r="AR29" i="3"/>
  <c r="I20" i="6" s="1"/>
  <c r="AM29" i="3"/>
  <c r="H20" i="6" s="1"/>
  <c r="AR28" i="3"/>
  <c r="I19" i="6" s="1"/>
  <c r="AM28" i="3"/>
  <c r="H19" i="6" s="1"/>
  <c r="AR27" i="3"/>
  <c r="I18" i="6" s="1"/>
  <c r="AM27" i="3"/>
  <c r="H18" i="6" s="1"/>
  <c r="AR26" i="3"/>
  <c r="I17" i="6" s="1"/>
  <c r="AM26" i="3"/>
  <c r="H17" i="6" s="1"/>
  <c r="AR25" i="3"/>
  <c r="I16" i="6" s="1"/>
  <c r="AM25" i="3"/>
  <c r="H16" i="6" s="1"/>
  <c r="AR24" i="3"/>
  <c r="I15" i="6" s="1"/>
  <c r="AM24" i="3"/>
  <c r="H15" i="6" s="1"/>
  <c r="AR23" i="3"/>
  <c r="I14" i="6" s="1"/>
  <c r="AM23" i="3"/>
  <c r="H14" i="6" s="1"/>
  <c r="AR22" i="3"/>
  <c r="I13" i="6" s="1"/>
  <c r="AM22" i="3"/>
  <c r="H13" i="6" s="1"/>
  <c r="AR21" i="3"/>
  <c r="I12" i="6" s="1"/>
  <c r="AM21" i="3"/>
  <c r="H12" i="6" s="1"/>
  <c r="AR20" i="3"/>
  <c r="I11" i="6" s="1"/>
  <c r="AM20" i="3"/>
  <c r="H11" i="6" s="1"/>
  <c r="AR19" i="3"/>
  <c r="I10" i="6" s="1"/>
  <c r="AM19" i="3"/>
  <c r="H10" i="6" s="1"/>
  <c r="AR18" i="3"/>
  <c r="I9" i="6" s="1"/>
  <c r="AM18" i="3"/>
  <c r="H9" i="6" s="1"/>
  <c r="AR17" i="3"/>
  <c r="I8" i="6" s="1"/>
  <c r="AM17" i="3"/>
  <c r="H8" i="6" s="1"/>
  <c r="AR16" i="3"/>
  <c r="I7" i="6" s="1"/>
  <c r="AM16" i="3"/>
  <c r="H7" i="6" s="1"/>
  <c r="AR15" i="3"/>
  <c r="I6" i="6" s="1"/>
  <c r="AM15" i="3"/>
  <c r="H6" i="6" s="1"/>
  <c r="AR14" i="3"/>
  <c r="I5" i="6" s="1"/>
  <c r="AM14" i="3"/>
  <c r="H5" i="6" s="1"/>
  <c r="AR13" i="3"/>
  <c r="I4" i="6" s="1"/>
  <c r="AM13" i="3"/>
  <c r="H4" i="6" s="1"/>
  <c r="G55" i="6"/>
  <c r="F55" i="6"/>
  <c r="AH63" i="3"/>
  <c r="G54" i="6" s="1"/>
  <c r="AC63" i="3"/>
  <c r="F54" i="6" s="1"/>
  <c r="AH62" i="3"/>
  <c r="G53" i="6" s="1"/>
  <c r="AC62" i="3"/>
  <c r="F53" i="6" s="1"/>
  <c r="AH61" i="3"/>
  <c r="G52" i="6" s="1"/>
  <c r="AC61" i="3"/>
  <c r="F52" i="6" s="1"/>
  <c r="AH60" i="3"/>
  <c r="G51" i="6" s="1"/>
  <c r="AC60" i="3"/>
  <c r="F51" i="6" s="1"/>
  <c r="AH59" i="3"/>
  <c r="G50" i="6" s="1"/>
  <c r="AC59" i="3"/>
  <c r="F50" i="6" s="1"/>
  <c r="AH58" i="3"/>
  <c r="G49" i="6" s="1"/>
  <c r="AC58" i="3"/>
  <c r="F49" i="6" s="1"/>
  <c r="AH57" i="3"/>
  <c r="G48" i="6" s="1"/>
  <c r="AC57" i="3"/>
  <c r="F48" i="6" s="1"/>
  <c r="AH56" i="3"/>
  <c r="G47" i="6" s="1"/>
  <c r="AC56" i="3"/>
  <c r="F47" i="6" s="1"/>
  <c r="AH55" i="3"/>
  <c r="G46" i="6" s="1"/>
  <c r="AC55" i="3"/>
  <c r="F46" i="6" s="1"/>
  <c r="AH54" i="3"/>
  <c r="G45" i="6" s="1"/>
  <c r="AC54" i="3"/>
  <c r="F45" i="6" s="1"/>
  <c r="AH53" i="3"/>
  <c r="G44" i="6" s="1"/>
  <c r="AC53" i="3"/>
  <c r="F44" i="6" s="1"/>
  <c r="AH52" i="3"/>
  <c r="G43" i="6" s="1"/>
  <c r="AC52" i="3"/>
  <c r="F43" i="6" s="1"/>
  <c r="AH51" i="3"/>
  <c r="G42" i="6" s="1"/>
  <c r="AC51" i="3"/>
  <c r="F42" i="6" s="1"/>
  <c r="AH50" i="3"/>
  <c r="G41" i="6" s="1"/>
  <c r="AC50" i="3"/>
  <c r="F41" i="6" s="1"/>
  <c r="AH49" i="3"/>
  <c r="G40" i="6" s="1"/>
  <c r="AC49" i="3"/>
  <c r="F40" i="6" s="1"/>
  <c r="AH48" i="3"/>
  <c r="G39" i="6" s="1"/>
  <c r="AC48" i="3"/>
  <c r="F39" i="6" s="1"/>
  <c r="AH47" i="3"/>
  <c r="G38" i="6" s="1"/>
  <c r="AC47" i="3"/>
  <c r="F38" i="6" s="1"/>
  <c r="AH46" i="3"/>
  <c r="G37" i="6" s="1"/>
  <c r="AC46" i="3"/>
  <c r="F37" i="6" s="1"/>
  <c r="AH45" i="3"/>
  <c r="G36" i="6" s="1"/>
  <c r="AC45" i="3"/>
  <c r="F36" i="6" s="1"/>
  <c r="AH44" i="3"/>
  <c r="G35" i="6" s="1"/>
  <c r="AC44" i="3"/>
  <c r="F35" i="6" s="1"/>
  <c r="AH43" i="3"/>
  <c r="G34" i="6" s="1"/>
  <c r="AC43" i="3"/>
  <c r="F34" i="6" s="1"/>
  <c r="AH42" i="3"/>
  <c r="G33" i="6" s="1"/>
  <c r="AC42" i="3"/>
  <c r="F33" i="6" s="1"/>
  <c r="AH41" i="3"/>
  <c r="G32" i="6" s="1"/>
  <c r="AC41" i="3"/>
  <c r="F32" i="6" s="1"/>
  <c r="AH40" i="3"/>
  <c r="G31" i="6" s="1"/>
  <c r="AC40" i="3"/>
  <c r="F31" i="6" s="1"/>
  <c r="AH39" i="3"/>
  <c r="G30" i="6" s="1"/>
  <c r="AC39" i="3"/>
  <c r="F30" i="6" s="1"/>
  <c r="AH38" i="3"/>
  <c r="G29" i="6" s="1"/>
  <c r="AC38" i="3"/>
  <c r="F29" i="6" s="1"/>
  <c r="AH37" i="3"/>
  <c r="G28" i="6" s="1"/>
  <c r="AC37" i="3"/>
  <c r="F28" i="6" s="1"/>
  <c r="AH36" i="3"/>
  <c r="G27" i="6" s="1"/>
  <c r="AC36" i="3"/>
  <c r="F27" i="6" s="1"/>
  <c r="AH35" i="3"/>
  <c r="G26" i="6" s="1"/>
  <c r="AC35" i="3"/>
  <c r="F26" i="6" s="1"/>
  <c r="AH34" i="3"/>
  <c r="G25" i="6" s="1"/>
  <c r="AC34" i="3"/>
  <c r="F25" i="6" s="1"/>
  <c r="AH33" i="3"/>
  <c r="G24" i="6" s="1"/>
  <c r="AC33" i="3"/>
  <c r="F24" i="6" s="1"/>
  <c r="AH32" i="3"/>
  <c r="G23" i="6" s="1"/>
  <c r="AC32" i="3"/>
  <c r="F23" i="6" s="1"/>
  <c r="AH31" i="3"/>
  <c r="G22" i="6" s="1"/>
  <c r="AC31" i="3"/>
  <c r="F22" i="6" s="1"/>
  <c r="AH30" i="3"/>
  <c r="G21" i="6" s="1"/>
  <c r="AC30" i="3"/>
  <c r="F21" i="6" s="1"/>
  <c r="AH29" i="3"/>
  <c r="G20" i="6" s="1"/>
  <c r="AC29" i="3"/>
  <c r="F20" i="6" s="1"/>
  <c r="AH28" i="3"/>
  <c r="G19" i="6" s="1"/>
  <c r="AC28" i="3"/>
  <c r="F19" i="6" s="1"/>
  <c r="AH27" i="3"/>
  <c r="G18" i="6" s="1"/>
  <c r="AC27" i="3"/>
  <c r="F18" i="6" s="1"/>
  <c r="AH26" i="3"/>
  <c r="G17" i="6" s="1"/>
  <c r="AC26" i="3"/>
  <c r="F17" i="6" s="1"/>
  <c r="AH25" i="3"/>
  <c r="G16" i="6" s="1"/>
  <c r="AC25" i="3"/>
  <c r="F16" i="6" s="1"/>
  <c r="AH24" i="3"/>
  <c r="G15" i="6" s="1"/>
  <c r="AC24" i="3"/>
  <c r="F15" i="6" s="1"/>
  <c r="AH23" i="3"/>
  <c r="G14" i="6" s="1"/>
  <c r="AC23" i="3"/>
  <c r="F14" i="6" s="1"/>
  <c r="AH22" i="3"/>
  <c r="G13" i="6" s="1"/>
  <c r="AC22" i="3"/>
  <c r="F13" i="6" s="1"/>
  <c r="AH21" i="3"/>
  <c r="G12" i="6" s="1"/>
  <c r="AC21" i="3"/>
  <c r="F12" i="6" s="1"/>
  <c r="AH20" i="3"/>
  <c r="G11" i="6" s="1"/>
  <c r="AC20" i="3"/>
  <c r="F11" i="6" s="1"/>
  <c r="AH19" i="3"/>
  <c r="G10" i="6" s="1"/>
  <c r="AC19" i="3"/>
  <c r="F10" i="6" s="1"/>
  <c r="AH18" i="3"/>
  <c r="G9" i="6" s="1"/>
  <c r="AC18" i="3"/>
  <c r="F9" i="6" s="1"/>
  <c r="AH17" i="3"/>
  <c r="G8" i="6" s="1"/>
  <c r="AC17" i="3"/>
  <c r="F8" i="6" s="1"/>
  <c r="AH16" i="3"/>
  <c r="G7" i="6" s="1"/>
  <c r="AC16" i="3"/>
  <c r="F7" i="6" s="1"/>
  <c r="AH15" i="3"/>
  <c r="G6" i="6" s="1"/>
  <c r="AC15" i="3"/>
  <c r="F6" i="6" s="1"/>
  <c r="AH14" i="3"/>
  <c r="G5" i="6" s="1"/>
  <c r="AC14" i="3"/>
  <c r="F5" i="6" s="1"/>
  <c r="AH13" i="3"/>
  <c r="G4" i="6" s="1"/>
  <c r="AC13" i="3"/>
  <c r="F4" i="6" s="1"/>
  <c r="E55" i="6"/>
  <c r="X63" i="3"/>
  <c r="E54" i="6" s="1"/>
  <c r="X62" i="3"/>
  <c r="E53" i="6" s="1"/>
  <c r="X61" i="3"/>
  <c r="E52" i="6" s="1"/>
  <c r="X60" i="3"/>
  <c r="E51" i="6" s="1"/>
  <c r="X59" i="3"/>
  <c r="E50" i="6" s="1"/>
  <c r="X58" i="3"/>
  <c r="E49" i="6" s="1"/>
  <c r="X57" i="3"/>
  <c r="E48" i="6" s="1"/>
  <c r="X56" i="3"/>
  <c r="E47" i="6" s="1"/>
  <c r="X55" i="3"/>
  <c r="E46" i="6" s="1"/>
  <c r="X54" i="3"/>
  <c r="E45" i="6" s="1"/>
  <c r="X53" i="3"/>
  <c r="E44" i="6" s="1"/>
  <c r="X52" i="3"/>
  <c r="E43" i="6" s="1"/>
  <c r="X51" i="3"/>
  <c r="E42" i="6" s="1"/>
  <c r="X50" i="3"/>
  <c r="E41" i="6" s="1"/>
  <c r="X49" i="3"/>
  <c r="E40" i="6" s="1"/>
  <c r="X48" i="3"/>
  <c r="E39" i="6" s="1"/>
  <c r="X47" i="3"/>
  <c r="E38" i="6" s="1"/>
  <c r="X46" i="3"/>
  <c r="E37" i="6" s="1"/>
  <c r="X45" i="3"/>
  <c r="E36" i="6" s="1"/>
  <c r="X44" i="3"/>
  <c r="E35" i="6" s="1"/>
  <c r="X43" i="3"/>
  <c r="E34" i="6" s="1"/>
  <c r="X42" i="3"/>
  <c r="E33" i="6" s="1"/>
  <c r="X41" i="3"/>
  <c r="E32" i="6" s="1"/>
  <c r="X40" i="3"/>
  <c r="E31" i="6" s="1"/>
  <c r="X39" i="3"/>
  <c r="E30" i="6" s="1"/>
  <c r="X38" i="3"/>
  <c r="E29" i="6" s="1"/>
  <c r="X37" i="3"/>
  <c r="E28" i="6" s="1"/>
  <c r="X36" i="3"/>
  <c r="E27" i="6" s="1"/>
  <c r="X35" i="3"/>
  <c r="E26" i="6" s="1"/>
  <c r="X34" i="3"/>
  <c r="E25" i="6" s="1"/>
  <c r="X33" i="3"/>
  <c r="E24" i="6" s="1"/>
  <c r="X32" i="3"/>
  <c r="E23" i="6" s="1"/>
  <c r="X31" i="3"/>
  <c r="E22" i="6" s="1"/>
  <c r="X30" i="3"/>
  <c r="E21" i="6" s="1"/>
  <c r="X29" i="3"/>
  <c r="E20" i="6" s="1"/>
  <c r="X28" i="3"/>
  <c r="E19" i="6" s="1"/>
  <c r="X27" i="3"/>
  <c r="E18" i="6" s="1"/>
  <c r="X26" i="3"/>
  <c r="E17" i="6" s="1"/>
  <c r="X25" i="3"/>
  <c r="E16" i="6" s="1"/>
  <c r="X24" i="3"/>
  <c r="E15" i="6" s="1"/>
  <c r="X23" i="3"/>
  <c r="E14" i="6" s="1"/>
  <c r="X22" i="3"/>
  <c r="E13" i="6" s="1"/>
  <c r="X21" i="3"/>
  <c r="E12" i="6" s="1"/>
  <c r="X20" i="3"/>
  <c r="E11" i="6" s="1"/>
  <c r="X19" i="3"/>
  <c r="E10" i="6" s="1"/>
  <c r="X18" i="3"/>
  <c r="E9" i="6" s="1"/>
  <c r="X17" i="3"/>
  <c r="E8" i="6" s="1"/>
  <c r="X16" i="3"/>
  <c r="E7" i="6" s="1"/>
  <c r="X15" i="3"/>
  <c r="E6" i="6" s="1"/>
  <c r="X14" i="3"/>
  <c r="E5" i="6" s="1"/>
  <c r="X13" i="3"/>
  <c r="E4" i="6" s="1"/>
  <c r="D55" i="6"/>
  <c r="S63" i="3"/>
  <c r="D54" i="6" s="1"/>
  <c r="S62" i="3"/>
  <c r="D53" i="6" s="1"/>
  <c r="S61" i="3"/>
  <c r="D52" i="6" s="1"/>
  <c r="S60" i="3"/>
  <c r="D51" i="6" s="1"/>
  <c r="S59" i="3"/>
  <c r="D50" i="6" s="1"/>
  <c r="S58" i="3"/>
  <c r="D49" i="6" s="1"/>
  <c r="S57" i="3"/>
  <c r="D48" i="6" s="1"/>
  <c r="S56" i="3"/>
  <c r="D47" i="6" s="1"/>
  <c r="S55" i="3"/>
  <c r="D46" i="6" s="1"/>
  <c r="S54" i="3"/>
  <c r="D45" i="6" s="1"/>
  <c r="S53" i="3"/>
  <c r="D44" i="6" s="1"/>
  <c r="S52" i="3"/>
  <c r="D43" i="6" s="1"/>
  <c r="S51" i="3"/>
  <c r="D42" i="6" s="1"/>
  <c r="S50" i="3"/>
  <c r="D41" i="6" s="1"/>
  <c r="S49" i="3"/>
  <c r="D40" i="6" s="1"/>
  <c r="S48" i="3"/>
  <c r="D39" i="6" s="1"/>
  <c r="S47" i="3"/>
  <c r="D38" i="6" s="1"/>
  <c r="S46" i="3"/>
  <c r="D37" i="6" s="1"/>
  <c r="S45" i="3"/>
  <c r="D36" i="6" s="1"/>
  <c r="S44" i="3"/>
  <c r="D35" i="6" s="1"/>
  <c r="S43" i="3"/>
  <c r="D34" i="6" s="1"/>
  <c r="S42" i="3"/>
  <c r="D33" i="6" s="1"/>
  <c r="S41" i="3"/>
  <c r="D32" i="6" s="1"/>
  <c r="S40" i="3"/>
  <c r="D31" i="6" s="1"/>
  <c r="S39" i="3"/>
  <c r="D30" i="6" s="1"/>
  <c r="S38" i="3"/>
  <c r="D29" i="6" s="1"/>
  <c r="S37" i="3"/>
  <c r="D28" i="6" s="1"/>
  <c r="S36" i="3"/>
  <c r="D27" i="6" s="1"/>
  <c r="S35" i="3"/>
  <c r="D26" i="6" s="1"/>
  <c r="S34" i="3"/>
  <c r="D25" i="6" s="1"/>
  <c r="S33" i="3"/>
  <c r="D24" i="6" s="1"/>
  <c r="S32" i="3"/>
  <c r="D23" i="6" s="1"/>
  <c r="S31" i="3"/>
  <c r="D22" i="6" s="1"/>
  <c r="S30" i="3"/>
  <c r="D21" i="6" s="1"/>
  <c r="S29" i="3"/>
  <c r="D20" i="6" s="1"/>
  <c r="S28" i="3"/>
  <c r="D19" i="6" s="1"/>
  <c r="S27" i="3"/>
  <c r="D18" i="6" s="1"/>
  <c r="S26" i="3"/>
  <c r="D17" i="6" s="1"/>
  <c r="S25" i="3"/>
  <c r="D16" i="6" s="1"/>
  <c r="S24" i="3"/>
  <c r="D15" i="6" s="1"/>
  <c r="S23" i="3"/>
  <c r="D14" i="6" s="1"/>
  <c r="S22" i="3"/>
  <c r="D13" i="6" s="1"/>
  <c r="S21" i="3"/>
  <c r="D12" i="6" s="1"/>
  <c r="S20" i="3"/>
  <c r="D11" i="6" s="1"/>
  <c r="S19" i="3"/>
  <c r="D10" i="6" s="1"/>
  <c r="S18" i="3"/>
  <c r="D9" i="6" s="1"/>
  <c r="S17" i="3"/>
  <c r="D8" i="6" s="1"/>
  <c r="S16" i="3"/>
  <c r="D7" i="6" s="1"/>
  <c r="S15" i="3"/>
  <c r="D6" i="6" s="1"/>
  <c r="S14" i="3"/>
  <c r="D5" i="6" s="1"/>
  <c r="S13" i="3"/>
  <c r="D4" i="6" s="1"/>
  <c r="C55" i="6"/>
  <c r="N63" i="3"/>
  <c r="C54" i="6" s="1"/>
  <c r="N62" i="3"/>
  <c r="C53" i="6" s="1"/>
  <c r="N61" i="3"/>
  <c r="C52" i="6" s="1"/>
  <c r="N60" i="3"/>
  <c r="C51" i="6" s="1"/>
  <c r="N59" i="3"/>
  <c r="C50" i="6" s="1"/>
  <c r="N58" i="3"/>
  <c r="C49" i="6" s="1"/>
  <c r="N57" i="3"/>
  <c r="C48" i="6" s="1"/>
  <c r="N56" i="3"/>
  <c r="C47" i="6" s="1"/>
  <c r="N55" i="3"/>
  <c r="C46" i="6" s="1"/>
  <c r="N54" i="3"/>
  <c r="C45" i="6" s="1"/>
  <c r="N53" i="3"/>
  <c r="C44" i="6" s="1"/>
  <c r="N52" i="3"/>
  <c r="C43" i="6" s="1"/>
  <c r="N51" i="3"/>
  <c r="C42" i="6" s="1"/>
  <c r="N50" i="3"/>
  <c r="C41" i="6" s="1"/>
  <c r="N49" i="3"/>
  <c r="C40" i="6" s="1"/>
  <c r="N48" i="3"/>
  <c r="C39" i="6" s="1"/>
  <c r="N47" i="3"/>
  <c r="C38" i="6" s="1"/>
  <c r="N46" i="3"/>
  <c r="C37" i="6" s="1"/>
  <c r="N45" i="3"/>
  <c r="C36" i="6" s="1"/>
  <c r="N44" i="3"/>
  <c r="C35" i="6" s="1"/>
  <c r="N43" i="3"/>
  <c r="C34" i="6" s="1"/>
  <c r="N42" i="3"/>
  <c r="C33" i="6" s="1"/>
  <c r="N41" i="3"/>
  <c r="C32" i="6" s="1"/>
  <c r="N40" i="3"/>
  <c r="C31" i="6" s="1"/>
  <c r="N39" i="3"/>
  <c r="C30" i="6" s="1"/>
  <c r="N38" i="3"/>
  <c r="C29" i="6" s="1"/>
  <c r="N37" i="3"/>
  <c r="C28" i="6" s="1"/>
  <c r="N36" i="3"/>
  <c r="C27" i="6" s="1"/>
  <c r="N35" i="3"/>
  <c r="C26" i="6" s="1"/>
  <c r="N34" i="3"/>
  <c r="C25" i="6" s="1"/>
  <c r="N33" i="3"/>
  <c r="C24" i="6" s="1"/>
  <c r="N32" i="3"/>
  <c r="C23" i="6" s="1"/>
  <c r="N31" i="3"/>
  <c r="C22" i="6" s="1"/>
  <c r="N30" i="3"/>
  <c r="C21" i="6" s="1"/>
  <c r="N29" i="3"/>
  <c r="C20" i="6" s="1"/>
  <c r="N28" i="3"/>
  <c r="C19" i="6" s="1"/>
  <c r="N27" i="3"/>
  <c r="C18" i="6" s="1"/>
  <c r="N26" i="3"/>
  <c r="C17" i="6" s="1"/>
  <c r="N25" i="3"/>
  <c r="C16" i="6" s="1"/>
  <c r="N24" i="3"/>
  <c r="C15" i="6" s="1"/>
  <c r="N23" i="3"/>
  <c r="C14" i="6" s="1"/>
  <c r="N22" i="3"/>
  <c r="C13" i="6" s="1"/>
  <c r="N21" i="3"/>
  <c r="C12" i="6" s="1"/>
  <c r="N20" i="3"/>
  <c r="C11" i="6" s="1"/>
  <c r="N19" i="3"/>
  <c r="C10" i="6" s="1"/>
  <c r="N18" i="3"/>
  <c r="C9" i="6" s="1"/>
  <c r="N17" i="3"/>
  <c r="C8" i="6" s="1"/>
  <c r="N16" i="3"/>
  <c r="C7" i="6" s="1"/>
  <c r="N15" i="3"/>
  <c r="C6" i="6" s="1"/>
  <c r="N14" i="3"/>
  <c r="C5" i="6" s="1"/>
  <c r="N13" i="3"/>
  <c r="C4" i="6" s="1"/>
  <c r="I14" i="3"/>
  <c r="B5" i="6" s="1"/>
  <c r="I15" i="3"/>
  <c r="B6" i="6" s="1"/>
  <c r="I16" i="3"/>
  <c r="B7" i="6" s="1"/>
  <c r="I17" i="3"/>
  <c r="B8" i="6" s="1"/>
  <c r="I18" i="3"/>
  <c r="B9" i="6" s="1"/>
  <c r="I19" i="3"/>
  <c r="B10" i="6" s="1"/>
  <c r="I20" i="3"/>
  <c r="B11" i="6" s="1"/>
  <c r="I21" i="3"/>
  <c r="B12" i="6" s="1"/>
  <c r="I22" i="3"/>
  <c r="B13" i="6" s="1"/>
  <c r="I23" i="3"/>
  <c r="B14" i="6" s="1"/>
  <c r="I24" i="3"/>
  <c r="B15" i="6" s="1"/>
  <c r="I25" i="3"/>
  <c r="B16" i="6" s="1"/>
  <c r="I26" i="3"/>
  <c r="B17" i="6" s="1"/>
  <c r="I27" i="3"/>
  <c r="B18" i="6" s="1"/>
  <c r="I28" i="3"/>
  <c r="B19" i="6" s="1"/>
  <c r="I29" i="3"/>
  <c r="B20" i="6" s="1"/>
  <c r="I30" i="3"/>
  <c r="B21" i="6" s="1"/>
  <c r="I31" i="3"/>
  <c r="B22" i="6" s="1"/>
  <c r="I32" i="3"/>
  <c r="B23" i="6" s="1"/>
  <c r="I33" i="3"/>
  <c r="B24" i="6" s="1"/>
  <c r="I34" i="3"/>
  <c r="B25" i="6" s="1"/>
  <c r="I35" i="3"/>
  <c r="B26" i="6" s="1"/>
  <c r="I36" i="3"/>
  <c r="B27" i="6" s="1"/>
  <c r="I37" i="3"/>
  <c r="B28" i="6" s="1"/>
  <c r="I38" i="3"/>
  <c r="B29" i="6" s="1"/>
  <c r="I39" i="3"/>
  <c r="B30" i="6" s="1"/>
  <c r="I40" i="3"/>
  <c r="B31" i="6" s="1"/>
  <c r="I41" i="3"/>
  <c r="B32" i="6" s="1"/>
  <c r="I42" i="3"/>
  <c r="B33" i="6" s="1"/>
  <c r="I43" i="3"/>
  <c r="B34" i="6" s="1"/>
  <c r="I44" i="3"/>
  <c r="B35" i="6" s="1"/>
  <c r="I45" i="3"/>
  <c r="B36" i="6" s="1"/>
  <c r="I46" i="3"/>
  <c r="B37" i="6" s="1"/>
  <c r="I47" i="3"/>
  <c r="B38" i="6" s="1"/>
  <c r="I48" i="3"/>
  <c r="B39" i="6" s="1"/>
  <c r="I49" i="3"/>
  <c r="B40" i="6" s="1"/>
  <c r="I50" i="3"/>
  <c r="B41" i="6" s="1"/>
  <c r="I51" i="3"/>
  <c r="B42" i="6" s="1"/>
  <c r="I52" i="3"/>
  <c r="B43" i="6" s="1"/>
  <c r="I53" i="3"/>
  <c r="B44" i="6" s="1"/>
  <c r="I54" i="3"/>
  <c r="B45" i="6" s="1"/>
  <c r="I55" i="3"/>
  <c r="B46" i="6" s="1"/>
  <c r="I56" i="3"/>
  <c r="B47" i="6" s="1"/>
  <c r="I57" i="3"/>
  <c r="B48" i="6" s="1"/>
  <c r="I58" i="3"/>
  <c r="B49" i="6" s="1"/>
  <c r="I59" i="3"/>
  <c r="B50" i="6" s="1"/>
  <c r="I60" i="3"/>
  <c r="B51" i="6" s="1"/>
  <c r="I61" i="3"/>
  <c r="B52" i="6" s="1"/>
  <c r="I62" i="3"/>
  <c r="B53" i="6" s="1"/>
  <c r="I63" i="3"/>
  <c r="B54" i="6" s="1"/>
  <c r="B55" i="6"/>
  <c r="I13" i="3"/>
  <c r="N1" i="6"/>
  <c r="W2" i="6"/>
  <c r="V2" i="6"/>
  <c r="U2" i="6"/>
  <c r="T2" i="6"/>
  <c r="S2" i="6"/>
  <c r="R2" i="6"/>
  <c r="Q2" i="6"/>
  <c r="P2" i="6"/>
  <c r="O2" i="6"/>
  <c r="I6" i="26" s="1"/>
  <c r="N2" i="6"/>
  <c r="I5" i="26" s="1"/>
  <c r="E12" i="3"/>
  <c r="W3" i="6"/>
  <c r="AI3" i="6" s="1"/>
  <c r="V3" i="6"/>
  <c r="AH3" i="6" s="1"/>
  <c r="J41" i="6"/>
  <c r="G15" i="15" l="1"/>
  <c r="F15" i="15" s="1"/>
  <c r="I9" i="26"/>
  <c r="E9" i="26"/>
  <c r="I10" i="26"/>
  <c r="E10" i="26"/>
  <c r="I7" i="26"/>
  <c r="E7" i="26"/>
  <c r="I11" i="26"/>
  <c r="E11" i="26"/>
  <c r="I13" i="26"/>
  <c r="E13" i="26"/>
  <c r="I14" i="26"/>
  <c r="E14" i="26"/>
  <c r="I8" i="26"/>
  <c r="E8" i="26"/>
  <c r="I12" i="26"/>
  <c r="E12" i="26"/>
  <c r="G9" i="26"/>
  <c r="G10" i="26"/>
  <c r="E6" i="26"/>
  <c r="G6" i="26"/>
  <c r="G7" i="26"/>
  <c r="E5" i="26"/>
  <c r="G5" i="26"/>
  <c r="G13" i="26"/>
  <c r="G14" i="26"/>
  <c r="G11" i="26"/>
  <c r="G8" i="26"/>
  <c r="G12" i="26"/>
  <c r="C9" i="26"/>
  <c r="C6" i="26"/>
  <c r="C14" i="26"/>
  <c r="C7" i="26"/>
  <c r="C11" i="26"/>
  <c r="C5" i="26"/>
  <c r="C13" i="26"/>
  <c r="C10" i="26"/>
  <c r="C8" i="26"/>
  <c r="C12" i="26"/>
  <c r="AB15" i="15"/>
  <c r="AD15" i="15" s="1"/>
  <c r="CY262" i="6"/>
  <c r="CY260" i="6"/>
  <c r="CY258" i="6"/>
  <c r="CY256" i="6"/>
  <c r="CY254" i="6"/>
  <c r="CY252" i="6"/>
  <c r="CY250" i="6"/>
  <c r="CY248" i="6"/>
  <c r="CY246" i="6"/>
  <c r="CY244" i="6"/>
  <c r="CY242" i="6"/>
  <c r="CY240" i="6"/>
  <c r="CY238" i="6"/>
  <c r="CY236" i="6"/>
  <c r="CY234" i="6"/>
  <c r="CY232" i="6"/>
  <c r="CY230" i="6"/>
  <c r="CY261" i="6"/>
  <c r="CY257" i="6"/>
  <c r="CY253" i="6"/>
  <c r="CY249" i="6"/>
  <c r="CY245" i="6"/>
  <c r="CY241" i="6"/>
  <c r="CY237" i="6"/>
  <c r="CY228" i="6"/>
  <c r="CY226" i="6"/>
  <c r="CY224" i="6"/>
  <c r="CY222" i="6"/>
  <c r="CY220" i="6"/>
  <c r="CY218" i="6"/>
  <c r="CY216" i="6"/>
  <c r="CY214" i="6"/>
  <c r="CY212" i="6"/>
  <c r="CY210" i="6"/>
  <c r="CY208" i="6"/>
  <c r="CY206" i="6"/>
  <c r="CY204" i="6"/>
  <c r="CY202" i="6"/>
  <c r="CY200" i="6"/>
  <c r="CY198" i="6"/>
  <c r="CY196" i="6"/>
  <c r="CY194" i="6"/>
  <c r="CY192" i="6"/>
  <c r="CY190" i="6"/>
  <c r="CY188" i="6"/>
  <c r="CY186" i="6"/>
  <c r="CY184" i="6"/>
  <c r="CY182" i="6"/>
  <c r="CY255" i="6"/>
  <c r="CY239" i="6"/>
  <c r="CY225" i="6"/>
  <c r="CY217" i="6"/>
  <c r="CY209" i="6"/>
  <c r="CY259" i="6"/>
  <c r="CY243" i="6"/>
  <c r="CY231" i="6"/>
  <c r="CY227" i="6"/>
  <c r="CY219" i="6"/>
  <c r="CY211" i="6"/>
  <c r="CY203" i="6"/>
  <c r="CY195" i="6"/>
  <c r="CY187" i="6"/>
  <c r="CY179" i="6"/>
  <c r="CY177" i="6"/>
  <c r="CY175" i="6"/>
  <c r="CY173" i="6"/>
  <c r="CY171" i="6"/>
  <c r="CY169" i="6"/>
  <c r="CY167" i="6"/>
  <c r="CY165" i="6"/>
  <c r="CY163" i="6"/>
  <c r="CY161" i="6"/>
  <c r="CY159" i="6"/>
  <c r="CY157" i="6"/>
  <c r="CY155" i="6"/>
  <c r="CY153" i="6"/>
  <c r="CY151" i="6"/>
  <c r="CY149" i="6"/>
  <c r="CY147" i="6"/>
  <c r="CY145" i="6"/>
  <c r="CY143" i="6"/>
  <c r="CY141" i="6"/>
  <c r="CY139" i="6"/>
  <c r="CY137" i="6"/>
  <c r="CY135" i="6"/>
  <c r="CY133" i="6"/>
  <c r="CY131" i="6"/>
  <c r="CY129" i="6"/>
  <c r="CY127" i="6"/>
  <c r="CY125" i="6"/>
  <c r="CY123" i="6"/>
  <c r="CY121" i="6"/>
  <c r="CY119" i="6"/>
  <c r="CY117" i="6"/>
  <c r="CY115" i="6"/>
  <c r="CY113" i="6"/>
  <c r="CY111" i="6"/>
  <c r="CY215" i="6"/>
  <c r="CY199" i="6"/>
  <c r="CY189" i="6"/>
  <c r="CY180" i="6"/>
  <c r="CY172" i="6"/>
  <c r="CY164" i="6"/>
  <c r="CY156" i="6"/>
  <c r="CY148" i="6"/>
  <c r="CY140" i="6"/>
  <c r="CY132" i="6"/>
  <c r="CY124" i="6"/>
  <c r="CY116" i="6"/>
  <c r="CY251" i="6"/>
  <c r="CY235" i="6"/>
  <c r="CY233" i="6"/>
  <c r="CY205" i="6"/>
  <c r="CY197" i="6"/>
  <c r="CY178" i="6"/>
  <c r="CY168" i="6"/>
  <c r="CY158" i="6"/>
  <c r="CY146" i="6"/>
  <c r="CY136" i="6"/>
  <c r="CY126" i="6"/>
  <c r="CY114" i="6"/>
  <c r="CY106" i="6"/>
  <c r="CY105" i="6"/>
  <c r="CY98" i="6"/>
  <c r="CY97" i="6"/>
  <c r="CY90" i="6"/>
  <c r="CY89" i="6"/>
  <c r="CY82" i="6"/>
  <c r="CY81" i="6"/>
  <c r="CY74" i="6"/>
  <c r="CY73" i="6"/>
  <c r="CY66" i="6"/>
  <c r="CY65" i="6"/>
  <c r="CY58" i="6"/>
  <c r="CY57" i="6"/>
  <c r="CY56" i="6"/>
  <c r="CY54" i="6"/>
  <c r="CY52" i="6"/>
  <c r="CY50" i="6"/>
  <c r="CY48" i="6"/>
  <c r="CY46" i="6"/>
  <c r="CY44" i="6"/>
  <c r="CY42" i="6"/>
  <c r="CY40" i="6"/>
  <c r="CY38" i="6"/>
  <c r="CY36" i="6"/>
  <c r="CY34" i="6"/>
  <c r="CY32" i="6"/>
  <c r="CY30" i="6"/>
  <c r="CY28" i="6"/>
  <c r="CY26" i="6"/>
  <c r="CY24" i="6"/>
  <c r="CY22" i="6"/>
  <c r="CY20" i="6"/>
  <c r="CY18" i="6"/>
  <c r="CY16" i="6"/>
  <c r="CY14" i="6"/>
  <c r="CY12" i="6"/>
  <c r="CY10" i="6"/>
  <c r="CY8" i="6"/>
  <c r="CY6" i="6"/>
  <c r="CY4" i="6"/>
  <c r="CY247" i="6"/>
  <c r="CY229" i="6"/>
  <c r="CY193" i="6"/>
  <c r="CY191" i="6"/>
  <c r="CY170" i="6"/>
  <c r="CY160" i="6"/>
  <c r="CY150" i="6"/>
  <c r="CY138" i="6"/>
  <c r="CY128" i="6"/>
  <c r="CY118" i="6"/>
  <c r="CY108" i="6"/>
  <c r="CY107" i="6"/>
  <c r="CY100" i="6"/>
  <c r="CY99" i="6"/>
  <c r="CY92" i="6"/>
  <c r="CY91" i="6"/>
  <c r="CY84" i="6"/>
  <c r="CY83" i="6"/>
  <c r="CY76" i="6"/>
  <c r="CY75" i="6"/>
  <c r="CY68" i="6"/>
  <c r="CY67" i="6"/>
  <c r="CY60" i="6"/>
  <c r="CY59" i="6"/>
  <c r="CY213" i="6"/>
  <c r="CY174" i="6"/>
  <c r="CY130" i="6"/>
  <c r="CY120" i="6"/>
  <c r="CY110" i="6"/>
  <c r="CY109" i="6"/>
  <c r="CY94" i="6"/>
  <c r="CY93" i="6"/>
  <c r="CY78" i="6"/>
  <c r="CY77" i="6"/>
  <c r="CY62" i="6"/>
  <c r="CY61" i="6"/>
  <c r="CY55" i="6"/>
  <c r="CY51" i="6"/>
  <c r="CY47" i="6"/>
  <c r="CY43" i="6"/>
  <c r="CY39" i="6"/>
  <c r="CY31" i="6"/>
  <c r="CY23" i="6"/>
  <c r="CY15" i="6"/>
  <c r="CY7" i="6"/>
  <c r="CY221" i="6"/>
  <c r="CY207" i="6"/>
  <c r="CY185" i="6"/>
  <c r="CY183" i="6"/>
  <c r="CY181" i="6"/>
  <c r="CY154" i="6"/>
  <c r="CY144" i="6"/>
  <c r="CY134" i="6"/>
  <c r="CY96" i="6"/>
  <c r="CY95" i="6"/>
  <c r="CY80" i="6"/>
  <c r="CY79" i="6"/>
  <c r="CY64" i="6"/>
  <c r="CY63" i="6"/>
  <c r="CY33" i="6"/>
  <c r="CY25" i="6"/>
  <c r="CY17" i="6"/>
  <c r="CY9" i="6"/>
  <c r="CY223" i="6"/>
  <c r="CY162" i="6"/>
  <c r="CY152" i="6"/>
  <c r="CY142" i="6"/>
  <c r="CY102" i="6"/>
  <c r="CY101" i="6"/>
  <c r="CY86" i="6"/>
  <c r="CY85" i="6"/>
  <c r="CY70" i="6"/>
  <c r="CY69" i="6"/>
  <c r="CY53" i="6"/>
  <c r="CY49" i="6"/>
  <c r="CY45" i="6"/>
  <c r="CY41" i="6"/>
  <c r="CY35" i="6"/>
  <c r="CY27" i="6"/>
  <c r="CY19" i="6"/>
  <c r="CY11" i="6"/>
  <c r="CY263" i="6"/>
  <c r="CY201" i="6"/>
  <c r="CY176" i="6"/>
  <c r="CY166" i="6"/>
  <c r="CY122" i="6"/>
  <c r="CY112" i="6"/>
  <c r="CY104" i="6"/>
  <c r="CY103" i="6"/>
  <c r="CY88" i="6"/>
  <c r="CY87" i="6"/>
  <c r="CY72" i="6"/>
  <c r="CY71" i="6"/>
  <c r="CY37" i="6"/>
  <c r="CY29" i="6"/>
  <c r="CY21" i="6"/>
  <c r="CY13" i="6"/>
  <c r="CY5" i="6"/>
  <c r="DC262" i="6"/>
  <c r="DC260" i="6"/>
  <c r="DC258" i="6"/>
  <c r="DC256" i="6"/>
  <c r="DC254" i="6"/>
  <c r="DC252" i="6"/>
  <c r="DC250" i="6"/>
  <c r="DC248" i="6"/>
  <c r="DC246" i="6"/>
  <c r="DC244" i="6"/>
  <c r="DC242" i="6"/>
  <c r="DC240" i="6"/>
  <c r="DC238" i="6"/>
  <c r="DC236" i="6"/>
  <c r="DC234" i="6"/>
  <c r="DC232" i="6"/>
  <c r="DC230" i="6"/>
  <c r="DC263" i="6"/>
  <c r="DC259" i="6"/>
  <c r="DC255" i="6"/>
  <c r="DC251" i="6"/>
  <c r="DC247" i="6"/>
  <c r="DC243" i="6"/>
  <c r="DC239" i="6"/>
  <c r="DC235" i="6"/>
  <c r="DC228" i="6"/>
  <c r="DC226" i="6"/>
  <c r="DC224" i="6"/>
  <c r="DC222" i="6"/>
  <c r="DC220" i="6"/>
  <c r="DC218" i="6"/>
  <c r="DC216" i="6"/>
  <c r="DC214" i="6"/>
  <c r="DC212" i="6"/>
  <c r="DC210" i="6"/>
  <c r="DC208" i="6"/>
  <c r="DC206" i="6"/>
  <c r="DC204" i="6"/>
  <c r="DC202" i="6"/>
  <c r="DC200" i="6"/>
  <c r="DC198" i="6"/>
  <c r="DC196" i="6"/>
  <c r="DC194" i="6"/>
  <c r="DC192" i="6"/>
  <c r="DC190" i="6"/>
  <c r="DC188" i="6"/>
  <c r="DC186" i="6"/>
  <c r="DC184" i="6"/>
  <c r="DC182" i="6"/>
  <c r="DC261" i="6"/>
  <c r="DC245" i="6"/>
  <c r="DC233" i="6"/>
  <c r="DC223" i="6"/>
  <c r="DC215" i="6"/>
  <c r="DC207" i="6"/>
  <c r="DC249" i="6"/>
  <c r="DC225" i="6"/>
  <c r="DC217" i="6"/>
  <c r="DC209" i="6"/>
  <c r="DC201" i="6"/>
  <c r="DC193" i="6"/>
  <c r="DC185" i="6"/>
  <c r="DC179" i="6"/>
  <c r="DC177" i="6"/>
  <c r="DC175" i="6"/>
  <c r="DC173" i="6"/>
  <c r="DC171" i="6"/>
  <c r="DC169" i="6"/>
  <c r="DC167" i="6"/>
  <c r="DC165" i="6"/>
  <c r="DC163" i="6"/>
  <c r="DC161" i="6"/>
  <c r="DC159" i="6"/>
  <c r="DC157" i="6"/>
  <c r="DC155" i="6"/>
  <c r="DC153" i="6"/>
  <c r="DC151" i="6"/>
  <c r="DC149" i="6"/>
  <c r="DC147" i="6"/>
  <c r="DC145" i="6"/>
  <c r="DC143" i="6"/>
  <c r="DC141" i="6"/>
  <c r="DC139" i="6"/>
  <c r="DC137" i="6"/>
  <c r="DC135" i="6"/>
  <c r="DC133" i="6"/>
  <c r="DC131" i="6"/>
  <c r="DC129" i="6"/>
  <c r="DC127" i="6"/>
  <c r="DC125" i="6"/>
  <c r="DC123" i="6"/>
  <c r="DC121" i="6"/>
  <c r="DC119" i="6"/>
  <c r="DC117" i="6"/>
  <c r="DC115" i="6"/>
  <c r="DC113" i="6"/>
  <c r="DC111" i="6"/>
  <c r="DC241" i="6"/>
  <c r="DC231" i="6"/>
  <c r="DC221" i="6"/>
  <c r="DC205" i="6"/>
  <c r="DC195" i="6"/>
  <c r="DC183" i="6"/>
  <c r="DC178" i="6"/>
  <c r="DC170" i="6"/>
  <c r="DC162" i="6"/>
  <c r="DC154" i="6"/>
  <c r="DC146" i="6"/>
  <c r="DC138" i="6"/>
  <c r="DC130" i="6"/>
  <c r="DC122" i="6"/>
  <c r="DC114" i="6"/>
  <c r="DC253" i="6"/>
  <c r="DC229" i="6"/>
  <c r="DC219" i="6"/>
  <c r="DC191" i="6"/>
  <c r="DC189" i="6"/>
  <c r="DC187" i="6"/>
  <c r="DC174" i="6"/>
  <c r="DC164" i="6"/>
  <c r="DC152" i="6"/>
  <c r="DC142" i="6"/>
  <c r="DC132" i="6"/>
  <c r="DC120" i="6"/>
  <c r="DC110" i="6"/>
  <c r="DC104" i="6"/>
  <c r="DC103" i="6"/>
  <c r="DC96" i="6"/>
  <c r="DC95" i="6"/>
  <c r="DC88" i="6"/>
  <c r="DC87" i="6"/>
  <c r="DC80" i="6"/>
  <c r="DC79" i="6"/>
  <c r="DC72" i="6"/>
  <c r="DC71" i="6"/>
  <c r="DC64" i="6"/>
  <c r="DC63" i="6"/>
  <c r="DC56" i="6"/>
  <c r="DC54" i="6"/>
  <c r="DC52" i="6"/>
  <c r="DC50" i="6"/>
  <c r="DC48" i="6"/>
  <c r="DC46" i="6"/>
  <c r="DC44" i="6"/>
  <c r="DC42" i="6"/>
  <c r="DC40" i="6"/>
  <c r="DC38" i="6"/>
  <c r="DC36" i="6"/>
  <c r="DC34" i="6"/>
  <c r="DC32" i="6"/>
  <c r="DC30" i="6"/>
  <c r="DC28" i="6"/>
  <c r="DC26" i="6"/>
  <c r="DC24" i="6"/>
  <c r="DC22" i="6"/>
  <c r="DC20" i="6"/>
  <c r="DC18" i="6"/>
  <c r="DC16" i="6"/>
  <c r="DC14" i="6"/>
  <c r="DC12" i="6"/>
  <c r="DC10" i="6"/>
  <c r="DC8" i="6"/>
  <c r="DC6" i="6"/>
  <c r="DC4" i="6"/>
  <c r="DC227" i="6"/>
  <c r="DC213" i="6"/>
  <c r="DC203" i="6"/>
  <c r="DC176" i="6"/>
  <c r="DC166" i="6"/>
  <c r="DC156" i="6"/>
  <c r="DC144" i="6"/>
  <c r="DC134" i="6"/>
  <c r="DC124" i="6"/>
  <c r="DC112" i="6"/>
  <c r="DC106" i="6"/>
  <c r="DC105" i="6"/>
  <c r="DC98" i="6"/>
  <c r="DC97" i="6"/>
  <c r="DC90" i="6"/>
  <c r="DC89" i="6"/>
  <c r="DC82" i="6"/>
  <c r="DC81" i="6"/>
  <c r="DC74" i="6"/>
  <c r="DC73" i="6"/>
  <c r="DC66" i="6"/>
  <c r="DC65" i="6"/>
  <c r="DC58" i="6"/>
  <c r="DC57" i="6"/>
  <c r="DC181" i="6"/>
  <c r="DC168" i="6"/>
  <c r="DC158" i="6"/>
  <c r="DC148" i="6"/>
  <c r="DC100" i="6"/>
  <c r="DC99" i="6"/>
  <c r="DC84" i="6"/>
  <c r="DC83" i="6"/>
  <c r="DC68" i="6"/>
  <c r="DC67" i="6"/>
  <c r="DC53" i="6"/>
  <c r="DC49" i="6"/>
  <c r="DC45" i="6"/>
  <c r="DC41" i="6"/>
  <c r="DC37" i="6"/>
  <c r="DC29" i="6"/>
  <c r="DC21" i="6"/>
  <c r="DC13" i="6"/>
  <c r="DC5" i="6"/>
  <c r="DC237" i="6"/>
  <c r="DC172" i="6"/>
  <c r="DC128" i="6"/>
  <c r="DC118" i="6"/>
  <c r="DC102" i="6"/>
  <c r="DC101" i="6"/>
  <c r="DC86" i="6"/>
  <c r="DC85" i="6"/>
  <c r="DC70" i="6"/>
  <c r="DC69" i="6"/>
  <c r="DC39" i="6"/>
  <c r="DC31" i="6"/>
  <c r="DC23" i="6"/>
  <c r="DC15" i="6"/>
  <c r="DC7" i="6"/>
  <c r="DC211" i="6"/>
  <c r="DC199" i="6"/>
  <c r="DC197" i="6"/>
  <c r="DC180" i="6"/>
  <c r="DC136" i="6"/>
  <c r="DC126" i="6"/>
  <c r="DC116" i="6"/>
  <c r="DC108" i="6"/>
  <c r="DC107" i="6"/>
  <c r="DC92" i="6"/>
  <c r="DC91" i="6"/>
  <c r="DC76" i="6"/>
  <c r="DC75" i="6"/>
  <c r="DC60" i="6"/>
  <c r="DC59" i="6"/>
  <c r="DC55" i="6"/>
  <c r="DC51" i="6"/>
  <c r="DC47" i="6"/>
  <c r="DC43" i="6"/>
  <c r="DC33" i="6"/>
  <c r="DC25" i="6"/>
  <c r="DC17" i="6"/>
  <c r="DC9" i="6"/>
  <c r="DC257" i="6"/>
  <c r="DC160" i="6"/>
  <c r="DC150" i="6"/>
  <c r="DC140" i="6"/>
  <c r="DC109" i="6"/>
  <c r="DC94" i="6"/>
  <c r="DC93" i="6"/>
  <c r="DC78" i="6"/>
  <c r="DC77" i="6"/>
  <c r="DC62" i="6"/>
  <c r="DC61" i="6"/>
  <c r="DC35" i="6"/>
  <c r="DC27" i="6"/>
  <c r="DC19" i="6"/>
  <c r="DC11" i="6"/>
  <c r="CZ262" i="6"/>
  <c r="CZ260" i="6"/>
  <c r="CZ258" i="6"/>
  <c r="CZ256" i="6"/>
  <c r="CZ254" i="6"/>
  <c r="CZ252" i="6"/>
  <c r="CZ250" i="6"/>
  <c r="CZ248" i="6"/>
  <c r="CZ246" i="6"/>
  <c r="CZ244" i="6"/>
  <c r="CZ242" i="6"/>
  <c r="CZ240" i="6"/>
  <c r="CZ238" i="6"/>
  <c r="CZ231" i="6"/>
  <c r="CZ230" i="6"/>
  <c r="CZ259" i="6"/>
  <c r="CZ257" i="6"/>
  <c r="CZ243" i="6"/>
  <c r="CZ241" i="6"/>
  <c r="CZ234" i="6"/>
  <c r="CZ227" i="6"/>
  <c r="CZ226" i="6"/>
  <c r="CZ219" i="6"/>
  <c r="CZ218" i="6"/>
  <c r="CZ211" i="6"/>
  <c r="CZ210" i="6"/>
  <c r="CZ263" i="6"/>
  <c r="CZ261" i="6"/>
  <c r="CZ247" i="6"/>
  <c r="CZ245" i="6"/>
  <c r="CZ236" i="6"/>
  <c r="CZ233" i="6"/>
  <c r="CZ229" i="6"/>
  <c r="CZ228" i="6"/>
  <c r="CZ221" i="6"/>
  <c r="CZ220" i="6"/>
  <c r="CZ213" i="6"/>
  <c r="CZ212" i="6"/>
  <c r="CZ205" i="6"/>
  <c r="CZ204" i="6"/>
  <c r="CZ197" i="6"/>
  <c r="CZ196" i="6"/>
  <c r="CZ189" i="6"/>
  <c r="CZ188" i="6"/>
  <c r="CZ181" i="6"/>
  <c r="CZ239" i="6"/>
  <c r="CZ237" i="6"/>
  <c r="CZ217" i="6"/>
  <c r="CZ216" i="6"/>
  <c r="CZ201" i="6"/>
  <c r="CZ194" i="6"/>
  <c r="CZ191" i="6"/>
  <c r="CZ184" i="6"/>
  <c r="CZ174" i="6"/>
  <c r="CZ173" i="6"/>
  <c r="CZ166" i="6"/>
  <c r="CZ165" i="6"/>
  <c r="CZ158" i="6"/>
  <c r="CZ157" i="6"/>
  <c r="CZ150" i="6"/>
  <c r="CZ149" i="6"/>
  <c r="CZ142" i="6"/>
  <c r="CZ141" i="6"/>
  <c r="CZ134" i="6"/>
  <c r="CZ133" i="6"/>
  <c r="CZ126" i="6"/>
  <c r="CZ125" i="6"/>
  <c r="CZ118" i="6"/>
  <c r="CZ117" i="6"/>
  <c r="CZ110" i="6"/>
  <c r="CZ108" i="6"/>
  <c r="CZ106" i="6"/>
  <c r="CZ104" i="6"/>
  <c r="CZ102" i="6"/>
  <c r="CZ100" i="6"/>
  <c r="CZ98" i="6"/>
  <c r="CZ96" i="6"/>
  <c r="CZ94" i="6"/>
  <c r="CZ92" i="6"/>
  <c r="CZ90" i="6"/>
  <c r="CZ88" i="6"/>
  <c r="CZ86" i="6"/>
  <c r="CZ84" i="6"/>
  <c r="CZ82" i="6"/>
  <c r="CZ80" i="6"/>
  <c r="CZ78" i="6"/>
  <c r="CZ76" i="6"/>
  <c r="CZ74" i="6"/>
  <c r="CZ72" i="6"/>
  <c r="CZ70" i="6"/>
  <c r="CZ68" i="6"/>
  <c r="CZ66" i="6"/>
  <c r="CZ64" i="6"/>
  <c r="CZ62" i="6"/>
  <c r="CZ60" i="6"/>
  <c r="CZ58" i="6"/>
  <c r="CZ225" i="6"/>
  <c r="CZ222" i="6"/>
  <c r="CZ215" i="6"/>
  <c r="CZ208" i="6"/>
  <c r="CZ195" i="6"/>
  <c r="CZ193" i="6"/>
  <c r="CZ180" i="6"/>
  <c r="CZ175" i="6"/>
  <c r="CZ170" i="6"/>
  <c r="CZ163" i="6"/>
  <c r="CZ160" i="6"/>
  <c r="CZ153" i="6"/>
  <c r="CZ148" i="6"/>
  <c r="CZ143" i="6"/>
  <c r="CZ138" i="6"/>
  <c r="CZ131" i="6"/>
  <c r="CZ128" i="6"/>
  <c r="CZ121" i="6"/>
  <c r="CZ116" i="6"/>
  <c r="CZ111" i="6"/>
  <c r="CZ107" i="6"/>
  <c r="CZ99" i="6"/>
  <c r="CZ91" i="6"/>
  <c r="CZ83" i="6"/>
  <c r="CZ75" i="6"/>
  <c r="CZ67" i="6"/>
  <c r="CZ59" i="6"/>
  <c r="CZ253" i="6"/>
  <c r="CZ223" i="6"/>
  <c r="CZ209" i="6"/>
  <c r="CZ206" i="6"/>
  <c r="CZ192" i="6"/>
  <c r="CZ190" i="6"/>
  <c r="CZ177" i="6"/>
  <c r="CZ172" i="6"/>
  <c r="CZ167" i="6"/>
  <c r="CZ162" i="6"/>
  <c r="CZ155" i="6"/>
  <c r="CZ152" i="6"/>
  <c r="CZ145" i="6"/>
  <c r="CZ140" i="6"/>
  <c r="CZ135" i="6"/>
  <c r="CZ130" i="6"/>
  <c r="CZ123" i="6"/>
  <c r="CZ120" i="6"/>
  <c r="CZ113" i="6"/>
  <c r="CZ109" i="6"/>
  <c r="CZ101" i="6"/>
  <c r="CZ93" i="6"/>
  <c r="CZ85" i="6"/>
  <c r="CZ77" i="6"/>
  <c r="CZ69" i="6"/>
  <c r="CZ61" i="6"/>
  <c r="CZ55" i="6"/>
  <c r="CZ53" i="6"/>
  <c r="CZ51" i="6"/>
  <c r="CZ49" i="6"/>
  <c r="CZ47" i="6"/>
  <c r="CZ45" i="6"/>
  <c r="CZ43" i="6"/>
  <c r="CZ41" i="6"/>
  <c r="CZ255" i="6"/>
  <c r="CZ249" i="6"/>
  <c r="CZ207" i="6"/>
  <c r="CZ187" i="6"/>
  <c r="CZ185" i="6"/>
  <c r="CZ183" i="6"/>
  <c r="CZ164" i="6"/>
  <c r="CZ154" i="6"/>
  <c r="CZ147" i="6"/>
  <c r="CZ144" i="6"/>
  <c r="CZ137" i="6"/>
  <c r="CZ127" i="6"/>
  <c r="CZ95" i="6"/>
  <c r="CZ79" i="6"/>
  <c r="CZ63" i="6"/>
  <c r="CZ40" i="6"/>
  <c r="CZ33" i="6"/>
  <c r="CZ32" i="6"/>
  <c r="CZ25" i="6"/>
  <c r="CZ24" i="6"/>
  <c r="CZ17" i="6"/>
  <c r="CZ16" i="6"/>
  <c r="CZ9" i="6"/>
  <c r="CZ8" i="6"/>
  <c r="CZ224" i="6"/>
  <c r="CZ202" i="6"/>
  <c r="CZ200" i="6"/>
  <c r="CZ198" i="6"/>
  <c r="CZ178" i="6"/>
  <c r="CZ171" i="6"/>
  <c r="CZ168" i="6"/>
  <c r="CZ161" i="6"/>
  <c r="CZ151" i="6"/>
  <c r="CZ124" i="6"/>
  <c r="CZ114" i="6"/>
  <c r="CZ97" i="6"/>
  <c r="CZ81" i="6"/>
  <c r="CZ65" i="6"/>
  <c r="CZ54" i="6"/>
  <c r="CZ50" i="6"/>
  <c r="CZ46" i="6"/>
  <c r="CZ42" i="6"/>
  <c r="CZ35" i="6"/>
  <c r="CZ34" i="6"/>
  <c r="CZ27" i="6"/>
  <c r="CZ26" i="6"/>
  <c r="CZ19" i="6"/>
  <c r="CZ18" i="6"/>
  <c r="CZ11" i="6"/>
  <c r="CZ10" i="6"/>
  <c r="CZ232" i="6"/>
  <c r="CZ203" i="6"/>
  <c r="CZ186" i="6"/>
  <c r="CZ179" i="6"/>
  <c r="CZ176" i="6"/>
  <c r="CZ169" i="6"/>
  <c r="CZ159" i="6"/>
  <c r="CZ132" i="6"/>
  <c r="CZ122" i="6"/>
  <c r="CZ115" i="6"/>
  <c r="CZ112" i="6"/>
  <c r="CZ103" i="6"/>
  <c r="CZ87" i="6"/>
  <c r="CZ71" i="6"/>
  <c r="CZ37" i="6"/>
  <c r="CZ36" i="6"/>
  <c r="CZ29" i="6"/>
  <c r="CZ28" i="6"/>
  <c r="CZ21" i="6"/>
  <c r="CZ20" i="6"/>
  <c r="CZ13" i="6"/>
  <c r="CZ12" i="6"/>
  <c r="CZ5" i="6"/>
  <c r="CZ4" i="6"/>
  <c r="CZ251" i="6"/>
  <c r="CZ235" i="6"/>
  <c r="CZ214" i="6"/>
  <c r="CZ199" i="6"/>
  <c r="CZ182" i="6"/>
  <c r="CZ156" i="6"/>
  <c r="CZ146" i="6"/>
  <c r="CZ139" i="6"/>
  <c r="CZ136" i="6"/>
  <c r="CZ129" i="6"/>
  <c r="CZ119" i="6"/>
  <c r="CZ105" i="6"/>
  <c r="CZ89" i="6"/>
  <c r="CZ73" i="6"/>
  <c r="CZ57" i="6"/>
  <c r="CZ56" i="6"/>
  <c r="CZ52" i="6"/>
  <c r="CZ48" i="6"/>
  <c r="CZ44" i="6"/>
  <c r="CZ39" i="6"/>
  <c r="CZ38" i="6"/>
  <c r="CZ31" i="6"/>
  <c r="CZ30" i="6"/>
  <c r="CZ23" i="6"/>
  <c r="CZ22" i="6"/>
  <c r="CZ15" i="6"/>
  <c r="CZ14" i="6"/>
  <c r="CZ7" i="6"/>
  <c r="CZ6" i="6"/>
  <c r="DA263" i="6"/>
  <c r="DA261" i="6"/>
  <c r="DA259" i="6"/>
  <c r="DA257" i="6"/>
  <c r="DA255" i="6"/>
  <c r="DA253" i="6"/>
  <c r="DA251" i="6"/>
  <c r="DA249" i="6"/>
  <c r="DA247" i="6"/>
  <c r="DA245" i="6"/>
  <c r="DA243" i="6"/>
  <c r="DA241" i="6"/>
  <c r="DA239" i="6"/>
  <c r="DA237" i="6"/>
  <c r="DA235" i="6"/>
  <c r="DA233" i="6"/>
  <c r="DA231" i="6"/>
  <c r="DA260" i="6"/>
  <c r="DA256" i="6"/>
  <c r="DA252" i="6"/>
  <c r="DA248" i="6"/>
  <c r="DA244" i="6"/>
  <c r="DA240" i="6"/>
  <c r="DA232" i="6"/>
  <c r="DA229" i="6"/>
  <c r="DA227" i="6"/>
  <c r="DA225" i="6"/>
  <c r="DA223" i="6"/>
  <c r="DA221" i="6"/>
  <c r="DA219" i="6"/>
  <c r="DA217" i="6"/>
  <c r="DA215" i="6"/>
  <c r="DA213" i="6"/>
  <c r="DA211" i="6"/>
  <c r="DA209" i="6"/>
  <c r="DA207" i="6"/>
  <c r="DA205" i="6"/>
  <c r="DA203" i="6"/>
  <c r="DA201" i="6"/>
  <c r="DA199" i="6"/>
  <c r="DA197" i="6"/>
  <c r="DA195" i="6"/>
  <c r="DA193" i="6"/>
  <c r="DA191" i="6"/>
  <c r="DA189" i="6"/>
  <c r="DA187" i="6"/>
  <c r="DA185" i="6"/>
  <c r="DA183" i="6"/>
  <c r="DA181" i="6"/>
  <c r="DA258" i="6"/>
  <c r="DA242" i="6"/>
  <c r="DA236" i="6"/>
  <c r="DA228" i="6"/>
  <c r="DA220" i="6"/>
  <c r="DA212" i="6"/>
  <c r="DA204" i="6"/>
  <c r="DA262" i="6"/>
  <c r="DA246" i="6"/>
  <c r="DA222" i="6"/>
  <c r="DA214" i="6"/>
  <c r="DA206" i="6"/>
  <c r="DA198" i="6"/>
  <c r="DA190" i="6"/>
  <c r="DA182" i="6"/>
  <c r="DA180" i="6"/>
  <c r="DA178" i="6"/>
  <c r="DA176" i="6"/>
  <c r="DA174" i="6"/>
  <c r="DA172" i="6"/>
  <c r="DA170" i="6"/>
  <c r="DA168" i="6"/>
  <c r="DA166" i="6"/>
  <c r="DA164" i="6"/>
  <c r="DA162" i="6"/>
  <c r="DA160" i="6"/>
  <c r="DA158" i="6"/>
  <c r="DA156" i="6"/>
  <c r="DA154" i="6"/>
  <c r="DA152" i="6"/>
  <c r="DA150" i="6"/>
  <c r="DA148" i="6"/>
  <c r="DA146" i="6"/>
  <c r="DA144" i="6"/>
  <c r="DA142" i="6"/>
  <c r="DA140" i="6"/>
  <c r="DA138" i="6"/>
  <c r="DA136" i="6"/>
  <c r="DA134" i="6"/>
  <c r="DA132" i="6"/>
  <c r="DA130" i="6"/>
  <c r="DA128" i="6"/>
  <c r="DA126" i="6"/>
  <c r="DA124" i="6"/>
  <c r="DA122" i="6"/>
  <c r="DA120" i="6"/>
  <c r="DA118" i="6"/>
  <c r="DA116" i="6"/>
  <c r="DA114" i="6"/>
  <c r="DA112" i="6"/>
  <c r="DA110" i="6"/>
  <c r="DA254" i="6"/>
  <c r="DA234" i="6"/>
  <c r="DA218" i="6"/>
  <c r="DA196" i="6"/>
  <c r="DA186" i="6"/>
  <c r="DA175" i="6"/>
  <c r="DA167" i="6"/>
  <c r="DA159" i="6"/>
  <c r="DA151" i="6"/>
  <c r="DA143" i="6"/>
  <c r="DA135" i="6"/>
  <c r="DA127" i="6"/>
  <c r="DA119" i="6"/>
  <c r="DA111" i="6"/>
  <c r="DA194" i="6"/>
  <c r="DA192" i="6"/>
  <c r="DA177" i="6"/>
  <c r="DA165" i="6"/>
  <c r="DA155" i="6"/>
  <c r="DA145" i="6"/>
  <c r="DA133" i="6"/>
  <c r="DA123" i="6"/>
  <c r="DA113" i="6"/>
  <c r="DA109" i="6"/>
  <c r="DA108" i="6"/>
  <c r="DA101" i="6"/>
  <c r="DA100" i="6"/>
  <c r="DA93" i="6"/>
  <c r="DA92" i="6"/>
  <c r="DA85" i="6"/>
  <c r="DA84" i="6"/>
  <c r="DA77" i="6"/>
  <c r="DA76" i="6"/>
  <c r="DA69" i="6"/>
  <c r="DA68" i="6"/>
  <c r="DA61" i="6"/>
  <c r="DA60" i="6"/>
  <c r="DA55" i="6"/>
  <c r="DA53" i="6"/>
  <c r="DA51" i="6"/>
  <c r="DA49" i="6"/>
  <c r="DA47" i="6"/>
  <c r="DA45" i="6"/>
  <c r="DA43" i="6"/>
  <c r="DA41" i="6"/>
  <c r="DA39" i="6"/>
  <c r="DA37" i="6"/>
  <c r="DA35" i="6"/>
  <c r="DA33" i="6"/>
  <c r="DA31" i="6"/>
  <c r="DA29" i="6"/>
  <c r="DA27" i="6"/>
  <c r="DA25" i="6"/>
  <c r="DA23" i="6"/>
  <c r="DA21" i="6"/>
  <c r="DA19" i="6"/>
  <c r="DA17" i="6"/>
  <c r="DA15" i="6"/>
  <c r="DA13" i="6"/>
  <c r="DA11" i="6"/>
  <c r="DA9" i="6"/>
  <c r="DA7" i="6"/>
  <c r="DA5" i="6"/>
  <c r="DA250" i="6"/>
  <c r="DA226" i="6"/>
  <c r="DA216" i="6"/>
  <c r="DA188" i="6"/>
  <c r="DA179" i="6"/>
  <c r="DA169" i="6"/>
  <c r="DA157" i="6"/>
  <c r="DA147" i="6"/>
  <c r="DA137" i="6"/>
  <c r="DA125" i="6"/>
  <c r="DA115" i="6"/>
  <c r="DA103" i="6"/>
  <c r="DA102" i="6"/>
  <c r="DA95" i="6"/>
  <c r="DA94" i="6"/>
  <c r="DA87" i="6"/>
  <c r="DA86" i="6"/>
  <c r="DA79" i="6"/>
  <c r="DA78" i="6"/>
  <c r="DA71" i="6"/>
  <c r="DA70" i="6"/>
  <c r="DA63" i="6"/>
  <c r="DA62" i="6"/>
  <c r="DA238" i="6"/>
  <c r="DA230" i="6"/>
  <c r="DA224" i="6"/>
  <c r="DA210" i="6"/>
  <c r="DA202" i="6"/>
  <c r="DA200" i="6"/>
  <c r="DA171" i="6"/>
  <c r="DA161" i="6"/>
  <c r="DA117" i="6"/>
  <c r="DA97" i="6"/>
  <c r="DA96" i="6"/>
  <c r="DA81" i="6"/>
  <c r="DA80" i="6"/>
  <c r="DA65" i="6"/>
  <c r="DA64" i="6"/>
  <c r="DA54" i="6"/>
  <c r="DA50" i="6"/>
  <c r="DA46" i="6"/>
  <c r="DA42" i="6"/>
  <c r="DA34" i="6"/>
  <c r="DA26" i="6"/>
  <c r="DA18" i="6"/>
  <c r="DA10" i="6"/>
  <c r="DA141" i="6"/>
  <c r="DA131" i="6"/>
  <c r="DA121" i="6"/>
  <c r="DA99" i="6"/>
  <c r="DA98" i="6"/>
  <c r="DA83" i="6"/>
  <c r="DA82" i="6"/>
  <c r="DA67" i="6"/>
  <c r="DA66" i="6"/>
  <c r="DA36" i="6"/>
  <c r="DA28" i="6"/>
  <c r="DA20" i="6"/>
  <c r="DA12" i="6"/>
  <c r="DA4" i="6"/>
  <c r="DA184" i="6"/>
  <c r="DA149" i="6"/>
  <c r="DA139" i="6"/>
  <c r="DA129" i="6"/>
  <c r="DA105" i="6"/>
  <c r="DA104" i="6"/>
  <c r="DA89" i="6"/>
  <c r="DA88" i="6"/>
  <c r="DA73" i="6"/>
  <c r="DA72" i="6"/>
  <c r="DA57" i="6"/>
  <c r="DA56" i="6"/>
  <c r="DA52" i="6"/>
  <c r="DA48" i="6"/>
  <c r="DA44" i="6"/>
  <c r="DA38" i="6"/>
  <c r="DA30" i="6"/>
  <c r="DA22" i="6"/>
  <c r="DA14" i="6"/>
  <c r="DA6" i="6"/>
  <c r="DA208" i="6"/>
  <c r="DA173" i="6"/>
  <c r="DA163" i="6"/>
  <c r="DA153" i="6"/>
  <c r="DA107" i="6"/>
  <c r="DA106" i="6"/>
  <c r="DA91" i="6"/>
  <c r="DA90" i="6"/>
  <c r="DA75" i="6"/>
  <c r="DA74" i="6"/>
  <c r="DA59" i="6"/>
  <c r="DA58" i="6"/>
  <c r="DA40" i="6"/>
  <c r="DA32" i="6"/>
  <c r="DA24" i="6"/>
  <c r="DA16" i="6"/>
  <c r="DA8" i="6"/>
  <c r="DD262" i="6"/>
  <c r="DD260" i="6"/>
  <c r="DD258" i="6"/>
  <c r="DD256" i="6"/>
  <c r="DD254" i="6"/>
  <c r="DD252" i="6"/>
  <c r="DD250" i="6"/>
  <c r="DD248" i="6"/>
  <c r="DD246" i="6"/>
  <c r="DD244" i="6"/>
  <c r="DD242" i="6"/>
  <c r="DD240" i="6"/>
  <c r="DD238" i="6"/>
  <c r="DD236" i="6"/>
  <c r="DD263" i="6"/>
  <c r="DD249" i="6"/>
  <c r="DD247" i="6"/>
  <c r="DD235" i="6"/>
  <c r="DD230" i="6"/>
  <c r="DD225" i="6"/>
  <c r="DD224" i="6"/>
  <c r="DD217" i="6"/>
  <c r="DD216" i="6"/>
  <c r="DD209" i="6"/>
  <c r="DD208" i="6"/>
  <c r="DD253" i="6"/>
  <c r="DD251" i="6"/>
  <c r="DD237" i="6"/>
  <c r="DD232" i="6"/>
  <c r="DD227" i="6"/>
  <c r="DD226" i="6"/>
  <c r="DD219" i="6"/>
  <c r="DD218" i="6"/>
  <c r="DD211" i="6"/>
  <c r="DD210" i="6"/>
  <c r="DD203" i="6"/>
  <c r="DD202" i="6"/>
  <c r="DD195" i="6"/>
  <c r="DD194" i="6"/>
  <c r="DD187" i="6"/>
  <c r="DD186" i="6"/>
  <c r="DD245" i="6"/>
  <c r="DD243" i="6"/>
  <c r="DD223" i="6"/>
  <c r="DD222" i="6"/>
  <c r="DD207" i="6"/>
  <c r="DD206" i="6"/>
  <c r="DD200" i="6"/>
  <c r="DD197" i="6"/>
  <c r="DD190" i="6"/>
  <c r="DD185" i="6"/>
  <c r="DD180" i="6"/>
  <c r="DD179" i="6"/>
  <c r="DD172" i="6"/>
  <c r="DD171" i="6"/>
  <c r="DD164" i="6"/>
  <c r="DD163" i="6"/>
  <c r="DD156" i="6"/>
  <c r="DD155" i="6"/>
  <c r="DD148" i="6"/>
  <c r="DD147" i="6"/>
  <c r="DD140" i="6"/>
  <c r="DD139" i="6"/>
  <c r="DD132" i="6"/>
  <c r="DD131" i="6"/>
  <c r="DD124" i="6"/>
  <c r="DD123" i="6"/>
  <c r="DD116" i="6"/>
  <c r="DD115" i="6"/>
  <c r="DD108" i="6"/>
  <c r="DD106" i="6"/>
  <c r="DD104" i="6"/>
  <c r="DD102" i="6"/>
  <c r="DD100" i="6"/>
  <c r="DD98" i="6"/>
  <c r="DD96" i="6"/>
  <c r="DD94" i="6"/>
  <c r="DD92" i="6"/>
  <c r="DD90" i="6"/>
  <c r="DD88" i="6"/>
  <c r="DD86" i="6"/>
  <c r="DD84" i="6"/>
  <c r="DD82" i="6"/>
  <c r="DD80" i="6"/>
  <c r="DD78" i="6"/>
  <c r="DD76" i="6"/>
  <c r="DD74" i="6"/>
  <c r="DD72" i="6"/>
  <c r="DD70" i="6"/>
  <c r="DD68" i="6"/>
  <c r="DD66" i="6"/>
  <c r="DD64" i="6"/>
  <c r="DD62" i="6"/>
  <c r="DD60" i="6"/>
  <c r="DD58" i="6"/>
  <c r="DD56" i="6"/>
  <c r="DD259" i="6"/>
  <c r="DD239" i="6"/>
  <c r="DD213" i="6"/>
  <c r="DD188" i="6"/>
  <c r="DD176" i="6"/>
  <c r="DD169" i="6"/>
  <c r="DD166" i="6"/>
  <c r="DD159" i="6"/>
  <c r="DD154" i="6"/>
  <c r="DD149" i="6"/>
  <c r="DD144" i="6"/>
  <c r="DD137" i="6"/>
  <c r="DD134" i="6"/>
  <c r="DD127" i="6"/>
  <c r="DD122" i="6"/>
  <c r="DD117" i="6"/>
  <c r="DD112" i="6"/>
  <c r="DD105" i="6"/>
  <c r="DD97" i="6"/>
  <c r="DD89" i="6"/>
  <c r="DD81" i="6"/>
  <c r="DD73" i="6"/>
  <c r="DD65" i="6"/>
  <c r="DD57" i="6"/>
  <c r="DD261" i="6"/>
  <c r="DD255" i="6"/>
  <c r="DD241" i="6"/>
  <c r="DD234" i="6"/>
  <c r="DD220" i="6"/>
  <c r="DD201" i="6"/>
  <c r="DD199" i="6"/>
  <c r="DD184" i="6"/>
  <c r="DD183" i="6"/>
  <c r="DD182" i="6"/>
  <c r="DD181" i="6"/>
  <c r="DD178" i="6"/>
  <c r="DD173" i="6"/>
  <c r="DD168" i="6"/>
  <c r="DD161" i="6"/>
  <c r="DD158" i="6"/>
  <c r="DD151" i="6"/>
  <c r="DD146" i="6"/>
  <c r="DD141" i="6"/>
  <c r="DD136" i="6"/>
  <c r="DD129" i="6"/>
  <c r="DD126" i="6"/>
  <c r="DD119" i="6"/>
  <c r="DD114" i="6"/>
  <c r="DD107" i="6"/>
  <c r="DD99" i="6"/>
  <c r="DD91" i="6"/>
  <c r="DD83" i="6"/>
  <c r="DD75" i="6"/>
  <c r="DD67" i="6"/>
  <c r="DD59" i="6"/>
  <c r="DD55" i="6"/>
  <c r="DD53" i="6"/>
  <c r="DD51" i="6"/>
  <c r="DD49" i="6"/>
  <c r="DD47" i="6"/>
  <c r="DD45" i="6"/>
  <c r="DD43" i="6"/>
  <c r="DD41" i="6"/>
  <c r="DD221" i="6"/>
  <c r="DD204" i="6"/>
  <c r="DD198" i="6"/>
  <c r="DD196" i="6"/>
  <c r="DD175" i="6"/>
  <c r="DD165" i="6"/>
  <c r="DD138" i="6"/>
  <c r="DD128" i="6"/>
  <c r="DD121" i="6"/>
  <c r="DD118" i="6"/>
  <c r="DD111" i="6"/>
  <c r="DD101" i="6"/>
  <c r="DD85" i="6"/>
  <c r="DD69" i="6"/>
  <c r="DD39" i="6"/>
  <c r="DD38" i="6"/>
  <c r="DD31" i="6"/>
  <c r="DD30" i="6"/>
  <c r="DD23" i="6"/>
  <c r="DD22" i="6"/>
  <c r="DD15" i="6"/>
  <c r="DD14" i="6"/>
  <c r="DD7" i="6"/>
  <c r="DD6" i="6"/>
  <c r="DD233" i="6"/>
  <c r="DD229" i="6"/>
  <c r="DD215" i="6"/>
  <c r="DD212" i="6"/>
  <c r="DD192" i="6"/>
  <c r="DD162" i="6"/>
  <c r="DD152" i="6"/>
  <c r="DD145" i="6"/>
  <c r="DD142" i="6"/>
  <c r="DD135" i="6"/>
  <c r="DD125" i="6"/>
  <c r="DD103" i="6"/>
  <c r="DD87" i="6"/>
  <c r="DD71" i="6"/>
  <c r="DD52" i="6"/>
  <c r="DD48" i="6"/>
  <c r="DD44" i="6"/>
  <c r="DD40" i="6"/>
  <c r="DD33" i="6"/>
  <c r="DD32" i="6"/>
  <c r="DD25" i="6"/>
  <c r="DD24" i="6"/>
  <c r="DD17" i="6"/>
  <c r="DD16" i="6"/>
  <c r="DD9" i="6"/>
  <c r="DD8" i="6"/>
  <c r="DD257" i="6"/>
  <c r="DD228" i="6"/>
  <c r="DD214" i="6"/>
  <c r="DD170" i="6"/>
  <c r="DD160" i="6"/>
  <c r="DD153" i="6"/>
  <c r="DD150" i="6"/>
  <c r="DD143" i="6"/>
  <c r="DD133" i="6"/>
  <c r="DD109" i="6"/>
  <c r="DD93" i="6"/>
  <c r="DD77" i="6"/>
  <c r="DD61" i="6"/>
  <c r="DD35" i="6"/>
  <c r="DD34" i="6"/>
  <c r="DD27" i="6"/>
  <c r="DD26" i="6"/>
  <c r="DD19" i="6"/>
  <c r="DD18" i="6"/>
  <c r="DD11" i="6"/>
  <c r="DD10" i="6"/>
  <c r="DD231" i="6"/>
  <c r="DD205" i="6"/>
  <c r="DD193" i="6"/>
  <c r="DD191" i="6"/>
  <c r="DD189" i="6"/>
  <c r="DD177" i="6"/>
  <c r="DD174" i="6"/>
  <c r="DD167" i="6"/>
  <c r="DD157" i="6"/>
  <c r="DD130" i="6"/>
  <c r="DD120" i="6"/>
  <c r="DD113" i="6"/>
  <c r="DD110" i="6"/>
  <c r="DD95" i="6"/>
  <c r="DD79" i="6"/>
  <c r="DD63" i="6"/>
  <c r="DD54" i="6"/>
  <c r="DD50" i="6"/>
  <c r="DD46" i="6"/>
  <c r="DD42" i="6"/>
  <c r="DD37" i="6"/>
  <c r="DD36" i="6"/>
  <c r="DD29" i="6"/>
  <c r="DD28" i="6"/>
  <c r="DD21" i="6"/>
  <c r="DD20" i="6"/>
  <c r="DD13" i="6"/>
  <c r="DD12" i="6"/>
  <c r="DD5" i="6"/>
  <c r="DD4" i="6"/>
  <c r="CW4" i="6"/>
  <c r="CW263" i="6"/>
  <c r="CW261" i="6"/>
  <c r="CW259" i="6"/>
  <c r="CW257" i="6"/>
  <c r="CW255" i="6"/>
  <c r="CW253" i="6"/>
  <c r="CW251" i="6"/>
  <c r="CW249" i="6"/>
  <c r="CW247" i="6"/>
  <c r="CW245" i="6"/>
  <c r="CW243" i="6"/>
  <c r="CW241" i="6"/>
  <c r="CW239" i="6"/>
  <c r="CW237" i="6"/>
  <c r="CW235" i="6"/>
  <c r="CW233" i="6"/>
  <c r="CW231" i="6"/>
  <c r="CW262" i="6"/>
  <c r="CW258" i="6"/>
  <c r="CW254" i="6"/>
  <c r="CW250" i="6"/>
  <c r="CW246" i="6"/>
  <c r="CW242" i="6"/>
  <c r="CW238" i="6"/>
  <c r="CW234" i="6"/>
  <c r="CW229" i="6"/>
  <c r="CW227" i="6"/>
  <c r="CW225" i="6"/>
  <c r="CW223" i="6"/>
  <c r="CW221" i="6"/>
  <c r="CW219" i="6"/>
  <c r="CW217" i="6"/>
  <c r="CW215" i="6"/>
  <c r="CW213" i="6"/>
  <c r="CW211" i="6"/>
  <c r="CW209" i="6"/>
  <c r="CW207" i="6"/>
  <c r="CW205" i="6"/>
  <c r="CW203" i="6"/>
  <c r="CW201" i="6"/>
  <c r="CW199" i="6"/>
  <c r="CW197" i="6"/>
  <c r="CW195" i="6"/>
  <c r="CW193" i="6"/>
  <c r="CW191" i="6"/>
  <c r="CW189" i="6"/>
  <c r="CW187" i="6"/>
  <c r="CW185" i="6"/>
  <c r="CW183" i="6"/>
  <c r="CW181" i="6"/>
  <c r="CW252" i="6"/>
  <c r="CW230" i="6"/>
  <c r="CW222" i="6"/>
  <c r="CW214" i="6"/>
  <c r="CW206" i="6"/>
  <c r="CW256" i="6"/>
  <c r="CW240" i="6"/>
  <c r="CW232" i="6"/>
  <c r="CW224" i="6"/>
  <c r="CW216" i="6"/>
  <c r="CW208" i="6"/>
  <c r="CW200" i="6"/>
  <c r="CW192" i="6"/>
  <c r="CW184" i="6"/>
  <c r="CW180" i="6"/>
  <c r="CW178" i="6"/>
  <c r="CW176" i="6"/>
  <c r="CW174" i="6"/>
  <c r="CW172" i="6"/>
  <c r="CW170" i="6"/>
  <c r="CW168" i="6"/>
  <c r="CW166" i="6"/>
  <c r="CW164" i="6"/>
  <c r="CW162" i="6"/>
  <c r="CW160" i="6"/>
  <c r="CW158" i="6"/>
  <c r="CW156" i="6"/>
  <c r="CW154" i="6"/>
  <c r="CW152" i="6"/>
  <c r="CW150" i="6"/>
  <c r="CW148" i="6"/>
  <c r="CW146" i="6"/>
  <c r="CW144" i="6"/>
  <c r="CW142" i="6"/>
  <c r="CW140" i="6"/>
  <c r="CW138" i="6"/>
  <c r="CW136" i="6"/>
  <c r="CW134" i="6"/>
  <c r="CW132" i="6"/>
  <c r="CW130" i="6"/>
  <c r="CW128" i="6"/>
  <c r="CW126" i="6"/>
  <c r="CW124" i="6"/>
  <c r="CW122" i="6"/>
  <c r="CW120" i="6"/>
  <c r="CW118" i="6"/>
  <c r="CW116" i="6"/>
  <c r="CW114" i="6"/>
  <c r="CW112" i="6"/>
  <c r="CW248" i="6"/>
  <c r="CW228" i="6"/>
  <c r="CW212" i="6"/>
  <c r="CW202" i="6"/>
  <c r="CW190" i="6"/>
  <c r="CW177" i="6"/>
  <c r="CW169" i="6"/>
  <c r="CW161" i="6"/>
  <c r="CW153" i="6"/>
  <c r="CW145" i="6"/>
  <c r="CW137" i="6"/>
  <c r="CW129" i="6"/>
  <c r="CW121" i="6"/>
  <c r="CW113" i="6"/>
  <c r="CW218" i="6"/>
  <c r="CW204" i="6"/>
  <c r="CW182" i="6"/>
  <c r="CW171" i="6"/>
  <c r="CW159" i="6"/>
  <c r="CW149" i="6"/>
  <c r="CW139" i="6"/>
  <c r="CW127" i="6"/>
  <c r="CW117" i="6"/>
  <c r="CW110" i="6"/>
  <c r="CW103" i="6"/>
  <c r="CW102" i="6"/>
  <c r="CW95" i="6"/>
  <c r="CW94" i="6"/>
  <c r="CW87" i="6"/>
  <c r="CW86" i="6"/>
  <c r="CW79" i="6"/>
  <c r="CW78" i="6"/>
  <c r="CW71" i="6"/>
  <c r="CW70" i="6"/>
  <c r="CW63" i="6"/>
  <c r="CW62" i="6"/>
  <c r="CW55" i="6"/>
  <c r="CW53" i="6"/>
  <c r="CW51" i="6"/>
  <c r="CW49" i="6"/>
  <c r="CW47" i="6"/>
  <c r="CW45" i="6"/>
  <c r="CW43" i="6"/>
  <c r="CW41" i="6"/>
  <c r="CW39" i="6"/>
  <c r="CW37" i="6"/>
  <c r="CW35" i="6"/>
  <c r="CW33" i="6"/>
  <c r="CW31" i="6"/>
  <c r="CW29" i="6"/>
  <c r="CW27" i="6"/>
  <c r="CW25" i="6"/>
  <c r="CW23" i="6"/>
  <c r="CW21" i="6"/>
  <c r="CW19" i="6"/>
  <c r="CW17" i="6"/>
  <c r="CW15" i="6"/>
  <c r="CW13" i="6"/>
  <c r="CW11" i="6"/>
  <c r="CW9" i="6"/>
  <c r="CW7" i="6"/>
  <c r="CW5" i="6"/>
  <c r="CW198" i="6"/>
  <c r="CW196" i="6"/>
  <c r="CW194" i="6"/>
  <c r="CW173" i="6"/>
  <c r="CW163" i="6"/>
  <c r="CW151" i="6"/>
  <c r="CW141" i="6"/>
  <c r="CW131" i="6"/>
  <c r="CW119" i="6"/>
  <c r="CW105" i="6"/>
  <c r="CW104" i="6"/>
  <c r="CW97" i="6"/>
  <c r="CW96" i="6"/>
  <c r="CW89" i="6"/>
  <c r="CW88" i="6"/>
  <c r="CW81" i="6"/>
  <c r="CW80" i="6"/>
  <c r="CW73" i="6"/>
  <c r="CW72" i="6"/>
  <c r="CW65" i="6"/>
  <c r="CW64" i="6"/>
  <c r="CW57" i="6"/>
  <c r="CW244" i="6"/>
  <c r="CW143" i="6"/>
  <c r="CW133" i="6"/>
  <c r="CW123" i="6"/>
  <c r="CW107" i="6"/>
  <c r="CW106" i="6"/>
  <c r="CW91" i="6"/>
  <c r="CW90" i="6"/>
  <c r="CW75" i="6"/>
  <c r="CW74" i="6"/>
  <c r="CW59" i="6"/>
  <c r="CW58" i="6"/>
  <c r="CW56" i="6"/>
  <c r="CW52" i="6"/>
  <c r="CW48" i="6"/>
  <c r="CW44" i="6"/>
  <c r="CW36" i="6"/>
  <c r="CW28" i="6"/>
  <c r="CW20" i="6"/>
  <c r="CW12" i="6"/>
  <c r="CW260" i="6"/>
  <c r="CW210" i="6"/>
  <c r="CW167" i="6"/>
  <c r="CW157" i="6"/>
  <c r="CW147" i="6"/>
  <c r="CW109" i="6"/>
  <c r="CW108" i="6"/>
  <c r="CW93" i="6"/>
  <c r="CW92" i="6"/>
  <c r="CW77" i="6"/>
  <c r="CW76" i="6"/>
  <c r="CW61" i="6"/>
  <c r="CW60" i="6"/>
  <c r="CW38" i="6"/>
  <c r="CW30" i="6"/>
  <c r="CW22" i="6"/>
  <c r="CW14" i="6"/>
  <c r="CW6" i="6"/>
  <c r="CW236" i="6"/>
  <c r="CW226" i="6"/>
  <c r="CW175" i="6"/>
  <c r="CW165" i="6"/>
  <c r="CW155" i="6"/>
  <c r="CW111" i="6"/>
  <c r="CW99" i="6"/>
  <c r="CW98" i="6"/>
  <c r="CW83" i="6"/>
  <c r="CW82" i="6"/>
  <c r="CW67" i="6"/>
  <c r="CW66" i="6"/>
  <c r="CW54" i="6"/>
  <c r="CW50" i="6"/>
  <c r="CW46" i="6"/>
  <c r="CW42" i="6"/>
  <c r="CW40" i="6"/>
  <c r="CW32" i="6"/>
  <c r="CW24" i="6"/>
  <c r="CW16" i="6"/>
  <c r="CW8" i="6"/>
  <c r="CW220" i="6"/>
  <c r="CW188" i="6"/>
  <c r="CW186" i="6"/>
  <c r="CW179" i="6"/>
  <c r="CW135" i="6"/>
  <c r="CW125" i="6"/>
  <c r="CW115" i="6"/>
  <c r="CW101" i="6"/>
  <c r="CW100" i="6"/>
  <c r="CW85" i="6"/>
  <c r="CW84" i="6"/>
  <c r="CW69" i="6"/>
  <c r="CW68" i="6"/>
  <c r="CW34" i="6"/>
  <c r="CW26" i="6"/>
  <c r="CW18" i="6"/>
  <c r="CW10" i="6"/>
  <c r="DE263" i="6"/>
  <c r="DE261" i="6"/>
  <c r="DE259" i="6"/>
  <c r="DE257" i="6"/>
  <c r="DE255" i="6"/>
  <c r="DE253" i="6"/>
  <c r="DE251" i="6"/>
  <c r="DE249" i="6"/>
  <c r="DE247" i="6"/>
  <c r="DE245" i="6"/>
  <c r="DE243" i="6"/>
  <c r="DE241" i="6"/>
  <c r="DE239" i="6"/>
  <c r="DE237" i="6"/>
  <c r="DE235" i="6"/>
  <c r="DE233" i="6"/>
  <c r="DE231" i="6"/>
  <c r="DE262" i="6"/>
  <c r="DE258" i="6"/>
  <c r="DE254" i="6"/>
  <c r="DE250" i="6"/>
  <c r="DE246" i="6"/>
  <c r="DE242" i="6"/>
  <c r="DE238" i="6"/>
  <c r="DE230" i="6"/>
  <c r="DE229" i="6"/>
  <c r="DE227" i="6"/>
  <c r="DE225" i="6"/>
  <c r="DE223" i="6"/>
  <c r="DE221" i="6"/>
  <c r="DE219" i="6"/>
  <c r="DE217" i="6"/>
  <c r="DE215" i="6"/>
  <c r="DE213" i="6"/>
  <c r="DE211" i="6"/>
  <c r="DE209" i="6"/>
  <c r="DE207" i="6"/>
  <c r="DE205" i="6"/>
  <c r="DE203" i="6"/>
  <c r="DE201" i="6"/>
  <c r="DE199" i="6"/>
  <c r="DE197" i="6"/>
  <c r="DE195" i="6"/>
  <c r="DE193" i="6"/>
  <c r="DE191" i="6"/>
  <c r="DE189" i="6"/>
  <c r="DE187" i="6"/>
  <c r="DE185" i="6"/>
  <c r="DE183" i="6"/>
  <c r="DE181" i="6"/>
  <c r="DE248" i="6"/>
  <c r="DE232" i="6"/>
  <c r="DE226" i="6"/>
  <c r="DE218" i="6"/>
  <c r="DE210" i="6"/>
  <c r="DE252" i="6"/>
  <c r="DE234" i="6"/>
  <c r="DE228" i="6"/>
  <c r="DE220" i="6"/>
  <c r="DE212" i="6"/>
  <c r="DE204" i="6"/>
  <c r="DE196" i="6"/>
  <c r="DE188" i="6"/>
  <c r="DE180" i="6"/>
  <c r="DE178" i="6"/>
  <c r="DE176" i="6"/>
  <c r="DE174" i="6"/>
  <c r="DE172" i="6"/>
  <c r="DE170" i="6"/>
  <c r="DE168" i="6"/>
  <c r="DE166" i="6"/>
  <c r="DE164" i="6"/>
  <c r="DE162" i="6"/>
  <c r="DE160" i="6"/>
  <c r="DE158" i="6"/>
  <c r="DE156" i="6"/>
  <c r="DE154" i="6"/>
  <c r="DE152" i="6"/>
  <c r="DE150" i="6"/>
  <c r="DE148" i="6"/>
  <c r="DE146" i="6"/>
  <c r="DE144" i="6"/>
  <c r="DE142" i="6"/>
  <c r="DE140" i="6"/>
  <c r="DE138" i="6"/>
  <c r="DE136" i="6"/>
  <c r="DE134" i="6"/>
  <c r="DE132" i="6"/>
  <c r="DE130" i="6"/>
  <c r="DE128" i="6"/>
  <c r="DE126" i="6"/>
  <c r="DE124" i="6"/>
  <c r="DE122" i="6"/>
  <c r="DE120" i="6"/>
  <c r="DE118" i="6"/>
  <c r="DE116" i="6"/>
  <c r="DE114" i="6"/>
  <c r="DE112" i="6"/>
  <c r="DE110" i="6"/>
  <c r="DE260" i="6"/>
  <c r="DE224" i="6"/>
  <c r="DE208" i="6"/>
  <c r="DE202" i="6"/>
  <c r="DE192" i="6"/>
  <c r="DE182" i="6"/>
  <c r="DE173" i="6"/>
  <c r="DE165" i="6"/>
  <c r="DE157" i="6"/>
  <c r="DE149" i="6"/>
  <c r="DE141" i="6"/>
  <c r="DE133" i="6"/>
  <c r="DE125" i="6"/>
  <c r="DE117" i="6"/>
  <c r="DE256" i="6"/>
  <c r="DE236" i="6"/>
  <c r="DE216" i="6"/>
  <c r="DE206" i="6"/>
  <c r="DE186" i="6"/>
  <c r="DE184" i="6"/>
  <c r="DE171" i="6"/>
  <c r="DE161" i="6"/>
  <c r="DE151" i="6"/>
  <c r="DE139" i="6"/>
  <c r="DE129" i="6"/>
  <c r="DE119" i="6"/>
  <c r="DE107" i="6"/>
  <c r="DE106" i="6"/>
  <c r="DE99" i="6"/>
  <c r="DE98" i="6"/>
  <c r="DE91" i="6"/>
  <c r="DE90" i="6"/>
  <c r="DE83" i="6"/>
  <c r="DE82" i="6"/>
  <c r="DE75" i="6"/>
  <c r="DE74" i="6"/>
  <c r="DE67" i="6"/>
  <c r="DE66" i="6"/>
  <c r="DE59" i="6"/>
  <c r="DE58" i="6"/>
  <c r="DE55" i="6"/>
  <c r="DE53" i="6"/>
  <c r="DE51" i="6"/>
  <c r="DE49" i="6"/>
  <c r="DE47" i="6"/>
  <c r="DE45" i="6"/>
  <c r="DE43" i="6"/>
  <c r="DE41" i="6"/>
  <c r="DE39" i="6"/>
  <c r="DE37" i="6"/>
  <c r="DE35" i="6"/>
  <c r="DE33" i="6"/>
  <c r="DE31" i="6"/>
  <c r="DE29" i="6"/>
  <c r="DE27" i="6"/>
  <c r="DE25" i="6"/>
  <c r="DE23" i="6"/>
  <c r="DE21" i="6"/>
  <c r="DE19" i="6"/>
  <c r="DE17" i="6"/>
  <c r="DE15" i="6"/>
  <c r="DE13" i="6"/>
  <c r="DE11" i="6"/>
  <c r="DE9" i="6"/>
  <c r="DE7" i="6"/>
  <c r="DE5" i="6"/>
  <c r="DE244" i="6"/>
  <c r="DE214" i="6"/>
  <c r="DE200" i="6"/>
  <c r="DE198" i="6"/>
  <c r="DE175" i="6"/>
  <c r="DE163" i="6"/>
  <c r="DE153" i="6"/>
  <c r="DE143" i="6"/>
  <c r="DE131" i="6"/>
  <c r="DE121" i="6"/>
  <c r="DE111" i="6"/>
  <c r="DE109" i="6"/>
  <c r="DE108" i="6"/>
  <c r="DE101" i="6"/>
  <c r="DE100" i="6"/>
  <c r="DE93" i="6"/>
  <c r="DE92" i="6"/>
  <c r="DE85" i="6"/>
  <c r="DE84" i="6"/>
  <c r="DE77" i="6"/>
  <c r="DE76" i="6"/>
  <c r="DE69" i="6"/>
  <c r="DE68" i="6"/>
  <c r="DE61" i="6"/>
  <c r="DE60" i="6"/>
  <c r="DE194" i="6"/>
  <c r="DE155" i="6"/>
  <c r="DE145" i="6"/>
  <c r="DE135" i="6"/>
  <c r="DE103" i="6"/>
  <c r="DE102" i="6"/>
  <c r="DE87" i="6"/>
  <c r="DE86" i="6"/>
  <c r="DE71" i="6"/>
  <c r="DE70" i="6"/>
  <c r="DE52" i="6"/>
  <c r="DE48" i="6"/>
  <c r="DE44" i="6"/>
  <c r="DE40" i="6"/>
  <c r="DE32" i="6"/>
  <c r="DE24" i="6"/>
  <c r="DE16" i="6"/>
  <c r="DE8" i="6"/>
  <c r="DE190" i="6"/>
  <c r="DE179" i="6"/>
  <c r="DE169" i="6"/>
  <c r="DE159" i="6"/>
  <c r="DE115" i="6"/>
  <c r="DE105" i="6"/>
  <c r="DE104" i="6"/>
  <c r="DE89" i="6"/>
  <c r="DE88" i="6"/>
  <c r="DE73" i="6"/>
  <c r="DE72" i="6"/>
  <c r="DE57" i="6"/>
  <c r="DE56" i="6"/>
  <c r="DE34" i="6"/>
  <c r="DE26" i="6"/>
  <c r="DE18" i="6"/>
  <c r="DE10" i="6"/>
  <c r="DE240" i="6"/>
  <c r="DE177" i="6"/>
  <c r="DE167" i="6"/>
  <c r="DE123" i="6"/>
  <c r="DE113" i="6"/>
  <c r="DE95" i="6"/>
  <c r="DE94" i="6"/>
  <c r="DE79" i="6"/>
  <c r="DE78" i="6"/>
  <c r="DE63" i="6"/>
  <c r="DE62" i="6"/>
  <c r="DE54" i="6"/>
  <c r="DE50" i="6"/>
  <c r="DE46" i="6"/>
  <c r="DE42" i="6"/>
  <c r="DE36" i="6"/>
  <c r="DE28" i="6"/>
  <c r="DE20" i="6"/>
  <c r="DE12" i="6"/>
  <c r="DE4" i="6"/>
  <c r="DE222" i="6"/>
  <c r="DE147" i="6"/>
  <c r="DE137" i="6"/>
  <c r="DE127" i="6"/>
  <c r="DE97" i="6"/>
  <c r="DE96" i="6"/>
  <c r="DE81" i="6"/>
  <c r="DE80" i="6"/>
  <c r="DE65" i="6"/>
  <c r="DE64" i="6"/>
  <c r="DE38" i="6"/>
  <c r="DE30" i="6"/>
  <c r="DE22" i="6"/>
  <c r="DE14" i="6"/>
  <c r="DE6" i="6"/>
  <c r="CX263" i="6"/>
  <c r="CX261" i="6"/>
  <c r="CX259" i="6"/>
  <c r="CX257" i="6"/>
  <c r="CX255" i="6"/>
  <c r="CX253" i="6"/>
  <c r="CX251" i="6"/>
  <c r="CX249" i="6"/>
  <c r="CX247" i="6"/>
  <c r="CX245" i="6"/>
  <c r="CX243" i="6"/>
  <c r="CX241" i="6"/>
  <c r="CX239" i="6"/>
  <c r="CX236" i="6"/>
  <c r="CX235" i="6"/>
  <c r="CX256" i="6"/>
  <c r="CX254" i="6"/>
  <c r="CX240" i="6"/>
  <c r="CX238" i="6"/>
  <c r="CX237" i="6"/>
  <c r="CX232" i="6"/>
  <c r="CX224" i="6"/>
  <c r="CX223" i="6"/>
  <c r="CX216" i="6"/>
  <c r="CX215" i="6"/>
  <c r="CX208" i="6"/>
  <c r="CX207" i="6"/>
  <c r="CX260" i="6"/>
  <c r="CX258" i="6"/>
  <c r="CX244" i="6"/>
  <c r="CX242" i="6"/>
  <c r="CX234" i="6"/>
  <c r="CX226" i="6"/>
  <c r="CX225" i="6"/>
  <c r="CX218" i="6"/>
  <c r="CX217" i="6"/>
  <c r="CX210" i="6"/>
  <c r="CX209" i="6"/>
  <c r="CX202" i="6"/>
  <c r="CX201" i="6"/>
  <c r="CX194" i="6"/>
  <c r="CX193" i="6"/>
  <c r="CX186" i="6"/>
  <c r="CX185" i="6"/>
  <c r="CX252" i="6"/>
  <c r="CX250" i="6"/>
  <c r="CX233" i="6"/>
  <c r="CX230" i="6"/>
  <c r="CX229" i="6"/>
  <c r="CX214" i="6"/>
  <c r="CX213" i="6"/>
  <c r="CX197" i="6"/>
  <c r="CX192" i="6"/>
  <c r="CX187" i="6"/>
  <c r="CX182" i="6"/>
  <c r="CX179" i="6"/>
  <c r="CX178" i="6"/>
  <c r="CX171" i="6"/>
  <c r="CX170" i="6"/>
  <c r="CX163" i="6"/>
  <c r="CX162" i="6"/>
  <c r="CX155" i="6"/>
  <c r="CX154" i="6"/>
  <c r="CX147" i="6"/>
  <c r="CX146" i="6"/>
  <c r="CX139" i="6"/>
  <c r="CX138" i="6"/>
  <c r="CX131" i="6"/>
  <c r="CX130" i="6"/>
  <c r="CX123" i="6"/>
  <c r="CX122" i="6"/>
  <c r="CX115" i="6"/>
  <c r="CX114" i="6"/>
  <c r="CX109" i="6"/>
  <c r="CX107" i="6"/>
  <c r="CX105" i="6"/>
  <c r="CX103" i="6"/>
  <c r="CX101" i="6"/>
  <c r="CX99" i="6"/>
  <c r="CX97" i="6"/>
  <c r="CX95" i="6"/>
  <c r="CX93" i="6"/>
  <c r="CX91" i="6"/>
  <c r="CX89" i="6"/>
  <c r="CX87" i="6"/>
  <c r="CX85" i="6"/>
  <c r="CX83" i="6"/>
  <c r="CX81" i="6"/>
  <c r="CX79" i="6"/>
  <c r="CX77" i="6"/>
  <c r="CX75" i="6"/>
  <c r="CX73" i="6"/>
  <c r="CX71" i="6"/>
  <c r="CX69" i="6"/>
  <c r="CX67" i="6"/>
  <c r="CX65" i="6"/>
  <c r="CX63" i="6"/>
  <c r="CX61" i="6"/>
  <c r="CX59" i="6"/>
  <c r="CX57" i="6"/>
  <c r="CX262" i="6"/>
  <c r="CX248" i="6"/>
  <c r="CX231" i="6"/>
  <c r="CX228" i="6"/>
  <c r="CX221" i="6"/>
  <c r="CX211" i="6"/>
  <c r="CX200" i="6"/>
  <c r="CX199" i="6"/>
  <c r="CX198" i="6"/>
  <c r="CX196" i="6"/>
  <c r="CX183" i="6"/>
  <c r="CX181" i="6"/>
  <c r="CX176" i="6"/>
  <c r="CX173" i="6"/>
  <c r="CX166" i="6"/>
  <c r="CX161" i="6"/>
  <c r="CX156" i="6"/>
  <c r="CX151" i="6"/>
  <c r="CX144" i="6"/>
  <c r="CX141" i="6"/>
  <c r="CX134" i="6"/>
  <c r="CX129" i="6"/>
  <c r="CX124" i="6"/>
  <c r="CX119" i="6"/>
  <c r="CX112" i="6"/>
  <c r="CX104" i="6"/>
  <c r="CX96" i="6"/>
  <c r="CX88" i="6"/>
  <c r="CX80" i="6"/>
  <c r="CX72" i="6"/>
  <c r="CX64" i="6"/>
  <c r="CX222" i="6"/>
  <c r="CX219" i="6"/>
  <c r="CX212" i="6"/>
  <c r="CX205" i="6"/>
  <c r="CX195" i="6"/>
  <c r="CX180" i="6"/>
  <c r="CX175" i="6"/>
  <c r="CX168" i="6"/>
  <c r="CX165" i="6"/>
  <c r="CX158" i="6"/>
  <c r="CX153" i="6"/>
  <c r="CX148" i="6"/>
  <c r="CX143" i="6"/>
  <c r="CX136" i="6"/>
  <c r="CX133" i="6"/>
  <c r="CX126" i="6"/>
  <c r="CX121" i="6"/>
  <c r="CX116" i="6"/>
  <c r="CX111" i="6"/>
  <c r="CX106" i="6"/>
  <c r="CX98" i="6"/>
  <c r="CX90" i="6"/>
  <c r="CX82" i="6"/>
  <c r="CX74" i="6"/>
  <c r="CX66" i="6"/>
  <c r="CX58" i="6"/>
  <c r="CX56" i="6"/>
  <c r="CX54" i="6"/>
  <c r="CX52" i="6"/>
  <c r="CX50" i="6"/>
  <c r="CX48" i="6"/>
  <c r="CX46" i="6"/>
  <c r="CX44" i="6"/>
  <c r="CX42" i="6"/>
  <c r="CX191" i="6"/>
  <c r="CX189" i="6"/>
  <c r="CX177" i="6"/>
  <c r="CX167" i="6"/>
  <c r="CX160" i="6"/>
  <c r="CX157" i="6"/>
  <c r="CX150" i="6"/>
  <c r="CX140" i="6"/>
  <c r="CX113" i="6"/>
  <c r="CX108" i="6"/>
  <c r="CX92" i="6"/>
  <c r="CX76" i="6"/>
  <c r="CX60" i="6"/>
  <c r="CX38" i="6"/>
  <c r="CX37" i="6"/>
  <c r="CX30" i="6"/>
  <c r="CX29" i="6"/>
  <c r="CX22" i="6"/>
  <c r="CX21" i="6"/>
  <c r="CX14" i="6"/>
  <c r="CX13" i="6"/>
  <c r="CX6" i="6"/>
  <c r="CX5" i="6"/>
  <c r="CX227" i="6"/>
  <c r="CX204" i="6"/>
  <c r="CX174" i="6"/>
  <c r="CX164" i="6"/>
  <c r="CX137" i="6"/>
  <c r="CX127" i="6"/>
  <c r="CX120" i="6"/>
  <c r="CX117" i="6"/>
  <c r="CX110" i="6"/>
  <c r="CX94" i="6"/>
  <c r="CX78" i="6"/>
  <c r="CX62" i="6"/>
  <c r="CX55" i="6"/>
  <c r="CX51" i="6"/>
  <c r="CX47" i="6"/>
  <c r="CX43" i="6"/>
  <c r="CX40" i="6"/>
  <c r="CX39" i="6"/>
  <c r="CX32" i="6"/>
  <c r="CX31" i="6"/>
  <c r="CX24" i="6"/>
  <c r="CX23" i="6"/>
  <c r="CX16" i="6"/>
  <c r="CX15" i="6"/>
  <c r="CX8" i="6"/>
  <c r="CX7" i="6"/>
  <c r="CX220" i="6"/>
  <c r="CX206" i="6"/>
  <c r="CX190" i="6"/>
  <c r="CX188" i="6"/>
  <c r="CX172" i="6"/>
  <c r="CX145" i="6"/>
  <c r="CX135" i="6"/>
  <c r="CX128" i="6"/>
  <c r="CX125" i="6"/>
  <c r="CX118" i="6"/>
  <c r="CX100" i="6"/>
  <c r="CX84" i="6"/>
  <c r="CX68" i="6"/>
  <c r="CX34" i="6"/>
  <c r="CX33" i="6"/>
  <c r="CX26" i="6"/>
  <c r="CX25" i="6"/>
  <c r="CX18" i="6"/>
  <c r="CX17" i="6"/>
  <c r="CX10" i="6"/>
  <c r="CX9" i="6"/>
  <c r="CX246" i="6"/>
  <c r="CX203" i="6"/>
  <c r="CX184" i="6"/>
  <c r="CX169" i="6"/>
  <c r="CX159" i="6"/>
  <c r="CX152" i="6"/>
  <c r="CX149" i="6"/>
  <c r="CX142" i="6"/>
  <c r="CX132" i="6"/>
  <c r="CX102" i="6"/>
  <c r="CX86" i="6"/>
  <c r="CX70" i="6"/>
  <c r="CX53" i="6"/>
  <c r="CX49" i="6"/>
  <c r="CX45" i="6"/>
  <c r="CX41" i="6"/>
  <c r="CX36" i="6"/>
  <c r="CX35" i="6"/>
  <c r="CX28" i="6"/>
  <c r="CX27" i="6"/>
  <c r="CX20" i="6"/>
  <c r="CX19" i="6"/>
  <c r="CX12" i="6"/>
  <c r="CX11" i="6"/>
  <c r="CX4" i="6"/>
  <c r="DB263" i="6"/>
  <c r="DB261" i="6"/>
  <c r="DB259" i="6"/>
  <c r="DB257" i="6"/>
  <c r="DB255" i="6"/>
  <c r="DB253" i="6"/>
  <c r="DB251" i="6"/>
  <c r="DB249" i="6"/>
  <c r="DB247" i="6"/>
  <c r="DB245" i="6"/>
  <c r="DB243" i="6"/>
  <c r="DB241" i="6"/>
  <c r="DB239" i="6"/>
  <c r="DB237" i="6"/>
  <c r="DB234" i="6"/>
  <c r="DB233" i="6"/>
  <c r="DB262" i="6"/>
  <c r="DB260" i="6"/>
  <c r="DB246" i="6"/>
  <c r="DB244" i="6"/>
  <c r="DB231" i="6"/>
  <c r="DB229" i="6"/>
  <c r="DB222" i="6"/>
  <c r="DB221" i="6"/>
  <c r="DB214" i="6"/>
  <c r="DB213" i="6"/>
  <c r="DB206" i="6"/>
  <c r="DB205" i="6"/>
  <c r="DB250" i="6"/>
  <c r="DB248" i="6"/>
  <c r="DB235" i="6"/>
  <c r="DB230" i="6"/>
  <c r="DB224" i="6"/>
  <c r="DB223" i="6"/>
  <c r="DB216" i="6"/>
  <c r="DB215" i="6"/>
  <c r="DB208" i="6"/>
  <c r="DB207" i="6"/>
  <c r="DB200" i="6"/>
  <c r="DB199" i="6"/>
  <c r="DB192" i="6"/>
  <c r="DB191" i="6"/>
  <c r="DB184" i="6"/>
  <c r="DB183" i="6"/>
  <c r="DB258" i="6"/>
  <c r="DB256" i="6"/>
  <c r="DB220" i="6"/>
  <c r="DB219" i="6"/>
  <c r="DB204" i="6"/>
  <c r="DB203" i="6"/>
  <c r="DB198" i="6"/>
  <c r="DB193" i="6"/>
  <c r="DB188" i="6"/>
  <c r="DB181" i="6"/>
  <c r="DB177" i="6"/>
  <c r="DB176" i="6"/>
  <c r="DB169" i="6"/>
  <c r="DB168" i="6"/>
  <c r="DB161" i="6"/>
  <c r="DB160" i="6"/>
  <c r="DB153" i="6"/>
  <c r="DB152" i="6"/>
  <c r="DB145" i="6"/>
  <c r="DB144" i="6"/>
  <c r="DB137" i="6"/>
  <c r="DB136" i="6"/>
  <c r="DB129" i="6"/>
  <c r="DB128" i="6"/>
  <c r="DB121" i="6"/>
  <c r="DB120" i="6"/>
  <c r="DB113" i="6"/>
  <c r="DB112" i="6"/>
  <c r="DB109" i="6"/>
  <c r="DB107" i="6"/>
  <c r="DB105" i="6"/>
  <c r="DB103" i="6"/>
  <c r="DB101" i="6"/>
  <c r="DB99" i="6"/>
  <c r="DB97" i="6"/>
  <c r="DB95" i="6"/>
  <c r="DB93" i="6"/>
  <c r="DB91" i="6"/>
  <c r="DB89" i="6"/>
  <c r="DB87" i="6"/>
  <c r="DB85" i="6"/>
  <c r="DB83" i="6"/>
  <c r="DB81" i="6"/>
  <c r="DB79" i="6"/>
  <c r="DB77" i="6"/>
  <c r="DB75" i="6"/>
  <c r="DB73" i="6"/>
  <c r="DB71" i="6"/>
  <c r="DB69" i="6"/>
  <c r="DB67" i="6"/>
  <c r="DB65" i="6"/>
  <c r="DB63" i="6"/>
  <c r="DB61" i="6"/>
  <c r="DB59" i="6"/>
  <c r="DB57" i="6"/>
  <c r="DB242" i="6"/>
  <c r="DB226" i="6"/>
  <c r="DB212" i="6"/>
  <c r="DB209" i="6"/>
  <c r="DB190" i="6"/>
  <c r="DB179" i="6"/>
  <c r="DB172" i="6"/>
  <c r="DB167" i="6"/>
  <c r="DB162" i="6"/>
  <c r="DB157" i="6"/>
  <c r="DB150" i="6"/>
  <c r="DB147" i="6"/>
  <c r="DB140" i="6"/>
  <c r="DB135" i="6"/>
  <c r="DB130" i="6"/>
  <c r="DB125" i="6"/>
  <c r="DB118" i="6"/>
  <c r="DB115" i="6"/>
  <c r="DB102" i="6"/>
  <c r="DB94" i="6"/>
  <c r="DB86" i="6"/>
  <c r="DB78" i="6"/>
  <c r="DB70" i="6"/>
  <c r="DB62" i="6"/>
  <c r="DB238" i="6"/>
  <c r="DB236" i="6"/>
  <c r="DB232" i="6"/>
  <c r="DB210" i="6"/>
  <c r="DB202" i="6"/>
  <c r="DB189" i="6"/>
  <c r="DB187" i="6"/>
  <c r="DB186" i="6"/>
  <c r="DB185" i="6"/>
  <c r="DB174" i="6"/>
  <c r="DB171" i="6"/>
  <c r="DB164" i="6"/>
  <c r="DB159" i="6"/>
  <c r="DB154" i="6"/>
  <c r="DB149" i="6"/>
  <c r="DB142" i="6"/>
  <c r="DB139" i="6"/>
  <c r="DB132" i="6"/>
  <c r="DB127" i="6"/>
  <c r="DB122" i="6"/>
  <c r="DB117" i="6"/>
  <c r="DB110" i="6"/>
  <c r="DB104" i="6"/>
  <c r="DB96" i="6"/>
  <c r="DB88" i="6"/>
  <c r="DB80" i="6"/>
  <c r="DB72" i="6"/>
  <c r="DB64" i="6"/>
  <c r="DB56" i="6"/>
  <c r="DB54" i="6"/>
  <c r="DB52" i="6"/>
  <c r="DB50" i="6"/>
  <c r="DB48" i="6"/>
  <c r="DB46" i="6"/>
  <c r="DB44" i="6"/>
  <c r="DB42" i="6"/>
  <c r="DB227" i="6"/>
  <c r="DB178" i="6"/>
  <c r="DB151" i="6"/>
  <c r="DB141" i="6"/>
  <c r="DB134" i="6"/>
  <c r="DB131" i="6"/>
  <c r="DB124" i="6"/>
  <c r="DB114" i="6"/>
  <c r="DB98" i="6"/>
  <c r="DB82" i="6"/>
  <c r="DB66" i="6"/>
  <c r="DB36" i="6"/>
  <c r="DB35" i="6"/>
  <c r="DB28" i="6"/>
  <c r="DB27" i="6"/>
  <c r="DB20" i="6"/>
  <c r="DB19" i="6"/>
  <c r="DB12" i="6"/>
  <c r="DB11" i="6"/>
  <c r="DB4" i="6"/>
  <c r="DB254" i="6"/>
  <c r="DB218" i="6"/>
  <c r="DB196" i="6"/>
  <c r="DB194" i="6"/>
  <c r="DB175" i="6"/>
  <c r="DB165" i="6"/>
  <c r="DB158" i="6"/>
  <c r="DB155" i="6"/>
  <c r="DB148" i="6"/>
  <c r="DB138" i="6"/>
  <c r="DB111" i="6"/>
  <c r="DB100" i="6"/>
  <c r="DB84" i="6"/>
  <c r="DB68" i="6"/>
  <c r="DB53" i="6"/>
  <c r="DB49" i="6"/>
  <c r="DB45" i="6"/>
  <c r="DB41" i="6"/>
  <c r="DB38" i="6"/>
  <c r="DB37" i="6"/>
  <c r="DB30" i="6"/>
  <c r="DB29" i="6"/>
  <c r="DB22" i="6"/>
  <c r="DB21" i="6"/>
  <c r="DB14" i="6"/>
  <c r="DB13" i="6"/>
  <c r="DB6" i="6"/>
  <c r="DB5" i="6"/>
  <c r="DB252" i="6"/>
  <c r="DB217" i="6"/>
  <c r="DB201" i="6"/>
  <c r="DB182" i="6"/>
  <c r="DB173" i="6"/>
  <c r="DB166" i="6"/>
  <c r="DB163" i="6"/>
  <c r="DB156" i="6"/>
  <c r="DB146" i="6"/>
  <c r="DB119" i="6"/>
  <c r="DB106" i="6"/>
  <c r="DB90" i="6"/>
  <c r="DB74" i="6"/>
  <c r="DB58" i="6"/>
  <c r="DB40" i="6"/>
  <c r="DB39" i="6"/>
  <c r="DB32" i="6"/>
  <c r="DB31" i="6"/>
  <c r="DB24" i="6"/>
  <c r="DB23" i="6"/>
  <c r="DB16" i="6"/>
  <c r="DB15" i="6"/>
  <c r="DB8" i="6"/>
  <c r="DB7" i="6"/>
  <c r="DB240" i="6"/>
  <c r="DB228" i="6"/>
  <c r="DB225" i="6"/>
  <c r="DB211" i="6"/>
  <c r="DB197" i="6"/>
  <c r="DB195" i="6"/>
  <c r="DB180" i="6"/>
  <c r="DB170" i="6"/>
  <c r="DB143" i="6"/>
  <c r="DB133" i="6"/>
  <c r="DB126" i="6"/>
  <c r="DB123" i="6"/>
  <c r="DB116" i="6"/>
  <c r="DB108" i="6"/>
  <c r="DB92" i="6"/>
  <c r="DB76" i="6"/>
  <c r="DB60" i="6"/>
  <c r="DB55" i="6"/>
  <c r="DB51" i="6"/>
  <c r="DB47" i="6"/>
  <c r="DB43" i="6"/>
  <c r="DB34" i="6"/>
  <c r="DB33" i="6"/>
  <c r="DB26" i="6"/>
  <c r="DB25" i="6"/>
  <c r="DB18" i="6"/>
  <c r="DB17" i="6"/>
  <c r="DB10" i="6"/>
  <c r="DB9" i="6"/>
  <c r="DF263" i="6"/>
  <c r="DF261" i="6"/>
  <c r="DF259" i="6"/>
  <c r="DF257" i="6"/>
  <c r="DF255" i="6"/>
  <c r="DF253" i="6"/>
  <c r="DF251" i="6"/>
  <c r="DF249" i="6"/>
  <c r="DF247" i="6"/>
  <c r="DF245" i="6"/>
  <c r="DF243" i="6"/>
  <c r="DF241" i="6"/>
  <c r="DF239" i="6"/>
  <c r="DF237" i="6"/>
  <c r="DF232" i="6"/>
  <c r="DF231" i="6"/>
  <c r="DF252" i="6"/>
  <c r="DF250" i="6"/>
  <c r="DF234" i="6"/>
  <c r="DF228" i="6"/>
  <c r="DF227" i="6"/>
  <c r="DF220" i="6"/>
  <c r="DF219" i="6"/>
  <c r="DF212" i="6"/>
  <c r="DF211" i="6"/>
  <c r="DF204" i="6"/>
  <c r="DF203" i="6"/>
  <c r="DF256" i="6"/>
  <c r="DF254" i="6"/>
  <c r="DF240" i="6"/>
  <c r="DF238" i="6"/>
  <c r="DF236" i="6"/>
  <c r="DF229" i="6"/>
  <c r="DF222" i="6"/>
  <c r="DF221" i="6"/>
  <c r="DF214" i="6"/>
  <c r="DF213" i="6"/>
  <c r="DF206" i="6"/>
  <c r="DF205" i="6"/>
  <c r="DF198" i="6"/>
  <c r="DF197" i="6"/>
  <c r="DF190" i="6"/>
  <c r="DF189" i="6"/>
  <c r="DF182" i="6"/>
  <c r="DF181" i="6"/>
  <c r="DF262" i="6"/>
  <c r="DF235" i="6"/>
  <c r="DF226" i="6"/>
  <c r="DF225" i="6"/>
  <c r="DF210" i="6"/>
  <c r="DF209" i="6"/>
  <c r="DF199" i="6"/>
  <c r="DF194" i="6"/>
  <c r="DF187" i="6"/>
  <c r="DF184" i="6"/>
  <c r="DF175" i="6"/>
  <c r="DF174" i="6"/>
  <c r="DF167" i="6"/>
  <c r="DF166" i="6"/>
  <c r="DF159" i="6"/>
  <c r="DF158" i="6"/>
  <c r="DF151" i="6"/>
  <c r="DF150" i="6"/>
  <c r="DF143" i="6"/>
  <c r="DF142" i="6"/>
  <c r="DF135" i="6"/>
  <c r="DF134" i="6"/>
  <c r="DF127" i="6"/>
  <c r="DF126" i="6"/>
  <c r="DF119" i="6"/>
  <c r="DF118" i="6"/>
  <c r="DF111" i="6"/>
  <c r="DF110" i="6"/>
  <c r="DF109" i="6"/>
  <c r="DF107" i="6"/>
  <c r="DF105" i="6"/>
  <c r="DF103" i="6"/>
  <c r="DF101" i="6"/>
  <c r="DF99" i="6"/>
  <c r="DF97" i="6"/>
  <c r="DF95" i="6"/>
  <c r="DF93" i="6"/>
  <c r="DF91" i="6"/>
  <c r="DF89" i="6"/>
  <c r="DF87" i="6"/>
  <c r="DF85" i="6"/>
  <c r="DF83" i="6"/>
  <c r="DF81" i="6"/>
  <c r="DF79" i="6"/>
  <c r="DF77" i="6"/>
  <c r="DF75" i="6"/>
  <c r="DF73" i="6"/>
  <c r="DF71" i="6"/>
  <c r="DF69" i="6"/>
  <c r="DF67" i="6"/>
  <c r="DF65" i="6"/>
  <c r="DF63" i="6"/>
  <c r="DF61" i="6"/>
  <c r="DF59" i="6"/>
  <c r="DF57" i="6"/>
  <c r="DF244" i="6"/>
  <c r="DF223" i="6"/>
  <c r="DF202" i="6"/>
  <c r="DF201" i="6"/>
  <c r="DF200" i="6"/>
  <c r="DF185" i="6"/>
  <c r="DF183" i="6"/>
  <c r="DF178" i="6"/>
  <c r="DF173" i="6"/>
  <c r="DF168" i="6"/>
  <c r="DF163" i="6"/>
  <c r="DF156" i="6"/>
  <c r="DF153" i="6"/>
  <c r="DF146" i="6"/>
  <c r="DF141" i="6"/>
  <c r="DF136" i="6"/>
  <c r="DF131" i="6"/>
  <c r="DF124" i="6"/>
  <c r="DF121" i="6"/>
  <c r="DF114" i="6"/>
  <c r="DF108" i="6"/>
  <c r="DF100" i="6"/>
  <c r="DF92" i="6"/>
  <c r="DF84" i="6"/>
  <c r="DF76" i="6"/>
  <c r="DF68" i="6"/>
  <c r="DF60" i="6"/>
  <c r="DF258" i="6"/>
  <c r="DF230" i="6"/>
  <c r="DF224" i="6"/>
  <c r="DF217" i="6"/>
  <c r="DF207" i="6"/>
  <c r="DF196" i="6"/>
  <c r="DF180" i="6"/>
  <c r="DF177" i="6"/>
  <c r="DF170" i="6"/>
  <c r="DF165" i="6"/>
  <c r="DF160" i="6"/>
  <c r="DF155" i="6"/>
  <c r="DF148" i="6"/>
  <c r="DF145" i="6"/>
  <c r="DF138" i="6"/>
  <c r="DF133" i="6"/>
  <c r="DF128" i="6"/>
  <c r="DF123" i="6"/>
  <c r="DF116" i="6"/>
  <c r="DF113" i="6"/>
  <c r="DF102" i="6"/>
  <c r="DF94" i="6"/>
  <c r="DF86" i="6"/>
  <c r="DF78" i="6"/>
  <c r="DF70" i="6"/>
  <c r="DF62" i="6"/>
  <c r="DF54" i="6"/>
  <c r="DF52" i="6"/>
  <c r="DF50" i="6"/>
  <c r="DF48" i="6"/>
  <c r="DF46" i="6"/>
  <c r="DF44" i="6"/>
  <c r="DF42" i="6"/>
  <c r="DF40" i="6"/>
  <c r="DF260" i="6"/>
  <c r="DF233" i="6"/>
  <c r="DF218" i="6"/>
  <c r="DF215" i="6"/>
  <c r="DF192" i="6"/>
  <c r="DF179" i="6"/>
  <c r="DF172" i="6"/>
  <c r="DF169" i="6"/>
  <c r="DF162" i="6"/>
  <c r="DF152" i="6"/>
  <c r="DF125" i="6"/>
  <c r="DF115" i="6"/>
  <c r="DF104" i="6"/>
  <c r="DF88" i="6"/>
  <c r="DF72" i="6"/>
  <c r="DF56" i="6"/>
  <c r="DF34" i="6"/>
  <c r="DF33" i="6"/>
  <c r="DF26" i="6"/>
  <c r="DF25" i="6"/>
  <c r="DF18" i="6"/>
  <c r="DF17" i="6"/>
  <c r="DF10" i="6"/>
  <c r="DF9" i="6"/>
  <c r="DF248" i="6"/>
  <c r="DF242" i="6"/>
  <c r="DF188" i="6"/>
  <c r="DF186" i="6"/>
  <c r="DF176" i="6"/>
  <c r="DF149" i="6"/>
  <c r="DF139" i="6"/>
  <c r="DF132" i="6"/>
  <c r="DF129" i="6"/>
  <c r="DF122" i="6"/>
  <c r="DF112" i="6"/>
  <c r="DF106" i="6"/>
  <c r="DF90" i="6"/>
  <c r="DF74" i="6"/>
  <c r="DF58" i="6"/>
  <c r="DF55" i="6"/>
  <c r="DF51" i="6"/>
  <c r="DF47" i="6"/>
  <c r="DF43" i="6"/>
  <c r="DF36" i="6"/>
  <c r="DF35" i="6"/>
  <c r="DF28" i="6"/>
  <c r="DF27" i="6"/>
  <c r="DF20" i="6"/>
  <c r="DF19" i="6"/>
  <c r="DF12" i="6"/>
  <c r="DF11" i="6"/>
  <c r="DF4" i="6"/>
  <c r="DF246" i="6"/>
  <c r="DF208" i="6"/>
  <c r="DF195" i="6"/>
  <c r="DF193" i="6"/>
  <c r="DF191" i="6"/>
  <c r="DF157" i="6"/>
  <c r="DF147" i="6"/>
  <c r="DF140" i="6"/>
  <c r="DF137" i="6"/>
  <c r="DF130" i="6"/>
  <c r="DF120" i="6"/>
  <c r="DF96" i="6"/>
  <c r="DF80" i="6"/>
  <c r="DF64" i="6"/>
  <c r="DF38" i="6"/>
  <c r="DF37" i="6"/>
  <c r="DF30" i="6"/>
  <c r="DF29" i="6"/>
  <c r="DF22" i="6"/>
  <c r="DF21" i="6"/>
  <c r="DF14" i="6"/>
  <c r="DF13" i="6"/>
  <c r="DF6" i="6"/>
  <c r="DF5" i="6"/>
  <c r="DF216" i="6"/>
  <c r="DF171" i="6"/>
  <c r="DF164" i="6"/>
  <c r="DF161" i="6"/>
  <c r="DF154" i="6"/>
  <c r="DF144" i="6"/>
  <c r="DF117" i="6"/>
  <c r="DF98" i="6"/>
  <c r="DF82" i="6"/>
  <c r="DF66" i="6"/>
  <c r="DF53" i="6"/>
  <c r="DF49" i="6"/>
  <c r="DF45" i="6"/>
  <c r="DF41" i="6"/>
  <c r="DF39" i="6"/>
  <c r="DF32" i="6"/>
  <c r="DF31" i="6"/>
  <c r="DF24" i="6"/>
  <c r="DF23" i="6"/>
  <c r="DF16" i="6"/>
  <c r="DF15" i="6"/>
  <c r="DF8" i="6"/>
  <c r="DF7" i="6"/>
  <c r="BN12" i="6"/>
  <c r="C74" i="26" s="1"/>
  <c r="BN9" i="6"/>
  <c r="C71" i="26" s="1"/>
  <c r="BN10" i="6"/>
  <c r="C72" i="26" s="1"/>
  <c r="BN14" i="6"/>
  <c r="C76" i="26" s="1"/>
  <c r="BN8" i="6"/>
  <c r="C70" i="26" s="1"/>
  <c r="BN13" i="6"/>
  <c r="C75" i="26" s="1"/>
  <c r="BN7" i="6"/>
  <c r="C69" i="26" s="1"/>
  <c r="BN11" i="6"/>
  <c r="C73" i="26" s="1"/>
  <c r="BN15" i="6"/>
  <c r="C77" i="26" s="1"/>
  <c r="BN6" i="6"/>
  <c r="C68" i="26" s="1"/>
  <c r="AF262" i="6"/>
  <c r="AF260" i="6"/>
  <c r="AF258" i="6"/>
  <c r="AF256" i="6"/>
  <c r="AF254" i="6"/>
  <c r="AF252" i="6"/>
  <c r="AF250" i="6"/>
  <c r="AF248" i="6"/>
  <c r="AF246" i="6"/>
  <c r="AF244" i="6"/>
  <c r="AF242" i="6"/>
  <c r="AF240" i="6"/>
  <c r="AF238" i="6"/>
  <c r="AF236" i="6"/>
  <c r="AF234" i="6"/>
  <c r="AF232" i="6"/>
  <c r="AF230" i="6"/>
  <c r="AF263" i="6"/>
  <c r="AF259" i="6"/>
  <c r="AF255" i="6"/>
  <c r="AF251" i="6"/>
  <c r="AF247" i="6"/>
  <c r="AF243" i="6"/>
  <c r="AF239" i="6"/>
  <c r="AF231" i="6"/>
  <c r="AF229" i="6"/>
  <c r="AF227" i="6"/>
  <c r="AF225" i="6"/>
  <c r="AF223" i="6"/>
  <c r="AF221" i="6"/>
  <c r="AF219" i="6"/>
  <c r="AF217" i="6"/>
  <c r="AF215" i="6"/>
  <c r="AF213" i="6"/>
  <c r="AF211" i="6"/>
  <c r="AF209" i="6"/>
  <c r="AF207" i="6"/>
  <c r="AF205" i="6"/>
  <c r="AF203" i="6"/>
  <c r="AF201" i="6"/>
  <c r="AF199" i="6"/>
  <c r="AF197" i="6"/>
  <c r="AF195" i="6"/>
  <c r="AF193" i="6"/>
  <c r="AF191" i="6"/>
  <c r="AF189" i="6"/>
  <c r="AF187" i="6"/>
  <c r="AF185" i="6"/>
  <c r="AF183" i="6"/>
  <c r="AF181" i="6"/>
  <c r="AF233" i="6"/>
  <c r="AF214" i="6"/>
  <c r="AF206" i="6"/>
  <c r="AF198" i="6"/>
  <c r="AF241" i="6"/>
  <c r="AF237" i="6"/>
  <c r="AF235" i="6"/>
  <c r="AF224" i="6"/>
  <c r="AF222" i="6"/>
  <c r="AF208" i="6"/>
  <c r="AF196" i="6"/>
  <c r="AF190" i="6"/>
  <c r="AF182" i="6"/>
  <c r="AF249" i="6"/>
  <c r="AF245" i="6"/>
  <c r="AF228" i="6"/>
  <c r="AF226" i="6"/>
  <c r="AF210" i="6"/>
  <c r="AF200" i="6"/>
  <c r="AF184" i="6"/>
  <c r="AF179" i="6"/>
  <c r="AF177" i="6"/>
  <c r="AF175" i="6"/>
  <c r="AF173" i="6"/>
  <c r="AF171" i="6"/>
  <c r="AF169" i="6"/>
  <c r="AF167" i="6"/>
  <c r="AF165" i="6"/>
  <c r="AF163" i="6"/>
  <c r="AF161" i="6"/>
  <c r="AF159" i="6"/>
  <c r="AF157" i="6"/>
  <c r="AF155" i="6"/>
  <c r="AF153" i="6"/>
  <c r="AF151" i="6"/>
  <c r="AF149" i="6"/>
  <c r="AF147" i="6"/>
  <c r="AF145" i="6"/>
  <c r="AF143" i="6"/>
  <c r="AF141" i="6"/>
  <c r="AF139" i="6"/>
  <c r="AF137" i="6"/>
  <c r="AF135" i="6"/>
  <c r="AF133" i="6"/>
  <c r="AF131" i="6"/>
  <c r="AF257" i="6"/>
  <c r="AF253" i="6"/>
  <c r="AF212" i="6"/>
  <c r="AF202" i="6"/>
  <c r="AF192" i="6"/>
  <c r="AF178" i="6"/>
  <c r="AF170" i="6"/>
  <c r="AF162" i="6"/>
  <c r="AF154" i="6"/>
  <c r="AF146" i="6"/>
  <c r="AF138" i="6"/>
  <c r="AF129" i="6"/>
  <c r="AF127" i="6"/>
  <c r="AF125" i="6"/>
  <c r="AF123" i="6"/>
  <c r="AF121" i="6"/>
  <c r="AF119" i="6"/>
  <c r="AF117" i="6"/>
  <c r="AF261" i="6"/>
  <c r="AF180" i="6"/>
  <c r="AF172" i="6"/>
  <c r="AF164" i="6"/>
  <c r="AF156" i="6"/>
  <c r="AF148" i="6"/>
  <c r="AF140" i="6"/>
  <c r="AF132" i="6"/>
  <c r="AF216" i="6"/>
  <c r="AF186" i="6"/>
  <c r="AF174" i="6"/>
  <c r="AF158" i="6"/>
  <c r="AF142" i="6"/>
  <c r="AF128" i="6"/>
  <c r="AF124" i="6"/>
  <c r="AF120" i="6"/>
  <c r="AF112" i="6"/>
  <c r="AF111" i="6"/>
  <c r="AF104" i="6"/>
  <c r="AF103" i="6"/>
  <c r="AF96" i="6"/>
  <c r="AF95" i="6"/>
  <c r="AF88" i="6"/>
  <c r="AF87" i="6"/>
  <c r="AF80" i="6"/>
  <c r="AF79" i="6"/>
  <c r="AF72" i="6"/>
  <c r="AF220" i="6"/>
  <c r="AF168" i="6"/>
  <c r="AF166" i="6"/>
  <c r="AF152" i="6"/>
  <c r="AF122" i="6"/>
  <c r="AF116" i="6"/>
  <c r="AF109" i="6"/>
  <c r="AF106" i="6"/>
  <c r="AF99" i="6"/>
  <c r="AF94" i="6"/>
  <c r="AF89" i="6"/>
  <c r="AF84" i="6"/>
  <c r="AF77" i="6"/>
  <c r="AF74" i="6"/>
  <c r="AF70" i="6"/>
  <c r="AF68" i="6"/>
  <c r="AF66" i="6"/>
  <c r="AF64" i="6"/>
  <c r="AF62" i="6"/>
  <c r="AF60" i="6"/>
  <c r="AF58" i="6"/>
  <c r="AF56" i="6"/>
  <c r="AF54" i="6"/>
  <c r="AF52" i="6"/>
  <c r="AF50" i="6"/>
  <c r="AF48" i="6"/>
  <c r="AF46" i="6"/>
  <c r="AF44" i="6"/>
  <c r="AF42" i="6"/>
  <c r="AF40" i="6"/>
  <c r="AF38" i="6"/>
  <c r="AF36" i="6"/>
  <c r="AF34" i="6"/>
  <c r="AF32" i="6"/>
  <c r="AF30" i="6"/>
  <c r="AF28" i="6"/>
  <c r="AF26" i="6"/>
  <c r="AF24" i="6"/>
  <c r="AF22" i="6"/>
  <c r="AF20" i="6"/>
  <c r="AF18" i="6"/>
  <c r="AF16" i="6"/>
  <c r="AF14" i="6"/>
  <c r="AF12" i="6"/>
  <c r="AF218" i="6"/>
  <c r="AF194" i="6"/>
  <c r="AF176" i="6"/>
  <c r="AF160" i="6"/>
  <c r="AF150" i="6"/>
  <c r="AF136" i="6"/>
  <c r="AF126" i="6"/>
  <c r="AF113" i="6"/>
  <c r="AF108" i="6"/>
  <c r="AF101" i="6"/>
  <c r="AF98" i="6"/>
  <c r="AF91" i="6"/>
  <c r="AF86" i="6"/>
  <c r="AF81" i="6"/>
  <c r="AF76" i="6"/>
  <c r="AF204" i="6"/>
  <c r="AF188" i="6"/>
  <c r="AF144" i="6"/>
  <c r="AF134" i="6"/>
  <c r="AF130" i="6"/>
  <c r="AF110" i="6"/>
  <c r="AF100" i="6"/>
  <c r="AF93" i="6"/>
  <c r="AF90" i="6"/>
  <c r="AF83" i="6"/>
  <c r="AF73" i="6"/>
  <c r="AF69" i="6"/>
  <c r="AF65" i="6"/>
  <c r="AF61" i="6"/>
  <c r="AF57" i="6"/>
  <c r="AF53" i="6"/>
  <c r="AF49" i="6"/>
  <c r="AF45" i="6"/>
  <c r="AF41" i="6"/>
  <c r="AF37" i="6"/>
  <c r="AF33" i="6"/>
  <c r="AF29" i="6"/>
  <c r="AF25" i="6"/>
  <c r="AF21" i="6"/>
  <c r="AF17" i="6"/>
  <c r="AF13" i="6"/>
  <c r="AF9" i="6"/>
  <c r="AF8" i="6"/>
  <c r="AF97" i="6"/>
  <c r="AF115" i="6"/>
  <c r="AF105" i="6"/>
  <c r="AF78" i="6"/>
  <c r="AF71" i="6"/>
  <c r="AF67" i="6"/>
  <c r="AF63" i="6"/>
  <c r="AF59" i="6"/>
  <c r="AF55" i="6"/>
  <c r="AF51" i="6"/>
  <c r="AF47" i="6"/>
  <c r="AF43" i="6"/>
  <c r="AF39" i="6"/>
  <c r="AF35" i="6"/>
  <c r="AF31" i="6"/>
  <c r="AF27" i="6"/>
  <c r="AF23" i="6"/>
  <c r="AF19" i="6"/>
  <c r="AF15" i="6"/>
  <c r="AF11" i="6"/>
  <c r="AF5" i="6"/>
  <c r="AF4" i="6"/>
  <c r="AF118" i="6"/>
  <c r="AF102" i="6"/>
  <c r="AF92" i="6"/>
  <c r="AF85" i="6"/>
  <c r="AF82" i="6"/>
  <c r="AF75" i="6"/>
  <c r="AF7" i="6"/>
  <c r="AF6" i="6"/>
  <c r="AF114" i="6"/>
  <c r="AF107" i="6"/>
  <c r="AF10" i="6"/>
  <c r="AG262" i="6"/>
  <c r="AG260" i="6"/>
  <c r="AG258" i="6"/>
  <c r="AG256" i="6"/>
  <c r="AG254" i="6"/>
  <c r="AG252" i="6"/>
  <c r="AG250" i="6"/>
  <c r="AG248" i="6"/>
  <c r="AG246" i="6"/>
  <c r="AG244" i="6"/>
  <c r="AG242" i="6"/>
  <c r="AG240" i="6"/>
  <c r="AG238" i="6"/>
  <c r="AG236" i="6"/>
  <c r="AG263" i="6"/>
  <c r="AG259" i="6"/>
  <c r="AG255" i="6"/>
  <c r="AG251" i="6"/>
  <c r="AG247" i="6"/>
  <c r="AG243" i="6"/>
  <c r="AG239" i="6"/>
  <c r="AG231" i="6"/>
  <c r="AG230" i="6"/>
  <c r="AG229" i="6"/>
  <c r="AG227" i="6"/>
  <c r="AG225" i="6"/>
  <c r="AG223" i="6"/>
  <c r="AG221" i="6"/>
  <c r="AG219" i="6"/>
  <c r="AG217" i="6"/>
  <c r="AG215" i="6"/>
  <c r="AG233" i="6"/>
  <c r="AG232" i="6"/>
  <c r="AG257" i="6"/>
  <c r="AG249" i="6"/>
  <c r="AG241" i="6"/>
  <c r="AG235" i="6"/>
  <c r="AG234" i="6"/>
  <c r="AG228" i="6"/>
  <c r="AG224" i="6"/>
  <c r="AG220" i="6"/>
  <c r="AG216" i="6"/>
  <c r="AG208" i="6"/>
  <c r="AG207" i="6"/>
  <c r="AG200" i="6"/>
  <c r="AG199" i="6"/>
  <c r="AG192" i="6"/>
  <c r="AG245" i="6"/>
  <c r="AG226" i="6"/>
  <c r="AG213" i="6"/>
  <c r="AG210" i="6"/>
  <c r="AG203" i="6"/>
  <c r="AG198" i="6"/>
  <c r="AG193" i="6"/>
  <c r="AG191" i="6"/>
  <c r="AG184" i="6"/>
  <c r="AG183" i="6"/>
  <c r="AG253" i="6"/>
  <c r="AG212" i="6"/>
  <c r="AG205" i="6"/>
  <c r="AG202" i="6"/>
  <c r="AG195" i="6"/>
  <c r="AG186" i="6"/>
  <c r="AG185" i="6"/>
  <c r="AG261" i="6"/>
  <c r="AG209" i="6"/>
  <c r="AG180" i="6"/>
  <c r="AG179" i="6"/>
  <c r="AG172" i="6"/>
  <c r="AG171" i="6"/>
  <c r="AG164" i="6"/>
  <c r="AG163" i="6"/>
  <c r="AG156" i="6"/>
  <c r="AG155" i="6"/>
  <c r="AG148" i="6"/>
  <c r="AG147" i="6"/>
  <c r="AG140" i="6"/>
  <c r="AG139" i="6"/>
  <c r="AG132" i="6"/>
  <c r="AG131" i="6"/>
  <c r="AG206" i="6"/>
  <c r="AG196" i="6"/>
  <c r="AG182" i="6"/>
  <c r="AG181" i="6"/>
  <c r="AG174" i="6"/>
  <c r="AG173" i="6"/>
  <c r="AG166" i="6"/>
  <c r="AG165" i="6"/>
  <c r="AG158" i="6"/>
  <c r="AG157" i="6"/>
  <c r="AG150" i="6"/>
  <c r="AG149" i="6"/>
  <c r="AG142" i="6"/>
  <c r="AG141" i="6"/>
  <c r="AG134" i="6"/>
  <c r="AG133" i="6"/>
  <c r="AG130" i="6"/>
  <c r="AG128" i="6"/>
  <c r="AG126" i="6"/>
  <c r="AG124" i="6"/>
  <c r="AG122" i="6"/>
  <c r="AG120" i="6"/>
  <c r="AG118" i="6"/>
  <c r="AG116" i="6"/>
  <c r="AG114" i="6"/>
  <c r="AG112" i="6"/>
  <c r="AG110" i="6"/>
  <c r="AG108" i="6"/>
  <c r="AG106" i="6"/>
  <c r="AG104" i="6"/>
  <c r="AG102" i="6"/>
  <c r="AG100" i="6"/>
  <c r="AG98" i="6"/>
  <c r="AG96" i="6"/>
  <c r="AG94" i="6"/>
  <c r="AG92" i="6"/>
  <c r="AG90" i="6"/>
  <c r="AG88" i="6"/>
  <c r="AG86" i="6"/>
  <c r="AG84" i="6"/>
  <c r="AG82" i="6"/>
  <c r="AG80" i="6"/>
  <c r="AG78" i="6"/>
  <c r="AG76" i="6"/>
  <c r="AG74" i="6"/>
  <c r="AG72" i="6"/>
  <c r="AG204" i="6"/>
  <c r="AG188" i="6"/>
  <c r="AG168" i="6"/>
  <c r="AG167" i="6"/>
  <c r="AG218" i="6"/>
  <c r="AG214" i="6"/>
  <c r="AG197" i="6"/>
  <c r="AG194" i="6"/>
  <c r="AG187" i="6"/>
  <c r="AG176" i="6"/>
  <c r="AG175" i="6"/>
  <c r="AG160" i="6"/>
  <c r="AG159" i="6"/>
  <c r="AG144" i="6"/>
  <c r="AG143" i="6"/>
  <c r="AG113" i="6"/>
  <c r="AG105" i="6"/>
  <c r="AG97" i="6"/>
  <c r="AG89" i="6"/>
  <c r="AG81" i="6"/>
  <c r="AG73" i="6"/>
  <c r="AG201" i="6"/>
  <c r="AG190" i="6"/>
  <c r="AG170" i="6"/>
  <c r="AG146" i="6"/>
  <c r="AG136" i="6"/>
  <c r="AG123" i="6"/>
  <c r="AG121" i="6"/>
  <c r="AG111" i="6"/>
  <c r="AG101" i="6"/>
  <c r="AG91" i="6"/>
  <c r="AG79" i="6"/>
  <c r="AG237" i="6"/>
  <c r="AG211" i="6"/>
  <c r="AG189" i="6"/>
  <c r="AG178" i="6"/>
  <c r="AG153" i="6"/>
  <c r="AG127" i="6"/>
  <c r="AG125" i="6"/>
  <c r="AG115" i="6"/>
  <c r="AG103" i="6"/>
  <c r="AG93" i="6"/>
  <c r="AG83" i="6"/>
  <c r="AG71" i="6"/>
  <c r="AG69" i="6"/>
  <c r="AG67" i="6"/>
  <c r="AG65" i="6"/>
  <c r="AG63" i="6"/>
  <c r="AG61" i="6"/>
  <c r="AG59" i="6"/>
  <c r="AG57" i="6"/>
  <c r="AG55" i="6"/>
  <c r="AG53" i="6"/>
  <c r="AG51" i="6"/>
  <c r="AG49" i="6"/>
  <c r="AG47" i="6"/>
  <c r="AG45" i="6"/>
  <c r="AG43" i="6"/>
  <c r="AG41" i="6"/>
  <c r="AG39" i="6"/>
  <c r="AG37" i="6"/>
  <c r="AG35" i="6"/>
  <c r="AG33" i="6"/>
  <c r="AG31" i="6"/>
  <c r="AG29" i="6"/>
  <c r="AG27" i="6"/>
  <c r="AG25" i="6"/>
  <c r="AG23" i="6"/>
  <c r="AG21" i="6"/>
  <c r="AG19" i="6"/>
  <c r="AG17" i="6"/>
  <c r="AG15" i="6"/>
  <c r="AG13" i="6"/>
  <c r="AG11" i="6"/>
  <c r="AG9" i="6"/>
  <c r="AG7" i="6"/>
  <c r="AG5" i="6"/>
  <c r="AG169" i="6"/>
  <c r="AG161" i="6"/>
  <c r="AG154" i="6"/>
  <c r="AG151" i="6"/>
  <c r="AG137" i="6"/>
  <c r="AG129" i="6"/>
  <c r="AG138" i="6"/>
  <c r="AG107" i="6"/>
  <c r="AG10" i="6"/>
  <c r="AG119" i="6"/>
  <c r="AG77" i="6"/>
  <c r="AG68" i="6"/>
  <c r="AG60" i="6"/>
  <c r="AG48" i="6"/>
  <c r="AG40" i="6"/>
  <c r="AG32" i="6"/>
  <c r="AG24" i="6"/>
  <c r="AG12" i="6"/>
  <c r="AG4" i="6"/>
  <c r="AG222" i="6"/>
  <c r="AG152" i="6"/>
  <c r="AG135" i="6"/>
  <c r="AG95" i="6"/>
  <c r="AG85" i="6"/>
  <c r="AG75" i="6"/>
  <c r="AG6" i="6"/>
  <c r="AG177" i="6"/>
  <c r="AG162" i="6"/>
  <c r="AG145" i="6"/>
  <c r="AG109" i="6"/>
  <c r="AG99" i="6"/>
  <c r="AG70" i="6"/>
  <c r="AG66" i="6"/>
  <c r="AG62" i="6"/>
  <c r="AG58" i="6"/>
  <c r="AG54" i="6"/>
  <c r="AG50" i="6"/>
  <c r="AG46" i="6"/>
  <c r="AG42" i="6"/>
  <c r="AG38" i="6"/>
  <c r="AG34" i="6"/>
  <c r="AG30" i="6"/>
  <c r="AG26" i="6"/>
  <c r="AG22" i="6"/>
  <c r="AG18" i="6"/>
  <c r="AG14" i="6"/>
  <c r="AG8" i="6"/>
  <c r="AG117" i="6"/>
  <c r="AG87" i="6"/>
  <c r="AG64" i="6"/>
  <c r="AG56" i="6"/>
  <c r="AG52" i="6"/>
  <c r="AG44" i="6"/>
  <c r="AG36" i="6"/>
  <c r="AG28" i="6"/>
  <c r="AG20" i="6"/>
  <c r="AG16" i="6"/>
  <c r="Z4" i="6"/>
  <c r="Z263" i="6"/>
  <c r="Z261" i="6"/>
  <c r="Z259" i="6"/>
  <c r="Z257" i="6"/>
  <c r="Z255" i="6"/>
  <c r="Z253" i="6"/>
  <c r="Z251" i="6"/>
  <c r="Z249" i="6"/>
  <c r="Z247" i="6"/>
  <c r="Z245" i="6"/>
  <c r="Z243" i="6"/>
  <c r="Z241" i="6"/>
  <c r="Z239" i="6"/>
  <c r="Z237" i="6"/>
  <c r="Z235" i="6"/>
  <c r="Z233" i="6"/>
  <c r="Z231" i="6"/>
  <c r="Z236" i="6"/>
  <c r="Z262" i="6"/>
  <c r="Z258" i="6"/>
  <c r="Z254" i="6"/>
  <c r="Z250" i="6"/>
  <c r="Z246" i="6"/>
  <c r="Z242" i="6"/>
  <c r="Z238" i="6"/>
  <c r="Z230" i="6"/>
  <c r="Z228" i="6"/>
  <c r="Z226" i="6"/>
  <c r="Z224" i="6"/>
  <c r="Z222" i="6"/>
  <c r="Z220" i="6"/>
  <c r="Z218" i="6"/>
  <c r="Z216" i="6"/>
  <c r="Z214" i="6"/>
  <c r="Z212" i="6"/>
  <c r="Z210" i="6"/>
  <c r="Z208" i="6"/>
  <c r="Z206" i="6"/>
  <c r="Z204" i="6"/>
  <c r="Z202" i="6"/>
  <c r="Z200" i="6"/>
  <c r="Z198" i="6"/>
  <c r="Z196" i="6"/>
  <c r="Z194" i="6"/>
  <c r="Z192" i="6"/>
  <c r="Z190" i="6"/>
  <c r="Z188" i="6"/>
  <c r="Z186" i="6"/>
  <c r="Z184" i="6"/>
  <c r="Z182" i="6"/>
  <c r="Z213" i="6"/>
  <c r="Z205" i="6"/>
  <c r="Z197" i="6"/>
  <c r="Z248" i="6"/>
  <c r="Z244" i="6"/>
  <c r="Z229" i="6"/>
  <c r="Z215" i="6"/>
  <c r="Z203" i="6"/>
  <c r="Z193" i="6"/>
  <c r="Z189" i="6"/>
  <c r="Z181" i="6"/>
  <c r="Z256" i="6"/>
  <c r="Z252" i="6"/>
  <c r="Z234" i="6"/>
  <c r="Z219" i="6"/>
  <c r="Z217" i="6"/>
  <c r="Z207" i="6"/>
  <c r="Z195" i="6"/>
  <c r="Z191" i="6"/>
  <c r="Z183" i="6"/>
  <c r="Z180" i="6"/>
  <c r="Z178" i="6"/>
  <c r="Z176" i="6"/>
  <c r="Z174" i="6"/>
  <c r="Z172" i="6"/>
  <c r="Z170" i="6"/>
  <c r="Z168" i="6"/>
  <c r="Z166" i="6"/>
  <c r="Z164" i="6"/>
  <c r="Z162" i="6"/>
  <c r="Z160" i="6"/>
  <c r="Z158" i="6"/>
  <c r="Z156" i="6"/>
  <c r="Z154" i="6"/>
  <c r="Z152" i="6"/>
  <c r="Z150" i="6"/>
  <c r="Z148" i="6"/>
  <c r="Z146" i="6"/>
  <c r="Z144" i="6"/>
  <c r="Z142" i="6"/>
  <c r="Z140" i="6"/>
  <c r="Z138" i="6"/>
  <c r="Z136" i="6"/>
  <c r="Z134" i="6"/>
  <c r="Z132" i="6"/>
  <c r="Z185" i="6"/>
  <c r="Z177" i="6"/>
  <c r="Z169" i="6"/>
  <c r="Z161" i="6"/>
  <c r="Z153" i="6"/>
  <c r="Z145" i="6"/>
  <c r="Z137" i="6"/>
  <c r="Z130" i="6"/>
  <c r="Z128" i="6"/>
  <c r="Z126" i="6"/>
  <c r="Z124" i="6"/>
  <c r="Z122" i="6"/>
  <c r="Z120" i="6"/>
  <c r="Z118" i="6"/>
  <c r="Z240" i="6"/>
  <c r="Z211" i="6"/>
  <c r="Z201" i="6"/>
  <c r="Z187" i="6"/>
  <c r="Z179" i="6"/>
  <c r="Z171" i="6"/>
  <c r="Z163" i="6"/>
  <c r="Z155" i="6"/>
  <c r="Z147" i="6"/>
  <c r="Z139" i="6"/>
  <c r="Z260" i="6"/>
  <c r="Z221" i="6"/>
  <c r="Z199" i="6"/>
  <c r="Z173" i="6"/>
  <c r="Z232" i="6"/>
  <c r="Z223" i="6"/>
  <c r="Z209" i="6"/>
  <c r="Z165" i="6"/>
  <c r="Z149" i="6"/>
  <c r="Z133" i="6"/>
  <c r="Z131" i="6"/>
  <c r="Z127" i="6"/>
  <c r="Z123" i="6"/>
  <c r="Z119" i="6"/>
  <c r="Z111" i="6"/>
  <c r="Z110" i="6"/>
  <c r="Z103" i="6"/>
  <c r="Z102" i="6"/>
  <c r="Z95" i="6"/>
  <c r="Z94" i="6"/>
  <c r="Z87" i="6"/>
  <c r="Z86" i="6"/>
  <c r="Z79" i="6"/>
  <c r="Z78" i="6"/>
  <c r="Z175" i="6"/>
  <c r="Z151" i="6"/>
  <c r="Z141" i="6"/>
  <c r="Z129" i="6"/>
  <c r="Z116" i="6"/>
  <c r="Z113" i="6"/>
  <c r="Z106" i="6"/>
  <c r="Z101" i="6"/>
  <c r="Z96" i="6"/>
  <c r="Z91" i="6"/>
  <c r="Z84" i="6"/>
  <c r="Z81" i="6"/>
  <c r="Z74" i="6"/>
  <c r="Z71" i="6"/>
  <c r="Z69" i="6"/>
  <c r="Z67" i="6"/>
  <c r="Z65" i="6"/>
  <c r="Z63" i="6"/>
  <c r="Z61" i="6"/>
  <c r="Z59" i="6"/>
  <c r="Z57" i="6"/>
  <c r="Z55" i="6"/>
  <c r="Z53" i="6"/>
  <c r="Z51" i="6"/>
  <c r="Z49" i="6"/>
  <c r="Z47" i="6"/>
  <c r="Z45" i="6"/>
  <c r="Z43" i="6"/>
  <c r="Z41" i="6"/>
  <c r="Z39" i="6"/>
  <c r="Z37" i="6"/>
  <c r="Z35" i="6"/>
  <c r="Z33" i="6"/>
  <c r="Z31" i="6"/>
  <c r="Z29" i="6"/>
  <c r="Z27" i="6"/>
  <c r="Z25" i="6"/>
  <c r="Z23" i="6"/>
  <c r="Z21" i="6"/>
  <c r="Z19" i="6"/>
  <c r="Z17" i="6"/>
  <c r="Z15" i="6"/>
  <c r="Z13" i="6"/>
  <c r="Z227" i="6"/>
  <c r="Z135" i="6"/>
  <c r="Z115" i="6"/>
  <c r="Z108" i="6"/>
  <c r="Z105" i="6"/>
  <c r="Z98" i="6"/>
  <c r="Z93" i="6"/>
  <c r="Z88" i="6"/>
  <c r="Z83" i="6"/>
  <c r="Z76" i="6"/>
  <c r="Z73" i="6"/>
  <c r="Z225" i="6"/>
  <c r="Z159" i="6"/>
  <c r="Z121" i="6"/>
  <c r="Z167" i="6"/>
  <c r="Z112" i="6"/>
  <c r="Z85" i="6"/>
  <c r="Z75" i="6"/>
  <c r="Z68" i="6"/>
  <c r="Z64" i="6"/>
  <c r="Z60" i="6"/>
  <c r="Z56" i="6"/>
  <c r="Z52" i="6"/>
  <c r="Z48" i="6"/>
  <c r="Z44" i="6"/>
  <c r="Z40" i="6"/>
  <c r="Z36" i="6"/>
  <c r="Z32" i="6"/>
  <c r="Z28" i="6"/>
  <c r="Z24" i="6"/>
  <c r="Z20" i="6"/>
  <c r="Z16" i="6"/>
  <c r="Z12" i="6"/>
  <c r="Z8" i="6"/>
  <c r="Z7" i="6"/>
  <c r="Z109" i="6"/>
  <c r="Z92" i="6"/>
  <c r="Z89" i="6"/>
  <c r="Z72" i="6"/>
  <c r="Z10" i="6"/>
  <c r="Z9" i="6"/>
  <c r="Z117" i="6"/>
  <c r="Z107" i="6"/>
  <c r="Z100" i="6"/>
  <c r="Z97" i="6"/>
  <c r="Z90" i="6"/>
  <c r="Z80" i="6"/>
  <c r="Z70" i="6"/>
  <c r="Z66" i="6"/>
  <c r="Z62" i="6"/>
  <c r="Z58" i="6"/>
  <c r="Z54" i="6"/>
  <c r="Z50" i="6"/>
  <c r="Z46" i="6"/>
  <c r="Z42" i="6"/>
  <c r="Z38" i="6"/>
  <c r="Z34" i="6"/>
  <c r="Z30" i="6"/>
  <c r="Z26" i="6"/>
  <c r="Z22" i="6"/>
  <c r="Z18" i="6"/>
  <c r="Z14" i="6"/>
  <c r="Z11" i="6"/>
  <c r="Z157" i="6"/>
  <c r="Z125" i="6"/>
  <c r="Z114" i="6"/>
  <c r="Z104" i="6"/>
  <c r="Z77" i="6"/>
  <c r="Z6" i="6"/>
  <c r="Z5" i="6"/>
  <c r="Z143" i="6"/>
  <c r="Z99" i="6"/>
  <c r="Z82" i="6"/>
  <c r="AD263" i="6"/>
  <c r="AD261" i="6"/>
  <c r="AD259" i="6"/>
  <c r="AD257" i="6"/>
  <c r="AD255" i="6"/>
  <c r="AD253" i="6"/>
  <c r="AD251" i="6"/>
  <c r="AD249" i="6"/>
  <c r="AD247" i="6"/>
  <c r="AD245" i="6"/>
  <c r="AD243" i="6"/>
  <c r="AD241" i="6"/>
  <c r="AD239" i="6"/>
  <c r="AD237" i="6"/>
  <c r="AD235" i="6"/>
  <c r="AD233" i="6"/>
  <c r="AD231" i="6"/>
  <c r="AD234" i="6"/>
  <c r="AD260" i="6"/>
  <c r="AD256" i="6"/>
  <c r="AD252" i="6"/>
  <c r="AD248" i="6"/>
  <c r="AD244" i="6"/>
  <c r="AD240" i="6"/>
  <c r="AD236" i="6"/>
  <c r="AD228" i="6"/>
  <c r="AD226" i="6"/>
  <c r="AD224" i="6"/>
  <c r="AD222" i="6"/>
  <c r="AD220" i="6"/>
  <c r="AD218" i="6"/>
  <c r="AD216" i="6"/>
  <c r="AD214" i="6"/>
  <c r="AD212" i="6"/>
  <c r="AD210" i="6"/>
  <c r="AD208" i="6"/>
  <c r="AD206" i="6"/>
  <c r="AD204" i="6"/>
  <c r="AD202" i="6"/>
  <c r="AD200" i="6"/>
  <c r="AD198" i="6"/>
  <c r="AD196" i="6"/>
  <c r="AD194" i="6"/>
  <c r="AD192" i="6"/>
  <c r="AD190" i="6"/>
  <c r="AD188" i="6"/>
  <c r="AD186" i="6"/>
  <c r="AD184" i="6"/>
  <c r="AD182" i="6"/>
  <c r="AD230" i="6"/>
  <c r="AD211" i="6"/>
  <c r="AD203" i="6"/>
  <c r="AD195" i="6"/>
  <c r="AD254" i="6"/>
  <c r="AD250" i="6"/>
  <c r="AD221" i="6"/>
  <c r="AD219" i="6"/>
  <c r="AD209" i="6"/>
  <c r="AD199" i="6"/>
  <c r="AD187" i="6"/>
  <c r="AD262" i="6"/>
  <c r="AD258" i="6"/>
  <c r="AD232" i="6"/>
  <c r="AD225" i="6"/>
  <c r="AD223" i="6"/>
  <c r="AD213" i="6"/>
  <c r="AD201" i="6"/>
  <c r="AD189" i="6"/>
  <c r="AD181" i="6"/>
  <c r="AD180" i="6"/>
  <c r="AD178" i="6"/>
  <c r="AD176" i="6"/>
  <c r="AD174" i="6"/>
  <c r="AD172" i="6"/>
  <c r="AD170" i="6"/>
  <c r="AD168" i="6"/>
  <c r="AD166" i="6"/>
  <c r="AD164" i="6"/>
  <c r="AD162" i="6"/>
  <c r="AD160" i="6"/>
  <c r="AD158" i="6"/>
  <c r="AD156" i="6"/>
  <c r="AD154" i="6"/>
  <c r="AD152" i="6"/>
  <c r="AD150" i="6"/>
  <c r="AD148" i="6"/>
  <c r="AD146" i="6"/>
  <c r="AD144" i="6"/>
  <c r="AD142" i="6"/>
  <c r="AD140" i="6"/>
  <c r="AD138" i="6"/>
  <c r="AD136" i="6"/>
  <c r="AD134" i="6"/>
  <c r="AD132" i="6"/>
  <c r="AD205" i="6"/>
  <c r="AD191" i="6"/>
  <c r="AD175" i="6"/>
  <c r="AD167" i="6"/>
  <c r="AD159" i="6"/>
  <c r="AD151" i="6"/>
  <c r="AD143" i="6"/>
  <c r="AD135" i="6"/>
  <c r="AD130" i="6"/>
  <c r="AD128" i="6"/>
  <c r="AD126" i="6"/>
  <c r="AD124" i="6"/>
  <c r="AD122" i="6"/>
  <c r="AD120" i="6"/>
  <c r="AD118" i="6"/>
  <c r="AD217" i="6"/>
  <c r="AD215" i="6"/>
  <c r="AD177" i="6"/>
  <c r="AD169" i="6"/>
  <c r="AD161" i="6"/>
  <c r="AD153" i="6"/>
  <c r="AD145" i="6"/>
  <c r="AD137" i="6"/>
  <c r="AD229" i="6"/>
  <c r="AD193" i="6"/>
  <c r="AD179" i="6"/>
  <c r="AD238" i="6"/>
  <c r="AD227" i="6"/>
  <c r="AD183" i="6"/>
  <c r="AD171" i="6"/>
  <c r="AD155" i="6"/>
  <c r="AD139" i="6"/>
  <c r="AD129" i="6"/>
  <c r="AD125" i="6"/>
  <c r="AD121" i="6"/>
  <c r="AD117" i="6"/>
  <c r="AD116" i="6"/>
  <c r="AD109" i="6"/>
  <c r="AD108" i="6"/>
  <c r="AD101" i="6"/>
  <c r="AD100" i="6"/>
  <c r="AD93" i="6"/>
  <c r="AD92" i="6"/>
  <c r="AD85" i="6"/>
  <c r="AD84" i="6"/>
  <c r="AD77" i="6"/>
  <c r="AD76" i="6"/>
  <c r="AD242" i="6"/>
  <c r="AD207" i="6"/>
  <c r="AD165" i="6"/>
  <c r="AD119" i="6"/>
  <c r="AD112" i="6"/>
  <c r="AD107" i="6"/>
  <c r="AD102" i="6"/>
  <c r="AD97" i="6"/>
  <c r="AD90" i="6"/>
  <c r="AD87" i="6"/>
  <c r="AD80" i="6"/>
  <c r="AD75" i="6"/>
  <c r="AD71" i="6"/>
  <c r="AD69" i="6"/>
  <c r="AD67" i="6"/>
  <c r="AD65" i="6"/>
  <c r="AD63" i="6"/>
  <c r="AD61" i="6"/>
  <c r="AD59" i="6"/>
  <c r="AD57" i="6"/>
  <c r="AD55" i="6"/>
  <c r="AD53" i="6"/>
  <c r="AD51" i="6"/>
  <c r="AD49" i="6"/>
  <c r="AD47" i="6"/>
  <c r="AD45" i="6"/>
  <c r="AD43" i="6"/>
  <c r="AD41" i="6"/>
  <c r="AD39" i="6"/>
  <c r="AD37" i="6"/>
  <c r="AD35" i="6"/>
  <c r="AD33" i="6"/>
  <c r="AD31" i="6"/>
  <c r="AD29" i="6"/>
  <c r="AD27" i="6"/>
  <c r="AD25" i="6"/>
  <c r="AD23" i="6"/>
  <c r="AD21" i="6"/>
  <c r="AD19" i="6"/>
  <c r="AD17" i="6"/>
  <c r="AD15" i="6"/>
  <c r="AD13" i="6"/>
  <c r="AD11" i="6"/>
  <c r="AD185" i="6"/>
  <c r="AD163" i="6"/>
  <c r="AD149" i="6"/>
  <c r="AD123" i="6"/>
  <c r="AD114" i="6"/>
  <c r="AD111" i="6"/>
  <c r="AD104" i="6"/>
  <c r="AD99" i="6"/>
  <c r="AD94" i="6"/>
  <c r="AD89" i="6"/>
  <c r="AD82" i="6"/>
  <c r="AD79" i="6"/>
  <c r="AD72" i="6"/>
  <c r="AD157" i="6"/>
  <c r="AD147" i="6"/>
  <c r="AD133" i="6"/>
  <c r="AD127" i="6"/>
  <c r="AD246" i="6"/>
  <c r="AD113" i="6"/>
  <c r="AD106" i="6"/>
  <c r="AD103" i="6"/>
  <c r="AD96" i="6"/>
  <c r="AD86" i="6"/>
  <c r="AD70" i="6"/>
  <c r="AD66" i="6"/>
  <c r="AD62" i="6"/>
  <c r="AD58" i="6"/>
  <c r="AD54" i="6"/>
  <c r="AD50" i="6"/>
  <c r="AD46" i="6"/>
  <c r="AD42" i="6"/>
  <c r="AD38" i="6"/>
  <c r="AD34" i="6"/>
  <c r="AD30" i="6"/>
  <c r="AD26" i="6"/>
  <c r="AD22" i="6"/>
  <c r="AD18" i="6"/>
  <c r="AD14" i="6"/>
  <c r="AD6" i="6"/>
  <c r="AD5" i="6"/>
  <c r="AD173" i="6"/>
  <c r="AD83" i="6"/>
  <c r="AD197" i="6"/>
  <c r="AD141" i="6"/>
  <c r="AD91" i="6"/>
  <c r="AD81" i="6"/>
  <c r="AD74" i="6"/>
  <c r="AD68" i="6"/>
  <c r="AD64" i="6"/>
  <c r="AD60" i="6"/>
  <c r="AD56" i="6"/>
  <c r="AD52" i="6"/>
  <c r="AD48" i="6"/>
  <c r="AD44" i="6"/>
  <c r="AD40" i="6"/>
  <c r="AD36" i="6"/>
  <c r="AD32" i="6"/>
  <c r="AD28" i="6"/>
  <c r="AD24" i="6"/>
  <c r="AD20" i="6"/>
  <c r="AD16" i="6"/>
  <c r="AD12" i="6"/>
  <c r="AD10" i="6"/>
  <c r="AD9" i="6"/>
  <c r="AD115" i="6"/>
  <c r="AD105" i="6"/>
  <c r="AD98" i="6"/>
  <c r="AD95" i="6"/>
  <c r="AD88" i="6"/>
  <c r="AD78" i="6"/>
  <c r="AD4" i="6"/>
  <c r="AD131" i="6"/>
  <c r="AD110" i="6"/>
  <c r="AD73" i="6"/>
  <c r="AD8" i="6"/>
  <c r="AD7" i="6"/>
  <c r="AH263" i="6"/>
  <c r="AH261" i="6"/>
  <c r="AH259" i="6"/>
  <c r="AH257" i="6"/>
  <c r="AH255" i="6"/>
  <c r="AH253" i="6"/>
  <c r="AH251" i="6"/>
  <c r="AH249" i="6"/>
  <c r="AH247" i="6"/>
  <c r="AH245" i="6"/>
  <c r="AH243" i="6"/>
  <c r="AH241" i="6"/>
  <c r="AH239" i="6"/>
  <c r="AH237" i="6"/>
  <c r="AH235" i="6"/>
  <c r="AH233" i="6"/>
  <c r="AH231" i="6"/>
  <c r="AH232" i="6"/>
  <c r="AH262" i="6"/>
  <c r="AH258" i="6"/>
  <c r="AH254" i="6"/>
  <c r="AH250" i="6"/>
  <c r="AH246" i="6"/>
  <c r="AH242" i="6"/>
  <c r="AH238" i="6"/>
  <c r="AH234" i="6"/>
  <c r="AH228" i="6"/>
  <c r="AH226" i="6"/>
  <c r="AH224" i="6"/>
  <c r="AH222" i="6"/>
  <c r="AH220" i="6"/>
  <c r="AH218" i="6"/>
  <c r="AH216" i="6"/>
  <c r="AH214" i="6"/>
  <c r="AH212" i="6"/>
  <c r="AH210" i="6"/>
  <c r="AH208" i="6"/>
  <c r="AH206" i="6"/>
  <c r="AH204" i="6"/>
  <c r="AH202" i="6"/>
  <c r="AH200" i="6"/>
  <c r="AH198" i="6"/>
  <c r="AH196" i="6"/>
  <c r="AH194" i="6"/>
  <c r="AH192" i="6"/>
  <c r="AH190" i="6"/>
  <c r="AH188" i="6"/>
  <c r="AH186" i="6"/>
  <c r="AH184" i="6"/>
  <c r="AH182" i="6"/>
  <c r="AH180" i="6"/>
  <c r="AH209" i="6"/>
  <c r="AH201" i="6"/>
  <c r="AH193" i="6"/>
  <c r="AH260" i="6"/>
  <c r="AH256" i="6"/>
  <c r="AH227" i="6"/>
  <c r="AH225" i="6"/>
  <c r="AH205" i="6"/>
  <c r="AH195" i="6"/>
  <c r="AH185" i="6"/>
  <c r="AH236" i="6"/>
  <c r="AH229" i="6"/>
  <c r="AH215" i="6"/>
  <c r="AH207" i="6"/>
  <c r="AH197" i="6"/>
  <c r="AH187" i="6"/>
  <c r="AH178" i="6"/>
  <c r="AH176" i="6"/>
  <c r="AH174" i="6"/>
  <c r="AH172" i="6"/>
  <c r="AH170" i="6"/>
  <c r="AH168" i="6"/>
  <c r="AH166" i="6"/>
  <c r="AH164" i="6"/>
  <c r="AH162" i="6"/>
  <c r="AH160" i="6"/>
  <c r="AH158" i="6"/>
  <c r="AH156" i="6"/>
  <c r="AH154" i="6"/>
  <c r="AH152" i="6"/>
  <c r="AH150" i="6"/>
  <c r="AH148" i="6"/>
  <c r="AH146" i="6"/>
  <c r="AH144" i="6"/>
  <c r="AH142" i="6"/>
  <c r="AH140" i="6"/>
  <c r="AH138" i="6"/>
  <c r="AH136" i="6"/>
  <c r="AH134" i="6"/>
  <c r="AH132" i="6"/>
  <c r="AH244" i="6"/>
  <c r="AH240" i="6"/>
  <c r="AH230" i="6"/>
  <c r="AH219" i="6"/>
  <c r="AH217" i="6"/>
  <c r="AH199" i="6"/>
  <c r="AH181" i="6"/>
  <c r="AH173" i="6"/>
  <c r="AH165" i="6"/>
  <c r="AH157" i="6"/>
  <c r="AH149" i="6"/>
  <c r="AH141" i="6"/>
  <c r="AH133" i="6"/>
  <c r="AH130" i="6"/>
  <c r="AH128" i="6"/>
  <c r="AH126" i="6"/>
  <c r="AH124" i="6"/>
  <c r="AH122" i="6"/>
  <c r="AH120" i="6"/>
  <c r="AH118" i="6"/>
  <c r="AH252" i="6"/>
  <c r="AH248" i="6"/>
  <c r="AH223" i="6"/>
  <c r="AH221" i="6"/>
  <c r="AH213" i="6"/>
  <c r="AH203" i="6"/>
  <c r="AH183" i="6"/>
  <c r="AH175" i="6"/>
  <c r="AH167" i="6"/>
  <c r="AH159" i="6"/>
  <c r="AH151" i="6"/>
  <c r="AH143" i="6"/>
  <c r="AH135" i="6"/>
  <c r="AH169" i="6"/>
  <c r="AH211" i="6"/>
  <c r="AH189" i="6"/>
  <c r="AH177" i="6"/>
  <c r="AH161" i="6"/>
  <c r="AH145" i="6"/>
  <c r="AH127" i="6"/>
  <c r="AH123" i="6"/>
  <c r="AH119" i="6"/>
  <c r="AH115" i="6"/>
  <c r="AH114" i="6"/>
  <c r="AH107" i="6"/>
  <c r="AH106" i="6"/>
  <c r="AH99" i="6"/>
  <c r="AH98" i="6"/>
  <c r="AH91" i="6"/>
  <c r="AH90" i="6"/>
  <c r="AH83" i="6"/>
  <c r="AH82" i="6"/>
  <c r="AH75" i="6"/>
  <c r="AH74" i="6"/>
  <c r="AH163" i="6"/>
  <c r="AH153" i="6"/>
  <c r="AH139" i="6"/>
  <c r="AH125" i="6"/>
  <c r="AH113" i="6"/>
  <c r="AH108" i="6"/>
  <c r="AH103" i="6"/>
  <c r="AH96" i="6"/>
  <c r="AH93" i="6"/>
  <c r="AH86" i="6"/>
  <c r="AH81" i="6"/>
  <c r="AH76" i="6"/>
  <c r="AH71" i="6"/>
  <c r="AH69" i="6"/>
  <c r="AH67" i="6"/>
  <c r="AH65" i="6"/>
  <c r="AH63" i="6"/>
  <c r="AH61" i="6"/>
  <c r="AH59" i="6"/>
  <c r="AH57" i="6"/>
  <c r="AH55" i="6"/>
  <c r="AH53" i="6"/>
  <c r="AH51" i="6"/>
  <c r="AH49" i="6"/>
  <c r="AH47" i="6"/>
  <c r="AH45" i="6"/>
  <c r="AH43" i="6"/>
  <c r="AH41" i="6"/>
  <c r="AH39" i="6"/>
  <c r="AH37" i="6"/>
  <c r="AH35" i="6"/>
  <c r="AH33" i="6"/>
  <c r="AH31" i="6"/>
  <c r="AH29" i="6"/>
  <c r="AH27" i="6"/>
  <c r="AH25" i="6"/>
  <c r="AH23" i="6"/>
  <c r="AH21" i="6"/>
  <c r="AH19" i="6"/>
  <c r="AH17" i="6"/>
  <c r="AH15" i="6"/>
  <c r="AH13" i="6"/>
  <c r="AH11" i="6"/>
  <c r="AH147" i="6"/>
  <c r="AH137" i="6"/>
  <c r="AH129" i="6"/>
  <c r="AH110" i="6"/>
  <c r="AH105" i="6"/>
  <c r="AH100" i="6"/>
  <c r="AH95" i="6"/>
  <c r="AH88" i="6"/>
  <c r="AH85" i="6"/>
  <c r="AH78" i="6"/>
  <c r="AH73" i="6"/>
  <c r="AH171" i="6"/>
  <c r="AH131" i="6"/>
  <c r="AH155" i="6"/>
  <c r="AH117" i="6"/>
  <c r="AH97" i="6"/>
  <c r="AH87" i="6"/>
  <c r="AH80" i="6"/>
  <c r="AH77" i="6"/>
  <c r="AH68" i="6"/>
  <c r="AH64" i="6"/>
  <c r="AH60" i="6"/>
  <c r="AH56" i="6"/>
  <c r="AH52" i="6"/>
  <c r="AH48" i="6"/>
  <c r="AH44" i="6"/>
  <c r="AH40" i="6"/>
  <c r="AH36" i="6"/>
  <c r="AH32" i="6"/>
  <c r="AH28" i="6"/>
  <c r="AH24" i="6"/>
  <c r="AH20" i="6"/>
  <c r="AH16" i="6"/>
  <c r="AH12" i="6"/>
  <c r="AH4" i="6"/>
  <c r="AH111" i="6"/>
  <c r="AH94" i="6"/>
  <c r="AH6" i="6"/>
  <c r="AH5" i="6"/>
  <c r="AH179" i="6"/>
  <c r="AH121" i="6"/>
  <c r="AH112" i="6"/>
  <c r="AH109" i="6"/>
  <c r="AH102" i="6"/>
  <c r="AH92" i="6"/>
  <c r="AH70" i="6"/>
  <c r="AH66" i="6"/>
  <c r="AH62" i="6"/>
  <c r="AH58" i="6"/>
  <c r="AH54" i="6"/>
  <c r="AH50" i="6"/>
  <c r="AH46" i="6"/>
  <c r="AH42" i="6"/>
  <c r="AH38" i="6"/>
  <c r="AH34" i="6"/>
  <c r="AH30" i="6"/>
  <c r="AH26" i="6"/>
  <c r="AH22" i="6"/>
  <c r="AH18" i="6"/>
  <c r="AH14" i="6"/>
  <c r="AH8" i="6"/>
  <c r="AH7" i="6"/>
  <c r="AH191" i="6"/>
  <c r="AH116" i="6"/>
  <c r="AH89" i="6"/>
  <c r="AH79" i="6"/>
  <c r="AH72" i="6"/>
  <c r="AH10" i="6"/>
  <c r="AH9" i="6"/>
  <c r="AH104" i="6"/>
  <c r="AH101" i="6"/>
  <c r="AH84" i="6"/>
  <c r="AB262" i="6"/>
  <c r="AB260" i="6"/>
  <c r="AB258" i="6"/>
  <c r="AB256" i="6"/>
  <c r="AB254" i="6"/>
  <c r="AB252" i="6"/>
  <c r="AB250" i="6"/>
  <c r="AB248" i="6"/>
  <c r="AB246" i="6"/>
  <c r="AB244" i="6"/>
  <c r="AB242" i="6"/>
  <c r="AB240" i="6"/>
  <c r="AB238" i="6"/>
  <c r="AB236" i="6"/>
  <c r="AB234" i="6"/>
  <c r="AB232" i="6"/>
  <c r="AB230" i="6"/>
  <c r="AB231" i="6"/>
  <c r="AB261" i="6"/>
  <c r="AB257" i="6"/>
  <c r="AB253" i="6"/>
  <c r="AB249" i="6"/>
  <c r="AB245" i="6"/>
  <c r="AB241" i="6"/>
  <c r="AB237" i="6"/>
  <c r="AB233" i="6"/>
  <c r="AB229" i="6"/>
  <c r="AB227" i="6"/>
  <c r="AB225" i="6"/>
  <c r="AB223" i="6"/>
  <c r="AB221" i="6"/>
  <c r="AB219" i="6"/>
  <c r="AB217" i="6"/>
  <c r="AB215" i="6"/>
  <c r="AB213" i="6"/>
  <c r="AB211" i="6"/>
  <c r="AB209" i="6"/>
  <c r="AB207" i="6"/>
  <c r="AB205" i="6"/>
  <c r="AB203" i="6"/>
  <c r="AB201" i="6"/>
  <c r="AB199" i="6"/>
  <c r="AB197" i="6"/>
  <c r="AB195" i="6"/>
  <c r="AB193" i="6"/>
  <c r="AB191" i="6"/>
  <c r="AB189" i="6"/>
  <c r="AB187" i="6"/>
  <c r="AB185" i="6"/>
  <c r="AB183" i="6"/>
  <c r="AB181" i="6"/>
  <c r="AB208" i="6"/>
  <c r="AB200" i="6"/>
  <c r="AB192" i="6"/>
  <c r="AB263" i="6"/>
  <c r="AB218" i="6"/>
  <c r="AB216" i="6"/>
  <c r="AB212" i="6"/>
  <c r="AB202" i="6"/>
  <c r="AB184" i="6"/>
  <c r="AB243" i="6"/>
  <c r="AB239" i="6"/>
  <c r="AB235" i="6"/>
  <c r="AB222" i="6"/>
  <c r="AB220" i="6"/>
  <c r="AB214" i="6"/>
  <c r="AB204" i="6"/>
  <c r="AB194" i="6"/>
  <c r="AB186" i="6"/>
  <c r="AB179" i="6"/>
  <c r="AB177" i="6"/>
  <c r="AB175" i="6"/>
  <c r="AB173" i="6"/>
  <c r="AB171" i="6"/>
  <c r="AB169" i="6"/>
  <c r="AB167" i="6"/>
  <c r="AB165" i="6"/>
  <c r="AB163" i="6"/>
  <c r="AB161" i="6"/>
  <c r="AB159" i="6"/>
  <c r="AB157" i="6"/>
  <c r="AB155" i="6"/>
  <c r="AB153" i="6"/>
  <c r="AB151" i="6"/>
  <c r="AB149" i="6"/>
  <c r="AB147" i="6"/>
  <c r="AB145" i="6"/>
  <c r="AB143" i="6"/>
  <c r="AB141" i="6"/>
  <c r="AB139" i="6"/>
  <c r="AB137" i="6"/>
  <c r="AB135" i="6"/>
  <c r="AB133" i="6"/>
  <c r="AB226" i="6"/>
  <c r="AB224" i="6"/>
  <c r="AB188" i="6"/>
  <c r="AB180" i="6"/>
  <c r="AB172" i="6"/>
  <c r="AB164" i="6"/>
  <c r="AB156" i="6"/>
  <c r="AB148" i="6"/>
  <c r="AB140" i="6"/>
  <c r="AB132" i="6"/>
  <c r="AB131" i="6"/>
  <c r="AB129" i="6"/>
  <c r="AB127" i="6"/>
  <c r="AB125" i="6"/>
  <c r="AB123" i="6"/>
  <c r="AB121" i="6"/>
  <c r="AB119" i="6"/>
  <c r="AB228" i="6"/>
  <c r="AB198" i="6"/>
  <c r="AB190" i="6"/>
  <c r="AB174" i="6"/>
  <c r="AB166" i="6"/>
  <c r="AB158" i="6"/>
  <c r="AB150" i="6"/>
  <c r="AB142" i="6"/>
  <c r="AB134" i="6"/>
  <c r="AB251" i="6"/>
  <c r="AB196" i="6"/>
  <c r="AB176" i="6"/>
  <c r="AB247" i="6"/>
  <c r="AB206" i="6"/>
  <c r="AB168" i="6"/>
  <c r="AB152" i="6"/>
  <c r="AB136" i="6"/>
  <c r="AB130" i="6"/>
  <c r="AB126" i="6"/>
  <c r="AB122" i="6"/>
  <c r="AB118" i="6"/>
  <c r="AB114" i="6"/>
  <c r="AB113" i="6"/>
  <c r="AB106" i="6"/>
  <c r="AB105" i="6"/>
  <c r="AB98" i="6"/>
  <c r="AB97" i="6"/>
  <c r="AB90" i="6"/>
  <c r="AB89" i="6"/>
  <c r="AB82" i="6"/>
  <c r="AB81" i="6"/>
  <c r="AB74" i="6"/>
  <c r="AB73" i="6"/>
  <c r="AB259" i="6"/>
  <c r="AB182" i="6"/>
  <c r="AB138" i="6"/>
  <c r="AB115" i="6"/>
  <c r="AB110" i="6"/>
  <c r="AB103" i="6"/>
  <c r="AB100" i="6"/>
  <c r="AB93" i="6"/>
  <c r="AB88" i="6"/>
  <c r="AB83" i="6"/>
  <c r="AB78" i="6"/>
  <c r="AB70" i="6"/>
  <c r="AB68" i="6"/>
  <c r="AB66" i="6"/>
  <c r="AB64" i="6"/>
  <c r="AB62" i="6"/>
  <c r="AB60" i="6"/>
  <c r="AB58" i="6"/>
  <c r="AB56" i="6"/>
  <c r="AB54" i="6"/>
  <c r="AB52" i="6"/>
  <c r="AB50" i="6"/>
  <c r="AB48" i="6"/>
  <c r="AB46" i="6"/>
  <c r="AB44" i="6"/>
  <c r="AB42" i="6"/>
  <c r="AB40" i="6"/>
  <c r="AB38" i="6"/>
  <c r="AB36" i="6"/>
  <c r="AB34" i="6"/>
  <c r="AB32" i="6"/>
  <c r="AB30" i="6"/>
  <c r="AB28" i="6"/>
  <c r="AB26" i="6"/>
  <c r="AB24" i="6"/>
  <c r="AB22" i="6"/>
  <c r="AB20" i="6"/>
  <c r="AB18" i="6"/>
  <c r="AB16" i="6"/>
  <c r="AB14" i="6"/>
  <c r="AB12" i="6"/>
  <c r="AB255" i="6"/>
  <c r="AB170" i="6"/>
  <c r="AB162" i="6"/>
  <c r="AB120" i="6"/>
  <c r="AB117" i="6"/>
  <c r="AB112" i="6"/>
  <c r="AB107" i="6"/>
  <c r="AB102" i="6"/>
  <c r="AB95" i="6"/>
  <c r="AB92" i="6"/>
  <c r="AB85" i="6"/>
  <c r="AB80" i="6"/>
  <c r="AB75" i="6"/>
  <c r="AB210" i="6"/>
  <c r="AB178" i="6"/>
  <c r="AB160" i="6"/>
  <c r="AB146" i="6"/>
  <c r="AB124" i="6"/>
  <c r="AB144" i="6"/>
  <c r="AB128" i="6"/>
  <c r="AB116" i="6"/>
  <c r="AB109" i="6"/>
  <c r="AB99" i="6"/>
  <c r="AB72" i="6"/>
  <c r="AB71" i="6"/>
  <c r="AB67" i="6"/>
  <c r="AB63" i="6"/>
  <c r="AB59" i="6"/>
  <c r="AB55" i="6"/>
  <c r="AB51" i="6"/>
  <c r="AB47" i="6"/>
  <c r="AB43" i="6"/>
  <c r="AB39" i="6"/>
  <c r="AB35" i="6"/>
  <c r="AB31" i="6"/>
  <c r="AB27" i="6"/>
  <c r="AB23" i="6"/>
  <c r="AB19" i="6"/>
  <c r="AB15" i="6"/>
  <c r="AB11" i="6"/>
  <c r="AB10" i="6"/>
  <c r="AB86" i="6"/>
  <c r="AB104" i="6"/>
  <c r="AB94" i="6"/>
  <c r="AB87" i="6"/>
  <c r="AB84" i="6"/>
  <c r="AB77" i="6"/>
  <c r="AB69" i="6"/>
  <c r="AB65" i="6"/>
  <c r="AB61" i="6"/>
  <c r="AB57" i="6"/>
  <c r="AB53" i="6"/>
  <c r="AB49" i="6"/>
  <c r="AB45" i="6"/>
  <c r="AB41" i="6"/>
  <c r="AB37" i="6"/>
  <c r="AB33" i="6"/>
  <c r="AB29" i="6"/>
  <c r="AB25" i="6"/>
  <c r="AB21" i="6"/>
  <c r="AB17" i="6"/>
  <c r="AB13" i="6"/>
  <c r="AB7" i="6"/>
  <c r="AB6" i="6"/>
  <c r="AB111" i="6"/>
  <c r="AB108" i="6"/>
  <c r="AB101" i="6"/>
  <c r="AB91" i="6"/>
  <c r="AB9" i="6"/>
  <c r="AB8" i="6"/>
  <c r="AB154" i="6"/>
  <c r="AB96" i="6"/>
  <c r="AB79" i="6"/>
  <c r="AB76" i="6"/>
  <c r="AB5" i="6"/>
  <c r="AB4" i="6"/>
  <c r="AC262" i="6"/>
  <c r="AC260" i="6"/>
  <c r="AC258" i="6"/>
  <c r="AC256" i="6"/>
  <c r="AC254" i="6"/>
  <c r="AC252" i="6"/>
  <c r="AC250" i="6"/>
  <c r="AC248" i="6"/>
  <c r="AC246" i="6"/>
  <c r="AC244" i="6"/>
  <c r="AC242" i="6"/>
  <c r="AC240" i="6"/>
  <c r="AC238" i="6"/>
  <c r="AC261" i="6"/>
  <c r="AC257" i="6"/>
  <c r="AC253" i="6"/>
  <c r="AC249" i="6"/>
  <c r="AC245" i="6"/>
  <c r="AC241" i="6"/>
  <c r="AC237" i="6"/>
  <c r="AC233" i="6"/>
  <c r="AC232" i="6"/>
  <c r="AC229" i="6"/>
  <c r="AC227" i="6"/>
  <c r="AC225" i="6"/>
  <c r="AC223" i="6"/>
  <c r="AC221" i="6"/>
  <c r="AC219" i="6"/>
  <c r="AC217" i="6"/>
  <c r="AC215" i="6"/>
  <c r="AC235" i="6"/>
  <c r="AC234" i="6"/>
  <c r="AC263" i="6"/>
  <c r="AC259" i="6"/>
  <c r="AC251" i="6"/>
  <c r="AC243" i="6"/>
  <c r="AC226" i="6"/>
  <c r="AC222" i="6"/>
  <c r="AC218" i="6"/>
  <c r="AC210" i="6"/>
  <c r="AC209" i="6"/>
  <c r="AC202" i="6"/>
  <c r="AC201" i="6"/>
  <c r="AC194" i="6"/>
  <c r="AC193" i="6"/>
  <c r="AC239" i="6"/>
  <c r="AC231" i="6"/>
  <c r="AC220" i="6"/>
  <c r="AC214" i="6"/>
  <c r="AC207" i="6"/>
  <c r="AC204" i="6"/>
  <c r="AC197" i="6"/>
  <c r="AC192" i="6"/>
  <c r="AC186" i="6"/>
  <c r="AC185" i="6"/>
  <c r="AC247" i="6"/>
  <c r="AC224" i="6"/>
  <c r="AC211" i="6"/>
  <c r="AC206" i="6"/>
  <c r="AC199" i="6"/>
  <c r="AC196" i="6"/>
  <c r="AC188" i="6"/>
  <c r="AC187" i="6"/>
  <c r="AC236" i="6"/>
  <c r="AC228" i="6"/>
  <c r="AC208" i="6"/>
  <c r="AC198" i="6"/>
  <c r="AC190" i="6"/>
  <c r="AC189" i="6"/>
  <c r="AC174" i="6"/>
  <c r="AC173" i="6"/>
  <c r="AC166" i="6"/>
  <c r="AC165" i="6"/>
  <c r="AC158" i="6"/>
  <c r="AC157" i="6"/>
  <c r="AC150" i="6"/>
  <c r="AC149" i="6"/>
  <c r="AC142" i="6"/>
  <c r="AC141" i="6"/>
  <c r="AC134" i="6"/>
  <c r="AC133" i="6"/>
  <c r="AC230" i="6"/>
  <c r="AC212" i="6"/>
  <c r="AC205" i="6"/>
  <c r="AC195" i="6"/>
  <c r="AC191" i="6"/>
  <c r="AC176" i="6"/>
  <c r="AC175" i="6"/>
  <c r="AC168" i="6"/>
  <c r="AC167" i="6"/>
  <c r="AC160" i="6"/>
  <c r="AC159" i="6"/>
  <c r="AC152" i="6"/>
  <c r="AC151" i="6"/>
  <c r="AC144" i="6"/>
  <c r="AC143" i="6"/>
  <c r="AC136" i="6"/>
  <c r="AC135" i="6"/>
  <c r="AC130" i="6"/>
  <c r="AC128" i="6"/>
  <c r="AC126" i="6"/>
  <c r="AC124" i="6"/>
  <c r="AC122" i="6"/>
  <c r="AC120" i="6"/>
  <c r="AC118" i="6"/>
  <c r="AC116" i="6"/>
  <c r="AC114" i="6"/>
  <c r="AC112" i="6"/>
  <c r="AC110" i="6"/>
  <c r="AC108" i="6"/>
  <c r="AC106" i="6"/>
  <c r="AC104" i="6"/>
  <c r="AC102" i="6"/>
  <c r="AC100" i="6"/>
  <c r="AC98" i="6"/>
  <c r="AC96" i="6"/>
  <c r="AC94" i="6"/>
  <c r="AC92" i="6"/>
  <c r="AC90" i="6"/>
  <c r="AC88" i="6"/>
  <c r="AC86" i="6"/>
  <c r="AC84" i="6"/>
  <c r="AC82" i="6"/>
  <c r="AC80" i="6"/>
  <c r="AC78" i="6"/>
  <c r="AC76" i="6"/>
  <c r="AC74" i="6"/>
  <c r="AC72" i="6"/>
  <c r="AC213" i="6"/>
  <c r="AC182" i="6"/>
  <c r="AC178" i="6"/>
  <c r="AC177" i="6"/>
  <c r="AC255" i="6"/>
  <c r="AC203" i="6"/>
  <c r="AC181" i="6"/>
  <c r="AC170" i="6"/>
  <c r="AC169" i="6"/>
  <c r="AC154" i="6"/>
  <c r="AC153" i="6"/>
  <c r="AC138" i="6"/>
  <c r="AC137" i="6"/>
  <c r="AC115" i="6"/>
  <c r="AC107" i="6"/>
  <c r="AC99" i="6"/>
  <c r="AC91" i="6"/>
  <c r="AC83" i="6"/>
  <c r="AC75" i="6"/>
  <c r="AC179" i="6"/>
  <c r="AC162" i="6"/>
  <c r="AC155" i="6"/>
  <c r="AC148" i="6"/>
  <c r="AC145" i="6"/>
  <c r="AC131" i="6"/>
  <c r="AC117" i="6"/>
  <c r="AC105" i="6"/>
  <c r="AC95" i="6"/>
  <c r="AC85" i="6"/>
  <c r="AC73" i="6"/>
  <c r="AC200" i="6"/>
  <c r="AC172" i="6"/>
  <c r="AC156" i="6"/>
  <c r="AC146" i="6"/>
  <c r="AC139" i="6"/>
  <c r="AC132" i="6"/>
  <c r="AC121" i="6"/>
  <c r="AC119" i="6"/>
  <c r="AC109" i="6"/>
  <c r="AC97" i="6"/>
  <c r="AC87" i="6"/>
  <c r="AC77" i="6"/>
  <c r="AC71" i="6"/>
  <c r="AC69" i="6"/>
  <c r="AC67" i="6"/>
  <c r="AC65" i="6"/>
  <c r="AC63" i="6"/>
  <c r="AC61" i="6"/>
  <c r="AC59" i="6"/>
  <c r="AC57" i="6"/>
  <c r="AC55" i="6"/>
  <c r="AC53" i="6"/>
  <c r="AC51" i="6"/>
  <c r="AC49" i="6"/>
  <c r="AC47" i="6"/>
  <c r="AC45" i="6"/>
  <c r="AC43" i="6"/>
  <c r="AC41" i="6"/>
  <c r="AC39" i="6"/>
  <c r="AC37" i="6"/>
  <c r="AC35" i="6"/>
  <c r="AC33" i="6"/>
  <c r="AC31" i="6"/>
  <c r="AC29" i="6"/>
  <c r="AC27" i="6"/>
  <c r="AC25" i="6"/>
  <c r="AC23" i="6"/>
  <c r="AC21" i="6"/>
  <c r="AC19" i="6"/>
  <c r="AC17" i="6"/>
  <c r="AC15" i="6"/>
  <c r="AC13" i="6"/>
  <c r="AC11" i="6"/>
  <c r="AC9" i="6"/>
  <c r="AC7" i="6"/>
  <c r="AC5" i="6"/>
  <c r="AC216" i="6"/>
  <c r="AC184" i="6"/>
  <c r="AC180" i="6"/>
  <c r="AC163" i="6"/>
  <c r="AC140" i="6"/>
  <c r="AC125" i="6"/>
  <c r="AC123" i="6"/>
  <c r="AC161" i="6"/>
  <c r="AC89" i="6"/>
  <c r="AC79" i="6"/>
  <c r="AC4" i="6"/>
  <c r="AC183" i="6"/>
  <c r="AC127" i="6"/>
  <c r="AC103" i="6"/>
  <c r="AC70" i="6"/>
  <c r="AC62" i="6"/>
  <c r="AC54" i="6"/>
  <c r="AC50" i="6"/>
  <c r="AC42" i="6"/>
  <c r="AC34" i="6"/>
  <c r="AC26" i="6"/>
  <c r="AC18" i="6"/>
  <c r="AC14" i="6"/>
  <c r="AC171" i="6"/>
  <c r="AC164" i="6"/>
  <c r="AC147" i="6"/>
  <c r="AC111" i="6"/>
  <c r="AC101" i="6"/>
  <c r="AC8" i="6"/>
  <c r="AC129" i="6"/>
  <c r="AC81" i="6"/>
  <c r="AC68" i="6"/>
  <c r="AC64" i="6"/>
  <c r="AC60" i="6"/>
  <c r="AC56" i="6"/>
  <c r="AC52" i="6"/>
  <c r="AC48" i="6"/>
  <c r="AC44" i="6"/>
  <c r="AC40" i="6"/>
  <c r="AC36" i="6"/>
  <c r="AC32" i="6"/>
  <c r="AC28" i="6"/>
  <c r="AC24" i="6"/>
  <c r="AC20" i="6"/>
  <c r="AC16" i="6"/>
  <c r="AC12" i="6"/>
  <c r="AC10" i="6"/>
  <c r="AC113" i="6"/>
  <c r="AC93" i="6"/>
  <c r="AC66" i="6"/>
  <c r="AC58" i="6"/>
  <c r="AC46" i="6"/>
  <c r="AC38" i="6"/>
  <c r="AC30" i="6"/>
  <c r="AC22" i="6"/>
  <c r="AC6" i="6"/>
  <c r="AA263" i="6"/>
  <c r="AA261" i="6"/>
  <c r="AA259" i="6"/>
  <c r="AA257" i="6"/>
  <c r="AA255" i="6"/>
  <c r="AA253" i="6"/>
  <c r="AA251" i="6"/>
  <c r="AA249" i="6"/>
  <c r="AA247" i="6"/>
  <c r="AA245" i="6"/>
  <c r="AA243" i="6"/>
  <c r="AA241" i="6"/>
  <c r="AA239" i="6"/>
  <c r="AA237" i="6"/>
  <c r="AA262" i="6"/>
  <c r="AA258" i="6"/>
  <c r="AA254" i="6"/>
  <c r="AA250" i="6"/>
  <c r="AA246" i="6"/>
  <c r="AA242" i="6"/>
  <c r="AA238" i="6"/>
  <c r="AA230" i="6"/>
  <c r="AA228" i="6"/>
  <c r="AA226" i="6"/>
  <c r="AA224" i="6"/>
  <c r="AA222" i="6"/>
  <c r="AA220" i="6"/>
  <c r="AA218" i="6"/>
  <c r="AA216" i="6"/>
  <c r="AA232" i="6"/>
  <c r="AA231" i="6"/>
  <c r="AA256" i="6"/>
  <c r="AA248" i="6"/>
  <c r="AA240" i="6"/>
  <c r="AA227" i="6"/>
  <c r="AA223" i="6"/>
  <c r="AA219" i="6"/>
  <c r="AA215" i="6"/>
  <c r="AA214" i="6"/>
  <c r="AA207" i="6"/>
  <c r="AA206" i="6"/>
  <c r="AA199" i="6"/>
  <c r="AA198" i="6"/>
  <c r="AA252" i="6"/>
  <c r="AA234" i="6"/>
  <c r="AA217" i="6"/>
  <c r="AA210" i="6"/>
  <c r="AA205" i="6"/>
  <c r="AA200" i="6"/>
  <c r="AA195" i="6"/>
  <c r="AA191" i="6"/>
  <c r="AA190" i="6"/>
  <c r="AA183" i="6"/>
  <c r="AA182" i="6"/>
  <c r="AA260" i="6"/>
  <c r="AA221" i="6"/>
  <c r="AA212" i="6"/>
  <c r="AA209" i="6"/>
  <c r="AA202" i="6"/>
  <c r="AA197" i="6"/>
  <c r="AA192" i="6"/>
  <c r="AA185" i="6"/>
  <c r="AA184" i="6"/>
  <c r="AA211" i="6"/>
  <c r="AA204" i="6"/>
  <c r="AA201" i="6"/>
  <c r="AA194" i="6"/>
  <c r="AA187" i="6"/>
  <c r="AA186" i="6"/>
  <c r="AA179" i="6"/>
  <c r="AA178" i="6"/>
  <c r="AA171" i="6"/>
  <c r="AA170" i="6"/>
  <c r="AA163" i="6"/>
  <c r="AA162" i="6"/>
  <c r="AA155" i="6"/>
  <c r="AA154" i="6"/>
  <c r="AA147" i="6"/>
  <c r="AA146" i="6"/>
  <c r="AA139" i="6"/>
  <c r="AA138" i="6"/>
  <c r="AA244" i="6"/>
  <c r="AA236" i="6"/>
  <c r="AA233" i="6"/>
  <c r="AA208" i="6"/>
  <c r="AA189" i="6"/>
  <c r="AA188" i="6"/>
  <c r="AA180" i="6"/>
  <c r="AA173" i="6"/>
  <c r="AA172" i="6"/>
  <c r="AA165" i="6"/>
  <c r="AA164" i="6"/>
  <c r="AA157" i="6"/>
  <c r="AA156" i="6"/>
  <c r="AA149" i="6"/>
  <c r="AA148" i="6"/>
  <c r="AA141" i="6"/>
  <c r="AA140" i="6"/>
  <c r="AA133" i="6"/>
  <c r="AA132" i="6"/>
  <c r="AA131" i="6"/>
  <c r="AA129" i="6"/>
  <c r="AA127" i="6"/>
  <c r="AA125" i="6"/>
  <c r="AA123" i="6"/>
  <c r="AA121" i="6"/>
  <c r="AA119" i="6"/>
  <c r="AA117" i="6"/>
  <c r="AA115" i="6"/>
  <c r="AA113" i="6"/>
  <c r="AA111" i="6"/>
  <c r="AA109" i="6"/>
  <c r="AA107" i="6"/>
  <c r="AA105" i="6"/>
  <c r="AA103" i="6"/>
  <c r="AA101" i="6"/>
  <c r="AA99" i="6"/>
  <c r="AA97" i="6"/>
  <c r="AA95" i="6"/>
  <c r="AA93" i="6"/>
  <c r="AA91" i="6"/>
  <c r="AA89" i="6"/>
  <c r="AA87" i="6"/>
  <c r="AA85" i="6"/>
  <c r="AA83" i="6"/>
  <c r="AA81" i="6"/>
  <c r="AA79" i="6"/>
  <c r="AA77" i="6"/>
  <c r="AA75" i="6"/>
  <c r="AA73" i="6"/>
  <c r="AA235" i="6"/>
  <c r="AA225" i="6"/>
  <c r="AA175" i="6"/>
  <c r="AA174" i="6"/>
  <c r="AA167" i="6"/>
  <c r="AA166" i="6"/>
  <c r="AA151" i="6"/>
  <c r="AA150" i="6"/>
  <c r="AA135" i="6"/>
  <c r="AA134" i="6"/>
  <c r="AA112" i="6"/>
  <c r="AA104" i="6"/>
  <c r="AA96" i="6"/>
  <c r="AA88" i="6"/>
  <c r="AA80" i="6"/>
  <c r="AA72" i="6"/>
  <c r="AA229" i="6"/>
  <c r="AA213" i="6"/>
  <c r="AA196" i="6"/>
  <c r="AA177" i="6"/>
  <c r="AA161" i="6"/>
  <c r="AA158" i="6"/>
  <c r="AA144" i="6"/>
  <c r="AA130" i="6"/>
  <c r="AA128" i="6"/>
  <c r="AA108" i="6"/>
  <c r="AA98" i="6"/>
  <c r="AA86" i="6"/>
  <c r="AA76" i="6"/>
  <c r="AA181" i="6"/>
  <c r="AA168" i="6"/>
  <c r="AA159" i="6"/>
  <c r="AA152" i="6"/>
  <c r="AA145" i="6"/>
  <c r="AA142" i="6"/>
  <c r="AA118" i="6"/>
  <c r="AA110" i="6"/>
  <c r="AA100" i="6"/>
  <c r="AA90" i="6"/>
  <c r="AA78" i="6"/>
  <c r="AA70" i="6"/>
  <c r="AA68" i="6"/>
  <c r="AA66" i="6"/>
  <c r="AA64" i="6"/>
  <c r="AA62" i="6"/>
  <c r="AA60" i="6"/>
  <c r="AA58" i="6"/>
  <c r="AA56" i="6"/>
  <c r="AA54" i="6"/>
  <c r="AA52" i="6"/>
  <c r="AA50" i="6"/>
  <c r="AA48" i="6"/>
  <c r="AA46" i="6"/>
  <c r="AA44" i="6"/>
  <c r="AA42" i="6"/>
  <c r="AA40" i="6"/>
  <c r="AA38" i="6"/>
  <c r="AA36" i="6"/>
  <c r="AA34" i="6"/>
  <c r="AA32" i="6"/>
  <c r="AA30" i="6"/>
  <c r="AA28" i="6"/>
  <c r="AA26" i="6"/>
  <c r="AA24" i="6"/>
  <c r="AA22" i="6"/>
  <c r="AA20" i="6"/>
  <c r="AA18" i="6"/>
  <c r="AA16" i="6"/>
  <c r="AA14" i="6"/>
  <c r="AA12" i="6"/>
  <c r="AA10" i="6"/>
  <c r="AA8" i="6"/>
  <c r="AA6" i="6"/>
  <c r="AA4" i="6"/>
  <c r="AA193" i="6"/>
  <c r="AA176" i="6"/>
  <c r="AA153" i="6"/>
  <c r="AA143" i="6"/>
  <c r="AA136" i="6"/>
  <c r="AA122" i="6"/>
  <c r="AA124" i="6"/>
  <c r="AA120" i="6"/>
  <c r="AA102" i="6"/>
  <c r="AA92" i="6"/>
  <c r="AA82" i="6"/>
  <c r="AA9" i="6"/>
  <c r="AA160" i="6"/>
  <c r="AA137" i="6"/>
  <c r="AA116" i="6"/>
  <c r="AA106" i="6"/>
  <c r="AA67" i="6"/>
  <c r="AA59" i="6"/>
  <c r="AA47" i="6"/>
  <c r="AA39" i="6"/>
  <c r="AA31" i="6"/>
  <c r="AA23" i="6"/>
  <c r="AA11" i="6"/>
  <c r="AA126" i="6"/>
  <c r="AA114" i="6"/>
  <c r="AA5" i="6"/>
  <c r="AA169" i="6"/>
  <c r="AA94" i="6"/>
  <c r="AA84" i="6"/>
  <c r="AA74" i="6"/>
  <c r="AA69" i="6"/>
  <c r="AA65" i="6"/>
  <c r="AA61" i="6"/>
  <c r="AA57" i="6"/>
  <c r="AA53" i="6"/>
  <c r="AA49" i="6"/>
  <c r="AA45" i="6"/>
  <c r="AA41" i="6"/>
  <c r="AA37" i="6"/>
  <c r="AA33" i="6"/>
  <c r="AA29" i="6"/>
  <c r="AA25" i="6"/>
  <c r="AA21" i="6"/>
  <c r="AA17" i="6"/>
  <c r="AA13" i="6"/>
  <c r="AA7" i="6"/>
  <c r="AA203" i="6"/>
  <c r="AA71" i="6"/>
  <c r="AA63" i="6"/>
  <c r="AA55" i="6"/>
  <c r="AA51" i="6"/>
  <c r="AA43" i="6"/>
  <c r="AA35" i="6"/>
  <c r="AA27" i="6"/>
  <c r="AA19" i="6"/>
  <c r="AA15" i="6"/>
  <c r="AE263" i="6"/>
  <c r="AE261" i="6"/>
  <c r="AE259" i="6"/>
  <c r="AE257" i="6"/>
  <c r="AE255" i="6"/>
  <c r="AE253" i="6"/>
  <c r="AE251" i="6"/>
  <c r="AE249" i="6"/>
  <c r="AE247" i="6"/>
  <c r="AE245" i="6"/>
  <c r="AE243" i="6"/>
  <c r="AE241" i="6"/>
  <c r="AE239" i="6"/>
  <c r="AE237" i="6"/>
  <c r="AE260" i="6"/>
  <c r="AE256" i="6"/>
  <c r="AE252" i="6"/>
  <c r="AE248" i="6"/>
  <c r="AE244" i="6"/>
  <c r="AE240" i="6"/>
  <c r="AE236" i="6"/>
  <c r="AE235" i="6"/>
  <c r="AE228" i="6"/>
  <c r="AE226" i="6"/>
  <c r="AE224" i="6"/>
  <c r="AE222" i="6"/>
  <c r="AE220" i="6"/>
  <c r="AE218" i="6"/>
  <c r="AE216" i="6"/>
  <c r="AE230" i="6"/>
  <c r="AE262" i="6"/>
  <c r="AE254" i="6"/>
  <c r="AE246" i="6"/>
  <c r="AE238" i="6"/>
  <c r="AE232" i="6"/>
  <c r="AE231" i="6"/>
  <c r="AE229" i="6"/>
  <c r="AE225" i="6"/>
  <c r="AE221" i="6"/>
  <c r="AE217" i="6"/>
  <c r="AE213" i="6"/>
  <c r="AE212" i="6"/>
  <c r="AE205" i="6"/>
  <c r="AE204" i="6"/>
  <c r="AE197" i="6"/>
  <c r="AE196" i="6"/>
  <c r="AE258" i="6"/>
  <c r="AE223" i="6"/>
  <c r="AE211" i="6"/>
  <c r="AE206" i="6"/>
  <c r="AE201" i="6"/>
  <c r="AE194" i="6"/>
  <c r="AE189" i="6"/>
  <c r="AE188" i="6"/>
  <c r="AE181" i="6"/>
  <c r="AE227" i="6"/>
  <c r="AE208" i="6"/>
  <c r="AE203" i="6"/>
  <c r="AE198" i="6"/>
  <c r="AE193" i="6"/>
  <c r="AE191" i="6"/>
  <c r="AE190" i="6"/>
  <c r="AE183" i="6"/>
  <c r="AE182" i="6"/>
  <c r="AE233" i="6"/>
  <c r="AE215" i="6"/>
  <c r="AE195" i="6"/>
  <c r="AE177" i="6"/>
  <c r="AE176" i="6"/>
  <c r="AE169" i="6"/>
  <c r="AE168" i="6"/>
  <c r="AE161" i="6"/>
  <c r="AE160" i="6"/>
  <c r="AE153" i="6"/>
  <c r="AE152" i="6"/>
  <c r="AE145" i="6"/>
  <c r="AE144" i="6"/>
  <c r="AE137" i="6"/>
  <c r="AE136" i="6"/>
  <c r="AE219" i="6"/>
  <c r="AE209" i="6"/>
  <c r="AE202" i="6"/>
  <c r="AE199" i="6"/>
  <c r="AE192" i="6"/>
  <c r="AE179" i="6"/>
  <c r="AE178" i="6"/>
  <c r="AE171" i="6"/>
  <c r="AE170" i="6"/>
  <c r="AE163" i="6"/>
  <c r="AE162" i="6"/>
  <c r="AE155" i="6"/>
  <c r="AE154" i="6"/>
  <c r="AE147" i="6"/>
  <c r="AE146" i="6"/>
  <c r="AE139" i="6"/>
  <c r="AE138" i="6"/>
  <c r="AE131" i="6"/>
  <c r="AE129" i="6"/>
  <c r="AE127" i="6"/>
  <c r="AE125" i="6"/>
  <c r="AE123" i="6"/>
  <c r="AE121" i="6"/>
  <c r="AE119" i="6"/>
  <c r="AE117" i="6"/>
  <c r="AE115" i="6"/>
  <c r="AE113" i="6"/>
  <c r="AE111" i="6"/>
  <c r="AE109" i="6"/>
  <c r="AE107" i="6"/>
  <c r="AE105" i="6"/>
  <c r="AE103" i="6"/>
  <c r="AE101" i="6"/>
  <c r="AE99" i="6"/>
  <c r="AE97" i="6"/>
  <c r="AE95" i="6"/>
  <c r="AE93" i="6"/>
  <c r="AE91" i="6"/>
  <c r="AE89" i="6"/>
  <c r="AE87" i="6"/>
  <c r="AE85" i="6"/>
  <c r="AE83" i="6"/>
  <c r="AE81" i="6"/>
  <c r="AE79" i="6"/>
  <c r="AE77" i="6"/>
  <c r="AE75" i="6"/>
  <c r="AE73" i="6"/>
  <c r="AE242" i="6"/>
  <c r="AE210" i="6"/>
  <c r="AE207" i="6"/>
  <c r="AE184" i="6"/>
  <c r="AE180" i="6"/>
  <c r="AE200" i="6"/>
  <c r="AE185" i="6"/>
  <c r="AE173" i="6"/>
  <c r="AE172" i="6"/>
  <c r="AE157" i="6"/>
  <c r="AE156" i="6"/>
  <c r="AE141" i="6"/>
  <c r="AE140" i="6"/>
  <c r="AE110" i="6"/>
  <c r="AE102" i="6"/>
  <c r="AE94" i="6"/>
  <c r="AE86" i="6"/>
  <c r="AE78" i="6"/>
  <c r="AE186" i="6"/>
  <c r="AE159" i="6"/>
  <c r="AE149" i="6"/>
  <c r="AE142" i="6"/>
  <c r="AE135" i="6"/>
  <c r="AE132" i="6"/>
  <c r="AE120" i="6"/>
  <c r="AE118" i="6"/>
  <c r="AE114" i="6"/>
  <c r="AE104" i="6"/>
  <c r="AE92" i="6"/>
  <c r="AE82" i="6"/>
  <c r="AE72" i="6"/>
  <c r="AE174" i="6"/>
  <c r="AE166" i="6"/>
  <c r="AE143" i="6"/>
  <c r="AE133" i="6"/>
  <c r="AE124" i="6"/>
  <c r="AE122" i="6"/>
  <c r="AE116" i="6"/>
  <c r="AE106" i="6"/>
  <c r="AE96" i="6"/>
  <c r="AE84" i="6"/>
  <c r="AE74" i="6"/>
  <c r="AE70" i="6"/>
  <c r="AE68" i="6"/>
  <c r="AE66" i="6"/>
  <c r="AE64" i="6"/>
  <c r="AE62" i="6"/>
  <c r="AE60" i="6"/>
  <c r="AE58" i="6"/>
  <c r="AE56" i="6"/>
  <c r="AE54" i="6"/>
  <c r="AE52" i="6"/>
  <c r="AE50" i="6"/>
  <c r="AE48" i="6"/>
  <c r="AE46" i="6"/>
  <c r="AE44" i="6"/>
  <c r="AE42" i="6"/>
  <c r="AE40" i="6"/>
  <c r="AE38" i="6"/>
  <c r="AE36" i="6"/>
  <c r="AE34" i="6"/>
  <c r="AE32" i="6"/>
  <c r="AE30" i="6"/>
  <c r="AE28" i="6"/>
  <c r="AE26" i="6"/>
  <c r="AE24" i="6"/>
  <c r="AE22" i="6"/>
  <c r="AE20" i="6"/>
  <c r="AE18" i="6"/>
  <c r="AE16" i="6"/>
  <c r="AE14" i="6"/>
  <c r="AE12" i="6"/>
  <c r="AE10" i="6"/>
  <c r="AE8" i="6"/>
  <c r="AE6" i="6"/>
  <c r="AE4" i="6"/>
  <c r="AE250" i="6"/>
  <c r="AE234" i="6"/>
  <c r="AE167" i="6"/>
  <c r="AE164" i="6"/>
  <c r="AE150" i="6"/>
  <c r="AE128" i="6"/>
  <c r="AE126" i="6"/>
  <c r="AE187" i="6"/>
  <c r="AE175" i="6"/>
  <c r="AE76" i="6"/>
  <c r="AE7" i="6"/>
  <c r="AE148" i="6"/>
  <c r="AE100" i="6"/>
  <c r="AE80" i="6"/>
  <c r="AE65" i="6"/>
  <c r="AE57" i="6"/>
  <c r="AE45" i="6"/>
  <c r="AE37" i="6"/>
  <c r="AE29" i="6"/>
  <c r="AE21" i="6"/>
  <c r="AE158" i="6"/>
  <c r="AE130" i="6"/>
  <c r="AE108" i="6"/>
  <c r="AE98" i="6"/>
  <c r="AE88" i="6"/>
  <c r="AE214" i="6"/>
  <c r="AE151" i="6"/>
  <c r="AE134" i="6"/>
  <c r="AE112" i="6"/>
  <c r="AE71" i="6"/>
  <c r="AE67" i="6"/>
  <c r="AE63" i="6"/>
  <c r="AE59" i="6"/>
  <c r="AE55" i="6"/>
  <c r="AE51" i="6"/>
  <c r="AE47" i="6"/>
  <c r="AE43" i="6"/>
  <c r="AE39" i="6"/>
  <c r="AE35" i="6"/>
  <c r="AE31" i="6"/>
  <c r="AE27" i="6"/>
  <c r="AE23" i="6"/>
  <c r="AE19" i="6"/>
  <c r="AE15" i="6"/>
  <c r="AE11" i="6"/>
  <c r="AE5" i="6"/>
  <c r="AE165" i="6"/>
  <c r="AE90" i="6"/>
  <c r="AE69" i="6"/>
  <c r="AE61" i="6"/>
  <c r="AE53" i="6"/>
  <c r="AE49" i="6"/>
  <c r="AE41" i="6"/>
  <c r="AE33" i="6"/>
  <c r="AE25" i="6"/>
  <c r="AE17" i="6"/>
  <c r="AE13" i="6"/>
  <c r="AE9" i="6"/>
  <c r="AI263" i="6"/>
  <c r="AI261" i="6"/>
  <c r="AI259" i="6"/>
  <c r="AI257" i="6"/>
  <c r="AI255" i="6"/>
  <c r="AI253" i="6"/>
  <c r="AI251" i="6"/>
  <c r="AI249" i="6"/>
  <c r="AI247" i="6"/>
  <c r="AI245" i="6"/>
  <c r="AI243" i="6"/>
  <c r="AI241" i="6"/>
  <c r="AI239" i="6"/>
  <c r="AI237" i="6"/>
  <c r="AI262" i="6"/>
  <c r="AI258" i="6"/>
  <c r="AI254" i="6"/>
  <c r="AI250" i="6"/>
  <c r="AI246" i="6"/>
  <c r="AI242" i="6"/>
  <c r="AI238" i="6"/>
  <c r="AI234" i="6"/>
  <c r="AI233" i="6"/>
  <c r="AI228" i="6"/>
  <c r="AI226" i="6"/>
  <c r="AI224" i="6"/>
  <c r="AI222" i="6"/>
  <c r="AI220" i="6"/>
  <c r="AI218" i="6"/>
  <c r="AI216" i="6"/>
  <c r="AI235" i="6"/>
  <c r="AI260" i="6"/>
  <c r="AI252" i="6"/>
  <c r="AI244" i="6"/>
  <c r="AI236" i="6"/>
  <c r="AI227" i="6"/>
  <c r="AI223" i="6"/>
  <c r="AI219" i="6"/>
  <c r="AI215" i="6"/>
  <c r="AI211" i="6"/>
  <c r="AI210" i="6"/>
  <c r="AI203" i="6"/>
  <c r="AI202" i="6"/>
  <c r="AI195" i="6"/>
  <c r="AI194" i="6"/>
  <c r="AI232" i="6"/>
  <c r="AI229" i="6"/>
  <c r="AI212" i="6"/>
  <c r="AI207" i="6"/>
  <c r="AI200" i="6"/>
  <c r="AI197" i="6"/>
  <c r="AI187" i="6"/>
  <c r="AI186" i="6"/>
  <c r="AI240" i="6"/>
  <c r="AI230" i="6"/>
  <c r="AI217" i="6"/>
  <c r="AI214" i="6"/>
  <c r="AI209" i="6"/>
  <c r="AI204" i="6"/>
  <c r="AI199" i="6"/>
  <c r="AI192" i="6"/>
  <c r="AI189" i="6"/>
  <c r="AI188" i="6"/>
  <c r="AI181" i="6"/>
  <c r="AI180" i="6"/>
  <c r="AI248" i="6"/>
  <c r="AI221" i="6"/>
  <c r="AI213" i="6"/>
  <c r="AI206" i="6"/>
  <c r="AI196" i="6"/>
  <c r="AI183" i="6"/>
  <c r="AI182" i="6"/>
  <c r="AI175" i="6"/>
  <c r="AI174" i="6"/>
  <c r="AI167" i="6"/>
  <c r="AI166" i="6"/>
  <c r="AI159" i="6"/>
  <c r="AI158" i="6"/>
  <c r="AI151" i="6"/>
  <c r="AI150" i="6"/>
  <c r="AI143" i="6"/>
  <c r="AI142" i="6"/>
  <c r="AI135" i="6"/>
  <c r="AI134" i="6"/>
  <c r="AI256" i="6"/>
  <c r="AI225" i="6"/>
  <c r="AI193" i="6"/>
  <c r="AI185" i="6"/>
  <c r="AI184" i="6"/>
  <c r="AI177" i="6"/>
  <c r="AI176" i="6"/>
  <c r="AI169" i="6"/>
  <c r="AI168" i="6"/>
  <c r="AI161" i="6"/>
  <c r="AI160" i="6"/>
  <c r="AI153" i="6"/>
  <c r="AI152" i="6"/>
  <c r="AI145" i="6"/>
  <c r="AI144" i="6"/>
  <c r="AI137" i="6"/>
  <c r="AI136" i="6"/>
  <c r="AI129" i="6"/>
  <c r="AI127" i="6"/>
  <c r="AI125" i="6"/>
  <c r="AI123" i="6"/>
  <c r="AI121" i="6"/>
  <c r="AI119" i="6"/>
  <c r="AI117" i="6"/>
  <c r="AI115" i="6"/>
  <c r="AI113" i="6"/>
  <c r="AI111" i="6"/>
  <c r="AI109" i="6"/>
  <c r="AI107" i="6"/>
  <c r="AI105" i="6"/>
  <c r="AI103" i="6"/>
  <c r="AI101" i="6"/>
  <c r="AI99" i="6"/>
  <c r="AI97" i="6"/>
  <c r="AI95" i="6"/>
  <c r="AI93" i="6"/>
  <c r="AI91" i="6"/>
  <c r="AI89" i="6"/>
  <c r="AI87" i="6"/>
  <c r="AI85" i="6"/>
  <c r="AI83" i="6"/>
  <c r="AI81" i="6"/>
  <c r="AI79" i="6"/>
  <c r="AI77" i="6"/>
  <c r="AI75" i="6"/>
  <c r="AI73" i="6"/>
  <c r="AI71" i="6"/>
  <c r="AI201" i="6"/>
  <c r="AI190" i="6"/>
  <c r="AI171" i="6"/>
  <c r="AI170" i="6"/>
  <c r="AI191" i="6"/>
  <c r="AI179" i="6"/>
  <c r="AI178" i="6"/>
  <c r="AI163" i="6"/>
  <c r="AI162" i="6"/>
  <c r="AI147" i="6"/>
  <c r="AI146" i="6"/>
  <c r="AI131" i="6"/>
  <c r="AI116" i="6"/>
  <c r="AI108" i="6"/>
  <c r="AI100" i="6"/>
  <c r="AI92" i="6"/>
  <c r="AI84" i="6"/>
  <c r="AI76" i="6"/>
  <c r="AI172" i="6"/>
  <c r="AI156" i="6"/>
  <c r="AI133" i="6"/>
  <c r="AI126" i="6"/>
  <c r="AI124" i="6"/>
  <c r="AI110" i="6"/>
  <c r="AI98" i="6"/>
  <c r="AI88" i="6"/>
  <c r="AI78" i="6"/>
  <c r="AI205" i="6"/>
  <c r="AI164" i="6"/>
  <c r="AI157" i="6"/>
  <c r="AI154" i="6"/>
  <c r="AI140" i="6"/>
  <c r="AI130" i="6"/>
  <c r="AI128" i="6"/>
  <c r="AI112" i="6"/>
  <c r="AI102" i="6"/>
  <c r="AI90" i="6"/>
  <c r="AI80" i="6"/>
  <c r="AI70" i="6"/>
  <c r="AI68" i="6"/>
  <c r="AI66" i="6"/>
  <c r="AI64" i="6"/>
  <c r="AI62" i="6"/>
  <c r="AI60" i="6"/>
  <c r="AI58" i="6"/>
  <c r="AI56" i="6"/>
  <c r="AI54" i="6"/>
  <c r="AI52" i="6"/>
  <c r="AI50" i="6"/>
  <c r="AI48" i="6"/>
  <c r="AI46" i="6"/>
  <c r="AI44" i="6"/>
  <c r="AI42" i="6"/>
  <c r="AI40" i="6"/>
  <c r="AI38" i="6"/>
  <c r="AI36" i="6"/>
  <c r="AI34" i="6"/>
  <c r="AI32" i="6"/>
  <c r="AI30" i="6"/>
  <c r="AI28" i="6"/>
  <c r="AI26" i="6"/>
  <c r="AI24" i="6"/>
  <c r="AI22" i="6"/>
  <c r="AI20" i="6"/>
  <c r="AI18" i="6"/>
  <c r="AI16" i="6"/>
  <c r="AI14" i="6"/>
  <c r="AI12" i="6"/>
  <c r="AI10" i="6"/>
  <c r="AI8" i="6"/>
  <c r="AI6" i="6"/>
  <c r="AI4" i="6"/>
  <c r="AI198" i="6"/>
  <c r="AI173" i="6"/>
  <c r="AI165" i="6"/>
  <c r="AI155" i="6"/>
  <c r="AI148" i="6"/>
  <c r="AI141" i="6"/>
  <c r="AI138" i="6"/>
  <c r="AI208" i="6"/>
  <c r="AI149" i="6"/>
  <c r="AI132" i="6"/>
  <c r="AI114" i="6"/>
  <c r="AI104" i="6"/>
  <c r="AI94" i="6"/>
  <c r="AI5" i="6"/>
  <c r="AI231" i="6"/>
  <c r="AI74" i="6"/>
  <c r="AI63" i="6"/>
  <c r="AI55" i="6"/>
  <c r="AI51" i="6"/>
  <c r="AI43" i="6"/>
  <c r="AI35" i="6"/>
  <c r="AI27" i="6"/>
  <c r="AI19" i="6"/>
  <c r="AI15" i="6"/>
  <c r="AI7" i="6"/>
  <c r="AI118" i="6"/>
  <c r="AI82" i="6"/>
  <c r="AI72" i="6"/>
  <c r="AI9" i="6"/>
  <c r="AI139" i="6"/>
  <c r="AI120" i="6"/>
  <c r="AI106" i="6"/>
  <c r="AI96" i="6"/>
  <c r="AI86" i="6"/>
  <c r="AI69" i="6"/>
  <c r="AI65" i="6"/>
  <c r="AI61" i="6"/>
  <c r="AI57" i="6"/>
  <c r="AI53" i="6"/>
  <c r="AI49" i="6"/>
  <c r="AI45" i="6"/>
  <c r="AI41" i="6"/>
  <c r="AI37" i="6"/>
  <c r="AI33" i="6"/>
  <c r="AI29" i="6"/>
  <c r="AI25" i="6"/>
  <c r="AI21" i="6"/>
  <c r="AI17" i="6"/>
  <c r="AI13" i="6"/>
  <c r="AI122" i="6"/>
  <c r="AI67" i="6"/>
  <c r="AI59" i="6"/>
  <c r="AI47" i="6"/>
  <c r="AI39" i="6"/>
  <c r="AI31" i="6"/>
  <c r="AI23" i="6"/>
  <c r="AI11" i="6"/>
  <c r="T262" i="6"/>
  <c r="T260" i="6"/>
  <c r="T258" i="6"/>
  <c r="T256" i="6"/>
  <c r="T254" i="6"/>
  <c r="T252" i="6"/>
  <c r="T250" i="6"/>
  <c r="T248" i="6"/>
  <c r="T246" i="6"/>
  <c r="T244" i="6"/>
  <c r="T242" i="6"/>
  <c r="T240" i="6"/>
  <c r="T238" i="6"/>
  <c r="T236" i="6"/>
  <c r="T234" i="6"/>
  <c r="T232" i="6"/>
  <c r="T230" i="6"/>
  <c r="T255" i="6"/>
  <c r="T247" i="6"/>
  <c r="T239" i="6"/>
  <c r="T231" i="6"/>
  <c r="T229" i="6"/>
  <c r="T263" i="6"/>
  <c r="T259" i="6"/>
  <c r="T257" i="6"/>
  <c r="T249" i="6"/>
  <c r="T241" i="6"/>
  <c r="T233" i="6"/>
  <c r="T243" i="6"/>
  <c r="T251" i="6"/>
  <c r="T235" i="6"/>
  <c r="T228" i="6"/>
  <c r="T227" i="6"/>
  <c r="T220" i="6"/>
  <c r="T219" i="6"/>
  <c r="T212" i="6"/>
  <c r="T211" i="6"/>
  <c r="T204" i="6"/>
  <c r="T203" i="6"/>
  <c r="T224" i="6"/>
  <c r="T217" i="6"/>
  <c r="T214" i="6"/>
  <c r="T207" i="6"/>
  <c r="T202" i="6"/>
  <c r="T196" i="6"/>
  <c r="T195" i="6"/>
  <c r="T188" i="6"/>
  <c r="T187" i="6"/>
  <c r="T261" i="6"/>
  <c r="T245" i="6"/>
  <c r="T223" i="6"/>
  <c r="T218" i="6"/>
  <c r="T213" i="6"/>
  <c r="T208" i="6"/>
  <c r="T201" i="6"/>
  <c r="T199" i="6"/>
  <c r="T192" i="6"/>
  <c r="T191" i="6"/>
  <c r="T184" i="6"/>
  <c r="T182" i="6"/>
  <c r="T180" i="6"/>
  <c r="T178" i="6"/>
  <c r="T176" i="6"/>
  <c r="T174" i="6"/>
  <c r="T172" i="6"/>
  <c r="T170" i="6"/>
  <c r="T168" i="6"/>
  <c r="T166" i="6"/>
  <c r="T164" i="6"/>
  <c r="T162" i="6"/>
  <c r="T160" i="6"/>
  <c r="T158" i="6"/>
  <c r="T156" i="6"/>
  <c r="T221" i="6"/>
  <c r="T190" i="6"/>
  <c r="T189" i="6"/>
  <c r="T183" i="6"/>
  <c r="T175" i="6"/>
  <c r="T167" i="6"/>
  <c r="T159" i="6"/>
  <c r="T226" i="6"/>
  <c r="T216" i="6"/>
  <c r="T209" i="6"/>
  <c r="T206" i="6"/>
  <c r="T198" i="6"/>
  <c r="T197" i="6"/>
  <c r="T179" i="6"/>
  <c r="T171" i="6"/>
  <c r="T163" i="6"/>
  <c r="T215" i="6"/>
  <c r="T194" i="6"/>
  <c r="T177" i="6"/>
  <c r="T161" i="6"/>
  <c r="T151" i="6"/>
  <c r="T150" i="6"/>
  <c r="T143" i="6"/>
  <c r="T142" i="6"/>
  <c r="T135" i="6"/>
  <c r="T134" i="6"/>
  <c r="T127" i="6"/>
  <c r="T125" i="6"/>
  <c r="T123" i="6"/>
  <c r="T121" i="6"/>
  <c r="T119" i="6"/>
  <c r="T117" i="6"/>
  <c r="T115" i="6"/>
  <c r="T113" i="6"/>
  <c r="T111" i="6"/>
  <c r="T109" i="6"/>
  <c r="T107" i="6"/>
  <c r="T105" i="6"/>
  <c r="T103" i="6"/>
  <c r="T101" i="6"/>
  <c r="T225" i="6"/>
  <c r="T222" i="6"/>
  <c r="T205" i="6"/>
  <c r="T193" i="6"/>
  <c r="T185" i="6"/>
  <c r="T169" i="6"/>
  <c r="T157" i="6"/>
  <c r="T155" i="6"/>
  <c r="T154" i="6"/>
  <c r="T147" i="6"/>
  <c r="T146" i="6"/>
  <c r="T139" i="6"/>
  <c r="T138" i="6"/>
  <c r="T131" i="6"/>
  <c r="T130" i="6"/>
  <c r="T126" i="6"/>
  <c r="T124" i="6"/>
  <c r="T122" i="6"/>
  <c r="T120" i="6"/>
  <c r="T118" i="6"/>
  <c r="T116" i="6"/>
  <c r="T114" i="6"/>
  <c r="T112" i="6"/>
  <c r="T110" i="6"/>
  <c r="T108" i="6"/>
  <c r="T106" i="6"/>
  <c r="T104" i="6"/>
  <c r="T102" i="6"/>
  <c r="T100" i="6"/>
  <c r="T98" i="6"/>
  <c r="T96" i="6"/>
  <c r="T94" i="6"/>
  <c r="T92" i="6"/>
  <c r="T90" i="6"/>
  <c r="T88" i="6"/>
  <c r="T86" i="6"/>
  <c r="T84" i="6"/>
  <c r="T82" i="6"/>
  <c r="T80" i="6"/>
  <c r="T78" i="6"/>
  <c r="T76" i="6"/>
  <c r="T74" i="6"/>
  <c r="T72" i="6"/>
  <c r="T70" i="6"/>
  <c r="T68" i="6"/>
  <c r="T66" i="6"/>
  <c r="T200" i="6"/>
  <c r="T165" i="6"/>
  <c r="T145" i="6"/>
  <c r="T144" i="6"/>
  <c r="T129" i="6"/>
  <c r="T128" i="6"/>
  <c r="T99" i="6"/>
  <c r="T91" i="6"/>
  <c r="T83" i="6"/>
  <c r="T75" i="6"/>
  <c r="T67" i="6"/>
  <c r="T65" i="6"/>
  <c r="T63" i="6"/>
  <c r="T61" i="6"/>
  <c r="T59" i="6"/>
  <c r="T57" i="6"/>
  <c r="T55" i="6"/>
  <c r="T53" i="6"/>
  <c r="T51" i="6"/>
  <c r="T49" i="6"/>
  <c r="T47" i="6"/>
  <c r="T45" i="6"/>
  <c r="T43" i="6"/>
  <c r="T41" i="6"/>
  <c r="T39" i="6"/>
  <c r="T37" i="6"/>
  <c r="T35" i="6"/>
  <c r="T33" i="6"/>
  <c r="T31" i="6"/>
  <c r="T29" i="6"/>
  <c r="T27" i="6"/>
  <c r="T25" i="6"/>
  <c r="T23" i="6"/>
  <c r="T21" i="6"/>
  <c r="T19" i="6"/>
  <c r="T17" i="6"/>
  <c r="T15" i="6"/>
  <c r="T13" i="6"/>
  <c r="T11" i="6"/>
  <c r="T181" i="6"/>
  <c r="T153" i="6"/>
  <c r="T152" i="6"/>
  <c r="T137" i="6"/>
  <c r="T136" i="6"/>
  <c r="T95" i="6"/>
  <c r="T87" i="6"/>
  <c r="T79" i="6"/>
  <c r="T71" i="6"/>
  <c r="T64" i="6"/>
  <c r="T62" i="6"/>
  <c r="T60" i="6"/>
  <c r="T58" i="6"/>
  <c r="T56" i="6"/>
  <c r="T54" i="6"/>
  <c r="T52" i="6"/>
  <c r="T50" i="6"/>
  <c r="T48" i="6"/>
  <c r="T46" i="6"/>
  <c r="T44" i="6"/>
  <c r="T42" i="6"/>
  <c r="T40" i="6"/>
  <c r="T38" i="6"/>
  <c r="T36" i="6"/>
  <c r="T34" i="6"/>
  <c r="T32" i="6"/>
  <c r="T30" i="6"/>
  <c r="T28" i="6"/>
  <c r="T26" i="6"/>
  <c r="T24" i="6"/>
  <c r="T22" i="6"/>
  <c r="T20" i="6"/>
  <c r="T18" i="6"/>
  <c r="T16" i="6"/>
  <c r="T14" i="6"/>
  <c r="T12" i="6"/>
  <c r="T10" i="6"/>
  <c r="T8" i="6"/>
  <c r="T6" i="6"/>
  <c r="T4" i="6"/>
  <c r="T253" i="6"/>
  <c r="T173" i="6"/>
  <c r="T148" i="6"/>
  <c r="T140" i="6"/>
  <c r="T97" i="6"/>
  <c r="T81" i="6"/>
  <c r="T237" i="6"/>
  <c r="T210" i="6"/>
  <c r="T133" i="6"/>
  <c r="T69" i="6"/>
  <c r="T5" i="6"/>
  <c r="T186" i="6"/>
  <c r="T141" i="6"/>
  <c r="T89" i="6"/>
  <c r="T73" i="6"/>
  <c r="T7" i="6"/>
  <c r="T149" i="6"/>
  <c r="T132" i="6"/>
  <c r="T93" i="6"/>
  <c r="T77" i="6"/>
  <c r="T9" i="6"/>
  <c r="T85" i="6"/>
  <c r="U262" i="6"/>
  <c r="U260" i="6"/>
  <c r="U258" i="6"/>
  <c r="U263" i="6"/>
  <c r="U259" i="6"/>
  <c r="U257" i="6"/>
  <c r="U256" i="6"/>
  <c r="U249" i="6"/>
  <c r="U248" i="6"/>
  <c r="U241" i="6"/>
  <c r="U240" i="6"/>
  <c r="U233" i="6"/>
  <c r="U232" i="6"/>
  <c r="U251" i="6"/>
  <c r="U250" i="6"/>
  <c r="U243" i="6"/>
  <c r="U242" i="6"/>
  <c r="U235" i="6"/>
  <c r="U234" i="6"/>
  <c r="U228" i="6"/>
  <c r="U226" i="6"/>
  <c r="U224" i="6"/>
  <c r="U222" i="6"/>
  <c r="U220" i="6"/>
  <c r="U218" i="6"/>
  <c r="U216" i="6"/>
  <c r="U214" i="6"/>
  <c r="U212" i="6"/>
  <c r="U210" i="6"/>
  <c r="U208" i="6"/>
  <c r="U206" i="6"/>
  <c r="U204" i="6"/>
  <c r="U202" i="6"/>
  <c r="U200" i="6"/>
  <c r="U198" i="6"/>
  <c r="U196" i="6"/>
  <c r="U194" i="6"/>
  <c r="U192" i="6"/>
  <c r="U190" i="6"/>
  <c r="U188" i="6"/>
  <c r="U186" i="6"/>
  <c r="U261" i="6"/>
  <c r="U245" i="6"/>
  <c r="U244" i="6"/>
  <c r="U253" i="6"/>
  <c r="U252" i="6"/>
  <c r="U237" i="6"/>
  <c r="U236" i="6"/>
  <c r="U221" i="6"/>
  <c r="U213" i="6"/>
  <c r="U205" i="6"/>
  <c r="U246" i="6"/>
  <c r="U238" i="6"/>
  <c r="U231" i="6"/>
  <c r="U219" i="6"/>
  <c r="U209" i="6"/>
  <c r="U197" i="6"/>
  <c r="U189" i="6"/>
  <c r="U247" i="6"/>
  <c r="U229" i="6"/>
  <c r="U225" i="6"/>
  <c r="U215" i="6"/>
  <c r="U203" i="6"/>
  <c r="U193" i="6"/>
  <c r="U239" i="6"/>
  <c r="U211" i="6"/>
  <c r="U201" i="6"/>
  <c r="U191" i="6"/>
  <c r="U185" i="6"/>
  <c r="U184" i="6"/>
  <c r="U177" i="6"/>
  <c r="U176" i="6"/>
  <c r="U169" i="6"/>
  <c r="U168" i="6"/>
  <c r="U161" i="6"/>
  <c r="U160" i="6"/>
  <c r="U254" i="6"/>
  <c r="U223" i="6"/>
  <c r="U199" i="6"/>
  <c r="U181" i="6"/>
  <c r="U180" i="6"/>
  <c r="U173" i="6"/>
  <c r="U172" i="6"/>
  <c r="U165" i="6"/>
  <c r="U164" i="6"/>
  <c r="U157" i="6"/>
  <c r="U156" i="6"/>
  <c r="U155" i="6"/>
  <c r="U153" i="6"/>
  <c r="U151" i="6"/>
  <c r="U149" i="6"/>
  <c r="U147" i="6"/>
  <c r="U145" i="6"/>
  <c r="U143" i="6"/>
  <c r="U141" i="6"/>
  <c r="U139" i="6"/>
  <c r="U137" i="6"/>
  <c r="U135" i="6"/>
  <c r="U133" i="6"/>
  <c r="U131" i="6"/>
  <c r="U129" i="6"/>
  <c r="U127" i="6"/>
  <c r="U230" i="6"/>
  <c r="U179" i="6"/>
  <c r="U178" i="6"/>
  <c r="U163" i="6"/>
  <c r="U162" i="6"/>
  <c r="U158" i="6"/>
  <c r="U152" i="6"/>
  <c r="U144" i="6"/>
  <c r="U136" i="6"/>
  <c r="U128" i="6"/>
  <c r="U255" i="6"/>
  <c r="U195" i="6"/>
  <c r="U171" i="6"/>
  <c r="U170" i="6"/>
  <c r="U148" i="6"/>
  <c r="U140" i="6"/>
  <c r="U132" i="6"/>
  <c r="U217" i="6"/>
  <c r="U187" i="6"/>
  <c r="U182" i="6"/>
  <c r="U167" i="6"/>
  <c r="U146" i="6"/>
  <c r="U130" i="6"/>
  <c r="U126" i="6"/>
  <c r="U122" i="6"/>
  <c r="U118" i="6"/>
  <c r="U114" i="6"/>
  <c r="U110" i="6"/>
  <c r="U106" i="6"/>
  <c r="U102" i="6"/>
  <c r="U100" i="6"/>
  <c r="U93" i="6"/>
  <c r="U92" i="6"/>
  <c r="U85" i="6"/>
  <c r="U84" i="6"/>
  <c r="U77" i="6"/>
  <c r="U76" i="6"/>
  <c r="U69" i="6"/>
  <c r="U68" i="6"/>
  <c r="U183" i="6"/>
  <c r="U166" i="6"/>
  <c r="U154" i="6"/>
  <c r="U138" i="6"/>
  <c r="U124" i="6"/>
  <c r="U120" i="6"/>
  <c r="U116" i="6"/>
  <c r="U112" i="6"/>
  <c r="U108" i="6"/>
  <c r="U104" i="6"/>
  <c r="U97" i="6"/>
  <c r="U96" i="6"/>
  <c r="U89" i="6"/>
  <c r="U88" i="6"/>
  <c r="U81" i="6"/>
  <c r="U80" i="6"/>
  <c r="U73" i="6"/>
  <c r="U72" i="6"/>
  <c r="U207" i="6"/>
  <c r="U174" i="6"/>
  <c r="U159" i="6"/>
  <c r="U142" i="6"/>
  <c r="U119" i="6"/>
  <c r="U111" i="6"/>
  <c r="U103" i="6"/>
  <c r="U99" i="6"/>
  <c r="U98" i="6"/>
  <c r="U83" i="6"/>
  <c r="U82" i="6"/>
  <c r="U67" i="6"/>
  <c r="U66" i="6"/>
  <c r="U65" i="6"/>
  <c r="U61" i="6"/>
  <c r="U57" i="6"/>
  <c r="U53" i="6"/>
  <c r="U49" i="6"/>
  <c r="U45" i="6"/>
  <c r="U41" i="6"/>
  <c r="U37" i="6"/>
  <c r="U33" i="6"/>
  <c r="U29" i="6"/>
  <c r="U25" i="6"/>
  <c r="U21" i="6"/>
  <c r="U17" i="6"/>
  <c r="U13" i="6"/>
  <c r="U5" i="6"/>
  <c r="U4" i="6"/>
  <c r="U125" i="6"/>
  <c r="U117" i="6"/>
  <c r="U109" i="6"/>
  <c r="U101" i="6"/>
  <c r="U86" i="6"/>
  <c r="U71" i="6"/>
  <c r="U64" i="6"/>
  <c r="U56" i="6"/>
  <c r="U48" i="6"/>
  <c r="U40" i="6"/>
  <c r="U36" i="6"/>
  <c r="U28" i="6"/>
  <c r="U20" i="6"/>
  <c r="U12" i="6"/>
  <c r="U7" i="6"/>
  <c r="U6" i="6"/>
  <c r="U227" i="6"/>
  <c r="U150" i="6"/>
  <c r="U123" i="6"/>
  <c r="U115" i="6"/>
  <c r="U107" i="6"/>
  <c r="U91" i="6"/>
  <c r="U90" i="6"/>
  <c r="U75" i="6"/>
  <c r="U74" i="6"/>
  <c r="U63" i="6"/>
  <c r="U59" i="6"/>
  <c r="U55" i="6"/>
  <c r="U51" i="6"/>
  <c r="U47" i="6"/>
  <c r="U43" i="6"/>
  <c r="U39" i="6"/>
  <c r="U35" i="6"/>
  <c r="U31" i="6"/>
  <c r="U27" i="6"/>
  <c r="U23" i="6"/>
  <c r="U19" i="6"/>
  <c r="U15" i="6"/>
  <c r="U11" i="6"/>
  <c r="U9" i="6"/>
  <c r="U8" i="6"/>
  <c r="U175" i="6"/>
  <c r="U134" i="6"/>
  <c r="U121" i="6"/>
  <c r="U113" i="6"/>
  <c r="U105" i="6"/>
  <c r="U95" i="6"/>
  <c r="U94" i="6"/>
  <c r="U79" i="6"/>
  <c r="U78" i="6"/>
  <c r="U62" i="6"/>
  <c r="U58" i="6"/>
  <c r="U54" i="6"/>
  <c r="U50" i="6"/>
  <c r="U46" i="6"/>
  <c r="U42" i="6"/>
  <c r="U38" i="6"/>
  <c r="U34" i="6"/>
  <c r="U30" i="6"/>
  <c r="U26" i="6"/>
  <c r="U22" i="6"/>
  <c r="U18" i="6"/>
  <c r="U14" i="6"/>
  <c r="U10" i="6"/>
  <c r="U87" i="6"/>
  <c r="U70" i="6"/>
  <c r="U60" i="6"/>
  <c r="U52" i="6"/>
  <c r="U44" i="6"/>
  <c r="U32" i="6"/>
  <c r="U24" i="6"/>
  <c r="U16" i="6"/>
  <c r="N263" i="6"/>
  <c r="N261" i="6"/>
  <c r="N259" i="6"/>
  <c r="N257" i="6"/>
  <c r="N255" i="6"/>
  <c r="N253" i="6"/>
  <c r="N251" i="6"/>
  <c r="N249" i="6"/>
  <c r="N247" i="6"/>
  <c r="N245" i="6"/>
  <c r="N243" i="6"/>
  <c r="N241" i="6"/>
  <c r="N239" i="6"/>
  <c r="N237" i="6"/>
  <c r="N235" i="6"/>
  <c r="N233" i="6"/>
  <c r="N231" i="6"/>
  <c r="N254" i="6"/>
  <c r="N246" i="6"/>
  <c r="N238" i="6"/>
  <c r="N230" i="6"/>
  <c r="N262" i="6"/>
  <c r="N256" i="6"/>
  <c r="N248" i="6"/>
  <c r="N240" i="6"/>
  <c r="N232" i="6"/>
  <c r="N250" i="6"/>
  <c r="N258" i="6"/>
  <c r="N242" i="6"/>
  <c r="N227" i="6"/>
  <c r="N226" i="6"/>
  <c r="N219" i="6"/>
  <c r="N218" i="6"/>
  <c r="N211" i="6"/>
  <c r="N210" i="6"/>
  <c r="N203" i="6"/>
  <c r="N202" i="6"/>
  <c r="N260" i="6"/>
  <c r="N236" i="6"/>
  <c r="N229" i="6"/>
  <c r="N224" i="6"/>
  <c r="N221" i="6"/>
  <c r="N214" i="6"/>
  <c r="N209" i="6"/>
  <c r="N204" i="6"/>
  <c r="N195" i="6"/>
  <c r="N194" i="6"/>
  <c r="N187" i="6"/>
  <c r="N252" i="6"/>
  <c r="N225" i="6"/>
  <c r="N220" i="6"/>
  <c r="N215" i="6"/>
  <c r="N208" i="6"/>
  <c r="N205" i="6"/>
  <c r="N199" i="6"/>
  <c r="N198" i="6"/>
  <c r="N191" i="6"/>
  <c r="N190" i="6"/>
  <c r="N185" i="6"/>
  <c r="N183" i="6"/>
  <c r="N181" i="6"/>
  <c r="N179" i="6"/>
  <c r="N177" i="6"/>
  <c r="N175" i="6"/>
  <c r="N173" i="6"/>
  <c r="N171" i="6"/>
  <c r="N169" i="6"/>
  <c r="N167" i="6"/>
  <c r="N165" i="6"/>
  <c r="N163" i="6"/>
  <c r="N161" i="6"/>
  <c r="N159" i="6"/>
  <c r="N157" i="6"/>
  <c r="N244" i="6"/>
  <c r="N234" i="6"/>
  <c r="N223" i="6"/>
  <c r="N216" i="6"/>
  <c r="N213" i="6"/>
  <c r="N206" i="6"/>
  <c r="N197" i="6"/>
  <c r="N196" i="6"/>
  <c r="N182" i="6"/>
  <c r="N174" i="6"/>
  <c r="N166" i="6"/>
  <c r="N228" i="6"/>
  <c r="N201" i="6"/>
  <c r="N189" i="6"/>
  <c r="N188" i="6"/>
  <c r="N186" i="6"/>
  <c r="N178" i="6"/>
  <c r="N170" i="6"/>
  <c r="N162" i="6"/>
  <c r="N207" i="6"/>
  <c r="N184" i="6"/>
  <c r="N168" i="6"/>
  <c r="N158" i="6"/>
  <c r="N150" i="6"/>
  <c r="N149" i="6"/>
  <c r="N142" i="6"/>
  <c r="N141" i="6"/>
  <c r="N134" i="6"/>
  <c r="N133" i="6"/>
  <c r="N126" i="6"/>
  <c r="N124" i="6"/>
  <c r="N122" i="6"/>
  <c r="N120" i="6"/>
  <c r="N118" i="6"/>
  <c r="N116" i="6"/>
  <c r="N114" i="6"/>
  <c r="N112" i="6"/>
  <c r="N110" i="6"/>
  <c r="N108" i="6"/>
  <c r="N106" i="6"/>
  <c r="N104" i="6"/>
  <c r="N102" i="6"/>
  <c r="N217" i="6"/>
  <c r="N200" i="6"/>
  <c r="N176" i="6"/>
  <c r="N160" i="6"/>
  <c r="N154" i="6"/>
  <c r="N153" i="6"/>
  <c r="N146" i="6"/>
  <c r="N145" i="6"/>
  <c r="N138" i="6"/>
  <c r="N137" i="6"/>
  <c r="N130" i="6"/>
  <c r="N129" i="6"/>
  <c r="N127" i="6"/>
  <c r="N125" i="6"/>
  <c r="N123" i="6"/>
  <c r="N121" i="6"/>
  <c r="N119" i="6"/>
  <c r="N117" i="6"/>
  <c r="N113" i="6"/>
  <c r="N111" i="6"/>
  <c r="N109" i="6"/>
  <c r="N107" i="6"/>
  <c r="N105" i="6"/>
  <c r="N103" i="6"/>
  <c r="N101" i="6"/>
  <c r="N99" i="6"/>
  <c r="N97" i="6"/>
  <c r="N95" i="6"/>
  <c r="N93" i="6"/>
  <c r="N91" i="6"/>
  <c r="N89" i="6"/>
  <c r="N87" i="6"/>
  <c r="N85" i="6"/>
  <c r="N83" i="6"/>
  <c r="N81" i="6"/>
  <c r="N79" i="6"/>
  <c r="N77" i="6"/>
  <c r="N75" i="6"/>
  <c r="N73" i="6"/>
  <c r="N71" i="6"/>
  <c r="N69" i="6"/>
  <c r="N67" i="6"/>
  <c r="N212" i="6"/>
  <c r="N192" i="6"/>
  <c r="N172" i="6"/>
  <c r="N152" i="6"/>
  <c r="N151" i="6"/>
  <c r="N136" i="6"/>
  <c r="N135" i="6"/>
  <c r="N98" i="6"/>
  <c r="N90" i="6"/>
  <c r="N82" i="6"/>
  <c r="N74" i="6"/>
  <c r="N66" i="6"/>
  <c r="N64" i="6"/>
  <c r="N62" i="6"/>
  <c r="N60" i="6"/>
  <c r="N58" i="6"/>
  <c r="N56" i="6"/>
  <c r="N54" i="6"/>
  <c r="N52" i="6"/>
  <c r="N50" i="6"/>
  <c r="N48" i="6"/>
  <c r="N46" i="6"/>
  <c r="N44" i="6"/>
  <c r="N42" i="6"/>
  <c r="N40" i="6"/>
  <c r="N38" i="6"/>
  <c r="N36" i="6"/>
  <c r="N34" i="6"/>
  <c r="N32" i="6"/>
  <c r="N30" i="6"/>
  <c r="N28" i="6"/>
  <c r="N26" i="6"/>
  <c r="N24" i="6"/>
  <c r="N22" i="6"/>
  <c r="N20" i="6"/>
  <c r="N18" i="6"/>
  <c r="N16" i="6"/>
  <c r="N14" i="6"/>
  <c r="N12" i="6"/>
  <c r="N144" i="6"/>
  <c r="N143" i="6"/>
  <c r="N128" i="6"/>
  <c r="N94" i="6"/>
  <c r="N86" i="6"/>
  <c r="N78" i="6"/>
  <c r="N70" i="6"/>
  <c r="N65" i="6"/>
  <c r="N63" i="6"/>
  <c r="N61" i="6"/>
  <c r="N59" i="6"/>
  <c r="N57" i="6"/>
  <c r="N55" i="6"/>
  <c r="N53" i="6"/>
  <c r="N51" i="6"/>
  <c r="N49" i="6"/>
  <c r="N47" i="6"/>
  <c r="N45" i="6"/>
  <c r="N43" i="6"/>
  <c r="N41" i="6"/>
  <c r="N39" i="6"/>
  <c r="N37" i="6"/>
  <c r="N35" i="6"/>
  <c r="N33" i="6"/>
  <c r="N31" i="6"/>
  <c r="N29" i="6"/>
  <c r="N27" i="6"/>
  <c r="N25" i="6"/>
  <c r="N23" i="6"/>
  <c r="N21" i="6"/>
  <c r="N19" i="6"/>
  <c r="N17" i="6"/>
  <c r="N15" i="6"/>
  <c r="N13" i="6"/>
  <c r="N11" i="6"/>
  <c r="N9" i="6"/>
  <c r="N7" i="6"/>
  <c r="N5" i="6"/>
  <c r="N193" i="6"/>
  <c r="N164" i="6"/>
  <c r="N148" i="6"/>
  <c r="N147" i="6"/>
  <c r="N132" i="6"/>
  <c r="N88" i="6"/>
  <c r="N72" i="6"/>
  <c r="N10" i="6"/>
  <c r="N180" i="6"/>
  <c r="N156" i="6"/>
  <c r="N140" i="6"/>
  <c r="N92" i="6"/>
  <c r="N76" i="6"/>
  <c r="N155" i="6"/>
  <c r="N131" i="6"/>
  <c r="N96" i="6"/>
  <c r="N80" i="6"/>
  <c r="N6" i="6"/>
  <c r="N222" i="6"/>
  <c r="N139" i="6"/>
  <c r="N100" i="6"/>
  <c r="N84" i="6"/>
  <c r="N68" i="6"/>
  <c r="N8" i="6"/>
  <c r="R263" i="6"/>
  <c r="R261" i="6"/>
  <c r="R259" i="6"/>
  <c r="R257" i="6"/>
  <c r="R255" i="6"/>
  <c r="R253" i="6"/>
  <c r="R251" i="6"/>
  <c r="R249" i="6"/>
  <c r="R247" i="6"/>
  <c r="R245" i="6"/>
  <c r="R243" i="6"/>
  <c r="R241" i="6"/>
  <c r="R239" i="6"/>
  <c r="R237" i="6"/>
  <c r="R235" i="6"/>
  <c r="R233" i="6"/>
  <c r="R231" i="6"/>
  <c r="R252" i="6"/>
  <c r="R244" i="6"/>
  <c r="R236" i="6"/>
  <c r="R260" i="6"/>
  <c r="R254" i="6"/>
  <c r="R246" i="6"/>
  <c r="R238" i="6"/>
  <c r="R230" i="6"/>
  <c r="R256" i="6"/>
  <c r="R240" i="6"/>
  <c r="R248" i="6"/>
  <c r="R232" i="6"/>
  <c r="R229" i="6"/>
  <c r="R225" i="6"/>
  <c r="R224" i="6"/>
  <c r="R217" i="6"/>
  <c r="R216" i="6"/>
  <c r="R209" i="6"/>
  <c r="R208" i="6"/>
  <c r="R201" i="6"/>
  <c r="R200" i="6"/>
  <c r="R242" i="6"/>
  <c r="R234" i="6"/>
  <c r="R227" i="6"/>
  <c r="R220" i="6"/>
  <c r="R215" i="6"/>
  <c r="R210" i="6"/>
  <c r="R205" i="6"/>
  <c r="R193" i="6"/>
  <c r="R192" i="6"/>
  <c r="R258" i="6"/>
  <c r="R226" i="6"/>
  <c r="R221" i="6"/>
  <c r="R214" i="6"/>
  <c r="R211" i="6"/>
  <c r="R204" i="6"/>
  <c r="R197" i="6"/>
  <c r="R196" i="6"/>
  <c r="R189" i="6"/>
  <c r="R188" i="6"/>
  <c r="R185" i="6"/>
  <c r="R183" i="6"/>
  <c r="R181" i="6"/>
  <c r="R179" i="6"/>
  <c r="R177" i="6"/>
  <c r="R175" i="6"/>
  <c r="R173" i="6"/>
  <c r="R171" i="6"/>
  <c r="R169" i="6"/>
  <c r="R167" i="6"/>
  <c r="R165" i="6"/>
  <c r="R163" i="6"/>
  <c r="R161" i="6"/>
  <c r="R159" i="6"/>
  <c r="R157" i="6"/>
  <c r="R262" i="6"/>
  <c r="R207" i="6"/>
  <c r="R187" i="6"/>
  <c r="R186" i="6"/>
  <c r="R180" i="6"/>
  <c r="R172" i="6"/>
  <c r="R164" i="6"/>
  <c r="R250" i="6"/>
  <c r="R222" i="6"/>
  <c r="R219" i="6"/>
  <c r="R212" i="6"/>
  <c r="R202" i="6"/>
  <c r="R195" i="6"/>
  <c r="R194" i="6"/>
  <c r="R184" i="6"/>
  <c r="R176" i="6"/>
  <c r="R168" i="6"/>
  <c r="R160" i="6"/>
  <c r="R218" i="6"/>
  <c r="R190" i="6"/>
  <c r="R174" i="6"/>
  <c r="R155" i="6"/>
  <c r="R148" i="6"/>
  <c r="R147" i="6"/>
  <c r="R140" i="6"/>
  <c r="R139" i="6"/>
  <c r="R132" i="6"/>
  <c r="R131" i="6"/>
  <c r="R126" i="6"/>
  <c r="R124" i="6"/>
  <c r="R122" i="6"/>
  <c r="R120" i="6"/>
  <c r="R118" i="6"/>
  <c r="R116" i="6"/>
  <c r="R114" i="6"/>
  <c r="R112" i="6"/>
  <c r="R110" i="6"/>
  <c r="R108" i="6"/>
  <c r="R106" i="6"/>
  <c r="R104" i="6"/>
  <c r="R102" i="6"/>
  <c r="R228" i="6"/>
  <c r="R191" i="6"/>
  <c r="R182" i="6"/>
  <c r="R166" i="6"/>
  <c r="R158" i="6"/>
  <c r="R152" i="6"/>
  <c r="R151" i="6"/>
  <c r="R144" i="6"/>
  <c r="R143" i="6"/>
  <c r="R136" i="6"/>
  <c r="R135" i="6"/>
  <c r="R128" i="6"/>
  <c r="R127" i="6"/>
  <c r="R125" i="6"/>
  <c r="R123" i="6"/>
  <c r="R121" i="6"/>
  <c r="R119" i="6"/>
  <c r="R117" i="6"/>
  <c r="R115" i="6"/>
  <c r="R113" i="6"/>
  <c r="R111" i="6"/>
  <c r="R109" i="6"/>
  <c r="R107" i="6"/>
  <c r="R105" i="6"/>
  <c r="R103" i="6"/>
  <c r="R101" i="6"/>
  <c r="R99" i="6"/>
  <c r="R97" i="6"/>
  <c r="R95" i="6"/>
  <c r="R93" i="6"/>
  <c r="R91" i="6"/>
  <c r="R89" i="6"/>
  <c r="R87" i="6"/>
  <c r="R85" i="6"/>
  <c r="R83" i="6"/>
  <c r="R81" i="6"/>
  <c r="R79" i="6"/>
  <c r="R77" i="6"/>
  <c r="R75" i="6"/>
  <c r="R73" i="6"/>
  <c r="R71" i="6"/>
  <c r="R69" i="6"/>
  <c r="R67" i="6"/>
  <c r="R223" i="6"/>
  <c r="R206" i="6"/>
  <c r="R178" i="6"/>
  <c r="R156" i="6"/>
  <c r="R142" i="6"/>
  <c r="R141" i="6"/>
  <c r="R96" i="6"/>
  <c r="R88" i="6"/>
  <c r="R80" i="6"/>
  <c r="R72" i="6"/>
  <c r="R64" i="6"/>
  <c r="R62" i="6"/>
  <c r="R60" i="6"/>
  <c r="R58" i="6"/>
  <c r="R56" i="6"/>
  <c r="R54" i="6"/>
  <c r="R52" i="6"/>
  <c r="R50" i="6"/>
  <c r="R48" i="6"/>
  <c r="R46" i="6"/>
  <c r="R44" i="6"/>
  <c r="R42" i="6"/>
  <c r="R40" i="6"/>
  <c r="R38" i="6"/>
  <c r="R36" i="6"/>
  <c r="R34" i="6"/>
  <c r="R32" i="6"/>
  <c r="R30" i="6"/>
  <c r="R28" i="6"/>
  <c r="R26" i="6"/>
  <c r="R24" i="6"/>
  <c r="R22" i="6"/>
  <c r="R20" i="6"/>
  <c r="R18" i="6"/>
  <c r="R16" i="6"/>
  <c r="R14" i="6"/>
  <c r="R12" i="6"/>
  <c r="R203" i="6"/>
  <c r="R198" i="6"/>
  <c r="R162" i="6"/>
  <c r="R150" i="6"/>
  <c r="R149" i="6"/>
  <c r="R134" i="6"/>
  <c r="R133" i="6"/>
  <c r="R100" i="6"/>
  <c r="R92" i="6"/>
  <c r="R84" i="6"/>
  <c r="R76" i="6"/>
  <c r="R68" i="6"/>
  <c r="R65" i="6"/>
  <c r="R63" i="6"/>
  <c r="R61" i="6"/>
  <c r="R59" i="6"/>
  <c r="R57" i="6"/>
  <c r="R55" i="6"/>
  <c r="R53" i="6"/>
  <c r="R51" i="6"/>
  <c r="R49" i="6"/>
  <c r="R47" i="6"/>
  <c r="R45" i="6"/>
  <c r="R43" i="6"/>
  <c r="R41" i="6"/>
  <c r="R39" i="6"/>
  <c r="R37" i="6"/>
  <c r="R35" i="6"/>
  <c r="R33" i="6"/>
  <c r="R31" i="6"/>
  <c r="R29" i="6"/>
  <c r="R27" i="6"/>
  <c r="R25" i="6"/>
  <c r="R23" i="6"/>
  <c r="R21" i="6"/>
  <c r="R19" i="6"/>
  <c r="R17" i="6"/>
  <c r="R15" i="6"/>
  <c r="R13" i="6"/>
  <c r="R11" i="6"/>
  <c r="R9" i="6"/>
  <c r="R7" i="6"/>
  <c r="R5" i="6"/>
  <c r="R213" i="6"/>
  <c r="R170" i="6"/>
  <c r="R154" i="6"/>
  <c r="R153" i="6"/>
  <c r="R138" i="6"/>
  <c r="R94" i="6"/>
  <c r="R78" i="6"/>
  <c r="R8" i="6"/>
  <c r="R129" i="6"/>
  <c r="R82" i="6"/>
  <c r="R66" i="6"/>
  <c r="R146" i="6"/>
  <c r="R137" i="6"/>
  <c r="R86" i="6"/>
  <c r="R70" i="6"/>
  <c r="R4" i="6"/>
  <c r="R199" i="6"/>
  <c r="R145" i="6"/>
  <c r="R130" i="6"/>
  <c r="R90" i="6"/>
  <c r="R74" i="6"/>
  <c r="R6" i="6"/>
  <c r="R98" i="6"/>
  <c r="R10" i="6"/>
  <c r="V263" i="6"/>
  <c r="V261" i="6"/>
  <c r="V259" i="6"/>
  <c r="V257" i="6"/>
  <c r="V255" i="6"/>
  <c r="V253" i="6"/>
  <c r="V251" i="6"/>
  <c r="V249" i="6"/>
  <c r="V247" i="6"/>
  <c r="V245" i="6"/>
  <c r="V243" i="6"/>
  <c r="V241" i="6"/>
  <c r="V239" i="6"/>
  <c r="V237" i="6"/>
  <c r="V235" i="6"/>
  <c r="V233" i="6"/>
  <c r="V231" i="6"/>
  <c r="V250" i="6"/>
  <c r="V242" i="6"/>
  <c r="V234" i="6"/>
  <c r="V228" i="6"/>
  <c r="V262" i="6"/>
  <c r="V258" i="6"/>
  <c r="V252" i="6"/>
  <c r="V244" i="6"/>
  <c r="V236" i="6"/>
  <c r="V246" i="6"/>
  <c r="V254" i="6"/>
  <c r="V238" i="6"/>
  <c r="V223" i="6"/>
  <c r="V222" i="6"/>
  <c r="V215" i="6"/>
  <c r="V214" i="6"/>
  <c r="V207" i="6"/>
  <c r="V206" i="6"/>
  <c r="V248" i="6"/>
  <c r="V226" i="6"/>
  <c r="V221" i="6"/>
  <c r="V216" i="6"/>
  <c r="V211" i="6"/>
  <c r="V204" i="6"/>
  <c r="V201" i="6"/>
  <c r="V199" i="6"/>
  <c r="V198" i="6"/>
  <c r="V191" i="6"/>
  <c r="V190" i="6"/>
  <c r="V230" i="6"/>
  <c r="V227" i="6"/>
  <c r="V220" i="6"/>
  <c r="V217" i="6"/>
  <c r="V210" i="6"/>
  <c r="V205" i="6"/>
  <c r="V200" i="6"/>
  <c r="V195" i="6"/>
  <c r="V194" i="6"/>
  <c r="V187" i="6"/>
  <c r="V186" i="6"/>
  <c r="V185" i="6"/>
  <c r="V183" i="6"/>
  <c r="V181" i="6"/>
  <c r="V179" i="6"/>
  <c r="V177" i="6"/>
  <c r="V175" i="6"/>
  <c r="V173" i="6"/>
  <c r="V171" i="6"/>
  <c r="V169" i="6"/>
  <c r="V167" i="6"/>
  <c r="V165" i="6"/>
  <c r="V163" i="6"/>
  <c r="V161" i="6"/>
  <c r="V159" i="6"/>
  <c r="V157" i="6"/>
  <c r="V256" i="6"/>
  <c r="V225" i="6"/>
  <c r="V218" i="6"/>
  <c r="V208" i="6"/>
  <c r="V193" i="6"/>
  <c r="V192" i="6"/>
  <c r="V178" i="6"/>
  <c r="V170" i="6"/>
  <c r="V162" i="6"/>
  <c r="V232" i="6"/>
  <c r="V229" i="6"/>
  <c r="V213" i="6"/>
  <c r="V203" i="6"/>
  <c r="V182" i="6"/>
  <c r="V174" i="6"/>
  <c r="V166" i="6"/>
  <c r="V158" i="6"/>
  <c r="V260" i="6"/>
  <c r="V212" i="6"/>
  <c r="V209" i="6"/>
  <c r="V196" i="6"/>
  <c r="V180" i="6"/>
  <c r="V164" i="6"/>
  <c r="V154" i="6"/>
  <c r="V153" i="6"/>
  <c r="V146" i="6"/>
  <c r="V145" i="6"/>
  <c r="V138" i="6"/>
  <c r="V137" i="6"/>
  <c r="V130" i="6"/>
  <c r="V129" i="6"/>
  <c r="V126" i="6"/>
  <c r="V124" i="6"/>
  <c r="V122" i="6"/>
  <c r="V120" i="6"/>
  <c r="V118" i="6"/>
  <c r="V116" i="6"/>
  <c r="V114" i="6"/>
  <c r="V112" i="6"/>
  <c r="V110" i="6"/>
  <c r="V108" i="6"/>
  <c r="V106" i="6"/>
  <c r="V104" i="6"/>
  <c r="V102" i="6"/>
  <c r="V219" i="6"/>
  <c r="V202" i="6"/>
  <c r="V197" i="6"/>
  <c r="V172" i="6"/>
  <c r="V150" i="6"/>
  <c r="V149" i="6"/>
  <c r="V142" i="6"/>
  <c r="V141" i="6"/>
  <c r="V134" i="6"/>
  <c r="V133" i="6"/>
  <c r="V125" i="6"/>
  <c r="V123" i="6"/>
  <c r="V121" i="6"/>
  <c r="V119" i="6"/>
  <c r="V117" i="6"/>
  <c r="V115" i="6"/>
  <c r="V113" i="6"/>
  <c r="V111" i="6"/>
  <c r="V109" i="6"/>
  <c r="V107" i="6"/>
  <c r="V105" i="6"/>
  <c r="V103" i="6"/>
  <c r="V101" i="6"/>
  <c r="V99" i="6"/>
  <c r="V97" i="6"/>
  <c r="V95" i="6"/>
  <c r="V93" i="6"/>
  <c r="V91" i="6"/>
  <c r="V89" i="6"/>
  <c r="V87" i="6"/>
  <c r="V85" i="6"/>
  <c r="V83" i="6"/>
  <c r="V81" i="6"/>
  <c r="V79" i="6"/>
  <c r="V77" i="6"/>
  <c r="V75" i="6"/>
  <c r="V73" i="6"/>
  <c r="V71" i="6"/>
  <c r="V69" i="6"/>
  <c r="V67" i="6"/>
  <c r="V240" i="6"/>
  <c r="V184" i="6"/>
  <c r="V148" i="6"/>
  <c r="V147" i="6"/>
  <c r="V132" i="6"/>
  <c r="V131" i="6"/>
  <c r="V94" i="6"/>
  <c r="V86" i="6"/>
  <c r="V78" i="6"/>
  <c r="V70" i="6"/>
  <c r="V64" i="6"/>
  <c r="V62" i="6"/>
  <c r="V60" i="6"/>
  <c r="V58" i="6"/>
  <c r="V56" i="6"/>
  <c r="V54" i="6"/>
  <c r="V52" i="6"/>
  <c r="V50" i="6"/>
  <c r="V48" i="6"/>
  <c r="V46" i="6"/>
  <c r="V44" i="6"/>
  <c r="V42" i="6"/>
  <c r="V40" i="6"/>
  <c r="V38" i="6"/>
  <c r="V36" i="6"/>
  <c r="V34" i="6"/>
  <c r="V32" i="6"/>
  <c r="V30" i="6"/>
  <c r="V28" i="6"/>
  <c r="V26" i="6"/>
  <c r="V24" i="6"/>
  <c r="V22" i="6"/>
  <c r="V20" i="6"/>
  <c r="V18" i="6"/>
  <c r="V16" i="6"/>
  <c r="V14" i="6"/>
  <c r="V12" i="6"/>
  <c r="V10" i="6"/>
  <c r="V189" i="6"/>
  <c r="V168" i="6"/>
  <c r="V155" i="6"/>
  <c r="V140" i="6"/>
  <c r="V139" i="6"/>
  <c r="V98" i="6"/>
  <c r="V90" i="6"/>
  <c r="V82" i="6"/>
  <c r="V74" i="6"/>
  <c r="V66" i="6"/>
  <c r="V65" i="6"/>
  <c r="V63" i="6"/>
  <c r="V61" i="6"/>
  <c r="V59" i="6"/>
  <c r="V57" i="6"/>
  <c r="V55" i="6"/>
  <c r="V53" i="6"/>
  <c r="V51" i="6"/>
  <c r="V49" i="6"/>
  <c r="V47" i="6"/>
  <c r="V45" i="6"/>
  <c r="V43" i="6"/>
  <c r="V41" i="6"/>
  <c r="V39" i="6"/>
  <c r="V37" i="6"/>
  <c r="V35" i="6"/>
  <c r="V33" i="6"/>
  <c r="V31" i="6"/>
  <c r="V29" i="6"/>
  <c r="V27" i="6"/>
  <c r="V25" i="6"/>
  <c r="V23" i="6"/>
  <c r="V21" i="6"/>
  <c r="V19" i="6"/>
  <c r="V17" i="6"/>
  <c r="V15" i="6"/>
  <c r="V13" i="6"/>
  <c r="V11" i="6"/>
  <c r="V9" i="6"/>
  <c r="V7" i="6"/>
  <c r="V5" i="6"/>
  <c r="V224" i="6"/>
  <c r="V188" i="6"/>
  <c r="V176" i="6"/>
  <c r="V156" i="6"/>
  <c r="V152" i="6"/>
  <c r="V144" i="6"/>
  <c r="V127" i="6"/>
  <c r="V100" i="6"/>
  <c r="V84" i="6"/>
  <c r="V68" i="6"/>
  <c r="V6" i="6"/>
  <c r="V151" i="6"/>
  <c r="V135" i="6"/>
  <c r="V88" i="6"/>
  <c r="V8" i="6"/>
  <c r="V160" i="6"/>
  <c r="V143" i="6"/>
  <c r="V128" i="6"/>
  <c r="V92" i="6"/>
  <c r="V76" i="6"/>
  <c r="V136" i="6"/>
  <c r="V96" i="6"/>
  <c r="V80" i="6"/>
  <c r="V4" i="6"/>
  <c r="V72" i="6"/>
  <c r="P262" i="6"/>
  <c r="P260" i="6"/>
  <c r="P258" i="6"/>
  <c r="P256" i="6"/>
  <c r="P254" i="6"/>
  <c r="P252" i="6"/>
  <c r="P250" i="6"/>
  <c r="P248" i="6"/>
  <c r="P246" i="6"/>
  <c r="P244" i="6"/>
  <c r="P242" i="6"/>
  <c r="P240" i="6"/>
  <c r="P238" i="6"/>
  <c r="P236" i="6"/>
  <c r="P234" i="6"/>
  <c r="P232" i="6"/>
  <c r="P230" i="6"/>
  <c r="P257" i="6"/>
  <c r="P249" i="6"/>
  <c r="P241" i="6"/>
  <c r="P233" i="6"/>
  <c r="P229" i="6"/>
  <c r="P261" i="6"/>
  <c r="P251" i="6"/>
  <c r="P243" i="6"/>
  <c r="P235" i="6"/>
  <c r="P253" i="6"/>
  <c r="P245" i="6"/>
  <c r="P222" i="6"/>
  <c r="P221" i="6"/>
  <c r="P214" i="6"/>
  <c r="P213" i="6"/>
  <c r="P206" i="6"/>
  <c r="P205" i="6"/>
  <c r="P263" i="6"/>
  <c r="P255" i="6"/>
  <c r="P237" i="6"/>
  <c r="P228" i="6"/>
  <c r="P223" i="6"/>
  <c r="P218" i="6"/>
  <c r="P211" i="6"/>
  <c r="P208" i="6"/>
  <c r="P201" i="6"/>
  <c r="P198" i="6"/>
  <c r="P197" i="6"/>
  <c r="P190" i="6"/>
  <c r="P189" i="6"/>
  <c r="P227" i="6"/>
  <c r="P224" i="6"/>
  <c r="P217" i="6"/>
  <c r="P212" i="6"/>
  <c r="P207" i="6"/>
  <c r="P202" i="6"/>
  <c r="P194" i="6"/>
  <c r="P193" i="6"/>
  <c r="P186" i="6"/>
  <c r="P184" i="6"/>
  <c r="P182" i="6"/>
  <c r="P180" i="6"/>
  <c r="P178" i="6"/>
  <c r="P176" i="6"/>
  <c r="P174" i="6"/>
  <c r="P172" i="6"/>
  <c r="P170" i="6"/>
  <c r="P168" i="6"/>
  <c r="P166" i="6"/>
  <c r="P164" i="6"/>
  <c r="P162" i="6"/>
  <c r="P160" i="6"/>
  <c r="P158" i="6"/>
  <c r="P156" i="6"/>
  <c r="P231" i="6"/>
  <c r="P220" i="6"/>
  <c r="P210" i="6"/>
  <c r="P203" i="6"/>
  <c r="P200" i="6"/>
  <c r="P199" i="6"/>
  <c r="P185" i="6"/>
  <c r="P177" i="6"/>
  <c r="P169" i="6"/>
  <c r="P161" i="6"/>
  <c r="P259" i="6"/>
  <c r="P225" i="6"/>
  <c r="P215" i="6"/>
  <c r="P192" i="6"/>
  <c r="P191" i="6"/>
  <c r="P181" i="6"/>
  <c r="P173" i="6"/>
  <c r="P165" i="6"/>
  <c r="P157" i="6"/>
  <c r="P204" i="6"/>
  <c r="P188" i="6"/>
  <c r="P171" i="6"/>
  <c r="P153" i="6"/>
  <c r="P152" i="6"/>
  <c r="P145" i="6"/>
  <c r="P144" i="6"/>
  <c r="P137" i="6"/>
  <c r="P136" i="6"/>
  <c r="P129" i="6"/>
  <c r="P128" i="6"/>
  <c r="P127" i="6"/>
  <c r="P125" i="6"/>
  <c r="P123" i="6"/>
  <c r="P121" i="6"/>
  <c r="P119" i="6"/>
  <c r="P117" i="6"/>
  <c r="P115" i="6"/>
  <c r="P113" i="6"/>
  <c r="P111" i="6"/>
  <c r="P109" i="6"/>
  <c r="P107" i="6"/>
  <c r="P105" i="6"/>
  <c r="P103" i="6"/>
  <c r="P247" i="6"/>
  <c r="P239" i="6"/>
  <c r="P187" i="6"/>
  <c r="P179" i="6"/>
  <c r="P163" i="6"/>
  <c r="P149" i="6"/>
  <c r="P148" i="6"/>
  <c r="P141" i="6"/>
  <c r="P140" i="6"/>
  <c r="P133" i="6"/>
  <c r="P132" i="6"/>
  <c r="P126" i="6"/>
  <c r="P124" i="6"/>
  <c r="P122" i="6"/>
  <c r="P120" i="6"/>
  <c r="P118" i="6"/>
  <c r="P116" i="6"/>
  <c r="P114" i="6"/>
  <c r="P112" i="6"/>
  <c r="P110" i="6"/>
  <c r="P108" i="6"/>
  <c r="P106" i="6"/>
  <c r="P104" i="6"/>
  <c r="P102" i="6"/>
  <c r="P100" i="6"/>
  <c r="P98" i="6"/>
  <c r="P96" i="6"/>
  <c r="P94" i="6"/>
  <c r="P92" i="6"/>
  <c r="P90" i="6"/>
  <c r="P88" i="6"/>
  <c r="P86" i="6"/>
  <c r="P84" i="6"/>
  <c r="P82" i="6"/>
  <c r="P80" i="6"/>
  <c r="P78" i="6"/>
  <c r="P76" i="6"/>
  <c r="P74" i="6"/>
  <c r="P72" i="6"/>
  <c r="P70" i="6"/>
  <c r="P68" i="6"/>
  <c r="P66" i="6"/>
  <c r="P196" i="6"/>
  <c r="P159" i="6"/>
  <c r="P155" i="6"/>
  <c r="P154" i="6"/>
  <c r="P139" i="6"/>
  <c r="P138" i="6"/>
  <c r="P101" i="6"/>
  <c r="P93" i="6"/>
  <c r="P85" i="6"/>
  <c r="P77" i="6"/>
  <c r="P69" i="6"/>
  <c r="P65" i="6"/>
  <c r="P63" i="6"/>
  <c r="P61" i="6"/>
  <c r="P59" i="6"/>
  <c r="P57" i="6"/>
  <c r="P55" i="6"/>
  <c r="P53" i="6"/>
  <c r="P51" i="6"/>
  <c r="P49" i="6"/>
  <c r="P47" i="6"/>
  <c r="P45" i="6"/>
  <c r="P43" i="6"/>
  <c r="P41" i="6"/>
  <c r="P39" i="6"/>
  <c r="P37" i="6"/>
  <c r="P35" i="6"/>
  <c r="P33" i="6"/>
  <c r="P31" i="6"/>
  <c r="P29" i="6"/>
  <c r="P27" i="6"/>
  <c r="P25" i="6"/>
  <c r="P23" i="6"/>
  <c r="P21" i="6"/>
  <c r="P19" i="6"/>
  <c r="P17" i="6"/>
  <c r="P15" i="6"/>
  <c r="P13" i="6"/>
  <c r="P11" i="6"/>
  <c r="P226" i="6"/>
  <c r="P209" i="6"/>
  <c r="P175" i="6"/>
  <c r="P147" i="6"/>
  <c r="P146" i="6"/>
  <c r="P131" i="6"/>
  <c r="P130" i="6"/>
  <c r="P97" i="6"/>
  <c r="P89" i="6"/>
  <c r="P81" i="6"/>
  <c r="P73" i="6"/>
  <c r="P64" i="6"/>
  <c r="P62" i="6"/>
  <c r="P60" i="6"/>
  <c r="P58" i="6"/>
  <c r="P56" i="6"/>
  <c r="P54" i="6"/>
  <c r="P52" i="6"/>
  <c r="P50" i="6"/>
  <c r="P48" i="6"/>
  <c r="P46" i="6"/>
  <c r="P44" i="6"/>
  <c r="P42" i="6"/>
  <c r="P40" i="6"/>
  <c r="P38" i="6"/>
  <c r="P36" i="6"/>
  <c r="P34" i="6"/>
  <c r="P32" i="6"/>
  <c r="P30" i="6"/>
  <c r="P28" i="6"/>
  <c r="P26" i="6"/>
  <c r="P24" i="6"/>
  <c r="P22" i="6"/>
  <c r="P20" i="6"/>
  <c r="P18" i="6"/>
  <c r="P16" i="6"/>
  <c r="P14" i="6"/>
  <c r="P12" i="6"/>
  <c r="P10" i="6"/>
  <c r="P8" i="6"/>
  <c r="P6" i="6"/>
  <c r="P4" i="6"/>
  <c r="P219" i="6"/>
  <c r="P183" i="6"/>
  <c r="P151" i="6"/>
  <c r="P150" i="6"/>
  <c r="P216" i="6"/>
  <c r="P195" i="6"/>
  <c r="P134" i="6"/>
  <c r="P91" i="6"/>
  <c r="P75" i="6"/>
  <c r="P5" i="6"/>
  <c r="P142" i="6"/>
  <c r="P95" i="6"/>
  <c r="P135" i="6"/>
  <c r="P99" i="6"/>
  <c r="P83" i="6"/>
  <c r="P67" i="6"/>
  <c r="P9" i="6"/>
  <c r="P167" i="6"/>
  <c r="P143" i="6"/>
  <c r="P87" i="6"/>
  <c r="P71" i="6"/>
  <c r="P79" i="6"/>
  <c r="P7" i="6"/>
  <c r="Q262" i="6"/>
  <c r="Q260" i="6"/>
  <c r="Q261" i="6"/>
  <c r="Q258" i="6"/>
  <c r="Q251" i="6"/>
  <c r="Q250" i="6"/>
  <c r="Q243" i="6"/>
  <c r="Q242" i="6"/>
  <c r="Q235" i="6"/>
  <c r="Q234" i="6"/>
  <c r="Q253" i="6"/>
  <c r="Q252" i="6"/>
  <c r="Q245" i="6"/>
  <c r="Q244" i="6"/>
  <c r="Q237" i="6"/>
  <c r="Q236" i="6"/>
  <c r="Q228" i="6"/>
  <c r="Q226" i="6"/>
  <c r="Q224" i="6"/>
  <c r="Q222" i="6"/>
  <c r="Q220" i="6"/>
  <c r="Q218" i="6"/>
  <c r="Q216" i="6"/>
  <c r="Q214" i="6"/>
  <c r="Q212" i="6"/>
  <c r="Q210" i="6"/>
  <c r="Q208" i="6"/>
  <c r="Q206" i="6"/>
  <c r="Q204" i="6"/>
  <c r="Q202" i="6"/>
  <c r="Q200" i="6"/>
  <c r="Q198" i="6"/>
  <c r="Q196" i="6"/>
  <c r="Q194" i="6"/>
  <c r="Q192" i="6"/>
  <c r="Q190" i="6"/>
  <c r="Q188" i="6"/>
  <c r="Q186" i="6"/>
  <c r="Q263" i="6"/>
  <c r="Q255" i="6"/>
  <c r="Q254" i="6"/>
  <c r="Q259" i="6"/>
  <c r="Q247" i="6"/>
  <c r="Q246" i="6"/>
  <c r="Q231" i="6"/>
  <c r="Q230" i="6"/>
  <c r="Q223" i="6"/>
  <c r="Q215" i="6"/>
  <c r="Q207" i="6"/>
  <c r="Q257" i="6"/>
  <c r="Q240" i="6"/>
  <c r="Q225" i="6"/>
  <c r="Q213" i="6"/>
  <c r="Q203" i="6"/>
  <c r="Q199" i="6"/>
  <c r="Q191" i="6"/>
  <c r="Q256" i="6"/>
  <c r="Q241" i="6"/>
  <c r="Q239" i="6"/>
  <c r="Q232" i="6"/>
  <c r="Q219" i="6"/>
  <c r="Q209" i="6"/>
  <c r="Q195" i="6"/>
  <c r="Q187" i="6"/>
  <c r="Q248" i="6"/>
  <c r="Q227" i="6"/>
  <c r="Q217" i="6"/>
  <c r="Q179" i="6"/>
  <c r="Q178" i="6"/>
  <c r="Q171" i="6"/>
  <c r="Q170" i="6"/>
  <c r="Q163" i="6"/>
  <c r="Q162" i="6"/>
  <c r="Q238" i="6"/>
  <c r="Q205" i="6"/>
  <c r="Q193" i="6"/>
  <c r="Q183" i="6"/>
  <c r="Q182" i="6"/>
  <c r="Q175" i="6"/>
  <c r="Q174" i="6"/>
  <c r="Q167" i="6"/>
  <c r="Q166" i="6"/>
  <c r="Q159" i="6"/>
  <c r="Q158" i="6"/>
  <c r="Q155" i="6"/>
  <c r="Q153" i="6"/>
  <c r="Q151" i="6"/>
  <c r="Q149" i="6"/>
  <c r="Q147" i="6"/>
  <c r="Q145" i="6"/>
  <c r="Q143" i="6"/>
  <c r="Q141" i="6"/>
  <c r="Q139" i="6"/>
  <c r="Q137" i="6"/>
  <c r="Q135" i="6"/>
  <c r="Q133" i="6"/>
  <c r="Q131" i="6"/>
  <c r="Q129" i="6"/>
  <c r="Q221" i="6"/>
  <c r="Q201" i="6"/>
  <c r="Q173" i="6"/>
  <c r="Q172" i="6"/>
  <c r="Q157" i="6"/>
  <c r="Q154" i="6"/>
  <c r="Q146" i="6"/>
  <c r="Q138" i="6"/>
  <c r="Q130" i="6"/>
  <c r="Q233" i="6"/>
  <c r="Q211" i="6"/>
  <c r="Q189" i="6"/>
  <c r="Q181" i="6"/>
  <c r="Q180" i="6"/>
  <c r="Q165" i="6"/>
  <c r="Q164" i="6"/>
  <c r="Q156" i="6"/>
  <c r="Q150" i="6"/>
  <c r="Q142" i="6"/>
  <c r="Q134" i="6"/>
  <c r="Q229" i="6"/>
  <c r="Q176" i="6"/>
  <c r="Q161" i="6"/>
  <c r="Q140" i="6"/>
  <c r="Q124" i="6"/>
  <c r="Q120" i="6"/>
  <c r="Q116" i="6"/>
  <c r="Q112" i="6"/>
  <c r="Q108" i="6"/>
  <c r="Q104" i="6"/>
  <c r="Q95" i="6"/>
  <c r="Q94" i="6"/>
  <c r="Q87" i="6"/>
  <c r="Q86" i="6"/>
  <c r="Q79" i="6"/>
  <c r="Q78" i="6"/>
  <c r="Q71" i="6"/>
  <c r="Q70" i="6"/>
  <c r="Q249" i="6"/>
  <c r="Q177" i="6"/>
  <c r="Q160" i="6"/>
  <c r="Q148" i="6"/>
  <c r="Q132" i="6"/>
  <c r="Q126" i="6"/>
  <c r="Q122" i="6"/>
  <c r="Q118" i="6"/>
  <c r="Q114" i="6"/>
  <c r="Q110" i="6"/>
  <c r="Q106" i="6"/>
  <c r="Q102" i="6"/>
  <c r="Q99" i="6"/>
  <c r="Q98" i="6"/>
  <c r="Q91" i="6"/>
  <c r="Q90" i="6"/>
  <c r="Q83" i="6"/>
  <c r="Q82" i="6"/>
  <c r="Q75" i="6"/>
  <c r="Q74" i="6"/>
  <c r="Q67" i="6"/>
  <c r="Q66" i="6"/>
  <c r="Q197" i="6"/>
  <c r="Q185" i="6"/>
  <c r="Q168" i="6"/>
  <c r="Q152" i="6"/>
  <c r="Q136" i="6"/>
  <c r="Q121" i="6"/>
  <c r="Q113" i="6"/>
  <c r="Q105" i="6"/>
  <c r="Q93" i="6"/>
  <c r="Q92" i="6"/>
  <c r="Q77" i="6"/>
  <c r="Q76" i="6"/>
  <c r="Q63" i="6"/>
  <c r="Q59" i="6"/>
  <c r="Q55" i="6"/>
  <c r="Q51" i="6"/>
  <c r="Q47" i="6"/>
  <c r="Q43" i="6"/>
  <c r="Q39" i="6"/>
  <c r="Q35" i="6"/>
  <c r="Q31" i="6"/>
  <c r="Q27" i="6"/>
  <c r="Q23" i="6"/>
  <c r="Q19" i="6"/>
  <c r="Q15" i="6"/>
  <c r="Q11" i="6"/>
  <c r="Q7" i="6"/>
  <c r="Q6" i="6"/>
  <c r="Q144" i="6"/>
  <c r="Q127" i="6"/>
  <c r="Q119" i="6"/>
  <c r="Q111" i="6"/>
  <c r="Q103" i="6"/>
  <c r="Q97" i="6"/>
  <c r="Q96" i="6"/>
  <c r="Q80" i="6"/>
  <c r="Q58" i="6"/>
  <c r="Q50" i="6"/>
  <c r="Q42" i="6"/>
  <c r="Q30" i="6"/>
  <c r="Q22" i="6"/>
  <c r="Q14" i="6"/>
  <c r="Q169" i="6"/>
  <c r="Q125" i="6"/>
  <c r="Q117" i="6"/>
  <c r="Q109" i="6"/>
  <c r="Q101" i="6"/>
  <c r="Q100" i="6"/>
  <c r="Q85" i="6"/>
  <c r="Q84" i="6"/>
  <c r="Q69" i="6"/>
  <c r="Q68" i="6"/>
  <c r="Q65" i="6"/>
  <c r="Q61" i="6"/>
  <c r="Q57" i="6"/>
  <c r="Q53" i="6"/>
  <c r="Q49" i="6"/>
  <c r="Q45" i="6"/>
  <c r="Q41" i="6"/>
  <c r="Q37" i="6"/>
  <c r="Q33" i="6"/>
  <c r="Q29" i="6"/>
  <c r="Q25" i="6"/>
  <c r="Q21" i="6"/>
  <c r="Q17" i="6"/>
  <c r="Q13" i="6"/>
  <c r="Q10" i="6"/>
  <c r="Q184" i="6"/>
  <c r="Q128" i="6"/>
  <c r="Q123" i="6"/>
  <c r="Q115" i="6"/>
  <c r="Q107" i="6"/>
  <c r="Q89" i="6"/>
  <c r="Q88" i="6"/>
  <c r="Q73" i="6"/>
  <c r="Q72" i="6"/>
  <c r="Q64" i="6"/>
  <c r="Q60" i="6"/>
  <c r="Q56" i="6"/>
  <c r="Q52" i="6"/>
  <c r="Q48" i="6"/>
  <c r="Q44" i="6"/>
  <c r="Q40" i="6"/>
  <c r="Q36" i="6"/>
  <c r="Q32" i="6"/>
  <c r="Q28" i="6"/>
  <c r="Q24" i="6"/>
  <c r="Q20" i="6"/>
  <c r="Q16" i="6"/>
  <c r="Q12" i="6"/>
  <c r="Q5" i="6"/>
  <c r="Q4" i="6"/>
  <c r="Q81" i="6"/>
  <c r="Q62" i="6"/>
  <c r="Q54" i="6"/>
  <c r="Q46" i="6"/>
  <c r="Q38" i="6"/>
  <c r="Q34" i="6"/>
  <c r="Q26" i="6"/>
  <c r="Q18" i="6"/>
  <c r="Q9" i="6"/>
  <c r="Q8" i="6"/>
  <c r="O263" i="6"/>
  <c r="O261" i="6"/>
  <c r="O259" i="6"/>
  <c r="O262" i="6"/>
  <c r="O256" i="6"/>
  <c r="O255" i="6"/>
  <c r="O248" i="6"/>
  <c r="O247" i="6"/>
  <c r="O240" i="6"/>
  <c r="O239" i="6"/>
  <c r="O232" i="6"/>
  <c r="O231" i="6"/>
  <c r="O258" i="6"/>
  <c r="O257" i="6"/>
  <c r="O250" i="6"/>
  <c r="O249" i="6"/>
  <c r="O242" i="6"/>
  <c r="O241" i="6"/>
  <c r="O234" i="6"/>
  <c r="O233" i="6"/>
  <c r="O229" i="6"/>
  <c r="O227" i="6"/>
  <c r="O225" i="6"/>
  <c r="O223" i="6"/>
  <c r="O221" i="6"/>
  <c r="O219" i="6"/>
  <c r="O217" i="6"/>
  <c r="O215" i="6"/>
  <c r="O213" i="6"/>
  <c r="O211" i="6"/>
  <c r="O209" i="6"/>
  <c r="O207" i="6"/>
  <c r="O205" i="6"/>
  <c r="O203" i="6"/>
  <c r="O201" i="6"/>
  <c r="O199" i="6"/>
  <c r="O197" i="6"/>
  <c r="O195" i="6"/>
  <c r="O193" i="6"/>
  <c r="O191" i="6"/>
  <c r="O189" i="6"/>
  <c r="O187" i="6"/>
  <c r="O260" i="6"/>
  <c r="O252" i="6"/>
  <c r="O251" i="6"/>
  <c r="O244" i="6"/>
  <c r="O243" i="6"/>
  <c r="O228" i="6"/>
  <c r="O220" i="6"/>
  <c r="O212" i="6"/>
  <c r="O204" i="6"/>
  <c r="O253" i="6"/>
  <c r="O230" i="6"/>
  <c r="O226" i="6"/>
  <c r="O216" i="6"/>
  <c r="O206" i="6"/>
  <c r="O196" i="6"/>
  <c r="O188" i="6"/>
  <c r="O254" i="6"/>
  <c r="O238" i="6"/>
  <c r="O235" i="6"/>
  <c r="O222" i="6"/>
  <c r="O210" i="6"/>
  <c r="O200" i="6"/>
  <c r="O192" i="6"/>
  <c r="O237" i="6"/>
  <c r="O198" i="6"/>
  <c r="O184" i="6"/>
  <c r="O183" i="6"/>
  <c r="O176" i="6"/>
  <c r="O175" i="6"/>
  <c r="O168" i="6"/>
  <c r="O167" i="6"/>
  <c r="O160" i="6"/>
  <c r="O246" i="6"/>
  <c r="O218" i="6"/>
  <c r="O208" i="6"/>
  <c r="O190" i="6"/>
  <c r="O180" i="6"/>
  <c r="O179" i="6"/>
  <c r="O172" i="6"/>
  <c r="O171" i="6"/>
  <c r="O164" i="6"/>
  <c r="O163" i="6"/>
  <c r="O156" i="6"/>
  <c r="O154" i="6"/>
  <c r="O152" i="6"/>
  <c r="O150" i="6"/>
  <c r="O148" i="6"/>
  <c r="O146" i="6"/>
  <c r="O144" i="6"/>
  <c r="O142" i="6"/>
  <c r="O140" i="6"/>
  <c r="O138" i="6"/>
  <c r="O136" i="6"/>
  <c r="O134" i="6"/>
  <c r="O132" i="6"/>
  <c r="O130" i="6"/>
  <c r="O128" i="6"/>
  <c r="O236" i="6"/>
  <c r="O224" i="6"/>
  <c r="O186" i="6"/>
  <c r="O185" i="6"/>
  <c r="O170" i="6"/>
  <c r="O169" i="6"/>
  <c r="O151" i="6"/>
  <c r="O143" i="6"/>
  <c r="O135" i="6"/>
  <c r="O214" i="6"/>
  <c r="O178" i="6"/>
  <c r="O177" i="6"/>
  <c r="O162" i="6"/>
  <c r="O161" i="6"/>
  <c r="O159" i="6"/>
  <c r="O155" i="6"/>
  <c r="O147" i="6"/>
  <c r="O139" i="6"/>
  <c r="O131" i="6"/>
  <c r="O174" i="6"/>
  <c r="O153" i="6"/>
  <c r="O137" i="6"/>
  <c r="O125" i="6"/>
  <c r="O121" i="6"/>
  <c r="O117" i="6"/>
  <c r="O113" i="6"/>
  <c r="O109" i="6"/>
  <c r="O105" i="6"/>
  <c r="O100" i="6"/>
  <c r="O99" i="6"/>
  <c r="O92" i="6"/>
  <c r="O91" i="6"/>
  <c r="O84" i="6"/>
  <c r="O83" i="6"/>
  <c r="O76" i="6"/>
  <c r="O75" i="6"/>
  <c r="O68" i="6"/>
  <c r="O67" i="6"/>
  <c r="O194" i="6"/>
  <c r="O173" i="6"/>
  <c r="O157" i="6"/>
  <c r="O145" i="6"/>
  <c r="O129" i="6"/>
  <c r="O127" i="6"/>
  <c r="O123" i="6"/>
  <c r="O119" i="6"/>
  <c r="O115" i="6"/>
  <c r="O111" i="6"/>
  <c r="O107" i="6"/>
  <c r="O103" i="6"/>
  <c r="O96" i="6"/>
  <c r="O95" i="6"/>
  <c r="O88" i="6"/>
  <c r="O87" i="6"/>
  <c r="O80" i="6"/>
  <c r="O79" i="6"/>
  <c r="O72" i="6"/>
  <c r="O71" i="6"/>
  <c r="O245" i="6"/>
  <c r="O202" i="6"/>
  <c r="O181" i="6"/>
  <c r="O166" i="6"/>
  <c r="O158" i="6"/>
  <c r="O149" i="6"/>
  <c r="O182" i="6"/>
  <c r="O165" i="6"/>
  <c r="O126" i="6"/>
  <c r="O118" i="6"/>
  <c r="O110" i="6"/>
  <c r="O102" i="6"/>
  <c r="O90" i="6"/>
  <c r="O89" i="6"/>
  <c r="O74" i="6"/>
  <c r="O73" i="6"/>
  <c r="O64" i="6"/>
  <c r="O60" i="6"/>
  <c r="O56" i="6"/>
  <c r="O52" i="6"/>
  <c r="O48" i="6"/>
  <c r="O44" i="6"/>
  <c r="O40" i="6"/>
  <c r="O36" i="6"/>
  <c r="O32" i="6"/>
  <c r="O28" i="6"/>
  <c r="O24" i="6"/>
  <c r="O20" i="6"/>
  <c r="O16" i="6"/>
  <c r="O12" i="6"/>
  <c r="O4" i="6"/>
  <c r="O124" i="6"/>
  <c r="O116" i="6"/>
  <c r="O108" i="6"/>
  <c r="O94" i="6"/>
  <c r="O93" i="6"/>
  <c r="O78" i="6"/>
  <c r="O63" i="6"/>
  <c r="O55" i="6"/>
  <c r="O47" i="6"/>
  <c r="O39" i="6"/>
  <c r="O35" i="6"/>
  <c r="O27" i="6"/>
  <c r="O19" i="6"/>
  <c r="O11" i="6"/>
  <c r="O133" i="6"/>
  <c r="O122" i="6"/>
  <c r="O114" i="6"/>
  <c r="O106" i="6"/>
  <c r="O98" i="6"/>
  <c r="O97" i="6"/>
  <c r="O82" i="6"/>
  <c r="O81" i="6"/>
  <c r="O66" i="6"/>
  <c r="O62" i="6"/>
  <c r="O58" i="6"/>
  <c r="O54" i="6"/>
  <c r="O50" i="6"/>
  <c r="O46" i="6"/>
  <c r="O42" i="6"/>
  <c r="O38" i="6"/>
  <c r="O34" i="6"/>
  <c r="O30" i="6"/>
  <c r="O26" i="6"/>
  <c r="O22" i="6"/>
  <c r="O18" i="6"/>
  <c r="O14" i="6"/>
  <c r="O8" i="6"/>
  <c r="O7" i="6"/>
  <c r="O141" i="6"/>
  <c r="O120" i="6"/>
  <c r="O112" i="6"/>
  <c r="O104" i="6"/>
  <c r="O101" i="6"/>
  <c r="O86" i="6"/>
  <c r="O85" i="6"/>
  <c r="O70" i="6"/>
  <c r="O69" i="6"/>
  <c r="O65" i="6"/>
  <c r="O61" i="6"/>
  <c r="O57" i="6"/>
  <c r="O53" i="6"/>
  <c r="O49" i="6"/>
  <c r="O45" i="6"/>
  <c r="O41" i="6"/>
  <c r="O37" i="6"/>
  <c r="O33" i="6"/>
  <c r="O29" i="6"/>
  <c r="O25" i="6"/>
  <c r="O21" i="6"/>
  <c r="O17" i="6"/>
  <c r="O13" i="6"/>
  <c r="O10" i="6"/>
  <c r="O9" i="6"/>
  <c r="O77" i="6"/>
  <c r="O59" i="6"/>
  <c r="O51" i="6"/>
  <c r="O43" i="6"/>
  <c r="O31" i="6"/>
  <c r="O23" i="6"/>
  <c r="O15" i="6"/>
  <c r="O6" i="6"/>
  <c r="O5" i="6"/>
  <c r="S263" i="6"/>
  <c r="S261" i="6"/>
  <c r="S259" i="6"/>
  <c r="S260" i="6"/>
  <c r="S254" i="6"/>
  <c r="S253" i="6"/>
  <c r="S246" i="6"/>
  <c r="S245" i="6"/>
  <c r="S238" i="6"/>
  <c r="S237" i="6"/>
  <c r="S230" i="6"/>
  <c r="S256" i="6"/>
  <c r="S255" i="6"/>
  <c r="S248" i="6"/>
  <c r="S247" i="6"/>
  <c r="S240" i="6"/>
  <c r="S239" i="6"/>
  <c r="S232" i="6"/>
  <c r="S231" i="6"/>
  <c r="S229" i="6"/>
  <c r="S227" i="6"/>
  <c r="S225" i="6"/>
  <c r="S223" i="6"/>
  <c r="S221" i="6"/>
  <c r="S219" i="6"/>
  <c r="S217" i="6"/>
  <c r="S215" i="6"/>
  <c r="S213" i="6"/>
  <c r="S211" i="6"/>
  <c r="S209" i="6"/>
  <c r="S207" i="6"/>
  <c r="S205" i="6"/>
  <c r="S203" i="6"/>
  <c r="S201" i="6"/>
  <c r="S199" i="6"/>
  <c r="S197" i="6"/>
  <c r="S195" i="6"/>
  <c r="S193" i="6"/>
  <c r="S191" i="6"/>
  <c r="S189" i="6"/>
  <c r="S187" i="6"/>
  <c r="S258" i="6"/>
  <c r="S257" i="6"/>
  <c r="S242" i="6"/>
  <c r="S241" i="6"/>
  <c r="S262" i="6"/>
  <c r="S250" i="6"/>
  <c r="S249" i="6"/>
  <c r="S234" i="6"/>
  <c r="S233" i="6"/>
  <c r="S226" i="6"/>
  <c r="S218" i="6"/>
  <c r="S210" i="6"/>
  <c r="S202" i="6"/>
  <c r="S244" i="6"/>
  <c r="S222" i="6"/>
  <c r="S212" i="6"/>
  <c r="S200" i="6"/>
  <c r="S194" i="6"/>
  <c r="S186" i="6"/>
  <c r="S243" i="6"/>
  <c r="S236" i="6"/>
  <c r="S228" i="6"/>
  <c r="S216" i="6"/>
  <c r="S206" i="6"/>
  <c r="S198" i="6"/>
  <c r="S190" i="6"/>
  <c r="S252" i="6"/>
  <c r="S224" i="6"/>
  <c r="S214" i="6"/>
  <c r="S204" i="6"/>
  <c r="S188" i="6"/>
  <c r="S182" i="6"/>
  <c r="S181" i="6"/>
  <c r="S174" i="6"/>
  <c r="S173" i="6"/>
  <c r="S166" i="6"/>
  <c r="S165" i="6"/>
  <c r="S235" i="6"/>
  <c r="S196" i="6"/>
  <c r="S185" i="6"/>
  <c r="S178" i="6"/>
  <c r="S177" i="6"/>
  <c r="S170" i="6"/>
  <c r="S169" i="6"/>
  <c r="S162" i="6"/>
  <c r="S161" i="6"/>
  <c r="S154" i="6"/>
  <c r="S152" i="6"/>
  <c r="S150" i="6"/>
  <c r="S148" i="6"/>
  <c r="S146" i="6"/>
  <c r="S144" i="6"/>
  <c r="S142" i="6"/>
  <c r="S140" i="6"/>
  <c r="S138" i="6"/>
  <c r="S136" i="6"/>
  <c r="S134" i="6"/>
  <c r="S132" i="6"/>
  <c r="S130" i="6"/>
  <c r="S128" i="6"/>
  <c r="S251" i="6"/>
  <c r="S192" i="6"/>
  <c r="S176" i="6"/>
  <c r="S175" i="6"/>
  <c r="S160" i="6"/>
  <c r="S159" i="6"/>
  <c r="S156" i="6"/>
  <c r="S149" i="6"/>
  <c r="S141" i="6"/>
  <c r="S133" i="6"/>
  <c r="S208" i="6"/>
  <c r="S184" i="6"/>
  <c r="S183" i="6"/>
  <c r="S168" i="6"/>
  <c r="S167" i="6"/>
  <c r="S153" i="6"/>
  <c r="S145" i="6"/>
  <c r="S137" i="6"/>
  <c r="S129" i="6"/>
  <c r="S180" i="6"/>
  <c r="S163" i="6"/>
  <c r="S143" i="6"/>
  <c r="S127" i="6"/>
  <c r="S123" i="6"/>
  <c r="S119" i="6"/>
  <c r="S115" i="6"/>
  <c r="S111" i="6"/>
  <c r="S107" i="6"/>
  <c r="S103" i="6"/>
  <c r="S98" i="6"/>
  <c r="S97" i="6"/>
  <c r="S90" i="6"/>
  <c r="S89" i="6"/>
  <c r="S82" i="6"/>
  <c r="S81" i="6"/>
  <c r="S74" i="6"/>
  <c r="S73" i="6"/>
  <c r="S66" i="6"/>
  <c r="S220" i="6"/>
  <c r="S179" i="6"/>
  <c r="S164" i="6"/>
  <c r="S158" i="6"/>
  <c r="S151" i="6"/>
  <c r="S135" i="6"/>
  <c r="S125" i="6"/>
  <c r="S121" i="6"/>
  <c r="S117" i="6"/>
  <c r="S113" i="6"/>
  <c r="S109" i="6"/>
  <c r="S105" i="6"/>
  <c r="S101" i="6"/>
  <c r="S94" i="6"/>
  <c r="S93" i="6"/>
  <c r="S86" i="6"/>
  <c r="S85" i="6"/>
  <c r="S78" i="6"/>
  <c r="S77" i="6"/>
  <c r="S70" i="6"/>
  <c r="S69" i="6"/>
  <c r="S172" i="6"/>
  <c r="S155" i="6"/>
  <c r="S157" i="6"/>
  <c r="S124" i="6"/>
  <c r="S116" i="6"/>
  <c r="S108" i="6"/>
  <c r="S96" i="6"/>
  <c r="S95" i="6"/>
  <c r="S80" i="6"/>
  <c r="S79" i="6"/>
  <c r="S62" i="6"/>
  <c r="S58" i="6"/>
  <c r="S54" i="6"/>
  <c r="S50" i="6"/>
  <c r="S46" i="6"/>
  <c r="S42" i="6"/>
  <c r="S38" i="6"/>
  <c r="S34" i="6"/>
  <c r="S30" i="6"/>
  <c r="S26" i="6"/>
  <c r="S22" i="6"/>
  <c r="S18" i="6"/>
  <c r="S14" i="6"/>
  <c r="S10" i="6"/>
  <c r="S9" i="6"/>
  <c r="S171" i="6"/>
  <c r="S147" i="6"/>
  <c r="S131" i="6"/>
  <c r="S122" i="6"/>
  <c r="S114" i="6"/>
  <c r="S106" i="6"/>
  <c r="S100" i="6"/>
  <c r="S99" i="6"/>
  <c r="S84" i="6"/>
  <c r="S61" i="6"/>
  <c r="S53" i="6"/>
  <c r="S45" i="6"/>
  <c r="S33" i="6"/>
  <c r="S25" i="6"/>
  <c r="S17" i="6"/>
  <c r="S4" i="6"/>
  <c r="S139" i="6"/>
  <c r="S120" i="6"/>
  <c r="S112" i="6"/>
  <c r="S104" i="6"/>
  <c r="S88" i="6"/>
  <c r="S87" i="6"/>
  <c r="S72" i="6"/>
  <c r="S71" i="6"/>
  <c r="S64" i="6"/>
  <c r="S60" i="6"/>
  <c r="S56" i="6"/>
  <c r="S52" i="6"/>
  <c r="S48" i="6"/>
  <c r="S44" i="6"/>
  <c r="S40" i="6"/>
  <c r="S36" i="6"/>
  <c r="S32" i="6"/>
  <c r="S28" i="6"/>
  <c r="S24" i="6"/>
  <c r="S20" i="6"/>
  <c r="S16" i="6"/>
  <c r="S12" i="6"/>
  <c r="S6" i="6"/>
  <c r="S5" i="6"/>
  <c r="S126" i="6"/>
  <c r="S118" i="6"/>
  <c r="S110" i="6"/>
  <c r="S102" i="6"/>
  <c r="S92" i="6"/>
  <c r="S91" i="6"/>
  <c r="S76" i="6"/>
  <c r="S75" i="6"/>
  <c r="S63" i="6"/>
  <c r="S59" i="6"/>
  <c r="S55" i="6"/>
  <c r="S51" i="6"/>
  <c r="S47" i="6"/>
  <c r="S43" i="6"/>
  <c r="S39" i="6"/>
  <c r="S35" i="6"/>
  <c r="S31" i="6"/>
  <c r="S27" i="6"/>
  <c r="S23" i="6"/>
  <c r="S19" i="6"/>
  <c r="S15" i="6"/>
  <c r="S11" i="6"/>
  <c r="S8" i="6"/>
  <c r="S7" i="6"/>
  <c r="S83" i="6"/>
  <c r="S68" i="6"/>
  <c r="S67" i="6"/>
  <c r="S65" i="6"/>
  <c r="S57" i="6"/>
  <c r="S49" i="6"/>
  <c r="S41" i="6"/>
  <c r="S37" i="6"/>
  <c r="S29" i="6"/>
  <c r="S21" i="6"/>
  <c r="S13" i="6"/>
  <c r="W263" i="6"/>
  <c r="W261" i="6"/>
  <c r="W259" i="6"/>
  <c r="W262" i="6"/>
  <c r="W258" i="6"/>
  <c r="W252" i="6"/>
  <c r="W251" i="6"/>
  <c r="W244" i="6"/>
  <c r="W243" i="6"/>
  <c r="W236" i="6"/>
  <c r="W235" i="6"/>
  <c r="W254" i="6"/>
  <c r="W253" i="6"/>
  <c r="W246" i="6"/>
  <c r="W245" i="6"/>
  <c r="W238" i="6"/>
  <c r="W237" i="6"/>
  <c r="W230" i="6"/>
  <c r="W229" i="6"/>
  <c r="W227" i="6"/>
  <c r="W225" i="6"/>
  <c r="W223" i="6"/>
  <c r="W221" i="6"/>
  <c r="W219" i="6"/>
  <c r="W217" i="6"/>
  <c r="W215" i="6"/>
  <c r="W213" i="6"/>
  <c r="W211" i="6"/>
  <c r="W209" i="6"/>
  <c r="W207" i="6"/>
  <c r="W205" i="6"/>
  <c r="W203" i="6"/>
  <c r="W201" i="6"/>
  <c r="W199" i="6"/>
  <c r="W197" i="6"/>
  <c r="W195" i="6"/>
  <c r="W193" i="6"/>
  <c r="W191" i="6"/>
  <c r="W189" i="6"/>
  <c r="W187" i="6"/>
  <c r="W248" i="6"/>
  <c r="W247" i="6"/>
  <c r="W260" i="6"/>
  <c r="W256" i="6"/>
  <c r="W255" i="6"/>
  <c r="W240" i="6"/>
  <c r="W239" i="6"/>
  <c r="W224" i="6"/>
  <c r="W216" i="6"/>
  <c r="W208" i="6"/>
  <c r="W200" i="6"/>
  <c r="W250" i="6"/>
  <c r="W232" i="6"/>
  <c r="W218" i="6"/>
  <c r="W206" i="6"/>
  <c r="W192" i="6"/>
  <c r="W249" i="6"/>
  <c r="W233" i="6"/>
  <c r="W222" i="6"/>
  <c r="W212" i="6"/>
  <c r="W202" i="6"/>
  <c r="W196" i="6"/>
  <c r="W188" i="6"/>
  <c r="W228" i="6"/>
  <c r="W194" i="6"/>
  <c r="W180" i="6"/>
  <c r="W179" i="6"/>
  <c r="W172" i="6"/>
  <c r="W171" i="6"/>
  <c r="W164" i="6"/>
  <c r="W163" i="6"/>
  <c r="W241" i="6"/>
  <c r="W220" i="6"/>
  <c r="W210" i="6"/>
  <c r="W186" i="6"/>
  <c r="W184" i="6"/>
  <c r="W183" i="6"/>
  <c r="W176" i="6"/>
  <c r="W175" i="6"/>
  <c r="W168" i="6"/>
  <c r="W167" i="6"/>
  <c r="W160" i="6"/>
  <c r="W159" i="6"/>
  <c r="W154" i="6"/>
  <c r="W152" i="6"/>
  <c r="W150" i="6"/>
  <c r="W148" i="6"/>
  <c r="W146" i="6"/>
  <c r="W144" i="6"/>
  <c r="W142" i="6"/>
  <c r="W140" i="6"/>
  <c r="W138" i="6"/>
  <c r="W136" i="6"/>
  <c r="W134" i="6"/>
  <c r="W132" i="6"/>
  <c r="W130" i="6"/>
  <c r="W128" i="6"/>
  <c r="W242" i="6"/>
  <c r="W226" i="6"/>
  <c r="W198" i="6"/>
  <c r="W182" i="6"/>
  <c r="W181" i="6"/>
  <c r="W166" i="6"/>
  <c r="W165" i="6"/>
  <c r="W155" i="6"/>
  <c r="W147" i="6"/>
  <c r="W139" i="6"/>
  <c r="W131" i="6"/>
  <c r="W174" i="6"/>
  <c r="W173" i="6"/>
  <c r="W156" i="6"/>
  <c r="W151" i="6"/>
  <c r="W143" i="6"/>
  <c r="W135" i="6"/>
  <c r="W127" i="6"/>
  <c r="W257" i="6"/>
  <c r="W169" i="6"/>
  <c r="W157" i="6"/>
  <c r="W149" i="6"/>
  <c r="W133" i="6"/>
  <c r="W125" i="6"/>
  <c r="W121" i="6"/>
  <c r="W117" i="6"/>
  <c r="W113" i="6"/>
  <c r="W109" i="6"/>
  <c r="W105" i="6"/>
  <c r="W101" i="6"/>
  <c r="W96" i="6"/>
  <c r="W95" i="6"/>
  <c r="W88" i="6"/>
  <c r="W87" i="6"/>
  <c r="W80" i="6"/>
  <c r="W79" i="6"/>
  <c r="W72" i="6"/>
  <c r="W71" i="6"/>
  <c r="W234" i="6"/>
  <c r="W214" i="6"/>
  <c r="W185" i="6"/>
  <c r="W170" i="6"/>
  <c r="W141" i="6"/>
  <c r="W123" i="6"/>
  <c r="W119" i="6"/>
  <c r="W115" i="6"/>
  <c r="W111" i="6"/>
  <c r="W107" i="6"/>
  <c r="W103" i="6"/>
  <c r="W100" i="6"/>
  <c r="W99" i="6"/>
  <c r="W92" i="6"/>
  <c r="W91" i="6"/>
  <c r="W84" i="6"/>
  <c r="W83" i="6"/>
  <c r="W76" i="6"/>
  <c r="W75" i="6"/>
  <c r="W68" i="6"/>
  <c r="W67" i="6"/>
  <c r="W231" i="6"/>
  <c r="W178" i="6"/>
  <c r="W161" i="6"/>
  <c r="W145" i="6"/>
  <c r="W129" i="6"/>
  <c r="W122" i="6"/>
  <c r="W114" i="6"/>
  <c r="W106" i="6"/>
  <c r="W86" i="6"/>
  <c r="W85" i="6"/>
  <c r="W70" i="6"/>
  <c r="W69" i="6"/>
  <c r="W64" i="6"/>
  <c r="W60" i="6"/>
  <c r="W56" i="6"/>
  <c r="W52" i="6"/>
  <c r="W48" i="6"/>
  <c r="W44" i="6"/>
  <c r="W40" i="6"/>
  <c r="W36" i="6"/>
  <c r="W32" i="6"/>
  <c r="W28" i="6"/>
  <c r="W24" i="6"/>
  <c r="W20" i="6"/>
  <c r="W16" i="6"/>
  <c r="W12" i="6"/>
  <c r="W8" i="6"/>
  <c r="W7" i="6"/>
  <c r="W190" i="6"/>
  <c r="W162" i="6"/>
  <c r="W137" i="6"/>
  <c r="W120" i="6"/>
  <c r="W112" i="6"/>
  <c r="W104" i="6"/>
  <c r="W90" i="6"/>
  <c r="W73" i="6"/>
  <c r="W59" i="6"/>
  <c r="W51" i="6"/>
  <c r="W43" i="6"/>
  <c r="W31" i="6"/>
  <c r="W23" i="6"/>
  <c r="W15" i="6"/>
  <c r="W9" i="6"/>
  <c r="W204" i="6"/>
  <c r="W177" i="6"/>
  <c r="W126" i="6"/>
  <c r="W118" i="6"/>
  <c r="W110" i="6"/>
  <c r="W102" i="6"/>
  <c r="W94" i="6"/>
  <c r="W93" i="6"/>
  <c r="W78" i="6"/>
  <c r="W77" i="6"/>
  <c r="W62" i="6"/>
  <c r="W58" i="6"/>
  <c r="W54" i="6"/>
  <c r="W50" i="6"/>
  <c r="W46" i="6"/>
  <c r="W42" i="6"/>
  <c r="W38" i="6"/>
  <c r="W34" i="6"/>
  <c r="W30" i="6"/>
  <c r="W26" i="6"/>
  <c r="W22" i="6"/>
  <c r="W18" i="6"/>
  <c r="W14" i="6"/>
  <c r="W10" i="6"/>
  <c r="W4" i="6"/>
  <c r="W158" i="6"/>
  <c r="W153" i="6"/>
  <c r="W124" i="6"/>
  <c r="W116" i="6"/>
  <c r="W108" i="6"/>
  <c r="W98" i="6"/>
  <c r="W97" i="6"/>
  <c r="W82" i="6"/>
  <c r="W81" i="6"/>
  <c r="W66" i="6"/>
  <c r="W65" i="6"/>
  <c r="W61" i="6"/>
  <c r="W57" i="6"/>
  <c r="W53" i="6"/>
  <c r="W49" i="6"/>
  <c r="W45" i="6"/>
  <c r="W41" i="6"/>
  <c r="W37" i="6"/>
  <c r="W33" i="6"/>
  <c r="W29" i="6"/>
  <c r="W25" i="6"/>
  <c r="W21" i="6"/>
  <c r="W17" i="6"/>
  <c r="W13" i="6"/>
  <c r="W6" i="6"/>
  <c r="W5" i="6"/>
  <c r="W89" i="6"/>
  <c r="W74" i="6"/>
  <c r="W63" i="6"/>
  <c r="W55" i="6"/>
  <c r="W47" i="6"/>
  <c r="W39" i="6"/>
  <c r="W35" i="6"/>
  <c r="W27" i="6"/>
  <c r="W19" i="6"/>
  <c r="W11" i="6"/>
  <c r="N4" i="6"/>
  <c r="B4" i="6"/>
  <c r="U3" i="6"/>
  <c r="T3" i="6"/>
  <c r="S3" i="6"/>
  <c r="R3" i="6"/>
  <c r="Q3" i="6"/>
  <c r="P3" i="6"/>
  <c r="O3" i="6"/>
  <c r="N3" i="6"/>
  <c r="AX11" i="3"/>
  <c r="AS11" i="3"/>
  <c r="AN11" i="3"/>
  <c r="AI11" i="3"/>
  <c r="AD11" i="3"/>
  <c r="Y11" i="3"/>
  <c r="T11" i="3"/>
  <c r="O11" i="3"/>
  <c r="J11" i="3"/>
  <c r="E11" i="3"/>
  <c r="D35" i="40" l="1"/>
  <c r="F35" i="40" s="1"/>
  <c r="DG135" i="6"/>
  <c r="DG32" i="6"/>
  <c r="DG82" i="6"/>
  <c r="DG61" i="6"/>
  <c r="DG44" i="6"/>
  <c r="DG90" i="6"/>
  <c r="DG89" i="6"/>
  <c r="DG151" i="6"/>
  <c r="DG25" i="6"/>
  <c r="DG41" i="6"/>
  <c r="DG94" i="6"/>
  <c r="DG149" i="6"/>
  <c r="DG202" i="6"/>
  <c r="DG136" i="6"/>
  <c r="DG152" i="6"/>
  <c r="DG168" i="6"/>
  <c r="DG192" i="6"/>
  <c r="DG187" i="6"/>
  <c r="DG203" i="6"/>
  <c r="DG219" i="6"/>
  <c r="DG235" i="6"/>
  <c r="DG251" i="6"/>
  <c r="DG157" i="6"/>
  <c r="DG10" i="6"/>
  <c r="DG100" i="6"/>
  <c r="DG220" i="6"/>
  <c r="DG50" i="6"/>
  <c r="DG111" i="6"/>
  <c r="DG22" i="6"/>
  <c r="DG93" i="6"/>
  <c r="DG12" i="6"/>
  <c r="DG58" i="6"/>
  <c r="DG123" i="6"/>
  <c r="DG73" i="6"/>
  <c r="DG105" i="6"/>
  <c r="DG196" i="6"/>
  <c r="DG17" i="6"/>
  <c r="DG33" i="6"/>
  <c r="DG49" i="6"/>
  <c r="DG78" i="6"/>
  <c r="DG110" i="6"/>
  <c r="DG204" i="6"/>
  <c r="DG161" i="6"/>
  <c r="DG112" i="6"/>
  <c r="DG128" i="6"/>
  <c r="DG144" i="6"/>
  <c r="DG160" i="6"/>
  <c r="DG176" i="6"/>
  <c r="DG224" i="6"/>
  <c r="DG252" i="6"/>
  <c r="DG195" i="6"/>
  <c r="DG211" i="6"/>
  <c r="DG227" i="6"/>
  <c r="DG258" i="6"/>
  <c r="DG243" i="6"/>
  <c r="DG259" i="6"/>
  <c r="DG9" i="6"/>
  <c r="DG129" i="6"/>
  <c r="DG242" i="6"/>
  <c r="DG18" i="6"/>
  <c r="DG101" i="6"/>
  <c r="DG8" i="6"/>
  <c r="DG54" i="6"/>
  <c r="DG155" i="6"/>
  <c r="DG30" i="6"/>
  <c r="DG108" i="6"/>
  <c r="DG20" i="6"/>
  <c r="DG59" i="6"/>
  <c r="DG133" i="6"/>
  <c r="DG80" i="6"/>
  <c r="DG119" i="6"/>
  <c r="DG198" i="6"/>
  <c r="DG19" i="6"/>
  <c r="DG35" i="6"/>
  <c r="DG51" i="6"/>
  <c r="DG79" i="6"/>
  <c r="DG117" i="6"/>
  <c r="DG218" i="6"/>
  <c r="DG169" i="6"/>
  <c r="DG114" i="6"/>
  <c r="DG130" i="6"/>
  <c r="DG146" i="6"/>
  <c r="DG162" i="6"/>
  <c r="DG178" i="6"/>
  <c r="DG232" i="6"/>
  <c r="DG181" i="6"/>
  <c r="DG197" i="6"/>
  <c r="DG213" i="6"/>
  <c r="DG229" i="6"/>
  <c r="DG262" i="6"/>
  <c r="DG245" i="6"/>
  <c r="DG261" i="6"/>
  <c r="DG26" i="6"/>
  <c r="DG115" i="6"/>
  <c r="DG16" i="6"/>
  <c r="DG66" i="6"/>
  <c r="DG165" i="6"/>
  <c r="DG38" i="6"/>
  <c r="DG109" i="6"/>
  <c r="DG28" i="6"/>
  <c r="DG74" i="6"/>
  <c r="DG143" i="6"/>
  <c r="DG81" i="6"/>
  <c r="DG131" i="6"/>
  <c r="DG5" i="6"/>
  <c r="DG21" i="6"/>
  <c r="DG37" i="6"/>
  <c r="DG53" i="6"/>
  <c r="DG86" i="6"/>
  <c r="DG127" i="6"/>
  <c r="DG113" i="6"/>
  <c r="DG177" i="6"/>
  <c r="DG116" i="6"/>
  <c r="DG132" i="6"/>
  <c r="DG148" i="6"/>
  <c r="DG164" i="6"/>
  <c r="DG180" i="6"/>
  <c r="DG240" i="6"/>
  <c r="DG183" i="6"/>
  <c r="DG199" i="6"/>
  <c r="DG215" i="6"/>
  <c r="DG234" i="6"/>
  <c r="DG231" i="6"/>
  <c r="DG247" i="6"/>
  <c r="DG263" i="6"/>
  <c r="DG68" i="6"/>
  <c r="DG206" i="6"/>
  <c r="DG34" i="6"/>
  <c r="DG125" i="6"/>
  <c r="DG24" i="6"/>
  <c r="DG67" i="6"/>
  <c r="DG175" i="6"/>
  <c r="DG60" i="6"/>
  <c r="DG147" i="6"/>
  <c r="DG36" i="6"/>
  <c r="DG75" i="6"/>
  <c r="DG244" i="6"/>
  <c r="DG88" i="6"/>
  <c r="DG141" i="6"/>
  <c r="DG7" i="6"/>
  <c r="DG23" i="6"/>
  <c r="DG39" i="6"/>
  <c r="DG55" i="6"/>
  <c r="DG87" i="6"/>
  <c r="DG139" i="6"/>
  <c r="DG121" i="6"/>
  <c r="DG190" i="6"/>
  <c r="DG118" i="6"/>
  <c r="DG134" i="6"/>
  <c r="DG150" i="6"/>
  <c r="DG166" i="6"/>
  <c r="DG184" i="6"/>
  <c r="DG256" i="6"/>
  <c r="DG185" i="6"/>
  <c r="DG201" i="6"/>
  <c r="DG217" i="6"/>
  <c r="DG238" i="6"/>
  <c r="DG233" i="6"/>
  <c r="DG249" i="6"/>
  <c r="DG62" i="6"/>
  <c r="DG69" i="6"/>
  <c r="DG179" i="6"/>
  <c r="DG40" i="6"/>
  <c r="DG83" i="6"/>
  <c r="DG236" i="6"/>
  <c r="DG76" i="6"/>
  <c r="DG167" i="6"/>
  <c r="DG48" i="6"/>
  <c r="DG91" i="6"/>
  <c r="DG64" i="6"/>
  <c r="DG96" i="6"/>
  <c r="DG163" i="6"/>
  <c r="DG11" i="6"/>
  <c r="DG27" i="6"/>
  <c r="DG43" i="6"/>
  <c r="DG63" i="6"/>
  <c r="DG95" i="6"/>
  <c r="DG159" i="6"/>
  <c r="DG137" i="6"/>
  <c r="DG212" i="6"/>
  <c r="DG122" i="6"/>
  <c r="DG138" i="6"/>
  <c r="DG154" i="6"/>
  <c r="DG170" i="6"/>
  <c r="DG200" i="6"/>
  <c r="DG214" i="6"/>
  <c r="DG189" i="6"/>
  <c r="DG205" i="6"/>
  <c r="DG221" i="6"/>
  <c r="DG246" i="6"/>
  <c r="DG237" i="6"/>
  <c r="DG253" i="6"/>
  <c r="DG120" i="6"/>
  <c r="DG84" i="6"/>
  <c r="DG186" i="6"/>
  <c r="DG42" i="6"/>
  <c r="DG98" i="6"/>
  <c r="DG6" i="6"/>
  <c r="DG77" i="6"/>
  <c r="DG210" i="6"/>
  <c r="DG52" i="6"/>
  <c r="DG106" i="6"/>
  <c r="DG65" i="6"/>
  <c r="DG97" i="6"/>
  <c r="DG173" i="6"/>
  <c r="DG13" i="6"/>
  <c r="DG29" i="6"/>
  <c r="DG45" i="6"/>
  <c r="DG70" i="6"/>
  <c r="DG102" i="6"/>
  <c r="DG171" i="6"/>
  <c r="DG145" i="6"/>
  <c r="DG228" i="6"/>
  <c r="DG124" i="6"/>
  <c r="DG140" i="6"/>
  <c r="DG156" i="6"/>
  <c r="DG172" i="6"/>
  <c r="DG208" i="6"/>
  <c r="DG222" i="6"/>
  <c r="DG191" i="6"/>
  <c r="DG207" i="6"/>
  <c r="DG223" i="6"/>
  <c r="DG250" i="6"/>
  <c r="DG239" i="6"/>
  <c r="DG255" i="6"/>
  <c r="DG226" i="6"/>
  <c r="DG57" i="6"/>
  <c r="DG85" i="6"/>
  <c r="DG188" i="6"/>
  <c r="DG46" i="6"/>
  <c r="DG99" i="6"/>
  <c r="DG14" i="6"/>
  <c r="DG92" i="6"/>
  <c r="DG260" i="6"/>
  <c r="DG56" i="6"/>
  <c r="DG107" i="6"/>
  <c r="DG72" i="6"/>
  <c r="DG104" i="6"/>
  <c r="DG194" i="6"/>
  <c r="DG15" i="6"/>
  <c r="DG31" i="6"/>
  <c r="DG47" i="6"/>
  <c r="DG71" i="6"/>
  <c r="DG103" i="6"/>
  <c r="DG182" i="6"/>
  <c r="DG153" i="6"/>
  <c r="DG248" i="6"/>
  <c r="DG126" i="6"/>
  <c r="DG142" i="6"/>
  <c r="DG158" i="6"/>
  <c r="DG174" i="6"/>
  <c r="DG216" i="6"/>
  <c r="DG230" i="6"/>
  <c r="DG193" i="6"/>
  <c r="DG209" i="6"/>
  <c r="DG225" i="6"/>
  <c r="DG254" i="6"/>
  <c r="DG241" i="6"/>
  <c r="DG257" i="6"/>
  <c r="DG4" i="6"/>
  <c r="G16" i="15"/>
  <c r="F16" i="15" s="1"/>
  <c r="C79" i="26"/>
  <c r="B34" i="39" s="1"/>
  <c r="M1" i="15"/>
  <c r="P1" i="15"/>
  <c r="O1" i="15"/>
  <c r="Q1" i="15"/>
  <c r="N1" i="15"/>
  <c r="I15" i="26"/>
  <c r="G15" i="26"/>
  <c r="C15" i="26"/>
  <c r="E15" i="26"/>
  <c r="AJ99" i="6"/>
  <c r="AJ157" i="6"/>
  <c r="AJ10" i="6"/>
  <c r="AJ112" i="6"/>
  <c r="AJ13" i="6"/>
  <c r="AJ29" i="6"/>
  <c r="AJ45" i="6"/>
  <c r="AJ61" i="6"/>
  <c r="AJ84" i="6"/>
  <c r="AJ141" i="6"/>
  <c r="AJ131" i="6"/>
  <c r="AJ142" i="6"/>
  <c r="AJ183" i="6"/>
  <c r="AJ248" i="6"/>
  <c r="AJ206" i="6"/>
  <c r="AJ16" i="6"/>
  <c r="AJ32" i="6"/>
  <c r="AJ48" i="6"/>
  <c r="AJ64" i="6"/>
  <c r="AJ209" i="6"/>
  <c r="AJ199" i="6"/>
  <c r="AJ147" i="6"/>
  <c r="AJ179" i="6"/>
  <c r="AJ240" i="6"/>
  <c r="AJ137" i="6"/>
  <c r="AJ150" i="6"/>
  <c r="AJ174" i="6"/>
  <c r="AJ217" i="6"/>
  <c r="AJ182" i="6"/>
  <c r="AJ222" i="6"/>
  <c r="AJ230" i="6"/>
  <c r="AJ250" i="6"/>
  <c r="AJ237" i="6"/>
  <c r="AJ245" i="6"/>
  <c r="AJ253" i="6"/>
  <c r="AJ261" i="6"/>
  <c r="AJ77" i="6"/>
  <c r="AJ100" i="6"/>
  <c r="AJ88" i="6"/>
  <c r="AJ106" i="6"/>
  <c r="AJ134" i="6"/>
  <c r="AJ166" i="6"/>
  <c r="AJ256" i="6"/>
  <c r="AJ190" i="6"/>
  <c r="AJ109" i="6"/>
  <c r="AJ225" i="6"/>
  <c r="AJ108" i="6"/>
  <c r="AJ158" i="6"/>
  <c r="AJ143" i="6"/>
  <c r="AJ26" i="6"/>
  <c r="AJ42" i="6"/>
  <c r="AJ58" i="6"/>
  <c r="AJ80" i="6"/>
  <c r="AJ107" i="6"/>
  <c r="AJ20" i="6"/>
  <c r="AJ36" i="6"/>
  <c r="AJ52" i="6"/>
  <c r="AJ68" i="6"/>
  <c r="AJ93" i="6"/>
  <c r="AJ115" i="6"/>
  <c r="AJ15" i="6"/>
  <c r="AJ31" i="6"/>
  <c r="AJ39" i="6"/>
  <c r="AJ63" i="6"/>
  <c r="AJ71" i="6"/>
  <c r="AJ91" i="6"/>
  <c r="AJ151" i="6"/>
  <c r="AJ102" i="6"/>
  <c r="AJ223" i="6"/>
  <c r="AJ221" i="6"/>
  <c r="AJ155" i="6"/>
  <c r="AJ187" i="6"/>
  <c r="AJ126" i="6"/>
  <c r="AJ145" i="6"/>
  <c r="AJ136" i="6"/>
  <c r="AJ144" i="6"/>
  <c r="AJ160" i="6"/>
  <c r="AJ168" i="6"/>
  <c r="AJ219" i="6"/>
  <c r="AJ181" i="6"/>
  <c r="AJ197" i="6"/>
  <c r="AJ192" i="6"/>
  <c r="AJ200" i="6"/>
  <c r="AJ208" i="6"/>
  <c r="AJ216" i="6"/>
  <c r="AJ224" i="6"/>
  <c r="AJ238" i="6"/>
  <c r="AJ254" i="6"/>
  <c r="AJ239" i="6"/>
  <c r="AJ247" i="6"/>
  <c r="AJ255" i="6"/>
  <c r="AJ263" i="6"/>
  <c r="AJ38" i="6"/>
  <c r="AJ22" i="6"/>
  <c r="AJ70" i="6"/>
  <c r="AJ79" i="6"/>
  <c r="AJ111" i="6"/>
  <c r="AJ169" i="6"/>
  <c r="AJ203" i="6"/>
  <c r="AJ198" i="6"/>
  <c r="AJ104" i="6"/>
  <c r="AJ7" i="6"/>
  <c r="AJ167" i="6"/>
  <c r="AJ47" i="6"/>
  <c r="AJ133" i="6"/>
  <c r="AJ177" i="6"/>
  <c r="AJ176" i="6"/>
  <c r="AJ215" i="6"/>
  <c r="AJ184" i="6"/>
  <c r="AJ82" i="6"/>
  <c r="AJ6" i="6"/>
  <c r="AJ125" i="6"/>
  <c r="AJ18" i="6"/>
  <c r="AJ34" i="6"/>
  <c r="AJ50" i="6"/>
  <c r="AJ66" i="6"/>
  <c r="AJ97" i="6"/>
  <c r="AJ9" i="6"/>
  <c r="AJ92" i="6"/>
  <c r="AJ12" i="6"/>
  <c r="AJ28" i="6"/>
  <c r="AJ44" i="6"/>
  <c r="AJ60" i="6"/>
  <c r="AJ85" i="6"/>
  <c r="AJ159" i="6"/>
  <c r="AJ83" i="6"/>
  <c r="AJ105" i="6"/>
  <c r="AJ227" i="6"/>
  <c r="AJ19" i="6"/>
  <c r="AJ27" i="6"/>
  <c r="AJ35" i="6"/>
  <c r="AJ43" i="6"/>
  <c r="AJ51" i="6"/>
  <c r="AJ59" i="6"/>
  <c r="AJ67" i="6"/>
  <c r="AJ81" i="6"/>
  <c r="AJ101" i="6"/>
  <c r="AJ129" i="6"/>
  <c r="AJ78" i="6"/>
  <c r="AJ94" i="6"/>
  <c r="AJ110" i="6"/>
  <c r="AJ127" i="6"/>
  <c r="AJ165" i="6"/>
  <c r="AJ173" i="6"/>
  <c r="AJ139" i="6"/>
  <c r="AJ171" i="6"/>
  <c r="AJ211" i="6"/>
  <c r="AJ122" i="6"/>
  <c r="AJ130" i="6"/>
  <c r="AJ161" i="6"/>
  <c r="AJ132" i="6"/>
  <c r="AJ140" i="6"/>
  <c r="AJ148" i="6"/>
  <c r="AJ156" i="6"/>
  <c r="AJ164" i="6"/>
  <c r="AJ172" i="6"/>
  <c r="AJ180" i="6"/>
  <c r="AJ207" i="6"/>
  <c r="AJ252" i="6"/>
  <c r="AJ193" i="6"/>
  <c r="AJ244" i="6"/>
  <c r="AJ213" i="6"/>
  <c r="AJ188" i="6"/>
  <c r="AJ196" i="6"/>
  <c r="AJ204" i="6"/>
  <c r="AJ212" i="6"/>
  <c r="AJ220" i="6"/>
  <c r="AJ228" i="6"/>
  <c r="AJ246" i="6"/>
  <c r="AJ262" i="6"/>
  <c r="AJ235" i="6"/>
  <c r="AJ243" i="6"/>
  <c r="AJ251" i="6"/>
  <c r="AJ259" i="6"/>
  <c r="AJ54" i="6"/>
  <c r="AJ21" i="6"/>
  <c r="AJ37" i="6"/>
  <c r="AJ53" i="6"/>
  <c r="AJ69" i="6"/>
  <c r="AJ95" i="6"/>
  <c r="AJ124" i="6"/>
  <c r="AJ214" i="6"/>
  <c r="AJ236" i="6"/>
  <c r="AJ11" i="6"/>
  <c r="AJ72" i="6"/>
  <c r="AJ73" i="6"/>
  <c r="AJ23" i="6"/>
  <c r="AJ55" i="6"/>
  <c r="AJ113" i="6"/>
  <c r="AJ86" i="6"/>
  <c r="AJ119" i="6"/>
  <c r="AJ118" i="6"/>
  <c r="AJ152" i="6"/>
  <c r="AJ191" i="6"/>
  <c r="AJ231" i="6"/>
  <c r="AJ5" i="6"/>
  <c r="AJ114" i="6"/>
  <c r="AJ14" i="6"/>
  <c r="AJ30" i="6"/>
  <c r="AJ46" i="6"/>
  <c r="AJ62" i="6"/>
  <c r="AJ90" i="6"/>
  <c r="AJ117" i="6"/>
  <c r="AJ89" i="6"/>
  <c r="AJ8" i="6"/>
  <c r="AJ24" i="6"/>
  <c r="AJ40" i="6"/>
  <c r="AJ56" i="6"/>
  <c r="AJ75" i="6"/>
  <c r="AJ121" i="6"/>
  <c r="AJ76" i="6"/>
  <c r="AJ98" i="6"/>
  <c r="AJ135" i="6"/>
  <c r="AJ17" i="6"/>
  <c r="AJ25" i="6"/>
  <c r="AJ33" i="6"/>
  <c r="AJ41" i="6"/>
  <c r="AJ49" i="6"/>
  <c r="AJ57" i="6"/>
  <c r="AJ65" i="6"/>
  <c r="AJ74" i="6"/>
  <c r="AJ96" i="6"/>
  <c r="AJ116" i="6"/>
  <c r="AJ175" i="6"/>
  <c r="AJ87" i="6"/>
  <c r="AJ103" i="6"/>
  <c r="AJ123" i="6"/>
  <c r="AJ149" i="6"/>
  <c r="AJ232" i="6"/>
  <c r="AJ260" i="6"/>
  <c r="AJ163" i="6"/>
  <c r="AJ201" i="6"/>
  <c r="AJ120" i="6"/>
  <c r="AJ128" i="6"/>
  <c r="AJ153" i="6"/>
  <c r="AJ185" i="6"/>
  <c r="AJ138" i="6"/>
  <c r="AJ146" i="6"/>
  <c r="AJ154" i="6"/>
  <c r="AJ162" i="6"/>
  <c r="AJ170" i="6"/>
  <c r="AJ178" i="6"/>
  <c r="AJ195" i="6"/>
  <c r="AJ234" i="6"/>
  <c r="AJ189" i="6"/>
  <c r="AJ229" i="6"/>
  <c r="AJ205" i="6"/>
  <c r="AJ186" i="6"/>
  <c r="AJ194" i="6"/>
  <c r="AJ202" i="6"/>
  <c r="AJ210" i="6"/>
  <c r="AJ218" i="6"/>
  <c r="AJ226" i="6"/>
  <c r="AJ242" i="6"/>
  <c r="AJ258" i="6"/>
  <c r="AJ233" i="6"/>
  <c r="AJ241" i="6"/>
  <c r="AJ249" i="6"/>
  <c r="AJ257" i="6"/>
  <c r="AJ4" i="6"/>
  <c r="AB16" i="15"/>
  <c r="AD16" i="15" s="1"/>
  <c r="L1" i="15"/>
  <c r="M11" i="14"/>
  <c r="I11" i="14"/>
  <c r="L11" i="14"/>
  <c r="H11" i="14"/>
  <c r="K1" i="15"/>
  <c r="J11" i="14"/>
  <c r="F11" i="14"/>
  <c r="I1" i="15"/>
  <c r="N11" i="14"/>
  <c r="G11" i="14"/>
  <c r="J1" i="15"/>
  <c r="K11" i="14"/>
  <c r="E11" i="14"/>
  <c r="H1" i="15"/>
  <c r="Y41" i="6"/>
  <c r="C53" i="12" s="1"/>
  <c r="Y125" i="6"/>
  <c r="C137" i="12" s="1"/>
  <c r="Y255" i="6"/>
  <c r="C267" i="12" s="1"/>
  <c r="Y106" i="6"/>
  <c r="C118" i="12" s="1"/>
  <c r="Y109" i="6"/>
  <c r="C121" i="12" s="1"/>
  <c r="Y186" i="6"/>
  <c r="C198" i="12" s="1"/>
  <c r="Y69" i="6"/>
  <c r="C81" i="12" s="1"/>
  <c r="Y239" i="6"/>
  <c r="C251" i="12" s="1"/>
  <c r="Y114" i="6"/>
  <c r="C126" i="12" s="1"/>
  <c r="Y93" i="6"/>
  <c r="C105" i="12" s="1"/>
  <c r="Y20" i="6"/>
  <c r="C32" i="12" s="1"/>
  <c r="Y165" i="6"/>
  <c r="C177" i="12" s="1"/>
  <c r="Y172" i="6"/>
  <c r="C184" i="12" s="1"/>
  <c r="Y77" i="6"/>
  <c r="C89" i="12" s="1"/>
  <c r="Y17" i="6"/>
  <c r="C29" i="12" s="1"/>
  <c r="Y33" i="6"/>
  <c r="C45" i="12" s="1"/>
  <c r="Y49" i="6"/>
  <c r="C61" i="12" s="1"/>
  <c r="Y65" i="6"/>
  <c r="C77" i="12" s="1"/>
  <c r="Y122" i="6"/>
  <c r="C134" i="12" s="1"/>
  <c r="Y74" i="6"/>
  <c r="C86" i="12" s="1"/>
  <c r="Y181" i="6"/>
  <c r="C193" i="12" s="1"/>
  <c r="Y153" i="6"/>
  <c r="C165" i="12" s="1"/>
  <c r="Y150" i="6"/>
  <c r="C162" i="12" s="1"/>
  <c r="Y228" i="6"/>
  <c r="C240" i="12" s="1"/>
  <c r="Y252" i="6"/>
  <c r="C264" i="12" s="1"/>
  <c r="Y231" i="6"/>
  <c r="C243" i="12" s="1"/>
  <c r="Y247" i="6"/>
  <c r="C259" i="12" s="1"/>
  <c r="Y36" i="6"/>
  <c r="C48" i="12" s="1"/>
  <c r="Y137" i="6"/>
  <c r="C149" i="12" s="1"/>
  <c r="Y224" i="6"/>
  <c r="C236" i="12" s="1"/>
  <c r="Y156" i="6"/>
  <c r="C168" i="12" s="1"/>
  <c r="Y208" i="6"/>
  <c r="C220" i="12" s="1"/>
  <c r="Y230" i="6"/>
  <c r="C242" i="12" s="1"/>
  <c r="Y242" i="6"/>
  <c r="C254" i="12" s="1"/>
  <c r="Y263" i="6"/>
  <c r="C275" i="12" s="1"/>
  <c r="Y6" i="6"/>
  <c r="C18" i="12" s="1"/>
  <c r="Y9" i="6"/>
  <c r="C21" i="12" s="1"/>
  <c r="Y101" i="6"/>
  <c r="C113" i="12" s="1"/>
  <c r="Y28" i="6"/>
  <c r="C40" i="12" s="1"/>
  <c r="Y44" i="6"/>
  <c r="C56" i="12" s="1"/>
  <c r="Y60" i="6"/>
  <c r="C72" i="12" s="1"/>
  <c r="Y202" i="6"/>
  <c r="C214" i="12" s="1"/>
  <c r="Y173" i="6"/>
  <c r="C185" i="12" s="1"/>
  <c r="Y164" i="6"/>
  <c r="C176" i="12" s="1"/>
  <c r="Y216" i="6"/>
  <c r="C228" i="12" s="1"/>
  <c r="Y204" i="6"/>
  <c r="C216" i="12" s="1"/>
  <c r="Y222" i="6"/>
  <c r="C234" i="12" s="1"/>
  <c r="Y131" i="6"/>
  <c r="C143" i="12" s="1"/>
  <c r="Y7" i="6"/>
  <c r="C19" i="12" s="1"/>
  <c r="Y15" i="6"/>
  <c r="C27" i="12" s="1"/>
  <c r="Y39" i="6"/>
  <c r="C51" i="12" s="1"/>
  <c r="Y130" i="6"/>
  <c r="C142" i="12" s="1"/>
  <c r="Y146" i="6"/>
  <c r="C158" i="12" s="1"/>
  <c r="Y176" i="6"/>
  <c r="C188" i="12" s="1"/>
  <c r="Y104" i="6"/>
  <c r="C116" i="12" s="1"/>
  <c r="Y178" i="6"/>
  <c r="C190" i="12" s="1"/>
  <c r="Y244" i="6"/>
  <c r="C256" i="12" s="1"/>
  <c r="Y171" i="6"/>
  <c r="C183" i="12" s="1"/>
  <c r="Y190" i="6"/>
  <c r="C202" i="12" s="1"/>
  <c r="Y195" i="6"/>
  <c r="C207" i="12" s="1"/>
  <c r="Y211" i="6"/>
  <c r="C223" i="12" s="1"/>
  <c r="Y227" i="6"/>
  <c r="C239" i="12" s="1"/>
  <c r="Y237" i="6"/>
  <c r="C249" i="12" s="1"/>
  <c r="Y245" i="6"/>
  <c r="C257" i="12" s="1"/>
  <c r="Y261" i="6"/>
  <c r="C273" i="12" s="1"/>
  <c r="Y88" i="6"/>
  <c r="C100" i="12" s="1"/>
  <c r="Y84" i="6"/>
  <c r="C96" i="12" s="1"/>
  <c r="Y135" i="6"/>
  <c r="C147" i="12" s="1"/>
  <c r="Y207" i="6"/>
  <c r="C219" i="12" s="1"/>
  <c r="Y8" i="6"/>
  <c r="C20" i="12" s="1"/>
  <c r="Y139" i="6"/>
  <c r="C151" i="12" s="1"/>
  <c r="Y96" i="6"/>
  <c r="C108" i="12" s="1"/>
  <c r="Y92" i="6"/>
  <c r="C104" i="12" s="1"/>
  <c r="Y10" i="6"/>
  <c r="C22" i="12" s="1"/>
  <c r="Y13" i="6"/>
  <c r="C25" i="12" s="1"/>
  <c r="Y21" i="6"/>
  <c r="C33" i="12" s="1"/>
  <c r="Y29" i="6"/>
  <c r="C41" i="12" s="1"/>
  <c r="Y37" i="6"/>
  <c r="C49" i="12" s="1"/>
  <c r="Y45" i="6"/>
  <c r="C57" i="12" s="1"/>
  <c r="Y53" i="6"/>
  <c r="C65" i="12" s="1"/>
  <c r="Y61" i="6"/>
  <c r="C73" i="12" s="1"/>
  <c r="Y78" i="6"/>
  <c r="C90" i="12" s="1"/>
  <c r="Y143" i="6"/>
  <c r="C155" i="12" s="1"/>
  <c r="Y16" i="6"/>
  <c r="C28" i="12" s="1"/>
  <c r="Y32" i="6"/>
  <c r="C44" i="12" s="1"/>
  <c r="Y48" i="6"/>
  <c r="C60" i="12" s="1"/>
  <c r="Y64" i="6"/>
  <c r="C76" i="12" s="1"/>
  <c r="Y90" i="6"/>
  <c r="C102" i="12" s="1"/>
  <c r="Y151" i="6"/>
  <c r="C163" i="12" s="1"/>
  <c r="Y212" i="6"/>
  <c r="C224" i="12" s="1"/>
  <c r="Y73" i="6"/>
  <c r="C85" i="12" s="1"/>
  <c r="Y81" i="6"/>
  <c r="C93" i="12" s="1"/>
  <c r="Y89" i="6"/>
  <c r="C101" i="12" s="1"/>
  <c r="Y105" i="6"/>
  <c r="C117" i="12" s="1"/>
  <c r="Y113" i="6"/>
  <c r="C125" i="12" s="1"/>
  <c r="Y121" i="6"/>
  <c r="C133" i="12" s="1"/>
  <c r="Y129" i="6"/>
  <c r="C141" i="12" s="1"/>
  <c r="Y145" i="6"/>
  <c r="C157" i="12" s="1"/>
  <c r="Y160" i="6"/>
  <c r="C172" i="12" s="1"/>
  <c r="Y102" i="6"/>
  <c r="C114" i="12" s="1"/>
  <c r="Y118" i="6"/>
  <c r="C130" i="12" s="1"/>
  <c r="Y126" i="6"/>
  <c r="C138" i="12" s="1"/>
  <c r="Y189" i="6"/>
  <c r="C201" i="12" s="1"/>
  <c r="Y174" i="6"/>
  <c r="C186" i="12" s="1"/>
  <c r="Y234" i="6"/>
  <c r="C246" i="12" s="1"/>
  <c r="Y161" i="6"/>
  <c r="C173" i="12" s="1"/>
  <c r="Y169" i="6"/>
  <c r="C181" i="12" s="1"/>
  <c r="Y177" i="6"/>
  <c r="C189" i="12" s="1"/>
  <c r="Y185" i="6"/>
  <c r="C197" i="12" s="1"/>
  <c r="Y220" i="6"/>
  <c r="C232" i="12" s="1"/>
  <c r="Y194" i="6"/>
  <c r="C206" i="12" s="1"/>
  <c r="Y214" i="6"/>
  <c r="C226" i="12" s="1"/>
  <c r="Y210" i="6"/>
  <c r="C222" i="12" s="1"/>
  <c r="Y226" i="6"/>
  <c r="C238" i="12" s="1"/>
  <c r="Y250" i="6"/>
  <c r="C262" i="12" s="1"/>
  <c r="Y256" i="6"/>
  <c r="C268" i="12" s="1"/>
  <c r="Y246" i="6"/>
  <c r="C258" i="12" s="1"/>
  <c r="Y235" i="6"/>
  <c r="C247" i="12" s="1"/>
  <c r="Y243" i="6"/>
  <c r="C255" i="12" s="1"/>
  <c r="Y251" i="6"/>
  <c r="C263" i="12" s="1"/>
  <c r="Y259" i="6"/>
  <c r="C271" i="12" s="1"/>
  <c r="Y140" i="6"/>
  <c r="C152" i="12" s="1"/>
  <c r="Y148" i="6"/>
  <c r="C160" i="12" s="1"/>
  <c r="Y23" i="6"/>
  <c r="C35" i="12" s="1"/>
  <c r="Y47" i="6"/>
  <c r="C59" i="12" s="1"/>
  <c r="Y26" i="6"/>
  <c r="C38" i="12" s="1"/>
  <c r="Y42" i="6"/>
  <c r="C54" i="12" s="1"/>
  <c r="Y58" i="6"/>
  <c r="C70" i="12" s="1"/>
  <c r="Y67" i="6"/>
  <c r="C79" i="12" s="1"/>
  <c r="Y83" i="6"/>
  <c r="C95" i="12" s="1"/>
  <c r="Y99" i="6"/>
  <c r="C111" i="12" s="1"/>
  <c r="Y112" i="6"/>
  <c r="C124" i="12" s="1"/>
  <c r="Y213" i="6"/>
  <c r="C225" i="12" s="1"/>
  <c r="Y205" i="6"/>
  <c r="C217" i="12" s="1"/>
  <c r="Y221" i="6"/>
  <c r="C233" i="12" s="1"/>
  <c r="Y5" i="6"/>
  <c r="C17" i="12" s="1"/>
  <c r="Y40" i="6"/>
  <c r="C52" i="12" s="1"/>
  <c r="Y110" i="6"/>
  <c r="C122" i="12" s="1"/>
  <c r="Y168" i="6"/>
  <c r="C180" i="12" s="1"/>
  <c r="Y206" i="6"/>
  <c r="C218" i="12" s="1"/>
  <c r="Y199" i="6"/>
  <c r="C211" i="12" s="1"/>
  <c r="Y236" i="6"/>
  <c r="C248" i="12" s="1"/>
  <c r="Y147" i="6"/>
  <c r="C159" i="12" s="1"/>
  <c r="Y24" i="6"/>
  <c r="C36" i="12" s="1"/>
  <c r="Y56" i="6"/>
  <c r="C68" i="12" s="1"/>
  <c r="Y97" i="6"/>
  <c r="C109" i="12" s="1"/>
  <c r="Y142" i="6"/>
  <c r="C154" i="12" s="1"/>
  <c r="Y170" i="6"/>
  <c r="C182" i="12" s="1"/>
  <c r="Y68" i="6"/>
  <c r="C80" i="12" s="1"/>
  <c r="Y72" i="6"/>
  <c r="C84" i="12" s="1"/>
  <c r="Y63" i="6"/>
  <c r="C75" i="12" s="1"/>
  <c r="Y144" i="6"/>
  <c r="C156" i="12" s="1"/>
  <c r="Y34" i="6"/>
  <c r="C46" i="12" s="1"/>
  <c r="Y98" i="6"/>
  <c r="C110" i="12" s="1"/>
  <c r="Y149" i="6"/>
  <c r="C161" i="12" s="1"/>
  <c r="Y182" i="6"/>
  <c r="C194" i="12" s="1"/>
  <c r="Y225" i="6"/>
  <c r="C237" i="12" s="1"/>
  <c r="Y232" i="6"/>
  <c r="C244" i="12" s="1"/>
  <c r="Y254" i="6"/>
  <c r="C266" i="12" s="1"/>
  <c r="Y4" i="6"/>
  <c r="C16" i="12" s="1"/>
  <c r="Y100" i="6"/>
  <c r="C112" i="12" s="1"/>
  <c r="Y80" i="6"/>
  <c r="C92" i="12" s="1"/>
  <c r="Y76" i="6"/>
  <c r="C88" i="12" s="1"/>
  <c r="Y180" i="6"/>
  <c r="C192" i="12" s="1"/>
  <c r="Y132" i="6"/>
  <c r="C144" i="12" s="1"/>
  <c r="Y193" i="6"/>
  <c r="C205" i="12" s="1"/>
  <c r="Y11" i="6"/>
  <c r="C23" i="12" s="1"/>
  <c r="Y19" i="6"/>
  <c r="C31" i="12" s="1"/>
  <c r="Y27" i="6"/>
  <c r="C39" i="12" s="1"/>
  <c r="Y35" i="6"/>
  <c r="C47" i="12" s="1"/>
  <c r="Y43" i="6"/>
  <c r="C55" i="12" s="1"/>
  <c r="Y51" i="6"/>
  <c r="C63" i="12" s="1"/>
  <c r="Y59" i="6"/>
  <c r="C71" i="12" s="1"/>
  <c r="Y70" i="6"/>
  <c r="C82" i="12" s="1"/>
  <c r="Y128" i="6"/>
  <c r="C140" i="12" s="1"/>
  <c r="Y14" i="6"/>
  <c r="C26" i="12" s="1"/>
  <c r="Y22" i="6"/>
  <c r="C34" i="12" s="1"/>
  <c r="Y30" i="6"/>
  <c r="C42" i="12" s="1"/>
  <c r="Y38" i="6"/>
  <c r="C50" i="12" s="1"/>
  <c r="Y46" i="6"/>
  <c r="C58" i="12" s="1"/>
  <c r="Y54" i="6"/>
  <c r="C66" i="12" s="1"/>
  <c r="Y62" i="6"/>
  <c r="C74" i="12" s="1"/>
  <c r="Y82" i="6"/>
  <c r="C94" i="12" s="1"/>
  <c r="Y136" i="6"/>
  <c r="C148" i="12" s="1"/>
  <c r="Y192" i="6"/>
  <c r="C204" i="12" s="1"/>
  <c r="Y71" i="6"/>
  <c r="C83" i="12" s="1"/>
  <c r="Y79" i="6"/>
  <c r="C91" i="12" s="1"/>
  <c r="Y87" i="6"/>
  <c r="C99" i="12" s="1"/>
  <c r="Y95" i="6"/>
  <c r="C107" i="12" s="1"/>
  <c r="Y103" i="6"/>
  <c r="C115" i="12" s="1"/>
  <c r="Y111" i="6"/>
  <c r="C123" i="12" s="1"/>
  <c r="Y119" i="6"/>
  <c r="C131" i="12" s="1"/>
  <c r="Y127" i="6"/>
  <c r="C139" i="12" s="1"/>
  <c r="Y138" i="6"/>
  <c r="C150" i="12" s="1"/>
  <c r="Y154" i="6"/>
  <c r="C166" i="12" s="1"/>
  <c r="Y217" i="6"/>
  <c r="C229" i="12" s="1"/>
  <c r="Y108" i="6"/>
  <c r="C120" i="12" s="1"/>
  <c r="Y116" i="6"/>
  <c r="C128" i="12" s="1"/>
  <c r="Y124" i="6"/>
  <c r="C136" i="12" s="1"/>
  <c r="Y141" i="6"/>
  <c r="C153" i="12" s="1"/>
  <c r="Y158" i="6"/>
  <c r="C170" i="12" s="1"/>
  <c r="Y162" i="6"/>
  <c r="C174" i="12" s="1"/>
  <c r="Y188" i="6"/>
  <c r="C200" i="12" s="1"/>
  <c r="Y166" i="6"/>
  <c r="C178" i="12" s="1"/>
  <c r="Y197" i="6"/>
  <c r="C209" i="12" s="1"/>
  <c r="Y223" i="6"/>
  <c r="C235" i="12" s="1"/>
  <c r="Y159" i="6"/>
  <c r="C171" i="12" s="1"/>
  <c r="Y167" i="6"/>
  <c r="C179" i="12" s="1"/>
  <c r="Y175" i="6"/>
  <c r="C187" i="12" s="1"/>
  <c r="Y183" i="6"/>
  <c r="C195" i="12" s="1"/>
  <c r="Y198" i="6"/>
  <c r="C210" i="12" s="1"/>
  <c r="Y215" i="6"/>
  <c r="C227" i="12" s="1"/>
  <c r="Y187" i="6"/>
  <c r="C199" i="12" s="1"/>
  <c r="Y209" i="6"/>
  <c r="C221" i="12" s="1"/>
  <c r="Y229" i="6"/>
  <c r="C241" i="12" s="1"/>
  <c r="Y203" i="6"/>
  <c r="C215" i="12" s="1"/>
  <c r="Y219" i="6"/>
  <c r="C231" i="12" s="1"/>
  <c r="Y258" i="6"/>
  <c r="C270" i="12" s="1"/>
  <c r="Y248" i="6"/>
  <c r="C260" i="12" s="1"/>
  <c r="Y238" i="6"/>
  <c r="C250" i="12" s="1"/>
  <c r="Y233" i="6"/>
  <c r="C245" i="12" s="1"/>
  <c r="Y241" i="6"/>
  <c r="C253" i="12" s="1"/>
  <c r="Y249" i="6"/>
  <c r="C261" i="12" s="1"/>
  <c r="Y257" i="6"/>
  <c r="C269" i="12" s="1"/>
  <c r="Y31" i="6"/>
  <c r="C43" i="12" s="1"/>
  <c r="Y55" i="6"/>
  <c r="C67" i="12" s="1"/>
  <c r="Y86" i="6"/>
  <c r="C98" i="12" s="1"/>
  <c r="Y18" i="6"/>
  <c r="C30" i="12" s="1"/>
  <c r="Y50" i="6"/>
  <c r="C62" i="12" s="1"/>
  <c r="Y66" i="6"/>
  <c r="C78" i="12" s="1"/>
  <c r="Y152" i="6"/>
  <c r="C164" i="12" s="1"/>
  <c r="Y75" i="6"/>
  <c r="C87" i="12" s="1"/>
  <c r="Y91" i="6"/>
  <c r="C103" i="12" s="1"/>
  <c r="Y107" i="6"/>
  <c r="C119" i="12" s="1"/>
  <c r="Y123" i="6"/>
  <c r="C135" i="12" s="1"/>
  <c r="Y120" i="6"/>
  <c r="C132" i="12" s="1"/>
  <c r="Y133" i="6"/>
  <c r="C145" i="12" s="1"/>
  <c r="Y184" i="6"/>
  <c r="C196" i="12" s="1"/>
  <c r="Y201" i="6"/>
  <c r="C213" i="12" s="1"/>
  <c r="Y163" i="6"/>
  <c r="C175" i="12" s="1"/>
  <c r="Y179" i="6"/>
  <c r="C191" i="12" s="1"/>
  <c r="Y260" i="6"/>
  <c r="C272" i="12" s="1"/>
  <c r="Y262" i="6"/>
  <c r="C274" i="12" s="1"/>
  <c r="Y253" i="6"/>
  <c r="C265" i="12" s="1"/>
  <c r="Y155" i="6"/>
  <c r="C167" i="12" s="1"/>
  <c r="Y25" i="6"/>
  <c r="C37" i="12" s="1"/>
  <c r="Y57" i="6"/>
  <c r="C69" i="12" s="1"/>
  <c r="Y94" i="6"/>
  <c r="C106" i="12" s="1"/>
  <c r="Y12" i="6"/>
  <c r="C24" i="12" s="1"/>
  <c r="Y52" i="6"/>
  <c r="C64" i="12" s="1"/>
  <c r="Y85" i="6"/>
  <c r="C97" i="12" s="1"/>
  <c r="Y117" i="6"/>
  <c r="C129" i="12" s="1"/>
  <c r="Y200" i="6"/>
  <c r="C212" i="12" s="1"/>
  <c r="Y134" i="6"/>
  <c r="C146" i="12" s="1"/>
  <c r="Y196" i="6"/>
  <c r="C208" i="12" s="1"/>
  <c r="Y157" i="6"/>
  <c r="C169" i="12" s="1"/>
  <c r="Y191" i="6"/>
  <c r="C203" i="12" s="1"/>
  <c r="Y218" i="6"/>
  <c r="C230" i="12" s="1"/>
  <c r="Y240" i="6"/>
  <c r="C252" i="12" s="1"/>
  <c r="X4" i="6"/>
  <c r="X24" i="6"/>
  <c r="X263" i="6"/>
  <c r="AL263" i="6" s="1"/>
  <c r="X132" i="6"/>
  <c r="AL132" i="6" s="1"/>
  <c r="X204" i="6"/>
  <c r="AL204" i="6" s="1"/>
  <c r="X140" i="6"/>
  <c r="AL140" i="6" s="1"/>
  <c r="X16" i="6"/>
  <c r="X235" i="6"/>
  <c r="AL235" i="6" s="1"/>
  <c r="X203" i="6"/>
  <c r="AL203" i="6" s="1"/>
  <c r="X171" i="6"/>
  <c r="AL171" i="6" s="1"/>
  <c r="X139" i="6"/>
  <c r="AL139" i="6" s="1"/>
  <c r="X76" i="6"/>
  <c r="AL76" i="6" s="1"/>
  <c r="X12" i="6"/>
  <c r="X207" i="6"/>
  <c r="AL207" i="6" s="1"/>
  <c r="X143" i="6"/>
  <c r="AL143" i="6" s="1"/>
  <c r="X260" i="6"/>
  <c r="AL260" i="6" s="1"/>
  <c r="X256" i="6"/>
  <c r="AL256" i="6" s="1"/>
  <c r="X224" i="6"/>
  <c r="AL224" i="6" s="1"/>
  <c r="X192" i="6"/>
  <c r="AL192" i="6" s="1"/>
  <c r="X160" i="6"/>
  <c r="AL160" i="6" s="1"/>
  <c r="X120" i="6"/>
  <c r="AL120" i="6" s="1"/>
  <c r="X56" i="6"/>
  <c r="X131" i="6"/>
  <c r="AL131" i="6" s="1"/>
  <c r="X99" i="6"/>
  <c r="AL99" i="6" s="1"/>
  <c r="X67" i="6"/>
  <c r="AL67" i="6" s="1"/>
  <c r="X39" i="6"/>
  <c r="X19" i="6"/>
  <c r="X262" i="6"/>
  <c r="AL262" i="6" s="1"/>
  <c r="X246" i="6"/>
  <c r="AL246" i="6" s="1"/>
  <c r="X230" i="6"/>
  <c r="AL230" i="6" s="1"/>
  <c r="X214" i="6"/>
  <c r="AL214" i="6" s="1"/>
  <c r="X198" i="6"/>
  <c r="AL198" i="6" s="1"/>
  <c r="X182" i="6"/>
  <c r="AL182" i="6" s="1"/>
  <c r="X166" i="6"/>
  <c r="AL166" i="6" s="1"/>
  <c r="X150" i="6"/>
  <c r="AL150" i="6" s="1"/>
  <c r="X134" i="6"/>
  <c r="AL134" i="6" s="1"/>
  <c r="X118" i="6"/>
  <c r="AL118" i="6" s="1"/>
  <c r="X102" i="6"/>
  <c r="AL102" i="6" s="1"/>
  <c r="X86" i="6"/>
  <c r="AL86" i="6" s="1"/>
  <c r="X70" i="6"/>
  <c r="AL70" i="6" s="1"/>
  <c r="X54" i="6"/>
  <c r="X38" i="6"/>
  <c r="X22" i="6"/>
  <c r="X6" i="6"/>
  <c r="X111" i="6"/>
  <c r="AL111" i="6" s="1"/>
  <c r="X79" i="6"/>
  <c r="AL79" i="6" s="1"/>
  <c r="X47" i="6"/>
  <c r="X253" i="6"/>
  <c r="AL253" i="6" s="1"/>
  <c r="X237" i="6"/>
  <c r="AL237" i="6" s="1"/>
  <c r="X221" i="6"/>
  <c r="AL221" i="6" s="1"/>
  <c r="X205" i="6"/>
  <c r="AL205" i="6" s="1"/>
  <c r="X189" i="6"/>
  <c r="AL189" i="6" s="1"/>
  <c r="X173" i="6"/>
  <c r="AL173" i="6" s="1"/>
  <c r="X157" i="6"/>
  <c r="AL157" i="6" s="1"/>
  <c r="X141" i="6"/>
  <c r="AL141" i="6" s="1"/>
  <c r="X125" i="6"/>
  <c r="AL125" i="6" s="1"/>
  <c r="X109" i="6"/>
  <c r="AL109" i="6" s="1"/>
  <c r="X93" i="6"/>
  <c r="AL93" i="6" s="1"/>
  <c r="X77" i="6"/>
  <c r="AL77" i="6" s="1"/>
  <c r="X61" i="6"/>
  <c r="AL61" i="6" s="1"/>
  <c r="X45" i="6"/>
  <c r="X29" i="6"/>
  <c r="X13" i="6"/>
  <c r="X199" i="6"/>
  <c r="AL199" i="6" s="1"/>
  <c r="X20" i="6"/>
  <c r="X172" i="6"/>
  <c r="AL172" i="6" s="1"/>
  <c r="X80" i="6"/>
  <c r="AL80" i="6" s="1"/>
  <c r="X128" i="6"/>
  <c r="AL128" i="6" s="1"/>
  <c r="X196" i="6"/>
  <c r="AL196" i="6" s="1"/>
  <c r="X255" i="6"/>
  <c r="AL255" i="6" s="1"/>
  <c r="X194" i="6"/>
  <c r="AL194" i="6" s="1"/>
  <c r="X82" i="6"/>
  <c r="AL82" i="6" s="1"/>
  <c r="X73" i="6"/>
  <c r="AL73" i="6" s="1"/>
  <c r="X247" i="6"/>
  <c r="AL247" i="6" s="1"/>
  <c r="X183" i="6"/>
  <c r="AL183" i="6" s="1"/>
  <c r="X100" i="6"/>
  <c r="AL100" i="6" s="1"/>
  <c r="X252" i="6"/>
  <c r="AL252" i="6" s="1"/>
  <c r="X164" i="6"/>
  <c r="AL164" i="6" s="1"/>
  <c r="X64" i="6"/>
  <c r="AL64" i="6" s="1"/>
  <c r="X259" i="6"/>
  <c r="AL259" i="6" s="1"/>
  <c r="X227" i="6"/>
  <c r="AL227" i="6" s="1"/>
  <c r="X195" i="6"/>
  <c r="AL195" i="6" s="1"/>
  <c r="X163" i="6"/>
  <c r="AL163" i="6" s="1"/>
  <c r="X124" i="6"/>
  <c r="AL124" i="6" s="1"/>
  <c r="X191" i="6"/>
  <c r="AL191" i="6" s="1"/>
  <c r="X116" i="6"/>
  <c r="AL116" i="6" s="1"/>
  <c r="X244" i="6"/>
  <c r="AL244" i="6" s="1"/>
  <c r="X248" i="6"/>
  <c r="AL248" i="6" s="1"/>
  <c r="X216" i="6"/>
  <c r="AL216" i="6" s="1"/>
  <c r="X184" i="6"/>
  <c r="AL184" i="6" s="1"/>
  <c r="X152" i="6"/>
  <c r="AL152" i="6" s="1"/>
  <c r="X104" i="6"/>
  <c r="AL104" i="6" s="1"/>
  <c r="X40" i="6"/>
  <c r="X123" i="6"/>
  <c r="AL123" i="6" s="1"/>
  <c r="X91" i="6"/>
  <c r="AL91" i="6" s="1"/>
  <c r="X59" i="6"/>
  <c r="AL59" i="6" s="1"/>
  <c r="X35" i="6"/>
  <c r="X15" i="6"/>
  <c r="X258" i="6"/>
  <c r="AL258" i="6" s="1"/>
  <c r="X242" i="6"/>
  <c r="AL242" i="6" s="1"/>
  <c r="X226" i="6"/>
  <c r="AL226" i="6" s="1"/>
  <c r="X210" i="6"/>
  <c r="AL210" i="6" s="1"/>
  <c r="X178" i="6"/>
  <c r="AL178" i="6" s="1"/>
  <c r="X162" i="6"/>
  <c r="AL162" i="6" s="1"/>
  <c r="X146" i="6"/>
  <c r="AL146" i="6" s="1"/>
  <c r="X130" i="6"/>
  <c r="AL130" i="6" s="1"/>
  <c r="X114" i="6"/>
  <c r="AL114" i="6" s="1"/>
  <c r="X98" i="6"/>
  <c r="AL98" i="6" s="1"/>
  <c r="X66" i="6"/>
  <c r="AL66" i="6" s="1"/>
  <c r="X50" i="6"/>
  <c r="X34" i="6"/>
  <c r="X18" i="6"/>
  <c r="X135" i="6"/>
  <c r="AL135" i="6" s="1"/>
  <c r="X103" i="6"/>
  <c r="X71" i="6"/>
  <c r="AL71" i="6" s="1"/>
  <c r="X31" i="6"/>
  <c r="X249" i="6"/>
  <c r="AL249" i="6" s="1"/>
  <c r="X233" i="6"/>
  <c r="AL233" i="6" s="1"/>
  <c r="X217" i="6"/>
  <c r="AL217" i="6" s="1"/>
  <c r="X201" i="6"/>
  <c r="AL201" i="6" s="1"/>
  <c r="X185" i="6"/>
  <c r="AL185" i="6" s="1"/>
  <c r="X169" i="6"/>
  <c r="AL169" i="6" s="1"/>
  <c r="X153" i="6"/>
  <c r="AL153" i="6" s="1"/>
  <c r="X137" i="6"/>
  <c r="AL137" i="6" s="1"/>
  <c r="X121" i="6"/>
  <c r="AL121" i="6" s="1"/>
  <c r="X105" i="6"/>
  <c r="AL105" i="6" s="1"/>
  <c r="X89" i="6"/>
  <c r="AL89" i="6" s="1"/>
  <c r="X57" i="6"/>
  <c r="AL57" i="6" s="1"/>
  <c r="X41" i="6"/>
  <c r="X25" i="6"/>
  <c r="X9" i="6"/>
  <c r="X60" i="6"/>
  <c r="AL60" i="6" s="1"/>
  <c r="X231" i="6"/>
  <c r="AL231" i="6" s="1"/>
  <c r="X167" i="6"/>
  <c r="AL167" i="6" s="1"/>
  <c r="X68" i="6"/>
  <c r="AL68" i="6" s="1"/>
  <c r="X236" i="6"/>
  <c r="AL236" i="6" s="1"/>
  <c r="X188" i="6"/>
  <c r="AL188" i="6" s="1"/>
  <c r="X156" i="6"/>
  <c r="AL156" i="6" s="1"/>
  <c r="X112" i="6"/>
  <c r="AL112" i="6" s="1"/>
  <c r="X48" i="6"/>
  <c r="X251" i="6"/>
  <c r="AL251" i="6" s="1"/>
  <c r="X219" i="6"/>
  <c r="AL219" i="6" s="1"/>
  <c r="X187" i="6"/>
  <c r="AL187" i="6" s="1"/>
  <c r="X155" i="6"/>
  <c r="AL155" i="6" s="1"/>
  <c r="X108" i="6"/>
  <c r="AL108" i="6" s="1"/>
  <c r="X44" i="6"/>
  <c r="X239" i="6"/>
  <c r="AL239" i="6" s="1"/>
  <c r="X175" i="6"/>
  <c r="AL175" i="6" s="1"/>
  <c r="X84" i="6"/>
  <c r="AL84" i="6" s="1"/>
  <c r="X228" i="6"/>
  <c r="AL228" i="6" s="1"/>
  <c r="X240" i="6"/>
  <c r="AL240" i="6" s="1"/>
  <c r="X208" i="6"/>
  <c r="AL208" i="6" s="1"/>
  <c r="X176" i="6"/>
  <c r="AL176" i="6" s="1"/>
  <c r="X144" i="6"/>
  <c r="AL144" i="6" s="1"/>
  <c r="X88" i="6"/>
  <c r="AL88" i="6" s="1"/>
  <c r="X83" i="6"/>
  <c r="AL83" i="6" s="1"/>
  <c r="X27" i="6"/>
  <c r="X254" i="6"/>
  <c r="AL254" i="6" s="1"/>
  <c r="X222" i="6"/>
  <c r="AL222" i="6" s="1"/>
  <c r="X190" i="6"/>
  <c r="AL190" i="6" s="1"/>
  <c r="X158" i="6"/>
  <c r="AL158" i="6" s="1"/>
  <c r="X126" i="6"/>
  <c r="AL126" i="6" s="1"/>
  <c r="X94" i="6"/>
  <c r="AL94" i="6" s="1"/>
  <c r="X62" i="6"/>
  <c r="AL62" i="6" s="1"/>
  <c r="X30" i="6"/>
  <c r="X127" i="6"/>
  <c r="AL127" i="6" s="1"/>
  <c r="X63" i="6"/>
  <c r="AL63" i="6" s="1"/>
  <c r="X245" i="6"/>
  <c r="AL245" i="6" s="1"/>
  <c r="X213" i="6"/>
  <c r="AL213" i="6" s="1"/>
  <c r="X181" i="6"/>
  <c r="AL181" i="6" s="1"/>
  <c r="X149" i="6"/>
  <c r="AL149" i="6" s="1"/>
  <c r="X117" i="6"/>
  <c r="AL117" i="6" s="1"/>
  <c r="X85" i="6"/>
  <c r="AL85" i="6" s="1"/>
  <c r="X53" i="6"/>
  <c r="X21" i="6"/>
  <c r="X51" i="6"/>
  <c r="X11" i="6"/>
  <c r="X238" i="6"/>
  <c r="AL238" i="6" s="1"/>
  <c r="X206" i="6"/>
  <c r="AL206" i="6" s="1"/>
  <c r="X174" i="6"/>
  <c r="AL174" i="6" s="1"/>
  <c r="X142" i="6"/>
  <c r="AL142" i="6" s="1"/>
  <c r="X110" i="6"/>
  <c r="AL110" i="6" s="1"/>
  <c r="X78" i="6"/>
  <c r="AL78" i="6" s="1"/>
  <c r="X46" i="6"/>
  <c r="X14" i="6"/>
  <c r="X95" i="6"/>
  <c r="AL95" i="6" s="1"/>
  <c r="X261" i="6"/>
  <c r="AL261" i="6" s="1"/>
  <c r="X229" i="6"/>
  <c r="AL229" i="6" s="1"/>
  <c r="X197" i="6"/>
  <c r="AL197" i="6" s="1"/>
  <c r="X165" i="6"/>
  <c r="AL165" i="6" s="1"/>
  <c r="X133" i="6"/>
  <c r="AL133" i="6" s="1"/>
  <c r="X101" i="6"/>
  <c r="AL101" i="6" s="1"/>
  <c r="X69" i="6"/>
  <c r="AL69" i="6" s="1"/>
  <c r="X37" i="6"/>
  <c r="X5" i="6"/>
  <c r="X215" i="6"/>
  <c r="AL215" i="6" s="1"/>
  <c r="X151" i="6"/>
  <c r="AL151" i="6" s="1"/>
  <c r="X52" i="6"/>
  <c r="X220" i="6"/>
  <c r="AL220" i="6" s="1"/>
  <c r="X180" i="6"/>
  <c r="AL180" i="6" s="1"/>
  <c r="X148" i="6"/>
  <c r="AL148" i="6" s="1"/>
  <c r="X96" i="6"/>
  <c r="AL96" i="6" s="1"/>
  <c r="X32" i="6"/>
  <c r="X243" i="6"/>
  <c r="AL243" i="6" s="1"/>
  <c r="X211" i="6"/>
  <c r="AL211" i="6" s="1"/>
  <c r="X179" i="6"/>
  <c r="AL179" i="6" s="1"/>
  <c r="X147" i="6"/>
  <c r="AL147" i="6" s="1"/>
  <c r="X92" i="6"/>
  <c r="AL92" i="6" s="1"/>
  <c r="X28" i="6"/>
  <c r="X223" i="6"/>
  <c r="AL223" i="6" s="1"/>
  <c r="X159" i="6"/>
  <c r="AL159" i="6" s="1"/>
  <c r="X36" i="6"/>
  <c r="X212" i="6"/>
  <c r="AL212" i="6" s="1"/>
  <c r="X232" i="6"/>
  <c r="AL232" i="6" s="1"/>
  <c r="X200" i="6"/>
  <c r="AL200" i="6" s="1"/>
  <c r="X168" i="6"/>
  <c r="AL168" i="6" s="1"/>
  <c r="X136" i="6"/>
  <c r="AL136" i="6" s="1"/>
  <c r="X72" i="6"/>
  <c r="AL72" i="6" s="1"/>
  <c r="X8" i="6"/>
  <c r="X107" i="6"/>
  <c r="AL107" i="6" s="1"/>
  <c r="X75" i="6"/>
  <c r="AL75" i="6" s="1"/>
  <c r="X43" i="6"/>
  <c r="X23" i="6"/>
  <c r="X7" i="6"/>
  <c r="X250" i="6"/>
  <c r="AL250" i="6" s="1"/>
  <c r="X234" i="6"/>
  <c r="AL234" i="6" s="1"/>
  <c r="X218" i="6"/>
  <c r="AL218" i="6" s="1"/>
  <c r="X202" i="6"/>
  <c r="AL202" i="6" s="1"/>
  <c r="X186" i="6"/>
  <c r="AL186" i="6" s="1"/>
  <c r="X170" i="6"/>
  <c r="AL170" i="6" s="1"/>
  <c r="X154" i="6"/>
  <c r="AL154" i="6" s="1"/>
  <c r="X138" i="6"/>
  <c r="AL138" i="6" s="1"/>
  <c r="X122" i="6"/>
  <c r="AL122" i="6" s="1"/>
  <c r="X106" i="6"/>
  <c r="AL106" i="6" s="1"/>
  <c r="X90" i="6"/>
  <c r="AL90" i="6" s="1"/>
  <c r="X74" i="6"/>
  <c r="AL74" i="6" s="1"/>
  <c r="X58" i="6"/>
  <c r="AL58" i="6" s="1"/>
  <c r="X42" i="6"/>
  <c r="X26" i="6"/>
  <c r="X10" i="6"/>
  <c r="X119" i="6"/>
  <c r="AL119" i="6" s="1"/>
  <c r="X87" i="6"/>
  <c r="AL87" i="6" s="1"/>
  <c r="X55" i="6"/>
  <c r="X257" i="6"/>
  <c r="AL257" i="6" s="1"/>
  <c r="X241" i="6"/>
  <c r="AL241" i="6" s="1"/>
  <c r="X225" i="6"/>
  <c r="AL225" i="6" s="1"/>
  <c r="X209" i="6"/>
  <c r="AL209" i="6" s="1"/>
  <c r="X193" i="6"/>
  <c r="AL193" i="6" s="1"/>
  <c r="X177" i="6"/>
  <c r="AL177" i="6" s="1"/>
  <c r="X161" i="6"/>
  <c r="AL161" i="6" s="1"/>
  <c r="X145" i="6"/>
  <c r="AL145" i="6" s="1"/>
  <c r="X129" i="6"/>
  <c r="AL129" i="6" s="1"/>
  <c r="X113" i="6"/>
  <c r="AL113" i="6" s="1"/>
  <c r="X97" i="6"/>
  <c r="AL97" i="6" s="1"/>
  <c r="X81" i="6"/>
  <c r="AL81" i="6" s="1"/>
  <c r="X65" i="6"/>
  <c r="AL65" i="6" s="1"/>
  <c r="X49" i="6"/>
  <c r="X33" i="6"/>
  <c r="X17" i="6"/>
  <c r="AA3" i="6"/>
  <c r="AB3" i="6"/>
  <c r="AC3" i="6"/>
  <c r="AG3" i="6"/>
  <c r="AE3" i="6"/>
  <c r="AF3" i="6"/>
  <c r="AD3" i="6"/>
  <c r="Z3" i="6"/>
  <c r="AL26" i="6" l="1"/>
  <c r="AL8" i="6"/>
  <c r="AL5" i="6"/>
  <c r="AL9" i="6"/>
  <c r="AL37" i="6"/>
  <c r="AL44" i="6"/>
  <c r="AL25" i="6"/>
  <c r="AL15" i="6"/>
  <c r="AL38" i="6"/>
  <c r="AL24" i="6"/>
  <c r="AL23" i="6"/>
  <c r="AL55" i="6"/>
  <c r="AL33" i="6"/>
  <c r="AL28" i="6"/>
  <c r="AL14" i="6"/>
  <c r="AL11" i="6"/>
  <c r="AL41" i="6"/>
  <c r="AL20" i="6"/>
  <c r="AL54" i="6"/>
  <c r="AL34" i="6"/>
  <c r="AL16" i="6"/>
  <c r="AL32" i="6"/>
  <c r="AL49" i="6"/>
  <c r="AL10" i="6"/>
  <c r="AL7" i="6"/>
  <c r="AL46" i="6"/>
  <c r="AL51" i="6"/>
  <c r="AL18" i="6"/>
  <c r="AL47" i="6"/>
  <c r="AL42" i="6"/>
  <c r="AL43" i="6"/>
  <c r="AL53" i="6"/>
  <c r="AL50" i="6"/>
  <c r="AL29" i="6"/>
  <c r="AL56" i="6"/>
  <c r="AT57" i="6" s="1"/>
  <c r="AL30" i="6"/>
  <c r="AL27" i="6"/>
  <c r="AL40" i="6"/>
  <c r="AL45" i="6"/>
  <c r="AL12" i="6"/>
  <c r="AL13" i="6"/>
  <c r="AL36" i="6"/>
  <c r="AL48" i="6"/>
  <c r="AL31" i="6"/>
  <c r="AL22" i="6"/>
  <c r="AL4" i="6"/>
  <c r="X217" i="12"/>
  <c r="X178" i="12"/>
  <c r="X260" i="12"/>
  <c r="X212" i="12"/>
  <c r="X135" i="12"/>
  <c r="X97" i="12"/>
  <c r="X73" i="12"/>
  <c r="X174" i="12"/>
  <c r="X248" i="12"/>
  <c r="X169" i="12"/>
  <c r="X110" i="12"/>
  <c r="X145" i="12"/>
  <c r="X17" i="12"/>
  <c r="X161" i="12"/>
  <c r="X274" i="12"/>
  <c r="X166" i="12"/>
  <c r="X265" i="12"/>
  <c r="X122" i="12"/>
  <c r="X54" i="12"/>
  <c r="X235" i="12"/>
  <c r="X82" i="12"/>
  <c r="X62" i="12"/>
  <c r="X185" i="12"/>
  <c r="X78" i="12"/>
  <c r="X138" i="12"/>
  <c r="X28" i="12"/>
  <c r="X91" i="12"/>
  <c r="X106" i="12"/>
  <c r="X215" i="12"/>
  <c r="X123" i="12"/>
  <c r="X23" i="12"/>
  <c r="X233" i="12"/>
  <c r="X255" i="12"/>
  <c r="X244" i="12"/>
  <c r="X50" i="12"/>
  <c r="X43" i="12"/>
  <c r="X175" i="12"/>
  <c r="X153" i="12"/>
  <c r="X129" i="12"/>
  <c r="X30" i="12"/>
  <c r="X250" i="12"/>
  <c r="X58" i="12"/>
  <c r="X218" i="12"/>
  <c r="X189" i="12"/>
  <c r="X114" i="12"/>
  <c r="X83" i="12"/>
  <c r="X90" i="12"/>
  <c r="X139" i="12"/>
  <c r="X39" i="12"/>
  <c r="X245" i="12"/>
  <c r="X199" i="12"/>
  <c r="X237" i="12"/>
  <c r="X55" i="12"/>
  <c r="X24" i="12"/>
  <c r="X163" i="12"/>
  <c r="AA261" i="12"/>
  <c r="AA214" i="12"/>
  <c r="AA190" i="12"/>
  <c r="AA140" i="12"/>
  <c r="AA115" i="12"/>
  <c r="AA61" i="12"/>
  <c r="AA133" i="12"/>
  <c r="AA102" i="12"/>
  <c r="AA203" i="12"/>
  <c r="AA85" i="12"/>
  <c r="AA65" i="12"/>
  <c r="AA274" i="12"/>
  <c r="AA168" i="12"/>
  <c r="AA183" i="12"/>
  <c r="AA141" i="12"/>
  <c r="AA39" i="12"/>
  <c r="AA56" i="12"/>
  <c r="AA46" i="12"/>
  <c r="AA181" i="12"/>
  <c r="AA259" i="12"/>
  <c r="AA204" i="12"/>
  <c r="AA157" i="12"/>
  <c r="AA103" i="12"/>
  <c r="AA38" i="12"/>
  <c r="AA257" i="12"/>
  <c r="AA162" i="12"/>
  <c r="AA60" i="12"/>
  <c r="AA153" i="12"/>
  <c r="AA169" i="12"/>
  <c r="X194" i="12"/>
  <c r="AA189" i="12"/>
  <c r="AA80" i="12"/>
  <c r="AA178" i="12"/>
  <c r="X210" i="12"/>
  <c r="AA253" i="12"/>
  <c r="AA206" i="12"/>
  <c r="AA182" i="12"/>
  <c r="AA132" i="12"/>
  <c r="AA99" i="12"/>
  <c r="AA53" i="12"/>
  <c r="AA87" i="12"/>
  <c r="AA74" i="12"/>
  <c r="AA164" i="12"/>
  <c r="AA84" i="12"/>
  <c r="AA49" i="12"/>
  <c r="AA258" i="12"/>
  <c r="AA256" i="12"/>
  <c r="AA160" i="12"/>
  <c r="AA151" i="12"/>
  <c r="AA113" i="12"/>
  <c r="AA31" i="12"/>
  <c r="AA40" i="12"/>
  <c r="AA30" i="12"/>
  <c r="AA145" i="12"/>
  <c r="AA123" i="12"/>
  <c r="AA251" i="12"/>
  <c r="AA209" i="12"/>
  <c r="AA138" i="12"/>
  <c r="AA83" i="12"/>
  <c r="AA64" i="12"/>
  <c r="AA155" i="12"/>
  <c r="AA146" i="12"/>
  <c r="AA249" i="12"/>
  <c r="AA149" i="12"/>
  <c r="AA44" i="12"/>
  <c r="AA96" i="12"/>
  <c r="AA111" i="12"/>
  <c r="X150" i="12"/>
  <c r="X42" i="12"/>
  <c r="AA245" i="12"/>
  <c r="AA198" i="12"/>
  <c r="AA174" i="12"/>
  <c r="AA213" i="12"/>
  <c r="AA187" i="12"/>
  <c r="AA45" i="12"/>
  <c r="AA68" i="12"/>
  <c r="AA58" i="12"/>
  <c r="AA130" i="12"/>
  <c r="AA23" i="12"/>
  <c r="AA33" i="12"/>
  <c r="AA240" i="12"/>
  <c r="AA205" i="12"/>
  <c r="AA152" i="12"/>
  <c r="AA185" i="12"/>
  <c r="AA93" i="12"/>
  <c r="AA239" i="12"/>
  <c r="AA24" i="12"/>
  <c r="AA137" i="12"/>
  <c r="AA59" i="12"/>
  <c r="AA91" i="12"/>
  <c r="AA266" i="12"/>
  <c r="AA193" i="12"/>
  <c r="AA199" i="12"/>
  <c r="AA75" i="12"/>
  <c r="AA48" i="12"/>
  <c r="AA170" i="12"/>
  <c r="AA118" i="12"/>
  <c r="AA262" i="12"/>
  <c r="AA252" i="12"/>
  <c r="AA28" i="12"/>
  <c r="AA73" i="12"/>
  <c r="X229" i="12"/>
  <c r="AA270" i="12"/>
  <c r="AA217" i="12"/>
  <c r="AA166" i="12"/>
  <c r="AA175" i="12"/>
  <c r="AA128" i="12"/>
  <c r="AA37" i="12"/>
  <c r="AA52" i="12"/>
  <c r="AA42" i="12"/>
  <c r="AA131" i="12"/>
  <c r="AA248" i="12"/>
  <c r="AA66" i="12"/>
  <c r="AA232" i="12"/>
  <c r="AA264" i="12"/>
  <c r="AA144" i="12"/>
  <c r="AA177" i="12"/>
  <c r="AA79" i="12"/>
  <c r="AA117" i="12"/>
  <c r="AA104" i="12"/>
  <c r="AA18" i="12"/>
  <c r="AA179" i="12"/>
  <c r="AA82" i="12"/>
  <c r="AA250" i="12"/>
  <c r="AA231" i="12"/>
  <c r="AA167" i="12"/>
  <c r="AA51" i="12"/>
  <c r="AA32" i="12"/>
  <c r="AA120" i="12"/>
  <c r="AA100" i="12"/>
  <c r="AA242" i="12"/>
  <c r="AA191" i="12"/>
  <c r="AA218" i="12"/>
  <c r="AA57" i="12"/>
  <c r="AA225" i="12"/>
  <c r="X131" i="12"/>
  <c r="AA254" i="12"/>
  <c r="AA241" i="12"/>
  <c r="AA158" i="12"/>
  <c r="AA272" i="12"/>
  <c r="AA108" i="12"/>
  <c r="AA29" i="12"/>
  <c r="AA36" i="12"/>
  <c r="AA26" i="12"/>
  <c r="AA98" i="12"/>
  <c r="AA226" i="12"/>
  <c r="AA271" i="12"/>
  <c r="AA224" i="12"/>
  <c r="AA219" i="12"/>
  <c r="AA173" i="12"/>
  <c r="AA139" i="12"/>
  <c r="AA71" i="12"/>
  <c r="AA95" i="12"/>
  <c r="AA21" i="12"/>
  <c r="AA94" i="12"/>
  <c r="AA19" i="12"/>
  <c r="AA34" i="12"/>
  <c r="AA236" i="12"/>
  <c r="AA180" i="12"/>
  <c r="AA233" i="12"/>
  <c r="AA43" i="12"/>
  <c r="AA119" i="12"/>
  <c r="AA237" i="12"/>
  <c r="AA112" i="12"/>
  <c r="AA234" i="12"/>
  <c r="AA159" i="12"/>
  <c r="AA260" i="12"/>
  <c r="AA41" i="12"/>
  <c r="X159" i="12"/>
  <c r="AA238" i="12"/>
  <c r="AA201" i="12"/>
  <c r="AA150" i="12"/>
  <c r="AA244" i="12"/>
  <c r="AA86" i="12"/>
  <c r="AA147" i="12"/>
  <c r="AA20" i="12"/>
  <c r="AA126" i="12"/>
  <c r="AA125" i="12"/>
  <c r="AA136" i="12"/>
  <c r="AA263" i="12"/>
  <c r="AA216" i="12"/>
  <c r="AA192" i="12"/>
  <c r="AA142" i="12"/>
  <c r="AA122" i="12"/>
  <c r="AA63" i="12"/>
  <c r="AA171" i="12"/>
  <c r="AA109" i="12"/>
  <c r="AA196" i="12"/>
  <c r="AA116" i="12"/>
  <c r="AA50" i="12"/>
  <c r="AA228" i="12"/>
  <c r="AA172" i="12"/>
  <c r="AA235" i="12"/>
  <c r="AA27" i="12"/>
  <c r="AA92" i="12"/>
  <c r="AA121" i="12"/>
  <c r="AA89" i="12"/>
  <c r="AA194" i="12"/>
  <c r="AA211" i="12"/>
  <c r="AA195" i="12"/>
  <c r="AA25" i="12"/>
  <c r="AA230" i="12"/>
  <c r="AA246" i="12"/>
  <c r="AA197" i="12"/>
  <c r="AA161" i="12"/>
  <c r="AA77" i="12"/>
  <c r="AA110" i="12"/>
  <c r="AA101" i="12"/>
  <c r="AA67" i="12"/>
  <c r="AM95" i="6"/>
  <c r="AA107" i="12"/>
  <c r="AA255" i="12"/>
  <c r="AA208" i="12"/>
  <c r="AA184" i="12"/>
  <c r="AA134" i="12"/>
  <c r="AM94" i="6"/>
  <c r="AA106" i="12"/>
  <c r="AA55" i="12"/>
  <c r="AA97" i="12"/>
  <c r="AA78" i="12"/>
  <c r="AA227" i="12"/>
  <c r="AA210" i="12"/>
  <c r="AA275" i="12"/>
  <c r="AA220" i="12"/>
  <c r="AA156" i="12"/>
  <c r="AA114" i="12"/>
  <c r="AA70" i="12"/>
  <c r="AA202" i="12"/>
  <c r="AA273" i="12"/>
  <c r="AA229" i="12"/>
  <c r="AA221" i="12"/>
  <c r="AA154" i="12"/>
  <c r="AA124" i="12"/>
  <c r="AA269" i="12"/>
  <c r="AA222" i="12"/>
  <c r="AA207" i="12"/>
  <c r="AA165" i="12"/>
  <c r="AA135" i="12"/>
  <c r="AA69" i="12"/>
  <c r="AA88" i="12"/>
  <c r="AA129" i="12"/>
  <c r="AA243" i="12"/>
  <c r="AA35" i="12"/>
  <c r="AA81" i="12"/>
  <c r="AA247" i="12"/>
  <c r="AA200" i="12"/>
  <c r="AA176" i="12"/>
  <c r="AA223" i="12"/>
  <c r="AA90" i="12"/>
  <c r="AA47" i="12"/>
  <c r="AA72" i="12"/>
  <c r="AA62" i="12"/>
  <c r="AA188" i="12"/>
  <c r="AA215" i="12"/>
  <c r="AA267" i="12"/>
  <c r="AA212" i="12"/>
  <c r="AA148" i="12"/>
  <c r="AA163" i="12"/>
  <c r="AA105" i="12"/>
  <c r="AA54" i="12"/>
  <c r="AA268" i="12"/>
  <c r="AA265" i="12"/>
  <c r="AA186" i="12"/>
  <c r="AA76" i="12"/>
  <c r="AA143" i="12"/>
  <c r="AA22" i="12"/>
  <c r="X227" i="12"/>
  <c r="X252" i="12"/>
  <c r="X191" i="12"/>
  <c r="X103" i="12"/>
  <c r="X187" i="12"/>
  <c r="X46" i="12"/>
  <c r="X241" i="12"/>
  <c r="X221" i="12"/>
  <c r="AA16" i="12"/>
  <c r="X66" i="12"/>
  <c r="X144" i="12"/>
  <c r="X225" i="12"/>
  <c r="X200" i="12"/>
  <c r="X226" i="12"/>
  <c r="X102" i="12"/>
  <c r="X152" i="12"/>
  <c r="X117" i="12"/>
  <c r="X71" i="12"/>
  <c r="X258" i="12"/>
  <c r="X101" i="12"/>
  <c r="X41" i="12"/>
  <c r="X111" i="12"/>
  <c r="X160" i="12"/>
  <c r="X202" i="12"/>
  <c r="X119" i="12"/>
  <c r="X34" i="12"/>
  <c r="X19" i="12"/>
  <c r="X87" i="12"/>
  <c r="X269" i="12"/>
  <c r="X179" i="12"/>
  <c r="X148" i="12"/>
  <c r="X36" i="12"/>
  <c r="X18" i="12"/>
  <c r="X143" i="12"/>
  <c r="X208" i="12"/>
  <c r="X94" i="12"/>
  <c r="AM5" i="6"/>
  <c r="AA17" i="12"/>
  <c r="X132" i="12"/>
  <c r="X93" i="12"/>
  <c r="X207" i="12"/>
  <c r="X88" i="12"/>
  <c r="X154" i="12"/>
  <c r="X180" i="12"/>
  <c r="X262" i="12"/>
  <c r="X172" i="12"/>
  <c r="X85" i="12"/>
  <c r="X25" i="12"/>
  <c r="X96" i="12"/>
  <c r="X259" i="12"/>
  <c r="X134" i="12"/>
  <c r="X32" i="12"/>
  <c r="X267" i="12"/>
  <c r="X231" i="12"/>
  <c r="X170" i="12"/>
  <c r="X68" i="12"/>
  <c r="X79" i="12"/>
  <c r="X271" i="12"/>
  <c r="X222" i="12"/>
  <c r="X246" i="12"/>
  <c r="X141" i="12"/>
  <c r="X273" i="12"/>
  <c r="X256" i="12"/>
  <c r="X72" i="12"/>
  <c r="X264" i="12"/>
  <c r="X61" i="12"/>
  <c r="X126" i="12"/>
  <c r="X220" i="12"/>
  <c r="X240" i="12"/>
  <c r="X75" i="12"/>
  <c r="X196" i="12"/>
  <c r="X120" i="12"/>
  <c r="X158" i="12"/>
  <c r="X21" i="12"/>
  <c r="X184" i="12"/>
  <c r="X51" i="12"/>
  <c r="X99" i="12"/>
  <c r="X63" i="12"/>
  <c r="X192" i="12"/>
  <c r="X182" i="12"/>
  <c r="X124" i="12"/>
  <c r="X35" i="12"/>
  <c r="X268" i="12"/>
  <c r="X33" i="12"/>
  <c r="X147" i="12"/>
  <c r="X142" i="12"/>
  <c r="X176" i="12"/>
  <c r="X48" i="12"/>
  <c r="X86" i="12"/>
  <c r="X177" i="12"/>
  <c r="X118" i="12"/>
  <c r="X230" i="12"/>
  <c r="X64" i="12"/>
  <c r="X272" i="12"/>
  <c r="X67" i="12"/>
  <c r="X270" i="12"/>
  <c r="X195" i="12"/>
  <c r="X47" i="12"/>
  <c r="X92" i="12"/>
  <c r="X109" i="12"/>
  <c r="X95" i="12"/>
  <c r="X238" i="12"/>
  <c r="X173" i="12"/>
  <c r="X157" i="12"/>
  <c r="X224" i="12"/>
  <c r="X22" i="12"/>
  <c r="X100" i="12"/>
  <c r="X183" i="12"/>
  <c r="X27" i="12"/>
  <c r="X214" i="12"/>
  <c r="X254" i="12"/>
  <c r="X243" i="12"/>
  <c r="X77" i="12"/>
  <c r="X105" i="12"/>
  <c r="X137" i="12"/>
  <c r="X204" i="12"/>
  <c r="X112" i="12"/>
  <c r="X52" i="12"/>
  <c r="X104" i="12"/>
  <c r="X242" i="12"/>
  <c r="X53" i="12"/>
  <c r="X98" i="12"/>
  <c r="X181" i="12"/>
  <c r="X203" i="12"/>
  <c r="X26" i="12"/>
  <c r="X31" i="12"/>
  <c r="X156" i="12"/>
  <c r="X70" i="12"/>
  <c r="X263" i="12"/>
  <c r="X186" i="12"/>
  <c r="X133" i="12"/>
  <c r="X65" i="12"/>
  <c r="X108" i="12"/>
  <c r="X257" i="12"/>
  <c r="X190" i="12"/>
  <c r="X56" i="12"/>
  <c r="X45" i="12"/>
  <c r="X251" i="12"/>
  <c r="X155" i="12"/>
  <c r="X69" i="12"/>
  <c r="X213" i="12"/>
  <c r="X164" i="12"/>
  <c r="X261" i="12"/>
  <c r="X171" i="12"/>
  <c r="X136" i="12"/>
  <c r="X140" i="12"/>
  <c r="X266" i="12"/>
  <c r="X206" i="12"/>
  <c r="X201" i="12"/>
  <c r="X125" i="12"/>
  <c r="X76" i="12"/>
  <c r="X57" i="12"/>
  <c r="X151" i="12"/>
  <c r="X249" i="12"/>
  <c r="X116" i="12"/>
  <c r="X234" i="12"/>
  <c r="X40" i="12"/>
  <c r="X168" i="12"/>
  <c r="X162" i="12"/>
  <c r="X29" i="12"/>
  <c r="X81" i="12"/>
  <c r="X146" i="12"/>
  <c r="X37" i="12"/>
  <c r="X253" i="12"/>
  <c r="X115" i="12"/>
  <c r="X74" i="12"/>
  <c r="X205" i="12"/>
  <c r="X84" i="12"/>
  <c r="X38" i="12"/>
  <c r="X247" i="12"/>
  <c r="X232" i="12"/>
  <c r="X60" i="12"/>
  <c r="X49" i="12"/>
  <c r="X20" i="12"/>
  <c r="X239" i="12"/>
  <c r="X188" i="12"/>
  <c r="X216" i="12"/>
  <c r="X113" i="12"/>
  <c r="X236" i="12"/>
  <c r="X165" i="12"/>
  <c r="X89" i="12"/>
  <c r="X198" i="12"/>
  <c r="X275" i="12"/>
  <c r="Y275" i="12" s="1"/>
  <c r="X167" i="12"/>
  <c r="X209" i="12"/>
  <c r="X107" i="12"/>
  <c r="X80" i="12"/>
  <c r="X211" i="12"/>
  <c r="X59" i="12"/>
  <c r="X197" i="12"/>
  <c r="X130" i="12"/>
  <c r="X44" i="12"/>
  <c r="X219" i="12"/>
  <c r="X223" i="12"/>
  <c r="X228" i="12"/>
  <c r="X149" i="12"/>
  <c r="X193" i="12"/>
  <c r="X121" i="12"/>
  <c r="G17" i="15"/>
  <c r="F17" i="15" s="1"/>
  <c r="I54" i="15"/>
  <c r="I55" i="15"/>
  <c r="L54" i="15"/>
  <c r="L55" i="15"/>
  <c r="N14" i="15"/>
  <c r="N55" i="15"/>
  <c r="M14" i="15"/>
  <c r="M55" i="15"/>
  <c r="J54" i="15"/>
  <c r="J55" i="15"/>
  <c r="Q54" i="15"/>
  <c r="Q55" i="15"/>
  <c r="H54" i="15"/>
  <c r="H55" i="15"/>
  <c r="O3" i="15"/>
  <c r="O55" i="15"/>
  <c r="K54" i="15"/>
  <c r="K55" i="15"/>
  <c r="P54" i="15"/>
  <c r="P55" i="15"/>
  <c r="N3" i="15"/>
  <c r="AL103" i="6"/>
  <c r="M47" i="15"/>
  <c r="M50" i="15"/>
  <c r="N25" i="15"/>
  <c r="N29" i="15"/>
  <c r="M15" i="15"/>
  <c r="N23" i="15"/>
  <c r="M5" i="15"/>
  <c r="M18" i="15"/>
  <c r="N24" i="15"/>
  <c r="M48" i="15"/>
  <c r="N8" i="15"/>
  <c r="N34" i="15"/>
  <c r="M45" i="15"/>
  <c r="M39" i="15"/>
  <c r="M32" i="15"/>
  <c r="M10" i="15"/>
  <c r="N48" i="15"/>
  <c r="N15" i="15"/>
  <c r="N13" i="15"/>
  <c r="N26" i="15"/>
  <c r="M29" i="15"/>
  <c r="M24" i="15"/>
  <c r="M31" i="15"/>
  <c r="M41" i="15"/>
  <c r="M20" i="15"/>
  <c r="M34" i="15"/>
  <c r="M3" i="15"/>
  <c r="N32" i="15"/>
  <c r="N39" i="15"/>
  <c r="N7" i="15"/>
  <c r="N5" i="15"/>
  <c r="N50" i="15"/>
  <c r="N18" i="15"/>
  <c r="O54" i="15"/>
  <c r="M44" i="15"/>
  <c r="M7" i="15"/>
  <c r="M42" i="15"/>
  <c r="N47" i="15"/>
  <c r="N4" i="15"/>
  <c r="M13" i="15"/>
  <c r="M4" i="15"/>
  <c r="M23" i="15"/>
  <c r="M25" i="15"/>
  <c r="M8" i="15"/>
  <c r="M26" i="15"/>
  <c r="N45" i="15"/>
  <c r="N20" i="15"/>
  <c r="N31" i="15"/>
  <c r="N41" i="15"/>
  <c r="N44" i="15"/>
  <c r="N42" i="15"/>
  <c r="N10" i="15"/>
  <c r="M37" i="15"/>
  <c r="M9" i="15"/>
  <c r="M36" i="15"/>
  <c r="M51" i="15"/>
  <c r="M35" i="15"/>
  <c r="M19" i="15"/>
  <c r="M53" i="15"/>
  <c r="M17" i="15"/>
  <c r="M28" i="15"/>
  <c r="M54" i="15"/>
  <c r="M38" i="15"/>
  <c r="M22" i="15"/>
  <c r="M6" i="15"/>
  <c r="N33" i="15"/>
  <c r="N40" i="15"/>
  <c r="N12" i="15"/>
  <c r="N43" i="15"/>
  <c r="N27" i="15"/>
  <c r="N11" i="15"/>
  <c r="N37" i="15"/>
  <c r="N9" i="15"/>
  <c r="N36" i="15"/>
  <c r="N54" i="15"/>
  <c r="N38" i="15"/>
  <c r="N22" i="15"/>
  <c r="N6" i="15"/>
  <c r="M49" i="15"/>
  <c r="M21" i="15"/>
  <c r="M52" i="15"/>
  <c r="M16" i="15"/>
  <c r="M43" i="15"/>
  <c r="M27" i="15"/>
  <c r="M11" i="15"/>
  <c r="M33" i="15"/>
  <c r="M40" i="15"/>
  <c r="M12" i="15"/>
  <c r="M46" i="15"/>
  <c r="M30" i="15"/>
  <c r="N49" i="15"/>
  <c r="N17" i="15"/>
  <c r="N28" i="15"/>
  <c r="N51" i="15"/>
  <c r="N35" i="15"/>
  <c r="N19" i="15"/>
  <c r="N53" i="15"/>
  <c r="N21" i="15"/>
  <c r="N52" i="15"/>
  <c r="N16" i="15"/>
  <c r="N46" i="15"/>
  <c r="N30" i="15"/>
  <c r="E25" i="25"/>
  <c r="C25" i="25"/>
  <c r="G25" i="25"/>
  <c r="B25" i="25"/>
  <c r="I16" i="26"/>
  <c r="AB17" i="15"/>
  <c r="AD17" i="15" s="1"/>
  <c r="H3" i="15"/>
  <c r="H49" i="15"/>
  <c r="H48" i="15"/>
  <c r="H41" i="15"/>
  <c r="H40" i="15"/>
  <c r="H33" i="15"/>
  <c r="H32" i="15"/>
  <c r="H25" i="15"/>
  <c r="H24" i="15"/>
  <c r="H17" i="15"/>
  <c r="H16" i="15"/>
  <c r="H44" i="15"/>
  <c r="H28" i="15"/>
  <c r="H31" i="15"/>
  <c r="H23" i="15"/>
  <c r="H22" i="15"/>
  <c r="H11" i="15"/>
  <c r="H51" i="15"/>
  <c r="H50" i="15"/>
  <c r="H43" i="15"/>
  <c r="H42" i="15"/>
  <c r="H35" i="15"/>
  <c r="H34" i="15"/>
  <c r="H27" i="15"/>
  <c r="H26" i="15"/>
  <c r="H19" i="15"/>
  <c r="H18" i="15"/>
  <c r="H14" i="15"/>
  <c r="H12" i="15"/>
  <c r="H10" i="15"/>
  <c r="H8" i="15"/>
  <c r="H6" i="15"/>
  <c r="H4" i="15"/>
  <c r="H53" i="15"/>
  <c r="H52" i="15"/>
  <c r="H45" i="15"/>
  <c r="H37" i="15"/>
  <c r="H36" i="15"/>
  <c r="H29" i="15"/>
  <c r="H21" i="15"/>
  <c r="H20" i="15"/>
  <c r="H47" i="15"/>
  <c r="H46" i="15"/>
  <c r="H39" i="15"/>
  <c r="H38" i="15"/>
  <c r="H30" i="15"/>
  <c r="H15" i="15"/>
  <c r="H13" i="15"/>
  <c r="H9" i="15"/>
  <c r="H7" i="15"/>
  <c r="H5" i="15"/>
  <c r="J52" i="15"/>
  <c r="J51" i="15"/>
  <c r="J44" i="15"/>
  <c r="J43" i="15"/>
  <c r="J36" i="15"/>
  <c r="J35" i="15"/>
  <c r="J28" i="15"/>
  <c r="J27" i="15"/>
  <c r="J20" i="15"/>
  <c r="J19" i="15"/>
  <c r="J48" i="15"/>
  <c r="J16" i="15"/>
  <c r="J15" i="15"/>
  <c r="J50" i="15"/>
  <c r="J49" i="15"/>
  <c r="J33" i="15"/>
  <c r="J26" i="15"/>
  <c r="J25" i="15"/>
  <c r="J10" i="15"/>
  <c r="J53" i="15"/>
  <c r="J46" i="15"/>
  <c r="J45" i="15"/>
  <c r="J38" i="15"/>
  <c r="J37" i="15"/>
  <c r="J30" i="15"/>
  <c r="J29" i="15"/>
  <c r="J22" i="15"/>
  <c r="J21" i="15"/>
  <c r="J13" i="15"/>
  <c r="J11" i="15"/>
  <c r="J9" i="15"/>
  <c r="J7" i="15"/>
  <c r="J5" i="15"/>
  <c r="J3" i="15"/>
  <c r="J47" i="15"/>
  <c r="J40" i="15"/>
  <c r="J39" i="15"/>
  <c r="J32" i="15"/>
  <c r="J31" i="15"/>
  <c r="J24" i="15"/>
  <c r="J23" i="15"/>
  <c r="J42" i="15"/>
  <c r="J41" i="15"/>
  <c r="J34" i="15"/>
  <c r="J18" i="15"/>
  <c r="J17" i="15"/>
  <c r="J14" i="15"/>
  <c r="J12" i="15"/>
  <c r="J8" i="15"/>
  <c r="J6" i="15"/>
  <c r="J4" i="15"/>
  <c r="I53" i="15"/>
  <c r="I51" i="15"/>
  <c r="I49" i="15"/>
  <c r="I47" i="15"/>
  <c r="I45" i="15"/>
  <c r="I43" i="15"/>
  <c r="I41" i="15"/>
  <c r="I39" i="15"/>
  <c r="I37" i="15"/>
  <c r="I35" i="15"/>
  <c r="I33" i="15"/>
  <c r="I31" i="15"/>
  <c r="I29" i="15"/>
  <c r="I27" i="15"/>
  <c r="I25" i="15"/>
  <c r="I23" i="15"/>
  <c r="I21" i="15"/>
  <c r="I19" i="15"/>
  <c r="I17" i="15"/>
  <c r="I15" i="15"/>
  <c r="I50" i="15"/>
  <c r="I42" i="15"/>
  <c r="I34" i="15"/>
  <c r="I26" i="15"/>
  <c r="I18" i="15"/>
  <c r="I14" i="15"/>
  <c r="I12" i="15"/>
  <c r="I10" i="15"/>
  <c r="I8" i="15"/>
  <c r="I6" i="15"/>
  <c r="I4" i="15"/>
  <c r="I13" i="15"/>
  <c r="I9" i="15"/>
  <c r="I7" i="15"/>
  <c r="I48" i="15"/>
  <c r="I32" i="15"/>
  <c r="I24" i="15"/>
  <c r="I52" i="15"/>
  <c r="I44" i="15"/>
  <c r="I36" i="15"/>
  <c r="I28" i="15"/>
  <c r="I20" i="15"/>
  <c r="I46" i="15"/>
  <c r="I38" i="15"/>
  <c r="I30" i="15"/>
  <c r="I22" i="15"/>
  <c r="I11" i="15"/>
  <c r="I5" i="15"/>
  <c r="I3" i="15"/>
  <c r="I40" i="15"/>
  <c r="I16" i="15"/>
  <c r="K52" i="15"/>
  <c r="K50" i="15"/>
  <c r="K48" i="15"/>
  <c r="K46" i="15"/>
  <c r="K44" i="15"/>
  <c r="K42" i="15"/>
  <c r="K40" i="15"/>
  <c r="K38" i="15"/>
  <c r="K36" i="15"/>
  <c r="K34" i="15"/>
  <c r="K32" i="15"/>
  <c r="K30" i="15"/>
  <c r="K28" i="15"/>
  <c r="K26" i="15"/>
  <c r="K24" i="15"/>
  <c r="K22" i="15"/>
  <c r="K20" i="15"/>
  <c r="K18" i="15"/>
  <c r="K16" i="15"/>
  <c r="K53" i="15"/>
  <c r="K45" i="15"/>
  <c r="K37" i="15"/>
  <c r="K29" i="15"/>
  <c r="K21" i="15"/>
  <c r="K13" i="15"/>
  <c r="K11" i="15"/>
  <c r="K9" i="15"/>
  <c r="K7" i="15"/>
  <c r="K5" i="15"/>
  <c r="K3" i="15"/>
  <c r="K49" i="15"/>
  <c r="K17" i="15"/>
  <c r="K12" i="15"/>
  <c r="K6" i="15"/>
  <c r="K51" i="15"/>
  <c r="K35" i="15"/>
  <c r="K27" i="15"/>
  <c r="K19" i="15"/>
  <c r="K47" i="15"/>
  <c r="K39" i="15"/>
  <c r="K31" i="15"/>
  <c r="K23" i="15"/>
  <c r="K15" i="15"/>
  <c r="K41" i="15"/>
  <c r="K33" i="15"/>
  <c r="K25" i="15"/>
  <c r="K14" i="15"/>
  <c r="K10" i="15"/>
  <c r="K8" i="15"/>
  <c r="K4" i="15"/>
  <c r="K43" i="15"/>
  <c r="L47" i="15"/>
  <c r="L46" i="15"/>
  <c r="L39" i="15"/>
  <c r="L38" i="15"/>
  <c r="L31" i="15"/>
  <c r="L30" i="15"/>
  <c r="L23" i="15"/>
  <c r="L22" i="15"/>
  <c r="L15" i="15"/>
  <c r="L51" i="15"/>
  <c r="L50" i="15"/>
  <c r="L19" i="15"/>
  <c r="L18" i="15"/>
  <c r="L37" i="15"/>
  <c r="L36" i="15"/>
  <c r="L29" i="15"/>
  <c r="L28" i="15"/>
  <c r="L20" i="15"/>
  <c r="L9" i="15"/>
  <c r="L7" i="15"/>
  <c r="L5" i="15"/>
  <c r="L49" i="15"/>
  <c r="L48" i="15"/>
  <c r="L41" i="15"/>
  <c r="L40" i="15"/>
  <c r="L33" i="15"/>
  <c r="L32" i="15"/>
  <c r="L25" i="15"/>
  <c r="L24" i="15"/>
  <c r="L17" i="15"/>
  <c r="L16" i="15"/>
  <c r="L14" i="15"/>
  <c r="L12" i="15"/>
  <c r="L10" i="15"/>
  <c r="L8" i="15"/>
  <c r="L6" i="15"/>
  <c r="L4" i="15"/>
  <c r="L43" i="15"/>
  <c r="L42" i="15"/>
  <c r="L35" i="15"/>
  <c r="L34" i="15"/>
  <c r="L27" i="15"/>
  <c r="L26" i="15"/>
  <c r="L53" i="15"/>
  <c r="L52" i="15"/>
  <c r="L45" i="15"/>
  <c r="L44" i="15"/>
  <c r="L21" i="15"/>
  <c r="L13" i="15"/>
  <c r="L11" i="15"/>
  <c r="L3" i="15"/>
  <c r="P50" i="15"/>
  <c r="P49" i="15"/>
  <c r="P42" i="15"/>
  <c r="P41" i="15"/>
  <c r="P34" i="15"/>
  <c r="P33" i="15"/>
  <c r="P26" i="15"/>
  <c r="P25" i="15"/>
  <c r="P18" i="15"/>
  <c r="P17" i="15"/>
  <c r="P53" i="15"/>
  <c r="P46" i="15"/>
  <c r="P45" i="15"/>
  <c r="P38" i="15"/>
  <c r="P37" i="15"/>
  <c r="P30" i="15"/>
  <c r="P29" i="15"/>
  <c r="P22" i="15"/>
  <c r="P21" i="15"/>
  <c r="P47" i="15"/>
  <c r="P40" i="15"/>
  <c r="P39" i="15"/>
  <c r="P16" i="15"/>
  <c r="P15" i="15"/>
  <c r="P14" i="15"/>
  <c r="P12" i="15"/>
  <c r="P8" i="15"/>
  <c r="P6" i="15"/>
  <c r="P4" i="15"/>
  <c r="P52" i="15"/>
  <c r="P51" i="15"/>
  <c r="P44" i="15"/>
  <c r="P43" i="15"/>
  <c r="P36" i="15"/>
  <c r="P35" i="15"/>
  <c r="P28" i="15"/>
  <c r="P27" i="15"/>
  <c r="P20" i="15"/>
  <c r="P19" i="15"/>
  <c r="P13" i="15"/>
  <c r="P11" i="15"/>
  <c r="P9" i="15"/>
  <c r="P7" i="15"/>
  <c r="P5" i="15"/>
  <c r="P3" i="15"/>
  <c r="P48" i="15"/>
  <c r="P32" i="15"/>
  <c r="P31" i="15"/>
  <c r="P24" i="15"/>
  <c r="P23" i="15"/>
  <c r="P10" i="15"/>
  <c r="O53" i="15"/>
  <c r="O51" i="15"/>
  <c r="O49" i="15"/>
  <c r="O47" i="15"/>
  <c r="O45" i="15"/>
  <c r="O43" i="15"/>
  <c r="O41" i="15"/>
  <c r="O39" i="15"/>
  <c r="O37" i="15"/>
  <c r="O35" i="15"/>
  <c r="O33" i="15"/>
  <c r="O31" i="15"/>
  <c r="O29" i="15"/>
  <c r="O27" i="15"/>
  <c r="O25" i="15"/>
  <c r="O23" i="15"/>
  <c r="O21" i="15"/>
  <c r="O19" i="15"/>
  <c r="O17" i="15"/>
  <c r="O15" i="15"/>
  <c r="O48" i="15"/>
  <c r="O40" i="15"/>
  <c r="O32" i="15"/>
  <c r="O24" i="15"/>
  <c r="O16" i="15"/>
  <c r="O14" i="15"/>
  <c r="O12" i="15"/>
  <c r="O10" i="15"/>
  <c r="O8" i="15"/>
  <c r="O6" i="15"/>
  <c r="O4" i="15"/>
  <c r="O52" i="15"/>
  <c r="O36" i="15"/>
  <c r="O20" i="15"/>
  <c r="O11" i="15"/>
  <c r="O5" i="15"/>
  <c r="O46" i="15"/>
  <c r="O38" i="15"/>
  <c r="O30" i="15"/>
  <c r="O50" i="15"/>
  <c r="O42" i="15"/>
  <c r="O34" i="15"/>
  <c r="O26" i="15"/>
  <c r="O18" i="15"/>
  <c r="O44" i="15"/>
  <c r="O28" i="15"/>
  <c r="O13" i="15"/>
  <c r="O9" i="15"/>
  <c r="O7" i="15"/>
  <c r="O22" i="15"/>
  <c r="Q52" i="15"/>
  <c r="Q50" i="15"/>
  <c r="Q48" i="15"/>
  <c r="Q46" i="15"/>
  <c r="Q44" i="15"/>
  <c r="Q42" i="15"/>
  <c r="Q40" i="15"/>
  <c r="Q38" i="15"/>
  <c r="Q36" i="15"/>
  <c r="Q34" i="15"/>
  <c r="Q32" i="15"/>
  <c r="Q30" i="15"/>
  <c r="Q28" i="15"/>
  <c r="Q26" i="15"/>
  <c r="Q24" i="15"/>
  <c r="Q22" i="15"/>
  <c r="Q20" i="15"/>
  <c r="Q18" i="15"/>
  <c r="Q16" i="15"/>
  <c r="Q51" i="15"/>
  <c r="Q43" i="15"/>
  <c r="Q35" i="15"/>
  <c r="Q27" i="15"/>
  <c r="Q19" i="15"/>
  <c r="Q13" i="15"/>
  <c r="Q11" i="15"/>
  <c r="Q9" i="15"/>
  <c r="Q7" i="15"/>
  <c r="Q5" i="15"/>
  <c r="Q3" i="15"/>
  <c r="Q31" i="15"/>
  <c r="Q23" i="15"/>
  <c r="Q14" i="15"/>
  <c r="Q10" i="15"/>
  <c r="Q4" i="15"/>
  <c r="Q41" i="15"/>
  <c r="Q33" i="15"/>
  <c r="Q17" i="15"/>
  <c r="Q53" i="15"/>
  <c r="Q45" i="15"/>
  <c r="Q37" i="15"/>
  <c r="Q29" i="15"/>
  <c r="Q21" i="15"/>
  <c r="Q47" i="15"/>
  <c r="Q39" i="15"/>
  <c r="Q15" i="15"/>
  <c r="Q12" i="15"/>
  <c r="Q8" i="15"/>
  <c r="Q6" i="15"/>
  <c r="Q49" i="15"/>
  <c r="Q25" i="15"/>
  <c r="AL52" i="6"/>
  <c r="AL21" i="6"/>
  <c r="AL17" i="6"/>
  <c r="AL6" i="6"/>
  <c r="AL35" i="6"/>
  <c r="AL39" i="6"/>
  <c r="AL19" i="6"/>
  <c r="AT257" i="6"/>
  <c r="AT230" i="6"/>
  <c r="AT209" i="6"/>
  <c r="AT193" i="6"/>
  <c r="AT83" i="6"/>
  <c r="AT246" i="6"/>
  <c r="AT186" i="6"/>
  <c r="AT165" i="6"/>
  <c r="AT155" i="6"/>
  <c r="AT248" i="6"/>
  <c r="AT114" i="6"/>
  <c r="AT64" i="6"/>
  <c r="AT199" i="6"/>
  <c r="AT219" i="6"/>
  <c r="AT195" i="6"/>
  <c r="AT160" i="6"/>
  <c r="AT171" i="6"/>
  <c r="AT239" i="6"/>
  <c r="AT263" i="6"/>
  <c r="AT183" i="6"/>
  <c r="AT204" i="6"/>
  <c r="AT141" i="6"/>
  <c r="AT72" i="6"/>
  <c r="AT227" i="6"/>
  <c r="AT225" i="6"/>
  <c r="AT76" i="6"/>
  <c r="AT139" i="6"/>
  <c r="AT121" i="6"/>
  <c r="AT63" i="6"/>
  <c r="AT90" i="6"/>
  <c r="AT112" i="6"/>
  <c r="AT260" i="6"/>
  <c r="AT79" i="6"/>
  <c r="AT132" i="6"/>
  <c r="AT148" i="6"/>
  <c r="AT182" i="6"/>
  <c r="AT251" i="6"/>
  <c r="AT196" i="6"/>
  <c r="AT174" i="6"/>
  <c r="AT205" i="6"/>
  <c r="AT122" i="6"/>
  <c r="AT222" i="6"/>
  <c r="AT151" i="6"/>
  <c r="AT233" i="6"/>
  <c r="AT80" i="6"/>
  <c r="AT216" i="6"/>
  <c r="AT214" i="6"/>
  <c r="AT158" i="6"/>
  <c r="AT107" i="6"/>
  <c r="AT101" i="6"/>
  <c r="AT69" i="6"/>
  <c r="AT240" i="6"/>
  <c r="AT172" i="6"/>
  <c r="AT262" i="6"/>
  <c r="AT229" i="6"/>
  <c r="AT163" i="6"/>
  <c r="AT92" i="6"/>
  <c r="AT208" i="6"/>
  <c r="AT256" i="6"/>
  <c r="AT88" i="6"/>
  <c r="AT150" i="6"/>
  <c r="AT180" i="6"/>
  <c r="AT119" i="6"/>
  <c r="AT202" i="6"/>
  <c r="AT140" i="6"/>
  <c r="AT126" i="6"/>
  <c r="AT62" i="6"/>
  <c r="AT60" i="6"/>
  <c r="AT217" i="6"/>
  <c r="AT156" i="6"/>
  <c r="AT145" i="6"/>
  <c r="AT261" i="6"/>
  <c r="AT157" i="6"/>
  <c r="AT184" i="6"/>
  <c r="AT133" i="6"/>
  <c r="AT241" i="6"/>
  <c r="AT218" i="6"/>
  <c r="AT190" i="6"/>
  <c r="AT175" i="6"/>
  <c r="AT159" i="6"/>
  <c r="AT74" i="6"/>
  <c r="AT124" i="6"/>
  <c r="AT58" i="6"/>
  <c r="AT179" i="6"/>
  <c r="AT113" i="6"/>
  <c r="AT185" i="6"/>
  <c r="AT210" i="6"/>
  <c r="AT247" i="6"/>
  <c r="AT232" i="6"/>
  <c r="AT192" i="6"/>
  <c r="AT170" i="6"/>
  <c r="AT149" i="6"/>
  <c r="AT118" i="6"/>
  <c r="AT173" i="6"/>
  <c r="AT100" i="6"/>
  <c r="AT238" i="6"/>
  <c r="AT198" i="6"/>
  <c r="AT167" i="6"/>
  <c r="AT129" i="6"/>
  <c r="AT87" i="6"/>
  <c r="AT242" i="6"/>
  <c r="AT194" i="6"/>
  <c r="AT207" i="6"/>
  <c r="AT164" i="6"/>
  <c r="AT61" i="6"/>
  <c r="AT125" i="6"/>
  <c r="AT59" i="6"/>
  <c r="AT245" i="6"/>
  <c r="AT91" i="6"/>
  <c r="AT258" i="6"/>
  <c r="AT223" i="6"/>
  <c r="AT197" i="6"/>
  <c r="AT123" i="6"/>
  <c r="AT84" i="6"/>
  <c r="AT73" i="6"/>
  <c r="AT142" i="6"/>
  <c r="AT117" i="6"/>
  <c r="AT85" i="6"/>
  <c r="AT136" i="6"/>
  <c r="AT152" i="6"/>
  <c r="AT220" i="6"/>
  <c r="AT231" i="6"/>
  <c r="AT215" i="6"/>
  <c r="AT221" i="6"/>
  <c r="AT106" i="6"/>
  <c r="AT166" i="6"/>
  <c r="AT67" i="6"/>
  <c r="AT228" i="6"/>
  <c r="AT213" i="6"/>
  <c r="AT206" i="6"/>
  <c r="AT237" i="6"/>
  <c r="AT226" i="6"/>
  <c r="AT252" i="6"/>
  <c r="AT191" i="6"/>
  <c r="AT86" i="6"/>
  <c r="AT68" i="6"/>
  <c r="AT75" i="6"/>
  <c r="AT234" i="6"/>
  <c r="AT259" i="6"/>
  <c r="AT203" i="6"/>
  <c r="AT187" i="6"/>
  <c r="AT120" i="6"/>
  <c r="AT224" i="6"/>
  <c r="AT176" i="6"/>
  <c r="AT108" i="6"/>
  <c r="AT181" i="6"/>
  <c r="AT111" i="6"/>
  <c r="AT255" i="6"/>
  <c r="AT89" i="6"/>
  <c r="AT134" i="6"/>
  <c r="AT200" i="6"/>
  <c r="AT243" i="6"/>
  <c r="AT211" i="6"/>
  <c r="AT153" i="6"/>
  <c r="AT143" i="6"/>
  <c r="AT81" i="6"/>
  <c r="AT93" i="6"/>
  <c r="AT70" i="6"/>
  <c r="AT102" i="6"/>
  <c r="AT137" i="6"/>
  <c r="AT77" i="6"/>
  <c r="AT249" i="6"/>
  <c r="AT161" i="6"/>
  <c r="AT65" i="6"/>
  <c r="AT146" i="6"/>
  <c r="AT98" i="6"/>
  <c r="AT168" i="6"/>
  <c r="AT130" i="6"/>
  <c r="AT95" i="6"/>
  <c r="AT235" i="6"/>
  <c r="AT127" i="6"/>
  <c r="AT109" i="6"/>
  <c r="AT253" i="6"/>
  <c r="AT188" i="6"/>
  <c r="AT177" i="6"/>
  <c r="AT31" i="6" l="1"/>
  <c r="AT12" i="6"/>
  <c r="AT41" i="6"/>
  <c r="AT26" i="6"/>
  <c r="AT45" i="6"/>
  <c r="AT8" i="6"/>
  <c r="AT14" i="6"/>
  <c r="AT50" i="6"/>
  <c r="AT51" i="6"/>
  <c r="AT27" i="6"/>
  <c r="AT38" i="6"/>
  <c r="AT37" i="6"/>
  <c r="AT25" i="6"/>
  <c r="AT22" i="6"/>
  <c r="AT48" i="6"/>
  <c r="AT47" i="6"/>
  <c r="AT24" i="6"/>
  <c r="AT46" i="6"/>
  <c r="AT43" i="6"/>
  <c r="AT33" i="6"/>
  <c r="AT5" i="6"/>
  <c r="AT23" i="6"/>
  <c r="AT49" i="6"/>
  <c r="AT10" i="6"/>
  <c r="AT54" i="6"/>
  <c r="AT16" i="6"/>
  <c r="AT29" i="6"/>
  <c r="AT44" i="6"/>
  <c r="AT55" i="6"/>
  <c r="AT28" i="6"/>
  <c r="AT42" i="6"/>
  <c r="AT30" i="6"/>
  <c r="AT9" i="6"/>
  <c r="AT34" i="6"/>
  <c r="AT15" i="6"/>
  <c r="AT11" i="6"/>
  <c r="AT32" i="6"/>
  <c r="AT56" i="6"/>
  <c r="AT13" i="6"/>
  <c r="Y158" i="12"/>
  <c r="Y135" i="12"/>
  <c r="Y121" i="12"/>
  <c r="Y130" i="12"/>
  <c r="Y253" i="12"/>
  <c r="Y255" i="12"/>
  <c r="Y21" i="12"/>
  <c r="Y258" i="12"/>
  <c r="Y80" i="12"/>
  <c r="Y101" i="12"/>
  <c r="Y221" i="12"/>
  <c r="Y44" i="12"/>
  <c r="Y207" i="12"/>
  <c r="Y151" i="12"/>
  <c r="Y83" i="12"/>
  <c r="Y149" i="12"/>
  <c r="Y156" i="12"/>
  <c r="Y20" i="12"/>
  <c r="Y237" i="12"/>
  <c r="Y71" i="12"/>
  <c r="Y89" i="12"/>
  <c r="Y94" i="12"/>
  <c r="Y96" i="12"/>
  <c r="Y240" i="12"/>
  <c r="Y197" i="12"/>
  <c r="Y167" i="12"/>
  <c r="Y138" i="12"/>
  <c r="Y38" i="12"/>
  <c r="Y25" i="12"/>
  <c r="Y266" i="12"/>
  <c r="Y211" i="12"/>
  <c r="Y262" i="12"/>
  <c r="Y62" i="12"/>
  <c r="Y198" i="12"/>
  <c r="Y74" i="12"/>
  <c r="Y171" i="12"/>
  <c r="Y239" i="12"/>
  <c r="Y23" i="12"/>
  <c r="Y199" i="12"/>
  <c r="Y229" i="12"/>
  <c r="Y245" i="12"/>
  <c r="Y179" i="12"/>
  <c r="Y140" i="12"/>
  <c r="Y178" i="12"/>
  <c r="Y60" i="12"/>
  <c r="Y59" i="12"/>
  <c r="Y259" i="12"/>
  <c r="Y66" i="12"/>
  <c r="Y231" i="12"/>
  <c r="Y247" i="12"/>
  <c r="Y143" i="12"/>
  <c r="Y269" i="12"/>
  <c r="Y111" i="12"/>
  <c r="Y185" i="12"/>
  <c r="Y175" i="12"/>
  <c r="Y107" i="12"/>
  <c r="Y215" i="12"/>
  <c r="Y241" i="12"/>
  <c r="Y248" i="12"/>
  <c r="Y189" i="12"/>
  <c r="Y91" i="12"/>
  <c r="Y92" i="12"/>
  <c r="Y81" i="12"/>
  <c r="Y256" i="12"/>
  <c r="Y31" i="12"/>
  <c r="Y98" i="12"/>
  <c r="Y218" i="12"/>
  <c r="Y49" i="12"/>
  <c r="Y29" i="12"/>
  <c r="Y68" i="12"/>
  <c r="Y228" i="12"/>
  <c r="Y161" i="12"/>
  <c r="Y155" i="12"/>
  <c r="Y193" i="12"/>
  <c r="Y212" i="12"/>
  <c r="Y233" i="12"/>
  <c r="Y115" i="12"/>
  <c r="Y168" i="12"/>
  <c r="Y136" i="12"/>
  <c r="Y132" i="12"/>
  <c r="Y173" i="12"/>
  <c r="Y188" i="12"/>
  <c r="Y37" i="12"/>
  <c r="Y226" i="12"/>
  <c r="Y26" i="12"/>
  <c r="Y19" i="12"/>
  <c r="Y222" i="12"/>
  <c r="Y34" i="12"/>
  <c r="Y191" i="12"/>
  <c r="Y254" i="12"/>
  <c r="Y157" i="12"/>
  <c r="Y67" i="12"/>
  <c r="Y160" i="12"/>
  <c r="Y176" i="12"/>
  <c r="Y63" i="12"/>
  <c r="Y146" i="12"/>
  <c r="Y57" i="12"/>
  <c r="Y159" i="12"/>
  <c r="Y190" i="12"/>
  <c r="Y263" i="12"/>
  <c r="Y148" i="12"/>
  <c r="Y106" i="12"/>
  <c r="Y274" i="12"/>
  <c r="Y271" i="12"/>
  <c r="Y204" i="12"/>
  <c r="Y24" i="12"/>
  <c r="Y214" i="12"/>
  <c r="Y47" i="12"/>
  <c r="Y119" i="12"/>
  <c r="Y88" i="12"/>
  <c r="Y142" i="12"/>
  <c r="Y268" i="12"/>
  <c r="Y58" i="12"/>
  <c r="Y265" i="12"/>
  <c r="Y144" i="12"/>
  <c r="Y217" i="12"/>
  <c r="Y32" i="12"/>
  <c r="Y162" i="12"/>
  <c r="Y76" i="12"/>
  <c r="Y75" i="12"/>
  <c r="Y210" i="12"/>
  <c r="Y257" i="12"/>
  <c r="Y70" i="12"/>
  <c r="Y131" i="12"/>
  <c r="Y169" i="12"/>
  <c r="Y53" i="12"/>
  <c r="Y273" i="12"/>
  <c r="Y79" i="12"/>
  <c r="Y139" i="12"/>
  <c r="Y27" i="12"/>
  <c r="Y238" i="12"/>
  <c r="Y42" i="12"/>
  <c r="Y272" i="12"/>
  <c r="Y166" i="12"/>
  <c r="Y35" i="12"/>
  <c r="Y99" i="12"/>
  <c r="Y129" i="12"/>
  <c r="Y145" i="12"/>
  <c r="Y235" i="12"/>
  <c r="Y261" i="12"/>
  <c r="Y251" i="12"/>
  <c r="Y108" i="12"/>
  <c r="Y18" i="12"/>
  <c r="Y153" i="12"/>
  <c r="Y203" i="12"/>
  <c r="Y104" i="12"/>
  <c r="Y52" i="12"/>
  <c r="Y170" i="12"/>
  <c r="Y85" i="12"/>
  <c r="Y183" i="12"/>
  <c r="Y152" i="12"/>
  <c r="Y64" i="12"/>
  <c r="Y97" i="12"/>
  <c r="Y147" i="12"/>
  <c r="Y51" i="12"/>
  <c r="Y165" i="12"/>
  <c r="Y84" i="12"/>
  <c r="Y40" i="12"/>
  <c r="Y201" i="12"/>
  <c r="Y164" i="12"/>
  <c r="Y45" i="12"/>
  <c r="Y65" i="12"/>
  <c r="Y36" i="12"/>
  <c r="Y61" i="12"/>
  <c r="Y73" i="12"/>
  <c r="Y187" i="12"/>
  <c r="Y137" i="12"/>
  <c r="Y100" i="12"/>
  <c r="Y95" i="12"/>
  <c r="Y150" i="12"/>
  <c r="Y230" i="12"/>
  <c r="Y118" i="12"/>
  <c r="Y33" i="12"/>
  <c r="Y172" i="12"/>
  <c r="Y223" i="12"/>
  <c r="Y236" i="12"/>
  <c r="Y117" i="12"/>
  <c r="Y244" i="12"/>
  <c r="Y55" i="12"/>
  <c r="Y234" i="12"/>
  <c r="Y206" i="12"/>
  <c r="Y213" i="12"/>
  <c r="Y102" i="12"/>
  <c r="Y181" i="12"/>
  <c r="Y264" i="12"/>
  <c r="Y163" i="12"/>
  <c r="Y46" i="12"/>
  <c r="Y105" i="12"/>
  <c r="Y22" i="12"/>
  <c r="Y174" i="12"/>
  <c r="Y267" i="12"/>
  <c r="Y177" i="12"/>
  <c r="Y28" i="12"/>
  <c r="Y182" i="12"/>
  <c r="Y227" i="12"/>
  <c r="Y180" i="12"/>
  <c r="Y219" i="12"/>
  <c r="Y225" i="12"/>
  <c r="Y120" i="12"/>
  <c r="Y113" i="12"/>
  <c r="Y205" i="12"/>
  <c r="Y78" i="12"/>
  <c r="Y200" i="12"/>
  <c r="Y116" i="12"/>
  <c r="Y69" i="12"/>
  <c r="Y220" i="12"/>
  <c r="Y133" i="12"/>
  <c r="Y17" i="12"/>
  <c r="Y154" i="12"/>
  <c r="Y242" i="12"/>
  <c r="Y141" i="12"/>
  <c r="Y112" i="12"/>
  <c r="Y43" i="12"/>
  <c r="Y77" i="12"/>
  <c r="Y90" i="12"/>
  <c r="Y109" i="12"/>
  <c r="Y195" i="12"/>
  <c r="Y134" i="12"/>
  <c r="Y86" i="12"/>
  <c r="Y93" i="12"/>
  <c r="Y194" i="12"/>
  <c r="Y250" i="12"/>
  <c r="Y50" i="12"/>
  <c r="Y184" i="12"/>
  <c r="Y41" i="12"/>
  <c r="Y209" i="12"/>
  <c r="Y216" i="12"/>
  <c r="Y232" i="12"/>
  <c r="Y82" i="12"/>
  <c r="Y196" i="12"/>
  <c r="Y252" i="12"/>
  <c r="Y249" i="12"/>
  <c r="Y54" i="12"/>
  <c r="Y208" i="12"/>
  <c r="Y56" i="12"/>
  <c r="Y186" i="12"/>
  <c r="Y87" i="12"/>
  <c r="Y72" i="12"/>
  <c r="Y246" i="12"/>
  <c r="Y39" i="12"/>
  <c r="Y103" i="12"/>
  <c r="Y243" i="12"/>
  <c r="Y224" i="12"/>
  <c r="Y110" i="12"/>
  <c r="Y270" i="12"/>
  <c r="Y202" i="12"/>
  <c r="Y48" i="12"/>
  <c r="Y114" i="12"/>
  <c r="Y192" i="12"/>
  <c r="Y30" i="12"/>
  <c r="Y260" i="12"/>
  <c r="G18" i="15"/>
  <c r="F18" i="15" s="1"/>
  <c r="G26" i="25"/>
  <c r="AB18" i="15"/>
  <c r="AD18" i="15" s="1"/>
  <c r="AT6" i="6"/>
  <c r="AT17" i="6"/>
  <c r="AT39" i="6"/>
  <c r="AT21" i="6"/>
  <c r="AT19" i="6"/>
  <c r="AT35" i="6"/>
  <c r="AT52" i="6"/>
  <c r="AT7" i="6"/>
  <c r="AT18" i="6"/>
  <c r="AT36" i="6"/>
  <c r="AT20" i="6"/>
  <c r="AT40" i="6"/>
  <c r="AT53" i="6"/>
  <c r="AT96" i="6"/>
  <c r="AT78" i="6"/>
  <c r="AT144" i="6"/>
  <c r="AT147" i="6"/>
  <c r="AT178" i="6"/>
  <c r="AT104" i="6"/>
  <c r="AT135" i="6"/>
  <c r="AT105" i="6"/>
  <c r="AT131" i="6"/>
  <c r="AT138" i="6"/>
  <c r="AT66" i="6"/>
  <c r="AT162" i="6"/>
  <c r="AT97" i="6"/>
  <c r="AT154" i="6"/>
  <c r="AT244" i="6"/>
  <c r="AT169" i="6"/>
  <c r="AT71" i="6"/>
  <c r="AT110" i="6"/>
  <c r="AT94" i="6"/>
  <c r="AT254" i="6"/>
  <c r="AT128" i="6"/>
  <c r="AT250" i="6"/>
  <c r="AT99" i="6"/>
  <c r="AT201" i="6"/>
  <c r="AT103" i="6"/>
  <c r="AT212" i="6"/>
  <c r="AT236" i="6"/>
  <c r="AT82" i="6"/>
  <c r="AT189" i="6"/>
  <c r="G19" i="15" l="1"/>
  <c r="F19" i="15" s="1"/>
  <c r="AB19" i="15"/>
  <c r="AD19" i="15" s="1"/>
  <c r="AM75" i="6"/>
  <c r="AM139" i="6"/>
  <c r="AM62" i="6"/>
  <c r="AM6" i="6"/>
  <c r="G20" i="15" l="1"/>
  <c r="F20" i="15" s="1"/>
  <c r="AB20" i="15"/>
  <c r="AD20" i="15" s="1"/>
  <c r="AM82" i="6"/>
  <c r="AM116" i="6"/>
  <c r="AM179" i="6"/>
  <c r="AM7" i="6"/>
  <c r="BB149" i="3"/>
  <c r="K140" i="6" s="1"/>
  <c r="A140" i="6" s="1"/>
  <c r="BC149" i="3" s="1"/>
  <c r="BB254" i="3"/>
  <c r="K245" i="6" s="1"/>
  <c r="A245" i="6" s="1"/>
  <c r="BC254" i="3" s="1"/>
  <c r="AM43" i="6"/>
  <c r="BB171" i="3"/>
  <c r="K162" i="6" s="1"/>
  <c r="A162" i="6" s="1"/>
  <c r="BC171" i="3" s="1"/>
  <c r="BB166" i="3"/>
  <c r="K157" i="6" s="1"/>
  <c r="A157" i="6" s="1"/>
  <c r="BC166" i="3" s="1"/>
  <c r="AM60" i="6"/>
  <c r="AM53" i="6"/>
  <c r="AM243" i="6"/>
  <c r="AM14" i="6"/>
  <c r="BB108" i="3"/>
  <c r="AM89" i="6"/>
  <c r="BB211" i="3"/>
  <c r="K202" i="6" s="1"/>
  <c r="A202" i="6" s="1"/>
  <c r="BC211" i="3" s="1"/>
  <c r="AM16" i="6"/>
  <c r="AM189" i="6"/>
  <c r="AM105" i="6"/>
  <c r="AM227" i="6"/>
  <c r="AM197" i="6"/>
  <c r="AM218" i="6"/>
  <c r="AM106" i="6"/>
  <c r="BB169" i="3"/>
  <c r="K160" i="6" s="1"/>
  <c r="A160" i="6" s="1"/>
  <c r="BC169" i="3" s="1"/>
  <c r="AM42" i="6"/>
  <c r="AM90" i="6"/>
  <c r="AM175" i="6"/>
  <c r="AM31" i="6"/>
  <c r="AM4" i="6"/>
  <c r="AM141" i="6"/>
  <c r="AM122" i="6"/>
  <c r="AM18" i="6"/>
  <c r="AM249" i="6"/>
  <c r="AM231" i="6"/>
  <c r="AM20" i="6"/>
  <c r="BB83" i="3"/>
  <c r="AM46" i="6"/>
  <c r="AM100" i="6"/>
  <c r="BB151" i="3"/>
  <c r="K142" i="6" s="1"/>
  <c r="A142" i="6" s="1"/>
  <c r="BC151" i="3" s="1"/>
  <c r="AM169" i="6"/>
  <c r="AM137" i="6"/>
  <c r="BB39" i="3"/>
  <c r="K30" i="6" s="1"/>
  <c r="A30" i="6" s="1"/>
  <c r="BC39" i="3" s="1"/>
  <c r="BB220" i="3"/>
  <c r="K211" i="6" s="1"/>
  <c r="A211" i="6" s="1"/>
  <c r="BC220" i="3" s="1"/>
  <c r="BB201" i="3"/>
  <c r="K192" i="6" s="1"/>
  <c r="A192" i="6" s="1"/>
  <c r="BC201" i="3" s="1"/>
  <c r="AM117" i="6"/>
  <c r="BB77" i="3"/>
  <c r="AM138" i="6"/>
  <c r="AM201" i="6"/>
  <c r="AM29" i="6"/>
  <c r="BB153" i="3"/>
  <c r="K144" i="6" s="1"/>
  <c r="A144" i="6" s="1"/>
  <c r="BC153" i="3" s="1"/>
  <c r="AM163" i="6"/>
  <c r="BB64" i="3"/>
  <c r="K55" i="6" s="1"/>
  <c r="A55" i="6" s="1"/>
  <c r="BC64" i="3" s="1"/>
  <c r="BB203" i="3"/>
  <c r="K194" i="6" s="1"/>
  <c r="A194" i="6" s="1"/>
  <c r="BC203" i="3" s="1"/>
  <c r="AM253" i="6"/>
  <c r="BB103" i="3"/>
  <c r="K94" i="6" s="1"/>
  <c r="A94" i="6" s="1"/>
  <c r="BC103" i="3" s="1"/>
  <c r="AM262" i="6"/>
  <c r="AM59" i="6"/>
  <c r="AM26" i="6"/>
  <c r="AM132" i="6"/>
  <c r="BB251" i="3"/>
  <c r="K242" i="6" s="1"/>
  <c r="A242" i="6" s="1"/>
  <c r="BC251" i="3" s="1"/>
  <c r="AM224" i="6"/>
  <c r="AM37" i="6"/>
  <c r="BB219" i="3"/>
  <c r="K210" i="6" s="1"/>
  <c r="A210" i="6" s="1"/>
  <c r="BC219" i="3" s="1"/>
  <c r="AM147" i="6"/>
  <c r="BB30" i="3"/>
  <c r="AM217" i="6"/>
  <c r="BB144" i="3"/>
  <c r="K135" i="6" s="1"/>
  <c r="A135" i="6" s="1"/>
  <c r="BC144" i="3" s="1"/>
  <c r="AM111" i="6"/>
  <c r="AM154" i="6"/>
  <c r="AM259" i="6"/>
  <c r="AM252" i="6"/>
  <c r="BB55" i="3"/>
  <c r="K46" i="6" s="1"/>
  <c r="A46" i="6" s="1"/>
  <c r="BC55" i="3" s="1"/>
  <c r="AM226" i="6"/>
  <c r="BB235" i="3"/>
  <c r="K226" i="6" s="1"/>
  <c r="A226" i="6" s="1"/>
  <c r="BC235" i="3" s="1"/>
  <c r="AM87" i="6"/>
  <c r="BB96" i="3"/>
  <c r="K87" i="6" s="1"/>
  <c r="A87" i="6" s="1"/>
  <c r="BC96" i="3" s="1"/>
  <c r="AM102" i="6"/>
  <c r="BB111" i="3"/>
  <c r="K102" i="6" s="1"/>
  <c r="A102" i="6" s="1"/>
  <c r="BC111" i="3" s="1"/>
  <c r="AM76" i="6"/>
  <c r="BB85" i="3"/>
  <c r="K76" i="6" s="1"/>
  <c r="A76" i="6" s="1"/>
  <c r="BC85" i="3" s="1"/>
  <c r="AM206" i="6"/>
  <c r="BB215" i="3"/>
  <c r="K206" i="6" s="1"/>
  <c r="A206" i="6" s="1"/>
  <c r="BC215" i="3" s="1"/>
  <c r="AM85" i="6"/>
  <c r="BB94" i="3"/>
  <c r="K85" i="6" s="1"/>
  <c r="A85" i="6" s="1"/>
  <c r="BC94" i="3" s="1"/>
  <c r="AM130" i="6"/>
  <c r="BB139" i="3"/>
  <c r="K130" i="6" s="1"/>
  <c r="A130" i="6" s="1"/>
  <c r="BC139" i="3" s="1"/>
  <c r="AM34" i="6"/>
  <c r="BB43" i="3"/>
  <c r="K34" i="6" s="1"/>
  <c r="A34" i="6" s="1"/>
  <c r="BC43" i="3" s="1"/>
  <c r="BB28" i="3"/>
  <c r="K19" i="6" s="1"/>
  <c r="A19" i="6" s="1"/>
  <c r="BC28" i="3" s="1"/>
  <c r="AM19" i="6"/>
  <c r="AM61" i="6"/>
  <c r="BB70" i="3"/>
  <c r="K61" i="6" s="1"/>
  <c r="A61" i="6" s="1"/>
  <c r="BC70" i="3" s="1"/>
  <c r="AM32" i="6"/>
  <c r="BB41" i="3"/>
  <c r="K32" i="6" s="1"/>
  <c r="A32" i="6" s="1"/>
  <c r="BC41" i="3" s="1"/>
  <c r="AM91" i="6"/>
  <c r="BB100" i="3"/>
  <c r="K91" i="6" s="1"/>
  <c r="A91" i="6" s="1"/>
  <c r="BC100" i="3" s="1"/>
  <c r="BB53" i="3"/>
  <c r="K44" i="6" s="1"/>
  <c r="A44" i="6" s="1"/>
  <c r="BC53" i="3" s="1"/>
  <c r="AM44" i="6"/>
  <c r="AM109" i="6"/>
  <c r="BB125" i="3"/>
  <c r="K116" i="6" s="1"/>
  <c r="A116" i="6" s="1"/>
  <c r="BC125" i="3" s="1"/>
  <c r="AM258" i="6"/>
  <c r="AM110" i="6"/>
  <c r="BB25" i="3"/>
  <c r="K16" i="6" s="1"/>
  <c r="A16" i="6" s="1"/>
  <c r="BC25" i="3" s="1"/>
  <c r="AM136" i="6"/>
  <c r="BB126" i="3"/>
  <c r="K117" i="6" s="1"/>
  <c r="A117" i="6" s="1"/>
  <c r="BC126" i="3" s="1"/>
  <c r="BB163" i="3"/>
  <c r="K154" i="6" s="1"/>
  <c r="A154" i="6" s="1"/>
  <c r="BC163" i="3" s="1"/>
  <c r="BB268" i="3"/>
  <c r="K259" i="6" s="1"/>
  <c r="A259" i="6" s="1"/>
  <c r="BC268" i="3" s="1"/>
  <c r="AM219" i="6"/>
  <c r="AM261" i="6"/>
  <c r="AM221" i="6"/>
  <c r="AM21" i="6"/>
  <c r="AM257" i="6"/>
  <c r="BB120" i="3"/>
  <c r="K111" i="6" s="1"/>
  <c r="A111" i="6" s="1"/>
  <c r="BC120" i="3" s="1"/>
  <c r="BB23" i="3"/>
  <c r="K14" i="6" s="1"/>
  <c r="A14" i="6" s="1"/>
  <c r="BC23" i="3" s="1"/>
  <c r="BB261" i="3"/>
  <c r="K252" i="6" s="1"/>
  <c r="A252" i="6" s="1"/>
  <c r="BC261" i="3" s="1"/>
  <c r="AM230" i="6"/>
  <c r="BB227" i="3"/>
  <c r="K218" i="6" s="1"/>
  <c r="A218" i="6" s="1"/>
  <c r="BC227" i="3" s="1"/>
  <c r="AM240" i="6"/>
  <c r="BB188" i="3"/>
  <c r="K179" i="6" s="1"/>
  <c r="A179" i="6" s="1"/>
  <c r="BC188" i="3" s="1"/>
  <c r="BB51" i="3"/>
  <c r="AM176" i="6"/>
  <c r="AM203" i="6"/>
  <c r="AM164" i="6"/>
  <c r="AM205" i="6"/>
  <c r="AM77" i="6"/>
  <c r="BB86" i="3"/>
  <c r="K77" i="6" s="1"/>
  <c r="A77" i="6" s="1"/>
  <c r="BC86" i="3" s="1"/>
  <c r="AM71" i="6"/>
  <c r="BB80" i="3"/>
  <c r="AM78" i="6"/>
  <c r="BB87" i="3"/>
  <c r="AM114" i="6"/>
  <c r="BB123" i="3"/>
  <c r="K114" i="6" s="1"/>
  <c r="A114" i="6" s="1"/>
  <c r="BC123" i="3" s="1"/>
  <c r="AM23" i="6"/>
  <c r="BB32" i="3"/>
  <c r="K23" i="6" s="1"/>
  <c r="A23" i="6" s="1"/>
  <c r="BC32" i="3" s="1"/>
  <c r="AM198" i="6"/>
  <c r="BB207" i="3"/>
  <c r="K198" i="6" s="1"/>
  <c r="A198" i="6" s="1"/>
  <c r="BC207" i="3" s="1"/>
  <c r="AM125" i="6"/>
  <c r="BB134" i="3"/>
  <c r="K125" i="6" s="1"/>
  <c r="A125" i="6" s="1"/>
  <c r="BC134" i="3" s="1"/>
  <c r="AM10" i="6"/>
  <c r="BB19" i="3"/>
  <c r="K10" i="6" s="1"/>
  <c r="A10" i="6" s="1"/>
  <c r="BC19" i="3" s="1"/>
  <c r="AM199" i="6"/>
  <c r="BB208" i="3"/>
  <c r="K199" i="6" s="1"/>
  <c r="A199" i="6" s="1"/>
  <c r="BC208" i="3" s="1"/>
  <c r="AM131" i="6"/>
  <c r="BB140" i="3"/>
  <c r="K131" i="6" s="1"/>
  <c r="A131" i="6" s="1"/>
  <c r="BC140" i="3" s="1"/>
  <c r="AM103" i="6"/>
  <c r="BB112" i="3"/>
  <c r="K103" i="6" s="1"/>
  <c r="A103" i="6" s="1"/>
  <c r="BC112" i="3" s="1"/>
  <c r="AM51" i="6"/>
  <c r="BB60" i="3"/>
  <c r="K51" i="6" s="1"/>
  <c r="A51" i="6" s="1"/>
  <c r="BC60" i="3" s="1"/>
  <c r="AM150" i="6"/>
  <c r="BB159" i="3"/>
  <c r="K150" i="6" s="1"/>
  <c r="A150" i="6" s="1"/>
  <c r="BC159" i="3" s="1"/>
  <c r="AM101" i="6"/>
  <c r="BB110" i="3"/>
  <c r="K101" i="6" s="1"/>
  <c r="A101" i="6" s="1"/>
  <c r="BC110" i="3" s="1"/>
  <c r="AM36" i="6"/>
  <c r="BB45" i="3"/>
  <c r="K36" i="6" s="1"/>
  <c r="A36" i="6" s="1"/>
  <c r="BC45" i="3" s="1"/>
  <c r="AM67" i="6"/>
  <c r="BB76" i="3"/>
  <c r="AM233" i="6"/>
  <c r="BB242" i="3"/>
  <c r="K233" i="6" s="1"/>
  <c r="A233" i="6" s="1"/>
  <c r="BC242" i="3" s="1"/>
  <c r="BB61" i="3"/>
  <c r="K52" i="6" s="1"/>
  <c r="A52" i="6" s="1"/>
  <c r="BC61" i="3" s="1"/>
  <c r="AM52" i="6"/>
  <c r="AM25" i="6"/>
  <c r="BB34" i="3"/>
  <c r="K25" i="6" s="1"/>
  <c r="A25" i="6" s="1"/>
  <c r="BC34" i="3" s="1"/>
  <c r="AM107" i="6"/>
  <c r="BB116" i="3"/>
  <c r="K107" i="6" s="1"/>
  <c r="A107" i="6" s="1"/>
  <c r="BC116" i="3" s="1"/>
  <c r="AM244" i="6"/>
  <c r="BB253" i="3"/>
  <c r="K244" i="6" s="1"/>
  <c r="A244" i="6" s="1"/>
  <c r="BC253" i="3" s="1"/>
  <c r="AM148" i="6"/>
  <c r="BB157" i="3"/>
  <c r="K148" i="6" s="1"/>
  <c r="A148" i="6" s="1"/>
  <c r="BC157" i="3" s="1"/>
  <c r="AM193" i="6"/>
  <c r="BB202" i="3"/>
  <c r="K193" i="6" s="1"/>
  <c r="A193" i="6" s="1"/>
  <c r="BC202" i="3" s="1"/>
  <c r="AM80" i="6"/>
  <c r="BB89" i="3"/>
  <c r="AM237" i="6"/>
  <c r="BB246" i="3"/>
  <c r="K237" i="6" s="1"/>
  <c r="A237" i="6" s="1"/>
  <c r="BC246" i="3" s="1"/>
  <c r="AM68" i="6"/>
  <c r="AM210" i="6"/>
  <c r="BB15" i="3"/>
  <c r="K6" i="6" s="1"/>
  <c r="A6" i="6" s="1"/>
  <c r="BC15" i="3" s="1"/>
  <c r="BB68" i="3"/>
  <c r="BB13" i="3"/>
  <c r="BB252" i="3"/>
  <c r="K243" i="6" s="1"/>
  <c r="A243" i="6" s="1"/>
  <c r="BC252" i="3" s="1"/>
  <c r="BB114" i="3"/>
  <c r="K105" i="6" s="1"/>
  <c r="A105" i="6" s="1"/>
  <c r="BC114" i="3" s="1"/>
  <c r="BB118" i="3"/>
  <c r="K109" i="6" s="1"/>
  <c r="A109" i="6" s="1"/>
  <c r="BC118" i="3" s="1"/>
  <c r="BB150" i="3"/>
  <c r="K141" i="6" s="1"/>
  <c r="A141" i="6" s="1"/>
  <c r="BC150" i="3" s="1"/>
  <c r="BB267" i="3"/>
  <c r="K258" i="6" s="1"/>
  <c r="A258" i="6" s="1"/>
  <c r="BC267" i="3" s="1"/>
  <c r="BB131" i="3"/>
  <c r="K122" i="6" s="1"/>
  <c r="A122" i="6" s="1"/>
  <c r="BC131" i="3" s="1"/>
  <c r="BB119" i="3"/>
  <c r="K110" i="6" s="1"/>
  <c r="A110" i="6" s="1"/>
  <c r="BC119" i="3" s="1"/>
  <c r="BB27" i="3"/>
  <c r="K18" i="6" s="1"/>
  <c r="A18" i="6" s="1"/>
  <c r="BC27" i="3" s="1"/>
  <c r="BB98" i="3"/>
  <c r="K89" i="6" s="1"/>
  <c r="A89" i="6" s="1"/>
  <c r="BC98" i="3" s="1"/>
  <c r="BB46" i="3"/>
  <c r="BB239" i="3"/>
  <c r="K230" i="6" s="1"/>
  <c r="A230" i="6" s="1"/>
  <c r="BC239" i="3" s="1"/>
  <c r="BB258" i="3"/>
  <c r="K249" i="6" s="1"/>
  <c r="A249" i="6" s="1"/>
  <c r="BC258" i="3" s="1"/>
  <c r="BB115" i="3"/>
  <c r="K106" i="6" s="1"/>
  <c r="A106" i="6" s="1"/>
  <c r="BC115" i="3" s="1"/>
  <c r="BB29" i="3"/>
  <c r="K20" i="6" s="1"/>
  <c r="A20" i="6" s="1"/>
  <c r="BC29" i="3" s="1"/>
  <c r="BB71" i="3"/>
  <c r="K62" i="6" s="1"/>
  <c r="A62" i="6" s="1"/>
  <c r="BC71" i="3" s="1"/>
  <c r="BB16" i="3"/>
  <c r="K7" i="6" s="1"/>
  <c r="A7" i="6" s="1"/>
  <c r="BC16" i="3" s="1"/>
  <c r="BB185" i="3"/>
  <c r="K176" i="6" s="1"/>
  <c r="A176" i="6" s="1"/>
  <c r="BC185" i="3" s="1"/>
  <c r="BB91" i="3"/>
  <c r="K82" i="6" s="1"/>
  <c r="A82" i="6" s="1"/>
  <c r="BC91" i="3" s="1"/>
  <c r="BB148" i="3"/>
  <c r="K139" i="6" s="1"/>
  <c r="A139" i="6" s="1"/>
  <c r="BC148" i="3" s="1"/>
  <c r="BB210" i="3"/>
  <c r="K201" i="6" s="1"/>
  <c r="A201" i="6" s="1"/>
  <c r="BC210" i="3" s="1"/>
  <c r="AM149" i="6"/>
  <c r="BB158" i="3"/>
  <c r="K149" i="6" s="1"/>
  <c r="A149" i="6" s="1"/>
  <c r="BC158" i="3" s="1"/>
  <c r="BB228" i="3"/>
  <c r="K219" i="6" s="1"/>
  <c r="A219" i="6" s="1"/>
  <c r="BC228" i="3" s="1"/>
  <c r="AM12" i="6"/>
  <c r="BB21" i="3"/>
  <c r="K12" i="6" s="1"/>
  <c r="A12" i="6" s="1"/>
  <c r="BC21" i="3" s="1"/>
  <c r="AM84" i="6"/>
  <c r="BB93" i="3"/>
  <c r="AM155" i="6"/>
  <c r="BB164" i="3"/>
  <c r="K155" i="6" s="1"/>
  <c r="A155" i="6" s="1"/>
  <c r="BC164" i="3" s="1"/>
  <c r="AM263" i="6"/>
  <c r="BB272" i="3"/>
  <c r="K263" i="6" s="1"/>
  <c r="A263" i="6" s="1"/>
  <c r="BC272" i="3" s="1"/>
  <c r="AM181" i="6"/>
  <c r="BB190" i="3"/>
  <c r="K181" i="6" s="1"/>
  <c r="A181" i="6" s="1"/>
  <c r="BC190" i="3" s="1"/>
  <c r="AM165" i="6"/>
  <c r="BB174" i="3"/>
  <c r="K165" i="6" s="1"/>
  <c r="A165" i="6" s="1"/>
  <c r="BC174" i="3" s="1"/>
  <c r="AM178" i="6"/>
  <c r="BB187" i="3"/>
  <c r="K178" i="6" s="1"/>
  <c r="A178" i="6" s="1"/>
  <c r="BC187" i="3" s="1"/>
  <c r="BB249" i="3"/>
  <c r="K240" i="6" s="1"/>
  <c r="A240" i="6" s="1"/>
  <c r="BC249" i="3" s="1"/>
  <c r="AM97" i="6"/>
  <c r="BB106" i="3"/>
  <c r="K97" i="6" s="1"/>
  <c r="A97" i="6" s="1"/>
  <c r="BC106" i="3" s="1"/>
  <c r="AM27" i="6"/>
  <c r="BB36" i="3"/>
  <c r="K27" i="6" s="1"/>
  <c r="A27" i="6" s="1"/>
  <c r="BC36" i="3" s="1"/>
  <c r="AM191" i="6"/>
  <c r="BB200" i="3"/>
  <c r="K191" i="6" s="1"/>
  <c r="A191" i="6" s="1"/>
  <c r="BC200" i="3" s="1"/>
  <c r="AM211" i="6"/>
  <c r="AM159" i="6"/>
  <c r="BB168" i="3"/>
  <c r="K159" i="6" s="1"/>
  <c r="A159" i="6" s="1"/>
  <c r="BC168" i="3" s="1"/>
  <c r="AM24" i="6"/>
  <c r="BB33" i="3"/>
  <c r="AM118" i="6"/>
  <c r="BB127" i="3"/>
  <c r="K118" i="6" s="1"/>
  <c r="A118" i="6" s="1"/>
  <c r="BC127" i="3" s="1"/>
  <c r="BB52" i="3"/>
  <c r="K43" i="6" s="1"/>
  <c r="A43" i="6" s="1"/>
  <c r="BC52" i="3" s="1"/>
  <c r="AM162" i="6"/>
  <c r="AM144" i="6"/>
  <c r="AM167" i="6"/>
  <c r="BB176" i="3"/>
  <c r="K167" i="6" s="1"/>
  <c r="A167" i="6" s="1"/>
  <c r="BC176" i="3" s="1"/>
  <c r="AM73" i="6"/>
  <c r="BB82" i="3"/>
  <c r="K73" i="6" s="1"/>
  <c r="A73" i="6" s="1"/>
  <c r="BC82" i="3" s="1"/>
  <c r="AM35" i="6"/>
  <c r="BB44" i="3"/>
  <c r="K35" i="6" s="1"/>
  <c r="A35" i="6" s="1"/>
  <c r="BC44" i="3" s="1"/>
  <c r="BB109" i="3"/>
  <c r="K100" i="6" s="1"/>
  <c r="A100" i="6" s="1"/>
  <c r="BC109" i="3" s="1"/>
  <c r="AM196" i="6"/>
  <c r="BB205" i="3"/>
  <c r="K196" i="6" s="1"/>
  <c r="A196" i="6" s="1"/>
  <c r="BC205" i="3" s="1"/>
  <c r="BB37" i="3"/>
  <c r="K28" i="6" s="1"/>
  <c r="A28" i="6" s="1"/>
  <c r="BC37" i="3" s="1"/>
  <c r="AM28" i="6"/>
  <c r="AM79" i="6"/>
  <c r="BB88" i="3"/>
  <c r="K79" i="6" s="1"/>
  <c r="A79" i="6" s="1"/>
  <c r="BC88" i="3" s="1"/>
  <c r="BB101" i="3"/>
  <c r="K92" i="6" s="1"/>
  <c r="A92" i="6" s="1"/>
  <c r="BC101" i="3" s="1"/>
  <c r="AM92" i="6"/>
  <c r="AM156" i="6"/>
  <c r="BB165" i="3"/>
  <c r="K156" i="6" s="1"/>
  <c r="A156" i="6" s="1"/>
  <c r="BC165" i="3" s="1"/>
  <c r="BB146" i="3"/>
  <c r="K137" i="6" s="1"/>
  <c r="A137" i="6" s="1"/>
  <c r="BC146" i="3" s="1"/>
  <c r="AM49" i="6"/>
  <c r="BB58" i="3"/>
  <c r="K49" i="6" s="1"/>
  <c r="A49" i="6" s="1"/>
  <c r="BC58" i="3" s="1"/>
  <c r="BB156" i="3"/>
  <c r="K147" i="6" s="1"/>
  <c r="A147" i="6" s="1"/>
  <c r="BC156" i="3" s="1"/>
  <c r="AM223" i="6"/>
  <c r="BB232" i="3"/>
  <c r="K223" i="6" s="1"/>
  <c r="A223" i="6" s="1"/>
  <c r="BC232" i="3" s="1"/>
  <c r="BB226" i="3"/>
  <c r="K217" i="6" s="1"/>
  <c r="A217" i="6" s="1"/>
  <c r="BC226" i="3" s="1"/>
  <c r="AM127" i="6"/>
  <c r="BB136" i="3"/>
  <c r="K127" i="6" s="1"/>
  <c r="A127" i="6" s="1"/>
  <c r="BC136" i="3" s="1"/>
  <c r="AM88" i="6"/>
  <c r="BB97" i="3"/>
  <c r="AM47" i="6"/>
  <c r="BB56" i="3"/>
  <c r="AM120" i="6"/>
  <c r="BB129" i="3"/>
  <c r="K120" i="6" s="1"/>
  <c r="A120" i="6" s="1"/>
  <c r="BC129" i="3" s="1"/>
  <c r="AM208" i="6"/>
  <c r="BB217" i="3"/>
  <c r="K208" i="6" s="1"/>
  <c r="A208" i="6" s="1"/>
  <c r="BC217" i="3" s="1"/>
  <c r="AM38" i="6"/>
  <c r="BB47" i="3"/>
  <c r="K38" i="6" s="1"/>
  <c r="A38" i="6" s="1"/>
  <c r="BC47" i="3" s="1"/>
  <c r="BB104" i="3"/>
  <c r="K95" i="6" s="1"/>
  <c r="A95" i="6" s="1"/>
  <c r="BC104" i="3" s="1"/>
  <c r="BB54" i="3"/>
  <c r="K45" i="6" s="1"/>
  <c r="A45" i="6" s="1"/>
  <c r="BC54" i="3" s="1"/>
  <c r="AM45" i="6"/>
  <c r="AM185" i="6"/>
  <c r="BB194" i="3"/>
  <c r="K185" i="6" s="1"/>
  <c r="A185" i="6" s="1"/>
  <c r="BC194" i="3" s="1"/>
  <c r="AM64" i="6"/>
  <c r="BB73" i="3"/>
  <c r="K64" i="6" s="1"/>
  <c r="A64" i="6" s="1"/>
  <c r="BC73" i="3" s="1"/>
  <c r="AM104" i="6"/>
  <c r="BB113" i="3"/>
  <c r="K104" i="6" s="1"/>
  <c r="A104" i="6" s="1"/>
  <c r="BC113" i="3" s="1"/>
  <c r="BB230" i="3"/>
  <c r="K221" i="6" s="1"/>
  <c r="A221" i="6" s="1"/>
  <c r="BC230" i="3" s="1"/>
  <c r="BB266" i="3"/>
  <c r="K257" i="6" s="1"/>
  <c r="A257" i="6" s="1"/>
  <c r="BC266" i="3" s="1"/>
  <c r="BB69" i="3"/>
  <c r="K60" i="6" s="1"/>
  <c r="A60" i="6" s="1"/>
  <c r="BC69" i="3" s="1"/>
  <c r="BB84" i="3"/>
  <c r="K75" i="6" s="1"/>
  <c r="A75" i="6" s="1"/>
  <c r="BC84" i="3" s="1"/>
  <c r="AM81" i="6"/>
  <c r="BB90" i="3"/>
  <c r="BB62" i="3"/>
  <c r="AM195" i="6"/>
  <c r="BB204" i="3"/>
  <c r="K195" i="6" s="1"/>
  <c r="A195" i="6" s="1"/>
  <c r="BC204" i="3" s="1"/>
  <c r="AM96" i="6"/>
  <c r="BB105" i="3"/>
  <c r="K96" i="6" s="1"/>
  <c r="A96" i="6" s="1"/>
  <c r="BC105" i="3" s="1"/>
  <c r="AM168" i="6"/>
  <c r="BB177" i="3"/>
  <c r="K168" i="6" s="1"/>
  <c r="A168" i="6" s="1"/>
  <c r="BC177" i="3" s="1"/>
  <c r="BB271" i="3"/>
  <c r="K262" i="6" s="1"/>
  <c r="A262" i="6" s="1"/>
  <c r="BC271" i="3" s="1"/>
  <c r="AM186" i="6"/>
  <c r="BB195" i="3"/>
  <c r="K186" i="6" s="1"/>
  <c r="A186" i="6" s="1"/>
  <c r="BC195" i="3" s="1"/>
  <c r="BB214" i="3"/>
  <c r="K205" i="6" s="1"/>
  <c r="A205" i="6" s="1"/>
  <c r="BC214" i="3" s="1"/>
  <c r="BB178" i="3"/>
  <c r="K169" i="6" s="1"/>
  <c r="A169" i="6" s="1"/>
  <c r="BC178" i="3" s="1"/>
  <c r="AM86" i="6"/>
  <c r="BB95" i="3"/>
  <c r="K86" i="6" s="1"/>
  <c r="A86" i="6" s="1"/>
  <c r="BC95" i="3" s="1"/>
  <c r="G21" i="15" l="1"/>
  <c r="F21" i="15" s="1"/>
  <c r="AB21" i="15"/>
  <c r="AD21" i="15" s="1"/>
  <c r="A151" i="3"/>
  <c r="A61" i="3"/>
  <c r="A115" i="3"/>
  <c r="A227" i="3"/>
  <c r="A111" i="3"/>
  <c r="A110" i="3"/>
  <c r="A60" i="3"/>
  <c r="A207" i="3"/>
  <c r="A123" i="3"/>
  <c r="A28" i="3"/>
  <c r="A166" i="3"/>
  <c r="A43" i="3"/>
  <c r="A55" i="3"/>
  <c r="A70" i="3"/>
  <c r="A85" i="3"/>
  <c r="A114" i="3"/>
  <c r="A159" i="3"/>
  <c r="A134" i="3"/>
  <c r="A100" i="3"/>
  <c r="A94" i="3"/>
  <c r="A169" i="3"/>
  <c r="A195" i="3"/>
  <c r="A266" i="3"/>
  <c r="A204" i="3"/>
  <c r="A230" i="3"/>
  <c r="A156" i="3"/>
  <c r="A165" i="3"/>
  <c r="A37" i="3"/>
  <c r="A176" i="3"/>
  <c r="A174" i="3"/>
  <c r="A210" i="3"/>
  <c r="A185" i="3"/>
  <c r="A239" i="3"/>
  <c r="A131" i="3"/>
  <c r="A268" i="3"/>
  <c r="A25" i="3"/>
  <c r="A251" i="3"/>
  <c r="A201" i="3"/>
  <c r="A211" i="3"/>
  <c r="A171" i="3"/>
  <c r="A178" i="3"/>
  <c r="A194" i="3"/>
  <c r="A104" i="3"/>
  <c r="A217" i="3"/>
  <c r="A226" i="3"/>
  <c r="A205" i="3"/>
  <c r="A249" i="3"/>
  <c r="A272" i="3"/>
  <c r="A228" i="3"/>
  <c r="A267" i="3"/>
  <c r="A252" i="3"/>
  <c r="A157" i="3"/>
  <c r="A116" i="3"/>
  <c r="A140" i="3"/>
  <c r="A19" i="3"/>
  <c r="A120" i="3"/>
  <c r="A163" i="3"/>
  <c r="A144" i="3"/>
  <c r="A219" i="3"/>
  <c r="A220" i="3"/>
  <c r="A271" i="3"/>
  <c r="A214" i="3"/>
  <c r="A177" i="3"/>
  <c r="A136" i="3"/>
  <c r="A232" i="3"/>
  <c r="A127" i="3"/>
  <c r="A187" i="3"/>
  <c r="A190" i="3"/>
  <c r="A158" i="3"/>
  <c r="A148" i="3"/>
  <c r="A258" i="3"/>
  <c r="A150" i="3"/>
  <c r="A246" i="3"/>
  <c r="A126" i="3"/>
  <c r="A41" i="3"/>
  <c r="A139" i="3"/>
  <c r="A215" i="3"/>
  <c r="A235" i="3"/>
  <c r="A153" i="3"/>
  <c r="A254" i="3"/>
  <c r="A129" i="3"/>
  <c r="A146" i="3"/>
  <c r="A168" i="3"/>
  <c r="A200" i="3"/>
  <c r="A164" i="3"/>
  <c r="A119" i="3"/>
  <c r="A118" i="3"/>
  <c r="A202" i="3"/>
  <c r="A253" i="3"/>
  <c r="A242" i="3"/>
  <c r="A208" i="3"/>
  <c r="A188" i="3"/>
  <c r="A261" i="3"/>
  <c r="A125" i="3"/>
  <c r="A203" i="3"/>
  <c r="A149" i="3"/>
  <c r="A96" i="3"/>
  <c r="A45" i="3"/>
  <c r="A86" i="3"/>
  <c r="A112" i="3"/>
  <c r="A34" i="3"/>
  <c r="A53" i="3"/>
  <c r="A32" i="3"/>
  <c r="K68" i="6"/>
  <c r="A68" i="6" s="1"/>
  <c r="BC77" i="3" s="1"/>
  <c r="K21" i="6"/>
  <c r="A21" i="6" s="1"/>
  <c r="BC30" i="3" s="1"/>
  <c r="K99" i="6"/>
  <c r="A99" i="6" s="1"/>
  <c r="BC108" i="3" s="1"/>
  <c r="AM245" i="6"/>
  <c r="BB38" i="3"/>
  <c r="K29" i="6" s="1"/>
  <c r="A29" i="6" s="1"/>
  <c r="BC38" i="3" s="1"/>
  <c r="BB198" i="3"/>
  <c r="K189" i="6" s="1"/>
  <c r="A189" i="6" s="1"/>
  <c r="BC198" i="3" s="1"/>
  <c r="BB141" i="3"/>
  <c r="K132" i="6" s="1"/>
  <c r="A132" i="6" s="1"/>
  <c r="BC141" i="3" s="1"/>
  <c r="BB206" i="3"/>
  <c r="K197" i="6" s="1"/>
  <c r="A197" i="6" s="1"/>
  <c r="BC206" i="3" s="1"/>
  <c r="A23" i="3"/>
  <c r="BB35" i="3"/>
  <c r="BB40" i="3"/>
  <c r="K31" i="6" s="1"/>
  <c r="A31" i="6" s="1"/>
  <c r="BC40" i="3" s="1"/>
  <c r="BB240" i="3"/>
  <c r="K231" i="6" s="1"/>
  <c r="A231" i="6" s="1"/>
  <c r="BC240" i="3" s="1"/>
  <c r="BB147" i="3"/>
  <c r="K138" i="6" s="1"/>
  <c r="A138" i="6" s="1"/>
  <c r="BC147" i="3" s="1"/>
  <c r="AM202" i="6"/>
  <c r="BB99" i="3"/>
  <c r="AM242" i="6"/>
  <c r="AM140" i="6"/>
  <c r="AM55" i="6"/>
  <c r="AM192" i="6"/>
  <c r="AM30" i="6"/>
  <c r="AM142" i="6"/>
  <c r="AM74" i="6"/>
  <c r="AM160" i="6"/>
  <c r="AM99" i="6"/>
  <c r="AM157" i="6"/>
  <c r="A69" i="3"/>
  <c r="BB184" i="3"/>
  <c r="K175" i="6" s="1"/>
  <c r="A175" i="6" s="1"/>
  <c r="BC184" i="3" s="1"/>
  <c r="BB172" i="3"/>
  <c r="K163" i="6" s="1"/>
  <c r="A163" i="6" s="1"/>
  <c r="BC172" i="3" s="1"/>
  <c r="BB262" i="3"/>
  <c r="K253" i="6" s="1"/>
  <c r="A253" i="6" s="1"/>
  <c r="BC262" i="3" s="1"/>
  <c r="AM135" i="6"/>
  <c r="AM194" i="6"/>
  <c r="BB263" i="3"/>
  <c r="K254" i="6" s="1"/>
  <c r="A254" i="6" s="1"/>
  <c r="BC263" i="3" s="1"/>
  <c r="AM254" i="6"/>
  <c r="A71" i="3"/>
  <c r="K42" i="6"/>
  <c r="A42" i="6" s="1"/>
  <c r="BC51" i="3" s="1"/>
  <c r="AM250" i="6"/>
  <c r="BB259" i="3"/>
  <c r="K250" i="6" s="1"/>
  <c r="A250" i="6" s="1"/>
  <c r="BC259" i="3" s="1"/>
  <c r="A95" i="3"/>
  <c r="A36" i="3"/>
  <c r="A109" i="3"/>
  <c r="A58" i="3"/>
  <c r="BB233" i="3"/>
  <c r="K224" i="6" s="1"/>
  <c r="A224" i="6" s="1"/>
  <c r="BC233" i="3" s="1"/>
  <c r="BB173" i="3"/>
  <c r="K164" i="6" s="1"/>
  <c r="A164" i="6" s="1"/>
  <c r="BC173" i="3" s="1"/>
  <c r="BB270" i="3"/>
  <c r="K261" i="6" s="1"/>
  <c r="A261" i="6" s="1"/>
  <c r="BC270" i="3" s="1"/>
  <c r="BB212" i="3"/>
  <c r="K203" i="6" s="1"/>
  <c r="A203" i="6" s="1"/>
  <c r="BC212" i="3" s="1"/>
  <c r="BB145" i="3"/>
  <c r="K136" i="6" s="1"/>
  <c r="A136" i="6" s="1"/>
  <c r="BC145" i="3" s="1"/>
  <c r="AM183" i="6"/>
  <c r="BB192" i="3"/>
  <c r="K183" i="6" s="1"/>
  <c r="A183" i="6" s="1"/>
  <c r="BC192" i="3" s="1"/>
  <c r="AM119" i="6"/>
  <c r="BB128" i="3"/>
  <c r="K119" i="6" s="1"/>
  <c r="A119" i="6" s="1"/>
  <c r="BC128" i="3" s="1"/>
  <c r="A113" i="3"/>
  <c r="A103" i="3"/>
  <c r="A84" i="3"/>
  <c r="A73" i="3"/>
  <c r="A82" i="3"/>
  <c r="A29" i="3"/>
  <c r="BB236" i="3"/>
  <c r="K227" i="6" s="1"/>
  <c r="A227" i="6" s="1"/>
  <c r="BC236" i="3" s="1"/>
  <c r="K74" i="6"/>
  <c r="A74" i="6" s="1"/>
  <c r="BC83" i="3" s="1"/>
  <c r="AM129" i="6"/>
  <c r="BB138" i="3"/>
  <c r="K129" i="6" s="1"/>
  <c r="A129" i="6" s="1"/>
  <c r="BC138" i="3" s="1"/>
  <c r="AM229" i="6"/>
  <c r="BB238" i="3"/>
  <c r="K229" i="6" s="1"/>
  <c r="A229" i="6" s="1"/>
  <c r="BC238" i="3" s="1"/>
  <c r="AM56" i="6"/>
  <c r="BB65" i="3"/>
  <c r="AM121" i="6"/>
  <c r="BB130" i="3"/>
  <c r="K121" i="6" s="1"/>
  <c r="A121" i="6" s="1"/>
  <c r="BC130" i="3" s="1"/>
  <c r="AM112" i="6"/>
  <c r="BB121" i="3"/>
  <c r="K112" i="6" s="1"/>
  <c r="A112" i="6" s="1"/>
  <c r="BC121" i="3" s="1"/>
  <c r="AM190" i="6"/>
  <c r="BB199" i="3"/>
  <c r="K190" i="6" s="1"/>
  <c r="A190" i="6" s="1"/>
  <c r="BC199" i="3" s="1"/>
  <c r="BB221" i="3"/>
  <c r="K212" i="6" s="1"/>
  <c r="A212" i="6" s="1"/>
  <c r="BC221" i="3" s="1"/>
  <c r="AM212" i="6"/>
  <c r="AM251" i="6"/>
  <c r="BB260" i="3"/>
  <c r="K251" i="6" s="1"/>
  <c r="A251" i="6" s="1"/>
  <c r="BC260" i="3" s="1"/>
  <c r="AM153" i="6"/>
  <c r="BB162" i="3"/>
  <c r="K153" i="6" s="1"/>
  <c r="A153" i="6" s="1"/>
  <c r="BC162" i="3" s="1"/>
  <c r="AM184" i="6"/>
  <c r="BB193" i="3"/>
  <c r="K184" i="6" s="1"/>
  <c r="A184" i="6" s="1"/>
  <c r="BC193" i="3" s="1"/>
  <c r="K53" i="6"/>
  <c r="A53" i="6" s="1"/>
  <c r="BC62" i="3" s="1"/>
  <c r="AM166" i="6"/>
  <c r="BB175" i="3"/>
  <c r="K166" i="6" s="1"/>
  <c r="A166" i="6" s="1"/>
  <c r="BC175" i="3" s="1"/>
  <c r="A54" i="3"/>
  <c r="AM172" i="6"/>
  <c r="BB181" i="3"/>
  <c r="K172" i="6" s="1"/>
  <c r="A172" i="6" s="1"/>
  <c r="BC181" i="3" s="1"/>
  <c r="K88" i="6"/>
  <c r="A88" i="6" s="1"/>
  <c r="BC97" i="3" s="1"/>
  <c r="AM152" i="6"/>
  <c r="BB161" i="3"/>
  <c r="K152" i="6" s="1"/>
  <c r="A152" i="6" s="1"/>
  <c r="BC161" i="3" s="1"/>
  <c r="AM246" i="6"/>
  <c r="BB255" i="3"/>
  <c r="K246" i="6" s="1"/>
  <c r="A246" i="6" s="1"/>
  <c r="BC255" i="3" s="1"/>
  <c r="AM9" i="6"/>
  <c r="BB18" i="3"/>
  <c r="AM63" i="6"/>
  <c r="BB72" i="3"/>
  <c r="K24" i="6"/>
  <c r="A24" i="6" s="1"/>
  <c r="BC33" i="3" s="1"/>
  <c r="A15" i="3"/>
  <c r="AM232" i="6"/>
  <c r="BB241" i="3"/>
  <c r="K232" i="6" s="1"/>
  <c r="A232" i="6" s="1"/>
  <c r="BC241" i="3" s="1"/>
  <c r="AM93" i="6"/>
  <c r="BB102" i="3"/>
  <c r="AM238" i="6"/>
  <c r="BB247" i="3"/>
  <c r="K238" i="6" s="1"/>
  <c r="A238" i="6" s="1"/>
  <c r="BC247" i="3" s="1"/>
  <c r="A52" i="3"/>
  <c r="AM40" i="6"/>
  <c r="BB49" i="3"/>
  <c r="AM126" i="6"/>
  <c r="BB135" i="3"/>
  <c r="K126" i="6" s="1"/>
  <c r="A126" i="6" s="1"/>
  <c r="BC135" i="3" s="1"/>
  <c r="AM209" i="6"/>
  <c r="BB218" i="3"/>
  <c r="K209" i="6" s="1"/>
  <c r="A209" i="6" s="1"/>
  <c r="BC218" i="3" s="1"/>
  <c r="AM65" i="6"/>
  <c r="BB74" i="3"/>
  <c r="AM234" i="6"/>
  <c r="BB243" i="3"/>
  <c r="K234" i="6" s="1"/>
  <c r="A234" i="6" s="1"/>
  <c r="BC243" i="3" s="1"/>
  <c r="A27" i="3"/>
  <c r="AM146" i="6"/>
  <c r="BB155" i="3"/>
  <c r="K146" i="6" s="1"/>
  <c r="A146" i="6" s="1"/>
  <c r="BC155" i="3" s="1"/>
  <c r="AM214" i="6"/>
  <c r="BB223" i="3"/>
  <c r="K214" i="6" s="1"/>
  <c r="A214" i="6" s="1"/>
  <c r="BC223" i="3" s="1"/>
  <c r="A88" i="3"/>
  <c r="K71" i="6"/>
  <c r="A71" i="6" s="1"/>
  <c r="BC80" i="3" s="1"/>
  <c r="BB197" i="3"/>
  <c r="K188" i="6" s="1"/>
  <c r="A188" i="6" s="1"/>
  <c r="BC197" i="3" s="1"/>
  <c r="AM188" i="6"/>
  <c r="AM128" i="6"/>
  <c r="BB137" i="3"/>
  <c r="K128" i="6" s="1"/>
  <c r="A128" i="6" s="1"/>
  <c r="BC137" i="3" s="1"/>
  <c r="BB14" i="3"/>
  <c r="AM115" i="6"/>
  <c r="BB124" i="3"/>
  <c r="K115" i="6" s="1"/>
  <c r="A101" i="3"/>
  <c r="AM8" i="6"/>
  <c r="BB17" i="3"/>
  <c r="AM171" i="6"/>
  <c r="BB180" i="3"/>
  <c r="K171" i="6" s="1"/>
  <c r="A171" i="6" s="1"/>
  <c r="BC180" i="3" s="1"/>
  <c r="AM200" i="6"/>
  <c r="BB209" i="3"/>
  <c r="K200" i="6" s="1"/>
  <c r="A200" i="6" s="1"/>
  <c r="BC209" i="3" s="1"/>
  <c r="AM256" i="6"/>
  <c r="BB265" i="3"/>
  <c r="K256" i="6" s="1"/>
  <c r="A256" i="6" s="1"/>
  <c r="BC265" i="3" s="1"/>
  <c r="AM247" i="6"/>
  <c r="BB256" i="3"/>
  <c r="K247" i="6" s="1"/>
  <c r="A247" i="6" s="1"/>
  <c r="BC256" i="3" s="1"/>
  <c r="AM145" i="6"/>
  <c r="BB154" i="3"/>
  <c r="K145" i="6" s="1"/>
  <c r="A145" i="6" s="1"/>
  <c r="BC154" i="3" s="1"/>
  <c r="AM69" i="6"/>
  <c r="BB78" i="3"/>
  <c r="AM255" i="6"/>
  <c r="BB264" i="3"/>
  <c r="K255" i="6" s="1"/>
  <c r="A255" i="6" s="1"/>
  <c r="BC264" i="3" s="1"/>
  <c r="A44" i="3"/>
  <c r="AM133" i="6"/>
  <c r="BB142" i="3"/>
  <c r="K133" i="6" s="1"/>
  <c r="A133" i="6" s="1"/>
  <c r="BC142" i="3" s="1"/>
  <c r="AM39" i="6"/>
  <c r="BB48" i="3"/>
  <c r="AM72" i="6"/>
  <c r="BB81" i="3"/>
  <c r="K37" i="6"/>
  <c r="A37" i="6" s="1"/>
  <c r="BC46" i="3" s="1"/>
  <c r="AM83" i="6"/>
  <c r="BB92" i="3"/>
  <c r="AM108" i="6"/>
  <c r="BB117" i="3"/>
  <c r="K108" i="6" s="1"/>
  <c r="A108" i="6" s="1"/>
  <c r="BC117" i="3" s="1"/>
  <c r="AM15" i="6"/>
  <c r="BB24" i="3"/>
  <c r="K59" i="6"/>
  <c r="A59" i="6" s="1"/>
  <c r="BC68" i="3" s="1"/>
  <c r="AM58" i="6"/>
  <c r="BB67" i="3"/>
  <c r="AM260" i="6"/>
  <c r="BB269" i="3"/>
  <c r="K260" i="6" s="1"/>
  <c r="A260" i="6" s="1"/>
  <c r="BC269" i="3" s="1"/>
  <c r="K80" i="6"/>
  <c r="A80" i="6" s="1"/>
  <c r="BC89" i="3" s="1"/>
  <c r="A106" i="3"/>
  <c r="BB250" i="3"/>
  <c r="K241" i="6" s="1"/>
  <c r="A241" i="6" s="1"/>
  <c r="BC250" i="3" s="1"/>
  <c r="AM241" i="6"/>
  <c r="K81" i="6"/>
  <c r="A81" i="6" s="1"/>
  <c r="BC90" i="3" s="1"/>
  <c r="AM98" i="6"/>
  <c r="BB107" i="3"/>
  <c r="AM177" i="6"/>
  <c r="BB186" i="3"/>
  <c r="K177" i="6" s="1"/>
  <c r="A177" i="6" s="1"/>
  <c r="BC186" i="3" s="1"/>
  <c r="AM22" i="6"/>
  <c r="BB31" i="3"/>
  <c r="AM54" i="6"/>
  <c r="BB63" i="3"/>
  <c r="AM236" i="6"/>
  <c r="BB245" i="3"/>
  <c r="K236" i="6" s="1"/>
  <c r="A236" i="6" s="1"/>
  <c r="BC245" i="3" s="1"/>
  <c r="AM113" i="6"/>
  <c r="BB122" i="3"/>
  <c r="K113" i="6" s="1"/>
  <c r="A113" i="6" s="1"/>
  <c r="BC122" i="3" s="1"/>
  <c r="AM182" i="6"/>
  <c r="BB191" i="3"/>
  <c r="K182" i="6" s="1"/>
  <c r="A182" i="6" s="1"/>
  <c r="BC191" i="3" s="1"/>
  <c r="A47" i="3"/>
  <c r="AM207" i="6"/>
  <c r="BB216" i="3"/>
  <c r="K207" i="6" s="1"/>
  <c r="A207" i="6" s="1"/>
  <c r="BC216" i="3" s="1"/>
  <c r="A105" i="3"/>
  <c r="AM174" i="6"/>
  <c r="BB183" i="3"/>
  <c r="K174" i="6" s="1"/>
  <c r="A174" i="6" s="1"/>
  <c r="BC183" i="3" s="1"/>
  <c r="BB22" i="3"/>
  <c r="AM13" i="6"/>
  <c r="AM151" i="6"/>
  <c r="BB160" i="3"/>
  <c r="K151" i="6" s="1"/>
  <c r="A151" i="6" s="1"/>
  <c r="BC160" i="3" s="1"/>
  <c r="AM235" i="6"/>
  <c r="BB244" i="3"/>
  <c r="K235" i="6" s="1"/>
  <c r="A235" i="6" s="1"/>
  <c r="BC244" i="3" s="1"/>
  <c r="AM50" i="6"/>
  <c r="BB59" i="3"/>
  <c r="AM143" i="6"/>
  <c r="BB152" i="3"/>
  <c r="K143" i="6" s="1"/>
  <c r="A143" i="6" s="1"/>
  <c r="BC152" i="3" s="1"/>
  <c r="AM204" i="6"/>
  <c r="BB213" i="3"/>
  <c r="K204" i="6" s="1"/>
  <c r="A204" i="6" s="1"/>
  <c r="BC213" i="3" s="1"/>
  <c r="AM70" i="6"/>
  <c r="BB79" i="3"/>
  <c r="AM41" i="6"/>
  <c r="BB50" i="3"/>
  <c r="A64" i="3"/>
  <c r="AM213" i="6"/>
  <c r="BB222" i="3"/>
  <c r="K213" i="6" s="1"/>
  <c r="A213" i="6" s="1"/>
  <c r="BC222" i="3" s="1"/>
  <c r="AM225" i="6"/>
  <c r="BB234" i="3"/>
  <c r="K225" i="6" s="1"/>
  <c r="A225" i="6" s="1"/>
  <c r="BC234" i="3" s="1"/>
  <c r="AM158" i="6"/>
  <c r="BB167" i="3"/>
  <c r="K158" i="6" s="1"/>
  <c r="A158" i="6" s="1"/>
  <c r="BC167" i="3" s="1"/>
  <c r="AM173" i="6"/>
  <c r="BB182" i="3"/>
  <c r="K173" i="6" s="1"/>
  <c r="A173" i="6" s="1"/>
  <c r="BC182" i="3" s="1"/>
  <c r="AM11" i="6"/>
  <c r="BB20" i="3"/>
  <c r="A21" i="3"/>
  <c r="AM220" i="6"/>
  <c r="BB229" i="3"/>
  <c r="K220" i="6" s="1"/>
  <c r="A220" i="6" s="1"/>
  <c r="BC229" i="3" s="1"/>
  <c r="AM248" i="6"/>
  <c r="BB257" i="3"/>
  <c r="K248" i="6" s="1"/>
  <c r="A248" i="6" s="1"/>
  <c r="BC257" i="3" s="1"/>
  <c r="K47" i="6"/>
  <c r="A47" i="6" s="1"/>
  <c r="BC56" i="3" s="1"/>
  <c r="AM180" i="6"/>
  <c r="BB189" i="3"/>
  <c r="K180" i="6" s="1"/>
  <c r="A180" i="6" s="1"/>
  <c r="BC189" i="3" s="1"/>
  <c r="AM170" i="6"/>
  <c r="BB179" i="3"/>
  <c r="K170" i="6" s="1"/>
  <c r="A170" i="6" s="1"/>
  <c r="BC179" i="3" s="1"/>
  <c r="AM33" i="6"/>
  <c r="BB42" i="3"/>
  <c r="AM123" i="6"/>
  <c r="BB132" i="3"/>
  <c r="K123" i="6" s="1"/>
  <c r="A123" i="6" s="1"/>
  <c r="BC132" i="3" s="1"/>
  <c r="A16" i="3"/>
  <c r="AM57" i="6"/>
  <c r="BB66" i="3"/>
  <c r="AM48" i="6"/>
  <c r="BB57" i="3"/>
  <c r="BB170" i="3"/>
  <c r="K161" i="6" s="1"/>
  <c r="A161" i="6" s="1"/>
  <c r="BC170" i="3" s="1"/>
  <c r="AM161" i="6"/>
  <c r="AM124" i="6"/>
  <c r="BB133" i="3"/>
  <c r="K124" i="6" s="1"/>
  <c r="A124" i="6" s="1"/>
  <c r="BC133" i="3" s="1"/>
  <c r="K84" i="6"/>
  <c r="A84" i="6" s="1"/>
  <c r="BC93" i="3" s="1"/>
  <c r="AM66" i="6"/>
  <c r="BB75" i="3"/>
  <c r="AM228" i="6"/>
  <c r="BB237" i="3"/>
  <c r="K228" i="6" s="1"/>
  <c r="A228" i="6" s="1"/>
  <c r="BC237" i="3" s="1"/>
  <c r="AM187" i="6"/>
  <c r="BB196" i="3"/>
  <c r="K187" i="6" s="1"/>
  <c r="A187" i="6" s="1"/>
  <c r="BC196" i="3" s="1"/>
  <c r="AM134" i="6"/>
  <c r="BB143" i="3"/>
  <c r="K134" i="6" s="1"/>
  <c r="A134" i="6" s="1"/>
  <c r="BC143" i="3" s="1"/>
  <c r="AM216" i="6"/>
  <c r="BB225" i="3"/>
  <c r="K216" i="6" s="1"/>
  <c r="A216" i="6" s="1"/>
  <c r="BC225" i="3" s="1"/>
  <c r="AM239" i="6"/>
  <c r="BB248" i="3"/>
  <c r="K239" i="6" s="1"/>
  <c r="A239" i="6" s="1"/>
  <c r="BC248" i="3" s="1"/>
  <c r="AM222" i="6"/>
  <c r="BB231" i="3"/>
  <c r="K222" i="6" s="1"/>
  <c r="A222" i="6" s="1"/>
  <c r="BC231" i="3" s="1"/>
  <c r="K4" i="6"/>
  <c r="A4" i="6" s="1"/>
  <c r="BC13" i="3" s="1"/>
  <c r="AM17" i="6"/>
  <c r="BB26" i="3"/>
  <c r="A98" i="3"/>
  <c r="AM215" i="6"/>
  <c r="BB224" i="3"/>
  <c r="K215" i="6" s="1"/>
  <c r="A215" i="6" s="1"/>
  <c r="BC224" i="3" s="1"/>
  <c r="A91" i="3"/>
  <c r="K67" i="6"/>
  <c r="A67" i="6" s="1"/>
  <c r="BC76" i="3" s="1"/>
  <c r="K78" i="6"/>
  <c r="A78" i="6" s="1"/>
  <c r="BC87" i="3" s="1"/>
  <c r="A39" i="3"/>
  <c r="G22" i="15" l="1"/>
  <c r="F22" i="15" s="1"/>
  <c r="AB22" i="15"/>
  <c r="AD22" i="15" s="1"/>
  <c r="A87" i="3"/>
  <c r="A133" i="3"/>
  <c r="A229" i="3"/>
  <c r="A152" i="3"/>
  <c r="A244" i="3"/>
  <c r="A191" i="3"/>
  <c r="A245" i="3"/>
  <c r="A250" i="3"/>
  <c r="A256" i="3"/>
  <c r="A209" i="3"/>
  <c r="A135" i="3"/>
  <c r="A33" i="3"/>
  <c r="A193" i="3"/>
  <c r="A260" i="3"/>
  <c r="A199" i="3"/>
  <c r="A130" i="3"/>
  <c r="A238" i="3"/>
  <c r="A83" i="3"/>
  <c r="A128" i="3"/>
  <c r="A145" i="3"/>
  <c r="A233" i="3"/>
  <c r="A141" i="3"/>
  <c r="A108" i="3"/>
  <c r="A76" i="3"/>
  <c r="A231" i="3"/>
  <c r="A225" i="3"/>
  <c r="A196" i="3"/>
  <c r="A132" i="3"/>
  <c r="A179" i="3"/>
  <c r="A56" i="3"/>
  <c r="A182" i="3"/>
  <c r="A234" i="3"/>
  <c r="A216" i="3"/>
  <c r="A223" i="3"/>
  <c r="A247" i="3"/>
  <c r="A241" i="3"/>
  <c r="A255" i="3"/>
  <c r="A97" i="3"/>
  <c r="A175" i="3"/>
  <c r="A236" i="3"/>
  <c r="A212" i="3"/>
  <c r="A259" i="3"/>
  <c r="A262" i="3"/>
  <c r="A198" i="3"/>
  <c r="A30" i="3"/>
  <c r="A213" i="3"/>
  <c r="A160" i="3"/>
  <c r="A183" i="3"/>
  <c r="A122" i="3"/>
  <c r="A186" i="3"/>
  <c r="A90" i="3"/>
  <c r="A89" i="3"/>
  <c r="A117" i="3"/>
  <c r="A46" i="3"/>
  <c r="A264" i="3"/>
  <c r="A154" i="3"/>
  <c r="A265" i="3"/>
  <c r="A180" i="3"/>
  <c r="A197" i="3"/>
  <c r="A243" i="3"/>
  <c r="A218" i="3"/>
  <c r="A181" i="3"/>
  <c r="A162" i="3"/>
  <c r="A121" i="3"/>
  <c r="A138" i="3"/>
  <c r="A192" i="3"/>
  <c r="A270" i="3"/>
  <c r="A263" i="3"/>
  <c r="A172" i="3"/>
  <c r="A147" i="3"/>
  <c r="A77" i="3"/>
  <c r="A257" i="3"/>
  <c r="A224" i="3"/>
  <c r="A248" i="3"/>
  <c r="A143" i="3"/>
  <c r="A237" i="3"/>
  <c r="A93" i="3"/>
  <c r="A170" i="3"/>
  <c r="A189" i="3"/>
  <c r="A167" i="3"/>
  <c r="A222" i="3"/>
  <c r="A269" i="3"/>
  <c r="A68" i="3"/>
  <c r="A142" i="3"/>
  <c r="A137" i="3"/>
  <c r="A80" i="3"/>
  <c r="A155" i="3"/>
  <c r="A161" i="3"/>
  <c r="A62" i="3"/>
  <c r="A221" i="3"/>
  <c r="A173" i="3"/>
  <c r="A51" i="3"/>
  <c r="A184" i="3"/>
  <c r="A240" i="3"/>
  <c r="A206" i="3"/>
  <c r="A40" i="3"/>
  <c r="K90" i="6"/>
  <c r="A90" i="6" s="1"/>
  <c r="BC99" i="3" s="1"/>
  <c r="A38" i="3"/>
  <c r="K26" i="6"/>
  <c r="A26" i="6" s="1"/>
  <c r="BC35" i="3" s="1"/>
  <c r="K57" i="6"/>
  <c r="A57" i="6" s="1"/>
  <c r="BC66" i="3" s="1"/>
  <c r="K11" i="6"/>
  <c r="A11" i="6" s="1"/>
  <c r="BC20" i="3" s="1"/>
  <c r="K17" i="6"/>
  <c r="A17" i="6" s="1"/>
  <c r="BC26" i="3" s="1"/>
  <c r="K33" i="6"/>
  <c r="A33" i="6" s="1"/>
  <c r="BC42" i="3" s="1"/>
  <c r="K50" i="6"/>
  <c r="A50" i="6" s="1"/>
  <c r="BC59" i="3" s="1"/>
  <c r="K54" i="6"/>
  <c r="A54" i="6" s="1"/>
  <c r="BC63" i="3" s="1"/>
  <c r="K22" i="6"/>
  <c r="A22" i="6" s="1"/>
  <c r="BC31" i="3" s="1"/>
  <c r="K98" i="6"/>
  <c r="A98" i="6" s="1"/>
  <c r="BC107" i="3" s="1"/>
  <c r="K8" i="6"/>
  <c r="A8" i="6" s="1"/>
  <c r="BC17" i="3" s="1"/>
  <c r="K93" i="6"/>
  <c r="A93" i="6" s="1"/>
  <c r="BC102" i="3" s="1"/>
  <c r="K48" i="6"/>
  <c r="A48" i="6" s="1"/>
  <c r="BC57" i="3" s="1"/>
  <c r="K65" i="6"/>
  <c r="A65" i="6" s="1"/>
  <c r="BC74" i="3" s="1"/>
  <c r="K41" i="6"/>
  <c r="A41" i="6" s="1"/>
  <c r="BC50" i="3" s="1"/>
  <c r="K70" i="6"/>
  <c r="A70" i="6" s="1"/>
  <c r="BC79" i="3" s="1"/>
  <c r="K69" i="6"/>
  <c r="A69" i="6" s="1"/>
  <c r="BC78" i="3" s="1"/>
  <c r="K56" i="6"/>
  <c r="A56" i="6" s="1"/>
  <c r="BC65" i="3" s="1"/>
  <c r="K39" i="6"/>
  <c r="A39" i="6" s="1"/>
  <c r="BC48" i="3" s="1"/>
  <c r="K9" i="6"/>
  <c r="A9" i="6" s="1"/>
  <c r="BC18" i="3" s="1"/>
  <c r="K66" i="6"/>
  <c r="A66" i="6" s="1"/>
  <c r="BC75" i="3" s="1"/>
  <c r="K13" i="6"/>
  <c r="A13" i="6" s="1"/>
  <c r="BC22" i="3" s="1"/>
  <c r="K58" i="6"/>
  <c r="A58" i="6" s="1"/>
  <c r="BC67" i="3" s="1"/>
  <c r="K15" i="6"/>
  <c r="A15" i="6" s="1"/>
  <c r="BC24" i="3" s="1"/>
  <c r="K83" i="6"/>
  <c r="A83" i="6" s="1"/>
  <c r="BC92" i="3" s="1"/>
  <c r="K72" i="6"/>
  <c r="A72" i="6" s="1"/>
  <c r="BC81" i="3" s="1"/>
  <c r="K5" i="6"/>
  <c r="A5" i="6" s="1"/>
  <c r="BC14" i="3" s="1"/>
  <c r="K40" i="6"/>
  <c r="A40" i="6" s="1"/>
  <c r="BC49" i="3" s="1"/>
  <c r="K63" i="6"/>
  <c r="A63" i="6" s="1"/>
  <c r="BC72" i="3" s="1"/>
  <c r="G23" i="15" l="1"/>
  <c r="F23" i="15" s="1"/>
  <c r="AB23" i="15"/>
  <c r="AD23" i="15" s="1"/>
  <c r="A75" i="3"/>
  <c r="A57" i="3"/>
  <c r="A92" i="3"/>
  <c r="A31" i="3"/>
  <c r="A72" i="3"/>
  <c r="A78" i="3"/>
  <c r="A26" i="3"/>
  <c r="A81" i="3"/>
  <c r="A107" i="3"/>
  <c r="A99" i="3"/>
  <c r="A67" i="3"/>
  <c r="A18" i="3"/>
  <c r="A59" i="3"/>
  <c r="A20" i="3"/>
  <c r="A22" i="3"/>
  <c r="A48" i="3"/>
  <c r="A79" i="3"/>
  <c r="A42" i="3"/>
  <c r="A66" i="3"/>
  <c r="A49" i="3"/>
  <c r="A65" i="3"/>
  <c r="A50" i="3"/>
  <c r="A102" i="3"/>
  <c r="A35" i="3"/>
  <c r="A14" i="3"/>
  <c r="A24" i="3"/>
  <c r="A74" i="3"/>
  <c r="A17" i="3"/>
  <c r="A63" i="3"/>
  <c r="G24" i="15" l="1"/>
  <c r="F24" i="15" s="1"/>
  <c r="AB24" i="15"/>
  <c r="AD24" i="15" s="1"/>
  <c r="G25" i="15" l="1"/>
  <c r="F25" i="15" s="1"/>
  <c r="AB25" i="15"/>
  <c r="AD25" i="15" s="1"/>
  <c r="G26" i="15" l="1"/>
  <c r="F26" i="15" s="1"/>
  <c r="AB26" i="15"/>
  <c r="AD26" i="15" s="1"/>
  <c r="G27" i="15" l="1"/>
  <c r="F27" i="15" s="1"/>
  <c r="AB27" i="15"/>
  <c r="AD27" i="15" s="1"/>
  <c r="G28" i="15" l="1"/>
  <c r="F28" i="15" s="1"/>
  <c r="AB28" i="15"/>
  <c r="AD28" i="15" s="1"/>
  <c r="G29" i="15" l="1"/>
  <c r="F29" i="15" s="1"/>
  <c r="AB29" i="15"/>
  <c r="AD29" i="15" s="1"/>
  <c r="G30" i="15" l="1"/>
  <c r="F30" i="15" s="1"/>
  <c r="AB30" i="15"/>
  <c r="AD30" i="15" s="1"/>
  <c r="G31" i="15" l="1"/>
  <c r="F31" i="15" s="1"/>
  <c r="AB31" i="15"/>
  <c r="AD31" i="15" s="1"/>
  <c r="G32" i="15" l="1"/>
  <c r="F32" i="15" s="1"/>
  <c r="G33" i="15" l="1"/>
  <c r="F33" i="15" s="1"/>
  <c r="AB32" i="15"/>
  <c r="AD32" i="15" s="1"/>
  <c r="G34" i="15" l="1"/>
  <c r="F34" i="15" s="1"/>
  <c r="AB33" i="15"/>
  <c r="AD33" i="15" s="1"/>
  <c r="G35" i="15" l="1"/>
  <c r="F35" i="15" s="1"/>
  <c r="AB34" i="15"/>
  <c r="AD34" i="15" s="1"/>
  <c r="AB35" i="15"/>
  <c r="AD35" i="15" s="1"/>
  <c r="G36" i="15" l="1"/>
  <c r="F36" i="15" s="1"/>
  <c r="AB36" i="15"/>
  <c r="AD36" i="15" s="1"/>
  <c r="G37" i="15" l="1"/>
  <c r="F37" i="15" s="1"/>
  <c r="AB37" i="15"/>
  <c r="AD37" i="15" s="1"/>
  <c r="G38" i="15" l="1"/>
  <c r="F38" i="15" s="1"/>
  <c r="AB38" i="15"/>
  <c r="AD38" i="15" s="1"/>
  <c r="G39" i="15" l="1"/>
  <c r="F39" i="15" s="1"/>
  <c r="AB39" i="15"/>
  <c r="AD39" i="15" s="1"/>
  <c r="G40" i="15" l="1"/>
  <c r="F40" i="15" s="1"/>
  <c r="AB40" i="15"/>
  <c r="AD40" i="15" s="1"/>
  <c r="G41" i="15" l="1"/>
  <c r="F41" i="15" s="1"/>
  <c r="AB41" i="15"/>
  <c r="AD41" i="15" s="1"/>
  <c r="G42" i="15" l="1"/>
  <c r="F42" i="15" s="1"/>
  <c r="AB42" i="15"/>
  <c r="AD42" i="15" s="1"/>
  <c r="G43" i="15" l="1"/>
  <c r="F43" i="15" s="1"/>
  <c r="AB43" i="15"/>
  <c r="AD43" i="15" s="1"/>
  <c r="G44" i="15" l="1"/>
  <c r="F44" i="15" s="1"/>
  <c r="AB44" i="15"/>
  <c r="AD44" i="15" s="1"/>
  <c r="G45" i="15" l="1"/>
  <c r="F45" i="15" s="1"/>
  <c r="AB45" i="15"/>
  <c r="AD45" i="15" s="1"/>
  <c r="G46" i="15" l="1"/>
  <c r="F46" i="15" s="1"/>
  <c r="AB46" i="15"/>
  <c r="AD46" i="15" s="1"/>
  <c r="G47" i="15" l="1"/>
  <c r="F47" i="15" s="1"/>
  <c r="AB47" i="15"/>
  <c r="AD47" i="15" s="1"/>
  <c r="G48" i="15" l="1"/>
  <c r="F48" i="15" s="1"/>
  <c r="AB48" i="15"/>
  <c r="AD48" i="15" s="1"/>
  <c r="G49" i="15" l="1"/>
  <c r="F49" i="15" s="1"/>
  <c r="AB49" i="15"/>
  <c r="AD49" i="15" s="1"/>
  <c r="G50" i="15" l="1"/>
  <c r="F50" i="15" s="1"/>
  <c r="AB50" i="15"/>
  <c r="AD50" i="15" s="1"/>
  <c r="G51" i="15" l="1"/>
  <c r="F51" i="15" s="1"/>
  <c r="AB51" i="15"/>
  <c r="AD51" i="15" s="1"/>
  <c r="G52" i="15" l="1"/>
  <c r="F52" i="15" s="1"/>
  <c r="AB52" i="15"/>
  <c r="AD52" i="15" s="1"/>
  <c r="G53" i="15" l="1"/>
  <c r="F53" i="15" s="1"/>
  <c r="AB53" i="15"/>
  <c r="AD53" i="15" s="1"/>
  <c r="A6" i="14"/>
  <c r="W18" i="15" l="1"/>
  <c r="W19" i="15"/>
  <c r="X19" i="15" s="1"/>
  <c r="B61" i="14"/>
  <c r="B44" i="14"/>
  <c r="B27" i="14"/>
  <c r="B57" i="14"/>
  <c r="B48" i="14"/>
  <c r="B39" i="14"/>
  <c r="B30" i="14"/>
  <c r="B40" i="14"/>
  <c r="B28" i="14"/>
  <c r="B32" i="14"/>
  <c r="B63" i="14"/>
  <c r="B54" i="14"/>
  <c r="B26" i="14"/>
  <c r="B35" i="14"/>
  <c r="B53" i="14"/>
  <c r="B36" i="14"/>
  <c r="B49" i="14"/>
  <c r="B31" i="14"/>
  <c r="B45" i="14"/>
  <c r="B58" i="14"/>
  <c r="B50" i="14"/>
  <c r="B33" i="14"/>
  <c r="B42" i="14"/>
  <c r="B51" i="14"/>
  <c r="B43" i="14"/>
  <c r="B64" i="14"/>
  <c r="B41" i="14"/>
  <c r="B59" i="14"/>
  <c r="B62" i="14"/>
  <c r="B46" i="14"/>
  <c r="B56" i="14"/>
  <c r="B37" i="14"/>
  <c r="B25" i="14"/>
  <c r="B34" i="14"/>
  <c r="B52" i="14"/>
  <c r="B47" i="14"/>
  <c r="B29" i="14"/>
  <c r="B60" i="14"/>
  <c r="B55" i="14"/>
  <c r="B38" i="14"/>
  <c r="G54" i="15"/>
  <c r="F54" i="15" s="1"/>
  <c r="C62" i="14"/>
  <c r="C58" i="14"/>
  <c r="C54" i="14"/>
  <c r="C50" i="14"/>
  <c r="C46" i="14"/>
  <c r="C42" i="14"/>
  <c r="C38" i="14"/>
  <c r="C34" i="14"/>
  <c r="C30" i="14"/>
  <c r="C26" i="14"/>
  <c r="C61" i="14"/>
  <c r="C57" i="14"/>
  <c r="C53" i="14"/>
  <c r="C49" i="14"/>
  <c r="C45" i="14"/>
  <c r="C41" i="14"/>
  <c r="C37" i="14"/>
  <c r="C33" i="14"/>
  <c r="C29" i="14"/>
  <c r="C25" i="14"/>
  <c r="C64" i="14"/>
  <c r="C60" i="14"/>
  <c r="C56" i="14"/>
  <c r="C52" i="14"/>
  <c r="C48" i="14"/>
  <c r="C44" i="14"/>
  <c r="C40" i="14"/>
  <c r="C36" i="14"/>
  <c r="C32" i="14"/>
  <c r="C28" i="14"/>
  <c r="C63" i="14"/>
  <c r="C59" i="14"/>
  <c r="C55" i="14"/>
  <c r="C51" i="14"/>
  <c r="C47" i="14"/>
  <c r="C43" i="14"/>
  <c r="C39" i="14"/>
  <c r="C35" i="14"/>
  <c r="C31" i="14"/>
  <c r="C27" i="14"/>
  <c r="D14" i="14"/>
  <c r="D15" i="14" s="1"/>
  <c r="D16" i="14" s="1"/>
  <c r="D17" i="14" s="1"/>
  <c r="D18" i="14" s="1"/>
  <c r="D19" i="14" s="1"/>
  <c r="D20" i="14" s="1"/>
  <c r="D21" i="14" s="1"/>
  <c r="D22" i="14" s="1"/>
  <c r="D23" i="14" s="1"/>
  <c r="D24" i="14" s="1"/>
  <c r="C24" i="14" s="1"/>
  <c r="D27" i="14"/>
  <c r="D31" i="14"/>
  <c r="D35" i="14"/>
  <c r="D39" i="14"/>
  <c r="D43" i="14"/>
  <c r="D47" i="14"/>
  <c r="D51" i="14"/>
  <c r="D55" i="14"/>
  <c r="D59" i="14"/>
  <c r="D63" i="14"/>
  <c r="D25" i="14"/>
  <c r="D33" i="14"/>
  <c r="D41" i="14"/>
  <c r="D49" i="14"/>
  <c r="D57" i="14"/>
  <c r="D26" i="14"/>
  <c r="D30" i="14"/>
  <c r="D34" i="14"/>
  <c r="D42" i="14"/>
  <c r="D50" i="14"/>
  <c r="D58" i="14"/>
  <c r="D28" i="14"/>
  <c r="D32" i="14"/>
  <c r="D36" i="14"/>
  <c r="D40" i="14"/>
  <c r="D44" i="14"/>
  <c r="D48" i="14"/>
  <c r="D52" i="14"/>
  <c r="D56" i="14"/>
  <c r="D60" i="14"/>
  <c r="D64" i="14"/>
  <c r="D29" i="14"/>
  <c r="D37" i="14"/>
  <c r="D45" i="14"/>
  <c r="D53" i="14"/>
  <c r="D61" i="14"/>
  <c r="D38" i="14"/>
  <c r="D46" i="14"/>
  <c r="D54" i="14"/>
  <c r="D62" i="14"/>
  <c r="AB54" i="15"/>
  <c r="AD54" i="15" s="1"/>
  <c r="B20" i="14" l="1"/>
  <c r="B21" i="14"/>
  <c r="B23" i="14"/>
  <c r="B24" i="14"/>
  <c r="B22" i="14"/>
  <c r="F55" i="15"/>
  <c r="G55" i="15"/>
  <c r="C23" i="14"/>
  <c r="C20" i="14"/>
  <c r="C14" i="14"/>
  <c r="C21" i="14"/>
  <c r="C22" i="14"/>
  <c r="BI4" i="15"/>
  <c r="BI5" i="15"/>
  <c r="C15" i="14" l="1"/>
  <c r="B14" i="14"/>
  <c r="AC55" i="15"/>
  <c r="AC4" i="15"/>
  <c r="BI6" i="15"/>
  <c r="C16" i="14" l="1"/>
  <c r="B15" i="14"/>
  <c r="BH4" i="15"/>
  <c r="AC5" i="15"/>
  <c r="BI7" i="15"/>
  <c r="C17" i="14" l="1"/>
  <c r="B16" i="14"/>
  <c r="BH5" i="15"/>
  <c r="AC6" i="15"/>
  <c r="BI8" i="15"/>
  <c r="C18" i="14" l="1"/>
  <c r="B17" i="14"/>
  <c r="BH6" i="15"/>
  <c r="AC7" i="15"/>
  <c r="BI9" i="15"/>
  <c r="C19" i="14" l="1"/>
  <c r="B19" i="14" s="1"/>
  <c r="B18" i="14"/>
  <c r="BH7" i="15"/>
  <c r="AC8" i="15"/>
  <c r="BI10" i="15"/>
  <c r="BH8" i="15" l="1"/>
  <c r="AC9" i="15"/>
  <c r="BI11" i="15"/>
  <c r="BH9" i="15" l="1"/>
  <c r="AC10" i="15"/>
  <c r="BI12" i="15"/>
  <c r="BH10" i="15" l="1"/>
  <c r="AC11" i="15"/>
  <c r="BI13" i="15"/>
  <c r="BH11" i="15" l="1"/>
  <c r="AC12" i="15"/>
  <c r="BH12" i="15" l="1"/>
  <c r="BI14" i="15"/>
  <c r="AC13" i="15"/>
  <c r="BH13" i="15" l="1"/>
  <c r="BI15" i="15"/>
  <c r="AC14" i="15"/>
  <c r="BH14" i="15" l="1"/>
  <c r="BI16" i="15"/>
  <c r="AC15" i="15"/>
  <c r="BH15" i="15" l="1"/>
  <c r="BI17" i="15"/>
  <c r="AC16" i="15"/>
  <c r="BH16" i="15" l="1"/>
  <c r="BI18" i="15"/>
  <c r="AC17" i="15"/>
  <c r="BH17" i="15" l="1"/>
  <c r="BI19" i="15"/>
  <c r="AC18" i="15"/>
  <c r="BH18" i="15" l="1"/>
  <c r="BI20" i="15"/>
  <c r="AC19" i="15"/>
  <c r="BI21" i="15"/>
  <c r="BH19" i="15" l="1"/>
  <c r="AC20" i="15"/>
  <c r="BH20" i="15" l="1"/>
  <c r="BI22" i="15"/>
  <c r="AC21" i="15"/>
  <c r="BH21" i="15" l="1"/>
  <c r="BI23" i="15"/>
  <c r="AC22" i="15"/>
  <c r="BH22" i="15"/>
  <c r="BI24" i="15" l="1"/>
  <c r="AC23" i="15"/>
  <c r="BH23" i="15" l="1"/>
  <c r="BI25" i="15"/>
  <c r="AC24" i="15"/>
  <c r="BH24" i="15"/>
  <c r="BI26" i="15" l="1"/>
  <c r="AC25" i="15"/>
  <c r="BH25" i="15" l="1"/>
  <c r="BI27" i="15"/>
  <c r="AC26" i="15"/>
  <c r="AC27" i="15" l="1"/>
  <c r="BH26" i="15"/>
  <c r="BI28" i="15"/>
  <c r="AC28" i="15"/>
  <c r="BH27" i="15" l="1"/>
  <c r="BI29" i="15"/>
  <c r="BH28" i="15"/>
  <c r="AC29" i="15"/>
  <c r="BI30" i="15" l="1"/>
  <c r="BH29" i="15"/>
  <c r="AC30" i="15" l="1"/>
  <c r="BI31" i="15"/>
  <c r="BH30" i="15" l="1"/>
  <c r="BI32" i="15"/>
  <c r="AC31" i="15"/>
  <c r="BH31" i="15" l="1"/>
  <c r="AC32" i="15"/>
  <c r="BI33" i="15"/>
  <c r="AC33" i="15" l="1"/>
  <c r="BH32" i="15"/>
  <c r="BI34" i="15"/>
  <c r="BH33" i="15"/>
  <c r="BI35" i="15" l="1"/>
  <c r="AC34" i="15"/>
  <c r="AC35" i="15" l="1"/>
  <c r="BH34" i="15"/>
  <c r="BI36" i="15"/>
  <c r="BH35" i="15"/>
  <c r="AC36" i="15" l="1"/>
  <c r="BI37" i="15"/>
  <c r="BH36" i="15"/>
  <c r="AC37" i="15"/>
  <c r="BI38" i="15" l="1"/>
  <c r="BH37" i="15"/>
  <c r="AC38" i="15" l="1"/>
  <c r="BI39" i="15"/>
  <c r="AC39" i="15" l="1"/>
  <c r="BH38" i="15"/>
  <c r="BI40" i="15"/>
  <c r="BH39" i="15"/>
  <c r="AC40" i="15"/>
  <c r="BI41" i="15" l="1"/>
  <c r="BH40" i="15"/>
  <c r="AC41" i="15" l="1"/>
  <c r="BI42" i="15"/>
  <c r="BH41" i="15"/>
  <c r="AC42" i="15"/>
  <c r="BI43" i="15" l="1"/>
  <c r="BH42" i="15"/>
  <c r="AC43" i="15" l="1"/>
  <c r="BI44" i="15"/>
  <c r="BH43" i="15"/>
  <c r="BI45" i="15"/>
  <c r="AC44" i="15"/>
  <c r="BH44" i="15" l="1"/>
  <c r="BH45" i="15"/>
  <c r="AC45" i="15"/>
  <c r="BI46" i="15"/>
  <c r="AC46" i="15" l="1"/>
  <c r="BI47" i="15"/>
  <c r="AC47" i="15" l="1"/>
  <c r="BI48" i="15"/>
  <c r="BH46" i="15"/>
  <c r="AC48" i="15" l="1"/>
  <c r="BI49" i="15"/>
  <c r="BH47" i="15"/>
  <c r="AC49" i="15" l="1"/>
  <c r="BI50" i="15"/>
  <c r="BH49" i="15"/>
  <c r="BH48" i="15"/>
  <c r="AC50" i="15" l="1"/>
  <c r="BI51" i="15"/>
  <c r="AC51" i="15" l="1"/>
  <c r="BH50" i="15"/>
  <c r="BI53" i="15" l="1"/>
  <c r="BI52" i="15"/>
  <c r="AC52" i="15"/>
  <c r="BH51" i="15"/>
  <c r="BI54" i="15"/>
  <c r="AC53" i="15" l="1"/>
  <c r="AC54" i="15"/>
  <c r="BH52" i="15"/>
  <c r="BH53" i="15" l="1"/>
  <c r="BH54" i="15" l="1"/>
  <c r="BQ115" i="6" l="1"/>
  <c r="N115" i="6"/>
  <c r="X115" i="6" s="1"/>
  <c r="AL115" i="6" l="1"/>
  <c r="Y115" i="6"/>
  <c r="C127" i="12" s="1"/>
  <c r="AA127" i="12" s="1"/>
  <c r="X127" i="12" l="1"/>
  <c r="X128" i="12"/>
  <c r="Y128" i="12" s="1"/>
  <c r="AT116" i="6"/>
  <c r="AT115" i="6"/>
  <c r="B115" i="6"/>
  <c r="A115" i="6" s="1"/>
  <c r="BC124" i="3" s="1"/>
  <c r="Y127" i="12" l="1"/>
  <c r="Y126" i="12"/>
  <c r="Y125" i="12"/>
  <c r="Y124" i="12"/>
  <c r="Y123" i="12"/>
  <c r="Y122" i="12"/>
  <c r="A124" i="3"/>
  <c r="A6" i="3" s="1"/>
  <c r="D14" i="3" l="1"/>
  <c r="D15" i="3" s="1"/>
  <c r="D176" i="3"/>
  <c r="D119" i="3"/>
  <c r="D271" i="3"/>
  <c r="D263" i="3"/>
  <c r="D255" i="3"/>
  <c r="D247" i="3"/>
  <c r="D239" i="3"/>
  <c r="D231" i="3"/>
  <c r="D223" i="3"/>
  <c r="D215" i="3"/>
  <c r="D207" i="3"/>
  <c r="D199" i="3"/>
  <c r="D191" i="3"/>
  <c r="D183" i="3"/>
  <c r="D175" i="3"/>
  <c r="D167" i="3"/>
  <c r="D135" i="3"/>
  <c r="D111" i="3"/>
  <c r="D103" i="3"/>
  <c r="D95" i="3"/>
  <c r="D87" i="3"/>
  <c r="D79" i="3"/>
  <c r="D71" i="3"/>
  <c r="D270" i="3"/>
  <c r="D262" i="3"/>
  <c r="D254" i="3"/>
  <c r="D246" i="3"/>
  <c r="D238" i="3"/>
  <c r="D230" i="3"/>
  <c r="D222" i="3"/>
  <c r="D214" i="3"/>
  <c r="D206" i="3"/>
  <c r="D198" i="3"/>
  <c r="D190" i="3"/>
  <c r="D182" i="3"/>
  <c r="D174" i="3"/>
  <c r="D166" i="3"/>
  <c r="D158" i="3"/>
  <c r="D150" i="3"/>
  <c r="D142" i="3"/>
  <c r="D134" i="3"/>
  <c r="D126" i="3"/>
  <c r="D118" i="3"/>
  <c r="D110" i="3"/>
  <c r="D102" i="3"/>
  <c r="D94" i="3"/>
  <c r="D86" i="3"/>
  <c r="D78" i="3"/>
  <c r="D70" i="3"/>
  <c r="D269" i="3"/>
  <c r="D261" i="3"/>
  <c r="D253" i="3"/>
  <c r="D245" i="3"/>
  <c r="D237" i="3"/>
  <c r="D229" i="3"/>
  <c r="D221" i="3"/>
  <c r="D213" i="3"/>
  <c r="D205" i="3"/>
  <c r="D197" i="3"/>
  <c r="D189" i="3"/>
  <c r="D181" i="3"/>
  <c r="D173" i="3"/>
  <c r="D165" i="3"/>
  <c r="D157" i="3"/>
  <c r="D149" i="3"/>
  <c r="D141" i="3"/>
  <c r="D133" i="3"/>
  <c r="D125" i="3"/>
  <c r="D117" i="3"/>
  <c r="D109" i="3"/>
  <c r="D101" i="3"/>
  <c r="D93" i="3"/>
  <c r="D85" i="3"/>
  <c r="D77" i="3"/>
  <c r="D69" i="3"/>
  <c r="D267" i="3"/>
  <c r="D259" i="3"/>
  <c r="D243" i="3"/>
  <c r="D235" i="3"/>
  <c r="D227" i="3"/>
  <c r="D219" i="3"/>
  <c r="D211" i="3"/>
  <c r="D203" i="3"/>
  <c r="D195" i="3"/>
  <c r="D187" i="3"/>
  <c r="D179" i="3"/>
  <c r="D163" i="3"/>
  <c r="D155" i="3"/>
  <c r="D139" i="3"/>
  <c r="D123" i="3"/>
  <c r="D107" i="3"/>
  <c r="D91" i="3"/>
  <c r="D264" i="3"/>
  <c r="D248" i="3"/>
  <c r="D232" i="3"/>
  <c r="D208" i="3"/>
  <c r="D192" i="3"/>
  <c r="D168" i="3"/>
  <c r="D144" i="3"/>
  <c r="D128" i="3"/>
  <c r="D104" i="3"/>
  <c r="D80" i="3"/>
  <c r="D151" i="3"/>
  <c r="D268" i="3"/>
  <c r="D260" i="3"/>
  <c r="D252" i="3"/>
  <c r="D244" i="3"/>
  <c r="D236" i="3"/>
  <c r="D228" i="3"/>
  <c r="D220" i="3"/>
  <c r="D212" i="3"/>
  <c r="D204" i="3"/>
  <c r="D196" i="3"/>
  <c r="D188" i="3"/>
  <c r="D180" i="3"/>
  <c r="D172" i="3"/>
  <c r="D164" i="3"/>
  <c r="D156" i="3"/>
  <c r="D148" i="3"/>
  <c r="D140" i="3"/>
  <c r="D132" i="3"/>
  <c r="D124" i="3"/>
  <c r="D116" i="3"/>
  <c r="D108" i="3"/>
  <c r="D100" i="3"/>
  <c r="D92" i="3"/>
  <c r="D84" i="3"/>
  <c r="D76" i="3"/>
  <c r="D68" i="3"/>
  <c r="D251" i="3"/>
  <c r="D171" i="3"/>
  <c r="D147" i="3"/>
  <c r="D131" i="3"/>
  <c r="D115" i="3"/>
  <c r="D99" i="3"/>
  <c r="D83" i="3"/>
  <c r="D75" i="3"/>
  <c r="D256" i="3"/>
  <c r="D160" i="3"/>
  <c r="D120" i="3"/>
  <c r="D96" i="3"/>
  <c r="D72" i="3"/>
  <c r="D127" i="3"/>
  <c r="D159" i="3"/>
  <c r="D266" i="3"/>
  <c r="D258" i="3"/>
  <c r="D250" i="3"/>
  <c r="D242" i="3"/>
  <c r="D234" i="3"/>
  <c r="D226" i="3"/>
  <c r="D218" i="3"/>
  <c r="D210" i="3"/>
  <c r="D202" i="3"/>
  <c r="D194" i="3"/>
  <c r="D186" i="3"/>
  <c r="D178" i="3"/>
  <c r="D170" i="3"/>
  <c r="D162" i="3"/>
  <c r="D154" i="3"/>
  <c r="D146" i="3"/>
  <c r="D138" i="3"/>
  <c r="D130" i="3"/>
  <c r="D122" i="3"/>
  <c r="D114" i="3"/>
  <c r="D106" i="3"/>
  <c r="D98" i="3"/>
  <c r="D90" i="3"/>
  <c r="D82" i="3"/>
  <c r="D74" i="3"/>
  <c r="D265" i="3"/>
  <c r="D257" i="3"/>
  <c r="D249" i="3"/>
  <c r="D241" i="3"/>
  <c r="D233" i="3"/>
  <c r="D225" i="3"/>
  <c r="D217" i="3"/>
  <c r="D209" i="3"/>
  <c r="D201" i="3"/>
  <c r="D193" i="3"/>
  <c r="D185" i="3"/>
  <c r="D177" i="3"/>
  <c r="D169" i="3"/>
  <c r="D161" i="3"/>
  <c r="D153" i="3"/>
  <c r="D145" i="3"/>
  <c r="D137" i="3"/>
  <c r="D129" i="3"/>
  <c r="D121" i="3"/>
  <c r="D113" i="3"/>
  <c r="D105" i="3"/>
  <c r="D97" i="3"/>
  <c r="D89" i="3"/>
  <c r="D81" i="3"/>
  <c r="D73" i="3"/>
  <c r="D272" i="3"/>
  <c r="D240" i="3"/>
  <c r="D224" i="3"/>
  <c r="D216" i="3"/>
  <c r="D200" i="3"/>
  <c r="D184" i="3"/>
  <c r="D152" i="3"/>
  <c r="D136" i="3"/>
  <c r="D112" i="3"/>
  <c r="D88" i="3"/>
  <c r="D143" i="3"/>
  <c r="C70" i="3"/>
  <c r="C78" i="3"/>
  <c r="C86" i="3"/>
  <c r="C94" i="3"/>
  <c r="C102" i="3"/>
  <c r="C110" i="3"/>
  <c r="C118" i="3"/>
  <c r="C126" i="3"/>
  <c r="C134" i="3"/>
  <c r="C142" i="3"/>
  <c r="C150" i="3"/>
  <c r="C158" i="3"/>
  <c r="C166" i="3"/>
  <c r="C174" i="3"/>
  <c r="C182" i="3"/>
  <c r="C190" i="3"/>
  <c r="C198" i="3"/>
  <c r="C206" i="3"/>
  <c r="C214" i="3"/>
  <c r="C222" i="3"/>
  <c r="C230" i="3"/>
  <c r="C238" i="3"/>
  <c r="C246" i="3"/>
  <c r="C254" i="3"/>
  <c r="C262" i="3"/>
  <c r="C270" i="3"/>
  <c r="C81" i="3"/>
  <c r="C97" i="3"/>
  <c r="C121" i="3"/>
  <c r="C137" i="3"/>
  <c r="C161" i="3"/>
  <c r="C185" i="3"/>
  <c r="C201" i="3"/>
  <c r="C225" i="3"/>
  <c r="C249" i="3"/>
  <c r="C85" i="3"/>
  <c r="C117" i="3"/>
  <c r="C141" i="3"/>
  <c r="C181" i="3"/>
  <c r="C221" i="3"/>
  <c r="C261" i="3"/>
  <c r="C71" i="3"/>
  <c r="C79" i="3"/>
  <c r="C87" i="3"/>
  <c r="C95" i="3"/>
  <c r="C103" i="3"/>
  <c r="C111" i="3"/>
  <c r="C119" i="3"/>
  <c r="C127" i="3"/>
  <c r="C135" i="3"/>
  <c r="C143" i="3"/>
  <c r="C151" i="3"/>
  <c r="C159" i="3"/>
  <c r="C167" i="3"/>
  <c r="C175" i="3"/>
  <c r="C183" i="3"/>
  <c r="C191" i="3"/>
  <c r="C199" i="3"/>
  <c r="C207" i="3"/>
  <c r="C215" i="3"/>
  <c r="C223" i="3"/>
  <c r="C231" i="3"/>
  <c r="C239" i="3"/>
  <c r="C247" i="3"/>
  <c r="C255" i="3"/>
  <c r="C263" i="3"/>
  <c r="C271" i="3"/>
  <c r="C73" i="3"/>
  <c r="C89" i="3"/>
  <c r="C113" i="3"/>
  <c r="C129" i="3"/>
  <c r="C153" i="3"/>
  <c r="C169" i="3"/>
  <c r="C193" i="3"/>
  <c r="C217" i="3"/>
  <c r="C233" i="3"/>
  <c r="C257" i="3"/>
  <c r="C77" i="3"/>
  <c r="C125" i="3"/>
  <c r="C165" i="3"/>
  <c r="C197" i="3"/>
  <c r="C237" i="3"/>
  <c r="C72" i="3"/>
  <c r="C80" i="3"/>
  <c r="C88" i="3"/>
  <c r="C96" i="3"/>
  <c r="C104" i="3"/>
  <c r="C112" i="3"/>
  <c r="C120" i="3"/>
  <c r="C128" i="3"/>
  <c r="C136" i="3"/>
  <c r="C144" i="3"/>
  <c r="C152" i="3"/>
  <c r="C160" i="3"/>
  <c r="C168" i="3"/>
  <c r="C176" i="3"/>
  <c r="C184" i="3"/>
  <c r="C192" i="3"/>
  <c r="C200" i="3"/>
  <c r="C208" i="3"/>
  <c r="C216" i="3"/>
  <c r="C224" i="3"/>
  <c r="C232" i="3"/>
  <c r="C240" i="3"/>
  <c r="C248" i="3"/>
  <c r="C256" i="3"/>
  <c r="C264" i="3"/>
  <c r="C272" i="3"/>
  <c r="C105" i="3"/>
  <c r="C145" i="3"/>
  <c r="C177" i="3"/>
  <c r="C209" i="3"/>
  <c r="C241" i="3"/>
  <c r="C265" i="3"/>
  <c r="C101" i="3"/>
  <c r="C157" i="3"/>
  <c r="C205" i="3"/>
  <c r="C253" i="3"/>
  <c r="C74" i="3"/>
  <c r="C82" i="3"/>
  <c r="C90" i="3"/>
  <c r="C98" i="3"/>
  <c r="C106" i="3"/>
  <c r="C114" i="3"/>
  <c r="C122" i="3"/>
  <c r="C130" i="3"/>
  <c r="C138" i="3"/>
  <c r="C146" i="3"/>
  <c r="C154" i="3"/>
  <c r="C162" i="3"/>
  <c r="C170" i="3"/>
  <c r="C178" i="3"/>
  <c r="C186" i="3"/>
  <c r="C194" i="3"/>
  <c r="C202" i="3"/>
  <c r="C210" i="3"/>
  <c r="C218" i="3"/>
  <c r="C226" i="3"/>
  <c r="C234" i="3"/>
  <c r="C242" i="3"/>
  <c r="C250" i="3"/>
  <c r="C258" i="3"/>
  <c r="C266" i="3"/>
  <c r="C76" i="3"/>
  <c r="C92" i="3"/>
  <c r="C108" i="3"/>
  <c r="C124" i="3"/>
  <c r="C140" i="3"/>
  <c r="C156" i="3"/>
  <c r="C172" i="3"/>
  <c r="C188" i="3"/>
  <c r="C204" i="3"/>
  <c r="C220" i="3"/>
  <c r="C236" i="3"/>
  <c r="C252" i="3"/>
  <c r="C268" i="3"/>
  <c r="C93" i="3"/>
  <c r="C133" i="3"/>
  <c r="C173" i="3"/>
  <c r="C213" i="3"/>
  <c r="C245" i="3"/>
  <c r="C75" i="3"/>
  <c r="C83" i="3"/>
  <c r="C91" i="3"/>
  <c r="C99" i="3"/>
  <c r="C107" i="3"/>
  <c r="C115" i="3"/>
  <c r="C123" i="3"/>
  <c r="C131" i="3"/>
  <c r="C139" i="3"/>
  <c r="C147" i="3"/>
  <c r="C155" i="3"/>
  <c r="C163" i="3"/>
  <c r="C171" i="3"/>
  <c r="C179" i="3"/>
  <c r="C187" i="3"/>
  <c r="C195" i="3"/>
  <c r="C203" i="3"/>
  <c r="C211" i="3"/>
  <c r="C219" i="3"/>
  <c r="C227" i="3"/>
  <c r="C235" i="3"/>
  <c r="C243" i="3"/>
  <c r="C251" i="3"/>
  <c r="C259" i="3"/>
  <c r="C267" i="3"/>
  <c r="C68" i="3"/>
  <c r="C84" i="3"/>
  <c r="C100" i="3"/>
  <c r="C116" i="3"/>
  <c r="C132" i="3"/>
  <c r="C148" i="3"/>
  <c r="C164" i="3"/>
  <c r="C180" i="3"/>
  <c r="C196" i="3"/>
  <c r="C212" i="3"/>
  <c r="C228" i="3"/>
  <c r="C244" i="3"/>
  <c r="C260" i="3"/>
  <c r="C69" i="3"/>
  <c r="C109" i="3"/>
  <c r="C149" i="3"/>
  <c r="C189" i="3"/>
  <c r="C229" i="3"/>
  <c r="C269" i="3"/>
  <c r="X18" i="15"/>
  <c r="D16" i="3" l="1"/>
  <c r="C15" i="3"/>
  <c r="C14" i="3"/>
  <c r="BD93" i="3"/>
  <c r="BD188" i="3"/>
  <c r="BD99" i="3"/>
  <c r="BD20" i="3"/>
  <c r="BD257" i="3"/>
  <c r="BD14" i="3"/>
  <c r="BD183" i="3"/>
  <c r="BD39" i="3"/>
  <c r="BD220" i="3"/>
  <c r="BD216" i="3"/>
  <c r="AQ5" i="6"/>
  <c r="BD16" i="3"/>
  <c r="BD193" i="3"/>
  <c r="BD181" i="3"/>
  <c r="BD89" i="3"/>
  <c r="BD214" i="3"/>
  <c r="BD42" i="3"/>
  <c r="BD262" i="3"/>
  <c r="BD122" i="3"/>
  <c r="BD53" i="3"/>
  <c r="BD186" i="3"/>
  <c r="BD111" i="3"/>
  <c r="BD215" i="3"/>
  <c r="BD165" i="3"/>
  <c r="BD209" i="3"/>
  <c r="BD101" i="3"/>
  <c r="BD128" i="3"/>
  <c r="BD141" i="3"/>
  <c r="BD137" i="3"/>
  <c r="BD249" i="3"/>
  <c r="BD187" i="3"/>
  <c r="BD180" i="3"/>
  <c r="BD139" i="3"/>
  <c r="BD30" i="3"/>
  <c r="BD125" i="3"/>
  <c r="BD154" i="3"/>
  <c r="BD256" i="3"/>
  <c r="BD127" i="3"/>
  <c r="BD212" i="3"/>
  <c r="BD13" i="3"/>
  <c r="BD65" i="3"/>
  <c r="BD232" i="3"/>
  <c r="BD194" i="3"/>
  <c r="BD158" i="3"/>
  <c r="BD268" i="3"/>
  <c r="BD213" i="3"/>
  <c r="BD43" i="3"/>
  <c r="BD126" i="3"/>
  <c r="BD72" i="3"/>
  <c r="BD97" i="3"/>
  <c r="BD37" i="3"/>
  <c r="BD195" i="3"/>
  <c r="BD110" i="3"/>
  <c r="BD178" i="3"/>
  <c r="BD161" i="3"/>
  <c r="BD235" i="3"/>
  <c r="BD219" i="3"/>
  <c r="BD150" i="3"/>
  <c r="BD159" i="3"/>
  <c r="BD44" i="3"/>
  <c r="BD142" i="3"/>
  <c r="BD260" i="3"/>
  <c r="BD78" i="3"/>
  <c r="BD169" i="3"/>
  <c r="BD229" i="3"/>
  <c r="BD152" i="3"/>
  <c r="BD251" i="3"/>
  <c r="BD104" i="3"/>
  <c r="BD236" i="3"/>
  <c r="BD90" i="3"/>
  <c r="BD227" i="3"/>
  <c r="BD224" i="3"/>
  <c r="BD231" i="3"/>
  <c r="BD242" i="3"/>
  <c r="BD91" i="3"/>
  <c r="BD207" i="3"/>
  <c r="BD208" i="3"/>
  <c r="BD265" i="3"/>
  <c r="BD24" i="3"/>
  <c r="BD202" i="3"/>
  <c r="BD116" i="3"/>
  <c r="BD211" i="3"/>
  <c r="BD124" i="3"/>
  <c r="BD269" i="3"/>
  <c r="BD113" i="3"/>
  <c r="BD86" i="3"/>
  <c r="BD191" i="3"/>
  <c r="BD48" i="3"/>
  <c r="BD19" i="3"/>
  <c r="BD259" i="3"/>
  <c r="BD103" i="3"/>
  <c r="BD82" i="3"/>
  <c r="BD58" i="3"/>
  <c r="BD174" i="3"/>
  <c r="BD80" i="3"/>
  <c r="BD163" i="3"/>
  <c r="BD21" i="3"/>
  <c r="BD49" i="3"/>
  <c r="BD59" i="3"/>
  <c r="BD67" i="3"/>
  <c r="BD179" i="3"/>
  <c r="BD131" i="3"/>
  <c r="BD74" i="3"/>
  <c r="BD197" i="3"/>
  <c r="BD112" i="3"/>
  <c r="BD105" i="3"/>
  <c r="BD92" i="3"/>
  <c r="BD166" i="3"/>
  <c r="BD26" i="3"/>
  <c r="BD225" i="3"/>
  <c r="BD60" i="3"/>
  <c r="BD144" i="3"/>
  <c r="BD75" i="3"/>
  <c r="BD149" i="3"/>
  <c r="BD148" i="3"/>
  <c r="BD32" i="3"/>
  <c r="BD226" i="3"/>
  <c r="BD162" i="3"/>
  <c r="BD210" i="3"/>
  <c r="BD95" i="3"/>
  <c r="BD35" i="3"/>
  <c r="BD230" i="3"/>
  <c r="BD15" i="3"/>
  <c r="BD140" i="3"/>
  <c r="BD200" i="3"/>
  <c r="BD114" i="3"/>
  <c r="BD134" i="3"/>
  <c r="BD146" i="3"/>
  <c r="BD83" i="3"/>
  <c r="BD267" i="3"/>
  <c r="BD94" i="3"/>
  <c r="BD177" i="3"/>
  <c r="BD248" i="3"/>
  <c r="BD50" i="3"/>
  <c r="BD234" i="3"/>
  <c r="BD63" i="3"/>
  <c r="BD261" i="3"/>
  <c r="BD255" i="3"/>
  <c r="BD107" i="3"/>
  <c r="BD130" i="3"/>
  <c r="BD221" i="3"/>
  <c r="BD201" i="3"/>
  <c r="BD109" i="3"/>
  <c r="BD77" i="3"/>
  <c r="BD206" i="3"/>
  <c r="BD33" i="3"/>
  <c r="BD121" i="3"/>
  <c r="BD192" i="3"/>
  <c r="BD223" i="3"/>
  <c r="BD71" i="3"/>
  <c r="BD204" i="3"/>
  <c r="BD239" i="3"/>
  <c r="BD228" i="3"/>
  <c r="BD88" i="3"/>
  <c r="BD98" i="3"/>
  <c r="BD185" i="3"/>
  <c r="BD56" i="3"/>
  <c r="BD147" i="3"/>
  <c r="BD198" i="3"/>
  <c r="BD108" i="3"/>
  <c r="BD244" i="3"/>
  <c r="BD62" i="3"/>
  <c r="BD240" i="3"/>
  <c r="BD41" i="3"/>
  <c r="BD85" i="3"/>
  <c r="BD199" i="3"/>
  <c r="BD164" i="3"/>
  <c r="BD189" i="3"/>
  <c r="BD145" i="3"/>
  <c r="BD17" i="3"/>
  <c r="BD271" i="3"/>
  <c r="BD238" i="3"/>
  <c r="BD31" i="3"/>
  <c r="BD38" i="3"/>
  <c r="BD157" i="3"/>
  <c r="BD106" i="3"/>
  <c r="BD100" i="3"/>
  <c r="BD254" i="3"/>
  <c r="BD196" i="3"/>
  <c r="BD54" i="3"/>
  <c r="BD79" i="3"/>
  <c r="BD247" i="3"/>
  <c r="BD203" i="3"/>
  <c r="BD138" i="3"/>
  <c r="BD47" i="3"/>
  <c r="BD263" i="3"/>
  <c r="BD266" i="3"/>
  <c r="BD87" i="3"/>
  <c r="BD246" i="3"/>
  <c r="BD45" i="3"/>
  <c r="E5" i="12"/>
  <c r="H5" i="12" s="1"/>
  <c r="BD123" i="3"/>
  <c r="BD272" i="3"/>
  <c r="BD170" i="3"/>
  <c r="BD40" i="3"/>
  <c r="BD29" i="3"/>
  <c r="BD151" i="3"/>
  <c r="BD18" i="3"/>
  <c r="BD172" i="3"/>
  <c r="BD55" i="3"/>
  <c r="BD96" i="3"/>
  <c r="BD243" i="3"/>
  <c r="BD264" i="3"/>
  <c r="BD117" i="3"/>
  <c r="BD64" i="3"/>
  <c r="BD241" i="3"/>
  <c r="BD250" i="3"/>
  <c r="BD76" i="3"/>
  <c r="BD218" i="3"/>
  <c r="BD28" i="3"/>
  <c r="BD52" i="3"/>
  <c r="BD25" i="3"/>
  <c r="BD133" i="3"/>
  <c r="BD115" i="3"/>
  <c r="BD23" i="3"/>
  <c r="BD167" i="3"/>
  <c r="BD57" i="3"/>
  <c r="BD118" i="3"/>
  <c r="BD171" i="3"/>
  <c r="BD237" i="3"/>
  <c r="BD205" i="3"/>
  <c r="BD182" i="3"/>
  <c r="BD155" i="3"/>
  <c r="BD69" i="3"/>
  <c r="BD119" i="3"/>
  <c r="BD233" i="3"/>
  <c r="BD84" i="3"/>
  <c r="E4" i="12"/>
  <c r="F4" i="12" s="1"/>
  <c r="BD217" i="3"/>
  <c r="BD73" i="3"/>
  <c r="BD175" i="3"/>
  <c r="BD168" i="3"/>
  <c r="BD135" i="3"/>
  <c r="BD245" i="3"/>
  <c r="BD184" i="3"/>
  <c r="BD68" i="3"/>
  <c r="BD176" i="3"/>
  <c r="BD132" i="3"/>
  <c r="BD102" i="3"/>
  <c r="BD34" i="3"/>
  <c r="BD153" i="3"/>
  <c r="BD22" i="3"/>
  <c r="BD173" i="3"/>
  <c r="BD46" i="3"/>
  <c r="BD129" i="3"/>
  <c r="BD51" i="3"/>
  <c r="BD160" i="3"/>
  <c r="BD66" i="3"/>
  <c r="BD81" i="3"/>
  <c r="BD70" i="3"/>
  <c r="BD156" i="3"/>
  <c r="BD61" i="3"/>
  <c r="BD120" i="3"/>
  <c r="BD222" i="3"/>
  <c r="BD136" i="3"/>
  <c r="BD253" i="3"/>
  <c r="BD143" i="3"/>
  <c r="BD252" i="3"/>
  <c r="BD190" i="3"/>
  <c r="BD36" i="3"/>
  <c r="BD270" i="3"/>
  <c r="BD258" i="3"/>
  <c r="BD27" i="3"/>
  <c r="D17" i="3" l="1"/>
  <c r="C16" i="3"/>
  <c r="F5" i="12"/>
  <c r="AQ6" i="6"/>
  <c r="A17" i="12"/>
  <c r="C14" i="37"/>
  <c r="H67" i="26"/>
  <c r="D18" i="3" l="1"/>
  <c r="C17" i="3"/>
  <c r="AW4" i="6"/>
  <c r="AW5" i="6" s="1"/>
  <c r="N4" i="12" s="1"/>
  <c r="G5" i="12"/>
  <c r="I5" i="12" s="1"/>
  <c r="M4" i="12"/>
  <c r="DJ5" i="6"/>
  <c r="C5" i="7"/>
  <c r="AX6" i="6"/>
  <c r="DJ4" i="6"/>
  <c r="AX7" i="6"/>
  <c r="DJ3" i="6"/>
  <c r="AX3" i="6"/>
  <c r="R4" i="12" s="1"/>
  <c r="AW3" i="6"/>
  <c r="O4" i="12" s="1"/>
  <c r="AW6" i="6"/>
  <c r="P4" i="12" s="1"/>
  <c r="M4" i="39" s="1"/>
  <c r="AW7" i="6"/>
  <c r="Q4" i="12" s="1"/>
  <c r="N4" i="39" s="1"/>
  <c r="B14" i="3"/>
  <c r="AP5" i="6" s="1"/>
  <c r="A18" i="12"/>
  <c r="AQ7" i="6"/>
  <c r="D19" i="3" l="1"/>
  <c r="C18" i="3"/>
  <c r="D6" i="12"/>
  <c r="E5" i="17" s="1"/>
  <c r="F4" i="17"/>
  <c r="K4" i="39"/>
  <c r="S4" i="12"/>
  <c r="J4" i="39"/>
  <c r="B15" i="3"/>
  <c r="AP6" i="6" s="1"/>
  <c r="A19" i="12"/>
  <c r="D20" i="3" l="1"/>
  <c r="C19" i="3"/>
  <c r="E6" i="12"/>
  <c r="L5" i="12"/>
  <c r="I5" i="39" s="1"/>
  <c r="D7" i="12"/>
  <c r="H7" i="12" s="1"/>
  <c r="F6" i="12"/>
  <c r="B16" i="3"/>
  <c r="AP7" i="6" s="1"/>
  <c r="AQ9" i="6"/>
  <c r="AQ8" i="6"/>
  <c r="AQ10" i="6"/>
  <c r="D21" i="3" l="1"/>
  <c r="C20" i="3"/>
  <c r="E275" i="12"/>
  <c r="E274" i="12"/>
  <c r="E34" i="12"/>
  <c r="E254" i="12"/>
  <c r="E69" i="12"/>
  <c r="E90" i="12"/>
  <c r="E53" i="12"/>
  <c r="E32" i="12"/>
  <c r="E178" i="12"/>
  <c r="E175" i="12"/>
  <c r="E198" i="12"/>
  <c r="E134" i="12"/>
  <c r="E101" i="12"/>
  <c r="E111" i="12"/>
  <c r="E223" i="12"/>
  <c r="E109" i="12"/>
  <c r="E132" i="12"/>
  <c r="E229" i="12"/>
  <c r="E253" i="12"/>
  <c r="E196" i="12"/>
  <c r="E163" i="12"/>
  <c r="E227" i="12"/>
  <c r="E269" i="12"/>
  <c r="E161" i="12"/>
  <c r="E225" i="12"/>
  <c r="E25" i="12"/>
  <c r="E106" i="12"/>
  <c r="E226" i="12"/>
  <c r="E271" i="12"/>
  <c r="E17" i="12"/>
  <c r="E56" i="12"/>
  <c r="E173" i="12"/>
  <c r="E131" i="12"/>
  <c r="E129" i="12"/>
  <c r="E176" i="12"/>
  <c r="E166" i="12"/>
  <c r="E164" i="12"/>
  <c r="E115" i="12"/>
  <c r="E263" i="12"/>
  <c r="E55" i="12"/>
  <c r="E72" i="12"/>
  <c r="E104" i="12"/>
  <c r="E88" i="12"/>
  <c r="E236" i="12"/>
  <c r="E195" i="12"/>
  <c r="E193" i="12"/>
  <c r="E47" i="12"/>
  <c r="E230" i="12"/>
  <c r="E228" i="12"/>
  <c r="E179" i="12"/>
  <c r="E221" i="12"/>
  <c r="E113" i="12"/>
  <c r="E38" i="12"/>
  <c r="E177" i="12"/>
  <c r="E138" i="12"/>
  <c r="E118" i="12"/>
  <c r="E116" i="12"/>
  <c r="E272" i="12"/>
  <c r="E208" i="12"/>
  <c r="E182" i="12"/>
  <c r="E180" i="12"/>
  <c r="E181" i="12"/>
  <c r="E145" i="12"/>
  <c r="E122" i="12"/>
  <c r="E58" i="12"/>
  <c r="E114" i="12"/>
  <c r="E130" i="12"/>
  <c r="E194" i="12"/>
  <c r="E256" i="12"/>
  <c r="E162" i="12"/>
  <c r="E127" i="12"/>
  <c r="E191" i="12"/>
  <c r="E128" i="12"/>
  <c r="E143" i="12"/>
  <c r="E160" i="12"/>
  <c r="E159" i="12"/>
  <c r="E112" i="12"/>
  <c r="E239" i="12"/>
  <c r="E133" i="12"/>
  <c r="E260" i="12"/>
  <c r="E257" i="12"/>
  <c r="E258" i="12"/>
  <c r="E255" i="12"/>
  <c r="E170" i="12"/>
  <c r="E141" i="12"/>
  <c r="E42" i="12"/>
  <c r="E29" i="12"/>
  <c r="E33" i="12"/>
  <c r="E21" i="12"/>
  <c r="E35" i="12"/>
  <c r="E85" i="12"/>
  <c r="E259" i="12"/>
  <c r="E244" i="12"/>
  <c r="E241" i="12"/>
  <c r="E242" i="12"/>
  <c r="E240" i="12"/>
  <c r="E251" i="12"/>
  <c r="E167" i="12"/>
  <c r="E74" i="12"/>
  <c r="E146" i="12"/>
  <c r="E210" i="12"/>
  <c r="E71" i="12"/>
  <c r="E87" i="12"/>
  <c r="E103" i="12"/>
  <c r="E207" i="12"/>
  <c r="E192" i="12"/>
  <c r="E238" i="12"/>
  <c r="E224" i="12"/>
  <c r="E30" i="12"/>
  <c r="E144" i="12"/>
  <c r="E45" i="12"/>
  <c r="E78" i="12"/>
  <c r="E75" i="12"/>
  <c r="E76" i="12"/>
  <c r="E73" i="12"/>
  <c r="E165" i="12"/>
  <c r="E233" i="12"/>
  <c r="E205" i="12"/>
  <c r="E40" i="12"/>
  <c r="E107" i="12"/>
  <c r="E110" i="12"/>
  <c r="E105" i="12"/>
  <c r="E82" i="12"/>
  <c r="E157" i="12"/>
  <c r="E62" i="12"/>
  <c r="E59" i="12"/>
  <c r="E60" i="12"/>
  <c r="E57" i="12"/>
  <c r="E189" i="12"/>
  <c r="E150" i="12"/>
  <c r="E48" i="12"/>
  <c r="E231" i="12"/>
  <c r="E44" i="12"/>
  <c r="E222" i="12"/>
  <c r="E108" i="12"/>
  <c r="E148" i="12"/>
  <c r="E46" i="12"/>
  <c r="E50" i="12"/>
  <c r="E158" i="12"/>
  <c r="E273" i="12"/>
  <c r="E117" i="12"/>
  <c r="E125" i="12"/>
  <c r="E147" i="12"/>
  <c r="E218" i="12"/>
  <c r="E261" i="12"/>
  <c r="E77" i="12"/>
  <c r="E186" i="12"/>
  <c r="E197" i="12"/>
  <c r="E31" i="12"/>
  <c r="E266" i="12"/>
  <c r="E168" i="12"/>
  <c r="E102" i="12"/>
  <c r="E19" i="12"/>
  <c r="E136" i="12"/>
  <c r="E262" i="12"/>
  <c r="E79" i="12"/>
  <c r="E70" i="12"/>
  <c r="E18" i="12"/>
  <c r="E27" i="12"/>
  <c r="E66" i="12"/>
  <c r="E135" i="12"/>
  <c r="E94" i="12"/>
  <c r="E200" i="12"/>
  <c r="E91" i="12"/>
  <c r="E199" i="12"/>
  <c r="E264" i="12"/>
  <c r="E22" i="12"/>
  <c r="E98" i="12"/>
  <c r="E26" i="12"/>
  <c r="E80" i="12"/>
  <c r="E36" i="12"/>
  <c r="E213" i="12"/>
  <c r="E61" i="12"/>
  <c r="E86" i="12"/>
  <c r="E89" i="12"/>
  <c r="E151" i="12"/>
  <c r="E206" i="12"/>
  <c r="E92" i="12"/>
  <c r="E202" i="12"/>
  <c r="E152" i="12"/>
  <c r="E154" i="12"/>
  <c r="E95" i="12"/>
  <c r="E96" i="12"/>
  <c r="E149" i="12"/>
  <c r="E212" i="12"/>
  <c r="E215" i="12"/>
  <c r="E216" i="12"/>
  <c r="E142" i="12"/>
  <c r="E126" i="12"/>
  <c r="E252" i="12"/>
  <c r="E63" i="12"/>
  <c r="E183" i="12"/>
  <c r="E51" i="12"/>
  <c r="E93" i="12"/>
  <c r="E20" i="12"/>
  <c r="E211" i="12"/>
  <c r="E184" i="12"/>
  <c r="E64" i="12"/>
  <c r="E245" i="12"/>
  <c r="E24" i="12"/>
  <c r="E54" i="12"/>
  <c r="E99" i="12"/>
  <c r="E39" i="12"/>
  <c r="E209" i="12"/>
  <c r="E246" i="12"/>
  <c r="E171" i="12"/>
  <c r="E81" i="12"/>
  <c r="E119" i="12"/>
  <c r="E49" i="12"/>
  <c r="E234" i="12"/>
  <c r="E137" i="12"/>
  <c r="E174" i="12"/>
  <c r="E248" i="12"/>
  <c r="E83" i="12"/>
  <c r="E37" i="12"/>
  <c r="E41" i="12"/>
  <c r="E84" i="12"/>
  <c r="E243" i="12"/>
  <c r="E214" i="12"/>
  <c r="E270" i="12"/>
  <c r="E190" i="12"/>
  <c r="E43" i="12"/>
  <c r="E139" i="12"/>
  <c r="E187" i="12"/>
  <c r="E52" i="12"/>
  <c r="E140" i="12"/>
  <c r="E155" i="12"/>
  <c r="E172" i="12"/>
  <c r="E169" i="12"/>
  <c r="E203" i="12"/>
  <c r="E204" i="12"/>
  <c r="E201" i="12"/>
  <c r="E220" i="12"/>
  <c r="E235" i="12"/>
  <c r="E232" i="12"/>
  <c r="E267" i="12"/>
  <c r="E268" i="12"/>
  <c r="E153" i="12"/>
  <c r="E217" i="12"/>
  <c r="E249" i="12"/>
  <c r="E265" i="12"/>
  <c r="E156" i="12"/>
  <c r="E185" i="12"/>
  <c r="E121" i="12"/>
  <c r="E219" i="12"/>
  <c r="E120" i="12"/>
  <c r="E247" i="12"/>
  <c r="E67" i="12"/>
  <c r="E100" i="12"/>
  <c r="E97" i="12"/>
  <c r="E123" i="12"/>
  <c r="E65" i="12"/>
  <c r="E28" i="12"/>
  <c r="E16" i="12"/>
  <c r="E237" i="12"/>
  <c r="E68" i="12"/>
  <c r="E250" i="12"/>
  <c r="E188" i="12"/>
  <c r="E124" i="12"/>
  <c r="E23" i="12"/>
  <c r="E7" i="12"/>
  <c r="F7" i="12" s="1"/>
  <c r="B17" i="3"/>
  <c r="AP8" i="6" s="1"/>
  <c r="A20" i="12"/>
  <c r="A21" i="12"/>
  <c r="B18" i="3"/>
  <c r="AP9" i="6" s="1"/>
  <c r="AQ11" i="6"/>
  <c r="D22" i="3" l="1"/>
  <c r="C21" i="3"/>
  <c r="A22" i="12"/>
  <c r="B19" i="3"/>
  <c r="AP10" i="6" s="1"/>
  <c r="AQ12" i="6"/>
  <c r="D23" i="3" l="1"/>
  <c r="C22" i="3"/>
  <c r="A23" i="12"/>
  <c r="B20" i="3"/>
  <c r="AP11" i="6" s="1"/>
  <c r="AQ13" i="6"/>
  <c r="D24" i="3" l="1"/>
  <c r="C23" i="3"/>
  <c r="A24" i="12"/>
  <c r="B21" i="3"/>
  <c r="AP12" i="6" s="1"/>
  <c r="AQ14" i="6"/>
  <c r="D25" i="3" l="1"/>
  <c r="C24" i="3"/>
  <c r="A25" i="12"/>
  <c r="B22" i="3"/>
  <c r="AP13" i="6" s="1"/>
  <c r="AQ15" i="6"/>
  <c r="D26" i="3" l="1"/>
  <c r="C25" i="3"/>
  <c r="A26" i="12"/>
  <c r="B23" i="3"/>
  <c r="AP14" i="6" s="1"/>
  <c r="AQ16" i="6"/>
  <c r="D27" i="3" l="1"/>
  <c r="C26" i="3"/>
  <c r="A27" i="12"/>
  <c r="B24" i="3"/>
  <c r="AP15" i="6" s="1"/>
  <c r="AQ17" i="6"/>
  <c r="D28" i="3" l="1"/>
  <c r="C27" i="3"/>
  <c r="A28" i="12"/>
  <c r="B25" i="3"/>
  <c r="AP16" i="6" s="1"/>
  <c r="AQ18" i="6"/>
  <c r="D29" i="3" l="1"/>
  <c r="C28" i="3"/>
  <c r="A29" i="12"/>
  <c r="B26" i="3"/>
  <c r="AP17" i="6" s="1"/>
  <c r="AQ19" i="6"/>
  <c r="D30" i="3" l="1"/>
  <c r="C29" i="3"/>
  <c r="A30" i="12"/>
  <c r="B27" i="3"/>
  <c r="AP18" i="6" s="1"/>
  <c r="C49" i="18"/>
  <c r="AQ20" i="6"/>
  <c r="D31" i="3" l="1"/>
  <c r="C30" i="3"/>
  <c r="A31" i="12"/>
  <c r="B28" i="3"/>
  <c r="AP19" i="6" s="1"/>
  <c r="Q59" i="14"/>
  <c r="Q21" i="14"/>
  <c r="Q26" i="14"/>
  <c r="Q25" i="14"/>
  <c r="Q62" i="14"/>
  <c r="Q51" i="14"/>
  <c r="Q33" i="14"/>
  <c r="Q50" i="14"/>
  <c r="Q35" i="14"/>
  <c r="Q44" i="14"/>
  <c r="Q22" i="14"/>
  <c r="Q40" i="14"/>
  <c r="Q27" i="14"/>
  <c r="Q34" i="14"/>
  <c r="Q28" i="14"/>
  <c r="Q38" i="14"/>
  <c r="Q36" i="14"/>
  <c r="Q23" i="14"/>
  <c r="Q30" i="14"/>
  <c r="Q64" i="14"/>
  <c r="Q42" i="14"/>
  <c r="Q29" i="14"/>
  <c r="Q45" i="14"/>
  <c r="Q31" i="14"/>
  <c r="Q55" i="14"/>
  <c r="Q37" i="14"/>
  <c r="Q56" i="14"/>
  <c r="Q43" i="14"/>
  <c r="Q32" i="14"/>
  <c r="Q60" i="14"/>
  <c r="Q54" i="14"/>
  <c r="Q52" i="14"/>
  <c r="Q39" i="14"/>
  <c r="Q46" i="14"/>
  <c r="Q48" i="14"/>
  <c r="Q58" i="14"/>
  <c r="Q63" i="14"/>
  <c r="Q57" i="14"/>
  <c r="Q24" i="14"/>
  <c r="Q61" i="14"/>
  <c r="Q41" i="14"/>
  <c r="Q47" i="14"/>
  <c r="Q49" i="14"/>
  <c r="Q20" i="14"/>
  <c r="Q53" i="14"/>
  <c r="AQ21" i="6"/>
  <c r="D32" i="3" l="1"/>
  <c r="C31" i="3"/>
  <c r="A32" i="12"/>
  <c r="B29" i="3"/>
  <c r="AP20" i="6" s="1"/>
  <c r="AQ22" i="6"/>
  <c r="D33" i="3" l="1"/>
  <c r="C32" i="3"/>
  <c r="A33" i="12"/>
  <c r="B30" i="3"/>
  <c r="AP21" i="6" s="1"/>
  <c r="AQ23" i="6"/>
  <c r="D34" i="3" l="1"/>
  <c r="C33" i="3"/>
  <c r="A34" i="12"/>
  <c r="B31" i="3"/>
  <c r="AP22" i="6" s="1"/>
  <c r="AQ24" i="6"/>
  <c r="D35" i="3" l="1"/>
  <c r="C34" i="3"/>
  <c r="A35" i="12"/>
  <c r="B32" i="3"/>
  <c r="AP23" i="6" s="1"/>
  <c r="AQ25" i="6"/>
  <c r="D36" i="3" l="1"/>
  <c r="C35" i="3"/>
  <c r="A36" i="12"/>
  <c r="B33" i="3"/>
  <c r="AP24" i="6" s="1"/>
  <c r="AQ26" i="6"/>
  <c r="D37" i="3" l="1"/>
  <c r="C36" i="3"/>
  <c r="A37" i="12"/>
  <c r="B34" i="3"/>
  <c r="AP25" i="6" s="1"/>
  <c r="AQ27" i="6"/>
  <c r="D38" i="3" l="1"/>
  <c r="C37" i="3"/>
  <c r="A38" i="12"/>
  <c r="B35" i="3"/>
  <c r="AP26" i="6" s="1"/>
  <c r="AQ28" i="6"/>
  <c r="D39" i="3" l="1"/>
  <c r="C38" i="3"/>
  <c r="A39" i="12"/>
  <c r="B36" i="3"/>
  <c r="AP27" i="6" s="1"/>
  <c r="AQ29" i="6"/>
  <c r="D40" i="3" l="1"/>
  <c r="C39" i="3"/>
  <c r="A40" i="12"/>
  <c r="B37" i="3"/>
  <c r="AP28" i="6" s="1"/>
  <c r="AQ30" i="6"/>
  <c r="D41" i="3" l="1"/>
  <c r="C40" i="3"/>
  <c r="A41" i="12"/>
  <c r="B38" i="3"/>
  <c r="AP29" i="6" s="1"/>
  <c r="AQ31" i="6"/>
  <c r="D42" i="3" l="1"/>
  <c r="C41" i="3"/>
  <c r="A42" i="12"/>
  <c r="B39" i="3"/>
  <c r="AP30" i="6" s="1"/>
  <c r="AQ32" i="6"/>
  <c r="D43" i="3" l="1"/>
  <c r="C42" i="3"/>
  <c r="A43" i="12"/>
  <c r="B40" i="3"/>
  <c r="AP31" i="6" s="1"/>
  <c r="AQ33" i="6"/>
  <c r="D44" i="3" l="1"/>
  <c r="C43" i="3"/>
  <c r="A44" i="12"/>
  <c r="B41" i="3"/>
  <c r="AP32" i="6" s="1"/>
  <c r="AQ34" i="6"/>
  <c r="D45" i="3" l="1"/>
  <c r="C44" i="3"/>
  <c r="A45" i="12"/>
  <c r="B42" i="3"/>
  <c r="AP33" i="6" s="1"/>
  <c r="AQ35" i="6"/>
  <c r="D46" i="3" l="1"/>
  <c r="C45" i="3"/>
  <c r="A46" i="12"/>
  <c r="B43" i="3"/>
  <c r="AP34" i="6" s="1"/>
  <c r="AQ36" i="6"/>
  <c r="D47" i="3" l="1"/>
  <c r="C46" i="3"/>
  <c r="A47" i="12"/>
  <c r="B44" i="3"/>
  <c r="AP35" i="6" s="1"/>
  <c r="AQ37" i="6"/>
  <c r="D48" i="3" l="1"/>
  <c r="C47" i="3"/>
  <c r="A48" i="12"/>
  <c r="B45" i="3"/>
  <c r="AP36" i="6" s="1"/>
  <c r="AQ38" i="6"/>
  <c r="D49" i="3" l="1"/>
  <c r="C48" i="3"/>
  <c r="A49" i="12"/>
  <c r="B46" i="3"/>
  <c r="AP37" i="6" s="1"/>
  <c r="AQ39" i="6"/>
  <c r="D50" i="3" l="1"/>
  <c r="C49" i="3"/>
  <c r="A50" i="12"/>
  <c r="B47" i="3"/>
  <c r="AP38" i="6" s="1"/>
  <c r="AQ40" i="6"/>
  <c r="D51" i="3" l="1"/>
  <c r="C50" i="3"/>
  <c r="A51" i="12"/>
  <c r="B48" i="3"/>
  <c r="AP39" i="6" s="1"/>
  <c r="AQ41" i="6"/>
  <c r="D52" i="3" l="1"/>
  <c r="C51" i="3"/>
  <c r="A52" i="12"/>
  <c r="B49" i="3"/>
  <c r="AP40" i="6" s="1"/>
  <c r="AQ42" i="6"/>
  <c r="D53" i="3" l="1"/>
  <c r="C52" i="3"/>
  <c r="A53" i="12"/>
  <c r="B50" i="3"/>
  <c r="AP41" i="6" s="1"/>
  <c r="AQ43" i="6"/>
  <c r="D54" i="3" l="1"/>
  <c r="C53" i="3"/>
  <c r="A54" i="12"/>
  <c r="B51" i="3"/>
  <c r="AP42" i="6" s="1"/>
  <c r="AQ44" i="6"/>
  <c r="D55" i="3" l="1"/>
  <c r="C54" i="3"/>
  <c r="A55" i="12"/>
  <c r="B52" i="3"/>
  <c r="AP43" i="6" s="1"/>
  <c r="AQ45" i="6"/>
  <c r="D56" i="3" l="1"/>
  <c r="C55" i="3"/>
  <c r="A56" i="12"/>
  <c r="B53" i="3"/>
  <c r="AP44" i="6" s="1"/>
  <c r="AQ46" i="6"/>
  <c r="D57" i="3" l="1"/>
  <c r="C56" i="3"/>
  <c r="A57" i="12"/>
  <c r="B54" i="3"/>
  <c r="AP45" i="6" s="1"/>
  <c r="AQ47" i="6"/>
  <c r="D58" i="3" l="1"/>
  <c r="C57" i="3"/>
  <c r="A58" i="12"/>
  <c r="B55" i="3"/>
  <c r="AP46" i="6" s="1"/>
  <c r="AQ48" i="6"/>
  <c r="D59" i="3" l="1"/>
  <c r="C58" i="3"/>
  <c r="A59" i="12"/>
  <c r="B56" i="3"/>
  <c r="AP47" i="6" s="1"/>
  <c r="AQ49" i="6"/>
  <c r="D60" i="3" l="1"/>
  <c r="C59" i="3"/>
  <c r="A60" i="12"/>
  <c r="B57" i="3"/>
  <c r="AP48" i="6" s="1"/>
  <c r="AQ50" i="6"/>
  <c r="D61" i="3" l="1"/>
  <c r="C60" i="3"/>
  <c r="A61" i="12"/>
  <c r="B58" i="3"/>
  <c r="AP49" i="6" s="1"/>
  <c r="AQ51" i="6"/>
  <c r="D62" i="3" l="1"/>
  <c r="C61" i="3"/>
  <c r="A62" i="12"/>
  <c r="B59" i="3"/>
  <c r="AP50" i="6" s="1"/>
  <c r="AQ52" i="6"/>
  <c r="D63" i="3" l="1"/>
  <c r="C62" i="3"/>
  <c r="A63" i="12"/>
  <c r="B60" i="3"/>
  <c r="AP51" i="6" s="1"/>
  <c r="AQ53" i="6"/>
  <c r="D64" i="3" l="1"/>
  <c r="C63" i="3"/>
  <c r="A64" i="12"/>
  <c r="B61" i="3"/>
  <c r="AP52" i="6" s="1"/>
  <c r="AQ54" i="6"/>
  <c r="C64" i="3" l="1"/>
  <c r="D65" i="3"/>
  <c r="A65" i="12"/>
  <c r="B62" i="3"/>
  <c r="AP53" i="6" s="1"/>
  <c r="AQ55" i="6"/>
  <c r="D66" i="3" l="1"/>
  <c r="C65" i="3"/>
  <c r="A66" i="12"/>
  <c r="B63" i="3"/>
  <c r="AP54" i="6" s="1"/>
  <c r="AQ56" i="6"/>
  <c r="C66" i="3" l="1"/>
  <c r="D67" i="3"/>
  <c r="C67" i="3" s="1"/>
  <c r="A67" i="12"/>
  <c r="B64" i="3"/>
  <c r="AP55" i="6" s="1"/>
  <c r="AQ57" i="6"/>
  <c r="A68" i="12" l="1"/>
  <c r="B65" i="3"/>
  <c r="AP56" i="6" s="1"/>
  <c r="B66" i="3"/>
  <c r="AQ58" i="6"/>
  <c r="A69" i="12" l="1"/>
  <c r="AP57" i="6"/>
  <c r="AQ59" i="6"/>
  <c r="A70" i="12" l="1"/>
  <c r="B67" i="3"/>
  <c r="AP58" i="6" s="1"/>
  <c r="AQ60" i="6"/>
  <c r="A71" i="12" l="1"/>
  <c r="B68" i="3"/>
  <c r="AP59" i="6" s="1"/>
  <c r="AQ61" i="6"/>
  <c r="A72" i="12" l="1"/>
  <c r="B69" i="3"/>
  <c r="AP60" i="6" s="1"/>
  <c r="AQ62" i="6"/>
  <c r="A73" i="12" l="1"/>
  <c r="B70" i="3"/>
  <c r="AP61" i="6" s="1"/>
  <c r="AQ63" i="6"/>
  <c r="A74" i="12" l="1"/>
  <c r="B71" i="3"/>
  <c r="AP62" i="6" s="1"/>
  <c r="AQ64" i="6"/>
  <c r="A75" i="12" l="1"/>
  <c r="B72" i="3"/>
  <c r="AP63" i="6" s="1"/>
  <c r="AQ65" i="6"/>
  <c r="A76" i="12" l="1"/>
  <c r="B73" i="3"/>
  <c r="AP64" i="6" s="1"/>
  <c r="AQ66" i="6"/>
  <c r="A77" i="12" l="1"/>
  <c r="B74" i="3"/>
  <c r="AP65" i="6" s="1"/>
  <c r="AQ67" i="6"/>
  <c r="A78" i="12" l="1"/>
  <c r="B75" i="3"/>
  <c r="AP66" i="6" s="1"/>
  <c r="AQ68" i="6"/>
  <c r="A79" i="12" l="1"/>
  <c r="B76" i="3"/>
  <c r="AP67" i="6" s="1"/>
  <c r="AQ69" i="6"/>
  <c r="A80" i="12" l="1"/>
  <c r="B77" i="3"/>
  <c r="AP68" i="6" s="1"/>
  <c r="AQ70" i="6"/>
  <c r="A81" i="12" l="1"/>
  <c r="B78" i="3"/>
  <c r="AP69" i="6" s="1"/>
  <c r="AQ71" i="6"/>
  <c r="A82" i="12" l="1"/>
  <c r="B79" i="3"/>
  <c r="AP70" i="6" s="1"/>
  <c r="AQ72" i="6"/>
  <c r="A83" i="12" l="1"/>
  <c r="B80" i="3"/>
  <c r="AP71" i="6" s="1"/>
  <c r="AQ73" i="6"/>
  <c r="A84" i="12" l="1"/>
  <c r="B81" i="3"/>
  <c r="AP72" i="6" s="1"/>
  <c r="AQ74" i="6"/>
  <c r="A85" i="12" l="1"/>
  <c r="B82" i="3"/>
  <c r="AP73" i="6" s="1"/>
  <c r="AQ75" i="6"/>
  <c r="A86" i="12" l="1"/>
  <c r="B83" i="3"/>
  <c r="AP74" i="6" s="1"/>
  <c r="AQ76" i="6"/>
  <c r="A87" i="12" l="1"/>
  <c r="B84" i="3"/>
  <c r="AP75" i="6" s="1"/>
  <c r="AQ77" i="6"/>
  <c r="A88" i="12" l="1"/>
  <c r="B85" i="3"/>
  <c r="AP76" i="6" s="1"/>
  <c r="AQ78" i="6"/>
  <c r="A89" i="12" l="1"/>
  <c r="B86" i="3"/>
  <c r="AP77" i="6" s="1"/>
  <c r="AQ79" i="6"/>
  <c r="A90" i="12" l="1"/>
  <c r="B87" i="3"/>
  <c r="AP78" i="6" s="1"/>
  <c r="AQ80" i="6"/>
  <c r="A91" i="12" l="1"/>
  <c r="B88" i="3"/>
  <c r="AP79" i="6" s="1"/>
  <c r="AQ81" i="6"/>
  <c r="A92" i="12" l="1"/>
  <c r="B89" i="3"/>
  <c r="AP80" i="6" s="1"/>
  <c r="AQ82" i="6"/>
  <c r="A93" i="12" l="1"/>
  <c r="B90" i="3"/>
  <c r="AP81" i="6" s="1"/>
  <c r="AQ83" i="6"/>
  <c r="A94" i="12" l="1"/>
  <c r="B91" i="3"/>
  <c r="AP82" i="6" s="1"/>
  <c r="AQ84" i="6"/>
  <c r="A95" i="12" l="1"/>
  <c r="B92" i="3"/>
  <c r="AP83" i="6" s="1"/>
  <c r="AQ85" i="6"/>
  <c r="A96" i="12" l="1"/>
  <c r="B93" i="3"/>
  <c r="AP84" i="6" s="1"/>
  <c r="AQ86" i="6"/>
  <c r="A97" i="12" l="1"/>
  <c r="B94" i="3"/>
  <c r="AP85" i="6" s="1"/>
  <c r="AQ87" i="6"/>
  <c r="A98" i="12" l="1"/>
  <c r="B95" i="3"/>
  <c r="AP86" i="6" s="1"/>
  <c r="AQ88" i="6"/>
  <c r="A99" i="12" l="1"/>
  <c r="B96" i="3"/>
  <c r="AP87" i="6" s="1"/>
  <c r="AQ89" i="6"/>
  <c r="A100" i="12" l="1"/>
  <c r="B97" i="3"/>
  <c r="AP88" i="6" s="1"/>
  <c r="AQ90" i="6"/>
  <c r="A101" i="12" l="1"/>
  <c r="B98" i="3"/>
  <c r="AP89" i="6" s="1"/>
  <c r="AQ91" i="6"/>
  <c r="A102" i="12" l="1"/>
  <c r="B99" i="3"/>
  <c r="AP90" i="6" s="1"/>
  <c r="AQ92" i="6"/>
  <c r="A103" i="12" l="1"/>
  <c r="B100" i="3"/>
  <c r="AP91" i="6" s="1"/>
  <c r="AQ93" i="6"/>
  <c r="A104" i="12" l="1"/>
  <c r="B101" i="3"/>
  <c r="AP92" i="6" s="1"/>
  <c r="AQ94" i="6"/>
  <c r="A105" i="12" l="1"/>
  <c r="B102" i="3"/>
  <c r="AP93" i="6" s="1"/>
  <c r="AQ95" i="6"/>
  <c r="A106" i="12" l="1"/>
  <c r="B103" i="3"/>
  <c r="AP94" i="6" s="1"/>
  <c r="AQ96" i="6"/>
  <c r="A107" i="12" l="1"/>
  <c r="B104" i="3"/>
  <c r="AP95" i="6" s="1"/>
  <c r="AQ97" i="6"/>
  <c r="A108" i="12" l="1"/>
  <c r="B105" i="3"/>
  <c r="AP96" i="6" s="1"/>
  <c r="AQ98" i="6"/>
  <c r="A109" i="12" l="1"/>
  <c r="B106" i="3"/>
  <c r="AP97" i="6" s="1"/>
  <c r="AQ99" i="6"/>
  <c r="A110" i="12" l="1"/>
  <c r="B107" i="3"/>
  <c r="AP98" i="6" s="1"/>
  <c r="AQ100" i="6"/>
  <c r="A111" i="12" l="1"/>
  <c r="B108" i="3"/>
  <c r="AP99" i="6" s="1"/>
  <c r="AQ101" i="6"/>
  <c r="A112" i="12" l="1"/>
  <c r="B109" i="3"/>
  <c r="AP100" i="6" s="1"/>
  <c r="AQ102" i="6"/>
  <c r="A113" i="12" l="1"/>
  <c r="B110" i="3"/>
  <c r="AP101" i="6" s="1"/>
  <c r="AQ103" i="6"/>
  <c r="A114" i="12" l="1"/>
  <c r="B111" i="3"/>
  <c r="AP102" i="6" s="1"/>
  <c r="B112" i="3"/>
  <c r="AQ104" i="6"/>
  <c r="A115" i="12" l="1"/>
  <c r="AP103" i="6"/>
  <c r="AQ105" i="6"/>
  <c r="A116" i="12" l="1"/>
  <c r="B113" i="3"/>
  <c r="AP104" i="6" s="1"/>
  <c r="AQ106" i="6"/>
  <c r="A117" i="12" l="1"/>
  <c r="B114" i="3"/>
  <c r="AP105" i="6" s="1"/>
  <c r="AQ107" i="6"/>
  <c r="A118" i="12" l="1"/>
  <c r="B115" i="3"/>
  <c r="AP106" i="6" s="1"/>
  <c r="AQ108" i="6"/>
  <c r="A119" i="12" l="1"/>
  <c r="B116" i="3"/>
  <c r="AP107" i="6" s="1"/>
  <c r="B117" i="3"/>
  <c r="AQ109" i="6"/>
  <c r="A120" i="12" l="1"/>
  <c r="AP108" i="6"/>
  <c r="AQ110" i="6"/>
  <c r="A121" i="12" l="1"/>
  <c r="B118" i="3"/>
  <c r="AP109" i="6" s="1"/>
  <c r="B119" i="3"/>
  <c r="AQ111" i="6"/>
  <c r="A123" i="12" l="1"/>
  <c r="B120" i="3"/>
  <c r="AP111" i="6" s="1"/>
  <c r="A122" i="12"/>
  <c r="AP110" i="6"/>
  <c r="AQ112" i="6"/>
  <c r="A124" i="12" l="1"/>
  <c r="B121" i="3"/>
  <c r="AP112" i="6" s="1"/>
  <c r="AQ113" i="6"/>
  <c r="A125" i="12" l="1"/>
  <c r="B122" i="3"/>
  <c r="AP113" i="6" s="1"/>
  <c r="AQ114" i="6"/>
  <c r="A126" i="12" l="1"/>
  <c r="B123" i="3"/>
  <c r="AP114" i="6" s="1"/>
  <c r="AQ115" i="6"/>
  <c r="A127" i="12" l="1"/>
  <c r="B124" i="3"/>
  <c r="AP115" i="6" s="1"/>
  <c r="AQ116" i="6"/>
  <c r="A128" i="12" l="1"/>
  <c r="B125" i="3"/>
  <c r="AP116" i="6" s="1"/>
  <c r="AQ117" i="6"/>
  <c r="A129" i="12" l="1"/>
  <c r="B126" i="3"/>
  <c r="AP117" i="6" s="1"/>
  <c r="AQ118" i="6"/>
  <c r="A130" i="12" l="1"/>
  <c r="B127" i="3"/>
  <c r="AP118" i="6" s="1"/>
  <c r="AQ119" i="6"/>
  <c r="A131" i="12" l="1"/>
  <c r="B128" i="3"/>
  <c r="AP119" i="6" s="1"/>
  <c r="AQ120" i="6"/>
  <c r="A132" i="12" l="1"/>
  <c r="B129" i="3"/>
  <c r="AP120" i="6" s="1"/>
  <c r="AQ121" i="6"/>
  <c r="A133" i="12" l="1"/>
  <c r="B130" i="3"/>
  <c r="AP121" i="6" s="1"/>
  <c r="AQ122" i="6"/>
  <c r="A134" i="12" l="1"/>
  <c r="B131" i="3"/>
  <c r="AP122" i="6" s="1"/>
  <c r="AQ123" i="6"/>
  <c r="A135" i="12" l="1"/>
  <c r="B132" i="3"/>
  <c r="AP123" i="6" s="1"/>
  <c r="AQ124" i="6"/>
  <c r="A136" i="12" l="1"/>
  <c r="B133" i="3"/>
  <c r="AP124" i="6" s="1"/>
  <c r="AQ125" i="6"/>
  <c r="A137" i="12" l="1"/>
  <c r="B134" i="3"/>
  <c r="AP125" i="6" s="1"/>
  <c r="AQ126" i="6"/>
  <c r="A138" i="12" l="1"/>
  <c r="B135" i="3"/>
  <c r="AP126" i="6" s="1"/>
  <c r="AQ127" i="6"/>
  <c r="A139" i="12" l="1"/>
  <c r="B136" i="3"/>
  <c r="AP127" i="6" s="1"/>
  <c r="AQ128" i="6"/>
  <c r="A140" i="12" l="1"/>
  <c r="B137" i="3"/>
  <c r="AP128" i="6" s="1"/>
  <c r="AQ129" i="6"/>
  <c r="A141" i="12" l="1"/>
  <c r="B138" i="3"/>
  <c r="AP129" i="6" s="1"/>
  <c r="AQ130" i="6"/>
  <c r="A142" i="12" l="1"/>
  <c r="B139" i="3"/>
  <c r="AP130" i="6" s="1"/>
  <c r="AQ131" i="6"/>
  <c r="A143" i="12" l="1"/>
  <c r="B140" i="3"/>
  <c r="AP131" i="6" s="1"/>
  <c r="AQ132" i="6"/>
  <c r="A144" i="12" l="1"/>
  <c r="B141" i="3"/>
  <c r="AP132" i="6" s="1"/>
  <c r="AQ133" i="6"/>
  <c r="A145" i="12" l="1"/>
  <c r="B142" i="3"/>
  <c r="AP133" i="6" s="1"/>
  <c r="AQ134" i="6"/>
  <c r="A146" i="12" l="1"/>
  <c r="B143" i="3"/>
  <c r="AP134" i="6" s="1"/>
  <c r="AQ135" i="6"/>
  <c r="A147" i="12" l="1"/>
  <c r="B144" i="3"/>
  <c r="AP135" i="6" s="1"/>
  <c r="AQ136" i="6"/>
  <c r="A148" i="12" l="1"/>
  <c r="B145" i="3"/>
  <c r="AP136" i="6" s="1"/>
  <c r="AQ137" i="6"/>
  <c r="A149" i="12" l="1"/>
  <c r="B146" i="3"/>
  <c r="AP137" i="6" s="1"/>
  <c r="AQ138" i="6"/>
  <c r="A150" i="12" l="1"/>
  <c r="B147" i="3"/>
  <c r="AP138" i="6" s="1"/>
  <c r="AQ139" i="6"/>
  <c r="A151" i="12" l="1"/>
  <c r="B148" i="3"/>
  <c r="AP139" i="6" s="1"/>
  <c r="AQ140" i="6"/>
  <c r="A152" i="12" l="1"/>
  <c r="B149" i="3"/>
  <c r="AP140" i="6" s="1"/>
  <c r="AQ141" i="6"/>
  <c r="A153" i="12" l="1"/>
  <c r="B150" i="3"/>
  <c r="AP141" i="6" s="1"/>
  <c r="AQ142" i="6"/>
  <c r="A154" i="12" l="1"/>
  <c r="B151" i="3"/>
  <c r="AP142" i="6" s="1"/>
  <c r="AQ143" i="6"/>
  <c r="A155" i="12" l="1"/>
  <c r="B152" i="3"/>
  <c r="AP143" i="6" s="1"/>
  <c r="AG2" i="12"/>
  <c r="AQ144" i="6"/>
  <c r="A156" i="12" l="1"/>
  <c r="B153" i="3"/>
  <c r="AP144" i="6" s="1"/>
  <c r="AQ145" i="6"/>
  <c r="A157" i="12" l="1"/>
  <c r="B154" i="3"/>
  <c r="AP145" i="6" s="1"/>
  <c r="AQ146" i="6"/>
  <c r="A158" i="12" l="1"/>
  <c r="B155" i="3"/>
  <c r="AP146" i="6" s="1"/>
  <c r="AQ147" i="6"/>
  <c r="A159" i="12" l="1"/>
  <c r="B156" i="3"/>
  <c r="AP147" i="6" s="1"/>
  <c r="AQ148" i="6"/>
  <c r="A160" i="12" l="1"/>
  <c r="B157" i="3"/>
  <c r="AP148" i="6" s="1"/>
  <c r="AQ149" i="6"/>
  <c r="A161" i="12" l="1"/>
  <c r="B158" i="3"/>
  <c r="AP149" i="6" s="1"/>
  <c r="AQ150" i="6"/>
  <c r="A162" i="12" l="1"/>
  <c r="B159" i="3"/>
  <c r="AP150" i="6" s="1"/>
  <c r="AQ151" i="6"/>
  <c r="A163" i="12" l="1"/>
  <c r="B160" i="3"/>
  <c r="AP151" i="6" s="1"/>
  <c r="AQ152" i="6"/>
  <c r="A164" i="12" l="1"/>
  <c r="B161" i="3"/>
  <c r="AP152" i="6" s="1"/>
  <c r="AQ153" i="6"/>
  <c r="AQ155" i="6" l="1"/>
  <c r="A165" i="12"/>
  <c r="B162" i="3"/>
  <c r="AP153" i="6" s="1"/>
  <c r="AQ154" i="6"/>
  <c r="A167" i="12" l="1"/>
  <c r="B164" i="3"/>
  <c r="AP155" i="6" s="1"/>
  <c r="A166" i="12"/>
  <c r="B163" i="3"/>
  <c r="AP154" i="6" s="1"/>
  <c r="A168" i="12" l="1"/>
  <c r="B165" i="3"/>
  <c r="AP156" i="6" s="1"/>
  <c r="AQ156" i="6"/>
  <c r="J120" i="32"/>
  <c r="B166" i="3" l="1"/>
  <c r="AP157" i="6" s="1"/>
  <c r="A169" i="12"/>
  <c r="AQ157" i="6"/>
  <c r="A170" i="12" l="1"/>
  <c r="B167" i="3"/>
  <c r="AP158" i="6" s="1"/>
  <c r="AQ158" i="6"/>
  <c r="A171" i="12" l="1"/>
  <c r="B168" i="3"/>
  <c r="AP159" i="6" s="1"/>
  <c r="AQ159" i="6"/>
  <c r="J119" i="32"/>
  <c r="A172" i="12" l="1"/>
  <c r="B169" i="3"/>
  <c r="AP160" i="6" s="1"/>
  <c r="AQ160" i="6"/>
  <c r="BK111" i="31"/>
  <c r="CI111" i="31"/>
  <c r="CC111" i="31"/>
  <c r="CH111" i="31"/>
  <c r="CE111" i="31"/>
  <c r="CD111" i="31"/>
  <c r="J34" i="17" s="1"/>
  <c r="CF111" i="31"/>
  <c r="CG111" i="31"/>
  <c r="CJ111" i="31"/>
  <c r="CA111" i="31"/>
  <c r="DJ111" i="31"/>
  <c r="BY111" i="31"/>
  <c r="DE111" i="31"/>
  <c r="BO111" i="31"/>
  <c r="DD111" i="31"/>
  <c r="CK111" i="31"/>
  <c r="CW111" i="31"/>
  <c r="CT111" i="31"/>
  <c r="BT111" i="31"/>
  <c r="DI111" i="31"/>
  <c r="BQ111" i="31"/>
  <c r="DB111" i="31"/>
  <c r="BV111" i="31"/>
  <c r="CM111" i="31"/>
  <c r="CX111" i="31"/>
  <c r="CR111" i="31"/>
  <c r="BW111" i="31"/>
  <c r="CP111" i="31"/>
  <c r="CZ111" i="31"/>
  <c r="BN111" i="31"/>
  <c r="CQ111" i="31"/>
  <c r="CV111" i="31"/>
  <c r="CS111" i="31"/>
  <c r="BX111" i="31"/>
  <c r="BS111" i="31"/>
  <c r="DH111" i="31"/>
  <c r="CN111" i="31"/>
  <c r="CU111" i="31"/>
  <c r="BM111" i="31"/>
  <c r="CO111" i="31"/>
  <c r="CB111" i="31"/>
  <c r="J32" i="17" s="1"/>
  <c r="BP111" i="31"/>
  <c r="J20" i="17" s="1"/>
  <c r="DA111" i="31"/>
  <c r="DF111" i="31"/>
  <c r="CL111" i="31"/>
  <c r="DC111" i="31"/>
  <c r="BZ111" i="31"/>
  <c r="J30" i="17" s="1"/>
  <c r="CY111" i="31"/>
  <c r="BU111" i="31"/>
  <c r="J25" i="17" s="1"/>
  <c r="BR111" i="31"/>
  <c r="DG111" i="31"/>
  <c r="J33" i="17" l="1"/>
  <c r="Q33" i="17" s="1"/>
  <c r="J28" i="17"/>
  <c r="J26" i="17"/>
  <c r="J18" i="17"/>
  <c r="J19" i="17"/>
  <c r="J21" i="17"/>
  <c r="J24" i="17"/>
  <c r="J17" i="17"/>
  <c r="J29" i="17"/>
  <c r="J23" i="17"/>
  <c r="J27" i="17"/>
  <c r="J31" i="17"/>
  <c r="J22" i="17"/>
  <c r="A173" i="12"/>
  <c r="B170" i="3"/>
  <c r="AP161" i="6" s="1"/>
  <c r="AQ161" i="6"/>
  <c r="J15" i="17"/>
  <c r="J37" i="17"/>
  <c r="Q34" i="17"/>
  <c r="Q20" i="17"/>
  <c r="Q30" i="17"/>
  <c r="BL111" i="31"/>
  <c r="J16" i="17" s="1"/>
  <c r="DK214" i="31"/>
  <c r="DK211" i="31" s="1"/>
  <c r="DK210" i="31" s="1"/>
  <c r="J36" i="17" l="1"/>
  <c r="L36" i="17" s="1"/>
  <c r="J35" i="17"/>
  <c r="Q35" i="17" s="1"/>
  <c r="DK209" i="31"/>
  <c r="I217" i="32"/>
  <c r="B171" i="3"/>
  <c r="AP162" i="6" s="1"/>
  <c r="A174" i="12"/>
  <c r="AQ162" i="6"/>
  <c r="J38" i="17"/>
  <c r="Q16" i="17"/>
  <c r="L17" i="17"/>
  <c r="L28" i="17"/>
  <c r="Q28" i="17"/>
  <c r="L29" i="17"/>
  <c r="Q29" i="17"/>
  <c r="L26" i="17"/>
  <c r="Q26" i="17"/>
  <c r="L18" i="17"/>
  <c r="Q18" i="17"/>
  <c r="L27" i="17"/>
  <c r="Q27" i="17"/>
  <c r="L25" i="17"/>
  <c r="Q25" i="17"/>
  <c r="L31" i="17"/>
  <c r="Q31" i="17"/>
  <c r="L22" i="17"/>
  <c r="Q22" i="17"/>
  <c r="L32" i="17"/>
  <c r="Q32" i="17"/>
  <c r="L19" i="17"/>
  <c r="Q19" i="17"/>
  <c r="L23" i="17"/>
  <c r="Q23" i="17"/>
  <c r="L21" i="17"/>
  <c r="Q21" i="17"/>
  <c r="L24" i="17"/>
  <c r="Q24" i="17"/>
  <c r="L37" i="17"/>
  <c r="Q37" i="17"/>
  <c r="L20" i="17"/>
  <c r="L34" i="17"/>
  <c r="L30" i="17"/>
  <c r="L33" i="17"/>
  <c r="Q36" i="17" l="1"/>
  <c r="L35" i="17"/>
  <c r="DK208" i="31"/>
  <c r="I216" i="32"/>
  <c r="A175" i="12"/>
  <c r="B172" i="3"/>
  <c r="AP163" i="6" s="1"/>
  <c r="AQ163" i="6"/>
  <c r="J39" i="17"/>
  <c r="Q39" i="17" s="1"/>
  <c r="L16" i="17"/>
  <c r="Q17" i="17"/>
  <c r="L38" i="17"/>
  <c r="Q38" i="17"/>
  <c r="L15" i="17"/>
  <c r="Q15" i="17"/>
  <c r="DK207" i="31" l="1"/>
  <c r="I215" i="32"/>
  <c r="B173" i="3"/>
  <c r="AP164" i="6" s="1"/>
  <c r="A176" i="12"/>
  <c r="AQ164" i="6"/>
  <c r="J40" i="17"/>
  <c r="Q40" i="17" s="1"/>
  <c r="L39" i="17"/>
  <c r="DK206" i="31" l="1"/>
  <c r="I214" i="32"/>
  <c r="B174" i="3"/>
  <c r="AP165" i="6" s="1"/>
  <c r="A177" i="12"/>
  <c r="AQ165" i="6"/>
  <c r="J41" i="17"/>
  <c r="Q41" i="17" s="1"/>
  <c r="L40" i="17"/>
  <c r="DK205" i="31" l="1"/>
  <c r="I213" i="32"/>
  <c r="B175" i="3"/>
  <c r="AP166" i="6" s="1"/>
  <c r="A178" i="12"/>
  <c r="AQ166" i="6"/>
  <c r="J42" i="17"/>
  <c r="Q42" i="17" s="1"/>
  <c r="L41" i="17"/>
  <c r="DK204" i="31" l="1"/>
  <c r="I212" i="32"/>
  <c r="A179" i="12"/>
  <c r="B176" i="3"/>
  <c r="AP167" i="6" s="1"/>
  <c r="AQ167" i="6"/>
  <c r="J43" i="17"/>
  <c r="Q43" i="17" s="1"/>
  <c r="L42" i="17"/>
  <c r="DK203" i="31" l="1"/>
  <c r="I211" i="32"/>
  <c r="B177" i="3"/>
  <c r="AP168" i="6" s="1"/>
  <c r="A180" i="12"/>
  <c r="AQ168" i="6"/>
  <c r="J44" i="17"/>
  <c r="Q44" i="17" s="1"/>
  <c r="L43" i="17"/>
  <c r="DK202" i="31" l="1"/>
  <c r="I210" i="32"/>
  <c r="A181" i="12"/>
  <c r="B178" i="3"/>
  <c r="AP169" i="6" s="1"/>
  <c r="AQ169" i="6"/>
  <c r="J45" i="17"/>
  <c r="Q45" i="17" s="1"/>
  <c r="L44" i="17"/>
  <c r="DK201" i="31" l="1"/>
  <c r="I209" i="32"/>
  <c r="B179" i="3"/>
  <c r="AP170" i="6" s="1"/>
  <c r="A182" i="12"/>
  <c r="AQ170" i="6"/>
  <c r="J46" i="17"/>
  <c r="Q46" i="17" s="1"/>
  <c r="L45" i="17"/>
  <c r="DK200" i="31" l="1"/>
  <c r="I208" i="32"/>
  <c r="A183" i="12"/>
  <c r="B180" i="3"/>
  <c r="AP171" i="6" s="1"/>
  <c r="AQ171" i="6"/>
  <c r="J47" i="17"/>
  <c r="Q47" i="17" s="1"/>
  <c r="L46" i="17"/>
  <c r="DK199" i="31" l="1"/>
  <c r="I207" i="32"/>
  <c r="A184" i="12"/>
  <c r="B181" i="3"/>
  <c r="AP172" i="6" s="1"/>
  <c r="AQ172" i="6"/>
  <c r="J48" i="17"/>
  <c r="Q48" i="17" s="1"/>
  <c r="L47" i="17"/>
  <c r="DK198" i="31" l="1"/>
  <c r="I206" i="32"/>
  <c r="B182" i="3"/>
  <c r="AP173" i="6" s="1"/>
  <c r="A185" i="12"/>
  <c r="AQ173" i="6"/>
  <c r="J49" i="17"/>
  <c r="Q49" i="17" s="1"/>
  <c r="L48" i="17"/>
  <c r="DK197" i="31" l="1"/>
  <c r="I205" i="32"/>
  <c r="B183" i="3"/>
  <c r="AP174" i="6" s="1"/>
  <c r="A186" i="12"/>
  <c r="AQ174" i="6"/>
  <c r="J50" i="17"/>
  <c r="Q50" i="17" s="1"/>
  <c r="L49" i="17"/>
  <c r="DK196" i="31" l="1"/>
  <c r="I204" i="32"/>
  <c r="A187" i="12"/>
  <c r="B184" i="3"/>
  <c r="AP175" i="6" s="1"/>
  <c r="AQ175" i="6"/>
  <c r="J51" i="17"/>
  <c r="Q51" i="17" s="1"/>
  <c r="L50" i="17"/>
  <c r="DK195" i="31" l="1"/>
  <c r="I203" i="32"/>
  <c r="A188" i="12"/>
  <c r="B185" i="3"/>
  <c r="AP176" i="6" s="1"/>
  <c r="AQ176" i="6"/>
  <c r="J52" i="17"/>
  <c r="Q52" i="17" s="1"/>
  <c r="L51" i="17"/>
  <c r="DK194" i="31" l="1"/>
  <c r="I202" i="32"/>
  <c r="B186" i="3"/>
  <c r="AP177" i="6" s="1"/>
  <c r="A189" i="12"/>
  <c r="AQ177" i="6"/>
  <c r="J53" i="17"/>
  <c r="Q53" i="17" s="1"/>
  <c r="L52" i="17"/>
  <c r="DK193" i="31" l="1"/>
  <c r="I201" i="32"/>
  <c r="B187" i="3"/>
  <c r="AP178" i="6" s="1"/>
  <c r="A190" i="12"/>
  <c r="AQ178" i="6"/>
  <c r="J54" i="17"/>
  <c r="Q54" i="17" s="1"/>
  <c r="L53" i="17"/>
  <c r="DK192" i="31" l="1"/>
  <c r="I200" i="32"/>
  <c r="A191" i="12"/>
  <c r="B188" i="3"/>
  <c r="AP179" i="6" s="1"/>
  <c r="AQ179" i="6"/>
  <c r="J55" i="17"/>
  <c r="Q55" i="17" s="1"/>
  <c r="L54" i="17"/>
  <c r="DK191" i="31" l="1"/>
  <c r="I199" i="32"/>
  <c r="B189" i="3"/>
  <c r="AP180" i="6" s="1"/>
  <c r="A192" i="12"/>
  <c r="AQ180" i="6"/>
  <c r="J56" i="17"/>
  <c r="Q56" i="17" s="1"/>
  <c r="L55" i="17"/>
  <c r="DK190" i="31" l="1"/>
  <c r="I198" i="32"/>
  <c r="A193" i="12"/>
  <c r="B190" i="3"/>
  <c r="AP181" i="6" s="1"/>
  <c r="AQ181" i="6"/>
  <c r="J57" i="17"/>
  <c r="Q57" i="17" s="1"/>
  <c r="L56" i="17"/>
  <c r="DK189" i="31" l="1"/>
  <c r="I197" i="32"/>
  <c r="B191" i="3"/>
  <c r="AP182" i="6" s="1"/>
  <c r="A194" i="12"/>
  <c r="AQ182" i="6"/>
  <c r="J58" i="17"/>
  <c r="Q58" i="17" s="1"/>
  <c r="L57" i="17"/>
  <c r="DK188" i="31" l="1"/>
  <c r="I196" i="32"/>
  <c r="B192" i="3"/>
  <c r="AP183" i="6" s="1"/>
  <c r="A195" i="12"/>
  <c r="AQ183" i="6"/>
  <c r="J59" i="17"/>
  <c r="Q59" i="17" s="1"/>
  <c r="L58" i="17"/>
  <c r="DK187" i="31" l="1"/>
  <c r="I195" i="32"/>
  <c r="A196" i="12"/>
  <c r="B193" i="3"/>
  <c r="AP184" i="6" s="1"/>
  <c r="AQ184" i="6"/>
  <c r="J60" i="17"/>
  <c r="Q60" i="17" s="1"/>
  <c r="L59" i="17"/>
  <c r="DK186" i="31" l="1"/>
  <c r="I194" i="32"/>
  <c r="A197" i="12"/>
  <c r="B194" i="3"/>
  <c r="AP185" i="6" s="1"/>
  <c r="AQ185" i="6"/>
  <c r="J61" i="17"/>
  <c r="Q61" i="17" s="1"/>
  <c r="L60" i="17"/>
  <c r="DK185" i="31" l="1"/>
  <c r="I193" i="32"/>
  <c r="A198" i="12"/>
  <c r="B195" i="3"/>
  <c r="AP186" i="6" s="1"/>
  <c r="AQ186" i="6"/>
  <c r="J62" i="17"/>
  <c r="Q62" i="17" s="1"/>
  <c r="L61" i="17"/>
  <c r="DK184" i="31" l="1"/>
  <c r="I192" i="32"/>
  <c r="A199" i="12"/>
  <c r="B196" i="3"/>
  <c r="AP187" i="6" s="1"/>
  <c r="AQ187" i="6"/>
  <c r="J63" i="17"/>
  <c r="Q63" i="17" s="1"/>
  <c r="L62" i="17"/>
  <c r="DK183" i="31" l="1"/>
  <c r="I191" i="32"/>
  <c r="B197" i="3"/>
  <c r="AP188" i="6" s="1"/>
  <c r="A200" i="12"/>
  <c r="AQ188" i="6"/>
  <c r="J64" i="17"/>
  <c r="Q64" i="17" s="1"/>
  <c r="L63" i="17"/>
  <c r="DK182" i="31" l="1"/>
  <c r="I190" i="32"/>
  <c r="A201" i="12"/>
  <c r="B198" i="3"/>
  <c r="AP189" i="6" s="1"/>
  <c r="AQ189" i="6"/>
  <c r="J65" i="17"/>
  <c r="Q65" i="17" s="1"/>
  <c r="L64" i="17"/>
  <c r="DK181" i="31" l="1"/>
  <c r="I189" i="32"/>
  <c r="A202" i="12"/>
  <c r="B199" i="3"/>
  <c r="AP190" i="6" s="1"/>
  <c r="AQ190" i="6"/>
  <c r="J66" i="17"/>
  <c r="J67" i="17" s="1"/>
  <c r="L65" i="17"/>
  <c r="DK180" i="31" l="1"/>
  <c r="I188" i="32"/>
  <c r="L67" i="17"/>
  <c r="Q67" i="17"/>
  <c r="A203" i="12"/>
  <c r="B200" i="3"/>
  <c r="AP191" i="6" s="1"/>
  <c r="AQ191" i="6"/>
  <c r="Q66" i="17"/>
  <c r="J70" i="17"/>
  <c r="L66" i="17"/>
  <c r="L70" i="17" l="1"/>
  <c r="DK179" i="31"/>
  <c r="I187" i="32"/>
  <c r="A204" i="12"/>
  <c r="B201" i="3"/>
  <c r="AP192" i="6" s="1"/>
  <c r="AQ192" i="6"/>
  <c r="DK178" i="31" l="1"/>
  <c r="I186" i="32"/>
  <c r="B202" i="3"/>
  <c r="AP193" i="6" s="1"/>
  <c r="A205" i="12"/>
  <c r="AQ193" i="6"/>
  <c r="DK177" i="31" l="1"/>
  <c r="I185" i="32"/>
  <c r="A206" i="12"/>
  <c r="B203" i="3"/>
  <c r="AP194" i="6" s="1"/>
  <c r="AQ194" i="6"/>
  <c r="DK176" i="31" l="1"/>
  <c r="I184" i="32"/>
  <c r="B204" i="3"/>
  <c r="AP195" i="6" s="1"/>
  <c r="A207" i="12"/>
  <c r="AQ195" i="6"/>
  <c r="DK175" i="31" l="1"/>
  <c r="I183" i="32"/>
  <c r="A208" i="12"/>
  <c r="B205" i="3"/>
  <c r="AP196" i="6" s="1"/>
  <c r="AQ196" i="6"/>
  <c r="I31" i="36"/>
  <c r="I15" i="36"/>
  <c r="I14" i="36"/>
  <c r="I13" i="36"/>
  <c r="I6" i="36"/>
  <c r="I11" i="36"/>
  <c r="I10" i="36"/>
  <c r="I9" i="36"/>
  <c r="I8" i="36"/>
  <c r="DK174" i="31" l="1"/>
  <c r="I182" i="32"/>
  <c r="A209" i="12"/>
  <c r="B206" i="3"/>
  <c r="AP197" i="6" s="1"/>
  <c r="AQ197" i="6"/>
  <c r="DK173" i="31" l="1"/>
  <c r="I181" i="32"/>
  <c r="B207" i="3"/>
  <c r="AP198" i="6" s="1"/>
  <c r="A210" i="12"/>
  <c r="AQ198" i="6"/>
  <c r="A16" i="20"/>
  <c r="DK172" i="31" l="1"/>
  <c r="I180" i="32"/>
  <c r="BH9" i="31"/>
  <c r="BH17" i="31"/>
  <c r="BH25" i="31"/>
  <c r="G32" i="32" s="1"/>
  <c r="BH33" i="31"/>
  <c r="G40" i="32" s="1"/>
  <c r="BH41" i="31"/>
  <c r="G48" i="32" s="1"/>
  <c r="BH49" i="31"/>
  <c r="BI49" i="31" s="1"/>
  <c r="BH57" i="31"/>
  <c r="BI57" i="31" s="1"/>
  <c r="BH65" i="31"/>
  <c r="G72" i="32" s="1"/>
  <c r="BH73" i="31"/>
  <c r="BH81" i="31"/>
  <c r="G88" i="32" s="1"/>
  <c r="BH89" i="31"/>
  <c r="G96" i="32" s="1"/>
  <c r="BH97" i="31"/>
  <c r="G104" i="32" s="1"/>
  <c r="BH18" i="31"/>
  <c r="G25" i="32" s="1"/>
  <c r="BH34" i="31"/>
  <c r="BH42" i="31"/>
  <c r="G49" i="32" s="1"/>
  <c r="BH58" i="31"/>
  <c r="G65" i="32" s="1"/>
  <c r="BH74" i="31"/>
  <c r="G81" i="32" s="1"/>
  <c r="BH90" i="31"/>
  <c r="BH16" i="31"/>
  <c r="G23" i="32" s="1"/>
  <c r="BH40" i="31"/>
  <c r="G47" i="32" s="1"/>
  <c r="BH64" i="31"/>
  <c r="G71" i="32" s="1"/>
  <c r="BH80" i="31"/>
  <c r="BI80" i="31" s="1"/>
  <c r="BH10" i="31"/>
  <c r="BH26" i="31"/>
  <c r="G33" i="32" s="1"/>
  <c r="BH50" i="31"/>
  <c r="G57" i="32" s="1"/>
  <c r="BH66" i="31"/>
  <c r="BH82" i="31"/>
  <c r="G89" i="32" s="1"/>
  <c r="BH98" i="31"/>
  <c r="G105" i="32" s="1"/>
  <c r="BH13" i="31"/>
  <c r="G20" i="32" s="1"/>
  <c r="BH21" i="31"/>
  <c r="BI21" i="31" s="1"/>
  <c r="BH29" i="31"/>
  <c r="G36" i="32" s="1"/>
  <c r="BH37" i="31"/>
  <c r="G44" i="32" s="1"/>
  <c r="BH45" i="31"/>
  <c r="G52" i="32" s="1"/>
  <c r="BH53" i="31"/>
  <c r="BH61" i="31"/>
  <c r="G68" i="32" s="1"/>
  <c r="BH69" i="31"/>
  <c r="G76" i="32" s="1"/>
  <c r="BH77" i="31"/>
  <c r="G84" i="32" s="1"/>
  <c r="BH93" i="31"/>
  <c r="G100" i="32" s="1"/>
  <c r="BH101" i="31"/>
  <c r="BI101" i="31" s="1"/>
  <c r="BH11" i="31"/>
  <c r="G18" i="32" s="1"/>
  <c r="BH19" i="31"/>
  <c r="G26" i="32" s="1"/>
  <c r="BH27" i="31"/>
  <c r="G34" i="32" s="1"/>
  <c r="BH35" i="31"/>
  <c r="G42" i="32" s="1"/>
  <c r="BH43" i="31"/>
  <c r="G50" i="32" s="1"/>
  <c r="BH51" i="31"/>
  <c r="G58" i="32" s="1"/>
  <c r="BH59" i="31"/>
  <c r="BI59" i="31" s="1"/>
  <c r="BH67" i="31"/>
  <c r="BI67" i="31" s="1"/>
  <c r="BH75" i="31"/>
  <c r="G82" i="32" s="1"/>
  <c r="BH83" i="31"/>
  <c r="G90" i="32" s="1"/>
  <c r="BH91" i="31"/>
  <c r="G98" i="32" s="1"/>
  <c r="BH99" i="31"/>
  <c r="G106" i="32" s="1"/>
  <c r="BH85" i="31"/>
  <c r="G92" i="32" s="1"/>
  <c r="BH104" i="31"/>
  <c r="G111" i="32" s="1"/>
  <c r="BH12" i="31"/>
  <c r="G19" i="32" s="1"/>
  <c r="BH20" i="31"/>
  <c r="BI20" i="31" s="1"/>
  <c r="BH28" i="31"/>
  <c r="G35" i="32" s="1"/>
  <c r="BH36" i="31"/>
  <c r="G43" i="32" s="1"/>
  <c r="BH44" i="31"/>
  <c r="G51" i="32" s="1"/>
  <c r="BH52" i="31"/>
  <c r="G59" i="32" s="1"/>
  <c r="BH60" i="31"/>
  <c r="G67" i="32" s="1"/>
  <c r="BH68" i="31"/>
  <c r="G75" i="32" s="1"/>
  <c r="BH76" i="31"/>
  <c r="BI76" i="31" s="1"/>
  <c r="BH84" i="31"/>
  <c r="BI84" i="31" s="1"/>
  <c r="BH92" i="31"/>
  <c r="G99" i="32" s="1"/>
  <c r="BH100" i="31"/>
  <c r="G107" i="32" s="1"/>
  <c r="BH24" i="31"/>
  <c r="G31" i="32" s="1"/>
  <c r="BH48" i="31"/>
  <c r="G55" i="32" s="1"/>
  <c r="BH72" i="31"/>
  <c r="G79" i="32" s="1"/>
  <c r="BH88" i="31"/>
  <c r="G95" i="32" s="1"/>
  <c r="BH14" i="31"/>
  <c r="G21" i="32" s="1"/>
  <c r="BH22" i="31"/>
  <c r="BI22" i="31" s="1"/>
  <c r="BH30" i="31"/>
  <c r="G37" i="32" s="1"/>
  <c r="BH38" i="31"/>
  <c r="G45" i="32" s="1"/>
  <c r="BH46" i="31"/>
  <c r="BH54" i="31"/>
  <c r="G61" i="32" s="1"/>
  <c r="BH62" i="31"/>
  <c r="G69" i="32" s="1"/>
  <c r="BH70" i="31"/>
  <c r="G77" i="32" s="1"/>
  <c r="BH78" i="31"/>
  <c r="BI78" i="31" s="1"/>
  <c r="BH86" i="31"/>
  <c r="BI86" i="31" s="1"/>
  <c r="BH94" i="31"/>
  <c r="G101" i="32" s="1"/>
  <c r="BH102" i="31"/>
  <c r="G109" i="32" s="1"/>
  <c r="BH15" i="31"/>
  <c r="G22" i="32" s="1"/>
  <c r="BH31" i="31"/>
  <c r="G38" i="32" s="1"/>
  <c r="BH39" i="31"/>
  <c r="G46" i="32" s="1"/>
  <c r="BH55" i="31"/>
  <c r="G62" i="32" s="1"/>
  <c r="BH71" i="31"/>
  <c r="G78" i="32" s="1"/>
  <c r="BH87" i="31"/>
  <c r="BI87" i="31" s="1"/>
  <c r="BH103" i="31"/>
  <c r="G110" i="32" s="1"/>
  <c r="BH32" i="31"/>
  <c r="G39" i="32" s="1"/>
  <c r="BH56" i="31"/>
  <c r="G63" i="32" s="1"/>
  <c r="BH96" i="31"/>
  <c r="G103" i="32" s="1"/>
  <c r="BH23" i="31"/>
  <c r="G30" i="32" s="1"/>
  <c r="BH47" i="31"/>
  <c r="G54" i="32" s="1"/>
  <c r="BH63" i="31"/>
  <c r="BI63" i="31" s="1"/>
  <c r="BH79" i="31"/>
  <c r="BI79" i="31" s="1"/>
  <c r="BH95" i="31"/>
  <c r="G102" i="32" s="1"/>
  <c r="BH5" i="31"/>
  <c r="BH6" i="31"/>
  <c r="BH7" i="31"/>
  <c r="BH8" i="31"/>
  <c r="A211" i="12"/>
  <c r="B208" i="3"/>
  <c r="AP199" i="6" s="1"/>
  <c r="AQ199" i="6"/>
  <c r="H43" i="32"/>
  <c r="H47" i="32"/>
  <c r="H75" i="32"/>
  <c r="H79" i="32"/>
  <c r="H107" i="32"/>
  <c r="H111" i="32"/>
  <c r="H28" i="32"/>
  <c r="H32" i="32"/>
  <c r="H60" i="32"/>
  <c r="H64" i="32"/>
  <c r="H92" i="32"/>
  <c r="H96" i="32"/>
  <c r="H58" i="32"/>
  <c r="H70" i="32"/>
  <c r="H37" i="32"/>
  <c r="H41" i="32"/>
  <c r="H69" i="32"/>
  <c r="H73" i="32"/>
  <c r="H101" i="32"/>
  <c r="H105" i="32"/>
  <c r="H98" i="32"/>
  <c r="F62" i="32"/>
  <c r="F107" i="32"/>
  <c r="F69" i="32"/>
  <c r="F100" i="32"/>
  <c r="F70" i="32"/>
  <c r="F98" i="32"/>
  <c r="F93" i="32"/>
  <c r="F49" i="32"/>
  <c r="F29" i="32"/>
  <c r="F40" i="32"/>
  <c r="F31" i="32"/>
  <c r="F45" i="32"/>
  <c r="F76" i="32"/>
  <c r="F71" i="32"/>
  <c r="F50" i="32"/>
  <c r="F72" i="32"/>
  <c r="F101" i="32"/>
  <c r="F73" i="32"/>
  <c r="F68" i="32"/>
  <c r="F79" i="32"/>
  <c r="F48" i="32"/>
  <c r="F88" i="32"/>
  <c r="F77" i="32"/>
  <c r="F32" i="32"/>
  <c r="F106" i="32"/>
  <c r="F66" i="32"/>
  <c r="F104" i="32"/>
  <c r="F22" i="32"/>
  <c r="F89" i="32"/>
  <c r="F63" i="32"/>
  <c r="F37" i="32"/>
  <c r="F111" i="32"/>
  <c r="F42" i="32"/>
  <c r="F109" i="32"/>
  <c r="F28" i="32"/>
  <c r="F33" i="32"/>
  <c r="F82" i="32"/>
  <c r="F44" i="32"/>
  <c r="F38" i="32"/>
  <c r="F105" i="32"/>
  <c r="F61" i="32"/>
  <c r="G80" i="32"/>
  <c r="G60" i="32"/>
  <c r="G97" i="32"/>
  <c r="G53" i="32"/>
  <c r="G24" i="32"/>
  <c r="G73" i="32"/>
  <c r="H22" i="20"/>
  <c r="H26" i="20"/>
  <c r="F87" i="32"/>
  <c r="F96" i="32"/>
  <c r="F78" i="32"/>
  <c r="F103" i="32"/>
  <c r="F86" i="32"/>
  <c r="F39" i="32"/>
  <c r="F41" i="32"/>
  <c r="F35" i="32"/>
  <c r="F97" i="32"/>
  <c r="F67" i="32"/>
  <c r="F27" i="32"/>
  <c r="F84" i="32"/>
  <c r="H24" i="20"/>
  <c r="H29" i="20"/>
  <c r="DL17" i="31" s="1"/>
  <c r="H33" i="20"/>
  <c r="DL21" i="31" s="1"/>
  <c r="H37" i="20"/>
  <c r="DL25" i="31" s="1"/>
  <c r="H41" i="20"/>
  <c r="H47" i="20"/>
  <c r="DL35" i="31" s="1"/>
  <c r="H50" i="20"/>
  <c r="H53" i="20"/>
  <c r="H56" i="20"/>
  <c r="H59" i="20"/>
  <c r="H62" i="20"/>
  <c r="H68" i="20"/>
  <c r="H73" i="20"/>
  <c r="DL61" i="31" s="1"/>
  <c r="H79" i="20"/>
  <c r="DL67" i="31" s="1"/>
  <c r="H82" i="20"/>
  <c r="H85" i="20"/>
  <c r="H88" i="20"/>
  <c r="H91" i="20"/>
  <c r="H94" i="20"/>
  <c r="H100" i="20"/>
  <c r="H105" i="20"/>
  <c r="DL93" i="31" s="1"/>
  <c r="H111" i="20"/>
  <c r="DL99" i="31" s="1"/>
  <c r="H114" i="20"/>
  <c r="F12" i="32"/>
  <c r="F16" i="32"/>
  <c r="F14" i="32"/>
  <c r="F95" i="32"/>
  <c r="F58" i="32"/>
  <c r="F108" i="32"/>
  <c r="F60" i="32"/>
  <c r="F55" i="32"/>
  <c r="F102" i="32"/>
  <c r="F26" i="32"/>
  <c r="F81" i="32"/>
  <c r="F90" i="32"/>
  <c r="F64" i="32"/>
  <c r="F36" i="32"/>
  <c r="F110" i="32"/>
  <c r="F24" i="32"/>
  <c r="H25" i="20"/>
  <c r="H30" i="20"/>
  <c r="H34" i="20"/>
  <c r="H38" i="20"/>
  <c r="H42" i="20"/>
  <c r="DL30" i="31" s="1"/>
  <c r="H45" i="20"/>
  <c r="DL33" i="31" s="1"/>
  <c r="H48" i="20"/>
  <c r="DL36" i="31" s="1"/>
  <c r="H51" i="20"/>
  <c r="DL39" i="31" s="1"/>
  <c r="H54" i="20"/>
  <c r="H60" i="20"/>
  <c r="H65" i="20"/>
  <c r="DL53" i="31" s="1"/>
  <c r="H71" i="20"/>
  <c r="DL59" i="31" s="1"/>
  <c r="H74" i="20"/>
  <c r="DL62" i="31" s="1"/>
  <c r="H77" i="20"/>
  <c r="H80" i="20"/>
  <c r="DL68" i="31" s="1"/>
  <c r="H83" i="20"/>
  <c r="H86" i="20"/>
  <c r="H92" i="20"/>
  <c r="H97" i="20"/>
  <c r="DL85" i="31" s="1"/>
  <c r="H103" i="20"/>
  <c r="DL91" i="31" s="1"/>
  <c r="H106" i="20"/>
  <c r="DL94" i="31" s="1"/>
  <c r="H109" i="20"/>
  <c r="DL97" i="31" s="1"/>
  <c r="H112" i="20"/>
  <c r="DL100" i="31" s="1"/>
  <c r="H115" i="20"/>
  <c r="F15" i="32"/>
  <c r="F99" i="32"/>
  <c r="F80" i="32"/>
  <c r="F56" i="32"/>
  <c r="F51" i="32"/>
  <c r="F30" i="32"/>
  <c r="F94" i="32"/>
  <c r="F21" i="32"/>
  <c r="F59" i="32"/>
  <c r="F52" i="32"/>
  <c r="F25" i="32"/>
  <c r="F91" i="32"/>
  <c r="F43" i="32"/>
  <c r="H23" i="20"/>
  <c r="H28" i="20"/>
  <c r="H32" i="20"/>
  <c r="H36" i="20"/>
  <c r="DL24" i="31" s="1"/>
  <c r="H40" i="20"/>
  <c r="DL28" i="31" s="1"/>
  <c r="H44" i="20"/>
  <c r="H49" i="20"/>
  <c r="H55" i="20"/>
  <c r="H58" i="20"/>
  <c r="DL46" i="31" s="1"/>
  <c r="H61" i="20"/>
  <c r="H64" i="20"/>
  <c r="H67" i="20"/>
  <c r="H70" i="20"/>
  <c r="H76" i="20"/>
  <c r="H81" i="20"/>
  <c r="DL69" i="31" s="1"/>
  <c r="H87" i="20"/>
  <c r="H90" i="20"/>
  <c r="DL78" i="31" s="1"/>
  <c r="H93" i="20"/>
  <c r="H96" i="20"/>
  <c r="H99" i="20"/>
  <c r="H102" i="20"/>
  <c r="H108" i="20"/>
  <c r="H113" i="20"/>
  <c r="F13" i="32"/>
  <c r="F17" i="32"/>
  <c r="H89" i="20"/>
  <c r="H27" i="20"/>
  <c r="F54" i="32"/>
  <c r="H107" i="20"/>
  <c r="DL95" i="31" s="1"/>
  <c r="H95" i="20"/>
  <c r="DL83" i="31" s="1"/>
  <c r="H84" i="20"/>
  <c r="DL72" i="31" s="1"/>
  <c r="H72" i="20"/>
  <c r="H35" i="20"/>
  <c r="F23" i="32"/>
  <c r="F46" i="32"/>
  <c r="F65" i="32"/>
  <c r="H116" i="20"/>
  <c r="DL104" i="31" s="1"/>
  <c r="H69" i="20"/>
  <c r="DL57" i="31" s="1"/>
  <c r="H46" i="20"/>
  <c r="DL34" i="31" s="1"/>
  <c r="F85" i="32"/>
  <c r="F18" i="32"/>
  <c r="H78" i="20"/>
  <c r="DL66" i="31" s="1"/>
  <c r="H43" i="20"/>
  <c r="F53" i="32"/>
  <c r="F20" i="32"/>
  <c r="H104" i="20"/>
  <c r="H57" i="20"/>
  <c r="H31" i="20"/>
  <c r="F83" i="32"/>
  <c r="F57" i="32"/>
  <c r="H101" i="20"/>
  <c r="DL89" i="31" s="1"/>
  <c r="H66" i="20"/>
  <c r="F92" i="32"/>
  <c r="F19" i="32"/>
  <c r="H110" i="20"/>
  <c r="DL98" i="31" s="1"/>
  <c r="H98" i="20"/>
  <c r="H75" i="20"/>
  <c r="DL63" i="31" s="1"/>
  <c r="H63" i="20"/>
  <c r="DL51" i="31" s="1"/>
  <c r="H52" i="20"/>
  <c r="DL40" i="31" s="1"/>
  <c r="H39" i="20"/>
  <c r="F47" i="32"/>
  <c r="F75" i="32"/>
  <c r="F74" i="32"/>
  <c r="F34" i="32"/>
  <c r="H17" i="20"/>
  <c r="DL5" i="31" s="1"/>
  <c r="H18" i="20"/>
  <c r="DL6" i="31" s="1"/>
  <c r="H19" i="20"/>
  <c r="DL7" i="31" s="1"/>
  <c r="H20" i="20"/>
  <c r="DL8" i="31" s="1"/>
  <c r="H21" i="20"/>
  <c r="H26" i="32" l="1"/>
  <c r="DL19" i="31"/>
  <c r="H82" i="32"/>
  <c r="DL75" i="31"/>
  <c r="H63" i="32"/>
  <c r="DL56" i="31"/>
  <c r="H52" i="32"/>
  <c r="DL45" i="31"/>
  <c r="I113" i="20"/>
  <c r="DL101" i="31"/>
  <c r="I49" i="20"/>
  <c r="DL37" i="31"/>
  <c r="H33" i="32"/>
  <c r="DL26" i="31"/>
  <c r="H89" i="32"/>
  <c r="DL82" i="31"/>
  <c r="H57" i="32"/>
  <c r="DL50" i="31"/>
  <c r="H17" i="32"/>
  <c r="DL10" i="31"/>
  <c r="H23" i="32"/>
  <c r="DL16" i="31"/>
  <c r="H18" i="32"/>
  <c r="DL11" i="31"/>
  <c r="H39" i="32"/>
  <c r="DL32" i="31"/>
  <c r="H29" i="32"/>
  <c r="DL22" i="31"/>
  <c r="H86" i="32"/>
  <c r="DL79" i="31"/>
  <c r="H54" i="32"/>
  <c r="DL47" i="31"/>
  <c r="H88" i="32"/>
  <c r="DL81" i="31"/>
  <c r="H99" i="32"/>
  <c r="DL92" i="31"/>
  <c r="H71" i="32"/>
  <c r="DL64" i="31"/>
  <c r="H97" i="32"/>
  <c r="DL90" i="31"/>
  <c r="H65" i="32"/>
  <c r="DL58" i="31"/>
  <c r="H87" i="32"/>
  <c r="DL80" i="31"/>
  <c r="H55" i="32"/>
  <c r="DL48" i="31"/>
  <c r="H25" i="32"/>
  <c r="DL18" i="31"/>
  <c r="H83" i="32"/>
  <c r="DL76" i="31"/>
  <c r="H51" i="32"/>
  <c r="DL44" i="31"/>
  <c r="H19" i="32"/>
  <c r="DL12" i="31"/>
  <c r="H56" i="32"/>
  <c r="DL49" i="31"/>
  <c r="I77" i="20"/>
  <c r="DL65" i="31"/>
  <c r="H93" i="32"/>
  <c r="DL86" i="31"/>
  <c r="H67" i="32"/>
  <c r="DL60" i="31"/>
  <c r="H50" i="32"/>
  <c r="DL43" i="31"/>
  <c r="H95" i="32"/>
  <c r="DL88" i="31"/>
  <c r="H21" i="32"/>
  <c r="DL14" i="31"/>
  <c r="H103" i="32"/>
  <c r="DL96" i="31"/>
  <c r="H16" i="32"/>
  <c r="DL9" i="31"/>
  <c r="H34" i="32"/>
  <c r="DL27" i="31"/>
  <c r="H61" i="32"/>
  <c r="DL54" i="31"/>
  <c r="H94" i="32"/>
  <c r="DL87" i="31"/>
  <c r="H62" i="32"/>
  <c r="DL55" i="31"/>
  <c r="H81" i="32"/>
  <c r="DL74" i="31"/>
  <c r="H49" i="32"/>
  <c r="DL42" i="31"/>
  <c r="H20" i="32"/>
  <c r="DL13" i="31"/>
  <c r="H80" i="32"/>
  <c r="DL73" i="31"/>
  <c r="H48" i="32"/>
  <c r="DL41" i="31"/>
  <c r="H84" i="32"/>
  <c r="DL77" i="31"/>
  <c r="I43" i="20"/>
  <c r="DL31" i="31"/>
  <c r="H22" i="32"/>
  <c r="DL15" i="31"/>
  <c r="H91" i="32"/>
  <c r="DL84" i="31"/>
  <c r="H59" i="32"/>
  <c r="DL52" i="31"/>
  <c r="H27" i="32"/>
  <c r="DL20" i="31"/>
  <c r="H110" i="32"/>
  <c r="DL103" i="31"/>
  <c r="H78" i="32"/>
  <c r="DL71" i="31"/>
  <c r="H109" i="32"/>
  <c r="DL102" i="31"/>
  <c r="H77" i="32"/>
  <c r="DL70" i="31"/>
  <c r="H45" i="32"/>
  <c r="DL38" i="31"/>
  <c r="H30" i="32"/>
  <c r="DL23" i="31"/>
  <c r="H36" i="32"/>
  <c r="DL29" i="31"/>
  <c r="DK171" i="31"/>
  <c r="I179" i="32"/>
  <c r="DF79" i="31"/>
  <c r="CX79" i="31"/>
  <c r="CP79" i="31"/>
  <c r="CH79" i="31"/>
  <c r="BZ79" i="31"/>
  <c r="BR79" i="31"/>
  <c r="DE79" i="31"/>
  <c r="CW79" i="31"/>
  <c r="CO79" i="31"/>
  <c r="CG79" i="31"/>
  <c r="BY79" i="31"/>
  <c r="BQ79" i="31"/>
  <c r="DD79" i="31"/>
  <c r="CV79" i="31"/>
  <c r="CN79" i="31"/>
  <c r="CF79" i="31"/>
  <c r="BX79" i="31"/>
  <c r="BP79" i="31"/>
  <c r="DC79" i="31"/>
  <c r="CU79" i="31"/>
  <c r="CM79" i="31"/>
  <c r="CE79" i="31"/>
  <c r="BW79" i="31"/>
  <c r="BO79" i="31"/>
  <c r="DJ79" i="31"/>
  <c r="DB79" i="31"/>
  <c r="CT79" i="31"/>
  <c r="CL79" i="31"/>
  <c r="CD79" i="31"/>
  <c r="BV79" i="31"/>
  <c r="BN79" i="31"/>
  <c r="DI79" i="31"/>
  <c r="DA79" i="31"/>
  <c r="CS79" i="31"/>
  <c r="CK79" i="31"/>
  <c r="CC79" i="31"/>
  <c r="BU79" i="31"/>
  <c r="BM79" i="31"/>
  <c r="DH79" i="31"/>
  <c r="CZ79" i="31"/>
  <c r="CR79" i="31"/>
  <c r="CJ79" i="31"/>
  <c r="CB79" i="31"/>
  <c r="BT79" i="31"/>
  <c r="BL79" i="31"/>
  <c r="CQ79" i="31"/>
  <c r="CI79" i="31"/>
  <c r="CA79" i="31"/>
  <c r="BS79" i="31"/>
  <c r="BK79" i="31"/>
  <c r="DG79" i="31"/>
  <c r="CY79" i="31"/>
  <c r="DE67" i="31"/>
  <c r="CW67" i="31"/>
  <c r="CO67" i="31"/>
  <c r="CG67" i="31"/>
  <c r="BY67" i="31"/>
  <c r="BQ67" i="31"/>
  <c r="DD67" i="31"/>
  <c r="CV67" i="31"/>
  <c r="CN67" i="31"/>
  <c r="CF67" i="31"/>
  <c r="BX67" i="31"/>
  <c r="BP67" i="31"/>
  <c r="DC67" i="31"/>
  <c r="CU67" i="31"/>
  <c r="CM67" i="31"/>
  <c r="CE67" i="31"/>
  <c r="BW67" i="31"/>
  <c r="BO67" i="31"/>
  <c r="DJ67" i="31"/>
  <c r="DB67" i="31"/>
  <c r="CT67" i="31"/>
  <c r="CL67" i="31"/>
  <c r="CD67" i="31"/>
  <c r="BV67" i="31"/>
  <c r="BN67" i="31"/>
  <c r="DI67" i="31"/>
  <c r="DA67" i="31"/>
  <c r="CS67" i="31"/>
  <c r="CK67" i="31"/>
  <c r="CC67" i="31"/>
  <c r="BU67" i="31"/>
  <c r="BM67" i="31"/>
  <c r="DH67" i="31"/>
  <c r="CZ67" i="31"/>
  <c r="CR67" i="31"/>
  <c r="CJ67" i="31"/>
  <c r="CB67" i="31"/>
  <c r="BT67" i="31"/>
  <c r="BL67" i="31"/>
  <c r="DG67" i="31"/>
  <c r="CY67" i="31"/>
  <c r="CQ67" i="31"/>
  <c r="CI67" i="31"/>
  <c r="CA67" i="31"/>
  <c r="BS67" i="31"/>
  <c r="BK67" i="31"/>
  <c r="CP67" i="31"/>
  <c r="CH67" i="31"/>
  <c r="BZ67" i="31"/>
  <c r="BR67" i="31"/>
  <c r="DF67" i="31"/>
  <c r="CX67" i="31"/>
  <c r="DI63" i="31"/>
  <c r="DA63" i="31"/>
  <c r="CS63" i="31"/>
  <c r="CK63" i="31"/>
  <c r="CC63" i="31"/>
  <c r="BU63" i="31"/>
  <c r="BM63" i="31"/>
  <c r="DH63" i="31"/>
  <c r="CZ63" i="31"/>
  <c r="CR63" i="31"/>
  <c r="CJ63" i="31"/>
  <c r="CB63" i="31"/>
  <c r="BT63" i="31"/>
  <c r="BL63" i="31"/>
  <c r="DG63" i="31"/>
  <c r="CY63" i="31"/>
  <c r="CQ63" i="31"/>
  <c r="CI63" i="31"/>
  <c r="CA63" i="31"/>
  <c r="BS63" i="31"/>
  <c r="BK63" i="31"/>
  <c r="DF63" i="31"/>
  <c r="CX63" i="31"/>
  <c r="CP63" i="31"/>
  <c r="CH63" i="31"/>
  <c r="BZ63" i="31"/>
  <c r="BR63" i="31"/>
  <c r="DE63" i="31"/>
  <c r="CW63" i="31"/>
  <c r="CO63" i="31"/>
  <c r="CG63" i="31"/>
  <c r="BY63" i="31"/>
  <c r="BQ63" i="31"/>
  <c r="DC63" i="31"/>
  <c r="CU63" i="31"/>
  <c r="CM63" i="31"/>
  <c r="CE63" i="31"/>
  <c r="BW63" i="31"/>
  <c r="BO63" i="31"/>
  <c r="DJ63" i="31"/>
  <c r="DB63" i="31"/>
  <c r="CT63" i="31"/>
  <c r="CL63" i="31"/>
  <c r="CD63" i="31"/>
  <c r="BV63" i="31"/>
  <c r="BN63" i="31"/>
  <c r="CV63" i="31"/>
  <c r="CN63" i="31"/>
  <c r="CF63" i="31"/>
  <c r="BP63" i="31"/>
  <c r="BX63" i="31"/>
  <c r="DD63" i="31"/>
  <c r="DD78" i="31"/>
  <c r="CV78" i="31"/>
  <c r="CN78" i="31"/>
  <c r="CF78" i="31"/>
  <c r="BX78" i="31"/>
  <c r="BP78" i="31"/>
  <c r="DC78" i="31"/>
  <c r="CU78" i="31"/>
  <c r="CM78" i="31"/>
  <c r="CE78" i="31"/>
  <c r="BW78" i="31"/>
  <c r="BO78" i="31"/>
  <c r="DJ78" i="31"/>
  <c r="DB78" i="31"/>
  <c r="CT78" i="31"/>
  <c r="CL78" i="31"/>
  <c r="CD78" i="31"/>
  <c r="BV78" i="31"/>
  <c r="BN78" i="31"/>
  <c r="DI78" i="31"/>
  <c r="DA78" i="31"/>
  <c r="CS78" i="31"/>
  <c r="CK78" i="31"/>
  <c r="CC78" i="31"/>
  <c r="BU78" i="31"/>
  <c r="BM78" i="31"/>
  <c r="DH78" i="31"/>
  <c r="CZ78" i="31"/>
  <c r="CR78" i="31"/>
  <c r="CJ78" i="31"/>
  <c r="CB78" i="31"/>
  <c r="BT78" i="31"/>
  <c r="BL78" i="31"/>
  <c r="DG78" i="31"/>
  <c r="CY78" i="31"/>
  <c r="CQ78" i="31"/>
  <c r="CI78" i="31"/>
  <c r="CA78" i="31"/>
  <c r="BS78" i="31"/>
  <c r="BK78" i="31"/>
  <c r="DF78" i="31"/>
  <c r="CX78" i="31"/>
  <c r="CP78" i="31"/>
  <c r="CH78" i="31"/>
  <c r="BZ78" i="31"/>
  <c r="BR78" i="31"/>
  <c r="CG78" i="31"/>
  <c r="BY78" i="31"/>
  <c r="BQ78" i="31"/>
  <c r="DE78" i="31"/>
  <c r="CW78" i="31"/>
  <c r="CO78" i="31"/>
  <c r="DH76" i="31"/>
  <c r="CZ76" i="31"/>
  <c r="CR76" i="31"/>
  <c r="CJ76" i="31"/>
  <c r="CB76" i="31"/>
  <c r="BT76" i="31"/>
  <c r="BL76" i="31"/>
  <c r="DG76" i="31"/>
  <c r="CY76" i="31"/>
  <c r="CQ76" i="31"/>
  <c r="CI76" i="31"/>
  <c r="CA76" i="31"/>
  <c r="BS76" i="31"/>
  <c r="BK76" i="31"/>
  <c r="DF76" i="31"/>
  <c r="CX76" i="31"/>
  <c r="CP76" i="31"/>
  <c r="CH76" i="31"/>
  <c r="BZ76" i="31"/>
  <c r="BR76" i="31"/>
  <c r="DE76" i="31"/>
  <c r="CW76" i="31"/>
  <c r="CO76" i="31"/>
  <c r="CG76" i="31"/>
  <c r="BY76" i="31"/>
  <c r="BQ76" i="31"/>
  <c r="DJ76" i="31"/>
  <c r="DB76" i="31"/>
  <c r="CT76" i="31"/>
  <c r="CL76" i="31"/>
  <c r="CD76" i="31"/>
  <c r="BV76" i="31"/>
  <c r="BN76" i="31"/>
  <c r="CU76" i="31"/>
  <c r="BX76" i="31"/>
  <c r="CS76" i="31"/>
  <c r="BW76" i="31"/>
  <c r="CN76" i="31"/>
  <c r="BU76" i="31"/>
  <c r="DI76" i="31"/>
  <c r="CM76" i="31"/>
  <c r="BP76" i="31"/>
  <c r="DD76" i="31"/>
  <c r="CK76" i="31"/>
  <c r="BO76" i="31"/>
  <c r="DC76" i="31"/>
  <c r="CF76" i="31"/>
  <c r="BM76" i="31"/>
  <c r="DA76" i="31"/>
  <c r="CE76" i="31"/>
  <c r="CV76" i="31"/>
  <c r="CC76" i="31"/>
  <c r="DI59" i="31"/>
  <c r="DA59" i="31"/>
  <c r="CS59" i="31"/>
  <c r="CK59" i="31"/>
  <c r="CC59" i="31"/>
  <c r="BU59" i="31"/>
  <c r="BM59" i="31"/>
  <c r="DH59" i="31"/>
  <c r="CZ59" i="31"/>
  <c r="CR59" i="31"/>
  <c r="CJ59" i="31"/>
  <c r="CB59" i="31"/>
  <c r="BT59" i="31"/>
  <c r="BL59" i="31"/>
  <c r="DG59" i="31"/>
  <c r="CY59" i="31"/>
  <c r="CQ59" i="31"/>
  <c r="CI59" i="31"/>
  <c r="CA59" i="31"/>
  <c r="BS59" i="31"/>
  <c r="BK59" i="31"/>
  <c r="DF59" i="31"/>
  <c r="CX59" i="31"/>
  <c r="CP59" i="31"/>
  <c r="CH59" i="31"/>
  <c r="BZ59" i="31"/>
  <c r="BR59" i="31"/>
  <c r="DE59" i="31"/>
  <c r="CW59" i="31"/>
  <c r="CO59" i="31"/>
  <c r="CG59" i="31"/>
  <c r="BY59" i="31"/>
  <c r="BQ59" i="31"/>
  <c r="DC59" i="31"/>
  <c r="CU59" i="31"/>
  <c r="CM59" i="31"/>
  <c r="CE59" i="31"/>
  <c r="BW59" i="31"/>
  <c r="BO59" i="31"/>
  <c r="DJ59" i="31"/>
  <c r="DB59" i="31"/>
  <c r="CT59" i="31"/>
  <c r="CL59" i="31"/>
  <c r="CD59" i="31"/>
  <c r="BV59" i="31"/>
  <c r="BN59" i="31"/>
  <c r="DD59" i="31"/>
  <c r="CN59" i="31"/>
  <c r="CF59" i="31"/>
  <c r="CV59" i="31"/>
  <c r="BX59" i="31"/>
  <c r="BP59" i="31"/>
  <c r="DD21" i="31"/>
  <c r="CV21" i="31"/>
  <c r="CN21" i="31"/>
  <c r="CF21" i="31"/>
  <c r="BX21" i="31"/>
  <c r="BP21" i="31"/>
  <c r="DC21" i="31"/>
  <c r="CU21" i="31"/>
  <c r="CM21" i="31"/>
  <c r="CE21" i="31"/>
  <c r="BW21" i="31"/>
  <c r="BO21" i="31"/>
  <c r="DJ21" i="31"/>
  <c r="DB21" i="31"/>
  <c r="CT21" i="31"/>
  <c r="CL21" i="31"/>
  <c r="CD21" i="31"/>
  <c r="BV21" i="31"/>
  <c r="BN21" i="31"/>
  <c r="DI21" i="31"/>
  <c r="DA21" i="31"/>
  <c r="CS21" i="31"/>
  <c r="CK21" i="31"/>
  <c r="CC21" i="31"/>
  <c r="BU21" i="31"/>
  <c r="BM21" i="31"/>
  <c r="DH21" i="31"/>
  <c r="CZ21" i="31"/>
  <c r="CR21" i="31"/>
  <c r="CJ21" i="31"/>
  <c r="CB21" i="31"/>
  <c r="BT21" i="31"/>
  <c r="BL21" i="31"/>
  <c r="DF21" i="31"/>
  <c r="CX21" i="31"/>
  <c r="CP21" i="31"/>
  <c r="CH21" i="31"/>
  <c r="BZ21" i="31"/>
  <c r="BR21" i="31"/>
  <c r="DE21" i="31"/>
  <c r="CW21" i="31"/>
  <c r="CO21" i="31"/>
  <c r="CG21" i="31"/>
  <c r="BY21" i="31"/>
  <c r="BQ21" i="31"/>
  <c r="CI21" i="31"/>
  <c r="DG21" i="31"/>
  <c r="CA21" i="31"/>
  <c r="BS21" i="31"/>
  <c r="BK21" i="31"/>
  <c r="CY21" i="31"/>
  <c r="CQ21" i="31"/>
  <c r="DH80" i="31"/>
  <c r="CZ80" i="31"/>
  <c r="CR80" i="31"/>
  <c r="CJ80" i="31"/>
  <c r="CB80" i="31"/>
  <c r="BT80" i="31"/>
  <c r="BL80" i="31"/>
  <c r="DG80" i="31"/>
  <c r="CY80" i="31"/>
  <c r="CQ80" i="31"/>
  <c r="CI80" i="31"/>
  <c r="CA80" i="31"/>
  <c r="BS80" i="31"/>
  <c r="BK80" i="31"/>
  <c r="DF80" i="31"/>
  <c r="CX80" i="31"/>
  <c r="CP80" i="31"/>
  <c r="CH80" i="31"/>
  <c r="BZ80" i="31"/>
  <c r="BR80" i="31"/>
  <c r="DE80" i="31"/>
  <c r="CW80" i="31"/>
  <c r="CO80" i="31"/>
  <c r="CG80" i="31"/>
  <c r="BY80" i="31"/>
  <c r="BQ80" i="31"/>
  <c r="DD80" i="31"/>
  <c r="CV80" i="31"/>
  <c r="CN80" i="31"/>
  <c r="CF80" i="31"/>
  <c r="BX80" i="31"/>
  <c r="BP80" i="31"/>
  <c r="DC80" i="31"/>
  <c r="CU80" i="31"/>
  <c r="CM80" i="31"/>
  <c r="CE80" i="31"/>
  <c r="BW80" i="31"/>
  <c r="BO80" i="31"/>
  <c r="DJ80" i="31"/>
  <c r="DB80" i="31"/>
  <c r="CT80" i="31"/>
  <c r="CL80" i="31"/>
  <c r="CD80" i="31"/>
  <c r="BV80" i="31"/>
  <c r="BN80" i="31"/>
  <c r="DA80" i="31"/>
  <c r="CS80" i="31"/>
  <c r="CK80" i="31"/>
  <c r="CC80" i="31"/>
  <c r="BU80" i="31"/>
  <c r="BM80" i="31"/>
  <c r="DI80" i="31"/>
  <c r="DG49" i="31"/>
  <c r="CY49" i="31"/>
  <c r="CQ49" i="31"/>
  <c r="CI49" i="31"/>
  <c r="CA49" i="31"/>
  <c r="BS49" i="31"/>
  <c r="BK49" i="31"/>
  <c r="DF49" i="31"/>
  <c r="CX49" i="31"/>
  <c r="CP49" i="31"/>
  <c r="CH49" i="31"/>
  <c r="BZ49" i="31"/>
  <c r="BR49" i="31"/>
  <c r="DE49" i="31"/>
  <c r="CW49" i="31"/>
  <c r="CO49" i="31"/>
  <c r="CG49" i="31"/>
  <c r="BY49" i="31"/>
  <c r="BQ49" i="31"/>
  <c r="DC49" i="31"/>
  <c r="CU49" i="31"/>
  <c r="CM49" i="31"/>
  <c r="CE49" i="31"/>
  <c r="BW49" i="31"/>
  <c r="BO49" i="31"/>
  <c r="DJ49" i="31"/>
  <c r="DB49" i="31"/>
  <c r="CT49" i="31"/>
  <c r="CL49" i="31"/>
  <c r="CD49" i="31"/>
  <c r="BV49" i="31"/>
  <c r="BN49" i="31"/>
  <c r="CZ49" i="31"/>
  <c r="CC49" i="31"/>
  <c r="CV49" i="31"/>
  <c r="CB49" i="31"/>
  <c r="CS49" i="31"/>
  <c r="BX49" i="31"/>
  <c r="CR49" i="31"/>
  <c r="BU49" i="31"/>
  <c r="DI49" i="31"/>
  <c r="CN49" i="31"/>
  <c r="BT49" i="31"/>
  <c r="DH49" i="31"/>
  <c r="CK49" i="31"/>
  <c r="BP49" i="31"/>
  <c r="DD49" i="31"/>
  <c r="CJ49" i="31"/>
  <c r="BM49" i="31"/>
  <c r="CF49" i="31"/>
  <c r="BL49" i="31"/>
  <c r="DA49" i="31"/>
  <c r="DJ84" i="31"/>
  <c r="DI84" i="31"/>
  <c r="DF84" i="31"/>
  <c r="CX84" i="31"/>
  <c r="DA84" i="31"/>
  <c r="CR84" i="31"/>
  <c r="CJ84" i="31"/>
  <c r="CB84" i="31"/>
  <c r="BT84" i="31"/>
  <c r="BL84" i="31"/>
  <c r="CZ84" i="31"/>
  <c r="CQ84" i="31"/>
  <c r="CI84" i="31"/>
  <c r="CA84" i="31"/>
  <c r="BS84" i="31"/>
  <c r="BK84" i="31"/>
  <c r="DH84" i="31"/>
  <c r="CY84" i="31"/>
  <c r="CP84" i="31"/>
  <c r="CH84" i="31"/>
  <c r="BZ84" i="31"/>
  <c r="BR84" i="31"/>
  <c r="DG84" i="31"/>
  <c r="CW84" i="31"/>
  <c r="CO84" i="31"/>
  <c r="CG84" i="31"/>
  <c r="BY84" i="31"/>
  <c r="BQ84" i="31"/>
  <c r="DE84" i="31"/>
  <c r="CV84" i="31"/>
  <c r="CN84" i="31"/>
  <c r="CF84" i="31"/>
  <c r="BX84" i="31"/>
  <c r="BP84" i="31"/>
  <c r="DD84" i="31"/>
  <c r="CU84" i="31"/>
  <c r="CM84" i="31"/>
  <c r="CE84" i="31"/>
  <c r="BW84" i="31"/>
  <c r="BO84" i="31"/>
  <c r="DC84" i="31"/>
  <c r="CT84" i="31"/>
  <c r="CL84" i="31"/>
  <c r="CD84" i="31"/>
  <c r="BV84" i="31"/>
  <c r="BN84" i="31"/>
  <c r="CC84" i="31"/>
  <c r="BU84" i="31"/>
  <c r="BM84" i="31"/>
  <c r="DB84" i="31"/>
  <c r="CS84" i="31"/>
  <c r="CK84" i="31"/>
  <c r="DF22" i="31"/>
  <c r="CX22" i="31"/>
  <c r="CP22" i="31"/>
  <c r="CH22" i="31"/>
  <c r="BZ22" i="31"/>
  <c r="BR22" i="31"/>
  <c r="DE22" i="31"/>
  <c r="CW22" i="31"/>
  <c r="CO22" i="31"/>
  <c r="CG22" i="31"/>
  <c r="BY22" i="31"/>
  <c r="BQ22" i="31"/>
  <c r="DD22" i="31"/>
  <c r="CV22" i="31"/>
  <c r="CN22" i="31"/>
  <c r="CF22" i="31"/>
  <c r="BX22" i="31"/>
  <c r="BP22" i="31"/>
  <c r="DC22" i="31"/>
  <c r="CU22" i="31"/>
  <c r="CM22" i="31"/>
  <c r="CE22" i="31"/>
  <c r="BW22" i="31"/>
  <c r="BO22" i="31"/>
  <c r="DJ22" i="31"/>
  <c r="DB22" i="31"/>
  <c r="CT22" i="31"/>
  <c r="CL22" i="31"/>
  <c r="CD22" i="31"/>
  <c r="BV22" i="31"/>
  <c r="BN22" i="31"/>
  <c r="DH22" i="31"/>
  <c r="CZ22" i="31"/>
  <c r="CR22" i="31"/>
  <c r="CJ22" i="31"/>
  <c r="CB22" i="31"/>
  <c r="BT22" i="31"/>
  <c r="BL22" i="31"/>
  <c r="DG22" i="31"/>
  <c r="CY22" i="31"/>
  <c r="CQ22" i="31"/>
  <c r="CI22" i="31"/>
  <c r="CA22" i="31"/>
  <c r="BS22" i="31"/>
  <c r="BK22" i="31"/>
  <c r="CS22" i="31"/>
  <c r="CK22" i="31"/>
  <c r="CC22" i="31"/>
  <c r="BM22" i="31"/>
  <c r="BU22" i="31"/>
  <c r="DI22" i="31"/>
  <c r="DA22" i="31"/>
  <c r="DI87" i="31"/>
  <c r="DA87" i="31"/>
  <c r="CS87" i="31"/>
  <c r="CK87" i="31"/>
  <c r="CC87" i="31"/>
  <c r="BU87" i="31"/>
  <c r="BM87" i="31"/>
  <c r="DH87" i="31"/>
  <c r="CZ87" i="31"/>
  <c r="CR87" i="31"/>
  <c r="CJ87" i="31"/>
  <c r="CB87" i="31"/>
  <c r="BT87" i="31"/>
  <c r="BL87" i="31"/>
  <c r="DG87" i="31"/>
  <c r="CY87" i="31"/>
  <c r="CQ87" i="31"/>
  <c r="CI87" i="31"/>
  <c r="CA87" i="31"/>
  <c r="BS87" i="31"/>
  <c r="BK87" i="31"/>
  <c r="DF87" i="31"/>
  <c r="CX87" i="31"/>
  <c r="CP87" i="31"/>
  <c r="CH87" i="31"/>
  <c r="BZ87" i="31"/>
  <c r="BR87" i="31"/>
  <c r="DE87" i="31"/>
  <c r="CW87" i="31"/>
  <c r="CO87" i="31"/>
  <c r="CG87" i="31"/>
  <c r="BY87" i="31"/>
  <c r="BQ87" i="31"/>
  <c r="DD87" i="31"/>
  <c r="CV87" i="31"/>
  <c r="CN87" i="31"/>
  <c r="CF87" i="31"/>
  <c r="BX87" i="31"/>
  <c r="BP87" i="31"/>
  <c r="DC87" i="31"/>
  <c r="CU87" i="31"/>
  <c r="CM87" i="31"/>
  <c r="CE87" i="31"/>
  <c r="BW87" i="31"/>
  <c r="BO87" i="31"/>
  <c r="DB87" i="31"/>
  <c r="CT87" i="31"/>
  <c r="CL87" i="31"/>
  <c r="CD87" i="31"/>
  <c r="BV87" i="31"/>
  <c r="BN87" i="31"/>
  <c r="DJ87" i="31"/>
  <c r="DE57" i="31"/>
  <c r="CW57" i="31"/>
  <c r="CO57" i="31"/>
  <c r="CG57" i="31"/>
  <c r="BY57" i="31"/>
  <c r="BQ57" i="31"/>
  <c r="DD57" i="31"/>
  <c r="CV57" i="31"/>
  <c r="CN57" i="31"/>
  <c r="CF57" i="31"/>
  <c r="BX57" i="31"/>
  <c r="BP57" i="31"/>
  <c r="DC57" i="31"/>
  <c r="CU57" i="31"/>
  <c r="CM57" i="31"/>
  <c r="CE57" i="31"/>
  <c r="BW57" i="31"/>
  <c r="BO57" i="31"/>
  <c r="DJ57" i="31"/>
  <c r="DB57" i="31"/>
  <c r="CT57" i="31"/>
  <c r="CL57" i="31"/>
  <c r="CD57" i="31"/>
  <c r="BV57" i="31"/>
  <c r="BN57" i="31"/>
  <c r="DI57" i="31"/>
  <c r="DA57" i="31"/>
  <c r="CS57" i="31"/>
  <c r="CK57" i="31"/>
  <c r="CC57" i="31"/>
  <c r="BU57" i="31"/>
  <c r="BM57" i="31"/>
  <c r="DG57" i="31"/>
  <c r="CY57" i="31"/>
  <c r="CQ57" i="31"/>
  <c r="CI57" i="31"/>
  <c r="CA57" i="31"/>
  <c r="BS57" i="31"/>
  <c r="BK57" i="31"/>
  <c r="DF57" i="31"/>
  <c r="CX57" i="31"/>
  <c r="CP57" i="31"/>
  <c r="CH57" i="31"/>
  <c r="BZ57" i="31"/>
  <c r="BR57" i="31"/>
  <c r="CZ57" i="31"/>
  <c r="CR57" i="31"/>
  <c r="CJ57" i="31"/>
  <c r="BT57" i="31"/>
  <c r="BL57" i="31"/>
  <c r="DH57" i="31"/>
  <c r="CB57" i="31"/>
  <c r="DG86" i="31"/>
  <c r="CY86" i="31"/>
  <c r="CQ86" i="31"/>
  <c r="CI86" i="31"/>
  <c r="CA86" i="31"/>
  <c r="BS86" i="31"/>
  <c r="BK86" i="31"/>
  <c r="DF86" i="31"/>
  <c r="CX86" i="31"/>
  <c r="CP86" i="31"/>
  <c r="CH86" i="31"/>
  <c r="BZ86" i="31"/>
  <c r="BR86" i="31"/>
  <c r="DE86" i="31"/>
  <c r="CW86" i="31"/>
  <c r="CO86" i="31"/>
  <c r="CG86" i="31"/>
  <c r="BY86" i="31"/>
  <c r="BQ86" i="31"/>
  <c r="DD86" i="31"/>
  <c r="CV86" i="31"/>
  <c r="CN86" i="31"/>
  <c r="CF86" i="31"/>
  <c r="BX86" i="31"/>
  <c r="DC86" i="31"/>
  <c r="CU86" i="31"/>
  <c r="CM86" i="31"/>
  <c r="CE86" i="31"/>
  <c r="BW86" i="31"/>
  <c r="BO86" i="31"/>
  <c r="DJ86" i="31"/>
  <c r="DB86" i="31"/>
  <c r="CT86" i="31"/>
  <c r="CL86" i="31"/>
  <c r="CD86" i="31"/>
  <c r="BV86" i="31"/>
  <c r="BN86" i="31"/>
  <c r="DA86" i="31"/>
  <c r="BU86" i="31"/>
  <c r="CZ86" i="31"/>
  <c r="BT86" i="31"/>
  <c r="CS86" i="31"/>
  <c r="BP86" i="31"/>
  <c r="CR86" i="31"/>
  <c r="BM86" i="31"/>
  <c r="CK86" i="31"/>
  <c r="BL86" i="31"/>
  <c r="CJ86" i="31"/>
  <c r="DI86" i="31"/>
  <c r="CC86" i="31"/>
  <c r="DH86" i="31"/>
  <c r="CB86" i="31"/>
  <c r="DE101" i="31"/>
  <c r="CW101" i="31"/>
  <c r="CO101" i="31"/>
  <c r="CG101" i="31"/>
  <c r="BY101" i="31"/>
  <c r="BQ101" i="31"/>
  <c r="DC101" i="31"/>
  <c r="CU101" i="31"/>
  <c r="CM101" i="31"/>
  <c r="CE101" i="31"/>
  <c r="BW101" i="31"/>
  <c r="BO101" i="31"/>
  <c r="DJ101" i="31"/>
  <c r="DB101" i="31"/>
  <c r="CT101" i="31"/>
  <c r="CL101" i="31"/>
  <c r="CD101" i="31"/>
  <c r="BV101" i="31"/>
  <c r="BN101" i="31"/>
  <c r="DI101" i="31"/>
  <c r="DA101" i="31"/>
  <c r="CS101" i="31"/>
  <c r="CK101" i="31"/>
  <c r="CC101" i="31"/>
  <c r="BU101" i="31"/>
  <c r="BM101" i="31"/>
  <c r="DH101" i="31"/>
  <c r="CZ101" i="31"/>
  <c r="CR101" i="31"/>
  <c r="CJ101" i="31"/>
  <c r="CB101" i="31"/>
  <c r="BT101" i="31"/>
  <c r="BL101" i="31"/>
  <c r="DD101" i="31"/>
  <c r="CH101" i="31"/>
  <c r="BK101" i="31"/>
  <c r="CY101" i="31"/>
  <c r="CF101" i="31"/>
  <c r="CX101" i="31"/>
  <c r="CA101" i="31"/>
  <c r="CV101" i="31"/>
  <c r="BZ101" i="31"/>
  <c r="CQ101" i="31"/>
  <c r="BX101" i="31"/>
  <c r="CP101" i="31"/>
  <c r="BS101" i="31"/>
  <c r="DG101" i="31"/>
  <c r="CN101" i="31"/>
  <c r="BR101" i="31"/>
  <c r="CI101" i="31"/>
  <c r="BP101" i="31"/>
  <c r="DF101" i="31"/>
  <c r="DJ20" i="31"/>
  <c r="DB20" i="31"/>
  <c r="CT20" i="31"/>
  <c r="CL20" i="31"/>
  <c r="CD20" i="31"/>
  <c r="BV20" i="31"/>
  <c r="BN20" i="31"/>
  <c r="DI20" i="31"/>
  <c r="DA20" i="31"/>
  <c r="CS20" i="31"/>
  <c r="CK20" i="31"/>
  <c r="CC20" i="31"/>
  <c r="BU20" i="31"/>
  <c r="BM20" i="31"/>
  <c r="DH20" i="31"/>
  <c r="CZ20" i="31"/>
  <c r="CR20" i="31"/>
  <c r="CJ20" i="31"/>
  <c r="CB20" i="31"/>
  <c r="BT20" i="31"/>
  <c r="BL20" i="31"/>
  <c r="DG20" i="31"/>
  <c r="CY20" i="31"/>
  <c r="CQ20" i="31"/>
  <c r="CI20" i="31"/>
  <c r="CA20" i="31"/>
  <c r="BS20" i="31"/>
  <c r="BK20" i="31"/>
  <c r="DF20" i="31"/>
  <c r="CX20" i="31"/>
  <c r="CP20" i="31"/>
  <c r="CH20" i="31"/>
  <c r="BZ20" i="31"/>
  <c r="BR20" i="31"/>
  <c r="DD20" i="31"/>
  <c r="CV20" i="31"/>
  <c r="CN20" i="31"/>
  <c r="CF20" i="31"/>
  <c r="BX20" i="31"/>
  <c r="BP20" i="31"/>
  <c r="DC20" i="31"/>
  <c r="CU20" i="31"/>
  <c r="CM20" i="31"/>
  <c r="CE20" i="31"/>
  <c r="BW20" i="31"/>
  <c r="BO20" i="31"/>
  <c r="BY20" i="31"/>
  <c r="BQ20" i="31"/>
  <c r="CO20" i="31"/>
  <c r="CG20" i="31"/>
  <c r="DE20" i="31"/>
  <c r="CW20" i="31"/>
  <c r="G70" i="32"/>
  <c r="J70" i="32" s="1"/>
  <c r="G64" i="32"/>
  <c r="J64" i="32" s="1"/>
  <c r="G94" i="32"/>
  <c r="J94" i="32" s="1"/>
  <c r="BI34" i="31"/>
  <c r="H106" i="32"/>
  <c r="BI47" i="31"/>
  <c r="BI55" i="31"/>
  <c r="F174" i="24" s="1"/>
  <c r="BI70" i="31"/>
  <c r="BI88" i="31"/>
  <c r="F207" i="24" s="1"/>
  <c r="BI68" i="31"/>
  <c r="BI104" i="31"/>
  <c r="F223" i="24" s="1"/>
  <c r="BI51" i="31"/>
  <c r="BI77" i="31"/>
  <c r="F196" i="24" s="1"/>
  <c r="BI64" i="31"/>
  <c r="BI41" i="31"/>
  <c r="BI93" i="31"/>
  <c r="G28" i="32"/>
  <c r="J28" i="32" s="1"/>
  <c r="G66" i="32"/>
  <c r="J66" i="32" s="1"/>
  <c r="G108" i="32"/>
  <c r="J108" i="32" s="1"/>
  <c r="H74" i="32"/>
  <c r="H42" i="32"/>
  <c r="H35" i="32"/>
  <c r="BI23" i="31"/>
  <c r="BI39" i="31"/>
  <c r="BI62" i="31"/>
  <c r="BI72" i="31"/>
  <c r="BI60" i="31"/>
  <c r="F179" i="24" s="1"/>
  <c r="BI85" i="31"/>
  <c r="F204" i="24" s="1"/>
  <c r="BI43" i="31"/>
  <c r="F162" i="24" s="1"/>
  <c r="BI69" i="31"/>
  <c r="BI98" i="31"/>
  <c r="BI40" i="31"/>
  <c r="BI97" i="31"/>
  <c r="BI33" i="31"/>
  <c r="G85" i="32"/>
  <c r="J85" i="32" s="1"/>
  <c r="G29" i="32"/>
  <c r="J29" i="32" s="1"/>
  <c r="G86" i="32"/>
  <c r="J86" i="32" s="1"/>
  <c r="G87" i="32"/>
  <c r="J87" i="32" s="1"/>
  <c r="H31" i="32"/>
  <c r="BI96" i="31"/>
  <c r="BI31" i="31"/>
  <c r="BI54" i="31"/>
  <c r="BI48" i="31"/>
  <c r="F167" i="24" s="1"/>
  <c r="BI52" i="31"/>
  <c r="BI99" i="31"/>
  <c r="F218" i="24" s="1"/>
  <c r="BI35" i="31"/>
  <c r="F154" i="24" s="1"/>
  <c r="BI61" i="31"/>
  <c r="BI82" i="31"/>
  <c r="BI89" i="31"/>
  <c r="BI25" i="31"/>
  <c r="G41" i="32"/>
  <c r="J41" i="32" s="1"/>
  <c r="G56" i="32"/>
  <c r="J56" i="32" s="1"/>
  <c r="H46" i="32"/>
  <c r="H85" i="32"/>
  <c r="H53" i="32"/>
  <c r="H102" i="32"/>
  <c r="H108" i="32"/>
  <c r="H76" i="32"/>
  <c r="H44" i="32"/>
  <c r="H66" i="32"/>
  <c r="BI56" i="31"/>
  <c r="F175" i="24" s="1"/>
  <c r="BI46" i="31"/>
  <c r="BI24" i="31"/>
  <c r="BI44" i="31"/>
  <c r="BI91" i="31"/>
  <c r="BI27" i="31"/>
  <c r="BI53" i="31"/>
  <c r="F172" i="24" s="1"/>
  <c r="BI66" i="31"/>
  <c r="BI90" i="31"/>
  <c r="F209" i="24" s="1"/>
  <c r="BI81" i="31"/>
  <c r="F200" i="24" s="1"/>
  <c r="BI29" i="31"/>
  <c r="BI71" i="31"/>
  <c r="G93" i="32"/>
  <c r="J93" i="32" s="1"/>
  <c r="G83" i="32"/>
  <c r="J83" i="32" s="1"/>
  <c r="G74" i="32"/>
  <c r="J74" i="32" s="1"/>
  <c r="H90" i="32"/>
  <c r="H104" i="32"/>
  <c r="H72" i="32"/>
  <c r="H40" i="32"/>
  <c r="BI32" i="31"/>
  <c r="BI102" i="31"/>
  <c r="BI38" i="31"/>
  <c r="BI100" i="31"/>
  <c r="F219" i="24" s="1"/>
  <c r="BI36" i="31"/>
  <c r="F155" i="24" s="1"/>
  <c r="BI83" i="31"/>
  <c r="F202" i="24" s="1"/>
  <c r="BI45" i="31"/>
  <c r="F164" i="24" s="1"/>
  <c r="BI50" i="31"/>
  <c r="F169" i="24" s="1"/>
  <c r="BI74" i="31"/>
  <c r="BI73" i="31"/>
  <c r="BI42" i="31"/>
  <c r="G91" i="32"/>
  <c r="J91" i="32" s="1"/>
  <c r="H100" i="32"/>
  <c r="H68" i="32"/>
  <c r="H38" i="32"/>
  <c r="BI95" i="31"/>
  <c r="BI103" i="31"/>
  <c r="BI94" i="31"/>
  <c r="BI30" i="31"/>
  <c r="BI92" i="31"/>
  <c r="F211" i="24" s="1"/>
  <c r="BI28" i="31"/>
  <c r="F147" i="24" s="1"/>
  <c r="BI75" i="31"/>
  <c r="F194" i="24" s="1"/>
  <c r="BI37" i="31"/>
  <c r="BI26" i="31"/>
  <c r="F145" i="24" s="1"/>
  <c r="BI58" i="31"/>
  <c r="BI65" i="31"/>
  <c r="J109" i="32"/>
  <c r="I51" i="20"/>
  <c r="J101" i="32"/>
  <c r="I37" i="20"/>
  <c r="BI14" i="31"/>
  <c r="BI18" i="31"/>
  <c r="G27" i="32"/>
  <c r="J27" i="32" s="1"/>
  <c r="H24" i="32"/>
  <c r="BI17" i="31"/>
  <c r="I33" i="20"/>
  <c r="BI19" i="31"/>
  <c r="BI10" i="31"/>
  <c r="BI13" i="31"/>
  <c r="J99" i="32"/>
  <c r="I81" i="20"/>
  <c r="BI16" i="31"/>
  <c r="BI15" i="31"/>
  <c r="F198" i="24"/>
  <c r="F206" i="24"/>
  <c r="F205" i="24"/>
  <c r="F141" i="24"/>
  <c r="F203" i="24"/>
  <c r="F139" i="24"/>
  <c r="F186" i="24"/>
  <c r="F220" i="24"/>
  <c r="F176" i="24"/>
  <c r="J60" i="32"/>
  <c r="F182" i="24"/>
  <c r="F197" i="24"/>
  <c r="F195" i="24"/>
  <c r="BI12" i="31"/>
  <c r="F178" i="24"/>
  <c r="F140" i="24"/>
  <c r="F199" i="24"/>
  <c r="F153" i="24"/>
  <c r="F168" i="24"/>
  <c r="J51" i="32"/>
  <c r="I36" i="20"/>
  <c r="I71" i="20"/>
  <c r="I75" i="20"/>
  <c r="BI9" i="31"/>
  <c r="BI11" i="31"/>
  <c r="B209" i="3"/>
  <c r="AP200" i="6" s="1"/>
  <c r="A212" i="12"/>
  <c r="AQ200" i="6"/>
  <c r="BI8" i="31"/>
  <c r="BI7" i="31"/>
  <c r="BI6" i="31"/>
  <c r="BI5" i="31"/>
  <c r="J75" i="32"/>
  <c r="H15" i="32"/>
  <c r="H14" i="32"/>
  <c r="H13" i="32"/>
  <c r="J97" i="32"/>
  <c r="I45" i="20"/>
  <c r="I109" i="20"/>
  <c r="I79" i="20"/>
  <c r="I111" i="20"/>
  <c r="J32" i="32"/>
  <c r="J100" i="32"/>
  <c r="J90" i="32"/>
  <c r="J22" i="32"/>
  <c r="I90" i="20"/>
  <c r="J40" i="32"/>
  <c r="I40" i="20"/>
  <c r="I105" i="20"/>
  <c r="I63" i="20"/>
  <c r="J38" i="32"/>
  <c r="J37" i="32"/>
  <c r="J104" i="32"/>
  <c r="J77" i="32"/>
  <c r="J68" i="32"/>
  <c r="J50" i="32"/>
  <c r="J31" i="32"/>
  <c r="J69" i="32"/>
  <c r="J53" i="32"/>
  <c r="J46" i="32"/>
  <c r="G16" i="32"/>
  <c r="J16" i="32" s="1"/>
  <c r="J59" i="32"/>
  <c r="J21" i="32"/>
  <c r="J44" i="32"/>
  <c r="J63" i="32"/>
  <c r="J88" i="32"/>
  <c r="J73" i="32"/>
  <c r="J71" i="32"/>
  <c r="J98" i="32"/>
  <c r="J107" i="32"/>
  <c r="J58" i="32"/>
  <c r="I95" i="20"/>
  <c r="G17" i="32"/>
  <c r="J17" i="32" s="1"/>
  <c r="J47" i="32"/>
  <c r="J92" i="32"/>
  <c r="J57" i="32"/>
  <c r="J54" i="32"/>
  <c r="J80" i="32"/>
  <c r="J34" i="32"/>
  <c r="J65" i="32"/>
  <c r="J52" i="32"/>
  <c r="J30" i="32"/>
  <c r="J84" i="32"/>
  <c r="J23" i="32"/>
  <c r="J24" i="32"/>
  <c r="J20" i="32"/>
  <c r="J110" i="32"/>
  <c r="J81" i="32"/>
  <c r="J102" i="32"/>
  <c r="J55" i="32"/>
  <c r="J42" i="32"/>
  <c r="J25" i="32"/>
  <c r="I107" i="20"/>
  <c r="I29" i="20"/>
  <c r="I47" i="20"/>
  <c r="J95" i="32"/>
  <c r="J18" i="32"/>
  <c r="J36" i="32"/>
  <c r="J26" i="32"/>
  <c r="J61" i="32"/>
  <c r="J82" i="32"/>
  <c r="J89" i="32"/>
  <c r="J106" i="32"/>
  <c r="J48" i="32"/>
  <c r="J76" i="32"/>
  <c r="J62" i="32"/>
  <c r="J43" i="32"/>
  <c r="J67" i="32"/>
  <c r="J35" i="32"/>
  <c r="J39" i="32"/>
  <c r="J103" i="32"/>
  <c r="J78" i="32"/>
  <c r="J96" i="32"/>
  <c r="J105" i="32"/>
  <c r="J33" i="32"/>
  <c r="J111" i="32"/>
  <c r="J79" i="32"/>
  <c r="J72" i="32"/>
  <c r="J45" i="32"/>
  <c r="J49" i="32"/>
  <c r="I98" i="20"/>
  <c r="I27" i="20"/>
  <c r="I102" i="20"/>
  <c r="I86" i="20"/>
  <c r="I54" i="20"/>
  <c r="I56" i="20"/>
  <c r="I104" i="20"/>
  <c r="I46" i="20"/>
  <c r="I35" i="20"/>
  <c r="I108" i="20"/>
  <c r="I93" i="20"/>
  <c r="I76" i="20"/>
  <c r="I61" i="20"/>
  <c r="I44" i="20"/>
  <c r="I28" i="20"/>
  <c r="I92" i="20"/>
  <c r="I60" i="20"/>
  <c r="I30" i="20"/>
  <c r="I91" i="20"/>
  <c r="I59" i="20"/>
  <c r="I22" i="20"/>
  <c r="I39" i="20"/>
  <c r="I66" i="20"/>
  <c r="I72" i="20"/>
  <c r="I42" i="20"/>
  <c r="I88" i="20"/>
  <c r="I41" i="20"/>
  <c r="I74" i="20"/>
  <c r="I52" i="20"/>
  <c r="I110" i="20"/>
  <c r="I101" i="20"/>
  <c r="I31" i="20"/>
  <c r="I116" i="20"/>
  <c r="I84" i="20"/>
  <c r="I89" i="20"/>
  <c r="I99" i="20"/>
  <c r="I87" i="20"/>
  <c r="I67" i="20"/>
  <c r="I55" i="20"/>
  <c r="J19" i="32"/>
  <c r="I115" i="20"/>
  <c r="I103" i="20"/>
  <c r="I83" i="20"/>
  <c r="I38" i="20"/>
  <c r="I100" i="20"/>
  <c r="I85" i="20"/>
  <c r="I68" i="20"/>
  <c r="I53" i="20"/>
  <c r="I78" i="20"/>
  <c r="I69" i="20"/>
  <c r="I70" i="20"/>
  <c r="I23" i="20"/>
  <c r="I25" i="20"/>
  <c r="I24" i="20"/>
  <c r="I73" i="20"/>
  <c r="I58" i="20"/>
  <c r="I106" i="20"/>
  <c r="I57" i="20"/>
  <c r="I96" i="20"/>
  <c r="I64" i="20"/>
  <c r="I32" i="20"/>
  <c r="I112" i="20"/>
  <c r="I97" i="20"/>
  <c r="I80" i="20"/>
  <c r="I65" i="20"/>
  <c r="I48" i="20"/>
  <c r="I34" i="20"/>
  <c r="I114" i="20"/>
  <c r="I94" i="20"/>
  <c r="I82" i="20"/>
  <c r="I62" i="20"/>
  <c r="I50" i="20"/>
  <c r="I26" i="20"/>
  <c r="I18" i="20"/>
  <c r="G12" i="32"/>
  <c r="J12" i="32" s="1"/>
  <c r="I21" i="20"/>
  <c r="H15" i="20"/>
  <c r="I15" i="20" s="1"/>
  <c r="H12" i="32"/>
  <c r="I17" i="20"/>
  <c r="G13" i="32"/>
  <c r="J13" i="32" s="1"/>
  <c r="G15" i="32"/>
  <c r="J15" i="32" s="1"/>
  <c r="I20" i="20"/>
  <c r="G14" i="32"/>
  <c r="J14" i="32" s="1"/>
  <c r="I19" i="20"/>
  <c r="DK20" i="31" l="1"/>
  <c r="DK170" i="31"/>
  <c r="I178" i="32"/>
  <c r="DK86" i="31"/>
  <c r="DK22" i="31"/>
  <c r="DK78" i="31"/>
  <c r="I85" i="32" s="1"/>
  <c r="DK49" i="31"/>
  <c r="I56" i="32" s="1"/>
  <c r="DK63" i="31"/>
  <c r="I70" i="32" s="1"/>
  <c r="DK84" i="31"/>
  <c r="DK59" i="31"/>
  <c r="DK57" i="31"/>
  <c r="DK87" i="31"/>
  <c r="DK67" i="31"/>
  <c r="DK79" i="31"/>
  <c r="I86" i="32" s="1"/>
  <c r="DK101" i="31"/>
  <c r="I108" i="32" s="1"/>
  <c r="DK76" i="31"/>
  <c r="I83" i="32" s="1"/>
  <c r="DK80" i="31"/>
  <c r="DK21" i="31"/>
  <c r="DD5" i="31"/>
  <c r="CV5" i="31"/>
  <c r="CN5" i="31"/>
  <c r="CF5" i="31"/>
  <c r="BX5" i="31"/>
  <c r="BP5" i="31"/>
  <c r="CJ5" i="31"/>
  <c r="CI5" i="31"/>
  <c r="CX5" i="31"/>
  <c r="BZ5" i="31"/>
  <c r="CG5" i="31"/>
  <c r="DC5" i="31"/>
  <c r="CU5" i="31"/>
  <c r="CM5" i="31"/>
  <c r="CE5" i="31"/>
  <c r="BW5" i="31"/>
  <c r="BO5" i="31"/>
  <c r="CR5" i="31"/>
  <c r="BT5" i="31"/>
  <c r="CY5" i="31"/>
  <c r="DF5" i="31"/>
  <c r="DE5" i="31"/>
  <c r="DJ5" i="31"/>
  <c r="DB5" i="31"/>
  <c r="CT5" i="31"/>
  <c r="CL5" i="31"/>
  <c r="CD5" i="31"/>
  <c r="BV5" i="31"/>
  <c r="BN5" i="31"/>
  <c r="CZ5" i="31"/>
  <c r="CB5" i="31"/>
  <c r="DG5" i="31"/>
  <c r="CA5" i="31"/>
  <c r="CH5" i="31"/>
  <c r="BR5" i="31"/>
  <c r="CO5" i="31"/>
  <c r="DI5" i="31"/>
  <c r="DA5" i="31"/>
  <c r="CS5" i="31"/>
  <c r="CK5" i="31"/>
  <c r="CC5" i="31"/>
  <c r="BU5" i="31"/>
  <c r="BM5" i="31"/>
  <c r="DH5" i="31"/>
  <c r="BL5" i="31"/>
  <c r="CQ5" i="31"/>
  <c r="BS5" i="31"/>
  <c r="CP5" i="31"/>
  <c r="CW5" i="31"/>
  <c r="BQ5" i="31"/>
  <c r="BY5" i="31"/>
  <c r="BK5" i="31"/>
  <c r="DE44" i="31"/>
  <c r="CW44" i="31"/>
  <c r="CO44" i="31"/>
  <c r="CG44" i="31"/>
  <c r="BY44" i="31"/>
  <c r="BQ44" i="31"/>
  <c r="DD44" i="31"/>
  <c r="CV44" i="31"/>
  <c r="CN44" i="31"/>
  <c r="CF44" i="31"/>
  <c r="BX44" i="31"/>
  <c r="BP44" i="31"/>
  <c r="DC44" i="31"/>
  <c r="CU44" i="31"/>
  <c r="CM44" i="31"/>
  <c r="CE44" i="31"/>
  <c r="DI44" i="31"/>
  <c r="DA44" i="31"/>
  <c r="CS44" i="31"/>
  <c r="CK44" i="31"/>
  <c r="CC44" i="31"/>
  <c r="BU44" i="31"/>
  <c r="BM44" i="31"/>
  <c r="DH44" i="31"/>
  <c r="CZ44" i="31"/>
  <c r="CR44" i="31"/>
  <c r="CJ44" i="31"/>
  <c r="CB44" i="31"/>
  <c r="BT44" i="31"/>
  <c r="BL44" i="31"/>
  <c r="CQ44" i="31"/>
  <c r="BW44" i="31"/>
  <c r="DJ44" i="31"/>
  <c r="CP44" i="31"/>
  <c r="BV44" i="31"/>
  <c r="DG44" i="31"/>
  <c r="CL44" i="31"/>
  <c r="BS44" i="31"/>
  <c r="DF44" i="31"/>
  <c r="CI44" i="31"/>
  <c r="BR44" i="31"/>
  <c r="DB44" i="31"/>
  <c r="CH44" i="31"/>
  <c r="BO44" i="31"/>
  <c r="CY44" i="31"/>
  <c r="CD44" i="31"/>
  <c r="BN44" i="31"/>
  <c r="CX44" i="31"/>
  <c r="CA44" i="31"/>
  <c r="BK44" i="31"/>
  <c r="CT44" i="31"/>
  <c r="BZ44" i="31"/>
  <c r="DD39" i="31"/>
  <c r="CV39" i="31"/>
  <c r="CN39" i="31"/>
  <c r="CF39" i="31"/>
  <c r="BX39" i="31"/>
  <c r="BP39" i="31"/>
  <c r="DC39" i="31"/>
  <c r="CU39" i="31"/>
  <c r="CM39" i="31"/>
  <c r="CE39" i="31"/>
  <c r="BW39" i="31"/>
  <c r="BO39" i="31"/>
  <c r="DJ39" i="31"/>
  <c r="DB39" i="31"/>
  <c r="CT39" i="31"/>
  <c r="CL39" i="31"/>
  <c r="CD39" i="31"/>
  <c r="BV39" i="31"/>
  <c r="BN39" i="31"/>
  <c r="DI39" i="31"/>
  <c r="DA39" i="31"/>
  <c r="CS39" i="31"/>
  <c r="CK39" i="31"/>
  <c r="CC39" i="31"/>
  <c r="BU39" i="31"/>
  <c r="BM39" i="31"/>
  <c r="DH39" i="31"/>
  <c r="CZ39" i="31"/>
  <c r="CR39" i="31"/>
  <c r="CJ39" i="31"/>
  <c r="CB39" i="31"/>
  <c r="BT39" i="31"/>
  <c r="BL39" i="31"/>
  <c r="DG39" i="31"/>
  <c r="CY39" i="31"/>
  <c r="CQ39" i="31"/>
  <c r="CI39" i="31"/>
  <c r="CA39" i="31"/>
  <c r="BS39" i="31"/>
  <c r="BK39" i="31"/>
  <c r="DF39" i="31"/>
  <c r="CX39" i="31"/>
  <c r="CP39" i="31"/>
  <c r="CH39" i="31"/>
  <c r="BZ39" i="31"/>
  <c r="BR39" i="31"/>
  <c r="BQ39" i="31"/>
  <c r="DE39" i="31"/>
  <c r="CW39" i="31"/>
  <c r="CG39" i="31"/>
  <c r="BY39" i="31"/>
  <c r="CO39" i="31"/>
  <c r="DJ8" i="31"/>
  <c r="DB8" i="31"/>
  <c r="CT8" i="31"/>
  <c r="CL8" i="31"/>
  <c r="CD8" i="31"/>
  <c r="BV8" i="31"/>
  <c r="BN8" i="31"/>
  <c r="DI8" i="31"/>
  <c r="DA8" i="31"/>
  <c r="CS8" i="31"/>
  <c r="CK8" i="31"/>
  <c r="CC8" i="31"/>
  <c r="BU8" i="31"/>
  <c r="BM8" i="31"/>
  <c r="DH8" i="31"/>
  <c r="CZ8" i="31"/>
  <c r="CR8" i="31"/>
  <c r="CJ8" i="31"/>
  <c r="CB8" i="31"/>
  <c r="BT8" i="31"/>
  <c r="BL8" i="31"/>
  <c r="DG8" i="31"/>
  <c r="CY8" i="31"/>
  <c r="CQ8" i="31"/>
  <c r="CI8" i="31"/>
  <c r="CA8" i="31"/>
  <c r="BS8" i="31"/>
  <c r="BK8" i="31"/>
  <c r="DD8" i="31"/>
  <c r="CV8" i="31"/>
  <c r="CN8" i="31"/>
  <c r="CF8" i="31"/>
  <c r="BX8" i="31"/>
  <c r="BP8" i="31"/>
  <c r="DC8" i="31"/>
  <c r="CU8" i="31"/>
  <c r="CM8" i="31"/>
  <c r="CE8" i="31"/>
  <c r="BW8" i="31"/>
  <c r="BO8" i="31"/>
  <c r="DE8" i="31"/>
  <c r="BY8" i="31"/>
  <c r="CH8" i="31"/>
  <c r="CX8" i="31"/>
  <c r="BR8" i="31"/>
  <c r="CW8" i="31"/>
  <c r="BQ8" i="31"/>
  <c r="CO8" i="31"/>
  <c r="CP8" i="31"/>
  <c r="CG8" i="31"/>
  <c r="DF8" i="31"/>
  <c r="BZ8" i="31"/>
  <c r="DF18" i="31"/>
  <c r="CX18" i="31"/>
  <c r="CP18" i="31"/>
  <c r="CH18" i="31"/>
  <c r="BZ18" i="31"/>
  <c r="BR18" i="31"/>
  <c r="DE18" i="31"/>
  <c r="CW18" i="31"/>
  <c r="CO18" i="31"/>
  <c r="CG18" i="31"/>
  <c r="BY18" i="31"/>
  <c r="BQ18" i="31"/>
  <c r="DD18" i="31"/>
  <c r="CV18" i="31"/>
  <c r="CN18" i="31"/>
  <c r="CF18" i="31"/>
  <c r="BX18" i="31"/>
  <c r="BP18" i="31"/>
  <c r="DC18" i="31"/>
  <c r="CU18" i="31"/>
  <c r="CM18" i="31"/>
  <c r="CE18" i="31"/>
  <c r="BW18" i="31"/>
  <c r="BO18" i="31"/>
  <c r="DJ18" i="31"/>
  <c r="DB18" i="31"/>
  <c r="CT18" i="31"/>
  <c r="CL18" i="31"/>
  <c r="CD18" i="31"/>
  <c r="BV18" i="31"/>
  <c r="BN18" i="31"/>
  <c r="DH18" i="31"/>
  <c r="CZ18" i="31"/>
  <c r="CR18" i="31"/>
  <c r="CJ18" i="31"/>
  <c r="CB18" i="31"/>
  <c r="BT18" i="31"/>
  <c r="BL18" i="31"/>
  <c r="DG18" i="31"/>
  <c r="CY18" i="31"/>
  <c r="CQ18" i="31"/>
  <c r="CI18" i="31"/>
  <c r="CA18" i="31"/>
  <c r="BS18" i="31"/>
  <c r="BK18" i="31"/>
  <c r="DI18" i="31"/>
  <c r="DA18" i="31"/>
  <c r="CS18" i="31"/>
  <c r="BU18" i="31"/>
  <c r="BM18" i="31"/>
  <c r="CK18" i="31"/>
  <c r="CC18" i="31"/>
  <c r="DF26" i="31"/>
  <c r="CX26" i="31"/>
  <c r="CP26" i="31"/>
  <c r="CH26" i="31"/>
  <c r="BZ26" i="31"/>
  <c r="BR26" i="31"/>
  <c r="DE26" i="31"/>
  <c r="CW26" i="31"/>
  <c r="CO26" i="31"/>
  <c r="CG26" i="31"/>
  <c r="BY26" i="31"/>
  <c r="BQ26" i="31"/>
  <c r="DD26" i="31"/>
  <c r="CV26" i="31"/>
  <c r="CN26" i="31"/>
  <c r="CF26" i="31"/>
  <c r="BX26" i="31"/>
  <c r="BP26" i="31"/>
  <c r="DC26" i="31"/>
  <c r="CU26" i="31"/>
  <c r="CM26" i="31"/>
  <c r="CE26" i="31"/>
  <c r="BW26" i="31"/>
  <c r="BO26" i="31"/>
  <c r="DJ26" i="31"/>
  <c r="DB26" i="31"/>
  <c r="CT26" i="31"/>
  <c r="CL26" i="31"/>
  <c r="CD26" i="31"/>
  <c r="BV26" i="31"/>
  <c r="BN26" i="31"/>
  <c r="DH26" i="31"/>
  <c r="CZ26" i="31"/>
  <c r="CR26" i="31"/>
  <c r="CJ26" i="31"/>
  <c r="CB26" i="31"/>
  <c r="BT26" i="31"/>
  <c r="BL26" i="31"/>
  <c r="DG26" i="31"/>
  <c r="CY26" i="31"/>
  <c r="CQ26" i="31"/>
  <c r="CI26" i="31"/>
  <c r="CA26" i="31"/>
  <c r="BS26" i="31"/>
  <c r="BK26" i="31"/>
  <c r="BU26" i="31"/>
  <c r="BM26" i="31"/>
  <c r="CS26" i="31"/>
  <c r="DI26" i="31"/>
  <c r="CK26" i="31"/>
  <c r="DA26" i="31"/>
  <c r="CC26" i="31"/>
  <c r="F214" i="24"/>
  <c r="DI95" i="31"/>
  <c r="DA95" i="31"/>
  <c r="CS95" i="31"/>
  <c r="CK95" i="31"/>
  <c r="CC95" i="31"/>
  <c r="BU95" i="31"/>
  <c r="BM95" i="31"/>
  <c r="DG95" i="31"/>
  <c r="CY95" i="31"/>
  <c r="CQ95" i="31"/>
  <c r="CI95" i="31"/>
  <c r="CA95" i="31"/>
  <c r="BS95" i="31"/>
  <c r="BK95" i="31"/>
  <c r="DF95" i="31"/>
  <c r="CX95" i="31"/>
  <c r="CP95" i="31"/>
  <c r="CH95" i="31"/>
  <c r="BZ95" i="31"/>
  <c r="BR95" i="31"/>
  <c r="DE95" i="31"/>
  <c r="CW95" i="31"/>
  <c r="CO95" i="31"/>
  <c r="CG95" i="31"/>
  <c r="BY95" i="31"/>
  <c r="BQ95" i="31"/>
  <c r="DD95" i="31"/>
  <c r="CV95" i="31"/>
  <c r="CN95" i="31"/>
  <c r="CF95" i="31"/>
  <c r="BX95" i="31"/>
  <c r="BP95" i="31"/>
  <c r="DH95" i="31"/>
  <c r="CL95" i="31"/>
  <c r="BO95" i="31"/>
  <c r="DC95" i="31"/>
  <c r="CJ95" i="31"/>
  <c r="BN95" i="31"/>
  <c r="DB95" i="31"/>
  <c r="CE95" i="31"/>
  <c r="BL95" i="31"/>
  <c r="CZ95" i="31"/>
  <c r="CD95" i="31"/>
  <c r="CU95" i="31"/>
  <c r="CB95" i="31"/>
  <c r="CT95" i="31"/>
  <c r="BW95" i="31"/>
  <c r="CR95" i="31"/>
  <c r="BV95" i="31"/>
  <c r="BT95" i="31"/>
  <c r="DJ95" i="31"/>
  <c r="CM95" i="31"/>
  <c r="DI50" i="31"/>
  <c r="DA50" i="31"/>
  <c r="CS50" i="31"/>
  <c r="CK50" i="31"/>
  <c r="CC50" i="31"/>
  <c r="BU50" i="31"/>
  <c r="BM50" i="31"/>
  <c r="DH50" i="31"/>
  <c r="CZ50" i="31"/>
  <c r="CR50" i="31"/>
  <c r="CJ50" i="31"/>
  <c r="CB50" i="31"/>
  <c r="BT50" i="31"/>
  <c r="BL50" i="31"/>
  <c r="DG50" i="31"/>
  <c r="CY50" i="31"/>
  <c r="CQ50" i="31"/>
  <c r="CI50" i="31"/>
  <c r="CA50" i="31"/>
  <c r="BS50" i="31"/>
  <c r="BK50" i="31"/>
  <c r="DE50" i="31"/>
  <c r="CW50" i="31"/>
  <c r="CO50" i="31"/>
  <c r="CG50" i="31"/>
  <c r="BY50" i="31"/>
  <c r="BQ50" i="31"/>
  <c r="DD50" i="31"/>
  <c r="CV50" i="31"/>
  <c r="CN50" i="31"/>
  <c r="CF50" i="31"/>
  <c r="BX50" i="31"/>
  <c r="BP50" i="31"/>
  <c r="DJ50" i="31"/>
  <c r="CM50" i="31"/>
  <c r="BR50" i="31"/>
  <c r="DF50" i="31"/>
  <c r="CL50" i="31"/>
  <c r="BO50" i="31"/>
  <c r="DC50" i="31"/>
  <c r="CH50" i="31"/>
  <c r="BN50" i="31"/>
  <c r="DB50" i="31"/>
  <c r="CE50" i="31"/>
  <c r="CX50" i="31"/>
  <c r="CD50" i="31"/>
  <c r="CU50" i="31"/>
  <c r="BZ50" i="31"/>
  <c r="CT50" i="31"/>
  <c r="BW50" i="31"/>
  <c r="CP50" i="31"/>
  <c r="BV50" i="31"/>
  <c r="DH29" i="31"/>
  <c r="CZ29" i="31"/>
  <c r="CR29" i="31"/>
  <c r="CJ29" i="31"/>
  <c r="CB29" i="31"/>
  <c r="BT29" i="31"/>
  <c r="BL29" i="31"/>
  <c r="DG29" i="31"/>
  <c r="CY29" i="31"/>
  <c r="DF29" i="31"/>
  <c r="CX29" i="31"/>
  <c r="CP29" i="31"/>
  <c r="CH29" i="31"/>
  <c r="BZ29" i="31"/>
  <c r="BR29" i="31"/>
  <c r="DE29" i="31"/>
  <c r="CW29" i="31"/>
  <c r="CO29" i="31"/>
  <c r="CG29" i="31"/>
  <c r="DC29" i="31"/>
  <c r="DJ29" i="31"/>
  <c r="DB29" i="31"/>
  <c r="CT29" i="31"/>
  <c r="CL29" i="31"/>
  <c r="DI29" i="31"/>
  <c r="CM29" i="31"/>
  <c r="BY29" i="31"/>
  <c r="BO29" i="31"/>
  <c r="DD29" i="31"/>
  <c r="CK29" i="31"/>
  <c r="BX29" i="31"/>
  <c r="BN29" i="31"/>
  <c r="DA29" i="31"/>
  <c r="CI29" i="31"/>
  <c r="BW29" i="31"/>
  <c r="BM29" i="31"/>
  <c r="CV29" i="31"/>
  <c r="CF29" i="31"/>
  <c r="BV29" i="31"/>
  <c r="BK29" i="31"/>
  <c r="CU29" i="31"/>
  <c r="CE29" i="31"/>
  <c r="BU29" i="31"/>
  <c r="CQ29" i="31"/>
  <c r="CC29" i="31"/>
  <c r="BQ29" i="31"/>
  <c r="CN29" i="31"/>
  <c r="CA29" i="31"/>
  <c r="BP29" i="31"/>
  <c r="BS29" i="31"/>
  <c r="CS29" i="31"/>
  <c r="CD29" i="31"/>
  <c r="DJ24" i="31"/>
  <c r="DB24" i="31"/>
  <c r="CT24" i="31"/>
  <c r="CL24" i="31"/>
  <c r="CD24" i="31"/>
  <c r="BV24" i="31"/>
  <c r="BN24" i="31"/>
  <c r="DI24" i="31"/>
  <c r="DA24" i="31"/>
  <c r="CS24" i="31"/>
  <c r="CK24" i="31"/>
  <c r="CC24" i="31"/>
  <c r="BU24" i="31"/>
  <c r="BM24" i="31"/>
  <c r="DH24" i="31"/>
  <c r="CZ24" i="31"/>
  <c r="CR24" i="31"/>
  <c r="CJ24" i="31"/>
  <c r="CB24" i="31"/>
  <c r="BT24" i="31"/>
  <c r="BL24" i="31"/>
  <c r="DG24" i="31"/>
  <c r="CY24" i="31"/>
  <c r="CQ24" i="31"/>
  <c r="CI24" i="31"/>
  <c r="CA24" i="31"/>
  <c r="BS24" i="31"/>
  <c r="BK24" i="31"/>
  <c r="DF24" i="31"/>
  <c r="CX24" i="31"/>
  <c r="CP24" i="31"/>
  <c r="CH24" i="31"/>
  <c r="BZ24" i="31"/>
  <c r="BR24" i="31"/>
  <c r="DD24" i="31"/>
  <c r="CV24" i="31"/>
  <c r="CN24" i="31"/>
  <c r="CF24" i="31"/>
  <c r="BX24" i="31"/>
  <c r="BP24" i="31"/>
  <c r="DC24" i="31"/>
  <c r="CU24" i="31"/>
  <c r="CM24" i="31"/>
  <c r="CE24" i="31"/>
  <c r="BW24" i="31"/>
  <c r="BO24" i="31"/>
  <c r="DE24" i="31"/>
  <c r="CW24" i="31"/>
  <c r="CG24" i="31"/>
  <c r="CO24" i="31"/>
  <c r="BQ24" i="31"/>
  <c r="BY24" i="31"/>
  <c r="DE61" i="31"/>
  <c r="CW61" i="31"/>
  <c r="CO61" i="31"/>
  <c r="CG61" i="31"/>
  <c r="BY61" i="31"/>
  <c r="BQ61" i="31"/>
  <c r="DD61" i="31"/>
  <c r="CV61" i="31"/>
  <c r="CN61" i="31"/>
  <c r="CF61" i="31"/>
  <c r="BX61" i="31"/>
  <c r="BP61" i="31"/>
  <c r="DC61" i="31"/>
  <c r="CU61" i="31"/>
  <c r="CM61" i="31"/>
  <c r="CE61" i="31"/>
  <c r="BW61" i="31"/>
  <c r="BO61" i="31"/>
  <c r="DJ61" i="31"/>
  <c r="DB61" i="31"/>
  <c r="CT61" i="31"/>
  <c r="CL61" i="31"/>
  <c r="CD61" i="31"/>
  <c r="BV61" i="31"/>
  <c r="BN61" i="31"/>
  <c r="DI61" i="31"/>
  <c r="DA61" i="31"/>
  <c r="CS61" i="31"/>
  <c r="CK61" i="31"/>
  <c r="CC61" i="31"/>
  <c r="BU61" i="31"/>
  <c r="BM61" i="31"/>
  <c r="DG61" i="31"/>
  <c r="CY61" i="31"/>
  <c r="CQ61" i="31"/>
  <c r="CI61" i="31"/>
  <c r="CA61" i="31"/>
  <c r="BS61" i="31"/>
  <c r="BK61" i="31"/>
  <c r="DF61" i="31"/>
  <c r="CX61" i="31"/>
  <c r="CP61" i="31"/>
  <c r="CH61" i="31"/>
  <c r="BZ61" i="31"/>
  <c r="BR61" i="31"/>
  <c r="CB61" i="31"/>
  <c r="BT61" i="31"/>
  <c r="BL61" i="31"/>
  <c r="DH61" i="31"/>
  <c r="CZ61" i="31"/>
  <c r="CR61" i="31"/>
  <c r="CJ61" i="31"/>
  <c r="DG98" i="31"/>
  <c r="CY98" i="31"/>
  <c r="CQ98" i="31"/>
  <c r="CI98" i="31"/>
  <c r="CA98" i="31"/>
  <c r="BS98" i="31"/>
  <c r="BK98" i="31"/>
  <c r="DE98" i="31"/>
  <c r="CW98" i="31"/>
  <c r="CO98" i="31"/>
  <c r="CG98" i="31"/>
  <c r="BY98" i="31"/>
  <c r="BQ98" i="31"/>
  <c r="DD98" i="31"/>
  <c r="CV98" i="31"/>
  <c r="CN98" i="31"/>
  <c r="CF98" i="31"/>
  <c r="BX98" i="31"/>
  <c r="BP98" i="31"/>
  <c r="DC98" i="31"/>
  <c r="CU98" i="31"/>
  <c r="CM98" i="31"/>
  <c r="CE98" i="31"/>
  <c r="BW98" i="31"/>
  <c r="BO98" i="31"/>
  <c r="DJ98" i="31"/>
  <c r="DB98" i="31"/>
  <c r="CT98" i="31"/>
  <c r="CL98" i="31"/>
  <c r="CD98" i="31"/>
  <c r="BV98" i="31"/>
  <c r="BN98" i="31"/>
  <c r="CS98" i="31"/>
  <c r="BZ98" i="31"/>
  <c r="CR98" i="31"/>
  <c r="BU98" i="31"/>
  <c r="DI98" i="31"/>
  <c r="CP98" i="31"/>
  <c r="BT98" i="31"/>
  <c r="DH98" i="31"/>
  <c r="CK98" i="31"/>
  <c r="BR98" i="31"/>
  <c r="DF98" i="31"/>
  <c r="CJ98" i="31"/>
  <c r="BM98" i="31"/>
  <c r="DA98" i="31"/>
  <c r="CH98" i="31"/>
  <c r="BL98" i="31"/>
  <c r="CZ98" i="31"/>
  <c r="CC98" i="31"/>
  <c r="CB98" i="31"/>
  <c r="CX98" i="31"/>
  <c r="DH23" i="31"/>
  <c r="CZ23" i="31"/>
  <c r="CR23" i="31"/>
  <c r="CJ23" i="31"/>
  <c r="CB23" i="31"/>
  <c r="BT23" i="31"/>
  <c r="BL23" i="31"/>
  <c r="DG23" i="31"/>
  <c r="CY23" i="31"/>
  <c r="CQ23" i="31"/>
  <c r="CI23" i="31"/>
  <c r="CA23" i="31"/>
  <c r="BS23" i="31"/>
  <c r="BK23" i="31"/>
  <c r="DF23" i="31"/>
  <c r="CX23" i="31"/>
  <c r="CP23" i="31"/>
  <c r="CH23" i="31"/>
  <c r="BZ23" i="31"/>
  <c r="BR23" i="31"/>
  <c r="DE23" i="31"/>
  <c r="CW23" i="31"/>
  <c r="CO23" i="31"/>
  <c r="CG23" i="31"/>
  <c r="BY23" i="31"/>
  <c r="BQ23" i="31"/>
  <c r="DD23" i="31"/>
  <c r="CV23" i="31"/>
  <c r="CN23" i="31"/>
  <c r="CF23" i="31"/>
  <c r="BX23" i="31"/>
  <c r="BP23" i="31"/>
  <c r="DJ23" i="31"/>
  <c r="DB23" i="31"/>
  <c r="CT23" i="31"/>
  <c r="CL23" i="31"/>
  <c r="CD23" i="31"/>
  <c r="BV23" i="31"/>
  <c r="BN23" i="31"/>
  <c r="DI23" i="31"/>
  <c r="DA23" i="31"/>
  <c r="CS23" i="31"/>
  <c r="CK23" i="31"/>
  <c r="CC23" i="31"/>
  <c r="BU23" i="31"/>
  <c r="BM23" i="31"/>
  <c r="DC23" i="31"/>
  <c r="CU23" i="31"/>
  <c r="BO23" i="31"/>
  <c r="CM23" i="31"/>
  <c r="CE23" i="31"/>
  <c r="BW23" i="31"/>
  <c r="DH41" i="31"/>
  <c r="CZ41" i="31"/>
  <c r="CR41" i="31"/>
  <c r="CJ41" i="31"/>
  <c r="CB41" i="31"/>
  <c r="BT41" i="31"/>
  <c r="BL41" i="31"/>
  <c r="DG41" i="31"/>
  <c r="CY41" i="31"/>
  <c r="CQ41" i="31"/>
  <c r="CI41" i="31"/>
  <c r="CA41" i="31"/>
  <c r="BS41" i="31"/>
  <c r="BK41" i="31"/>
  <c r="DF41" i="31"/>
  <c r="CX41" i="31"/>
  <c r="CP41" i="31"/>
  <c r="CH41" i="31"/>
  <c r="BZ41" i="31"/>
  <c r="BR41" i="31"/>
  <c r="DE41" i="31"/>
  <c r="CW41" i="31"/>
  <c r="CO41" i="31"/>
  <c r="CG41" i="31"/>
  <c r="BY41" i="31"/>
  <c r="BQ41" i="31"/>
  <c r="DD41" i="31"/>
  <c r="CV41" i="31"/>
  <c r="CN41" i="31"/>
  <c r="CF41" i="31"/>
  <c r="BX41" i="31"/>
  <c r="BP41" i="31"/>
  <c r="DC41" i="31"/>
  <c r="CU41" i="31"/>
  <c r="CM41" i="31"/>
  <c r="CE41" i="31"/>
  <c r="BW41" i="31"/>
  <c r="BO41" i="31"/>
  <c r="DJ41" i="31"/>
  <c r="DB41" i="31"/>
  <c r="CT41" i="31"/>
  <c r="CL41" i="31"/>
  <c r="CD41" i="31"/>
  <c r="BV41" i="31"/>
  <c r="BN41" i="31"/>
  <c r="CK41" i="31"/>
  <c r="CC41" i="31"/>
  <c r="BU41" i="31"/>
  <c r="BM41" i="31"/>
  <c r="DA41" i="31"/>
  <c r="CS41" i="31"/>
  <c r="DI41" i="31"/>
  <c r="DI55" i="31"/>
  <c r="DA55" i="31"/>
  <c r="CS55" i="31"/>
  <c r="CK55" i="31"/>
  <c r="CC55" i="31"/>
  <c r="BU55" i="31"/>
  <c r="BM55" i="31"/>
  <c r="DH55" i="31"/>
  <c r="CZ55" i="31"/>
  <c r="CR55" i="31"/>
  <c r="CJ55" i="31"/>
  <c r="CB55" i="31"/>
  <c r="BT55" i="31"/>
  <c r="BL55" i="31"/>
  <c r="DG55" i="31"/>
  <c r="CY55" i="31"/>
  <c r="CQ55" i="31"/>
  <c r="CI55" i="31"/>
  <c r="CA55" i="31"/>
  <c r="BS55" i="31"/>
  <c r="BK55" i="31"/>
  <c r="DF55" i="31"/>
  <c r="CX55" i="31"/>
  <c r="CP55" i="31"/>
  <c r="CH55" i="31"/>
  <c r="BZ55" i="31"/>
  <c r="BR55" i="31"/>
  <c r="DE55" i="31"/>
  <c r="CW55" i="31"/>
  <c r="CO55" i="31"/>
  <c r="CG55" i="31"/>
  <c r="BY55" i="31"/>
  <c r="BQ55" i="31"/>
  <c r="DC55" i="31"/>
  <c r="CU55" i="31"/>
  <c r="CM55" i="31"/>
  <c r="CE55" i="31"/>
  <c r="BW55" i="31"/>
  <c r="BO55" i="31"/>
  <c r="DJ55" i="31"/>
  <c r="DB55" i="31"/>
  <c r="CT55" i="31"/>
  <c r="CL55" i="31"/>
  <c r="CD55" i="31"/>
  <c r="BV55" i="31"/>
  <c r="BN55" i="31"/>
  <c r="CF55" i="31"/>
  <c r="BX55" i="31"/>
  <c r="BP55" i="31"/>
  <c r="DD55" i="31"/>
  <c r="CV55" i="31"/>
  <c r="CN55" i="31"/>
  <c r="DF32" i="31"/>
  <c r="CX32" i="31"/>
  <c r="CP32" i="31"/>
  <c r="CH32" i="31"/>
  <c r="BZ32" i="31"/>
  <c r="BR32" i="31"/>
  <c r="DE32" i="31"/>
  <c r="CW32" i="31"/>
  <c r="CO32" i="31"/>
  <c r="CG32" i="31"/>
  <c r="BY32" i="31"/>
  <c r="BQ32" i="31"/>
  <c r="DD32" i="31"/>
  <c r="CV32" i="31"/>
  <c r="CN32" i="31"/>
  <c r="CF32" i="31"/>
  <c r="BX32" i="31"/>
  <c r="BP32" i="31"/>
  <c r="DC32" i="31"/>
  <c r="CU32" i="31"/>
  <c r="CM32" i="31"/>
  <c r="CE32" i="31"/>
  <c r="BW32" i="31"/>
  <c r="BO32" i="31"/>
  <c r="DI32" i="31"/>
  <c r="DA32" i="31"/>
  <c r="CS32" i="31"/>
  <c r="CK32" i="31"/>
  <c r="CC32" i="31"/>
  <c r="BU32" i="31"/>
  <c r="BM32" i="31"/>
  <c r="DH32" i="31"/>
  <c r="CZ32" i="31"/>
  <c r="CR32" i="31"/>
  <c r="CJ32" i="31"/>
  <c r="CB32" i="31"/>
  <c r="BT32" i="31"/>
  <c r="BL32" i="31"/>
  <c r="DG32" i="31"/>
  <c r="CA32" i="31"/>
  <c r="DB32" i="31"/>
  <c r="BV32" i="31"/>
  <c r="CY32" i="31"/>
  <c r="BS32" i="31"/>
  <c r="CT32" i="31"/>
  <c r="BN32" i="31"/>
  <c r="CQ32" i="31"/>
  <c r="BK32" i="31"/>
  <c r="CI32" i="31"/>
  <c r="DJ32" i="31"/>
  <c r="CD32" i="31"/>
  <c r="CL32" i="31"/>
  <c r="DE93" i="31"/>
  <c r="CW93" i="31"/>
  <c r="CO93" i="31"/>
  <c r="CG93" i="31"/>
  <c r="BY93" i="31"/>
  <c r="BQ93" i="31"/>
  <c r="DC93" i="31"/>
  <c r="CU93" i="31"/>
  <c r="CM93" i="31"/>
  <c r="CE93" i="31"/>
  <c r="BW93" i="31"/>
  <c r="BO93" i="31"/>
  <c r="DJ93" i="31"/>
  <c r="DB93" i="31"/>
  <c r="CT93" i="31"/>
  <c r="CL93" i="31"/>
  <c r="CD93" i="31"/>
  <c r="BV93" i="31"/>
  <c r="BN93" i="31"/>
  <c r="DI93" i="31"/>
  <c r="DA93" i="31"/>
  <c r="CS93" i="31"/>
  <c r="CK93" i="31"/>
  <c r="CC93" i="31"/>
  <c r="BU93" i="31"/>
  <c r="BM93" i="31"/>
  <c r="DH93" i="31"/>
  <c r="CR93" i="31"/>
  <c r="CB93" i="31"/>
  <c r="BL93" i="31"/>
  <c r="DG93" i="31"/>
  <c r="CQ93" i="31"/>
  <c r="CA93" i="31"/>
  <c r="BK93" i="31"/>
  <c r="DF93" i="31"/>
  <c r="CP93" i="31"/>
  <c r="BZ93" i="31"/>
  <c r="DD93" i="31"/>
  <c r="CN93" i="31"/>
  <c r="BX93" i="31"/>
  <c r="CZ93" i="31"/>
  <c r="CJ93" i="31"/>
  <c r="BT93" i="31"/>
  <c r="CY93" i="31"/>
  <c r="CI93" i="31"/>
  <c r="BS93" i="31"/>
  <c r="CX93" i="31"/>
  <c r="CH93" i="31"/>
  <c r="BR93" i="31"/>
  <c r="CV93" i="31"/>
  <c r="CF93" i="31"/>
  <c r="BP93" i="31"/>
  <c r="DD13" i="31"/>
  <c r="CV13" i="31"/>
  <c r="CN13" i="31"/>
  <c r="CF13" i="31"/>
  <c r="BX13" i="31"/>
  <c r="BP13" i="31"/>
  <c r="DC13" i="31"/>
  <c r="CU13" i="31"/>
  <c r="CM13" i="31"/>
  <c r="CE13" i="31"/>
  <c r="BW13" i="31"/>
  <c r="BO13" i="31"/>
  <c r="DJ13" i="31"/>
  <c r="DB13" i="31"/>
  <c r="CT13" i="31"/>
  <c r="CL13" i="31"/>
  <c r="CD13" i="31"/>
  <c r="BV13" i="31"/>
  <c r="BN13" i="31"/>
  <c r="DI13" i="31"/>
  <c r="DA13" i="31"/>
  <c r="CS13" i="31"/>
  <c r="CK13" i="31"/>
  <c r="CC13" i="31"/>
  <c r="BU13" i="31"/>
  <c r="BM13" i="31"/>
  <c r="DH13" i="31"/>
  <c r="CZ13" i="31"/>
  <c r="CR13" i="31"/>
  <c r="CJ13" i="31"/>
  <c r="CB13" i="31"/>
  <c r="BT13" i="31"/>
  <c r="BL13" i="31"/>
  <c r="DF13" i="31"/>
  <c r="CX13" i="31"/>
  <c r="CP13" i="31"/>
  <c r="CH13" i="31"/>
  <c r="BZ13" i="31"/>
  <c r="BR13" i="31"/>
  <c r="DE13" i="31"/>
  <c r="CW13" i="31"/>
  <c r="CO13" i="31"/>
  <c r="CG13" i="31"/>
  <c r="BY13" i="31"/>
  <c r="BQ13" i="31"/>
  <c r="BS13" i="31"/>
  <c r="CQ13" i="31"/>
  <c r="BK13" i="31"/>
  <c r="CY13" i="31"/>
  <c r="DG13" i="31"/>
  <c r="CI13" i="31"/>
  <c r="CA13" i="31"/>
  <c r="DF14" i="31"/>
  <c r="CX14" i="31"/>
  <c r="CP14" i="31"/>
  <c r="CH14" i="31"/>
  <c r="BZ14" i="31"/>
  <c r="BR14" i="31"/>
  <c r="DE14" i="31"/>
  <c r="CW14" i="31"/>
  <c r="CO14" i="31"/>
  <c r="CG14" i="31"/>
  <c r="BY14" i="31"/>
  <c r="BQ14" i="31"/>
  <c r="DD14" i="31"/>
  <c r="CV14" i="31"/>
  <c r="CN14" i="31"/>
  <c r="CF14" i="31"/>
  <c r="BX14" i="31"/>
  <c r="BP14" i="31"/>
  <c r="DC14" i="31"/>
  <c r="CU14" i="31"/>
  <c r="CM14" i="31"/>
  <c r="CE14" i="31"/>
  <c r="BW14" i="31"/>
  <c r="BO14" i="31"/>
  <c r="DJ14" i="31"/>
  <c r="DB14" i="31"/>
  <c r="CT14" i="31"/>
  <c r="CL14" i="31"/>
  <c r="CD14" i="31"/>
  <c r="BV14" i="31"/>
  <c r="BN14" i="31"/>
  <c r="DH14" i="31"/>
  <c r="CZ14" i="31"/>
  <c r="CR14" i="31"/>
  <c r="CJ14" i="31"/>
  <c r="CB14" i="31"/>
  <c r="BT14" i="31"/>
  <c r="BL14" i="31"/>
  <c r="DG14" i="31"/>
  <c r="CY14" i="31"/>
  <c r="CQ14" i="31"/>
  <c r="CI14" i="31"/>
  <c r="CA14" i="31"/>
  <c r="BS14" i="31"/>
  <c r="BK14" i="31"/>
  <c r="CC14" i="31"/>
  <c r="BU14" i="31"/>
  <c r="BM14" i="31"/>
  <c r="DI14" i="31"/>
  <c r="CS14" i="31"/>
  <c r="CK14" i="31"/>
  <c r="DA14" i="31"/>
  <c r="DH37" i="31"/>
  <c r="CZ37" i="31"/>
  <c r="CR37" i="31"/>
  <c r="CJ37" i="31"/>
  <c r="CB37" i="31"/>
  <c r="BT37" i="31"/>
  <c r="BL37" i="31"/>
  <c r="DG37" i="31"/>
  <c r="CY37" i="31"/>
  <c r="CQ37" i="31"/>
  <c r="CI37" i="31"/>
  <c r="CA37" i="31"/>
  <c r="BS37" i="31"/>
  <c r="BK37" i="31"/>
  <c r="DF37" i="31"/>
  <c r="CX37" i="31"/>
  <c r="CP37" i="31"/>
  <c r="CH37" i="31"/>
  <c r="BZ37" i="31"/>
  <c r="BR37" i="31"/>
  <c r="DE37" i="31"/>
  <c r="CW37" i="31"/>
  <c r="CO37" i="31"/>
  <c r="CG37" i="31"/>
  <c r="BY37" i="31"/>
  <c r="BQ37" i="31"/>
  <c r="DD37" i="31"/>
  <c r="CV37" i="31"/>
  <c r="CN37" i="31"/>
  <c r="CF37" i="31"/>
  <c r="BX37" i="31"/>
  <c r="BP37" i="31"/>
  <c r="DC37" i="31"/>
  <c r="CU37" i="31"/>
  <c r="CM37" i="31"/>
  <c r="CE37" i="31"/>
  <c r="BW37" i="31"/>
  <c r="BO37" i="31"/>
  <c r="DJ37" i="31"/>
  <c r="DB37" i="31"/>
  <c r="CT37" i="31"/>
  <c r="CL37" i="31"/>
  <c r="CD37" i="31"/>
  <c r="BV37" i="31"/>
  <c r="BN37" i="31"/>
  <c r="DI37" i="31"/>
  <c r="DA37" i="31"/>
  <c r="CS37" i="31"/>
  <c r="CK37" i="31"/>
  <c r="CC37" i="31"/>
  <c r="BM37" i="31"/>
  <c r="BU37" i="31"/>
  <c r="DG45" i="31"/>
  <c r="CY45" i="31"/>
  <c r="CQ45" i="31"/>
  <c r="CI45" i="31"/>
  <c r="CA45" i="31"/>
  <c r="BS45" i="31"/>
  <c r="BK45" i="31"/>
  <c r="DF45" i="31"/>
  <c r="CX45" i="31"/>
  <c r="CP45" i="31"/>
  <c r="CH45" i="31"/>
  <c r="BZ45" i="31"/>
  <c r="BR45" i="31"/>
  <c r="DE45" i="31"/>
  <c r="CW45" i="31"/>
  <c r="CO45" i="31"/>
  <c r="CG45" i="31"/>
  <c r="BY45" i="31"/>
  <c r="BQ45" i="31"/>
  <c r="DC45" i="31"/>
  <c r="CU45" i="31"/>
  <c r="CM45" i="31"/>
  <c r="CE45" i="31"/>
  <c r="BW45" i="31"/>
  <c r="BO45" i="31"/>
  <c r="DJ45" i="31"/>
  <c r="DB45" i="31"/>
  <c r="CT45" i="31"/>
  <c r="CL45" i="31"/>
  <c r="CD45" i="31"/>
  <c r="BV45" i="31"/>
  <c r="BN45" i="31"/>
  <c r="DA45" i="31"/>
  <c r="CF45" i="31"/>
  <c r="BL45" i="31"/>
  <c r="CZ45" i="31"/>
  <c r="CC45" i="31"/>
  <c r="CV45" i="31"/>
  <c r="CB45" i="31"/>
  <c r="CS45" i="31"/>
  <c r="BX45" i="31"/>
  <c r="CR45" i="31"/>
  <c r="BU45" i="31"/>
  <c r="DI45" i="31"/>
  <c r="CN45" i="31"/>
  <c r="BT45" i="31"/>
  <c r="DH45" i="31"/>
  <c r="CK45" i="31"/>
  <c r="BP45" i="31"/>
  <c r="CJ45" i="31"/>
  <c r="BM45" i="31"/>
  <c r="DD45" i="31"/>
  <c r="DJ81" i="31"/>
  <c r="DB81" i="31"/>
  <c r="CT81" i="31"/>
  <c r="CL81" i="31"/>
  <c r="CD81" i="31"/>
  <c r="BV81" i="31"/>
  <c r="BN81" i="31"/>
  <c r="DI81" i="31"/>
  <c r="DA81" i="31"/>
  <c r="CS81" i="31"/>
  <c r="CK81" i="31"/>
  <c r="CC81" i="31"/>
  <c r="BU81" i="31"/>
  <c r="BM81" i="31"/>
  <c r="DH81" i="31"/>
  <c r="CZ81" i="31"/>
  <c r="CR81" i="31"/>
  <c r="CJ81" i="31"/>
  <c r="CB81" i="31"/>
  <c r="BT81" i="31"/>
  <c r="BL81" i="31"/>
  <c r="DG81" i="31"/>
  <c r="CY81" i="31"/>
  <c r="CQ81" i="31"/>
  <c r="CI81" i="31"/>
  <c r="CA81" i="31"/>
  <c r="BS81" i="31"/>
  <c r="BK81" i="31"/>
  <c r="DF81" i="31"/>
  <c r="CX81" i="31"/>
  <c r="CP81" i="31"/>
  <c r="CH81" i="31"/>
  <c r="BZ81" i="31"/>
  <c r="BR81" i="31"/>
  <c r="DE81" i="31"/>
  <c r="CW81" i="31"/>
  <c r="CO81" i="31"/>
  <c r="CG81" i="31"/>
  <c r="BY81" i="31"/>
  <c r="BQ81" i="31"/>
  <c r="DD81" i="31"/>
  <c r="CV81" i="31"/>
  <c r="CN81" i="31"/>
  <c r="CF81" i="31"/>
  <c r="BX81" i="31"/>
  <c r="BP81" i="31"/>
  <c r="DC81" i="31"/>
  <c r="CU81" i="31"/>
  <c r="CM81" i="31"/>
  <c r="CE81" i="31"/>
  <c r="BW81" i="31"/>
  <c r="BO81" i="31"/>
  <c r="DI46" i="31"/>
  <c r="DA46" i="31"/>
  <c r="CS46" i="31"/>
  <c r="CK46" i="31"/>
  <c r="CC46" i="31"/>
  <c r="BU46" i="31"/>
  <c r="BM46" i="31"/>
  <c r="DH46" i="31"/>
  <c r="CZ46" i="31"/>
  <c r="CR46" i="31"/>
  <c r="CJ46" i="31"/>
  <c r="CB46" i="31"/>
  <c r="BT46" i="31"/>
  <c r="BL46" i="31"/>
  <c r="DG46" i="31"/>
  <c r="CY46" i="31"/>
  <c r="CQ46" i="31"/>
  <c r="CI46" i="31"/>
  <c r="CA46" i="31"/>
  <c r="BS46" i="31"/>
  <c r="BK46" i="31"/>
  <c r="DE46" i="31"/>
  <c r="CW46" i="31"/>
  <c r="CO46" i="31"/>
  <c r="CG46" i="31"/>
  <c r="BY46" i="31"/>
  <c r="BQ46" i="31"/>
  <c r="DD46" i="31"/>
  <c r="CV46" i="31"/>
  <c r="CN46" i="31"/>
  <c r="CF46" i="31"/>
  <c r="BX46" i="31"/>
  <c r="BP46" i="31"/>
  <c r="CP46" i="31"/>
  <c r="BV46" i="31"/>
  <c r="DJ46" i="31"/>
  <c r="CM46" i="31"/>
  <c r="BR46" i="31"/>
  <c r="DF46" i="31"/>
  <c r="CL46" i="31"/>
  <c r="BO46" i="31"/>
  <c r="DC46" i="31"/>
  <c r="CH46" i="31"/>
  <c r="BN46" i="31"/>
  <c r="DB46" i="31"/>
  <c r="CE46" i="31"/>
  <c r="CX46" i="31"/>
  <c r="CD46" i="31"/>
  <c r="CU46" i="31"/>
  <c r="BZ46" i="31"/>
  <c r="BW46" i="31"/>
  <c r="CT46" i="31"/>
  <c r="DD35" i="31"/>
  <c r="CV35" i="31"/>
  <c r="CN35" i="31"/>
  <c r="CF35" i="31"/>
  <c r="BX35" i="31"/>
  <c r="BP35" i="31"/>
  <c r="DC35" i="31"/>
  <c r="CU35" i="31"/>
  <c r="CM35" i="31"/>
  <c r="CE35" i="31"/>
  <c r="BW35" i="31"/>
  <c r="BO35" i="31"/>
  <c r="DJ35" i="31"/>
  <c r="DB35" i="31"/>
  <c r="CT35" i="31"/>
  <c r="CL35" i="31"/>
  <c r="CD35" i="31"/>
  <c r="BV35" i="31"/>
  <c r="BN35" i="31"/>
  <c r="DI35" i="31"/>
  <c r="DA35" i="31"/>
  <c r="CS35" i="31"/>
  <c r="CK35" i="31"/>
  <c r="CC35" i="31"/>
  <c r="BU35" i="31"/>
  <c r="BM35" i="31"/>
  <c r="DH35" i="31"/>
  <c r="CZ35" i="31"/>
  <c r="CR35" i="31"/>
  <c r="CJ35" i="31"/>
  <c r="CB35" i="31"/>
  <c r="BT35" i="31"/>
  <c r="BL35" i="31"/>
  <c r="DG35" i="31"/>
  <c r="CY35" i="31"/>
  <c r="CQ35" i="31"/>
  <c r="CI35" i="31"/>
  <c r="CA35" i="31"/>
  <c r="BS35" i="31"/>
  <c r="BK35" i="31"/>
  <c r="DF35" i="31"/>
  <c r="CX35" i="31"/>
  <c r="CP35" i="31"/>
  <c r="CH35" i="31"/>
  <c r="BZ35" i="31"/>
  <c r="BR35" i="31"/>
  <c r="CO35" i="31"/>
  <c r="CG35" i="31"/>
  <c r="BY35" i="31"/>
  <c r="BQ35" i="31"/>
  <c r="DE35" i="31"/>
  <c r="CW35" i="31"/>
  <c r="DI69" i="31"/>
  <c r="DA69" i="31"/>
  <c r="CS69" i="31"/>
  <c r="CK69" i="31"/>
  <c r="CC69" i="31"/>
  <c r="BU69" i="31"/>
  <c r="BM69" i="31"/>
  <c r="DH69" i="31"/>
  <c r="CZ69" i="31"/>
  <c r="CR69" i="31"/>
  <c r="CJ69" i="31"/>
  <c r="CB69" i="31"/>
  <c r="BT69" i="31"/>
  <c r="BL69" i="31"/>
  <c r="DG69" i="31"/>
  <c r="CY69" i="31"/>
  <c r="CQ69" i="31"/>
  <c r="CI69" i="31"/>
  <c r="CA69" i="31"/>
  <c r="BS69" i="31"/>
  <c r="BK69" i="31"/>
  <c r="DF69" i="31"/>
  <c r="CX69" i="31"/>
  <c r="CP69" i="31"/>
  <c r="CH69" i="31"/>
  <c r="BZ69" i="31"/>
  <c r="BR69" i="31"/>
  <c r="DE69" i="31"/>
  <c r="CW69" i="31"/>
  <c r="CO69" i="31"/>
  <c r="CG69" i="31"/>
  <c r="BY69" i="31"/>
  <c r="BQ69" i="31"/>
  <c r="DD69" i="31"/>
  <c r="CV69" i="31"/>
  <c r="CN69" i="31"/>
  <c r="CF69" i="31"/>
  <c r="BX69" i="31"/>
  <c r="BP69" i="31"/>
  <c r="DC69" i="31"/>
  <c r="CU69" i="31"/>
  <c r="CM69" i="31"/>
  <c r="CE69" i="31"/>
  <c r="BW69" i="31"/>
  <c r="BO69" i="31"/>
  <c r="DJ69" i="31"/>
  <c r="DB69" i="31"/>
  <c r="CT69" i="31"/>
  <c r="CL69" i="31"/>
  <c r="CD69" i="31"/>
  <c r="BN69" i="31"/>
  <c r="BV69" i="31"/>
  <c r="DG64" i="31"/>
  <c r="CY64" i="31"/>
  <c r="CQ64" i="31"/>
  <c r="CI64" i="31"/>
  <c r="CA64" i="31"/>
  <c r="BS64" i="31"/>
  <c r="DF64" i="31"/>
  <c r="CX64" i="31"/>
  <c r="CP64" i="31"/>
  <c r="CH64" i="31"/>
  <c r="BZ64" i="31"/>
  <c r="BR64" i="31"/>
  <c r="DE64" i="31"/>
  <c r="CW64" i="31"/>
  <c r="CO64" i="31"/>
  <c r="CG64" i="31"/>
  <c r="BY64" i="31"/>
  <c r="BQ64" i="31"/>
  <c r="DI64" i="31"/>
  <c r="DA64" i="31"/>
  <c r="CS64" i="31"/>
  <c r="DH64" i="31"/>
  <c r="CR64" i="31"/>
  <c r="CD64" i="31"/>
  <c r="BP64" i="31"/>
  <c r="DD64" i="31"/>
  <c r="CN64" i="31"/>
  <c r="CC64" i="31"/>
  <c r="BO64" i="31"/>
  <c r="DC64" i="31"/>
  <c r="CM64" i="31"/>
  <c r="CB64" i="31"/>
  <c r="BN64" i="31"/>
  <c r="DB64" i="31"/>
  <c r="CL64" i="31"/>
  <c r="BX64" i="31"/>
  <c r="BM64" i="31"/>
  <c r="CZ64" i="31"/>
  <c r="CK64" i="31"/>
  <c r="BW64" i="31"/>
  <c r="BL64" i="31"/>
  <c r="CU64" i="31"/>
  <c r="CF64" i="31"/>
  <c r="BU64" i="31"/>
  <c r="DJ64" i="31"/>
  <c r="CT64" i="31"/>
  <c r="CE64" i="31"/>
  <c r="BT64" i="31"/>
  <c r="CJ64" i="31"/>
  <c r="BV64" i="31"/>
  <c r="CV64" i="31"/>
  <c r="BK64" i="31"/>
  <c r="DC47" i="31"/>
  <c r="CU47" i="31"/>
  <c r="CM47" i="31"/>
  <c r="CE47" i="31"/>
  <c r="BW47" i="31"/>
  <c r="BO47" i="31"/>
  <c r="DJ47" i="31"/>
  <c r="DB47" i="31"/>
  <c r="CT47" i="31"/>
  <c r="CL47" i="31"/>
  <c r="CD47" i="31"/>
  <c r="BV47" i="31"/>
  <c r="BN47" i="31"/>
  <c r="DI47" i="31"/>
  <c r="DA47" i="31"/>
  <c r="CS47" i="31"/>
  <c r="CK47" i="31"/>
  <c r="CC47" i="31"/>
  <c r="BU47" i="31"/>
  <c r="BM47" i="31"/>
  <c r="DG47" i="31"/>
  <c r="CY47" i="31"/>
  <c r="CQ47" i="31"/>
  <c r="CI47" i="31"/>
  <c r="CA47" i="31"/>
  <c r="BS47" i="31"/>
  <c r="BK47" i="31"/>
  <c r="DF47" i="31"/>
  <c r="CX47" i="31"/>
  <c r="CP47" i="31"/>
  <c r="CH47" i="31"/>
  <c r="BZ47" i="31"/>
  <c r="BR47" i="31"/>
  <c r="CZ47" i="31"/>
  <c r="CF47" i="31"/>
  <c r="CW47" i="31"/>
  <c r="CB47" i="31"/>
  <c r="CV47" i="31"/>
  <c r="BY47" i="31"/>
  <c r="CR47" i="31"/>
  <c r="BX47" i="31"/>
  <c r="CO47" i="31"/>
  <c r="BT47" i="31"/>
  <c r="DH47" i="31"/>
  <c r="CN47" i="31"/>
  <c r="BQ47" i="31"/>
  <c r="DE47" i="31"/>
  <c r="CJ47" i="31"/>
  <c r="BP47" i="31"/>
  <c r="DD47" i="31"/>
  <c r="CG47" i="31"/>
  <c r="BL47" i="31"/>
  <c r="DE71" i="31"/>
  <c r="CW71" i="31"/>
  <c r="CO71" i="31"/>
  <c r="CG71" i="31"/>
  <c r="BY71" i="31"/>
  <c r="BQ71" i="31"/>
  <c r="DD71" i="31"/>
  <c r="CV71" i="31"/>
  <c r="CN71" i="31"/>
  <c r="CF71" i="31"/>
  <c r="BX71" i="31"/>
  <c r="BP71" i="31"/>
  <c r="DC71" i="31"/>
  <c r="CU71" i="31"/>
  <c r="CM71" i="31"/>
  <c r="CE71" i="31"/>
  <c r="BW71" i="31"/>
  <c r="BO71" i="31"/>
  <c r="DJ71" i="31"/>
  <c r="DB71" i="31"/>
  <c r="CT71" i="31"/>
  <c r="CL71" i="31"/>
  <c r="CD71" i="31"/>
  <c r="BV71" i="31"/>
  <c r="BN71" i="31"/>
  <c r="DI71" i="31"/>
  <c r="DA71" i="31"/>
  <c r="CS71" i="31"/>
  <c r="CK71" i="31"/>
  <c r="CC71" i="31"/>
  <c r="BU71" i="31"/>
  <c r="BM71" i="31"/>
  <c r="DH71" i="31"/>
  <c r="CZ71" i="31"/>
  <c r="CR71" i="31"/>
  <c r="CJ71" i="31"/>
  <c r="CB71" i="31"/>
  <c r="BT71" i="31"/>
  <c r="BL71" i="31"/>
  <c r="DG71" i="31"/>
  <c r="CY71" i="31"/>
  <c r="CQ71" i="31"/>
  <c r="CI71" i="31"/>
  <c r="CA71" i="31"/>
  <c r="BS71" i="31"/>
  <c r="BK71" i="31"/>
  <c r="BR71" i="31"/>
  <c r="DF71" i="31"/>
  <c r="CX71" i="31"/>
  <c r="CH71" i="31"/>
  <c r="BZ71" i="31"/>
  <c r="CP71" i="31"/>
  <c r="DD9" i="31"/>
  <c r="CV9" i="31"/>
  <c r="CN9" i="31"/>
  <c r="CF9" i="31"/>
  <c r="BX9" i="31"/>
  <c r="BP9" i="31"/>
  <c r="DC9" i="31"/>
  <c r="CU9" i="31"/>
  <c r="CM9" i="31"/>
  <c r="CE9" i="31"/>
  <c r="BW9" i="31"/>
  <c r="BO9" i="31"/>
  <c r="DJ9" i="31"/>
  <c r="DB9" i="31"/>
  <c r="CT9" i="31"/>
  <c r="CL9" i="31"/>
  <c r="CD9" i="31"/>
  <c r="BV9" i="31"/>
  <c r="BN9" i="31"/>
  <c r="DI9" i="31"/>
  <c r="DA9" i="31"/>
  <c r="CS9" i="31"/>
  <c r="CK9" i="31"/>
  <c r="CC9" i="31"/>
  <c r="BU9" i="31"/>
  <c r="BM9" i="31"/>
  <c r="DH9" i="31"/>
  <c r="CZ9" i="31"/>
  <c r="CR9" i="31"/>
  <c r="CJ9" i="31"/>
  <c r="CB9" i="31"/>
  <c r="DF9" i="31"/>
  <c r="CX9" i="31"/>
  <c r="CP9" i="31"/>
  <c r="CH9" i="31"/>
  <c r="BZ9" i="31"/>
  <c r="BR9" i="31"/>
  <c r="DE9" i="31"/>
  <c r="CW9" i="31"/>
  <c r="CO9" i="31"/>
  <c r="CG9" i="31"/>
  <c r="BY9" i="31"/>
  <c r="BQ9" i="31"/>
  <c r="CQ9" i="31"/>
  <c r="CI9" i="31"/>
  <c r="CA9" i="31"/>
  <c r="BT9" i="31"/>
  <c r="DG9" i="31"/>
  <c r="BK9" i="31"/>
  <c r="CY9" i="31"/>
  <c r="BS9" i="31"/>
  <c r="BL9" i="31"/>
  <c r="DF10" i="31"/>
  <c r="CX10" i="31"/>
  <c r="CP10" i="31"/>
  <c r="CH10" i="31"/>
  <c r="BZ10" i="31"/>
  <c r="BR10" i="31"/>
  <c r="DE10" i="31"/>
  <c r="CW10" i="31"/>
  <c r="CO10" i="31"/>
  <c r="CG10" i="31"/>
  <c r="BY10" i="31"/>
  <c r="BQ10" i="31"/>
  <c r="DD10" i="31"/>
  <c r="CV10" i="31"/>
  <c r="CN10" i="31"/>
  <c r="CF10" i="31"/>
  <c r="BX10" i="31"/>
  <c r="BP10" i="31"/>
  <c r="DC10" i="31"/>
  <c r="CU10" i="31"/>
  <c r="CM10" i="31"/>
  <c r="CE10" i="31"/>
  <c r="BW10" i="31"/>
  <c r="BO10" i="31"/>
  <c r="DJ10" i="31"/>
  <c r="DB10" i="31"/>
  <c r="CT10" i="31"/>
  <c r="CL10" i="31"/>
  <c r="CD10" i="31"/>
  <c r="BV10" i="31"/>
  <c r="BN10" i="31"/>
  <c r="DH10" i="31"/>
  <c r="CZ10" i="31"/>
  <c r="CR10" i="31"/>
  <c r="CJ10" i="31"/>
  <c r="CB10" i="31"/>
  <c r="BT10" i="31"/>
  <c r="BL10" i="31"/>
  <c r="DG10" i="31"/>
  <c r="CY10" i="31"/>
  <c r="CQ10" i="31"/>
  <c r="CI10" i="31"/>
  <c r="CA10" i="31"/>
  <c r="BS10" i="31"/>
  <c r="BK10" i="31"/>
  <c r="DA10" i="31"/>
  <c r="BU10" i="31"/>
  <c r="CS10" i="31"/>
  <c r="BM10" i="31"/>
  <c r="CK10" i="31"/>
  <c r="CC10" i="31"/>
  <c r="DI10" i="31"/>
  <c r="DF75" i="31"/>
  <c r="CX75" i="31"/>
  <c r="CP75" i="31"/>
  <c r="CH75" i="31"/>
  <c r="BZ75" i="31"/>
  <c r="BR75" i="31"/>
  <c r="DE75" i="31"/>
  <c r="DD75" i="31"/>
  <c r="CV75" i="31"/>
  <c r="CN75" i="31"/>
  <c r="CF75" i="31"/>
  <c r="BX75" i="31"/>
  <c r="BP75" i="31"/>
  <c r="DC75" i="31"/>
  <c r="DH75" i="31"/>
  <c r="CZ75" i="31"/>
  <c r="CR75" i="31"/>
  <c r="DG75" i="31"/>
  <c r="CQ75" i="31"/>
  <c r="CE75" i="31"/>
  <c r="BU75" i="31"/>
  <c r="BK75" i="31"/>
  <c r="DB75" i="31"/>
  <c r="CO75" i="31"/>
  <c r="CD75" i="31"/>
  <c r="BT75" i="31"/>
  <c r="DA75" i="31"/>
  <c r="CM75" i="31"/>
  <c r="CC75" i="31"/>
  <c r="BS75" i="31"/>
  <c r="CY75" i="31"/>
  <c r="CL75" i="31"/>
  <c r="CB75" i="31"/>
  <c r="BQ75" i="31"/>
  <c r="CW75" i="31"/>
  <c r="CK75" i="31"/>
  <c r="CA75" i="31"/>
  <c r="BO75" i="31"/>
  <c r="CU75" i="31"/>
  <c r="CJ75" i="31"/>
  <c r="BY75" i="31"/>
  <c r="BN75" i="31"/>
  <c r="DJ75" i="31"/>
  <c r="CT75" i="31"/>
  <c r="CI75" i="31"/>
  <c r="BW75" i="31"/>
  <c r="BM75" i="31"/>
  <c r="DI75" i="31"/>
  <c r="CS75" i="31"/>
  <c r="BV75" i="31"/>
  <c r="BL75" i="31"/>
  <c r="CG75" i="31"/>
  <c r="DF83" i="31"/>
  <c r="CX83" i="31"/>
  <c r="CP83" i="31"/>
  <c r="CH83" i="31"/>
  <c r="BZ83" i="31"/>
  <c r="BR83" i="31"/>
  <c r="DE83" i="31"/>
  <c r="CW83" i="31"/>
  <c r="CO83" i="31"/>
  <c r="CG83" i="31"/>
  <c r="BY83" i="31"/>
  <c r="BQ83" i="31"/>
  <c r="DD83" i="31"/>
  <c r="CV83" i="31"/>
  <c r="CN83" i="31"/>
  <c r="CF83" i="31"/>
  <c r="BX83" i="31"/>
  <c r="BP83" i="31"/>
  <c r="DC83" i="31"/>
  <c r="CU83" i="31"/>
  <c r="CM83" i="31"/>
  <c r="CE83" i="31"/>
  <c r="BW83" i="31"/>
  <c r="BO83" i="31"/>
  <c r="DJ83" i="31"/>
  <c r="DB83" i="31"/>
  <c r="CT83" i="31"/>
  <c r="CL83" i="31"/>
  <c r="CD83" i="31"/>
  <c r="BV83" i="31"/>
  <c r="BN83" i="31"/>
  <c r="DI83" i="31"/>
  <c r="DA83" i="31"/>
  <c r="CS83" i="31"/>
  <c r="CK83" i="31"/>
  <c r="CC83" i="31"/>
  <c r="BU83" i="31"/>
  <c r="BM83" i="31"/>
  <c r="DH83" i="31"/>
  <c r="CZ83" i="31"/>
  <c r="CR83" i="31"/>
  <c r="CJ83" i="31"/>
  <c r="CB83" i="31"/>
  <c r="BT83" i="31"/>
  <c r="BL83" i="31"/>
  <c r="BS83" i="31"/>
  <c r="BK83" i="31"/>
  <c r="DG83" i="31"/>
  <c r="CY83" i="31"/>
  <c r="CQ83" i="31"/>
  <c r="CI83" i="31"/>
  <c r="CA83" i="31"/>
  <c r="DG90" i="31"/>
  <c r="CY90" i="31"/>
  <c r="CQ90" i="31"/>
  <c r="CI90" i="31"/>
  <c r="CA90" i="31"/>
  <c r="BS90" i="31"/>
  <c r="BK90" i="31"/>
  <c r="DF90" i="31"/>
  <c r="CX90" i="31"/>
  <c r="CP90" i="31"/>
  <c r="CH90" i="31"/>
  <c r="BZ90" i="31"/>
  <c r="BR90" i="31"/>
  <c r="DE90" i="31"/>
  <c r="CW90" i="31"/>
  <c r="CO90" i="31"/>
  <c r="CG90" i="31"/>
  <c r="BY90" i="31"/>
  <c r="BQ90" i="31"/>
  <c r="DD90" i="31"/>
  <c r="CV90" i="31"/>
  <c r="CN90" i="31"/>
  <c r="CF90" i="31"/>
  <c r="BX90" i="31"/>
  <c r="BP90" i="31"/>
  <c r="DC90" i="31"/>
  <c r="CU90" i="31"/>
  <c r="CM90" i="31"/>
  <c r="CE90" i="31"/>
  <c r="BW90" i="31"/>
  <c r="BO90" i="31"/>
  <c r="DJ90" i="31"/>
  <c r="DB90" i="31"/>
  <c r="CT90" i="31"/>
  <c r="CL90" i="31"/>
  <c r="CD90" i="31"/>
  <c r="BV90" i="31"/>
  <c r="BN90" i="31"/>
  <c r="DI90" i="31"/>
  <c r="DA90" i="31"/>
  <c r="CS90" i="31"/>
  <c r="CK90" i="31"/>
  <c r="CC90" i="31"/>
  <c r="BU90" i="31"/>
  <c r="BM90" i="31"/>
  <c r="BT90" i="31"/>
  <c r="BL90" i="31"/>
  <c r="DH90" i="31"/>
  <c r="CZ90" i="31"/>
  <c r="CR90" i="31"/>
  <c r="CJ90" i="31"/>
  <c r="CB90" i="31"/>
  <c r="DC56" i="31"/>
  <c r="CU56" i="31"/>
  <c r="CM56" i="31"/>
  <c r="CE56" i="31"/>
  <c r="BW56" i="31"/>
  <c r="BO56" i="31"/>
  <c r="DJ56" i="31"/>
  <c r="DB56" i="31"/>
  <c r="CT56" i="31"/>
  <c r="CL56" i="31"/>
  <c r="CD56" i="31"/>
  <c r="BV56" i="31"/>
  <c r="BN56" i="31"/>
  <c r="DI56" i="31"/>
  <c r="DA56" i="31"/>
  <c r="CS56" i="31"/>
  <c r="CK56" i="31"/>
  <c r="CC56" i="31"/>
  <c r="BU56" i="31"/>
  <c r="BM56" i="31"/>
  <c r="DH56" i="31"/>
  <c r="CZ56" i="31"/>
  <c r="CR56" i="31"/>
  <c r="CJ56" i="31"/>
  <c r="CB56" i="31"/>
  <c r="BT56" i="31"/>
  <c r="BL56" i="31"/>
  <c r="DG56" i="31"/>
  <c r="CY56" i="31"/>
  <c r="CQ56" i="31"/>
  <c r="CI56" i="31"/>
  <c r="CA56" i="31"/>
  <c r="BS56" i="31"/>
  <c r="BK56" i="31"/>
  <c r="DE56" i="31"/>
  <c r="CW56" i="31"/>
  <c r="CO56" i="31"/>
  <c r="CG56" i="31"/>
  <c r="BY56" i="31"/>
  <c r="BQ56" i="31"/>
  <c r="DD56" i="31"/>
  <c r="CV56" i="31"/>
  <c r="CN56" i="31"/>
  <c r="CF56" i="31"/>
  <c r="BX56" i="31"/>
  <c r="BP56" i="31"/>
  <c r="CP56" i="31"/>
  <c r="CH56" i="31"/>
  <c r="BZ56" i="31"/>
  <c r="DF56" i="31"/>
  <c r="CX56" i="31"/>
  <c r="BR56" i="31"/>
  <c r="DI99" i="31"/>
  <c r="DA99" i="31"/>
  <c r="CS99" i="31"/>
  <c r="CK99" i="31"/>
  <c r="CC99" i="31"/>
  <c r="BU99" i="31"/>
  <c r="BM99" i="31"/>
  <c r="DG99" i="31"/>
  <c r="CY99" i="31"/>
  <c r="CQ99" i="31"/>
  <c r="CI99" i="31"/>
  <c r="CA99" i="31"/>
  <c r="BS99" i="31"/>
  <c r="BK99" i="31"/>
  <c r="DF99" i="31"/>
  <c r="CX99" i="31"/>
  <c r="CP99" i="31"/>
  <c r="CH99" i="31"/>
  <c r="BZ99" i="31"/>
  <c r="BR99" i="31"/>
  <c r="DE99" i="31"/>
  <c r="CW99" i="31"/>
  <c r="CO99" i="31"/>
  <c r="CG99" i="31"/>
  <c r="BY99" i="31"/>
  <c r="BQ99" i="31"/>
  <c r="DD99" i="31"/>
  <c r="CV99" i="31"/>
  <c r="CN99" i="31"/>
  <c r="CF99" i="31"/>
  <c r="BX99" i="31"/>
  <c r="BP99" i="31"/>
  <c r="DC99" i="31"/>
  <c r="CJ99" i="31"/>
  <c r="BN99" i="31"/>
  <c r="DB99" i="31"/>
  <c r="CE99" i="31"/>
  <c r="BL99" i="31"/>
  <c r="CZ99" i="31"/>
  <c r="CD99" i="31"/>
  <c r="CU99" i="31"/>
  <c r="CB99" i="31"/>
  <c r="CT99" i="31"/>
  <c r="BW99" i="31"/>
  <c r="CR99" i="31"/>
  <c r="BV99" i="31"/>
  <c r="DJ99" i="31"/>
  <c r="CM99" i="31"/>
  <c r="BT99" i="31"/>
  <c r="DH99" i="31"/>
  <c r="CL99" i="31"/>
  <c r="BO99" i="31"/>
  <c r="DC43" i="31"/>
  <c r="CU43" i="31"/>
  <c r="CM43" i="31"/>
  <c r="CE43" i="31"/>
  <c r="BW43" i="31"/>
  <c r="BO43" i="31"/>
  <c r="DJ43" i="31"/>
  <c r="DB43" i="31"/>
  <c r="CT43" i="31"/>
  <c r="CL43" i="31"/>
  <c r="CD43" i="31"/>
  <c r="BV43" i="31"/>
  <c r="BN43" i="31"/>
  <c r="DG43" i="31"/>
  <c r="CY43" i="31"/>
  <c r="CQ43" i="31"/>
  <c r="CI43" i="31"/>
  <c r="CA43" i="31"/>
  <c r="BS43" i="31"/>
  <c r="BK43" i="31"/>
  <c r="DF43" i="31"/>
  <c r="CX43" i="31"/>
  <c r="CP43" i="31"/>
  <c r="CH43" i="31"/>
  <c r="BZ43" i="31"/>
  <c r="BR43" i="31"/>
  <c r="DI43" i="31"/>
  <c r="CS43" i="31"/>
  <c r="CC43" i="31"/>
  <c r="BM43" i="31"/>
  <c r="DH43" i="31"/>
  <c r="CR43" i="31"/>
  <c r="CB43" i="31"/>
  <c r="BL43" i="31"/>
  <c r="DE43" i="31"/>
  <c r="CO43" i="31"/>
  <c r="BY43" i="31"/>
  <c r="DD43" i="31"/>
  <c r="CN43" i="31"/>
  <c r="BX43" i="31"/>
  <c r="DA43" i="31"/>
  <c r="CK43" i="31"/>
  <c r="BU43" i="31"/>
  <c r="CZ43" i="31"/>
  <c r="CJ43" i="31"/>
  <c r="BT43" i="31"/>
  <c r="CW43" i="31"/>
  <c r="CG43" i="31"/>
  <c r="BQ43" i="31"/>
  <c r="CF43" i="31"/>
  <c r="BP43" i="31"/>
  <c r="CV43" i="31"/>
  <c r="DJ77" i="31"/>
  <c r="DB77" i="31"/>
  <c r="CT77" i="31"/>
  <c r="CL77" i="31"/>
  <c r="CD77" i="31"/>
  <c r="BV77" i="31"/>
  <c r="BN77" i="31"/>
  <c r="DI77" i="31"/>
  <c r="DA77" i="31"/>
  <c r="CS77" i="31"/>
  <c r="CK77" i="31"/>
  <c r="CC77" i="31"/>
  <c r="BU77" i="31"/>
  <c r="BM77" i="31"/>
  <c r="DH77" i="31"/>
  <c r="CZ77" i="31"/>
  <c r="CR77" i="31"/>
  <c r="CJ77" i="31"/>
  <c r="CB77" i="31"/>
  <c r="BT77" i="31"/>
  <c r="BL77" i="31"/>
  <c r="DG77" i="31"/>
  <c r="CY77" i="31"/>
  <c r="CQ77" i="31"/>
  <c r="CI77" i="31"/>
  <c r="CA77" i="31"/>
  <c r="BS77" i="31"/>
  <c r="BK77" i="31"/>
  <c r="DF77" i="31"/>
  <c r="CX77" i="31"/>
  <c r="CP77" i="31"/>
  <c r="CH77" i="31"/>
  <c r="DE77" i="31"/>
  <c r="DD77" i="31"/>
  <c r="CV77" i="31"/>
  <c r="CN77" i="31"/>
  <c r="CF77" i="31"/>
  <c r="BX77" i="31"/>
  <c r="BP77" i="31"/>
  <c r="CM77" i="31"/>
  <c r="BO77" i="31"/>
  <c r="CG77" i="31"/>
  <c r="CE77" i="31"/>
  <c r="BZ77" i="31"/>
  <c r="DC77" i="31"/>
  <c r="BY77" i="31"/>
  <c r="CW77" i="31"/>
  <c r="BW77" i="31"/>
  <c r="CU77" i="31"/>
  <c r="BR77" i="31"/>
  <c r="BQ77" i="31"/>
  <c r="CO77" i="31"/>
  <c r="DJ12" i="31"/>
  <c r="DB12" i="31"/>
  <c r="CT12" i="31"/>
  <c r="CL12" i="31"/>
  <c r="CD12" i="31"/>
  <c r="BV12" i="31"/>
  <c r="BN12" i="31"/>
  <c r="DI12" i="31"/>
  <c r="DA12" i="31"/>
  <c r="CS12" i="31"/>
  <c r="CK12" i="31"/>
  <c r="CC12" i="31"/>
  <c r="BU12" i="31"/>
  <c r="BM12" i="31"/>
  <c r="DH12" i="31"/>
  <c r="CZ12" i="31"/>
  <c r="CR12" i="31"/>
  <c r="CJ12" i="31"/>
  <c r="CB12" i="31"/>
  <c r="BT12" i="31"/>
  <c r="BL12" i="31"/>
  <c r="DG12" i="31"/>
  <c r="CY12" i="31"/>
  <c r="CQ12" i="31"/>
  <c r="CI12" i="31"/>
  <c r="CA12" i="31"/>
  <c r="BS12" i="31"/>
  <c r="BK12" i="31"/>
  <c r="DF12" i="31"/>
  <c r="CX12" i="31"/>
  <c r="CP12" i="31"/>
  <c r="CH12" i="31"/>
  <c r="BZ12" i="31"/>
  <c r="BR12" i="31"/>
  <c r="DD12" i="31"/>
  <c r="CV12" i="31"/>
  <c r="CN12" i="31"/>
  <c r="CF12" i="31"/>
  <c r="BX12" i="31"/>
  <c r="BP12" i="31"/>
  <c r="DC12" i="31"/>
  <c r="CU12" i="31"/>
  <c r="CM12" i="31"/>
  <c r="CE12" i="31"/>
  <c r="BW12" i="31"/>
  <c r="BO12" i="31"/>
  <c r="DE12" i="31"/>
  <c r="CG12" i="31"/>
  <c r="CW12" i="31"/>
  <c r="BY12" i="31"/>
  <c r="BQ12" i="31"/>
  <c r="CO12" i="31"/>
  <c r="DD74" i="31"/>
  <c r="CV74" i="31"/>
  <c r="CN74" i="31"/>
  <c r="CF74" i="31"/>
  <c r="DJ74" i="31"/>
  <c r="DB74" i="31"/>
  <c r="CT74" i="31"/>
  <c r="CL74" i="31"/>
  <c r="CD74" i="31"/>
  <c r="DA74" i="31"/>
  <c r="CQ74" i="31"/>
  <c r="CG74" i="31"/>
  <c r="BW74" i="31"/>
  <c r="BO74" i="31"/>
  <c r="CZ74" i="31"/>
  <c r="CP74" i="31"/>
  <c r="CE74" i="31"/>
  <c r="BV74" i="31"/>
  <c r="BN74" i="31"/>
  <c r="DI74" i="31"/>
  <c r="CY74" i="31"/>
  <c r="CO74" i="31"/>
  <c r="CC74" i="31"/>
  <c r="BU74" i="31"/>
  <c r="BM74" i="31"/>
  <c r="DH74" i="31"/>
  <c r="CX74" i="31"/>
  <c r="CM74" i="31"/>
  <c r="CB74" i="31"/>
  <c r="BT74" i="31"/>
  <c r="BL74" i="31"/>
  <c r="DG74" i="31"/>
  <c r="CW74" i="31"/>
  <c r="CK74" i="31"/>
  <c r="CA74" i="31"/>
  <c r="BS74" i="31"/>
  <c r="BK74" i="31"/>
  <c r="DF74" i="31"/>
  <c r="CU74" i="31"/>
  <c r="CJ74" i="31"/>
  <c r="BZ74" i="31"/>
  <c r="BR74" i="31"/>
  <c r="DE74" i="31"/>
  <c r="CS74" i="31"/>
  <c r="CI74" i="31"/>
  <c r="BY74" i="31"/>
  <c r="BQ74" i="31"/>
  <c r="DC74" i="31"/>
  <c r="CR74" i="31"/>
  <c r="CH74" i="31"/>
  <c r="BX74" i="31"/>
  <c r="BP74" i="31"/>
  <c r="DF40" i="31"/>
  <c r="CX40" i="31"/>
  <c r="CP40" i="31"/>
  <c r="CH40" i="31"/>
  <c r="BZ40" i="31"/>
  <c r="BR40" i="31"/>
  <c r="DE40" i="31"/>
  <c r="CW40" i="31"/>
  <c r="CO40" i="31"/>
  <c r="CG40" i="31"/>
  <c r="BY40" i="31"/>
  <c r="BQ40" i="31"/>
  <c r="DD40" i="31"/>
  <c r="CV40" i="31"/>
  <c r="CN40" i="31"/>
  <c r="CF40" i="31"/>
  <c r="BX40" i="31"/>
  <c r="BP40" i="31"/>
  <c r="DC40" i="31"/>
  <c r="CU40" i="31"/>
  <c r="CM40" i="31"/>
  <c r="CE40" i="31"/>
  <c r="BW40" i="31"/>
  <c r="BO40" i="31"/>
  <c r="DJ40" i="31"/>
  <c r="DB40" i="31"/>
  <c r="CT40" i="31"/>
  <c r="CL40" i="31"/>
  <c r="CD40" i="31"/>
  <c r="BV40" i="31"/>
  <c r="BN40" i="31"/>
  <c r="DI40" i="31"/>
  <c r="DA40" i="31"/>
  <c r="CS40" i="31"/>
  <c r="CK40" i="31"/>
  <c r="CC40" i="31"/>
  <c r="BU40" i="31"/>
  <c r="BM40" i="31"/>
  <c r="DH40" i="31"/>
  <c r="CZ40" i="31"/>
  <c r="CR40" i="31"/>
  <c r="CJ40" i="31"/>
  <c r="CB40" i="31"/>
  <c r="BT40" i="31"/>
  <c r="BL40" i="31"/>
  <c r="CA40" i="31"/>
  <c r="BS40" i="31"/>
  <c r="BK40" i="31"/>
  <c r="DG40" i="31"/>
  <c r="CQ40" i="31"/>
  <c r="CI40" i="31"/>
  <c r="CY40" i="31"/>
  <c r="DH19" i="31"/>
  <c r="CZ19" i="31"/>
  <c r="CR19" i="31"/>
  <c r="CJ19" i="31"/>
  <c r="CB19" i="31"/>
  <c r="BT19" i="31"/>
  <c r="BL19" i="31"/>
  <c r="DG19" i="31"/>
  <c r="CY19" i="31"/>
  <c r="CQ19" i="31"/>
  <c r="CI19" i="31"/>
  <c r="CA19" i="31"/>
  <c r="BS19" i="31"/>
  <c r="BK19" i="31"/>
  <c r="DF19" i="31"/>
  <c r="CX19" i="31"/>
  <c r="CP19" i="31"/>
  <c r="CH19" i="31"/>
  <c r="BZ19" i="31"/>
  <c r="BR19" i="31"/>
  <c r="DE19" i="31"/>
  <c r="CW19" i="31"/>
  <c r="CO19" i="31"/>
  <c r="CG19" i="31"/>
  <c r="BY19" i="31"/>
  <c r="BQ19" i="31"/>
  <c r="DD19" i="31"/>
  <c r="CV19" i="31"/>
  <c r="CN19" i="31"/>
  <c r="CF19" i="31"/>
  <c r="BX19" i="31"/>
  <c r="BP19" i="31"/>
  <c r="DJ19" i="31"/>
  <c r="DB19" i="31"/>
  <c r="CT19" i="31"/>
  <c r="CL19" i="31"/>
  <c r="CD19" i="31"/>
  <c r="BV19" i="31"/>
  <c r="BN19" i="31"/>
  <c r="DI19" i="31"/>
  <c r="DA19" i="31"/>
  <c r="CS19" i="31"/>
  <c r="CK19" i="31"/>
  <c r="CC19" i="31"/>
  <c r="BU19" i="31"/>
  <c r="BM19" i="31"/>
  <c r="BO19" i="31"/>
  <c r="CM19" i="31"/>
  <c r="CU19" i="31"/>
  <c r="DC19" i="31"/>
  <c r="CE19" i="31"/>
  <c r="BW19" i="31"/>
  <c r="DF28" i="31"/>
  <c r="CX28" i="31"/>
  <c r="CP28" i="31"/>
  <c r="DD28" i="31"/>
  <c r="CV28" i="31"/>
  <c r="DG28" i="31"/>
  <c r="CU28" i="31"/>
  <c r="CL28" i="31"/>
  <c r="CD28" i="31"/>
  <c r="BV28" i="31"/>
  <c r="BN28" i="31"/>
  <c r="DE28" i="31"/>
  <c r="CT28" i="31"/>
  <c r="CK28" i="31"/>
  <c r="CC28" i="31"/>
  <c r="BU28" i="31"/>
  <c r="BM28" i="31"/>
  <c r="DC28" i="31"/>
  <c r="CS28" i="31"/>
  <c r="CJ28" i="31"/>
  <c r="CB28" i="31"/>
  <c r="BT28" i="31"/>
  <c r="BL28" i="31"/>
  <c r="DB28" i="31"/>
  <c r="CR28" i="31"/>
  <c r="CI28" i="31"/>
  <c r="CA28" i="31"/>
  <c r="BS28" i="31"/>
  <c r="BK28" i="31"/>
  <c r="DA28" i="31"/>
  <c r="CQ28" i="31"/>
  <c r="CH28" i="31"/>
  <c r="BZ28" i="31"/>
  <c r="BR28" i="31"/>
  <c r="DI28" i="31"/>
  <c r="CY28" i="31"/>
  <c r="CN28" i="31"/>
  <c r="CF28" i="31"/>
  <c r="BX28" i="31"/>
  <c r="BP28" i="31"/>
  <c r="DH28" i="31"/>
  <c r="CW28" i="31"/>
  <c r="CM28" i="31"/>
  <c r="CE28" i="31"/>
  <c r="BW28" i="31"/>
  <c r="BO28" i="31"/>
  <c r="CO28" i="31"/>
  <c r="CG28" i="31"/>
  <c r="BY28" i="31"/>
  <c r="BQ28" i="31"/>
  <c r="DJ28" i="31"/>
  <c r="CZ28" i="31"/>
  <c r="DF36" i="31"/>
  <c r="CX36" i="31"/>
  <c r="CP36" i="31"/>
  <c r="CH36" i="31"/>
  <c r="BZ36" i="31"/>
  <c r="BR36" i="31"/>
  <c r="DE36" i="31"/>
  <c r="CW36" i="31"/>
  <c r="CO36" i="31"/>
  <c r="CG36" i="31"/>
  <c r="BY36" i="31"/>
  <c r="BQ36" i="31"/>
  <c r="DD36" i="31"/>
  <c r="CV36" i="31"/>
  <c r="CN36" i="31"/>
  <c r="CF36" i="31"/>
  <c r="BX36" i="31"/>
  <c r="BP36" i="31"/>
  <c r="DC36" i="31"/>
  <c r="CU36" i="31"/>
  <c r="CM36" i="31"/>
  <c r="CE36" i="31"/>
  <c r="BW36" i="31"/>
  <c r="BO36" i="31"/>
  <c r="DJ36" i="31"/>
  <c r="DB36" i="31"/>
  <c r="CT36" i="31"/>
  <c r="CL36" i="31"/>
  <c r="CD36" i="31"/>
  <c r="BV36" i="31"/>
  <c r="BN36" i="31"/>
  <c r="DI36" i="31"/>
  <c r="DA36" i="31"/>
  <c r="CS36" i="31"/>
  <c r="CK36" i="31"/>
  <c r="CC36" i="31"/>
  <c r="BU36" i="31"/>
  <c r="BM36" i="31"/>
  <c r="DH36" i="31"/>
  <c r="CZ36" i="31"/>
  <c r="CR36" i="31"/>
  <c r="CJ36" i="31"/>
  <c r="CB36" i="31"/>
  <c r="BT36" i="31"/>
  <c r="BL36" i="31"/>
  <c r="CY36" i="31"/>
  <c r="CQ36" i="31"/>
  <c r="CI36" i="31"/>
  <c r="CA36" i="31"/>
  <c r="BS36" i="31"/>
  <c r="DG36" i="31"/>
  <c r="BK36" i="31"/>
  <c r="DC66" i="31"/>
  <c r="CU66" i="31"/>
  <c r="CM66" i="31"/>
  <c r="CE66" i="31"/>
  <c r="BW66" i="31"/>
  <c r="BO66" i="31"/>
  <c r="DJ66" i="31"/>
  <c r="DB66" i="31"/>
  <c r="CT66" i="31"/>
  <c r="CL66" i="31"/>
  <c r="CD66" i="31"/>
  <c r="BV66" i="31"/>
  <c r="BN66" i="31"/>
  <c r="DI66" i="31"/>
  <c r="DA66" i="31"/>
  <c r="CS66" i="31"/>
  <c r="CK66" i="31"/>
  <c r="CC66" i="31"/>
  <c r="BU66" i="31"/>
  <c r="BM66" i="31"/>
  <c r="DH66" i="31"/>
  <c r="CZ66" i="31"/>
  <c r="CR66" i="31"/>
  <c r="CJ66" i="31"/>
  <c r="CB66" i="31"/>
  <c r="BT66" i="31"/>
  <c r="BL66" i="31"/>
  <c r="DG66" i="31"/>
  <c r="CY66" i="31"/>
  <c r="CQ66" i="31"/>
  <c r="CI66" i="31"/>
  <c r="DF66" i="31"/>
  <c r="CX66" i="31"/>
  <c r="DE66" i="31"/>
  <c r="CW66" i="31"/>
  <c r="CO66" i="31"/>
  <c r="CG66" i="31"/>
  <c r="BY66" i="31"/>
  <c r="BQ66" i="31"/>
  <c r="CN66" i="31"/>
  <c r="BP66" i="31"/>
  <c r="CH66" i="31"/>
  <c r="BK66" i="31"/>
  <c r="CF66" i="31"/>
  <c r="CA66" i="31"/>
  <c r="BZ66" i="31"/>
  <c r="CV66" i="31"/>
  <c r="BS66" i="31"/>
  <c r="CP66" i="31"/>
  <c r="BR66" i="31"/>
  <c r="DD66" i="31"/>
  <c r="BX66" i="31"/>
  <c r="DE52" i="31"/>
  <c r="CW52" i="31"/>
  <c r="CO52" i="31"/>
  <c r="CG52" i="31"/>
  <c r="BY52" i="31"/>
  <c r="BQ52" i="31"/>
  <c r="DD52" i="31"/>
  <c r="CV52" i="31"/>
  <c r="CN52" i="31"/>
  <c r="CF52" i="31"/>
  <c r="BX52" i="31"/>
  <c r="BP52" i="31"/>
  <c r="DC52" i="31"/>
  <c r="CU52" i="31"/>
  <c r="CM52" i="31"/>
  <c r="CE52" i="31"/>
  <c r="BW52" i="31"/>
  <c r="BO52" i="31"/>
  <c r="DI52" i="31"/>
  <c r="DA52" i="31"/>
  <c r="CS52" i="31"/>
  <c r="CK52" i="31"/>
  <c r="CC52" i="31"/>
  <c r="BU52" i="31"/>
  <c r="BM52" i="31"/>
  <c r="DH52" i="31"/>
  <c r="CZ52" i="31"/>
  <c r="CR52" i="31"/>
  <c r="CJ52" i="31"/>
  <c r="CB52" i="31"/>
  <c r="BT52" i="31"/>
  <c r="BL52" i="31"/>
  <c r="DG52" i="31"/>
  <c r="CL52" i="31"/>
  <c r="BR52" i="31"/>
  <c r="DF52" i="31"/>
  <c r="CI52" i="31"/>
  <c r="BN52" i="31"/>
  <c r="DB52" i="31"/>
  <c r="CH52" i="31"/>
  <c r="BK52" i="31"/>
  <c r="CY52" i="31"/>
  <c r="CD52" i="31"/>
  <c r="CX52" i="31"/>
  <c r="CA52" i="31"/>
  <c r="CT52" i="31"/>
  <c r="BZ52" i="31"/>
  <c r="CQ52" i="31"/>
  <c r="BV52" i="31"/>
  <c r="CP52" i="31"/>
  <c r="BS52" i="31"/>
  <c r="DJ52" i="31"/>
  <c r="DE85" i="31"/>
  <c r="CW85" i="31"/>
  <c r="CO85" i="31"/>
  <c r="CG85" i="31"/>
  <c r="BY85" i="31"/>
  <c r="BQ85" i="31"/>
  <c r="DD85" i="31"/>
  <c r="CV85" i="31"/>
  <c r="CN85" i="31"/>
  <c r="CF85" i="31"/>
  <c r="BX85" i="31"/>
  <c r="BP85" i="31"/>
  <c r="DC85" i="31"/>
  <c r="CU85" i="31"/>
  <c r="CM85" i="31"/>
  <c r="CE85" i="31"/>
  <c r="BW85" i="31"/>
  <c r="BO85" i="31"/>
  <c r="DI85" i="31"/>
  <c r="DA85" i="31"/>
  <c r="CS85" i="31"/>
  <c r="CK85" i="31"/>
  <c r="CC85" i="31"/>
  <c r="BU85" i="31"/>
  <c r="BM85" i="31"/>
  <c r="DH85" i="31"/>
  <c r="CZ85" i="31"/>
  <c r="CR85" i="31"/>
  <c r="CJ85" i="31"/>
  <c r="CB85" i="31"/>
  <c r="BT85" i="31"/>
  <c r="BL85" i="31"/>
  <c r="DB85" i="31"/>
  <c r="CH85" i="31"/>
  <c r="BK85" i="31"/>
  <c r="CY85" i="31"/>
  <c r="CD85" i="31"/>
  <c r="CX85" i="31"/>
  <c r="CA85" i="31"/>
  <c r="CT85" i="31"/>
  <c r="BZ85" i="31"/>
  <c r="CQ85" i="31"/>
  <c r="BV85" i="31"/>
  <c r="DJ85" i="31"/>
  <c r="CP85" i="31"/>
  <c r="BS85" i="31"/>
  <c r="DG85" i="31"/>
  <c r="CL85" i="31"/>
  <c r="BR85" i="31"/>
  <c r="DF85" i="31"/>
  <c r="CI85" i="31"/>
  <c r="BN85" i="31"/>
  <c r="DC51" i="31"/>
  <c r="CU51" i="31"/>
  <c r="CM51" i="31"/>
  <c r="CE51" i="31"/>
  <c r="BW51" i="31"/>
  <c r="BO51" i="31"/>
  <c r="DJ51" i="31"/>
  <c r="DB51" i="31"/>
  <c r="CT51" i="31"/>
  <c r="CL51" i="31"/>
  <c r="CD51" i="31"/>
  <c r="BV51" i="31"/>
  <c r="BN51" i="31"/>
  <c r="DI51" i="31"/>
  <c r="DA51" i="31"/>
  <c r="CS51" i="31"/>
  <c r="CK51" i="31"/>
  <c r="CC51" i="31"/>
  <c r="BU51" i="31"/>
  <c r="BM51" i="31"/>
  <c r="DG51" i="31"/>
  <c r="CY51" i="31"/>
  <c r="CQ51" i="31"/>
  <c r="CI51" i="31"/>
  <c r="CA51" i="31"/>
  <c r="BS51" i="31"/>
  <c r="BK51" i="31"/>
  <c r="DF51" i="31"/>
  <c r="CX51" i="31"/>
  <c r="CP51" i="31"/>
  <c r="CH51" i="31"/>
  <c r="BZ51" i="31"/>
  <c r="BR51" i="31"/>
  <c r="CW51" i="31"/>
  <c r="CB51" i="31"/>
  <c r="CV51" i="31"/>
  <c r="BY51" i="31"/>
  <c r="CR51" i="31"/>
  <c r="BX51" i="31"/>
  <c r="CO51" i="31"/>
  <c r="BT51" i="31"/>
  <c r="DH51" i="31"/>
  <c r="CN51" i="31"/>
  <c r="BQ51" i="31"/>
  <c r="DE51" i="31"/>
  <c r="CJ51" i="31"/>
  <c r="BP51" i="31"/>
  <c r="DD51" i="31"/>
  <c r="CG51" i="31"/>
  <c r="BL51" i="31"/>
  <c r="CZ51" i="31"/>
  <c r="CF51" i="31"/>
  <c r="DJ34" i="31"/>
  <c r="DB34" i="31"/>
  <c r="CT34" i="31"/>
  <c r="CL34" i="31"/>
  <c r="CD34" i="31"/>
  <c r="BV34" i="31"/>
  <c r="BN34" i="31"/>
  <c r="DI34" i="31"/>
  <c r="DA34" i="31"/>
  <c r="CS34" i="31"/>
  <c r="CK34" i="31"/>
  <c r="CC34" i="31"/>
  <c r="BU34" i="31"/>
  <c r="BM34" i="31"/>
  <c r="DH34" i="31"/>
  <c r="CZ34" i="31"/>
  <c r="CR34" i="31"/>
  <c r="CJ34" i="31"/>
  <c r="CB34" i="31"/>
  <c r="BT34" i="31"/>
  <c r="BL34" i="31"/>
  <c r="DG34" i="31"/>
  <c r="CY34" i="31"/>
  <c r="CQ34" i="31"/>
  <c r="CI34" i="31"/>
  <c r="CA34" i="31"/>
  <c r="BS34" i="31"/>
  <c r="BK34" i="31"/>
  <c r="DE34" i="31"/>
  <c r="CW34" i="31"/>
  <c r="CO34" i="31"/>
  <c r="CG34" i="31"/>
  <c r="BY34" i="31"/>
  <c r="BQ34" i="31"/>
  <c r="DD34" i="31"/>
  <c r="CV34" i="31"/>
  <c r="CN34" i="31"/>
  <c r="CF34" i="31"/>
  <c r="BX34" i="31"/>
  <c r="BP34" i="31"/>
  <c r="CU34" i="31"/>
  <c r="BO34" i="31"/>
  <c r="CP34" i="31"/>
  <c r="CM34" i="31"/>
  <c r="CH34" i="31"/>
  <c r="CE34" i="31"/>
  <c r="DC34" i="31"/>
  <c r="BW34" i="31"/>
  <c r="CX34" i="31"/>
  <c r="BR34" i="31"/>
  <c r="DF34" i="31"/>
  <c r="BZ34" i="31"/>
  <c r="DD82" i="31"/>
  <c r="CV82" i="31"/>
  <c r="CN82" i="31"/>
  <c r="CF82" i="31"/>
  <c r="BX82" i="31"/>
  <c r="BP82" i="31"/>
  <c r="DC82" i="31"/>
  <c r="CU82" i="31"/>
  <c r="CM82" i="31"/>
  <c r="CE82" i="31"/>
  <c r="BW82" i="31"/>
  <c r="BO82" i="31"/>
  <c r="DJ82" i="31"/>
  <c r="DB82" i="31"/>
  <c r="CT82" i="31"/>
  <c r="CL82" i="31"/>
  <c r="CD82" i="31"/>
  <c r="BV82" i="31"/>
  <c r="BN82" i="31"/>
  <c r="DI82" i="31"/>
  <c r="DA82" i="31"/>
  <c r="CS82" i="31"/>
  <c r="CK82" i="31"/>
  <c r="CC82" i="31"/>
  <c r="BU82" i="31"/>
  <c r="BM82" i="31"/>
  <c r="DH82" i="31"/>
  <c r="CZ82" i="31"/>
  <c r="CR82" i="31"/>
  <c r="CJ82" i="31"/>
  <c r="CB82" i="31"/>
  <c r="BT82" i="31"/>
  <c r="BL82" i="31"/>
  <c r="DG82" i="31"/>
  <c r="CY82" i="31"/>
  <c r="CQ82" i="31"/>
  <c r="CI82" i="31"/>
  <c r="CA82" i="31"/>
  <c r="BS82" i="31"/>
  <c r="BK82" i="31"/>
  <c r="DF82" i="31"/>
  <c r="CX82" i="31"/>
  <c r="CP82" i="31"/>
  <c r="CH82" i="31"/>
  <c r="BZ82" i="31"/>
  <c r="BR82" i="31"/>
  <c r="DE82" i="31"/>
  <c r="CW82" i="31"/>
  <c r="CO82" i="31"/>
  <c r="CG82" i="31"/>
  <c r="BY82" i="31"/>
  <c r="BQ82" i="31"/>
  <c r="DC92" i="31"/>
  <c r="CU92" i="31"/>
  <c r="CM92" i="31"/>
  <c r="DI92" i="31"/>
  <c r="DH92" i="31"/>
  <c r="CZ92" i="31"/>
  <c r="DG92" i="31"/>
  <c r="CY92" i="31"/>
  <c r="CQ92" i="31"/>
  <c r="CI92" i="31"/>
  <c r="DA92" i="31"/>
  <c r="CO92" i="31"/>
  <c r="CE92" i="31"/>
  <c r="BW92" i="31"/>
  <c r="BO92" i="31"/>
  <c r="CX92" i="31"/>
  <c r="CN92" i="31"/>
  <c r="CD92" i="31"/>
  <c r="BV92" i="31"/>
  <c r="BN92" i="31"/>
  <c r="CW92" i="31"/>
  <c r="CL92" i="31"/>
  <c r="CC92" i="31"/>
  <c r="BU92" i="31"/>
  <c r="BM92" i="31"/>
  <c r="DJ92" i="31"/>
  <c r="CV92" i="31"/>
  <c r="CK92" i="31"/>
  <c r="CB92" i="31"/>
  <c r="BT92" i="31"/>
  <c r="BL92" i="31"/>
  <c r="DF92" i="31"/>
  <c r="CT92" i="31"/>
  <c r="CJ92" i="31"/>
  <c r="CA92" i="31"/>
  <c r="BS92" i="31"/>
  <c r="BK92" i="31"/>
  <c r="DE92" i="31"/>
  <c r="CS92" i="31"/>
  <c r="CH92" i="31"/>
  <c r="BZ92" i="31"/>
  <c r="BR92" i="31"/>
  <c r="DD92" i="31"/>
  <c r="CR92" i="31"/>
  <c r="CG92" i="31"/>
  <c r="BY92" i="31"/>
  <c r="BQ92" i="31"/>
  <c r="CP92" i="31"/>
  <c r="CF92" i="31"/>
  <c r="BX92" i="31"/>
  <c r="BP92" i="31"/>
  <c r="DB92" i="31"/>
  <c r="DC100" i="31"/>
  <c r="CU100" i="31"/>
  <c r="CM100" i="31"/>
  <c r="CE100" i="31"/>
  <c r="BW100" i="31"/>
  <c r="BO100" i="31"/>
  <c r="DI100" i="31"/>
  <c r="DA100" i="31"/>
  <c r="CS100" i="31"/>
  <c r="CK100" i="31"/>
  <c r="CC100" i="31"/>
  <c r="BU100" i="31"/>
  <c r="BM100" i="31"/>
  <c r="DH100" i="31"/>
  <c r="CZ100" i="31"/>
  <c r="CR100" i="31"/>
  <c r="CJ100" i="31"/>
  <c r="CB100" i="31"/>
  <c r="BT100" i="31"/>
  <c r="BL100" i="31"/>
  <c r="DG100" i="31"/>
  <c r="CY100" i="31"/>
  <c r="CQ100" i="31"/>
  <c r="CI100" i="31"/>
  <c r="CA100" i="31"/>
  <c r="BS100" i="31"/>
  <c r="BK100" i="31"/>
  <c r="DF100" i="31"/>
  <c r="CX100" i="31"/>
  <c r="CP100" i="31"/>
  <c r="CH100" i="31"/>
  <c r="BZ100" i="31"/>
  <c r="BR100" i="31"/>
  <c r="CT100" i="31"/>
  <c r="BX100" i="31"/>
  <c r="CO100" i="31"/>
  <c r="BV100" i="31"/>
  <c r="DJ100" i="31"/>
  <c r="CN100" i="31"/>
  <c r="BQ100" i="31"/>
  <c r="DE100" i="31"/>
  <c r="CL100" i="31"/>
  <c r="BP100" i="31"/>
  <c r="DD100" i="31"/>
  <c r="CG100" i="31"/>
  <c r="BN100" i="31"/>
  <c r="DB100" i="31"/>
  <c r="CF100" i="31"/>
  <c r="CW100" i="31"/>
  <c r="CD100" i="31"/>
  <c r="CV100" i="31"/>
  <c r="BY100" i="31"/>
  <c r="DE53" i="31"/>
  <c r="CW53" i="31"/>
  <c r="CO53" i="31"/>
  <c r="DD53" i="31"/>
  <c r="DC53" i="31"/>
  <c r="CU53" i="31"/>
  <c r="CM53" i="31"/>
  <c r="CE53" i="31"/>
  <c r="DJ53" i="31"/>
  <c r="DI53" i="31"/>
  <c r="DG53" i="31"/>
  <c r="CY53" i="31"/>
  <c r="CQ53" i="31"/>
  <c r="CI53" i="31"/>
  <c r="CA53" i="31"/>
  <c r="BS53" i="31"/>
  <c r="DA53" i="31"/>
  <c r="CN53" i="31"/>
  <c r="CC53" i="31"/>
  <c r="BT53" i="31"/>
  <c r="BK53" i="31"/>
  <c r="CZ53" i="31"/>
  <c r="CL53" i="31"/>
  <c r="CB53" i="31"/>
  <c r="BR53" i="31"/>
  <c r="CX53" i="31"/>
  <c r="CK53" i="31"/>
  <c r="BZ53" i="31"/>
  <c r="BQ53" i="31"/>
  <c r="CT53" i="31"/>
  <c r="CH53" i="31"/>
  <c r="BX53" i="31"/>
  <c r="BO53" i="31"/>
  <c r="DH53" i="31"/>
  <c r="CS53" i="31"/>
  <c r="CG53" i="31"/>
  <c r="BW53" i="31"/>
  <c r="BN53" i="31"/>
  <c r="CD53" i="31"/>
  <c r="DF53" i="31"/>
  <c r="BY53" i="31"/>
  <c r="DB53" i="31"/>
  <c r="BV53" i="31"/>
  <c r="CV53" i="31"/>
  <c r="BU53" i="31"/>
  <c r="CR53" i="31"/>
  <c r="BP53" i="31"/>
  <c r="CP53" i="31"/>
  <c r="BM53" i="31"/>
  <c r="CJ53" i="31"/>
  <c r="BL53" i="31"/>
  <c r="CF53" i="31"/>
  <c r="DE48" i="31"/>
  <c r="CW48" i="31"/>
  <c r="CO48" i="31"/>
  <c r="CG48" i="31"/>
  <c r="BY48" i="31"/>
  <c r="BQ48" i="31"/>
  <c r="DD48" i="31"/>
  <c r="CV48" i="31"/>
  <c r="CN48" i="31"/>
  <c r="CF48" i="31"/>
  <c r="BX48" i="31"/>
  <c r="BP48" i="31"/>
  <c r="DC48" i="31"/>
  <c r="CU48" i="31"/>
  <c r="CM48" i="31"/>
  <c r="CE48" i="31"/>
  <c r="BW48" i="31"/>
  <c r="BO48" i="31"/>
  <c r="DI48" i="31"/>
  <c r="DA48" i="31"/>
  <c r="CS48" i="31"/>
  <c r="CK48" i="31"/>
  <c r="CC48" i="31"/>
  <c r="BU48" i="31"/>
  <c r="BM48" i="31"/>
  <c r="DH48" i="31"/>
  <c r="CZ48" i="31"/>
  <c r="CR48" i="31"/>
  <c r="CJ48" i="31"/>
  <c r="CB48" i="31"/>
  <c r="BT48" i="31"/>
  <c r="BL48" i="31"/>
  <c r="DJ48" i="31"/>
  <c r="CP48" i="31"/>
  <c r="BS48" i="31"/>
  <c r="DG48" i="31"/>
  <c r="CL48" i="31"/>
  <c r="BR48" i="31"/>
  <c r="DF48" i="31"/>
  <c r="CI48" i="31"/>
  <c r="BN48" i="31"/>
  <c r="DB48" i="31"/>
  <c r="CH48" i="31"/>
  <c r="BK48" i="31"/>
  <c r="CY48" i="31"/>
  <c r="CD48" i="31"/>
  <c r="CX48" i="31"/>
  <c r="CA48" i="31"/>
  <c r="CT48" i="31"/>
  <c r="BZ48" i="31"/>
  <c r="CQ48" i="31"/>
  <c r="BV48" i="31"/>
  <c r="DC60" i="31"/>
  <c r="CU60" i="31"/>
  <c r="CM60" i="31"/>
  <c r="CE60" i="31"/>
  <c r="BW60" i="31"/>
  <c r="BO60" i="31"/>
  <c r="DJ60" i="31"/>
  <c r="DB60" i="31"/>
  <c r="CT60" i="31"/>
  <c r="CL60" i="31"/>
  <c r="CD60" i="31"/>
  <c r="BV60" i="31"/>
  <c r="BN60" i="31"/>
  <c r="DI60" i="31"/>
  <c r="DA60" i="31"/>
  <c r="CS60" i="31"/>
  <c r="CK60" i="31"/>
  <c r="CC60" i="31"/>
  <c r="BU60" i="31"/>
  <c r="BM60" i="31"/>
  <c r="DH60" i="31"/>
  <c r="CZ60" i="31"/>
  <c r="CR60" i="31"/>
  <c r="CJ60" i="31"/>
  <c r="CB60" i="31"/>
  <c r="BT60" i="31"/>
  <c r="BL60" i="31"/>
  <c r="DG60" i="31"/>
  <c r="CY60" i="31"/>
  <c r="CQ60" i="31"/>
  <c r="CI60" i="31"/>
  <c r="CA60" i="31"/>
  <c r="BS60" i="31"/>
  <c r="BK60" i="31"/>
  <c r="DE60" i="31"/>
  <c r="CW60" i="31"/>
  <c r="CO60" i="31"/>
  <c r="CG60" i="31"/>
  <c r="BY60" i="31"/>
  <c r="BQ60" i="31"/>
  <c r="DD60" i="31"/>
  <c r="CV60" i="31"/>
  <c r="CN60" i="31"/>
  <c r="CF60" i="31"/>
  <c r="BX60" i="31"/>
  <c r="BP60" i="31"/>
  <c r="BR60" i="31"/>
  <c r="CX60" i="31"/>
  <c r="CP60" i="31"/>
  <c r="BZ60" i="31"/>
  <c r="DF60" i="31"/>
  <c r="CH60" i="31"/>
  <c r="DC104" i="31"/>
  <c r="CU104" i="31"/>
  <c r="CM104" i="31"/>
  <c r="CE104" i="31"/>
  <c r="BW104" i="31"/>
  <c r="BO104" i="31"/>
  <c r="DI104" i="31"/>
  <c r="DA104" i="31"/>
  <c r="CS104" i="31"/>
  <c r="CK104" i="31"/>
  <c r="CC104" i="31"/>
  <c r="BU104" i="31"/>
  <c r="BM104" i="31"/>
  <c r="DH104" i="31"/>
  <c r="CZ104" i="31"/>
  <c r="CR104" i="31"/>
  <c r="CJ104" i="31"/>
  <c r="CB104" i="31"/>
  <c r="BT104" i="31"/>
  <c r="BL104" i="31"/>
  <c r="DG104" i="31"/>
  <c r="CY104" i="31"/>
  <c r="CQ104" i="31"/>
  <c r="CI104" i="31"/>
  <c r="CA104" i="31"/>
  <c r="BS104" i="31"/>
  <c r="BK104" i="31"/>
  <c r="DF104" i="31"/>
  <c r="CX104" i="31"/>
  <c r="CP104" i="31"/>
  <c r="CH104" i="31"/>
  <c r="BZ104" i="31"/>
  <c r="BR104" i="31"/>
  <c r="CO104" i="31"/>
  <c r="BV104" i="31"/>
  <c r="DJ104" i="31"/>
  <c r="CN104" i="31"/>
  <c r="BQ104" i="31"/>
  <c r="DE104" i="31"/>
  <c r="CL104" i="31"/>
  <c r="BP104" i="31"/>
  <c r="DD104" i="31"/>
  <c r="CG104" i="31"/>
  <c r="BN104" i="31"/>
  <c r="DB104" i="31"/>
  <c r="CF104" i="31"/>
  <c r="CW104" i="31"/>
  <c r="CD104" i="31"/>
  <c r="CV104" i="31"/>
  <c r="BY104" i="31"/>
  <c r="CT104" i="31"/>
  <c r="BX104" i="31"/>
  <c r="DI103" i="31"/>
  <c r="DA103" i="31"/>
  <c r="CS103" i="31"/>
  <c r="CK103" i="31"/>
  <c r="CC103" i="31"/>
  <c r="BU103" i="31"/>
  <c r="BM103" i="31"/>
  <c r="DG103" i="31"/>
  <c r="CY103" i="31"/>
  <c r="CQ103" i="31"/>
  <c r="CI103" i="31"/>
  <c r="CA103" i="31"/>
  <c r="BS103" i="31"/>
  <c r="BK103" i="31"/>
  <c r="DF103" i="31"/>
  <c r="CX103" i="31"/>
  <c r="CP103" i="31"/>
  <c r="CH103" i="31"/>
  <c r="BZ103" i="31"/>
  <c r="BR103" i="31"/>
  <c r="DE103" i="31"/>
  <c r="CW103" i="31"/>
  <c r="CO103" i="31"/>
  <c r="CG103" i="31"/>
  <c r="BY103" i="31"/>
  <c r="BQ103" i="31"/>
  <c r="DD103" i="31"/>
  <c r="CV103" i="31"/>
  <c r="CN103" i="31"/>
  <c r="CF103" i="31"/>
  <c r="BX103" i="31"/>
  <c r="BP103" i="31"/>
  <c r="DB103" i="31"/>
  <c r="CE103" i="31"/>
  <c r="BL103" i="31"/>
  <c r="CZ103" i="31"/>
  <c r="CD103" i="31"/>
  <c r="CU103" i="31"/>
  <c r="CB103" i="31"/>
  <c r="CT103" i="31"/>
  <c r="BW103" i="31"/>
  <c r="CR103" i="31"/>
  <c r="BV103" i="31"/>
  <c r="DJ103" i="31"/>
  <c r="CM103" i="31"/>
  <c r="BT103" i="31"/>
  <c r="DH103" i="31"/>
  <c r="CL103" i="31"/>
  <c r="BO103" i="31"/>
  <c r="DC103" i="31"/>
  <c r="CJ103" i="31"/>
  <c r="BN103" i="31"/>
  <c r="DD17" i="31"/>
  <c r="CV17" i="31"/>
  <c r="CN17" i="31"/>
  <c r="CF17" i="31"/>
  <c r="BX17" i="31"/>
  <c r="BP17" i="31"/>
  <c r="DC17" i="31"/>
  <c r="CU17" i="31"/>
  <c r="CM17" i="31"/>
  <c r="CE17" i="31"/>
  <c r="BW17" i="31"/>
  <c r="BO17" i="31"/>
  <c r="DJ17" i="31"/>
  <c r="DB17" i="31"/>
  <c r="CT17" i="31"/>
  <c r="CL17" i="31"/>
  <c r="CD17" i="31"/>
  <c r="BV17" i="31"/>
  <c r="BN17" i="31"/>
  <c r="DI17" i="31"/>
  <c r="DA17" i="31"/>
  <c r="CS17" i="31"/>
  <c r="CK17" i="31"/>
  <c r="CC17" i="31"/>
  <c r="BU17" i="31"/>
  <c r="BM17" i="31"/>
  <c r="DH17" i="31"/>
  <c r="CZ17" i="31"/>
  <c r="CR17" i="31"/>
  <c r="CJ17" i="31"/>
  <c r="CB17" i="31"/>
  <c r="BT17" i="31"/>
  <c r="BL17" i="31"/>
  <c r="DF17" i="31"/>
  <c r="CX17" i="31"/>
  <c r="CP17" i="31"/>
  <c r="CH17" i="31"/>
  <c r="BZ17" i="31"/>
  <c r="BR17" i="31"/>
  <c r="DE17" i="31"/>
  <c r="CW17" i="31"/>
  <c r="CO17" i="31"/>
  <c r="CG17" i="31"/>
  <c r="BY17" i="31"/>
  <c r="BQ17" i="31"/>
  <c r="DG17" i="31"/>
  <c r="BS17" i="31"/>
  <c r="CY17" i="31"/>
  <c r="CQ17" i="31"/>
  <c r="CA17" i="31"/>
  <c r="CI17" i="31"/>
  <c r="BK17" i="31"/>
  <c r="DJ30" i="31"/>
  <c r="DB30" i="31"/>
  <c r="CT30" i="31"/>
  <c r="CL30" i="31"/>
  <c r="CD30" i="31"/>
  <c r="BV30" i="31"/>
  <c r="BN30" i="31"/>
  <c r="DI30" i="31"/>
  <c r="DA30" i="31"/>
  <c r="CS30" i="31"/>
  <c r="CK30" i="31"/>
  <c r="CC30" i="31"/>
  <c r="BU30" i="31"/>
  <c r="BM30" i="31"/>
  <c r="DH30" i="31"/>
  <c r="CZ30" i="31"/>
  <c r="CR30" i="31"/>
  <c r="CJ30" i="31"/>
  <c r="CB30" i="31"/>
  <c r="BT30" i="31"/>
  <c r="BL30" i="31"/>
  <c r="DG30" i="31"/>
  <c r="CY30" i="31"/>
  <c r="CQ30" i="31"/>
  <c r="CI30" i="31"/>
  <c r="CA30" i="31"/>
  <c r="BS30" i="31"/>
  <c r="BK30" i="31"/>
  <c r="DE30" i="31"/>
  <c r="CW30" i="31"/>
  <c r="CO30" i="31"/>
  <c r="CG30" i="31"/>
  <c r="BY30" i="31"/>
  <c r="BQ30" i="31"/>
  <c r="DD30" i="31"/>
  <c r="CV30" i="31"/>
  <c r="CN30" i="31"/>
  <c r="CF30" i="31"/>
  <c r="BX30" i="31"/>
  <c r="BP30" i="31"/>
  <c r="CM30" i="31"/>
  <c r="CH30" i="31"/>
  <c r="CE30" i="31"/>
  <c r="DF30" i="31"/>
  <c r="BZ30" i="31"/>
  <c r="DC30" i="31"/>
  <c r="BW30" i="31"/>
  <c r="CU30" i="31"/>
  <c r="BO30" i="31"/>
  <c r="CP30" i="31"/>
  <c r="CX30" i="31"/>
  <c r="BR30" i="31"/>
  <c r="DJ38" i="31"/>
  <c r="DB38" i="31"/>
  <c r="CT38" i="31"/>
  <c r="CL38" i="31"/>
  <c r="CD38" i="31"/>
  <c r="BV38" i="31"/>
  <c r="BN38" i="31"/>
  <c r="DI38" i="31"/>
  <c r="DA38" i="31"/>
  <c r="CS38" i="31"/>
  <c r="CK38" i="31"/>
  <c r="CC38" i="31"/>
  <c r="BU38" i="31"/>
  <c r="BM38" i="31"/>
  <c r="DH38" i="31"/>
  <c r="CZ38" i="31"/>
  <c r="CR38" i="31"/>
  <c r="CJ38" i="31"/>
  <c r="CB38" i="31"/>
  <c r="BT38" i="31"/>
  <c r="BL38" i="31"/>
  <c r="DG38" i="31"/>
  <c r="CY38" i="31"/>
  <c r="CQ38" i="31"/>
  <c r="CI38" i="31"/>
  <c r="CA38" i="31"/>
  <c r="BS38" i="31"/>
  <c r="BK38" i="31"/>
  <c r="DF38" i="31"/>
  <c r="CX38" i="31"/>
  <c r="CP38" i="31"/>
  <c r="CH38" i="31"/>
  <c r="BZ38" i="31"/>
  <c r="BR38" i="31"/>
  <c r="DE38" i="31"/>
  <c r="CW38" i="31"/>
  <c r="CO38" i="31"/>
  <c r="CG38" i="31"/>
  <c r="BY38" i="31"/>
  <c r="BQ38" i="31"/>
  <c r="DD38" i="31"/>
  <c r="CV38" i="31"/>
  <c r="CN38" i="31"/>
  <c r="CF38" i="31"/>
  <c r="BX38" i="31"/>
  <c r="BP38" i="31"/>
  <c r="DC38" i="31"/>
  <c r="CU38" i="31"/>
  <c r="CM38" i="31"/>
  <c r="BW38" i="31"/>
  <c r="BO38" i="31"/>
  <c r="CE38" i="31"/>
  <c r="DH27" i="31"/>
  <c r="CZ27" i="31"/>
  <c r="CR27" i="31"/>
  <c r="CJ27" i="31"/>
  <c r="CB27" i="31"/>
  <c r="BT27" i="31"/>
  <c r="BL27" i="31"/>
  <c r="DG27" i="31"/>
  <c r="CY27" i="31"/>
  <c r="CQ27" i="31"/>
  <c r="CI27" i="31"/>
  <c r="CA27" i="31"/>
  <c r="BS27" i="31"/>
  <c r="BK27" i="31"/>
  <c r="DF27" i="31"/>
  <c r="CX27" i="31"/>
  <c r="CP27" i="31"/>
  <c r="CH27" i="31"/>
  <c r="BZ27" i="31"/>
  <c r="BR27" i="31"/>
  <c r="DE27" i="31"/>
  <c r="CW27" i="31"/>
  <c r="CO27" i="31"/>
  <c r="CG27" i="31"/>
  <c r="BY27" i="31"/>
  <c r="BQ27" i="31"/>
  <c r="DD27" i="31"/>
  <c r="CV27" i="31"/>
  <c r="CN27" i="31"/>
  <c r="CF27" i="31"/>
  <c r="BX27" i="31"/>
  <c r="BP27" i="31"/>
  <c r="DJ27" i="31"/>
  <c r="DB27" i="31"/>
  <c r="CT27" i="31"/>
  <c r="CL27" i="31"/>
  <c r="CD27" i="31"/>
  <c r="BV27" i="31"/>
  <c r="BN27" i="31"/>
  <c r="DI27" i="31"/>
  <c r="DA27" i="31"/>
  <c r="CS27" i="31"/>
  <c r="CK27" i="31"/>
  <c r="CC27" i="31"/>
  <c r="BU27" i="31"/>
  <c r="BM27" i="31"/>
  <c r="CE27" i="31"/>
  <c r="BW27" i="31"/>
  <c r="BO27" i="31"/>
  <c r="CU27" i="31"/>
  <c r="DC27" i="31"/>
  <c r="CM27" i="31"/>
  <c r="F144" i="24"/>
  <c r="DD25" i="31"/>
  <c r="CV25" i="31"/>
  <c r="CN25" i="31"/>
  <c r="CF25" i="31"/>
  <c r="BX25" i="31"/>
  <c r="BP25" i="31"/>
  <c r="DC25" i="31"/>
  <c r="CU25" i="31"/>
  <c r="CM25" i="31"/>
  <c r="CE25" i="31"/>
  <c r="BW25" i="31"/>
  <c r="BO25" i="31"/>
  <c r="DJ25" i="31"/>
  <c r="DB25" i="31"/>
  <c r="CT25" i="31"/>
  <c r="CL25" i="31"/>
  <c r="CD25" i="31"/>
  <c r="BV25" i="31"/>
  <c r="BN25" i="31"/>
  <c r="DI25" i="31"/>
  <c r="DA25" i="31"/>
  <c r="CS25" i="31"/>
  <c r="CK25" i="31"/>
  <c r="CC25" i="31"/>
  <c r="BU25" i="31"/>
  <c r="BM25" i="31"/>
  <c r="DH25" i="31"/>
  <c r="CZ25" i="31"/>
  <c r="CR25" i="31"/>
  <c r="CJ25" i="31"/>
  <c r="CB25" i="31"/>
  <c r="BT25" i="31"/>
  <c r="BL25" i="31"/>
  <c r="DF25" i="31"/>
  <c r="CX25" i="31"/>
  <c r="CP25" i="31"/>
  <c r="CH25" i="31"/>
  <c r="BZ25" i="31"/>
  <c r="BR25" i="31"/>
  <c r="DE25" i="31"/>
  <c r="CW25" i="31"/>
  <c r="CO25" i="31"/>
  <c r="CG25" i="31"/>
  <c r="BY25" i="31"/>
  <c r="BQ25" i="31"/>
  <c r="BK25" i="31"/>
  <c r="CQ25" i="31"/>
  <c r="DG25" i="31"/>
  <c r="CY25" i="31"/>
  <c r="CA25" i="31"/>
  <c r="BS25" i="31"/>
  <c r="CI25" i="31"/>
  <c r="DG54" i="31"/>
  <c r="CY54" i="31"/>
  <c r="CQ54" i="31"/>
  <c r="CI54" i="31"/>
  <c r="CA54" i="31"/>
  <c r="BS54" i="31"/>
  <c r="BK54" i="31"/>
  <c r="DF54" i="31"/>
  <c r="CX54" i="31"/>
  <c r="CP54" i="31"/>
  <c r="CH54" i="31"/>
  <c r="BZ54" i="31"/>
  <c r="BR54" i="31"/>
  <c r="DE54" i="31"/>
  <c r="CW54" i="31"/>
  <c r="CO54" i="31"/>
  <c r="CG54" i="31"/>
  <c r="BY54" i="31"/>
  <c r="BQ54" i="31"/>
  <c r="DD54" i="31"/>
  <c r="CV54" i="31"/>
  <c r="CN54" i="31"/>
  <c r="CF54" i="31"/>
  <c r="BX54" i="31"/>
  <c r="BP54" i="31"/>
  <c r="DC54" i="31"/>
  <c r="CU54" i="31"/>
  <c r="CM54" i="31"/>
  <c r="CE54" i="31"/>
  <c r="BW54" i="31"/>
  <c r="BO54" i="31"/>
  <c r="DI54" i="31"/>
  <c r="DA54" i="31"/>
  <c r="CS54" i="31"/>
  <c r="CK54" i="31"/>
  <c r="CC54" i="31"/>
  <c r="BU54" i="31"/>
  <c r="BM54" i="31"/>
  <c r="DH54" i="31"/>
  <c r="CZ54" i="31"/>
  <c r="CR54" i="31"/>
  <c r="CJ54" i="31"/>
  <c r="CB54" i="31"/>
  <c r="BV54" i="31"/>
  <c r="BT54" i="31"/>
  <c r="DB54" i="31"/>
  <c r="BL54" i="31"/>
  <c r="CT54" i="31"/>
  <c r="BN54" i="31"/>
  <c r="DJ54" i="31"/>
  <c r="CL54" i="31"/>
  <c r="CD54" i="31"/>
  <c r="DH33" i="31"/>
  <c r="CZ33" i="31"/>
  <c r="CR33" i="31"/>
  <c r="CJ33" i="31"/>
  <c r="CB33" i="31"/>
  <c r="BT33" i="31"/>
  <c r="BL33" i="31"/>
  <c r="DG33" i="31"/>
  <c r="CY33" i="31"/>
  <c r="CQ33" i="31"/>
  <c r="CI33" i="31"/>
  <c r="CA33" i="31"/>
  <c r="BS33" i="31"/>
  <c r="BK33" i="31"/>
  <c r="DF33" i="31"/>
  <c r="CX33" i="31"/>
  <c r="CP33" i="31"/>
  <c r="CH33" i="31"/>
  <c r="BZ33" i="31"/>
  <c r="BR33" i="31"/>
  <c r="DE33" i="31"/>
  <c r="CW33" i="31"/>
  <c r="CO33" i="31"/>
  <c r="CG33" i="31"/>
  <c r="BY33" i="31"/>
  <c r="BQ33" i="31"/>
  <c r="DC33" i="31"/>
  <c r="CU33" i="31"/>
  <c r="CM33" i="31"/>
  <c r="CE33" i="31"/>
  <c r="BW33" i="31"/>
  <c r="BO33" i="31"/>
  <c r="DJ33" i="31"/>
  <c r="DB33" i="31"/>
  <c r="CT33" i="31"/>
  <c r="CL33" i="31"/>
  <c r="CD33" i="31"/>
  <c r="BV33" i="31"/>
  <c r="BN33" i="31"/>
  <c r="CK33" i="31"/>
  <c r="CF33" i="31"/>
  <c r="DI33" i="31"/>
  <c r="CC33" i="31"/>
  <c r="DD33" i="31"/>
  <c r="BX33" i="31"/>
  <c r="DA33" i="31"/>
  <c r="BU33" i="31"/>
  <c r="CS33" i="31"/>
  <c r="BM33" i="31"/>
  <c r="CN33" i="31"/>
  <c r="CV33" i="31"/>
  <c r="BP33" i="31"/>
  <c r="DG72" i="31"/>
  <c r="CY72" i="31"/>
  <c r="CQ72" i="31"/>
  <c r="CI72" i="31"/>
  <c r="CA72" i="31"/>
  <c r="BS72" i="31"/>
  <c r="BK72" i="31"/>
  <c r="DF72" i="31"/>
  <c r="CX72" i="31"/>
  <c r="CP72" i="31"/>
  <c r="CH72" i="31"/>
  <c r="BZ72" i="31"/>
  <c r="BR72" i="31"/>
  <c r="DE72" i="31"/>
  <c r="CW72" i="31"/>
  <c r="CO72" i="31"/>
  <c r="CG72" i="31"/>
  <c r="BY72" i="31"/>
  <c r="BQ72" i="31"/>
  <c r="DD72" i="31"/>
  <c r="CV72" i="31"/>
  <c r="CN72" i="31"/>
  <c r="CF72" i="31"/>
  <c r="BX72" i="31"/>
  <c r="BP72" i="31"/>
  <c r="DC72" i="31"/>
  <c r="CU72" i="31"/>
  <c r="CM72" i="31"/>
  <c r="CE72" i="31"/>
  <c r="BW72" i="31"/>
  <c r="BO72" i="31"/>
  <c r="DJ72" i="31"/>
  <c r="DB72" i="31"/>
  <c r="CT72" i="31"/>
  <c r="CL72" i="31"/>
  <c r="CD72" i="31"/>
  <c r="BV72" i="31"/>
  <c r="BN72" i="31"/>
  <c r="DI72" i="31"/>
  <c r="DA72" i="31"/>
  <c r="CS72" i="31"/>
  <c r="CK72" i="31"/>
  <c r="CC72" i="31"/>
  <c r="BU72" i="31"/>
  <c r="BM72" i="31"/>
  <c r="CB72" i="31"/>
  <c r="BT72" i="31"/>
  <c r="BL72" i="31"/>
  <c r="DH72" i="31"/>
  <c r="CR72" i="31"/>
  <c r="CJ72" i="31"/>
  <c r="CZ72" i="31"/>
  <c r="DG68" i="31"/>
  <c r="CY68" i="31"/>
  <c r="CQ68" i="31"/>
  <c r="CI68" i="31"/>
  <c r="CA68" i="31"/>
  <c r="BS68" i="31"/>
  <c r="BK68" i="31"/>
  <c r="DF68" i="31"/>
  <c r="CX68" i="31"/>
  <c r="CP68" i="31"/>
  <c r="CH68" i="31"/>
  <c r="BZ68" i="31"/>
  <c r="BR68" i="31"/>
  <c r="DE68" i="31"/>
  <c r="CW68" i="31"/>
  <c r="CO68" i="31"/>
  <c r="CG68" i="31"/>
  <c r="BY68" i="31"/>
  <c r="BQ68" i="31"/>
  <c r="DD68" i="31"/>
  <c r="CV68" i="31"/>
  <c r="CN68" i="31"/>
  <c r="CF68" i="31"/>
  <c r="BX68" i="31"/>
  <c r="BP68" i="31"/>
  <c r="DC68" i="31"/>
  <c r="CU68" i="31"/>
  <c r="CM68" i="31"/>
  <c r="CE68" i="31"/>
  <c r="BW68" i="31"/>
  <c r="BO68" i="31"/>
  <c r="DJ68" i="31"/>
  <c r="DB68" i="31"/>
  <c r="CT68" i="31"/>
  <c r="CL68" i="31"/>
  <c r="CD68" i="31"/>
  <c r="BV68" i="31"/>
  <c r="BN68" i="31"/>
  <c r="DI68" i="31"/>
  <c r="DA68" i="31"/>
  <c r="CS68" i="31"/>
  <c r="CK68" i="31"/>
  <c r="CC68" i="31"/>
  <c r="BU68" i="31"/>
  <c r="BM68" i="31"/>
  <c r="CZ68" i="31"/>
  <c r="CR68" i="31"/>
  <c r="CJ68" i="31"/>
  <c r="CB68" i="31"/>
  <c r="BT68" i="31"/>
  <c r="DH68" i="31"/>
  <c r="BL68" i="31"/>
  <c r="DH7" i="31"/>
  <c r="CZ7" i="31"/>
  <c r="CR7" i="31"/>
  <c r="CJ7" i="31"/>
  <c r="CB7" i="31"/>
  <c r="BT7" i="31"/>
  <c r="DG7" i="31"/>
  <c r="CY7" i="31"/>
  <c r="CQ7" i="31"/>
  <c r="CI7" i="31"/>
  <c r="CA7" i="31"/>
  <c r="BS7" i="31"/>
  <c r="DF7" i="31"/>
  <c r="CX7" i="31"/>
  <c r="CP7" i="31"/>
  <c r="CH7" i="31"/>
  <c r="BZ7" i="31"/>
  <c r="BR7" i="31"/>
  <c r="DE7" i="31"/>
  <c r="CW7" i="31"/>
  <c r="CO7" i="31"/>
  <c r="CG7" i="31"/>
  <c r="BY7" i="31"/>
  <c r="BQ7" i="31"/>
  <c r="DJ7" i="31"/>
  <c r="DB7" i="31"/>
  <c r="CT7" i="31"/>
  <c r="CL7" i="31"/>
  <c r="CD7" i="31"/>
  <c r="BV7" i="31"/>
  <c r="BN7" i="31"/>
  <c r="DI7" i="31"/>
  <c r="DA7" i="31"/>
  <c r="CS7" i="31"/>
  <c r="CK7" i="31"/>
  <c r="CC7" i="31"/>
  <c r="BU7" i="31"/>
  <c r="BM7" i="31"/>
  <c r="CU7" i="31"/>
  <c r="BO7" i="31"/>
  <c r="CN7" i="31"/>
  <c r="BL7" i="31"/>
  <c r="CM7" i="31"/>
  <c r="BK7" i="31"/>
  <c r="CE7" i="31"/>
  <c r="BX7" i="31"/>
  <c r="CF7" i="31"/>
  <c r="DC7" i="31"/>
  <c r="BW7" i="31"/>
  <c r="CV7" i="31"/>
  <c r="BP7" i="31"/>
  <c r="DD7" i="31"/>
  <c r="DG58" i="31"/>
  <c r="CY58" i="31"/>
  <c r="CQ58" i="31"/>
  <c r="CI58" i="31"/>
  <c r="CA58" i="31"/>
  <c r="BS58" i="31"/>
  <c r="BK58" i="31"/>
  <c r="DF58" i="31"/>
  <c r="CX58" i="31"/>
  <c r="CP58" i="31"/>
  <c r="CH58" i="31"/>
  <c r="BZ58" i="31"/>
  <c r="BR58" i="31"/>
  <c r="DE58" i="31"/>
  <c r="CW58" i="31"/>
  <c r="CO58" i="31"/>
  <c r="CG58" i="31"/>
  <c r="BY58" i="31"/>
  <c r="BQ58" i="31"/>
  <c r="DD58" i="31"/>
  <c r="CV58" i="31"/>
  <c r="CN58" i="31"/>
  <c r="CF58" i="31"/>
  <c r="BX58" i="31"/>
  <c r="BP58" i="31"/>
  <c r="DC58" i="31"/>
  <c r="CU58" i="31"/>
  <c r="CM58" i="31"/>
  <c r="CE58" i="31"/>
  <c r="BW58" i="31"/>
  <c r="BO58" i="31"/>
  <c r="DI58" i="31"/>
  <c r="DA58" i="31"/>
  <c r="CS58" i="31"/>
  <c r="CK58" i="31"/>
  <c r="CC58" i="31"/>
  <c r="BU58" i="31"/>
  <c r="BM58" i="31"/>
  <c r="DH58" i="31"/>
  <c r="CZ58" i="31"/>
  <c r="CR58" i="31"/>
  <c r="CJ58" i="31"/>
  <c r="CB58" i="31"/>
  <c r="BT58" i="31"/>
  <c r="BL58" i="31"/>
  <c r="DJ58" i="31"/>
  <c r="DB58" i="31"/>
  <c r="CT58" i="31"/>
  <c r="CD58" i="31"/>
  <c r="BV58" i="31"/>
  <c r="CL58" i="31"/>
  <c r="BN58" i="31"/>
  <c r="DC96" i="31"/>
  <c r="CU96" i="31"/>
  <c r="CM96" i="31"/>
  <c r="CE96" i="31"/>
  <c r="BW96" i="31"/>
  <c r="BO96" i="31"/>
  <c r="DI96" i="31"/>
  <c r="DA96" i="31"/>
  <c r="CS96" i="31"/>
  <c r="CK96" i="31"/>
  <c r="CC96" i="31"/>
  <c r="BU96" i="31"/>
  <c r="BM96" i="31"/>
  <c r="DH96" i="31"/>
  <c r="CZ96" i="31"/>
  <c r="CR96" i="31"/>
  <c r="CJ96" i="31"/>
  <c r="CB96" i="31"/>
  <c r="BT96" i="31"/>
  <c r="BL96" i="31"/>
  <c r="DG96" i="31"/>
  <c r="CY96" i="31"/>
  <c r="CQ96" i="31"/>
  <c r="CI96" i="31"/>
  <c r="CA96" i="31"/>
  <c r="BS96" i="31"/>
  <c r="BK96" i="31"/>
  <c r="DF96" i="31"/>
  <c r="CX96" i="31"/>
  <c r="CP96" i="31"/>
  <c r="CH96" i="31"/>
  <c r="BZ96" i="31"/>
  <c r="BR96" i="31"/>
  <c r="CV96" i="31"/>
  <c r="BY96" i="31"/>
  <c r="CT96" i="31"/>
  <c r="BX96" i="31"/>
  <c r="CO96" i="31"/>
  <c r="BV96" i="31"/>
  <c r="DJ96" i="31"/>
  <c r="CN96" i="31"/>
  <c r="BQ96" i="31"/>
  <c r="DE96" i="31"/>
  <c r="CL96" i="31"/>
  <c r="BP96" i="31"/>
  <c r="DD96" i="31"/>
  <c r="CG96" i="31"/>
  <c r="BN96" i="31"/>
  <c r="DB96" i="31"/>
  <c r="CF96" i="31"/>
  <c r="CW96" i="31"/>
  <c r="CD96" i="31"/>
  <c r="DC70" i="31"/>
  <c r="CU70" i="31"/>
  <c r="CM70" i="31"/>
  <c r="CE70" i="31"/>
  <c r="BW70" i="31"/>
  <c r="BO70" i="31"/>
  <c r="DJ70" i="31"/>
  <c r="DB70" i="31"/>
  <c r="CT70" i="31"/>
  <c r="CL70" i="31"/>
  <c r="CD70" i="31"/>
  <c r="BV70" i="31"/>
  <c r="BN70" i="31"/>
  <c r="DI70" i="31"/>
  <c r="DA70" i="31"/>
  <c r="CS70" i="31"/>
  <c r="CK70" i="31"/>
  <c r="CC70" i="31"/>
  <c r="BU70" i="31"/>
  <c r="BM70" i="31"/>
  <c r="DH70" i="31"/>
  <c r="CZ70" i="31"/>
  <c r="CR70" i="31"/>
  <c r="CJ70" i="31"/>
  <c r="CB70" i="31"/>
  <c r="BT70" i="31"/>
  <c r="BL70" i="31"/>
  <c r="DG70" i="31"/>
  <c r="CY70" i="31"/>
  <c r="CQ70" i="31"/>
  <c r="CI70" i="31"/>
  <c r="CA70" i="31"/>
  <c r="BS70" i="31"/>
  <c r="BK70" i="31"/>
  <c r="DF70" i="31"/>
  <c r="CX70" i="31"/>
  <c r="CP70" i="31"/>
  <c r="CH70" i="31"/>
  <c r="BZ70" i="31"/>
  <c r="BR70" i="31"/>
  <c r="DE70" i="31"/>
  <c r="CW70" i="31"/>
  <c r="CO70" i="31"/>
  <c r="CG70" i="31"/>
  <c r="BY70" i="31"/>
  <c r="BQ70" i="31"/>
  <c r="DD70" i="31"/>
  <c r="CV70" i="31"/>
  <c r="CN70" i="31"/>
  <c r="BX70" i="31"/>
  <c r="BP70" i="31"/>
  <c r="CF70" i="31"/>
  <c r="DH15" i="31"/>
  <c r="CZ15" i="31"/>
  <c r="CR15" i="31"/>
  <c r="CJ15" i="31"/>
  <c r="CB15" i="31"/>
  <c r="BT15" i="31"/>
  <c r="BL15" i="31"/>
  <c r="DG15" i="31"/>
  <c r="CY15" i="31"/>
  <c r="CQ15" i="31"/>
  <c r="CI15" i="31"/>
  <c r="CA15" i="31"/>
  <c r="BS15" i="31"/>
  <c r="BK15" i="31"/>
  <c r="DF15" i="31"/>
  <c r="CX15" i="31"/>
  <c r="CP15" i="31"/>
  <c r="CH15" i="31"/>
  <c r="BZ15" i="31"/>
  <c r="BR15" i="31"/>
  <c r="DE15" i="31"/>
  <c r="CW15" i="31"/>
  <c r="CO15" i="31"/>
  <c r="CG15" i="31"/>
  <c r="BY15" i="31"/>
  <c r="BQ15" i="31"/>
  <c r="DD15" i="31"/>
  <c r="CV15" i="31"/>
  <c r="CN15" i="31"/>
  <c r="CF15" i="31"/>
  <c r="BX15" i="31"/>
  <c r="BP15" i="31"/>
  <c r="DJ15" i="31"/>
  <c r="DB15" i="31"/>
  <c r="CT15" i="31"/>
  <c r="CL15" i="31"/>
  <c r="CD15" i="31"/>
  <c r="BV15" i="31"/>
  <c r="BN15" i="31"/>
  <c r="DI15" i="31"/>
  <c r="DA15" i="31"/>
  <c r="CS15" i="31"/>
  <c r="CK15" i="31"/>
  <c r="CC15" i="31"/>
  <c r="BU15" i="31"/>
  <c r="BM15" i="31"/>
  <c r="CM15" i="31"/>
  <c r="CE15" i="31"/>
  <c r="BW15" i="31"/>
  <c r="BO15" i="31"/>
  <c r="DC15" i="31"/>
  <c r="CU15" i="31"/>
  <c r="DI42" i="31"/>
  <c r="DA42" i="31"/>
  <c r="CS42" i="31"/>
  <c r="DH42" i="31"/>
  <c r="CZ42" i="31"/>
  <c r="CR42" i="31"/>
  <c r="CJ42" i="31"/>
  <c r="DE42" i="31"/>
  <c r="CW42" i="31"/>
  <c r="DD42" i="31"/>
  <c r="CV42" i="31"/>
  <c r="CY42" i="31"/>
  <c r="CM42" i="31"/>
  <c r="CD42" i="31"/>
  <c r="BV42" i="31"/>
  <c r="BN42" i="31"/>
  <c r="CX42" i="31"/>
  <c r="CL42" i="31"/>
  <c r="CC42" i="31"/>
  <c r="BU42" i="31"/>
  <c r="BM42" i="31"/>
  <c r="CU42" i="31"/>
  <c r="CK42" i="31"/>
  <c r="CB42" i="31"/>
  <c r="BT42" i="31"/>
  <c r="BL42" i="31"/>
  <c r="DJ42" i="31"/>
  <c r="CT42" i="31"/>
  <c r="CI42" i="31"/>
  <c r="CA42" i="31"/>
  <c r="BS42" i="31"/>
  <c r="BK42" i="31"/>
  <c r="DG42" i="31"/>
  <c r="CQ42" i="31"/>
  <c r="CH42" i="31"/>
  <c r="BZ42" i="31"/>
  <c r="BR42" i="31"/>
  <c r="DF42" i="31"/>
  <c r="CP42" i="31"/>
  <c r="CG42" i="31"/>
  <c r="BY42" i="31"/>
  <c r="BQ42" i="31"/>
  <c r="DC42" i="31"/>
  <c r="CO42" i="31"/>
  <c r="CF42" i="31"/>
  <c r="BX42" i="31"/>
  <c r="BP42" i="31"/>
  <c r="DB42" i="31"/>
  <c r="CN42" i="31"/>
  <c r="CE42" i="31"/>
  <c r="BW42" i="31"/>
  <c r="BO42" i="31"/>
  <c r="DG6" i="31"/>
  <c r="CY6" i="31"/>
  <c r="CQ6" i="31"/>
  <c r="CI6" i="31"/>
  <c r="CA6" i="31"/>
  <c r="BS6" i="31"/>
  <c r="BK6" i="31"/>
  <c r="CM6" i="31"/>
  <c r="CL6" i="31"/>
  <c r="DF6" i="31"/>
  <c r="CX6" i="31"/>
  <c r="CP6" i="31"/>
  <c r="CH6" i="31"/>
  <c r="BZ6" i="31"/>
  <c r="BR6" i="31"/>
  <c r="BW6" i="31"/>
  <c r="DJ6" i="31"/>
  <c r="BN6" i="31"/>
  <c r="DE6" i="31"/>
  <c r="CW6" i="31"/>
  <c r="CO6" i="31"/>
  <c r="CG6" i="31"/>
  <c r="BY6" i="31"/>
  <c r="BQ6" i="31"/>
  <c r="CU6" i="31"/>
  <c r="BV6" i="31"/>
  <c r="DD6" i="31"/>
  <c r="CV6" i="31"/>
  <c r="CN6" i="31"/>
  <c r="CF6" i="31"/>
  <c r="BX6" i="31"/>
  <c r="BP6" i="31"/>
  <c r="CD6" i="31"/>
  <c r="DI6" i="31"/>
  <c r="DA6" i="31"/>
  <c r="CS6" i="31"/>
  <c r="CK6" i="31"/>
  <c r="CC6" i="31"/>
  <c r="BU6" i="31"/>
  <c r="BM6" i="31"/>
  <c r="CE6" i="31"/>
  <c r="DB6" i="31"/>
  <c r="DH6" i="31"/>
  <c r="CZ6" i="31"/>
  <c r="CR6" i="31"/>
  <c r="CJ6" i="31"/>
  <c r="CB6" i="31"/>
  <c r="BT6" i="31"/>
  <c r="BL6" i="31"/>
  <c r="DC6" i="31"/>
  <c r="BO6" i="31"/>
  <c r="CT6" i="31"/>
  <c r="DH11" i="31"/>
  <c r="CZ11" i="31"/>
  <c r="CR11" i="31"/>
  <c r="CJ11" i="31"/>
  <c r="CB11" i="31"/>
  <c r="BT11" i="31"/>
  <c r="BL11" i="31"/>
  <c r="DG11" i="31"/>
  <c r="CY11" i="31"/>
  <c r="CQ11" i="31"/>
  <c r="CI11" i="31"/>
  <c r="CA11" i="31"/>
  <c r="BS11" i="31"/>
  <c r="BK11" i="31"/>
  <c r="DF11" i="31"/>
  <c r="CX11" i="31"/>
  <c r="CP11" i="31"/>
  <c r="CH11" i="31"/>
  <c r="BZ11" i="31"/>
  <c r="BR11" i="31"/>
  <c r="DE11" i="31"/>
  <c r="CW11" i="31"/>
  <c r="CO11" i="31"/>
  <c r="CG11" i="31"/>
  <c r="BY11" i="31"/>
  <c r="BQ11" i="31"/>
  <c r="DD11" i="31"/>
  <c r="CV11" i="31"/>
  <c r="CN11" i="31"/>
  <c r="CF11" i="31"/>
  <c r="BX11" i="31"/>
  <c r="BP11" i="31"/>
  <c r="DJ11" i="31"/>
  <c r="DB11" i="31"/>
  <c r="CT11" i="31"/>
  <c r="CL11" i="31"/>
  <c r="CD11" i="31"/>
  <c r="BV11" i="31"/>
  <c r="BN11" i="31"/>
  <c r="DI11" i="31"/>
  <c r="DA11" i="31"/>
  <c r="CS11" i="31"/>
  <c r="CK11" i="31"/>
  <c r="CC11" i="31"/>
  <c r="BU11" i="31"/>
  <c r="BM11" i="31"/>
  <c r="DC11" i="31"/>
  <c r="CU11" i="31"/>
  <c r="CE11" i="31"/>
  <c r="CM11" i="31"/>
  <c r="BO11" i="31"/>
  <c r="BW11" i="31"/>
  <c r="DJ16" i="31"/>
  <c r="DB16" i="31"/>
  <c r="CT16" i="31"/>
  <c r="CL16" i="31"/>
  <c r="CD16" i="31"/>
  <c r="BV16" i="31"/>
  <c r="BN16" i="31"/>
  <c r="DI16" i="31"/>
  <c r="DA16" i="31"/>
  <c r="CS16" i="31"/>
  <c r="CK16" i="31"/>
  <c r="CC16" i="31"/>
  <c r="BU16" i="31"/>
  <c r="BM16" i="31"/>
  <c r="DH16" i="31"/>
  <c r="CZ16" i="31"/>
  <c r="CR16" i="31"/>
  <c r="CJ16" i="31"/>
  <c r="CB16" i="31"/>
  <c r="BT16" i="31"/>
  <c r="BL16" i="31"/>
  <c r="DG16" i="31"/>
  <c r="CY16" i="31"/>
  <c r="CQ16" i="31"/>
  <c r="CI16" i="31"/>
  <c r="CA16" i="31"/>
  <c r="BS16" i="31"/>
  <c r="BK16" i="31"/>
  <c r="DF16" i="31"/>
  <c r="CX16" i="31"/>
  <c r="CP16" i="31"/>
  <c r="CH16" i="31"/>
  <c r="BZ16" i="31"/>
  <c r="BR16" i="31"/>
  <c r="DD16" i="31"/>
  <c r="CV16" i="31"/>
  <c r="CN16" i="31"/>
  <c r="CF16" i="31"/>
  <c r="BX16" i="31"/>
  <c r="BP16" i="31"/>
  <c r="DC16" i="31"/>
  <c r="CU16" i="31"/>
  <c r="CM16" i="31"/>
  <c r="CE16" i="31"/>
  <c r="BW16" i="31"/>
  <c r="BO16" i="31"/>
  <c r="CW16" i="31"/>
  <c r="CO16" i="31"/>
  <c r="CG16" i="31"/>
  <c r="BY16" i="31"/>
  <c r="DE16" i="31"/>
  <c r="BQ16" i="31"/>
  <c r="DI65" i="31"/>
  <c r="DA65" i="31"/>
  <c r="CS65" i="31"/>
  <c r="CK65" i="31"/>
  <c r="CC65" i="31"/>
  <c r="BU65" i="31"/>
  <c r="BM65" i="31"/>
  <c r="DH65" i="31"/>
  <c r="CZ65" i="31"/>
  <c r="CR65" i="31"/>
  <c r="CJ65" i="31"/>
  <c r="CB65" i="31"/>
  <c r="BT65" i="31"/>
  <c r="BL65" i="31"/>
  <c r="DG65" i="31"/>
  <c r="CY65" i="31"/>
  <c r="CQ65" i="31"/>
  <c r="CI65" i="31"/>
  <c r="CA65" i="31"/>
  <c r="BS65" i="31"/>
  <c r="BK65" i="31"/>
  <c r="DF65" i="31"/>
  <c r="CX65" i="31"/>
  <c r="CP65" i="31"/>
  <c r="CH65" i="31"/>
  <c r="BZ65" i="31"/>
  <c r="BR65" i="31"/>
  <c r="DC65" i="31"/>
  <c r="CU65" i="31"/>
  <c r="CM65" i="31"/>
  <c r="CE65" i="31"/>
  <c r="BW65" i="31"/>
  <c r="BO65" i="31"/>
  <c r="CV65" i="31"/>
  <c r="BY65" i="31"/>
  <c r="CT65" i="31"/>
  <c r="BX65" i="31"/>
  <c r="CO65" i="31"/>
  <c r="BV65" i="31"/>
  <c r="DJ65" i="31"/>
  <c r="CN65" i="31"/>
  <c r="BQ65" i="31"/>
  <c r="DE65" i="31"/>
  <c r="CL65" i="31"/>
  <c r="BP65" i="31"/>
  <c r="DB65" i="31"/>
  <c r="CF65" i="31"/>
  <c r="CW65" i="31"/>
  <c r="CD65" i="31"/>
  <c r="DD65" i="31"/>
  <c r="CG65" i="31"/>
  <c r="BN65" i="31"/>
  <c r="DG94" i="31"/>
  <c r="CY94" i="31"/>
  <c r="CQ94" i="31"/>
  <c r="CI94" i="31"/>
  <c r="CA94" i="31"/>
  <c r="BS94" i="31"/>
  <c r="BK94" i="31"/>
  <c r="DE94" i="31"/>
  <c r="CW94" i="31"/>
  <c r="CO94" i="31"/>
  <c r="CG94" i="31"/>
  <c r="BY94" i="31"/>
  <c r="BQ94" i="31"/>
  <c r="DD94" i="31"/>
  <c r="CV94" i="31"/>
  <c r="CN94" i="31"/>
  <c r="CF94" i="31"/>
  <c r="BX94" i="31"/>
  <c r="BP94" i="31"/>
  <c r="DC94" i="31"/>
  <c r="CU94" i="31"/>
  <c r="CM94" i="31"/>
  <c r="CE94" i="31"/>
  <c r="BW94" i="31"/>
  <c r="BO94" i="31"/>
  <c r="DJ94" i="31"/>
  <c r="DB94" i="31"/>
  <c r="CT94" i="31"/>
  <c r="CL94" i="31"/>
  <c r="CD94" i="31"/>
  <c r="BV94" i="31"/>
  <c r="BN94" i="31"/>
  <c r="CX94" i="31"/>
  <c r="CB94" i="31"/>
  <c r="CS94" i="31"/>
  <c r="BZ94" i="31"/>
  <c r="CR94" i="31"/>
  <c r="BU94" i="31"/>
  <c r="DI94" i="31"/>
  <c r="CP94" i="31"/>
  <c r="BT94" i="31"/>
  <c r="DH94" i="31"/>
  <c r="CK94" i="31"/>
  <c r="BR94" i="31"/>
  <c r="DF94" i="31"/>
  <c r="CJ94" i="31"/>
  <c r="BM94" i="31"/>
  <c r="DA94" i="31"/>
  <c r="CH94" i="31"/>
  <c r="BL94" i="31"/>
  <c r="CZ94" i="31"/>
  <c r="CC94" i="31"/>
  <c r="DI73" i="31"/>
  <c r="DA73" i="31"/>
  <c r="CS73" i="31"/>
  <c r="CK73" i="31"/>
  <c r="CC73" i="31"/>
  <c r="BU73" i="31"/>
  <c r="BM73" i="31"/>
  <c r="DH73" i="31"/>
  <c r="CZ73" i="31"/>
  <c r="CR73" i="31"/>
  <c r="CJ73" i="31"/>
  <c r="CB73" i="31"/>
  <c r="BT73" i="31"/>
  <c r="BL73" i="31"/>
  <c r="DG73" i="31"/>
  <c r="CY73" i="31"/>
  <c r="CQ73" i="31"/>
  <c r="CI73" i="31"/>
  <c r="CA73" i="31"/>
  <c r="BS73" i="31"/>
  <c r="BK73" i="31"/>
  <c r="DF73" i="31"/>
  <c r="CX73" i="31"/>
  <c r="CP73" i="31"/>
  <c r="CH73" i="31"/>
  <c r="BZ73" i="31"/>
  <c r="BR73" i="31"/>
  <c r="DE73" i="31"/>
  <c r="CW73" i="31"/>
  <c r="CO73" i="31"/>
  <c r="CG73" i="31"/>
  <c r="BY73" i="31"/>
  <c r="BQ73" i="31"/>
  <c r="DD73" i="31"/>
  <c r="CV73" i="31"/>
  <c r="CN73" i="31"/>
  <c r="CF73" i="31"/>
  <c r="BX73" i="31"/>
  <c r="BP73" i="31"/>
  <c r="DC73" i="31"/>
  <c r="CU73" i="31"/>
  <c r="CM73" i="31"/>
  <c r="CE73" i="31"/>
  <c r="BW73" i="31"/>
  <c r="BO73" i="31"/>
  <c r="CL73" i="31"/>
  <c r="CD73" i="31"/>
  <c r="BV73" i="31"/>
  <c r="BN73" i="31"/>
  <c r="DB73" i="31"/>
  <c r="CT73" i="31"/>
  <c r="DJ73" i="31"/>
  <c r="DG102" i="31"/>
  <c r="CY102" i="31"/>
  <c r="CQ102" i="31"/>
  <c r="CI102" i="31"/>
  <c r="CA102" i="31"/>
  <c r="BS102" i="31"/>
  <c r="BK102" i="31"/>
  <c r="DE102" i="31"/>
  <c r="CW102" i="31"/>
  <c r="CO102" i="31"/>
  <c r="CG102" i="31"/>
  <c r="BY102" i="31"/>
  <c r="BQ102" i="31"/>
  <c r="DD102" i="31"/>
  <c r="CV102" i="31"/>
  <c r="CN102" i="31"/>
  <c r="CF102" i="31"/>
  <c r="BX102" i="31"/>
  <c r="BP102" i="31"/>
  <c r="DC102" i="31"/>
  <c r="CU102" i="31"/>
  <c r="CM102" i="31"/>
  <c r="CE102" i="31"/>
  <c r="BW102" i="31"/>
  <c r="BO102" i="31"/>
  <c r="DJ102" i="31"/>
  <c r="DB102" i="31"/>
  <c r="CT102" i="31"/>
  <c r="CL102" i="31"/>
  <c r="CD102" i="31"/>
  <c r="BV102" i="31"/>
  <c r="BN102" i="31"/>
  <c r="CR102" i="31"/>
  <c r="BU102" i="31"/>
  <c r="DI102" i="31"/>
  <c r="CP102" i="31"/>
  <c r="BT102" i="31"/>
  <c r="DH102" i="31"/>
  <c r="CK102" i="31"/>
  <c r="BR102" i="31"/>
  <c r="DF102" i="31"/>
  <c r="CJ102" i="31"/>
  <c r="BM102" i="31"/>
  <c r="DA102" i="31"/>
  <c r="CH102" i="31"/>
  <c r="BL102" i="31"/>
  <c r="CZ102" i="31"/>
  <c r="CC102" i="31"/>
  <c r="CX102" i="31"/>
  <c r="CB102" i="31"/>
  <c r="CS102" i="31"/>
  <c r="BZ102" i="31"/>
  <c r="F210" i="24"/>
  <c r="DI91" i="31"/>
  <c r="DA91" i="31"/>
  <c r="CS91" i="31"/>
  <c r="CK91" i="31"/>
  <c r="CC91" i="31"/>
  <c r="BU91" i="31"/>
  <c r="BM91" i="31"/>
  <c r="DH91" i="31"/>
  <c r="CZ91" i="31"/>
  <c r="CR91" i="31"/>
  <c r="CJ91" i="31"/>
  <c r="CB91" i="31"/>
  <c r="BT91" i="31"/>
  <c r="BL91" i="31"/>
  <c r="DG91" i="31"/>
  <c r="CY91" i="31"/>
  <c r="CQ91" i="31"/>
  <c r="CI91" i="31"/>
  <c r="CA91" i="31"/>
  <c r="BS91" i="31"/>
  <c r="BK91" i="31"/>
  <c r="DF91" i="31"/>
  <c r="CX91" i="31"/>
  <c r="CP91" i="31"/>
  <c r="CH91" i="31"/>
  <c r="BZ91" i="31"/>
  <c r="BR91" i="31"/>
  <c r="DE91" i="31"/>
  <c r="CW91" i="31"/>
  <c r="CO91" i="31"/>
  <c r="CG91" i="31"/>
  <c r="BY91" i="31"/>
  <c r="BQ91" i="31"/>
  <c r="DD91" i="31"/>
  <c r="CV91" i="31"/>
  <c r="CN91" i="31"/>
  <c r="CF91" i="31"/>
  <c r="BX91" i="31"/>
  <c r="BP91" i="31"/>
  <c r="DC91" i="31"/>
  <c r="CU91" i="31"/>
  <c r="CM91" i="31"/>
  <c r="CE91" i="31"/>
  <c r="BW91" i="31"/>
  <c r="BO91" i="31"/>
  <c r="CD91" i="31"/>
  <c r="BV91" i="31"/>
  <c r="BN91" i="31"/>
  <c r="DJ91" i="31"/>
  <c r="DB91" i="31"/>
  <c r="CT91" i="31"/>
  <c r="CL91" i="31"/>
  <c r="DE89" i="31"/>
  <c r="CW89" i="31"/>
  <c r="CO89" i="31"/>
  <c r="CG89" i="31"/>
  <c r="BY89" i="31"/>
  <c r="BQ89" i="31"/>
  <c r="DD89" i="31"/>
  <c r="CV89" i="31"/>
  <c r="CN89" i="31"/>
  <c r="CF89" i="31"/>
  <c r="BX89" i="31"/>
  <c r="BP89" i="31"/>
  <c r="DC89" i="31"/>
  <c r="CU89" i="31"/>
  <c r="CM89" i="31"/>
  <c r="CE89" i="31"/>
  <c r="BW89" i="31"/>
  <c r="BO89" i="31"/>
  <c r="DJ89" i="31"/>
  <c r="DB89" i="31"/>
  <c r="CT89" i="31"/>
  <c r="CL89" i="31"/>
  <c r="CD89" i="31"/>
  <c r="BV89" i="31"/>
  <c r="BN89" i="31"/>
  <c r="DI89" i="31"/>
  <c r="DA89" i="31"/>
  <c r="CS89" i="31"/>
  <c r="CK89" i="31"/>
  <c r="CC89" i="31"/>
  <c r="BU89" i="31"/>
  <c r="BM89" i="31"/>
  <c r="DH89" i="31"/>
  <c r="CZ89" i="31"/>
  <c r="CR89" i="31"/>
  <c r="CJ89" i="31"/>
  <c r="CB89" i="31"/>
  <c r="BT89" i="31"/>
  <c r="BL89" i="31"/>
  <c r="DG89" i="31"/>
  <c r="CY89" i="31"/>
  <c r="CQ89" i="31"/>
  <c r="CI89" i="31"/>
  <c r="CA89" i="31"/>
  <c r="BS89" i="31"/>
  <c r="BK89" i="31"/>
  <c r="DF89" i="31"/>
  <c r="CX89" i="31"/>
  <c r="CP89" i="31"/>
  <c r="CH89" i="31"/>
  <c r="BZ89" i="31"/>
  <c r="BR89" i="31"/>
  <c r="DD31" i="31"/>
  <c r="CV31" i="31"/>
  <c r="CN31" i="31"/>
  <c r="CF31" i="31"/>
  <c r="BX31" i="31"/>
  <c r="BP31" i="31"/>
  <c r="DC31" i="31"/>
  <c r="CU31" i="31"/>
  <c r="CM31" i="31"/>
  <c r="CE31" i="31"/>
  <c r="BW31" i="31"/>
  <c r="BO31" i="31"/>
  <c r="DJ31" i="31"/>
  <c r="DB31" i="31"/>
  <c r="CT31" i="31"/>
  <c r="CL31" i="31"/>
  <c r="CD31" i="31"/>
  <c r="BV31" i="31"/>
  <c r="BN31" i="31"/>
  <c r="DI31" i="31"/>
  <c r="DA31" i="31"/>
  <c r="CS31" i="31"/>
  <c r="CK31" i="31"/>
  <c r="CC31" i="31"/>
  <c r="BU31" i="31"/>
  <c r="BM31" i="31"/>
  <c r="DG31" i="31"/>
  <c r="CY31" i="31"/>
  <c r="CQ31" i="31"/>
  <c r="CI31" i="31"/>
  <c r="CA31" i="31"/>
  <c r="BS31" i="31"/>
  <c r="BK31" i="31"/>
  <c r="DF31" i="31"/>
  <c r="CX31" i="31"/>
  <c r="CP31" i="31"/>
  <c r="CH31" i="31"/>
  <c r="BZ31" i="31"/>
  <c r="BR31" i="31"/>
  <c r="CW31" i="31"/>
  <c r="BQ31" i="31"/>
  <c r="CR31" i="31"/>
  <c r="BL31" i="31"/>
  <c r="CO31" i="31"/>
  <c r="CJ31" i="31"/>
  <c r="CG31" i="31"/>
  <c r="DE31" i="31"/>
  <c r="BY31" i="31"/>
  <c r="CZ31" i="31"/>
  <c r="BT31" i="31"/>
  <c r="CB31" i="31"/>
  <c r="DH31" i="31"/>
  <c r="DE97" i="31"/>
  <c r="CW97" i="31"/>
  <c r="CO97" i="31"/>
  <c r="CG97" i="31"/>
  <c r="BY97" i="31"/>
  <c r="BQ97" i="31"/>
  <c r="DC97" i="31"/>
  <c r="CU97" i="31"/>
  <c r="CM97" i="31"/>
  <c r="CE97" i="31"/>
  <c r="BW97" i="31"/>
  <c r="BO97" i="31"/>
  <c r="DJ97" i="31"/>
  <c r="DB97" i="31"/>
  <c r="CT97" i="31"/>
  <c r="CL97" i="31"/>
  <c r="CD97" i="31"/>
  <c r="BV97" i="31"/>
  <c r="BN97" i="31"/>
  <c r="DI97" i="31"/>
  <c r="DA97" i="31"/>
  <c r="CS97" i="31"/>
  <c r="CK97" i="31"/>
  <c r="CC97" i="31"/>
  <c r="BU97" i="31"/>
  <c r="BM97" i="31"/>
  <c r="DH97" i="31"/>
  <c r="CZ97" i="31"/>
  <c r="CR97" i="31"/>
  <c r="CJ97" i="31"/>
  <c r="CB97" i="31"/>
  <c r="BT97" i="31"/>
  <c r="BL97" i="31"/>
  <c r="DF97" i="31"/>
  <c r="CI97" i="31"/>
  <c r="BP97" i="31"/>
  <c r="DD97" i="31"/>
  <c r="CH97" i="31"/>
  <c r="BK97" i="31"/>
  <c r="CY97" i="31"/>
  <c r="CF97" i="31"/>
  <c r="CX97" i="31"/>
  <c r="CA97" i="31"/>
  <c r="CV97" i="31"/>
  <c r="BZ97" i="31"/>
  <c r="CQ97" i="31"/>
  <c r="BX97" i="31"/>
  <c r="CP97" i="31"/>
  <c r="BS97" i="31"/>
  <c r="DG97" i="31"/>
  <c r="CN97" i="31"/>
  <c r="BR97" i="31"/>
  <c r="DG62" i="31"/>
  <c r="CY62" i="31"/>
  <c r="CQ62" i="31"/>
  <c r="CI62" i="31"/>
  <c r="CA62" i="31"/>
  <c r="BS62" i="31"/>
  <c r="BK62" i="31"/>
  <c r="DF62" i="31"/>
  <c r="CX62" i="31"/>
  <c r="CP62" i="31"/>
  <c r="CH62" i="31"/>
  <c r="BZ62" i="31"/>
  <c r="BR62" i="31"/>
  <c r="DE62" i="31"/>
  <c r="CW62" i="31"/>
  <c r="CO62" i="31"/>
  <c r="CG62" i="31"/>
  <c r="BY62" i="31"/>
  <c r="BQ62" i="31"/>
  <c r="DD62" i="31"/>
  <c r="CV62" i="31"/>
  <c r="CN62" i="31"/>
  <c r="CF62" i="31"/>
  <c r="BX62" i="31"/>
  <c r="BP62" i="31"/>
  <c r="DC62" i="31"/>
  <c r="CU62" i="31"/>
  <c r="CM62" i="31"/>
  <c r="CE62" i="31"/>
  <c r="BW62" i="31"/>
  <c r="BO62" i="31"/>
  <c r="DI62" i="31"/>
  <c r="DA62" i="31"/>
  <c r="CS62" i="31"/>
  <c r="CK62" i="31"/>
  <c r="CC62" i="31"/>
  <c r="BU62" i="31"/>
  <c r="BM62" i="31"/>
  <c r="DH62" i="31"/>
  <c r="CZ62" i="31"/>
  <c r="CR62" i="31"/>
  <c r="CJ62" i="31"/>
  <c r="CB62" i="31"/>
  <c r="BT62" i="31"/>
  <c r="BL62" i="31"/>
  <c r="CL62" i="31"/>
  <c r="CD62" i="31"/>
  <c r="BV62" i="31"/>
  <c r="DJ62" i="31"/>
  <c r="DB62" i="31"/>
  <c r="CT62" i="31"/>
  <c r="BN62" i="31"/>
  <c r="DC88" i="31"/>
  <c r="CU88" i="31"/>
  <c r="CM88" i="31"/>
  <c r="CE88" i="31"/>
  <c r="BW88" i="31"/>
  <c r="BO88" i="31"/>
  <c r="DJ88" i="31"/>
  <c r="DB88" i="31"/>
  <c r="CT88" i="31"/>
  <c r="CL88" i="31"/>
  <c r="CD88" i="31"/>
  <c r="BV88" i="31"/>
  <c r="BN88" i="31"/>
  <c r="DI88" i="31"/>
  <c r="DA88" i="31"/>
  <c r="CS88" i="31"/>
  <c r="CK88" i="31"/>
  <c r="CC88" i="31"/>
  <c r="BU88" i="31"/>
  <c r="BM88" i="31"/>
  <c r="DH88" i="31"/>
  <c r="CZ88" i="31"/>
  <c r="CR88" i="31"/>
  <c r="CJ88" i="31"/>
  <c r="CB88" i="31"/>
  <c r="BT88" i="31"/>
  <c r="BL88" i="31"/>
  <c r="DG88" i="31"/>
  <c r="CY88" i="31"/>
  <c r="CQ88" i="31"/>
  <c r="CI88" i="31"/>
  <c r="CA88" i="31"/>
  <c r="BS88" i="31"/>
  <c r="BK88" i="31"/>
  <c r="DF88" i="31"/>
  <c r="CX88" i="31"/>
  <c r="CP88" i="31"/>
  <c r="CH88" i="31"/>
  <c r="BZ88" i="31"/>
  <c r="BR88" i="31"/>
  <c r="DE88" i="31"/>
  <c r="CW88" i="31"/>
  <c r="CO88" i="31"/>
  <c r="CG88" i="31"/>
  <c r="BY88" i="31"/>
  <c r="BQ88" i="31"/>
  <c r="DD88" i="31"/>
  <c r="CV88" i="31"/>
  <c r="CN88" i="31"/>
  <c r="CF88" i="31"/>
  <c r="BX88" i="31"/>
  <c r="BP88" i="31"/>
  <c r="F188" i="24"/>
  <c r="F165" i="24"/>
  <c r="F156" i="24"/>
  <c r="F143" i="24"/>
  <c r="F217" i="24"/>
  <c r="F148" i="24"/>
  <c r="F180" i="24"/>
  <c r="F142" i="24"/>
  <c r="F160" i="24"/>
  <c r="F185" i="24"/>
  <c r="F171" i="24"/>
  <c r="F170" i="24"/>
  <c r="F183" i="24"/>
  <c r="F166" i="24"/>
  <c r="F177" i="24"/>
  <c r="F222" i="24"/>
  <c r="F193" i="24"/>
  <c r="F151" i="24"/>
  <c r="F190" i="24"/>
  <c r="F163" i="24"/>
  <c r="F201" i="24"/>
  <c r="F215" i="24"/>
  <c r="F159" i="24"/>
  <c r="F158" i="24"/>
  <c r="F212" i="24"/>
  <c r="F189" i="24"/>
  <c r="F150" i="24"/>
  <c r="F216" i="24"/>
  <c r="F184" i="24"/>
  <c r="F221" i="24"/>
  <c r="F192" i="24"/>
  <c r="F213" i="24"/>
  <c r="F181" i="24"/>
  <c r="F208" i="24"/>
  <c r="F187" i="24"/>
  <c r="F173" i="24"/>
  <c r="F152" i="24"/>
  <c r="F157" i="24"/>
  <c r="F149" i="24"/>
  <c r="F146" i="24"/>
  <c r="F191" i="24"/>
  <c r="F161" i="24"/>
  <c r="F137" i="24"/>
  <c r="F136" i="24"/>
  <c r="F138" i="24"/>
  <c r="F135" i="24"/>
  <c r="F133" i="24"/>
  <c r="F132" i="24"/>
  <c r="F134" i="24"/>
  <c r="F129" i="24"/>
  <c r="F130" i="24"/>
  <c r="F131" i="24"/>
  <c r="F128" i="24"/>
  <c r="A213" i="12"/>
  <c r="B210" i="3"/>
  <c r="AP201" i="6" s="1"/>
  <c r="AQ201" i="6"/>
  <c r="F127" i="24"/>
  <c r="F126" i="24"/>
  <c r="F125" i="24"/>
  <c r="F124" i="24"/>
  <c r="I74" i="32"/>
  <c r="I87" i="32"/>
  <c r="I29" i="32"/>
  <c r="I93" i="32"/>
  <c r="I94" i="32"/>
  <c r="I64" i="32"/>
  <c r="I27" i="32"/>
  <c r="I28" i="32"/>
  <c r="I66" i="32"/>
  <c r="I91" i="32"/>
  <c r="DK66" i="31" l="1"/>
  <c r="DK169" i="31"/>
  <c r="I177" i="32"/>
  <c r="DK38" i="31"/>
  <c r="I45" i="32" s="1"/>
  <c r="DK9" i="31"/>
  <c r="I16" i="32" s="1"/>
  <c r="DK71" i="31"/>
  <c r="I78" i="32" s="1"/>
  <c r="DK13" i="31"/>
  <c r="I20" i="32" s="1"/>
  <c r="DK26" i="31"/>
  <c r="I33" i="32" s="1"/>
  <c r="DK65" i="31"/>
  <c r="DK68" i="31"/>
  <c r="I75" i="32" s="1"/>
  <c r="DK92" i="31"/>
  <c r="I99" i="32" s="1"/>
  <c r="DK12" i="31"/>
  <c r="DK90" i="31"/>
  <c r="I97" i="32" s="1"/>
  <c r="DK14" i="31"/>
  <c r="I21" i="32" s="1"/>
  <c r="DK29" i="31"/>
  <c r="I36" i="32" s="1"/>
  <c r="DK50" i="31"/>
  <c r="I57" i="32" s="1"/>
  <c r="DK42" i="31"/>
  <c r="DK15" i="31"/>
  <c r="DK94" i="31"/>
  <c r="DK11" i="31"/>
  <c r="DK70" i="31"/>
  <c r="I77" i="32" s="1"/>
  <c r="DK48" i="31"/>
  <c r="I55" i="32" s="1"/>
  <c r="DK40" i="31"/>
  <c r="I47" i="32" s="1"/>
  <c r="DK74" i="31"/>
  <c r="I81" i="32" s="1"/>
  <c r="DK10" i="31"/>
  <c r="DK41" i="31"/>
  <c r="I48" i="32" s="1"/>
  <c r="DK44" i="31"/>
  <c r="DK28" i="31"/>
  <c r="I35" i="32" s="1"/>
  <c r="DK91" i="31"/>
  <c r="I98" i="32" s="1"/>
  <c r="DK33" i="31"/>
  <c r="I40" i="32" s="1"/>
  <c r="DK27" i="31"/>
  <c r="I34" i="32" s="1"/>
  <c r="DK17" i="31"/>
  <c r="I24" i="32" s="1"/>
  <c r="DK82" i="31"/>
  <c r="DK51" i="31"/>
  <c r="DK43" i="31"/>
  <c r="I50" i="32" s="1"/>
  <c r="DK75" i="31"/>
  <c r="I82" i="32" s="1"/>
  <c r="DK47" i="31"/>
  <c r="I54" i="32" s="1"/>
  <c r="DK69" i="31"/>
  <c r="I76" i="32" s="1"/>
  <c r="DK81" i="31"/>
  <c r="I88" i="32" s="1"/>
  <c r="DK37" i="31"/>
  <c r="I44" i="32" s="1"/>
  <c r="DK97" i="31"/>
  <c r="DK31" i="31"/>
  <c r="I38" i="32" s="1"/>
  <c r="DK89" i="31"/>
  <c r="DK25" i="31"/>
  <c r="I32" i="32" s="1"/>
  <c r="DK83" i="31"/>
  <c r="I90" i="32" s="1"/>
  <c r="DK35" i="31"/>
  <c r="I42" i="32" s="1"/>
  <c r="DK32" i="31"/>
  <c r="I39" i="32" s="1"/>
  <c r="DK95" i="31"/>
  <c r="I102" i="32" s="1"/>
  <c r="DK98" i="31"/>
  <c r="I105" i="32" s="1"/>
  <c r="DK88" i="31"/>
  <c r="DK6" i="31"/>
  <c r="I13" i="32" s="1"/>
  <c r="DK96" i="31"/>
  <c r="I103" i="32" s="1"/>
  <c r="DK72" i="31"/>
  <c r="I79" i="32" s="1"/>
  <c r="DK34" i="31"/>
  <c r="I41" i="32" s="1"/>
  <c r="DK36" i="31"/>
  <c r="I43" i="32" s="1"/>
  <c r="DK46" i="31"/>
  <c r="I53" i="32" s="1"/>
  <c r="DK45" i="31"/>
  <c r="DK55" i="31"/>
  <c r="I62" i="32" s="1"/>
  <c r="DK62" i="31"/>
  <c r="DK73" i="31"/>
  <c r="I80" i="32" s="1"/>
  <c r="DK16" i="31"/>
  <c r="I23" i="32" s="1"/>
  <c r="DK58" i="31"/>
  <c r="I65" i="32" s="1"/>
  <c r="DK7" i="31"/>
  <c r="I14" i="32" s="1"/>
  <c r="DK60" i="31"/>
  <c r="I67" i="32" s="1"/>
  <c r="DK53" i="31"/>
  <c r="I60" i="32" s="1"/>
  <c r="DK100" i="31"/>
  <c r="I107" i="32" s="1"/>
  <c r="DK52" i="31"/>
  <c r="I59" i="32" s="1"/>
  <c r="DK77" i="31"/>
  <c r="I84" i="32" s="1"/>
  <c r="DK99" i="31"/>
  <c r="I106" i="32" s="1"/>
  <c r="DK64" i="31"/>
  <c r="I71" i="32" s="1"/>
  <c r="DK93" i="31"/>
  <c r="I100" i="32" s="1"/>
  <c r="DK23" i="31"/>
  <c r="I30" i="32" s="1"/>
  <c r="DK61" i="31"/>
  <c r="I68" i="32" s="1"/>
  <c r="DK8" i="31"/>
  <c r="I15" i="32" s="1"/>
  <c r="DK39" i="31"/>
  <c r="I46" i="32" s="1"/>
  <c r="DK5" i="31"/>
  <c r="I12" i="32" s="1"/>
  <c r="DK102" i="31"/>
  <c r="I109" i="32" s="1"/>
  <c r="DK54" i="31"/>
  <c r="I61" i="32" s="1"/>
  <c r="DK30" i="31"/>
  <c r="I37" i="32" s="1"/>
  <c r="DK103" i="31"/>
  <c r="I110" i="32" s="1"/>
  <c r="DK104" i="31"/>
  <c r="I111" i="32" s="1"/>
  <c r="DK85" i="31"/>
  <c r="I92" i="32" s="1"/>
  <c r="DK19" i="31"/>
  <c r="I26" i="32" s="1"/>
  <c r="DK56" i="31"/>
  <c r="I63" i="32" s="1"/>
  <c r="DK24" i="31"/>
  <c r="I31" i="32" s="1"/>
  <c r="DK18" i="31"/>
  <c r="I25" i="32" s="1"/>
  <c r="DL4" i="31"/>
  <c r="I52" i="32"/>
  <c r="I73" i="32"/>
  <c r="I58" i="32"/>
  <c r="I69" i="32"/>
  <c r="I104" i="32"/>
  <c r="I89" i="32"/>
  <c r="I51" i="32"/>
  <c r="I49" i="32"/>
  <c r="I72" i="32"/>
  <c r="I95" i="32"/>
  <c r="I101" i="32"/>
  <c r="I96" i="32"/>
  <c r="I22" i="32"/>
  <c r="I17" i="32"/>
  <c r="I19" i="32"/>
  <c r="I18" i="32"/>
  <c r="A214" i="12"/>
  <c r="B211" i="3"/>
  <c r="AP202" i="6" s="1"/>
  <c r="AQ202" i="6"/>
  <c r="CE4" i="31"/>
  <c r="CF4" i="31"/>
  <c r="CG4" i="31"/>
  <c r="DF4" i="31"/>
  <c r="CX4" i="31"/>
  <c r="CA4" i="31"/>
  <c r="CV4" i="31"/>
  <c r="CP4" i="31"/>
  <c r="CL4" i="31"/>
  <c r="CJ4" i="31"/>
  <c r="BT4" i="31"/>
  <c r="BV4" i="31"/>
  <c r="BQ4" i="31"/>
  <c r="BK4" i="31"/>
  <c r="DG4" i="31"/>
  <c r="DH4" i="31"/>
  <c r="BM4" i="31"/>
  <c r="DI4" i="31"/>
  <c r="CW4" i="31"/>
  <c r="DB4" i="31"/>
  <c r="CT4" i="31"/>
  <c r="CO4" i="31"/>
  <c r="CK4" i="31"/>
  <c r="CI4" i="31"/>
  <c r="CC4" i="31"/>
  <c r="BY4" i="31"/>
  <c r="BU4" i="31"/>
  <c r="BO4" i="31"/>
  <c r="CY4" i="31"/>
  <c r="BL4" i="31"/>
  <c r="DE4" i="31"/>
  <c r="DC4" i="31"/>
  <c r="I59" i="17" s="1"/>
  <c r="K59" i="17" s="1"/>
  <c r="DA4" i="31"/>
  <c r="CR4" i="31"/>
  <c r="CN4" i="31"/>
  <c r="I44" i="17" s="1"/>
  <c r="K44" i="17" s="1"/>
  <c r="CU4" i="31"/>
  <c r="CH4" i="31"/>
  <c r="CB4" i="31"/>
  <c r="BX4" i="31"/>
  <c r="BS4" i="31"/>
  <c r="BP4" i="31"/>
  <c r="DJ4" i="31"/>
  <c r="DD4" i="31"/>
  <c r="I60" i="17" s="1"/>
  <c r="K60" i="17" s="1"/>
  <c r="CZ4" i="31"/>
  <c r="CQ4" i="31"/>
  <c r="CM4" i="31"/>
  <c r="I43" i="17" s="1"/>
  <c r="K43" i="17" s="1"/>
  <c r="CS4" i="31"/>
  <c r="CD4" i="31"/>
  <c r="I34" i="17" s="1"/>
  <c r="K34" i="17" s="1"/>
  <c r="BZ4" i="31"/>
  <c r="BW4" i="31"/>
  <c r="BR4" i="31"/>
  <c r="BN4" i="31"/>
  <c r="I56" i="17" l="1"/>
  <c r="K56" i="17" s="1"/>
  <c r="I27" i="17"/>
  <c r="K27" i="17" s="1"/>
  <c r="I32" i="17"/>
  <c r="K32" i="17" s="1"/>
  <c r="I66" i="17"/>
  <c r="I67" i="17" s="1"/>
  <c r="K67" i="17" s="1"/>
  <c r="I20" i="17"/>
  <c r="K20" i="17" s="1"/>
  <c r="I18" i="17"/>
  <c r="K18" i="17" s="1"/>
  <c r="I19" i="17"/>
  <c r="K19" i="17" s="1"/>
  <c r="I48" i="17"/>
  <c r="K48" i="17" s="1"/>
  <c r="I30" i="17"/>
  <c r="K30" i="17" s="1"/>
  <c r="I23" i="17"/>
  <c r="K23" i="17" s="1"/>
  <c r="I29" i="17"/>
  <c r="K29" i="17" s="1"/>
  <c r="I16" i="17"/>
  <c r="I47" i="17"/>
  <c r="I50" i="17"/>
  <c r="K50" i="17" s="1"/>
  <c r="I40" i="17"/>
  <c r="K40" i="17" s="1"/>
  <c r="I33" i="17"/>
  <c r="K33" i="17" s="1"/>
  <c r="I45" i="17"/>
  <c r="I38" i="17"/>
  <c r="K38" i="17" s="1"/>
  <c r="I22" i="17"/>
  <c r="K22" i="17" s="1"/>
  <c r="I28" i="17"/>
  <c r="K28" i="17" s="1"/>
  <c r="I31" i="17"/>
  <c r="I21" i="17"/>
  <c r="K21" i="17" s="1"/>
  <c r="I26" i="17"/>
  <c r="I25" i="17"/>
  <c r="K25" i="17" s="1"/>
  <c r="I24" i="17"/>
  <c r="K24" i="17" s="1"/>
  <c r="I37" i="17"/>
  <c r="K37" i="17" s="1"/>
  <c r="I36" i="17"/>
  <c r="K36" i="17" s="1"/>
  <c r="I17" i="17"/>
  <c r="I42" i="17"/>
  <c r="K42" i="17" s="1"/>
  <c r="I35" i="17"/>
  <c r="K35" i="17" s="1"/>
  <c r="I46" i="17"/>
  <c r="K46" i="17" s="1"/>
  <c r="I39" i="17"/>
  <c r="I41" i="17"/>
  <c r="I63" i="17"/>
  <c r="K63" i="17" s="1"/>
  <c r="DK168" i="31"/>
  <c r="I176" i="32"/>
  <c r="B212" i="3"/>
  <c r="AP203" i="6" s="1"/>
  <c r="AQ203" i="6"/>
  <c r="I49" i="17"/>
  <c r="I15" i="17"/>
  <c r="K15" i="17" s="1"/>
  <c r="I53" i="17"/>
  <c r="K53" i="17" s="1"/>
  <c r="I55" i="17"/>
  <c r="K55" i="17" s="1"/>
  <c r="I65" i="17"/>
  <c r="K65" i="17" s="1"/>
  <c r="I51" i="17"/>
  <c r="K51" i="17" s="1"/>
  <c r="I57" i="17"/>
  <c r="I52" i="17"/>
  <c r="I58" i="17"/>
  <c r="I64" i="17"/>
  <c r="K64" i="17" s="1"/>
  <c r="I61" i="17"/>
  <c r="I54" i="17"/>
  <c r="I62" i="17"/>
  <c r="DK4" i="31"/>
  <c r="C4" i="24" s="1"/>
  <c r="P43" i="17"/>
  <c r="P34" i="17"/>
  <c r="P56" i="17" l="1"/>
  <c r="P27" i="17"/>
  <c r="P66" i="17"/>
  <c r="K66" i="17"/>
  <c r="P23" i="17"/>
  <c r="P48" i="17"/>
  <c r="P30" i="17"/>
  <c r="P40" i="17"/>
  <c r="P41" i="17"/>
  <c r="K41" i="17"/>
  <c r="P45" i="17"/>
  <c r="K45" i="17"/>
  <c r="P39" i="17"/>
  <c r="K39" i="17"/>
  <c r="P58" i="17"/>
  <c r="K58" i="17"/>
  <c r="P49" i="17"/>
  <c r="K49" i="17"/>
  <c r="P26" i="17"/>
  <c r="K26" i="17"/>
  <c r="P54" i="17"/>
  <c r="K54" i="17"/>
  <c r="P57" i="17"/>
  <c r="K57" i="17"/>
  <c r="P31" i="17"/>
  <c r="K31" i="17"/>
  <c r="P47" i="17"/>
  <c r="K47" i="17"/>
  <c r="P61" i="17"/>
  <c r="K61" i="17"/>
  <c r="P52" i="17"/>
  <c r="K52" i="17"/>
  <c r="P17" i="17"/>
  <c r="K17" i="17"/>
  <c r="P62" i="17"/>
  <c r="K62" i="17"/>
  <c r="P15" i="17"/>
  <c r="DK167" i="31"/>
  <c r="I175" i="32"/>
  <c r="A215" i="12"/>
  <c r="A216" i="12"/>
  <c r="B213" i="3"/>
  <c r="AP204" i="6" s="1"/>
  <c r="AQ204" i="6"/>
  <c r="P53" i="17"/>
  <c r="I70" i="17"/>
  <c r="P67" i="17"/>
  <c r="P18" i="17"/>
  <c r="P16" i="17"/>
  <c r="P63" i="17"/>
  <c r="P38" i="17"/>
  <c r="P32" i="17"/>
  <c r="P51" i="17"/>
  <c r="P60" i="17"/>
  <c r="P22" i="17"/>
  <c r="P36" i="17"/>
  <c r="P20" i="17"/>
  <c r="P25" i="17"/>
  <c r="P55" i="17"/>
  <c r="P35" i="17"/>
  <c r="P33" i="17"/>
  <c r="P21" i="17"/>
  <c r="P28" i="17"/>
  <c r="P29" i="17"/>
  <c r="P44" i="17"/>
  <c r="P42" i="17"/>
  <c r="P50" i="17"/>
  <c r="P46" i="17"/>
  <c r="P19" i="17"/>
  <c r="P59" i="17"/>
  <c r="P37" i="17"/>
  <c r="P24" i="17"/>
  <c r="P65" i="17"/>
  <c r="P64" i="17"/>
  <c r="DK166" i="31" l="1"/>
  <c r="I174" i="32"/>
  <c r="A217" i="12"/>
  <c r="B214" i="3"/>
  <c r="AP205" i="6" s="1"/>
  <c r="AQ205" i="6"/>
  <c r="DK165" i="31" l="1"/>
  <c r="I173" i="32"/>
  <c r="A218" i="12"/>
  <c r="B215" i="3"/>
  <c r="AP206" i="6" s="1"/>
  <c r="AQ206" i="6"/>
  <c r="DK164" i="31" l="1"/>
  <c r="I172" i="32"/>
  <c r="B216" i="3"/>
  <c r="AP207" i="6" s="1"/>
  <c r="A219" i="12"/>
  <c r="AQ207" i="6"/>
  <c r="I46" i="36"/>
  <c r="I49" i="36"/>
  <c r="I48" i="36"/>
  <c r="DK163" i="31" l="1"/>
  <c r="I171" i="32"/>
  <c r="B217" i="3"/>
  <c r="AP208" i="6" s="1"/>
  <c r="AQ208" i="6"/>
  <c r="E45" i="26"/>
  <c r="F32" i="11" s="1"/>
  <c r="H32" i="11"/>
  <c r="H33" i="11" s="1"/>
  <c r="DK162" i="31" l="1"/>
  <c r="I170" i="32"/>
  <c r="A220" i="12"/>
  <c r="A221" i="12"/>
  <c r="B218" i="3"/>
  <c r="AP209" i="6" s="1"/>
  <c r="AQ209" i="6"/>
  <c r="DK161" i="31" l="1"/>
  <c r="I169" i="32"/>
  <c r="B219" i="3"/>
  <c r="AP210" i="6" s="1"/>
  <c r="AQ210" i="6"/>
  <c r="DK160" i="31" l="1"/>
  <c r="I168" i="32"/>
  <c r="A222" i="12"/>
  <c r="A223" i="12"/>
  <c r="B220" i="3"/>
  <c r="AP211" i="6" s="1"/>
  <c r="AQ211" i="6"/>
  <c r="DK159" i="31" l="1"/>
  <c r="I167" i="32"/>
  <c r="AG3" i="12"/>
  <c r="A224" i="12"/>
  <c r="B221" i="3"/>
  <c r="AP212" i="6" s="1"/>
  <c r="AQ212" i="6"/>
  <c r="DK158" i="31" l="1"/>
  <c r="I166" i="32"/>
  <c r="AG4" i="12"/>
  <c r="B222" i="3"/>
  <c r="AP213" i="6" s="1"/>
  <c r="A225" i="12"/>
  <c r="AQ213" i="6"/>
  <c r="DK157" i="31" l="1"/>
  <c r="I165" i="32"/>
  <c r="AG5" i="12"/>
  <c r="A226" i="12"/>
  <c r="B223" i="3"/>
  <c r="AP214" i="6" s="1"/>
  <c r="AQ214" i="6"/>
  <c r="DK156" i="31" l="1"/>
  <c r="I164" i="32"/>
  <c r="AG6" i="12"/>
  <c r="B224" i="3"/>
  <c r="AP215" i="6" s="1"/>
  <c r="A227" i="12"/>
  <c r="AQ215" i="6"/>
  <c r="DK155" i="31" l="1"/>
  <c r="I163" i="32"/>
  <c r="AG7" i="12"/>
  <c r="B225" i="3"/>
  <c r="AP216" i="6" s="1"/>
  <c r="A228" i="12"/>
  <c r="AQ216" i="6"/>
  <c r="DK154" i="31" l="1"/>
  <c r="I162" i="32"/>
  <c r="AG8" i="12"/>
  <c r="B226" i="3"/>
  <c r="AP217" i="6" s="1"/>
  <c r="A229" i="12"/>
  <c r="AQ217" i="6"/>
  <c r="DK153" i="31" l="1"/>
  <c r="I161" i="32"/>
  <c r="AG9" i="12"/>
  <c r="A230" i="12"/>
  <c r="B227" i="3"/>
  <c r="AP218" i="6" s="1"/>
  <c r="AQ218" i="6"/>
  <c r="DK152" i="31" l="1"/>
  <c r="I160" i="32"/>
  <c r="AG10" i="12"/>
  <c r="A231" i="12"/>
  <c r="B228" i="3"/>
  <c r="AP219" i="6" s="1"/>
  <c r="AQ219" i="6"/>
  <c r="DK151" i="31" l="1"/>
  <c r="I159" i="32"/>
  <c r="AG11" i="12"/>
  <c r="A232" i="12"/>
  <c r="B229" i="3"/>
  <c r="AP220" i="6" s="1"/>
  <c r="AQ220" i="6"/>
  <c r="DK150" i="31" l="1"/>
  <c r="I158" i="32"/>
  <c r="AG12" i="12"/>
  <c r="A233" i="12"/>
  <c r="B230" i="3"/>
  <c r="AP221" i="6" s="1"/>
  <c r="AQ221" i="6"/>
  <c r="DK149" i="31" l="1"/>
  <c r="I157" i="32"/>
  <c r="AG13" i="12"/>
  <c r="A234" i="12"/>
  <c r="B231" i="3"/>
  <c r="AP222" i="6" s="1"/>
  <c r="AQ222" i="6"/>
  <c r="DK148" i="31" l="1"/>
  <c r="I156" i="32"/>
  <c r="AG14" i="12"/>
  <c r="A235" i="12"/>
  <c r="B232" i="3"/>
  <c r="AP223" i="6" s="1"/>
  <c r="AQ223" i="6"/>
  <c r="DK147" i="31" l="1"/>
  <c r="I155" i="32"/>
  <c r="AG15" i="12"/>
  <c r="B233" i="3"/>
  <c r="AP224" i="6" s="1"/>
  <c r="A236" i="12"/>
  <c r="AQ224" i="6"/>
  <c r="DK146" i="31" l="1"/>
  <c r="I154" i="32"/>
  <c r="AG16" i="12"/>
  <c r="A237" i="12"/>
  <c r="B234" i="3"/>
  <c r="AP225" i="6" s="1"/>
  <c r="AQ225" i="6"/>
  <c r="DK145" i="31" l="1"/>
  <c r="I153" i="32"/>
  <c r="AG17" i="12"/>
  <c r="B235" i="3"/>
  <c r="AP226" i="6" s="1"/>
  <c r="A238" i="12"/>
  <c r="AQ226" i="6"/>
  <c r="DK144" i="31" l="1"/>
  <c r="I152" i="32"/>
  <c r="AG18" i="12"/>
  <c r="A239" i="12"/>
  <c r="B236" i="3"/>
  <c r="AP227" i="6" s="1"/>
  <c r="AQ227" i="6"/>
  <c r="DK143" i="31" l="1"/>
  <c r="I151" i="32"/>
  <c r="AG19" i="12"/>
  <c r="A240" i="12"/>
  <c r="B237" i="3"/>
  <c r="AP228" i="6" s="1"/>
  <c r="AQ228" i="6"/>
  <c r="DK142" i="31" l="1"/>
  <c r="I150" i="32"/>
  <c r="AG20" i="12"/>
  <c r="A241" i="12"/>
  <c r="B238" i="3"/>
  <c r="AP229" i="6" s="1"/>
  <c r="AQ229" i="6"/>
  <c r="DK141" i="31" l="1"/>
  <c r="I149" i="32"/>
  <c r="AG21" i="12"/>
  <c r="AQ230" i="6"/>
  <c r="B239" i="3"/>
  <c r="AP230" i="6" s="1"/>
  <c r="A242" i="12"/>
  <c r="DK140" i="31" l="1"/>
  <c r="I148" i="32"/>
  <c r="AG22" i="12"/>
  <c r="B240" i="3"/>
  <c r="AP231" i="6" s="1"/>
  <c r="A243" i="12"/>
  <c r="AQ231" i="6"/>
  <c r="DK139" i="31" l="1"/>
  <c r="I147" i="32"/>
  <c r="AG23" i="12"/>
  <c r="A244" i="12"/>
  <c r="B241" i="3"/>
  <c r="AP232" i="6" s="1"/>
  <c r="AQ232" i="6"/>
  <c r="DK138" i="31" l="1"/>
  <c r="I146" i="32"/>
  <c r="AG24" i="12"/>
  <c r="A245" i="12"/>
  <c r="B242" i="3"/>
  <c r="AP233" i="6" s="1"/>
  <c r="AQ233" i="6"/>
  <c r="DK137" i="31" l="1"/>
  <c r="I145" i="32"/>
  <c r="AG25" i="12"/>
  <c r="A246" i="12"/>
  <c r="B243" i="3"/>
  <c r="AP234" i="6" s="1"/>
  <c r="AQ234" i="6"/>
  <c r="DK136" i="31" l="1"/>
  <c r="I144" i="32"/>
  <c r="AG26" i="12"/>
  <c r="A247" i="12"/>
  <c r="B244" i="3"/>
  <c r="AP235" i="6" s="1"/>
  <c r="AQ235" i="6"/>
  <c r="DK135" i="31" l="1"/>
  <c r="I143" i="32"/>
  <c r="AG27" i="12"/>
  <c r="A248" i="12"/>
  <c r="B245" i="3"/>
  <c r="AP236" i="6" s="1"/>
  <c r="AQ236" i="6"/>
  <c r="DK134" i="31" l="1"/>
  <c r="I142" i="32"/>
  <c r="AG28" i="12"/>
  <c r="A249" i="12"/>
  <c r="B246" i="3"/>
  <c r="AP237" i="6" s="1"/>
  <c r="AQ237" i="6"/>
  <c r="DK133" i="31" l="1"/>
  <c r="I141" i="32"/>
  <c r="AG29" i="12"/>
  <c r="A250" i="12"/>
  <c r="B247" i="3"/>
  <c r="AP238" i="6" s="1"/>
  <c r="AQ238" i="6"/>
  <c r="DK132" i="31" l="1"/>
  <c r="I140" i="32"/>
  <c r="AG30" i="12"/>
  <c r="B248" i="3"/>
  <c r="AP239" i="6" s="1"/>
  <c r="A251" i="12"/>
  <c r="AQ239" i="6"/>
  <c r="DK131" i="31" l="1"/>
  <c r="I139" i="32"/>
  <c r="AG31" i="12"/>
  <c r="A252" i="12"/>
  <c r="B249" i="3"/>
  <c r="AP240" i="6" s="1"/>
  <c r="AQ240" i="6"/>
  <c r="DK130" i="31" l="1"/>
  <c r="I138" i="32"/>
  <c r="AG32" i="12"/>
  <c r="B250" i="3"/>
  <c r="AP241" i="6" s="1"/>
  <c r="A253" i="12"/>
  <c r="AQ241" i="6"/>
  <c r="DK129" i="31" l="1"/>
  <c r="I137" i="32"/>
  <c r="AG33" i="12"/>
  <c r="B251" i="3"/>
  <c r="AP242" i="6" s="1"/>
  <c r="A254" i="12"/>
  <c r="AQ242" i="6"/>
  <c r="DK128" i="31" l="1"/>
  <c r="I136" i="32"/>
  <c r="AG34" i="12"/>
  <c r="A255" i="12"/>
  <c r="B252" i="3"/>
  <c r="AP243" i="6" s="1"/>
  <c r="AQ243" i="6"/>
  <c r="DK127" i="31" l="1"/>
  <c r="I135" i="32"/>
  <c r="AG35" i="12"/>
  <c r="B253" i="3"/>
  <c r="AP244" i="6" s="1"/>
  <c r="A256" i="12"/>
  <c r="AQ244" i="6"/>
  <c r="DK126" i="31" l="1"/>
  <c r="I134" i="32"/>
  <c r="AG36" i="12"/>
  <c r="B254" i="3"/>
  <c r="AP245" i="6" s="1"/>
  <c r="A257" i="12"/>
  <c r="AQ245" i="6"/>
  <c r="DK125" i="31" l="1"/>
  <c r="I133" i="32"/>
  <c r="AG37" i="12"/>
  <c r="A258" i="12"/>
  <c r="B255" i="3"/>
  <c r="AP246" i="6" s="1"/>
  <c r="AQ246" i="6"/>
  <c r="DK124" i="31" l="1"/>
  <c r="I132" i="32"/>
  <c r="AG38" i="12"/>
  <c r="B256" i="3"/>
  <c r="AP247" i="6" s="1"/>
  <c r="A259" i="12"/>
  <c r="AQ247" i="6"/>
  <c r="DK123" i="31" l="1"/>
  <c r="I131" i="32"/>
  <c r="AG39" i="12"/>
  <c r="B257" i="3"/>
  <c r="AP248" i="6" s="1"/>
  <c r="A260" i="12"/>
  <c r="AQ248" i="6"/>
  <c r="DK122" i="31" l="1"/>
  <c r="I130" i="32"/>
  <c r="AG40" i="12"/>
  <c r="B258" i="3"/>
  <c r="AP249" i="6" s="1"/>
  <c r="A261" i="12"/>
  <c r="AQ249" i="6"/>
  <c r="DK121" i="31" l="1"/>
  <c r="I129" i="32"/>
  <c r="AG41" i="12"/>
  <c r="B259" i="3"/>
  <c r="AP250" i="6" s="1"/>
  <c r="A262" i="12"/>
  <c r="AQ250" i="6"/>
  <c r="DK120" i="31" l="1"/>
  <c r="I128" i="32"/>
  <c r="AG42" i="12"/>
  <c r="A263" i="12"/>
  <c r="B260" i="3"/>
  <c r="AP251" i="6" s="1"/>
  <c r="AQ251" i="6"/>
  <c r="DK119" i="31" l="1"/>
  <c r="I127" i="32"/>
  <c r="AG43" i="12"/>
  <c r="A264" i="12"/>
  <c r="B261" i="3"/>
  <c r="AP252" i="6" s="1"/>
  <c r="AQ252" i="6"/>
  <c r="DK118" i="31" l="1"/>
  <c r="I126" i="32"/>
  <c r="AG44" i="12"/>
  <c r="A265" i="12"/>
  <c r="B262" i="3"/>
  <c r="AP253" i="6" s="1"/>
  <c r="AQ253" i="6"/>
  <c r="DK117" i="31" l="1"/>
  <c r="I125" i="32"/>
  <c r="AG45" i="12"/>
  <c r="A266" i="12"/>
  <c r="B263" i="3"/>
  <c r="AP254" i="6" s="1"/>
  <c r="AQ254" i="6"/>
  <c r="DK116" i="31" l="1"/>
  <c r="I124" i="32"/>
  <c r="AG46" i="12"/>
  <c r="B264" i="3"/>
  <c r="AP255" i="6" s="1"/>
  <c r="A267" i="12"/>
  <c r="AQ255" i="6"/>
  <c r="DK115" i="31" l="1"/>
  <c r="I123" i="32"/>
  <c r="AG47" i="12"/>
  <c r="A268" i="12"/>
  <c r="B265" i="3"/>
  <c r="AP256" i="6" s="1"/>
  <c r="AQ256" i="6"/>
  <c r="DK114" i="31" l="1"/>
  <c r="I122" i="32"/>
  <c r="AG48" i="12"/>
  <c r="B266" i="3"/>
  <c r="AP257" i="6" s="1"/>
  <c r="A269" i="12"/>
  <c r="AQ257" i="6"/>
  <c r="DK113" i="31" l="1"/>
  <c r="I121" i="32"/>
  <c r="AG49" i="12"/>
  <c r="A270" i="12"/>
  <c r="B267" i="3"/>
  <c r="AP258" i="6" s="1"/>
  <c r="AQ258" i="6"/>
  <c r="DK112" i="31" l="1"/>
  <c r="I120" i="32"/>
  <c r="AG50" i="12"/>
  <c r="B268" i="3"/>
  <c r="AP259" i="6" s="1"/>
  <c r="A271" i="12"/>
  <c r="AQ259" i="6"/>
  <c r="DK111" i="31" l="1"/>
  <c r="I119" i="32"/>
  <c r="AG51" i="12"/>
  <c r="B269" i="3"/>
  <c r="AP260" i="6" s="1"/>
  <c r="A272" i="12"/>
  <c r="AQ260" i="6"/>
  <c r="I118" i="32" l="1"/>
  <c r="D4" i="24"/>
  <c r="AG52" i="12"/>
  <c r="B270" i="3"/>
  <c r="AP261" i="6" s="1"/>
  <c r="A273" i="12"/>
  <c r="AQ261" i="6"/>
  <c r="AG53" i="12" l="1"/>
  <c r="A274" i="12"/>
  <c r="B271" i="3"/>
  <c r="AP262" i="6" s="1"/>
  <c r="AQ262" i="6"/>
  <c r="AG54" i="12" l="1"/>
  <c r="A275" i="12"/>
  <c r="B272" i="3"/>
  <c r="AP263" i="6" s="1"/>
  <c r="AQ263" i="6"/>
  <c r="AX13" i="6" l="1"/>
  <c r="DJ8" i="6"/>
  <c r="DJ7" i="6"/>
  <c r="AX14" i="6"/>
  <c r="DJ9" i="6"/>
  <c r="F5" i="17"/>
  <c r="C8" i="7"/>
  <c r="AX10" i="6"/>
  <c r="R5" i="12" s="1"/>
  <c r="AW13" i="6"/>
  <c r="P5" i="12" s="1"/>
  <c r="M5" i="39" s="1"/>
  <c r="AW11" i="6"/>
  <c r="AW12" i="6" s="1"/>
  <c r="N5" i="12" s="1"/>
  <c r="AW10" i="6"/>
  <c r="O5" i="12" s="1"/>
  <c r="K5" i="39" s="1"/>
  <c r="AW14" i="6"/>
  <c r="Q5" i="12" s="1"/>
  <c r="N5" i="39" s="1"/>
  <c r="G7" i="12"/>
  <c r="M5" i="12"/>
  <c r="J5" i="39" s="1"/>
  <c r="D8" i="12" l="1"/>
  <c r="I7" i="12"/>
  <c r="F8" i="12" l="1"/>
  <c r="E6" i="17"/>
  <c r="D9" i="12"/>
  <c r="H9" i="12" s="1"/>
  <c r="E8" i="12"/>
  <c r="L6" i="12"/>
  <c r="I6" i="39" s="1"/>
  <c r="F75" i="12" l="1"/>
  <c r="F244" i="12"/>
  <c r="F77" i="12"/>
  <c r="F69" i="12"/>
  <c r="F264" i="12"/>
  <c r="F172" i="12"/>
  <c r="F54" i="12"/>
  <c r="F110" i="12"/>
  <c r="F22" i="12"/>
  <c r="F267" i="12"/>
  <c r="F148" i="12"/>
  <c r="F97" i="12"/>
  <c r="F17" i="12"/>
  <c r="F261" i="12"/>
  <c r="F173" i="12"/>
  <c r="F170" i="12"/>
  <c r="F260" i="12"/>
  <c r="F259" i="12"/>
  <c r="F99" i="12"/>
  <c r="F238" i="12"/>
  <c r="F88" i="12"/>
  <c r="F29" i="12"/>
  <c r="F185" i="12"/>
  <c r="F243" i="12"/>
  <c r="F186" i="12"/>
  <c r="F199" i="12"/>
  <c r="F68" i="12"/>
  <c r="F149" i="12"/>
  <c r="F171" i="12"/>
  <c r="F145" i="12"/>
  <c r="F45" i="12"/>
  <c r="F195" i="12"/>
  <c r="F128" i="12"/>
  <c r="F33" i="12"/>
  <c r="F144" i="12"/>
  <c r="F37" i="12"/>
  <c r="F143" i="12"/>
  <c r="F23" i="12"/>
  <c r="F225" i="12"/>
  <c r="F272" i="12"/>
  <c r="F231" i="12"/>
  <c r="F85" i="12"/>
  <c r="F21" i="12"/>
  <c r="F222" i="12"/>
  <c r="F252" i="12"/>
  <c r="F213" i="12"/>
  <c r="F121" i="12"/>
  <c r="F224" i="12"/>
  <c r="F20" i="12"/>
  <c r="F112" i="12"/>
  <c r="F160" i="12"/>
  <c r="F65" i="12"/>
  <c r="F125" i="12"/>
  <c r="F215" i="12"/>
  <c r="F203" i="12"/>
  <c r="F217" i="12"/>
  <c r="F129" i="12"/>
  <c r="F117" i="12"/>
  <c r="F271" i="12"/>
  <c r="F218" i="12"/>
  <c r="F105" i="12"/>
  <c r="F116" i="12"/>
  <c r="F108" i="12"/>
  <c r="F84" i="12"/>
  <c r="F214" i="12"/>
  <c r="F177" i="12"/>
  <c r="F24" i="12"/>
  <c r="F168" i="12"/>
  <c r="F269" i="12"/>
  <c r="F245" i="12"/>
  <c r="F196" i="12"/>
  <c r="F120" i="12"/>
  <c r="F154" i="12"/>
  <c r="F256" i="12"/>
  <c r="F42" i="12"/>
  <c r="F134" i="12"/>
  <c r="F58" i="12"/>
  <c r="F146" i="12"/>
  <c r="F147" i="12"/>
  <c r="F50" i="12"/>
  <c r="F163" i="12"/>
  <c r="F219" i="12"/>
  <c r="F176" i="12"/>
  <c r="F130" i="12"/>
  <c r="F153" i="12"/>
  <c r="F198" i="12"/>
  <c r="F181" i="12"/>
  <c r="F190" i="12"/>
  <c r="F59" i="12"/>
  <c r="F46" i="12"/>
  <c r="F31" i="12"/>
  <c r="F87" i="12"/>
  <c r="F40" i="12"/>
  <c r="F51" i="12"/>
  <c r="F86" i="12"/>
  <c r="F66" i="12"/>
  <c r="F233" i="12"/>
  <c r="F83" i="12"/>
  <c r="F182" i="12"/>
  <c r="F67" i="12"/>
  <c r="F242" i="12"/>
  <c r="F270" i="12"/>
  <c r="F52" i="12"/>
  <c r="F76" i="12"/>
  <c r="F194" i="12"/>
  <c r="F236" i="12"/>
  <c r="F49" i="12"/>
  <c r="F192" i="12"/>
  <c r="F220" i="12"/>
  <c r="F98" i="12"/>
  <c r="F43" i="12"/>
  <c r="F123" i="12"/>
  <c r="F138" i="12"/>
  <c r="F150" i="12"/>
  <c r="F237" i="12"/>
  <c r="F183" i="12"/>
  <c r="F101" i="12"/>
  <c r="F107" i="12"/>
  <c r="F208" i="12"/>
  <c r="F115" i="12"/>
  <c r="F94" i="12"/>
  <c r="F152" i="12"/>
  <c r="F109" i="12"/>
  <c r="F136" i="12"/>
  <c r="F158" i="12"/>
  <c r="F156" i="12"/>
  <c r="F92" i="12"/>
  <c r="F106" i="12"/>
  <c r="F137" i="12"/>
  <c r="F113" i="12"/>
  <c r="F187" i="12"/>
  <c r="F169" i="12"/>
  <c r="F39" i="12"/>
  <c r="F28" i="12"/>
  <c r="F140" i="12"/>
  <c r="F57" i="12"/>
  <c r="E9" i="12"/>
  <c r="F9" i="12" s="1"/>
  <c r="F155" i="12"/>
  <c r="F89" i="12"/>
  <c r="F258" i="12"/>
  <c r="F212" i="12"/>
  <c r="F241" i="12"/>
  <c r="F248" i="12"/>
  <c r="F71" i="12"/>
  <c r="F132" i="12"/>
  <c r="F189" i="12"/>
  <c r="F18" i="12"/>
  <c r="F70" i="12"/>
  <c r="F62" i="12"/>
  <c r="F179" i="12"/>
  <c r="F257" i="12"/>
  <c r="F232" i="12"/>
  <c r="F79" i="12"/>
  <c r="F74" i="12"/>
  <c r="F93" i="12"/>
  <c r="F166" i="12"/>
  <c r="F135" i="12"/>
  <c r="F119" i="12"/>
  <c r="F274" i="12"/>
  <c r="F161" i="12"/>
  <c r="F90" i="12"/>
  <c r="F118" i="12"/>
  <c r="F178" i="12"/>
  <c r="F127" i="12"/>
  <c r="F47" i="12"/>
  <c r="F141" i="12"/>
  <c r="F188" i="12"/>
  <c r="F162" i="12"/>
  <c r="F81" i="12"/>
  <c r="F207" i="12"/>
  <c r="F216" i="12"/>
  <c r="F131" i="12"/>
  <c r="F253" i="12"/>
  <c r="F56" i="12"/>
  <c r="F44" i="12"/>
  <c r="F191" i="12"/>
  <c r="F229" i="12"/>
  <c r="F96" i="12"/>
  <c r="F48" i="12"/>
  <c r="F165" i="12"/>
  <c r="F53" i="12"/>
  <c r="F122" i="12"/>
  <c r="F205" i="12"/>
  <c r="F275" i="12"/>
  <c r="F126" i="12"/>
  <c r="F184" i="12"/>
  <c r="F227" i="12"/>
  <c r="F234" i="12"/>
  <c r="F41" i="12"/>
  <c r="F100" i="12"/>
  <c r="F249" i="12"/>
  <c r="F262" i="12"/>
  <c r="F95" i="12"/>
  <c r="F265" i="12"/>
  <c r="F223" i="12"/>
  <c r="F201" i="12"/>
  <c r="F133" i="12"/>
  <c r="F16" i="12"/>
  <c r="F63" i="12"/>
  <c r="F240" i="12"/>
  <c r="F72" i="12"/>
  <c r="F239" i="12"/>
  <c r="F209" i="12"/>
  <c r="F235" i="12"/>
  <c r="F230" i="12"/>
  <c r="F200" i="12"/>
  <c r="F114" i="12"/>
  <c r="F61" i="12"/>
  <c r="F38" i="12"/>
  <c r="F104" i="12"/>
  <c r="F255" i="12"/>
  <c r="F26" i="12"/>
  <c r="F180" i="12"/>
  <c r="F102" i="12"/>
  <c r="F103" i="12"/>
  <c r="F175" i="12"/>
  <c r="F36" i="12"/>
  <c r="F55" i="12"/>
  <c r="F157" i="12"/>
  <c r="F204" i="12"/>
  <c r="F268" i="12"/>
  <c r="F91" i="12"/>
  <c r="F73" i="12"/>
  <c r="F254" i="12"/>
  <c r="F78" i="12"/>
  <c r="F64" i="12"/>
  <c r="F19" i="12"/>
  <c r="F206" i="12"/>
  <c r="F139" i="12"/>
  <c r="F221" i="12"/>
  <c r="F193" i="12"/>
  <c r="F124" i="12"/>
  <c r="F266" i="12"/>
  <c r="F228" i="12"/>
  <c r="F273" i="12"/>
  <c r="F164" i="12"/>
  <c r="F34" i="12"/>
  <c r="F211" i="12"/>
  <c r="F60" i="12"/>
  <c r="F226" i="12"/>
  <c r="F142" i="12"/>
  <c r="F251" i="12"/>
  <c r="F263" i="12"/>
  <c r="F151" i="12"/>
  <c r="F210" i="12"/>
  <c r="F202" i="12"/>
  <c r="F250" i="12"/>
  <c r="F111" i="12"/>
  <c r="F27" i="12"/>
  <c r="F247" i="12"/>
  <c r="F246" i="12"/>
  <c r="F82" i="12"/>
  <c r="F32" i="12"/>
  <c r="F197" i="12"/>
  <c r="F159" i="12"/>
  <c r="F167" i="12"/>
  <c r="F80" i="12"/>
  <c r="F174" i="12"/>
  <c r="F25" i="12"/>
  <c r="F30" i="12"/>
  <c r="F35" i="12"/>
  <c r="C11" i="7" l="1"/>
  <c r="AX20" i="6"/>
  <c r="F6" i="17"/>
  <c r="AX21" i="6"/>
  <c r="M6" i="12"/>
  <c r="G9" i="12"/>
  <c r="AW18" i="6"/>
  <c r="AW19" i="6" s="1"/>
  <c r="N6" i="12" s="1"/>
  <c r="DJ11" i="6"/>
  <c r="AX17" i="6"/>
  <c r="R6" i="12" s="1"/>
  <c r="AX18" i="6"/>
  <c r="AX19" i="6" s="1"/>
  <c r="DJ12" i="6"/>
  <c r="DJ13" i="6"/>
  <c r="AW20" i="6"/>
  <c r="P6" i="12" s="1"/>
  <c r="M6" i="39" s="1"/>
  <c r="AW21" i="6"/>
  <c r="Q6" i="12" s="1"/>
  <c r="N6" i="39" s="1"/>
  <c r="AW17" i="6"/>
  <c r="O6" i="12" s="1"/>
  <c r="K6" i="39" s="1"/>
  <c r="I9" i="12" l="1"/>
  <c r="D10" i="12"/>
  <c r="J6" i="39"/>
  <c r="E7" i="17" l="1"/>
  <c r="E10" i="12"/>
  <c r="F10" i="12"/>
  <c r="L7" i="12"/>
  <c r="I7" i="39" s="1"/>
  <c r="D11" i="12"/>
  <c r="G168" i="12" l="1"/>
  <c r="H11" i="12"/>
  <c r="G70" i="12"/>
  <c r="G219" i="12"/>
  <c r="G58" i="12"/>
  <c r="G140" i="12"/>
  <c r="G104" i="12"/>
  <c r="G76" i="12"/>
  <c r="G179" i="12"/>
  <c r="G220" i="12"/>
  <c r="G81" i="12"/>
  <c r="G75" i="12"/>
  <c r="G25" i="12"/>
  <c r="G193" i="12"/>
  <c r="G194" i="12"/>
  <c r="G233" i="12"/>
  <c r="G157" i="12"/>
  <c r="G255" i="12"/>
  <c r="G89" i="12"/>
  <c r="G51" i="12"/>
  <c r="G38" i="12"/>
  <c r="G94" i="12"/>
  <c r="G275" i="12"/>
  <c r="G37" i="12"/>
  <c r="G88" i="12"/>
  <c r="G59" i="12"/>
  <c r="G118" i="12"/>
  <c r="G41" i="12"/>
  <c r="G116" i="12"/>
  <c r="G203" i="12"/>
  <c r="G225" i="12"/>
  <c r="G259" i="12"/>
  <c r="G98" i="12"/>
  <c r="G110" i="12"/>
  <c r="G190" i="12"/>
  <c r="G228" i="12"/>
  <c r="G191" i="12"/>
  <c r="G52" i="12"/>
  <c r="G68" i="12"/>
  <c r="G269" i="12"/>
  <c r="G93" i="12"/>
  <c r="G55" i="12"/>
  <c r="G16" i="12"/>
  <c r="G215" i="12"/>
  <c r="G132" i="12"/>
  <c r="G188" i="12"/>
  <c r="G241" i="12"/>
  <c r="G17" i="12"/>
  <c r="G187" i="12"/>
  <c r="G214" i="12"/>
  <c r="G148" i="12"/>
  <c r="G176" i="12"/>
  <c r="G170" i="12"/>
  <c r="G221" i="12"/>
  <c r="G102" i="12"/>
  <c r="G45" i="12"/>
  <c r="G213" i="12"/>
  <c r="G44" i="12"/>
  <c r="G178" i="12"/>
  <c r="G108" i="12"/>
  <c r="G54" i="12"/>
  <c r="G207" i="12"/>
  <c r="G242" i="12"/>
  <c r="G205" i="12"/>
  <c r="G34" i="12"/>
  <c r="G260" i="12"/>
  <c r="G197" i="12"/>
  <c r="G204" i="12"/>
  <c r="G134" i="12"/>
  <c r="G175" i="12"/>
  <c r="G266" i="12"/>
  <c r="G229" i="12"/>
  <c r="G62" i="12"/>
  <c r="G50" i="12"/>
  <c r="G238" i="12"/>
  <c r="G166" i="12"/>
  <c r="G106" i="12"/>
  <c r="G261" i="12"/>
  <c r="G272" i="12"/>
  <c r="G85" i="12"/>
  <c r="G20" i="12"/>
  <c r="G109" i="12"/>
  <c r="G142" i="12"/>
  <c r="G64" i="12"/>
  <c r="G46" i="12"/>
  <c r="G171" i="12"/>
  <c r="G249" i="12"/>
  <c r="G23" i="12"/>
  <c r="G83" i="12"/>
  <c r="G223" i="12"/>
  <c r="G32" i="12"/>
  <c r="G208" i="12"/>
  <c r="G200" i="12"/>
  <c r="G117" i="12"/>
  <c r="G243" i="12"/>
  <c r="G136" i="12"/>
  <c r="G173" i="12"/>
  <c r="G36" i="12"/>
  <c r="G160" i="12"/>
  <c r="G80" i="12"/>
  <c r="G28" i="12"/>
  <c r="G256" i="12"/>
  <c r="G252" i="12"/>
  <c r="G209" i="12"/>
  <c r="G196" i="12"/>
  <c r="G152" i="12"/>
  <c r="G250" i="12"/>
  <c r="G130" i="12"/>
  <c r="G227" i="12"/>
  <c r="G254" i="12"/>
  <c r="G153" i="12"/>
  <c r="G177" i="12"/>
  <c r="G21" i="12"/>
  <c r="G172" i="12"/>
  <c r="G206" i="12"/>
  <c r="G156" i="12"/>
  <c r="G192" i="12"/>
  <c r="G40" i="12"/>
  <c r="G127" i="12"/>
  <c r="G135" i="12"/>
  <c r="G186" i="12"/>
  <c r="G22" i="12"/>
  <c r="G159" i="12"/>
  <c r="G234" i="12"/>
  <c r="G169" i="12"/>
  <c r="G201" i="12"/>
  <c r="G247" i="12"/>
  <c r="G141" i="12"/>
  <c r="G270" i="12"/>
  <c r="G35" i="12"/>
  <c r="G112" i="12"/>
  <c r="G107" i="12"/>
  <c r="G138" i="12"/>
  <c r="G126" i="12"/>
  <c r="G165" i="12"/>
  <c r="G155" i="12"/>
  <c r="G164" i="12"/>
  <c r="G103" i="12"/>
  <c r="G263" i="12"/>
  <c r="G87" i="12"/>
  <c r="G24" i="12"/>
  <c r="G33" i="12"/>
  <c r="G167" i="12"/>
  <c r="G211" i="12"/>
  <c r="G39" i="12"/>
  <c r="G99" i="12"/>
  <c r="G144" i="12"/>
  <c r="G77" i="12"/>
  <c r="G218" i="12"/>
  <c r="G217" i="12"/>
  <c r="G124" i="12"/>
  <c r="G226" i="12"/>
  <c r="G237" i="12"/>
  <c r="G212" i="12"/>
  <c r="G139" i="12"/>
  <c r="G131" i="12"/>
  <c r="G231" i="12"/>
  <c r="G145" i="12"/>
  <c r="G182" i="12"/>
  <c r="G82" i="12"/>
  <c r="G235" i="12"/>
  <c r="G101" i="12"/>
  <c r="G43" i="12"/>
  <c r="G210" i="12"/>
  <c r="G114" i="12"/>
  <c r="G240" i="12"/>
  <c r="G92" i="12"/>
  <c r="G174" i="12"/>
  <c r="G202" i="12"/>
  <c r="G27" i="12"/>
  <c r="G273" i="12"/>
  <c r="G31" i="12"/>
  <c r="G19" i="12"/>
  <c r="G162" i="12"/>
  <c r="G236" i="12"/>
  <c r="G65" i="12"/>
  <c r="G66" i="12"/>
  <c r="G244" i="12"/>
  <c r="G121" i="12"/>
  <c r="G84" i="12"/>
  <c r="G257" i="12"/>
  <c r="G123" i="12"/>
  <c r="G129" i="12"/>
  <c r="G26" i="12"/>
  <c r="G232" i="12"/>
  <c r="G18" i="12"/>
  <c r="G100" i="12"/>
  <c r="G268" i="12"/>
  <c r="G151" i="12"/>
  <c r="G189" i="12"/>
  <c r="G271" i="12"/>
  <c r="G224" i="12"/>
  <c r="G258" i="12"/>
  <c r="G163" i="12"/>
  <c r="E11" i="12"/>
  <c r="F11" i="12" s="1"/>
  <c r="G90" i="12"/>
  <c r="G78" i="12"/>
  <c r="G63" i="12"/>
  <c r="G265" i="12"/>
  <c r="G199" i="12"/>
  <c r="G60" i="12"/>
  <c r="G198" i="12"/>
  <c r="G91" i="12"/>
  <c r="G274" i="12"/>
  <c r="G230" i="12"/>
  <c r="G264" i="12"/>
  <c r="G137" i="12"/>
  <c r="G146" i="12"/>
  <c r="G120" i="12"/>
  <c r="G86" i="12"/>
  <c r="G180" i="12"/>
  <c r="G158" i="12"/>
  <c r="G29" i="12"/>
  <c r="G71" i="12"/>
  <c r="G73" i="12"/>
  <c r="G150" i="12"/>
  <c r="G30" i="12"/>
  <c r="G222" i="12"/>
  <c r="G69" i="12"/>
  <c r="G67" i="12"/>
  <c r="G251" i="12"/>
  <c r="G161" i="12"/>
  <c r="G128" i="12"/>
  <c r="G95" i="12"/>
  <c r="G57" i="12"/>
  <c r="G97" i="12"/>
  <c r="G262" i="12"/>
  <c r="G184" i="12"/>
  <c r="G111" i="12"/>
  <c r="G253" i="12"/>
  <c r="G195" i="12"/>
  <c r="G119" i="12"/>
  <c r="G79" i="12"/>
  <c r="G61" i="12"/>
  <c r="G72" i="12"/>
  <c r="G185" i="12"/>
  <c r="G154" i="12"/>
  <c r="G53" i="12"/>
  <c r="G246" i="12"/>
  <c r="G245" i="12"/>
  <c r="G115" i="12"/>
  <c r="G183" i="12"/>
  <c r="G113" i="12"/>
  <c r="G216" i="12"/>
  <c r="G143" i="12"/>
  <c r="G125" i="12"/>
  <c r="G248" i="12"/>
  <c r="G147" i="12"/>
  <c r="G49" i="12"/>
  <c r="G48" i="12"/>
  <c r="G133" i="12"/>
  <c r="G122" i="12"/>
  <c r="G56" i="12"/>
  <c r="G42" i="12"/>
  <c r="G96" i="12"/>
  <c r="G47" i="12"/>
  <c r="G149" i="12"/>
  <c r="G239" i="12"/>
  <c r="G181" i="12"/>
  <c r="G74" i="12"/>
  <c r="G267" i="12"/>
  <c r="G105" i="12"/>
  <c r="C14" i="7" l="1"/>
  <c r="F7" i="17"/>
  <c r="AY25" i="6"/>
  <c r="AX28" i="6"/>
  <c r="AX29" i="6"/>
  <c r="M7" i="12"/>
  <c r="G11" i="12"/>
  <c r="I11" i="12" s="1"/>
  <c r="DJ15" i="6"/>
  <c r="AW28" i="6"/>
  <c r="P7" i="12" s="1"/>
  <c r="M7" i="39" s="1"/>
  <c r="DJ17" i="6"/>
  <c r="AW29" i="6"/>
  <c r="Q7" i="12" s="1"/>
  <c r="N7" i="39" s="1"/>
  <c r="AX26" i="6"/>
  <c r="AX27" i="6" s="1"/>
  <c r="AW26" i="6"/>
  <c r="AW27" i="6" s="1"/>
  <c r="N7" i="12" s="1"/>
  <c r="AW25" i="6"/>
  <c r="O7" i="12" s="1"/>
  <c r="K7" i="39" s="1"/>
  <c r="DJ16" i="6"/>
  <c r="AX25" i="6"/>
  <c r="R7" i="12" s="1"/>
  <c r="B18" i="26"/>
  <c r="A12" i="11" l="1"/>
  <c r="X264" i="6"/>
  <c r="W264" i="6"/>
  <c r="U264" i="6"/>
  <c r="Q264" i="6"/>
  <c r="R264" i="6"/>
  <c r="O264" i="6"/>
  <c r="V264" i="6"/>
  <c r="BH12" i="6"/>
  <c r="BL12" i="6" s="1"/>
  <c r="BG11" i="6"/>
  <c r="BK11" i="6" s="1"/>
  <c r="BH8" i="6"/>
  <c r="BL8" i="6" s="1"/>
  <c r="BH11" i="6"/>
  <c r="BL11" i="6" s="1"/>
  <c r="A17" i="7"/>
  <c r="A19" i="7"/>
  <c r="BH14" i="6"/>
  <c r="BL14" i="6" s="1"/>
  <c r="N264" i="6"/>
  <c r="P264" i="6"/>
  <c r="S264" i="6"/>
  <c r="T264" i="6"/>
  <c r="BG15" i="6"/>
  <c r="BK15" i="6" s="1"/>
  <c r="BG14" i="6"/>
  <c r="BK14" i="6" s="1"/>
  <c r="BH15" i="6"/>
  <c r="BL15" i="6" s="1"/>
  <c r="BH9" i="6"/>
  <c r="BL9" i="6" s="1"/>
  <c r="BG12" i="6"/>
  <c r="BK12" i="6" s="1"/>
  <c r="BG9" i="6"/>
  <c r="BK9" i="6" s="1"/>
  <c r="BF8" i="6"/>
  <c r="BG10" i="6"/>
  <c r="BK10" i="6" s="1"/>
  <c r="BF14" i="6"/>
  <c r="BF7" i="6"/>
  <c r="BF11" i="6"/>
  <c r="BH13" i="6"/>
  <c r="BL13" i="6" s="1"/>
  <c r="BH10" i="6"/>
  <c r="BL10" i="6" s="1"/>
  <c r="BG13" i="6"/>
  <c r="BK13" i="6" s="1"/>
  <c r="BG8" i="6"/>
  <c r="BK8" i="6" s="1"/>
  <c r="BG7" i="6"/>
  <c r="BK7" i="6" s="1"/>
  <c r="BF15" i="6"/>
  <c r="BF13" i="6"/>
  <c r="BH7" i="6"/>
  <c r="BL7" i="6" s="1"/>
  <c r="BF9" i="6"/>
  <c r="BF12" i="6"/>
  <c r="BG6" i="6"/>
  <c r="BH6" i="6"/>
  <c r="BF10" i="6"/>
  <c r="BF6" i="6"/>
  <c r="AI2" i="2"/>
  <c r="J7" i="39"/>
  <c r="M10" i="12"/>
  <c r="AI4" i="12" l="1"/>
  <c r="AI6" i="12"/>
  <c r="AI9" i="12"/>
  <c r="AI2" i="12"/>
  <c r="AI10" i="12"/>
  <c r="AI7" i="12"/>
  <c r="AI5" i="12"/>
  <c r="AI8" i="12"/>
  <c r="AI3" i="12"/>
  <c r="AI12" i="12"/>
  <c r="AI17" i="12"/>
  <c r="AI15" i="12"/>
  <c r="AI24" i="12"/>
  <c r="AI11" i="12"/>
  <c r="AI13" i="12"/>
  <c r="AI19" i="12"/>
  <c r="AI21" i="12"/>
  <c r="AI18" i="12"/>
  <c r="AI14" i="12"/>
  <c r="AI22" i="12"/>
  <c r="AI16" i="12"/>
  <c r="AI20" i="12"/>
  <c r="AI23" i="12"/>
  <c r="BF16" i="6"/>
  <c r="BF18" i="6" s="1"/>
  <c r="BJ6" i="6"/>
  <c r="BI6" i="6"/>
  <c r="BI12" i="6"/>
  <c r="BJ12" i="6"/>
  <c r="BI15" i="6"/>
  <c r="BJ15" i="6"/>
  <c r="BI14" i="6"/>
  <c r="BJ14" i="6"/>
  <c r="BK6" i="6"/>
  <c r="BG16" i="6"/>
  <c r="BG18" i="6" s="1"/>
  <c r="BI10" i="6"/>
  <c r="BJ10" i="6"/>
  <c r="BI9" i="6"/>
  <c r="BJ9" i="6"/>
  <c r="BI13" i="6"/>
  <c r="BJ13" i="6"/>
  <c r="BI7" i="6"/>
  <c r="BJ7" i="6"/>
  <c r="S7" i="12"/>
  <c r="M11" i="12"/>
  <c r="S6" i="12"/>
  <c r="S5" i="12"/>
  <c r="AI27" i="12"/>
  <c r="AI37" i="12"/>
  <c r="AI48" i="12"/>
  <c r="AI45" i="12"/>
  <c r="AI34" i="12"/>
  <c r="AI53" i="12"/>
  <c r="AI54" i="12"/>
  <c r="AI26" i="12"/>
  <c r="AI38" i="12"/>
  <c r="AI43" i="12"/>
  <c r="AI29" i="12"/>
  <c r="AI36" i="12"/>
  <c r="AI40" i="12"/>
  <c r="AI35" i="12"/>
  <c r="AI31" i="12"/>
  <c r="AI49" i="12"/>
  <c r="AI47" i="12"/>
  <c r="AI25" i="12"/>
  <c r="AI32" i="12"/>
  <c r="AI39" i="12"/>
  <c r="AI42" i="12"/>
  <c r="AI51" i="12"/>
  <c r="AI50" i="12"/>
  <c r="AI30" i="12"/>
  <c r="AI44" i="12"/>
  <c r="AI41" i="12"/>
  <c r="AI52" i="12"/>
  <c r="AI28" i="12"/>
  <c r="AI46" i="12"/>
  <c r="AI33" i="12"/>
  <c r="BH16" i="6"/>
  <c r="BH18" i="6" s="1"/>
  <c r="BL6" i="6"/>
  <c r="BI11" i="6"/>
  <c r="BJ11" i="6"/>
  <c r="BI8" i="6"/>
  <c r="BJ8" i="6"/>
  <c r="I187" i="12" l="1"/>
  <c r="I190" i="12"/>
  <c r="I202" i="12"/>
  <c r="I219" i="12"/>
  <c r="I188" i="12"/>
  <c r="I193" i="12"/>
  <c r="I195" i="12"/>
  <c r="I209" i="12"/>
  <c r="I264" i="12"/>
  <c r="I189" i="12"/>
  <c r="I203" i="12"/>
  <c r="I201" i="12"/>
  <c r="I191" i="12"/>
  <c r="I167" i="12"/>
  <c r="I205" i="12"/>
  <c r="I207" i="12"/>
  <c r="I211" i="12"/>
  <c r="I274" i="12"/>
  <c r="I206" i="12"/>
  <c r="I208" i="12"/>
  <c r="I262" i="12"/>
  <c r="I196" i="12"/>
  <c r="I221" i="12"/>
  <c r="I214" i="12"/>
  <c r="I263" i="12"/>
  <c r="I266" i="12"/>
  <c r="I199" i="12"/>
  <c r="I194" i="12"/>
  <c r="I270" i="12"/>
  <c r="I210" i="12"/>
  <c r="I204" i="12"/>
  <c r="I218" i="12"/>
  <c r="I168" i="12"/>
  <c r="I212" i="12"/>
  <c r="I200" i="12"/>
  <c r="I268" i="12"/>
  <c r="I220" i="12"/>
  <c r="I192" i="12"/>
  <c r="I198" i="12"/>
  <c r="I217" i="12"/>
  <c r="I215" i="12"/>
  <c r="I222" i="12"/>
  <c r="I170" i="12"/>
  <c r="I225" i="12"/>
  <c r="I172" i="12"/>
  <c r="I176" i="12"/>
  <c r="I175" i="12"/>
  <c r="I232" i="12"/>
  <c r="I235" i="12"/>
  <c r="I238" i="12"/>
  <c r="I239" i="12"/>
  <c r="I272" i="12"/>
  <c r="I197" i="12"/>
  <c r="I224" i="12"/>
  <c r="I173" i="12"/>
  <c r="I177" i="12"/>
  <c r="I181" i="12"/>
  <c r="I234" i="12"/>
  <c r="I236" i="12"/>
  <c r="I169" i="12"/>
  <c r="I216" i="12"/>
  <c r="I223" i="12"/>
  <c r="I174" i="12"/>
  <c r="I228" i="12"/>
  <c r="I178" i="12"/>
  <c r="I229" i="12"/>
  <c r="I231" i="12"/>
  <c r="I182" i="12"/>
  <c r="I184" i="12"/>
  <c r="I185" i="12"/>
  <c r="I180" i="12"/>
  <c r="I230" i="12"/>
  <c r="I241" i="12"/>
  <c r="I244" i="12"/>
  <c r="I248" i="12"/>
  <c r="I250" i="12"/>
  <c r="I251" i="12"/>
  <c r="I253" i="12"/>
  <c r="I255" i="12"/>
  <c r="I260" i="12"/>
  <c r="I242" i="12"/>
  <c r="I171" i="12"/>
  <c r="I179" i="12"/>
  <c r="I240" i="12"/>
  <c r="I247" i="12"/>
  <c r="I249" i="12"/>
  <c r="I256" i="12"/>
  <c r="I267" i="12"/>
  <c r="I269" i="12"/>
  <c r="I273" i="12"/>
  <c r="I261" i="12"/>
  <c r="I275" i="12"/>
  <c r="I233" i="12"/>
  <c r="I226" i="12"/>
  <c r="I227" i="12"/>
  <c r="I183" i="12"/>
  <c r="I237" i="12"/>
  <c r="I243" i="12"/>
  <c r="I245" i="12"/>
  <c r="I252" i="12"/>
  <c r="I254" i="12"/>
  <c r="I257" i="12"/>
  <c r="I258" i="12"/>
  <c r="I259" i="12"/>
  <c r="I265" i="12"/>
  <c r="I213" i="12"/>
  <c r="I186" i="12"/>
  <c r="I246" i="12"/>
  <c r="I271" i="12"/>
  <c r="BM15" i="6"/>
  <c r="BC15" i="6" s="1"/>
  <c r="BM13" i="6"/>
  <c r="BC13" i="6" s="1"/>
  <c r="BM14" i="6"/>
  <c r="BC14" i="6" s="1"/>
  <c r="BM11" i="6"/>
  <c r="BC11" i="6" s="1"/>
  <c r="BM8" i="6"/>
  <c r="BC8" i="6" s="1"/>
  <c r="BM9" i="6"/>
  <c r="BC9" i="6" s="1"/>
  <c r="BM10" i="6"/>
  <c r="BC10" i="6" s="1"/>
  <c r="BM12" i="6"/>
  <c r="BC12" i="6" s="1"/>
  <c r="L53" i="39"/>
  <c r="I73" i="12"/>
  <c r="I125" i="12"/>
  <c r="I21" i="12"/>
  <c r="L56" i="39"/>
  <c r="I24" i="12"/>
  <c r="I128" i="12"/>
  <c r="I76" i="12"/>
  <c r="L49" i="39"/>
  <c r="I69" i="12"/>
  <c r="I17" i="12"/>
  <c r="I121" i="12"/>
  <c r="L54" i="39"/>
  <c r="I74" i="12"/>
  <c r="I22" i="12"/>
  <c r="I126" i="12"/>
  <c r="I71" i="12"/>
  <c r="I19" i="12"/>
  <c r="L51" i="39"/>
  <c r="I123" i="12"/>
  <c r="L55" i="39"/>
  <c r="I23" i="12"/>
  <c r="I75" i="12"/>
  <c r="I127" i="12"/>
  <c r="I18" i="12"/>
  <c r="I70" i="12"/>
  <c r="L50" i="39"/>
  <c r="I122" i="12"/>
  <c r="L52" i="39"/>
  <c r="I124" i="12"/>
  <c r="I72" i="12"/>
  <c r="I20" i="12"/>
  <c r="L48" i="39"/>
  <c r="I120" i="12"/>
  <c r="I16" i="12"/>
  <c r="I68" i="12"/>
  <c r="L62" i="39"/>
  <c r="I82" i="12"/>
  <c r="I134" i="12"/>
  <c r="I30" i="12"/>
  <c r="L15" i="39"/>
  <c r="I139" i="12"/>
  <c r="I35" i="12"/>
  <c r="I87" i="12"/>
  <c r="L18" i="39"/>
  <c r="I38" i="12"/>
  <c r="I142" i="12"/>
  <c r="I90" i="12"/>
  <c r="I140" i="12"/>
  <c r="I36" i="12"/>
  <c r="L16" i="39"/>
  <c r="I88" i="12"/>
  <c r="I33" i="12"/>
  <c r="L13" i="39"/>
  <c r="I137" i="12"/>
  <c r="I85" i="12"/>
  <c r="I29" i="12"/>
  <c r="L61" i="39"/>
  <c r="I81" i="12"/>
  <c r="I133" i="12"/>
  <c r="I89" i="12"/>
  <c r="L17" i="39"/>
  <c r="I141" i="12"/>
  <c r="I37" i="12"/>
  <c r="L60" i="39"/>
  <c r="I80" i="12"/>
  <c r="I132" i="12"/>
  <c r="I28" i="12"/>
  <c r="I27" i="12"/>
  <c r="L59" i="39"/>
  <c r="I131" i="12"/>
  <c r="I79" i="12"/>
  <c r="I31" i="12"/>
  <c r="I135" i="12"/>
  <c r="I83" i="12"/>
  <c r="L63" i="39"/>
  <c r="I86" i="12"/>
  <c r="L14" i="39"/>
  <c r="I138" i="12"/>
  <c r="I34" i="12"/>
  <c r="L64" i="39"/>
  <c r="I32" i="12"/>
  <c r="I84" i="12"/>
  <c r="I136" i="12"/>
  <c r="I129" i="12"/>
  <c r="L57" i="39"/>
  <c r="I25" i="12"/>
  <c r="I77" i="12"/>
  <c r="I78" i="12"/>
  <c r="I130" i="12"/>
  <c r="L58" i="39"/>
  <c r="I26" i="12"/>
  <c r="S10" i="12"/>
  <c r="S11" i="12" s="1"/>
  <c r="I148" i="12"/>
  <c r="I96" i="12"/>
  <c r="I44" i="12"/>
  <c r="L24" i="39"/>
  <c r="I154" i="12"/>
  <c r="I50" i="12"/>
  <c r="I102" i="12"/>
  <c r="L30" i="39"/>
  <c r="BM7" i="6"/>
  <c r="BC7" i="6" s="1"/>
  <c r="I118" i="12"/>
  <c r="I66" i="12"/>
  <c r="L46" i="39"/>
  <c r="I64" i="12"/>
  <c r="I116" i="12"/>
  <c r="L44" i="39"/>
  <c r="I98" i="12"/>
  <c r="I150" i="12"/>
  <c r="I46" i="12"/>
  <c r="L26" i="39"/>
  <c r="I45" i="12"/>
  <c r="I97" i="12"/>
  <c r="I149" i="12"/>
  <c r="L25" i="39"/>
  <c r="I43" i="12"/>
  <c r="I95" i="12"/>
  <c r="I147" i="12"/>
  <c r="L23" i="39"/>
  <c r="I114" i="12"/>
  <c r="I166" i="12"/>
  <c r="I62" i="12"/>
  <c r="L42" i="39"/>
  <c r="BI16" i="6"/>
  <c r="I94" i="12"/>
  <c r="I42" i="12"/>
  <c r="I146" i="12"/>
  <c r="L22" i="39"/>
  <c r="I115" i="12"/>
  <c r="I63" i="12"/>
  <c r="L43" i="39"/>
  <c r="I163" i="12"/>
  <c r="I59" i="12"/>
  <c r="I111" i="12"/>
  <c r="L39" i="39"/>
  <c r="I47" i="12"/>
  <c r="I151" i="12"/>
  <c r="I99" i="12"/>
  <c r="L27" i="39"/>
  <c r="I55" i="12"/>
  <c r="I107" i="12"/>
  <c r="I159" i="12"/>
  <c r="L35" i="39"/>
  <c r="I117" i="12"/>
  <c r="I65" i="12"/>
  <c r="L45" i="39"/>
  <c r="I39" i="12"/>
  <c r="I143" i="12"/>
  <c r="I91" i="12"/>
  <c r="L8" i="12"/>
  <c r="L19" i="39"/>
  <c r="I101" i="12"/>
  <c r="I153" i="12"/>
  <c r="I49" i="12"/>
  <c r="L29" i="39"/>
  <c r="I161" i="12"/>
  <c r="I109" i="12"/>
  <c r="I57" i="12"/>
  <c r="L37" i="39"/>
  <c r="I67" i="12"/>
  <c r="I119" i="12"/>
  <c r="L47" i="39"/>
  <c r="I155" i="12"/>
  <c r="I103" i="12"/>
  <c r="I51" i="12"/>
  <c r="L31" i="39"/>
  <c r="BK16" i="6"/>
  <c r="BJ16" i="6"/>
  <c r="BM6" i="6"/>
  <c r="BL16" i="6"/>
  <c r="I53" i="12"/>
  <c r="I105" i="12"/>
  <c r="I157" i="12"/>
  <c r="L33" i="39"/>
  <c r="I92" i="12"/>
  <c r="I144" i="12"/>
  <c r="I40" i="12"/>
  <c r="L20" i="39"/>
  <c r="I60" i="12"/>
  <c r="I164" i="12"/>
  <c r="I112" i="12"/>
  <c r="L40" i="39"/>
  <c r="I110" i="12"/>
  <c r="I162" i="12"/>
  <c r="I58" i="12"/>
  <c r="L38" i="39"/>
  <c r="I108" i="12"/>
  <c r="I160" i="12"/>
  <c r="I56" i="12"/>
  <c r="L36" i="39"/>
  <c r="I113" i="12"/>
  <c r="I165" i="12"/>
  <c r="I61" i="12"/>
  <c r="L41" i="39"/>
  <c r="I106" i="12"/>
  <c r="I158" i="12"/>
  <c r="I54" i="12"/>
  <c r="L34" i="39"/>
  <c r="I52" i="12"/>
  <c r="I104" i="12"/>
  <c r="I156" i="12"/>
  <c r="L32" i="39"/>
  <c r="I48" i="12"/>
  <c r="I152" i="12"/>
  <c r="I100" i="12"/>
  <c r="L28" i="39"/>
  <c r="I41" i="12"/>
  <c r="I93" i="12"/>
  <c r="I145" i="12"/>
  <c r="L21" i="39"/>
  <c r="N8" i="12"/>
  <c r="AJ11" i="12" l="1"/>
  <c r="AJ8" i="12"/>
  <c r="AJ2" i="12"/>
  <c r="L4" i="39" s="1"/>
  <c r="AJ5" i="12"/>
  <c r="AJ9" i="12"/>
  <c r="AJ10" i="12"/>
  <c r="AJ7" i="12"/>
  <c r="AJ6" i="12"/>
  <c r="AJ3" i="12"/>
  <c r="AJ4" i="12"/>
  <c r="BD13" i="6"/>
  <c r="BE13" i="6"/>
  <c r="BE14" i="6"/>
  <c r="BD14" i="6"/>
  <c r="BE15" i="6"/>
  <c r="BD15" i="6"/>
  <c r="BD10" i="6"/>
  <c r="BE10" i="6"/>
  <c r="BD8" i="6"/>
  <c r="BE8" i="6"/>
  <c r="BE12" i="6"/>
  <c r="BD12" i="6"/>
  <c r="BD9" i="6"/>
  <c r="BE9" i="6"/>
  <c r="BE11" i="6"/>
  <c r="BD11" i="6"/>
  <c r="AJ16" i="12"/>
  <c r="AJ19" i="12"/>
  <c r="AJ13" i="12"/>
  <c r="AJ21" i="12"/>
  <c r="AJ15" i="12"/>
  <c r="AJ17" i="12"/>
  <c r="AJ12" i="12"/>
  <c r="AJ24" i="12"/>
  <c r="AJ23" i="12"/>
  <c r="AJ20" i="12"/>
  <c r="AJ22" i="12"/>
  <c r="AJ14" i="12"/>
  <c r="AJ18" i="12"/>
  <c r="AJ30" i="12"/>
  <c r="AJ29" i="12"/>
  <c r="AJ33" i="12"/>
  <c r="AJ51" i="12"/>
  <c r="AJ31" i="12"/>
  <c r="AJ49" i="12"/>
  <c r="AJ53" i="12"/>
  <c r="AJ37" i="12"/>
  <c r="AJ39" i="12"/>
  <c r="AJ46" i="12"/>
  <c r="AJ40" i="12"/>
  <c r="AJ34" i="12"/>
  <c r="AJ36" i="12"/>
  <c r="AJ52" i="12"/>
  <c r="AJ50" i="12"/>
  <c r="AJ48" i="12"/>
  <c r="AJ28" i="12"/>
  <c r="AJ41" i="12"/>
  <c r="AJ25" i="12"/>
  <c r="AJ26" i="12"/>
  <c r="AJ44" i="12"/>
  <c r="AJ42" i="12"/>
  <c r="AJ47" i="12"/>
  <c r="AJ38" i="12"/>
  <c r="AJ27" i="12"/>
  <c r="AJ32" i="12"/>
  <c r="AJ54" i="12"/>
  <c r="AJ45" i="12"/>
  <c r="AJ35" i="12"/>
  <c r="AJ43" i="12"/>
  <c r="BM16" i="6"/>
  <c r="BO7" i="6" s="1"/>
  <c r="BC6" i="6"/>
  <c r="I8" i="39"/>
  <c r="M8" i="12"/>
  <c r="BE7" i="6"/>
  <c r="BD7" i="6"/>
  <c r="BL18" i="6"/>
  <c r="BJ18" i="6"/>
  <c r="BD6" i="6"/>
  <c r="BI18" i="6"/>
  <c r="BE6" i="6"/>
  <c r="BK18" i="6"/>
  <c r="P8" i="12"/>
  <c r="O8" i="12"/>
  <c r="AR8" i="12" l="1"/>
  <c r="AR9" i="12"/>
  <c r="AR6" i="12"/>
  <c r="AR3" i="12"/>
  <c r="AR4" i="12"/>
  <c r="AR2" i="12"/>
  <c r="AR10" i="12"/>
  <c r="AR11" i="12"/>
  <c r="AR5" i="12"/>
  <c r="AR7" i="12"/>
  <c r="AN8" i="12"/>
  <c r="AN7" i="12"/>
  <c r="AN4" i="12"/>
  <c r="AN2" i="12"/>
  <c r="AN11" i="12"/>
  <c r="AN5" i="12"/>
  <c r="AN6" i="12"/>
  <c r="AN9" i="12"/>
  <c r="AN3" i="12"/>
  <c r="AN10" i="12"/>
  <c r="AN24" i="12"/>
  <c r="AN22" i="12"/>
  <c r="AN14" i="12"/>
  <c r="AN18" i="12"/>
  <c r="AN16" i="12"/>
  <c r="AN21" i="12"/>
  <c r="AN19" i="12"/>
  <c r="AN15" i="12"/>
  <c r="AN13" i="12"/>
  <c r="AN23" i="12"/>
  <c r="AN17" i="12"/>
  <c r="AN20" i="12"/>
  <c r="AN12" i="12"/>
  <c r="AR22" i="12"/>
  <c r="AR23" i="12"/>
  <c r="AR14" i="12"/>
  <c r="AR20" i="12"/>
  <c r="AR18" i="12"/>
  <c r="AR16" i="12"/>
  <c r="AR19" i="12"/>
  <c r="AR13" i="12"/>
  <c r="AR17" i="12"/>
  <c r="AR12" i="12"/>
  <c r="AR21" i="12"/>
  <c r="AR24" i="12"/>
  <c r="AR15" i="12"/>
  <c r="AR31" i="12"/>
  <c r="AR28" i="12"/>
  <c r="AR29" i="12"/>
  <c r="AR26" i="12"/>
  <c r="AR25" i="12"/>
  <c r="AR30" i="12"/>
  <c r="AR27" i="12"/>
  <c r="AR36" i="12"/>
  <c r="AR32" i="12"/>
  <c r="AR38" i="12"/>
  <c r="AR41" i="12"/>
  <c r="AR33" i="12"/>
  <c r="AR39" i="12"/>
  <c r="AR35" i="12"/>
  <c r="AR34" i="12"/>
  <c r="AR37" i="12"/>
  <c r="AR40" i="12"/>
  <c r="L7" i="39"/>
  <c r="AR42" i="12"/>
  <c r="AR43" i="12"/>
  <c r="AR45" i="12"/>
  <c r="AR46" i="12"/>
  <c r="AR47" i="12"/>
  <c r="AR44" i="12"/>
  <c r="AR48" i="12"/>
  <c r="AR49" i="12"/>
  <c r="AR54" i="12"/>
  <c r="AR52" i="12"/>
  <c r="AR53" i="12"/>
  <c r="AR50" i="12"/>
  <c r="AR51" i="12"/>
  <c r="M8" i="39"/>
  <c r="BN16" i="6"/>
  <c r="D24" i="18" s="1"/>
  <c r="L6" i="39"/>
  <c r="AN30" i="12"/>
  <c r="AN32" i="12"/>
  <c r="AN33" i="12"/>
  <c r="AN51" i="12"/>
  <c r="AN36" i="12"/>
  <c r="AN31" i="12"/>
  <c r="AN54" i="12"/>
  <c r="AN28" i="12"/>
  <c r="AN41" i="12"/>
  <c r="AN25" i="12"/>
  <c r="AN35" i="12"/>
  <c r="AN39" i="12"/>
  <c r="AN42" i="12"/>
  <c r="AN47" i="12"/>
  <c r="AN34" i="12"/>
  <c r="AN52" i="12"/>
  <c r="AN50" i="12"/>
  <c r="AN29" i="12"/>
  <c r="AN49" i="12"/>
  <c r="AN53" i="12"/>
  <c r="AN26" i="12"/>
  <c r="AN46" i="12"/>
  <c r="AN44" i="12"/>
  <c r="AN27" i="12"/>
  <c r="AN48" i="12"/>
  <c r="AN45" i="12"/>
  <c r="AN43" i="12"/>
  <c r="AN37" i="12"/>
  <c r="AN40" i="12"/>
  <c r="AN38" i="12"/>
  <c r="L5" i="39"/>
  <c r="L8" i="39"/>
  <c r="BE16" i="6"/>
  <c r="BD16" i="6"/>
  <c r="BC16" i="6"/>
  <c r="K8" i="39"/>
  <c r="J8" i="39"/>
  <c r="BM18" i="6"/>
  <c r="BK20" i="6" s="1"/>
  <c r="G7" i="28" s="1"/>
  <c r="E56" i="26" s="1"/>
  <c r="BO8" i="6"/>
  <c r="BO12" i="6"/>
  <c r="BO9" i="6"/>
  <c r="BO10" i="6"/>
  <c r="BO15" i="6"/>
  <c r="BO11" i="6"/>
  <c r="BO13" i="6"/>
  <c r="BO14" i="6"/>
  <c r="BO6" i="6"/>
  <c r="Q8" i="12"/>
  <c r="R8" i="12"/>
  <c r="E15" i="17" l="1"/>
  <c r="E17" i="17"/>
  <c r="E19" i="17"/>
  <c r="E16" i="17"/>
  <c r="E18" i="17"/>
  <c r="AT2" i="12"/>
  <c r="AT5" i="12"/>
  <c r="AT9" i="12"/>
  <c r="AT10" i="12"/>
  <c r="AT7" i="12"/>
  <c r="AT6" i="12"/>
  <c r="AT3" i="12"/>
  <c r="AT4" i="12"/>
  <c r="AT8" i="12"/>
  <c r="AT11" i="12"/>
  <c r="AS10" i="12"/>
  <c r="AS11" i="12"/>
  <c r="AS7" i="12"/>
  <c r="AS4" i="12"/>
  <c r="AS8" i="12"/>
  <c r="AS9" i="12"/>
  <c r="AS2" i="12"/>
  <c r="AS5" i="12"/>
  <c r="AS6" i="12"/>
  <c r="AS3" i="12"/>
  <c r="AQ7" i="12"/>
  <c r="AK7" i="12"/>
  <c r="AP7" i="12"/>
  <c r="AO7" i="12"/>
  <c r="AL7" i="12"/>
  <c r="AM7" i="12"/>
  <c r="AP3" i="12"/>
  <c r="AO3" i="12"/>
  <c r="AK3" i="12"/>
  <c r="AQ3" i="12"/>
  <c r="AM3" i="12"/>
  <c r="AL3" i="12"/>
  <c r="AK11" i="12"/>
  <c r="AL11" i="12"/>
  <c r="AM11" i="12"/>
  <c r="AO11" i="12"/>
  <c r="AQ11" i="12"/>
  <c r="AP11" i="12"/>
  <c r="AQ8" i="12"/>
  <c r="AM8" i="12"/>
  <c r="AO8" i="12"/>
  <c r="AL8" i="12"/>
  <c r="AP8" i="12"/>
  <c r="AK8" i="12"/>
  <c r="AQ10" i="12"/>
  <c r="AK10" i="12"/>
  <c r="AL10" i="12"/>
  <c r="AO10" i="12"/>
  <c r="AM10" i="12"/>
  <c r="AP10" i="12"/>
  <c r="AK9" i="12"/>
  <c r="AQ9" i="12"/>
  <c r="AO9" i="12"/>
  <c r="AP9" i="12"/>
  <c r="AL9" i="12"/>
  <c r="AM9" i="12"/>
  <c r="AK2" i="12"/>
  <c r="AQ2" i="12"/>
  <c r="AL2" i="12"/>
  <c r="AP2" i="12"/>
  <c r="AO2" i="12"/>
  <c r="AM2" i="12"/>
  <c r="M215" i="12"/>
  <c r="V215" i="12" s="1"/>
  <c r="M218" i="12"/>
  <c r="V218" i="12" s="1"/>
  <c r="M192" i="12"/>
  <c r="V192" i="12" s="1"/>
  <c r="M198" i="12"/>
  <c r="V198" i="12" s="1"/>
  <c r="M205" i="12"/>
  <c r="V205" i="12" s="1"/>
  <c r="M262" i="12"/>
  <c r="V262" i="12" s="1"/>
  <c r="M212" i="12"/>
  <c r="V212" i="12" s="1"/>
  <c r="M169" i="12"/>
  <c r="V169" i="12" s="1"/>
  <c r="M208" i="12"/>
  <c r="V208" i="12" s="1"/>
  <c r="M200" i="12"/>
  <c r="V200" i="12" s="1"/>
  <c r="M199" i="12"/>
  <c r="V199" i="12" s="1"/>
  <c r="M196" i="12"/>
  <c r="V196" i="12" s="1"/>
  <c r="M272" i="12"/>
  <c r="V272" i="12" s="1"/>
  <c r="M266" i="12"/>
  <c r="V266" i="12" s="1"/>
  <c r="M190" i="12"/>
  <c r="V190" i="12" s="1"/>
  <c r="M197" i="12"/>
  <c r="V197" i="12" s="1"/>
  <c r="M168" i="12"/>
  <c r="V168" i="12" s="1"/>
  <c r="M209" i="12"/>
  <c r="V209" i="12" s="1"/>
  <c r="M211" i="12"/>
  <c r="V211" i="12" s="1"/>
  <c r="M202" i="12"/>
  <c r="V202" i="12" s="1"/>
  <c r="M220" i="12"/>
  <c r="V220" i="12" s="1"/>
  <c r="M274" i="12"/>
  <c r="V274" i="12" s="1"/>
  <c r="M204" i="12"/>
  <c r="V204" i="12" s="1"/>
  <c r="M187" i="12"/>
  <c r="V187" i="12" s="1"/>
  <c r="M217" i="12"/>
  <c r="V217" i="12" s="1"/>
  <c r="M188" i="12"/>
  <c r="V188" i="12" s="1"/>
  <c r="M219" i="12"/>
  <c r="V219" i="12" s="1"/>
  <c r="M207" i="12"/>
  <c r="V207" i="12" s="1"/>
  <c r="M189" i="12"/>
  <c r="V189" i="12" s="1"/>
  <c r="M216" i="12"/>
  <c r="V216" i="12" s="1"/>
  <c r="M221" i="12"/>
  <c r="V221" i="12" s="1"/>
  <c r="M214" i="12"/>
  <c r="V214" i="12" s="1"/>
  <c r="M210" i="12"/>
  <c r="V210" i="12" s="1"/>
  <c r="M269" i="12"/>
  <c r="V269" i="12" s="1"/>
  <c r="M194" i="12"/>
  <c r="V194" i="12" s="1"/>
  <c r="M193" i="12"/>
  <c r="V193" i="12" s="1"/>
  <c r="M191" i="12"/>
  <c r="V191" i="12" s="1"/>
  <c r="M195" i="12"/>
  <c r="V195" i="12" s="1"/>
  <c r="M167" i="12"/>
  <c r="V167" i="12" s="1"/>
  <c r="M203" i="12"/>
  <c r="V203" i="12" s="1"/>
  <c r="M270" i="12"/>
  <c r="V270" i="12" s="1"/>
  <c r="M206" i="12"/>
  <c r="V206" i="12" s="1"/>
  <c r="M264" i="12"/>
  <c r="V264" i="12" s="1"/>
  <c r="M175" i="12"/>
  <c r="V175" i="12" s="1"/>
  <c r="M226" i="12"/>
  <c r="V226" i="12" s="1"/>
  <c r="M227" i="12"/>
  <c r="V227" i="12" s="1"/>
  <c r="M176" i="12"/>
  <c r="V176" i="12" s="1"/>
  <c r="M174" i="12"/>
  <c r="V174" i="12" s="1"/>
  <c r="M177" i="12"/>
  <c r="V177" i="12" s="1"/>
  <c r="M232" i="12"/>
  <c r="V232" i="12" s="1"/>
  <c r="M238" i="12"/>
  <c r="V238" i="12" s="1"/>
  <c r="M240" i="12"/>
  <c r="V240" i="12" s="1"/>
  <c r="M170" i="12"/>
  <c r="V170" i="12" s="1"/>
  <c r="M171" i="12"/>
  <c r="V171" i="12" s="1"/>
  <c r="M173" i="12"/>
  <c r="V173" i="12" s="1"/>
  <c r="M183" i="12"/>
  <c r="V183" i="12" s="1"/>
  <c r="M185" i="12"/>
  <c r="V185" i="12" s="1"/>
  <c r="M213" i="12"/>
  <c r="V213" i="12" s="1"/>
  <c r="M223" i="12"/>
  <c r="V223" i="12" s="1"/>
  <c r="M222" i="12"/>
  <c r="V222" i="12" s="1"/>
  <c r="M172" i="12"/>
  <c r="V172" i="12" s="1"/>
  <c r="M225" i="12"/>
  <c r="V225" i="12" s="1"/>
  <c r="M224" i="12"/>
  <c r="V224" i="12" s="1"/>
  <c r="M228" i="12"/>
  <c r="V228" i="12" s="1"/>
  <c r="M230" i="12"/>
  <c r="V230" i="12" s="1"/>
  <c r="M178" i="12"/>
  <c r="V178" i="12" s="1"/>
  <c r="M181" i="12"/>
  <c r="V181" i="12" s="1"/>
  <c r="M179" i="12"/>
  <c r="V179" i="12" s="1"/>
  <c r="M180" i="12"/>
  <c r="V180" i="12" s="1"/>
  <c r="M233" i="12"/>
  <c r="V233" i="12" s="1"/>
  <c r="M186" i="12"/>
  <c r="V186" i="12" s="1"/>
  <c r="M239" i="12"/>
  <c r="V239" i="12" s="1"/>
  <c r="M201" i="12"/>
  <c r="V201" i="12" s="1"/>
  <c r="M229" i="12"/>
  <c r="V229" i="12" s="1"/>
  <c r="M234" i="12"/>
  <c r="V234" i="12" s="1"/>
  <c r="M184" i="12"/>
  <c r="V184" i="12" s="1"/>
  <c r="M236" i="12"/>
  <c r="V236" i="12" s="1"/>
  <c r="M237" i="12"/>
  <c r="V237" i="12" s="1"/>
  <c r="M241" i="12"/>
  <c r="V241" i="12" s="1"/>
  <c r="M246" i="12"/>
  <c r="V246" i="12" s="1"/>
  <c r="M254" i="12"/>
  <c r="V254" i="12" s="1"/>
  <c r="M256" i="12"/>
  <c r="V256" i="12" s="1"/>
  <c r="M259" i="12"/>
  <c r="V259" i="12" s="1"/>
  <c r="M261" i="12"/>
  <c r="V261" i="12" s="1"/>
  <c r="M265" i="12"/>
  <c r="V265" i="12" s="1"/>
  <c r="M268" i="12"/>
  <c r="V268" i="12" s="1"/>
  <c r="M182" i="12"/>
  <c r="V182" i="12" s="1"/>
  <c r="M235" i="12"/>
  <c r="V235" i="12" s="1"/>
  <c r="M242" i="12"/>
  <c r="V242" i="12" s="1"/>
  <c r="M247" i="12"/>
  <c r="V247" i="12" s="1"/>
  <c r="M253" i="12"/>
  <c r="V253" i="12" s="1"/>
  <c r="M267" i="12"/>
  <c r="V267" i="12" s="1"/>
  <c r="M231" i="12"/>
  <c r="V231" i="12" s="1"/>
  <c r="M243" i="12"/>
  <c r="V243" i="12" s="1"/>
  <c r="M248" i="12"/>
  <c r="V248" i="12" s="1"/>
  <c r="M251" i="12"/>
  <c r="V251" i="12" s="1"/>
  <c r="M257" i="12"/>
  <c r="V257" i="12" s="1"/>
  <c r="M271" i="12"/>
  <c r="V271" i="12" s="1"/>
  <c r="M244" i="12"/>
  <c r="V244" i="12" s="1"/>
  <c r="M250" i="12"/>
  <c r="V250" i="12" s="1"/>
  <c r="M258" i="12"/>
  <c r="V258" i="12" s="1"/>
  <c r="M260" i="12"/>
  <c r="V260" i="12" s="1"/>
  <c r="M245" i="12"/>
  <c r="V245" i="12" s="1"/>
  <c r="M249" i="12"/>
  <c r="V249" i="12" s="1"/>
  <c r="M255" i="12"/>
  <c r="V255" i="12" s="1"/>
  <c r="M275" i="12"/>
  <c r="V275" i="12" s="1"/>
  <c r="W275" i="12" s="1"/>
  <c r="M263" i="12"/>
  <c r="V263" i="12" s="1"/>
  <c r="M252" i="12"/>
  <c r="V252" i="12" s="1"/>
  <c r="M273" i="12"/>
  <c r="V273" i="12" s="1"/>
  <c r="AC274" i="12"/>
  <c r="AC275" i="12"/>
  <c r="AC273" i="12"/>
  <c r="AM5" i="12"/>
  <c r="AL5" i="12"/>
  <c r="AQ5" i="12"/>
  <c r="AK5" i="12"/>
  <c r="AP5" i="12"/>
  <c r="AO5" i="12"/>
  <c r="AM6" i="12"/>
  <c r="AO6" i="12"/>
  <c r="AK6" i="12"/>
  <c r="AL6" i="12"/>
  <c r="AQ6" i="12"/>
  <c r="AP6" i="12"/>
  <c r="AL4" i="12"/>
  <c r="AM4" i="12"/>
  <c r="AK4" i="12"/>
  <c r="AQ4" i="12"/>
  <c r="AO4" i="12"/>
  <c r="AP4" i="12"/>
  <c r="AS21" i="12"/>
  <c r="AS19" i="12"/>
  <c r="AS15" i="12"/>
  <c r="AS13" i="12"/>
  <c r="AS17" i="12"/>
  <c r="AS12" i="12"/>
  <c r="AS24" i="12"/>
  <c r="AS23" i="12"/>
  <c r="AS20" i="12"/>
  <c r="AS16" i="12"/>
  <c r="AS22" i="12"/>
  <c r="AS14" i="12"/>
  <c r="AS18" i="12"/>
  <c r="AS28" i="12"/>
  <c r="AS31" i="12"/>
  <c r="AS26" i="12"/>
  <c r="AS27" i="12"/>
  <c r="AS30" i="12"/>
  <c r="AS25" i="12"/>
  <c r="AS29" i="12"/>
  <c r="AT16" i="12"/>
  <c r="AT17" i="12"/>
  <c r="AT12" i="12"/>
  <c r="AT21" i="12"/>
  <c r="AT24" i="12"/>
  <c r="AT15" i="12"/>
  <c r="AT23" i="12"/>
  <c r="AT20" i="12"/>
  <c r="AT22" i="12"/>
  <c r="AT14" i="12"/>
  <c r="AT18" i="12"/>
  <c r="AT19" i="12"/>
  <c r="AT13" i="12"/>
  <c r="AT25" i="12"/>
  <c r="AT30" i="12"/>
  <c r="AT28" i="12"/>
  <c r="AT29" i="12"/>
  <c r="AT31" i="12"/>
  <c r="AT26" i="12"/>
  <c r="AT27" i="12"/>
  <c r="AL20" i="12"/>
  <c r="AO20" i="12"/>
  <c r="AM20" i="12"/>
  <c r="AQ20" i="12"/>
  <c r="AP20" i="12"/>
  <c r="AK20" i="12"/>
  <c r="AK15" i="12"/>
  <c r="AP15" i="12"/>
  <c r="AM15" i="12"/>
  <c r="AL15" i="12"/>
  <c r="AQ15" i="12"/>
  <c r="AO15" i="12"/>
  <c r="AP18" i="12"/>
  <c r="AO18" i="12"/>
  <c r="AQ18" i="12"/>
  <c r="AK18" i="12"/>
  <c r="AM18" i="12"/>
  <c r="AL18" i="12"/>
  <c r="AQ17" i="12"/>
  <c r="AP17" i="12"/>
  <c r="AK17" i="12"/>
  <c r="AM17" i="12"/>
  <c r="AL17" i="12"/>
  <c r="AO17" i="12"/>
  <c r="AM19" i="12"/>
  <c r="AP19" i="12"/>
  <c r="AL19" i="12"/>
  <c r="AK19" i="12"/>
  <c r="AQ19" i="12"/>
  <c r="AO19" i="12"/>
  <c r="AP14" i="12"/>
  <c r="AL14" i="12"/>
  <c r="AK14" i="12"/>
  <c r="AQ14" i="12"/>
  <c r="AO14" i="12"/>
  <c r="AM14" i="12"/>
  <c r="AP23" i="12"/>
  <c r="AL23" i="12"/>
  <c r="AK23" i="12"/>
  <c r="AQ23" i="12"/>
  <c r="AO23" i="12"/>
  <c r="AM23" i="12"/>
  <c r="AQ21" i="12"/>
  <c r="AO21" i="12"/>
  <c r="AL21" i="12"/>
  <c r="AK21" i="12"/>
  <c r="AP21" i="12"/>
  <c r="AM21" i="12"/>
  <c r="AK22" i="12"/>
  <c r="AM22" i="12"/>
  <c r="AP22" i="12"/>
  <c r="AQ22" i="12"/>
  <c r="AO22" i="12"/>
  <c r="AL22" i="12"/>
  <c r="AP12" i="12"/>
  <c r="AL12" i="12"/>
  <c r="AQ12" i="12"/>
  <c r="AM12" i="12"/>
  <c r="AO12" i="12"/>
  <c r="AK12" i="12"/>
  <c r="AL13" i="12"/>
  <c r="AQ13" i="12"/>
  <c r="AK13" i="12"/>
  <c r="AM13" i="12"/>
  <c r="AP13" i="12"/>
  <c r="AO13" i="12"/>
  <c r="AK16" i="12"/>
  <c r="AP16" i="12"/>
  <c r="AO16" i="12"/>
  <c r="AM16" i="12"/>
  <c r="AQ16" i="12"/>
  <c r="AL16" i="12"/>
  <c r="AL24" i="12"/>
  <c r="AO24" i="12"/>
  <c r="AP24" i="12"/>
  <c r="AM24" i="12"/>
  <c r="AQ24" i="12"/>
  <c r="AK24" i="12"/>
  <c r="AS36" i="12"/>
  <c r="AS35" i="12"/>
  <c r="AS39" i="12"/>
  <c r="AS37" i="12"/>
  <c r="AS40" i="12"/>
  <c r="AS38" i="12"/>
  <c r="AS41" i="12"/>
  <c r="AS34" i="12"/>
  <c r="AS32" i="12"/>
  <c r="AS33" i="12"/>
  <c r="AT38" i="12"/>
  <c r="AT39" i="12"/>
  <c r="AT35" i="12"/>
  <c r="AT40" i="12"/>
  <c r="AT36" i="12"/>
  <c r="AT34" i="12"/>
  <c r="AT32" i="12"/>
  <c r="AT33" i="12"/>
  <c r="AT37" i="12"/>
  <c r="AT41" i="12"/>
  <c r="M69" i="12"/>
  <c r="V69" i="12" s="1"/>
  <c r="M17" i="12"/>
  <c r="V17" i="12" s="1"/>
  <c r="M121" i="12"/>
  <c r="V121" i="12" s="1"/>
  <c r="M122" i="12"/>
  <c r="V122" i="12" s="1"/>
  <c r="M70" i="12"/>
  <c r="V70" i="12" s="1"/>
  <c r="M18" i="12"/>
  <c r="V18" i="12" s="1"/>
  <c r="M33" i="12"/>
  <c r="V33" i="12" s="1"/>
  <c r="M137" i="12"/>
  <c r="V137" i="12" s="1"/>
  <c r="M85" i="12"/>
  <c r="V85" i="12" s="1"/>
  <c r="M138" i="12"/>
  <c r="V138" i="12" s="1"/>
  <c r="M34" i="12"/>
  <c r="V34" i="12" s="1"/>
  <c r="M86" i="12"/>
  <c r="V86" i="12" s="1"/>
  <c r="M128" i="12"/>
  <c r="V128" i="12" s="1"/>
  <c r="M24" i="12"/>
  <c r="V24" i="12" s="1"/>
  <c r="M76" i="12"/>
  <c r="V76" i="12" s="1"/>
  <c r="M129" i="12"/>
  <c r="V129" i="12" s="1"/>
  <c r="M25" i="12"/>
  <c r="V25" i="12" s="1"/>
  <c r="M77" i="12"/>
  <c r="V77" i="12" s="1"/>
  <c r="M127" i="12"/>
  <c r="V127" i="12" s="1"/>
  <c r="M23" i="12"/>
  <c r="V23" i="12" s="1"/>
  <c r="M75" i="12"/>
  <c r="V75" i="12" s="1"/>
  <c r="M28" i="12"/>
  <c r="V28" i="12" s="1"/>
  <c r="M132" i="12"/>
  <c r="V132" i="12" s="1"/>
  <c r="M80" i="12"/>
  <c r="V80" i="12" s="1"/>
  <c r="M35" i="12"/>
  <c r="V35" i="12" s="1"/>
  <c r="M87" i="12"/>
  <c r="V87" i="12" s="1"/>
  <c r="M139" i="12"/>
  <c r="V139" i="12" s="1"/>
  <c r="M36" i="12"/>
  <c r="V36" i="12" s="1"/>
  <c r="M88" i="12"/>
  <c r="V88" i="12" s="1"/>
  <c r="M140" i="12"/>
  <c r="V140" i="12" s="1"/>
  <c r="M71" i="12"/>
  <c r="V71" i="12" s="1"/>
  <c r="M19" i="12"/>
  <c r="V19" i="12" s="1"/>
  <c r="M123" i="12"/>
  <c r="V123" i="12" s="1"/>
  <c r="M37" i="12"/>
  <c r="V37" i="12" s="1"/>
  <c r="M141" i="12"/>
  <c r="V141" i="12" s="1"/>
  <c r="M89" i="12"/>
  <c r="V89" i="12" s="1"/>
  <c r="M125" i="12"/>
  <c r="V125" i="12" s="1"/>
  <c r="M21" i="12"/>
  <c r="V21" i="12" s="1"/>
  <c r="M73" i="12"/>
  <c r="V73" i="12" s="1"/>
  <c r="M74" i="12"/>
  <c r="V74" i="12" s="1"/>
  <c r="M22" i="12"/>
  <c r="V22" i="12" s="1"/>
  <c r="M126" i="12"/>
  <c r="V126" i="12" s="1"/>
  <c r="M134" i="12"/>
  <c r="V134" i="12" s="1"/>
  <c r="M82" i="12"/>
  <c r="V82" i="12" s="1"/>
  <c r="M30" i="12"/>
  <c r="V30" i="12" s="1"/>
  <c r="M142" i="12"/>
  <c r="V142" i="12" s="1"/>
  <c r="M38" i="12"/>
  <c r="V38" i="12" s="1"/>
  <c r="M90" i="12"/>
  <c r="V90" i="12" s="1"/>
  <c r="M16" i="12"/>
  <c r="V16" i="12" s="1"/>
  <c r="M120" i="12"/>
  <c r="V120" i="12" s="1"/>
  <c r="M68" i="12"/>
  <c r="V68" i="12" s="1"/>
  <c r="M84" i="12"/>
  <c r="V84" i="12" s="1"/>
  <c r="M32" i="12"/>
  <c r="V32" i="12" s="1"/>
  <c r="M136" i="12"/>
  <c r="V136" i="12" s="1"/>
  <c r="M31" i="12"/>
  <c r="V31" i="12" s="1"/>
  <c r="M83" i="12"/>
  <c r="V83" i="12" s="1"/>
  <c r="M135" i="12"/>
  <c r="V135" i="12" s="1"/>
  <c r="M26" i="12"/>
  <c r="V26" i="12" s="1"/>
  <c r="M130" i="12"/>
  <c r="V130" i="12" s="1"/>
  <c r="M78" i="12"/>
  <c r="V78" i="12" s="1"/>
  <c r="M72" i="12"/>
  <c r="V72" i="12" s="1"/>
  <c r="M124" i="12"/>
  <c r="V124" i="12" s="1"/>
  <c r="M20" i="12"/>
  <c r="V20" i="12" s="1"/>
  <c r="M79" i="12"/>
  <c r="V79" i="12" s="1"/>
  <c r="M27" i="12"/>
  <c r="V27" i="12" s="1"/>
  <c r="M131" i="12"/>
  <c r="V131" i="12" s="1"/>
  <c r="M81" i="12"/>
  <c r="V81" i="12" s="1"/>
  <c r="M133" i="12"/>
  <c r="V133" i="12" s="1"/>
  <c r="M29" i="12"/>
  <c r="V29" i="12" s="1"/>
  <c r="AS42" i="12"/>
  <c r="AT42" i="12"/>
  <c r="AS45" i="12"/>
  <c r="AS44" i="12"/>
  <c r="AS46" i="12"/>
  <c r="AS43" i="12"/>
  <c r="AS47" i="12"/>
  <c r="AT46" i="12"/>
  <c r="AT47" i="12"/>
  <c r="AT43" i="12"/>
  <c r="AT44" i="12"/>
  <c r="AT45" i="12"/>
  <c r="AS51" i="12"/>
  <c r="AS54" i="12"/>
  <c r="AS49" i="12"/>
  <c r="AS50" i="12"/>
  <c r="N8" i="39"/>
  <c r="AS52" i="12"/>
  <c r="AS48" i="12"/>
  <c r="AS53" i="12"/>
  <c r="AT54" i="12"/>
  <c r="AT52" i="12"/>
  <c r="AT51" i="12"/>
  <c r="AT53" i="12"/>
  <c r="AT50" i="12"/>
  <c r="AT48" i="12"/>
  <c r="AT49" i="12"/>
  <c r="D11" i="20"/>
  <c r="I9" i="17"/>
  <c r="R1" i="15"/>
  <c r="R54" i="15" s="1"/>
  <c r="S54" i="15" s="1"/>
  <c r="AE54" i="15" s="1"/>
  <c r="F2" i="11"/>
  <c r="O11" i="14"/>
  <c r="E18" i="26"/>
  <c r="B19" i="26" s="1"/>
  <c r="BJ20" i="6"/>
  <c r="G6" i="28" s="1"/>
  <c r="E57" i="26" s="1"/>
  <c r="F57" i="26" s="1"/>
  <c r="AM37" i="12"/>
  <c r="AQ37" i="12"/>
  <c r="AK37" i="12"/>
  <c r="AP37" i="12"/>
  <c r="AO37" i="12"/>
  <c r="AL37" i="12"/>
  <c r="M51" i="12"/>
  <c r="V51" i="12" s="1"/>
  <c r="M155" i="12"/>
  <c r="V155" i="12" s="1"/>
  <c r="M103" i="12"/>
  <c r="V103" i="12" s="1"/>
  <c r="AM27" i="12"/>
  <c r="AP27" i="12"/>
  <c r="M41" i="12"/>
  <c r="V41" i="12" s="1"/>
  <c r="M145" i="12"/>
  <c r="V145" i="12" s="1"/>
  <c r="AK27" i="12"/>
  <c r="AQ27" i="12"/>
  <c r="AO27" i="12"/>
  <c r="AL27" i="12"/>
  <c r="M93" i="12"/>
  <c r="V93" i="12" s="1"/>
  <c r="AK53" i="12"/>
  <c r="AQ53" i="12"/>
  <c r="AM53" i="12"/>
  <c r="AO53" i="12"/>
  <c r="AL53" i="12"/>
  <c r="AP53" i="12"/>
  <c r="M119" i="12"/>
  <c r="V119" i="12" s="1"/>
  <c r="M67" i="12"/>
  <c r="V67" i="12" s="1"/>
  <c r="AQ52" i="12"/>
  <c r="AP52" i="12"/>
  <c r="AK52" i="12"/>
  <c r="AO52" i="12"/>
  <c r="AM52" i="12"/>
  <c r="M66" i="12"/>
  <c r="V66" i="12" s="1"/>
  <c r="AL52" i="12"/>
  <c r="M118" i="12"/>
  <c r="V118" i="12" s="1"/>
  <c r="AL39" i="12"/>
  <c r="M53" i="12"/>
  <c r="V53" i="12" s="1"/>
  <c r="AO39" i="12"/>
  <c r="AK39" i="12"/>
  <c r="AQ39" i="12"/>
  <c r="AM39" i="12"/>
  <c r="AP39" i="12"/>
  <c r="M105" i="12"/>
  <c r="V105" i="12" s="1"/>
  <c r="M157" i="12"/>
  <c r="V157" i="12" s="1"/>
  <c r="AL28" i="12"/>
  <c r="M94" i="12"/>
  <c r="V94" i="12" s="1"/>
  <c r="M146" i="12"/>
  <c r="V146" i="12" s="1"/>
  <c r="AP28" i="12"/>
  <c r="AK28" i="12"/>
  <c r="M42" i="12"/>
  <c r="V42" i="12" s="1"/>
  <c r="AO28" i="12"/>
  <c r="AM28" i="12"/>
  <c r="AQ28" i="12"/>
  <c r="AM51" i="12"/>
  <c r="AO51" i="12"/>
  <c r="AQ51" i="12"/>
  <c r="AP51" i="12"/>
  <c r="AL51" i="12"/>
  <c r="M117" i="12"/>
  <c r="V117" i="12" s="1"/>
  <c r="AK51" i="12"/>
  <c r="M65" i="12"/>
  <c r="V65" i="12" s="1"/>
  <c r="AK43" i="12"/>
  <c r="M161" i="12"/>
  <c r="V161" i="12" s="1"/>
  <c r="AL43" i="12"/>
  <c r="AO43" i="12"/>
  <c r="M109" i="12"/>
  <c r="V109" i="12" s="1"/>
  <c r="M57" i="12"/>
  <c r="V57" i="12" s="1"/>
  <c r="AP43" i="12"/>
  <c r="AM43" i="12"/>
  <c r="AQ43" i="12"/>
  <c r="AM44" i="12"/>
  <c r="AQ44" i="12"/>
  <c r="AK44" i="12"/>
  <c r="M110" i="12"/>
  <c r="V110" i="12" s="1"/>
  <c r="M162" i="12"/>
  <c r="V162" i="12" s="1"/>
  <c r="AO44" i="12"/>
  <c r="AL44" i="12"/>
  <c r="M58" i="12"/>
  <c r="V58" i="12" s="1"/>
  <c r="AP44" i="12"/>
  <c r="AL49" i="12"/>
  <c r="AQ49" i="12"/>
  <c r="AM49" i="12"/>
  <c r="AP49" i="12"/>
  <c r="M115" i="12"/>
  <c r="V115" i="12" s="1"/>
  <c r="M63" i="12"/>
  <c r="V63" i="12" s="1"/>
  <c r="AK49" i="12"/>
  <c r="AO49" i="12"/>
  <c r="AK34" i="12"/>
  <c r="AQ34" i="12"/>
  <c r="AO34" i="12"/>
  <c r="AL34" i="12"/>
  <c r="M152" i="12"/>
  <c r="V152" i="12" s="1"/>
  <c r="AM34" i="12"/>
  <c r="M48" i="12"/>
  <c r="V48" i="12" s="1"/>
  <c r="M100" i="12"/>
  <c r="V100" i="12" s="1"/>
  <c r="AP34" i="12"/>
  <c r="AQ35" i="12"/>
  <c r="M153" i="12"/>
  <c r="V153" i="12" s="1"/>
  <c r="AL35" i="12"/>
  <c r="M49" i="12"/>
  <c r="V49" i="12" s="1"/>
  <c r="AP35" i="12"/>
  <c r="AK35" i="12"/>
  <c r="AO35" i="12"/>
  <c r="AM35" i="12"/>
  <c r="M101" i="12"/>
  <c r="V101" i="12" s="1"/>
  <c r="AQ54" i="12"/>
  <c r="AO54" i="12"/>
  <c r="AL54" i="12"/>
  <c r="AM54" i="12"/>
  <c r="AP54" i="12"/>
  <c r="AK54" i="12"/>
  <c r="AL33" i="12"/>
  <c r="AO33" i="12"/>
  <c r="M99" i="12"/>
  <c r="V99" i="12" s="1"/>
  <c r="AP33" i="12"/>
  <c r="AM33" i="12"/>
  <c r="AQ33" i="12"/>
  <c r="M47" i="12"/>
  <c r="V47" i="12" s="1"/>
  <c r="AK33" i="12"/>
  <c r="M151" i="12"/>
  <c r="V151" i="12" s="1"/>
  <c r="AL38" i="12"/>
  <c r="M156" i="12"/>
  <c r="V156" i="12" s="1"/>
  <c r="AM38" i="12"/>
  <c r="M104" i="12"/>
  <c r="V104" i="12" s="1"/>
  <c r="AQ38" i="12"/>
  <c r="AO38" i="12"/>
  <c r="AK38" i="12"/>
  <c r="M52" i="12"/>
  <c r="V52" i="12" s="1"/>
  <c r="AP38" i="12"/>
  <c r="AL45" i="12"/>
  <c r="M163" i="12"/>
  <c r="V163" i="12" s="1"/>
  <c r="M111" i="12"/>
  <c r="V111" i="12" s="1"/>
  <c r="AO45" i="12"/>
  <c r="AM45" i="12"/>
  <c r="AQ45" i="12"/>
  <c r="AP45" i="12"/>
  <c r="AK45" i="12"/>
  <c r="M59" i="12"/>
  <c r="V59" i="12" s="1"/>
  <c r="AM46" i="12"/>
  <c r="AQ46" i="12"/>
  <c r="M164" i="12"/>
  <c r="V164" i="12" s="1"/>
  <c r="AL46" i="12"/>
  <c r="M112" i="12"/>
  <c r="V112" i="12" s="1"/>
  <c r="AK46" i="12"/>
  <c r="AO46" i="12"/>
  <c r="M60" i="12"/>
  <c r="V60" i="12" s="1"/>
  <c r="AP46" i="12"/>
  <c r="AM29" i="12"/>
  <c r="M95" i="12"/>
  <c r="V95" i="12" s="1"/>
  <c r="M43" i="12"/>
  <c r="V43" i="12" s="1"/>
  <c r="AK29" i="12"/>
  <c r="M147" i="12"/>
  <c r="V147" i="12" s="1"/>
  <c r="AL29" i="12"/>
  <c r="AP29" i="12"/>
  <c r="AQ29" i="12"/>
  <c r="AO29" i="12"/>
  <c r="M61" i="12"/>
  <c r="V61" i="12" s="1"/>
  <c r="AO47" i="12"/>
  <c r="AK47" i="12"/>
  <c r="AQ47" i="12"/>
  <c r="M113" i="12"/>
  <c r="V113" i="12" s="1"/>
  <c r="AM47" i="12"/>
  <c r="M165" i="12"/>
  <c r="V165" i="12" s="1"/>
  <c r="AL47" i="12"/>
  <c r="AP47" i="12"/>
  <c r="AK25" i="12"/>
  <c r="AP25" i="12"/>
  <c r="M39" i="12"/>
  <c r="V39" i="12" s="1"/>
  <c r="AQ25" i="12"/>
  <c r="AL25" i="12"/>
  <c r="M143" i="12"/>
  <c r="V143" i="12" s="1"/>
  <c r="AO25" i="12"/>
  <c r="AM25" i="12"/>
  <c r="M91" i="12"/>
  <c r="V91" i="12" s="1"/>
  <c r="AQ31" i="12"/>
  <c r="AP31" i="12"/>
  <c r="AK31" i="12"/>
  <c r="M45" i="12"/>
  <c r="V45" i="12" s="1"/>
  <c r="M149" i="12"/>
  <c r="V149" i="12" s="1"/>
  <c r="AL31" i="12"/>
  <c r="M97" i="12"/>
  <c r="V97" i="12" s="1"/>
  <c r="AM31" i="12"/>
  <c r="AO31" i="12"/>
  <c r="M150" i="12"/>
  <c r="V150" i="12" s="1"/>
  <c r="AL32" i="12"/>
  <c r="M46" i="12"/>
  <c r="V46" i="12" s="1"/>
  <c r="AP32" i="12"/>
  <c r="AM32" i="12"/>
  <c r="AQ32" i="12"/>
  <c r="AK32" i="12"/>
  <c r="M98" i="12"/>
  <c r="V98" i="12" s="1"/>
  <c r="AO32" i="12"/>
  <c r="AL40" i="12"/>
  <c r="M158" i="12"/>
  <c r="V158" i="12" s="1"/>
  <c r="AQ40" i="12"/>
  <c r="AM40" i="12"/>
  <c r="AO40" i="12"/>
  <c r="AK40" i="12"/>
  <c r="AP40" i="12"/>
  <c r="M54" i="12"/>
  <c r="V54" i="12" s="1"/>
  <c r="M106" i="12"/>
  <c r="V106" i="12" s="1"/>
  <c r="M114" i="12"/>
  <c r="V114" i="12" s="1"/>
  <c r="AP48" i="12"/>
  <c r="AL48" i="12"/>
  <c r="AQ48" i="12"/>
  <c r="AO48" i="12"/>
  <c r="AK48" i="12"/>
  <c r="M62" i="12"/>
  <c r="V62" i="12" s="1"/>
  <c r="AM48" i="12"/>
  <c r="M166" i="12"/>
  <c r="V166" i="12" s="1"/>
  <c r="W166" i="12" s="1"/>
  <c r="AM26" i="12"/>
  <c r="M144" i="12"/>
  <c r="V144" i="12" s="1"/>
  <c r="M40" i="12"/>
  <c r="V40" i="12" s="1"/>
  <c r="M92" i="12"/>
  <c r="V92" i="12" s="1"/>
  <c r="AK26" i="12"/>
  <c r="AO26" i="12"/>
  <c r="AP26" i="12"/>
  <c r="AL26" i="12"/>
  <c r="AQ26" i="12"/>
  <c r="AO50" i="12"/>
  <c r="AP50" i="12"/>
  <c r="AL50" i="12"/>
  <c r="M64" i="12"/>
  <c r="V64" i="12" s="1"/>
  <c r="AK50" i="12"/>
  <c r="AQ50" i="12"/>
  <c r="AM50" i="12"/>
  <c r="M116" i="12"/>
  <c r="V116" i="12" s="1"/>
  <c r="M56" i="12"/>
  <c r="V56" i="12" s="1"/>
  <c r="AP42" i="12"/>
  <c r="AM42" i="12"/>
  <c r="M108" i="12"/>
  <c r="V108" i="12" s="1"/>
  <c r="AO42" i="12"/>
  <c r="AK42" i="12"/>
  <c r="AQ42" i="12"/>
  <c r="AL42" i="12"/>
  <c r="M160" i="12"/>
  <c r="V160" i="12" s="1"/>
  <c r="AM41" i="12"/>
  <c r="M159" i="12"/>
  <c r="V159" i="12" s="1"/>
  <c r="AQ41" i="12"/>
  <c r="AL41" i="12"/>
  <c r="M107" i="12"/>
  <c r="V107" i="12" s="1"/>
  <c r="AK41" i="12"/>
  <c r="AP41" i="12"/>
  <c r="M55" i="12"/>
  <c r="V55" i="12" s="1"/>
  <c r="AO41" i="12"/>
  <c r="AP36" i="12"/>
  <c r="M102" i="12"/>
  <c r="V102" i="12" s="1"/>
  <c r="AO36" i="12"/>
  <c r="AL36" i="12"/>
  <c r="M50" i="12"/>
  <c r="V50" i="12" s="1"/>
  <c r="AK36" i="12"/>
  <c r="M154" i="12"/>
  <c r="V154" i="12" s="1"/>
  <c r="AM36" i="12"/>
  <c r="AQ36" i="12"/>
  <c r="AL30" i="12"/>
  <c r="AQ30" i="12"/>
  <c r="M96" i="12"/>
  <c r="V96" i="12" s="1"/>
  <c r="AP30" i="12"/>
  <c r="AK30" i="12"/>
  <c r="M148" i="12"/>
  <c r="V148" i="12" s="1"/>
  <c r="AO30" i="12"/>
  <c r="AM30" i="12"/>
  <c r="M44" i="12"/>
  <c r="V44" i="12" s="1"/>
  <c r="F56" i="26"/>
  <c r="BL20" i="6"/>
  <c r="G8" i="28" s="1"/>
  <c r="E55" i="26" s="1"/>
  <c r="F55" i="26" s="1"/>
  <c r="F19" i="17" l="1"/>
  <c r="F18" i="17"/>
  <c r="F15" i="17"/>
  <c r="F16" i="17"/>
  <c r="F17" i="17"/>
  <c r="E34" i="17"/>
  <c r="E35" i="17"/>
  <c r="E32" i="17"/>
  <c r="E23" i="17"/>
  <c r="E50" i="17"/>
  <c r="E30" i="17"/>
  <c r="E27" i="17"/>
  <c r="E53" i="17"/>
  <c r="E33" i="17"/>
  <c r="E65" i="17"/>
  <c r="E40" i="17"/>
  <c r="E48" i="17"/>
  <c r="E49" i="17"/>
  <c r="E52" i="17"/>
  <c r="E47" i="17"/>
  <c r="E28" i="17"/>
  <c r="E45" i="17"/>
  <c r="E62" i="17"/>
  <c r="E37" i="17"/>
  <c r="E64" i="17"/>
  <c r="E24" i="17"/>
  <c r="E55" i="17"/>
  <c r="E46" i="17"/>
  <c r="E41" i="17"/>
  <c r="E54" i="17"/>
  <c r="E42" i="17"/>
  <c r="E22" i="17"/>
  <c r="E26" i="17"/>
  <c r="E58" i="17"/>
  <c r="E31" i="17"/>
  <c r="E57" i="17"/>
  <c r="E39" i="17"/>
  <c r="E43" i="17"/>
  <c r="E63" i="17"/>
  <c r="E38" i="17"/>
  <c r="E60" i="17"/>
  <c r="E44" i="17"/>
  <c r="E29" i="17"/>
  <c r="E25" i="17"/>
  <c r="E61" i="17"/>
  <c r="E66" i="17"/>
  <c r="E59" i="17"/>
  <c r="E36" i="17"/>
  <c r="E51" i="17"/>
  <c r="E56" i="17"/>
  <c r="E20" i="17"/>
  <c r="F20" i="17" s="1"/>
  <c r="E21" i="17"/>
  <c r="F21" i="17" s="1"/>
  <c r="E67" i="17"/>
  <c r="DO56" i="6" s="1"/>
  <c r="DQ56" i="6" s="1"/>
  <c r="DS56" i="6" s="1"/>
  <c r="DU56" i="6" s="1"/>
  <c r="F67" i="17"/>
  <c r="W213" i="12"/>
  <c r="W260" i="12"/>
  <c r="W273" i="12"/>
  <c r="W255" i="12"/>
  <c r="W258" i="12"/>
  <c r="W231" i="12"/>
  <c r="W201" i="12"/>
  <c r="W191" i="12"/>
  <c r="W184" i="12"/>
  <c r="W182" i="12"/>
  <c r="W186" i="12"/>
  <c r="W243" i="12"/>
  <c r="W271" i="12"/>
  <c r="W247" i="12"/>
  <c r="W268" i="12"/>
  <c r="W256" i="12"/>
  <c r="W237" i="12"/>
  <c r="W229" i="12"/>
  <c r="W233" i="12"/>
  <c r="W178" i="12"/>
  <c r="W225" i="12"/>
  <c r="W171" i="12"/>
  <c r="W232" i="12"/>
  <c r="W227" i="12"/>
  <c r="W206" i="12"/>
  <c r="W195" i="12"/>
  <c r="W269" i="12"/>
  <c r="W216" i="12"/>
  <c r="W188" i="12"/>
  <c r="W274" i="12"/>
  <c r="W209" i="12"/>
  <c r="W266" i="12"/>
  <c r="W200" i="12"/>
  <c r="W262" i="12"/>
  <c r="W218" i="12"/>
  <c r="O191" i="12"/>
  <c r="O201" i="12"/>
  <c r="O194" i="12"/>
  <c r="O187" i="12"/>
  <c r="O209" i="12"/>
  <c r="O207" i="12"/>
  <c r="O274" i="12"/>
  <c r="O202" i="12"/>
  <c r="O192" i="12"/>
  <c r="O215" i="12"/>
  <c r="O264" i="12"/>
  <c r="O210" i="12"/>
  <c r="O218" i="12"/>
  <c r="O195" i="12"/>
  <c r="O216" i="12"/>
  <c r="O196" i="12"/>
  <c r="O200" i="12"/>
  <c r="O221" i="12"/>
  <c r="O212" i="12"/>
  <c r="O197" i="12"/>
  <c r="O262" i="12"/>
  <c r="O193" i="12"/>
  <c r="O198" i="12"/>
  <c r="O270" i="12"/>
  <c r="O205" i="12"/>
  <c r="O272" i="12"/>
  <c r="O268" i="12"/>
  <c r="O169" i="12"/>
  <c r="O213" i="12"/>
  <c r="O217" i="12"/>
  <c r="O188" i="12"/>
  <c r="O199" i="12"/>
  <c r="O203" i="12"/>
  <c r="O168" i="12"/>
  <c r="O208" i="12"/>
  <c r="O167" i="12"/>
  <c r="O189" i="12"/>
  <c r="O211" i="12"/>
  <c r="O223" i="12"/>
  <c r="O172" i="12"/>
  <c r="O226" i="12"/>
  <c r="O234" i="12"/>
  <c r="O179" i="12"/>
  <c r="O235" i="12"/>
  <c r="O220" i="12"/>
  <c r="O214" i="12"/>
  <c r="O170" i="12"/>
  <c r="O224" i="12"/>
  <c r="O175" i="12"/>
  <c r="O227" i="12"/>
  <c r="O181" i="12"/>
  <c r="O182" i="12"/>
  <c r="O206" i="12"/>
  <c r="O266" i="12"/>
  <c r="O222" i="12"/>
  <c r="O225" i="12"/>
  <c r="O173" i="12"/>
  <c r="O176" i="12"/>
  <c r="O177" i="12"/>
  <c r="O233" i="12"/>
  <c r="O183" i="12"/>
  <c r="O238" i="12"/>
  <c r="O185" i="12"/>
  <c r="O186" i="12"/>
  <c r="O240" i="12"/>
  <c r="O178" i="12"/>
  <c r="O239" i="12"/>
  <c r="O242" i="12"/>
  <c r="O243" i="12"/>
  <c r="O249" i="12"/>
  <c r="O252" i="12"/>
  <c r="O259" i="12"/>
  <c r="O273" i="12"/>
  <c r="O271" i="12"/>
  <c r="O275" i="12"/>
  <c r="O263" i="12"/>
  <c r="O265" i="12"/>
  <c r="O204" i="12"/>
  <c r="O232" i="12"/>
  <c r="O184" i="12"/>
  <c r="O190" i="12"/>
  <c r="O219" i="12"/>
  <c r="O174" i="12"/>
  <c r="O229" i="12"/>
  <c r="O230" i="12"/>
  <c r="O245" i="12"/>
  <c r="O246" i="12"/>
  <c r="O251" i="12"/>
  <c r="O253" i="12"/>
  <c r="O254" i="12"/>
  <c r="O257" i="12"/>
  <c r="O258" i="12"/>
  <c r="O260" i="12"/>
  <c r="O228" i="12"/>
  <c r="O231" i="12"/>
  <c r="O180" i="12"/>
  <c r="O237" i="12"/>
  <c r="O236" i="12"/>
  <c r="O241" i="12"/>
  <c r="O244" i="12"/>
  <c r="O256" i="12"/>
  <c r="O255" i="12"/>
  <c r="O171" i="12"/>
  <c r="O248" i="12"/>
  <c r="O267" i="12"/>
  <c r="O261" i="12"/>
  <c r="O269" i="12"/>
  <c r="O250" i="12"/>
  <c r="O247" i="12"/>
  <c r="W257" i="12"/>
  <c r="W242" i="12"/>
  <c r="W265" i="12"/>
  <c r="W254" i="12"/>
  <c r="W236" i="12"/>
  <c r="W180" i="12"/>
  <c r="W230" i="12"/>
  <c r="W172" i="12"/>
  <c r="W185" i="12"/>
  <c r="W170" i="12"/>
  <c r="W177" i="12"/>
  <c r="W226" i="12"/>
  <c r="W270" i="12"/>
  <c r="W210" i="12"/>
  <c r="W189" i="12"/>
  <c r="W217" i="12"/>
  <c r="W220" i="12"/>
  <c r="W168" i="12"/>
  <c r="W272" i="12"/>
  <c r="W208" i="12"/>
  <c r="W205" i="12"/>
  <c r="W215" i="12"/>
  <c r="K167" i="12"/>
  <c r="K215" i="12"/>
  <c r="K207" i="12"/>
  <c r="K187" i="12"/>
  <c r="K262" i="12"/>
  <c r="K191" i="12"/>
  <c r="K217" i="12"/>
  <c r="K221" i="12"/>
  <c r="K208" i="12"/>
  <c r="K209" i="12"/>
  <c r="K270" i="12"/>
  <c r="K206" i="12"/>
  <c r="K196" i="12"/>
  <c r="K199" i="12"/>
  <c r="K219" i="12"/>
  <c r="K189" i="12"/>
  <c r="K198" i="12"/>
  <c r="K202" i="12"/>
  <c r="K192" i="12"/>
  <c r="K205" i="12"/>
  <c r="K195" i="12"/>
  <c r="K193" i="12"/>
  <c r="K194" i="12"/>
  <c r="K274" i="12"/>
  <c r="K169" i="12"/>
  <c r="K213" i="12"/>
  <c r="K204" i="12"/>
  <c r="K211" i="12"/>
  <c r="K203" i="12"/>
  <c r="K197" i="12"/>
  <c r="K216" i="12"/>
  <c r="K201" i="12"/>
  <c r="K210" i="12"/>
  <c r="K214" i="12"/>
  <c r="K272" i="12"/>
  <c r="K261" i="12"/>
  <c r="K263" i="12"/>
  <c r="K171" i="12"/>
  <c r="K226" i="12"/>
  <c r="K181" i="12"/>
  <c r="K182" i="12"/>
  <c r="K237" i="12"/>
  <c r="K241" i="12"/>
  <c r="K220" i="12"/>
  <c r="K188" i="12"/>
  <c r="K223" i="12"/>
  <c r="K222" i="12"/>
  <c r="K172" i="12"/>
  <c r="K173" i="12"/>
  <c r="K175" i="12"/>
  <c r="K177" i="12"/>
  <c r="K229" i="12"/>
  <c r="K228" i="12"/>
  <c r="K178" i="12"/>
  <c r="K232" i="12"/>
  <c r="K180" i="12"/>
  <c r="K233" i="12"/>
  <c r="K185" i="12"/>
  <c r="K183" i="12"/>
  <c r="K239" i="12"/>
  <c r="K168" i="12"/>
  <c r="K212" i="12"/>
  <c r="K218" i="12"/>
  <c r="K224" i="12"/>
  <c r="K225" i="12"/>
  <c r="K231" i="12"/>
  <c r="K179" i="12"/>
  <c r="K184" i="12"/>
  <c r="K266" i="12"/>
  <c r="K186" i="12"/>
  <c r="K245" i="12"/>
  <c r="K248" i="12"/>
  <c r="K253" i="12"/>
  <c r="K257" i="12"/>
  <c r="K264" i="12"/>
  <c r="K265" i="12"/>
  <c r="K200" i="12"/>
  <c r="K230" i="12"/>
  <c r="K170" i="12"/>
  <c r="K176" i="12"/>
  <c r="K235" i="12"/>
  <c r="K238" i="12"/>
  <c r="K243" i="12"/>
  <c r="K244" i="12"/>
  <c r="K252" i="12"/>
  <c r="K255" i="12"/>
  <c r="K258" i="12"/>
  <c r="K260" i="12"/>
  <c r="K174" i="12"/>
  <c r="K236" i="12"/>
  <c r="K240" i="12"/>
  <c r="K190" i="12"/>
  <c r="K268" i="12"/>
  <c r="K227" i="12"/>
  <c r="K234" i="12"/>
  <c r="K242" i="12"/>
  <c r="K247" i="12"/>
  <c r="K250" i="12"/>
  <c r="K254" i="12"/>
  <c r="K256" i="12"/>
  <c r="K271" i="12"/>
  <c r="K273" i="12"/>
  <c r="K275" i="12"/>
  <c r="K269" i="12"/>
  <c r="K251" i="12"/>
  <c r="K267" i="12"/>
  <c r="K246" i="12"/>
  <c r="K249" i="12"/>
  <c r="K259" i="12"/>
  <c r="W252" i="12"/>
  <c r="W249" i="12"/>
  <c r="W250" i="12"/>
  <c r="W251" i="12"/>
  <c r="W267" i="12"/>
  <c r="W235" i="12"/>
  <c r="W261" i="12"/>
  <c r="W246" i="12"/>
  <c r="W239" i="12"/>
  <c r="W179" i="12"/>
  <c r="W228" i="12"/>
  <c r="W222" i="12"/>
  <c r="W183" i="12"/>
  <c r="W240" i="12"/>
  <c r="W174" i="12"/>
  <c r="W175" i="12"/>
  <c r="W203" i="12"/>
  <c r="W193" i="12"/>
  <c r="W214" i="12"/>
  <c r="W207" i="12"/>
  <c r="W187" i="12"/>
  <c r="W202" i="12"/>
  <c r="W197" i="12"/>
  <c r="W196" i="12"/>
  <c r="W169" i="12"/>
  <c r="W198" i="12"/>
  <c r="L270" i="12"/>
  <c r="L266" i="12"/>
  <c r="L197" i="12"/>
  <c r="L274" i="12"/>
  <c r="L263" i="12"/>
  <c r="L191" i="12"/>
  <c r="L221" i="12"/>
  <c r="L219" i="12"/>
  <c r="L194" i="12"/>
  <c r="L210" i="12"/>
  <c r="L262" i="12"/>
  <c r="L207" i="12"/>
  <c r="L200" i="12"/>
  <c r="L167" i="12"/>
  <c r="L189" i="12"/>
  <c r="L208" i="12"/>
  <c r="L218" i="12"/>
  <c r="L213" i="12"/>
  <c r="L188" i="12"/>
  <c r="L192" i="12"/>
  <c r="L203" i="12"/>
  <c r="L187" i="12"/>
  <c r="L216" i="12"/>
  <c r="L204" i="12"/>
  <c r="L205" i="12"/>
  <c r="L217" i="12"/>
  <c r="L214" i="12"/>
  <c r="L169" i="12"/>
  <c r="L196" i="12"/>
  <c r="L209" i="12"/>
  <c r="L190" i="12"/>
  <c r="L202" i="12"/>
  <c r="L199" i="12"/>
  <c r="L212" i="12"/>
  <c r="L198" i="12"/>
  <c r="L201" i="12"/>
  <c r="L215" i="12"/>
  <c r="L211" i="12"/>
  <c r="L264" i="12"/>
  <c r="L168" i="12"/>
  <c r="L193" i="12"/>
  <c r="L206" i="12"/>
  <c r="L223" i="12"/>
  <c r="L173" i="12"/>
  <c r="L175" i="12"/>
  <c r="L180" i="12"/>
  <c r="L231" i="12"/>
  <c r="L181" i="12"/>
  <c r="L233" i="12"/>
  <c r="L183" i="12"/>
  <c r="L238" i="12"/>
  <c r="L195" i="12"/>
  <c r="L268" i="12"/>
  <c r="L224" i="12"/>
  <c r="L171" i="12"/>
  <c r="L174" i="12"/>
  <c r="L178" i="12"/>
  <c r="L230" i="12"/>
  <c r="L232" i="12"/>
  <c r="L234" i="12"/>
  <c r="L184" i="12"/>
  <c r="L170" i="12"/>
  <c r="L227" i="12"/>
  <c r="L228" i="12"/>
  <c r="L179" i="12"/>
  <c r="L182" i="12"/>
  <c r="L236" i="12"/>
  <c r="L237" i="12"/>
  <c r="L222" i="12"/>
  <c r="L235" i="12"/>
  <c r="L185" i="12"/>
  <c r="L243" i="12"/>
  <c r="L244" i="12"/>
  <c r="L245" i="12"/>
  <c r="L247" i="12"/>
  <c r="L249" i="12"/>
  <c r="L254" i="12"/>
  <c r="L256" i="12"/>
  <c r="L257" i="12"/>
  <c r="L267" i="12"/>
  <c r="L269" i="12"/>
  <c r="L275" i="12"/>
  <c r="L261" i="12"/>
  <c r="L240" i="12"/>
  <c r="L242" i="12"/>
  <c r="L248" i="12"/>
  <c r="L250" i="12"/>
  <c r="L252" i="12"/>
  <c r="L255" i="12"/>
  <c r="L259" i="12"/>
  <c r="L272" i="12"/>
  <c r="L226" i="12"/>
  <c r="L186" i="12"/>
  <c r="L220" i="12"/>
  <c r="L172" i="12"/>
  <c r="L229" i="12"/>
  <c r="L239" i="12"/>
  <c r="L241" i="12"/>
  <c r="L246" i="12"/>
  <c r="L260" i="12"/>
  <c r="L265" i="12"/>
  <c r="L271" i="12"/>
  <c r="L225" i="12"/>
  <c r="L176" i="12"/>
  <c r="L177" i="12"/>
  <c r="L273" i="12"/>
  <c r="L258" i="12"/>
  <c r="L251" i="12"/>
  <c r="L253" i="12"/>
  <c r="P196" i="12"/>
  <c r="P193" i="12"/>
  <c r="P263" i="12"/>
  <c r="P191" i="12"/>
  <c r="P218" i="12"/>
  <c r="P219" i="12"/>
  <c r="P213" i="12"/>
  <c r="P214" i="12"/>
  <c r="P268" i="12"/>
  <c r="P269" i="12"/>
  <c r="P220" i="12"/>
  <c r="P189" i="12"/>
  <c r="P274" i="12"/>
  <c r="P202" i="12"/>
  <c r="P212" i="12"/>
  <c r="P215" i="12"/>
  <c r="P216" i="12"/>
  <c r="P270" i="12"/>
  <c r="P192" i="12"/>
  <c r="P203" i="12"/>
  <c r="P204" i="12"/>
  <c r="P205" i="12"/>
  <c r="P266" i="12"/>
  <c r="P188" i="12"/>
  <c r="P207" i="12"/>
  <c r="P262" i="12"/>
  <c r="P210" i="12"/>
  <c r="P187" i="12"/>
  <c r="P201" i="12"/>
  <c r="P194" i="12"/>
  <c r="P190" i="12"/>
  <c r="P197" i="12"/>
  <c r="P211" i="12"/>
  <c r="P209" i="12"/>
  <c r="P168" i="12"/>
  <c r="P217" i="12"/>
  <c r="P199" i="12"/>
  <c r="P272" i="12"/>
  <c r="P200" i="12"/>
  <c r="P169" i="12"/>
  <c r="P198" i="12"/>
  <c r="P195" i="12"/>
  <c r="P167" i="12"/>
  <c r="P222" i="12"/>
  <c r="P171" i="12"/>
  <c r="P172" i="12"/>
  <c r="P225" i="12"/>
  <c r="P173" i="12"/>
  <c r="P177" i="12"/>
  <c r="P180" i="12"/>
  <c r="P233" i="12"/>
  <c r="P183" i="12"/>
  <c r="P238" i="12"/>
  <c r="P170" i="12"/>
  <c r="P223" i="12"/>
  <c r="P176" i="12"/>
  <c r="P227" i="12"/>
  <c r="P230" i="12"/>
  <c r="P231" i="12"/>
  <c r="P181" i="12"/>
  <c r="P232" i="12"/>
  <c r="P234" i="12"/>
  <c r="P221" i="12"/>
  <c r="P208" i="12"/>
  <c r="P226" i="12"/>
  <c r="P175" i="12"/>
  <c r="P229" i="12"/>
  <c r="P178" i="12"/>
  <c r="P236" i="12"/>
  <c r="P239" i="12"/>
  <c r="P206" i="12"/>
  <c r="P224" i="12"/>
  <c r="P179" i="12"/>
  <c r="P184" i="12"/>
  <c r="P243" i="12"/>
  <c r="P256" i="12"/>
  <c r="P258" i="12"/>
  <c r="P260" i="12"/>
  <c r="P271" i="12"/>
  <c r="P264" i="12"/>
  <c r="P267" i="12"/>
  <c r="P242" i="12"/>
  <c r="P174" i="12"/>
  <c r="P186" i="12"/>
  <c r="P237" i="12"/>
  <c r="P240" i="12"/>
  <c r="P247" i="12"/>
  <c r="P248" i="12"/>
  <c r="P257" i="12"/>
  <c r="P273" i="12"/>
  <c r="P265" i="12"/>
  <c r="P275" i="12"/>
  <c r="P244" i="12"/>
  <c r="P228" i="12"/>
  <c r="P235" i="12"/>
  <c r="P185" i="12"/>
  <c r="P249" i="12"/>
  <c r="P250" i="12"/>
  <c r="P251" i="12"/>
  <c r="P255" i="12"/>
  <c r="P261" i="12"/>
  <c r="P182" i="12"/>
  <c r="P241" i="12"/>
  <c r="P245" i="12"/>
  <c r="P252" i="12"/>
  <c r="P254" i="12"/>
  <c r="P259" i="12"/>
  <c r="P253" i="12"/>
  <c r="P246" i="12"/>
  <c r="W263" i="12"/>
  <c r="W245" i="12"/>
  <c r="W244" i="12"/>
  <c r="W248" i="12"/>
  <c r="W253" i="12"/>
  <c r="W259" i="12"/>
  <c r="W241" i="12"/>
  <c r="W234" i="12"/>
  <c r="W181" i="12"/>
  <c r="W224" i="12"/>
  <c r="W223" i="12"/>
  <c r="W173" i="12"/>
  <c r="W238" i="12"/>
  <c r="W176" i="12"/>
  <c r="W264" i="12"/>
  <c r="W167" i="12"/>
  <c r="W194" i="12"/>
  <c r="W221" i="12"/>
  <c r="W219" i="12"/>
  <c r="W204" i="12"/>
  <c r="W211" i="12"/>
  <c r="W190" i="12"/>
  <c r="W199" i="12"/>
  <c r="W212" i="12"/>
  <c r="W192" i="12"/>
  <c r="N204" i="12"/>
  <c r="T204" i="12" s="1"/>
  <c r="N209" i="12"/>
  <c r="T209" i="12" s="1"/>
  <c r="N262" i="12"/>
  <c r="T262" i="12" s="1"/>
  <c r="N199" i="12"/>
  <c r="N214" i="12"/>
  <c r="T214" i="12" s="1"/>
  <c r="N217" i="12"/>
  <c r="T217" i="12" s="1"/>
  <c r="N167" i="12"/>
  <c r="T167" i="12" s="1"/>
  <c r="N215" i="12"/>
  <c r="N187" i="12"/>
  <c r="T187" i="12" s="1"/>
  <c r="N194" i="12"/>
  <c r="T194" i="12" s="1"/>
  <c r="N206" i="12"/>
  <c r="T206" i="12" s="1"/>
  <c r="N203" i="12"/>
  <c r="N190" i="12"/>
  <c r="T190" i="12" s="1"/>
  <c r="N191" i="12"/>
  <c r="T191" i="12" s="1"/>
  <c r="N201" i="12"/>
  <c r="T201" i="12" s="1"/>
  <c r="N268" i="12"/>
  <c r="N208" i="12"/>
  <c r="T208" i="12" s="1"/>
  <c r="N266" i="12"/>
  <c r="T266" i="12" s="1"/>
  <c r="N200" i="12"/>
  <c r="N267" i="12"/>
  <c r="T267" i="12" s="1"/>
  <c r="N221" i="12"/>
  <c r="T221" i="12" s="1"/>
  <c r="N193" i="12"/>
  <c r="T193" i="12" s="1"/>
  <c r="N205" i="12"/>
  <c r="N213" i="12"/>
  <c r="T213" i="12" s="1"/>
  <c r="N207" i="12"/>
  <c r="T207" i="12" s="1"/>
  <c r="N218" i="12"/>
  <c r="T218" i="12" s="1"/>
  <c r="N212" i="12"/>
  <c r="T212" i="12" s="1"/>
  <c r="N269" i="12"/>
  <c r="N189" i="12"/>
  <c r="T189" i="12" s="1"/>
  <c r="N274" i="12"/>
  <c r="T274" i="12" s="1"/>
  <c r="N192" i="12"/>
  <c r="T192" i="12" s="1"/>
  <c r="N196" i="12"/>
  <c r="N211" i="12"/>
  <c r="T211" i="12" s="1"/>
  <c r="N264" i="12"/>
  <c r="T264" i="12" s="1"/>
  <c r="N270" i="12"/>
  <c r="N168" i="12"/>
  <c r="T168" i="12" s="1"/>
  <c r="N219" i="12"/>
  <c r="T219" i="12" s="1"/>
  <c r="N220" i="12"/>
  <c r="T220" i="12" s="1"/>
  <c r="N198" i="12"/>
  <c r="T198" i="12" s="1"/>
  <c r="N216" i="12"/>
  <c r="T216" i="12" s="1"/>
  <c r="N272" i="12"/>
  <c r="T272" i="12" s="1"/>
  <c r="N210" i="12"/>
  <c r="T210" i="12" s="1"/>
  <c r="N188" i="12"/>
  <c r="T188" i="12" s="1"/>
  <c r="N226" i="12"/>
  <c r="T226" i="12" s="1"/>
  <c r="N173" i="12"/>
  <c r="T173" i="12" s="1"/>
  <c r="N229" i="12"/>
  <c r="T229" i="12" s="1"/>
  <c r="N230" i="12"/>
  <c r="T230" i="12" s="1"/>
  <c r="N177" i="12"/>
  <c r="N178" i="12"/>
  <c r="N231" i="12"/>
  <c r="T231" i="12" s="1"/>
  <c r="N179" i="12"/>
  <c r="N182" i="12"/>
  <c r="T182" i="12" s="1"/>
  <c r="N183" i="12"/>
  <c r="T183" i="12" s="1"/>
  <c r="N238" i="12"/>
  <c r="T238" i="12" s="1"/>
  <c r="N237" i="12"/>
  <c r="T237" i="12" s="1"/>
  <c r="N239" i="12"/>
  <c r="N241" i="12"/>
  <c r="T241" i="12" s="1"/>
  <c r="N169" i="12"/>
  <c r="T169" i="12" s="1"/>
  <c r="N195" i="12"/>
  <c r="T195" i="12" s="1"/>
  <c r="N225" i="12"/>
  <c r="T225" i="12" s="1"/>
  <c r="N224" i="12"/>
  <c r="T224" i="12" s="1"/>
  <c r="N175" i="12"/>
  <c r="T175" i="12" s="1"/>
  <c r="N234" i="12"/>
  <c r="T234" i="12" s="1"/>
  <c r="N184" i="12"/>
  <c r="N235" i="12"/>
  <c r="T235" i="12" s="1"/>
  <c r="N202" i="12"/>
  <c r="T202" i="12" s="1"/>
  <c r="N170" i="12"/>
  <c r="T170" i="12" s="1"/>
  <c r="N223" i="12"/>
  <c r="T223" i="12" s="1"/>
  <c r="N228" i="12"/>
  <c r="T228" i="12" s="1"/>
  <c r="N227" i="12"/>
  <c r="T227" i="12" s="1"/>
  <c r="N233" i="12"/>
  <c r="N181" i="12"/>
  <c r="T181" i="12" s="1"/>
  <c r="N236" i="12"/>
  <c r="T236" i="12" s="1"/>
  <c r="N185" i="12"/>
  <c r="T185" i="12" s="1"/>
  <c r="N197" i="12"/>
  <c r="T197" i="12" s="1"/>
  <c r="N174" i="12"/>
  <c r="T174" i="12" s="1"/>
  <c r="N176" i="12"/>
  <c r="T176" i="12" s="1"/>
  <c r="N171" i="12"/>
  <c r="T171" i="12" s="1"/>
  <c r="N232" i="12"/>
  <c r="T232" i="12" s="1"/>
  <c r="N180" i="12"/>
  <c r="T180" i="12" s="1"/>
  <c r="N186" i="12"/>
  <c r="N243" i="12"/>
  <c r="T243" i="12" s="1"/>
  <c r="N245" i="12"/>
  <c r="T245" i="12" s="1"/>
  <c r="N249" i="12"/>
  <c r="T249" i="12" s="1"/>
  <c r="N250" i="12"/>
  <c r="T250" i="12" s="1"/>
  <c r="N251" i="12"/>
  <c r="T251" i="12" s="1"/>
  <c r="N271" i="12"/>
  <c r="T271" i="12" s="1"/>
  <c r="N222" i="12"/>
  <c r="N172" i="12"/>
  <c r="T172" i="12" s="1"/>
  <c r="N240" i="12"/>
  <c r="T240" i="12" s="1"/>
  <c r="N242" i="12"/>
  <c r="N244" i="12"/>
  <c r="N246" i="12"/>
  <c r="T246" i="12" s="1"/>
  <c r="N248" i="12"/>
  <c r="T248" i="12" s="1"/>
  <c r="N252" i="12"/>
  <c r="T252" i="12" s="1"/>
  <c r="N253" i="12"/>
  <c r="N254" i="12"/>
  <c r="N258" i="12"/>
  <c r="T258" i="12" s="1"/>
  <c r="N259" i="12"/>
  <c r="T259" i="12" s="1"/>
  <c r="N265" i="12"/>
  <c r="N273" i="12"/>
  <c r="T273" i="12" s="1"/>
  <c r="N256" i="12"/>
  <c r="T256" i="12" s="1"/>
  <c r="N263" i="12"/>
  <c r="N275" i="12"/>
  <c r="T275" i="12" s="1"/>
  <c r="N247" i="12"/>
  <c r="T247" i="12" s="1"/>
  <c r="N261" i="12"/>
  <c r="T261" i="12" s="1"/>
  <c r="N255" i="12"/>
  <c r="N257" i="12"/>
  <c r="T257" i="12" s="1"/>
  <c r="N260" i="12"/>
  <c r="T260" i="12" s="1"/>
  <c r="J194" i="12"/>
  <c r="J198" i="12"/>
  <c r="J262" i="12"/>
  <c r="J204" i="12"/>
  <c r="J202" i="12"/>
  <c r="J274" i="12"/>
  <c r="J206" i="12"/>
  <c r="J190" i="12"/>
  <c r="J217" i="12"/>
  <c r="J265" i="12"/>
  <c r="J209" i="12"/>
  <c r="J212" i="12"/>
  <c r="J210" i="12"/>
  <c r="J216" i="12"/>
  <c r="J200" i="12"/>
  <c r="J203" i="12"/>
  <c r="J189" i="12"/>
  <c r="J213" i="12"/>
  <c r="J193" i="12"/>
  <c r="J196" i="12"/>
  <c r="J207" i="12"/>
  <c r="J218" i="12"/>
  <c r="J188" i="12"/>
  <c r="J268" i="12"/>
  <c r="J221" i="12"/>
  <c r="J214" i="12"/>
  <c r="J199" i="12"/>
  <c r="J191" i="12"/>
  <c r="J219" i="12"/>
  <c r="J195" i="12"/>
  <c r="J208" i="12"/>
  <c r="J168" i="12"/>
  <c r="J220" i="12"/>
  <c r="J192" i="12"/>
  <c r="J270" i="12"/>
  <c r="J187" i="12"/>
  <c r="J201" i="12"/>
  <c r="J211" i="12"/>
  <c r="J167" i="12"/>
  <c r="J223" i="12"/>
  <c r="J173" i="12"/>
  <c r="J177" i="12"/>
  <c r="J230" i="12"/>
  <c r="J231" i="12"/>
  <c r="J234" i="12"/>
  <c r="J235" i="12"/>
  <c r="J236" i="12"/>
  <c r="J186" i="12"/>
  <c r="J272" i="12"/>
  <c r="J197" i="12"/>
  <c r="J215" i="12"/>
  <c r="J172" i="12"/>
  <c r="J225" i="12"/>
  <c r="J226" i="12"/>
  <c r="J179" i="12"/>
  <c r="J178" i="12"/>
  <c r="J233" i="12"/>
  <c r="J232" i="12"/>
  <c r="J205" i="12"/>
  <c r="J169" i="12"/>
  <c r="J170" i="12"/>
  <c r="J224" i="12"/>
  <c r="J175" i="12"/>
  <c r="J227" i="12"/>
  <c r="J229" i="12"/>
  <c r="J181" i="12"/>
  <c r="J180" i="12"/>
  <c r="J182" i="12"/>
  <c r="J184" i="12"/>
  <c r="J183" i="12"/>
  <c r="J237" i="12"/>
  <c r="J241" i="12"/>
  <c r="J222" i="12"/>
  <c r="J176" i="12"/>
  <c r="J228" i="12"/>
  <c r="J245" i="12"/>
  <c r="J247" i="12"/>
  <c r="J250" i="12"/>
  <c r="J251" i="12"/>
  <c r="J252" i="12"/>
  <c r="J258" i="12"/>
  <c r="J264" i="12"/>
  <c r="J267" i="12"/>
  <c r="J261" i="12"/>
  <c r="J266" i="12"/>
  <c r="J275" i="12"/>
  <c r="J238" i="12"/>
  <c r="J240" i="12"/>
  <c r="J242" i="12"/>
  <c r="J174" i="12"/>
  <c r="J243" i="12"/>
  <c r="J244" i="12"/>
  <c r="J253" i="12"/>
  <c r="J256" i="12"/>
  <c r="J259" i="12"/>
  <c r="J269" i="12"/>
  <c r="J171" i="12"/>
  <c r="J239" i="12"/>
  <c r="J246" i="12"/>
  <c r="J249" i="12"/>
  <c r="J260" i="12"/>
  <c r="J263" i="12"/>
  <c r="J185" i="12"/>
  <c r="J271" i="12"/>
  <c r="J248" i="12"/>
  <c r="J254" i="12"/>
  <c r="J255" i="12"/>
  <c r="J257" i="12"/>
  <c r="J273" i="12"/>
  <c r="AD271" i="12"/>
  <c r="AD273" i="12"/>
  <c r="AD272" i="12"/>
  <c r="AD274" i="12"/>
  <c r="AD275" i="12"/>
  <c r="R55" i="15"/>
  <c r="S55" i="15" s="1"/>
  <c r="AE55" i="15" s="1"/>
  <c r="AW55" i="15" s="1"/>
  <c r="G50" i="17"/>
  <c r="G51" i="17"/>
  <c r="G52" i="17"/>
  <c r="G59" i="17"/>
  <c r="G61" i="17"/>
  <c r="G64" i="17"/>
  <c r="G60" i="17"/>
  <c r="G57" i="17"/>
  <c r="G56" i="17"/>
  <c r="G62" i="17"/>
  <c r="G58" i="17"/>
  <c r="G63" i="17"/>
  <c r="G65" i="17"/>
  <c r="G54" i="17"/>
  <c r="G46" i="17"/>
  <c r="G34" i="17"/>
  <c r="G37" i="17"/>
  <c r="G31" i="17"/>
  <c r="G15" i="17"/>
  <c r="G24" i="17"/>
  <c r="G26" i="17"/>
  <c r="G18" i="17"/>
  <c r="G45" i="17"/>
  <c r="G44" i="17"/>
  <c r="G43" i="17"/>
  <c r="G36" i="17"/>
  <c r="G41" i="17"/>
  <c r="G29" i="17"/>
  <c r="G30" i="17"/>
  <c r="G21" i="17"/>
  <c r="G22" i="17"/>
  <c r="G23" i="17"/>
  <c r="G67" i="17"/>
  <c r="G53" i="17"/>
  <c r="G49" i="17"/>
  <c r="G39" i="17"/>
  <c r="G38" i="17"/>
  <c r="G40" i="17"/>
  <c r="G28" i="17"/>
  <c r="G32" i="17"/>
  <c r="G20" i="17"/>
  <c r="G25" i="17"/>
  <c r="G66" i="17"/>
  <c r="G55" i="17"/>
  <c r="G47" i="17"/>
  <c r="G48" i="17"/>
  <c r="G35" i="17"/>
  <c r="G42" i="17"/>
  <c r="G33" i="17"/>
  <c r="G27" i="17"/>
  <c r="G16" i="17"/>
  <c r="G17" i="17"/>
  <c r="G19" i="17"/>
  <c r="AD33" i="12"/>
  <c r="AD85" i="12"/>
  <c r="AC86" i="12"/>
  <c r="AC137" i="12"/>
  <c r="AC85" i="12"/>
  <c r="AC34" i="12"/>
  <c r="AD139" i="12"/>
  <c r="AC33" i="12"/>
  <c r="AD34" i="12"/>
  <c r="AD137" i="12"/>
  <c r="AD138" i="12"/>
  <c r="AC138" i="12"/>
  <c r="AD86" i="12"/>
  <c r="AC140" i="12"/>
  <c r="AD87" i="12"/>
  <c r="AC139" i="12"/>
  <c r="AC35" i="12"/>
  <c r="AD35" i="12"/>
  <c r="AD88" i="12"/>
  <c r="AD140" i="12"/>
  <c r="AC87" i="12"/>
  <c r="R29" i="15"/>
  <c r="S29" i="15" s="1"/>
  <c r="AE29" i="15" s="1"/>
  <c r="R5" i="15"/>
  <c r="S5" i="15" s="1"/>
  <c r="AE5" i="15" s="1"/>
  <c r="R33" i="15"/>
  <c r="S33" i="15" s="1"/>
  <c r="AE33" i="15" s="1"/>
  <c r="R7" i="15"/>
  <c r="S7" i="15" s="1"/>
  <c r="AE7" i="15" s="1"/>
  <c r="R13" i="15"/>
  <c r="S13" i="15" s="1"/>
  <c r="AE13" i="15" s="1"/>
  <c r="R15" i="15"/>
  <c r="S15" i="15" s="1"/>
  <c r="AE15" i="15" s="1"/>
  <c r="C18" i="37"/>
  <c r="AD16" i="12"/>
  <c r="AD17" i="12"/>
  <c r="AD112" i="12"/>
  <c r="AD147" i="12"/>
  <c r="AD83" i="12"/>
  <c r="AD19" i="12"/>
  <c r="AD94" i="12"/>
  <c r="AD30" i="12"/>
  <c r="AD52" i="12"/>
  <c r="AD97" i="12"/>
  <c r="AD25" i="12"/>
  <c r="AD72" i="12"/>
  <c r="AD127" i="12"/>
  <c r="AD63" i="12"/>
  <c r="AD122" i="12"/>
  <c r="AD58" i="12"/>
  <c r="AD108" i="12"/>
  <c r="AD125" i="12"/>
  <c r="AD57" i="12"/>
  <c r="AD32" i="12"/>
  <c r="AD107" i="12"/>
  <c r="AD43" i="12"/>
  <c r="AD118" i="12"/>
  <c r="AD38" i="12"/>
  <c r="AD68" i="12"/>
  <c r="AD105" i="12"/>
  <c r="AD37" i="12"/>
  <c r="AD154" i="12"/>
  <c r="AD27" i="12"/>
  <c r="AD22" i="12"/>
  <c r="AD89" i="12"/>
  <c r="AD64" i="12"/>
  <c r="AD134" i="12"/>
  <c r="AD121" i="12"/>
  <c r="AD80" i="12"/>
  <c r="AD131" i="12"/>
  <c r="AD67" i="12"/>
  <c r="AD142" i="12"/>
  <c r="AD78" i="12"/>
  <c r="AD144" i="12"/>
  <c r="AD149" i="12"/>
  <c r="AD77" i="12"/>
  <c r="AD40" i="12"/>
  <c r="AD111" i="12"/>
  <c r="AD47" i="12"/>
  <c r="AD106" i="12"/>
  <c r="AD42" i="12"/>
  <c r="AD76" i="12"/>
  <c r="AD109" i="12"/>
  <c r="AD41" i="12"/>
  <c r="AD128" i="12"/>
  <c r="AD91" i="12"/>
  <c r="AD102" i="12"/>
  <c r="AD36" i="12"/>
  <c r="AD132" i="12"/>
  <c r="AD69" i="12"/>
  <c r="AD24" i="12"/>
  <c r="AD46" i="12"/>
  <c r="AD113" i="12"/>
  <c r="AD104" i="12"/>
  <c r="AD79" i="12"/>
  <c r="AD73" i="12"/>
  <c r="AD123" i="12"/>
  <c r="AD54" i="12"/>
  <c r="AD53" i="12"/>
  <c r="AD48" i="12"/>
  <c r="AD115" i="12"/>
  <c r="AD51" i="12"/>
  <c r="AD126" i="12"/>
  <c r="AD62" i="12"/>
  <c r="AD116" i="12"/>
  <c r="AD129" i="12"/>
  <c r="AD61" i="12"/>
  <c r="AD136" i="12"/>
  <c r="AD21" i="12"/>
  <c r="AD95" i="12"/>
  <c r="AD31" i="12"/>
  <c r="AD90" i="12"/>
  <c r="AD26" i="12"/>
  <c r="AD44" i="12"/>
  <c r="AD93" i="12"/>
  <c r="AD20" i="12"/>
  <c r="AD96" i="12"/>
  <c r="AD75" i="12"/>
  <c r="AD150" i="12"/>
  <c r="AD70" i="12"/>
  <c r="AD141" i="12"/>
  <c r="AD148" i="12"/>
  <c r="AD99" i="12"/>
  <c r="AD110" i="12"/>
  <c r="AD84" i="12"/>
  <c r="AD45" i="12"/>
  <c r="AD143" i="12"/>
  <c r="AD74" i="12"/>
  <c r="AD145" i="12"/>
  <c r="AD59" i="12"/>
  <c r="AD100" i="12"/>
  <c r="AD222" i="12"/>
  <c r="AD212" i="12"/>
  <c r="AD217" i="12"/>
  <c r="AD206" i="12"/>
  <c r="AD81" i="12"/>
  <c r="AD124" i="12"/>
  <c r="AD146" i="12"/>
  <c r="AD151" i="12"/>
  <c r="AD65" i="12"/>
  <c r="AD18" i="12"/>
  <c r="AD23" i="12"/>
  <c r="AD28" i="12"/>
  <c r="AD184" i="12"/>
  <c r="AD173" i="12"/>
  <c r="AD162" i="12"/>
  <c r="AD188" i="12"/>
  <c r="AD177" i="12"/>
  <c r="AD182" i="12"/>
  <c r="AD164" i="12"/>
  <c r="AD169" i="12"/>
  <c r="AD158" i="12"/>
  <c r="AD117" i="12"/>
  <c r="AD50" i="12"/>
  <c r="AD39" i="12"/>
  <c r="AD56" i="12"/>
  <c r="AD101" i="12"/>
  <c r="AD66" i="12"/>
  <c r="AD55" i="12"/>
  <c r="AD120" i="12"/>
  <c r="AD200" i="12"/>
  <c r="AD189" i="12"/>
  <c r="AD178" i="12"/>
  <c r="AD168" i="12"/>
  <c r="AD204" i="12"/>
  <c r="AD193" i="12"/>
  <c r="AD198" i="12"/>
  <c r="AD196" i="12"/>
  <c r="AD201" i="12"/>
  <c r="AD190" i="12"/>
  <c r="AD49" i="12"/>
  <c r="AD114" i="12"/>
  <c r="AD152" i="12"/>
  <c r="AD29" i="12"/>
  <c r="AD130" i="12"/>
  <c r="AD157" i="12"/>
  <c r="AD210" i="12"/>
  <c r="AD161" i="12"/>
  <c r="AD180" i="12"/>
  <c r="AD185" i="12"/>
  <c r="AD174" i="12"/>
  <c r="AD153" i="12"/>
  <c r="AD82" i="12"/>
  <c r="AD71" i="12"/>
  <c r="AD133" i="12"/>
  <c r="AD98" i="12"/>
  <c r="AD103" i="12"/>
  <c r="AD216" i="12"/>
  <c r="AD205" i="12"/>
  <c r="AD194" i="12"/>
  <c r="AD156" i="12"/>
  <c r="AD221" i="12"/>
  <c r="AD209" i="12"/>
  <c r="AD214" i="12"/>
  <c r="AD60" i="12"/>
  <c r="AD119" i="12"/>
  <c r="AD92" i="12"/>
  <c r="AD135" i="12"/>
  <c r="AD220" i="12"/>
  <c r="AD172" i="12"/>
  <c r="AD167" i="12"/>
  <c r="AD215" i="12"/>
  <c r="AD207" i="12"/>
  <c r="AD223" i="12"/>
  <c r="AD176" i="12"/>
  <c r="AD170" i="12"/>
  <c r="AD160" i="12"/>
  <c r="AD163" i="12"/>
  <c r="AD175" i="12"/>
  <c r="AD171" i="12"/>
  <c r="AD192" i="12"/>
  <c r="AD218" i="12"/>
  <c r="AD197" i="12"/>
  <c r="AD195" i="12"/>
  <c r="AD186" i="12"/>
  <c r="AD199" i="12"/>
  <c r="AD203" i="12"/>
  <c r="AD211" i="12"/>
  <c r="AD213" i="12"/>
  <c r="AD202" i="12"/>
  <c r="AD165" i="12"/>
  <c r="AD179" i="12"/>
  <c r="AD159" i="12"/>
  <c r="AD191" i="12"/>
  <c r="AD155" i="12"/>
  <c r="AD181" i="12"/>
  <c r="AD208" i="12"/>
  <c r="AD166" i="12"/>
  <c r="AD224" i="12"/>
  <c r="AD226" i="12"/>
  <c r="AD219" i="12"/>
  <c r="AD183" i="12"/>
  <c r="AD187" i="12"/>
  <c r="AD225" i="12"/>
  <c r="AD227" i="12"/>
  <c r="AD228" i="12"/>
  <c r="AD229" i="12"/>
  <c r="AD230" i="12"/>
  <c r="AD231" i="12"/>
  <c r="AD232" i="12"/>
  <c r="AD233" i="12"/>
  <c r="AD235" i="12"/>
  <c r="AD234" i="12"/>
  <c r="AD236" i="12"/>
  <c r="AD238" i="12"/>
  <c r="AD237" i="12"/>
  <c r="AD239" i="12"/>
  <c r="AD241" i="12"/>
  <c r="AD240" i="12"/>
  <c r="AD243" i="12"/>
  <c r="AD242" i="12"/>
  <c r="AD244" i="12"/>
  <c r="AD245" i="12"/>
  <c r="AD246" i="12"/>
  <c r="AD247" i="12"/>
  <c r="AD248" i="12"/>
  <c r="AD249" i="12"/>
  <c r="AD250" i="12"/>
  <c r="AD251" i="12"/>
  <c r="AD253" i="12"/>
  <c r="AD252" i="12"/>
  <c r="AD255" i="12"/>
  <c r="AD254" i="12"/>
  <c r="AD256" i="12"/>
  <c r="AD257" i="12"/>
  <c r="AD258" i="12"/>
  <c r="AD259" i="12"/>
  <c r="AD261" i="12"/>
  <c r="AD260" i="12"/>
  <c r="AD262" i="12"/>
  <c r="AD265" i="12"/>
  <c r="AD263" i="12"/>
  <c r="AD264" i="12"/>
  <c r="AD267" i="12"/>
  <c r="AD266" i="12"/>
  <c r="AD268" i="12"/>
  <c r="AD269" i="12"/>
  <c r="AD270" i="12"/>
  <c r="AC17" i="12"/>
  <c r="AC88" i="12"/>
  <c r="AC24" i="12"/>
  <c r="AC43" i="12"/>
  <c r="AC90" i="12"/>
  <c r="AC26" i="12"/>
  <c r="AC111" i="12"/>
  <c r="AC133" i="12"/>
  <c r="AC65" i="12"/>
  <c r="AC136" i="12"/>
  <c r="AC52" i="12"/>
  <c r="AC99" i="12"/>
  <c r="AC134" i="12"/>
  <c r="AC54" i="12"/>
  <c r="AC108" i="12"/>
  <c r="AC39" i="12"/>
  <c r="AC97" i="12"/>
  <c r="AC25" i="12"/>
  <c r="AC80" i="12"/>
  <c r="AC154" i="12"/>
  <c r="AC27" i="12"/>
  <c r="AC98" i="12"/>
  <c r="AC18" i="12"/>
  <c r="AC95" i="12"/>
  <c r="AC125" i="12"/>
  <c r="AC57" i="12"/>
  <c r="AC76" i="12"/>
  <c r="AC147" i="12"/>
  <c r="AC19" i="12"/>
  <c r="AC94" i="12"/>
  <c r="AC30" i="12"/>
  <c r="AC119" i="12"/>
  <c r="AC141" i="12"/>
  <c r="AC69" i="12"/>
  <c r="AC59" i="12"/>
  <c r="AC73" i="12"/>
  <c r="AC110" i="12"/>
  <c r="AC89" i="12"/>
  <c r="AC72" i="12"/>
  <c r="AC74" i="12"/>
  <c r="AC144" i="12"/>
  <c r="AC79" i="12"/>
  <c r="AC117" i="12"/>
  <c r="AC49" i="12"/>
  <c r="AC104" i="12"/>
  <c r="AC36" i="12"/>
  <c r="AC67" i="12"/>
  <c r="AC118" i="12"/>
  <c r="AC38" i="12"/>
  <c r="AC135" i="12"/>
  <c r="AC149" i="12"/>
  <c r="AC77" i="12"/>
  <c r="AC64" i="12"/>
  <c r="AC122" i="12"/>
  <c r="AC146" i="12"/>
  <c r="AC82" i="12"/>
  <c r="AC132" i="12"/>
  <c r="AC63" i="12"/>
  <c r="AC109" i="12"/>
  <c r="AC41" i="12"/>
  <c r="AC60" i="12"/>
  <c r="AC115" i="12"/>
  <c r="AC142" i="12"/>
  <c r="AC78" i="12"/>
  <c r="AC152" i="12"/>
  <c r="AC121" i="12"/>
  <c r="AC53" i="12"/>
  <c r="AC20" i="12"/>
  <c r="AC44" i="12"/>
  <c r="AC126" i="12"/>
  <c r="AC124" i="12"/>
  <c r="AC105" i="12"/>
  <c r="AC150" i="12"/>
  <c r="AC45" i="12"/>
  <c r="AC32" i="12"/>
  <c r="AC127" i="12"/>
  <c r="AC92" i="12"/>
  <c r="AC46" i="12"/>
  <c r="AC148" i="12"/>
  <c r="AC56" i="12"/>
  <c r="AC103" i="12"/>
  <c r="AC123" i="12"/>
  <c r="AC58" i="12"/>
  <c r="AC116" i="12"/>
  <c r="AC47" i="12"/>
  <c r="AC101" i="12"/>
  <c r="AC29" i="12"/>
  <c r="AC84" i="12"/>
  <c r="AC21" i="12"/>
  <c r="AC102" i="12"/>
  <c r="AC22" i="12"/>
  <c r="AC107" i="12"/>
  <c r="AC129" i="12"/>
  <c r="AC61" i="12"/>
  <c r="AC128" i="12"/>
  <c r="AC48" i="12"/>
  <c r="AC91" i="12"/>
  <c r="AC130" i="12"/>
  <c r="AC66" i="12"/>
  <c r="AC96" i="12"/>
  <c r="AC31" i="12"/>
  <c r="AC93" i="12"/>
  <c r="AC120" i="12"/>
  <c r="AC83" i="12"/>
  <c r="AC62" i="12"/>
  <c r="AC55" i="12"/>
  <c r="AC37" i="12"/>
  <c r="AC131" i="12"/>
  <c r="AC114" i="12"/>
  <c r="AC145" i="12"/>
  <c r="AC28" i="12"/>
  <c r="AC151" i="12"/>
  <c r="AC112" i="12"/>
  <c r="AC40" i="12"/>
  <c r="AC75" i="12"/>
  <c r="AC106" i="12"/>
  <c r="AC42" i="12"/>
  <c r="AC143" i="12"/>
  <c r="AC153" i="12"/>
  <c r="AC81" i="12"/>
  <c r="AC68" i="12"/>
  <c r="AC70" i="12"/>
  <c r="AC71" i="12"/>
  <c r="AC113" i="12"/>
  <c r="AC100" i="12"/>
  <c r="AC50" i="12"/>
  <c r="AC51" i="12"/>
  <c r="AC23" i="12"/>
  <c r="AC207" i="12"/>
  <c r="AC217" i="12"/>
  <c r="AC171" i="12"/>
  <c r="AC156" i="12"/>
  <c r="AC221" i="12"/>
  <c r="AC205" i="12"/>
  <c r="AC198" i="12"/>
  <c r="AC191" i="12"/>
  <c r="AC208" i="12"/>
  <c r="AC193" i="12"/>
  <c r="AC202" i="12"/>
  <c r="AC169" i="12"/>
  <c r="AC162" i="12"/>
  <c r="AC187" i="12"/>
  <c r="AC172" i="12"/>
  <c r="AC157" i="12"/>
  <c r="AC220" i="12"/>
  <c r="AC155" i="12"/>
  <c r="AC160" i="12"/>
  <c r="AC223" i="12"/>
  <c r="AC209" i="12"/>
  <c r="AC163" i="12"/>
  <c r="AC185" i="12"/>
  <c r="AC178" i="12"/>
  <c r="AC203" i="12"/>
  <c r="AC188" i="12"/>
  <c r="AC173" i="12"/>
  <c r="AC167" i="12"/>
  <c r="AC159" i="12"/>
  <c r="AC176" i="12"/>
  <c r="AC161" i="12"/>
  <c r="AC170" i="12"/>
  <c r="AC179" i="12"/>
  <c r="AC201" i="12"/>
  <c r="AC194" i="12"/>
  <c r="AC204" i="12"/>
  <c r="AC189" i="12"/>
  <c r="AC182" i="12"/>
  <c r="AC175" i="12"/>
  <c r="AC192" i="12"/>
  <c r="AC177" i="12"/>
  <c r="AC186" i="12"/>
  <c r="AC195" i="12"/>
  <c r="AC214" i="12"/>
  <c r="AC200" i="12"/>
  <c r="AC215" i="12"/>
  <c r="AC196" i="12"/>
  <c r="AC206" i="12"/>
  <c r="AC197" i="12"/>
  <c r="AC210" i="12"/>
  <c r="AC181" i="12"/>
  <c r="AC213" i="12"/>
  <c r="AC174" i="12"/>
  <c r="AC212" i="12"/>
  <c r="AC166" i="12"/>
  <c r="AC158" i="12"/>
  <c r="AC211" i="12"/>
  <c r="AC168" i="12"/>
  <c r="AC184" i="12"/>
  <c r="AC199" i="12"/>
  <c r="AC190" i="12"/>
  <c r="AC216" i="12"/>
  <c r="AC183" i="12"/>
  <c r="AC180" i="12"/>
  <c r="AC164" i="12"/>
  <c r="AC165" i="12"/>
  <c r="AC222" i="12"/>
  <c r="AC219" i="12"/>
  <c r="AC218" i="12"/>
  <c r="AC224" i="12"/>
  <c r="AC225" i="12"/>
  <c r="AC227" i="12"/>
  <c r="AC226" i="12"/>
  <c r="AC229" i="12"/>
  <c r="AC228" i="12"/>
  <c r="AC231" i="12"/>
  <c r="AC230" i="12"/>
  <c r="AC232" i="12"/>
  <c r="AC233" i="12"/>
  <c r="AC234" i="12"/>
  <c r="AC235" i="12"/>
  <c r="AC236" i="12"/>
  <c r="AC237" i="12"/>
  <c r="AC238" i="12"/>
  <c r="AC239" i="12"/>
  <c r="AC240" i="12"/>
  <c r="AC242" i="12"/>
  <c r="AC241" i="12"/>
  <c r="AC244" i="12"/>
  <c r="AC243" i="12"/>
  <c r="AC245" i="12"/>
  <c r="AC248" i="12"/>
  <c r="AC247" i="12"/>
  <c r="AC246" i="12"/>
  <c r="AC250" i="12"/>
  <c r="AC249" i="12"/>
  <c r="AC251" i="12"/>
  <c r="AC252" i="12"/>
  <c r="AC255" i="12"/>
  <c r="AC253" i="12"/>
  <c r="AC254" i="12"/>
  <c r="AC256" i="12"/>
  <c r="AC257" i="12"/>
  <c r="AC258" i="12"/>
  <c r="AC260" i="12"/>
  <c r="AC259" i="12"/>
  <c r="AC261" i="12"/>
  <c r="AC264" i="12"/>
  <c r="AC262" i="12"/>
  <c r="AC263" i="12"/>
  <c r="AC265" i="12"/>
  <c r="AC266" i="12"/>
  <c r="AC268" i="12"/>
  <c r="AC270" i="12"/>
  <c r="AC267" i="12"/>
  <c r="AC269" i="12"/>
  <c r="AC271" i="12"/>
  <c r="AC272" i="12"/>
  <c r="AC16" i="12"/>
  <c r="R9" i="15"/>
  <c r="S9" i="15" s="1"/>
  <c r="Q19" i="14" s="1"/>
  <c r="R50" i="15"/>
  <c r="S50" i="15" s="1"/>
  <c r="AE50" i="15" s="1"/>
  <c r="R26" i="15"/>
  <c r="S26" i="15" s="1"/>
  <c r="AE26" i="15" s="1"/>
  <c r="R19" i="15"/>
  <c r="S19" i="15" s="1"/>
  <c r="AE19" i="15" s="1"/>
  <c r="R32" i="15"/>
  <c r="S32" i="15" s="1"/>
  <c r="AE32" i="15" s="1"/>
  <c r="R48" i="15"/>
  <c r="S48" i="15" s="1"/>
  <c r="AE48" i="15" s="1"/>
  <c r="R35" i="15"/>
  <c r="S35" i="15" s="1"/>
  <c r="AE35" i="15" s="1"/>
  <c r="R44" i="15"/>
  <c r="S44" i="15" s="1"/>
  <c r="AE44" i="15" s="1"/>
  <c r="R45" i="15"/>
  <c r="S45" i="15" s="1"/>
  <c r="AE45" i="15" s="1"/>
  <c r="R12" i="15"/>
  <c r="S12" i="15" s="1"/>
  <c r="AE12" i="15" s="1"/>
  <c r="R10" i="15"/>
  <c r="S10" i="15" s="1"/>
  <c r="AE10" i="15" s="1"/>
  <c r="R17" i="15"/>
  <c r="S17" i="15" s="1"/>
  <c r="AE17" i="15" s="1"/>
  <c r="R41" i="15"/>
  <c r="S41" i="15" s="1"/>
  <c r="AE41" i="15" s="1"/>
  <c r="R49" i="15"/>
  <c r="S49" i="15" s="1"/>
  <c r="AE49" i="15" s="1"/>
  <c r="R51" i="15"/>
  <c r="S51" i="15" s="1"/>
  <c r="AE51" i="15" s="1"/>
  <c r="R42" i="15"/>
  <c r="S42" i="15" s="1"/>
  <c r="AE42" i="15" s="1"/>
  <c r="R21" i="15"/>
  <c r="S21" i="15" s="1"/>
  <c r="AE21" i="15" s="1"/>
  <c r="R8" i="15"/>
  <c r="S8" i="15" s="1"/>
  <c r="AE8" i="15" s="1"/>
  <c r="R38" i="15"/>
  <c r="S38" i="15" s="1"/>
  <c r="AE38" i="15" s="1"/>
  <c r="R36" i="15"/>
  <c r="S36" i="15" s="1"/>
  <c r="AE36" i="15" s="1"/>
  <c r="W67" i="12"/>
  <c r="W133" i="12"/>
  <c r="W119" i="12"/>
  <c r="W116" i="12"/>
  <c r="W29" i="12"/>
  <c r="W81" i="12"/>
  <c r="W68" i="12"/>
  <c r="P124" i="12"/>
  <c r="P72" i="12"/>
  <c r="P20" i="12"/>
  <c r="N84" i="12"/>
  <c r="N136" i="12"/>
  <c r="N32" i="12"/>
  <c r="N16" i="12"/>
  <c r="N120" i="12"/>
  <c r="N68" i="12"/>
  <c r="K142" i="12"/>
  <c r="K38" i="12"/>
  <c r="K90" i="12"/>
  <c r="L30" i="12"/>
  <c r="L134" i="12"/>
  <c r="L82" i="12"/>
  <c r="N126" i="12"/>
  <c r="N22" i="12"/>
  <c r="N74" i="12"/>
  <c r="L22" i="12"/>
  <c r="L126" i="12"/>
  <c r="L74" i="12"/>
  <c r="K73" i="12"/>
  <c r="K125" i="12"/>
  <c r="K21" i="12"/>
  <c r="O125" i="12"/>
  <c r="O73" i="12"/>
  <c r="R73" i="12" s="1"/>
  <c r="O21" i="12"/>
  <c r="K89" i="12"/>
  <c r="K37" i="12"/>
  <c r="K141" i="12"/>
  <c r="P37" i="12"/>
  <c r="P89" i="12"/>
  <c r="P141" i="12"/>
  <c r="N123" i="12"/>
  <c r="N71" i="12"/>
  <c r="N19" i="12"/>
  <c r="L71" i="12"/>
  <c r="L123" i="12"/>
  <c r="L19" i="12"/>
  <c r="J36" i="12"/>
  <c r="J140" i="12"/>
  <c r="J88" i="12"/>
  <c r="P88" i="12"/>
  <c r="P36" i="12"/>
  <c r="P140" i="12"/>
  <c r="O139" i="12"/>
  <c r="O35" i="12"/>
  <c r="O87" i="12"/>
  <c r="L75" i="12"/>
  <c r="L23" i="12"/>
  <c r="L127" i="12"/>
  <c r="K127" i="12"/>
  <c r="K75" i="12"/>
  <c r="K23" i="12"/>
  <c r="L77" i="12"/>
  <c r="L129" i="12"/>
  <c r="L25" i="12"/>
  <c r="O76" i="12"/>
  <c r="O24" i="12"/>
  <c r="O128" i="12"/>
  <c r="J128" i="12"/>
  <c r="J24" i="12"/>
  <c r="J76" i="12"/>
  <c r="N34" i="12"/>
  <c r="N138" i="12"/>
  <c r="N86" i="12"/>
  <c r="P34" i="12"/>
  <c r="P138" i="12"/>
  <c r="P86" i="12"/>
  <c r="O85" i="12"/>
  <c r="O137" i="12"/>
  <c r="O33" i="12"/>
  <c r="K85" i="12"/>
  <c r="K33" i="12"/>
  <c r="K137" i="12"/>
  <c r="P122" i="12"/>
  <c r="P18" i="12"/>
  <c r="P70" i="12"/>
  <c r="J18" i="12"/>
  <c r="J70" i="12"/>
  <c r="J122" i="12"/>
  <c r="K18" i="12"/>
  <c r="K70" i="12"/>
  <c r="K122" i="12"/>
  <c r="L81" i="12"/>
  <c r="L133" i="12"/>
  <c r="L29" i="12"/>
  <c r="N17" i="12"/>
  <c r="N69" i="12"/>
  <c r="N121" i="12"/>
  <c r="O79" i="12"/>
  <c r="O27" i="12"/>
  <c r="O131" i="12"/>
  <c r="W20" i="12"/>
  <c r="W130" i="12"/>
  <c r="W134" i="12"/>
  <c r="W73" i="12"/>
  <c r="W71" i="12"/>
  <c r="W132" i="12"/>
  <c r="W23" i="12"/>
  <c r="W129" i="12"/>
  <c r="W122" i="12"/>
  <c r="J20" i="12"/>
  <c r="J72" i="12"/>
  <c r="J124" i="12"/>
  <c r="K20" i="12"/>
  <c r="K124" i="12"/>
  <c r="K72" i="12"/>
  <c r="J26" i="12"/>
  <c r="J78" i="12"/>
  <c r="J130" i="12"/>
  <c r="O83" i="12"/>
  <c r="O135" i="12"/>
  <c r="O31" i="12"/>
  <c r="P135" i="12"/>
  <c r="P31" i="12"/>
  <c r="P83" i="12"/>
  <c r="K136" i="12"/>
  <c r="K84" i="12"/>
  <c r="K32" i="12"/>
  <c r="P68" i="12"/>
  <c r="P16" i="12"/>
  <c r="P120" i="12"/>
  <c r="J16" i="12"/>
  <c r="J68" i="12"/>
  <c r="J120" i="12"/>
  <c r="L68" i="12"/>
  <c r="L16" i="12"/>
  <c r="L120" i="12"/>
  <c r="J38" i="12"/>
  <c r="J90" i="12"/>
  <c r="J142" i="12"/>
  <c r="O142" i="12"/>
  <c r="R142" i="12" s="1"/>
  <c r="O90" i="12"/>
  <c r="O38" i="12"/>
  <c r="O82" i="12"/>
  <c r="O30" i="12"/>
  <c r="O134" i="12"/>
  <c r="P82" i="12"/>
  <c r="P30" i="12"/>
  <c r="P134" i="12"/>
  <c r="O74" i="12"/>
  <c r="O22" i="12"/>
  <c r="O126" i="12"/>
  <c r="N73" i="12"/>
  <c r="N125" i="12"/>
  <c r="N21" i="12"/>
  <c r="P21" i="12"/>
  <c r="P73" i="12"/>
  <c r="P125" i="12"/>
  <c r="J141" i="12"/>
  <c r="J37" i="12"/>
  <c r="J89" i="12"/>
  <c r="P19" i="12"/>
  <c r="P71" i="12"/>
  <c r="P123" i="12"/>
  <c r="J123" i="12"/>
  <c r="J19" i="12"/>
  <c r="J71" i="12"/>
  <c r="O88" i="12"/>
  <c r="O36" i="12"/>
  <c r="O140" i="12"/>
  <c r="L36" i="12"/>
  <c r="L140" i="12"/>
  <c r="L88" i="12"/>
  <c r="P87" i="12"/>
  <c r="P139" i="12"/>
  <c r="P35" i="12"/>
  <c r="J28" i="12"/>
  <c r="J80" i="12"/>
  <c r="J132" i="12"/>
  <c r="L80" i="12"/>
  <c r="L28" i="12"/>
  <c r="L132" i="12"/>
  <c r="J23" i="12"/>
  <c r="J127" i="12"/>
  <c r="J75" i="12"/>
  <c r="O75" i="12"/>
  <c r="O127" i="12"/>
  <c r="R127" i="12" s="1"/>
  <c r="O23" i="12"/>
  <c r="N77" i="12"/>
  <c r="T77" i="12" s="1"/>
  <c r="N129" i="12"/>
  <c r="N25" i="12"/>
  <c r="K25" i="12"/>
  <c r="K77" i="12"/>
  <c r="K129" i="12"/>
  <c r="K128" i="12"/>
  <c r="K24" i="12"/>
  <c r="K76" i="12"/>
  <c r="O138" i="12"/>
  <c r="O86" i="12"/>
  <c r="O34" i="12"/>
  <c r="L138" i="12"/>
  <c r="L34" i="12"/>
  <c r="L86" i="12"/>
  <c r="L70" i="12"/>
  <c r="L18" i="12"/>
  <c r="L122" i="12"/>
  <c r="O122" i="12"/>
  <c r="R122" i="12" s="1"/>
  <c r="O18" i="12"/>
  <c r="O70" i="12"/>
  <c r="P133" i="12"/>
  <c r="P29" i="12"/>
  <c r="P81" i="12"/>
  <c r="K29" i="12"/>
  <c r="K81" i="12"/>
  <c r="K133" i="12"/>
  <c r="P17" i="12"/>
  <c r="P121" i="12"/>
  <c r="P69" i="12"/>
  <c r="O69" i="12"/>
  <c r="O121" i="12"/>
  <c r="O17" i="12"/>
  <c r="J79" i="12"/>
  <c r="J131" i="12"/>
  <c r="J27" i="12"/>
  <c r="W131" i="12"/>
  <c r="W124" i="12"/>
  <c r="W26" i="12"/>
  <c r="W120" i="12"/>
  <c r="W126" i="12"/>
  <c r="W21" i="12"/>
  <c r="W28" i="12"/>
  <c r="W127" i="12"/>
  <c r="W76" i="12"/>
  <c r="W121" i="12"/>
  <c r="N78" i="12"/>
  <c r="N26" i="12"/>
  <c r="N130" i="12"/>
  <c r="K31" i="12"/>
  <c r="K135" i="12"/>
  <c r="K83" i="12"/>
  <c r="L20" i="12"/>
  <c r="L124" i="12"/>
  <c r="L72" i="12"/>
  <c r="O20" i="12"/>
  <c r="O72" i="12"/>
  <c r="O124" i="12"/>
  <c r="P78" i="12"/>
  <c r="P130" i="12"/>
  <c r="P26" i="12"/>
  <c r="O26" i="12"/>
  <c r="O130" i="12"/>
  <c r="O78" i="12"/>
  <c r="J135" i="12"/>
  <c r="J31" i="12"/>
  <c r="J83" i="12"/>
  <c r="P136" i="12"/>
  <c r="P84" i="12"/>
  <c r="P32" i="12"/>
  <c r="L84" i="12"/>
  <c r="L136" i="12"/>
  <c r="L32" i="12"/>
  <c r="K68" i="12"/>
  <c r="K120" i="12"/>
  <c r="K16" i="12"/>
  <c r="N90" i="12"/>
  <c r="N142" i="12"/>
  <c r="N38" i="12"/>
  <c r="J30" i="12"/>
  <c r="J82" i="12"/>
  <c r="J134" i="12"/>
  <c r="J126" i="12"/>
  <c r="J74" i="12"/>
  <c r="J22" i="12"/>
  <c r="L125" i="12"/>
  <c r="L21" i="12"/>
  <c r="L73" i="12"/>
  <c r="L89" i="12"/>
  <c r="L141" i="12"/>
  <c r="L37" i="12"/>
  <c r="N37" i="12"/>
  <c r="N89" i="12"/>
  <c r="T89" i="12" s="1"/>
  <c r="N141" i="12"/>
  <c r="T141" i="12" s="1"/>
  <c r="O71" i="12"/>
  <c r="O123" i="12"/>
  <c r="O19" i="12"/>
  <c r="K88" i="12"/>
  <c r="K36" i="12"/>
  <c r="K140" i="12"/>
  <c r="L139" i="12"/>
  <c r="L35" i="12"/>
  <c r="L87" i="12"/>
  <c r="K87" i="12"/>
  <c r="K139" i="12"/>
  <c r="K35" i="12"/>
  <c r="N28" i="12"/>
  <c r="N132" i="12"/>
  <c r="N80" i="12"/>
  <c r="J77" i="12"/>
  <c r="J129" i="12"/>
  <c r="J25" i="12"/>
  <c r="N76" i="12"/>
  <c r="N128" i="12"/>
  <c r="N24" i="12"/>
  <c r="P85" i="12"/>
  <c r="P33" i="12"/>
  <c r="P137" i="12"/>
  <c r="J85" i="12"/>
  <c r="J33" i="12"/>
  <c r="J137" i="12"/>
  <c r="N70" i="12"/>
  <c r="N18" i="12"/>
  <c r="N122" i="12"/>
  <c r="J29" i="12"/>
  <c r="J81" i="12"/>
  <c r="J133" i="12"/>
  <c r="J69" i="12"/>
  <c r="J121" i="12"/>
  <c r="J17" i="12"/>
  <c r="L17" i="12"/>
  <c r="L121" i="12"/>
  <c r="L69" i="12"/>
  <c r="K27" i="12"/>
  <c r="K79" i="12"/>
  <c r="K131" i="12"/>
  <c r="P79" i="12"/>
  <c r="P27" i="12"/>
  <c r="P131" i="12"/>
  <c r="W27" i="12"/>
  <c r="W72" i="12"/>
  <c r="W16" i="12"/>
  <c r="W30" i="12"/>
  <c r="W22" i="12"/>
  <c r="W125" i="12"/>
  <c r="W123" i="12"/>
  <c r="W77" i="12"/>
  <c r="W24" i="12"/>
  <c r="W18" i="12"/>
  <c r="W17" i="12"/>
  <c r="N124" i="12"/>
  <c r="N20" i="12"/>
  <c r="N72" i="12"/>
  <c r="L78" i="12"/>
  <c r="L130" i="12"/>
  <c r="L26" i="12"/>
  <c r="K130" i="12"/>
  <c r="K26" i="12"/>
  <c r="K78" i="12"/>
  <c r="N135" i="12"/>
  <c r="N31" i="12"/>
  <c r="N83" i="12"/>
  <c r="L83" i="12"/>
  <c r="L135" i="12"/>
  <c r="L31" i="12"/>
  <c r="J136" i="12"/>
  <c r="J32" i="12"/>
  <c r="J84" i="12"/>
  <c r="O32" i="12"/>
  <c r="O84" i="12"/>
  <c r="O136" i="12"/>
  <c r="O120" i="12"/>
  <c r="O68" i="12"/>
  <c r="O16" i="12"/>
  <c r="L90" i="12"/>
  <c r="L142" i="12"/>
  <c r="L38" i="12"/>
  <c r="P142" i="12"/>
  <c r="P38" i="12"/>
  <c r="P90" i="12"/>
  <c r="N30" i="12"/>
  <c r="N82" i="12"/>
  <c r="T82" i="12" s="1"/>
  <c r="N134" i="12"/>
  <c r="T134" i="12" s="1"/>
  <c r="K134" i="12"/>
  <c r="K82" i="12"/>
  <c r="K30" i="12"/>
  <c r="P22" i="12"/>
  <c r="P74" i="12"/>
  <c r="P126" i="12"/>
  <c r="K74" i="12"/>
  <c r="K22" i="12"/>
  <c r="K126" i="12"/>
  <c r="J21" i="12"/>
  <c r="J125" i="12"/>
  <c r="J73" i="12"/>
  <c r="O141" i="12"/>
  <c r="O89" i="12"/>
  <c r="O37" i="12"/>
  <c r="K19" i="12"/>
  <c r="K123" i="12"/>
  <c r="K71" i="12"/>
  <c r="N36" i="12"/>
  <c r="N88" i="12"/>
  <c r="T88" i="12" s="1"/>
  <c r="N140" i="12"/>
  <c r="J139" i="12"/>
  <c r="J87" i="12"/>
  <c r="J35" i="12"/>
  <c r="N35" i="12"/>
  <c r="N87" i="12"/>
  <c r="N139" i="12"/>
  <c r="O80" i="12"/>
  <c r="O132" i="12"/>
  <c r="O28" i="12"/>
  <c r="P132" i="12"/>
  <c r="P28" i="12"/>
  <c r="P80" i="12"/>
  <c r="K80" i="12"/>
  <c r="K28" i="12"/>
  <c r="K132" i="12"/>
  <c r="P127" i="12"/>
  <c r="P75" i="12"/>
  <c r="P23" i="12"/>
  <c r="N75" i="12"/>
  <c r="N23" i="12"/>
  <c r="N127" i="12"/>
  <c r="O25" i="12"/>
  <c r="O77" i="12"/>
  <c r="R77" i="12" s="1"/>
  <c r="O129" i="12"/>
  <c r="P77" i="12"/>
  <c r="P25" i="12"/>
  <c r="P129" i="12"/>
  <c r="L24" i="12"/>
  <c r="L76" i="12"/>
  <c r="L128" i="12"/>
  <c r="P24" i="12"/>
  <c r="P76" i="12"/>
  <c r="P128" i="12"/>
  <c r="K138" i="12"/>
  <c r="K86" i="12"/>
  <c r="K34" i="12"/>
  <c r="J34" i="12"/>
  <c r="J86" i="12"/>
  <c r="J138" i="12"/>
  <c r="L33" i="12"/>
  <c r="L85" i="12"/>
  <c r="L137" i="12"/>
  <c r="N85" i="12"/>
  <c r="N137" i="12"/>
  <c r="N33" i="12"/>
  <c r="O29" i="12"/>
  <c r="O133" i="12"/>
  <c r="O81" i="12"/>
  <c r="N133" i="12"/>
  <c r="N29" i="12"/>
  <c r="N81" i="12"/>
  <c r="K17" i="12"/>
  <c r="K69" i="12"/>
  <c r="K121" i="12"/>
  <c r="N79" i="12"/>
  <c r="N131" i="12"/>
  <c r="N27" i="12"/>
  <c r="L79" i="12"/>
  <c r="L27" i="12"/>
  <c r="L131" i="12"/>
  <c r="W79" i="12"/>
  <c r="W78" i="12"/>
  <c r="W82" i="12"/>
  <c r="W74" i="12"/>
  <c r="W19" i="12"/>
  <c r="W80" i="12"/>
  <c r="W75" i="12"/>
  <c r="W25" i="12"/>
  <c r="W128" i="12"/>
  <c r="W70" i="12"/>
  <c r="W69" i="12"/>
  <c r="R52" i="15"/>
  <c r="S52" i="15" s="1"/>
  <c r="AE52" i="15" s="1"/>
  <c r="R53" i="15"/>
  <c r="S53" i="15" s="1"/>
  <c r="AE53" i="15" s="1"/>
  <c r="AS54" i="15" s="1"/>
  <c r="R43" i="15"/>
  <c r="S43" i="15" s="1"/>
  <c r="AE43" i="15" s="1"/>
  <c r="R40" i="15"/>
  <c r="S40" i="15" s="1"/>
  <c r="AE40" i="15" s="1"/>
  <c r="R31" i="15"/>
  <c r="S31" i="15" s="1"/>
  <c r="AE31" i="15" s="1"/>
  <c r="R23" i="15"/>
  <c r="S23" i="15" s="1"/>
  <c r="AE23" i="15" s="1"/>
  <c r="R27" i="15"/>
  <c r="S27" i="15" s="1"/>
  <c r="AE27" i="15" s="1"/>
  <c r="R30" i="15"/>
  <c r="S30" i="15" s="1"/>
  <c r="AE30" i="15" s="1"/>
  <c r="R16" i="15"/>
  <c r="S16" i="15" s="1"/>
  <c r="AE16" i="15" s="1"/>
  <c r="R39" i="15"/>
  <c r="S39" i="15" s="1"/>
  <c r="AE39" i="15" s="1"/>
  <c r="R34" i="15"/>
  <c r="S34" i="15" s="1"/>
  <c r="AE34" i="15" s="1"/>
  <c r="R46" i="15"/>
  <c r="S46" i="15" s="1"/>
  <c r="AE46" i="15" s="1"/>
  <c r="R24" i="15"/>
  <c r="S24" i="15" s="1"/>
  <c r="AE24" i="15" s="1"/>
  <c r="R47" i="15"/>
  <c r="S47" i="15" s="1"/>
  <c r="AE47" i="15" s="1"/>
  <c r="R11" i="15"/>
  <c r="S11" i="15" s="1"/>
  <c r="AE11" i="15" s="1"/>
  <c r="R14" i="15"/>
  <c r="S14" i="15" s="1"/>
  <c r="AE14" i="15" s="1"/>
  <c r="R28" i="15"/>
  <c r="S28" i="15" s="1"/>
  <c r="AE28" i="15" s="1"/>
  <c r="R18" i="15"/>
  <c r="S18" i="15" s="1"/>
  <c r="AE18" i="15" s="1"/>
  <c r="R37" i="15"/>
  <c r="S37" i="15" s="1"/>
  <c r="AE37" i="15" s="1"/>
  <c r="R3" i="15"/>
  <c r="S3" i="15" s="1"/>
  <c r="Q13" i="14" s="1"/>
  <c r="R25" i="15"/>
  <c r="S25" i="15" s="1"/>
  <c r="AE25" i="15" s="1"/>
  <c r="R20" i="15"/>
  <c r="S20" i="15" s="1"/>
  <c r="AE20" i="15" s="1"/>
  <c r="R4" i="15"/>
  <c r="S4" i="15" s="1"/>
  <c r="Q14" i="14" s="1"/>
  <c r="R6" i="15"/>
  <c r="S6" i="15" s="1"/>
  <c r="Q16" i="14" s="1"/>
  <c r="R22" i="15"/>
  <c r="S22" i="15" s="1"/>
  <c r="AE22" i="15" s="1"/>
  <c r="W65" i="12"/>
  <c r="L71" i="17"/>
  <c r="W148" i="12"/>
  <c r="W55" i="12"/>
  <c r="W64" i="12"/>
  <c r="W66" i="12"/>
  <c r="W44" i="12"/>
  <c r="W102" i="12"/>
  <c r="W108" i="12"/>
  <c r="W117" i="12"/>
  <c r="W118" i="12"/>
  <c r="W50" i="12"/>
  <c r="W159" i="12"/>
  <c r="W92" i="12"/>
  <c r="N96" i="12"/>
  <c r="N44" i="12"/>
  <c r="N148" i="12"/>
  <c r="W96" i="12"/>
  <c r="L154" i="12"/>
  <c r="L50" i="12"/>
  <c r="L102" i="12"/>
  <c r="K154" i="12"/>
  <c r="K50" i="12"/>
  <c r="K102" i="12"/>
  <c r="N55" i="12"/>
  <c r="N159" i="12"/>
  <c r="N107" i="12"/>
  <c r="W107" i="12"/>
  <c r="L55" i="12"/>
  <c r="L159" i="12"/>
  <c r="L107" i="12"/>
  <c r="J56" i="12"/>
  <c r="J160" i="12"/>
  <c r="J108" i="12"/>
  <c r="O56" i="12"/>
  <c r="O160" i="12"/>
  <c r="O108" i="12"/>
  <c r="P116" i="12"/>
  <c r="P64" i="12"/>
  <c r="O64" i="12"/>
  <c r="O116" i="12"/>
  <c r="O144" i="12"/>
  <c r="O40" i="12"/>
  <c r="O92" i="12"/>
  <c r="W40" i="12"/>
  <c r="L166" i="12"/>
  <c r="L62" i="12"/>
  <c r="L114" i="12"/>
  <c r="P114" i="12"/>
  <c r="P62" i="12"/>
  <c r="P166" i="12"/>
  <c r="W106" i="12"/>
  <c r="N54" i="12"/>
  <c r="N158" i="12"/>
  <c r="N106" i="12"/>
  <c r="K54" i="12"/>
  <c r="K106" i="12"/>
  <c r="K158" i="12"/>
  <c r="P150" i="12"/>
  <c r="P98" i="12"/>
  <c r="P46" i="12"/>
  <c r="K46" i="12"/>
  <c r="K98" i="12"/>
  <c r="K150" i="12"/>
  <c r="W97" i="12"/>
  <c r="J45" i="12"/>
  <c r="J97" i="12"/>
  <c r="J149" i="12"/>
  <c r="L91" i="12"/>
  <c r="L143" i="12"/>
  <c r="L39" i="12"/>
  <c r="P91" i="12"/>
  <c r="P39" i="12"/>
  <c r="P143" i="12"/>
  <c r="O113" i="12"/>
  <c r="O165" i="12"/>
  <c r="O61" i="12"/>
  <c r="W113" i="12"/>
  <c r="W61" i="12"/>
  <c r="K43" i="12"/>
  <c r="K147" i="12"/>
  <c r="K95" i="12"/>
  <c r="W95" i="12"/>
  <c r="N112" i="12"/>
  <c r="N164" i="12"/>
  <c r="N60" i="12"/>
  <c r="W164" i="12"/>
  <c r="J59" i="12"/>
  <c r="J111" i="12"/>
  <c r="J163" i="12"/>
  <c r="N59" i="12"/>
  <c r="N111" i="12"/>
  <c r="N163" i="12"/>
  <c r="O52" i="12"/>
  <c r="O104" i="12"/>
  <c r="O156" i="12"/>
  <c r="P104" i="12"/>
  <c r="P52" i="12"/>
  <c r="P156" i="12"/>
  <c r="K104" i="12"/>
  <c r="K52" i="12"/>
  <c r="K156" i="12"/>
  <c r="W151" i="12"/>
  <c r="L99" i="12"/>
  <c r="L151" i="12"/>
  <c r="L47" i="12"/>
  <c r="K99" i="12"/>
  <c r="K151" i="12"/>
  <c r="K47" i="12"/>
  <c r="L49" i="12"/>
  <c r="L101" i="12"/>
  <c r="L153" i="12"/>
  <c r="W49" i="12"/>
  <c r="O48" i="12"/>
  <c r="O152" i="12"/>
  <c r="O100" i="12"/>
  <c r="W152" i="12"/>
  <c r="J152" i="12"/>
  <c r="J100" i="12"/>
  <c r="J48" i="12"/>
  <c r="W115" i="12"/>
  <c r="K63" i="12"/>
  <c r="K115" i="12"/>
  <c r="N110" i="12"/>
  <c r="N58" i="12"/>
  <c r="N162" i="12"/>
  <c r="P110" i="12"/>
  <c r="P58" i="12"/>
  <c r="P162" i="12"/>
  <c r="O109" i="12"/>
  <c r="O161" i="12"/>
  <c r="O57" i="12"/>
  <c r="K161" i="12"/>
  <c r="K109" i="12"/>
  <c r="K57" i="12"/>
  <c r="O117" i="12"/>
  <c r="O65" i="12"/>
  <c r="P42" i="12"/>
  <c r="P146" i="12"/>
  <c r="P94" i="12"/>
  <c r="J94" i="12"/>
  <c r="J146" i="12"/>
  <c r="J42" i="12"/>
  <c r="K146" i="12"/>
  <c r="K42" i="12"/>
  <c r="K94" i="12"/>
  <c r="L105" i="12"/>
  <c r="L157" i="12"/>
  <c r="L53" i="12"/>
  <c r="W53" i="12"/>
  <c r="O66" i="12"/>
  <c r="O118" i="12"/>
  <c r="O67" i="12"/>
  <c r="O119" i="12"/>
  <c r="P119" i="12"/>
  <c r="P67" i="12"/>
  <c r="N93" i="12"/>
  <c r="N41" i="12"/>
  <c r="N145" i="12"/>
  <c r="W41" i="12"/>
  <c r="W155" i="12"/>
  <c r="O103" i="12"/>
  <c r="O51" i="12"/>
  <c r="O155" i="12"/>
  <c r="P96" i="12"/>
  <c r="P44" i="12"/>
  <c r="P148" i="12"/>
  <c r="W154" i="12"/>
  <c r="N154" i="12"/>
  <c r="N50" i="12"/>
  <c r="N102" i="12"/>
  <c r="K55" i="12"/>
  <c r="K159" i="12"/>
  <c r="K107" i="12"/>
  <c r="W160" i="12"/>
  <c r="N56" i="12"/>
  <c r="N160" i="12"/>
  <c r="N108" i="12"/>
  <c r="W56" i="12"/>
  <c r="J64" i="12"/>
  <c r="J116" i="12"/>
  <c r="N64" i="12"/>
  <c r="N116" i="12"/>
  <c r="N92" i="12"/>
  <c r="N40" i="12"/>
  <c r="N144" i="12"/>
  <c r="W144" i="12"/>
  <c r="W62" i="12"/>
  <c r="K166" i="12"/>
  <c r="K62" i="12"/>
  <c r="K114" i="12"/>
  <c r="W54" i="12"/>
  <c r="L106" i="12"/>
  <c r="L54" i="12"/>
  <c r="L158" i="12"/>
  <c r="N150" i="12"/>
  <c r="N98" i="12"/>
  <c r="N46" i="12"/>
  <c r="L98" i="12"/>
  <c r="L150" i="12"/>
  <c r="L46" i="12"/>
  <c r="W150" i="12"/>
  <c r="K97" i="12"/>
  <c r="K149" i="12"/>
  <c r="K45" i="12"/>
  <c r="O149" i="12"/>
  <c r="O97" i="12"/>
  <c r="R97" i="12" s="1"/>
  <c r="O45" i="12"/>
  <c r="N39" i="12"/>
  <c r="N143" i="12"/>
  <c r="T143" i="12" s="1"/>
  <c r="N91" i="12"/>
  <c r="W37" i="12"/>
  <c r="W32" i="12"/>
  <c r="W36" i="12"/>
  <c r="W31" i="12"/>
  <c r="W38" i="12"/>
  <c r="W35" i="12"/>
  <c r="W34" i="12"/>
  <c r="W33" i="12"/>
  <c r="W39" i="12"/>
  <c r="K165" i="12"/>
  <c r="K113" i="12"/>
  <c r="K61" i="12"/>
  <c r="P113" i="12"/>
  <c r="P61" i="12"/>
  <c r="P165" i="12"/>
  <c r="N95" i="12"/>
  <c r="N147" i="12"/>
  <c r="N43" i="12"/>
  <c r="W147" i="12"/>
  <c r="L95" i="12"/>
  <c r="L43" i="12"/>
  <c r="L147" i="12"/>
  <c r="J164" i="12"/>
  <c r="J112" i="12"/>
  <c r="J60" i="12"/>
  <c r="P60" i="12"/>
  <c r="P164" i="12"/>
  <c r="P112" i="12"/>
  <c r="O163" i="12"/>
  <c r="O111" i="12"/>
  <c r="O59" i="12"/>
  <c r="W111" i="12"/>
  <c r="W52" i="12"/>
  <c r="W104" i="12"/>
  <c r="J99" i="12"/>
  <c r="J47" i="12"/>
  <c r="J151" i="12"/>
  <c r="O47" i="12"/>
  <c r="O99" i="12"/>
  <c r="O151" i="12"/>
  <c r="N153" i="12"/>
  <c r="T153" i="12" s="1"/>
  <c r="N101" i="12"/>
  <c r="N49" i="12"/>
  <c r="T49" i="12" s="1"/>
  <c r="K101" i="12"/>
  <c r="K153" i="12"/>
  <c r="K49" i="12"/>
  <c r="W100" i="12"/>
  <c r="K100" i="12"/>
  <c r="K48" i="12"/>
  <c r="K152" i="12"/>
  <c r="N115" i="12"/>
  <c r="N63" i="12"/>
  <c r="O115" i="12"/>
  <c r="O63" i="12"/>
  <c r="O110" i="12"/>
  <c r="O162" i="12"/>
  <c r="O58" i="12"/>
  <c r="W162" i="12"/>
  <c r="L58" i="12"/>
  <c r="L162" i="12"/>
  <c r="L110" i="12"/>
  <c r="W57" i="12"/>
  <c r="W161" i="12"/>
  <c r="J117" i="12"/>
  <c r="J65" i="12"/>
  <c r="P65" i="12"/>
  <c r="P117" i="12"/>
  <c r="L42" i="12"/>
  <c r="L146" i="12"/>
  <c r="L94" i="12"/>
  <c r="O42" i="12"/>
  <c r="O94" i="12"/>
  <c r="O146" i="12"/>
  <c r="R146" i="12" s="1"/>
  <c r="W157" i="12"/>
  <c r="P157" i="12"/>
  <c r="P105" i="12"/>
  <c r="P53" i="12"/>
  <c r="K157" i="12"/>
  <c r="K53" i="12"/>
  <c r="K105" i="12"/>
  <c r="L66" i="12"/>
  <c r="L118" i="12"/>
  <c r="P118" i="12"/>
  <c r="P66" i="12"/>
  <c r="K67" i="12"/>
  <c r="K119" i="12"/>
  <c r="J119" i="12"/>
  <c r="J67" i="12"/>
  <c r="P93" i="12"/>
  <c r="P145" i="12"/>
  <c r="P41" i="12"/>
  <c r="O145" i="12"/>
  <c r="O41" i="12"/>
  <c r="O93" i="12"/>
  <c r="W51" i="12"/>
  <c r="J103" i="12"/>
  <c r="J155" i="12"/>
  <c r="J51" i="12"/>
  <c r="J96" i="12"/>
  <c r="J44" i="12"/>
  <c r="J148" i="12"/>
  <c r="K96" i="12"/>
  <c r="K148" i="12"/>
  <c r="K44" i="12"/>
  <c r="J50" i="12"/>
  <c r="J154" i="12"/>
  <c r="J102" i="12"/>
  <c r="O55" i="12"/>
  <c r="O107" i="12"/>
  <c r="O159" i="12"/>
  <c r="R159" i="12" s="1"/>
  <c r="P107" i="12"/>
  <c r="P159" i="12"/>
  <c r="P55" i="12"/>
  <c r="K56" i="12"/>
  <c r="K108" i="12"/>
  <c r="K160" i="12"/>
  <c r="P144" i="12"/>
  <c r="P40" i="12"/>
  <c r="P92" i="12"/>
  <c r="J92" i="12"/>
  <c r="J144" i="12"/>
  <c r="J40" i="12"/>
  <c r="L144" i="12"/>
  <c r="L40" i="12"/>
  <c r="L92" i="12"/>
  <c r="J166" i="12"/>
  <c r="J62" i="12"/>
  <c r="J114" i="12"/>
  <c r="O114" i="12"/>
  <c r="O62" i="12"/>
  <c r="O166" i="12"/>
  <c r="O54" i="12"/>
  <c r="O158" i="12"/>
  <c r="O106" i="12"/>
  <c r="R106" i="12" s="1"/>
  <c r="P54" i="12"/>
  <c r="P106" i="12"/>
  <c r="P158" i="12"/>
  <c r="W98" i="12"/>
  <c r="O98" i="12"/>
  <c r="O150" i="12"/>
  <c r="O46" i="12"/>
  <c r="N45" i="12"/>
  <c r="N97" i="12"/>
  <c r="N149" i="12"/>
  <c r="W149" i="12"/>
  <c r="P149" i="12"/>
  <c r="P45" i="12"/>
  <c r="P97" i="12"/>
  <c r="W142" i="12"/>
  <c r="W139" i="12"/>
  <c r="W143" i="12"/>
  <c r="W136" i="12"/>
  <c r="W141" i="12"/>
  <c r="W135" i="12"/>
  <c r="W138" i="12"/>
  <c r="W140" i="12"/>
  <c r="W137" i="12"/>
  <c r="O39" i="12"/>
  <c r="O91" i="12"/>
  <c r="O143" i="12"/>
  <c r="W165" i="12"/>
  <c r="J113" i="12"/>
  <c r="J61" i="12"/>
  <c r="J165" i="12"/>
  <c r="P147" i="12"/>
  <c r="P95" i="12"/>
  <c r="P43" i="12"/>
  <c r="J95" i="12"/>
  <c r="J43" i="12"/>
  <c r="J147" i="12"/>
  <c r="O112" i="12"/>
  <c r="O164" i="12"/>
  <c r="O60" i="12"/>
  <c r="W112" i="12"/>
  <c r="L60" i="12"/>
  <c r="L164" i="12"/>
  <c r="L112" i="12"/>
  <c r="P111" i="12"/>
  <c r="P163" i="12"/>
  <c r="P59" i="12"/>
  <c r="W163" i="12"/>
  <c r="J156" i="12"/>
  <c r="J52" i="12"/>
  <c r="J104" i="12"/>
  <c r="L104" i="12"/>
  <c r="L52" i="12"/>
  <c r="L156" i="12"/>
  <c r="W47" i="12"/>
  <c r="W99" i="12"/>
  <c r="J49" i="12"/>
  <c r="J101" i="12"/>
  <c r="J153" i="12"/>
  <c r="W153" i="12"/>
  <c r="W48" i="12"/>
  <c r="N48" i="12"/>
  <c r="N152" i="12"/>
  <c r="N100" i="12"/>
  <c r="J115" i="12"/>
  <c r="J63" i="12"/>
  <c r="L63" i="12"/>
  <c r="L115" i="12"/>
  <c r="W58" i="12"/>
  <c r="W110" i="12"/>
  <c r="P109" i="12"/>
  <c r="P57" i="12"/>
  <c r="P161" i="12"/>
  <c r="W109" i="12"/>
  <c r="J161" i="12"/>
  <c r="J57" i="12"/>
  <c r="J109" i="12"/>
  <c r="N65" i="12"/>
  <c r="N117" i="12"/>
  <c r="N94" i="12"/>
  <c r="N146" i="12"/>
  <c r="N42" i="12"/>
  <c r="W146" i="12"/>
  <c r="W105" i="12"/>
  <c r="J53" i="12"/>
  <c r="J157" i="12"/>
  <c r="J105" i="12"/>
  <c r="N118" i="12"/>
  <c r="N66" i="12"/>
  <c r="N67" i="12"/>
  <c r="N119" i="12"/>
  <c r="W93" i="12"/>
  <c r="J93" i="12"/>
  <c r="J41" i="12"/>
  <c r="J145" i="12"/>
  <c r="L93" i="12"/>
  <c r="L41" i="12"/>
  <c r="L145" i="12"/>
  <c r="K51" i="12"/>
  <c r="K155" i="12"/>
  <c r="K103" i="12"/>
  <c r="P155" i="12"/>
  <c r="P51" i="12"/>
  <c r="P103" i="12"/>
  <c r="L44" i="12"/>
  <c r="L96" i="12"/>
  <c r="L148" i="12"/>
  <c r="O96" i="12"/>
  <c r="O148" i="12"/>
  <c r="O44" i="12"/>
  <c r="P102" i="12"/>
  <c r="P50" i="12"/>
  <c r="P154" i="12"/>
  <c r="O50" i="12"/>
  <c r="O102" i="12"/>
  <c r="O154" i="12"/>
  <c r="J159" i="12"/>
  <c r="J55" i="12"/>
  <c r="J107" i="12"/>
  <c r="P108" i="12"/>
  <c r="P160" i="12"/>
  <c r="P56" i="12"/>
  <c r="L108" i="12"/>
  <c r="L160" i="12"/>
  <c r="L56" i="12"/>
  <c r="L64" i="12"/>
  <c r="L116" i="12"/>
  <c r="K116" i="12"/>
  <c r="K64" i="12"/>
  <c r="K92" i="12"/>
  <c r="K144" i="12"/>
  <c r="K40" i="12"/>
  <c r="N62" i="12"/>
  <c r="N114" i="12"/>
  <c r="N166" i="12"/>
  <c r="W114" i="12"/>
  <c r="J54" i="12"/>
  <c r="J158" i="12"/>
  <c r="J106" i="12"/>
  <c r="W158" i="12"/>
  <c r="J98" i="12"/>
  <c r="J150" i="12"/>
  <c r="J46" i="12"/>
  <c r="W46" i="12"/>
  <c r="L45" i="12"/>
  <c r="L149" i="12"/>
  <c r="L97" i="12"/>
  <c r="W45" i="12"/>
  <c r="W87" i="12"/>
  <c r="W90" i="12"/>
  <c r="W86" i="12"/>
  <c r="W84" i="12"/>
  <c r="W88" i="12"/>
  <c r="W89" i="12"/>
  <c r="W85" i="12"/>
  <c r="W83" i="12"/>
  <c r="W91" i="12"/>
  <c r="K91" i="12"/>
  <c r="K39" i="12"/>
  <c r="K143" i="12"/>
  <c r="J143" i="12"/>
  <c r="J91" i="12"/>
  <c r="J39" i="12"/>
  <c r="L165" i="12"/>
  <c r="L113" i="12"/>
  <c r="L61" i="12"/>
  <c r="N113" i="12"/>
  <c r="N165" i="12"/>
  <c r="N61" i="12"/>
  <c r="O43" i="12"/>
  <c r="O95" i="12"/>
  <c r="O147" i="12"/>
  <c r="W43" i="12"/>
  <c r="W60" i="12"/>
  <c r="K164" i="12"/>
  <c r="K60" i="12"/>
  <c r="K112" i="12"/>
  <c r="W59" i="12"/>
  <c r="L59" i="12"/>
  <c r="L111" i="12"/>
  <c r="L163" i="12"/>
  <c r="K111" i="12"/>
  <c r="K163" i="12"/>
  <c r="K59" i="12"/>
  <c r="N52" i="12"/>
  <c r="N104" i="12"/>
  <c r="N156" i="12"/>
  <c r="W156" i="12"/>
  <c r="P151" i="12"/>
  <c r="P47" i="12"/>
  <c r="P99" i="12"/>
  <c r="N47" i="12"/>
  <c r="N99" i="12"/>
  <c r="N151" i="12"/>
  <c r="W101" i="12"/>
  <c r="O153" i="12"/>
  <c r="O49" i="12"/>
  <c r="O101" i="12"/>
  <c r="P49" i="12"/>
  <c r="P101" i="12"/>
  <c r="P153" i="12"/>
  <c r="L152" i="12"/>
  <c r="L100" i="12"/>
  <c r="L48" i="12"/>
  <c r="P152" i="12"/>
  <c r="P100" i="12"/>
  <c r="P48" i="12"/>
  <c r="W63" i="12"/>
  <c r="P115" i="12"/>
  <c r="Q115" i="12" s="1"/>
  <c r="P63" i="12"/>
  <c r="K58" i="12"/>
  <c r="K162" i="12"/>
  <c r="K110" i="12"/>
  <c r="J110" i="12"/>
  <c r="J58" i="12"/>
  <c r="J162" i="12"/>
  <c r="L109" i="12"/>
  <c r="L161" i="12"/>
  <c r="L57" i="12"/>
  <c r="N161" i="12"/>
  <c r="N109" i="12"/>
  <c r="N57" i="12"/>
  <c r="K117" i="12"/>
  <c r="K65" i="12"/>
  <c r="L117" i="12"/>
  <c r="L65" i="12"/>
  <c r="W42" i="12"/>
  <c r="W94" i="12"/>
  <c r="O53" i="12"/>
  <c r="O105" i="12"/>
  <c r="O157" i="12"/>
  <c r="N157" i="12"/>
  <c r="N53" i="12"/>
  <c r="N105" i="12"/>
  <c r="K66" i="12"/>
  <c r="K118" i="12"/>
  <c r="J66" i="12"/>
  <c r="J118" i="12"/>
  <c r="L67" i="12"/>
  <c r="L119" i="12"/>
  <c r="K41" i="12"/>
  <c r="K93" i="12"/>
  <c r="K145" i="12"/>
  <c r="W145" i="12"/>
  <c r="W103" i="12"/>
  <c r="N51" i="12"/>
  <c r="N155" i="12"/>
  <c r="N103" i="12"/>
  <c r="L155" i="12"/>
  <c r="L103" i="12"/>
  <c r="L51" i="12"/>
  <c r="B21" i="25"/>
  <c r="B9" i="11"/>
  <c r="C21" i="25"/>
  <c r="Q17" i="14"/>
  <c r="DO46" i="6" l="1"/>
  <c r="DQ46" i="6" s="1"/>
  <c r="DS46" i="6" s="1"/>
  <c r="DO49" i="6"/>
  <c r="DQ49" i="6" s="1"/>
  <c r="DS49" i="6" s="1"/>
  <c r="DO51" i="6"/>
  <c r="DQ51" i="6" s="1"/>
  <c r="DS51" i="6" s="1"/>
  <c r="DO50" i="6"/>
  <c r="DQ50" i="6" s="1"/>
  <c r="DS50" i="6" s="1"/>
  <c r="DO45" i="6"/>
  <c r="DQ45" i="6" s="1"/>
  <c r="DS45" i="6" s="1"/>
  <c r="AS55" i="15"/>
  <c r="DO48" i="6"/>
  <c r="DQ48" i="6" s="1"/>
  <c r="DS48" i="6" s="1"/>
  <c r="DO47" i="6"/>
  <c r="DQ47" i="6" s="1"/>
  <c r="DS47" i="6" s="1"/>
  <c r="AS32" i="15"/>
  <c r="R37" i="12"/>
  <c r="R25" i="12"/>
  <c r="AS39" i="15"/>
  <c r="T29" i="12"/>
  <c r="T20" i="12"/>
  <c r="T52" i="12"/>
  <c r="R47" i="12"/>
  <c r="Q63" i="12"/>
  <c r="AS36" i="15"/>
  <c r="AW43" i="15"/>
  <c r="AW51" i="15"/>
  <c r="Q28" i="12"/>
  <c r="Q36" i="12"/>
  <c r="Q24" i="12"/>
  <c r="Q164" i="12"/>
  <c r="Q142" i="12"/>
  <c r="AW27" i="15"/>
  <c r="Q140" i="12"/>
  <c r="Q112" i="12"/>
  <c r="T254" i="12"/>
  <c r="Z254" i="12" s="1"/>
  <c r="T186" i="12"/>
  <c r="U186" i="12" s="1"/>
  <c r="T178" i="12"/>
  <c r="U178" i="12" s="1"/>
  <c r="T265" i="12"/>
  <c r="U265" i="12" s="1"/>
  <c r="T253" i="12"/>
  <c r="U253" i="12" s="1"/>
  <c r="T244" i="12"/>
  <c r="Z244" i="12" s="1"/>
  <c r="T222" i="12"/>
  <c r="Z222" i="12" s="1"/>
  <c r="T184" i="12"/>
  <c r="Z182" i="12" s="1"/>
  <c r="T239" i="12"/>
  <c r="U239" i="12" s="1"/>
  <c r="T177" i="12"/>
  <c r="U177" i="12" s="1"/>
  <c r="T196" i="12"/>
  <c r="T269" i="12"/>
  <c r="U267" i="12" s="1"/>
  <c r="T268" i="12"/>
  <c r="T203" i="12"/>
  <c r="Z203" i="12" s="1"/>
  <c r="T215" i="12"/>
  <c r="U215" i="12" s="1"/>
  <c r="T199" i="12"/>
  <c r="T255" i="12"/>
  <c r="U255" i="12" s="1"/>
  <c r="T263" i="12"/>
  <c r="Z257" i="12" s="1"/>
  <c r="T242" i="12"/>
  <c r="Z242" i="12" s="1"/>
  <c r="T233" i="12"/>
  <c r="Z227" i="12" s="1"/>
  <c r="T179" i="12"/>
  <c r="U179" i="12" s="1"/>
  <c r="T270" i="12"/>
  <c r="Z270" i="12" s="1"/>
  <c r="T205" i="12"/>
  <c r="U205" i="12" s="1"/>
  <c r="T200" i="12"/>
  <c r="U200" i="12" s="1"/>
  <c r="U257" i="12"/>
  <c r="Z275" i="12"/>
  <c r="U275" i="12"/>
  <c r="Z249" i="12"/>
  <c r="U249" i="12"/>
  <c r="Z174" i="12"/>
  <c r="U174" i="12"/>
  <c r="U223" i="12"/>
  <c r="Z223" i="12"/>
  <c r="Z225" i="12"/>
  <c r="U225" i="12"/>
  <c r="U226" i="12"/>
  <c r="U216" i="12"/>
  <c r="Z216" i="12"/>
  <c r="Z168" i="12"/>
  <c r="U168" i="12"/>
  <c r="Z213" i="12"/>
  <c r="U213" i="12"/>
  <c r="Q254" i="12"/>
  <c r="Q182" i="12"/>
  <c r="Q250" i="12"/>
  <c r="Q228" i="12"/>
  <c r="Q273" i="12"/>
  <c r="Q240" i="12"/>
  <c r="Q242" i="12"/>
  <c r="Q260" i="12"/>
  <c r="Q184" i="12"/>
  <c r="Q239" i="12"/>
  <c r="Q175" i="12"/>
  <c r="Q234" i="12"/>
  <c r="Q230" i="12"/>
  <c r="Q170" i="12"/>
  <c r="Q180" i="12"/>
  <c r="Q172" i="12"/>
  <c r="Q195" i="12"/>
  <c r="Q272" i="12"/>
  <c r="Q209" i="12"/>
  <c r="Q194" i="12"/>
  <c r="Q262" i="12"/>
  <c r="Q205" i="12"/>
  <c r="Q270" i="12"/>
  <c r="Q202" i="12"/>
  <c r="Q269" i="12"/>
  <c r="Q219" i="12"/>
  <c r="Q193" i="12"/>
  <c r="R247" i="12"/>
  <c r="R267" i="12"/>
  <c r="R256" i="12"/>
  <c r="R237" i="12"/>
  <c r="R260" i="12"/>
  <c r="R253" i="12"/>
  <c r="R230" i="12"/>
  <c r="R190" i="12"/>
  <c r="R265" i="12"/>
  <c r="R273" i="12"/>
  <c r="R243" i="12"/>
  <c r="R240" i="12"/>
  <c r="R183" i="12"/>
  <c r="R173" i="12"/>
  <c r="R206" i="12"/>
  <c r="R175" i="12"/>
  <c r="R220" i="12"/>
  <c r="R226" i="12"/>
  <c r="R189" i="12"/>
  <c r="R203" i="12"/>
  <c r="R213" i="12"/>
  <c r="R205" i="12"/>
  <c r="R262" i="12"/>
  <c r="R200" i="12"/>
  <c r="R218" i="12"/>
  <c r="R192" i="12"/>
  <c r="R209" i="12"/>
  <c r="R191" i="12"/>
  <c r="U259" i="12"/>
  <c r="U252" i="12"/>
  <c r="Z252" i="12"/>
  <c r="U271" i="12"/>
  <c r="Z271" i="12"/>
  <c r="Z245" i="12"/>
  <c r="U245" i="12"/>
  <c r="Z170" i="12"/>
  <c r="U170" i="12"/>
  <c r="Z234" i="12"/>
  <c r="U234" i="12"/>
  <c r="Z237" i="12"/>
  <c r="U237" i="12"/>
  <c r="U188" i="12"/>
  <c r="Z188" i="12"/>
  <c r="U192" i="12"/>
  <c r="Z212" i="12"/>
  <c r="U212" i="12"/>
  <c r="U201" i="12"/>
  <c r="Z201" i="12"/>
  <c r="Z206" i="12"/>
  <c r="U206" i="12"/>
  <c r="Z167" i="12"/>
  <c r="U167" i="12"/>
  <c r="Q246" i="12"/>
  <c r="Q252" i="12"/>
  <c r="Q261" i="12"/>
  <c r="Q249" i="12"/>
  <c r="Q244" i="12"/>
  <c r="Q257" i="12"/>
  <c r="Q237" i="12"/>
  <c r="Q267" i="12"/>
  <c r="Q258" i="12"/>
  <c r="Q179" i="12"/>
  <c r="Q236" i="12"/>
  <c r="Q226" i="12"/>
  <c r="Q232" i="12"/>
  <c r="Q227" i="12"/>
  <c r="Q238" i="12"/>
  <c r="Q177" i="12"/>
  <c r="Q171" i="12"/>
  <c r="Q198" i="12"/>
  <c r="Q199" i="12"/>
  <c r="Q211" i="12"/>
  <c r="Q201" i="12"/>
  <c r="Q207" i="12"/>
  <c r="Q204" i="12"/>
  <c r="Q216" i="12"/>
  <c r="Q274" i="12"/>
  <c r="Q268" i="12"/>
  <c r="Q218" i="12"/>
  <c r="Q196" i="12"/>
  <c r="R250" i="12"/>
  <c r="R248" i="12"/>
  <c r="R244" i="12"/>
  <c r="R180" i="12"/>
  <c r="R258" i="12"/>
  <c r="R251" i="12"/>
  <c r="R229" i="12"/>
  <c r="R184" i="12"/>
  <c r="R263" i="12"/>
  <c r="R259" i="12"/>
  <c r="R242" i="12"/>
  <c r="S242" i="12" s="1"/>
  <c r="R186" i="12"/>
  <c r="R233" i="12"/>
  <c r="R225" i="12"/>
  <c r="R182" i="12"/>
  <c r="R224" i="12"/>
  <c r="R235" i="12"/>
  <c r="R172" i="12"/>
  <c r="R167" i="12"/>
  <c r="R199" i="12"/>
  <c r="R169" i="12"/>
  <c r="R270" i="12"/>
  <c r="R197" i="12"/>
  <c r="R196" i="12"/>
  <c r="R210" i="12"/>
  <c r="R202" i="12"/>
  <c r="R187" i="12"/>
  <c r="Z256" i="12"/>
  <c r="U256" i="12"/>
  <c r="U258" i="12"/>
  <c r="Z248" i="12"/>
  <c r="U248" i="12"/>
  <c r="Z240" i="12"/>
  <c r="U240" i="12"/>
  <c r="U251" i="12"/>
  <c r="Z251" i="12"/>
  <c r="Z243" i="12"/>
  <c r="U243" i="12"/>
  <c r="U171" i="12"/>
  <c r="Z171" i="12"/>
  <c r="U185" i="12"/>
  <c r="Z185" i="12"/>
  <c r="U227" i="12"/>
  <c r="U202" i="12"/>
  <c r="Z202" i="12"/>
  <c r="Z175" i="12"/>
  <c r="U175" i="12"/>
  <c r="Z169" i="12"/>
  <c r="U169" i="12"/>
  <c r="U238" i="12"/>
  <c r="Z238" i="12"/>
  <c r="U229" i="12"/>
  <c r="Z229" i="12"/>
  <c r="U210" i="12"/>
  <c r="Z210" i="12"/>
  <c r="U220" i="12"/>
  <c r="Z220" i="12"/>
  <c r="U274" i="12"/>
  <c r="Z274" i="12"/>
  <c r="Z218" i="12"/>
  <c r="U218" i="12"/>
  <c r="U193" i="12"/>
  <c r="Z191" i="12"/>
  <c r="U191" i="12"/>
  <c r="U194" i="12"/>
  <c r="U217" i="12"/>
  <c r="Z217" i="12"/>
  <c r="Z209" i="12"/>
  <c r="U209" i="12"/>
  <c r="Q253" i="12"/>
  <c r="Q245" i="12"/>
  <c r="Q255" i="12"/>
  <c r="Q185" i="12"/>
  <c r="Q275" i="12"/>
  <c r="Q248" i="12"/>
  <c r="Q186" i="12"/>
  <c r="Q264" i="12"/>
  <c r="Q256" i="12"/>
  <c r="Q224" i="12"/>
  <c r="Q178" i="12"/>
  <c r="Q208" i="12"/>
  <c r="Q181" i="12"/>
  <c r="Q176" i="12"/>
  <c r="Q183" i="12"/>
  <c r="Q173" i="12"/>
  <c r="Q222" i="12"/>
  <c r="Q169" i="12"/>
  <c r="Q217" i="12"/>
  <c r="Q197" i="12"/>
  <c r="Q187" i="12"/>
  <c r="Q188" i="12"/>
  <c r="Q203" i="12"/>
  <c r="Q215" i="12"/>
  <c r="Q189" i="12"/>
  <c r="Q214" i="12"/>
  <c r="Q191" i="12"/>
  <c r="R269" i="12"/>
  <c r="R171" i="12"/>
  <c r="R241" i="12"/>
  <c r="S241" i="12" s="1"/>
  <c r="R231" i="12"/>
  <c r="R257" i="12"/>
  <c r="R246" i="12"/>
  <c r="S246" i="12" s="1"/>
  <c r="R174" i="12"/>
  <c r="R232" i="12"/>
  <c r="R275" i="12"/>
  <c r="S275" i="12" s="1"/>
  <c r="R252" i="12"/>
  <c r="R239" i="12"/>
  <c r="R185" i="12"/>
  <c r="R177" i="12"/>
  <c r="R222" i="12"/>
  <c r="R181" i="12"/>
  <c r="S181" i="12" s="1"/>
  <c r="R170" i="12"/>
  <c r="R179" i="12"/>
  <c r="R223" i="12"/>
  <c r="S223" i="12" s="1"/>
  <c r="R208" i="12"/>
  <c r="R188" i="12"/>
  <c r="R268" i="12"/>
  <c r="R198" i="12"/>
  <c r="R212" i="12"/>
  <c r="R216" i="12"/>
  <c r="R264" i="12"/>
  <c r="R274" i="12"/>
  <c r="R194" i="12"/>
  <c r="Z260" i="12"/>
  <c r="U260" i="12"/>
  <c r="U247" i="12"/>
  <c r="Z247" i="12"/>
  <c r="U273" i="12"/>
  <c r="Z273" i="12"/>
  <c r="Z246" i="12"/>
  <c r="U246" i="12"/>
  <c r="Z172" i="12"/>
  <c r="U172" i="12"/>
  <c r="U250" i="12"/>
  <c r="Z250" i="12"/>
  <c r="U176" i="12"/>
  <c r="Z176" i="12"/>
  <c r="U236" i="12"/>
  <c r="Z236" i="12"/>
  <c r="Z228" i="12"/>
  <c r="U228" i="12"/>
  <c r="U235" i="12"/>
  <c r="Z235" i="12"/>
  <c r="Z224" i="12"/>
  <c r="U224" i="12"/>
  <c r="Z241" i="12"/>
  <c r="U241" i="12"/>
  <c r="U183" i="12"/>
  <c r="Z183" i="12"/>
  <c r="Z173" i="12"/>
  <c r="U173" i="12"/>
  <c r="Z272" i="12"/>
  <c r="U272" i="12"/>
  <c r="Z219" i="12"/>
  <c r="U219" i="12"/>
  <c r="Z211" i="12"/>
  <c r="U211" i="12"/>
  <c r="U189" i="12"/>
  <c r="Z189" i="12"/>
  <c r="U207" i="12"/>
  <c r="Z207" i="12"/>
  <c r="Z221" i="12"/>
  <c r="U221" i="12"/>
  <c r="U208" i="12"/>
  <c r="Z208" i="12"/>
  <c r="Z190" i="12"/>
  <c r="U190" i="12"/>
  <c r="Z187" i="12"/>
  <c r="U187" i="12"/>
  <c r="Z214" i="12"/>
  <c r="U214" i="12"/>
  <c r="U204" i="12"/>
  <c r="Z204" i="12"/>
  <c r="Q259" i="12"/>
  <c r="Q241" i="12"/>
  <c r="Q251" i="12"/>
  <c r="Q235" i="12"/>
  <c r="Q265" i="12"/>
  <c r="Q247" i="12"/>
  <c r="Q174" i="12"/>
  <c r="Q271" i="12"/>
  <c r="Q243" i="12"/>
  <c r="Q206" i="12"/>
  <c r="Q229" i="12"/>
  <c r="Q221" i="12"/>
  <c r="Q231" i="12"/>
  <c r="Q223" i="12"/>
  <c r="Q233" i="12"/>
  <c r="Q225" i="12"/>
  <c r="Q167" i="12"/>
  <c r="Q200" i="12"/>
  <c r="Q168" i="12"/>
  <c r="Q190" i="12"/>
  <c r="Q210" i="12"/>
  <c r="Q266" i="12"/>
  <c r="Q192" i="12"/>
  <c r="Q212" i="12"/>
  <c r="Q220" i="12"/>
  <c r="Q213" i="12"/>
  <c r="Q263" i="12"/>
  <c r="R261" i="12"/>
  <c r="S261" i="12" s="1"/>
  <c r="R255" i="12"/>
  <c r="R236" i="12"/>
  <c r="R228" i="12"/>
  <c r="S228" i="12" s="1"/>
  <c r="R254" i="12"/>
  <c r="R245" i="12"/>
  <c r="R219" i="12"/>
  <c r="R204" i="12"/>
  <c r="S204" i="12" s="1"/>
  <c r="R271" i="12"/>
  <c r="R249" i="12"/>
  <c r="R178" i="12"/>
  <c r="S178" i="12" s="1"/>
  <c r="R238" i="12"/>
  <c r="R176" i="12"/>
  <c r="R266" i="12"/>
  <c r="R227" i="12"/>
  <c r="R214" i="12"/>
  <c r="R234" i="12"/>
  <c r="R211" i="12"/>
  <c r="R168" i="12"/>
  <c r="R217" i="12"/>
  <c r="R272" i="12"/>
  <c r="R193" i="12"/>
  <c r="R221" i="12"/>
  <c r="R195" i="12"/>
  <c r="S195" i="12" s="1"/>
  <c r="R215" i="12"/>
  <c r="R207" i="12"/>
  <c r="R201" i="12"/>
  <c r="T155" i="12"/>
  <c r="T85" i="12"/>
  <c r="T36" i="12"/>
  <c r="T118" i="12"/>
  <c r="T35" i="12"/>
  <c r="T117" i="12"/>
  <c r="T63" i="12"/>
  <c r="T67" i="12"/>
  <c r="T163" i="12"/>
  <c r="T55" i="12"/>
  <c r="T19" i="12"/>
  <c r="Q18" i="14"/>
  <c r="G70" i="17"/>
  <c r="AW29" i="15"/>
  <c r="T140" i="12"/>
  <c r="T90" i="12"/>
  <c r="T165" i="12"/>
  <c r="AW34" i="15"/>
  <c r="AS35" i="15"/>
  <c r="AW33" i="15"/>
  <c r="AS49" i="15"/>
  <c r="Q15" i="14"/>
  <c r="AW48" i="15"/>
  <c r="AS16" i="15"/>
  <c r="AS15" i="15"/>
  <c r="R85" i="12"/>
  <c r="AS33" i="15"/>
  <c r="AW36" i="15"/>
  <c r="R29" i="12"/>
  <c r="Q25" i="12"/>
  <c r="T18" i="12"/>
  <c r="T28" i="12"/>
  <c r="R18" i="12"/>
  <c r="R23" i="12"/>
  <c r="T109" i="12"/>
  <c r="T133" i="12"/>
  <c r="Q75" i="12"/>
  <c r="T23" i="12"/>
  <c r="R141" i="12"/>
  <c r="Q26" i="12"/>
  <c r="AS13" i="15"/>
  <c r="Q74" i="12"/>
  <c r="AW42" i="15"/>
  <c r="AW20" i="15"/>
  <c r="AE4" i="15"/>
  <c r="AW5" i="15" s="1"/>
  <c r="R147" i="12"/>
  <c r="AS20" i="15"/>
  <c r="AW19" i="15"/>
  <c r="Q128" i="12"/>
  <c r="T30" i="12"/>
  <c r="R32" i="12"/>
  <c r="Q27" i="12"/>
  <c r="T70" i="12"/>
  <c r="T25" i="12"/>
  <c r="Q127" i="12"/>
  <c r="T80" i="12"/>
  <c r="R72" i="12"/>
  <c r="R75" i="12"/>
  <c r="T81" i="12"/>
  <c r="Q129" i="12"/>
  <c r="T75" i="12"/>
  <c r="R102" i="12"/>
  <c r="AW26" i="15"/>
  <c r="R90" i="12"/>
  <c r="AS18" i="15"/>
  <c r="Q59" i="12"/>
  <c r="R150" i="12"/>
  <c r="AS19" i="15"/>
  <c r="Q48" i="12"/>
  <c r="AW18" i="15"/>
  <c r="AW37" i="15"/>
  <c r="AS11" i="15"/>
  <c r="AS48" i="15"/>
  <c r="AW50" i="15"/>
  <c r="AS51" i="15"/>
  <c r="R133" i="12"/>
  <c r="Q131" i="12"/>
  <c r="AS52" i="15"/>
  <c r="Q22" i="12"/>
  <c r="AS50" i="15"/>
  <c r="AW13" i="15"/>
  <c r="AW11" i="15"/>
  <c r="T139" i="12"/>
  <c r="AS29" i="15"/>
  <c r="AW49" i="15"/>
  <c r="AW21" i="15"/>
  <c r="AS42" i="15"/>
  <c r="AW45" i="15"/>
  <c r="AW52" i="15"/>
  <c r="AE9" i="15"/>
  <c r="AW10" i="15" s="1"/>
  <c r="AW16" i="15"/>
  <c r="AS45" i="15"/>
  <c r="AS17" i="15"/>
  <c r="AS21" i="15"/>
  <c r="AW22" i="15"/>
  <c r="T38" i="12"/>
  <c r="T126" i="12"/>
  <c r="T83" i="12"/>
  <c r="T71" i="12"/>
  <c r="R19" i="12"/>
  <c r="T123" i="12"/>
  <c r="T131" i="12"/>
  <c r="T26" i="12"/>
  <c r="R82" i="12"/>
  <c r="AS23" i="15"/>
  <c r="AW54" i="15"/>
  <c r="AW39" i="15"/>
  <c r="AS25" i="15"/>
  <c r="AW23" i="15"/>
  <c r="T33" i="12"/>
  <c r="AS24" i="15"/>
  <c r="Q23" i="12"/>
  <c r="Q132" i="12"/>
  <c r="R84" i="12"/>
  <c r="R124" i="12"/>
  <c r="T129" i="12"/>
  <c r="R21" i="12"/>
  <c r="T105" i="12"/>
  <c r="R101" i="12"/>
  <c r="R50" i="12"/>
  <c r="R98" i="12"/>
  <c r="AS22" i="15"/>
  <c r="T87" i="12"/>
  <c r="R89" i="12"/>
  <c r="Q126" i="12"/>
  <c r="T72" i="12"/>
  <c r="Q70" i="12"/>
  <c r="AS26" i="15"/>
  <c r="R105" i="12"/>
  <c r="Q100" i="12"/>
  <c r="Q47" i="12"/>
  <c r="R44" i="12"/>
  <c r="T42" i="12"/>
  <c r="Q90" i="12"/>
  <c r="R120" i="12"/>
  <c r="Q130" i="12"/>
  <c r="Q16" i="12"/>
  <c r="Q152" i="12"/>
  <c r="R148" i="12"/>
  <c r="Q77" i="12"/>
  <c r="T127" i="12"/>
  <c r="R68" i="12"/>
  <c r="Q79" i="12"/>
  <c r="R70" i="12"/>
  <c r="AW32" i="15"/>
  <c r="AW24" i="15"/>
  <c r="AW53" i="15"/>
  <c r="R96" i="12"/>
  <c r="T94" i="12"/>
  <c r="R81" i="12"/>
  <c r="Q76" i="12"/>
  <c r="R129" i="12"/>
  <c r="Q80" i="12"/>
  <c r="T122" i="12"/>
  <c r="T132" i="12"/>
  <c r="R20" i="12"/>
  <c r="AW17" i="15"/>
  <c r="AW25" i="15"/>
  <c r="AS53" i="15"/>
  <c r="R53" i="12"/>
  <c r="Q38" i="12"/>
  <c r="R136" i="12"/>
  <c r="T124" i="12"/>
  <c r="Q78" i="12"/>
  <c r="R38" i="12"/>
  <c r="T37" i="12"/>
  <c r="Q88" i="12"/>
  <c r="R28" i="12"/>
  <c r="T74" i="12"/>
  <c r="T27" i="12"/>
  <c r="Q33" i="12"/>
  <c r="R140" i="12"/>
  <c r="R35" i="12"/>
  <c r="T32" i="12"/>
  <c r="T135" i="12"/>
  <c r="Q122" i="12"/>
  <c r="T34" i="12"/>
  <c r="T79" i="12"/>
  <c r="R80" i="12"/>
  <c r="T24" i="12"/>
  <c r="R71" i="12"/>
  <c r="S71" i="12" s="1"/>
  <c r="R130" i="12"/>
  <c r="T78" i="12"/>
  <c r="R69" i="12"/>
  <c r="Q29" i="12"/>
  <c r="R86" i="12"/>
  <c r="Q139" i="12"/>
  <c r="Q71" i="12"/>
  <c r="T21" i="12"/>
  <c r="R22" i="12"/>
  <c r="Q82" i="12"/>
  <c r="Q120" i="12"/>
  <c r="Q135" i="12"/>
  <c r="R27" i="12"/>
  <c r="T17" i="12"/>
  <c r="R33" i="12"/>
  <c r="Q138" i="12"/>
  <c r="R128" i="12"/>
  <c r="R87" i="12"/>
  <c r="Q89" i="12"/>
  <c r="T120" i="12"/>
  <c r="T84" i="12"/>
  <c r="Q137" i="12"/>
  <c r="T128" i="12"/>
  <c r="T142" i="12"/>
  <c r="Q32" i="12"/>
  <c r="R26" i="12"/>
  <c r="Q69" i="12"/>
  <c r="Q133" i="12"/>
  <c r="R138" i="12"/>
  <c r="Q87" i="12"/>
  <c r="Q19" i="12"/>
  <c r="Q125" i="12"/>
  <c r="T125" i="12"/>
  <c r="R74" i="12"/>
  <c r="R134" i="12"/>
  <c r="R31" i="12"/>
  <c r="R79" i="12"/>
  <c r="R137" i="12"/>
  <c r="Q34" i="12"/>
  <c r="R24" i="12"/>
  <c r="Q37" i="12"/>
  <c r="Q20" i="12"/>
  <c r="T31" i="12"/>
  <c r="T76" i="12"/>
  <c r="Q84" i="12"/>
  <c r="T130" i="12"/>
  <c r="R17" i="12"/>
  <c r="Q121" i="12"/>
  <c r="R36" i="12"/>
  <c r="Q73" i="12"/>
  <c r="T73" i="12"/>
  <c r="Q134" i="12"/>
  <c r="R30" i="12"/>
  <c r="Q68" i="12"/>
  <c r="Q83" i="12"/>
  <c r="R135" i="12"/>
  <c r="T121" i="12"/>
  <c r="T86" i="12"/>
  <c r="R76" i="12"/>
  <c r="R139" i="12"/>
  <c r="Q72" i="12"/>
  <c r="AS31" i="15"/>
  <c r="T137" i="12"/>
  <c r="R132" i="12"/>
  <c r="Q85" i="12"/>
  <c r="R123" i="12"/>
  <c r="Q136" i="12"/>
  <c r="R78" i="12"/>
  <c r="R121" i="12"/>
  <c r="Q17" i="12"/>
  <c r="Q81" i="12"/>
  <c r="R34" i="12"/>
  <c r="Q35" i="12"/>
  <c r="R88" i="12"/>
  <c r="Q123" i="12"/>
  <c r="Q21" i="12"/>
  <c r="R126" i="12"/>
  <c r="Q30" i="12"/>
  <c r="Q31" i="12"/>
  <c r="R83" i="12"/>
  <c r="R131" i="12"/>
  <c r="T69" i="12"/>
  <c r="Q18" i="12"/>
  <c r="Q86" i="12"/>
  <c r="T138" i="12"/>
  <c r="Q141" i="12"/>
  <c r="R125" i="12"/>
  <c r="T22" i="12"/>
  <c r="T68" i="12"/>
  <c r="T136" i="12"/>
  <c r="Q124" i="12"/>
  <c r="AS38" i="15"/>
  <c r="AS37" i="15"/>
  <c r="AS43" i="15"/>
  <c r="AS44" i="15"/>
  <c r="AS12" i="15"/>
  <c r="AW35" i="15"/>
  <c r="AW38" i="15"/>
  <c r="T157" i="12"/>
  <c r="R153" i="12"/>
  <c r="Q50" i="12"/>
  <c r="AW28" i="15"/>
  <c r="AS34" i="15"/>
  <c r="AS28" i="15"/>
  <c r="AW12" i="15"/>
  <c r="AW44" i="15"/>
  <c r="R43" i="12"/>
  <c r="T114" i="12"/>
  <c r="Q56" i="12"/>
  <c r="R54" i="12"/>
  <c r="AS27" i="15"/>
  <c r="T99" i="12"/>
  <c r="Q151" i="12"/>
  <c r="Q149" i="12"/>
  <c r="T46" i="12"/>
  <c r="T50" i="12"/>
  <c r="T40" i="12"/>
  <c r="AW40" i="15"/>
  <c r="AW15" i="15"/>
  <c r="AW31" i="15"/>
  <c r="AW47" i="15"/>
  <c r="AS40" i="15"/>
  <c r="AS47" i="15"/>
  <c r="AS30" i="15"/>
  <c r="AW46" i="15"/>
  <c r="AE6" i="15"/>
  <c r="AW7" i="15" s="1"/>
  <c r="AE3" i="15"/>
  <c r="AS14" i="15"/>
  <c r="AW41" i="15"/>
  <c r="AS46" i="15"/>
  <c r="AW14" i="15"/>
  <c r="AW30" i="15"/>
  <c r="T151" i="12"/>
  <c r="Q155" i="12"/>
  <c r="R55" i="12"/>
  <c r="R151" i="12"/>
  <c r="AS41" i="15"/>
  <c r="T53" i="12"/>
  <c r="Q153" i="12"/>
  <c r="R49" i="12"/>
  <c r="Q160" i="12"/>
  <c r="T66" i="12"/>
  <c r="T146" i="12"/>
  <c r="Q111" i="12"/>
  <c r="Q154" i="12"/>
  <c r="R166" i="12"/>
  <c r="S166" i="12" s="1"/>
  <c r="R42" i="12"/>
  <c r="R157" i="12"/>
  <c r="Q51" i="12"/>
  <c r="T91" i="12"/>
  <c r="T102" i="12"/>
  <c r="Q95" i="12"/>
  <c r="T104" i="12"/>
  <c r="Q163" i="12"/>
  <c r="Q45" i="12"/>
  <c r="R149" i="12"/>
  <c r="T62" i="12"/>
  <c r="R99" i="12"/>
  <c r="T101" i="12"/>
  <c r="T39" i="12"/>
  <c r="T154" i="12"/>
  <c r="Q97" i="12"/>
  <c r="R114" i="12"/>
  <c r="R115" i="12"/>
  <c r="Q43" i="12"/>
  <c r="Q161" i="12"/>
  <c r="Q92" i="12"/>
  <c r="Q117" i="12"/>
  <c r="T108" i="12"/>
  <c r="R45" i="12"/>
  <c r="Q101" i="12"/>
  <c r="T47" i="12"/>
  <c r="Q108" i="12"/>
  <c r="R154" i="12"/>
  <c r="Q103" i="12"/>
  <c r="R46" i="12"/>
  <c r="R62" i="12"/>
  <c r="R63" i="12"/>
  <c r="T61" i="12"/>
  <c r="T156" i="12"/>
  <c r="R95" i="12"/>
  <c r="T166" i="12"/>
  <c r="Z166" i="12" s="1"/>
  <c r="R158" i="12"/>
  <c r="R107" i="12"/>
  <c r="T92" i="12"/>
  <c r="R94" i="12"/>
  <c r="Q146" i="12"/>
  <c r="R161" i="12"/>
  <c r="T147" i="12"/>
  <c r="R39" i="12"/>
  <c r="Q107" i="12"/>
  <c r="Q41" i="12"/>
  <c r="Q118" i="12"/>
  <c r="Q157" i="12"/>
  <c r="T115" i="12"/>
  <c r="R59" i="12"/>
  <c r="Q165" i="12"/>
  <c r="T158" i="12"/>
  <c r="Q54" i="12"/>
  <c r="R110" i="12"/>
  <c r="T144" i="12"/>
  <c r="T64" i="12"/>
  <c r="Q44" i="12"/>
  <c r="R103" i="12"/>
  <c r="T41" i="12"/>
  <c r="R119" i="12"/>
  <c r="Q42" i="12"/>
  <c r="R109" i="12"/>
  <c r="T162" i="12"/>
  <c r="R48" i="12"/>
  <c r="Q52" i="12"/>
  <c r="R52" i="12"/>
  <c r="T60" i="12"/>
  <c r="Q143" i="12"/>
  <c r="Q62" i="12"/>
  <c r="R144" i="12"/>
  <c r="Q116" i="12"/>
  <c r="T159" i="12"/>
  <c r="T45" i="12"/>
  <c r="T103" i="12"/>
  <c r="T161" i="12"/>
  <c r="Q57" i="12"/>
  <c r="T100" i="12"/>
  <c r="R60" i="12"/>
  <c r="Q147" i="12"/>
  <c r="Q40" i="12"/>
  <c r="R93" i="12"/>
  <c r="Q145" i="12"/>
  <c r="Q65" i="12"/>
  <c r="R111" i="12"/>
  <c r="Q60" i="12"/>
  <c r="T43" i="12"/>
  <c r="Q61" i="12"/>
  <c r="T98" i="12"/>
  <c r="T160" i="12"/>
  <c r="Q96" i="12"/>
  <c r="T93" i="12"/>
  <c r="R67" i="12"/>
  <c r="R65" i="12"/>
  <c r="Q162" i="12"/>
  <c r="T58" i="12"/>
  <c r="Q104" i="12"/>
  <c r="T164" i="12"/>
  <c r="R61" i="12"/>
  <c r="Q39" i="12"/>
  <c r="Q46" i="12"/>
  <c r="T54" i="12"/>
  <c r="Q114" i="12"/>
  <c r="R116" i="12"/>
  <c r="R108" i="12"/>
  <c r="T148" i="12"/>
  <c r="Q49" i="12"/>
  <c r="Q99" i="12"/>
  <c r="T113" i="12"/>
  <c r="Q102" i="12"/>
  <c r="T119" i="12"/>
  <c r="Q109" i="12"/>
  <c r="T152" i="12"/>
  <c r="R164" i="12"/>
  <c r="R143" i="12"/>
  <c r="T149" i="12"/>
  <c r="Q158" i="12"/>
  <c r="Q144" i="12"/>
  <c r="Q55" i="12"/>
  <c r="R41" i="12"/>
  <c r="Q93" i="12"/>
  <c r="Q53" i="12"/>
  <c r="R58" i="12"/>
  <c r="R163" i="12"/>
  <c r="Q113" i="12"/>
  <c r="T150" i="12"/>
  <c r="T56" i="12"/>
  <c r="R155" i="12"/>
  <c r="Q67" i="12"/>
  <c r="R118" i="12"/>
  <c r="Q94" i="12"/>
  <c r="R117" i="12"/>
  <c r="R57" i="12"/>
  <c r="Q58" i="12"/>
  <c r="T110" i="12"/>
  <c r="R100" i="12"/>
  <c r="R156" i="12"/>
  <c r="T111" i="12"/>
  <c r="T112" i="12"/>
  <c r="R165" i="12"/>
  <c r="Q91" i="12"/>
  <c r="Q98" i="12"/>
  <c r="R92" i="12"/>
  <c r="R64" i="12"/>
  <c r="R160" i="12"/>
  <c r="T44" i="12"/>
  <c r="T51" i="12"/>
  <c r="T57" i="12"/>
  <c r="T65" i="12"/>
  <c r="T48" i="12"/>
  <c r="R112" i="12"/>
  <c r="R91" i="12"/>
  <c r="T97" i="12"/>
  <c r="Q106" i="12"/>
  <c r="Q159" i="12"/>
  <c r="R145" i="12"/>
  <c r="Q66" i="12"/>
  <c r="Q105" i="12"/>
  <c r="R162" i="12"/>
  <c r="T95" i="12"/>
  <c r="T116" i="12"/>
  <c r="Q148" i="12"/>
  <c r="R51" i="12"/>
  <c r="T145" i="12"/>
  <c r="Q119" i="12"/>
  <c r="R66" i="12"/>
  <c r="Q110" i="12"/>
  <c r="R152" i="12"/>
  <c r="Q156" i="12"/>
  <c r="R104" i="12"/>
  <c r="T59" i="12"/>
  <c r="R113" i="12"/>
  <c r="Q150" i="12"/>
  <c r="T106" i="12"/>
  <c r="Q166" i="12"/>
  <c r="R40" i="12"/>
  <c r="Q64" i="12"/>
  <c r="R56" i="12"/>
  <c r="T107" i="12"/>
  <c r="T96" i="12"/>
  <c r="C16" i="26"/>
  <c r="G16" i="26"/>
  <c r="E16" i="26"/>
  <c r="AW8" i="15"/>
  <c r="AS8" i="15"/>
  <c r="DU47" i="6" l="1"/>
  <c r="DU48" i="6"/>
  <c r="DU45" i="6"/>
  <c r="DU50" i="6"/>
  <c r="DU51" i="6"/>
  <c r="DU49" i="6"/>
  <c r="DU46" i="6"/>
  <c r="AW4" i="15"/>
  <c r="U270" i="12"/>
  <c r="Z186" i="12"/>
  <c r="Z255" i="12"/>
  <c r="U254" i="12"/>
  <c r="Z178" i="12"/>
  <c r="Z253" i="12"/>
  <c r="U203" i="12"/>
  <c r="Z215" i="12"/>
  <c r="Z205" i="12"/>
  <c r="U242" i="12"/>
  <c r="E26" i="25"/>
  <c r="C26" i="25"/>
  <c r="B26" i="25"/>
  <c r="Z239" i="12"/>
  <c r="U244" i="12"/>
  <c r="U222" i="12"/>
  <c r="S238" i="12"/>
  <c r="S171" i="12"/>
  <c r="S207" i="12"/>
  <c r="S211" i="12"/>
  <c r="S266" i="12"/>
  <c r="S255" i="12"/>
  <c r="S185" i="12"/>
  <c r="U269" i="12"/>
  <c r="U199" i="12"/>
  <c r="Z263" i="12"/>
  <c r="S208" i="12"/>
  <c r="Z226" i="12"/>
  <c r="S198" i="12"/>
  <c r="Z230" i="12"/>
  <c r="U233" i="12"/>
  <c r="S168" i="12"/>
  <c r="Z193" i="12"/>
  <c r="Z192" i="12"/>
  <c r="Z198" i="12"/>
  <c r="Z232" i="12"/>
  <c r="U182" i="12"/>
  <c r="Z269" i="12"/>
  <c r="Z199" i="12"/>
  <c r="Z265" i="12"/>
  <c r="S201" i="12"/>
  <c r="S221" i="12"/>
  <c r="S227" i="12"/>
  <c r="S268" i="12"/>
  <c r="S257" i="12"/>
  <c r="Z194" i="12"/>
  <c r="U266" i="12"/>
  <c r="Z264" i="12"/>
  <c r="U231" i="12"/>
  <c r="Z261" i="12"/>
  <c r="U198" i="12"/>
  <c r="U230" i="12"/>
  <c r="Z233" i="12"/>
  <c r="U232" i="12"/>
  <c r="U263" i="12"/>
  <c r="Z268" i="12"/>
  <c r="U196" i="12"/>
  <c r="Z184" i="12"/>
  <c r="Z181" i="12"/>
  <c r="Z180" i="12"/>
  <c r="S193" i="12"/>
  <c r="S249" i="12"/>
  <c r="S245" i="12"/>
  <c r="S188" i="12"/>
  <c r="S170" i="12"/>
  <c r="Z266" i="12"/>
  <c r="U264" i="12"/>
  <c r="Z231" i="12"/>
  <c r="Z258" i="12"/>
  <c r="U261" i="12"/>
  <c r="S224" i="12"/>
  <c r="U262" i="12"/>
  <c r="Z200" i="12"/>
  <c r="Z179" i="12"/>
  <c r="U195" i="12"/>
  <c r="Z197" i="12"/>
  <c r="Z259" i="12"/>
  <c r="U268" i="12"/>
  <c r="Z196" i="12"/>
  <c r="Z177" i="12"/>
  <c r="U184" i="12"/>
  <c r="U181" i="12"/>
  <c r="U180" i="12"/>
  <c r="S215" i="12"/>
  <c r="S272" i="12"/>
  <c r="S239" i="12"/>
  <c r="Z262" i="12"/>
  <c r="Z195" i="12"/>
  <c r="U197" i="12"/>
  <c r="Z267" i="12"/>
  <c r="S274" i="12"/>
  <c r="S234" i="12"/>
  <c r="S176" i="12"/>
  <c r="S254" i="12"/>
  <c r="S182" i="12"/>
  <c r="S217" i="12"/>
  <c r="S219" i="12"/>
  <c r="S236" i="12"/>
  <c r="S264" i="12"/>
  <c r="S179" i="12"/>
  <c r="S177" i="12"/>
  <c r="S269" i="12"/>
  <c r="S210" i="12"/>
  <c r="S169" i="12"/>
  <c r="S235" i="12"/>
  <c r="S233" i="12"/>
  <c r="S263" i="12"/>
  <c r="S258" i="12"/>
  <c r="S250" i="12"/>
  <c r="S209" i="12"/>
  <c r="S262" i="12"/>
  <c r="S189" i="12"/>
  <c r="S206" i="12"/>
  <c r="S243" i="12"/>
  <c r="S230" i="12"/>
  <c r="S256" i="12"/>
  <c r="S216" i="12"/>
  <c r="S232" i="12"/>
  <c r="S231" i="12"/>
  <c r="S196" i="12"/>
  <c r="S199" i="12"/>
  <c r="S186" i="12"/>
  <c r="S184" i="12"/>
  <c r="S180" i="12"/>
  <c r="S192" i="12"/>
  <c r="S205" i="12"/>
  <c r="S226" i="12"/>
  <c r="S173" i="12"/>
  <c r="S273" i="12"/>
  <c r="S253" i="12"/>
  <c r="S267" i="12"/>
  <c r="S271" i="12"/>
  <c r="S194" i="12"/>
  <c r="S212" i="12"/>
  <c r="S174" i="12"/>
  <c r="S187" i="12"/>
  <c r="S197" i="12"/>
  <c r="S167" i="12"/>
  <c r="S229" i="12"/>
  <c r="S244" i="12"/>
  <c r="S218" i="12"/>
  <c r="S213" i="12"/>
  <c r="S220" i="12"/>
  <c r="S183" i="12"/>
  <c r="S265" i="12"/>
  <c r="S260" i="12"/>
  <c r="S247" i="12"/>
  <c r="S214" i="12"/>
  <c r="S222" i="12"/>
  <c r="S252" i="12"/>
  <c r="S202" i="12"/>
  <c r="S270" i="12"/>
  <c r="S172" i="12"/>
  <c r="S225" i="12"/>
  <c r="S259" i="12"/>
  <c r="S251" i="12"/>
  <c r="S248" i="12"/>
  <c r="S191" i="12"/>
  <c r="S200" i="12"/>
  <c r="S203" i="12"/>
  <c r="S175" i="12"/>
  <c r="S240" i="12"/>
  <c r="S190" i="12"/>
  <c r="S237" i="12"/>
  <c r="AS5" i="15"/>
  <c r="S17" i="12"/>
  <c r="S72" i="12"/>
  <c r="S140" i="12"/>
  <c r="AS9" i="15"/>
  <c r="S145" i="12"/>
  <c r="AS10" i="15"/>
  <c r="S146" i="12"/>
  <c r="S88" i="12"/>
  <c r="S18" i="12"/>
  <c r="S42" i="12"/>
  <c r="S128" i="12"/>
  <c r="S95" i="12"/>
  <c r="S139" i="12"/>
  <c r="S73" i="12"/>
  <c r="S101" i="12"/>
  <c r="U139" i="12"/>
  <c r="AT53" i="15"/>
  <c r="AT54" i="15"/>
  <c r="S52" i="12"/>
  <c r="AT22" i="15"/>
  <c r="AT52" i="15"/>
  <c r="AW9" i="15"/>
  <c r="Z67" i="12"/>
  <c r="AT25" i="15"/>
  <c r="U131" i="12"/>
  <c r="AT55" i="15"/>
  <c r="AT21" i="15"/>
  <c r="AT19" i="15"/>
  <c r="AT18" i="15"/>
  <c r="AT20" i="15"/>
  <c r="S121" i="12"/>
  <c r="S27" i="12"/>
  <c r="S20" i="12"/>
  <c r="S31" i="12"/>
  <c r="S68" i="12"/>
  <c r="AT37" i="15"/>
  <c r="U36" i="12"/>
  <c r="S148" i="12"/>
  <c r="S131" i="12"/>
  <c r="S135" i="12"/>
  <c r="S119" i="12"/>
  <c r="S122" i="12"/>
  <c r="AT16" i="15"/>
  <c r="U87" i="12"/>
  <c r="S53" i="12"/>
  <c r="S104" i="12"/>
  <c r="S37" i="12"/>
  <c r="S70" i="12"/>
  <c r="Z137" i="12"/>
  <c r="S24" i="12"/>
  <c r="AT35" i="15"/>
  <c r="AT33" i="15"/>
  <c r="AT36" i="15"/>
  <c r="U122" i="12"/>
  <c r="AT26" i="15"/>
  <c r="S84" i="12"/>
  <c r="AT38" i="15"/>
  <c r="Z136" i="12"/>
  <c r="U67" i="12"/>
  <c r="U123" i="12"/>
  <c r="S96" i="12"/>
  <c r="S21" i="12"/>
  <c r="Z117" i="12"/>
  <c r="U138" i="12"/>
  <c r="S126" i="12"/>
  <c r="Z70" i="12"/>
  <c r="AT24" i="15"/>
  <c r="AT34" i="15"/>
  <c r="U19" i="12"/>
  <c r="S23" i="12"/>
  <c r="S132" i="12"/>
  <c r="S19" i="12"/>
  <c r="AT23" i="15"/>
  <c r="AT39" i="15"/>
  <c r="S67" i="12"/>
  <c r="S105" i="12"/>
  <c r="S97" i="12"/>
  <c r="Z66" i="12"/>
  <c r="AT40" i="15"/>
  <c r="S125" i="12"/>
  <c r="S34" i="12"/>
  <c r="S79" i="12"/>
  <c r="U124" i="12"/>
  <c r="S80" i="12"/>
  <c r="U32" i="12"/>
  <c r="U26" i="12"/>
  <c r="U25" i="12"/>
  <c r="U82" i="12"/>
  <c r="S76" i="12"/>
  <c r="U18" i="12"/>
  <c r="U34" i="12"/>
  <c r="U33" i="12"/>
  <c r="Z68" i="12"/>
  <c r="U68" i="12"/>
  <c r="S78" i="12"/>
  <c r="S77" i="12"/>
  <c r="U137" i="12"/>
  <c r="U121" i="12"/>
  <c r="Z121" i="12"/>
  <c r="S30" i="12"/>
  <c r="S29" i="12"/>
  <c r="S28" i="12"/>
  <c r="S36" i="12"/>
  <c r="S35" i="12"/>
  <c r="U130" i="12"/>
  <c r="Z129" i="12"/>
  <c r="U129" i="12"/>
  <c r="Z130" i="12"/>
  <c r="U72" i="12"/>
  <c r="S133" i="12"/>
  <c r="S134" i="12"/>
  <c r="S138" i="12"/>
  <c r="S25" i="12"/>
  <c r="S26" i="12"/>
  <c r="S33" i="12"/>
  <c r="S32" i="12"/>
  <c r="S85" i="12"/>
  <c r="S86" i="12"/>
  <c r="U77" i="12"/>
  <c r="Z77" i="12"/>
  <c r="Z78" i="12"/>
  <c r="U78" i="12"/>
  <c r="U22" i="12"/>
  <c r="Z22" i="12"/>
  <c r="S83" i="12"/>
  <c r="S81" i="12"/>
  <c r="S82" i="12"/>
  <c r="U20" i="12"/>
  <c r="U28" i="12"/>
  <c r="U31" i="12"/>
  <c r="Z28" i="12"/>
  <c r="Z29" i="12"/>
  <c r="Z25" i="12"/>
  <c r="U29" i="12"/>
  <c r="U30" i="12"/>
  <c r="Z27" i="12"/>
  <c r="Z31" i="12"/>
  <c r="U27" i="12"/>
  <c r="Z26" i="12"/>
  <c r="Z30" i="12"/>
  <c r="S137" i="12"/>
  <c r="S136" i="12"/>
  <c r="S74" i="12"/>
  <c r="U81" i="12"/>
  <c r="U80" i="12"/>
  <c r="Z82" i="12"/>
  <c r="Z83" i="12"/>
  <c r="U84" i="12"/>
  <c r="Z80" i="12"/>
  <c r="U83" i="12"/>
  <c r="Z81" i="12"/>
  <c r="S87" i="12"/>
  <c r="U17" i="12"/>
  <c r="Z17" i="12"/>
  <c r="S130" i="12"/>
  <c r="S129" i="12"/>
  <c r="S123" i="12"/>
  <c r="S120" i="12"/>
  <c r="U73" i="12"/>
  <c r="Z72" i="12"/>
  <c r="Z73" i="12"/>
  <c r="Z71" i="12"/>
  <c r="U71" i="12"/>
  <c r="Z123" i="12"/>
  <c r="Z125" i="12"/>
  <c r="U125" i="12"/>
  <c r="Z124" i="12"/>
  <c r="S75" i="12"/>
  <c r="U70" i="12"/>
  <c r="Z120" i="12"/>
  <c r="U120" i="12"/>
  <c r="S22" i="12"/>
  <c r="S127" i="12"/>
  <c r="U132" i="12"/>
  <c r="Z132" i="12"/>
  <c r="U134" i="12"/>
  <c r="Z133" i="12"/>
  <c r="Z134" i="12"/>
  <c r="Z135" i="12"/>
  <c r="Z131" i="12"/>
  <c r="U135" i="12"/>
  <c r="U133" i="12"/>
  <c r="U136" i="12"/>
  <c r="U69" i="12"/>
  <c r="Z69" i="12"/>
  <c r="U85" i="12"/>
  <c r="U86" i="12"/>
  <c r="U74" i="12"/>
  <c r="U76" i="12"/>
  <c r="U75" i="12"/>
  <c r="Z76" i="12"/>
  <c r="Z74" i="12"/>
  <c r="Z75" i="12"/>
  <c r="Z122" i="12"/>
  <c r="S124" i="12"/>
  <c r="U128" i="12"/>
  <c r="Z128" i="12"/>
  <c r="Z127" i="12"/>
  <c r="U127" i="12"/>
  <c r="U126" i="12"/>
  <c r="Z126" i="12"/>
  <c r="Z19" i="12"/>
  <c r="Z18" i="12"/>
  <c r="Z21" i="12"/>
  <c r="Z20" i="12"/>
  <c r="U21" i="12"/>
  <c r="S69" i="12"/>
  <c r="U23" i="12"/>
  <c r="U24" i="12"/>
  <c r="Z24" i="12"/>
  <c r="Z23" i="12"/>
  <c r="U79" i="12"/>
  <c r="Z79" i="12"/>
  <c r="AT31" i="15"/>
  <c r="AT46" i="15"/>
  <c r="AT27" i="15"/>
  <c r="AS4" i="15"/>
  <c r="S41" i="12"/>
  <c r="AT49" i="15"/>
  <c r="AT28" i="15"/>
  <c r="AT32" i="15"/>
  <c r="AT29" i="15"/>
  <c r="S43" i="12"/>
  <c r="AT30" i="15"/>
  <c r="AT17" i="15"/>
  <c r="U166" i="12"/>
  <c r="Z33" i="12"/>
  <c r="Z32" i="12"/>
  <c r="S49" i="12"/>
  <c r="AT42" i="15"/>
  <c r="AT47" i="15"/>
  <c r="AW6" i="15"/>
  <c r="AT43" i="15"/>
  <c r="U35" i="12"/>
  <c r="AT45" i="15"/>
  <c r="AT41" i="15"/>
  <c r="AT44" i="15"/>
  <c r="AS7" i="15"/>
  <c r="AT51" i="15"/>
  <c r="V23" i="15"/>
  <c r="AT48" i="15"/>
  <c r="AT50" i="15"/>
  <c r="V26" i="15" a="1"/>
  <c r="V26" i="15" s="1"/>
  <c r="AN3" i="15" s="1"/>
  <c r="U66" i="12"/>
  <c r="V27" i="15" a="1"/>
  <c r="V27" i="15" s="1"/>
  <c r="AO25" i="15" s="1"/>
  <c r="AS6" i="15"/>
  <c r="U49" i="12"/>
  <c r="S165" i="12"/>
  <c r="S147" i="12"/>
  <c r="U102" i="12"/>
  <c r="S157" i="12"/>
  <c r="Z84" i="12"/>
  <c r="S158" i="12"/>
  <c r="S156" i="12"/>
  <c r="S114" i="12"/>
  <c r="S113" i="12"/>
  <c r="S99" i="12"/>
  <c r="U153" i="12"/>
  <c r="U117" i="12"/>
  <c r="Z155" i="12"/>
  <c r="U154" i="12"/>
  <c r="S63" i="12"/>
  <c r="S92" i="12"/>
  <c r="S66" i="12"/>
  <c r="S118" i="12"/>
  <c r="S61" i="12"/>
  <c r="S149" i="12"/>
  <c r="S39" i="12"/>
  <c r="S93" i="12"/>
  <c r="S45" i="12"/>
  <c r="S94" i="12"/>
  <c r="U42" i="12"/>
  <c r="U115" i="12"/>
  <c r="S58" i="12"/>
  <c r="U99" i="12"/>
  <c r="S107" i="12"/>
  <c r="Z165" i="12"/>
  <c r="U165" i="12"/>
  <c r="S44" i="12"/>
  <c r="S57" i="12"/>
  <c r="Z85" i="12"/>
  <c r="U88" i="12"/>
  <c r="U108" i="12"/>
  <c r="U55" i="12"/>
  <c r="Z53" i="12"/>
  <c r="U61" i="12"/>
  <c r="S56" i="12"/>
  <c r="S54" i="12"/>
  <c r="Z106" i="12"/>
  <c r="Z104" i="12"/>
  <c r="U106" i="12"/>
  <c r="U104" i="12"/>
  <c r="Z105" i="12"/>
  <c r="U105" i="12"/>
  <c r="S162" i="12"/>
  <c r="S161" i="12"/>
  <c r="S55" i="12"/>
  <c r="U97" i="12"/>
  <c r="Z97" i="12"/>
  <c r="Z65" i="12"/>
  <c r="U65" i="12"/>
  <c r="Z44" i="12"/>
  <c r="U44" i="12"/>
  <c r="Z111" i="12"/>
  <c r="U111" i="12"/>
  <c r="U150" i="12"/>
  <c r="Z150" i="12"/>
  <c r="S164" i="12"/>
  <c r="S116" i="12"/>
  <c r="S115" i="12"/>
  <c r="Z58" i="12"/>
  <c r="U58" i="12"/>
  <c r="Z88" i="12"/>
  <c r="U89" i="12"/>
  <c r="U93" i="12"/>
  <c r="Z87" i="12"/>
  <c r="Z86" i="12"/>
  <c r="Z91" i="12"/>
  <c r="U92" i="12"/>
  <c r="Z93" i="12"/>
  <c r="Z89" i="12"/>
  <c r="Z92" i="12"/>
  <c r="U90" i="12"/>
  <c r="Z90" i="12"/>
  <c r="U91" i="12"/>
  <c r="Z103" i="12"/>
  <c r="U103" i="12"/>
  <c r="Z101" i="12"/>
  <c r="U101" i="12"/>
  <c r="Z102" i="12"/>
  <c r="U60" i="12"/>
  <c r="Z60" i="12"/>
  <c r="U162" i="12"/>
  <c r="Z162" i="12"/>
  <c r="Z34" i="12"/>
  <c r="U40" i="12"/>
  <c r="Z39" i="12"/>
  <c r="Z37" i="12"/>
  <c r="Z35" i="12"/>
  <c r="Z41" i="12"/>
  <c r="U37" i="12"/>
  <c r="Z36" i="12"/>
  <c r="U38" i="12"/>
  <c r="Z40" i="12"/>
  <c r="Z38" i="12"/>
  <c r="U41" i="12"/>
  <c r="U39" i="12"/>
  <c r="Z141" i="12"/>
  <c r="U141" i="12"/>
  <c r="Z142" i="12"/>
  <c r="Z143" i="12"/>
  <c r="Z139" i="12"/>
  <c r="Z144" i="12"/>
  <c r="U144" i="12"/>
  <c r="U143" i="12"/>
  <c r="Z140" i="12"/>
  <c r="Z138" i="12"/>
  <c r="U140" i="12"/>
  <c r="Z108" i="12"/>
  <c r="Z62" i="12"/>
  <c r="U52" i="12"/>
  <c r="Z52" i="12"/>
  <c r="S89" i="12"/>
  <c r="S91" i="12"/>
  <c r="S90" i="12"/>
  <c r="Z57" i="12"/>
  <c r="U57" i="12"/>
  <c r="S160" i="12"/>
  <c r="S159" i="12"/>
  <c r="Z151" i="12"/>
  <c r="Z152" i="12"/>
  <c r="U152" i="12"/>
  <c r="U151" i="12"/>
  <c r="U119" i="12"/>
  <c r="Z119" i="12"/>
  <c r="U113" i="12"/>
  <c r="Z113" i="12"/>
  <c r="Z147" i="12"/>
  <c r="U147" i="12"/>
  <c r="U148" i="12"/>
  <c r="Z148" i="12"/>
  <c r="U43" i="12"/>
  <c r="Z43" i="12"/>
  <c r="Z118" i="12"/>
  <c r="S144" i="12"/>
  <c r="S103" i="12"/>
  <c r="S102" i="12"/>
  <c r="S109" i="12"/>
  <c r="S110" i="12"/>
  <c r="U146" i="12"/>
  <c r="U109" i="12"/>
  <c r="U96" i="12"/>
  <c r="Z96" i="12"/>
  <c r="S40" i="12"/>
  <c r="S38" i="12"/>
  <c r="S150" i="12"/>
  <c r="S151" i="12"/>
  <c r="S152" i="12"/>
  <c r="U142" i="12"/>
  <c r="U145" i="12"/>
  <c r="Z145" i="12"/>
  <c r="U116" i="12"/>
  <c r="Z116" i="12"/>
  <c r="U114" i="12"/>
  <c r="Z115" i="12"/>
  <c r="S112" i="12"/>
  <c r="Z51" i="12"/>
  <c r="U51" i="12"/>
  <c r="Z49" i="12"/>
  <c r="U50" i="12"/>
  <c r="Z50" i="12"/>
  <c r="S62" i="12"/>
  <c r="S64" i="12"/>
  <c r="S100" i="12"/>
  <c r="S98" i="12"/>
  <c r="S117" i="12"/>
  <c r="S155" i="12"/>
  <c r="S154" i="12"/>
  <c r="S153" i="12"/>
  <c r="S163" i="12"/>
  <c r="U149" i="12"/>
  <c r="Z149" i="12"/>
  <c r="U54" i="12"/>
  <c r="Z54" i="12"/>
  <c r="U163" i="12"/>
  <c r="U164" i="12"/>
  <c r="Z163" i="12"/>
  <c r="Z164" i="12"/>
  <c r="S65" i="12"/>
  <c r="U160" i="12"/>
  <c r="Z160" i="12"/>
  <c r="S60" i="12"/>
  <c r="S59" i="12"/>
  <c r="U118" i="12"/>
  <c r="Z45" i="12"/>
  <c r="U45" i="12"/>
  <c r="Z146" i="12"/>
  <c r="Z114" i="12"/>
  <c r="Z107" i="12"/>
  <c r="U107" i="12"/>
  <c r="Z59" i="12"/>
  <c r="U59" i="12"/>
  <c r="S51" i="12"/>
  <c r="S50" i="12"/>
  <c r="Z95" i="12"/>
  <c r="U94" i="12"/>
  <c r="U95" i="12"/>
  <c r="Z94" i="12"/>
  <c r="Z42" i="12"/>
  <c r="U47" i="12"/>
  <c r="Z46" i="12"/>
  <c r="U48" i="12"/>
  <c r="U46" i="12"/>
  <c r="Z47" i="12"/>
  <c r="Z48" i="12"/>
  <c r="Z112" i="12"/>
  <c r="U112" i="12"/>
  <c r="U110" i="12"/>
  <c r="Z110" i="12"/>
  <c r="Z56" i="12"/>
  <c r="Z55" i="12"/>
  <c r="U56" i="12"/>
  <c r="S141" i="12"/>
  <c r="S142" i="12"/>
  <c r="S143" i="12"/>
  <c r="S106" i="12"/>
  <c r="S108" i="12"/>
  <c r="Z98" i="12"/>
  <c r="U98" i="12"/>
  <c r="S111" i="12"/>
  <c r="U100" i="12"/>
  <c r="Z100" i="12"/>
  <c r="Z161" i="12"/>
  <c r="U161" i="12"/>
  <c r="Z157" i="12"/>
  <c r="Z154" i="12"/>
  <c r="U159" i="12"/>
  <c r="Z156" i="12"/>
  <c r="Z158" i="12"/>
  <c r="U156" i="12"/>
  <c r="Z153" i="12"/>
  <c r="Z159" i="12"/>
  <c r="U158" i="12"/>
  <c r="U157" i="12"/>
  <c r="U155" i="12"/>
  <c r="S48" i="12"/>
  <c r="S46" i="12"/>
  <c r="S47" i="12"/>
  <c r="Z64" i="12"/>
  <c r="U64" i="12"/>
  <c r="Z63" i="12"/>
  <c r="U63" i="12"/>
  <c r="U62" i="12"/>
  <c r="Z61" i="12"/>
  <c r="Z99" i="12"/>
  <c r="Z109" i="12"/>
  <c r="U53" i="12"/>
  <c r="V24" i="15" l="1"/>
  <c r="V25" i="15" s="1"/>
  <c r="AG7" i="15" s="1"/>
  <c r="DO35" i="6"/>
  <c r="DQ35" i="6" s="1"/>
  <c r="DS35" i="6" s="1"/>
  <c r="F58" i="17"/>
  <c r="DO33" i="6"/>
  <c r="DQ33" i="6" s="1"/>
  <c r="DS33" i="6" s="1"/>
  <c r="F56" i="17"/>
  <c r="DO36" i="6"/>
  <c r="DQ36" i="6" s="1"/>
  <c r="DS36" i="6" s="1"/>
  <c r="F59" i="17"/>
  <c r="DO38" i="6"/>
  <c r="DQ38" i="6" s="1"/>
  <c r="DS38" i="6" s="1"/>
  <c r="F61" i="17"/>
  <c r="F60" i="17"/>
  <c r="F62" i="17"/>
  <c r="F57" i="17"/>
  <c r="AF16" i="15"/>
  <c r="AU16" i="15" s="1"/>
  <c r="H19" i="17"/>
  <c r="H35" i="17"/>
  <c r="H51" i="17"/>
  <c r="H16" i="17"/>
  <c r="H56" i="17"/>
  <c r="H29" i="17"/>
  <c r="H45" i="17"/>
  <c r="H61" i="17"/>
  <c r="H26" i="17"/>
  <c r="H42" i="17"/>
  <c r="H58" i="17"/>
  <c r="H20" i="17"/>
  <c r="H44" i="17"/>
  <c r="H23" i="17"/>
  <c r="H39" i="17"/>
  <c r="H55" i="17"/>
  <c r="H32" i="17"/>
  <c r="H17" i="17"/>
  <c r="H33" i="17"/>
  <c r="H49" i="17"/>
  <c r="H65" i="17"/>
  <c r="H30" i="17"/>
  <c r="H46" i="17"/>
  <c r="H62" i="17"/>
  <c r="H24" i="17"/>
  <c r="H52" i="17"/>
  <c r="H27" i="17"/>
  <c r="H43" i="17"/>
  <c r="H59" i="17"/>
  <c r="H40" i="17"/>
  <c r="H21" i="17"/>
  <c r="H37" i="17"/>
  <c r="H53" i="17"/>
  <c r="H18" i="17"/>
  <c r="H34" i="17"/>
  <c r="H50" i="17"/>
  <c r="H66" i="17"/>
  <c r="H28" i="17"/>
  <c r="H60" i="17"/>
  <c r="H67" i="17"/>
  <c r="H31" i="17"/>
  <c r="H47" i="17"/>
  <c r="H63" i="17"/>
  <c r="H48" i="17"/>
  <c r="H25" i="17"/>
  <c r="H41" i="17"/>
  <c r="H57" i="17"/>
  <c r="H22" i="17"/>
  <c r="H38" i="17"/>
  <c r="H54" i="17"/>
  <c r="H15" i="17"/>
  <c r="H36" i="17"/>
  <c r="H64" i="17"/>
  <c r="AN11" i="15"/>
  <c r="AT13" i="15"/>
  <c r="AT14" i="15"/>
  <c r="AT15" i="15"/>
  <c r="AF55" i="15"/>
  <c r="AU55" i="15" s="1"/>
  <c r="AT11" i="15"/>
  <c r="AT12" i="15"/>
  <c r="AO41" i="15"/>
  <c r="AO36" i="15"/>
  <c r="AO22" i="15"/>
  <c r="AF38" i="15"/>
  <c r="AU38" i="15" s="1"/>
  <c r="AF50" i="15"/>
  <c r="AU50" i="15" s="1"/>
  <c r="AF24" i="15"/>
  <c r="AU24" i="15" s="1"/>
  <c r="AF18" i="15"/>
  <c r="AU18" i="15" s="1"/>
  <c r="AF13" i="15"/>
  <c r="AU13" i="15" s="1"/>
  <c r="AF43" i="15"/>
  <c r="AU43" i="15" s="1"/>
  <c r="AO38" i="15"/>
  <c r="AO53" i="15"/>
  <c r="AO47" i="15"/>
  <c r="AO18" i="15"/>
  <c r="AO29" i="15"/>
  <c r="AO11" i="15"/>
  <c r="AO3" i="15"/>
  <c r="AO27" i="15"/>
  <c r="AO51" i="15"/>
  <c r="AO9" i="15"/>
  <c r="AT9" i="15"/>
  <c r="AT10" i="15"/>
  <c r="AN46" i="15"/>
  <c r="AN41" i="15"/>
  <c r="AN29" i="15"/>
  <c r="AN49" i="15"/>
  <c r="AN9" i="15"/>
  <c r="AN47" i="15"/>
  <c r="AN37" i="15"/>
  <c r="AF28" i="15"/>
  <c r="AU28" i="15" s="1"/>
  <c r="AF11" i="15"/>
  <c r="AU11" i="15" s="1"/>
  <c r="AF21" i="15"/>
  <c r="AU21" i="15" s="1"/>
  <c r="AF3" i="15"/>
  <c r="AU3" i="15" s="1"/>
  <c r="AF41" i="15"/>
  <c r="AU41" i="15" s="1"/>
  <c r="AF5" i="15"/>
  <c r="AU5" i="15" s="1"/>
  <c r="AF27" i="15"/>
  <c r="AU27" i="15" s="1"/>
  <c r="AF10" i="15"/>
  <c r="AU10" i="15" s="1"/>
  <c r="AN32" i="15"/>
  <c r="AN7" i="15"/>
  <c r="AN8" i="15"/>
  <c r="AF47" i="15"/>
  <c r="AU47" i="15" s="1"/>
  <c r="AF26" i="15"/>
  <c r="AU26" i="15" s="1"/>
  <c r="AF34" i="15"/>
  <c r="AU34" i="15" s="1"/>
  <c r="AF37" i="15"/>
  <c r="AU37" i="15" s="1"/>
  <c r="AF40" i="15"/>
  <c r="AU40" i="15" s="1"/>
  <c r="AF51" i="15"/>
  <c r="AU51" i="15" s="1"/>
  <c r="AF9" i="15"/>
  <c r="AU9" i="15" s="1"/>
  <c r="AF4" i="15"/>
  <c r="AF35" i="15"/>
  <c r="AU35" i="15" s="1"/>
  <c r="AF30" i="15"/>
  <c r="AU30" i="15" s="1"/>
  <c r="AF44" i="15"/>
  <c r="AU44" i="15" s="1"/>
  <c r="AF36" i="15"/>
  <c r="AU36" i="15" s="1"/>
  <c r="AN30" i="15"/>
  <c r="AN17" i="15"/>
  <c r="AN50" i="15"/>
  <c r="AO40" i="15"/>
  <c r="AO28" i="15"/>
  <c r="AO10" i="15"/>
  <c r="AO52" i="15"/>
  <c r="AO33" i="15"/>
  <c r="AO12" i="15"/>
  <c r="AO19" i="15"/>
  <c r="AO42" i="15"/>
  <c r="AO44" i="15"/>
  <c r="AO31" i="15"/>
  <c r="AO39" i="15"/>
  <c r="AO34" i="15"/>
  <c r="AO48" i="15"/>
  <c r="AF14" i="15"/>
  <c r="AU14" i="15" s="1"/>
  <c r="AF6" i="15"/>
  <c r="AF48" i="15"/>
  <c r="AU48" i="15" s="1"/>
  <c r="AF45" i="15"/>
  <c r="AF22" i="15"/>
  <c r="AF52" i="15"/>
  <c r="AU52" i="15" s="1"/>
  <c r="AF39" i="15"/>
  <c r="AU39" i="15" s="1"/>
  <c r="AF31" i="15"/>
  <c r="AU31" i="15" s="1"/>
  <c r="AF25" i="15"/>
  <c r="AF54" i="15"/>
  <c r="AU54" i="15" s="1"/>
  <c r="AF33" i="15"/>
  <c r="AF8" i="15"/>
  <c r="AU8" i="15" s="1"/>
  <c r="AF53" i="15"/>
  <c r="AU53" i="15" s="1"/>
  <c r="AO6" i="15"/>
  <c r="AO20" i="15"/>
  <c r="AO21" i="15"/>
  <c r="AO55" i="15"/>
  <c r="AO13" i="15"/>
  <c r="AO45" i="15"/>
  <c r="AO16" i="15"/>
  <c r="AO24" i="15"/>
  <c r="AO30" i="15"/>
  <c r="AO8" i="15"/>
  <c r="AO26" i="15"/>
  <c r="AO15" i="15"/>
  <c r="AO49" i="15"/>
  <c r="AO5" i="15"/>
  <c r="AF19" i="15"/>
  <c r="AU19" i="15" s="1"/>
  <c r="AF46" i="15"/>
  <c r="AU46" i="15" s="1"/>
  <c r="AF15" i="15"/>
  <c r="AU15" i="15" s="1"/>
  <c r="AF20" i="15"/>
  <c r="AU20" i="15" s="1"/>
  <c r="AF7" i="15"/>
  <c r="AU7" i="15" s="1"/>
  <c r="AF17" i="15"/>
  <c r="AU17" i="15" s="1"/>
  <c r="AF12" i="15"/>
  <c r="AU12" i="15" s="1"/>
  <c r="AF42" i="15"/>
  <c r="AU42" i="15" s="1"/>
  <c r="AF32" i="15"/>
  <c r="AU32" i="15" s="1"/>
  <c r="AF23" i="15"/>
  <c r="AU23" i="15" s="1"/>
  <c r="AF49" i="15"/>
  <c r="AU49" i="15" s="1"/>
  <c r="AF29" i="15"/>
  <c r="AU29" i="15" s="1"/>
  <c r="AO46" i="15"/>
  <c r="AO32" i="15"/>
  <c r="AO4" i="15"/>
  <c r="AO54" i="15"/>
  <c r="AO7" i="15"/>
  <c r="AO14" i="15"/>
  <c r="AO17" i="15"/>
  <c r="AO50" i="15"/>
  <c r="AO35" i="15"/>
  <c r="AO43" i="15"/>
  <c r="AO37" i="15"/>
  <c r="AO23" i="15"/>
  <c r="AN16" i="15"/>
  <c r="AN26" i="15"/>
  <c r="AN51" i="15"/>
  <c r="AN10" i="15"/>
  <c r="AN5" i="15"/>
  <c r="AN31" i="15"/>
  <c r="AN28" i="15"/>
  <c r="AN34" i="15"/>
  <c r="AN39" i="15"/>
  <c r="AN15" i="15"/>
  <c r="AN20" i="15"/>
  <c r="AN36" i="15"/>
  <c r="AN40" i="15"/>
  <c r="AN14" i="15"/>
  <c r="AN33" i="15"/>
  <c r="AN48" i="15"/>
  <c r="AN22" i="15"/>
  <c r="AN4" i="15"/>
  <c r="AN27" i="15"/>
  <c r="AN13" i="15"/>
  <c r="AN55" i="15"/>
  <c r="AN23" i="15"/>
  <c r="AN43" i="15"/>
  <c r="AN21" i="15"/>
  <c r="AN6" i="15"/>
  <c r="AN42" i="15"/>
  <c r="AN38" i="15"/>
  <c r="AN18" i="15"/>
  <c r="AN54" i="15"/>
  <c r="AN44" i="15"/>
  <c r="AN45" i="15"/>
  <c r="AN12" i="15"/>
  <c r="AN24" i="15"/>
  <c r="AN25" i="15"/>
  <c r="AN53" i="15"/>
  <c r="AN35" i="15"/>
  <c r="AN52" i="15"/>
  <c r="AN19" i="15"/>
  <c r="AG51" i="15" l="1"/>
  <c r="AI51" i="15" s="1"/>
  <c r="AG41" i="15"/>
  <c r="AJ41" i="15" s="1"/>
  <c r="AG13" i="15"/>
  <c r="AI13" i="15" s="1"/>
  <c r="AG38" i="15"/>
  <c r="AH38" i="15" s="1"/>
  <c r="AG30" i="15"/>
  <c r="AL30" i="15" s="1"/>
  <c r="AG10" i="15"/>
  <c r="AL10" i="15" s="1"/>
  <c r="AG43" i="15"/>
  <c r="AM43" i="15" s="1"/>
  <c r="AG23" i="15"/>
  <c r="AL23" i="15" s="1"/>
  <c r="AG21" i="15"/>
  <c r="AM21" i="15" s="1"/>
  <c r="AG24" i="15"/>
  <c r="AI24" i="15" s="1"/>
  <c r="AG54" i="15"/>
  <c r="AI54" i="15" s="1"/>
  <c r="AG47" i="15"/>
  <c r="AM47" i="15" s="1"/>
  <c r="AG22" i="15"/>
  <c r="AM22" i="15" s="1"/>
  <c r="AG6" i="15"/>
  <c r="AM6" i="15" s="1"/>
  <c r="AG3" i="15"/>
  <c r="AK3" i="15" s="1"/>
  <c r="AG53" i="15"/>
  <c r="AH53" i="15" s="1"/>
  <c r="AG50" i="15"/>
  <c r="AI50" i="15" s="1"/>
  <c r="AG5" i="15"/>
  <c r="AI5" i="15" s="1"/>
  <c r="AG45" i="15"/>
  <c r="AM45" i="15" s="1"/>
  <c r="AG17" i="15"/>
  <c r="AM17" i="15" s="1"/>
  <c r="AG11" i="15"/>
  <c r="AL11" i="15" s="1"/>
  <c r="AG18" i="15"/>
  <c r="AI18" i="15" s="1"/>
  <c r="AG48" i="15"/>
  <c r="AH48" i="15" s="1"/>
  <c r="AG27" i="15"/>
  <c r="AJ27" i="15" s="1"/>
  <c r="AG16" i="15"/>
  <c r="AI16" i="15" s="1"/>
  <c r="AG52" i="15"/>
  <c r="AH52" i="15" s="1"/>
  <c r="AG49" i="15"/>
  <c r="AM49" i="15" s="1"/>
  <c r="AG37" i="15"/>
  <c r="AK37" i="15" s="1"/>
  <c r="AG55" i="15"/>
  <c r="AM55" i="15" s="1"/>
  <c r="AG9" i="15"/>
  <c r="AL9" i="15" s="1"/>
  <c r="AG20" i="15"/>
  <c r="AL20" i="15" s="1"/>
  <c r="AG19" i="15"/>
  <c r="AH19" i="15" s="1"/>
  <c r="AG8" i="15"/>
  <c r="AK8" i="15" s="1"/>
  <c r="AG14" i="15"/>
  <c r="AM14" i="15" s="1"/>
  <c r="AG33" i="15"/>
  <c r="AI33" i="15" s="1"/>
  <c r="AG46" i="15"/>
  <c r="AL46" i="15" s="1"/>
  <c r="AG25" i="15"/>
  <c r="AL25" i="15" s="1"/>
  <c r="AG44" i="15"/>
  <c r="AH44" i="15" s="1"/>
  <c r="AG31" i="15"/>
  <c r="AK31" i="15" s="1"/>
  <c r="AG39" i="15"/>
  <c r="AI39" i="15" s="1"/>
  <c r="AG35" i="15"/>
  <c r="AH35" i="15" s="1"/>
  <c r="AG4" i="15"/>
  <c r="AH4" i="15" s="1"/>
  <c r="AG29" i="15"/>
  <c r="AI29" i="15" s="1"/>
  <c r="AG42" i="15"/>
  <c r="AI42" i="15" s="1"/>
  <c r="AG36" i="15"/>
  <c r="AK36" i="15" s="1"/>
  <c r="AG34" i="15"/>
  <c r="AI34" i="15" s="1"/>
  <c r="AG32" i="15"/>
  <c r="AH32" i="15" s="1"/>
  <c r="AG28" i="15"/>
  <c r="AH28" i="15" s="1"/>
  <c r="AG26" i="15"/>
  <c r="AI26" i="15" s="1"/>
  <c r="AG15" i="15"/>
  <c r="AK15" i="15" s="1"/>
  <c r="AG12" i="15"/>
  <c r="AI12" i="15" s="1"/>
  <c r="AG40" i="15"/>
  <c r="AM40" i="15" s="1"/>
  <c r="DU38" i="6"/>
  <c r="DU36" i="6"/>
  <c r="DU33" i="6"/>
  <c r="DU35" i="6"/>
  <c r="DO23" i="6"/>
  <c r="DQ23" i="6" s="1"/>
  <c r="DS23" i="6" s="1"/>
  <c r="F46" i="17"/>
  <c r="DO34" i="6"/>
  <c r="DQ34" i="6" s="1"/>
  <c r="DS34" i="6" s="1"/>
  <c r="DO39" i="6"/>
  <c r="DQ39" i="6" s="1"/>
  <c r="DS39" i="6" s="1"/>
  <c r="F44" i="17"/>
  <c r="DO37" i="6"/>
  <c r="DQ37" i="6" s="1"/>
  <c r="DS37" i="6" s="1"/>
  <c r="DO24" i="6"/>
  <c r="DQ24" i="6" s="1"/>
  <c r="DS24" i="6" s="1"/>
  <c r="F47" i="17"/>
  <c r="AJ16" i="15"/>
  <c r="H70" i="17"/>
  <c r="V70" i="17" s="1"/>
  <c r="D35" i="18" s="1"/>
  <c r="V15" i="17"/>
  <c r="R55" i="39"/>
  <c r="V57" i="17"/>
  <c r="R57" i="17" s="1"/>
  <c r="V63" i="17"/>
  <c r="R63" i="17" s="1"/>
  <c r="R61" i="39"/>
  <c r="V60" i="17"/>
  <c r="R60" i="17" s="1"/>
  <c r="R58" i="39"/>
  <c r="V34" i="17"/>
  <c r="R34" i="17" s="1"/>
  <c r="R32" i="39"/>
  <c r="V21" i="17"/>
  <c r="R21" i="17" s="1"/>
  <c r="R19" i="39"/>
  <c r="R25" i="39"/>
  <c r="V27" i="17"/>
  <c r="R27" i="17" s="1"/>
  <c r="R44" i="39"/>
  <c r="V46" i="17"/>
  <c r="R46" i="17" s="1"/>
  <c r="V33" i="17"/>
  <c r="R33" i="17" s="1"/>
  <c r="R31" i="39"/>
  <c r="V39" i="17"/>
  <c r="R39" i="17" s="1"/>
  <c r="R37" i="39"/>
  <c r="R56" i="39"/>
  <c r="V58" i="17"/>
  <c r="R58" i="17" s="1"/>
  <c r="V45" i="17"/>
  <c r="R45" i="17" s="1"/>
  <c r="R43" i="39"/>
  <c r="R49" i="39"/>
  <c r="V51" i="17"/>
  <c r="R51" i="17" s="1"/>
  <c r="R52" i="39"/>
  <c r="V54" i="17"/>
  <c r="R54" i="17" s="1"/>
  <c r="R39" i="39"/>
  <c r="V41" i="17"/>
  <c r="R41" i="17" s="1"/>
  <c r="V47" i="17"/>
  <c r="R47" i="17" s="1"/>
  <c r="R45" i="39"/>
  <c r="V28" i="17"/>
  <c r="R28" i="17" s="1"/>
  <c r="R26" i="39"/>
  <c r="V18" i="17"/>
  <c r="R18" i="17" s="1"/>
  <c r="R16" i="39"/>
  <c r="V40" i="17"/>
  <c r="R40" i="17" s="1"/>
  <c r="R38" i="39"/>
  <c r="V52" i="17"/>
  <c r="R52" i="17" s="1"/>
  <c r="R50" i="39"/>
  <c r="V30" i="17"/>
  <c r="R30" i="17" s="1"/>
  <c r="R28" i="39"/>
  <c r="V17" i="17"/>
  <c r="R17" i="17" s="1"/>
  <c r="R15" i="39"/>
  <c r="R21" i="39"/>
  <c r="V23" i="17"/>
  <c r="R23" i="17" s="1"/>
  <c r="R40" i="39"/>
  <c r="V42" i="17"/>
  <c r="R42" i="17" s="1"/>
  <c r="R27" i="39"/>
  <c r="V29" i="17"/>
  <c r="R29" i="17" s="1"/>
  <c r="R33" i="39"/>
  <c r="V35" i="17"/>
  <c r="R35" i="17" s="1"/>
  <c r="R62" i="39"/>
  <c r="V64" i="17"/>
  <c r="R64" i="17" s="1"/>
  <c r="R36" i="39"/>
  <c r="V38" i="17"/>
  <c r="R38" i="17" s="1"/>
  <c r="V25" i="17"/>
  <c r="R25" i="17" s="1"/>
  <c r="R23" i="39"/>
  <c r="V31" i="17"/>
  <c r="R31" i="17" s="1"/>
  <c r="R29" i="39"/>
  <c r="V66" i="17"/>
  <c r="R66" i="17" s="1"/>
  <c r="R64" i="39"/>
  <c r="R51" i="39"/>
  <c r="V53" i="17"/>
  <c r="R53" i="17" s="1"/>
  <c r="V59" i="17"/>
  <c r="R59" i="17" s="1"/>
  <c r="R57" i="39"/>
  <c r="V24" i="17"/>
  <c r="R24" i="17" s="1"/>
  <c r="R22" i="39"/>
  <c r="R63" i="39"/>
  <c r="V65" i="17"/>
  <c r="R65" i="17" s="1"/>
  <c r="V32" i="17"/>
  <c r="R32" i="17" s="1"/>
  <c r="R30" i="39"/>
  <c r="V44" i="17"/>
  <c r="R44" i="17" s="1"/>
  <c r="R42" i="39"/>
  <c r="V26" i="17"/>
  <c r="R26" i="17" s="1"/>
  <c r="R24" i="39"/>
  <c r="R54" i="39"/>
  <c r="V56" i="17"/>
  <c r="R56" i="17" s="1"/>
  <c r="V19" i="17"/>
  <c r="R19" i="17" s="1"/>
  <c r="R17" i="39"/>
  <c r="V36" i="17"/>
  <c r="R36" i="17" s="1"/>
  <c r="R34" i="39"/>
  <c r="R20" i="39"/>
  <c r="V22" i="17"/>
  <c r="R22" i="17" s="1"/>
  <c r="R46" i="39"/>
  <c r="V48" i="17"/>
  <c r="R48" i="17" s="1"/>
  <c r="V67" i="17"/>
  <c r="R67" i="17" s="1"/>
  <c r="S67" i="17" s="1"/>
  <c r="V50" i="17"/>
  <c r="R50" i="17" s="1"/>
  <c r="R48" i="39"/>
  <c r="R35" i="39"/>
  <c r="V37" i="17"/>
  <c r="R37" i="17" s="1"/>
  <c r="R41" i="39"/>
  <c r="V43" i="17"/>
  <c r="R43" i="17" s="1"/>
  <c r="V62" i="17"/>
  <c r="R62" i="17" s="1"/>
  <c r="R60" i="39"/>
  <c r="R47" i="39"/>
  <c r="V49" i="17"/>
  <c r="R49" i="17" s="1"/>
  <c r="R53" i="39"/>
  <c r="V55" i="17"/>
  <c r="R55" i="17" s="1"/>
  <c r="V20" i="17"/>
  <c r="R20" i="17" s="1"/>
  <c r="R18" i="39"/>
  <c r="V61" i="17"/>
  <c r="R61" i="17" s="1"/>
  <c r="R59" i="39"/>
  <c r="K16" i="17"/>
  <c r="R14" i="39" s="1"/>
  <c r="V16" i="17"/>
  <c r="R16" i="17" s="1"/>
  <c r="AL13" i="15"/>
  <c r="AK38" i="15"/>
  <c r="AU22" i="15"/>
  <c r="AV23" i="15" s="1"/>
  <c r="AU45" i="15"/>
  <c r="AV46" i="15" s="1"/>
  <c r="AU4" i="15"/>
  <c r="AU25" i="15"/>
  <c r="AV31" i="15" s="1"/>
  <c r="AL7" i="15"/>
  <c r="AU33" i="15"/>
  <c r="AV38" i="15" s="1"/>
  <c r="AU6" i="15"/>
  <c r="AV16" i="15"/>
  <c r="AK13" i="15"/>
  <c r="AV19" i="15"/>
  <c r="AH7" i="15"/>
  <c r="AH54" i="15"/>
  <c r="AV18" i="15"/>
  <c r="AJ7" i="15"/>
  <c r="AK7" i="15"/>
  <c r="AL54" i="15"/>
  <c r="AV21" i="15"/>
  <c r="AV44" i="15"/>
  <c r="AI7" i="15"/>
  <c r="AM7" i="15"/>
  <c r="AV54" i="15"/>
  <c r="AV20" i="15"/>
  <c r="AV42" i="15"/>
  <c r="AV55" i="15"/>
  <c r="AV43" i="15"/>
  <c r="AV17" i="15"/>
  <c r="AV15" i="15"/>
  <c r="AH47" i="15" l="1"/>
  <c r="AP47" i="15" s="1"/>
  <c r="AM13" i="15"/>
  <c r="AJ13" i="15"/>
  <c r="AM38" i="15"/>
  <c r="AP38" i="15" s="1"/>
  <c r="AJ17" i="15"/>
  <c r="AL47" i="15"/>
  <c r="AJ38" i="15"/>
  <c r="AL38" i="15"/>
  <c r="AJ54" i="15"/>
  <c r="AK47" i="15"/>
  <c r="AL45" i="15"/>
  <c r="AJ45" i="15"/>
  <c r="AI47" i="15"/>
  <c r="AI38" i="15"/>
  <c r="AJ47" i="15"/>
  <c r="AI17" i="15"/>
  <c r="AK17" i="15"/>
  <c r="AH17" i="15"/>
  <c r="AP17" i="15" s="1"/>
  <c r="AL17" i="15"/>
  <c r="AK55" i="15"/>
  <c r="AM11" i="15"/>
  <c r="AH30" i="15"/>
  <c r="AH41" i="15"/>
  <c r="AJ51" i="15"/>
  <c r="AM41" i="15"/>
  <c r="AK41" i="15"/>
  <c r="AM51" i="15"/>
  <c r="AH51" i="15"/>
  <c r="AI41" i="15"/>
  <c r="AI45" i="15"/>
  <c r="AH45" i="15"/>
  <c r="AP45" i="15" s="1"/>
  <c r="AK45" i="15"/>
  <c r="AM54" i="15"/>
  <c r="AP54" i="15" s="1"/>
  <c r="AK54" i="15"/>
  <c r="AH13" i="15"/>
  <c r="AL41" i="15"/>
  <c r="AI48" i="15"/>
  <c r="AI20" i="15"/>
  <c r="AQ20" i="15" s="1"/>
  <c r="AI36" i="15"/>
  <c r="AK21" i="15"/>
  <c r="AK51" i="15"/>
  <c r="AL51" i="15"/>
  <c r="AQ51" i="15" s="1"/>
  <c r="AH21" i="15"/>
  <c r="AP21" i="15" s="1"/>
  <c r="AK22" i="15"/>
  <c r="AI21" i="15"/>
  <c r="AI55" i="15"/>
  <c r="AI25" i="15"/>
  <c r="AQ25" i="15" s="1"/>
  <c r="AM9" i="15"/>
  <c r="AJ9" i="15"/>
  <c r="AH9" i="15"/>
  <c r="AM34" i="15"/>
  <c r="AK34" i="15"/>
  <c r="AL6" i="15"/>
  <c r="AH36" i="15"/>
  <c r="AM30" i="15"/>
  <c r="AL36" i="15"/>
  <c r="AH22" i="15"/>
  <c r="AP22" i="15" s="1"/>
  <c r="AK11" i="15"/>
  <c r="AI30" i="15"/>
  <c r="AQ30" i="15" s="1"/>
  <c r="AJ11" i="15"/>
  <c r="AJ55" i="15"/>
  <c r="AJ25" i="15"/>
  <c r="AI22" i="15"/>
  <c r="AM25" i="15"/>
  <c r="AH18" i="15"/>
  <c r="AM36" i="15"/>
  <c r="AH34" i="15"/>
  <c r="AH11" i="15"/>
  <c r="AI11" i="15"/>
  <c r="AQ11" i="15" s="1"/>
  <c r="AK30" i="15"/>
  <c r="AH55" i="15"/>
  <c r="AP55" i="15" s="1"/>
  <c r="AK25" i="15"/>
  <c r="AH6" i="15"/>
  <c r="AP6" i="15" s="1"/>
  <c r="AH25" i="15"/>
  <c r="AJ34" i="15"/>
  <c r="AJ22" i="15"/>
  <c r="AJ36" i="15"/>
  <c r="AJ30" i="15"/>
  <c r="AL22" i="15"/>
  <c r="AI9" i="15"/>
  <c r="AQ9" i="15" s="1"/>
  <c r="AL55" i="15"/>
  <c r="AH43" i="15"/>
  <c r="AP43" i="15" s="1"/>
  <c r="AL31" i="15"/>
  <c r="AJ48" i="15"/>
  <c r="AL3" i="15"/>
  <c r="AM32" i="15"/>
  <c r="AP32" i="15" s="1"/>
  <c r="AJ31" i="15"/>
  <c r="AH3" i="15"/>
  <c r="AJ32" i="15"/>
  <c r="AI43" i="15"/>
  <c r="AJ3" i="15"/>
  <c r="AJ20" i="15"/>
  <c r="AK9" i="15"/>
  <c r="AJ18" i="15"/>
  <c r="AI10" i="15"/>
  <c r="AQ10" i="15" s="1"/>
  <c r="AL48" i="15"/>
  <c r="AM48" i="15"/>
  <c r="AP48" i="15" s="1"/>
  <c r="AK6" i="15"/>
  <c r="AM31" i="15"/>
  <c r="AK18" i="15"/>
  <c r="AM3" i="15"/>
  <c r="AL44" i="15"/>
  <c r="AK20" i="15"/>
  <c r="AK43" i="15"/>
  <c r="AJ43" i="15"/>
  <c r="AI3" i="15"/>
  <c r="AM18" i="15"/>
  <c r="AL34" i="15"/>
  <c r="AQ34" i="15" s="1"/>
  <c r="AL18" i="15"/>
  <c r="AQ18" i="15" s="1"/>
  <c r="AI31" i="15"/>
  <c r="AK32" i="15"/>
  <c r="AH31" i="15"/>
  <c r="AL43" i="15"/>
  <c r="AH20" i="15"/>
  <c r="AM10" i="15"/>
  <c r="AJ44" i="15"/>
  <c r="AI6" i="15"/>
  <c r="AJ6" i="15"/>
  <c r="AI32" i="15"/>
  <c r="AI44" i="15"/>
  <c r="AJ10" i="15"/>
  <c r="AK44" i="15"/>
  <c r="AM20" i="15"/>
  <c r="AL32" i="15"/>
  <c r="AK10" i="15"/>
  <c r="AM44" i="15"/>
  <c r="AP44" i="15" s="1"/>
  <c r="AH10" i="15"/>
  <c r="AK48" i="15"/>
  <c r="AM50" i="15"/>
  <c r="AL21" i="15"/>
  <c r="AJ21" i="15"/>
  <c r="AH50" i="15"/>
  <c r="AI8" i="15"/>
  <c r="AK50" i="15"/>
  <c r="AL50" i="15"/>
  <c r="AQ50" i="15" s="1"/>
  <c r="AJ50" i="15"/>
  <c r="AK23" i="15"/>
  <c r="AI23" i="15"/>
  <c r="AQ23" i="15" s="1"/>
  <c r="AK53" i="15"/>
  <c r="AM28" i="15"/>
  <c r="AP28" i="15" s="1"/>
  <c r="AL19" i="15"/>
  <c r="AH23" i="15"/>
  <c r="AJ53" i="15"/>
  <c r="AH24" i="15"/>
  <c r="AL5" i="15"/>
  <c r="AQ5" i="15" s="1"/>
  <c r="AL24" i="15"/>
  <c r="AQ24" i="15" s="1"/>
  <c r="AM5" i="15"/>
  <c r="AH5" i="15"/>
  <c r="AK5" i="15"/>
  <c r="AK24" i="15"/>
  <c r="AM24" i="15"/>
  <c r="AJ24" i="15"/>
  <c r="AJ5" i="15"/>
  <c r="AJ19" i="15"/>
  <c r="AM53" i="15"/>
  <c r="AP53" i="15" s="1"/>
  <c r="AM27" i="15"/>
  <c r="AL28" i="15"/>
  <c r="AK19" i="15"/>
  <c r="AJ23" i="15"/>
  <c r="AM23" i="15"/>
  <c r="AI28" i="15"/>
  <c r="AL53" i="15"/>
  <c r="AJ39" i="15"/>
  <c r="AK28" i="15"/>
  <c r="AI53" i="15"/>
  <c r="AM19" i="15"/>
  <c r="AP19" i="15" s="1"/>
  <c r="AJ28" i="15"/>
  <c r="AL27" i="15"/>
  <c r="AH39" i="15"/>
  <c r="AH8" i="15"/>
  <c r="AJ35" i="15"/>
  <c r="AH16" i="15"/>
  <c r="AK35" i="15"/>
  <c r="AL8" i="15"/>
  <c r="AI35" i="15"/>
  <c r="AK16" i="15"/>
  <c r="AL16" i="15"/>
  <c r="AQ16" i="15" s="1"/>
  <c r="AL35" i="15"/>
  <c r="AK26" i="15"/>
  <c r="AH26" i="15"/>
  <c r="AJ8" i="15"/>
  <c r="AM16" i="15"/>
  <c r="AL26" i="15"/>
  <c r="AQ26" i="15" s="1"/>
  <c r="AM8" i="15"/>
  <c r="AM26" i="15"/>
  <c r="AJ26" i="15"/>
  <c r="AM35" i="15"/>
  <c r="AP35" i="15" s="1"/>
  <c r="AI19" i="15"/>
  <c r="AI49" i="15"/>
  <c r="AI27" i="15"/>
  <c r="AL39" i="15"/>
  <c r="AQ39" i="15" s="1"/>
  <c r="AL49" i="15"/>
  <c r="AH27" i="15"/>
  <c r="AK39" i="15"/>
  <c r="AK12" i="15"/>
  <c r="AM39" i="15"/>
  <c r="AH33" i="15"/>
  <c r="AK27" i="15"/>
  <c r="AM12" i="15"/>
  <c r="AL12" i="15"/>
  <c r="AQ12" i="15" s="1"/>
  <c r="AJ49" i="15"/>
  <c r="AJ29" i="15"/>
  <c r="AK33" i="15"/>
  <c r="AH14" i="15"/>
  <c r="AP14" i="15" s="1"/>
  <c r="AJ14" i="15"/>
  <c r="AM52" i="15"/>
  <c r="AP52" i="15" s="1"/>
  <c r="AJ4" i="15"/>
  <c r="AI14" i="15"/>
  <c r="AL42" i="15"/>
  <c r="AQ42" i="15" s="1"/>
  <c r="AI52" i="15"/>
  <c r="AL52" i="15"/>
  <c r="AL4" i="15"/>
  <c r="AK14" i="15"/>
  <c r="AI4" i="15"/>
  <c r="AI15" i="15"/>
  <c r="AJ15" i="15"/>
  <c r="AM4" i="15"/>
  <c r="AP4" i="15" s="1"/>
  <c r="AK52" i="15"/>
  <c r="AL14" i="15"/>
  <c r="AM15" i="15"/>
  <c r="AK4" i="15"/>
  <c r="AL15" i="15"/>
  <c r="AJ52" i="15"/>
  <c r="AH15" i="15"/>
  <c r="AJ37" i="15"/>
  <c r="AK46" i="15"/>
  <c r="AM29" i="15"/>
  <c r="AM37" i="15"/>
  <c r="AI37" i="15"/>
  <c r="AJ46" i="15"/>
  <c r="AH49" i="15"/>
  <c r="AP49" i="15" s="1"/>
  <c r="AH37" i="15"/>
  <c r="AK49" i="15"/>
  <c r="AH46" i="15"/>
  <c r="AJ42" i="15"/>
  <c r="AL40" i="15"/>
  <c r="AL33" i="15"/>
  <c r="AQ33" i="15" s="1"/>
  <c r="AH12" i="15"/>
  <c r="AM42" i="15"/>
  <c r="AK40" i="15"/>
  <c r="AH42" i="15"/>
  <c r="AL29" i="15"/>
  <c r="AQ29" i="15" s="1"/>
  <c r="AI46" i="15"/>
  <c r="AQ46" i="15" s="1"/>
  <c r="AL37" i="15"/>
  <c r="AJ33" i="15"/>
  <c r="AK42" i="15"/>
  <c r="AJ40" i="15"/>
  <c r="AH29" i="15"/>
  <c r="AK29" i="15"/>
  <c r="AH40" i="15"/>
  <c r="AP40" i="15" s="1"/>
  <c r="AM33" i="15"/>
  <c r="AI40" i="15"/>
  <c r="AJ12" i="15"/>
  <c r="AM46" i="15"/>
  <c r="DU24" i="6"/>
  <c r="DU37" i="6"/>
  <c r="DU39" i="6"/>
  <c r="DU34" i="6"/>
  <c r="DU23" i="6"/>
  <c r="E5" i="36"/>
  <c r="DO21" i="6"/>
  <c r="DQ21" i="6" s="1"/>
  <c r="DS21" i="6" s="1"/>
  <c r="DO26" i="6"/>
  <c r="DQ26" i="6" s="1"/>
  <c r="DS26" i="6" s="1"/>
  <c r="F49" i="17"/>
  <c r="S61" i="17"/>
  <c r="S62" i="17"/>
  <c r="S19" i="17"/>
  <c r="S26" i="17"/>
  <c r="S32" i="17"/>
  <c r="S24" i="17"/>
  <c r="S31" i="17"/>
  <c r="S17" i="17"/>
  <c r="S52" i="17"/>
  <c r="S18" i="17"/>
  <c r="S47" i="17"/>
  <c r="S45" i="17"/>
  <c r="S39" i="17"/>
  <c r="S21" i="17"/>
  <c r="S60" i="17"/>
  <c r="S16" i="17"/>
  <c r="S49" i="17"/>
  <c r="S43" i="17"/>
  <c r="S48" i="17"/>
  <c r="S56" i="17"/>
  <c r="S65" i="17"/>
  <c r="S64" i="17"/>
  <c r="S29" i="17"/>
  <c r="S23" i="17"/>
  <c r="S41" i="17"/>
  <c r="S51" i="17"/>
  <c r="S58" i="17"/>
  <c r="S27" i="17"/>
  <c r="V71" i="17"/>
  <c r="E35" i="18" s="1"/>
  <c r="R15" i="17"/>
  <c r="E55" i="36" s="1"/>
  <c r="S20" i="17"/>
  <c r="S50" i="17"/>
  <c r="S36" i="17"/>
  <c r="S44" i="17"/>
  <c r="S59" i="17"/>
  <c r="S66" i="17"/>
  <c r="S25" i="17"/>
  <c r="S30" i="17"/>
  <c r="S40" i="17"/>
  <c r="S28" i="17"/>
  <c r="S33" i="17"/>
  <c r="S34" i="17"/>
  <c r="S63" i="17"/>
  <c r="K70" i="17"/>
  <c r="K71" i="17" s="1"/>
  <c r="R13" i="39"/>
  <c r="S55" i="17"/>
  <c r="S37" i="17"/>
  <c r="S22" i="17"/>
  <c r="S53" i="17"/>
  <c r="S38" i="17"/>
  <c r="S35" i="17"/>
  <c r="S42" i="17"/>
  <c r="S54" i="17"/>
  <c r="S46" i="17"/>
  <c r="S57" i="17"/>
  <c r="AV51" i="15"/>
  <c r="AV39" i="15"/>
  <c r="AQ13" i="15"/>
  <c r="AV48" i="15"/>
  <c r="AV32" i="15"/>
  <c r="AV25" i="15"/>
  <c r="AV12" i="15"/>
  <c r="AV24" i="15"/>
  <c r="AQ7" i="15"/>
  <c r="AV22" i="15"/>
  <c r="AQ54" i="15"/>
  <c r="AV47" i="15"/>
  <c r="AV28" i="15"/>
  <c r="AV45" i="15"/>
  <c r="AV29" i="15"/>
  <c r="AV50" i="15"/>
  <c r="AV30" i="15"/>
  <c r="AV36" i="15"/>
  <c r="AV53" i="15"/>
  <c r="AV26" i="15"/>
  <c r="AV27" i="15"/>
  <c r="AV52" i="15"/>
  <c r="AV49" i="15"/>
  <c r="AV14" i="15"/>
  <c r="AV34" i="15"/>
  <c r="AV11" i="15"/>
  <c r="AV37" i="15"/>
  <c r="AV33" i="15"/>
  <c r="AV41" i="15"/>
  <c r="AV40" i="15"/>
  <c r="AV13" i="15"/>
  <c r="AV35" i="15"/>
  <c r="AP7" i="15"/>
  <c r="AP13" i="15" l="1"/>
  <c r="AQ17" i="15"/>
  <c r="AR18" i="15" s="1"/>
  <c r="AQ47" i="15"/>
  <c r="AQ38" i="15"/>
  <c r="AQ45" i="15"/>
  <c r="AP11" i="15"/>
  <c r="AP30" i="15"/>
  <c r="AP51" i="15"/>
  <c r="AQ41" i="15"/>
  <c r="AP41" i="15"/>
  <c r="AP18" i="15"/>
  <c r="AP34" i="15"/>
  <c r="AQ48" i="15"/>
  <c r="AQ31" i="15"/>
  <c r="AR31" i="15" s="1"/>
  <c r="AP36" i="15"/>
  <c r="AQ55" i="15"/>
  <c r="AQ36" i="15"/>
  <c r="AP5" i="15"/>
  <c r="AQ21" i="15"/>
  <c r="AP9" i="15"/>
  <c r="AP10" i="15"/>
  <c r="AQ32" i="15"/>
  <c r="AQ22" i="15"/>
  <c r="AP12" i="15"/>
  <c r="AQ6" i="15"/>
  <c r="AR7" i="15" s="1"/>
  <c r="AP31" i="15"/>
  <c r="AQ8" i="15"/>
  <c r="AR10" i="15" s="1"/>
  <c r="AQ44" i="15"/>
  <c r="AP3" i="15"/>
  <c r="AP25" i="15"/>
  <c r="AP50" i="15"/>
  <c r="AQ43" i="15"/>
  <c r="AP20" i="15"/>
  <c r="AQ3" i="15"/>
  <c r="AP23" i="15"/>
  <c r="AP16" i="15"/>
  <c r="AQ19" i="15"/>
  <c r="AP24" i="15"/>
  <c r="AP27" i="15"/>
  <c r="AQ37" i="15"/>
  <c r="AQ53" i="15"/>
  <c r="AQ28" i="15"/>
  <c r="AR30" i="15" s="1"/>
  <c r="AQ49" i="15"/>
  <c r="AR51" i="15" s="1"/>
  <c r="AP33" i="15"/>
  <c r="AP8" i="15"/>
  <c r="AQ27" i="15"/>
  <c r="AR27" i="15" s="1"/>
  <c r="AP39" i="15"/>
  <c r="AQ35" i="15"/>
  <c r="AP29" i="15"/>
  <c r="AP26" i="15"/>
  <c r="AP15" i="15"/>
  <c r="AQ4" i="15"/>
  <c r="AQ52" i="15"/>
  <c r="AQ40" i="15"/>
  <c r="AQ14" i="15"/>
  <c r="AR14" i="15" s="1"/>
  <c r="AP46" i="15"/>
  <c r="AQ15" i="15"/>
  <c r="AP37" i="15"/>
  <c r="AP42" i="15"/>
  <c r="DU26" i="6"/>
  <c r="DU21" i="6"/>
  <c r="E4" i="36"/>
  <c r="DO11" i="6"/>
  <c r="DQ11" i="6" s="1"/>
  <c r="F34" i="17"/>
  <c r="DO25" i="6"/>
  <c r="DQ25" i="6" s="1"/>
  <c r="DS25" i="6" s="1"/>
  <c r="F48" i="17"/>
  <c r="DO27" i="6"/>
  <c r="DQ27" i="6" s="1"/>
  <c r="DS27" i="6" s="1"/>
  <c r="F50" i="17"/>
  <c r="DP46" i="6" s="1"/>
  <c r="DT46" i="6" s="1"/>
  <c r="DX46" i="6" s="1"/>
  <c r="DO12" i="6"/>
  <c r="DQ12" i="6" s="1"/>
  <c r="F35" i="17"/>
  <c r="DO22" i="6"/>
  <c r="DQ22" i="6" s="1"/>
  <c r="DS22" i="6" s="1"/>
  <c r="F45" i="17"/>
  <c r="S15" i="17"/>
  <c r="F55" i="36" s="1"/>
  <c r="R71" i="17"/>
  <c r="E32" i="18" s="1"/>
  <c r="R70" i="17"/>
  <c r="AR13" i="15"/>
  <c r="AR25" i="15"/>
  <c r="AR26" i="15"/>
  <c r="AR12" i="15"/>
  <c r="AR11" i="15"/>
  <c r="AR48" i="15" l="1"/>
  <c r="AR17" i="15"/>
  <c r="AR47" i="15"/>
  <c r="AR46" i="15"/>
  <c r="AR41" i="15"/>
  <c r="AR33" i="15"/>
  <c r="AR32" i="15"/>
  <c r="AR34" i="15"/>
  <c r="AR55" i="15"/>
  <c r="AR36" i="15"/>
  <c r="AR38" i="15"/>
  <c r="AR44" i="15"/>
  <c r="AR23" i="15"/>
  <c r="AR22" i="15"/>
  <c r="AR24" i="15"/>
  <c r="AR21" i="15"/>
  <c r="AR8" i="15"/>
  <c r="AR39" i="15"/>
  <c r="AR9" i="15"/>
  <c r="AR45" i="15"/>
  <c r="AR43" i="15"/>
  <c r="AR5" i="15"/>
  <c r="AR35" i="15"/>
  <c r="AR37" i="15"/>
  <c r="AR50" i="15"/>
  <c r="AR49" i="15"/>
  <c r="AR19" i="15"/>
  <c r="AR20" i="15"/>
  <c r="AR54" i="15"/>
  <c r="AR29" i="15"/>
  <c r="AR28" i="15"/>
  <c r="AR6" i="15"/>
  <c r="AR52" i="15"/>
  <c r="AR53" i="15"/>
  <c r="AR42" i="15"/>
  <c r="AR40" i="15"/>
  <c r="AR16" i="15"/>
  <c r="AR15" i="15"/>
  <c r="DU25" i="6"/>
  <c r="DU22" i="6"/>
  <c r="DU27" i="6"/>
  <c r="DO14" i="6"/>
  <c r="DQ14" i="6" s="1"/>
  <c r="F37" i="17"/>
  <c r="DP33" i="6" s="1"/>
  <c r="DT33" i="6" s="1"/>
  <c r="DX33" i="6" s="1"/>
  <c r="F32" i="17"/>
  <c r="G55" i="36"/>
  <c r="H55" i="36" s="1"/>
  <c r="S71" i="17"/>
  <c r="E33" i="18" s="1"/>
  <c r="S70" i="17"/>
  <c r="D33" i="18" s="1"/>
  <c r="D32" i="18"/>
  <c r="F33" i="17" l="1"/>
  <c r="DO13" i="6"/>
  <c r="DQ13" i="6" s="1"/>
  <c r="F36" i="17"/>
  <c r="DO9" i="6"/>
  <c r="F38" i="17"/>
  <c r="DP34" i="6" s="1"/>
  <c r="DT34" i="6" s="1"/>
  <c r="DX34" i="6" s="1"/>
  <c r="C12" i="37"/>
  <c r="DQ9" i="6" l="1"/>
  <c r="DO15" i="6"/>
  <c r="DQ15" i="6" s="1"/>
  <c r="DO10" i="6"/>
  <c r="B21" i="26"/>
  <c r="DQ10" i="6" l="1"/>
  <c r="B25" i="26"/>
  <c r="H7" i="11" l="1"/>
  <c r="B22" i="26" s="1"/>
  <c r="B24" i="26" s="1"/>
  <c r="B43" i="26" s="1"/>
  <c r="C43" i="26" l="1"/>
  <c r="D15" i="35"/>
  <c r="I4" i="17"/>
  <c r="B5" i="39" s="1"/>
  <c r="J4" i="17" l="1"/>
  <c r="E21" i="26"/>
  <c r="E25" i="26" s="1"/>
  <c r="H21" i="11" l="1"/>
  <c r="E22" i="26" s="1"/>
  <c r="E24" i="26" s="1"/>
  <c r="B45" i="26" s="1"/>
  <c r="D17" i="35" s="1"/>
  <c r="I6" i="17" l="1"/>
  <c r="C7" i="37"/>
  <c r="F21" i="26"/>
  <c r="J6" i="17" l="1"/>
  <c r="B7" i="39"/>
  <c r="B14" i="39" s="1"/>
  <c r="H21" i="26"/>
  <c r="H24" i="26" s="1"/>
  <c r="I16" i="11" s="1"/>
  <c r="F25" i="26"/>
  <c r="J27" i="11" s="1"/>
  <c r="F22" i="26" l="1"/>
  <c r="H25" i="26"/>
  <c r="J16" i="11" s="1"/>
  <c r="C21" i="26"/>
  <c r="C25" i="26" s="1"/>
  <c r="H11" i="11" s="1"/>
  <c r="H22" i="26" l="1"/>
  <c r="F24" i="26"/>
  <c r="B27" i="26"/>
  <c r="B26" i="11" s="1"/>
  <c r="B47" i="26" l="1"/>
  <c r="B46" i="26"/>
  <c r="C16" i="11"/>
  <c r="C22" i="26"/>
  <c r="C24" i="26" s="1"/>
  <c r="B44" i="26" s="1"/>
  <c r="M33" i="17" l="1"/>
  <c r="N45" i="17"/>
  <c r="M44" i="17"/>
  <c r="T44" i="17" s="1"/>
  <c r="M37" i="17"/>
  <c r="M58" i="17"/>
  <c r="M59" i="17"/>
  <c r="M48" i="17"/>
  <c r="M34" i="17"/>
  <c r="M62" i="17"/>
  <c r="M46" i="17"/>
  <c r="M38" i="17"/>
  <c r="M45" i="17"/>
  <c r="T45" i="17" s="1"/>
  <c r="N57" i="17"/>
  <c r="M35" i="17"/>
  <c r="M67" i="17"/>
  <c r="T67" i="17" s="1"/>
  <c r="M56" i="17"/>
  <c r="M49" i="17"/>
  <c r="M50" i="17"/>
  <c r="M60" i="17"/>
  <c r="M57" i="17"/>
  <c r="T57" i="17" s="1"/>
  <c r="M32" i="17"/>
  <c r="N44" i="17"/>
  <c r="M47" i="17"/>
  <c r="M36" i="17"/>
  <c r="M61" i="17"/>
  <c r="C8" i="37"/>
  <c r="C46" i="26"/>
  <c r="D18" i="35"/>
  <c r="I7" i="17"/>
  <c r="C47" i="26"/>
  <c r="C11" i="37"/>
  <c r="D16" i="35"/>
  <c r="C44" i="26"/>
  <c r="C15" i="37"/>
  <c r="I5" i="17"/>
  <c r="G57" i="26" l="1"/>
  <c r="G55" i="26"/>
  <c r="G56" i="26"/>
  <c r="J7" i="17"/>
  <c r="B8" i="39"/>
  <c r="U45" i="17"/>
  <c r="U57" i="17"/>
  <c r="X37" i="17"/>
  <c r="X31" i="17"/>
  <c r="X54" i="17"/>
  <c r="X45" i="17"/>
  <c r="X57" i="17"/>
  <c r="X35" i="17"/>
  <c r="X19" i="17"/>
  <c r="X64" i="17"/>
  <c r="X42" i="17"/>
  <c r="X18" i="17"/>
  <c r="X61" i="17"/>
  <c r="X40" i="17"/>
  <c r="X22" i="17"/>
  <c r="X65" i="17"/>
  <c r="X49" i="17"/>
  <c r="X51" i="17"/>
  <c r="X29" i="17"/>
  <c r="X53" i="17"/>
  <c r="X28" i="17"/>
  <c r="X38" i="17"/>
  <c r="X47" i="17"/>
  <c r="X30" i="17"/>
  <c r="X60" i="17"/>
  <c r="X17" i="17"/>
  <c r="X55" i="17"/>
  <c r="X46" i="17"/>
  <c r="X27" i="17"/>
  <c r="X15" i="17"/>
  <c r="X52" i="17"/>
  <c r="X36" i="17"/>
  <c r="X41" i="17"/>
  <c r="X67" i="17"/>
  <c r="X50" i="17"/>
  <c r="X39" i="17"/>
  <c r="X26" i="17"/>
  <c r="X25" i="17"/>
  <c r="X48" i="17"/>
  <c r="X43" i="17"/>
  <c r="X16" i="17"/>
  <c r="X59" i="17"/>
  <c r="X24" i="17"/>
  <c r="J5" i="17"/>
  <c r="X62" i="17"/>
  <c r="X21" i="17"/>
  <c r="X58" i="17"/>
  <c r="B6" i="39"/>
  <c r="X44" i="17"/>
  <c r="X34" i="17"/>
  <c r="X66" i="17"/>
  <c r="X32" i="17"/>
  <c r="X63" i="17"/>
  <c r="X23" i="17"/>
  <c r="X56" i="17"/>
  <c r="X33" i="17"/>
  <c r="X20" i="17"/>
  <c r="U44" i="17"/>
  <c r="F4" i="36" l="1"/>
  <c r="G4" i="36" s="1"/>
  <c r="H4" i="36" s="1"/>
  <c r="F47" i="36"/>
  <c r="F24" i="36"/>
  <c r="F34" i="36"/>
  <c r="F20" i="36"/>
  <c r="F40" i="36"/>
  <c r="F39" i="36"/>
  <c r="F32" i="36"/>
  <c r="F33" i="36"/>
  <c r="F44" i="36"/>
  <c r="F36" i="36"/>
  <c r="F37" i="36"/>
  <c r="F48" i="36"/>
  <c r="F28" i="36"/>
  <c r="F14" i="36"/>
  <c r="F31" i="36"/>
  <c r="F8" i="36"/>
  <c r="F53" i="36"/>
  <c r="F27" i="36"/>
  <c r="F7" i="36"/>
  <c r="F42" i="36"/>
  <c r="F41" i="36"/>
  <c r="F9" i="36"/>
  <c r="F12" i="36"/>
  <c r="F45" i="36"/>
  <c r="F25" i="36"/>
  <c r="F50" i="36"/>
  <c r="F5" i="36"/>
  <c r="G5" i="36" s="1"/>
  <c r="H5" i="36" s="1"/>
  <c r="F52" i="36"/>
  <c r="F15" i="36"/>
  <c r="F17" i="36"/>
  <c r="F54" i="36"/>
  <c r="F26" i="36"/>
  <c r="F23" i="36"/>
  <c r="F43" i="36"/>
  <c r="F49" i="36"/>
  <c r="F18" i="36"/>
  <c r="F16" i="36"/>
  <c r="F10" i="36"/>
  <c r="F35" i="36"/>
  <c r="F19" i="36"/>
  <c r="F30" i="36"/>
  <c r="F29" i="36"/>
  <c r="F6" i="36"/>
  <c r="F21" i="36"/>
  <c r="F13" i="36"/>
  <c r="F38" i="36"/>
  <c r="F22" i="36"/>
  <c r="F11" i="36"/>
  <c r="F51" i="36"/>
  <c r="F46" i="36"/>
  <c r="E14" i="36"/>
  <c r="E32" i="36"/>
  <c r="E17" i="36"/>
  <c r="E50" i="36"/>
  <c r="E23" i="36"/>
  <c r="E45" i="36"/>
  <c r="E16" i="36"/>
  <c r="E40" i="36"/>
  <c r="E38" i="36"/>
  <c r="E43" i="36"/>
  <c r="E6" i="36"/>
  <c r="E25" i="36"/>
  <c r="E36" i="36"/>
  <c r="E13" i="36"/>
  <c r="E12" i="36"/>
  <c r="E54" i="36"/>
  <c r="E27" i="36"/>
  <c r="E8" i="36"/>
  <c r="E33" i="36"/>
  <c r="E9" i="36"/>
  <c r="E46" i="36"/>
  <c r="E29" i="36"/>
  <c r="E39" i="36"/>
  <c r="E48" i="36"/>
  <c r="E51" i="36"/>
  <c r="E44" i="36"/>
  <c r="E26" i="36"/>
  <c r="E41" i="36"/>
  <c r="E18" i="36"/>
  <c r="E11" i="36"/>
  <c r="E19" i="36"/>
  <c r="E24" i="36"/>
  <c r="E49" i="36"/>
  <c r="E30" i="36"/>
  <c r="E31" i="36"/>
  <c r="E37" i="36"/>
  <c r="E15" i="36"/>
  <c r="E21" i="36"/>
  <c r="E42" i="36"/>
  <c r="E10" i="36"/>
  <c r="E34" i="36"/>
  <c r="E22" i="36"/>
  <c r="E28" i="36"/>
  <c r="E53" i="36"/>
  <c r="E47" i="36"/>
  <c r="E35" i="36"/>
  <c r="E52" i="36"/>
  <c r="E7" i="36"/>
  <c r="E20" i="36"/>
  <c r="L4" i="17"/>
  <c r="B15" i="39"/>
  <c r="B16" i="39" s="1"/>
  <c r="B12" i="39"/>
  <c r="F62" i="26"/>
  <c r="X72" i="17"/>
  <c r="C4" i="37" s="1"/>
  <c r="X71" i="17"/>
  <c r="E30" i="18" s="1"/>
  <c r="X70" i="17"/>
  <c r="N64" i="39"/>
  <c r="N16" i="39"/>
  <c r="M59" i="39"/>
  <c r="N36" i="39"/>
  <c r="M13" i="39"/>
  <c r="N59" i="39"/>
  <c r="N14" i="39"/>
  <c r="M46" i="39"/>
  <c r="N23" i="39"/>
  <c r="M53" i="39"/>
  <c r="M16" i="39"/>
  <c r="N37" i="39"/>
  <c r="N26" i="39"/>
  <c r="M30" i="39"/>
  <c r="N62" i="39"/>
  <c r="M27" i="39"/>
  <c r="N63" i="39"/>
  <c r="M40" i="39"/>
  <c r="N42" i="39"/>
  <c r="N22" i="39"/>
  <c r="N41" i="39"/>
  <c r="N58" i="39"/>
  <c r="M33" i="39"/>
  <c r="M28" i="39"/>
  <c r="M50" i="39"/>
  <c r="M31" i="39"/>
  <c r="M57" i="39"/>
  <c r="M47" i="39"/>
  <c r="N45" i="39"/>
  <c r="M62" i="39"/>
  <c r="M51" i="39"/>
  <c r="M20" i="39"/>
  <c r="N53" i="39"/>
  <c r="M37" i="39"/>
  <c r="N33" i="39"/>
  <c r="N18" i="39"/>
  <c r="M60" i="39"/>
  <c r="N29" i="39"/>
  <c r="M26" i="39"/>
  <c r="M55" i="39"/>
  <c r="M41" i="39"/>
  <c r="M34" i="39"/>
  <c r="M38" i="39"/>
  <c r="M29" i="39"/>
  <c r="N39" i="39"/>
  <c r="M44" i="39"/>
  <c r="N52" i="39"/>
  <c r="M48" i="39"/>
  <c r="N57" i="39"/>
  <c r="N61" i="39"/>
  <c r="N54" i="39"/>
  <c r="N34" i="39"/>
  <c r="M15" i="39"/>
  <c r="M23" i="39"/>
  <c r="M24" i="39"/>
  <c r="M21" i="39"/>
  <c r="M17" i="39"/>
  <c r="M35" i="39"/>
  <c r="N17" i="39"/>
  <c r="N28" i="39"/>
  <c r="M54" i="39"/>
  <c r="M43" i="39"/>
  <c r="M42" i="39"/>
  <c r="N32" i="39"/>
  <c r="M63" i="39"/>
  <c r="M18" i="39"/>
  <c r="N35" i="39"/>
  <c r="N21" i="39"/>
  <c r="N31" i="39"/>
  <c r="M49" i="39"/>
  <c r="M39" i="39"/>
  <c r="N51" i="39"/>
  <c r="N46" i="39"/>
  <c r="N48" i="39"/>
  <c r="N27" i="39"/>
  <c r="N43" i="39"/>
  <c r="N47" i="39"/>
  <c r="N15" i="39"/>
  <c r="N44" i="39"/>
  <c r="N19" i="39"/>
  <c r="M25" i="39"/>
  <c r="B11" i="39"/>
  <c r="N56" i="39"/>
  <c r="M52" i="39"/>
  <c r="M22" i="39"/>
  <c r="M45" i="39"/>
  <c r="M61" i="39"/>
  <c r="N30" i="39"/>
  <c r="N50" i="39"/>
  <c r="N38" i="39"/>
  <c r="N24" i="39"/>
  <c r="N60" i="39"/>
  <c r="M56" i="39"/>
  <c r="N49" i="39"/>
  <c r="N25" i="39"/>
  <c r="N55" i="39"/>
  <c r="M14" i="39"/>
  <c r="M58" i="39"/>
  <c r="M19" i="39"/>
  <c r="N40" i="39"/>
  <c r="N13" i="39"/>
  <c r="M64" i="39"/>
  <c r="M32" i="39"/>
  <c r="M36" i="39"/>
  <c r="N20" i="39"/>
  <c r="G11" i="36" l="1"/>
  <c r="H11" i="36" s="1"/>
  <c r="G34" i="36"/>
  <c r="H34" i="36" s="1"/>
  <c r="G28" i="36"/>
  <c r="H28" i="36" s="1"/>
  <c r="G9" i="36"/>
  <c r="H9" i="36" s="1"/>
  <c r="G45" i="36"/>
  <c r="H45" i="36" s="1"/>
  <c r="G24" i="36"/>
  <c r="H24" i="36" s="1"/>
  <c r="G53" i="36"/>
  <c r="H53" i="36" s="1"/>
  <c r="G47" i="36"/>
  <c r="H47" i="36" s="1"/>
  <c r="G25" i="36"/>
  <c r="H25" i="36" s="1"/>
  <c r="G44" i="36"/>
  <c r="H44" i="36" s="1"/>
  <c r="G30" i="36"/>
  <c r="H30" i="36" s="1"/>
  <c r="G51" i="36"/>
  <c r="H51" i="36" s="1"/>
  <c r="G23" i="36"/>
  <c r="H23" i="36" s="1"/>
  <c r="G37" i="36"/>
  <c r="H37" i="36" s="1"/>
  <c r="G8" i="36"/>
  <c r="H8" i="36" s="1"/>
  <c r="G26" i="36"/>
  <c r="H26" i="36" s="1"/>
  <c r="G33" i="36"/>
  <c r="H33" i="36" s="1"/>
  <c r="G50" i="36"/>
  <c r="H50" i="36" s="1"/>
  <c r="G49" i="36"/>
  <c r="H49" i="36" s="1"/>
  <c r="G46" i="36"/>
  <c r="H46" i="36" s="1"/>
  <c r="G36" i="36"/>
  <c r="H36" i="36" s="1"/>
  <c r="G43" i="36"/>
  <c r="H43" i="36" s="1"/>
  <c r="G27" i="36"/>
  <c r="H27" i="36" s="1"/>
  <c r="G29" i="36"/>
  <c r="H29" i="36" s="1"/>
  <c r="G19" i="36"/>
  <c r="H19" i="36" s="1"/>
  <c r="G7" i="36"/>
  <c r="H7" i="36" s="1"/>
  <c r="G18" i="36"/>
  <c r="H18" i="36" s="1"/>
  <c r="G20" i="36"/>
  <c r="H20" i="36" s="1"/>
  <c r="G48" i="36"/>
  <c r="H48" i="36" s="1"/>
  <c r="G52" i="36"/>
  <c r="H52" i="36" s="1"/>
  <c r="G42" i="36"/>
  <c r="H42" i="36" s="1"/>
  <c r="G21" i="36"/>
  <c r="H21" i="36" s="1"/>
  <c r="G31" i="36"/>
  <c r="H31" i="36" s="1"/>
  <c r="G6" i="36"/>
  <c r="H6" i="36" s="1"/>
  <c r="G17" i="36"/>
  <c r="H17" i="36" s="1"/>
  <c r="G22" i="36"/>
  <c r="H22" i="36" s="1"/>
  <c r="G32" i="36"/>
  <c r="H32" i="36" s="1"/>
  <c r="G38" i="36"/>
  <c r="H38" i="36" s="1"/>
  <c r="G14" i="36"/>
  <c r="H14" i="36" s="1"/>
  <c r="G10" i="36"/>
  <c r="H10" i="36" s="1"/>
  <c r="G54" i="36"/>
  <c r="H54" i="36" s="1"/>
  <c r="G39" i="36"/>
  <c r="H39" i="36" s="1"/>
  <c r="G12" i="36"/>
  <c r="H12" i="36" s="1"/>
  <c r="G35" i="36"/>
  <c r="H35" i="36" s="1"/>
  <c r="G15" i="36"/>
  <c r="H15" i="36" s="1"/>
  <c r="G41" i="36"/>
  <c r="H41" i="36" s="1"/>
  <c r="G40" i="36"/>
  <c r="H40" i="36" s="1"/>
  <c r="G16" i="36"/>
  <c r="H16" i="36" s="1"/>
  <c r="G13" i="36"/>
  <c r="H13" i="36" s="1"/>
  <c r="B13" i="39"/>
  <c r="H62" i="26"/>
  <c r="F63" i="26"/>
  <c r="I62" i="26"/>
  <c r="D30" i="18"/>
  <c r="D12" i="35"/>
  <c r="D13" i="35" s="1"/>
  <c r="H63" i="26" l="1"/>
  <c r="AA40" i="39" s="1"/>
  <c r="C13" i="37"/>
  <c r="I63" i="26"/>
  <c r="AB13" i="39" s="1"/>
  <c r="AA36" i="39" l="1"/>
  <c r="AA51" i="39"/>
  <c r="AA27" i="39"/>
  <c r="AA26" i="39"/>
  <c r="AA18" i="39"/>
  <c r="AA47" i="39"/>
  <c r="AA23" i="39"/>
  <c r="AA57" i="39"/>
  <c r="AA19" i="39"/>
  <c r="AA55" i="39"/>
  <c r="AA14" i="39"/>
  <c r="AA49" i="39"/>
  <c r="AA30" i="39"/>
  <c r="AA45" i="39"/>
  <c r="AA37" i="39"/>
  <c r="AA41" i="39"/>
  <c r="AA54" i="39"/>
  <c r="AA60" i="39"/>
  <c r="AA50" i="39"/>
  <c r="AA62" i="39"/>
  <c r="AA22" i="39"/>
  <c r="AA21" i="39"/>
  <c r="AA52" i="39"/>
  <c r="AA38" i="39"/>
  <c r="AA63" i="39"/>
  <c r="AA43" i="39"/>
  <c r="AA20" i="39"/>
  <c r="AA61" i="39"/>
  <c r="AA32" i="39"/>
  <c r="AA31" i="39"/>
  <c r="AA35" i="39"/>
  <c r="AA58" i="39"/>
  <c r="AA28" i="39"/>
  <c r="AA24" i="39"/>
  <c r="AB44" i="39"/>
  <c r="AB51" i="39"/>
  <c r="AC51" i="39" s="1"/>
  <c r="AB43" i="39"/>
  <c r="AB63" i="39"/>
  <c r="AB25" i="39"/>
  <c r="AB62" i="39"/>
  <c r="AB36" i="39"/>
  <c r="AC36" i="39" s="1"/>
  <c r="AB35" i="39"/>
  <c r="AB58" i="39"/>
  <c r="AB45" i="39"/>
  <c r="AB17" i="39"/>
  <c r="AB54" i="39"/>
  <c r="AA53" i="39"/>
  <c r="AA16" i="39"/>
  <c r="AB28" i="39"/>
  <c r="AB27" i="39"/>
  <c r="AB50" i="39"/>
  <c r="AC50" i="39" s="1"/>
  <c r="AB60" i="39"/>
  <c r="AC60" i="39" s="1"/>
  <c r="AB40" i="39"/>
  <c r="AC40" i="39" s="1"/>
  <c r="AB46" i="39"/>
  <c r="AA13" i="39"/>
  <c r="AC13" i="39" s="1"/>
  <c r="AB20" i="39"/>
  <c r="AB19" i="39"/>
  <c r="AC19" i="39" s="1"/>
  <c r="AB42" i="39"/>
  <c r="AB59" i="39"/>
  <c r="AB55" i="39"/>
  <c r="AC55" i="39" s="1"/>
  <c r="AB38" i="39"/>
  <c r="AA33" i="39"/>
  <c r="AA64" i="39"/>
  <c r="AB64" i="39"/>
  <c r="AB56" i="39"/>
  <c r="AB32" i="39"/>
  <c r="AB34" i="39"/>
  <c r="AB57" i="39"/>
  <c r="AB39" i="39"/>
  <c r="AB30" i="39"/>
  <c r="AA25" i="39"/>
  <c r="AA56" i="39"/>
  <c r="AB24" i="39"/>
  <c r="AB16" i="39"/>
  <c r="AB47" i="39"/>
  <c r="AB26" i="39"/>
  <c r="AC26" i="39" s="1"/>
  <c r="AB49" i="39"/>
  <c r="AB31" i="39"/>
  <c r="AC31" i="39" s="1"/>
  <c r="AB22" i="39"/>
  <c r="AA15" i="39"/>
  <c r="AA42" i="39"/>
  <c r="AA29" i="39"/>
  <c r="AA17" i="39"/>
  <c r="AA48" i="39"/>
  <c r="AB61" i="39"/>
  <c r="AB53" i="39"/>
  <c r="AB37" i="39"/>
  <c r="AC37" i="39" s="1"/>
  <c r="AB18" i="39"/>
  <c r="AC18" i="39" s="1"/>
  <c r="AB41" i="39"/>
  <c r="AB23" i="39"/>
  <c r="AB14" i="39"/>
  <c r="AC14" i="39" s="1"/>
  <c r="AA59" i="39"/>
  <c r="AA46" i="39"/>
  <c r="AA34" i="39"/>
  <c r="AA44" i="39"/>
  <c r="AA39" i="39"/>
  <c r="AB29" i="39"/>
  <c r="AB21" i="39"/>
  <c r="AB52" i="39"/>
  <c r="AB48" i="39"/>
  <c r="AC48" i="39" s="1"/>
  <c r="AB33" i="39"/>
  <c r="AB15" i="39"/>
  <c r="I66" i="26"/>
  <c r="H66" i="26"/>
  <c r="AC45" i="39" l="1"/>
  <c r="AC28" i="39"/>
  <c r="AC16" i="39"/>
  <c r="AC44" i="39"/>
  <c r="AC35" i="39"/>
  <c r="AC62" i="39"/>
  <c r="AC43" i="39"/>
  <c r="AC49" i="39"/>
  <c r="AC25" i="39"/>
  <c r="AC22" i="39"/>
  <c r="AC30" i="39"/>
  <c r="AC27" i="39"/>
  <c r="AC58" i="39"/>
  <c r="AC59" i="39"/>
  <c r="AC24" i="39"/>
  <c r="AC47" i="39"/>
  <c r="AC57" i="39"/>
  <c r="AC52" i="39"/>
  <c r="AC33" i="39"/>
  <c r="AC21" i="39"/>
  <c r="AC38" i="39"/>
  <c r="AC32" i="39"/>
  <c r="AC53" i="39"/>
  <c r="AC23" i="39"/>
  <c r="AC41" i="39"/>
  <c r="AC56" i="39"/>
  <c r="AC15" i="39"/>
  <c r="AC54" i="39"/>
  <c r="AC63" i="39"/>
  <c r="AC42" i="39"/>
  <c r="AC17" i="39"/>
  <c r="AC64" i="39"/>
  <c r="AC29" i="39"/>
  <c r="AC20" i="39"/>
  <c r="AC34" i="39"/>
  <c r="AC46" i="39"/>
  <c r="AC61" i="39"/>
  <c r="AC39" i="39"/>
  <c r="J66" i="26"/>
  <c r="I71" i="26"/>
  <c r="H69" i="26"/>
  <c r="C53" i="18" s="1"/>
  <c r="B61" i="18" s="1"/>
  <c r="H71" i="26"/>
  <c r="C50" i="18"/>
  <c r="F31" i="17"/>
  <c r="F39" i="17"/>
  <c r="DP35" i="6" s="1"/>
  <c r="DT35" i="6" s="1"/>
  <c r="N46" i="17" s="1"/>
  <c r="F28" i="17"/>
  <c r="F27" i="17"/>
  <c r="DP56" i="6" s="1"/>
  <c r="DT56" i="6" s="1"/>
  <c r="F30" i="17"/>
  <c r="F63" i="17"/>
  <c r="DO6" i="6"/>
  <c r="DS6" i="6" s="1"/>
  <c r="M17" i="17" s="1"/>
  <c r="F29" i="17"/>
  <c r="F22" i="17"/>
  <c r="E70" i="17"/>
  <c r="DO5" i="6"/>
  <c r="DS5" i="6" s="1"/>
  <c r="M16" i="17" s="1"/>
  <c r="DO20" i="6"/>
  <c r="DQ20" i="6" s="1"/>
  <c r="DS20" i="6" s="1"/>
  <c r="M31" i="17" s="1"/>
  <c r="DO8" i="6"/>
  <c r="F52" i="17"/>
  <c r="DP48" i="6" s="1"/>
  <c r="DT48" i="6" s="1"/>
  <c r="N59" i="17" s="1"/>
  <c r="DO18" i="6"/>
  <c r="DQ18" i="6" s="1"/>
  <c r="DS18" i="6" s="1"/>
  <c r="M29" i="17" s="1"/>
  <c r="F24" i="17"/>
  <c r="F26" i="17"/>
  <c r="F42" i="17"/>
  <c r="DO17" i="6"/>
  <c r="DQ17" i="6" s="1"/>
  <c r="DS17" i="6" s="1"/>
  <c r="M28" i="17" s="1"/>
  <c r="DO7" i="6"/>
  <c r="DS7" i="6" s="1"/>
  <c r="M18" i="17" s="1"/>
  <c r="F64" i="17"/>
  <c r="DO30" i="6"/>
  <c r="DQ30" i="6" s="1"/>
  <c r="DS30" i="6" s="1"/>
  <c r="M41" i="17" s="1"/>
  <c r="F41" i="17"/>
  <c r="DO42" i="6"/>
  <c r="DQ42" i="6" s="1"/>
  <c r="DS42" i="6" s="1"/>
  <c r="M53" i="17" s="1"/>
  <c r="F53" i="17"/>
  <c r="DO4" i="6"/>
  <c r="DS4" i="6" s="1"/>
  <c r="M15" i="17" s="1"/>
  <c r="DO53" i="6"/>
  <c r="DQ53" i="6" s="1"/>
  <c r="DS53" i="6" s="1"/>
  <c r="M64" i="17" s="1"/>
  <c r="DO41" i="6"/>
  <c r="DQ41" i="6" s="1"/>
  <c r="DS41" i="6" s="1"/>
  <c r="M52" i="17" s="1"/>
  <c r="DO29" i="6"/>
  <c r="DQ29" i="6" s="1"/>
  <c r="DS29" i="6" s="1"/>
  <c r="M40" i="17" s="1"/>
  <c r="F40" i="17"/>
  <c r="DP36" i="6" s="1"/>
  <c r="DT36" i="6" s="1"/>
  <c r="N47" i="17" s="1"/>
  <c r="F25" i="17"/>
  <c r="F51" i="17"/>
  <c r="F54" i="17"/>
  <c r="DO32" i="6"/>
  <c r="DQ32" i="6" s="1"/>
  <c r="DS32" i="6" s="1"/>
  <c r="M43" i="17" s="1"/>
  <c r="F43" i="17"/>
  <c r="DO54" i="6"/>
  <c r="DQ54" i="6" s="1"/>
  <c r="DS54" i="6" s="1"/>
  <c r="M65" i="17" s="1"/>
  <c r="F65" i="17"/>
  <c r="F66" i="17"/>
  <c r="DO43" i="6"/>
  <c r="DQ43" i="6" s="1"/>
  <c r="DS43" i="6" s="1"/>
  <c r="M54" i="17" s="1"/>
  <c r="DO31" i="6"/>
  <c r="DQ31" i="6" s="1"/>
  <c r="DS31" i="6" s="1"/>
  <c r="M42" i="17" s="1"/>
  <c r="DO19" i="6"/>
  <c r="DQ19" i="6" s="1"/>
  <c r="DS19" i="6" s="1"/>
  <c r="M30" i="17" s="1"/>
  <c r="DO55" i="6"/>
  <c r="DQ55" i="6" s="1"/>
  <c r="DS55" i="6" s="1"/>
  <c r="M66" i="17" s="1"/>
  <c r="DO44" i="6"/>
  <c r="DQ44" i="6" s="1"/>
  <c r="DS44" i="6" s="1"/>
  <c r="M55" i="17" s="1"/>
  <c r="F55" i="17"/>
  <c r="DP45" i="6" s="1"/>
  <c r="DT45" i="6" s="1"/>
  <c r="N56" i="17" s="1"/>
  <c r="DO52" i="6"/>
  <c r="DQ52" i="6" s="1"/>
  <c r="DS52" i="6" s="1"/>
  <c r="M63" i="17" s="1"/>
  <c r="DO40" i="6"/>
  <c r="DQ40" i="6" s="1"/>
  <c r="DS40" i="6" s="1"/>
  <c r="M51" i="17" s="1"/>
  <c r="DO28" i="6"/>
  <c r="DQ28" i="6" s="1"/>
  <c r="DS28" i="6" s="1"/>
  <c r="M39" i="17" s="1"/>
  <c r="DO16" i="6"/>
  <c r="DQ16" i="6" s="1"/>
  <c r="DS16" i="6" s="1"/>
  <c r="M27" i="17" s="1"/>
  <c r="F23" i="17"/>
  <c r="DQ8" i="6" l="1"/>
  <c r="DX56" i="6"/>
  <c r="N67" i="17"/>
  <c r="U67" i="17" s="1"/>
  <c r="DP23" i="6"/>
  <c r="DT23" i="6" s="1"/>
  <c r="N34" i="17" s="1"/>
  <c r="DP22" i="6"/>
  <c r="DT22" i="6" s="1"/>
  <c r="N33" i="17" s="1"/>
  <c r="DX36" i="6"/>
  <c r="T47" i="17" s="1"/>
  <c r="DX48" i="6"/>
  <c r="T59" i="17" s="1"/>
  <c r="DX45" i="6"/>
  <c r="T56" i="17" s="1"/>
  <c r="DX35" i="6"/>
  <c r="T46" i="17" s="1"/>
  <c r="DU30" i="6"/>
  <c r="DU18" i="6"/>
  <c r="DU40" i="6"/>
  <c r="DU52" i="6"/>
  <c r="DU29" i="6"/>
  <c r="DU28" i="6"/>
  <c r="DU54" i="6"/>
  <c r="DU41" i="6"/>
  <c r="DU20" i="6"/>
  <c r="DU43" i="6"/>
  <c r="DU44" i="6"/>
  <c r="DU53" i="6"/>
  <c r="DU17" i="6"/>
  <c r="DU55" i="6"/>
  <c r="DU19" i="6"/>
  <c r="DU32" i="6"/>
  <c r="DU31" i="6"/>
  <c r="DU42" i="6"/>
  <c r="DU16" i="6"/>
  <c r="DP38" i="6"/>
  <c r="DT38" i="6" s="1"/>
  <c r="N49" i="17" s="1"/>
  <c r="DP49" i="6"/>
  <c r="DT49" i="6" s="1"/>
  <c r="N60" i="17" s="1"/>
  <c r="DP37" i="6"/>
  <c r="DT37" i="6" s="1"/>
  <c r="N48" i="17" s="1"/>
  <c r="DP50" i="6"/>
  <c r="DT50" i="6" s="1"/>
  <c r="N61" i="17" s="1"/>
  <c r="DP26" i="6"/>
  <c r="DT26" i="6" s="1"/>
  <c r="N37" i="17" s="1"/>
  <c r="DP11" i="6"/>
  <c r="DP13" i="6"/>
  <c r="DP10" i="6"/>
  <c r="DP32" i="6"/>
  <c r="DT32" i="6" s="1"/>
  <c r="N43" i="17" s="1"/>
  <c r="DP21" i="6"/>
  <c r="DT21" i="6" s="1"/>
  <c r="N32" i="17" s="1"/>
  <c r="DP14" i="6"/>
  <c r="DP53" i="6"/>
  <c r="DT53" i="6" s="1"/>
  <c r="N64" i="17" s="1"/>
  <c r="DP12" i="6"/>
  <c r="DP27" i="6"/>
  <c r="DT27" i="6" s="1"/>
  <c r="N38" i="17" s="1"/>
  <c r="DP47" i="6"/>
  <c r="DT47" i="6" s="1"/>
  <c r="N58" i="17" s="1"/>
  <c r="DP6" i="6"/>
  <c r="DT6" i="6" s="1"/>
  <c r="DP25" i="6"/>
  <c r="DT25" i="6" s="1"/>
  <c r="N36" i="17" s="1"/>
  <c r="DP43" i="6"/>
  <c r="DT43" i="6" s="1"/>
  <c r="N54" i="17" s="1"/>
  <c r="DP9" i="6"/>
  <c r="DP39" i="6"/>
  <c r="DT39" i="6" s="1"/>
  <c r="N50" i="17" s="1"/>
  <c r="DP5" i="6"/>
  <c r="DT5" i="6" s="1"/>
  <c r="DP24" i="6"/>
  <c r="DT24" i="6" s="1"/>
  <c r="N35" i="17" s="1"/>
  <c r="DP52" i="6"/>
  <c r="DT52" i="6" s="1"/>
  <c r="N63" i="17" s="1"/>
  <c r="DP51" i="6"/>
  <c r="DT51" i="6" s="1"/>
  <c r="N62" i="17" s="1"/>
  <c r="DP29" i="6"/>
  <c r="DT29" i="6" s="1"/>
  <c r="N40" i="17" s="1"/>
  <c r="DP7" i="6"/>
  <c r="DT7" i="6" s="1"/>
  <c r="DP16" i="6"/>
  <c r="DT16" i="6" s="1"/>
  <c r="N27" i="17" s="1"/>
  <c r="DP15" i="6"/>
  <c r="DP19" i="6"/>
  <c r="DT19" i="6" s="1"/>
  <c r="N30" i="17" s="1"/>
  <c r="EE7" i="6"/>
  <c r="EE8" i="6" s="1"/>
  <c r="DP42" i="6"/>
  <c r="DT42" i="6" s="1"/>
  <c r="N53" i="17" s="1"/>
  <c r="DP4" i="6"/>
  <c r="DT4" i="6" s="1"/>
  <c r="DP31" i="6"/>
  <c r="DT31" i="6" s="1"/>
  <c r="N42" i="17" s="1"/>
  <c r="DP41" i="6"/>
  <c r="DT41" i="6" s="1"/>
  <c r="N52" i="17" s="1"/>
  <c r="DP8" i="6"/>
  <c r="DP17" i="6"/>
  <c r="DT17" i="6" s="1"/>
  <c r="N28" i="17" s="1"/>
  <c r="DP40" i="6"/>
  <c r="DT40" i="6" s="1"/>
  <c r="N51" i="17" s="1"/>
  <c r="DP28" i="6"/>
  <c r="DT28" i="6" s="1"/>
  <c r="N39" i="17" s="1"/>
  <c r="DP30" i="6"/>
  <c r="DT30" i="6" s="1"/>
  <c r="N41" i="17" s="1"/>
  <c r="DP18" i="6"/>
  <c r="DT18" i="6" s="1"/>
  <c r="N29" i="17" s="1"/>
  <c r="F70" i="17"/>
  <c r="DP44" i="6"/>
  <c r="DT44" i="6" s="1"/>
  <c r="N55" i="17" s="1"/>
  <c r="DP20" i="6"/>
  <c r="DT20" i="6" s="1"/>
  <c r="N31" i="17" s="1"/>
  <c r="DP55" i="6"/>
  <c r="DT55" i="6" s="1"/>
  <c r="N66" i="17" s="1"/>
  <c r="DP54" i="6"/>
  <c r="DT54" i="6" s="1"/>
  <c r="N65" i="17" s="1"/>
  <c r="DS9" i="6" l="1"/>
  <c r="DT9" i="6" s="1"/>
  <c r="N20" i="17" s="1"/>
  <c r="DS10" i="6"/>
  <c r="DS8" i="6"/>
  <c r="M19" i="17" s="1"/>
  <c r="T19" i="17" s="1"/>
  <c r="DX5" i="6"/>
  <c r="N16" i="17"/>
  <c r="DX23" i="6"/>
  <c r="T34" i="17" s="1"/>
  <c r="DX7" i="6"/>
  <c r="N18" i="17"/>
  <c r="DX4" i="6"/>
  <c r="N15" i="17"/>
  <c r="DX6" i="6"/>
  <c r="N17" i="17"/>
  <c r="DX22" i="6"/>
  <c r="T33" i="17" s="1"/>
  <c r="U47" i="17"/>
  <c r="U34" i="17"/>
  <c r="DX30" i="6"/>
  <c r="T41" i="17" s="1"/>
  <c r="DX42" i="6"/>
  <c r="DX52" i="6"/>
  <c r="T63" i="17" s="1"/>
  <c r="DX47" i="6"/>
  <c r="T58" i="17" s="1"/>
  <c r="U46" i="17"/>
  <c r="U59" i="17"/>
  <c r="DX24" i="6"/>
  <c r="T35" i="17" s="1"/>
  <c r="DX27" i="6"/>
  <c r="T38" i="17" s="1"/>
  <c r="DX54" i="6"/>
  <c r="T65" i="17" s="1"/>
  <c r="DX40" i="6"/>
  <c r="T51" i="17" s="1"/>
  <c r="DX19" i="6"/>
  <c r="DX26" i="6"/>
  <c r="T37" i="17" s="1"/>
  <c r="DX18" i="6"/>
  <c r="T29" i="17" s="1"/>
  <c r="DX28" i="6"/>
  <c r="T39" i="17" s="1"/>
  <c r="DX17" i="6"/>
  <c r="T28" i="17" s="1"/>
  <c r="DX39" i="6"/>
  <c r="T50" i="17" s="1"/>
  <c r="DX53" i="6"/>
  <c r="T64" i="17" s="1"/>
  <c r="DX50" i="6"/>
  <c r="T61" i="17" s="1"/>
  <c r="U33" i="17"/>
  <c r="U56" i="17"/>
  <c r="DX55" i="6"/>
  <c r="T66" i="17" s="1"/>
  <c r="DX16" i="6"/>
  <c r="DX37" i="6"/>
  <c r="T48" i="17" s="1"/>
  <c r="DX44" i="6"/>
  <c r="T55" i="17" s="1"/>
  <c r="DX41" i="6"/>
  <c r="T52" i="17" s="1"/>
  <c r="DX43" i="6"/>
  <c r="T54" i="17" s="1"/>
  <c r="DX21" i="6"/>
  <c r="T32" i="17" s="1"/>
  <c r="DX49" i="6"/>
  <c r="T60" i="17" s="1"/>
  <c r="DX51" i="6"/>
  <c r="T62" i="17" s="1"/>
  <c r="DX20" i="6"/>
  <c r="T31" i="17" s="1"/>
  <c r="DX31" i="6"/>
  <c r="T42" i="17" s="1"/>
  <c r="DX29" i="6"/>
  <c r="T40" i="17" s="1"/>
  <c r="DX25" i="6"/>
  <c r="T36" i="17" s="1"/>
  <c r="DX32" i="6"/>
  <c r="T43" i="17" s="1"/>
  <c r="DX38" i="6"/>
  <c r="T49" i="17" s="1"/>
  <c r="DT10" i="6"/>
  <c r="N21" i="17" s="1"/>
  <c r="DS13" i="6"/>
  <c r="M24" i="17" s="1"/>
  <c r="DS14" i="6"/>
  <c r="M25" i="17" s="1"/>
  <c r="DS15" i="6"/>
  <c r="M26" i="17" s="1"/>
  <c r="DS12" i="6"/>
  <c r="M23" i="17" s="1"/>
  <c r="DS11" i="6"/>
  <c r="M22" i="17" s="1"/>
  <c r="T16" i="17"/>
  <c r="DU5" i="6"/>
  <c r="T18" i="17"/>
  <c r="DU7" i="6"/>
  <c r="T15" i="17"/>
  <c r="T17" i="17"/>
  <c r="DU4" i="6"/>
  <c r="DU6" i="6"/>
  <c r="DU8" i="6" l="1"/>
  <c r="DU10" i="6"/>
  <c r="M21" i="17"/>
  <c r="T21" i="17" s="1"/>
  <c r="DU9" i="6"/>
  <c r="M20" i="17"/>
  <c r="T20" i="17" s="1"/>
  <c r="DT8" i="6"/>
  <c r="DX9" i="6"/>
  <c r="DX10" i="6"/>
  <c r="U53" i="17"/>
  <c r="U63" i="17"/>
  <c r="U35" i="17"/>
  <c r="U37" i="17"/>
  <c r="U36" i="17"/>
  <c r="U38" i="17"/>
  <c r="U64" i="17"/>
  <c r="U50" i="17"/>
  <c r="U51" i="17"/>
  <c r="U54" i="17"/>
  <c r="U66" i="17"/>
  <c r="U30" i="17"/>
  <c r="U31" i="17"/>
  <c r="U52" i="17"/>
  <c r="U39" i="17"/>
  <c r="U43" i="17"/>
  <c r="U62" i="17"/>
  <c r="U29" i="17"/>
  <c r="U65" i="17"/>
  <c r="U58" i="17"/>
  <c r="DT14" i="6"/>
  <c r="N25" i="17" s="1"/>
  <c r="DT15" i="6"/>
  <c r="N26" i="17" s="1"/>
  <c r="DT13" i="6"/>
  <c r="N24" i="17" s="1"/>
  <c r="AD26" i="36"/>
  <c r="C26" i="36"/>
  <c r="AD25" i="36"/>
  <c r="C25" i="36"/>
  <c r="U40" i="17"/>
  <c r="U60" i="17"/>
  <c r="U55" i="17"/>
  <c r="U28" i="17"/>
  <c r="DT12" i="6"/>
  <c r="N23" i="17" s="1"/>
  <c r="U49" i="17"/>
  <c r="U42" i="17"/>
  <c r="U32" i="17"/>
  <c r="U48" i="17"/>
  <c r="U61" i="17"/>
  <c r="DT11" i="6"/>
  <c r="N22" i="17" s="1"/>
  <c r="U17" i="17"/>
  <c r="U18" i="17"/>
  <c r="U15" i="17"/>
  <c r="U16" i="17"/>
  <c r="DU13" i="6"/>
  <c r="DU11" i="6"/>
  <c r="DU14" i="6"/>
  <c r="DU12" i="6"/>
  <c r="DU15" i="6"/>
  <c r="AD7" i="36"/>
  <c r="C7" i="36"/>
  <c r="C23" i="36"/>
  <c r="AD23" i="36"/>
  <c r="AD27" i="36"/>
  <c r="C27" i="36"/>
  <c r="AD46" i="36"/>
  <c r="C46" i="36"/>
  <c r="AD45" i="36"/>
  <c r="C45" i="36"/>
  <c r="AD24" i="36"/>
  <c r="C24" i="36"/>
  <c r="AD6" i="36"/>
  <c r="C6" i="36"/>
  <c r="AD38" i="36"/>
  <c r="C38" i="36"/>
  <c r="AD17" i="36"/>
  <c r="AD37" i="36"/>
  <c r="C37" i="36"/>
  <c r="AD33" i="36"/>
  <c r="C33" i="36"/>
  <c r="AD30" i="36"/>
  <c r="C22" i="36"/>
  <c r="AD20" i="36"/>
  <c r="AD35" i="36"/>
  <c r="C35" i="36"/>
  <c r="AD29" i="36"/>
  <c r="C20" i="36"/>
  <c r="U41" i="17"/>
  <c r="C28" i="36"/>
  <c r="C17" i="36"/>
  <c r="C30" i="36"/>
  <c r="C29" i="36"/>
  <c r="T30" i="17"/>
  <c r="T53" i="17"/>
  <c r="AD34" i="36" s="1"/>
  <c r="T27" i="17"/>
  <c r="C48" i="36" s="1"/>
  <c r="U21" i="17" l="1"/>
  <c r="U20" i="17"/>
  <c r="AE9" i="36" s="1"/>
  <c r="N19" i="17"/>
  <c r="U19" i="17" s="1"/>
  <c r="DX8" i="6"/>
  <c r="AD18" i="36"/>
  <c r="AD28" i="36"/>
  <c r="AE26" i="36"/>
  <c r="AE25" i="36"/>
  <c r="D26" i="36"/>
  <c r="D25" i="36"/>
  <c r="DX12" i="6"/>
  <c r="T23" i="17" s="1"/>
  <c r="AD53" i="36" s="1"/>
  <c r="DX11" i="6"/>
  <c r="T22" i="17" s="1"/>
  <c r="C10" i="36" s="1"/>
  <c r="DX13" i="6"/>
  <c r="T24" i="17" s="1"/>
  <c r="AD54" i="36" s="1"/>
  <c r="DX15" i="6"/>
  <c r="T26" i="17" s="1"/>
  <c r="C15" i="36" s="1"/>
  <c r="DX14" i="6"/>
  <c r="T25" i="17" s="1"/>
  <c r="EA3" i="6"/>
  <c r="D36" i="40" s="1"/>
  <c r="F36" i="40" s="1"/>
  <c r="EE10" i="6"/>
  <c r="AD5" i="36"/>
  <c r="C5" i="36"/>
  <c r="AD22" i="36"/>
  <c r="D23" i="36"/>
  <c r="AD48" i="36"/>
  <c r="C44" i="36"/>
  <c r="C51" i="36"/>
  <c r="AD44" i="36"/>
  <c r="C43" i="36"/>
  <c r="C21" i="36"/>
  <c r="D21" i="36" s="1"/>
  <c r="AD21" i="36"/>
  <c r="AD47" i="36"/>
  <c r="C47" i="36"/>
  <c r="AE23" i="36"/>
  <c r="C18" i="36"/>
  <c r="D18" i="36" s="1"/>
  <c r="AE27" i="36"/>
  <c r="D27" i="36"/>
  <c r="C34" i="36"/>
  <c r="D34" i="36" s="1"/>
  <c r="AD8" i="36"/>
  <c r="C8" i="36"/>
  <c r="AE34" i="36"/>
  <c r="AE6" i="36"/>
  <c r="D6" i="36"/>
  <c r="D24" i="36"/>
  <c r="AE24" i="36"/>
  <c r="AD4" i="36"/>
  <c r="C4" i="36"/>
  <c r="AE45" i="36"/>
  <c r="D45" i="36"/>
  <c r="D30" i="36"/>
  <c r="AE20" i="36"/>
  <c r="AE22" i="36"/>
  <c r="AE21" i="36"/>
  <c r="AE18" i="36"/>
  <c r="AE38" i="36"/>
  <c r="C32" i="36"/>
  <c r="AE19" i="36"/>
  <c r="AE28" i="36"/>
  <c r="AE29" i="36"/>
  <c r="AD32" i="36"/>
  <c r="AD9" i="36"/>
  <c r="C9" i="36"/>
  <c r="AD31" i="36"/>
  <c r="C31" i="36"/>
  <c r="AE17" i="36"/>
  <c r="AE37" i="36"/>
  <c r="AE30" i="36"/>
  <c r="D33" i="36"/>
  <c r="D38" i="36"/>
  <c r="D22" i="36"/>
  <c r="AE33" i="36"/>
  <c r="AD16" i="36"/>
  <c r="AD36" i="36"/>
  <c r="C36" i="36"/>
  <c r="D37" i="36"/>
  <c r="D17" i="36"/>
  <c r="D29" i="36"/>
  <c r="AD19" i="36"/>
  <c r="C19" i="36"/>
  <c r="D19" i="36" s="1"/>
  <c r="C16" i="36"/>
  <c r="AD42" i="36"/>
  <c r="C42" i="36"/>
  <c r="D28" i="36"/>
  <c r="D20" i="36"/>
  <c r="U27" i="17"/>
  <c r="AE48" i="36" s="1"/>
  <c r="D9" i="36" l="1"/>
  <c r="AD10" i="36"/>
  <c r="AD43" i="36"/>
  <c r="AD40" i="36"/>
  <c r="C40" i="36"/>
  <c r="C39" i="36"/>
  <c r="AD39" i="36"/>
  <c r="C54" i="36"/>
  <c r="D44" i="36"/>
  <c r="AD41" i="36"/>
  <c r="C41" i="36"/>
  <c r="C52" i="36"/>
  <c r="D52" i="36" s="1"/>
  <c r="AD55" i="36"/>
  <c r="C53" i="36"/>
  <c r="AD52" i="36"/>
  <c r="AD50" i="36"/>
  <c r="C50" i="36"/>
  <c r="C13" i="36"/>
  <c r="C55" i="36"/>
  <c r="AD49" i="36"/>
  <c r="C49" i="36"/>
  <c r="AD51" i="36"/>
  <c r="AD15" i="36"/>
  <c r="AD12" i="36"/>
  <c r="C11" i="36"/>
  <c r="AD11" i="36"/>
  <c r="C12" i="36"/>
  <c r="U22" i="17"/>
  <c r="AE39" i="36" s="1"/>
  <c r="U23" i="17"/>
  <c r="U24" i="17"/>
  <c r="M70" i="17"/>
  <c r="D29" i="18" s="1"/>
  <c r="G29" i="18" s="1"/>
  <c r="AD13" i="36"/>
  <c r="U26" i="17"/>
  <c r="AE15" i="36" s="1"/>
  <c r="U25" i="17"/>
  <c r="D42" i="36" s="1"/>
  <c r="C14" i="36"/>
  <c r="AD14" i="36"/>
  <c r="D5" i="36"/>
  <c r="AE5" i="36"/>
  <c r="D48" i="36"/>
  <c r="AE44" i="36"/>
  <c r="AE55" i="36"/>
  <c r="D46" i="36"/>
  <c r="AE46" i="36"/>
  <c r="D47" i="36"/>
  <c r="AE47" i="36"/>
  <c r="AE10" i="36"/>
  <c r="D7" i="36"/>
  <c r="AE7" i="36"/>
  <c r="D8" i="36"/>
  <c r="AE8" i="36"/>
  <c r="AE16" i="36"/>
  <c r="AE36" i="36"/>
  <c r="AE35" i="36"/>
  <c r="D31" i="36"/>
  <c r="AE31" i="36"/>
  <c r="D36" i="36"/>
  <c r="D32" i="36"/>
  <c r="D35" i="36"/>
  <c r="AE32" i="36"/>
  <c r="D16" i="36"/>
  <c r="D4" i="36" l="1"/>
  <c r="AE42" i="36"/>
  <c r="AE4" i="36"/>
  <c r="D43" i="36"/>
  <c r="D54" i="36"/>
  <c r="AE41" i="36"/>
  <c r="D41" i="36"/>
  <c r="AE40" i="36"/>
  <c r="D40" i="36"/>
  <c r="D39" i="36"/>
  <c r="D14" i="36"/>
  <c r="D55" i="36"/>
  <c r="AE54" i="36"/>
  <c r="AE52" i="36"/>
  <c r="D53" i="36"/>
  <c r="AE53" i="36"/>
  <c r="D13" i="36"/>
  <c r="AE51" i="36"/>
  <c r="D51" i="36"/>
  <c r="AE43" i="36"/>
  <c r="D50" i="36"/>
  <c r="AE50" i="36"/>
  <c r="D10" i="36"/>
  <c r="D49" i="36"/>
  <c r="AE49" i="36"/>
  <c r="D11" i="36"/>
  <c r="AE13" i="36"/>
  <c r="D12" i="36"/>
  <c r="AE14" i="36"/>
  <c r="C5" i="37"/>
  <c r="N70" i="17"/>
  <c r="C6" i="37" s="1"/>
  <c r="AE11" i="36"/>
  <c r="D15" i="36"/>
  <c r="AE12" i="36"/>
  <c r="D28" i="18" l="1"/>
  <c r="G28" i="18" s="1"/>
  <c r="N71" i="1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A11" authorId="0" shapeId="0" xr:uid="{00000000-0006-0000-0400-000001000000}">
      <text>
        <r>
          <rPr>
            <sz val="9"/>
            <color indexed="81"/>
            <rFont val="Tahoma"/>
            <family val="2"/>
          </rPr>
          <t xml:space="preserve">If your service has multiple types of intervention, and records demand in separate streams of data, then you may need to split it into several modalities. 
An example of this would be a diagnostic service, where you may have different types of X-rays, each of which may take a slightly different amount of time to complete.
</t>
        </r>
      </text>
    </comment>
    <comment ref="A13" authorId="0" shapeId="0" xr:uid="{00000000-0006-0000-0400-000002000000}">
      <text>
        <r>
          <rPr>
            <sz val="9"/>
            <color indexed="81"/>
            <rFont val="Tahoma"/>
            <family val="2"/>
          </rPr>
          <t>If your elective capacity is also regularly used for planned, or scheduled activity such as routine screenings, then you will need to estimate how much of your elective capacity needs to be reserved (or 'carved out') for this purpose.
An example of the type of activity that would fall into this category is planned CT scans following cancer treatment.</t>
        </r>
      </text>
    </comment>
    <comment ref="A15" authorId="0" shapeId="0" xr:uid="{00000000-0006-0000-0400-000003000000}">
      <text>
        <r>
          <rPr>
            <sz val="9"/>
            <color indexed="81"/>
            <rFont val="Tahoma"/>
            <family val="2"/>
          </rPr>
          <t>If your elective capacity is also regularly used for same-day, or emergency activity, then you will need to estimate how much of your elective capacity needs to be reserved (or 'carved out') for this purpose.
An example of the kind of activity that falls into this category is a walk-in patient who is seen on the same day.</t>
        </r>
      </text>
    </comment>
    <comment ref="A17" authorId="0" shapeId="0" xr:uid="{00000000-0006-0000-0400-000004000000}">
      <text>
        <r>
          <rPr>
            <sz val="9"/>
            <color indexed="81"/>
            <rFont val="Tahoma"/>
            <family val="2"/>
          </rPr>
          <t>Choose whatever units are most applicable to your service. 
If you have multiple modalities, where the clinic slots are different lengths, you can either estimate the typical clinic slot lengths for each modality, or normalise your clinics to a standard baseline.
An example of this would be 2 types of follow up appointments, where one (a) takes 20 minutes and the other (b) takes 30 minutes. 
You could use (a) as your baseline for a single slot, so (b) is effectively 1.5 slots.</t>
        </r>
      </text>
    </comment>
    <comment ref="A19" authorId="0" shapeId="0" xr:uid="{00000000-0006-0000-0400-000005000000}">
      <text>
        <r>
          <rPr>
            <sz val="9"/>
            <color indexed="81"/>
            <rFont val="Tahoma"/>
            <family val="2"/>
          </rPr>
          <t>The lower bound for percentile calculation is used to estimate the lower range of required capacity. 
This is normally set to the 65th percentile of variation of demand, and will be suitable for most services. 
If your service is highly variable, or has a high urgency profile (eg cancer or other 2 week wait services), then it may be appropriate to choose a higher percentile value.
The trade off with a higher percentile value is that the required capacity estimate will be higher, therefore incurring higher resourcing costs.</t>
        </r>
      </text>
    </comment>
    <comment ref="A21" authorId="0" shapeId="0" xr:uid="{00000000-0006-0000-0400-000006000000}">
      <text>
        <r>
          <rPr>
            <sz val="9"/>
            <color indexed="81"/>
            <rFont val="Tahoma"/>
            <family val="2"/>
          </rPr>
          <t xml:space="preserve">This will set the names of the different levels of urgency. 
Note that the model will automatically calculate the proportion of different urgencies based on the demand data you have entered, and the baseline period you select in the 'SPC Chart' section. </t>
        </r>
      </text>
    </comment>
    <comment ref="G26" authorId="0" shapeId="0" xr:uid="{00000000-0006-0000-0400-000007000000}">
      <text>
        <r>
          <rPr>
            <sz val="9"/>
            <color indexed="81"/>
            <rFont val="Tahoma"/>
            <family val="2"/>
          </rPr>
          <t>Update this field with the most current waiting list information you possess - this will help you track your waiting list position against the calculated sustainable wait size.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6" authorId="0" shapeId="0" xr:uid="{00000000-0006-0000-0500-000001000000}">
      <text>
        <r>
          <rPr>
            <sz val="9"/>
            <color indexed="81"/>
            <rFont val="Tahoma"/>
            <family val="2"/>
          </rPr>
          <t xml:space="preserve">Enter the date that your demand data starts from here. 
You can enter up to </t>
        </r>
        <r>
          <rPr>
            <b/>
            <sz val="9"/>
            <color indexed="81"/>
            <rFont val="Tahoma"/>
            <family val="2"/>
          </rPr>
          <t>five years</t>
        </r>
        <r>
          <rPr>
            <sz val="9"/>
            <color indexed="81"/>
            <rFont val="Tahoma"/>
            <family val="2"/>
          </rPr>
          <t xml:space="preserve"> worth of data, aggregated by week, for each modality.
If you do not enter anything, the worksheet will assume a generic 'week' number (starting at the first week calendar week of the year).
Please ensure that your demand data includes all sources of demand for your service, and is as clean as possible (ie. removal of duplicate entries, and other such data quality errors).</t>
        </r>
      </text>
    </comment>
    <comment ref="B8" authorId="0" shapeId="0" xr:uid="{CE727B19-85FB-410A-BDBE-5134AC150B92}">
      <text>
        <r>
          <rPr>
            <sz val="9"/>
            <color indexed="81"/>
            <rFont val="Tahoma"/>
            <family val="2"/>
          </rPr>
          <t>Enter your data as either:
Historic demand: The sheet will estimate the 65th to 85th percentile from the variation of demand that you have entered and use this as the basis of future demand.
Your own forecast: If you have generated your own forecast, you can enter it directly here. We will include a range, which for the sake of simplicity will be based on a 10% margin either side of your entered value.</t>
        </r>
      </text>
    </comment>
    <comment ref="BC10" authorId="0" shapeId="0" xr:uid="{00000000-0006-0000-0500-000002000000}">
      <text>
        <r>
          <rPr>
            <b/>
            <sz val="9"/>
            <color indexed="81"/>
            <rFont val="Tahoma"/>
            <family val="2"/>
          </rPr>
          <t xml:space="preserve">Important note:
</t>
        </r>
        <r>
          <rPr>
            <sz val="9"/>
            <color indexed="81"/>
            <rFont val="Tahoma"/>
            <family val="2"/>
          </rPr>
          <t xml:space="preserve">This shows total </t>
        </r>
        <r>
          <rPr>
            <b/>
            <sz val="9"/>
            <color indexed="81"/>
            <rFont val="Tahoma"/>
            <family val="2"/>
          </rPr>
          <t xml:space="preserve">elective </t>
        </r>
        <r>
          <rPr>
            <sz val="9"/>
            <color indexed="81"/>
            <rFont val="Tahoma"/>
            <family val="2"/>
          </rPr>
          <t xml:space="preserve">care demand only.
</t>
        </r>
      </text>
    </comment>
    <comment ref="BE10" authorId="0" shapeId="0" xr:uid="{00000000-0006-0000-0500-000003000000}">
      <text>
        <r>
          <rPr>
            <b/>
            <sz val="9"/>
            <color indexed="81"/>
            <rFont val="Tahoma"/>
            <family val="2"/>
          </rPr>
          <t xml:space="preserve">Use this option with care
</t>
        </r>
        <r>
          <rPr>
            <sz val="9"/>
            <color indexed="81"/>
            <rFont val="Tahoma"/>
            <family val="2"/>
          </rPr>
          <t xml:space="preserve">
Select 'Yes' to exclude data points for a given date from being used in calculations. 
Only use this function for events that have been investigated and confirmed as one-off events that are unlikely to occur again, and may unduly bias your data.
If you have any doubts about using this option, it is probably safer to keep the data points in your analysis.
</t>
        </r>
      </text>
    </comment>
    <comment ref="I12" authorId="0" shapeId="0" xr:uid="{00000000-0006-0000-0500-000004000000}">
      <text>
        <r>
          <rPr>
            <b/>
            <sz val="9"/>
            <color indexed="81"/>
            <rFont val="Tahoma"/>
            <family val="2"/>
          </rPr>
          <t xml:space="preserve">Important note:
</t>
        </r>
        <r>
          <rPr>
            <sz val="9"/>
            <color indexed="81"/>
            <rFont val="Tahoma"/>
            <family val="2"/>
          </rPr>
          <t xml:space="preserve">This shows </t>
        </r>
        <r>
          <rPr>
            <b/>
            <sz val="9"/>
            <color indexed="81"/>
            <rFont val="Tahoma"/>
            <family val="2"/>
          </rPr>
          <t xml:space="preserve">elective </t>
        </r>
        <r>
          <rPr>
            <sz val="9"/>
            <color indexed="81"/>
            <rFont val="Tahoma"/>
            <family val="2"/>
          </rPr>
          <t>care demand total only</t>
        </r>
      </text>
    </comment>
    <comment ref="N12" authorId="0" shapeId="0" xr:uid="{00000000-0006-0000-0500-000005000000}">
      <text>
        <r>
          <rPr>
            <b/>
            <sz val="9"/>
            <color indexed="81"/>
            <rFont val="Tahoma"/>
            <family val="2"/>
          </rPr>
          <t>Important note:</t>
        </r>
        <r>
          <rPr>
            <sz val="9"/>
            <color indexed="81"/>
            <rFont val="Tahoma"/>
            <family val="2"/>
          </rPr>
          <t xml:space="preserve">
This shows </t>
        </r>
        <r>
          <rPr>
            <b/>
            <sz val="9"/>
            <color indexed="81"/>
            <rFont val="Tahoma"/>
            <family val="2"/>
          </rPr>
          <t>elective</t>
        </r>
        <r>
          <rPr>
            <sz val="9"/>
            <color indexed="81"/>
            <rFont val="Tahoma"/>
            <family val="2"/>
          </rPr>
          <t xml:space="preserve"> care demand total only
</t>
        </r>
      </text>
    </comment>
    <comment ref="S12" authorId="0" shapeId="0" xr:uid="{00000000-0006-0000-0500-000006000000}">
      <text>
        <r>
          <rPr>
            <b/>
            <sz val="9"/>
            <color indexed="81"/>
            <rFont val="Tahoma"/>
            <family val="2"/>
          </rPr>
          <t>Important note:</t>
        </r>
        <r>
          <rPr>
            <sz val="9"/>
            <color indexed="81"/>
            <rFont val="Tahoma"/>
            <family val="2"/>
          </rPr>
          <t xml:space="preserve">
This shows </t>
        </r>
        <r>
          <rPr>
            <b/>
            <sz val="9"/>
            <color indexed="81"/>
            <rFont val="Tahoma"/>
            <family val="2"/>
          </rPr>
          <t>elective</t>
        </r>
        <r>
          <rPr>
            <sz val="9"/>
            <color indexed="81"/>
            <rFont val="Tahoma"/>
            <family val="2"/>
          </rPr>
          <t xml:space="preserve"> care demand total only
</t>
        </r>
      </text>
    </comment>
    <comment ref="X12" authorId="0" shapeId="0" xr:uid="{00000000-0006-0000-0500-000007000000}">
      <text>
        <r>
          <rPr>
            <b/>
            <sz val="9"/>
            <color indexed="81"/>
            <rFont val="Tahoma"/>
            <family val="2"/>
          </rPr>
          <t>Important note:</t>
        </r>
        <r>
          <rPr>
            <sz val="9"/>
            <color indexed="81"/>
            <rFont val="Tahoma"/>
            <family val="2"/>
          </rPr>
          <t xml:space="preserve">
This shows </t>
        </r>
        <r>
          <rPr>
            <b/>
            <sz val="9"/>
            <color indexed="81"/>
            <rFont val="Tahoma"/>
            <family val="2"/>
          </rPr>
          <t>elective</t>
        </r>
        <r>
          <rPr>
            <sz val="9"/>
            <color indexed="81"/>
            <rFont val="Tahoma"/>
            <family val="2"/>
          </rPr>
          <t xml:space="preserve"> care demand total only
</t>
        </r>
      </text>
    </comment>
    <comment ref="AC12" authorId="0" shapeId="0" xr:uid="{00000000-0006-0000-0500-000008000000}">
      <text>
        <r>
          <rPr>
            <b/>
            <sz val="9"/>
            <color indexed="81"/>
            <rFont val="Tahoma"/>
            <family val="2"/>
          </rPr>
          <t xml:space="preserve">Important note:
</t>
        </r>
        <r>
          <rPr>
            <sz val="9"/>
            <color indexed="81"/>
            <rFont val="Tahoma"/>
            <family val="2"/>
          </rPr>
          <t xml:space="preserve">This shows </t>
        </r>
        <r>
          <rPr>
            <b/>
            <sz val="9"/>
            <color indexed="81"/>
            <rFont val="Tahoma"/>
            <family val="2"/>
          </rPr>
          <t xml:space="preserve">elective </t>
        </r>
        <r>
          <rPr>
            <sz val="9"/>
            <color indexed="81"/>
            <rFont val="Tahoma"/>
            <family val="2"/>
          </rPr>
          <t>care demand total only</t>
        </r>
      </text>
    </comment>
    <comment ref="AH12" authorId="0" shapeId="0" xr:uid="{00000000-0006-0000-0500-000009000000}">
      <text>
        <r>
          <rPr>
            <b/>
            <sz val="9"/>
            <color indexed="81"/>
            <rFont val="Tahoma"/>
            <family val="2"/>
          </rPr>
          <t xml:space="preserve">Important note:
</t>
        </r>
        <r>
          <rPr>
            <sz val="9"/>
            <color indexed="81"/>
            <rFont val="Tahoma"/>
            <family val="2"/>
          </rPr>
          <t xml:space="preserve">This shows </t>
        </r>
        <r>
          <rPr>
            <b/>
            <sz val="9"/>
            <color indexed="81"/>
            <rFont val="Tahoma"/>
            <family val="2"/>
          </rPr>
          <t>elective</t>
        </r>
        <r>
          <rPr>
            <sz val="9"/>
            <color indexed="81"/>
            <rFont val="Tahoma"/>
            <family val="2"/>
          </rPr>
          <t xml:space="preserve"> care demand total only
</t>
        </r>
      </text>
    </comment>
    <comment ref="AM12" authorId="0" shapeId="0" xr:uid="{00000000-0006-0000-0500-00000A000000}">
      <text>
        <r>
          <rPr>
            <b/>
            <sz val="9"/>
            <color indexed="81"/>
            <rFont val="Tahoma"/>
            <family val="2"/>
          </rPr>
          <t xml:space="preserve">Important note:
</t>
        </r>
        <r>
          <rPr>
            <sz val="9"/>
            <color indexed="81"/>
            <rFont val="Tahoma"/>
            <family val="2"/>
          </rPr>
          <t xml:space="preserve">This shows </t>
        </r>
        <r>
          <rPr>
            <b/>
            <sz val="9"/>
            <color indexed="81"/>
            <rFont val="Tahoma"/>
            <family val="2"/>
          </rPr>
          <t>elective</t>
        </r>
        <r>
          <rPr>
            <sz val="9"/>
            <color indexed="81"/>
            <rFont val="Tahoma"/>
            <family val="2"/>
          </rPr>
          <t xml:space="preserve"> care demand total only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G4" authorId="0" shapeId="0" xr:uid="{00000000-0006-0000-0600-000001000000}">
      <text>
        <r>
          <rPr>
            <sz val="9"/>
            <color indexed="81"/>
            <rFont val="Tahoma"/>
            <family val="2"/>
          </rPr>
          <t>Dev note - Formula used:
Sum based on modality and selected length of baseline period in SPC chart. 
Note this is total baseline period, including all seasons.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E33" authorId="0" shapeId="0" xr:uid="{669B9516-BB61-45A9-A6E5-C66957159A0B}">
      <text>
        <r>
          <rPr>
            <sz val="9"/>
            <color indexed="81"/>
            <rFont val="Tahoma"/>
            <family val="2"/>
          </rPr>
          <t>What proportion of patients do you expect to not return?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C1" authorId="0" shapeId="0" xr:uid="{00000000-0006-0000-0700-000001000000}">
      <text>
        <r>
          <rPr>
            <sz val="9"/>
            <color indexed="81"/>
            <rFont val="Tahoma"/>
            <family val="2"/>
          </rPr>
          <t>This sheet allows you to set the baseline that you will use to estimate your future demand.
You can select up to 52 weeks of historic demand data, which can be further divided into seasons - up to 4 - using the options to the left of the sheet.
The baseline period should appear as a set of shaded blocks to the right.
Please make sure you investigate any exception markers (labelled 1, 2, 3, 4) and have a clear understanding of your data before proceeding to the next parts of the model.
Please note that your demand data has been transformed into the units you originally selected in the 'Setup' sheet - this is so the demand shown here better reflects the impact of a given patient on your workload.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Khunpha, Keith</author>
    <author>Sai</author>
  </authors>
  <commentList>
    <comment ref="B3" authorId="0" shapeId="0" xr:uid="{00000000-0006-0000-0C00-000001000000}">
      <text>
        <r>
          <rPr>
            <sz val="9"/>
            <color indexed="81"/>
            <rFont val="Tahoma"/>
            <family val="2"/>
          </rPr>
          <t>If you do not enter a value here, the program will assume a start date of today.</t>
        </r>
      </text>
    </comment>
    <comment ref="B4" authorId="1" shapeId="0" xr:uid="{00000000-0006-0000-0C00-000002000000}">
      <text>
        <r>
          <rPr>
            <sz val="9"/>
            <color indexed="81"/>
            <rFont val="Tahoma"/>
            <family val="2"/>
          </rPr>
          <t>This is automatically set to 1 year after the start date</t>
        </r>
      </text>
    </comment>
    <comment ref="B6" authorId="1" shapeId="0" xr:uid="{00000000-0006-0000-0C00-000003000000}">
      <text>
        <r>
          <rPr>
            <sz val="9"/>
            <color indexed="81"/>
            <rFont val="Tahoma"/>
            <family val="2"/>
          </rPr>
          <t>This method will take a simple approach to calculating capacity:
* Estimate the weeks/year your session is running. Include adjustments for leave, bank holidays etc.
* Estimate how much you will see in a week, in patients/minutes/points.
This is your total yearly capacity, and we will assume that it is delivered evenly across the year.</t>
        </r>
      </text>
    </comment>
    <comment ref="C6" authorId="1" shapeId="0" xr:uid="{00000000-0006-0000-0C00-000004000000}">
      <text>
        <r>
          <rPr>
            <sz val="9"/>
            <color indexed="81"/>
            <rFont val="Tahoma"/>
            <family val="2"/>
          </rPr>
          <t xml:space="preserve">This will reveal some hidden sheets, which will allow you to approach capacity calculation in a more detailed manner.
[Capacity resource configuration] - this will allow you to define key resources which are needed to run your sessions. This may include:
* staff
* facilities
* equipment
You can then enter when these resources are </t>
        </r>
        <r>
          <rPr>
            <b/>
            <sz val="9"/>
            <color indexed="81"/>
            <rFont val="Tahoma"/>
            <family val="2"/>
          </rPr>
          <t>not</t>
        </r>
        <r>
          <rPr>
            <sz val="9"/>
            <color indexed="81"/>
            <rFont val="Tahoma"/>
            <family val="2"/>
          </rPr>
          <t xml:space="preserve"> available, which will help you find potential pinch points in your capacity through the year.
[clinic setup] - this is for your core sessions. You can link these to your key resources, and compare what you </t>
        </r>
        <r>
          <rPr>
            <i/>
            <sz val="9"/>
            <color indexed="81"/>
            <rFont val="Tahoma"/>
            <family val="2"/>
          </rPr>
          <t>thought</t>
        </r>
        <r>
          <rPr>
            <sz val="9"/>
            <color indexed="81"/>
            <rFont val="Tahoma"/>
            <family val="2"/>
          </rPr>
          <t xml:space="preserve"> you could provide against what you </t>
        </r>
        <r>
          <rPr>
            <i/>
            <sz val="9"/>
            <color indexed="81"/>
            <rFont val="Tahoma"/>
            <family val="2"/>
          </rPr>
          <t xml:space="preserve">can </t>
        </r>
        <r>
          <rPr>
            <sz val="9"/>
            <color indexed="81"/>
            <rFont val="Tahoma"/>
            <family val="2"/>
          </rPr>
          <t xml:space="preserve">provide, based on the availability of these key resources.
[ad hoc setup] - </t>
        </r>
      </text>
    </comment>
    <comment ref="B14" authorId="0" shapeId="0" xr:uid="{00000000-0006-0000-0C00-000005000000}">
      <text>
        <r>
          <rPr>
            <sz val="9"/>
            <color indexed="81"/>
            <rFont val="Tahoma"/>
            <family val="2"/>
          </rPr>
          <t xml:space="preserve">Enter your clinic/theatre/session slots here for your </t>
        </r>
        <r>
          <rPr>
            <b/>
            <sz val="9"/>
            <color indexed="81"/>
            <rFont val="Tahoma"/>
            <family val="2"/>
          </rPr>
          <t>core</t>
        </r>
        <r>
          <rPr>
            <sz val="9"/>
            <color indexed="81"/>
            <rFont val="Tahoma"/>
            <family val="2"/>
          </rPr>
          <t xml:space="preserve"> capacity:
This is</t>
        </r>
        <r>
          <rPr>
            <b/>
            <sz val="9"/>
            <color indexed="81"/>
            <rFont val="Tahoma"/>
            <family val="2"/>
          </rPr>
          <t xml:space="preserve"> routine</t>
        </r>
        <r>
          <rPr>
            <sz val="9"/>
            <color indexed="81"/>
            <rFont val="Tahoma"/>
            <family val="2"/>
          </rPr>
          <t xml:space="preserve"> capacity run at </t>
        </r>
        <r>
          <rPr>
            <b/>
            <sz val="9"/>
            <color indexed="81"/>
            <rFont val="Tahoma"/>
            <family val="2"/>
          </rPr>
          <t>normal</t>
        </r>
        <r>
          <rPr>
            <sz val="9"/>
            <color indexed="81"/>
            <rFont val="Tahoma"/>
            <family val="2"/>
          </rPr>
          <t xml:space="preserve"> cost. 
When counting the weeks/year that they run, please take into account:
* Bank holidays for day-specific clinics (eg. Mondays and Fridays)
* Leave - study and annual
* Any other commitments that may affect your capacity availability</t>
        </r>
      </text>
    </comment>
    <comment ref="N14" authorId="0" shapeId="0" xr:uid="{00000000-0006-0000-0C00-000006000000}">
      <text>
        <r>
          <rPr>
            <sz val="9"/>
            <color indexed="81"/>
            <rFont val="Tahoma"/>
            <family val="2"/>
          </rPr>
          <t xml:space="preserve">Enter your clinic/theatre/session slots here for your ad-hoc capacity:
This is any capacity run at </t>
        </r>
        <r>
          <rPr>
            <b/>
            <sz val="9"/>
            <color indexed="81"/>
            <rFont val="Tahoma"/>
            <family val="2"/>
          </rPr>
          <t>plus cost</t>
        </r>
        <r>
          <rPr>
            <sz val="9"/>
            <color indexed="81"/>
            <rFont val="Tahoma"/>
            <family val="2"/>
          </rPr>
          <t xml:space="preserve">. 
Examples of the type of capacity you may include here:
* Planned waiting list initiatives
* Locum sessions
</t>
        </r>
      </text>
    </comment>
    <comment ref="E16" authorId="0" shapeId="0" xr:uid="{00000000-0006-0000-0C00-000007000000}">
      <text>
        <r>
          <rPr>
            <sz val="9"/>
            <color indexed="81"/>
            <rFont val="Tahoma"/>
            <family val="2"/>
          </rPr>
          <t>How often does your session run per year? 
Please ensure you take account of bank holidays:
eg. there will be at least 4 Monday bank holidays a year.
Please also account for leave (study, annual etc.) in your calculation.</t>
        </r>
      </text>
    </comment>
    <comment ref="F16" authorId="0" shapeId="0" xr:uid="{00000000-0006-0000-0C00-000008000000}">
      <text>
        <r>
          <rPr>
            <sz val="9"/>
            <color indexed="81"/>
            <rFont val="Tahoma"/>
            <family val="2"/>
          </rPr>
          <t>Please enter the number of slots/minutes/points etc. that you have per session here.</t>
        </r>
      </text>
    </comment>
    <comment ref="G16" authorId="0" shapeId="0" xr:uid="{00000000-0006-0000-0C00-000009000000}">
      <text>
        <r>
          <rPr>
            <sz val="9"/>
            <color indexed="81"/>
            <rFont val="Tahoma"/>
            <family val="2"/>
          </rPr>
          <t>If you are running a group therapy service, then put the group size here. 
Otherwise, leave this value as 1.</t>
        </r>
      </text>
    </comment>
    <comment ref="S16" authorId="0" shapeId="0" xr:uid="{00000000-0006-0000-0C00-00000A000000}">
      <text>
        <r>
          <rPr>
            <sz val="9"/>
            <color indexed="81"/>
            <rFont val="Tahoma"/>
            <family val="2"/>
          </rPr>
          <t>If you are running a group therapy service, then put the group size here. 
Otherwise, leave this value as 1.</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2" authorId="0" shapeId="0" xr:uid="{00000000-0006-0000-0D00-000001000000}">
      <text>
        <r>
          <rPr>
            <sz val="9"/>
            <color indexed="81"/>
            <rFont val="Tahoma"/>
            <family val="2"/>
          </rPr>
          <t>This sheet can be used to help you anticipate pinch points in your capacity through the year.
If you have a clinical resource that is essential for operating a clinic/list, then list them in the table on the left below.
This can include:
* Key members of staff (eg. consultants)
* Equipment (eg. scanners)
* Facilities (eg. theatres)
You can list up to 5 periods when you know that these resources will not be available.</t>
        </r>
      </text>
    </comment>
    <comment ref="D8" authorId="0" shapeId="0" xr:uid="{00000000-0006-0000-0D00-000002000000}">
      <text>
        <r>
          <rPr>
            <sz val="9"/>
            <color indexed="81"/>
            <rFont val="Tahoma"/>
            <family val="2"/>
          </rPr>
          <t xml:space="preserve">The workbook will accept dates based on the </t>
        </r>
        <r>
          <rPr>
            <i/>
            <sz val="9"/>
            <color indexed="81"/>
            <rFont val="Tahoma"/>
            <family val="2"/>
          </rPr>
          <t xml:space="preserve">week starting </t>
        </r>
        <r>
          <rPr>
            <sz val="9"/>
            <color indexed="81"/>
            <rFont val="Tahoma"/>
            <family val="2"/>
          </rPr>
          <t>(on Mondays).
If you enter an incomplete period (ie. no ending date) then that period will be ignored.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Khunpha, Keith</author>
    <author>Sai</author>
  </authors>
  <commentList>
    <comment ref="B1" authorId="0" shapeId="0" xr:uid="{00000000-0006-0000-0E00-000001000000}">
      <text>
        <r>
          <rPr>
            <sz val="9"/>
            <color indexed="81"/>
            <rFont val="Tahoma"/>
            <family val="2"/>
          </rPr>
          <t xml:space="preserve">Choose critical resources that are needed for your core or ad hoc sessions to run. 
Note that if you link to more than one key resource, then </t>
        </r>
        <r>
          <rPr>
            <b/>
            <sz val="9"/>
            <color indexed="81"/>
            <rFont val="Tahoma"/>
            <family val="2"/>
          </rPr>
          <t>all</t>
        </r>
        <r>
          <rPr>
            <sz val="9"/>
            <color indexed="81"/>
            <rFont val="Tahoma"/>
            <family val="2"/>
          </rPr>
          <t xml:space="preserve"> the stated resources must be available in a given week for the session to run. </t>
        </r>
      </text>
    </comment>
    <comment ref="J11" authorId="1" shapeId="0" xr:uid="{00000000-0006-0000-0E00-000002000000}">
      <text>
        <r>
          <rPr>
            <sz val="9"/>
            <color indexed="81"/>
            <rFont val="Tahoma"/>
            <family val="2"/>
          </rPr>
          <t xml:space="preserve">Your adjusted maximum capacity is what you can provide, based on your key resource limitations.
If your adjusted maximum capacity is </t>
        </r>
        <r>
          <rPr>
            <b/>
            <sz val="9"/>
            <color indexed="81"/>
            <rFont val="Tahoma"/>
            <family val="2"/>
          </rPr>
          <t>less</t>
        </r>
        <r>
          <rPr>
            <sz val="9"/>
            <color indexed="81"/>
            <rFont val="Tahoma"/>
            <family val="2"/>
          </rPr>
          <t xml:space="preserve"> than what you entered on the 'Capacity' sheet, there is a risk that you may underdeliver capacity for the year.
If the values shown here are 'Over' then you are theoretically capable of delivering your expected capacity.</t>
        </r>
      </text>
    </comment>
    <comment ref="J117" authorId="1" shapeId="0" xr:uid="{00000000-0006-0000-0E00-000003000000}">
      <text>
        <r>
          <rPr>
            <b/>
            <sz val="9"/>
            <color indexed="81"/>
            <rFont val="Tahoma"/>
            <family val="2"/>
          </rPr>
          <t>Sai:</t>
        </r>
        <r>
          <rPr>
            <sz val="9"/>
            <color indexed="81"/>
            <rFont val="Tahoma"/>
            <family val="2"/>
          </rPr>
          <t xml:space="preserve">
Change this to show colours - red = less than expected no. weeks
Orange = expected no. weeks
Blue = more than expected no. weeks - we will assume original level of capacity as stated</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Sai</author>
    <author>Khunpha, Keith</author>
  </authors>
  <commentList>
    <comment ref="B6" authorId="0" shapeId="0" xr:uid="{00000000-0006-0000-0F00-000001000000}">
      <text>
        <r>
          <rPr>
            <sz val="9"/>
            <color indexed="81"/>
            <rFont val="Tahoma"/>
            <family val="2"/>
          </rPr>
          <t>This method will take a simple approach to calculating capacity:
* Estimate the weeks/year your session is running. Include adjustments for leave, bank holidays etc.
* Estimate how much you will see in a week, in patients/minutes/points.
This is your total yearly capacity, and we will assume that it is delivered evenly across the year.</t>
        </r>
      </text>
    </comment>
    <comment ref="C6" authorId="0" shapeId="0" xr:uid="{00000000-0006-0000-0F00-000002000000}">
      <text>
        <r>
          <rPr>
            <sz val="9"/>
            <color indexed="81"/>
            <rFont val="Tahoma"/>
            <family val="2"/>
          </rPr>
          <t xml:space="preserve">This will reveal some hidden sheets, which will allow you to approach capacity calculation in a more detailed manner.
[Capacity resource configuration] - this will allow you to define key resources which are needed to run your sessions. This may include:
* staff
* facilities
* equipment
You can then enter when these resources are </t>
        </r>
        <r>
          <rPr>
            <b/>
            <sz val="9"/>
            <color indexed="81"/>
            <rFont val="Tahoma"/>
            <family val="2"/>
          </rPr>
          <t>not</t>
        </r>
        <r>
          <rPr>
            <sz val="9"/>
            <color indexed="81"/>
            <rFont val="Tahoma"/>
            <family val="2"/>
          </rPr>
          <t xml:space="preserve"> available, which will help you find potential pinch points in your capacity through the year.
[clinic setup] - this is for your core sessions. You can link these to your key resources, and compare what you </t>
        </r>
        <r>
          <rPr>
            <i/>
            <sz val="9"/>
            <color indexed="81"/>
            <rFont val="Tahoma"/>
            <family val="2"/>
          </rPr>
          <t>thought</t>
        </r>
        <r>
          <rPr>
            <sz val="9"/>
            <color indexed="81"/>
            <rFont val="Tahoma"/>
            <family val="2"/>
          </rPr>
          <t xml:space="preserve"> you could provide against what you </t>
        </r>
        <r>
          <rPr>
            <i/>
            <sz val="9"/>
            <color indexed="81"/>
            <rFont val="Tahoma"/>
            <family val="2"/>
          </rPr>
          <t xml:space="preserve">can </t>
        </r>
        <r>
          <rPr>
            <sz val="9"/>
            <color indexed="81"/>
            <rFont val="Tahoma"/>
            <family val="2"/>
          </rPr>
          <t xml:space="preserve">provide, based on the availability of these key resources.
[ad hoc setup] - </t>
        </r>
      </text>
    </comment>
    <comment ref="B21" authorId="1" shapeId="0" xr:uid="{00000000-0006-0000-0F00-000003000000}">
      <text>
        <r>
          <rPr>
            <sz val="9"/>
            <color indexed="81"/>
            <rFont val="Tahoma"/>
            <family val="2"/>
          </rPr>
          <t>Use this section to set up your ad hoc clinics by week. 
If you have linked your ad hoc clinics to a critical resource, then unavailable weeks will be greyed out in the table to the right.</t>
        </r>
      </text>
    </comment>
    <comment ref="E21" authorId="1" shapeId="0" xr:uid="{00000000-0006-0000-0F00-000004000000}">
      <text>
        <r>
          <rPr>
            <sz val="9"/>
            <color indexed="81"/>
            <rFont val="Tahoma"/>
            <family val="2"/>
          </rPr>
          <t>The values calculated based on your selection of active weeks will be based on the following rules:
* If you selected the same or less weeks as what was stated on the capacity sheet, then the capacity/wk for each week will stay the same.
* If you selected more than the number of weeks you originally stated, then the sheet will assume that you are delivering the same amount of work, phased evenly across the selected weeks.</t>
        </r>
      </text>
    </comment>
    <comment ref="F23" authorId="1" shapeId="0" xr:uid="{648062BC-26B7-48E1-8469-0A31E7F8C4D3}">
      <text>
        <r>
          <rPr>
            <sz val="9"/>
            <color indexed="81"/>
            <rFont val="Tahoma"/>
            <family val="2"/>
          </rPr>
          <t>This is the default value that will be used, per week, unless you specify otherwise in the table to the right.</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1" authorId="0" shapeId="0" xr:uid="{00000000-0006-0000-1000-000001000000}">
      <text>
        <r>
          <rPr>
            <b/>
            <sz val="9"/>
            <color indexed="81"/>
            <rFont val="Tahoma"/>
            <family val="2"/>
          </rPr>
          <t>Khunpha, Keith:</t>
        </r>
        <r>
          <rPr>
            <sz val="9"/>
            <color indexed="81"/>
            <rFont val="Tahoma"/>
            <family val="2"/>
          </rPr>
          <t xml:space="preserve">
</t>
        </r>
      </text>
    </comment>
    <comment ref="T3" authorId="0" shapeId="0" xr:uid="{00000000-0006-0000-1000-000002000000}">
      <text>
        <r>
          <rPr>
            <b/>
            <sz val="9"/>
            <color indexed="81"/>
            <rFont val="Tahoma"/>
            <family val="2"/>
          </rPr>
          <t xml:space="preserve">Dev note:
</t>
        </r>
        <r>
          <rPr>
            <sz val="9"/>
            <color indexed="81"/>
            <rFont val="Tahoma"/>
            <family val="2"/>
          </rPr>
          <t>Rules - if any errors are found (ie. half a date pair for a period is entered), then treat that an empty entry.
Check will involve returning a value of 1 if wk index lies between a period defined as unavailable by the user. 
If a total sum &gt; 0 is returned, then that resource is not available for that week.</t>
        </r>
      </text>
    </comment>
    <comment ref="A5" authorId="0" shapeId="0" xr:uid="{FE127D31-F9E8-4B10-AC1D-D64021B8F728}">
      <text>
        <r>
          <rPr>
            <b/>
            <sz val="9"/>
            <color indexed="81"/>
            <rFont val="Tahoma"/>
            <family val="2"/>
          </rPr>
          <t xml:space="preserve">Note
</t>
        </r>
        <r>
          <rPr>
            <sz val="9"/>
            <color indexed="81"/>
            <rFont val="Tahoma"/>
            <family val="2"/>
          </rPr>
          <t>Included to make date selection more intuitive.</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Sai</author>
  </authors>
  <commentList>
    <comment ref="E1" authorId="0" shapeId="0" xr:uid="{00000000-0006-0000-1100-000001000000}">
      <text>
        <r>
          <rPr>
            <b/>
            <sz val="9"/>
            <color indexed="81"/>
            <rFont val="Tahoma"/>
            <family val="2"/>
          </rPr>
          <t xml:space="preserve">Dev note:
</t>
        </r>
        <r>
          <rPr>
            <sz val="9"/>
            <color indexed="81"/>
            <rFont val="Tahoma"/>
            <family val="2"/>
          </rPr>
          <t>1 = basic
2 = complex</t>
        </r>
      </text>
    </comment>
    <comment ref="H2" authorId="0" shapeId="0" xr:uid="{00000000-0006-0000-1100-000002000000}">
      <text>
        <r>
          <rPr>
            <b/>
            <sz val="9"/>
            <color indexed="81"/>
            <rFont val="Tahoma"/>
            <family val="2"/>
          </rPr>
          <t xml:space="preserve">Dev note:
</t>
        </r>
        <r>
          <rPr>
            <sz val="9"/>
            <color indexed="81"/>
            <rFont val="Tahoma"/>
            <family val="2"/>
          </rPr>
          <t>If the check on the week/resource returns 0 AND the user has selected 'planning calculator' then this will return 0 (ie. active)
If user has selected 'basic' on capacity sheet, then this will always return 0 (ie. active)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2" authorId="0" shapeId="0" xr:uid="{00000000-0006-0000-1200-000001000000}">
      <text>
        <r>
          <rPr>
            <sz val="9"/>
            <color indexed="81"/>
            <rFont val="Tahoma"/>
            <family val="2"/>
          </rPr>
          <t>You can either estimate the parameter values directly, or enter the volume of related activity outcomes - the sheet will then calculate the % values, using the baseline you selected in the 'SPC' tab as the denominator.
If you have multiple modalities where each modality may take a different time to treat a patient, and your activity is recorded on a per-patient basis, then you may want to use the patient-to-activity outcome calculator.
This 'Parameters calculator' sheet can be enabled by selecting 'Volume' in the box to the right, and 'Patients' in the 'Units' cell below.</t>
        </r>
      </text>
    </comment>
    <comment ref="B3" authorId="0" shapeId="0" xr:uid="{00000000-0006-0000-1200-000002000000}">
      <text>
        <r>
          <rPr>
            <sz val="9"/>
            <color indexed="81"/>
            <rFont val="Tahoma"/>
            <family val="2"/>
          </rPr>
          <t>The activity outcome values here will be compared against an estimated baseline of demand which can be selected in cell "C3".
If you would like to change this (eg. you have a sample of 20 weeks that you are comfortable using), then please enter the appropriate number (in weeks) in the cell to the right.
Please note that if you do this, you are assuming that the weekly demand - as estimated from your baseline data - is consistent enough to be scaled to the new time period.
If this assumption re: demand is not valid - then you should enter your estimated ROTT, NASR (Discharge) and NASL (% and discharge) rates as percentages, using your historic measurements as a guide.</t>
        </r>
      </text>
    </comment>
    <comment ref="B4" authorId="0" shapeId="0" xr:uid="{00000000-0006-0000-1200-000003000000}">
      <text>
        <r>
          <rPr>
            <sz val="9"/>
            <color indexed="81"/>
            <rFont val="Tahoma"/>
            <family val="2"/>
          </rPr>
          <t>Enter the units that you would like to use - please ensure that you stick to one type of unit on this sheet (eg. patients / points / minutes). 
If you have multiple modalities where treatment takes different amounts of time, and you are entering your data in terms of patients, then please use the Parameters Calculator to help you scale your figures.</t>
        </r>
      </text>
    </comment>
    <comment ref="H7" authorId="0" shapeId="0" xr:uid="{00000000-0006-0000-1200-000004000000}">
      <text>
        <r>
          <rPr>
            <b/>
            <sz val="9"/>
            <color indexed="81"/>
            <rFont val="Tahoma"/>
            <family val="2"/>
          </rPr>
          <t xml:space="preserve">Patients removed from the waiting list for
Reasons Other Than Treatment (ROTT)
</t>
        </r>
        <r>
          <rPr>
            <sz val="9"/>
            <color indexed="81"/>
            <rFont val="Tahoma"/>
            <family val="2"/>
          </rPr>
          <t xml:space="preserve">
These consist of the following:
* Patients who were reomved from the waiting list before being booked into a clinical slot
Some examples include:
* Inappropriate referrals
</t>
        </r>
      </text>
    </comment>
    <comment ref="H11" authorId="0" shapeId="0" xr:uid="{00000000-0006-0000-1200-000005000000}">
      <text>
        <r>
          <rPr>
            <b/>
            <sz val="9"/>
            <color indexed="81"/>
            <rFont val="Tahoma"/>
            <family val="2"/>
          </rPr>
          <t xml:space="preserve">Non-attendances (slot reused), discharged
</t>
        </r>
        <r>
          <rPr>
            <sz val="9"/>
            <color indexed="81"/>
            <rFont val="Tahoma"/>
            <family val="2"/>
          </rPr>
          <t xml:space="preserve">These are patients who match the following criteria:
</t>
        </r>
        <r>
          <rPr>
            <b/>
            <sz val="9"/>
            <color indexed="81"/>
            <rFont val="Tahoma"/>
            <family val="2"/>
          </rPr>
          <t xml:space="preserve">
* </t>
        </r>
        <r>
          <rPr>
            <sz val="9"/>
            <color indexed="81"/>
            <rFont val="Tahoma"/>
            <family val="2"/>
          </rPr>
          <t>The patient did not attend their appointment 
* They were subsequently removed from the waiting list
* Their clinical  slot was reused for someone else
An example of this is:
A patient who cancels their appointment a month ahead of time (so it can be reused), and who then declines further treatment.</t>
        </r>
      </text>
    </comment>
    <comment ref="C16" authorId="0" shapeId="0" xr:uid="{00000000-0006-0000-1200-000006000000}">
      <text>
        <r>
          <rPr>
            <b/>
            <sz val="9"/>
            <color indexed="81"/>
            <rFont val="Tahoma"/>
            <family val="2"/>
          </rPr>
          <t>Slots required = 
Demand - (ROTT + NASR discharge) + NASL Rebooked</t>
        </r>
        <r>
          <rPr>
            <sz val="9"/>
            <color indexed="81"/>
            <rFont val="Tahoma"/>
            <family val="2"/>
          </rPr>
          <t xml:space="preserve">
This is an estimate of the aggregate clinical slots required (not accounting for variability).
We use this to help us calculate parameter values using the normalised baseline demand as a guide.</t>
        </r>
      </text>
    </comment>
    <comment ref="J16" authorId="0" shapeId="0" xr:uid="{00000000-0006-0000-1200-000007000000}">
      <text>
        <r>
          <rPr>
            <b/>
            <sz val="9"/>
            <color indexed="81"/>
            <rFont val="Tahoma"/>
            <family val="2"/>
          </rPr>
          <t xml:space="preserve">Non-attendances (rebooked)
</t>
        </r>
        <r>
          <rPr>
            <sz val="9"/>
            <color indexed="81"/>
            <rFont val="Tahoma"/>
            <family val="2"/>
          </rPr>
          <t xml:space="preserve">
These are patients who did not attend, resulting in a 'lost' clinical slot, and need to be rebooked to ensure they receive the treatment they need.
</t>
        </r>
      </text>
    </comment>
    <comment ref="H21" authorId="0" shapeId="0" xr:uid="{00000000-0006-0000-1200-000008000000}">
      <text>
        <r>
          <rPr>
            <b/>
            <sz val="9"/>
            <color indexed="81"/>
            <rFont val="Tahoma"/>
            <family val="2"/>
          </rPr>
          <t xml:space="preserve">Non-attendances (slot lost)
</t>
        </r>
        <r>
          <rPr>
            <sz val="9"/>
            <color indexed="81"/>
            <rFont val="Tahoma"/>
            <family val="2"/>
          </rPr>
          <t xml:space="preserve">
These are patients who did not attend their appointment, and the appointment could not be used for another patient.
This could be a patient who:
* Did not attend (DNA'd) on the day
* Cancelled their appointment at short notice (eg 48 hours), and the appointment could not be routinely rebooked for another patient.</t>
        </r>
      </text>
    </comment>
    <comment ref="B26" authorId="0" shapeId="0" xr:uid="{00000000-0006-0000-1200-000009000000}">
      <text>
        <r>
          <rPr>
            <sz val="9"/>
            <color indexed="81"/>
            <rFont val="Tahoma"/>
            <family val="2"/>
          </rPr>
          <t>These are expected attendances - the assumption is that a patient who has not been discharged as ROTT or following a non-attendance of any kind will attend their appointment.</t>
        </r>
      </text>
    </comment>
    <comment ref="J27" authorId="0" shapeId="0" xr:uid="{00000000-0006-0000-1200-00000A000000}">
      <text>
        <r>
          <rPr>
            <b/>
            <sz val="9"/>
            <color indexed="81"/>
            <rFont val="Tahoma"/>
            <family val="2"/>
          </rPr>
          <t xml:space="preserve">Non-attendances (slot lost), discharged
</t>
        </r>
        <r>
          <rPr>
            <sz val="9"/>
            <color indexed="81"/>
            <rFont val="Tahoma"/>
            <family val="2"/>
          </rPr>
          <t>These are patients who were discharged following a non-attendance where the slot was lost.</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A5" authorId="0" shapeId="0" xr:uid="{00000000-0006-0000-1300-000001000000}">
      <text>
        <r>
          <rPr>
            <sz val="9"/>
            <color indexed="81"/>
            <rFont val="Tahoma"/>
            <family val="2"/>
          </rPr>
          <t xml:space="preserve">Please enter parameter activity volumes </t>
        </r>
        <r>
          <rPr>
            <b/>
            <sz val="9"/>
            <color indexed="81"/>
            <rFont val="Tahoma"/>
            <family val="2"/>
          </rPr>
          <t>by patient</t>
        </r>
        <r>
          <rPr>
            <sz val="9"/>
            <color indexed="81"/>
            <rFont val="Tahoma"/>
            <family val="2"/>
          </rPr>
          <t xml:space="preserve"> for your different modalities on this page. 
This sheet is intended to help you calculate the appropriate % rates, if you are running multiple modalities, where the different modalities also run with differing unit rates:
eg. in one modality, a patient takes 25 minutes, while another modality a patient takes 10 minutes
Use this sheet if you have recorded activity on a per-patient basis, and need to convert these into the appropriate units - the sheet will do this automatically for you, and calculate an overall % value based on the sum of all of your modalities.
</t>
        </r>
        <r>
          <rPr>
            <b/>
            <sz val="9"/>
            <color indexed="81"/>
            <rFont val="Tahoma"/>
            <family val="2"/>
          </rPr>
          <t xml:space="preserve">Important note
</t>
        </r>
        <r>
          <rPr>
            <sz val="9"/>
            <color indexed="81"/>
            <rFont val="Tahoma"/>
            <family val="2"/>
          </rPr>
          <t xml:space="preserve">This data is based on activity over the baseline period you have selected in the 'SPC' sheet. This can be overridden (assuming that the per-week demand is reasonably consistent) by entering an alternative number of weeks in the shaded cell.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A29" authorId="0" shapeId="0" xr:uid="{00000000-0006-0000-1400-000001000000}">
      <text>
        <r>
          <rPr>
            <b/>
            <sz val="9"/>
            <color indexed="81"/>
            <rFont val="Tahoma"/>
            <family val="2"/>
          </rPr>
          <t xml:space="preserve">Dev note:
</t>
        </r>
        <r>
          <rPr>
            <sz val="9"/>
            <color indexed="81"/>
            <rFont val="Tahoma"/>
            <family val="2"/>
          </rPr>
          <t>We are using this as a control device for the reassignment of formula in the main parameters page</t>
        </r>
      </text>
    </comment>
    <comment ref="I29" authorId="0" shapeId="0" xr:uid="{00000000-0006-0000-1400-000002000000}">
      <text>
        <r>
          <rPr>
            <b/>
            <sz val="9"/>
            <color indexed="81"/>
            <rFont val="Tahoma"/>
            <family val="2"/>
          </rPr>
          <t>These columns will be used to highlight relevant cells on the parameters page for editing, so they are either editable, or refer to calculated values.</t>
        </r>
      </text>
    </comment>
    <comment ref="B34" authorId="0" shapeId="0" xr:uid="{00000000-0006-0000-1400-000003000000}">
      <text>
        <r>
          <rPr>
            <b/>
            <sz val="9"/>
            <color indexed="81"/>
            <rFont val="Tahoma"/>
            <family val="2"/>
          </rPr>
          <t xml:space="preserve">Note for developers: 
</t>
        </r>
        <r>
          <rPr>
            <sz val="9"/>
            <color indexed="81"/>
            <rFont val="Tahoma"/>
            <family val="2"/>
          </rPr>
          <t>1 = Yes
2 = No</t>
        </r>
      </text>
    </comment>
    <comment ref="C34" authorId="0" shapeId="0" xr:uid="{00000000-0006-0000-1400-000004000000}">
      <text>
        <r>
          <rPr>
            <b/>
            <sz val="9"/>
            <color indexed="81"/>
            <rFont val="Tahoma"/>
            <family val="2"/>
          </rPr>
          <t xml:space="preserve">Dev note:
</t>
        </r>
        <r>
          <rPr>
            <sz val="9"/>
            <color indexed="81"/>
            <rFont val="Tahoma"/>
            <family val="2"/>
          </rPr>
          <t>Cross check to prevent changing parameter values if:
* user selects 'No' on warning to proceed</t>
        </r>
      </text>
    </comment>
    <comment ref="A38" authorId="0" shapeId="0" xr:uid="{00000000-0006-0000-1400-000005000000}">
      <text>
        <r>
          <rPr>
            <b/>
            <sz val="9"/>
            <color indexed="81"/>
            <rFont val="Tahoma"/>
            <family val="2"/>
          </rPr>
          <t xml:space="preserve">Dev note:
</t>
        </r>
        <r>
          <rPr>
            <sz val="9"/>
            <color indexed="81"/>
            <rFont val="Tahoma"/>
            <family val="2"/>
          </rPr>
          <t xml:space="preserve">This is a rearrangement of the basic formula:
Required capacity = Demand - ROTT + Rebookings
Denominator definitions: 
NASR% and NASL% use </t>
        </r>
        <r>
          <rPr>
            <i/>
            <sz val="9"/>
            <color indexed="81"/>
            <rFont val="Tahoma"/>
            <family val="2"/>
          </rPr>
          <t xml:space="preserve">booked </t>
        </r>
        <r>
          <rPr>
            <sz val="9"/>
            <color indexed="81"/>
            <rFont val="Tahoma"/>
            <family val="2"/>
          </rPr>
          <t xml:space="preserve">appointments as the denominator for % (ie. all patients who are given a booking regardless of activity outcome)
NASL Discharge% uses NASL as the denominator
Using the above definitions, we can expand the original formula using the values on this worksheet as follows:
(1)   Required capacity = Demand - [Demand * ROTT%] - [bookings * NASR DC%] + [bookings * NASL% * (1 - NASL DC%)]
</t>
        </r>
        <r>
          <rPr>
            <i/>
            <sz val="9"/>
            <color indexed="81"/>
            <rFont val="Tahoma"/>
            <family val="2"/>
          </rPr>
          <t>Where DC = Discharge</t>
        </r>
        <r>
          <rPr>
            <sz val="9"/>
            <color indexed="81"/>
            <rFont val="Tahoma"/>
            <family val="2"/>
          </rPr>
          <t xml:space="preserve">
Note that </t>
        </r>
        <r>
          <rPr>
            <i/>
            <sz val="9"/>
            <color indexed="81"/>
            <rFont val="Tahoma"/>
            <family val="2"/>
          </rPr>
          <t>bookings</t>
        </r>
        <r>
          <rPr>
            <sz val="9"/>
            <color indexed="81"/>
            <rFont val="Tahoma"/>
            <family val="2"/>
          </rPr>
          <t xml:space="preserve"> can be defined as:
(2)   Bookings = Demand - ROTT
= Demand - (Demand * ROTT%)
= Demand*(1 - ROTT%) 
In addition, </t>
        </r>
        <r>
          <rPr>
            <i/>
            <sz val="9"/>
            <color indexed="81"/>
            <rFont val="Tahoma"/>
            <family val="2"/>
          </rPr>
          <t xml:space="preserve">Rebookings% </t>
        </r>
        <r>
          <rPr>
            <sz val="9"/>
            <color indexed="81"/>
            <rFont val="Tahoma"/>
            <family val="2"/>
          </rPr>
          <t>can be defined as 
(3)  NASL Rebookings% = (1- NASL DC%)
Inserting (2) and (3) into (1) gives us the following:
Required capacity = Bookings * - (Bookings * NASR DC%) + [Bookings * (NASL% * NASL Rebookings%)]
= Bookings * (1 - NASR DC% + [NASL% * NASL Rebookings%])
= [Demand * (1 - ROTT%)] * (1 - NASR DC% + [NASL% * NASL Rebookings%])</t>
        </r>
      </text>
    </comment>
    <comment ref="E40" authorId="0" shapeId="0" xr:uid="{00000000-0006-0000-1400-000006000000}">
      <text>
        <r>
          <rPr>
            <b/>
            <sz val="9"/>
            <color indexed="81"/>
            <rFont val="Tahoma"/>
            <family val="2"/>
          </rPr>
          <t xml:space="preserve">Dev note:
</t>
        </r>
        <r>
          <rPr>
            <sz val="9"/>
            <color indexed="81"/>
            <rFont val="Tahoma"/>
            <family val="2"/>
          </rPr>
          <t>Formula is based on:
Attendances = Demand * (1-ROTT%) * (1 - NASRDC% - NASL%*NASLDC%)
This is an expanded version of the basic logic:
Attendances = Bookings - NASRDischarge - NASL + NASLRebookings
Where Bookings = Demand*(1 - ROTT%)
Full logic is as follows:
  Attendances = Bookings - (Bookings * NASRDC%) - (Bookings * NASL%) + (Bookings * NASL% * NASLRebooking%)
Substituting for Bookings = Demand * (1 - ROTT%)
  Attendances = Demand * (1 - ROTT%) * [1 - NASRDC% - NASL% + (NASL% * NASLRebooking%)]
Simplifying:
  Attendances = Demand * (1 - ROTT%) * [1 - NASRDC% - NASL%(1 - NASLRebooking%)]
Given that 1 - NASLRebooking% = NASLDC%
  Attendances = Demand * (1 - ROTT%) * (1 - NASRDC% - NASL%*NASLDC%)</t>
        </r>
      </text>
    </comment>
    <comment ref="C43" authorId="0" shapeId="0" xr:uid="{00000000-0006-0000-1400-000007000000}">
      <text>
        <r>
          <rPr>
            <b/>
            <sz val="9"/>
            <color indexed="81"/>
            <rFont val="Tahoma"/>
            <family val="2"/>
          </rPr>
          <t xml:space="preserve">Dev note:
</t>
        </r>
        <r>
          <rPr>
            <sz val="9"/>
            <color indexed="81"/>
            <rFont val="Tahoma"/>
            <family val="2"/>
          </rPr>
          <t>Demand * (1-ROTT%) = booked appts</t>
        </r>
      </text>
    </comment>
    <comment ref="A51" authorId="0" shapeId="0" xr:uid="{00000000-0006-0000-1400-000008000000}">
      <text>
        <r>
          <rPr>
            <b/>
            <sz val="9"/>
            <color indexed="81"/>
            <rFont val="Tahoma"/>
            <family val="2"/>
          </rPr>
          <t xml:space="preserve">Dev note:
</t>
        </r>
        <r>
          <rPr>
            <sz val="9"/>
            <color indexed="81"/>
            <rFont val="Tahoma"/>
            <family val="2"/>
          </rPr>
          <t>We will be taking inputs from the main page, and converting everything in terms of weeks to standardise the calculation method.</t>
        </r>
      </text>
    </comment>
    <comment ref="F51" authorId="0" shapeId="0" xr:uid="{00000000-0006-0000-1400-000009000000}">
      <text>
        <r>
          <rPr>
            <b/>
            <sz val="9"/>
            <color indexed="81"/>
            <rFont val="Tahoma"/>
            <family val="2"/>
          </rPr>
          <t xml:space="preserve">Dev Note:
</t>
        </r>
        <r>
          <rPr>
            <sz val="9"/>
            <color indexed="81"/>
            <rFont val="Tahoma"/>
            <family val="2"/>
          </rPr>
          <t xml:space="preserve">We make a simplifying assumption here: 
Demand (by priority) can be estimated using approximate percentage split as provided in aggregate in the Demand (calculations) page, with mean demand then normalised to 52 weeks.
With this assumption, we will use the following formula:
(1)  Ideal WL size = Demand * (Start + (End - Start)/2)
Rebookings will be calculated as follows:
(2)  Rebooking waits = Demand * Rebook wait (wks)
Combining (1) - and expanding this to account for the multiple priorities - and (2):
Ideal WL size = Demand * 
(
    [Urgency 1% *(Start1 + (End1 - Start1)/2)] 
+  [Urgency 2% *(Start2 + (End2 - Start2)/2)]
+  [Urgency 3% *(Start3 + (End3 - Start3)/2)]
+  RebookingWait
)
</t>
        </r>
      </text>
    </comment>
    <comment ref="L51" authorId="0" shapeId="0" xr:uid="{00000000-0006-0000-1400-00000A000000}">
      <text>
        <r>
          <rPr>
            <b/>
            <sz val="9"/>
            <color indexed="81"/>
            <rFont val="Tahoma"/>
            <family val="2"/>
          </rPr>
          <t xml:space="preserve">Dev Note:
</t>
        </r>
        <r>
          <rPr>
            <sz val="9"/>
            <color indexed="81"/>
            <rFont val="Tahoma"/>
            <family val="2"/>
          </rPr>
          <t>The following table will e used to construct the bar charts showing the pathway lengths on the Pathway sheet</t>
        </r>
      </text>
    </comment>
    <comment ref="H61" authorId="0" shapeId="0" xr:uid="{00000000-0006-0000-1400-00000B000000}">
      <text>
        <r>
          <rPr>
            <b/>
            <sz val="9"/>
            <color indexed="81"/>
            <rFont val="Tahoma"/>
            <family val="2"/>
          </rPr>
          <t xml:space="preserve">Dev Note:
</t>
        </r>
        <r>
          <rPr>
            <sz val="9"/>
            <color indexed="81"/>
            <rFont val="Tahoma"/>
            <family val="2"/>
          </rPr>
          <t>Establishing a range (+/- 5%) as an approximate target for WL size</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G5" authorId="0" shapeId="0" xr:uid="{00000000-0006-0000-1500-000001000000}">
      <text>
        <r>
          <rPr>
            <sz val="9"/>
            <color indexed="81"/>
            <rFont val="Tahoma"/>
            <family val="2"/>
          </rPr>
          <t xml:space="preserve">This is based on the proportion of demand by urgency as entered on the 'Demand' sheet.
You can override this value using the dropdown to the right, and by entering values in the column below it.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4" authorId="0" shapeId="0" xr:uid="{00000000-0006-0000-1600-000001000000}">
      <text>
        <r>
          <rPr>
            <b/>
            <sz val="9"/>
            <color indexed="81"/>
            <rFont val="Tahoma"/>
            <family val="2"/>
          </rPr>
          <t xml:space="preserve">Interpreting this chart:
</t>
        </r>
        <r>
          <rPr>
            <sz val="9"/>
            <color indexed="81"/>
            <rFont val="Tahoma"/>
            <family val="2"/>
          </rPr>
          <t xml:space="preserve">Capacity (core + ad hoc) should be within the bounds of required capacity to maintain a stable waiting list. </t>
        </r>
      </text>
    </comment>
    <comment ref="B13" authorId="0" shapeId="0" xr:uid="{00000000-0006-0000-1600-000002000000}">
      <text>
        <r>
          <rPr>
            <sz val="9"/>
            <color indexed="81"/>
            <rFont val="Tahoma"/>
            <family val="2"/>
          </rPr>
          <t xml:space="preserve">This will default to the start date entered in the 'Capacity' sheet if no value is entered. </t>
        </r>
      </text>
    </comment>
    <comment ref="B30" authorId="0" shapeId="0" xr:uid="{00000000-0006-0000-1600-000003000000}">
      <text>
        <r>
          <rPr>
            <sz val="9"/>
            <color indexed="81"/>
            <rFont val="Tahoma"/>
            <family val="2"/>
          </rPr>
          <t>This will be used to calculate the expected yearly demand, which is useful for projecting expected activity.
Do not use this value for required capacity calculations!</t>
        </r>
      </text>
    </comment>
    <comment ref="B38" authorId="0" shapeId="0" xr:uid="{00000000-0006-0000-1600-000004000000}">
      <text>
        <r>
          <rPr>
            <b/>
            <sz val="9"/>
            <color indexed="81"/>
            <rFont val="Tahoma"/>
            <family val="2"/>
          </rPr>
          <t xml:space="preserve">Interpreting this chart:
</t>
        </r>
        <r>
          <rPr>
            <sz val="9"/>
            <color indexed="81"/>
            <rFont val="Tahoma"/>
            <family val="2"/>
          </rPr>
          <t>The current waiting list size should lie between, or below the sustainable waiting list bounds.
If the current waiting list size is above both bounds, then your patients are more likely to wait longer than the expected wait times defined in the 'Pathway' sheet.</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D1" authorId="0" shapeId="0" xr:uid="{00000000-0006-0000-1800-000001000000}">
      <text>
        <r>
          <rPr>
            <b/>
            <sz val="9"/>
            <color indexed="81"/>
            <rFont val="Tahoma"/>
            <family val="2"/>
          </rPr>
          <t xml:space="preserve">Dev Note:
</t>
        </r>
        <r>
          <rPr>
            <sz val="9"/>
            <color indexed="81"/>
            <rFont val="Tahoma"/>
            <family val="2"/>
          </rPr>
          <t>Have linked back to original values on sheets in the actual calculations - figures shown here are for reference only</t>
        </r>
      </text>
    </comment>
    <comment ref="P12" authorId="0" shapeId="0" xr:uid="{00000000-0006-0000-1800-000002000000}">
      <text>
        <r>
          <rPr>
            <b/>
            <sz val="9"/>
            <color indexed="81"/>
            <rFont val="Tahoma"/>
            <family val="2"/>
          </rPr>
          <t xml:space="preserve">Dev note:
</t>
        </r>
        <r>
          <rPr>
            <sz val="9"/>
            <color indexed="81"/>
            <rFont val="Tahoma"/>
            <family val="2"/>
          </rPr>
          <t>This is here to allow us to change the units based on user choice on the Summary page.</t>
        </r>
      </text>
    </comment>
    <comment ref="G14" authorId="0" shapeId="0" xr:uid="{00000000-0006-0000-1800-000003000000}">
      <text>
        <r>
          <rPr>
            <b/>
            <sz val="9"/>
            <color indexed="81"/>
            <rFont val="Tahoma"/>
            <family val="2"/>
          </rPr>
          <t>Khunpha, Keith:</t>
        </r>
        <r>
          <rPr>
            <sz val="9"/>
            <color indexed="81"/>
            <rFont val="Tahoma"/>
            <family val="2"/>
          </rPr>
          <t xml:space="preserve">
Use mean for both planned and emergency;
for emergency, may need to provide option for other metrics (eg. percentile)?
Also note: will set to "" if Emergency option in Setup is not set to "Yes"</t>
        </r>
      </text>
    </comment>
    <comment ref="H14" authorId="0" shapeId="0" xr:uid="{00000000-0006-0000-1800-000004000000}">
      <text>
        <r>
          <rPr>
            <b/>
            <sz val="9"/>
            <color indexed="81"/>
            <rFont val="Tahoma"/>
            <family val="2"/>
          </rPr>
          <t>Khunpha, Keith:</t>
        </r>
        <r>
          <rPr>
            <sz val="9"/>
            <color indexed="81"/>
            <rFont val="Tahoma"/>
            <family val="2"/>
          </rPr>
          <t xml:space="preserve">
Link to planned mean value, when suitable named range is created</t>
        </r>
      </text>
    </comment>
    <comment ref="D70" authorId="0" shapeId="0" xr:uid="{00000000-0006-0000-1800-000005000000}">
      <text>
        <r>
          <rPr>
            <b/>
            <sz val="9"/>
            <color indexed="81"/>
            <rFont val="Tahoma"/>
            <family val="2"/>
          </rPr>
          <t>Averaging values for simplified display</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6" authorId="0" shapeId="0" xr:uid="{00000000-0006-0000-1A00-000001000000}">
      <text>
        <r>
          <rPr>
            <sz val="9"/>
            <color indexed="81"/>
            <rFont val="Tahoma"/>
            <family val="2"/>
          </rPr>
          <t>Enter a date you would like to start planning from. 
If this cell is left blank, it will default to the start of next week.</t>
        </r>
      </text>
    </comment>
    <comment ref="B25" authorId="0" shapeId="0" xr:uid="{00000000-0006-0000-1A00-000002000000}">
      <text>
        <r>
          <rPr>
            <sz val="9"/>
            <color indexed="81"/>
            <rFont val="Tahoma"/>
            <family val="2"/>
          </rPr>
          <t>This will allow you to cancel your core and ad hoc capacity for a given week.</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I3" authorId="0" shapeId="0" xr:uid="{00000000-0006-0000-1B00-000001000000}">
      <text>
        <r>
          <rPr>
            <b/>
            <sz val="9"/>
            <color indexed="81"/>
            <rFont val="Tahoma"/>
            <family val="2"/>
          </rPr>
          <t xml:space="preserve">Dev note:
</t>
        </r>
        <r>
          <rPr>
            <sz val="9"/>
            <color indexed="81"/>
            <rFont val="Tahoma"/>
            <family val="2"/>
          </rPr>
          <t>Special case - if this is selected, then all available capacity is set to zero.</t>
        </r>
      </text>
    </comment>
  </commentList>
</comments>
</file>

<file path=xl/sharedStrings.xml><?xml version="1.0" encoding="utf-8"?>
<sst xmlns="http://schemas.openxmlformats.org/spreadsheetml/2006/main" count="1771" uniqueCount="1248">
  <si>
    <t>Version</t>
  </si>
  <si>
    <t>Date</t>
  </si>
  <si>
    <t>Author</t>
  </si>
  <si>
    <t>Changes</t>
  </si>
  <si>
    <t>0.1a</t>
  </si>
  <si>
    <t>Sai Khunpha</t>
  </si>
  <si>
    <t>Document creation, including VBA setup code</t>
  </si>
  <si>
    <t>0.2d</t>
  </si>
  <si>
    <t>First draft; for initial design concepts</t>
  </si>
  <si>
    <t>0.3a</t>
  </si>
  <si>
    <t>Revamp of underlying VBA code to simplify basic mechanics, and revisit basic structure</t>
  </si>
  <si>
    <t>Notes</t>
  </si>
  <si>
    <t>Leave space for new parameter layout, and advanced/basic capacity split. 
Note that both demand and capacity figures need to have some level of time sensitivity functionality built-in, to help users identify pinch points caused by mismatches</t>
  </si>
  <si>
    <t>Yes/No</t>
  </si>
  <si>
    <t>Units</t>
  </si>
  <si>
    <t>Units Lookup</t>
  </si>
  <si>
    <t>Percentile Range</t>
  </si>
  <si>
    <t>Week Starting</t>
  </si>
  <si>
    <t>Points Lookup</t>
  </si>
  <si>
    <t>Patients</t>
  </si>
  <si>
    <t>Yes</t>
  </si>
  <si>
    <t>Minutes</t>
  </si>
  <si>
    <t>No</t>
  </si>
  <si>
    <t>Points</t>
  </si>
  <si>
    <t>Overall</t>
  </si>
  <si>
    <t>Each modality invidually</t>
  </si>
  <si>
    <t>Dummy number list</t>
  </si>
  <si>
    <t>Provider Name:</t>
  </si>
  <si>
    <t>Service Name:</t>
  </si>
  <si>
    <t>Unit of work:</t>
  </si>
  <si>
    <t>Lower bound for percentile calculation:</t>
  </si>
  <si>
    <t>Modality 1 Name:</t>
  </si>
  <si>
    <t>Modality 1</t>
  </si>
  <si>
    <t>Modality 2 Name:</t>
  </si>
  <si>
    <t>Modality 2</t>
  </si>
  <si>
    <t>Modality 3 Name:</t>
  </si>
  <si>
    <t>Modality 3</t>
  </si>
  <si>
    <t>Modality 4 Name:</t>
  </si>
  <si>
    <t>Modality 4</t>
  </si>
  <si>
    <t>Modality 5 Name:</t>
  </si>
  <si>
    <t>Modality 5</t>
  </si>
  <si>
    <t>Modality 6 Name:</t>
  </si>
  <si>
    <t>Modality 6</t>
  </si>
  <si>
    <t>Modality 7 Name:</t>
  </si>
  <si>
    <t>Modality 7</t>
  </si>
  <si>
    <t>Modality 8 Name:</t>
  </si>
  <si>
    <t>Modality 8</t>
  </si>
  <si>
    <t>Modality 9 Name:</t>
  </si>
  <si>
    <t>Modality 9</t>
  </si>
  <si>
    <t>Modality 10 Name:</t>
  </si>
  <si>
    <t>Modality 10</t>
  </si>
  <si>
    <t>Setup</t>
  </si>
  <si>
    <t>SplitA</t>
  </si>
  <si>
    <t>[Hide]</t>
  </si>
  <si>
    <t>MaxRows:</t>
  </si>
  <si>
    <t>This column is used to find the max number of rows [A6]</t>
  </si>
  <si>
    <t>Week</t>
  </si>
  <si>
    <t>Total</t>
  </si>
  <si>
    <t>2WW</t>
  </si>
  <si>
    <t>Urgent</t>
  </si>
  <si>
    <t>Routine</t>
  </si>
  <si>
    <t>Emergency</t>
  </si>
  <si>
    <t>Totals test: checks if totals values per week are blank to assist in determining max rows</t>
  </si>
  <si>
    <t>Total blank</t>
  </si>
  <si>
    <t>Urgencies:</t>
  </si>
  <si>
    <t>Unit translation (non-emergency)</t>
  </si>
  <si>
    <t>Unit translation (emergency)</t>
  </si>
  <si>
    <t>Sum</t>
  </si>
  <si>
    <t>Mean 1</t>
  </si>
  <si>
    <t>Mean 2</t>
  </si>
  <si>
    <t>Sigma1</t>
  </si>
  <si>
    <t>MRA1</t>
  </si>
  <si>
    <t>Sigma2</t>
  </si>
  <si>
    <t>MRA2</t>
  </si>
  <si>
    <t>Moving Range</t>
  </si>
  <si>
    <t>ROTT</t>
  </si>
  <si>
    <t>% Urgency 1</t>
  </si>
  <si>
    <t>% Urgency 2</t>
  </si>
  <si>
    <t>% Urgency 3</t>
  </si>
  <si>
    <t>Denom (adjusted)</t>
  </si>
  <si>
    <t>Total 1</t>
  </si>
  <si>
    <t>Total 2</t>
  </si>
  <si>
    <t>Total 3</t>
  </si>
  <si>
    <t>Adjusted Total 1</t>
  </si>
  <si>
    <t>Adjusted Total 2</t>
  </si>
  <si>
    <t>Adjusted Total 3</t>
  </si>
  <si>
    <t>Overall Total</t>
  </si>
  <si>
    <t>%</t>
  </si>
  <si>
    <t>Volume</t>
  </si>
  <si>
    <t>3. NASR: Discharged (as % of booked appts)</t>
  </si>
  <si>
    <t>Incoming demand</t>
  </si>
  <si>
    <t>Patient leaves pathway, not having used a clinical slot</t>
  </si>
  <si>
    <t>7. NASL: Rebooked (as % of NASL)</t>
  </si>
  <si>
    <t>5. NASL (as % of booked appts)</t>
  </si>
  <si>
    <t>Clinical slot required</t>
  </si>
  <si>
    <t>6. NASL: Discharged (as % of NASL)</t>
  </si>
  <si>
    <t>Patient leaves pathway, having used a clinical slot</t>
  </si>
  <si>
    <t>Demand</t>
  </si>
  <si>
    <t>NASR DC</t>
  </si>
  <si>
    <t>NASL</t>
  </si>
  <si>
    <t>NASL DC</t>
  </si>
  <si>
    <t>NASL Rebook</t>
  </si>
  <si>
    <t>Modality</t>
  </si>
  <si>
    <t>Please enter your demand information (per week) below</t>
  </si>
  <si>
    <t>Mean 4</t>
  </si>
  <si>
    <t>MRA3</t>
  </si>
  <si>
    <t>Mean 3</t>
  </si>
  <si>
    <t>Sigma3</t>
  </si>
  <si>
    <t>MRA4</t>
  </si>
  <si>
    <t>Sigma4</t>
  </si>
  <si>
    <t>Exclusion flag</t>
  </si>
  <si>
    <t>Exclude data point?</t>
  </si>
  <si>
    <t>Note that you can enter up to 5 years (260 rows) of data - the sheet will extend itself if more than 52 weeks of data are entered.</t>
  </si>
  <si>
    <t>Elective data</t>
  </si>
  <si>
    <t>[note that we transform blank rows (set by exclusion flag) into na() values, to ensure that they do not show up as points in final charts]</t>
  </si>
  <si>
    <t>SplitB</t>
  </si>
  <si>
    <t>SplitC</t>
  </si>
  <si>
    <t>SplitD</t>
  </si>
  <si>
    <t>SplitAStart</t>
  </si>
  <si>
    <t>SplitAEnd</t>
  </si>
  <si>
    <t>SplitBStart</t>
  </si>
  <si>
    <t>SplitBEnd</t>
  </si>
  <si>
    <t>SplitCStart</t>
  </si>
  <si>
    <t>SplitCEnd</t>
  </si>
  <si>
    <t>SplitDStart</t>
  </si>
  <si>
    <t>SplitDEnd</t>
  </si>
  <si>
    <t>Display type:</t>
  </si>
  <si>
    <t>Demand page restructured to allow &gt; 52 wks of data (max 260); advanced demand module methods integrated into SPC analysis</t>
  </si>
  <si>
    <t>Year</t>
  </si>
  <si>
    <t>Date axis labels</t>
  </si>
  <si>
    <t>Date (2nd level) - use only if dates are being used</t>
  </si>
  <si>
    <t>Max value</t>
  </si>
  <si>
    <t>Selected Value</t>
  </si>
  <si>
    <t>Length</t>
  </si>
  <si>
    <t>min start</t>
  </si>
  <si>
    <t>Range height</t>
  </si>
  <si>
    <t>Total data points</t>
  </si>
  <si>
    <t>Lower B</t>
  </si>
  <si>
    <t>Upper B</t>
  </si>
  <si>
    <t>Exclusions</t>
  </si>
  <si>
    <t>LCL</t>
  </si>
  <si>
    <t>sigma-2</t>
  </si>
  <si>
    <t>sigma-1</t>
  </si>
  <si>
    <t>mean</t>
  </si>
  <si>
    <t>sigma+1</t>
  </si>
  <si>
    <t>sigma+2</t>
  </si>
  <si>
    <t>UCL</t>
  </si>
  <si>
    <t>Baseline period:</t>
  </si>
  <si>
    <t>Start</t>
  </si>
  <si>
    <t>End</t>
  </si>
  <si>
    <t>Index</t>
  </si>
  <si>
    <t>Type</t>
  </si>
  <si>
    <t>Week reference</t>
  </si>
  <si>
    <t>Season</t>
  </si>
  <si>
    <t>Sigma-2</t>
  </si>
  <si>
    <t>Sigma-1</t>
  </si>
  <si>
    <t>Mean</t>
  </si>
  <si>
    <t>Sigma+1</t>
  </si>
  <si>
    <t>Sigma+2</t>
  </si>
  <si>
    <t>Sigma</t>
  </si>
  <si>
    <t>valid seasons:</t>
  </si>
  <si>
    <t>Exception rules here</t>
  </si>
  <si>
    <t>Percentile values</t>
  </si>
  <si>
    <t>PercLower</t>
  </si>
  <si>
    <t>PercUpper</t>
  </si>
  <si>
    <t>Lower</t>
  </si>
  <si>
    <t>Upper</t>
  </si>
  <si>
    <t>Lookup values for week index</t>
  </si>
  <si>
    <t>2(1)</t>
  </si>
  <si>
    <t>4(1)</t>
  </si>
  <si>
    <t>3(1)</t>
  </si>
  <si>
    <t>Control (large)</t>
  </si>
  <si>
    <t>Control (med)</t>
  </si>
  <si>
    <t>Control (small)</t>
  </si>
  <si>
    <t>Non-random jump</t>
  </si>
  <si>
    <t>1. A data point is more than 3 sigma (Σ) from the mean</t>
  </si>
  <si>
    <t>2: 2 out of 3 points are more than 2 sigma (Σ) from the mean, with all 3 on the same side of the mean</t>
  </si>
  <si>
    <t>4: a run of 9 or more points on the same side of the mean</t>
  </si>
  <si>
    <t>Special Cause Variation markers</t>
  </si>
  <si>
    <t>Up/down trend (6 pts)</t>
  </si>
  <si>
    <t>Long term bias (9 pts)</t>
  </si>
  <si>
    <t>Sum(Chart)</t>
  </si>
  <si>
    <t>unused</t>
  </si>
  <si>
    <t>unused (1)</t>
  </si>
  <si>
    <t>Calculation data series</t>
  </si>
  <si>
    <t>Baseline selection</t>
  </si>
  <si>
    <t>Include 2nd Season?</t>
  </si>
  <si>
    <t>Season 2 ends:</t>
  </si>
  <si>
    <t>Include 3rd Season?</t>
  </si>
  <si>
    <t>Season 3 ends:</t>
  </si>
  <si>
    <t>Include 4th Season?</t>
  </si>
  <si>
    <t>Season 4 begins:</t>
  </si>
  <si>
    <t>1 Season</t>
  </si>
  <si>
    <t>1+ Seasons</t>
  </si>
  <si>
    <t>SPC Type</t>
  </si>
  <si>
    <t>Show SPC values:</t>
  </si>
  <si>
    <t>Show percentile values:</t>
  </si>
  <si>
    <t>3: 6 consecutively rising or falling points</t>
  </si>
  <si>
    <t>Wks</t>
  </si>
  <si>
    <t>Baseline based</t>
  </si>
  <si>
    <t>Urg 1</t>
  </si>
  <si>
    <t>Urg 2</t>
  </si>
  <si>
    <t>Urg 3</t>
  </si>
  <si>
    <t>Overall Adjusted Total</t>
  </si>
  <si>
    <t>Checking urgency splits</t>
  </si>
  <si>
    <t>Note that will be based on adjusted units in all cases</t>
  </si>
  <si>
    <t>Total (Adjusted)</t>
  </si>
  <si>
    <t>Modality list</t>
  </si>
  <si>
    <t>User input</t>
  </si>
  <si>
    <t>Display text</t>
  </si>
  <si>
    <t>Default name</t>
  </si>
  <si>
    <t>All</t>
  </si>
  <si>
    <t>Adjustment</t>
  </si>
  <si>
    <t>Perc_total</t>
  </si>
  <si>
    <t>2. ROTT (as % of incoming elective demand)</t>
  </si>
  <si>
    <t>Emergency activity analysis</t>
  </si>
  <si>
    <t>This section will be used to provide an estimate for carve out from capacity. This document will always assume that capacity will be reserved from stated available stuff</t>
  </si>
  <si>
    <t>Enter data by:</t>
  </si>
  <si>
    <t>Week starting:</t>
  </si>
  <si>
    <t>Overall (Manual entry)</t>
  </si>
  <si>
    <t>Total blank columns</t>
  </si>
  <si>
    <t>Sum of values</t>
  </si>
  <si>
    <t>Total (Patients)</t>
  </si>
  <si>
    <t>Unit translation</t>
  </si>
  <si>
    <t>Please enter your planned demand information (per week) below</t>
  </si>
  <si>
    <t>Note that you can enter up to 52 weeks of data only here</t>
  </si>
  <si>
    <t>sample period as set in SPC section (across all seasonalities)</t>
  </si>
  <si>
    <t>Mean1</t>
  </si>
  <si>
    <t>Perc Lower1</t>
  </si>
  <si>
    <t>Perc Upper1</t>
  </si>
  <si>
    <t>Mean2</t>
  </si>
  <si>
    <t>Perc Lower2</t>
  </si>
  <si>
    <t>Perc Upper2</t>
  </si>
  <si>
    <t>Mean3</t>
  </si>
  <si>
    <t>Perc Lower3</t>
  </si>
  <si>
    <t>Perc Upper3</t>
  </si>
  <si>
    <t>Mean4</t>
  </si>
  <si>
    <t>Perc Lower4</t>
  </si>
  <si>
    <t>Perc Upper4</t>
  </si>
  <si>
    <t>Season 1</t>
  </si>
  <si>
    <t>Season 2</t>
  </si>
  <si>
    <t>Season 3</t>
  </si>
  <si>
    <t>Season 4</t>
  </si>
  <si>
    <t>Starting point: [user defined]</t>
  </si>
  <si>
    <t>Wk index start</t>
  </si>
  <si>
    <t>Wk index end</t>
  </si>
  <si>
    <t>Emergency carve out</t>
  </si>
  <si>
    <t>Planned carve out</t>
  </si>
  <si>
    <t>Wk index</t>
  </si>
  <si>
    <t>Summary</t>
  </si>
  <si>
    <t>Adjustments</t>
  </si>
  <si>
    <t>NASR / DC</t>
  </si>
  <si>
    <t>Clinic Name</t>
  </si>
  <si>
    <t>Weeks Per Year</t>
  </si>
  <si>
    <t>Average Per Week (52 Weeks)</t>
  </si>
  <si>
    <t>Totals</t>
  </si>
  <si>
    <t>SPC Chart calculations</t>
  </si>
  <si>
    <t>σ</t>
  </si>
  <si>
    <t>-2σ</t>
  </si>
  <si>
    <t>-1σ</t>
  </si>
  <si>
    <t>+1σ</t>
  </si>
  <si>
    <t>+2σ</t>
  </si>
  <si>
    <t>Axis Label</t>
  </si>
  <si>
    <t>Lower Control Limit</t>
  </si>
  <si>
    <t>Upper Control Limit</t>
  </si>
  <si>
    <t>Lower Percentile Bound</t>
  </si>
  <si>
    <t>Upper Percentile Bound</t>
  </si>
  <si>
    <t>Planned Demand</t>
  </si>
  <si>
    <t>Range Start</t>
  </si>
  <si>
    <t>Range End</t>
  </si>
  <si>
    <t>Baseline Selection</t>
  </si>
  <si>
    <t>Exception Rules</t>
  </si>
  <si>
    <t>2 (1)</t>
  </si>
  <si>
    <t>3 (1)</t>
  </si>
  <si>
    <t>4 (1)</t>
  </si>
  <si>
    <t>0.3d</t>
  </si>
  <si>
    <t>Paul Bullard</t>
  </si>
  <si>
    <t>Added: Planned (SPC) section and Capacity (simple) sections</t>
  </si>
  <si>
    <t>MRA</t>
  </si>
  <si>
    <t>PLB</t>
  </si>
  <si>
    <t>PUP</t>
  </si>
  <si>
    <t>Selected Range</t>
  </si>
  <si>
    <t>SK: Bug fix - SPC seasonal selection options were linked to non-existent macro - now corrected.
PB: Planned (SPC) range bug fixed</t>
  </si>
  <si>
    <t>Main data</t>
  </si>
  <si>
    <t>Show emergencies:</t>
  </si>
  <si>
    <t>Unit translation (for final output and calculations)</t>
  </si>
  <si>
    <t>Sum (for charts)</t>
  </si>
  <si>
    <t>Addition of Emergencies</t>
  </si>
  <si>
    <t>0.3e</t>
  </si>
  <si>
    <t>Updated controls for main SPC section - now resets baseline range to 1 if a season overflows past 52 weeks; exception is Season 1, which will recalculate season length to max datapoint.
Format changes to UCL, Mean, LCL (dotted), addition of summed elective + emergency 
Emergency care summary stats now available, can be used for final calculations.</t>
  </si>
  <si>
    <t>Average range</t>
  </si>
  <si>
    <t>to do: bring everything together into summary page
minor fixes: adjusted planned SPC (baseline period column chart) to include first data point [previously ignored]
Replaced dummy data in Planned with more typical pattern of data entry</t>
  </si>
  <si>
    <t>Resource Availability</t>
  </si>
  <si>
    <t>Week Start</t>
  </si>
  <si>
    <t>Capacity match?</t>
  </si>
  <si>
    <t>Frequency from calculator</t>
  </si>
  <si>
    <t>Display:</t>
  </si>
  <si>
    <t>Clinic Lookup for Capacity Graph Dropdown</t>
  </si>
  <si>
    <t>0.3f</t>
  </si>
  <si>
    <t>Updated planned SPC to dynamic chart, now updates based on the date range entered in the planned sheet.
Additional Capacity sheets (Capacity Resource Configuration, Adv Capacity Planning (hide), Capacity Outputs) created. Capacity Resource configuration hides based on simple/advanced calculator selected.</t>
  </si>
  <si>
    <t>0.3g</t>
  </si>
  <si>
    <t>VBA coding edits: updated cell edit test to use address comparison, as only single cell ranges are being checked - is more intuitive to read than range check.</t>
  </si>
  <si>
    <t>Required capacity</t>
  </si>
  <si>
    <t>Available capacity</t>
  </si>
  <si>
    <t>Show by:</t>
  </si>
  <si>
    <t>Current</t>
  </si>
  <si>
    <t>Sustainable</t>
  </si>
  <si>
    <t>Clearance</t>
  </si>
  <si>
    <t>MidPoint</t>
  </si>
  <si>
    <t>Activity parameters</t>
  </si>
  <si>
    <t>Enter values by:</t>
  </si>
  <si>
    <t>NASR - DC</t>
  </si>
  <si>
    <t>NASL - DC</t>
  </si>
  <si>
    <t>Adjusted</t>
  </si>
  <si>
    <t>Adjusted totals</t>
  </si>
  <si>
    <t>Dev notes for calculations:</t>
  </si>
  <si>
    <t>ROTT % denominator = Demand</t>
  </si>
  <si>
    <t>NASR DC denominator = Demand (- ROTT)</t>
  </si>
  <si>
    <t>NASL denominator = Demand (- ROTT)</t>
  </si>
  <si>
    <t>NASL DC denominator = Demand (- ROTT)</t>
  </si>
  <si>
    <t>NASL Rebook denominator = Demand (- ROTT) - this is inferred from the NASL DC value</t>
  </si>
  <si>
    <t>Your selected baseline period is:</t>
  </si>
  <si>
    <t>Estimated % values</t>
  </si>
  <si>
    <t>Patient to units activity calculator</t>
  </si>
  <si>
    <t>0.3h</t>
  </si>
  <si>
    <t>Changed activity sheets - will be using the Parameters page as main input, with addition of 'patients to units' converter for recorded outcomes in case of multiple modalities</t>
  </si>
  <si>
    <t>Would you like to use the patient-to-unit activity outcome calculator?</t>
  </si>
  <si>
    <t>Baseline selection for activity</t>
  </si>
  <si>
    <t>Baseline period (wks)</t>
  </si>
  <si>
    <t>Baseline demand</t>
  </si>
  <si>
    <t>Overall (normalised per wk)</t>
  </si>
  <si>
    <t>Parameter calcluation switch</t>
  </si>
  <si>
    <t>Calc perc</t>
  </si>
  <si>
    <t>Calc expected vol</t>
  </si>
  <si>
    <t>Entered perc</t>
  </si>
  <si>
    <t>Entered vol</t>
  </si>
  <si>
    <t>NASRDC</t>
  </si>
  <si>
    <t>NASLDC</t>
  </si>
  <si>
    <t>1. Est. Demand</t>
  </si>
  <si>
    <t>Addition of new standard VBA code: ProtectSheet  - will allow specified sheet to be temporarily unprotected to allow dynamic changes for formatting/input purposes
sub version i - removed check boxes to see how this affects file size.</t>
  </si>
  <si>
    <t>Expected attendances</t>
  </si>
  <si>
    <t>Expected attendances = Demand - ROTT + rebookings</t>
  </si>
  <si>
    <t>Calculated value cell addresses:</t>
  </si>
  <si>
    <t>Locked Vol</t>
  </si>
  <si>
    <t>Locked Percent</t>
  </si>
  <si>
    <t>Adjusted Perc calc</t>
  </si>
  <si>
    <r>
      <t xml:space="preserve">Removals from WL for </t>
    </r>
    <r>
      <rPr>
        <u/>
        <sz val="8"/>
        <color theme="1"/>
        <rFont val="Arial"/>
        <family val="2"/>
      </rPr>
      <t>R</t>
    </r>
    <r>
      <rPr>
        <sz val="8"/>
        <color theme="1"/>
        <rFont val="Arial"/>
        <family val="2"/>
      </rPr>
      <t xml:space="preserve">easons </t>
    </r>
    <r>
      <rPr>
        <u/>
        <sz val="8"/>
        <color theme="1"/>
        <rFont val="Arial"/>
        <family val="2"/>
      </rPr>
      <t>O</t>
    </r>
    <r>
      <rPr>
        <sz val="8"/>
        <color theme="1"/>
        <rFont val="Arial"/>
        <family val="2"/>
      </rPr>
      <t xml:space="preserve">ther </t>
    </r>
    <r>
      <rPr>
        <u/>
        <sz val="8"/>
        <color theme="1"/>
        <rFont val="Arial"/>
        <family val="2"/>
      </rPr>
      <t>T</t>
    </r>
    <r>
      <rPr>
        <sz val="8"/>
        <color theme="1"/>
        <rFont val="Arial"/>
        <family val="2"/>
      </rPr>
      <t xml:space="preserve">han </t>
    </r>
    <r>
      <rPr>
        <u/>
        <sz val="8"/>
        <color theme="1"/>
        <rFont val="Arial"/>
        <family val="2"/>
      </rPr>
      <t>T</t>
    </r>
    <r>
      <rPr>
        <sz val="8"/>
        <color theme="1"/>
        <rFont val="Arial"/>
        <family val="2"/>
      </rPr>
      <t>reatment</t>
    </r>
  </si>
  <si>
    <r>
      <rPr>
        <u/>
        <sz val="9"/>
        <color theme="1"/>
        <rFont val="Arial"/>
        <family val="2"/>
      </rPr>
      <t>N</t>
    </r>
    <r>
      <rPr>
        <sz val="9"/>
        <color theme="1"/>
        <rFont val="Arial"/>
        <family val="2"/>
      </rPr>
      <t>on-</t>
    </r>
    <r>
      <rPr>
        <u/>
        <sz val="9"/>
        <color theme="1"/>
        <rFont val="Arial"/>
        <family val="2"/>
      </rPr>
      <t>A</t>
    </r>
    <r>
      <rPr>
        <sz val="9"/>
        <color theme="1"/>
        <rFont val="Arial"/>
        <family val="2"/>
      </rPr>
      <t>ttendance (</t>
    </r>
    <r>
      <rPr>
        <u/>
        <sz val="9"/>
        <color theme="1"/>
        <rFont val="Arial"/>
        <family val="2"/>
      </rPr>
      <t>S</t>
    </r>
    <r>
      <rPr>
        <sz val="9"/>
        <color theme="1"/>
        <rFont val="Arial"/>
        <family val="2"/>
      </rPr>
      <t xml:space="preserve">lot </t>
    </r>
    <r>
      <rPr>
        <u/>
        <sz val="9"/>
        <color theme="1"/>
        <rFont val="Arial"/>
        <family val="2"/>
      </rPr>
      <t>L</t>
    </r>
    <r>
      <rPr>
        <sz val="9"/>
        <color theme="1"/>
        <rFont val="Arial"/>
        <family val="2"/>
      </rPr>
      <t>ost)</t>
    </r>
  </si>
  <si>
    <r>
      <rPr>
        <u/>
        <sz val="8"/>
        <color theme="1"/>
        <rFont val="Arial"/>
        <family val="2"/>
      </rPr>
      <t>N</t>
    </r>
    <r>
      <rPr>
        <sz val="8"/>
        <color theme="1"/>
        <rFont val="Arial"/>
        <family val="2"/>
      </rPr>
      <t>on-</t>
    </r>
    <r>
      <rPr>
        <u/>
        <sz val="8"/>
        <color theme="1"/>
        <rFont val="Arial"/>
        <family val="2"/>
      </rPr>
      <t>A</t>
    </r>
    <r>
      <rPr>
        <sz val="8"/>
        <color theme="1"/>
        <rFont val="Arial"/>
        <family val="2"/>
      </rPr>
      <t>ttendance (</t>
    </r>
    <r>
      <rPr>
        <u/>
        <sz val="8"/>
        <color theme="1"/>
        <rFont val="Arial"/>
        <family val="2"/>
      </rPr>
      <t>S</t>
    </r>
    <r>
      <rPr>
        <sz val="8"/>
        <color theme="1"/>
        <rFont val="Arial"/>
        <family val="2"/>
      </rPr>
      <t xml:space="preserve">lot </t>
    </r>
    <r>
      <rPr>
        <u/>
        <sz val="8"/>
        <color theme="1"/>
        <rFont val="Arial"/>
        <family val="2"/>
      </rPr>
      <t>R</t>
    </r>
    <r>
      <rPr>
        <sz val="8"/>
        <color theme="1"/>
        <rFont val="Arial"/>
        <family val="2"/>
      </rPr>
      <t>eused) - Discharged</t>
    </r>
  </si>
  <si>
    <t>Vol cells</t>
  </si>
  <si>
    <t>Perc cells</t>
  </si>
  <si>
    <t>G7</t>
  </si>
  <si>
    <t>G11</t>
  </si>
  <si>
    <t>G21</t>
  </si>
  <si>
    <t>I27</t>
  </si>
  <si>
    <t>H7</t>
  </si>
  <si>
    <t>H11</t>
  </si>
  <si>
    <t>H21</t>
  </si>
  <si>
    <t>J27</t>
  </si>
  <si>
    <t>Parameters calculator (hide)'!B25</t>
  </si>
  <si>
    <t>Parameters calculator (hide)'!C25</t>
  </si>
  <si>
    <t>Parameters calculator (hide)'!E25</t>
  </si>
  <si>
    <t>Parameters calculator (hide)'!F25</t>
  </si>
  <si>
    <t>Parameters calculator (hide)'!B24</t>
  </si>
  <si>
    <t>Parameters calculator (hide)'!C24</t>
  </si>
  <si>
    <t>Parameters calculator (hide)'!E24</t>
  </si>
  <si>
    <t>Parameters calculator (hide)'!F24</t>
  </si>
  <si>
    <t>Parameters calculator (hide)'!C16</t>
  </si>
  <si>
    <t>Parameters calculator (hide)'!E16</t>
  </si>
  <si>
    <t>Parameters calculator (hide)'!G16</t>
  </si>
  <si>
    <t>Parameters calculator (hide)'!I16</t>
  </si>
  <si>
    <t>How many attendances did you actually record over your sample period?</t>
  </si>
  <si>
    <t>8. Expected Attendances</t>
  </si>
  <si>
    <t>Clinical slots used</t>
  </si>
  <si>
    <r>
      <t xml:space="preserve">This is </t>
    </r>
    <r>
      <rPr>
        <u/>
        <sz val="8"/>
        <color theme="1"/>
        <rFont val="Arial"/>
        <family val="2"/>
      </rPr>
      <t>NOT</t>
    </r>
    <r>
      <rPr>
        <sz val="8"/>
        <color theme="1"/>
        <rFont val="Arial"/>
        <family val="2"/>
      </rPr>
      <t xml:space="preserve"> required capacity:</t>
    </r>
  </si>
  <si>
    <t>We have not accounted for variation.</t>
  </si>
  <si>
    <t>Volume Calc</t>
  </si>
  <si>
    <t>Percent Calc</t>
  </si>
  <si>
    <t>Volume Entered</t>
  </si>
  <si>
    <t>Percent Entered</t>
  </si>
  <si>
    <t>B22</t>
  </si>
  <si>
    <t>C22</t>
  </si>
  <si>
    <t>E22</t>
  </si>
  <si>
    <t>F22</t>
  </si>
  <si>
    <t>B21</t>
  </si>
  <si>
    <t>C21</t>
  </si>
  <si>
    <t>E21</t>
  </si>
  <si>
    <t>F21</t>
  </si>
  <si>
    <t>SPC Chart</t>
  </si>
  <si>
    <t>Planned</t>
  </si>
  <si>
    <t>Planned SPC</t>
  </si>
  <si>
    <t>Capacity</t>
  </si>
  <si>
    <t>Worksheet</t>
  </si>
  <si>
    <t>Transformation from pt to modality: for % entered figures, we will scale according to the baseline demand</t>
  </si>
  <si>
    <t>Baseline link:</t>
  </si>
  <si>
    <t>Estimated demand (aggregate):</t>
  </si>
  <si>
    <t>Estimated attendances (aggregate):</t>
  </si>
  <si>
    <t>Aggregate values are summarised in the Parameters tab - click here to go back to the Parameters sheet</t>
  </si>
  <si>
    <t>Modifier for required capacity:</t>
  </si>
  <si>
    <r>
      <rPr>
        <u/>
        <sz val="8"/>
        <color theme="1"/>
        <rFont val="Arial"/>
        <family val="2"/>
      </rPr>
      <t>N</t>
    </r>
    <r>
      <rPr>
        <sz val="8"/>
        <color theme="1"/>
        <rFont val="Arial"/>
        <family val="2"/>
      </rPr>
      <t>on-</t>
    </r>
    <r>
      <rPr>
        <u/>
        <sz val="8"/>
        <color theme="1"/>
        <rFont val="Arial"/>
        <family val="2"/>
      </rPr>
      <t>A</t>
    </r>
    <r>
      <rPr>
        <sz val="8"/>
        <color theme="1"/>
        <rFont val="Arial"/>
        <family val="2"/>
      </rPr>
      <t>ttendance (</t>
    </r>
    <r>
      <rPr>
        <u/>
        <sz val="8"/>
        <color theme="1"/>
        <rFont val="Arial"/>
        <family val="2"/>
      </rPr>
      <t>S</t>
    </r>
    <r>
      <rPr>
        <sz val="8"/>
        <color theme="1"/>
        <rFont val="Arial"/>
        <family val="2"/>
      </rPr>
      <t xml:space="preserve">lot </t>
    </r>
    <r>
      <rPr>
        <u/>
        <sz val="8"/>
        <color theme="1"/>
        <rFont val="Arial"/>
        <family val="2"/>
      </rPr>
      <t>L</t>
    </r>
    <r>
      <rPr>
        <sz val="8"/>
        <color theme="1"/>
        <rFont val="Arial"/>
        <family val="2"/>
      </rPr>
      <t>ost) - Rebooked</t>
    </r>
  </si>
  <si>
    <r>
      <t>Non-</t>
    </r>
    <r>
      <rPr>
        <u/>
        <sz val="8"/>
        <color theme="1"/>
        <rFont val="Arial"/>
        <family val="2"/>
      </rPr>
      <t>A</t>
    </r>
    <r>
      <rPr>
        <sz val="8"/>
        <color theme="1"/>
        <rFont val="Arial"/>
        <family val="2"/>
      </rPr>
      <t>ttendance (</t>
    </r>
    <r>
      <rPr>
        <u/>
        <sz val="8"/>
        <color theme="1"/>
        <rFont val="Arial"/>
        <family val="2"/>
      </rPr>
      <t>S</t>
    </r>
    <r>
      <rPr>
        <sz val="8"/>
        <color theme="1"/>
        <rFont val="Arial"/>
        <family val="2"/>
      </rPr>
      <t xml:space="preserve">lot </t>
    </r>
    <r>
      <rPr>
        <u/>
        <sz val="8"/>
        <color theme="1"/>
        <rFont val="Arial"/>
        <family val="2"/>
      </rPr>
      <t>L</t>
    </r>
    <r>
      <rPr>
        <sz val="8"/>
        <color theme="1"/>
        <rFont val="Arial"/>
        <family val="2"/>
      </rPr>
      <t>ost) - Discharged</t>
    </r>
  </si>
  <si>
    <t>Days</t>
  </si>
  <si>
    <t>Weeks</t>
  </si>
  <si>
    <t>Seen by</t>
  </si>
  <si>
    <t>This is the back end of the parameters and Pathway tabs. Note that this combines the functionality of the parameters and parameters calculator sections.</t>
  </si>
  <si>
    <t>Final parameter outputs for use in calculations</t>
  </si>
  <si>
    <t>NASLRebook</t>
  </si>
  <si>
    <t>Pathway parameters</t>
  </si>
  <si>
    <t>Urgency</t>
  </si>
  <si>
    <t>Adjusted available capacity</t>
  </si>
  <si>
    <t>[Demand (at appropriate percentile) * (1-ROTT%)]  *  [1 - NASRDC% + (NASL% * NASLRebook%)]</t>
  </si>
  <si>
    <t>For Chart</t>
  </si>
  <si>
    <t>Urgency % (of total)</t>
  </si>
  <si>
    <t>Waiting list calculations</t>
  </si>
  <si>
    <t>Calculated WL size (adjusted)</t>
  </si>
  <si>
    <t>Total WL size (adjusted)</t>
  </si>
  <si>
    <t>Total WL size (Pts)</t>
  </si>
  <si>
    <t>Current WL Size Calculation</t>
  </si>
  <si>
    <t>NASL Rebookings</t>
  </si>
  <si>
    <t>Calculate required demand in order to keep pace with incoming demand. The following values will be used:</t>
  </si>
  <si>
    <t>For display in Pathway sheet</t>
  </si>
  <si>
    <t>By time</t>
  </si>
  <si>
    <t>Overall pt-unit adjust</t>
  </si>
  <si>
    <t>Rebooking waits</t>
  </si>
  <si>
    <r>
      <t xml:space="preserve">Does </t>
    </r>
    <r>
      <rPr>
        <b/>
        <sz val="11"/>
        <color theme="1"/>
        <rFont val="Arial"/>
        <family val="2"/>
      </rPr>
      <t>planned</t>
    </r>
    <r>
      <rPr>
        <sz val="11"/>
        <color theme="1"/>
        <rFont val="Arial"/>
        <family val="2"/>
      </rPr>
      <t xml:space="preserve"> activity constitute a significant portion of your workload?</t>
    </r>
  </si>
  <si>
    <r>
      <t xml:space="preserve">Is there a significant amount of </t>
    </r>
    <r>
      <rPr>
        <b/>
        <sz val="11"/>
        <color theme="1"/>
        <rFont val="Arial"/>
        <family val="2"/>
      </rPr>
      <t>same day</t>
    </r>
    <r>
      <rPr>
        <sz val="11"/>
        <color theme="1"/>
        <rFont val="Arial"/>
        <family val="2"/>
      </rPr>
      <t xml:space="preserve"> (eg. emergency) activity?</t>
    </r>
  </si>
  <si>
    <t>Select a start date:</t>
  </si>
  <si>
    <t>Month</t>
  </si>
  <si>
    <t>Reference week start</t>
  </si>
  <si>
    <t>Pts</t>
  </si>
  <si>
    <t xml:space="preserve">Sustainable waiting list size </t>
  </si>
  <si>
    <t>Current waiting list size</t>
  </si>
  <si>
    <t>Parsing by urgency and modality</t>
  </si>
  <si>
    <t>Chart title:</t>
  </si>
  <si>
    <t>Core capacity</t>
  </si>
  <si>
    <t>Carve out</t>
  </si>
  <si>
    <t>Ad-Hoc capacity</t>
  </si>
  <si>
    <t>End date</t>
  </si>
  <si>
    <t>Basic</t>
  </si>
  <si>
    <t>Planning calculator</t>
  </si>
  <si>
    <t>Capacity calculator</t>
  </si>
  <si>
    <t>Group size</t>
  </si>
  <si>
    <t>This section sets up the parameters for the critical capacity resource allocation etc.</t>
  </si>
  <si>
    <t xml:space="preserve">Critical resource </t>
  </si>
  <si>
    <t>Period 1</t>
  </si>
  <si>
    <t>Period 2</t>
  </si>
  <si>
    <t>Period 3</t>
  </si>
  <si>
    <t>Period 4</t>
  </si>
  <si>
    <t>Period 5</t>
  </si>
  <si>
    <t>Check if resource if active within a given week</t>
  </si>
  <si>
    <t>Resource list</t>
  </si>
  <si>
    <t>Resource link</t>
  </si>
  <si>
    <t>Key resource 1</t>
  </si>
  <si>
    <t>Key resource 2</t>
  </si>
  <si>
    <t>Key resource 3</t>
  </si>
  <si>
    <t>Capacity (time based)</t>
  </si>
  <si>
    <t>Total weeks active</t>
  </si>
  <si>
    <t>Capacity / clinic (adjusted)</t>
  </si>
  <si>
    <t>Capacity (time based) - adjusted</t>
  </si>
  <si>
    <t>Core clinic list</t>
  </si>
  <si>
    <t>Stated capacity</t>
  </si>
  <si>
    <t>Ad hoc capacity</t>
  </si>
  <si>
    <t>Total capacity (adjusted)</t>
  </si>
  <si>
    <t>Total capacity (basic)</t>
  </si>
  <si>
    <t>Adjusted (minimum) capacity</t>
  </si>
  <si>
    <t>Adjusted for critical resources</t>
  </si>
  <si>
    <t>Ad hoc (planned) clinic list</t>
  </si>
  <si>
    <t>Type switch</t>
  </si>
  <si>
    <t>Capacity date axis labels</t>
  </si>
  <si>
    <t>Regular capacity</t>
  </si>
  <si>
    <t>Clinic index name</t>
  </si>
  <si>
    <t>Core capacity:</t>
  </si>
  <si>
    <t>Ad hoc capacity:</t>
  </si>
  <si>
    <t>Capacity - Link your sessions to your key resources here</t>
  </si>
  <si>
    <t>Start date</t>
  </si>
  <si>
    <t>Please enter up to 5 periods when your critical resources are unavailable</t>
  </si>
  <si>
    <t>Historic activity</t>
  </si>
  <si>
    <t>Capacity summary</t>
  </si>
  <si>
    <t>Critical resources</t>
  </si>
  <si>
    <t>Show:</t>
  </si>
  <si>
    <t>Core</t>
  </si>
  <si>
    <t>Ad hoc</t>
  </si>
  <si>
    <t>X</t>
  </si>
  <si>
    <t>Calculated from table below</t>
  </si>
  <si>
    <t>No. wks</t>
  </si>
  <si>
    <t>Capacity / wk</t>
  </si>
  <si>
    <t>As stated in "Capacity" sheet</t>
  </si>
  <si>
    <t>Chart label</t>
  </si>
  <si>
    <t>Unadjusted baseline</t>
  </si>
  <si>
    <t>Breakdown:</t>
  </si>
  <si>
    <t>Units:</t>
  </si>
  <si>
    <t>Completed Parameters page.
Revamped capacity page - final versions now in place.
Added Pathways calculation page to set pathway lengths.
Summary page added - now shows summary statistics for both WL size and required vs. available capacity.</t>
  </si>
  <si>
    <t xml:space="preserve">To do: 
Future ad hoc planning page (mirror initial ad-hoc capacity section)
Text notes to accompany summary detailing outputs.
Lock locations for sheets and check codes used to dynamically lock cells.
Guidance text and info points to be added.
</t>
  </si>
  <si>
    <t>Show details</t>
  </si>
  <si>
    <t>Available</t>
  </si>
  <si>
    <t xml:space="preserve">  Core</t>
  </si>
  <si>
    <t xml:space="preserve">  Ad hoc</t>
  </si>
  <si>
    <t>Per week</t>
  </si>
  <si>
    <t>Other values for further calculations</t>
  </si>
  <si>
    <t>-</t>
  </si>
  <si>
    <t>Scroll down to see waiting list summary information</t>
  </si>
  <si>
    <t>'Parameters'!$C$3</t>
  </si>
  <si>
    <t>Difference</t>
  </si>
  <si>
    <t xml:space="preserve">  Average</t>
  </si>
  <si>
    <t>Demand split</t>
  </si>
  <si>
    <t>Actual attendances</t>
  </si>
  <si>
    <t>Inconsistency flag</t>
  </si>
  <si>
    <t>sense check against manually entered attendances.</t>
  </si>
  <si>
    <t>estimated demand based on attendances</t>
  </si>
  <si>
    <t>Based on this attendance level, the estimated demand is:</t>
  </si>
  <si>
    <t>Planning</t>
  </si>
  <si>
    <t>Change capacity</t>
  </si>
  <si>
    <t>Session name</t>
  </si>
  <si>
    <t>Session description [1]</t>
  </si>
  <si>
    <t>Session description [2]</t>
  </si>
  <si>
    <t>Change capacity?</t>
  </si>
  <si>
    <t>Start date:</t>
  </si>
  <si>
    <t>Week commencing</t>
  </si>
  <si>
    <t>Weeknum</t>
  </si>
  <si>
    <t>Required</t>
  </si>
  <si>
    <t>Set to zero</t>
  </si>
  <si>
    <t>Remove all capacity</t>
  </si>
  <si>
    <t>Set to 0</t>
  </si>
  <si>
    <t>This sheet contains the list used for provider and service names.</t>
  </si>
  <si>
    <t xml:space="preserve">Enter the full list of names you would like to use under the appropriate headings. The model will automatically adjust the drop down menus to fit. </t>
  </si>
  <si>
    <t>When you are done customising your list, press the button below to hide this sheet.</t>
  </si>
  <si>
    <t>Providers</t>
  </si>
  <si>
    <t>Services</t>
  </si>
  <si>
    <t>Data item</t>
  </si>
  <si>
    <t>Mean Demand</t>
  </si>
  <si>
    <t>Mean demand - unadjusted</t>
  </si>
  <si>
    <t>Lower Bound</t>
  </si>
  <si>
    <t>Lower bound of required capacity</t>
  </si>
  <si>
    <t>Upper Bound</t>
  </si>
  <si>
    <t>Upper bound of required capacity</t>
  </si>
  <si>
    <t>Non attendances (slot lost) as % - denominator is total bookings (ie. Demand - ROTT)</t>
  </si>
  <si>
    <t>NASL DNADischarge</t>
  </si>
  <si>
    <t>Non attendances (slot lost - discharged) as % - denominator is NASL</t>
  </si>
  <si>
    <t>NASR</t>
  </si>
  <si>
    <t>Non attendances (slot reused) as % - denominator is total bookings (ie. Demand - ROTT)</t>
  </si>
  <si>
    <t>NASR Discharge</t>
  </si>
  <si>
    <t>Non attendances (slot reused - discharged) as % - denominator is NASR</t>
  </si>
  <si>
    <t>Rebookings</t>
  </si>
  <si>
    <t>Rebookings following non-attendance (slot lost) as % - denominator is NASL (value can also be considered as 1 - NASL Discharge %)</t>
  </si>
  <si>
    <t>Total available capacity (ad hoc + core)</t>
  </si>
  <si>
    <t>Ideal WL size</t>
  </si>
  <si>
    <t>Maximum sustainable waiting list size</t>
  </si>
  <si>
    <t>Current WL size</t>
  </si>
  <si>
    <t>Stated current WL size</t>
  </si>
  <si>
    <t>ROTT as % - denominator is Demand</t>
  </si>
  <si>
    <t>Urgent%</t>
  </si>
  <si>
    <t>% urgent (optional)</t>
  </si>
  <si>
    <t>Point adjustment status</t>
  </si>
  <si>
    <t>1 if units are not in patients, 0 if in patients</t>
  </si>
  <si>
    <t>Point Adjustment Value</t>
  </si>
  <si>
    <t>Adjust to relevant unit conversion. If multiple modalities, use aggregate value.</t>
  </si>
  <si>
    <t>Chart title</t>
  </si>
  <si>
    <t>2Gether NHS Foundation Trust</t>
  </si>
  <si>
    <t>Aintree University Hospital NHS Foundation Trust</t>
  </si>
  <si>
    <t>Airedale NHS Foundation Trust</t>
  </si>
  <si>
    <t>Alder Hey Children's NHS Foundation Trust</t>
  </si>
  <si>
    <t>Ashford And St Peter's Hospitals NHS Foundation Trust</t>
  </si>
  <si>
    <t>Avon And Wiltshire Mental Health Partnership NHS Trust</t>
  </si>
  <si>
    <t>Barking, Havering And Redbridge University Hospitals NHS Trust</t>
  </si>
  <si>
    <t>Barnet, Enfield And Haringey Mental Health NHS Trust</t>
  </si>
  <si>
    <t>Barnsley Hospital NHS Foundation Trust</t>
  </si>
  <si>
    <t>Barts Health NHS Trust</t>
  </si>
  <si>
    <t>Basildon And Thurrock University Hospitals NHS Foundation Trust</t>
  </si>
  <si>
    <t>Bedford Hospital NHS Trust</t>
  </si>
  <si>
    <t>Berkshire Healthcare NHS Foundation Trust</t>
  </si>
  <si>
    <t>Birmingham And Solihull Mental Health NHS Foundation Trust</t>
  </si>
  <si>
    <t>Birmingham Community Healthcare NHS Foundation Trust</t>
  </si>
  <si>
    <t>Birmingham Women's And Children's NHS Foundation Trust</t>
  </si>
  <si>
    <t>Black Country Partnership NHS Foundation Trust</t>
  </si>
  <si>
    <t>Blackpool Teaching Hospitals NHS Foundation Trust</t>
  </si>
  <si>
    <t>Bolton NHS Foundation Trust</t>
  </si>
  <si>
    <t>Bradford District Care NHS Foundation Trust</t>
  </si>
  <si>
    <t>Bradford Teaching Hospitals NHS Foundation Trust</t>
  </si>
  <si>
    <t>Bridgewater Community Healthcare NHS Foundation Trust</t>
  </si>
  <si>
    <t>Brighton And Sussex University Hospitals NHS Trust</t>
  </si>
  <si>
    <t>Buckinghamshire Healthcare NHS Trust</t>
  </si>
  <si>
    <t>Burton Hospitals NHS Foundation Trust</t>
  </si>
  <si>
    <t>Calderdale And Huddersfield NHS Foundation Trust</t>
  </si>
  <si>
    <t>Cambridge University Hospitals NHS Foundation Trust</t>
  </si>
  <si>
    <t>Cambridgeshire And Peterborough NHS Foundation Trust</t>
  </si>
  <si>
    <t>Cambridgeshire Community Services NHS Trust</t>
  </si>
  <si>
    <t>Camden And Islington NHS Foundation Trust</t>
  </si>
  <si>
    <t>Central And North West London NHS Foundation Trust</t>
  </si>
  <si>
    <t>Central London Community Healthcare NHS Trust</t>
  </si>
  <si>
    <t>Chelsea And Westminster Hospital NHS Foundation Trust</t>
  </si>
  <si>
    <t>Cheshire And Wirral Partnership NHS Foundation Trust</t>
  </si>
  <si>
    <t>Chesterfield Royal Hospital NHS Foundation Trust</t>
  </si>
  <si>
    <t>City Hospitals Sunderland NHS Foundation Trust</t>
  </si>
  <si>
    <t>Colchester Hospital University NHS Foundation Trust</t>
  </si>
  <si>
    <t>Cornwall Partnership NHS Foundation Trust</t>
  </si>
  <si>
    <t>Countess Of Chester Hospital NHS Foundation Trust</t>
  </si>
  <si>
    <t>County Durham And Darlington NHS Foundation Trust</t>
  </si>
  <si>
    <t>Coventry And Warwickshire Partnership NHS Trust</t>
  </si>
  <si>
    <t>Croydon Health Services NHS Trust</t>
  </si>
  <si>
    <t>Cumbria Partnership NHS Foundation Trust</t>
  </si>
  <si>
    <t>Dartford And Gravesham NHS Trust</t>
  </si>
  <si>
    <t>Derby Teaching Hospitals NHS Foundation Trust</t>
  </si>
  <si>
    <t>Derbyshire Community Health Services NHS Foundation Trust</t>
  </si>
  <si>
    <t>Derbyshire Healthcare NHS Foundation Trust</t>
  </si>
  <si>
    <t>Devon Partnership NHS Trust</t>
  </si>
  <si>
    <t>Doncaster And Bassetlaw Teaching Hospitals NHS Foundation Trust</t>
  </si>
  <si>
    <t>Dorset County Hospital NHS Foundation Trust</t>
  </si>
  <si>
    <t>Dorset Healthcare University NHS Foundation Trust</t>
  </si>
  <si>
    <t>Dudley And Walsall Mental Health Partnership NHS Trust</t>
  </si>
  <si>
    <t>East And North Hertfordshire NHS Trust</t>
  </si>
  <si>
    <t>East Cheshire NHS Trust</t>
  </si>
  <si>
    <t>East Kent Hospitals University NHS Foundation Trust</t>
  </si>
  <si>
    <t>East Lancashire Hospitals NHS Trust</t>
  </si>
  <si>
    <t>East London NHS Foundation Trust</t>
  </si>
  <si>
    <t>East Midlands Ambulance Service NHS Trust</t>
  </si>
  <si>
    <t>East Of England Ambulance Service NHS Trust</t>
  </si>
  <si>
    <t>East Sussex Healthcare NHS Trust</t>
  </si>
  <si>
    <t>Epsom And St Helier University Hospitals NHS Trust</t>
  </si>
  <si>
    <t>Essex Partnership University NHS Foundation Trust</t>
  </si>
  <si>
    <t>Frimley Health NHS Foundation Trust</t>
  </si>
  <si>
    <t>Gateshead Health NHS Foundation Trust</t>
  </si>
  <si>
    <t>George Eliot Hospital NHS Trust</t>
  </si>
  <si>
    <t>Gloucestershire Care Services NHS Trust</t>
  </si>
  <si>
    <t>Gloucestershire Hospitals NHS Foundation Trust</t>
  </si>
  <si>
    <t>Great Ormond Street Hospital For Children NHS Foundation Trust</t>
  </si>
  <si>
    <t>Great Western Hospitals NHS Foundation Trust</t>
  </si>
  <si>
    <t>Greater Manchester Mental Health NHS Foundation Trust</t>
  </si>
  <si>
    <t>Guy's And St Thomas' NHS Foundation Trust</t>
  </si>
  <si>
    <t>Hampshire Hospitals NHS Foundation Trust</t>
  </si>
  <si>
    <t>Harrogate And District NHS Foundation Trust</t>
  </si>
  <si>
    <t>Heart Of England NHS Foundation Trust</t>
  </si>
  <si>
    <t>Hertfordshire Community NHS Trust</t>
  </si>
  <si>
    <t>Hertfordshire Partnership University NHS Foundation Trust</t>
  </si>
  <si>
    <t>Homerton University Hospital NHS Foundation Trust</t>
  </si>
  <si>
    <t>Hounslow And Richmond Community Healthcare NHS Trust</t>
  </si>
  <si>
    <t>Hull And East Yorkshire Hospitals NHS Trust</t>
  </si>
  <si>
    <t>Humber NHS Foundation Trust</t>
  </si>
  <si>
    <t>Imperial College Healthcare NHS Trust</t>
  </si>
  <si>
    <t>Ipswich Hospital NHS Trust</t>
  </si>
  <si>
    <t>Isle Of Wight NHS Trust</t>
  </si>
  <si>
    <t>James Paget University Hospitals NHS Foundation Trust</t>
  </si>
  <si>
    <t>Kent And Medway NHS And Social Care Partnership Trust</t>
  </si>
  <si>
    <t>Kent Community Health NHS Foundation Trust</t>
  </si>
  <si>
    <t>Kettering General Hospital NHS Foundation Trust</t>
  </si>
  <si>
    <t>King's College Hospital NHS Foundation Trust</t>
  </si>
  <si>
    <t>Kingston Hospital NHS Foundation Trust</t>
  </si>
  <si>
    <t>Lancashire Care NHS Foundation Trust</t>
  </si>
  <si>
    <t>Lancashire Teaching Hospitals NHS Foundation Trust</t>
  </si>
  <si>
    <t>Leeds And York Partnership NHS Foundation Trust</t>
  </si>
  <si>
    <t>Leeds Community Healthcare NHS Trust</t>
  </si>
  <si>
    <t>Leeds Teaching Hospitals NHS Trust</t>
  </si>
  <si>
    <t>Leicestershire Partnership NHS Trust</t>
  </si>
  <si>
    <t>Lewisham And Greenwich NHS Trust</t>
  </si>
  <si>
    <t>Lincolnshire Community Health Services NHS Trust</t>
  </si>
  <si>
    <t>Lincolnshire Partnership NHS Foundation Trust</t>
  </si>
  <si>
    <t>Liverpool Community Health NHS Trust</t>
  </si>
  <si>
    <t>Liverpool Heart And Chest Hospital NHS Foundation Trust</t>
  </si>
  <si>
    <t>Liverpool Women's NHS Foundation Trust</t>
  </si>
  <si>
    <t>London Ambulance Service NHS Trust</t>
  </si>
  <si>
    <t>London North West University Healthcare NHS Trust</t>
  </si>
  <si>
    <t>Luton And Dunstable University Hospital NHS Foundation Trust</t>
  </si>
  <si>
    <t>Maidstone And Tunbridge Wells NHS Trust</t>
  </si>
  <si>
    <t>Manchester University NHS Foundation Trust</t>
  </si>
  <si>
    <t>Medway NHS Foundation Trust</t>
  </si>
  <si>
    <t>Mersey Care NHS Foundation Trust</t>
  </si>
  <si>
    <t>Mid Cheshire Hospitals NHS Foundation Trust</t>
  </si>
  <si>
    <t>Mid Essex Hospital Services NHS Trust</t>
  </si>
  <si>
    <t>Mid Staffordshire NHS Foundation Trust</t>
  </si>
  <si>
    <t>Mid Yorkshire Hospitals NHS Trust</t>
  </si>
  <si>
    <t>Milton Keynes University Hospital NHS Foundation Trust</t>
  </si>
  <si>
    <t>Moorfields Eye Hospital NHS Foundation Trust</t>
  </si>
  <si>
    <t>Norfolk And Norwich University Hospitals NHS Foundation Trust</t>
  </si>
  <si>
    <t>Norfolk And Suffolk NHS Foundation Trust</t>
  </si>
  <si>
    <t>Norfolk Community Health And Care NHS Trust</t>
  </si>
  <si>
    <t>North Bristol NHS Trust</t>
  </si>
  <si>
    <t>North Cumbria University Hospitals NHS Trust</t>
  </si>
  <si>
    <t>North East Ambulance Service NHS Foundation Trust</t>
  </si>
  <si>
    <t>North East London NHS Foundation Trust</t>
  </si>
  <si>
    <t>North Middlesex University Hospital NHS Trust</t>
  </si>
  <si>
    <t>North Staffordshire Combined Healthcare NHS Trust</t>
  </si>
  <si>
    <t>North Tees And Hartlepool NHS Foundation Trust</t>
  </si>
  <si>
    <t>North West Ambulance Service NHS Trust</t>
  </si>
  <si>
    <t>North West Anglia NHS Foundation Trust</t>
  </si>
  <si>
    <t>North West Boroughs Healthcare NHS Foundation Trust</t>
  </si>
  <si>
    <t>Northampton General Hospital NHS Trust</t>
  </si>
  <si>
    <t>Northamptonshire Healthcare NHS Foundation Trust</t>
  </si>
  <si>
    <t>Northern Devon Healthcare NHS Trust</t>
  </si>
  <si>
    <t>Northern Lincolnshire And Goole NHS Foundation Trust</t>
  </si>
  <si>
    <t>Northumberland, Tyne And Wear NHS Foundation Trust</t>
  </si>
  <si>
    <t>Northumbria Healthcare NHS Foundation Trust</t>
  </si>
  <si>
    <t>Nottingham University Hospitals NHS Trust</t>
  </si>
  <si>
    <t>Nottinghamshire Healthcare NHS Foundation Trust</t>
  </si>
  <si>
    <t>Oxford Health NHS Foundation Trust</t>
  </si>
  <si>
    <t>Oxford University Hospitals NHS Foundation Trust</t>
  </si>
  <si>
    <t>Oxleas NHS Foundation Trust</t>
  </si>
  <si>
    <t>Pennine Acute Hospitals NHS Trust</t>
  </si>
  <si>
    <t>Pennine Care NHS Foundation Trust</t>
  </si>
  <si>
    <t>Plymouth Hospitals NHS Trust</t>
  </si>
  <si>
    <t>Poole Hospital NHS Foundation Trust</t>
  </si>
  <si>
    <t>Portsmouth Hospitals NHS Trust</t>
  </si>
  <si>
    <t>Public Health Wales NHS Trust</t>
  </si>
  <si>
    <t>Queen Victoria Hospital NHS Foundation Trust</t>
  </si>
  <si>
    <t>Rotherham Doncaster And South Humber NHS Foundation Trust</t>
  </si>
  <si>
    <t>Royal Berkshire NHS Foundation Trust</t>
  </si>
  <si>
    <t>Royal Brompton &amp; Harefield NHS Foundation Trust</t>
  </si>
  <si>
    <t>Royal Cornwall Hospitals NHS Trust</t>
  </si>
  <si>
    <t>Royal Devon And Exeter NHS Foundation Trust</t>
  </si>
  <si>
    <t>Royal Free London NHS Foundation Trust</t>
  </si>
  <si>
    <t>Royal Liverpool And Broadgreen University Hospitals NHS Trust</t>
  </si>
  <si>
    <t>Royal National Orthopaedic Hospital NHS Trust</t>
  </si>
  <si>
    <t>Royal Papworth Hospital NHS Foundation Trust</t>
  </si>
  <si>
    <t>Royal Surrey County Hospital NHS Foundation Trust</t>
  </si>
  <si>
    <t>Royal United Hospitals Bath NHS Foundation Trust</t>
  </si>
  <si>
    <t>Salford Royal NHS Foundation Trust</t>
  </si>
  <si>
    <t>Salisbury NHS Foundation Trust</t>
  </si>
  <si>
    <t>Sandwell And West Birmingham Hospitals NHS Trust</t>
  </si>
  <si>
    <t>Sheffield Children's NHS Foundation Trust</t>
  </si>
  <si>
    <t>Sheffield Health &amp; Social Care NHS Foundation Trust</t>
  </si>
  <si>
    <t>Sheffield Teaching Hospitals NHS Foundation Trust</t>
  </si>
  <si>
    <t>Sherwood Forest Hospitals NHS Foundation Trust</t>
  </si>
  <si>
    <t>Shrewsbury And Telford Hospital NHS Trust</t>
  </si>
  <si>
    <t>Shropshire Community Health NHS Trust</t>
  </si>
  <si>
    <t>Solent NHS Trust</t>
  </si>
  <si>
    <t>Somerset Partnership NHS Foundation Trust</t>
  </si>
  <si>
    <t>South Central Ambulance Service NHS Foundation Trust</t>
  </si>
  <si>
    <t>South East Coast Ambulance Service NHS Foundation Trust</t>
  </si>
  <si>
    <t>South London And Maudsley NHS Foundation Trust</t>
  </si>
  <si>
    <t>South Staffordshire And Shropshire Healthcare NHS Foundation Trust</t>
  </si>
  <si>
    <t>South Tees Hospitals NHS Foundation Trust</t>
  </si>
  <si>
    <t>South Tyneside NHS Foundation Trust</t>
  </si>
  <si>
    <t>South Warwickshire NHS Foundation Trust</t>
  </si>
  <si>
    <t>South West London And St George's Mental Health NHS Trust</t>
  </si>
  <si>
    <t>South West Yorkshire Partnership NHS Foundation Trust</t>
  </si>
  <si>
    <t>South Western Ambulance Service NHS Foundation Trust</t>
  </si>
  <si>
    <t>Southend University Hospital NHS Foundation Trust</t>
  </si>
  <si>
    <t>Southern Health NHS Foundation Trust</t>
  </si>
  <si>
    <t>Southport And Ormskirk Hospital NHS Trust</t>
  </si>
  <si>
    <t>St George's University Hospitals NHS Foundation Trust</t>
  </si>
  <si>
    <t>St Helens And Knowsley Hospital Services NHS Trust</t>
  </si>
  <si>
    <t>Staffordshire And Stoke On Trent Partnership NHS Trust</t>
  </si>
  <si>
    <t>Stockport NHS Foundation Trust</t>
  </si>
  <si>
    <t>Surrey And Borders Partnership NHS Foundation Trust</t>
  </si>
  <si>
    <t>Surrey And Sussex Healthcare NHS Trust</t>
  </si>
  <si>
    <t>Sussex Community NHS Foundation Trust</t>
  </si>
  <si>
    <t>Sussex Partnership NHS Foundation Trust</t>
  </si>
  <si>
    <t>Tameside And Glossop Integrated Care NHS Foundation Trust</t>
  </si>
  <si>
    <t>Taunton And Somerset NHS Foundation Trust</t>
  </si>
  <si>
    <t>Tavistock And Portman NHS Foundation Trust</t>
  </si>
  <si>
    <t>Tees, Esk And Wear Valleys NHS Foundation Trust</t>
  </si>
  <si>
    <t>The Christie NHS Foundation Trust</t>
  </si>
  <si>
    <t>The Clatterbridge Cancer Centre NHS Foundation Trust</t>
  </si>
  <si>
    <t>The Dudley Group NHS Foundation Trust</t>
  </si>
  <si>
    <t>The Hillingdon Hospitals NHS Foundation Trust</t>
  </si>
  <si>
    <t>The Newcastle Upon Tyne Hospitals NHS Foundation Trust</t>
  </si>
  <si>
    <t>The Princess Alexandra Hospital NHS Trust</t>
  </si>
  <si>
    <t>The Queen Elizabeth Hospital, King's Lynn, NHS Foundation Trust</t>
  </si>
  <si>
    <t>The Robert Jones And Agnes Hunt Orthopaedic Hospital NHS Foundation Trust</t>
  </si>
  <si>
    <t>The Rotherham NHS Foundation Trust</t>
  </si>
  <si>
    <t>The Royal Bournemouth And Christchurch Hospitals NHS Foundation Trust</t>
  </si>
  <si>
    <t>The Royal Marsden NHS Foundation Trust</t>
  </si>
  <si>
    <t>The Royal Orthopaedic Hospital NHS Foundation Trust</t>
  </si>
  <si>
    <t>The Royal Wolverhampton NHS Trust</t>
  </si>
  <si>
    <t>The Walton Centre NHS Foundation Trust</t>
  </si>
  <si>
    <t>Torbay And South Devon NHS Foundation Trust</t>
  </si>
  <si>
    <t>United Lincolnshire Hospitals NHS Trust</t>
  </si>
  <si>
    <t>University College London Hospitals NHS Foundation Trust</t>
  </si>
  <si>
    <t>University Hospital Southampton NHS Foundation Trust</t>
  </si>
  <si>
    <t>University Hospitals Birmingham NHS Foundation Trust</t>
  </si>
  <si>
    <t>University Hospitals Bristol NHS Foundation Trust</t>
  </si>
  <si>
    <t>University Hospitals Coventry And Warwickshire NHS Trust</t>
  </si>
  <si>
    <t>University Hospitals Of Leicester NHS Trust</t>
  </si>
  <si>
    <t>University Hospitals Of Morecambe Bay NHS Foundation Trust</t>
  </si>
  <si>
    <t>University Hospitals Of North Midlands NHS Trust</t>
  </si>
  <si>
    <t>Velindre NHS Trust</t>
  </si>
  <si>
    <t>Walsall Healthcare NHS Trust</t>
  </si>
  <si>
    <t>Warrington And Halton Hospitals NHS Foundation Trust</t>
  </si>
  <si>
    <t>Welsh Ambulance Services NHS Trust</t>
  </si>
  <si>
    <t>West Hertfordshire Hospitals NHS Trust</t>
  </si>
  <si>
    <t>West London Mental Health NHS Trust</t>
  </si>
  <si>
    <t>West Midlands Ambulance Service NHS Foundation Trust</t>
  </si>
  <si>
    <t>West Suffolk NHS Foundation Trust</t>
  </si>
  <si>
    <t>Western Sussex Hospitals NHS Foundation Trust</t>
  </si>
  <si>
    <t>Weston Area Health NHS Trust</t>
  </si>
  <si>
    <t>Whittington Health NHS Trust</t>
  </si>
  <si>
    <t>Wirral Community NHS Foundation Trust</t>
  </si>
  <si>
    <t>Wirral University Teaching Hospital NHS Foundation Trust</t>
  </si>
  <si>
    <t>Worcestershire Acute Hospitals NHS Trust</t>
  </si>
  <si>
    <t>Worcestershire Health And Care NHS Trust</t>
  </si>
  <si>
    <t>Wrightington, Wigan And Leigh NHS Foundation Trust</t>
  </si>
  <si>
    <t>Wye Valley NHS Trust</t>
  </si>
  <si>
    <t>Yeovil District Hospital NHS Foundation Trust</t>
  </si>
  <si>
    <t>York Teaching Hospital NHS Foundation Trust</t>
  </si>
  <si>
    <t>Yorkshire Ambulance Service NHS Trust</t>
  </si>
  <si>
    <t>General surgery</t>
  </si>
  <si>
    <t>Urology</t>
  </si>
  <si>
    <t>Trauma &amp; orthopaedics</t>
  </si>
  <si>
    <t>ENT</t>
  </si>
  <si>
    <t>Ophthalmology</t>
  </si>
  <si>
    <t>Oral surgery</t>
  </si>
  <si>
    <t>Restorative dentistry</t>
  </si>
  <si>
    <t>Paediatric dentistry</t>
  </si>
  <si>
    <t>Orthodontics</t>
  </si>
  <si>
    <t>Oral &amp; maxillo facial surgery</t>
  </si>
  <si>
    <t>Endodontics</t>
  </si>
  <si>
    <t>Periodontics</t>
  </si>
  <si>
    <t>Prosthodontics</t>
  </si>
  <si>
    <t>Surgical dentistry</t>
  </si>
  <si>
    <t>Neurosurgery</t>
  </si>
  <si>
    <t>Plastic surgery</t>
  </si>
  <si>
    <t>Cardiothoracic surgery</t>
  </si>
  <si>
    <t>Paediatric surgery</t>
  </si>
  <si>
    <t>Anaesthetics</t>
  </si>
  <si>
    <t>Critical care medicine</t>
  </si>
  <si>
    <t>General medicine</t>
  </si>
  <si>
    <t>Gastroenterology</t>
  </si>
  <si>
    <t>Endocrinology</t>
  </si>
  <si>
    <t>Clinical haematology</t>
  </si>
  <si>
    <t>Clinical physiology</t>
  </si>
  <si>
    <t>Clinical pharmacology</t>
  </si>
  <si>
    <t>Audiological medicine</t>
  </si>
  <si>
    <t>Clinical genetics</t>
  </si>
  <si>
    <t>Clinical immunology and allergy</t>
  </si>
  <si>
    <t>Rehabilitation</t>
  </si>
  <si>
    <t>Palliative medicine</t>
  </si>
  <si>
    <t>Cardiology</t>
  </si>
  <si>
    <t>Paediatric cardiology</t>
  </si>
  <si>
    <t>Sport and exercise medicine</t>
  </si>
  <si>
    <t>Acute internal medicine</t>
  </si>
  <si>
    <t>Dermatology</t>
  </si>
  <si>
    <t>Respiratory medicine (also known as thoracic medicine)</t>
  </si>
  <si>
    <t>Infectious diseases</t>
  </si>
  <si>
    <t>Tropical medicine</t>
  </si>
  <si>
    <t>Genitourinary medicine</t>
  </si>
  <si>
    <t>Nephrology</t>
  </si>
  <si>
    <t>Medical oncology</t>
  </si>
  <si>
    <t>Nuclear medicine</t>
  </si>
  <si>
    <t>Neurology</t>
  </si>
  <si>
    <t>Clinical neuro-physiology</t>
  </si>
  <si>
    <t>Rheumatology</t>
  </si>
  <si>
    <t>Paediatrics</t>
  </si>
  <si>
    <t>Paediatric neurology</t>
  </si>
  <si>
    <t>Geriatric medicine</t>
  </si>
  <si>
    <t>Dental medicine specialties</t>
  </si>
  <si>
    <t>Special care dentistry</t>
  </si>
  <si>
    <t>Medical ophthalmology</t>
  </si>
  <si>
    <t>Obstetrics and gynaecology</t>
  </si>
  <si>
    <t>Obstetrics</t>
  </si>
  <si>
    <t>Gynaecology</t>
  </si>
  <si>
    <t>Community sexual and reproductive health</t>
  </si>
  <si>
    <t>Midwife episode</t>
  </si>
  <si>
    <t>General medical practice</t>
  </si>
  <si>
    <t>General dental practice</t>
  </si>
  <si>
    <t>Learning disability</t>
  </si>
  <si>
    <t>Adult mental illness</t>
  </si>
  <si>
    <t>Child and adolescent psychiatry</t>
  </si>
  <si>
    <t>Forensic psychiatry</t>
  </si>
  <si>
    <t>Psychotherapy</t>
  </si>
  <si>
    <t>Old age psychiatry</t>
  </si>
  <si>
    <t>Clinical oncology (previously radiotherapy)</t>
  </si>
  <si>
    <t>Radiology</t>
  </si>
  <si>
    <t>General pathology</t>
  </si>
  <si>
    <t>Blood transfusion</t>
  </si>
  <si>
    <t>Chemical pathology</t>
  </si>
  <si>
    <t>Haematology</t>
  </si>
  <si>
    <t>Histopathology</t>
  </si>
  <si>
    <t>Immunopathology</t>
  </si>
  <si>
    <t>Medical microbiology and virology</t>
  </si>
  <si>
    <t>Medical microbiology (also known as microbiology and bacteriology)</t>
  </si>
  <si>
    <t>Medical virology</t>
  </si>
  <si>
    <t>Community medicine</t>
  </si>
  <si>
    <t>Occupational medicine</t>
  </si>
  <si>
    <t>Community health services dental</t>
  </si>
  <si>
    <t>A. N. Other Trust</t>
  </si>
  <si>
    <t>0.4c</t>
  </si>
  <si>
    <t>Completed Planning page.
Added ablity to adjust organisation and service list via button.
Near final draft - to do: lock pages down.</t>
  </si>
  <si>
    <t>Use calculated figures</t>
  </si>
  <si>
    <t>Override</t>
  </si>
  <si>
    <t>Override switch</t>
  </si>
  <si>
    <t>Adjusted (maximum) capacity</t>
  </si>
  <si>
    <t>NHS Demand and Capacity Programme: Core model</t>
  </si>
  <si>
    <t>0.4c(i)</t>
  </si>
  <si>
    <t>Major fixes
- SPC seasonal calculation corrected; original calculations based on incorrect array references. (changes in 'Demand background (hide)' section)
Minor bug fixes
'Capacity summary' tab returning minor errors - fixed:
- 'Capacity resource' named formula returning error if no entries were in the list. Corrected with an IF statement at start of formula.
- Updated chart x-axis on 'Capacity summary' to dynamically change between week number/date format, dependent on user input in 'Capacity' start date section.
- Changed 'Capacity' 'End date' box to show blank if user has not entered anything.</t>
  </si>
  <si>
    <t>Rebookings seen in:</t>
  </si>
  <si>
    <t>Rebooks</t>
  </si>
  <si>
    <t>Required capacity vs available capacity (weekly)</t>
  </si>
  <si>
    <t>This sheet will be used to list the cells that will need to be copied over in case of a data import from another (older) version.</t>
  </si>
  <si>
    <t>Range</t>
  </si>
  <si>
    <t>C5</t>
  </si>
  <si>
    <t>C7</t>
  </si>
  <si>
    <t>I11</t>
  </si>
  <si>
    <t>I13</t>
  </si>
  <si>
    <t>I15</t>
  </si>
  <si>
    <t>I17</t>
  </si>
  <si>
    <t>I19</t>
  </si>
  <si>
    <t>B22:B24</t>
  </si>
  <si>
    <t>C27:F36</t>
  </si>
  <si>
    <t>G27:I36</t>
  </si>
  <si>
    <t>C6</t>
  </si>
  <si>
    <t>E7</t>
  </si>
  <si>
    <t>Test Service</t>
  </si>
  <si>
    <t>SPC background (hide)</t>
  </si>
  <si>
    <t>B1</t>
  </si>
  <si>
    <t>C19</t>
  </si>
  <si>
    <t>C23</t>
  </si>
  <si>
    <t>C25</t>
  </si>
  <si>
    <t>C8</t>
  </si>
  <si>
    <t>C10</t>
  </si>
  <si>
    <t>C12</t>
  </si>
  <si>
    <t>Planned background (hide)</t>
  </si>
  <si>
    <t>U18:U19</t>
  </si>
  <si>
    <t>Capacity calculation (hide)</t>
  </si>
  <si>
    <t>E1</t>
  </si>
  <si>
    <t>C11</t>
  </si>
  <si>
    <t>C3</t>
  </si>
  <si>
    <t>C14</t>
  </si>
  <si>
    <t>C16</t>
  </si>
  <si>
    <t>Pathway</t>
  </si>
  <si>
    <t>B6:C8</t>
  </si>
  <si>
    <t>E6:E8</t>
  </si>
  <si>
    <t>H5:H8</t>
  </si>
  <si>
    <t>C7:C8</t>
  </si>
  <si>
    <t>B18</t>
  </si>
  <si>
    <t>B13</t>
  </si>
  <si>
    <t>B26:B45</t>
  </si>
  <si>
    <t>D26:D45</t>
  </si>
  <si>
    <t>F25:BE45</t>
  </si>
  <si>
    <t>C4</t>
  </si>
  <si>
    <t>C20</t>
  </si>
  <si>
    <t>B5:B104</t>
  </si>
  <si>
    <t>Number of modalities / subspecialties required:</t>
  </si>
  <si>
    <t>Current waiting list size (Patients)</t>
  </si>
  <si>
    <t xml:space="preserve">  Reserved for non-elective</t>
  </si>
  <si>
    <t>Reserved capacity</t>
  </si>
  <si>
    <t>Clearance calculator:</t>
  </si>
  <si>
    <t>I would like to clear the backlog in</t>
  </si>
  <si>
    <t>This will require capacity for an additional:</t>
  </si>
  <si>
    <t>1.02 (cont)</t>
  </si>
  <si>
    <t>Additions:
- Clearance calculator added to Summary. Includes additional forumlae in Parameters calculator (hide)</t>
  </si>
  <si>
    <t>MaxRows</t>
  </si>
  <si>
    <t>PMaxRows</t>
  </si>
  <si>
    <t>A16</t>
  </si>
  <si>
    <t>M16</t>
  </si>
  <si>
    <t>This section lists where we find max rows for demand, planned, capacity (core), capacity (ad hoc) - this is hard coded into the import macro</t>
  </si>
  <si>
    <t>macro variable name</t>
  </si>
  <si>
    <t>maxDrows</t>
  </si>
  <si>
    <t>maxCrows</t>
  </si>
  <si>
    <t>maxProws</t>
  </si>
  <si>
    <t>maxArows</t>
  </si>
  <si>
    <t>Import function added as a new feature: this will allow users to select a model that was completed using an older file, and will import all the relevant information.</t>
  </si>
  <si>
    <t>Show reserved capacity?</t>
  </si>
  <si>
    <t>Critical Resource</t>
  </si>
  <si>
    <t>Please add to, or change the data in the columns below (B &amp; D) as required.</t>
  </si>
  <si>
    <t>Surgical Specialties : General surgery (100)</t>
  </si>
  <si>
    <t>Surgical Specialties : Urology (101)</t>
  </si>
  <si>
    <t>Surgical Specialties : Transplantation surgery (102)</t>
  </si>
  <si>
    <t>Surgical Specialties : Breast surgery (103)</t>
  </si>
  <si>
    <t>Surgical Specialties : Colorectal surgery (104)</t>
  </si>
  <si>
    <t>Surgical Specialties : Hepatobiliary &amp; pancreatic surgery (105)</t>
  </si>
  <si>
    <t>Surgical Specialties : Upper gastrointestinal surgery (106)</t>
  </si>
  <si>
    <t>Surgical Specialties : Vascular surgery (107)</t>
  </si>
  <si>
    <t>Surgical Specialties : Spinal surgery service (108)</t>
  </si>
  <si>
    <t>Surgical Specialties : Trauma &amp; orthopaedics (110)</t>
  </si>
  <si>
    <t>Surgical Specialties : Ent (120)</t>
  </si>
  <si>
    <t>Surgical Specialties : Ophthalmology (130)</t>
  </si>
  <si>
    <t>Surgical Specialties : Oral surgery (140)</t>
  </si>
  <si>
    <t>Surgical Specialties : Restorative dentistry (141)</t>
  </si>
  <si>
    <t>Surgical Specialties : Paediatric dentistry (142)</t>
  </si>
  <si>
    <t>Surgical Specialties : Orthodontics (143)</t>
  </si>
  <si>
    <t>Surgical Specialties : Maxillo-facial surgery (144)</t>
  </si>
  <si>
    <t>Surgical Specialties : Neurosurgery (150)</t>
  </si>
  <si>
    <t>Surgical Specialties : Plastic surgery (160)</t>
  </si>
  <si>
    <t>Surgical Specialties : Burns care (161)</t>
  </si>
  <si>
    <t>Surgical Specialties : Cardiothoracic surgery (170)</t>
  </si>
  <si>
    <t>Surgical Specialties : Paediatric surgery (171)</t>
  </si>
  <si>
    <t>Surgical Specialties : Cardiac surgery (172)</t>
  </si>
  <si>
    <t>Surgical Specialties : Thoracic surgery (173)</t>
  </si>
  <si>
    <t>Surgical Specialties : Cardiothoracic transplantation (174)</t>
  </si>
  <si>
    <t>Surgical Specialties : Pain management (191)</t>
  </si>
  <si>
    <t>Children's Services: Paediatric urology (211)</t>
  </si>
  <si>
    <t>Children's Services: Paediatric transplantation surgery (212)</t>
  </si>
  <si>
    <t>Children's Services: Paediatric gastrointestinal surgery (213)</t>
  </si>
  <si>
    <t>Children's Services: Paediatric trauma and orthopaedics (214)</t>
  </si>
  <si>
    <t>Children's Services: Paediatric ear nose and throat (215)</t>
  </si>
  <si>
    <t>Children's Services: Paediatric ophthalmology (216)</t>
  </si>
  <si>
    <t>Children's Services: Paediatric maxillo-facial surgery (217)</t>
  </si>
  <si>
    <t>Children's Services: Paediatric neurosurgery (218)</t>
  </si>
  <si>
    <t>Children's Services: Paediatric plastic surgery (219)</t>
  </si>
  <si>
    <t>Children's Services: Paediatric burns care (220)</t>
  </si>
  <si>
    <t>Children's Services: Paediatric cardiac surgery (221)</t>
  </si>
  <si>
    <t>Children's Services: Paediatric thoracic surgery (222)</t>
  </si>
  <si>
    <t>Children's Services: Paediatric epilepsy (223)</t>
  </si>
  <si>
    <t>Children's Services: Paediatric pain management (241)</t>
  </si>
  <si>
    <t>Children's Services: Paediatric intensive care (242)</t>
  </si>
  <si>
    <t>Children's Services: Paediatric gastroenterology (251)</t>
  </si>
  <si>
    <t>Children's Services: Paediatric endocrinology (252)</t>
  </si>
  <si>
    <t>Children's Services: Paediatric clinical haematology (253)</t>
  </si>
  <si>
    <t>Children's Services: Paediatric audiological medicine (254)</t>
  </si>
  <si>
    <t>Children's Services: Paediatric clinical immunology and allergy service (255)</t>
  </si>
  <si>
    <t>Children's Services: Paediatric infectious diseases (256)</t>
  </si>
  <si>
    <t>Children's Services: Paediatric dermatology (257)</t>
  </si>
  <si>
    <t>Children's Services: Paediatric respiratory medicine (258)</t>
  </si>
  <si>
    <t>Children's Services: Paediatric nephrology (259)</t>
  </si>
  <si>
    <t>Children's Services: Paediatric medical oncology (260)</t>
  </si>
  <si>
    <t>Children's Services: Paediatric metabolic disease (261)</t>
  </si>
  <si>
    <t>Children's Services: Paediatric rheumatology (262)</t>
  </si>
  <si>
    <t>Children's Services: Paediatric diabetic medicine (263)</t>
  </si>
  <si>
    <t>Children's Services: Paediatric cystic fibrosis (264)</t>
  </si>
  <si>
    <t>Children's Services: Paediatric interventional radiology (280)</t>
  </si>
  <si>
    <t>Children's Services: Community paediatrics (290)</t>
  </si>
  <si>
    <t>Children's Services: Paediatric neuro-disability (291)</t>
  </si>
  <si>
    <t>Medical Specialties : Anaesthetics (190)</t>
  </si>
  <si>
    <t>Medical Specialties : Critical care medicine (192)</t>
  </si>
  <si>
    <t>Medical Specialties : General medicine (300)</t>
  </si>
  <si>
    <t>Medical Specialties : Gastroenterology (301)</t>
  </si>
  <si>
    <t>Medical Specialties : Endocrinology (302)</t>
  </si>
  <si>
    <t>Medical Specialties : Clinical haematology (303)</t>
  </si>
  <si>
    <t>Medical Specialties : Clinical physiology (304)</t>
  </si>
  <si>
    <t>Medical Specialties : Clinical pharmacology (305)</t>
  </si>
  <si>
    <t>Medical Specialties : Hepatology (306)</t>
  </si>
  <si>
    <t>Medical Specialties : Diabetic medicine (307)</t>
  </si>
  <si>
    <t>Medical Specialties : Blood and marrow transplantation (308)</t>
  </si>
  <si>
    <t>Medical Specialties : Haemophilia service (309)</t>
  </si>
  <si>
    <t>Medical Specialties : Audiological medicine (310)</t>
  </si>
  <si>
    <t>Medical Specialties : Clinical genetics (311)</t>
  </si>
  <si>
    <t>Medical Specialties : Clinical immunology and allergy service (313)</t>
  </si>
  <si>
    <t>Medical Specialties : Rehabilitation service (314)</t>
  </si>
  <si>
    <t>Medical Specialties : Palliative medicine (315)</t>
  </si>
  <si>
    <t>Medical Specialties : Clinical immunology (316)</t>
  </si>
  <si>
    <t>Medical Specialties : Allergy service (317)</t>
  </si>
  <si>
    <t>Medical Specialties : Intermediate care (318)</t>
  </si>
  <si>
    <t>Medical Specialties : Respite care (319)</t>
  </si>
  <si>
    <t>Medical Specialties : Cardiology (320)</t>
  </si>
  <si>
    <t>Medical Specialties : Paediatric cardiology (321)</t>
  </si>
  <si>
    <t>Medical Specialties : Clinical microbiology (322)</t>
  </si>
  <si>
    <t>Medical Specialties : Spinal injuries (323)</t>
  </si>
  <si>
    <t>Medical Specialties : Anticoagulant service (324)</t>
  </si>
  <si>
    <t>Medical Specialties : Sport and exercise medicine (325)</t>
  </si>
  <si>
    <t>Medical Specialties : Cardiac rehabilitation (327)</t>
  </si>
  <si>
    <t>Medical Specialties : Stroke medicine (328)</t>
  </si>
  <si>
    <t>Medical Specialties : Transient ischaemic attack (329)</t>
  </si>
  <si>
    <t>Medical Specialties : Dermatology (330)</t>
  </si>
  <si>
    <t>Medical Specialties : Congenital heart disease service (331)</t>
  </si>
  <si>
    <t>Medical Specialties : Respiratory medicine (340)</t>
  </si>
  <si>
    <t>Medical Specialties : Respiratory physiology (341)</t>
  </si>
  <si>
    <t>Medical Specialties : Programmed pulmonary rehabilitation (342)</t>
  </si>
  <si>
    <t>Medical Specialties : Adult cystic fibrosis service (343)</t>
  </si>
  <si>
    <t>Medical Specialties : Complex specialised rehabilitation service (344)</t>
  </si>
  <si>
    <t>Medical Specialties : Specialist rehabilitation service (345)</t>
  </si>
  <si>
    <t>Medical Specialties : Local specialist rehabilitation service (346)</t>
  </si>
  <si>
    <t>Medical Specialties : Infectious diseases (350)</t>
  </si>
  <si>
    <t>Medical Specialties : Tropical medicine (352)</t>
  </si>
  <si>
    <t>Medical Specialties : Genitourinary medicine (360)</t>
  </si>
  <si>
    <t>Medical Specialties : Nephrology (361)</t>
  </si>
  <si>
    <t>Medical Specialties : Medical oncology (370)</t>
  </si>
  <si>
    <t>Medical Specialties : Nuclear medicine (371)</t>
  </si>
  <si>
    <t>Medical Specialties : Neurology (400)</t>
  </si>
  <si>
    <t>Medical Specialties : Clinical neurophysiology (401)</t>
  </si>
  <si>
    <t>Medical Specialties : Rheumatology (410)</t>
  </si>
  <si>
    <t>Medical Specialties : Paediatrics (420)</t>
  </si>
  <si>
    <t>Medical Specialties : Paediatric neurology (421)</t>
  </si>
  <si>
    <t>Medical Specialties : Neonatology (422)</t>
  </si>
  <si>
    <t>Medical Specialties : Well babies (424)</t>
  </si>
  <si>
    <t>Medical Specialties : Geriatric medicine (430)</t>
  </si>
  <si>
    <t>Medical Specialties : Dental medicine specialties (450)</t>
  </si>
  <si>
    <t>Medical Specialties : Medical ophthalmology (460)</t>
  </si>
  <si>
    <t>Medical Specialties : Obstetrics (501)</t>
  </si>
  <si>
    <t>Medical Specialties : Gynaecology (502)</t>
  </si>
  <si>
    <t>Medical Specialties : Gynaecological oncology (503)</t>
  </si>
  <si>
    <t>Medical Specialties : Midwifery service (560)</t>
  </si>
  <si>
    <t>Therapies : Physiotherapy (650)</t>
  </si>
  <si>
    <t>Therapies : Occupational therapy (651)</t>
  </si>
  <si>
    <t>Therapies : Speech and language therapy (652)</t>
  </si>
  <si>
    <t>Therapies : Podiatry (653)</t>
  </si>
  <si>
    <t>Therapies : Dietetics (654)</t>
  </si>
  <si>
    <t>Therapies : Orthoptics (655)</t>
  </si>
  <si>
    <t>Therapies : Clinical psychology (656)</t>
  </si>
  <si>
    <t>Therapies : Prosthetics (657)</t>
  </si>
  <si>
    <t>Therapies : Orthotics (658)</t>
  </si>
  <si>
    <t>Therapies : Drama therapy (659)</t>
  </si>
  <si>
    <t>Therapies : Art therapy (660)</t>
  </si>
  <si>
    <t>Therapies : Music therapy (661)</t>
  </si>
  <si>
    <t>Therapies : Optometry (662)</t>
  </si>
  <si>
    <t>Therapies : Podiatric surgery (663)</t>
  </si>
  <si>
    <t>Psychiatry: Learning disability (700)</t>
  </si>
  <si>
    <t>Psychiatry: Adult mental illness (710)</t>
  </si>
  <si>
    <t>Psychiatry: Child and adolescent psychiatry (711)</t>
  </si>
  <si>
    <t>Psychiatry: Forensic psychiatry (712)</t>
  </si>
  <si>
    <t>Psychiatry: Psychotherapy (713)</t>
  </si>
  <si>
    <t>Psychiatry: Old age psychiatry (715)</t>
  </si>
  <si>
    <t>Psychiatry: Eating disorders (720)</t>
  </si>
  <si>
    <t>Psychiatry: Addiction services (721)</t>
  </si>
  <si>
    <t>Psychiatry: Liaison psychiatry (722)</t>
  </si>
  <si>
    <t>Psychiatry: Psychiatric intensive care (723)</t>
  </si>
  <si>
    <t>Psychiatry: Perinatal psychiatry (724)</t>
  </si>
  <si>
    <t>Psychiatry: Mental health recovery and rehabilitation service (725)</t>
  </si>
  <si>
    <t>Psychiatry: Mental health dual diagnosis service (726)</t>
  </si>
  <si>
    <t>Psychiatry: Dementia assessment service (727)</t>
  </si>
  <si>
    <t>Radiology: Clinical oncology (previously radiotherapy) (800)</t>
  </si>
  <si>
    <t>Radiology: Interventional radiology (811)</t>
  </si>
  <si>
    <t>Radiology: Diagnostic imaging (812)</t>
  </si>
  <si>
    <t>Pathology : Chemical pathology (822)</t>
  </si>
  <si>
    <t>Pathology : Medical virology (834)</t>
  </si>
  <si>
    <t>Other : Audiology (840)</t>
  </si>
  <si>
    <t>Other : Diabetic education service (920)</t>
  </si>
  <si>
    <t>Alternative list for services: by treatment function code</t>
  </si>
  <si>
    <t>Alternative list for services: by specialty</t>
  </si>
  <si>
    <t>Copy and paste one of the pre-prepared lists below for the 'Services' column, or create a custom list as required.</t>
  </si>
  <si>
    <t xml:space="preserve">Major fix:
- Bug in summary calculation chart (overall required capacity): was showing total upper bound value instead of difference in value between upper and lower bound, resulting in erroneous upper bound value being shown.
- Available capacity calculation on summary sheet (chart, overall): was applying patient modifier twice - corrected.
- SPC calculation for large (&gt;2 sigma) outliers corrected: for 3 points, 2 are &gt; 2 sigma from the mean; all points on the same side of the mean: the last part was not calculating correctly, resulting in erroneous returns.
- Removal of 'Yes' values in Demand (Excluded? column) in blank sheet version
- Bug in pathway chart - was showing total value of pathway in row length rather than stacked (ie. end - start) value. Corrected in Parameters (hide) sheet
- Fixed bug in pathway calculations - urgencies had been inverted in the calculation values. Now corrected.
Minor fixes:
- Total for 1 modality scenarios no longer doubling up against overall total
- Minutes per point cell was not unlocked, so could not alter value
- NHS logo is now in the background, so will not overlay help text.
- Capacity start date defaults to TODAY() if left blank; also removes error values in chart if no values are chosen.
- week start dates in critical resources dropdowns are linked to the week starting (Monday) in all cases
- Warning note in summary for capacity imbalances no longer will show 'FALSE' for non-issues.
- Pathways: rebookings times can now be set on an urgency specific basis, and shown as a stacked bar chart.
- Summary: Adjusted warning note regarding mismatch between required/available capacity - is based now on lower (dynamically named) and 85th percentile values.
- Summary: Lower / Upper bound renamed to lower (dynamically assigned) / 85th percentiles
- Summary: text labels adjusted - 'lower/upper bound' -&gt; 85th percentile; carve-out changed to 'reserved capacity for non-elective'
- Capacity setup: Fixed #REF error in Ad hoc column
- Demand: 'Total' column (for all totals, including all modalities) formula was directed to wrong column; corrected to show all elective demand. Notes added to all totals headers to explain this.
</t>
  </si>
  <si>
    <t>Major fix:
- Waiting list values chart showing total upper bound value instead of difference between upper and lower bound.
- Import subroutine fixes - text field entries in notes which begin with '=','-' or '+' not importing correctly.
- Import subroutine fixes - empty capacity related sheets (eg. Critical resources) causing errors.
Minor fixes:
- "Capacity setup" sheet shows core setup by default now.
- "Version control" sheet now protected as per the other visible sheets.</t>
  </si>
  <si>
    <t>Point/minutes conversion error caused by data type error: use of LongInt rather than Double.</t>
  </si>
  <si>
    <t>Major fix:
Points/Minutes not correctly translating to patients when viewed in Summary tab - conversion corrected.
Minor fixes:
- Colour adjustment to core + ad hoc capacity line in Summary tab chart (time-based breakdown) to improve clarity of visuals - included markers to help visability.
- Y-axis on summary chart (Summary page) fixed to 0.
- Improved efficiency of capacity unit adjustment - process now iterates only through populated cells.</t>
  </si>
  <si>
    <t>1.04 (cont)</t>
  </si>
  <si>
    <t>Ashish Mohanty</t>
  </si>
  <si>
    <t xml:space="preserve">Minor fix:
- Bug in summary calculation chart (required vs available capacity): Certain capacity start dates would render the chart inoperative. 
Now corrected.
Warning messages in the summary tab updated to quantify any deficits in capacity.
</t>
  </si>
  <si>
    <t>Bug in summary calculation chart caused when Weeknum returns a value of 53</t>
  </si>
  <si>
    <t xml:space="preserve">Minor fix:
- Average required capacity did not have adjustment relating to parameters applied, which was resulting in a high average figure.
Now corrected.
</t>
  </si>
  <si>
    <t>Bank holiday cover</t>
  </si>
  <si>
    <t>Locum</t>
  </si>
  <si>
    <t>WL Clearance</t>
  </si>
  <si>
    <t>Capacity Adjustment Rate</t>
  </si>
  <si>
    <t>Capacity Impact</t>
  </si>
  <si>
    <t>NASR D/C</t>
  </si>
  <si>
    <t>Non-attendance adjustment</t>
  </si>
  <si>
    <t>Rebooking Adjustment</t>
  </si>
  <si>
    <t>Capacity Adjustment</t>
  </si>
  <si>
    <t>Capacity Rebooking Adjustment</t>
  </si>
  <si>
    <t>Current WL Size</t>
  </si>
  <si>
    <t>Total Adjustment</t>
  </si>
  <si>
    <t>=Non-attendance adjustment + rebooking adjustment</t>
  </si>
  <si>
    <t>=Capacity Adjustment + Capacity Rebooking Adjustment</t>
  </si>
  <si>
    <t>Lookup Table</t>
  </si>
  <si>
    <t>StDev</t>
  </si>
  <si>
    <t>85th</t>
  </si>
  <si>
    <t>Percentiles</t>
  </si>
  <si>
    <t>StDev (est)</t>
  </si>
  <si>
    <t>Total Adjustment (Capacity)</t>
  </si>
  <si>
    <t>Prediction Output</t>
  </si>
  <si>
    <t>1st</t>
  </si>
  <si>
    <t>5th</t>
  </si>
  <si>
    <t>10th</t>
  </si>
  <si>
    <t>90th</t>
  </si>
  <si>
    <t>95th</t>
  </si>
  <si>
    <t>99th</t>
  </si>
  <si>
    <t>Check this calculation - no NASR rate entered directly in to model?</t>
  </si>
  <si>
    <t>Capacity Adjustment Rate (%):</t>
  </si>
  <si>
    <t>Capacity Impact (%):</t>
  </si>
  <si>
    <t>Sustainable Range Low</t>
  </si>
  <si>
    <t>Sustainable Range High</t>
  </si>
  <si>
    <t>Sustainable Range</t>
  </si>
  <si>
    <t>=(1 - ROTT) times (1 - (NASRDC + NASL))</t>
  </si>
  <si>
    <t>=(1 - ROTT) * (NASL * NASL Rebookings))</t>
  </si>
  <si>
    <t>=1 - (NASL)</t>
  </si>
  <si>
    <t>=(NASL * NASL Rebookings)</t>
  </si>
  <si>
    <t>Adjustment will translate capacity / demand into estimated activity</t>
  </si>
  <si>
    <t>`</t>
  </si>
  <si>
    <t xml:space="preserve">    ROTT</t>
  </si>
  <si>
    <t xml:space="preserve">    NASR Discharge %</t>
  </si>
  <si>
    <t xml:space="preserve">    NASL %</t>
  </si>
  <si>
    <t xml:space="preserve">    NASL Discharge %</t>
  </si>
  <si>
    <t>Non-attendances:</t>
  </si>
  <si>
    <t>Override adjustment</t>
  </si>
  <si>
    <t>"What if" planning</t>
  </si>
  <si>
    <t>Customise capacity?</t>
  </si>
  <si>
    <t>Mean demand 
(uplift as %):</t>
  </si>
  <si>
    <t>This will be used as the lead-in for version 2</t>
  </si>
  <si>
    <t>Feature changes:
* WLI markers for ad hoc capacity
* Core capacity can now be edited as per ad hoc on a weekly basis in the capacity summary tab
* What if scenarios can be viewed in the 'planning' tab, accounting for changes in demand/flow behaviour
* Waiting list trajectory now included in the summary tab
Major fixes:
* Week calculations now fixed to ISOweek standard on all pages
* Average weekly demand bug on summary page now fixed (was not converting units correctly)
Minor fixes:
* Capacity gap in summary is now stated as a figure in the summary tab
* X-axis values on planned SPC section updated to per-month
* Lower bound for number of data points in baseline for planned SPC reduced to 5
* Formatting corrections (Summary sheet) - waiting list clearance formatted correctly.</t>
  </si>
  <si>
    <t>Lower (actual)</t>
  </si>
  <si>
    <t>Required capacity (actual)</t>
  </si>
  <si>
    <t>[Week End]</t>
  </si>
  <si>
    <t>Critical resources check:</t>
  </si>
  <si>
    <t>Ashish Mohanty
Paul Bullard
Sai Khunpha</t>
  </si>
  <si>
    <t>Ashish Mohanty
Sai Khunpha</t>
  </si>
  <si>
    <t>Major fixes:
* Critical resources end dates now changed to week ending (Sundays) from week starting (Mondays)
* Pop-up warning added to highlight invalid critical resource end dates, imported from older versions of the model
* Added conditional formatting on the critical resources page to highlight where a start date has been entered with no end date as an error</t>
  </si>
  <si>
    <t>Minor fix:
- 	Total (units) column in Capacity worksheet amended to reflect the unit of capacity selected in the dropdown list</t>
  </si>
  <si>
    <t>Minor fix:
Planning tab chart shows misaligned secondary axis when using 'what if' scenario planner. Corrected so expected outputs show correctly. Formula values set to be hidden on the same sheet.</t>
  </si>
  <si>
    <t>Minor fix:
* Less than 52 weeks selected at the end of the SPC chart was not calculating properly. 
* Demand in WL Projection was not modified by parameters correctly.</t>
  </si>
  <si>
    <t>Core session</t>
  </si>
  <si>
    <t>Bug was in Summary Calculations (hide) worksheet</t>
  </si>
  <si>
    <t>C5:C11</t>
  </si>
  <si>
    <t>Major fix:
- Overall capacity in Summary worksheet works correctly for years with 53 weeks
- Import function returned an error if the original file had the SPC calculation section begin at any point other than the first one; resolved.</t>
  </si>
  <si>
    <t>Minor fix:
- Ad-hoc capacity setup calculations corrected - was pointing to incorrect cells.
- X-axis for planning tab chart updated to reflcet user selection.
- WL calculation - effect of rebooking was not being fully represented - updated calculation to reflect this correctly.</t>
  </si>
  <si>
    <t>Minor fix:
- Ad-hoc capacity setup options had not been cleared correctly.</t>
  </si>
  <si>
    <t>x</t>
  </si>
  <si>
    <t>Minutes / point:</t>
  </si>
  <si>
    <t>Enter demand as:</t>
  </si>
  <si>
    <t>Capacity start date (save value used if user-defined forecasting is entered directly)</t>
  </si>
  <si>
    <t>This sheet will model a return to 'normal' working, following a change which has impacted your service.</t>
  </si>
  <si>
    <t>You will need to think about the following:</t>
  </si>
  <si>
    <t>Do you want to enable this function?</t>
  </si>
  <si>
    <t>Will you still be seeing emergency (same day) cases?</t>
  </si>
  <si>
    <t>What date did you begin experiencing changes in your demand?</t>
  </si>
  <si>
    <t>Date values (from 1st Mar, 52 weeks into future)</t>
  </si>
  <si>
    <t>What date will your service begin to re-open?</t>
  </si>
  <si>
    <t>Demand, adjusted for Covid-19</t>
  </si>
  <si>
    <t>Return to baseline</t>
  </si>
  <si>
    <t>* When do you think you will begin resuming normal service?</t>
  </si>
  <si>
    <t>* How long it will take to transition from changed back to normal (in weeks)?</t>
  </si>
  <si>
    <t>This section will account for 'ramping up' demand post Covid-19, if the option is selected</t>
  </si>
  <si>
    <t>Old baseline</t>
  </si>
  <si>
    <t>Transition period</t>
  </si>
  <si>
    <t>Index start</t>
  </si>
  <si>
    <t>Index end</t>
  </si>
  <si>
    <t>row reference</t>
  </si>
  <si>
    <t>New normal</t>
  </si>
  <si>
    <t>Step</t>
  </si>
  <si>
    <t>New lower line</t>
  </si>
  <si>
    <t>New baseline (lower)</t>
  </si>
  <si>
    <t>Total missing</t>
  </si>
  <si>
    <t>New upper line</t>
  </si>
  <si>
    <t>New major version number: Added modifications to enable short term post Covid-19 modelling.
- Added ability to enter custom demand forecasts
- Added ability to enter new, temporary demand value which will eventually revert to baseline
- Adjusted capacity so individual clinics can be scaled on a week by week basis</t>
  </si>
  <si>
    <t>This is an early test release - will be sent to pathfinding user groups with caveat that this is a test version and likely to contain bugs.</t>
  </si>
  <si>
    <t>Clinic 1</t>
  </si>
  <si>
    <t>Ad hoc clinic 1</t>
  </si>
  <si>
    <t>Start week:</t>
  </si>
  <si>
    <t>Date 
(starting Monday)</t>
  </si>
  <si>
    <t>Bug fixes: Corrected formatting controls for summary charts - will now display as stacked area charts when demand adjustments for Covid planning are enabled, capacity date start parameters corrected.</t>
  </si>
  <si>
    <t>If you are customising your capacity, you can change the session size</t>
  </si>
  <si>
    <t>directly in the table under the chart.</t>
  </si>
  <si>
    <t>Select required session below (click on the header to change):</t>
  </si>
  <si>
    <t>* What is your new ('restricted') level of demand?</t>
  </si>
  <si>
    <t>Bug fix: Demand adjustments for Covid chart was not adjusting correctly when turning on/off adjustments. Transition between restricted and normal baseline was not working correctly - corrected.</t>
  </si>
  <si>
    <t>Dealing with existing backlog, and unseen patients</t>
  </si>
  <si>
    <t>We assume the following:</t>
  </si>
  <si>
    <t>* Patients who would have been seen during the 'restricted' period of demand still need clinical contact</t>
  </si>
  <si>
    <t>* Patients on the waiting list will also still need to be seen</t>
  </si>
  <si>
    <t>How do you plan to see these patients?</t>
  </si>
  <si>
    <t>Patients on your waiting list</t>
  </si>
  <si>
    <t>"Missing patients"</t>
  </si>
  <si>
    <t>% Not returning (ROTT)</t>
  </si>
  <si>
    <t>* Both of the above cohorts will be seen in chronological / clinical priority order</t>
  </si>
  <si>
    <t>"Missing" patients:</t>
  </si>
  <si>
    <t>Additional demand (unseen / backlog)</t>
  </si>
  <si>
    <t>Backlog (known)</t>
  </si>
  <si>
    <t>Unseen</t>
  </si>
  <si>
    <t>Transition</t>
  </si>
  <si>
    <t>Low / transition period + 8 wks:</t>
  </si>
  <si>
    <r>
      <rPr>
        <b/>
        <sz val="11"/>
        <color theme="1"/>
        <rFont val="Arial"/>
        <family val="2"/>
      </rPr>
      <t xml:space="preserve">Important note: </t>
    </r>
    <r>
      <rPr>
        <sz val="11"/>
        <color theme="1"/>
        <rFont val="Arial"/>
        <family val="2"/>
      </rPr>
      <t>The figures in the table above will be added to the demand values for the Capacity Summary and Summary pages, but will not appear elsewhere as a separate item on charts.</t>
    </r>
  </si>
  <si>
    <t>Additional functionality: users can now add backlogs (both current WL and 'unseen' pts assumed from missing background levels) as demand, spread across the 8 wks post-transition to full elective working. 
Updated charts in Demand adjustments for Covid, Capacity Summary, and Summary pages to reflect the above.
Formatting change: Parameters (demand) now changes text to reflect demand calculations as reflective of forecast, if this option is taken. Demand sheet also highlights that SPC option is hidden (ie. disabled) when forecasts are manually entered.</t>
  </si>
  <si>
    <t>My own forecast</t>
  </si>
  <si>
    <t xml:space="preserve">  Based on upper bound</t>
  </si>
  <si>
    <t xml:space="preserve">  Based on lower bound</t>
  </si>
  <si>
    <t>Prediction Interval</t>
  </si>
  <si>
    <t>Bug fixes: Calculation error in adding unseen/WL backlog patients to demand resolved.
Gap width of stacked column charts in Summary and Planned sheets restored to 0 [had been previously set to 150%].
Demand sheet: when changing from historic data to forecast mode, colour change and message box used to highlight the difference and suggested actions for users.
Summary sheet - text in tables adjusted to reflect demand forecast/Covid adjustment selections. WL predictions are temporarily disabled when either of these are in use.
Bug fix: switching back to historic demand while using Covid adjustments now keeps date axis at correct alignment.
Bug fix: Sheet protection in Demand sheet not working correctly, formatting errors (black squares in modality 2 demand section) corrected.</t>
  </si>
  <si>
    <t>Original</t>
  </si>
  <si>
    <t>3.4a</t>
  </si>
  <si>
    <t>Version: 3.4</t>
  </si>
  <si>
    <t>Number of weeks it will take to phase reopening to full capacity (0 - 12):</t>
  </si>
  <si>
    <t>Bug fix
Planned sheet: Uplift can now range between -100% and +900%. Formatting changed to help clarify how uplift figures are used (eg. +2%).
* Demand adjustment for Covid - extended transition period option from 8 to 12 wks, same for spread of backlog.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</si>
</sst>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 #,##0.00_-;_-* &quot;-&quot;??_-;_-@_-"/>
    <numFmt numFmtId="164" formatCode="0.0%"/>
    <numFmt numFmtId="165" formatCode="_-* #,##0_-;\-* #,##0_-;_-* &quot;-&quot;??_-;_-@_-"/>
    <numFmt numFmtId="166" formatCode="0.0"/>
    <numFmt numFmtId="167" formatCode="#,##0.0"/>
    <numFmt numFmtId="168" formatCode="\+0%;\-0%;0%"/>
  </numFmts>
  <fonts count="74" x14ac:knownFonts="1">
    <font>
      <sz val="11"/>
      <color theme="1"/>
      <name val="Arial"/>
      <family val="2"/>
    </font>
    <font>
      <sz val="11"/>
      <color theme="1"/>
      <name val="Calibri"/>
      <family val="2"/>
      <scheme val="minor"/>
    </font>
    <font>
      <sz val="11"/>
      <color theme="1"/>
      <name val="Calibri"/>
      <family val="2"/>
      <scheme val="minor"/>
    </font>
    <font>
      <sz val="11"/>
      <color theme="1"/>
      <name val="Calibri"/>
      <family val="2"/>
      <scheme val="minor"/>
    </font>
    <font>
      <b/>
      <sz val="11"/>
      <color theme="1"/>
      <name val="Arial"/>
      <family val="2"/>
    </font>
    <font>
      <sz val="11"/>
      <color theme="0"/>
      <name val="Arial"/>
      <family val="2"/>
    </font>
    <font>
      <sz val="11"/>
      <color theme="1"/>
      <name val="Arial"/>
      <family val="2"/>
    </font>
    <font>
      <sz val="9"/>
      <color indexed="81"/>
      <name val="Tahoma"/>
      <family val="2"/>
    </font>
    <font>
      <b/>
      <sz val="9"/>
      <color indexed="81"/>
      <name val="Tahoma"/>
      <family val="2"/>
    </font>
    <font>
      <sz val="8"/>
      <color theme="1"/>
      <name val="Arial"/>
      <family val="2"/>
    </font>
    <font>
      <i/>
      <sz val="11"/>
      <color theme="3"/>
      <name val="Arial"/>
      <family val="2"/>
    </font>
    <font>
      <i/>
      <sz val="11"/>
      <color theme="5"/>
      <name val="Arial"/>
      <family val="2"/>
    </font>
    <font>
      <i/>
      <sz val="11"/>
      <color theme="7"/>
      <name val="Arial"/>
      <family val="2"/>
    </font>
    <font>
      <i/>
      <sz val="11"/>
      <color theme="6" tint="-0.499984740745262"/>
      <name val="Arial"/>
      <family val="2"/>
    </font>
    <font>
      <sz val="11"/>
      <color rgb="FF000000"/>
      <name val="Arial"/>
      <family val="2"/>
    </font>
    <font>
      <sz val="11"/>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indexed="8"/>
      <name val="Calibri"/>
      <family val="2"/>
    </font>
    <font>
      <sz val="10"/>
      <name val="Arial"/>
      <family val="2"/>
    </font>
    <font>
      <u/>
      <sz val="10"/>
      <color indexed="12"/>
      <name val="Arial"/>
      <family val="2"/>
    </font>
    <font>
      <sz val="11"/>
      <color indexed="9"/>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1"/>
      <color indexed="8"/>
      <name val="Calibri"/>
      <family val="2"/>
    </font>
    <font>
      <sz val="11"/>
      <color indexed="10"/>
      <name val="Calibri"/>
      <family val="2"/>
    </font>
    <font>
      <sz val="11"/>
      <color indexed="20"/>
      <name val="Calibri"/>
      <family val="2"/>
    </font>
    <font>
      <b/>
      <sz val="15"/>
      <color indexed="56"/>
      <name val="Calibri"/>
      <family val="2"/>
    </font>
    <font>
      <b/>
      <sz val="13"/>
      <color indexed="56"/>
      <name val="Calibri"/>
      <family val="2"/>
    </font>
    <font>
      <b/>
      <sz val="11"/>
      <color indexed="56"/>
      <name val="Calibri"/>
      <family val="2"/>
    </font>
    <font>
      <b/>
      <sz val="18"/>
      <color indexed="56"/>
      <name val="Cambria"/>
      <family val="2"/>
    </font>
    <font>
      <sz val="10"/>
      <color theme="1"/>
      <name val="Arial"/>
      <family val="2"/>
    </font>
    <font>
      <sz val="11"/>
      <color rgb="FFFF0000"/>
      <name val="Arial"/>
      <family val="2"/>
    </font>
    <font>
      <sz val="9"/>
      <color theme="1"/>
      <name val="Arial"/>
      <family val="2"/>
    </font>
    <font>
      <sz val="8"/>
      <color rgb="FF000000"/>
      <name val="Tahoma"/>
      <family val="2"/>
    </font>
    <font>
      <u/>
      <sz val="9"/>
      <color theme="1"/>
      <name val="Arial"/>
      <family val="2"/>
    </font>
    <font>
      <u/>
      <sz val="8"/>
      <color theme="1"/>
      <name val="Arial"/>
      <family val="2"/>
    </font>
    <font>
      <b/>
      <sz val="10"/>
      <color theme="1"/>
      <name val="Arial"/>
      <family val="2"/>
    </font>
    <font>
      <b/>
      <sz val="9"/>
      <color theme="1"/>
      <name val="Arial"/>
      <family val="2"/>
    </font>
    <font>
      <i/>
      <sz val="9"/>
      <color indexed="81"/>
      <name val="Tahoma"/>
      <family val="2"/>
    </font>
    <font>
      <sz val="11"/>
      <color rgb="FFFFFFFF"/>
      <name val="Arial"/>
      <family val="2"/>
    </font>
    <font>
      <sz val="11"/>
      <color theme="1" tint="0.249977111117893"/>
      <name val="Arial"/>
      <family val="2"/>
    </font>
    <font>
      <sz val="11"/>
      <color theme="1" tint="0.24994659260841701"/>
      <name val="Arial"/>
      <family val="2"/>
    </font>
    <font>
      <sz val="11"/>
      <color theme="5"/>
      <name val="Arial"/>
      <family val="2"/>
    </font>
    <font>
      <sz val="10"/>
      <color theme="1" tint="0.34998626667073579"/>
      <name val="Arial"/>
      <family val="2"/>
    </font>
    <font>
      <sz val="11"/>
      <color theme="1" tint="0.499984740745262"/>
      <name val="Arial"/>
      <family val="2"/>
    </font>
    <font>
      <b/>
      <sz val="11"/>
      <color theme="1" tint="0.34998626667073579"/>
      <name val="Arial"/>
      <family val="2"/>
    </font>
    <font>
      <b/>
      <sz val="11"/>
      <name val="Arial"/>
      <family val="2"/>
    </font>
    <font>
      <b/>
      <sz val="11"/>
      <color theme="3" tint="0.39997558519241921"/>
      <name val="Arial"/>
      <family val="2"/>
    </font>
    <font>
      <b/>
      <sz val="11"/>
      <color rgb="FF000000"/>
      <name val="Arial"/>
      <family val="2"/>
    </font>
    <font>
      <b/>
      <sz val="11"/>
      <color rgb="FFFFFFFF"/>
      <name val="Arial"/>
      <family val="2"/>
    </font>
    <font>
      <sz val="6"/>
      <color theme="0"/>
      <name val="Arial"/>
      <family val="2"/>
    </font>
    <font>
      <sz val="6"/>
      <color theme="1"/>
      <name val="Arial"/>
      <family val="2"/>
    </font>
    <font>
      <sz val="7"/>
      <color theme="1"/>
      <name val="Arial"/>
      <family val="2"/>
    </font>
  </fonts>
  <fills count="87">
    <fill>
      <patternFill patternType="none"/>
    </fill>
    <fill>
      <patternFill patternType="gray125"/>
    </fill>
    <fill>
      <patternFill patternType="solid">
        <fgColor rgb="FFE8EDEE"/>
        <bgColor indexed="64"/>
      </patternFill>
    </fill>
    <fill>
      <patternFill patternType="solid">
        <fgColor rgb="FF0072CE"/>
        <bgColor indexed="64"/>
      </patternFill>
    </fill>
    <fill>
      <patternFill patternType="solid">
        <fgColor rgb="FF003087"/>
        <bgColor indexed="64"/>
      </patternFill>
    </fill>
    <fill>
      <patternFill patternType="solid">
        <fgColor theme="9" tint="0.79998168889431442"/>
        <bgColor indexed="64"/>
      </patternFill>
    </fill>
    <fill>
      <patternFill patternType="solid">
        <fgColor theme="8" tint="0.59999389629810485"/>
        <bgColor indexed="64"/>
      </patternFill>
    </fill>
    <fill>
      <patternFill patternType="solid">
        <fgColor theme="7" tint="0.79998168889431442"/>
        <bgColor indexed="64"/>
      </patternFill>
    </fill>
    <fill>
      <patternFill patternType="solid">
        <fgColor theme="6" tint="0.39997558519241921"/>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theme="9"/>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7"/>
      </patternFill>
    </fill>
    <fill>
      <patternFill patternType="solid">
        <fgColor indexed="45"/>
      </patternFill>
    </fill>
    <fill>
      <patternFill patternType="solid">
        <fgColor indexed="26"/>
      </patternFill>
    </fill>
    <fill>
      <patternFill patternType="solid">
        <fgColor indexed="42"/>
      </patternFill>
    </fill>
    <fill>
      <patternFill patternType="solid">
        <fgColor indexed="46"/>
      </patternFill>
    </fill>
    <fill>
      <patternFill patternType="solid">
        <fgColor indexed="27"/>
      </patternFill>
    </fill>
    <fill>
      <patternFill patternType="solid">
        <fgColor indexed="22"/>
      </patternFill>
    </fill>
    <fill>
      <patternFill patternType="solid">
        <fgColor indexed="44"/>
      </patternFill>
    </fill>
    <fill>
      <patternFill patternType="solid">
        <fgColor indexed="29"/>
      </patternFill>
    </fill>
    <fill>
      <patternFill patternType="solid">
        <fgColor indexed="43"/>
      </patternFill>
    </fill>
    <fill>
      <patternFill patternType="solid">
        <fgColor indexed="11"/>
      </patternFill>
    </fill>
    <fill>
      <patternFill patternType="solid">
        <fgColor indexed="51"/>
      </patternFill>
    </fill>
    <fill>
      <patternFill patternType="solid">
        <fgColor indexed="30"/>
      </patternFill>
    </fill>
    <fill>
      <patternFill patternType="solid">
        <fgColor indexed="57"/>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3"/>
      </patternFill>
    </fill>
    <fill>
      <patternFill patternType="solid">
        <fgColor indexed="55"/>
      </patternFill>
    </fill>
    <fill>
      <patternFill patternType="solid">
        <fgColor theme="0"/>
        <bgColor indexed="64"/>
      </patternFill>
    </fill>
    <fill>
      <patternFill patternType="solid">
        <fgColor rgb="FFFFFF00"/>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rgb="FFF0F0F0"/>
        <bgColor indexed="64"/>
      </patternFill>
    </fill>
    <fill>
      <patternFill patternType="solid">
        <fgColor theme="4" tint="0.59999389629810485"/>
        <bgColor indexed="64"/>
      </patternFill>
    </fill>
    <fill>
      <patternFill patternType="solid">
        <fgColor theme="4" tint="0.39997558519241921"/>
        <bgColor indexed="64"/>
      </patternFill>
    </fill>
    <fill>
      <patternFill patternType="solid">
        <fgColor theme="4"/>
        <bgColor indexed="64"/>
      </patternFill>
    </fill>
    <fill>
      <patternFill patternType="solid">
        <fgColor theme="3"/>
        <bgColor indexed="64"/>
      </patternFill>
    </fill>
    <fill>
      <patternFill patternType="solid">
        <fgColor theme="4" tint="-0.499984740745262"/>
        <bgColor indexed="64"/>
      </patternFill>
    </fill>
    <fill>
      <patternFill patternType="solid">
        <fgColor theme="8" tint="-0.249977111117893"/>
        <bgColor indexed="64"/>
      </patternFill>
    </fill>
    <fill>
      <patternFill patternType="solid">
        <fgColor theme="6" tint="0.59999389629810485"/>
        <bgColor indexed="64"/>
      </patternFill>
    </fill>
    <fill>
      <patternFill patternType="solid">
        <fgColor theme="8"/>
        <bgColor indexed="64"/>
      </patternFill>
    </fill>
    <fill>
      <patternFill patternType="solid">
        <fgColor rgb="FF4BACC6"/>
        <bgColor indexed="64"/>
      </patternFill>
    </fill>
    <fill>
      <patternFill patternType="solid">
        <fgColor rgb="FFFFFFFF"/>
        <bgColor indexed="64"/>
      </patternFill>
    </fill>
    <fill>
      <patternFill patternType="solid">
        <fgColor theme="6" tint="-0.249977111117893"/>
        <bgColor indexed="64"/>
      </patternFill>
    </fill>
    <fill>
      <patternFill patternType="solid">
        <fgColor rgb="FFFF00FF"/>
        <bgColor indexed="64"/>
      </patternFill>
    </fill>
    <fill>
      <patternFill patternType="solid">
        <fgColor rgb="FFFFC000"/>
        <bgColor indexed="64"/>
      </patternFill>
    </fill>
    <fill>
      <patternFill patternType="solid">
        <fgColor rgb="FFF79646"/>
        <bgColor indexed="64"/>
      </patternFill>
    </fill>
  </fills>
  <borders count="94">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auto="1"/>
      </top>
      <bottom style="thin">
        <color auto="1"/>
      </bottom>
      <diagonal/>
    </border>
    <border>
      <left style="thin">
        <color theme="1" tint="0.14996795556505021"/>
      </left>
      <right style="thin">
        <color theme="1" tint="0.14996795556505021"/>
      </right>
      <top style="thin">
        <color theme="1" tint="0.14996795556505021"/>
      </top>
      <bottom style="thin">
        <color theme="1" tint="0.14996795556505021"/>
      </bottom>
      <diagonal/>
    </border>
    <border>
      <left style="medium">
        <color rgb="FF425563"/>
      </left>
      <right style="medium">
        <color rgb="FF425563"/>
      </right>
      <top style="medium">
        <color rgb="FF425563"/>
      </top>
      <bottom style="thin">
        <color rgb="FF425563"/>
      </bottom>
      <diagonal/>
    </border>
    <border>
      <left style="medium">
        <color rgb="FF425563"/>
      </left>
      <right style="medium">
        <color rgb="FF425563"/>
      </right>
      <top style="thin">
        <color rgb="FF425563"/>
      </top>
      <bottom style="thin">
        <color rgb="FF425563"/>
      </bottom>
      <diagonal/>
    </border>
    <border>
      <left style="medium">
        <color rgb="FF425563"/>
      </left>
      <right style="medium">
        <color rgb="FF425563"/>
      </right>
      <top style="thin">
        <color rgb="FF425563"/>
      </top>
      <bottom style="medium">
        <color rgb="FF425563"/>
      </bottom>
      <diagonal/>
    </border>
    <border>
      <left style="medium">
        <color rgb="FF768692"/>
      </left>
      <right style="thin">
        <color rgb="FF768692"/>
      </right>
      <top style="medium">
        <color rgb="FF768692"/>
      </top>
      <bottom style="thin">
        <color rgb="FF768692"/>
      </bottom>
      <diagonal/>
    </border>
    <border>
      <left style="thin">
        <color rgb="FF768692"/>
      </left>
      <right style="thin">
        <color rgb="FF768692"/>
      </right>
      <top style="medium">
        <color rgb="FF768692"/>
      </top>
      <bottom style="thin">
        <color rgb="FF768692"/>
      </bottom>
      <diagonal/>
    </border>
    <border>
      <left style="thin">
        <color rgb="FF768692"/>
      </left>
      <right style="medium">
        <color rgb="FF768692"/>
      </right>
      <top style="medium">
        <color rgb="FF768692"/>
      </top>
      <bottom style="thin">
        <color rgb="FF768692"/>
      </bottom>
      <diagonal/>
    </border>
    <border>
      <left style="medium">
        <color rgb="FF768692"/>
      </left>
      <right style="thin">
        <color rgb="FF768692"/>
      </right>
      <top style="thin">
        <color rgb="FF768692"/>
      </top>
      <bottom style="thin">
        <color rgb="FF768692"/>
      </bottom>
      <diagonal/>
    </border>
    <border>
      <left style="thin">
        <color rgb="FF768692"/>
      </left>
      <right style="thin">
        <color rgb="FF768692"/>
      </right>
      <top style="thin">
        <color rgb="FF768692"/>
      </top>
      <bottom style="thin">
        <color rgb="FF768692"/>
      </bottom>
      <diagonal/>
    </border>
    <border>
      <left style="thin">
        <color rgb="FF768692"/>
      </left>
      <right style="medium">
        <color rgb="FF768692"/>
      </right>
      <top style="thin">
        <color rgb="FF768692"/>
      </top>
      <bottom style="thin">
        <color rgb="FF768692"/>
      </bottom>
      <diagonal/>
    </border>
    <border>
      <left style="medium">
        <color rgb="FF768692"/>
      </left>
      <right style="thin">
        <color rgb="FF768692"/>
      </right>
      <top style="thin">
        <color rgb="FF768692"/>
      </top>
      <bottom style="medium">
        <color rgb="FF768692"/>
      </bottom>
      <diagonal/>
    </border>
    <border>
      <left style="thin">
        <color rgb="FF768692"/>
      </left>
      <right style="thin">
        <color rgb="FF768692"/>
      </right>
      <top style="thin">
        <color rgb="FF768692"/>
      </top>
      <bottom style="medium">
        <color rgb="FF768692"/>
      </bottom>
      <diagonal/>
    </border>
    <border>
      <left style="thin">
        <color rgb="FF768692"/>
      </left>
      <right style="medium">
        <color rgb="FF768692"/>
      </right>
      <top style="thin">
        <color rgb="FF768692"/>
      </top>
      <bottom style="medium">
        <color rgb="FF768692"/>
      </bottom>
      <diagonal/>
    </border>
    <border>
      <left style="medium">
        <color rgb="FF768692"/>
      </left>
      <right style="medium">
        <color rgb="FF768692"/>
      </right>
      <top style="medium">
        <color rgb="FF768692"/>
      </top>
      <bottom style="thin">
        <color rgb="FF768692"/>
      </bottom>
      <diagonal/>
    </border>
    <border>
      <left style="medium">
        <color rgb="FF768692"/>
      </left>
      <right style="medium">
        <color rgb="FF768692"/>
      </right>
      <top style="thin">
        <color rgb="FF768692"/>
      </top>
      <bottom style="thin">
        <color rgb="FF768692"/>
      </bottom>
      <diagonal/>
    </border>
    <border>
      <left style="medium">
        <color rgb="FF768692"/>
      </left>
      <right style="medium">
        <color rgb="FF768692"/>
      </right>
      <top style="thin">
        <color rgb="FF768692"/>
      </top>
      <bottom style="medium">
        <color rgb="FF768692"/>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bottom/>
      <diagonal/>
    </border>
    <border>
      <left/>
      <right/>
      <top style="medium">
        <color indexed="64"/>
      </top>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medium">
        <color indexed="64"/>
      </bottom>
      <diagonal/>
    </border>
    <border>
      <left/>
      <right/>
      <top/>
      <bottom style="medium">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diagonal/>
    </border>
    <border>
      <left/>
      <right style="thin">
        <color indexed="64"/>
      </right>
      <top/>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theme="0" tint="-4.9989318521683403E-2"/>
      </left>
      <right style="thin">
        <color theme="0" tint="-4.9989318521683403E-2"/>
      </right>
      <top/>
      <bottom style="thin">
        <color theme="0" tint="-4.9989318521683403E-2"/>
      </bottom>
      <diagonal/>
    </border>
    <border>
      <left style="thin">
        <color theme="0" tint="-0.34998626667073579"/>
      </left>
      <right style="thin">
        <color theme="0" tint="-0.34998626667073579"/>
      </right>
      <top/>
      <bottom style="thin">
        <color theme="0" tint="-0.34998626667073579"/>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style="thin">
        <color theme="0" tint="-4.9989318521683403E-2"/>
      </left>
      <right/>
      <top/>
      <bottom/>
      <diagonal/>
    </border>
    <border>
      <left/>
      <right style="thin">
        <color theme="0" tint="-4.9989318521683403E-2"/>
      </right>
      <top/>
      <bottom/>
      <diagonal/>
    </border>
    <border>
      <left/>
      <right/>
      <top/>
      <bottom style="thin">
        <color theme="0"/>
      </bottom>
      <diagonal/>
    </border>
    <border>
      <left/>
      <right style="thin">
        <color theme="0"/>
      </right>
      <top/>
      <bottom style="thin">
        <color theme="0"/>
      </bottom>
      <diagonal/>
    </border>
    <border>
      <left style="thin">
        <color theme="0"/>
      </left>
      <right style="thin">
        <color theme="0"/>
      </right>
      <top/>
      <bottom style="thin">
        <color theme="0"/>
      </bottom>
      <diagonal/>
    </border>
    <border>
      <left style="thin">
        <color theme="0"/>
      </left>
      <right/>
      <top/>
      <bottom style="thin">
        <color theme="0"/>
      </bottom>
      <diagonal/>
    </border>
    <border>
      <left style="thin">
        <color theme="0"/>
      </left>
      <right style="thin">
        <color theme="0"/>
      </right>
      <top style="thin">
        <color theme="0"/>
      </top>
      <bottom style="thin">
        <color theme="0"/>
      </bottom>
      <diagonal/>
    </border>
    <border>
      <left style="thin">
        <color theme="0"/>
      </left>
      <right style="thin">
        <color theme="0"/>
      </right>
      <top style="thin">
        <color theme="0"/>
      </top>
      <bottom/>
      <diagonal/>
    </border>
    <border>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diagonal/>
    </border>
    <border>
      <left style="thin">
        <color theme="0"/>
      </left>
      <right/>
      <top style="thin">
        <color theme="0"/>
      </top>
      <bottom/>
      <diagonal/>
    </border>
    <border>
      <left/>
      <right/>
      <top style="thin">
        <color theme="0"/>
      </top>
      <bottom/>
      <diagonal/>
    </border>
    <border>
      <left/>
      <right style="thin">
        <color theme="1" tint="0.14993743705557422"/>
      </right>
      <top/>
      <bottom/>
      <diagonal/>
    </border>
    <border>
      <left/>
      <right style="thin">
        <color theme="1" tint="0.14996795556505021"/>
      </right>
      <top style="thin">
        <color theme="1" tint="0.14996795556505021"/>
      </top>
      <bottom style="thin">
        <color theme="1" tint="0.14996795556505021"/>
      </bottom>
      <diagonal/>
    </border>
    <border>
      <left style="thin">
        <color auto="1"/>
      </left>
      <right style="thin">
        <color auto="1"/>
      </right>
      <top style="thin">
        <color auto="1"/>
      </top>
      <bottom style="thin">
        <color auto="1"/>
      </bottom>
      <diagonal/>
    </border>
    <border>
      <left/>
      <right style="thin">
        <color indexed="64"/>
      </right>
      <top/>
      <bottom style="thin">
        <color theme="0"/>
      </bottom>
      <diagonal/>
    </border>
    <border>
      <left/>
      <right style="thin">
        <color indexed="64"/>
      </right>
      <top style="thin">
        <color theme="0"/>
      </top>
      <bottom style="thin">
        <color theme="0"/>
      </bottom>
      <diagonal/>
    </border>
    <border>
      <left/>
      <right style="thin">
        <color indexed="64"/>
      </right>
      <top style="thin">
        <color theme="0"/>
      </top>
      <bottom/>
      <diagonal/>
    </border>
    <border>
      <left/>
      <right/>
      <top/>
      <bottom style="thin">
        <color theme="0" tint="-4.9989318521683403E-2"/>
      </bottom>
      <diagonal/>
    </border>
    <border>
      <left style="thin">
        <color theme="0"/>
      </left>
      <right/>
      <top/>
      <bottom style="thin">
        <color indexed="64"/>
      </bottom>
      <diagonal/>
    </border>
    <border>
      <left style="thin">
        <color theme="0"/>
      </left>
      <right style="thin">
        <color theme="0"/>
      </right>
      <top/>
      <bottom style="thin">
        <color indexed="64"/>
      </bottom>
      <diagonal/>
    </border>
    <border>
      <left style="thin">
        <color theme="0" tint="-4.9989318521683403E-2"/>
      </left>
      <right/>
      <top style="thin">
        <color theme="0" tint="-4.9989318521683403E-2"/>
      </top>
      <bottom style="thin">
        <color theme="0" tint="-4.9989318521683403E-2"/>
      </bottom>
      <diagonal/>
    </border>
    <border>
      <left style="thin">
        <color theme="0" tint="-4.9989318521683403E-2"/>
      </left>
      <right/>
      <top/>
      <bottom style="thin">
        <color theme="0" tint="-4.9989318521683403E-2"/>
      </bottom>
      <diagonal/>
    </border>
    <border>
      <left style="thin">
        <color auto="1"/>
      </left>
      <right style="thin">
        <color auto="1"/>
      </right>
      <top style="thin">
        <color auto="1"/>
      </top>
      <bottom style="thin">
        <color theme="0"/>
      </bottom>
      <diagonal/>
    </border>
    <border>
      <left style="thin">
        <color auto="1"/>
      </left>
      <right style="thin">
        <color auto="1"/>
      </right>
      <top style="thin">
        <color theme="0"/>
      </top>
      <bottom style="thin">
        <color theme="0"/>
      </bottom>
      <diagonal/>
    </border>
    <border>
      <left style="thin">
        <color auto="1"/>
      </left>
      <right style="thin">
        <color auto="1"/>
      </right>
      <top style="thin">
        <color theme="0"/>
      </top>
      <bottom style="thin">
        <color auto="1"/>
      </bottom>
      <diagonal/>
    </border>
    <border>
      <left style="thin">
        <color auto="1"/>
      </left>
      <right style="thin">
        <color auto="1"/>
      </right>
      <top style="thin">
        <color auto="1"/>
      </top>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rgb="FFFFFFFF"/>
      </left>
      <right style="thin">
        <color rgb="FFFFFFFF"/>
      </right>
      <top style="thin">
        <color rgb="FFFFFFFF"/>
      </top>
      <bottom style="thin">
        <color rgb="FFFFFFFF"/>
      </bottom>
      <diagonal/>
    </border>
    <border>
      <left/>
      <right/>
      <top style="thin">
        <color auto="1"/>
      </top>
      <bottom style="thin">
        <color auto="1"/>
      </bottom>
      <diagonal/>
    </border>
  </borders>
  <cellStyleXfs count="134">
    <xf numFmtId="0" fontId="0" fillId="0" borderId="0"/>
    <xf numFmtId="9" fontId="6" fillId="0" borderId="0" applyFont="0" applyFill="0" applyBorder="0" applyAlignment="0" applyProtection="0"/>
    <xf numFmtId="43" fontId="6" fillId="0" borderId="0" applyFont="0" applyFill="0" applyBorder="0" applyAlignment="0" applyProtection="0"/>
    <xf numFmtId="0" fontId="16" fillId="0" borderId="0" applyNumberFormat="0" applyFill="0" applyBorder="0" applyAlignment="0" applyProtection="0"/>
    <xf numFmtId="0" fontId="17" fillId="0" borderId="33" applyNumberFormat="0" applyFill="0" applyAlignment="0" applyProtection="0"/>
    <xf numFmtId="0" fontId="18" fillId="0" borderId="34" applyNumberFormat="0" applyFill="0" applyAlignment="0" applyProtection="0"/>
    <xf numFmtId="0" fontId="19" fillId="0" borderId="35" applyNumberFormat="0" applyFill="0" applyAlignment="0" applyProtection="0"/>
    <xf numFmtId="0" fontId="19" fillId="0" borderId="0" applyNumberFormat="0" applyFill="0" applyBorder="0" applyAlignment="0" applyProtection="0"/>
    <xf numFmtId="0" fontId="20" fillId="15" borderId="0" applyNumberFormat="0" applyBorder="0" applyAlignment="0" applyProtection="0"/>
    <xf numFmtId="0" fontId="21" fillId="16" borderId="0" applyNumberFormat="0" applyBorder="0" applyAlignment="0" applyProtection="0"/>
    <xf numFmtId="0" fontId="22" fillId="17" borderId="0" applyNumberFormat="0" applyBorder="0" applyAlignment="0" applyProtection="0"/>
    <xf numFmtId="0" fontId="23" fillId="18" borderId="36" applyNumberFormat="0" applyAlignment="0" applyProtection="0"/>
    <xf numFmtId="0" fontId="24" fillId="19" borderId="37" applyNumberFormat="0" applyAlignment="0" applyProtection="0"/>
    <xf numFmtId="0" fontId="25" fillId="19" borderId="36" applyNumberFormat="0" applyAlignment="0" applyProtection="0"/>
    <xf numFmtId="0" fontId="26" fillId="0" borderId="38" applyNumberFormat="0" applyFill="0" applyAlignment="0" applyProtection="0"/>
    <xf numFmtId="0" fontId="27" fillId="20" borderId="39" applyNumberFormat="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30" fillId="0" borderId="41" applyNumberFormat="0" applyFill="0" applyAlignment="0" applyProtection="0"/>
    <xf numFmtId="0" fontId="31" fillId="22" borderId="0" applyNumberFormat="0" applyBorder="0" applyAlignment="0" applyProtection="0"/>
    <xf numFmtId="0" fontId="3" fillId="23" borderId="0" applyNumberFormat="0" applyBorder="0" applyAlignment="0" applyProtection="0"/>
    <xf numFmtId="0" fontId="3" fillId="24" borderId="0" applyNumberFormat="0" applyBorder="0" applyAlignment="0" applyProtection="0"/>
    <xf numFmtId="0" fontId="31" fillId="25" borderId="0" applyNumberFormat="0" applyBorder="0" applyAlignment="0" applyProtection="0"/>
    <xf numFmtId="0" fontId="31" fillId="26" borderId="0" applyNumberFormat="0" applyBorder="0" applyAlignment="0" applyProtection="0"/>
    <xf numFmtId="0" fontId="3" fillId="27" borderId="0" applyNumberFormat="0" applyBorder="0" applyAlignment="0" applyProtection="0"/>
    <xf numFmtId="0" fontId="3" fillId="28" borderId="0" applyNumberFormat="0" applyBorder="0" applyAlignment="0" applyProtection="0"/>
    <xf numFmtId="0" fontId="31" fillId="29" borderId="0" applyNumberFormat="0" applyBorder="0" applyAlignment="0" applyProtection="0"/>
    <xf numFmtId="0" fontId="31" fillId="30" borderId="0" applyNumberFormat="0" applyBorder="0" applyAlignment="0" applyProtection="0"/>
    <xf numFmtId="0" fontId="3" fillId="31" borderId="0" applyNumberFormat="0" applyBorder="0" applyAlignment="0" applyProtection="0"/>
    <xf numFmtId="0" fontId="3" fillId="32" borderId="0" applyNumberFormat="0" applyBorder="0" applyAlignment="0" applyProtection="0"/>
    <xf numFmtId="0" fontId="31" fillId="33" borderId="0" applyNumberFormat="0" applyBorder="0" applyAlignment="0" applyProtection="0"/>
    <xf numFmtId="0" fontId="31" fillId="34" borderId="0" applyNumberFormat="0" applyBorder="0" applyAlignment="0" applyProtection="0"/>
    <xf numFmtId="0" fontId="3" fillId="35" borderId="0" applyNumberFormat="0" applyBorder="0" applyAlignment="0" applyProtection="0"/>
    <xf numFmtId="0" fontId="3" fillId="36" borderId="0" applyNumberFormat="0" applyBorder="0" applyAlignment="0" applyProtection="0"/>
    <xf numFmtId="0" fontId="31" fillId="37" borderId="0" applyNumberFormat="0" applyBorder="0" applyAlignment="0" applyProtection="0"/>
    <xf numFmtId="0" fontId="31" fillId="38"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1" fillId="41" borderId="0" applyNumberFormat="0" applyBorder="0" applyAlignment="0" applyProtection="0"/>
    <xf numFmtId="0" fontId="31" fillId="42"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1" fillId="45" borderId="0" applyNumberFormat="0" applyBorder="0" applyAlignment="0" applyProtection="0"/>
    <xf numFmtId="0" fontId="3" fillId="0" borderId="0"/>
    <xf numFmtId="0" fontId="32" fillId="46" borderId="0" applyNumberFormat="0" applyBorder="0" applyAlignment="0" applyProtection="0"/>
    <xf numFmtId="0" fontId="32" fillId="48" borderId="0" applyNumberFormat="0" applyBorder="0" applyAlignment="0" applyProtection="0"/>
    <xf numFmtId="0" fontId="32" fillId="50" borderId="0" applyNumberFormat="0" applyBorder="0" applyAlignment="0" applyProtection="0"/>
    <xf numFmtId="0" fontId="32" fillId="51" borderId="0" applyNumberFormat="0" applyBorder="0" applyAlignment="0" applyProtection="0"/>
    <xf numFmtId="0" fontId="32" fillId="52" borderId="0" applyNumberFormat="0" applyBorder="0" applyAlignment="0" applyProtection="0"/>
    <xf numFmtId="0" fontId="32" fillId="47" borderId="0" applyNumberFormat="0" applyBorder="0" applyAlignment="0" applyProtection="0"/>
    <xf numFmtId="0" fontId="32" fillId="54" borderId="0" applyNumberFormat="0" applyBorder="0" applyAlignment="0" applyProtection="0"/>
    <xf numFmtId="0" fontId="32" fillId="55" borderId="0" applyNumberFormat="0" applyBorder="0" applyAlignment="0" applyProtection="0"/>
    <xf numFmtId="0" fontId="32" fillId="57" borderId="0" applyNumberFormat="0" applyBorder="0" applyAlignment="0" applyProtection="0"/>
    <xf numFmtId="0" fontId="32" fillId="51" borderId="0" applyNumberFormat="0" applyBorder="0" applyAlignment="0" applyProtection="0"/>
    <xf numFmtId="0" fontId="32" fillId="54" borderId="0" applyNumberFormat="0" applyBorder="0" applyAlignment="0" applyProtection="0"/>
    <xf numFmtId="0" fontId="32" fillId="58" borderId="0" applyNumberFormat="0" applyBorder="0" applyAlignment="0" applyProtection="0"/>
    <xf numFmtId="0" fontId="35" fillId="59" borderId="0" applyNumberFormat="0" applyBorder="0" applyAlignment="0" applyProtection="0"/>
    <xf numFmtId="0" fontId="35" fillId="55" borderId="0" applyNumberFormat="0" applyBorder="0" applyAlignment="0" applyProtection="0"/>
    <xf numFmtId="0" fontId="35" fillId="57" borderId="0" applyNumberFormat="0" applyBorder="0" applyAlignment="0" applyProtection="0"/>
    <xf numFmtId="0" fontId="35" fillId="61" borderId="0" applyNumberFormat="0" applyBorder="0" applyAlignment="0" applyProtection="0"/>
    <xf numFmtId="0" fontId="35" fillId="62" borderId="0" applyNumberFormat="0" applyBorder="0" applyAlignment="0" applyProtection="0"/>
    <xf numFmtId="0" fontId="35" fillId="63" borderId="0" applyNumberFormat="0" applyBorder="0" applyAlignment="0" applyProtection="0"/>
    <xf numFmtId="0" fontId="35" fillId="64" borderId="0" applyNumberFormat="0" applyBorder="0" applyAlignment="0" applyProtection="0"/>
    <xf numFmtId="0" fontId="35" fillId="65" borderId="0" applyNumberFormat="0" applyBorder="0" applyAlignment="0" applyProtection="0"/>
    <xf numFmtId="0" fontId="35" fillId="60" borderId="0" applyNumberFormat="0" applyBorder="0" applyAlignment="0" applyProtection="0"/>
    <xf numFmtId="0" fontId="35" fillId="61" borderId="0" applyNumberFormat="0" applyBorder="0" applyAlignment="0" applyProtection="0"/>
    <xf numFmtId="0" fontId="35" fillId="62" borderId="0" applyNumberFormat="0" applyBorder="0" applyAlignment="0" applyProtection="0"/>
    <xf numFmtId="0" fontId="35" fillId="66" borderId="0" applyNumberFormat="0" applyBorder="0" applyAlignment="0" applyProtection="0"/>
    <xf numFmtId="0" fontId="46" fillId="48" borderId="0" applyNumberFormat="0" applyBorder="0" applyAlignment="0" applyProtection="0"/>
    <xf numFmtId="0" fontId="36" fillId="53" borderId="42" applyNumberFormat="0" applyAlignment="0" applyProtection="0"/>
    <xf numFmtId="0" fontId="37" fillId="67" borderId="43" applyNumberFormat="0" applyAlignment="0" applyProtection="0"/>
    <xf numFmtId="0" fontId="38" fillId="0" borderId="0" applyNumberFormat="0" applyFill="0" applyBorder="0" applyAlignment="0" applyProtection="0"/>
    <xf numFmtId="0" fontId="39" fillId="50" borderId="0" applyNumberFormat="0" applyBorder="0" applyAlignment="0" applyProtection="0"/>
    <xf numFmtId="0" fontId="47" fillId="0" borderId="44" applyNumberFormat="0" applyFill="0" applyAlignment="0" applyProtection="0"/>
    <xf numFmtId="0" fontId="48" fillId="0" borderId="45" applyNumberFormat="0" applyFill="0" applyAlignment="0" applyProtection="0"/>
    <xf numFmtId="0" fontId="49" fillId="0" borderId="46" applyNumberFormat="0" applyFill="0" applyAlignment="0" applyProtection="0"/>
    <xf numFmtId="0" fontId="49" fillId="0" borderId="0" applyNumberFormat="0" applyFill="0" applyBorder="0" applyAlignment="0" applyProtection="0"/>
    <xf numFmtId="0" fontId="34" fillId="0" borderId="0" applyNumberFormat="0" applyFill="0" applyBorder="0" applyAlignment="0" applyProtection="0">
      <alignment vertical="top"/>
      <protection locked="0"/>
    </xf>
    <xf numFmtId="0" fontId="40" fillId="47" borderId="42" applyNumberFormat="0" applyAlignment="0" applyProtection="0"/>
    <xf numFmtId="0" fontId="41" fillId="0" borderId="47" applyNumberFormat="0" applyFill="0" applyAlignment="0" applyProtection="0"/>
    <xf numFmtId="0" fontId="42" fillId="56" borderId="0" applyNumberFormat="0" applyBorder="0" applyAlignment="0" applyProtection="0"/>
    <xf numFmtId="0" fontId="33" fillId="0" borderId="0"/>
    <xf numFmtId="0" fontId="51" fillId="0" borderId="0"/>
    <xf numFmtId="0" fontId="32" fillId="21" borderId="40" applyNumberFormat="0" applyFont="0" applyAlignment="0" applyProtection="0"/>
    <xf numFmtId="0" fontId="33" fillId="49" borderId="48" applyNumberFormat="0" applyFont="0" applyAlignment="0" applyProtection="0"/>
    <xf numFmtId="0" fontId="32" fillId="21" borderId="40" applyNumberFormat="0" applyFont="0" applyAlignment="0" applyProtection="0"/>
    <xf numFmtId="0" fontId="43" fillId="53" borderId="49" applyNumberFormat="0" applyAlignment="0" applyProtection="0"/>
    <xf numFmtId="0" fontId="50" fillId="0" borderId="0" applyNumberFormat="0" applyFill="0" applyBorder="0" applyAlignment="0" applyProtection="0"/>
    <xf numFmtId="0" fontId="44" fillId="0" borderId="50" applyNumberFormat="0" applyFill="0" applyAlignment="0" applyProtection="0"/>
    <xf numFmtId="0" fontId="45" fillId="0" borderId="0" applyNumberFormat="0" applyFill="0" applyBorder="0" applyAlignment="0" applyProtection="0"/>
    <xf numFmtId="0" fontId="33" fillId="0" borderId="0"/>
    <xf numFmtId="0" fontId="33" fillId="0" borderId="0"/>
    <xf numFmtId="0" fontId="51" fillId="0" borderId="0"/>
    <xf numFmtId="0" fontId="51" fillId="0" borderId="0"/>
    <xf numFmtId="0" fontId="51" fillId="0" borderId="0"/>
    <xf numFmtId="0" fontId="2" fillId="0" borderId="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24" borderId="0" applyNumberFormat="0" applyBorder="0" applyAlignment="0" applyProtection="0"/>
    <xf numFmtId="0" fontId="2" fillId="28" borderId="0" applyNumberFormat="0" applyBorder="0" applyAlignment="0" applyProtection="0"/>
    <xf numFmtId="0" fontId="2" fillId="32"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43"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cellStyleXfs>
  <cellXfs count="460">
    <xf numFmtId="0" fontId="0" fillId="0" borderId="0" xfId="0"/>
    <xf numFmtId="0" fontId="0" fillId="0" borderId="0" xfId="0" applyAlignment="1">
      <alignment wrapText="1"/>
    </xf>
    <xf numFmtId="0" fontId="4" fillId="0" borderId="0" xfId="0" applyFont="1"/>
    <xf numFmtId="0" fontId="0" fillId="0" borderId="0" xfId="0" applyFill="1"/>
    <xf numFmtId="0" fontId="0" fillId="0" borderId="0" xfId="0" applyAlignment="1">
      <alignment horizontal="right"/>
    </xf>
    <xf numFmtId="3" fontId="0" fillId="0" borderId="0" xfId="0" applyNumberFormat="1"/>
    <xf numFmtId="0" fontId="5" fillId="4" borderId="0" xfId="0" applyFont="1" applyFill="1"/>
    <xf numFmtId="14" fontId="0" fillId="0" borderId="0" xfId="0" applyNumberFormat="1" applyFill="1"/>
    <xf numFmtId="0" fontId="0" fillId="4" borderId="0" xfId="0" applyFill="1"/>
    <xf numFmtId="0" fontId="0" fillId="5" borderId="0" xfId="0" applyFill="1"/>
    <xf numFmtId="0" fontId="10" fillId="6" borderId="0" xfId="0" applyFont="1" applyFill="1"/>
    <xf numFmtId="0" fontId="0" fillId="6" borderId="0" xfId="0" applyFill="1"/>
    <xf numFmtId="0" fontId="0" fillId="5" borderId="21" xfId="0" applyFill="1" applyBorder="1"/>
    <xf numFmtId="0" fontId="0" fillId="5" borderId="23" xfId="0" applyFill="1" applyBorder="1"/>
    <xf numFmtId="0" fontId="0" fillId="5" borderId="24" xfId="0" applyFill="1" applyBorder="1"/>
    <xf numFmtId="0" fontId="0" fillId="6" borderId="24" xfId="0" applyFill="1" applyBorder="1"/>
    <xf numFmtId="0" fontId="0" fillId="5" borderId="22" xfId="0" applyFill="1" applyBorder="1"/>
    <xf numFmtId="0" fontId="0" fillId="6" borderId="21" xfId="0" applyFill="1" applyBorder="1"/>
    <xf numFmtId="0" fontId="0" fillId="5" borderId="27" xfId="0" applyFill="1" applyBorder="1"/>
    <xf numFmtId="0" fontId="11" fillId="5" borderId="0" xfId="0" applyFont="1" applyFill="1"/>
    <xf numFmtId="0" fontId="0" fillId="7" borderId="0" xfId="0" applyFill="1"/>
    <xf numFmtId="0" fontId="0" fillId="7" borderId="28" xfId="0" applyFill="1" applyBorder="1"/>
    <xf numFmtId="0" fontId="0" fillId="7" borderId="23" xfId="0" applyFill="1" applyBorder="1"/>
    <xf numFmtId="0" fontId="0" fillId="7" borderId="27" xfId="0" applyFill="1" applyBorder="1"/>
    <xf numFmtId="0" fontId="0" fillId="7" borderId="24" xfId="0" applyFill="1" applyBorder="1"/>
    <xf numFmtId="0" fontId="0" fillId="7" borderId="0" xfId="0" applyFill="1" applyBorder="1"/>
    <xf numFmtId="0" fontId="0" fillId="7" borderId="21" xfId="0" applyFill="1" applyBorder="1"/>
    <xf numFmtId="0" fontId="0" fillId="7" borderId="26" xfId="0" applyFill="1" applyBorder="1"/>
    <xf numFmtId="0" fontId="0" fillId="7" borderId="31" xfId="0" applyFill="1" applyBorder="1"/>
    <xf numFmtId="0" fontId="0" fillId="7" borderId="32" xfId="0" applyFill="1" applyBorder="1"/>
    <xf numFmtId="0" fontId="12" fillId="7" borderId="0" xfId="0" applyFont="1" applyFill="1"/>
    <xf numFmtId="0" fontId="0" fillId="8" borderId="0" xfId="0" applyFill="1"/>
    <xf numFmtId="0" fontId="0" fillId="8" borderId="21" xfId="0" applyFill="1" applyBorder="1"/>
    <xf numFmtId="0" fontId="0" fillId="8" borderId="28" xfId="0" applyFill="1" applyBorder="1"/>
    <xf numFmtId="0" fontId="13" fillId="8" borderId="0" xfId="0" applyFont="1" applyFill="1"/>
    <xf numFmtId="0" fontId="0" fillId="9" borderId="0" xfId="0" applyFill="1"/>
    <xf numFmtId="0" fontId="0" fillId="0" borderId="0" xfId="0" applyNumberFormat="1"/>
    <xf numFmtId="0" fontId="14" fillId="0" borderId="0" xfId="0" applyFont="1"/>
    <xf numFmtId="0" fontId="0" fillId="10" borderId="0" xfId="0" applyFill="1"/>
    <xf numFmtId="165" fontId="0" fillId="0" borderId="0" xfId="2" applyNumberFormat="1" applyFont="1"/>
    <xf numFmtId="0" fontId="0" fillId="11" borderId="0" xfId="0" applyFill="1"/>
    <xf numFmtId="0" fontId="0" fillId="12" borderId="0" xfId="0" applyFill="1"/>
    <xf numFmtId="0" fontId="0" fillId="13" borderId="0" xfId="0" applyFill="1"/>
    <xf numFmtId="0" fontId="0" fillId="14" borderId="0" xfId="0" applyFill="1"/>
    <xf numFmtId="3" fontId="0" fillId="9" borderId="0" xfId="0" applyNumberFormat="1" applyFill="1"/>
    <xf numFmtId="0" fontId="0" fillId="0" borderId="0" xfId="0" applyAlignment="1">
      <alignment horizontal="center" vertical="center"/>
    </xf>
    <xf numFmtId="9" fontId="0" fillId="0" borderId="0" xfId="1" applyFont="1"/>
    <xf numFmtId="9" fontId="0" fillId="0" borderId="0" xfId="0" applyNumberFormat="1"/>
    <xf numFmtId="1" fontId="0" fillId="0" borderId="0" xfId="0" applyNumberFormat="1"/>
    <xf numFmtId="14" fontId="0" fillId="0" borderId="0" xfId="0" applyNumberFormat="1"/>
    <xf numFmtId="14" fontId="0" fillId="0" borderId="0" xfId="0" applyNumberFormat="1"/>
    <xf numFmtId="0" fontId="0" fillId="0" borderId="0" xfId="0" quotePrefix="1"/>
    <xf numFmtId="0" fontId="0" fillId="68" borderId="0" xfId="0" applyFill="1"/>
    <xf numFmtId="0" fontId="0" fillId="68" borderId="0" xfId="0" applyFill="1" applyBorder="1"/>
    <xf numFmtId="14" fontId="0" fillId="0" borderId="0" xfId="0" applyNumberFormat="1"/>
    <xf numFmtId="0" fontId="14" fillId="68" borderId="0" xfId="0" applyFont="1" applyFill="1"/>
    <xf numFmtId="0" fontId="4" fillId="68" borderId="0" xfId="0" applyFont="1" applyFill="1"/>
    <xf numFmtId="0" fontId="0" fillId="68" borderId="0" xfId="0" applyFill="1" applyAlignment="1">
      <alignment horizontal="center" vertical="center"/>
    </xf>
    <xf numFmtId="14" fontId="0" fillId="68" borderId="0" xfId="0" applyNumberFormat="1" applyFill="1"/>
    <xf numFmtId="0" fontId="0" fillId="69" borderId="0" xfId="0" applyFill="1"/>
    <xf numFmtId="0" fontId="52" fillId="0" borderId="0" xfId="0" applyFont="1"/>
    <xf numFmtId="0" fontId="52" fillId="68" borderId="0" xfId="0" applyFont="1" applyFill="1"/>
    <xf numFmtId="0" fontId="15" fillId="0" borderId="0" xfId="0" applyFont="1"/>
    <xf numFmtId="0" fontId="0" fillId="5" borderId="0" xfId="0" applyFill="1" applyAlignment="1">
      <alignment horizontal="center"/>
    </xf>
    <xf numFmtId="0" fontId="0" fillId="7" borderId="0" xfId="0" applyFill="1" applyAlignment="1">
      <alignment horizontal="center"/>
    </xf>
    <xf numFmtId="0" fontId="0" fillId="0" borderId="0" xfId="0" applyBorder="1" applyAlignment="1">
      <alignment wrapText="1"/>
    </xf>
    <xf numFmtId="0" fontId="0" fillId="0" borderId="0" xfId="0" applyBorder="1"/>
    <xf numFmtId="0" fontId="0" fillId="0" borderId="0" xfId="0"/>
    <xf numFmtId="14" fontId="0" fillId="0" borderId="0" xfId="0" applyNumberFormat="1"/>
    <xf numFmtId="0" fontId="0" fillId="0" borderId="51" xfId="0" applyBorder="1"/>
    <xf numFmtId="1" fontId="0" fillId="0" borderId="0" xfId="0" applyNumberFormat="1"/>
    <xf numFmtId="0" fontId="5" fillId="3" borderId="51" xfId="0" applyFont="1" applyFill="1" applyBorder="1"/>
    <xf numFmtId="0" fontId="0" fillId="68" borderId="0" xfId="0" applyFill="1"/>
    <xf numFmtId="0" fontId="0" fillId="68" borderId="0" xfId="0" applyFill="1" applyAlignment="1">
      <alignment wrapText="1"/>
    </xf>
    <xf numFmtId="0" fontId="5" fillId="68" borderId="0" xfId="0" applyFont="1" applyFill="1"/>
    <xf numFmtId="0" fontId="0" fillId="68" borderId="0" xfId="0" applyFill="1" applyBorder="1"/>
    <xf numFmtId="0" fontId="0" fillId="68" borderId="51" xfId="0" applyFill="1" applyBorder="1"/>
    <xf numFmtId="0" fontId="0" fillId="68" borderId="0" xfId="0" applyFill="1" applyBorder="1" applyAlignment="1">
      <alignment wrapText="1"/>
    </xf>
    <xf numFmtId="0" fontId="0" fillId="68" borderId="0" xfId="0" applyFont="1" applyFill="1" applyBorder="1" applyAlignment="1">
      <alignment vertical="center" wrapText="1"/>
    </xf>
    <xf numFmtId="0" fontId="5" fillId="0" borderId="0" xfId="0" applyFont="1" applyFill="1" applyBorder="1" applyAlignment="1">
      <alignment vertical="center" wrapText="1"/>
    </xf>
    <xf numFmtId="0" fontId="5" fillId="3" borderId="51" xfId="0" applyFont="1" applyFill="1" applyBorder="1" applyAlignment="1">
      <alignment vertical="center" wrapText="1"/>
    </xf>
    <xf numFmtId="0" fontId="0" fillId="0" borderId="0" xfId="0" applyFill="1" applyBorder="1"/>
    <xf numFmtId="0" fontId="0" fillId="0" borderId="0" xfId="0" applyAlignment="1"/>
    <xf numFmtId="0" fontId="9" fillId="8" borderId="0" xfId="0" applyFont="1" applyFill="1"/>
    <xf numFmtId="164" fontId="0" fillId="0" borderId="0" xfId="0" applyNumberFormat="1"/>
    <xf numFmtId="0" fontId="0" fillId="6" borderId="0" xfId="0" applyFill="1" applyAlignment="1">
      <alignment horizontal="center" vertical="center"/>
    </xf>
    <xf numFmtId="0" fontId="0" fillId="0" borderId="5" xfId="0" applyBorder="1"/>
    <xf numFmtId="14" fontId="0" fillId="0" borderId="0" xfId="0" applyNumberFormat="1"/>
    <xf numFmtId="0" fontId="4" fillId="0" borderId="51" xfId="0" applyFont="1" applyBorder="1"/>
    <xf numFmtId="0" fontId="4" fillId="10" borderId="5" xfId="0" applyFont="1" applyFill="1" applyBorder="1"/>
    <xf numFmtId="0" fontId="9" fillId="7" borderId="0" xfId="0" applyFont="1" applyFill="1"/>
    <xf numFmtId="0" fontId="9" fillId="6" borderId="0" xfId="0" applyFont="1" applyFill="1"/>
    <xf numFmtId="0" fontId="0" fillId="8" borderId="0" xfId="0" applyFill="1" applyBorder="1" applyAlignment="1"/>
    <xf numFmtId="0" fontId="57" fillId="7" borderId="0" xfId="0" applyFont="1" applyFill="1" applyAlignment="1">
      <alignment horizontal="center"/>
    </xf>
    <xf numFmtId="164" fontId="0" fillId="0" borderId="51" xfId="0" applyNumberFormat="1" applyBorder="1"/>
    <xf numFmtId="3" fontId="0" fillId="0" borderId="51" xfId="0" applyNumberFormat="1" applyBorder="1"/>
    <xf numFmtId="0" fontId="4" fillId="0" borderId="0" xfId="0" applyFont="1" applyAlignment="1">
      <alignment horizontal="center"/>
    </xf>
    <xf numFmtId="0" fontId="4" fillId="71" borderId="5" xfId="0" applyFont="1" applyFill="1" applyBorder="1" applyAlignment="1">
      <alignment horizontal="center"/>
    </xf>
    <xf numFmtId="0" fontId="4" fillId="70" borderId="5" xfId="0" applyFont="1" applyFill="1" applyBorder="1" applyAlignment="1">
      <alignment horizontal="center"/>
    </xf>
    <xf numFmtId="0" fontId="4" fillId="8" borderId="5" xfId="0" applyFont="1" applyFill="1" applyBorder="1" applyAlignment="1">
      <alignment horizontal="center"/>
    </xf>
    <xf numFmtId="164" fontId="0" fillId="0" borderId="0" xfId="1" applyNumberFormat="1" applyFont="1"/>
    <xf numFmtId="0" fontId="60" fillId="0" borderId="0" xfId="0" applyFont="1"/>
    <xf numFmtId="0" fontId="0" fillId="73" borderId="0" xfId="0" applyFill="1"/>
    <xf numFmtId="0" fontId="4" fillId="74" borderId="0" xfId="0" applyFont="1" applyFill="1"/>
    <xf numFmtId="0" fontId="0" fillId="74" borderId="0" xfId="0" applyFill="1"/>
    <xf numFmtId="3" fontId="0" fillId="5" borderId="0" xfId="0" applyNumberFormat="1" applyFill="1"/>
    <xf numFmtId="0" fontId="4" fillId="68" borderId="0" xfId="0" applyFont="1" applyFill="1" applyBorder="1" applyAlignment="1"/>
    <xf numFmtId="0" fontId="0" fillId="68" borderId="0" xfId="0" applyFill="1" applyBorder="1" applyAlignment="1">
      <alignment vertical="center" wrapText="1"/>
    </xf>
    <xf numFmtId="0" fontId="4" fillId="68" borderId="0" xfId="0" applyFont="1" applyFill="1" applyBorder="1" applyAlignment="1">
      <alignment vertical="center"/>
    </xf>
    <xf numFmtId="0" fontId="0" fillId="0" borderId="0" xfId="0" applyFill="1" applyBorder="1" applyAlignment="1">
      <alignment vertical="center" wrapText="1"/>
    </xf>
    <xf numFmtId="0" fontId="4" fillId="0" borderId="0" xfId="0" applyFont="1" applyFill="1" applyBorder="1" applyAlignment="1">
      <alignment vertical="center"/>
    </xf>
    <xf numFmtId="0" fontId="5" fillId="0" borderId="0" xfId="0" applyFont="1" applyFill="1" applyBorder="1" applyAlignment="1">
      <alignment horizontal="center" wrapText="1"/>
    </xf>
    <xf numFmtId="14" fontId="0" fillId="0" borderId="0" xfId="0" applyNumberFormat="1" applyFill="1" applyBorder="1"/>
    <xf numFmtId="0" fontId="5" fillId="0" borderId="53" xfId="0" applyFont="1" applyFill="1" applyBorder="1" applyAlignment="1">
      <alignment horizontal="center"/>
    </xf>
    <xf numFmtId="0" fontId="5" fillId="0" borderId="53" xfId="0" applyFont="1" applyFill="1" applyBorder="1"/>
    <xf numFmtId="0" fontId="5" fillId="75" borderId="51" xfId="0" applyFont="1" applyFill="1" applyBorder="1"/>
    <xf numFmtId="14" fontId="4" fillId="0" borderId="0" xfId="0" applyNumberFormat="1" applyFont="1"/>
    <xf numFmtId="0" fontId="5" fillId="76" borderId="51" xfId="0" applyFont="1" applyFill="1" applyBorder="1" applyAlignment="1">
      <alignment horizontal="center" vertical="center" wrapText="1"/>
    </xf>
    <xf numFmtId="0" fontId="5" fillId="76" borderId="51" xfId="0" applyFont="1" applyFill="1" applyBorder="1" applyAlignment="1">
      <alignment horizontal="center" wrapText="1"/>
    </xf>
    <xf numFmtId="0" fontId="5" fillId="76" borderId="51" xfId="0" applyFont="1" applyFill="1" applyBorder="1"/>
    <xf numFmtId="0" fontId="5" fillId="78" borderId="51" xfId="0" applyFont="1" applyFill="1" applyBorder="1"/>
    <xf numFmtId="0" fontId="5" fillId="77" borderId="51" xfId="0" applyFont="1" applyFill="1" applyBorder="1" applyAlignment="1">
      <alignment horizontal="center" vertical="center"/>
    </xf>
    <xf numFmtId="0" fontId="5" fillId="77" borderId="51" xfId="0" applyFont="1" applyFill="1" applyBorder="1" applyAlignment="1">
      <alignment horizontal="center" vertical="center" wrapText="1"/>
    </xf>
    <xf numFmtId="0" fontId="0" fillId="68" borderId="51" xfId="0" applyFill="1" applyBorder="1"/>
    <xf numFmtId="0" fontId="5" fillId="76" borderId="51" xfId="0" applyFont="1" applyFill="1" applyBorder="1" applyAlignment="1">
      <alignment horizontal="center"/>
    </xf>
    <xf numFmtId="0" fontId="5" fillId="75" borderId="51" xfId="0" applyFont="1" applyFill="1" applyBorder="1" applyAlignment="1">
      <alignment horizontal="center"/>
    </xf>
    <xf numFmtId="0" fontId="0" fillId="0" borderId="0" xfId="0" applyBorder="1"/>
    <xf numFmtId="0" fontId="0" fillId="0" borderId="0" xfId="0" applyBorder="1" applyAlignment="1">
      <alignment vertical="center" wrapText="1"/>
    </xf>
    <xf numFmtId="0" fontId="0" fillId="68" borderId="0" xfId="0" applyFill="1" applyBorder="1"/>
    <xf numFmtId="0" fontId="5" fillId="0" borderId="0" xfId="0" applyFont="1" applyFill="1" applyBorder="1" applyAlignment="1"/>
    <xf numFmtId="0" fontId="0" fillId="0" borderId="0" xfId="0" applyBorder="1" applyAlignment="1">
      <alignment horizontal="center"/>
    </xf>
    <xf numFmtId="3" fontId="0" fillId="0" borderId="55" xfId="0" applyNumberFormat="1" applyBorder="1"/>
    <xf numFmtId="3" fontId="0" fillId="0" borderId="56" xfId="0" applyNumberFormat="1" applyBorder="1"/>
    <xf numFmtId="0" fontId="0" fillId="0" borderId="0" xfId="0" applyFill="1" applyBorder="1" applyProtection="1">
      <protection locked="0"/>
    </xf>
    <xf numFmtId="0" fontId="5" fillId="76" borderId="54" xfId="0" applyFont="1" applyFill="1" applyBorder="1" applyAlignment="1">
      <alignment vertical="center" wrapText="1"/>
    </xf>
    <xf numFmtId="0" fontId="0" fillId="80" borderId="0" xfId="0" applyFill="1" applyBorder="1" applyAlignment="1">
      <alignment vertical="center" wrapText="1"/>
    </xf>
    <xf numFmtId="0" fontId="0" fillId="0" borderId="0" xfId="0" applyBorder="1" applyAlignment="1">
      <alignment horizontal="center" vertical="center"/>
    </xf>
    <xf numFmtId="3" fontId="0" fillId="0" borderId="0" xfId="0" applyNumberFormat="1" applyFont="1"/>
    <xf numFmtId="0" fontId="5" fillId="76" borderId="63" xfId="0" applyFont="1" applyFill="1" applyBorder="1"/>
    <xf numFmtId="0" fontId="15" fillId="79" borderId="73" xfId="0" applyFont="1" applyFill="1" applyBorder="1"/>
    <xf numFmtId="0" fontId="0" fillId="68" borderId="0" xfId="0" applyFill="1" applyBorder="1" applyAlignment="1"/>
    <xf numFmtId="0" fontId="0" fillId="68" borderId="51" xfId="0" applyFill="1" applyBorder="1" applyAlignment="1" applyProtection="1">
      <alignment horizontal="center"/>
      <protection locked="0"/>
    </xf>
    <xf numFmtId="0" fontId="62" fillId="0" borderId="0" xfId="0" applyFont="1"/>
    <xf numFmtId="0" fontId="0" fillId="0" borderId="0" xfId="0" applyAlignment="1">
      <alignment horizontal="left"/>
    </xf>
    <xf numFmtId="0" fontId="14" fillId="81" borderId="68" xfId="0" applyFont="1" applyFill="1" applyBorder="1" applyAlignment="1">
      <alignment horizontal="center" vertical="center" wrapText="1"/>
    </xf>
    <xf numFmtId="0" fontId="4" fillId="0" borderId="0" xfId="0" applyFont="1" applyAlignment="1">
      <alignment horizontal="left"/>
    </xf>
    <xf numFmtId="0" fontId="4" fillId="8" borderId="0" xfId="0" applyFont="1" applyFill="1"/>
    <xf numFmtId="2" fontId="0" fillId="0" borderId="0" xfId="0" applyNumberFormat="1"/>
    <xf numFmtId="0" fontId="0" fillId="0" borderId="0" xfId="0" applyAlignment="1">
      <alignment vertical="center"/>
    </xf>
    <xf numFmtId="2" fontId="0" fillId="0" borderId="0" xfId="1" applyNumberFormat="1" applyFont="1"/>
    <xf numFmtId="0" fontId="63" fillId="0" borderId="0" xfId="0" applyFont="1" applyAlignment="1">
      <alignment vertical="center"/>
    </xf>
    <xf numFmtId="0" fontId="63" fillId="0" borderId="0" xfId="0" applyFont="1"/>
    <xf numFmtId="0" fontId="0" fillId="83" borderId="80" xfId="0" applyFill="1" applyBorder="1" applyAlignment="1"/>
    <xf numFmtId="0" fontId="0" fillId="0" borderId="0" xfId="0" applyProtection="1">
      <protection locked="0"/>
    </xf>
    <xf numFmtId="0" fontId="0" fillId="0" borderId="51" xfId="0" applyBorder="1" applyAlignment="1" applyProtection="1">
      <alignment horizontal="center" vertical="center"/>
      <protection locked="0"/>
    </xf>
    <xf numFmtId="0" fontId="0" fillId="0" borderId="51" xfId="0" applyBorder="1" applyAlignment="1" applyProtection="1">
      <alignment horizontal="center"/>
      <protection locked="0"/>
    </xf>
    <xf numFmtId="0" fontId="5" fillId="0" borderId="0" xfId="0" applyFont="1" applyBorder="1" applyAlignment="1" applyProtection="1">
      <alignment horizontal="center" vertical="center"/>
      <protection locked="0"/>
    </xf>
    <xf numFmtId="0" fontId="5" fillId="0" borderId="61" xfId="0" applyFont="1" applyBorder="1" applyAlignment="1" applyProtection="1">
      <alignment horizontal="center" vertical="center"/>
      <protection locked="0"/>
    </xf>
    <xf numFmtId="0" fontId="5" fillId="0" borderId="62"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0" fontId="5" fillId="0" borderId="0" xfId="0" applyFont="1" applyFill="1" applyBorder="1" applyAlignment="1" applyProtection="1">
      <alignment horizontal="center" vertical="center"/>
      <protection locked="0"/>
    </xf>
    <xf numFmtId="0" fontId="51" fillId="0" borderId="51" xfId="0" applyFont="1" applyBorder="1" applyAlignment="1" applyProtection="1">
      <alignment horizontal="center"/>
      <protection locked="0"/>
    </xf>
    <xf numFmtId="0" fontId="0" fillId="0" borderId="76" xfId="0" applyBorder="1" applyAlignment="1" applyProtection="1">
      <alignment horizontal="center"/>
      <protection locked="0"/>
    </xf>
    <xf numFmtId="0" fontId="0" fillId="0" borderId="76" xfId="0" applyBorder="1" applyProtection="1">
      <protection locked="0"/>
    </xf>
    <xf numFmtId="0" fontId="0" fillId="0" borderId="55" xfId="0" applyBorder="1" applyProtection="1">
      <protection locked="0"/>
    </xf>
    <xf numFmtId="0" fontId="0" fillId="0" borderId="55" xfId="0" applyBorder="1" applyAlignment="1" applyProtection="1">
      <alignment horizontal="center"/>
      <protection locked="0"/>
    </xf>
    <xf numFmtId="0" fontId="4" fillId="0" borderId="51" xfId="0" applyFont="1" applyBorder="1" applyAlignment="1">
      <alignment wrapText="1"/>
    </xf>
    <xf numFmtId="0" fontId="0" fillId="0" borderId="51" xfId="0" applyBorder="1" applyAlignment="1">
      <alignment wrapText="1"/>
    </xf>
    <xf numFmtId="14" fontId="0" fillId="0" borderId="76" xfId="0" applyNumberFormat="1" applyBorder="1" applyProtection="1">
      <protection locked="0"/>
    </xf>
    <xf numFmtId="0" fontId="4" fillId="68" borderId="0" xfId="0" applyFont="1" applyFill="1" applyBorder="1"/>
    <xf numFmtId="0" fontId="0" fillId="0" borderId="51" xfId="0" applyBorder="1" applyAlignment="1" applyProtection="1">
      <protection locked="0"/>
    </xf>
    <xf numFmtId="0" fontId="64" fillId="0" borderId="0" xfId="0" applyFont="1"/>
    <xf numFmtId="0" fontId="0" fillId="68" borderId="56" xfId="0" applyFill="1" applyBorder="1" applyProtection="1">
      <protection locked="0"/>
    </xf>
    <xf numFmtId="0" fontId="0" fillId="68" borderId="55" xfId="0" applyFill="1" applyBorder="1" applyProtection="1">
      <protection locked="0"/>
    </xf>
    <xf numFmtId="14" fontId="0" fillId="68" borderId="56" xfId="0" applyNumberFormat="1" applyFill="1" applyBorder="1" applyProtection="1">
      <protection locked="0"/>
    </xf>
    <xf numFmtId="14" fontId="0" fillId="68" borderId="55" xfId="0" applyNumberFormat="1" applyFill="1" applyBorder="1" applyProtection="1">
      <protection locked="0"/>
    </xf>
    <xf numFmtId="3" fontId="0" fillId="0" borderId="55" xfId="0" applyNumberFormat="1" applyBorder="1" applyProtection="1">
      <protection locked="0"/>
    </xf>
    <xf numFmtId="0" fontId="0" fillId="0" borderId="56" xfId="0" applyBorder="1" applyProtection="1">
      <protection locked="0"/>
    </xf>
    <xf numFmtId="3" fontId="0" fillId="0" borderId="56" xfId="0" applyNumberFormat="1" applyBorder="1" applyProtection="1">
      <protection locked="0"/>
    </xf>
    <xf numFmtId="0" fontId="0" fillId="0" borderId="4" xfId="0" applyBorder="1" applyAlignment="1" applyProtection="1">
      <alignment horizontal="center" vertical="center"/>
      <protection locked="0"/>
    </xf>
    <xf numFmtId="3" fontId="0" fillId="0" borderId="9" xfId="0" applyNumberFormat="1" applyBorder="1" applyProtection="1">
      <protection locked="0"/>
    </xf>
    <xf numFmtId="3" fontId="0" fillId="0" borderId="10" xfId="0" applyNumberFormat="1" applyBorder="1" applyProtection="1">
      <protection locked="0"/>
    </xf>
    <xf numFmtId="3" fontId="0" fillId="0" borderId="11" xfId="0" applyNumberFormat="1" applyBorder="1" applyProtection="1">
      <protection locked="0"/>
    </xf>
    <xf numFmtId="3" fontId="0" fillId="0" borderId="18" xfId="0" applyNumberFormat="1" applyBorder="1" applyProtection="1">
      <protection locked="0"/>
    </xf>
    <xf numFmtId="3" fontId="0" fillId="0" borderId="12" xfId="0" applyNumberFormat="1" applyBorder="1" applyProtection="1">
      <protection locked="0"/>
    </xf>
    <xf numFmtId="3" fontId="0" fillId="0" borderId="13" xfId="0" applyNumberFormat="1" applyBorder="1" applyProtection="1">
      <protection locked="0"/>
    </xf>
    <xf numFmtId="3" fontId="0" fillId="0" borderId="14" xfId="0" applyNumberFormat="1" applyBorder="1" applyProtection="1">
      <protection locked="0"/>
    </xf>
    <xf numFmtId="3" fontId="0" fillId="0" borderId="19" xfId="0" applyNumberFormat="1" applyBorder="1" applyProtection="1">
      <protection locked="0"/>
    </xf>
    <xf numFmtId="3" fontId="0" fillId="0" borderId="15" xfId="0" applyNumberFormat="1" applyBorder="1" applyProtection="1">
      <protection locked="0"/>
    </xf>
    <xf numFmtId="3" fontId="0" fillId="0" borderId="16" xfId="0" applyNumberFormat="1" applyBorder="1" applyProtection="1">
      <protection locked="0"/>
    </xf>
    <xf numFmtId="3" fontId="0" fillId="0" borderId="17" xfId="0" applyNumberFormat="1" applyBorder="1" applyProtection="1">
      <protection locked="0"/>
    </xf>
    <xf numFmtId="3" fontId="0" fillId="0" borderId="20" xfId="0" applyNumberFormat="1" applyBorder="1" applyProtection="1">
      <protection locked="0"/>
    </xf>
    <xf numFmtId="0" fontId="0" fillId="9" borderId="0" xfId="0" applyFill="1" applyProtection="1">
      <protection locked="0"/>
    </xf>
    <xf numFmtId="1" fontId="0" fillId="9" borderId="0" xfId="0" applyNumberFormat="1" applyFill="1" applyProtection="1">
      <protection locked="0"/>
    </xf>
    <xf numFmtId="3" fontId="0" fillId="2" borderId="9" xfId="0" applyNumberFormat="1" applyFill="1" applyBorder="1" applyProtection="1">
      <protection locked="0"/>
    </xf>
    <xf numFmtId="3" fontId="0" fillId="2" borderId="10" xfId="0" applyNumberFormat="1" applyFill="1" applyBorder="1" applyProtection="1">
      <protection locked="0"/>
    </xf>
    <xf numFmtId="3" fontId="0" fillId="2" borderId="11" xfId="0" applyNumberFormat="1" applyFill="1" applyBorder="1" applyProtection="1">
      <protection locked="0"/>
    </xf>
    <xf numFmtId="3" fontId="0" fillId="2" borderId="18" xfId="0" applyNumberFormat="1" applyFill="1" applyBorder="1" applyProtection="1">
      <protection locked="0"/>
    </xf>
    <xf numFmtId="3" fontId="0" fillId="2" borderId="12" xfId="0" applyNumberFormat="1" applyFill="1" applyBorder="1" applyProtection="1">
      <protection locked="0"/>
    </xf>
    <xf numFmtId="3" fontId="0" fillId="2" borderId="13" xfId="0" applyNumberFormat="1" applyFill="1" applyBorder="1" applyProtection="1">
      <protection locked="0"/>
    </xf>
    <xf numFmtId="3" fontId="0" fillId="2" borderId="14" xfId="0" applyNumberFormat="1" applyFill="1" applyBorder="1" applyProtection="1">
      <protection locked="0"/>
    </xf>
    <xf numFmtId="3" fontId="0" fillId="2" borderId="19" xfId="0" applyNumberFormat="1" applyFill="1" applyBorder="1" applyProtection="1">
      <protection locked="0"/>
    </xf>
    <xf numFmtId="3" fontId="0" fillId="2" borderId="15" xfId="0" applyNumberFormat="1" applyFill="1" applyBorder="1" applyProtection="1">
      <protection locked="0"/>
    </xf>
    <xf numFmtId="3" fontId="0" fillId="2" borderId="16" xfId="0" applyNumberFormat="1" applyFill="1" applyBorder="1" applyProtection="1">
      <protection locked="0"/>
    </xf>
    <xf numFmtId="3" fontId="0" fillId="2" borderId="17" xfId="0" applyNumberFormat="1" applyFill="1" applyBorder="1" applyProtection="1">
      <protection locked="0"/>
    </xf>
    <xf numFmtId="3" fontId="0" fillId="2" borderId="20" xfId="0" applyNumberFormat="1" applyFill="1" applyBorder="1" applyProtection="1">
      <protection locked="0"/>
    </xf>
    <xf numFmtId="3" fontId="0" fillId="0" borderId="6" xfId="0" applyNumberFormat="1" applyBorder="1" applyAlignment="1" applyProtection="1">
      <alignment horizontal="center"/>
      <protection locked="0"/>
    </xf>
    <xf numFmtId="3" fontId="0" fillId="0" borderId="7" xfId="0" applyNumberFormat="1" applyBorder="1" applyAlignment="1" applyProtection="1">
      <alignment horizontal="center"/>
      <protection locked="0"/>
    </xf>
    <xf numFmtId="3" fontId="0" fillId="0" borderId="8" xfId="0" applyNumberFormat="1" applyBorder="1" applyAlignment="1" applyProtection="1">
      <alignment horizontal="center"/>
      <protection locked="0"/>
    </xf>
    <xf numFmtId="0" fontId="0" fillId="9" borderId="0" xfId="0" applyFill="1" applyAlignment="1" applyProtection="1">
      <alignment horizontal="center"/>
      <protection locked="0"/>
    </xf>
    <xf numFmtId="0" fontId="0" fillId="0" borderId="4" xfId="0" applyBorder="1" applyAlignment="1" applyProtection="1">
      <alignment horizontal="right"/>
      <protection locked="0"/>
    </xf>
    <xf numFmtId="14" fontId="0" fillId="0" borderId="51" xfId="0" applyNumberFormat="1" applyBorder="1" applyProtection="1">
      <protection locked="0"/>
    </xf>
    <xf numFmtId="0" fontId="0" fillId="68" borderId="4" xfId="0" applyFill="1" applyBorder="1" applyAlignment="1" applyProtection="1">
      <alignment horizontal="center" vertical="center"/>
      <protection locked="0"/>
    </xf>
    <xf numFmtId="3" fontId="0" fillId="0" borderId="52" xfId="0" applyNumberFormat="1" applyBorder="1" applyProtection="1">
      <protection locked="0"/>
    </xf>
    <xf numFmtId="0" fontId="4" fillId="0" borderId="51" xfId="0" applyFont="1" applyBorder="1" applyAlignment="1" applyProtection="1">
      <alignment horizontal="center"/>
      <protection locked="0"/>
    </xf>
    <xf numFmtId="0" fontId="0" fillId="0" borderId="5" xfId="0" applyBorder="1" applyProtection="1">
      <protection locked="0"/>
    </xf>
    <xf numFmtId="3" fontId="0" fillId="0" borderId="0" xfId="0" applyNumberFormat="1" applyFill="1" applyBorder="1" applyProtection="1">
      <protection hidden="1"/>
    </xf>
    <xf numFmtId="0" fontId="0" fillId="0" borderId="0" xfId="0" applyFill="1" applyBorder="1" applyAlignment="1" applyProtection="1">
      <alignment horizontal="right"/>
      <protection hidden="1"/>
    </xf>
    <xf numFmtId="3" fontId="0" fillId="0" borderId="0" xfId="0" applyNumberFormat="1" applyFill="1" applyBorder="1" applyAlignment="1" applyProtection="1">
      <alignment horizontal="right"/>
      <protection hidden="1"/>
    </xf>
    <xf numFmtId="0" fontId="0" fillId="0" borderId="0" xfId="0" applyFill="1" applyBorder="1" applyProtection="1">
      <protection hidden="1"/>
    </xf>
    <xf numFmtId="0" fontId="0" fillId="0" borderId="0" xfId="0" applyBorder="1" applyProtection="1">
      <protection hidden="1"/>
    </xf>
    <xf numFmtId="0" fontId="0" fillId="0" borderId="0" xfId="0" applyBorder="1" applyAlignment="1" applyProtection="1">
      <alignment horizontal="center"/>
      <protection hidden="1"/>
    </xf>
    <xf numFmtId="3" fontId="0" fillId="9" borderId="0" xfId="0" applyNumberFormat="1" applyFill="1" applyBorder="1" applyAlignment="1" applyProtection="1">
      <alignment horizontal="center" vertical="center"/>
      <protection hidden="1"/>
    </xf>
    <xf numFmtId="3" fontId="0" fillId="9" borderId="55" xfId="0" applyNumberFormat="1" applyFill="1" applyBorder="1" applyProtection="1">
      <protection hidden="1"/>
    </xf>
    <xf numFmtId="3" fontId="0" fillId="9" borderId="56" xfId="0" applyNumberFormat="1" applyFill="1" applyBorder="1" applyProtection="1">
      <protection hidden="1"/>
    </xf>
    <xf numFmtId="3" fontId="5" fillId="78" borderId="51" xfId="0" applyNumberFormat="1" applyFont="1" applyFill="1" applyBorder="1" applyProtection="1">
      <protection hidden="1"/>
    </xf>
    <xf numFmtId="3" fontId="5" fillId="76" borderId="51" xfId="0" applyNumberFormat="1" applyFont="1" applyFill="1" applyBorder="1" applyProtection="1">
      <protection hidden="1"/>
    </xf>
    <xf numFmtId="0" fontId="0" fillId="68" borderId="0" xfId="0" applyFill="1" applyProtection="1">
      <protection hidden="1"/>
    </xf>
    <xf numFmtId="9" fontId="0" fillId="9" borderId="70" xfId="0" applyNumberFormat="1" applyFill="1" applyBorder="1" applyProtection="1">
      <protection hidden="1"/>
    </xf>
    <xf numFmtId="0" fontId="63" fillId="0" borderId="0" xfId="0" applyFont="1" applyProtection="1">
      <protection hidden="1"/>
    </xf>
    <xf numFmtId="9" fontId="65" fillId="9" borderId="65" xfId="0" applyNumberFormat="1" applyFont="1" applyFill="1" applyBorder="1" applyProtection="1">
      <protection locked="0"/>
    </xf>
    <xf numFmtId="9" fontId="65" fillId="9" borderId="67" xfId="0" applyNumberFormat="1" applyFont="1" applyFill="1" applyBorder="1" applyProtection="1">
      <protection locked="0"/>
    </xf>
    <xf numFmtId="0" fontId="4" fillId="73" borderId="58" xfId="0" applyFont="1" applyFill="1" applyBorder="1" applyAlignment="1" applyProtection="1">
      <alignment horizontal="center" vertical="center"/>
      <protection hidden="1"/>
    </xf>
    <xf numFmtId="0" fontId="0" fillId="9" borderId="77" xfId="0" applyFill="1" applyBorder="1" applyProtection="1">
      <protection hidden="1"/>
    </xf>
    <xf numFmtId="0" fontId="0" fillId="9" borderId="78" xfId="0" applyFill="1" applyBorder="1" applyProtection="1">
      <protection hidden="1"/>
    </xf>
    <xf numFmtId="0" fontId="0" fillId="9" borderId="79" xfId="0" applyFill="1" applyBorder="1" applyProtection="1">
      <protection hidden="1"/>
    </xf>
    <xf numFmtId="0" fontId="4" fillId="73" borderId="59" xfId="0" applyFont="1" applyFill="1" applyBorder="1" applyAlignment="1" applyProtection="1">
      <alignment horizontal="center" vertical="center"/>
      <protection hidden="1"/>
    </xf>
    <xf numFmtId="0" fontId="4" fillId="73" borderId="60" xfId="0" applyFont="1" applyFill="1" applyBorder="1" applyAlignment="1" applyProtection="1">
      <alignment horizontal="center" vertical="center"/>
      <protection hidden="1"/>
    </xf>
    <xf numFmtId="0" fontId="4" fillId="73" borderId="0" xfId="0" applyFont="1" applyFill="1" applyAlignment="1" applyProtection="1">
      <alignment horizontal="center" vertical="center" wrapText="1"/>
      <protection hidden="1"/>
    </xf>
    <xf numFmtId="0" fontId="0" fillId="73" borderId="0" xfId="0" applyFill="1" applyProtection="1">
      <protection hidden="1"/>
    </xf>
    <xf numFmtId="0" fontId="4" fillId="73" borderId="0" xfId="0" applyFont="1" applyFill="1" applyProtection="1">
      <protection hidden="1"/>
    </xf>
    <xf numFmtId="0" fontId="60" fillId="0" borderId="0" xfId="0" applyFont="1" applyProtection="1">
      <protection hidden="1"/>
    </xf>
    <xf numFmtId="3" fontId="0" fillId="9" borderId="0" xfId="0" applyNumberFormat="1" applyFill="1" applyAlignment="1" applyProtection="1">
      <alignment wrapText="1"/>
      <protection hidden="1"/>
    </xf>
    <xf numFmtId="0" fontId="57" fillId="6" borderId="0" xfId="0" applyFont="1" applyFill="1" applyAlignment="1" applyProtection="1">
      <alignment horizontal="center"/>
      <protection hidden="1"/>
    </xf>
    <xf numFmtId="0" fontId="58" fillId="8" borderId="0" xfId="0" applyFont="1" applyFill="1" applyProtection="1">
      <protection hidden="1"/>
    </xf>
    <xf numFmtId="0" fontId="0" fillId="9" borderId="0" xfId="0" applyFill="1" applyBorder="1"/>
    <xf numFmtId="0" fontId="0" fillId="9" borderId="0" xfId="0" applyFill="1" applyBorder="1" applyAlignment="1" applyProtection="1">
      <alignment horizontal="center"/>
      <protection hidden="1"/>
    </xf>
    <xf numFmtId="0" fontId="0" fillId="0" borderId="4" xfId="0" applyBorder="1" applyProtection="1">
      <protection locked="0"/>
    </xf>
    <xf numFmtId="3" fontId="66" fillId="0" borderId="18" xfId="0" applyNumberFormat="1" applyFont="1" applyBorder="1" applyProtection="1">
      <protection hidden="1"/>
    </xf>
    <xf numFmtId="3" fontId="66" fillId="0" borderId="19" xfId="0" applyNumberFormat="1" applyFont="1" applyBorder="1" applyProtection="1">
      <protection hidden="1"/>
    </xf>
    <xf numFmtId="3" fontId="66" fillId="0" borderId="20" xfId="0" applyNumberFormat="1" applyFont="1" applyBorder="1" applyProtection="1">
      <protection hidden="1"/>
    </xf>
    <xf numFmtId="1" fontId="66" fillId="9" borderId="0" xfId="0" applyNumberFormat="1" applyFont="1" applyFill="1" applyProtection="1">
      <protection hidden="1"/>
    </xf>
    <xf numFmtId="3" fontId="66" fillId="2" borderId="18" xfId="0" applyNumberFormat="1" applyFont="1" applyFill="1" applyBorder="1" applyProtection="1">
      <protection hidden="1"/>
    </xf>
    <xf numFmtId="3" fontId="66" fillId="2" borderId="19" xfId="0" applyNumberFormat="1" applyFont="1" applyFill="1" applyBorder="1" applyProtection="1">
      <protection hidden="1"/>
    </xf>
    <xf numFmtId="3" fontId="66" fillId="2" borderId="20" xfId="0" applyNumberFormat="1" applyFont="1" applyFill="1" applyBorder="1" applyProtection="1">
      <protection hidden="1"/>
    </xf>
    <xf numFmtId="0" fontId="66" fillId="9" borderId="0" xfId="0" applyFont="1" applyFill="1" applyProtection="1">
      <protection hidden="1"/>
    </xf>
    <xf numFmtId="3" fontId="66" fillId="0" borderId="6" xfId="0" applyNumberFormat="1" applyFont="1" applyBorder="1" applyProtection="1">
      <protection hidden="1"/>
    </xf>
    <xf numFmtId="3" fontId="66" fillId="0" borderId="7" xfId="0" applyNumberFormat="1" applyFont="1" applyBorder="1" applyProtection="1">
      <protection hidden="1"/>
    </xf>
    <xf numFmtId="3" fontId="66" fillId="0" borderId="8" xfId="0" applyNumberFormat="1" applyFont="1" applyBorder="1" applyProtection="1">
      <protection hidden="1"/>
    </xf>
    <xf numFmtId="3" fontId="66" fillId="9" borderId="0" xfId="0" applyNumberFormat="1" applyFont="1" applyFill="1" applyProtection="1">
      <protection hidden="1"/>
    </xf>
    <xf numFmtId="0" fontId="62" fillId="0" borderId="0" xfId="0" applyNumberFormat="1" applyFont="1" applyBorder="1" applyAlignment="1" applyProtection="1">
      <alignment horizontal="center"/>
      <protection hidden="1"/>
    </xf>
    <xf numFmtId="0" fontId="62" fillId="0" borderId="18" xfId="0" applyNumberFormat="1" applyFont="1" applyBorder="1" applyProtection="1">
      <protection hidden="1"/>
    </xf>
    <xf numFmtId="0" fontId="62" fillId="0" borderId="19" xfId="0" applyNumberFormat="1" applyFont="1" applyBorder="1" applyProtection="1">
      <protection hidden="1"/>
    </xf>
    <xf numFmtId="0" fontId="62" fillId="0" borderId="20" xfId="0" applyNumberFormat="1" applyFont="1" applyBorder="1" applyProtection="1">
      <protection hidden="1"/>
    </xf>
    <xf numFmtId="0" fontId="62" fillId="9" borderId="0" xfId="0" applyNumberFormat="1" applyFont="1" applyFill="1" applyBorder="1" applyAlignment="1" applyProtection="1">
      <alignment horizontal="center"/>
      <protection hidden="1"/>
    </xf>
    <xf numFmtId="0" fontId="62" fillId="9" borderId="0" xfId="0" applyNumberFormat="1" applyFont="1" applyFill="1" applyProtection="1">
      <protection hidden="1"/>
    </xf>
    <xf numFmtId="0" fontId="51" fillId="0" borderId="76" xfId="0" applyFont="1" applyBorder="1" applyAlignment="1" applyProtection="1">
      <alignment horizontal="center" vertical="center" wrapText="1"/>
      <protection locked="0"/>
    </xf>
    <xf numFmtId="0" fontId="5" fillId="4" borderId="0" xfId="0" applyFont="1" applyFill="1" applyProtection="1">
      <protection hidden="1"/>
    </xf>
    <xf numFmtId="1" fontId="61" fillId="9" borderId="0" xfId="0" applyNumberFormat="1" applyFont="1" applyFill="1" applyProtection="1">
      <protection hidden="1"/>
    </xf>
    <xf numFmtId="0" fontId="61" fillId="9" borderId="0" xfId="0" applyFont="1" applyFill="1" applyProtection="1">
      <protection hidden="1"/>
    </xf>
    <xf numFmtId="14" fontId="61" fillId="9" borderId="57" xfId="0" applyNumberFormat="1" applyFont="1" applyFill="1" applyBorder="1" applyProtection="1">
      <protection hidden="1"/>
    </xf>
    <xf numFmtId="14" fontId="61" fillId="7" borderId="63" xfId="0" applyNumberFormat="1" applyFont="1" applyFill="1" applyBorder="1" applyProtection="1">
      <protection hidden="1"/>
    </xf>
    <xf numFmtId="14" fontId="61" fillId="7" borderId="73" xfId="0" applyNumberFormat="1" applyFont="1" applyFill="1" applyBorder="1" applyProtection="1">
      <protection hidden="1"/>
    </xf>
    <xf numFmtId="3" fontId="61" fillId="9" borderId="0" xfId="0" applyNumberFormat="1" applyFont="1" applyFill="1" applyProtection="1">
      <protection hidden="1"/>
    </xf>
    <xf numFmtId="0" fontId="9" fillId="0" borderId="0" xfId="0" applyFont="1"/>
    <xf numFmtId="3" fontId="63" fillId="0" borderId="0" xfId="0" applyNumberFormat="1" applyFont="1" applyProtection="1">
      <protection hidden="1"/>
    </xf>
    <xf numFmtId="3" fontId="0" fillId="9" borderId="67" xfId="0" applyNumberFormat="1" applyFill="1" applyBorder="1" applyProtection="1">
      <protection hidden="1"/>
    </xf>
    <xf numFmtId="0" fontId="0" fillId="9" borderId="67" xfId="0" applyFill="1" applyBorder="1" applyAlignment="1" applyProtection="1">
      <alignment horizontal="right"/>
      <protection hidden="1"/>
    </xf>
    <xf numFmtId="0" fontId="0" fillId="0" borderId="51" xfId="0" applyBorder="1" applyAlignment="1" applyProtection="1">
      <alignment horizontal="center"/>
      <protection locked="0"/>
    </xf>
    <xf numFmtId="0" fontId="4" fillId="73" borderId="82" xfId="0" applyFont="1" applyFill="1" applyBorder="1" applyAlignment="1" applyProtection="1">
      <alignment horizontal="center" vertical="center" wrapText="1"/>
      <protection hidden="1"/>
    </xf>
    <xf numFmtId="0" fontId="4" fillId="73" borderId="81" xfId="0" applyFont="1" applyFill="1" applyBorder="1" applyAlignment="1" applyProtection="1">
      <alignment horizontal="center" vertical="center"/>
      <protection hidden="1"/>
    </xf>
    <xf numFmtId="0" fontId="4" fillId="0" borderId="0" xfId="0" applyFont="1" applyAlignment="1">
      <alignment horizontal="center" vertical="center"/>
    </xf>
    <xf numFmtId="0" fontId="0" fillId="9" borderId="0" xfId="0" applyFill="1" applyAlignment="1">
      <alignment horizontal="center"/>
    </xf>
    <xf numFmtId="0" fontId="14" fillId="81" borderId="72" xfId="0" applyFont="1" applyFill="1" applyBorder="1" applyAlignment="1">
      <alignment horizontal="center" vertical="center" wrapText="1"/>
    </xf>
    <xf numFmtId="0" fontId="0" fillId="0" borderId="51" xfId="0" applyBorder="1" applyProtection="1">
      <protection locked="0"/>
    </xf>
    <xf numFmtId="0" fontId="4" fillId="0" borderId="0" xfId="0" applyFont="1" applyProtection="1">
      <protection hidden="1"/>
    </xf>
    <xf numFmtId="0" fontId="4" fillId="0" borderId="76" xfId="0" applyFont="1" applyBorder="1"/>
    <xf numFmtId="0" fontId="0" fillId="0" borderId="76" xfId="0" applyBorder="1"/>
    <xf numFmtId="14" fontId="0" fillId="0" borderId="76" xfId="0" applyNumberFormat="1" applyBorder="1"/>
    <xf numFmtId="0" fontId="0" fillId="0" borderId="76" xfId="0" applyBorder="1" applyAlignment="1">
      <alignment wrapText="1"/>
    </xf>
    <xf numFmtId="0" fontId="0" fillId="0" borderId="76" xfId="0" applyFont="1" applyBorder="1"/>
    <xf numFmtId="14" fontId="0" fillId="0" borderId="76" xfId="0" applyNumberFormat="1" applyFont="1" applyBorder="1"/>
    <xf numFmtId="0" fontId="0" fillId="0" borderId="0" xfId="0" applyFont="1"/>
    <xf numFmtId="0" fontId="0" fillId="0" borderId="76" xfId="0" applyFont="1" applyBorder="1" applyAlignment="1">
      <alignment wrapText="1"/>
    </xf>
    <xf numFmtId="0" fontId="5" fillId="68" borderId="0" xfId="0" applyFont="1" applyFill="1" applyProtection="1">
      <protection hidden="1"/>
    </xf>
    <xf numFmtId="0" fontId="5" fillId="0" borderId="0" xfId="0" applyFont="1" applyProtection="1">
      <protection hidden="1"/>
    </xf>
    <xf numFmtId="0" fontId="5" fillId="76" borderId="51" xfId="0" applyFont="1" applyFill="1" applyBorder="1" applyAlignment="1" applyProtection="1">
      <alignment horizontal="center" vertical="center" wrapText="1"/>
      <protection hidden="1"/>
    </xf>
    <xf numFmtId="0" fontId="5" fillId="78" borderId="51" xfId="0" applyFont="1" applyFill="1" applyBorder="1" applyAlignment="1" applyProtection="1">
      <alignment horizontal="center" vertical="center" wrapText="1"/>
      <protection hidden="1"/>
    </xf>
    <xf numFmtId="14" fontId="0" fillId="0" borderId="0" xfId="0" applyNumberFormat="1"/>
    <xf numFmtId="0" fontId="0" fillId="69" borderId="0" xfId="0" applyNumberFormat="1" applyFill="1"/>
    <xf numFmtId="3" fontId="0" fillId="84" borderId="0" xfId="0" applyNumberFormat="1" applyFill="1"/>
    <xf numFmtId="3" fontId="0" fillId="9" borderId="83" xfId="0" applyNumberFormat="1" applyFill="1" applyBorder="1" applyProtection="1">
      <protection hidden="1"/>
    </xf>
    <xf numFmtId="3" fontId="0" fillId="9" borderId="84" xfId="0" applyNumberFormat="1" applyFill="1" applyBorder="1" applyProtection="1">
      <protection hidden="1"/>
    </xf>
    <xf numFmtId="10" fontId="0" fillId="0" borderId="0" xfId="0" applyNumberFormat="1" applyFill="1"/>
    <xf numFmtId="0" fontId="4" fillId="0" borderId="0" xfId="0" applyFont="1" applyFill="1"/>
    <xf numFmtId="0" fontId="14" fillId="81" borderId="71" xfId="0" applyFont="1" applyFill="1" applyBorder="1" applyAlignment="1">
      <alignment horizontal="center" vertical="center" wrapText="1"/>
    </xf>
    <xf numFmtId="0" fontId="4" fillId="0" borderId="0" xfId="0" applyFont="1"/>
    <xf numFmtId="0" fontId="4" fillId="0" borderId="0" xfId="0" applyFont="1"/>
    <xf numFmtId="0" fontId="61" fillId="0" borderId="0" xfId="0" applyFont="1" applyAlignment="1">
      <alignment horizontal="center"/>
    </xf>
    <xf numFmtId="164" fontId="61" fillId="0" borderId="0" xfId="1" applyNumberFormat="1" applyFont="1" applyAlignment="1">
      <alignment horizontal="right"/>
    </xf>
    <xf numFmtId="0" fontId="0" fillId="0" borderId="76" xfId="0" applyBorder="1" applyAlignment="1" applyProtection="1">
      <alignment horizontal="center" wrapText="1"/>
      <protection locked="0"/>
    </xf>
    <xf numFmtId="166" fontId="0" fillId="0" borderId="0" xfId="0" applyNumberFormat="1" applyBorder="1" applyAlignment="1" applyProtection="1">
      <alignment horizontal="center"/>
      <protection hidden="1"/>
    </xf>
    <xf numFmtId="167" fontId="0" fillId="0" borderId="0" xfId="0" applyNumberFormat="1" applyBorder="1" applyAlignment="1" applyProtection="1">
      <alignment horizontal="center"/>
      <protection hidden="1"/>
    </xf>
    <xf numFmtId="3" fontId="0" fillId="0" borderId="0" xfId="0" applyNumberFormat="1" applyFill="1"/>
    <xf numFmtId="0" fontId="0" fillId="0" borderId="55" xfId="0" applyFont="1" applyBorder="1" applyProtection="1">
      <protection locked="0"/>
    </xf>
    <xf numFmtId="0" fontId="5" fillId="78" borderId="88" xfId="0" applyFont="1" applyFill="1" applyBorder="1" applyAlignment="1" applyProtection="1">
      <alignment horizontal="center" vertical="center" wrapText="1"/>
      <protection hidden="1"/>
    </xf>
    <xf numFmtId="14" fontId="4" fillId="0" borderId="76" xfId="0" applyNumberFormat="1" applyFont="1" applyBorder="1"/>
    <xf numFmtId="0" fontId="4" fillId="0" borderId="0" xfId="0" applyFont="1"/>
    <xf numFmtId="0" fontId="4" fillId="0" borderId="76" xfId="0" applyFont="1" applyBorder="1" applyAlignment="1">
      <alignment wrapText="1"/>
    </xf>
    <xf numFmtId="0" fontId="0" fillId="0" borderId="55" xfId="0" applyFont="1" applyBorder="1" applyAlignment="1" applyProtection="1">
      <alignment vertical="center" wrapText="1"/>
      <protection locked="0"/>
    </xf>
    <xf numFmtId="14" fontId="0" fillId="0" borderId="0" xfId="0" applyNumberFormat="1"/>
    <xf numFmtId="0" fontId="15" fillId="0" borderId="55" xfId="0" applyFont="1" applyBorder="1" applyAlignment="1" applyProtection="1">
      <alignment vertical="center" wrapText="1"/>
      <protection locked="0"/>
    </xf>
    <xf numFmtId="0" fontId="0" fillId="0" borderId="0" xfId="0" applyFont="1" applyProtection="1">
      <protection locked="0"/>
    </xf>
    <xf numFmtId="166" fontId="0" fillId="0" borderId="0" xfId="0" applyNumberFormat="1" applyFill="1" applyBorder="1" applyAlignment="1" applyProtection="1">
      <alignment horizontal="right"/>
      <protection hidden="1"/>
    </xf>
    <xf numFmtId="0" fontId="0" fillId="68" borderId="0" xfId="0" applyFill="1" applyBorder="1" applyAlignment="1" applyProtection="1">
      <alignment horizontal="center"/>
      <protection locked="0"/>
    </xf>
    <xf numFmtId="0" fontId="0" fillId="68" borderId="0" xfId="0" applyFill="1" applyAlignment="1" applyProtection="1">
      <alignment horizontal="center"/>
      <protection locked="0"/>
    </xf>
    <xf numFmtId="0" fontId="67" fillId="0" borderId="55" xfId="0" applyFont="1" applyBorder="1" applyAlignment="1" applyProtection="1">
      <alignment vertical="center" wrapText="1"/>
      <protection locked="0"/>
    </xf>
    <xf numFmtId="0" fontId="68" fillId="0" borderId="55" xfId="0" applyFont="1" applyBorder="1" applyAlignment="1" applyProtection="1">
      <alignment vertical="center" wrapText="1"/>
      <protection locked="0"/>
    </xf>
    <xf numFmtId="2" fontId="4" fillId="0" borderId="76" xfId="0" applyNumberFormat="1" applyFont="1" applyBorder="1"/>
    <xf numFmtId="0" fontId="69" fillId="0" borderId="0" xfId="0" applyFont="1" applyFill="1" applyBorder="1"/>
    <xf numFmtId="0" fontId="61" fillId="9" borderId="0" xfId="0" applyNumberFormat="1" applyFont="1" applyFill="1" applyProtection="1">
      <protection hidden="1"/>
    </xf>
    <xf numFmtId="0" fontId="60" fillId="0" borderId="0" xfId="0" applyFont="1" applyFill="1"/>
    <xf numFmtId="2" fontId="0" fillId="0" borderId="76" xfId="0" applyNumberFormat="1" applyFont="1" applyBorder="1"/>
    <xf numFmtId="0" fontId="70" fillId="0" borderId="0" xfId="0" applyFont="1" applyAlignment="1"/>
    <xf numFmtId="0" fontId="60" fillId="0" borderId="92" xfId="0" applyFont="1" applyFill="1" applyBorder="1" applyAlignment="1" applyProtection="1">
      <alignment horizontal="center" vertical="center"/>
      <protection locked="0"/>
    </xf>
    <xf numFmtId="164" fontId="60" fillId="0" borderId="92" xfId="0" applyNumberFormat="1" applyFont="1" applyFill="1" applyBorder="1" applyProtection="1">
      <protection locked="0"/>
    </xf>
    <xf numFmtId="0" fontId="0" fillId="0" borderId="76" xfId="0" applyBorder="1" applyProtection="1">
      <protection locked="0"/>
    </xf>
    <xf numFmtId="0" fontId="60" fillId="0" borderId="0" xfId="0" applyFont="1"/>
    <xf numFmtId="0" fontId="4" fillId="0" borderId="0" xfId="0" applyFont="1"/>
    <xf numFmtId="14" fontId="0" fillId="0" borderId="4" xfId="0" applyNumberFormat="1" applyBorder="1" applyAlignment="1" applyProtection="1">
      <alignment horizontal="center" vertical="center"/>
      <protection locked="0"/>
    </xf>
    <xf numFmtId="0" fontId="5" fillId="4" borderId="0" xfId="0" applyFont="1" applyFill="1" applyAlignment="1">
      <alignment vertical="center"/>
    </xf>
    <xf numFmtId="0" fontId="15" fillId="0" borderId="0" xfId="0" applyFont="1" applyFill="1" applyAlignment="1">
      <alignment vertical="center"/>
    </xf>
    <xf numFmtId="14" fontId="0" fillId="0" borderId="0" xfId="0" applyNumberFormat="1" applyProtection="1"/>
    <xf numFmtId="14" fontId="0" fillId="0" borderId="76" xfId="0" applyNumberFormat="1" applyBorder="1" applyProtection="1"/>
    <xf numFmtId="0" fontId="0" fillId="0" borderId="76" xfId="0" applyBorder="1" applyAlignment="1" applyProtection="1">
      <alignment horizontal="center" vertical="center"/>
      <protection locked="0"/>
    </xf>
    <xf numFmtId="14" fontId="14" fillId="0" borderId="89" xfId="0" applyNumberFormat="1" applyFont="1" applyFill="1" applyBorder="1" applyAlignment="1" applyProtection="1">
      <alignment horizontal="center" vertical="center"/>
    </xf>
    <xf numFmtId="14" fontId="0" fillId="68" borderId="51" xfId="0" applyNumberFormat="1" applyFill="1" applyBorder="1" applyProtection="1"/>
    <xf numFmtId="14" fontId="62" fillId="0" borderId="18" xfId="0" applyNumberFormat="1" applyFont="1" applyBorder="1" applyProtection="1">
      <protection hidden="1"/>
    </xf>
    <xf numFmtId="14" fontId="62" fillId="0" borderId="19" xfId="0" applyNumberFormat="1" applyFont="1" applyBorder="1" applyProtection="1">
      <protection hidden="1"/>
    </xf>
    <xf numFmtId="14" fontId="62" fillId="0" borderId="20" xfId="0" applyNumberFormat="1" applyFont="1" applyBorder="1" applyProtection="1">
      <protection hidden="1"/>
    </xf>
    <xf numFmtId="14" fontId="62" fillId="9" borderId="0" xfId="0" applyNumberFormat="1" applyFont="1" applyFill="1" applyProtection="1">
      <protection hidden="1"/>
    </xf>
    <xf numFmtId="166" fontId="0" fillId="0" borderId="76" xfId="0" applyNumberFormat="1" applyFont="1" applyBorder="1"/>
    <xf numFmtId="0" fontId="51" fillId="0" borderId="0" xfId="0" applyFont="1"/>
    <xf numFmtId="0" fontId="51" fillId="0" borderId="0" xfId="0" applyFont="1" applyFill="1" applyBorder="1" applyAlignment="1">
      <alignment vertical="top"/>
    </xf>
    <xf numFmtId="0" fontId="4" fillId="0" borderId="0" xfId="0" applyFont="1"/>
    <xf numFmtId="0" fontId="4" fillId="10" borderId="76" xfId="0" applyFont="1" applyFill="1" applyBorder="1" applyAlignment="1">
      <alignment horizontal="center"/>
    </xf>
    <xf numFmtId="0" fontId="0" fillId="0" borderId="76" xfId="0" applyBorder="1" applyProtection="1">
      <protection locked="0"/>
    </xf>
    <xf numFmtId="164" fontId="0" fillId="0" borderId="76" xfId="0" applyNumberFormat="1" applyBorder="1" applyProtection="1">
      <protection locked="0"/>
    </xf>
    <xf numFmtId="3" fontId="0" fillId="0" borderId="76" xfId="0" applyNumberFormat="1" applyBorder="1" applyProtection="1">
      <protection locked="0"/>
    </xf>
    <xf numFmtId="0" fontId="4" fillId="10" borderId="90" xfId="0" applyFont="1" applyFill="1" applyBorder="1" applyAlignment="1"/>
    <xf numFmtId="0" fontId="4" fillId="10" borderId="93" xfId="0" applyFont="1" applyFill="1" applyBorder="1" applyAlignment="1"/>
    <xf numFmtId="0" fontId="4" fillId="10" borderId="91" xfId="0" applyFont="1" applyFill="1" applyBorder="1" applyAlignment="1"/>
    <xf numFmtId="0" fontId="53" fillId="0" borderId="0" xfId="0" applyFont="1"/>
    <xf numFmtId="0" fontId="15" fillId="82" borderId="4" xfId="0" applyFont="1" applyFill="1" applyBorder="1" applyProtection="1">
      <protection locked="0"/>
    </xf>
    <xf numFmtId="0" fontId="4" fillId="85" borderId="76" xfId="0" applyFont="1" applyFill="1" applyBorder="1" applyProtection="1">
      <protection locked="0"/>
    </xf>
    <xf numFmtId="3" fontId="4" fillId="85" borderId="76" xfId="0" applyNumberFormat="1" applyFont="1" applyFill="1" applyBorder="1" applyProtection="1">
      <protection locked="0"/>
    </xf>
    <xf numFmtId="0" fontId="71" fillId="0" borderId="0" xfId="0" applyFont="1" applyAlignment="1" applyProtection="1">
      <alignment horizontal="center" vertical="center"/>
      <protection locked="0"/>
    </xf>
    <xf numFmtId="0" fontId="72" fillId="0" borderId="0" xfId="0" applyFont="1" applyBorder="1"/>
    <xf numFmtId="0" fontId="71" fillId="0" borderId="0" xfId="0" applyFont="1" applyBorder="1" applyAlignment="1" applyProtection="1">
      <alignment horizontal="center" vertical="center"/>
      <protection locked="0"/>
    </xf>
    <xf numFmtId="0" fontId="71" fillId="0" borderId="61" xfId="0" applyFont="1" applyBorder="1" applyAlignment="1" applyProtection="1">
      <alignment horizontal="center" vertical="center"/>
      <protection locked="0"/>
    </xf>
    <xf numFmtId="0" fontId="71" fillId="0" borderId="62" xfId="0" applyFont="1" applyBorder="1" applyAlignment="1" applyProtection="1">
      <alignment horizontal="center" vertical="center"/>
      <protection locked="0"/>
    </xf>
    <xf numFmtId="0" fontId="71" fillId="0" borderId="0" xfId="0" applyFont="1" applyFill="1" applyBorder="1" applyAlignment="1" applyProtection="1">
      <alignment horizontal="center" vertical="center"/>
      <protection locked="0"/>
    </xf>
    <xf numFmtId="0" fontId="72" fillId="0" borderId="0" xfId="0" applyFont="1"/>
    <xf numFmtId="0" fontId="5" fillId="86" borderId="0" xfId="0" applyFont="1" applyFill="1" applyProtection="1">
      <protection hidden="1"/>
    </xf>
    <xf numFmtId="0" fontId="5" fillId="86" borderId="0" xfId="0" applyFont="1" applyFill="1"/>
    <xf numFmtId="3" fontId="60" fillId="82" borderId="67" xfId="0" applyNumberFormat="1" applyFont="1" applyFill="1" applyBorder="1" applyProtection="1">
      <protection hidden="1"/>
    </xf>
    <xf numFmtId="0" fontId="73" fillId="0" borderId="0" xfId="0" applyFont="1"/>
    <xf numFmtId="9" fontId="0" fillId="0" borderId="76" xfId="1" applyFont="1" applyBorder="1" applyAlignment="1" applyProtection="1">
      <alignment horizontal="center" vertical="center"/>
      <protection locked="0"/>
    </xf>
    <xf numFmtId="168" fontId="0" fillId="0" borderId="76" xfId="1" applyNumberFormat="1" applyFont="1" applyBorder="1" applyAlignment="1" applyProtection="1">
      <alignment horizontal="center" vertical="center"/>
      <protection locked="0"/>
    </xf>
    <xf numFmtId="3" fontId="61" fillId="0" borderId="0" xfId="0" applyNumberFormat="1" applyFont="1" applyBorder="1" applyAlignment="1" applyProtection="1">
      <alignment horizontal="right"/>
      <protection hidden="1"/>
    </xf>
    <xf numFmtId="3" fontId="0" fillId="0" borderId="51" xfId="0" applyNumberFormat="1" applyBorder="1" applyAlignment="1" applyProtection="1">
      <alignment horizontal="center"/>
      <protection locked="0"/>
    </xf>
    <xf numFmtId="0" fontId="0" fillId="0" borderId="1" xfId="0" applyBorder="1" applyAlignment="1" applyProtection="1">
      <alignment horizontal="center"/>
      <protection locked="0"/>
    </xf>
    <xf numFmtId="0" fontId="0" fillId="0" borderId="2" xfId="0" applyBorder="1" applyAlignment="1" applyProtection="1">
      <alignment horizontal="center"/>
      <protection locked="0"/>
    </xf>
    <xf numFmtId="0" fontId="0" fillId="0" borderId="3" xfId="0" applyBorder="1" applyAlignment="1" applyProtection="1">
      <alignment horizontal="center"/>
      <protection locked="0"/>
    </xf>
    <xf numFmtId="0" fontId="0" fillId="0" borderId="0" xfId="0" applyAlignment="1">
      <alignment horizontal="left"/>
    </xf>
    <xf numFmtId="0" fontId="62" fillId="0" borderId="0" xfId="0" applyFont="1" applyBorder="1" applyAlignment="1">
      <alignment horizontal="left"/>
    </xf>
    <xf numFmtId="0" fontId="62" fillId="0" borderId="74" xfId="0" applyFont="1" applyBorder="1" applyAlignment="1">
      <alignment horizontal="left"/>
    </xf>
    <xf numFmtId="0" fontId="0" fillId="0" borderId="75" xfId="0" applyBorder="1" applyAlignment="1" applyProtection="1">
      <alignment horizontal="center" wrapText="1"/>
      <protection locked="0"/>
    </xf>
    <xf numFmtId="0" fontId="0" fillId="0" borderId="5" xfId="0" applyBorder="1" applyAlignment="1" applyProtection="1">
      <alignment horizontal="center" wrapText="1"/>
      <protection locked="0"/>
    </xf>
    <xf numFmtId="0" fontId="57" fillId="0" borderId="51" xfId="0" applyFont="1" applyBorder="1" applyAlignment="1">
      <alignment horizontal="center"/>
    </xf>
    <xf numFmtId="0" fontId="5" fillId="86" borderId="0" xfId="0" applyFont="1" applyFill="1" applyAlignment="1">
      <alignment horizontal="center" vertical="center" wrapText="1"/>
    </xf>
    <xf numFmtId="0" fontId="5" fillId="86" borderId="0" xfId="0" applyFont="1" applyFill="1" applyAlignment="1">
      <alignment horizontal="center" vertical="center"/>
    </xf>
    <xf numFmtId="0" fontId="57" fillId="10" borderId="76" xfId="0" applyFont="1" applyFill="1" applyBorder="1" applyAlignment="1">
      <alignment horizontal="center" vertical="center" wrapText="1"/>
    </xf>
    <xf numFmtId="0" fontId="4" fillId="10" borderId="76" xfId="0" applyFont="1" applyFill="1" applyBorder="1" applyAlignment="1">
      <alignment horizontal="center" wrapText="1"/>
    </xf>
    <xf numFmtId="0" fontId="0" fillId="0" borderId="90" xfId="0" applyBorder="1" applyAlignment="1" applyProtection="1">
      <alignment horizontal="center"/>
      <protection locked="0"/>
    </xf>
    <xf numFmtId="0" fontId="0" fillId="0" borderId="91" xfId="0" applyBorder="1" applyAlignment="1" applyProtection="1">
      <alignment horizontal="center"/>
      <protection locked="0"/>
    </xf>
    <xf numFmtId="0" fontId="5" fillId="4" borderId="0" xfId="0" applyFont="1" applyFill="1" applyAlignment="1">
      <alignment horizontal="center" vertical="center" wrapText="1"/>
    </xf>
    <xf numFmtId="0" fontId="5" fillId="4" borderId="0" xfId="0" applyFont="1" applyFill="1" applyAlignment="1">
      <alignment horizontal="center" vertical="center"/>
    </xf>
    <xf numFmtId="0" fontId="4" fillId="68" borderId="0" xfId="0" applyFont="1" applyFill="1" applyBorder="1" applyAlignment="1">
      <alignment horizontal="left"/>
    </xf>
    <xf numFmtId="0" fontId="5" fillId="75" borderId="51" xfId="0" applyFont="1" applyFill="1" applyBorder="1" applyAlignment="1">
      <alignment horizontal="center"/>
    </xf>
    <xf numFmtId="0" fontId="5" fillId="76" borderId="51" xfId="0" applyFont="1" applyFill="1" applyBorder="1" applyAlignment="1">
      <alignment horizontal="center"/>
    </xf>
    <xf numFmtId="0" fontId="0" fillId="68" borderId="0" xfId="0" applyFill="1" applyBorder="1" applyAlignment="1">
      <alignment horizontal="left" vertical="center"/>
    </xf>
    <xf numFmtId="0" fontId="4" fillId="68" borderId="0" xfId="0" applyFont="1" applyFill="1" applyAlignment="1">
      <alignment horizontal="left"/>
    </xf>
    <xf numFmtId="0" fontId="14" fillId="0" borderId="85" xfId="0" applyFont="1" applyFill="1" applyBorder="1" applyAlignment="1" applyProtection="1">
      <alignment horizontal="center" vertical="center" wrapText="1"/>
      <protection locked="0"/>
    </xf>
    <xf numFmtId="0" fontId="14" fillId="0" borderId="86" xfId="0" applyFont="1" applyFill="1" applyBorder="1" applyAlignment="1" applyProtection="1">
      <alignment horizontal="center" vertical="center" wrapText="1"/>
      <protection locked="0"/>
    </xf>
    <xf numFmtId="0" fontId="14" fillId="0" borderId="87" xfId="0" applyFont="1" applyFill="1" applyBorder="1" applyAlignment="1" applyProtection="1">
      <alignment horizontal="center" vertical="center" wrapText="1"/>
      <protection locked="0"/>
    </xf>
    <xf numFmtId="0" fontId="14" fillId="81" borderId="64" xfId="0" applyFont="1" applyFill="1" applyBorder="1" applyAlignment="1">
      <alignment horizontal="center" vertical="center" wrapText="1"/>
    </xf>
    <xf numFmtId="0" fontId="14" fillId="81" borderId="65" xfId="0" applyFont="1" applyFill="1" applyBorder="1" applyAlignment="1">
      <alignment horizontal="center" vertical="center" wrapText="1"/>
    </xf>
    <xf numFmtId="0" fontId="14" fillId="81" borderId="69" xfId="0" applyFont="1" applyFill="1" applyBorder="1" applyAlignment="1">
      <alignment horizontal="center" vertical="center" wrapText="1"/>
    </xf>
    <xf numFmtId="0" fontId="14" fillId="81" borderId="67" xfId="0" applyFont="1" applyFill="1" applyBorder="1" applyAlignment="1">
      <alignment horizontal="center" vertical="center" wrapText="1"/>
    </xf>
    <xf numFmtId="0" fontId="14" fillId="81" borderId="66" xfId="0" applyFont="1" applyFill="1" applyBorder="1" applyAlignment="1">
      <alignment horizontal="center" vertical="center" wrapText="1"/>
    </xf>
    <xf numFmtId="0" fontId="14" fillId="81" borderId="70" xfId="0" applyFont="1" applyFill="1" applyBorder="1" applyAlignment="1">
      <alignment horizontal="center" vertical="center" wrapText="1"/>
    </xf>
    <xf numFmtId="0" fontId="0" fillId="0" borderId="51" xfId="0" applyBorder="1" applyAlignment="1" applyProtection="1">
      <alignment horizontal="center"/>
      <protection locked="0"/>
    </xf>
    <xf numFmtId="0" fontId="9" fillId="7" borderId="0" xfId="0" applyFont="1" applyFill="1" applyAlignment="1">
      <alignment horizontal="left"/>
    </xf>
    <xf numFmtId="3" fontId="0" fillId="72" borderId="24" xfId="0" applyNumberFormat="1" applyFill="1" applyBorder="1" applyAlignment="1" applyProtection="1">
      <alignment horizontal="center" vertical="center"/>
      <protection hidden="1"/>
    </xf>
    <xf numFmtId="3" fontId="0" fillId="72" borderId="28" xfId="0" applyNumberFormat="1" applyFill="1" applyBorder="1" applyAlignment="1" applyProtection="1">
      <alignment horizontal="center" vertical="center"/>
      <protection hidden="1"/>
    </xf>
    <xf numFmtId="3" fontId="0" fillId="9" borderId="23" xfId="0" applyNumberFormat="1" applyFill="1" applyBorder="1" applyAlignment="1" applyProtection="1">
      <alignment horizontal="center" vertical="center" wrapText="1"/>
      <protection hidden="1"/>
    </xf>
    <xf numFmtId="0" fontId="0" fillId="9" borderId="24" xfId="0" applyFill="1" applyBorder="1" applyAlignment="1" applyProtection="1">
      <alignment horizontal="center" vertical="center" wrapText="1"/>
      <protection hidden="1"/>
    </xf>
    <xf numFmtId="0" fontId="0" fillId="9" borderId="31" xfId="0" applyFill="1" applyBorder="1" applyAlignment="1" applyProtection="1">
      <alignment horizontal="center" vertical="center" wrapText="1"/>
      <protection hidden="1"/>
    </xf>
    <xf numFmtId="0" fontId="0" fillId="9" borderId="28" xfId="0" applyFill="1" applyBorder="1" applyAlignment="1" applyProtection="1">
      <alignment horizontal="center" vertical="center" wrapText="1"/>
      <protection hidden="1"/>
    </xf>
    <xf numFmtId="164" fontId="0" fillId="72" borderId="22" xfId="0" applyNumberFormat="1" applyFill="1" applyBorder="1" applyAlignment="1" applyProtection="1">
      <alignment horizontal="center" vertical="center" wrapText="1"/>
      <protection hidden="1"/>
    </xf>
    <xf numFmtId="164" fontId="0" fillId="72" borderId="25" xfId="0" applyNumberFormat="1" applyFill="1" applyBorder="1" applyAlignment="1" applyProtection="1">
      <alignment horizontal="center" vertical="center" wrapText="1"/>
      <protection hidden="1"/>
    </xf>
    <xf numFmtId="3" fontId="0" fillId="72" borderId="22" xfId="0" applyNumberFormat="1" applyFill="1" applyBorder="1" applyAlignment="1" applyProtection="1">
      <alignment horizontal="center" vertical="center" wrapText="1"/>
      <protection hidden="1"/>
    </xf>
    <xf numFmtId="3" fontId="0" fillId="72" borderId="25" xfId="0" applyNumberFormat="1" applyFill="1" applyBorder="1" applyAlignment="1" applyProtection="1">
      <alignment horizontal="center" vertical="center" wrapText="1"/>
      <protection hidden="1"/>
    </xf>
    <xf numFmtId="0" fontId="53" fillId="7" borderId="0" xfId="0" applyFont="1" applyFill="1" applyAlignment="1">
      <alignment horizontal="left"/>
    </xf>
    <xf numFmtId="0" fontId="0" fillId="7" borderId="0" xfId="0" applyFill="1" applyAlignment="1">
      <alignment horizontal="left"/>
    </xf>
    <xf numFmtId="0" fontId="0" fillId="7" borderId="21" xfId="0" applyFill="1" applyBorder="1" applyAlignment="1">
      <alignment horizontal="left"/>
    </xf>
    <xf numFmtId="164" fontId="0" fillId="82" borderId="22" xfId="0" applyNumberFormat="1" applyFill="1" applyBorder="1" applyAlignment="1" applyProtection="1">
      <alignment horizontal="center" vertical="center" wrapText="1"/>
      <protection locked="0" hidden="1"/>
    </xf>
    <xf numFmtId="164" fontId="0" fillId="82" borderId="25" xfId="0" applyNumberFormat="1" applyFill="1" applyBorder="1" applyAlignment="1" applyProtection="1">
      <alignment horizontal="center" vertical="center" wrapText="1"/>
      <protection locked="0" hidden="1"/>
    </xf>
    <xf numFmtId="3" fontId="0" fillId="72" borderId="22" xfId="0" applyNumberFormat="1" applyFill="1" applyBorder="1" applyAlignment="1" applyProtection="1">
      <alignment horizontal="center" vertical="center"/>
      <protection hidden="1"/>
    </xf>
    <xf numFmtId="3" fontId="0" fillId="72" borderId="25" xfId="0" applyNumberFormat="1" applyFill="1" applyBorder="1" applyAlignment="1" applyProtection="1">
      <alignment horizontal="center" vertical="center"/>
      <protection hidden="1"/>
    </xf>
    <xf numFmtId="0" fontId="0" fillId="8" borderId="0" xfId="0" applyFill="1" applyAlignment="1">
      <alignment horizontal="left" wrapText="1"/>
    </xf>
    <xf numFmtId="0" fontId="0" fillId="82" borderId="1" xfId="0" applyFill="1" applyBorder="1" applyAlignment="1" applyProtection="1">
      <alignment horizontal="center"/>
      <protection locked="0"/>
    </xf>
    <xf numFmtId="3" fontId="0" fillId="9" borderId="22" xfId="0" applyNumberFormat="1" applyFill="1" applyBorder="1" applyAlignment="1" applyProtection="1">
      <alignment horizontal="center" vertical="center" wrapText="1"/>
      <protection hidden="1"/>
    </xf>
    <xf numFmtId="3" fontId="0" fillId="9" borderId="25" xfId="0" applyNumberFormat="1" applyFill="1" applyBorder="1" applyAlignment="1" applyProtection="1">
      <alignment horizontal="center" vertical="center" wrapText="1"/>
      <protection hidden="1"/>
    </xf>
    <xf numFmtId="0" fontId="0" fillId="9" borderId="22" xfId="0" applyFill="1" applyBorder="1" applyAlignment="1" applyProtection="1">
      <alignment horizontal="center" vertical="center" wrapText="1"/>
      <protection hidden="1"/>
    </xf>
    <xf numFmtId="0" fontId="0" fillId="9" borderId="25" xfId="0" applyFill="1" applyBorder="1" applyAlignment="1" applyProtection="1">
      <alignment horizontal="center" vertical="center" wrapText="1"/>
      <protection hidden="1"/>
    </xf>
    <xf numFmtId="0" fontId="9" fillId="5" borderId="26" xfId="0" applyFont="1" applyFill="1" applyBorder="1" applyAlignment="1">
      <alignment horizontal="left"/>
    </xf>
    <xf numFmtId="0" fontId="9" fillId="5" borderId="0" xfId="0" applyFont="1" applyFill="1" applyAlignment="1">
      <alignment horizontal="left"/>
    </xf>
    <xf numFmtId="0" fontId="0" fillId="5" borderId="26" xfId="0" applyFill="1" applyBorder="1" applyAlignment="1">
      <alignment horizontal="left"/>
    </xf>
    <xf numFmtId="0" fontId="0" fillId="5" borderId="21" xfId="0" applyFill="1" applyBorder="1" applyAlignment="1">
      <alignment horizontal="left"/>
    </xf>
    <xf numFmtId="164" fontId="0" fillId="82" borderId="22" xfId="1" applyNumberFormat="1" applyFont="1" applyFill="1" applyBorder="1" applyAlignment="1" applyProtection="1">
      <alignment horizontal="center" vertical="center"/>
      <protection locked="0" hidden="1"/>
    </xf>
    <xf numFmtId="164" fontId="0" fillId="82" borderId="25" xfId="1" applyNumberFormat="1" applyFont="1" applyFill="1" applyBorder="1" applyAlignment="1" applyProtection="1">
      <alignment horizontal="center" vertical="center"/>
      <protection locked="0" hidden="1"/>
    </xf>
    <xf numFmtId="0" fontId="0" fillId="7" borderId="29" xfId="0" applyFill="1" applyBorder="1" applyAlignment="1">
      <alignment horizontal="center"/>
    </xf>
    <xf numFmtId="0" fontId="0" fillId="7" borderId="30" xfId="0" applyFill="1" applyBorder="1" applyAlignment="1">
      <alignment horizontal="center"/>
    </xf>
    <xf numFmtId="0" fontId="9" fillId="5" borderId="0" xfId="0" applyFont="1" applyFill="1" applyAlignment="1">
      <alignment horizontal="left" wrapText="1"/>
    </xf>
    <xf numFmtId="0" fontId="0" fillId="5" borderId="0" xfId="0" applyFill="1" applyAlignment="1">
      <alignment horizontal="left"/>
    </xf>
    <xf numFmtId="0" fontId="60" fillId="0" borderId="0" xfId="0" applyFont="1" applyAlignment="1" applyProtection="1">
      <alignment horizontal="left"/>
      <protection hidden="1"/>
    </xf>
    <xf numFmtId="3" fontId="0" fillId="9" borderId="63" xfId="0" applyNumberFormat="1" applyFill="1" applyBorder="1" applyAlignment="1" applyProtection="1">
      <alignment horizontal="center"/>
      <protection hidden="1"/>
    </xf>
    <xf numFmtId="3" fontId="0" fillId="9" borderId="73" xfId="0" applyNumberFormat="1" applyFill="1" applyBorder="1" applyAlignment="1" applyProtection="1">
      <alignment horizontal="center"/>
      <protection hidden="1"/>
    </xf>
    <xf numFmtId="0" fontId="60" fillId="0" borderId="0" xfId="0" applyFont="1"/>
    <xf numFmtId="0" fontId="4" fillId="0" borderId="0" xfId="0" applyFont="1"/>
    <xf numFmtId="0" fontId="4" fillId="0" borderId="0" xfId="0" applyFont="1" applyAlignment="1">
      <alignment horizontal="left" vertical="center"/>
    </xf>
    <xf numFmtId="0" fontId="4" fillId="0" borderId="0" xfId="0" applyFont="1" applyAlignment="1"/>
    <xf numFmtId="0" fontId="0" fillId="9" borderId="67" xfId="0" applyFill="1" applyBorder="1" applyAlignment="1">
      <alignment horizontal="left"/>
    </xf>
    <xf numFmtId="0" fontId="60" fillId="82" borderId="70" xfId="0" applyFont="1" applyFill="1" applyBorder="1" applyAlignment="1">
      <alignment horizontal="left"/>
    </xf>
    <xf numFmtId="0" fontId="60" fillId="82" borderId="69" xfId="0" applyFont="1" applyFill="1" applyBorder="1" applyAlignment="1">
      <alignment horizontal="left"/>
    </xf>
    <xf numFmtId="0" fontId="0" fillId="9" borderId="70" xfId="0" applyFill="1" applyBorder="1" applyAlignment="1">
      <alignment horizontal="left"/>
    </xf>
    <xf numFmtId="0" fontId="0" fillId="9" borderId="69" xfId="0" applyFill="1" applyBorder="1" applyAlignment="1">
      <alignment horizontal="left"/>
    </xf>
    <xf numFmtId="0" fontId="14" fillId="81" borderId="71" xfId="0" applyFont="1" applyFill="1" applyBorder="1" applyAlignment="1">
      <alignment horizontal="center" vertical="center" wrapText="1"/>
    </xf>
  </cellXfs>
  <cellStyles count="134">
    <cellStyle name="20% - Accent1" xfId="20" builtinId="30" customBuiltin="1"/>
    <cellStyle name="20% - Accent1 2" xfId="44" xr:uid="{00000000-0005-0000-0000-000001000000}"/>
    <cellStyle name="20% - Accent1 3" xfId="96" xr:uid="{00000000-0005-0000-0000-000002000000}"/>
    <cellStyle name="20% - Accent1 3 2" xfId="122" xr:uid="{00000000-0005-0000-0000-000003000000}"/>
    <cellStyle name="20% - Accent1 4" xfId="108" xr:uid="{00000000-0005-0000-0000-000004000000}"/>
    <cellStyle name="20% - Accent2" xfId="24" builtinId="34" customBuiltin="1"/>
    <cellStyle name="20% - Accent2 2" xfId="45" xr:uid="{00000000-0005-0000-0000-000006000000}"/>
    <cellStyle name="20% - Accent2 3" xfId="97" xr:uid="{00000000-0005-0000-0000-000007000000}"/>
    <cellStyle name="20% - Accent2 3 2" xfId="123" xr:uid="{00000000-0005-0000-0000-000008000000}"/>
    <cellStyle name="20% - Accent2 4" xfId="110" xr:uid="{00000000-0005-0000-0000-000009000000}"/>
    <cellStyle name="20% - Accent3" xfId="28" builtinId="38" customBuiltin="1"/>
    <cellStyle name="20% - Accent3 2" xfId="46" xr:uid="{00000000-0005-0000-0000-00000B000000}"/>
    <cellStyle name="20% - Accent3 3" xfId="98" xr:uid="{00000000-0005-0000-0000-00000C000000}"/>
    <cellStyle name="20% - Accent3 3 2" xfId="124" xr:uid="{00000000-0005-0000-0000-00000D000000}"/>
    <cellStyle name="20% - Accent3 4" xfId="112" xr:uid="{00000000-0005-0000-0000-00000E000000}"/>
    <cellStyle name="20% - Accent4" xfId="32" builtinId="42" customBuiltin="1"/>
    <cellStyle name="20% - Accent4 2" xfId="47" xr:uid="{00000000-0005-0000-0000-000010000000}"/>
    <cellStyle name="20% - Accent4 3" xfId="99" xr:uid="{00000000-0005-0000-0000-000011000000}"/>
    <cellStyle name="20% - Accent4 3 2" xfId="125" xr:uid="{00000000-0005-0000-0000-000012000000}"/>
    <cellStyle name="20% - Accent4 4" xfId="114" xr:uid="{00000000-0005-0000-0000-000013000000}"/>
    <cellStyle name="20% - Accent5" xfId="36" builtinId="46" customBuiltin="1"/>
    <cellStyle name="20% - Accent5 2" xfId="48" xr:uid="{00000000-0005-0000-0000-000015000000}"/>
    <cellStyle name="20% - Accent5 3" xfId="100" xr:uid="{00000000-0005-0000-0000-000016000000}"/>
    <cellStyle name="20% - Accent5 3 2" xfId="126" xr:uid="{00000000-0005-0000-0000-000017000000}"/>
    <cellStyle name="20% - Accent5 4" xfId="116" xr:uid="{00000000-0005-0000-0000-000018000000}"/>
    <cellStyle name="20% - Accent6" xfId="40" builtinId="50" customBuiltin="1"/>
    <cellStyle name="20% - Accent6 2" xfId="49" xr:uid="{00000000-0005-0000-0000-00001A000000}"/>
    <cellStyle name="20% - Accent6 3" xfId="101" xr:uid="{00000000-0005-0000-0000-00001B000000}"/>
    <cellStyle name="20% - Accent6 3 2" xfId="127" xr:uid="{00000000-0005-0000-0000-00001C000000}"/>
    <cellStyle name="20% - Accent6 4" xfId="118" xr:uid="{00000000-0005-0000-0000-00001D000000}"/>
    <cellStyle name="40% - Accent1" xfId="21" builtinId="31" customBuiltin="1"/>
    <cellStyle name="40% - Accent1 2" xfId="50" xr:uid="{00000000-0005-0000-0000-00001F000000}"/>
    <cellStyle name="40% - Accent1 3" xfId="102" xr:uid="{00000000-0005-0000-0000-000020000000}"/>
    <cellStyle name="40% - Accent1 3 2" xfId="128" xr:uid="{00000000-0005-0000-0000-000021000000}"/>
    <cellStyle name="40% - Accent1 4" xfId="109" xr:uid="{00000000-0005-0000-0000-000022000000}"/>
    <cellStyle name="40% - Accent2" xfId="25" builtinId="35" customBuiltin="1"/>
    <cellStyle name="40% - Accent2 2" xfId="51" xr:uid="{00000000-0005-0000-0000-000024000000}"/>
    <cellStyle name="40% - Accent2 3" xfId="103" xr:uid="{00000000-0005-0000-0000-000025000000}"/>
    <cellStyle name="40% - Accent2 3 2" xfId="129" xr:uid="{00000000-0005-0000-0000-000026000000}"/>
    <cellStyle name="40% - Accent2 4" xfId="111" xr:uid="{00000000-0005-0000-0000-000027000000}"/>
    <cellStyle name="40% - Accent3" xfId="29" builtinId="39" customBuiltin="1"/>
    <cellStyle name="40% - Accent3 2" xfId="52" xr:uid="{00000000-0005-0000-0000-000029000000}"/>
    <cellStyle name="40% - Accent3 3" xfId="104" xr:uid="{00000000-0005-0000-0000-00002A000000}"/>
    <cellStyle name="40% - Accent3 3 2" xfId="130" xr:uid="{00000000-0005-0000-0000-00002B000000}"/>
    <cellStyle name="40% - Accent3 4" xfId="113" xr:uid="{00000000-0005-0000-0000-00002C000000}"/>
    <cellStyle name="40% - Accent4" xfId="33" builtinId="43" customBuiltin="1"/>
    <cellStyle name="40% - Accent4 2" xfId="53" xr:uid="{00000000-0005-0000-0000-00002E000000}"/>
    <cellStyle name="40% - Accent4 3" xfId="105" xr:uid="{00000000-0005-0000-0000-00002F000000}"/>
    <cellStyle name="40% - Accent4 3 2" xfId="131" xr:uid="{00000000-0005-0000-0000-000030000000}"/>
    <cellStyle name="40% - Accent4 4" xfId="115" xr:uid="{00000000-0005-0000-0000-000031000000}"/>
    <cellStyle name="40% - Accent5" xfId="37" builtinId="47" customBuiltin="1"/>
    <cellStyle name="40% - Accent5 2" xfId="54" xr:uid="{00000000-0005-0000-0000-000033000000}"/>
    <cellStyle name="40% - Accent5 3" xfId="106" xr:uid="{00000000-0005-0000-0000-000034000000}"/>
    <cellStyle name="40% - Accent5 3 2" xfId="132" xr:uid="{00000000-0005-0000-0000-000035000000}"/>
    <cellStyle name="40% - Accent5 4" xfId="117" xr:uid="{00000000-0005-0000-0000-000036000000}"/>
    <cellStyle name="40% - Accent6" xfId="41" builtinId="51" customBuiltin="1"/>
    <cellStyle name="40% - Accent6 2" xfId="55" xr:uid="{00000000-0005-0000-0000-000038000000}"/>
    <cellStyle name="40% - Accent6 3" xfId="107" xr:uid="{00000000-0005-0000-0000-000039000000}"/>
    <cellStyle name="40% - Accent6 3 2" xfId="133" xr:uid="{00000000-0005-0000-0000-00003A000000}"/>
    <cellStyle name="40% - Accent6 4" xfId="119" xr:uid="{00000000-0005-0000-0000-00003B000000}"/>
    <cellStyle name="60% - Accent1" xfId="22" builtinId="32" customBuiltin="1"/>
    <cellStyle name="60% - Accent1 2" xfId="56" xr:uid="{00000000-0005-0000-0000-00003D000000}"/>
    <cellStyle name="60% - Accent2" xfId="26" builtinId="36" customBuiltin="1"/>
    <cellStyle name="60% - Accent2 2" xfId="57" xr:uid="{00000000-0005-0000-0000-00003F000000}"/>
    <cellStyle name="60% - Accent3" xfId="30" builtinId="40" customBuiltin="1"/>
    <cellStyle name="60% - Accent3 2" xfId="58" xr:uid="{00000000-0005-0000-0000-000041000000}"/>
    <cellStyle name="60% - Accent4" xfId="34" builtinId="44" customBuiltin="1"/>
    <cellStyle name="60% - Accent4 2" xfId="59" xr:uid="{00000000-0005-0000-0000-000043000000}"/>
    <cellStyle name="60% - Accent5" xfId="38" builtinId="48" customBuiltin="1"/>
    <cellStyle name="60% - Accent5 2" xfId="60" xr:uid="{00000000-0005-0000-0000-000045000000}"/>
    <cellStyle name="60% - Accent6" xfId="42" builtinId="52" customBuiltin="1"/>
    <cellStyle name="60% - Accent6 2" xfId="61" xr:uid="{00000000-0005-0000-0000-000047000000}"/>
    <cellStyle name="Accent1" xfId="19" builtinId="29" customBuiltin="1"/>
    <cellStyle name="Accent1 2" xfId="62" xr:uid="{00000000-0005-0000-0000-000049000000}"/>
    <cellStyle name="Accent2" xfId="23" builtinId="33" customBuiltin="1"/>
    <cellStyle name="Accent2 2" xfId="63" xr:uid="{00000000-0005-0000-0000-00004B000000}"/>
    <cellStyle name="Accent3" xfId="27" builtinId="37" customBuiltin="1"/>
    <cellStyle name="Accent3 2" xfId="64" xr:uid="{00000000-0005-0000-0000-00004D000000}"/>
    <cellStyle name="Accent4" xfId="31" builtinId="41" customBuiltin="1"/>
    <cellStyle name="Accent4 2" xfId="65" xr:uid="{00000000-0005-0000-0000-00004F000000}"/>
    <cellStyle name="Accent5" xfId="35" builtinId="45" customBuiltin="1"/>
    <cellStyle name="Accent5 2" xfId="66" xr:uid="{00000000-0005-0000-0000-000051000000}"/>
    <cellStyle name="Accent6" xfId="39" builtinId="49" customBuiltin="1"/>
    <cellStyle name="Accent6 2" xfId="67" xr:uid="{00000000-0005-0000-0000-000053000000}"/>
    <cellStyle name="Bad" xfId="9" builtinId="27" customBuiltin="1"/>
    <cellStyle name="Bad 2" xfId="68" xr:uid="{00000000-0005-0000-0000-000055000000}"/>
    <cellStyle name="Calculation" xfId="13" builtinId="22" customBuiltin="1"/>
    <cellStyle name="Calculation 2" xfId="69" xr:uid="{00000000-0005-0000-0000-000057000000}"/>
    <cellStyle name="Check Cell" xfId="15" builtinId="23" customBuiltin="1"/>
    <cellStyle name="Check Cell 2" xfId="70" xr:uid="{00000000-0005-0000-0000-000059000000}"/>
    <cellStyle name="Comma" xfId="2" builtinId="3"/>
    <cellStyle name="Explanatory Text" xfId="17" builtinId="53" customBuiltin="1"/>
    <cellStyle name="Explanatory Text 2" xfId="71" xr:uid="{00000000-0005-0000-0000-00005C000000}"/>
    <cellStyle name="Good" xfId="8" builtinId="26" customBuiltin="1"/>
    <cellStyle name="Good 2" xfId="72" xr:uid="{00000000-0005-0000-0000-00005E000000}"/>
    <cellStyle name="Heading 1" xfId="4" builtinId="16" customBuiltin="1"/>
    <cellStyle name="Heading 1 2" xfId="73" xr:uid="{00000000-0005-0000-0000-000060000000}"/>
    <cellStyle name="Heading 2" xfId="5" builtinId="17" customBuiltin="1"/>
    <cellStyle name="Heading 2 2" xfId="74" xr:uid="{00000000-0005-0000-0000-000062000000}"/>
    <cellStyle name="Heading 3" xfId="6" builtinId="18" customBuiltin="1"/>
    <cellStyle name="Heading 3 2" xfId="75" xr:uid="{00000000-0005-0000-0000-000064000000}"/>
    <cellStyle name="Heading 4" xfId="7" builtinId="19" customBuiltin="1"/>
    <cellStyle name="Heading 4 2" xfId="76" xr:uid="{00000000-0005-0000-0000-000066000000}"/>
    <cellStyle name="Hyperlink 2" xfId="77" xr:uid="{00000000-0005-0000-0000-000067000000}"/>
    <cellStyle name="Input" xfId="11" builtinId="20" customBuiltin="1"/>
    <cellStyle name="Input 2" xfId="78" xr:uid="{00000000-0005-0000-0000-000069000000}"/>
    <cellStyle name="Linked Cell" xfId="14" builtinId="24" customBuiltin="1"/>
    <cellStyle name="Linked Cell 2" xfId="79" xr:uid="{00000000-0005-0000-0000-00006B000000}"/>
    <cellStyle name="Neutral" xfId="10" builtinId="28" customBuiltin="1"/>
    <cellStyle name="Neutral 2" xfId="80" xr:uid="{00000000-0005-0000-0000-00006D000000}"/>
    <cellStyle name="Normal" xfId="0" builtinId="0"/>
    <cellStyle name="Normal 2" xfId="81" xr:uid="{00000000-0005-0000-0000-00006F000000}"/>
    <cellStyle name="Normal 2 2" xfId="90" xr:uid="{00000000-0005-0000-0000-000070000000}"/>
    <cellStyle name="Normal 2 2 2" xfId="91" xr:uid="{00000000-0005-0000-0000-000071000000}"/>
    <cellStyle name="Normal 3" xfId="82" xr:uid="{00000000-0005-0000-0000-000072000000}"/>
    <cellStyle name="Normal 3 2" xfId="92" xr:uid="{00000000-0005-0000-0000-000073000000}"/>
    <cellStyle name="Normal 3 2 2" xfId="93" xr:uid="{00000000-0005-0000-0000-000074000000}"/>
    <cellStyle name="Normal 3 3" xfId="94" xr:uid="{00000000-0005-0000-0000-000075000000}"/>
    <cellStyle name="Normal 4" xfId="43" xr:uid="{00000000-0005-0000-0000-000076000000}"/>
    <cellStyle name="Normal 4 2" xfId="120" xr:uid="{00000000-0005-0000-0000-000077000000}"/>
    <cellStyle name="Normal 5" xfId="95" xr:uid="{00000000-0005-0000-0000-000078000000}"/>
    <cellStyle name="Normal 5 2" xfId="121" xr:uid="{00000000-0005-0000-0000-000079000000}"/>
    <cellStyle name="Note 2" xfId="84" xr:uid="{00000000-0005-0000-0000-00007A000000}"/>
    <cellStyle name="Note 3" xfId="85" xr:uid="{00000000-0005-0000-0000-00007B000000}"/>
    <cellStyle name="Note 4" xfId="83" xr:uid="{00000000-0005-0000-0000-00007C000000}"/>
    <cellStyle name="Output" xfId="12" builtinId="21" customBuiltin="1"/>
    <cellStyle name="Output 2" xfId="86" xr:uid="{00000000-0005-0000-0000-00007E000000}"/>
    <cellStyle name="Percent" xfId="1" builtinId="5"/>
    <cellStyle name="Title" xfId="3" builtinId="15" customBuiltin="1"/>
    <cellStyle name="Title 2" xfId="87" xr:uid="{00000000-0005-0000-0000-000081000000}"/>
    <cellStyle name="Total" xfId="18" builtinId="25" customBuiltin="1"/>
    <cellStyle name="Total 2" xfId="88" xr:uid="{00000000-0005-0000-0000-000083000000}"/>
    <cellStyle name="Warning Text" xfId="16" builtinId="11" customBuiltin="1"/>
    <cellStyle name="Warning Text 2" xfId="89" xr:uid="{00000000-0005-0000-0000-000085000000}"/>
  </cellStyles>
  <dxfs count="43">
    <dxf>
      <font>
        <color theme="0"/>
      </font>
      <border>
        <left style="thin">
          <color theme="0"/>
        </left>
        <right style="thin">
          <color theme="0"/>
        </right>
        <top style="thin">
          <color theme="0"/>
        </top>
        <bottom style="thin">
          <color theme="0"/>
        </bottom>
        <vertical/>
        <horizontal/>
      </border>
    </dxf>
    <dxf>
      <font>
        <color theme="0"/>
      </font>
      <border>
        <left style="thin">
          <color theme="0"/>
        </left>
        <right style="thin">
          <color theme="0"/>
        </right>
        <top style="thin">
          <color theme="0"/>
        </top>
        <bottom style="thin">
          <color theme="0"/>
        </bottom>
        <vertical/>
        <horizontal/>
      </border>
    </dxf>
    <dxf>
      <font>
        <color theme="1" tint="0.24994659260841701"/>
      </font>
      <fill>
        <patternFill>
          <bgColor theme="0" tint="-4.9989318521683403E-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0"/>
      </font>
      <border>
        <left/>
        <right/>
        <top/>
        <bottom/>
        <vertical/>
        <horizontal/>
      </border>
    </dxf>
    <dxf>
      <font>
        <color theme="1"/>
      </font>
    </dxf>
    <dxf>
      <font>
        <color theme="1"/>
      </font>
      <fill>
        <patternFill patternType="none">
          <bgColor auto="1"/>
        </patternFill>
      </fill>
      <border>
        <left style="thin">
          <color auto="1"/>
        </left>
        <right style="thin">
          <color auto="1"/>
        </right>
        <top style="thin">
          <color auto="1"/>
        </top>
        <bottom style="thin">
          <color auto="1"/>
        </bottom>
        <vertical/>
        <horizontal/>
      </border>
    </dxf>
    <dxf>
      <font>
        <color theme="1"/>
      </font>
    </dxf>
    <dxf>
      <fill>
        <patternFill>
          <bgColor theme="0" tint="-0.34998626667073579"/>
        </patternFill>
      </fill>
    </dxf>
    <dxf>
      <fill>
        <patternFill>
          <bgColor theme="0" tint="-0.34998626667073579"/>
        </patternFill>
      </fill>
    </dxf>
    <dxf>
      <font>
        <color theme="1" tint="0.24994659260841701"/>
      </font>
      <fill>
        <patternFill>
          <bgColor theme="0" tint="-4.9989318521683403E-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1"/>
      </font>
      <border>
        <left style="thin">
          <color auto="1"/>
        </left>
        <right style="thin">
          <color auto="1"/>
        </right>
        <top style="thin">
          <color auto="1"/>
        </top>
        <bottom style="thin">
          <color auto="1"/>
        </bottom>
        <vertical/>
        <horizontal/>
      </border>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1" tint="0.24994659260841701"/>
      </font>
      <fill>
        <patternFill>
          <bgColor theme="0" tint="-4.9989318521683403E-2"/>
        </patternFill>
      </fill>
    </dxf>
    <dxf>
      <font>
        <color theme="0"/>
      </font>
      <fill>
        <patternFill>
          <bgColor theme="3"/>
        </patternFill>
      </fill>
    </dxf>
    <dxf>
      <font>
        <color theme="1" tint="0.24994659260841701"/>
      </font>
      <fill>
        <patternFill>
          <bgColor theme="0" tint="-4.9989318521683403E-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ill>
        <patternFill>
          <bgColor theme="0" tint="-4.9989318521683403E-2"/>
        </patternFill>
      </fill>
    </dxf>
    <dxf>
      <border>
        <left style="thin">
          <color theme="1" tint="0.14996795556505021"/>
        </left>
        <right style="thin">
          <color theme="1" tint="0.14996795556505021"/>
        </right>
        <top style="thin">
          <color theme="1" tint="0.14996795556505021"/>
        </top>
        <bottom style="thin">
          <color theme="1" tint="0.14996795556505021"/>
        </bottom>
        <vertical/>
        <horizontal/>
      </border>
    </dxf>
    <dxf>
      <fill>
        <patternFill>
          <bgColor theme="0" tint="-4.9989318521683403E-2"/>
        </patternFill>
      </fill>
    </dxf>
    <dxf>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rgb="FFFF0000"/>
      </font>
      <fill>
        <patternFill>
          <bgColor theme="5" tint="0.79998168889431442"/>
        </patternFill>
      </fill>
    </dxf>
    <dxf>
      <font>
        <color rgb="FFFF0000"/>
      </font>
      <fill>
        <patternFill>
          <bgColor theme="5" tint="0.79998168889431442"/>
        </patternFill>
      </fill>
    </dxf>
    <dxf>
      <font>
        <color rgb="FFFF0000"/>
      </font>
      <fill>
        <patternFill>
          <bgColor theme="5" tint="0.79998168889431442"/>
        </patternFill>
      </fill>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numFmt numFmtId="19" formatCode="dd/mm/yyyy"/>
    </dxf>
    <dxf>
      <numFmt numFmtId="1" formatCode="0"/>
    </dxf>
    <dxf>
      <border>
        <left style="thin">
          <color theme="1" tint="0.24994659260841701"/>
        </left>
        <right style="thin">
          <color theme="1" tint="0.24994659260841701"/>
        </right>
        <top style="thin">
          <color theme="1" tint="0.24994659260841701"/>
        </top>
        <bottom style="thin">
          <color theme="1" tint="0.24994659260841701"/>
        </bottom>
        <vertical/>
        <horizontal/>
      </border>
    </dxf>
    <dxf>
      <fill>
        <patternFill>
          <bgColor theme="5" tint="0.59996337778862885"/>
        </patternFill>
      </fill>
    </dxf>
    <dxf>
      <font>
        <color theme="0"/>
      </font>
      <fill>
        <patternFill patternType="solid">
          <bgColor theme="0"/>
        </patternFill>
      </fill>
      <border>
        <left/>
        <right/>
        <top/>
        <bottom/>
        <vertical/>
        <horizontal/>
      </border>
    </dxf>
    <dxf>
      <font>
        <color rgb="FFFF0000"/>
      </font>
    </dxf>
    <dxf>
      <fill>
        <patternFill>
          <bgColor theme="0"/>
        </patternFill>
      </fill>
      <border>
        <left style="thin">
          <color rgb="FF768692"/>
        </left>
        <right style="thin">
          <color rgb="FF768692"/>
        </right>
        <top style="thin">
          <color rgb="FF768692"/>
        </top>
        <bottom style="thin">
          <color rgb="FF768692"/>
        </bottom>
        <vertical/>
        <horizontal/>
      </border>
    </dxf>
    <dxf>
      <border>
        <left style="thin">
          <color rgb="FF425563"/>
        </left>
        <right style="thin">
          <color rgb="FF425563"/>
        </right>
        <top style="thin">
          <color rgb="FF425563"/>
        </top>
        <bottom style="thin">
          <color rgb="FF425563"/>
        </bottom>
        <vertical/>
        <horizontal/>
      </border>
    </dxf>
    <dxf>
      <fill>
        <patternFill>
          <fgColor rgb="FFE8EDEE"/>
          <bgColor theme="4" tint="0.79998168889431442"/>
        </patternFill>
      </fill>
      <border>
        <left style="thin">
          <color rgb="FF768692"/>
        </left>
        <right style="thin">
          <color rgb="FF768692"/>
        </right>
        <top style="thin">
          <color rgb="FF768692"/>
        </top>
        <bottom style="thin">
          <color rgb="FF768692"/>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s>
  <tableStyles count="0" defaultTableStyle="TableStyleMedium2" defaultPivotStyle="PivotStyleLight16"/>
  <colors>
    <mruColors>
      <color rgb="FFFF00FF"/>
      <color rgb="FFF79646"/>
      <color rgb="FF8064A2"/>
      <color rgb="FF9BBB59"/>
      <color rgb="FFC0504D"/>
      <color rgb="FF768692"/>
      <color rgb="FFE8EDEE"/>
      <color rgb="FFCCCCFF"/>
      <color rgb="FF0072CE"/>
      <color rgb="FFCCE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9.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Demand:</a:t>
            </a:r>
            <a:r>
              <a:rPr lang="en-GB" baseline="0"/>
              <a:t> Adjusted for elective care pause (+ 12 weeks on from transition)</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v>Backlog (WL and unknowns)</c:v>
          </c:tx>
          <c:spPr>
            <a:ln w="12700" cap="rnd">
              <a:solidFill>
                <a:schemeClr val="accent3"/>
              </a:solidFill>
              <a:round/>
            </a:ln>
            <a:effectLst/>
          </c:spPr>
          <c:marker>
            <c:symbol val="none"/>
          </c:marker>
          <c:val>
            <c:numRef>
              <c:f>[0]!D_Adj_Backlog</c:f>
              <c:numCache>
                <c:formatCode>#,##0</c:formatCode>
                <c:ptCount val="20"/>
                <c:pt idx="0">
                  <c:v>13</c:v>
                </c:pt>
                <c:pt idx="1">
                  <c:v>13</c:v>
                </c:pt>
                <c:pt idx="2">
                  <c:v>13</c:v>
                </c:pt>
                <c:pt idx="3">
                  <c:v>13</c:v>
                </c:pt>
                <c:pt idx="4">
                  <c:v>13</c:v>
                </c:pt>
                <c:pt idx="5">
                  <c:v>57</c:v>
                </c:pt>
                <c:pt idx="6">
                  <c:v>101</c:v>
                </c:pt>
                <c:pt idx="7">
                  <c:v>145</c:v>
                </c:pt>
                <c:pt idx="8">
                  <c:v>206.20000000000002</c:v>
                </c:pt>
                <c:pt idx="9">
                  <c:v>204</c:v>
                </c:pt>
                <c:pt idx="10">
                  <c:v>207.20000000000002</c:v>
                </c:pt>
                <c:pt idx="11">
                  <c:v>161.80000000000001</c:v>
                </c:pt>
                <c:pt idx="12">
                  <c:v>142</c:v>
                </c:pt>
                <c:pt idx="13">
                  <c:v>149.60000000000002</c:v>
                </c:pt>
                <c:pt idx="14">
                  <c:v>151.80000000000001</c:v>
                </c:pt>
                <c:pt idx="15">
                  <c:v>138.60000000000002</c:v>
                </c:pt>
                <c:pt idx="16">
                  <c:v>167.20000000000002</c:v>
                </c:pt>
                <c:pt idx="17">
                  <c:v>140.80000000000001</c:v>
                </c:pt>
                <c:pt idx="18">
                  <c:v>167.20000000000002</c:v>
                </c:pt>
                <c:pt idx="19">
                  <c:v>151.80000000000001</c:v>
                </c:pt>
              </c:numCache>
            </c:numRef>
          </c:val>
          <c:smooth val="0"/>
          <c:extLst>
            <c:ext xmlns:c16="http://schemas.microsoft.com/office/drawing/2014/chart" uri="{C3380CC4-5D6E-409C-BE32-E72D297353CC}">
              <c16:uniqueId val="{00000001-B2AF-43D6-92EA-D72F9C017E7D}"/>
            </c:ext>
          </c:extLst>
        </c:ser>
        <c:ser>
          <c:idx val="0"/>
          <c:order val="1"/>
          <c:tx>
            <c:v>Demand (lower bound)</c:v>
          </c:tx>
          <c:spPr>
            <a:ln w="12700" cap="rnd">
              <a:solidFill>
                <a:schemeClr val="accent1"/>
              </a:solidFill>
              <a:round/>
            </a:ln>
            <a:effectLst/>
          </c:spPr>
          <c:marker>
            <c:symbol val="none"/>
          </c:marker>
          <c:cat>
            <c:numRef>
              <c:f>[0]!D_Adj_Xaxis</c:f>
              <c:numCache>
                <c:formatCode>m/d/yyyy</c:formatCode>
                <c:ptCount val="20"/>
                <c:pt idx="0">
                  <c:v>43934</c:v>
                </c:pt>
                <c:pt idx="1">
                  <c:v>43941</c:v>
                </c:pt>
                <c:pt idx="2">
                  <c:v>43948</c:v>
                </c:pt>
                <c:pt idx="3">
                  <c:v>43955</c:v>
                </c:pt>
                <c:pt idx="4">
                  <c:v>43962</c:v>
                </c:pt>
                <c:pt idx="5">
                  <c:v>43969</c:v>
                </c:pt>
                <c:pt idx="6">
                  <c:v>43976</c:v>
                </c:pt>
                <c:pt idx="7">
                  <c:v>43983</c:v>
                </c:pt>
                <c:pt idx="8">
                  <c:v>43990</c:v>
                </c:pt>
                <c:pt idx="9">
                  <c:v>43997</c:v>
                </c:pt>
                <c:pt idx="10">
                  <c:v>44004</c:v>
                </c:pt>
                <c:pt idx="11">
                  <c:v>44011</c:v>
                </c:pt>
                <c:pt idx="12">
                  <c:v>44018</c:v>
                </c:pt>
                <c:pt idx="13">
                  <c:v>44025</c:v>
                </c:pt>
                <c:pt idx="14">
                  <c:v>44032</c:v>
                </c:pt>
                <c:pt idx="15">
                  <c:v>44039</c:v>
                </c:pt>
                <c:pt idx="16">
                  <c:v>44046</c:v>
                </c:pt>
                <c:pt idx="17">
                  <c:v>44053</c:v>
                </c:pt>
                <c:pt idx="18">
                  <c:v>44060</c:v>
                </c:pt>
                <c:pt idx="19">
                  <c:v>44067</c:v>
                </c:pt>
              </c:numCache>
            </c:numRef>
          </c:cat>
          <c:val>
            <c:numRef>
              <c:f>[0]!D_Adj_Lower</c:f>
              <c:numCache>
                <c:formatCode>#,##0</c:formatCode>
                <c:ptCount val="20"/>
                <c:pt idx="0">
                  <c:v>10</c:v>
                </c:pt>
                <c:pt idx="1">
                  <c:v>10</c:v>
                </c:pt>
                <c:pt idx="2">
                  <c:v>10</c:v>
                </c:pt>
                <c:pt idx="3">
                  <c:v>10</c:v>
                </c:pt>
                <c:pt idx="4">
                  <c:v>10</c:v>
                </c:pt>
                <c:pt idx="5">
                  <c:v>54</c:v>
                </c:pt>
                <c:pt idx="6">
                  <c:v>98</c:v>
                </c:pt>
                <c:pt idx="7">
                  <c:v>142</c:v>
                </c:pt>
                <c:pt idx="8">
                  <c:v>142</c:v>
                </c:pt>
                <c:pt idx="9">
                  <c:v>140</c:v>
                </c:pt>
                <c:pt idx="10">
                  <c:v>152</c:v>
                </c:pt>
                <c:pt idx="11">
                  <c:v>138</c:v>
                </c:pt>
                <c:pt idx="12">
                  <c:v>120</c:v>
                </c:pt>
                <c:pt idx="13">
                  <c:v>136</c:v>
                </c:pt>
                <c:pt idx="14">
                  <c:v>138</c:v>
                </c:pt>
                <c:pt idx="15">
                  <c:v>126</c:v>
                </c:pt>
                <c:pt idx="16">
                  <c:v>152</c:v>
                </c:pt>
                <c:pt idx="17">
                  <c:v>128</c:v>
                </c:pt>
                <c:pt idx="18">
                  <c:v>152</c:v>
                </c:pt>
                <c:pt idx="19">
                  <c:v>138</c:v>
                </c:pt>
              </c:numCache>
            </c:numRef>
          </c:val>
          <c:smooth val="0"/>
          <c:extLst>
            <c:ext xmlns:c16="http://schemas.microsoft.com/office/drawing/2014/chart" uri="{C3380CC4-5D6E-409C-BE32-E72D297353CC}">
              <c16:uniqueId val="{00000001-5321-4262-B07C-F412A7EC93CC}"/>
            </c:ext>
          </c:extLst>
        </c:ser>
        <c:ser>
          <c:idx val="1"/>
          <c:order val="2"/>
          <c:tx>
            <c:v>Demand (upper bound)</c:v>
          </c:tx>
          <c:spPr>
            <a:ln w="15875" cap="rnd">
              <a:solidFill>
                <a:schemeClr val="accent2"/>
              </a:solidFill>
              <a:round/>
            </a:ln>
            <a:effectLst/>
          </c:spPr>
          <c:marker>
            <c:symbol val="none"/>
          </c:marker>
          <c:cat>
            <c:numRef>
              <c:f>[0]!D_Adj_Xaxis</c:f>
              <c:numCache>
                <c:formatCode>m/d/yyyy</c:formatCode>
                <c:ptCount val="20"/>
                <c:pt idx="0">
                  <c:v>43934</c:v>
                </c:pt>
                <c:pt idx="1">
                  <c:v>43941</c:v>
                </c:pt>
                <c:pt idx="2">
                  <c:v>43948</c:v>
                </c:pt>
                <c:pt idx="3">
                  <c:v>43955</c:v>
                </c:pt>
                <c:pt idx="4">
                  <c:v>43962</c:v>
                </c:pt>
                <c:pt idx="5">
                  <c:v>43969</c:v>
                </c:pt>
                <c:pt idx="6">
                  <c:v>43976</c:v>
                </c:pt>
                <c:pt idx="7">
                  <c:v>43983</c:v>
                </c:pt>
                <c:pt idx="8">
                  <c:v>43990</c:v>
                </c:pt>
                <c:pt idx="9">
                  <c:v>43997</c:v>
                </c:pt>
                <c:pt idx="10">
                  <c:v>44004</c:v>
                </c:pt>
                <c:pt idx="11">
                  <c:v>44011</c:v>
                </c:pt>
                <c:pt idx="12">
                  <c:v>44018</c:v>
                </c:pt>
                <c:pt idx="13">
                  <c:v>44025</c:v>
                </c:pt>
                <c:pt idx="14">
                  <c:v>44032</c:v>
                </c:pt>
                <c:pt idx="15">
                  <c:v>44039</c:v>
                </c:pt>
                <c:pt idx="16">
                  <c:v>44046</c:v>
                </c:pt>
                <c:pt idx="17">
                  <c:v>44053</c:v>
                </c:pt>
                <c:pt idx="18">
                  <c:v>44060</c:v>
                </c:pt>
                <c:pt idx="19">
                  <c:v>44067</c:v>
                </c:pt>
              </c:numCache>
            </c:numRef>
          </c:cat>
          <c:val>
            <c:numRef>
              <c:f>[0]!D_Adj_Upper</c:f>
              <c:numCache>
                <c:formatCode>#,##0</c:formatCode>
                <c:ptCount val="20"/>
                <c:pt idx="0">
                  <c:v>13</c:v>
                </c:pt>
                <c:pt idx="1">
                  <c:v>13</c:v>
                </c:pt>
                <c:pt idx="2">
                  <c:v>13</c:v>
                </c:pt>
                <c:pt idx="3">
                  <c:v>13</c:v>
                </c:pt>
                <c:pt idx="4">
                  <c:v>13</c:v>
                </c:pt>
                <c:pt idx="5">
                  <c:v>57</c:v>
                </c:pt>
                <c:pt idx="6">
                  <c:v>101</c:v>
                </c:pt>
                <c:pt idx="7">
                  <c:v>145</c:v>
                </c:pt>
                <c:pt idx="8">
                  <c:v>156.20000000000002</c:v>
                </c:pt>
                <c:pt idx="9">
                  <c:v>154</c:v>
                </c:pt>
                <c:pt idx="10">
                  <c:v>167.20000000000002</c:v>
                </c:pt>
                <c:pt idx="11">
                  <c:v>151.80000000000001</c:v>
                </c:pt>
                <c:pt idx="12">
                  <c:v>132</c:v>
                </c:pt>
                <c:pt idx="13">
                  <c:v>149.60000000000002</c:v>
                </c:pt>
                <c:pt idx="14">
                  <c:v>151.80000000000001</c:v>
                </c:pt>
                <c:pt idx="15">
                  <c:v>138.60000000000002</c:v>
                </c:pt>
                <c:pt idx="16">
                  <c:v>167.20000000000002</c:v>
                </c:pt>
                <c:pt idx="17">
                  <c:v>140.80000000000001</c:v>
                </c:pt>
                <c:pt idx="18">
                  <c:v>167.20000000000002</c:v>
                </c:pt>
                <c:pt idx="19">
                  <c:v>151.80000000000001</c:v>
                </c:pt>
              </c:numCache>
            </c:numRef>
          </c:val>
          <c:smooth val="0"/>
          <c:extLst>
            <c:ext xmlns:c16="http://schemas.microsoft.com/office/drawing/2014/chart" uri="{C3380CC4-5D6E-409C-BE32-E72D297353CC}">
              <c16:uniqueId val="{00000002-5321-4262-B07C-F412A7EC93CC}"/>
            </c:ext>
          </c:extLst>
        </c:ser>
        <c:ser>
          <c:idx val="3"/>
          <c:order val="3"/>
          <c:tx>
            <c:v>Demand ("Missing")</c:v>
          </c:tx>
          <c:spPr>
            <a:ln w="15875" cap="rnd">
              <a:solidFill>
                <a:schemeClr val="accent4"/>
              </a:solidFill>
              <a:prstDash val="sysDash"/>
              <a:round/>
            </a:ln>
            <a:effectLst/>
          </c:spPr>
          <c:marker>
            <c:symbol val="none"/>
          </c:marker>
          <c:val>
            <c:numRef>
              <c:f>[0]!D_Adj_Missing</c:f>
              <c:numCache>
                <c:formatCode>#,##0</c:formatCode>
                <c:ptCount val="8"/>
                <c:pt idx="0">
                  <c:v>122</c:v>
                </c:pt>
                <c:pt idx="1">
                  <c:v>124</c:v>
                </c:pt>
                <c:pt idx="2">
                  <c:v>138</c:v>
                </c:pt>
                <c:pt idx="3">
                  <c:v>142</c:v>
                </c:pt>
                <c:pt idx="4">
                  <c:v>160</c:v>
                </c:pt>
                <c:pt idx="5">
                  <c:v>156</c:v>
                </c:pt>
                <c:pt idx="6">
                  <c:v>154</c:v>
                </c:pt>
                <c:pt idx="7">
                  <c:v>142</c:v>
                </c:pt>
              </c:numCache>
            </c:numRef>
          </c:val>
          <c:smooth val="0"/>
          <c:extLst>
            <c:ext xmlns:c16="http://schemas.microsoft.com/office/drawing/2014/chart" uri="{C3380CC4-5D6E-409C-BE32-E72D297353CC}">
              <c16:uniqueId val="{00000000-9D09-40F5-98E7-D29D0750E83C}"/>
            </c:ext>
          </c:extLst>
        </c:ser>
        <c:dLbls>
          <c:showLegendKey val="0"/>
          <c:showVal val="0"/>
          <c:showCatName val="0"/>
          <c:showSerName val="0"/>
          <c:showPercent val="0"/>
          <c:showBubbleSize val="0"/>
        </c:dLbls>
        <c:smooth val="0"/>
        <c:axId val="1213696832"/>
        <c:axId val="1213697160"/>
      </c:lineChart>
      <c:catAx>
        <c:axId val="1213696832"/>
        <c:scaling>
          <c:orientation val="minMax"/>
        </c:scaling>
        <c:delete val="0"/>
        <c:axPos val="b"/>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3697160"/>
        <c:crosses val="autoZero"/>
        <c:auto val="1"/>
        <c:lblAlgn val="ctr"/>
        <c:lblOffset val="100"/>
        <c:noMultiLvlLbl val="1"/>
      </c:catAx>
      <c:valAx>
        <c:axId val="121369716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369683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'SPC background (hide)'!$B$2</c:f>
          <c:strCache>
            <c:ptCount val="1"/>
            <c:pt idx="0">
              <c:v>Demand - SPC Chart (Points)</c:v>
            </c:pt>
          </c:strCache>
        </c:strRef>
      </c:tx>
      <c:overlay val="0"/>
      <c:txPr>
        <a:bodyPr/>
        <a:lstStyle/>
        <a:p>
          <a:pPr>
            <a:defRPr/>
          </a:pPr>
          <a:endParaRPr lang="en-US"/>
        </a:p>
      </c:txPr>
    </c:title>
    <c:autoTitleDeleted val="0"/>
    <c:plotArea>
      <c:layout>
        <c:manualLayout>
          <c:layoutTarget val="inner"/>
          <c:xMode val="edge"/>
          <c:yMode val="edge"/>
          <c:x val="5.071227212601398E-2"/>
          <c:y val="0.17399575410603801"/>
          <c:w val="0.93125095864718332"/>
          <c:h val="0.71717040472649085"/>
        </c:manualLayout>
      </c:layout>
      <c:barChart>
        <c:barDir val="col"/>
        <c:grouping val="clustered"/>
        <c:varyColors val="0"/>
        <c:ser>
          <c:idx val="1"/>
          <c:order val="2"/>
          <c:tx>
            <c:v>S1</c:v>
          </c:tx>
          <c:spPr>
            <a:solidFill>
              <a:schemeClr val="accent1">
                <a:alpha val="20000"/>
              </a:schemeClr>
            </a:solidFill>
          </c:spPr>
          <c:invertIfNegative val="0"/>
          <c:val>
            <c:numRef>
              <c:f>[0]!ChartRange_S1</c:f>
              <c:numCache>
                <c:formatCode>General</c:formatCode>
                <c:ptCount val="52"/>
                <c:pt idx="0">
                  <c:v>1</c:v>
                </c:pt>
                <c:pt idx="1">
                  <c:v>1</c:v>
                </c:pt>
                <c:pt idx="2">
                  <c:v>1</c:v>
                </c:pt>
                <c:pt idx="3">
                  <c:v>1</c:v>
                </c:pt>
                <c:pt idx="4">
                  <c:v>1</c:v>
                </c:pt>
                <c:pt idx="5">
                  <c:v>1</c:v>
                </c:pt>
                <c:pt idx="6">
                  <c:v>1</c:v>
                </c:pt>
                <c:pt idx="7">
                  <c:v>1</c:v>
                </c:pt>
                <c:pt idx="8">
                  <c:v>1</c:v>
                </c:pt>
                <c:pt idx="9">
                  <c:v>1</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0-64CF-4352-BC93-76825160D072}"/>
            </c:ext>
          </c:extLst>
        </c:ser>
        <c:ser>
          <c:idx val="2"/>
          <c:order val="3"/>
          <c:tx>
            <c:v>S2</c:v>
          </c:tx>
          <c:spPr>
            <a:solidFill>
              <a:schemeClr val="accent3">
                <a:alpha val="25000"/>
              </a:schemeClr>
            </a:solidFill>
          </c:spPr>
          <c:invertIfNegative val="0"/>
          <c:val>
            <c:numRef>
              <c:f>[0]!ChartRange_S2</c:f>
              <c:numCache>
                <c:formatCode>General</c:formatCode>
                <c:ptCount val="5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extLst>
            <c:ext xmlns:c16="http://schemas.microsoft.com/office/drawing/2014/chart" uri="{C3380CC4-5D6E-409C-BE32-E72D297353CC}">
              <c16:uniqueId val="{00000001-64CF-4352-BC93-76825160D072}"/>
            </c:ext>
          </c:extLst>
        </c:ser>
        <c:ser>
          <c:idx val="3"/>
          <c:order val="4"/>
          <c:tx>
            <c:v>S3</c:v>
          </c:tx>
          <c:spPr>
            <a:solidFill>
              <a:schemeClr val="accent4">
                <a:alpha val="25000"/>
              </a:schemeClr>
            </a:solidFill>
          </c:spPr>
          <c:invertIfNegative val="0"/>
          <c:val>
            <c:numRef>
              <c:f>[0]!ChartRange_S3</c:f>
              <c:numCache>
                <c:formatCode>General</c:formatCode>
                <c:ptCount val="5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extLst>
            <c:ext xmlns:c16="http://schemas.microsoft.com/office/drawing/2014/chart" uri="{C3380CC4-5D6E-409C-BE32-E72D297353CC}">
              <c16:uniqueId val="{00000002-64CF-4352-BC93-76825160D072}"/>
            </c:ext>
          </c:extLst>
        </c:ser>
        <c:ser>
          <c:idx val="4"/>
          <c:order val="5"/>
          <c:tx>
            <c:v>S4</c:v>
          </c:tx>
          <c:spPr>
            <a:solidFill>
              <a:schemeClr val="accent6">
                <a:alpha val="25000"/>
              </a:schemeClr>
            </a:solidFill>
          </c:spPr>
          <c:invertIfNegative val="0"/>
          <c:val>
            <c:numRef>
              <c:f>[0]!ChartRange_S4</c:f>
              <c:numCache>
                <c:formatCode>General</c:formatCode>
                <c:ptCount val="5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extLst>
            <c:ext xmlns:c16="http://schemas.microsoft.com/office/drawing/2014/chart" uri="{C3380CC4-5D6E-409C-BE32-E72D297353CC}">
              <c16:uniqueId val="{00000003-64CF-4352-BC93-76825160D072}"/>
            </c:ext>
          </c:extLst>
        </c:ser>
        <c:dLbls>
          <c:showLegendKey val="0"/>
          <c:showVal val="0"/>
          <c:showCatName val="0"/>
          <c:showSerName val="0"/>
          <c:showPercent val="0"/>
          <c:showBubbleSize val="0"/>
        </c:dLbls>
        <c:gapWidth val="0"/>
        <c:overlap val="100"/>
        <c:axId val="340799488"/>
        <c:axId val="340793600"/>
      </c:barChart>
      <c:lineChart>
        <c:grouping val="standard"/>
        <c:varyColors val="0"/>
        <c:ser>
          <c:idx val="0"/>
          <c:order val="0"/>
          <c:tx>
            <c:v>Elective demand</c:v>
          </c:tx>
          <c:spPr>
            <a:ln w="19050"/>
          </c:spPr>
          <c:marker>
            <c:symbol val="none"/>
          </c:marker>
          <c:cat>
            <c:multiLvlStrRef>
              <c:f>[0]!Range_DateAxis</c:f>
              <c:multiLvlStrCache>
                <c:ptCount val="52"/>
                <c:lvl>
                  <c:pt idx="0">
                    <c:v>Mar</c:v>
                  </c:pt>
                  <c:pt idx="5">
                    <c:v>Apr</c:v>
                  </c:pt>
                  <c:pt idx="9">
                    <c:v>May</c:v>
                  </c:pt>
                  <c:pt idx="13">
                    <c:v>Jun</c:v>
                  </c:pt>
                  <c:pt idx="18">
                    <c:v>Jul</c:v>
                  </c:pt>
                  <c:pt idx="22">
                    <c:v>Aug</c:v>
                  </c:pt>
                  <c:pt idx="27">
                    <c:v>Sep</c:v>
                  </c:pt>
                  <c:pt idx="31">
                    <c:v>Oct</c:v>
                  </c:pt>
                  <c:pt idx="35">
                    <c:v>Nov</c:v>
                  </c:pt>
                  <c:pt idx="40">
                    <c:v>Dec</c:v>
                  </c:pt>
                  <c:pt idx="44">
                    <c:v>Jan</c:v>
                  </c:pt>
                  <c:pt idx="48">
                    <c:v>Feb</c:v>
                  </c:pt>
                </c:lvl>
                <c:lvl>
                  <c:pt idx="0">
                    <c:v>2020</c:v>
                  </c:pt>
                  <c:pt idx="1">
                    <c:v> </c:v>
                  </c:pt>
                  <c:pt idx="2">
                    <c:v> </c:v>
                  </c:pt>
                  <c:pt idx="3">
                    <c:v> </c:v>
                  </c:pt>
                  <c:pt idx="4">
                    <c:v> </c:v>
                  </c:pt>
                  <c:pt idx="5">
                    <c:v> </c:v>
                  </c:pt>
                  <c:pt idx="6">
                    <c:v> </c:v>
                  </c:pt>
                  <c:pt idx="7">
                    <c:v> </c:v>
                  </c:pt>
                  <c:pt idx="8">
                    <c:v> </c:v>
                  </c:pt>
                  <c:pt idx="9">
                    <c:v> </c:v>
                  </c:pt>
                  <c:pt idx="10">
                    <c:v> </c:v>
                  </c:pt>
                  <c:pt idx="11">
                    <c:v> </c:v>
                  </c:pt>
                  <c:pt idx="12">
                    <c:v> </c:v>
                  </c:pt>
                  <c:pt idx="13">
                    <c:v> </c:v>
                  </c:pt>
                  <c:pt idx="14">
                    <c:v> </c:v>
                  </c:pt>
                  <c:pt idx="15">
                    <c:v> </c:v>
                  </c:pt>
                  <c:pt idx="16">
                    <c:v> </c:v>
                  </c:pt>
                  <c:pt idx="17">
                    <c:v> </c:v>
                  </c:pt>
                  <c:pt idx="18">
                    <c:v> </c:v>
                  </c:pt>
                  <c:pt idx="19">
                    <c:v> </c:v>
                  </c:pt>
                  <c:pt idx="20">
                    <c:v> </c:v>
                  </c:pt>
                  <c:pt idx="21">
                    <c:v> </c:v>
                  </c:pt>
                  <c:pt idx="22">
                    <c:v> </c:v>
                  </c:pt>
                  <c:pt idx="23">
                    <c:v> </c:v>
                  </c:pt>
                  <c:pt idx="24">
                    <c:v> </c:v>
                  </c:pt>
                  <c:pt idx="25">
                    <c:v> </c:v>
                  </c:pt>
                  <c:pt idx="26">
                    <c:v> </c:v>
                  </c:pt>
                  <c:pt idx="27">
                    <c:v> </c:v>
                  </c:pt>
                  <c:pt idx="28">
                    <c:v> </c:v>
                  </c:pt>
                  <c:pt idx="29">
                    <c:v> </c:v>
                  </c:pt>
                  <c:pt idx="30">
                    <c:v> </c:v>
                  </c:pt>
                  <c:pt idx="31">
                    <c:v> </c:v>
                  </c:pt>
                  <c:pt idx="32">
                    <c:v> </c:v>
                  </c:pt>
                  <c:pt idx="33">
                    <c:v> </c:v>
                  </c:pt>
                  <c:pt idx="34">
                    <c:v> </c:v>
                  </c:pt>
                  <c:pt idx="35">
                    <c:v> </c:v>
                  </c:pt>
                  <c:pt idx="36">
                    <c:v> </c:v>
                  </c:pt>
                  <c:pt idx="37">
                    <c:v> </c:v>
                  </c:pt>
                  <c:pt idx="38">
                    <c:v> </c:v>
                  </c:pt>
                  <c:pt idx="39">
                    <c:v> </c:v>
                  </c:pt>
                  <c:pt idx="40">
                    <c:v> </c:v>
                  </c:pt>
                  <c:pt idx="41">
                    <c:v> </c:v>
                  </c:pt>
                  <c:pt idx="42">
                    <c:v> </c:v>
                  </c:pt>
                  <c:pt idx="43">
                    <c:v> </c:v>
                  </c:pt>
                  <c:pt idx="44">
                    <c:v>2021</c:v>
                  </c:pt>
                  <c:pt idx="45">
                    <c:v> </c:v>
                  </c:pt>
                  <c:pt idx="46">
                    <c:v> </c:v>
                  </c:pt>
                  <c:pt idx="47">
                    <c:v> </c:v>
                  </c:pt>
                  <c:pt idx="48">
                    <c:v> </c:v>
                  </c:pt>
                  <c:pt idx="49">
                    <c:v> </c:v>
                  </c:pt>
                  <c:pt idx="50">
                    <c:v> </c:v>
                  </c:pt>
                  <c:pt idx="51">
                    <c:v> </c:v>
                  </c:pt>
                </c:lvl>
              </c:multiLvlStrCache>
            </c:multiLvlStrRef>
          </c:cat>
          <c:val>
            <c:numRef>
              <c:f>[0]!ChartRange_Data</c:f>
              <c:numCache>
                <c:formatCode>#,##0</c:formatCode>
                <c:ptCount val="52"/>
                <c:pt idx="0">
                  <c:v>122</c:v>
                </c:pt>
                <c:pt idx="1">
                  <c:v>124</c:v>
                </c:pt>
                <c:pt idx="2">
                  <c:v>138</c:v>
                </c:pt>
                <c:pt idx="3">
                  <c:v>142</c:v>
                </c:pt>
                <c:pt idx="4">
                  <c:v>160</c:v>
                </c:pt>
                <c:pt idx="5">
                  <c:v>156</c:v>
                </c:pt>
                <c:pt idx="6">
                  <c:v>154</c:v>
                </c:pt>
                <c:pt idx="7">
                  <c:v>142</c:v>
                </c:pt>
                <c:pt idx="8">
                  <c:v>142</c:v>
                </c:pt>
                <c:pt idx="9">
                  <c:v>140</c:v>
                </c:pt>
                <c:pt idx="10">
                  <c:v>152</c:v>
                </c:pt>
                <c:pt idx="11">
                  <c:v>138</c:v>
                </c:pt>
                <c:pt idx="12">
                  <c:v>120</c:v>
                </c:pt>
                <c:pt idx="13">
                  <c:v>136</c:v>
                </c:pt>
                <c:pt idx="14">
                  <c:v>138</c:v>
                </c:pt>
                <c:pt idx="15">
                  <c:v>126</c:v>
                </c:pt>
                <c:pt idx="16">
                  <c:v>152</c:v>
                </c:pt>
                <c:pt idx="17">
                  <c:v>128</c:v>
                </c:pt>
                <c:pt idx="18">
                  <c:v>152</c:v>
                </c:pt>
                <c:pt idx="19">
                  <c:v>138</c:v>
                </c:pt>
                <c:pt idx="20">
                  <c:v>160</c:v>
                </c:pt>
                <c:pt idx="21">
                  <c:v>146</c:v>
                </c:pt>
                <c:pt idx="22">
                  <c:v>148</c:v>
                </c:pt>
                <c:pt idx="23">
                  <c:v>130</c:v>
                </c:pt>
                <c:pt idx="24">
                  <c:v>130</c:v>
                </c:pt>
                <c:pt idx="25">
                  <c:v>120</c:v>
                </c:pt>
                <c:pt idx="26">
                  <c:v>124</c:v>
                </c:pt>
                <c:pt idx="27">
                  <c:v>140</c:v>
                </c:pt>
                <c:pt idx="28">
                  <c:v>148</c:v>
                </c:pt>
                <c:pt idx="29">
                  <c:v>150</c:v>
                </c:pt>
                <c:pt idx="30">
                  <c:v>142</c:v>
                </c:pt>
                <c:pt idx="31">
                  <c:v>132</c:v>
                </c:pt>
                <c:pt idx="32">
                  <c:v>136</c:v>
                </c:pt>
                <c:pt idx="33">
                  <c:v>140</c:v>
                </c:pt>
                <c:pt idx="34">
                  <c:v>144</c:v>
                </c:pt>
                <c:pt idx="35">
                  <c:v>124</c:v>
                </c:pt>
                <c:pt idx="36">
                  <c:v>142</c:v>
                </c:pt>
                <c:pt idx="37">
                  <c:v>156</c:v>
                </c:pt>
                <c:pt idx="38">
                  <c:v>140</c:v>
                </c:pt>
                <c:pt idx="39">
                  <c:v>130</c:v>
                </c:pt>
                <c:pt idx="40">
                  <c:v>120</c:v>
                </c:pt>
                <c:pt idx="41">
                  <c:v>150</c:v>
                </c:pt>
                <c:pt idx="42">
                  <c:v>154</c:v>
                </c:pt>
                <c:pt idx="43">
                  <c:v>140</c:v>
                </c:pt>
                <c:pt idx="44">
                  <c:v>136</c:v>
                </c:pt>
                <c:pt idx="45">
                  <c:v>152</c:v>
                </c:pt>
                <c:pt idx="46">
                  <c:v>148</c:v>
                </c:pt>
                <c:pt idx="47">
                  <c:v>148</c:v>
                </c:pt>
                <c:pt idx="48">
                  <c:v>140</c:v>
                </c:pt>
                <c:pt idx="49">
                  <c:v>152</c:v>
                </c:pt>
                <c:pt idx="50">
                  <c:v>146</c:v>
                </c:pt>
                <c:pt idx="51">
                  <c:v>130</c:v>
                </c:pt>
              </c:numCache>
            </c:numRef>
          </c:val>
          <c:smooth val="0"/>
          <c:extLst>
            <c:ext xmlns:c16="http://schemas.microsoft.com/office/drawing/2014/chart" uri="{C3380CC4-5D6E-409C-BE32-E72D297353CC}">
              <c16:uniqueId val="{00000004-64CF-4352-BC93-76825160D072}"/>
            </c:ext>
          </c:extLst>
        </c:ser>
        <c:ser>
          <c:idx val="15"/>
          <c:order val="1"/>
          <c:tx>
            <c:v>Emergency demand</c:v>
          </c:tx>
          <c:spPr>
            <a:ln w="15875">
              <a:solidFill>
                <a:schemeClr val="tx2"/>
              </a:solidFill>
              <a:prstDash val="dash"/>
            </a:ln>
          </c:spPr>
          <c:marker>
            <c:symbol val="none"/>
          </c:marker>
          <c:val>
            <c:numRef>
              <c:f>[0]!ChartRange_Emergencies</c:f>
            </c:numRef>
          </c:val>
          <c:smooth val="0"/>
          <c:extLst>
            <c:ext xmlns:c16="http://schemas.microsoft.com/office/drawing/2014/chart" uri="{C3380CC4-5D6E-409C-BE32-E72D297353CC}">
              <c16:uniqueId val="{00000005-64CF-4352-BC93-76825160D072}"/>
            </c:ext>
          </c:extLst>
        </c:ser>
        <c:ser>
          <c:idx val="5"/>
          <c:order val="6"/>
          <c:tx>
            <c:v>LCL</c:v>
          </c:tx>
          <c:spPr>
            <a:ln w="12700">
              <a:prstDash val="sysDot"/>
            </a:ln>
          </c:spPr>
          <c:marker>
            <c:symbol val="none"/>
          </c:marker>
          <c:val>
            <c:numRef>
              <c:f>[0]!ChartRange_LCL</c:f>
              <c:numCache>
                <c:formatCode>#,##0</c:formatCode>
                <c:ptCount val="52"/>
                <c:pt idx="0">
                  <c:v>124.86052009456264</c:v>
                </c:pt>
                <c:pt idx="1">
                  <c:v>124.86052009456264</c:v>
                </c:pt>
                <c:pt idx="2">
                  <c:v>124.86052009456264</c:v>
                </c:pt>
                <c:pt idx="3">
                  <c:v>124.86052009456264</c:v>
                </c:pt>
                <c:pt idx="4">
                  <c:v>124.86052009456264</c:v>
                </c:pt>
                <c:pt idx="5">
                  <c:v>124.86052009456264</c:v>
                </c:pt>
                <c:pt idx="6">
                  <c:v>124.86052009456264</c:v>
                </c:pt>
                <c:pt idx="7">
                  <c:v>124.86052009456264</c:v>
                </c:pt>
                <c:pt idx="8">
                  <c:v>124.86052009456264</c:v>
                </c:pt>
                <c:pt idx="9">
                  <c:v>124.86052009456264</c:v>
                </c:pt>
                <c:pt idx="10">
                  <c:v>124.86052009456264</c:v>
                </c:pt>
                <c:pt idx="11">
                  <c:v>124.86052009456264</c:v>
                </c:pt>
                <c:pt idx="12">
                  <c:v>124.86052009456264</c:v>
                </c:pt>
                <c:pt idx="13">
                  <c:v>124.86052009456264</c:v>
                </c:pt>
                <c:pt idx="14">
                  <c:v>124.86052009456264</c:v>
                </c:pt>
                <c:pt idx="15">
                  <c:v>124.86052009456264</c:v>
                </c:pt>
                <c:pt idx="16">
                  <c:v>124.86052009456264</c:v>
                </c:pt>
                <c:pt idx="17">
                  <c:v>124.86052009456264</c:v>
                </c:pt>
                <c:pt idx="18">
                  <c:v>124.86052009456264</c:v>
                </c:pt>
                <c:pt idx="19">
                  <c:v>124.86052009456264</c:v>
                </c:pt>
                <c:pt idx="20">
                  <c:v>124.86052009456264</c:v>
                </c:pt>
                <c:pt idx="21">
                  <c:v>124.86052009456264</c:v>
                </c:pt>
                <c:pt idx="22">
                  <c:v>124.86052009456264</c:v>
                </c:pt>
                <c:pt idx="23">
                  <c:v>124.86052009456264</c:v>
                </c:pt>
                <c:pt idx="24">
                  <c:v>124.86052009456264</c:v>
                </c:pt>
                <c:pt idx="25">
                  <c:v>124.86052009456264</c:v>
                </c:pt>
                <c:pt idx="26">
                  <c:v>124.86052009456264</c:v>
                </c:pt>
                <c:pt idx="27">
                  <c:v>124.86052009456264</c:v>
                </c:pt>
                <c:pt idx="28">
                  <c:v>124.86052009456264</c:v>
                </c:pt>
                <c:pt idx="29">
                  <c:v>124.86052009456264</c:v>
                </c:pt>
                <c:pt idx="30">
                  <c:v>124.86052009456264</c:v>
                </c:pt>
                <c:pt idx="31">
                  <c:v>124.86052009456264</c:v>
                </c:pt>
                <c:pt idx="32">
                  <c:v>124.86052009456264</c:v>
                </c:pt>
                <c:pt idx="33">
                  <c:v>124.86052009456264</c:v>
                </c:pt>
                <c:pt idx="34">
                  <c:v>124.86052009456264</c:v>
                </c:pt>
                <c:pt idx="35">
                  <c:v>124.86052009456264</c:v>
                </c:pt>
                <c:pt idx="36">
                  <c:v>124.86052009456264</c:v>
                </c:pt>
                <c:pt idx="37">
                  <c:v>124.86052009456264</c:v>
                </c:pt>
                <c:pt idx="38">
                  <c:v>124.86052009456264</c:v>
                </c:pt>
                <c:pt idx="39">
                  <c:v>124.86052009456264</c:v>
                </c:pt>
                <c:pt idx="40">
                  <c:v>124.86052009456264</c:v>
                </c:pt>
                <c:pt idx="41">
                  <c:v>124.86052009456264</c:v>
                </c:pt>
                <c:pt idx="42">
                  <c:v>124.86052009456264</c:v>
                </c:pt>
                <c:pt idx="43">
                  <c:v>124.86052009456264</c:v>
                </c:pt>
                <c:pt idx="44">
                  <c:v>124.86052009456264</c:v>
                </c:pt>
                <c:pt idx="45">
                  <c:v>124.86052009456264</c:v>
                </c:pt>
                <c:pt idx="46">
                  <c:v>124.86052009456264</c:v>
                </c:pt>
                <c:pt idx="47">
                  <c:v>124.86052009456264</c:v>
                </c:pt>
                <c:pt idx="48">
                  <c:v>124.86052009456264</c:v>
                </c:pt>
                <c:pt idx="49">
                  <c:v>124.86052009456264</c:v>
                </c:pt>
                <c:pt idx="50">
                  <c:v>124.86052009456264</c:v>
                </c:pt>
                <c:pt idx="51">
                  <c:v>124.86052009456264</c:v>
                </c:pt>
              </c:numCache>
            </c:numRef>
          </c:val>
          <c:smooth val="0"/>
          <c:extLst>
            <c:ext xmlns:c16="http://schemas.microsoft.com/office/drawing/2014/chart" uri="{C3380CC4-5D6E-409C-BE32-E72D297353CC}">
              <c16:uniqueId val="{00000006-64CF-4352-BC93-76825160D072}"/>
            </c:ext>
          </c:extLst>
        </c:ser>
        <c:ser>
          <c:idx val="6"/>
          <c:order val="7"/>
          <c:tx>
            <c:v>UCL</c:v>
          </c:tx>
          <c:spPr>
            <a:ln w="12700">
              <a:prstDash val="sysDot"/>
            </a:ln>
          </c:spPr>
          <c:marker>
            <c:symbol val="none"/>
          </c:marker>
          <c:val>
            <c:numRef>
              <c:f>[0]!ChartRange_UCL</c:f>
              <c:numCache>
                <c:formatCode>#,##0</c:formatCode>
                <c:ptCount val="52"/>
                <c:pt idx="0">
                  <c:v>159.13947990543736</c:v>
                </c:pt>
                <c:pt idx="1">
                  <c:v>159.13947990543736</c:v>
                </c:pt>
                <c:pt idx="2">
                  <c:v>159.13947990543736</c:v>
                </c:pt>
                <c:pt idx="3">
                  <c:v>159.13947990543736</c:v>
                </c:pt>
                <c:pt idx="4">
                  <c:v>159.13947990543736</c:v>
                </c:pt>
                <c:pt idx="5">
                  <c:v>159.13947990543736</c:v>
                </c:pt>
                <c:pt idx="6">
                  <c:v>159.13947990543736</c:v>
                </c:pt>
                <c:pt idx="7">
                  <c:v>159.13947990543736</c:v>
                </c:pt>
                <c:pt idx="8">
                  <c:v>159.13947990543736</c:v>
                </c:pt>
                <c:pt idx="9">
                  <c:v>159.13947990543736</c:v>
                </c:pt>
                <c:pt idx="10">
                  <c:v>159.13947990543736</c:v>
                </c:pt>
                <c:pt idx="11">
                  <c:v>159.13947990543736</c:v>
                </c:pt>
                <c:pt idx="12">
                  <c:v>159.13947990543736</c:v>
                </c:pt>
                <c:pt idx="13">
                  <c:v>159.13947990543736</c:v>
                </c:pt>
                <c:pt idx="14">
                  <c:v>159.13947990543736</c:v>
                </c:pt>
                <c:pt idx="15">
                  <c:v>159.13947990543736</c:v>
                </c:pt>
                <c:pt idx="16">
                  <c:v>159.13947990543736</c:v>
                </c:pt>
                <c:pt idx="17">
                  <c:v>159.13947990543736</c:v>
                </c:pt>
                <c:pt idx="18">
                  <c:v>159.13947990543736</c:v>
                </c:pt>
                <c:pt idx="19">
                  <c:v>159.13947990543736</c:v>
                </c:pt>
                <c:pt idx="20">
                  <c:v>159.13947990543736</c:v>
                </c:pt>
                <c:pt idx="21">
                  <c:v>159.13947990543736</c:v>
                </c:pt>
                <c:pt idx="22">
                  <c:v>159.13947990543736</c:v>
                </c:pt>
                <c:pt idx="23">
                  <c:v>159.13947990543736</c:v>
                </c:pt>
                <c:pt idx="24">
                  <c:v>159.13947990543736</c:v>
                </c:pt>
                <c:pt idx="25">
                  <c:v>159.13947990543736</c:v>
                </c:pt>
                <c:pt idx="26">
                  <c:v>159.13947990543736</c:v>
                </c:pt>
                <c:pt idx="27">
                  <c:v>159.13947990543736</c:v>
                </c:pt>
                <c:pt idx="28">
                  <c:v>159.13947990543736</c:v>
                </c:pt>
                <c:pt idx="29">
                  <c:v>159.13947990543736</c:v>
                </c:pt>
                <c:pt idx="30">
                  <c:v>159.13947990543736</c:v>
                </c:pt>
                <c:pt idx="31">
                  <c:v>159.13947990543736</c:v>
                </c:pt>
                <c:pt idx="32">
                  <c:v>159.13947990543736</c:v>
                </c:pt>
                <c:pt idx="33">
                  <c:v>159.13947990543736</c:v>
                </c:pt>
                <c:pt idx="34">
                  <c:v>159.13947990543736</c:v>
                </c:pt>
                <c:pt idx="35">
                  <c:v>159.13947990543736</c:v>
                </c:pt>
                <c:pt idx="36">
                  <c:v>159.13947990543736</c:v>
                </c:pt>
                <c:pt idx="37">
                  <c:v>159.13947990543736</c:v>
                </c:pt>
                <c:pt idx="38">
                  <c:v>159.13947990543736</c:v>
                </c:pt>
                <c:pt idx="39">
                  <c:v>159.13947990543736</c:v>
                </c:pt>
                <c:pt idx="40">
                  <c:v>159.13947990543736</c:v>
                </c:pt>
                <c:pt idx="41">
                  <c:v>159.13947990543736</c:v>
                </c:pt>
                <c:pt idx="42">
                  <c:v>159.13947990543736</c:v>
                </c:pt>
                <c:pt idx="43">
                  <c:v>159.13947990543736</c:v>
                </c:pt>
                <c:pt idx="44">
                  <c:v>159.13947990543736</c:v>
                </c:pt>
                <c:pt idx="45">
                  <c:v>159.13947990543736</c:v>
                </c:pt>
                <c:pt idx="46">
                  <c:v>159.13947990543736</c:v>
                </c:pt>
                <c:pt idx="47">
                  <c:v>159.13947990543736</c:v>
                </c:pt>
                <c:pt idx="48">
                  <c:v>159.13947990543736</c:v>
                </c:pt>
                <c:pt idx="49">
                  <c:v>159.13947990543736</c:v>
                </c:pt>
                <c:pt idx="50">
                  <c:v>159.13947990543736</c:v>
                </c:pt>
                <c:pt idx="51">
                  <c:v>159.13947990543736</c:v>
                </c:pt>
              </c:numCache>
            </c:numRef>
          </c:val>
          <c:smooth val="0"/>
          <c:extLst>
            <c:ext xmlns:c16="http://schemas.microsoft.com/office/drawing/2014/chart" uri="{C3380CC4-5D6E-409C-BE32-E72D297353CC}">
              <c16:uniqueId val="{00000007-64CF-4352-BC93-76825160D072}"/>
            </c:ext>
          </c:extLst>
        </c:ser>
        <c:ser>
          <c:idx val="7"/>
          <c:order val="8"/>
          <c:tx>
            <c:v>Mean</c:v>
          </c:tx>
          <c:spPr>
            <a:ln w="12700">
              <a:prstDash val="sysDot"/>
            </a:ln>
          </c:spPr>
          <c:marker>
            <c:symbol val="none"/>
          </c:marker>
          <c:val>
            <c:numRef>
              <c:f>[0]!ChartRange_Mean</c:f>
              <c:numCache>
                <c:formatCode>#,##0</c:formatCode>
                <c:ptCount val="52"/>
                <c:pt idx="0">
                  <c:v>142</c:v>
                </c:pt>
                <c:pt idx="1">
                  <c:v>142</c:v>
                </c:pt>
                <c:pt idx="2">
                  <c:v>142</c:v>
                </c:pt>
                <c:pt idx="3">
                  <c:v>142</c:v>
                </c:pt>
                <c:pt idx="4">
                  <c:v>142</c:v>
                </c:pt>
                <c:pt idx="5">
                  <c:v>142</c:v>
                </c:pt>
                <c:pt idx="6">
                  <c:v>142</c:v>
                </c:pt>
                <c:pt idx="7">
                  <c:v>142</c:v>
                </c:pt>
                <c:pt idx="8">
                  <c:v>142</c:v>
                </c:pt>
                <c:pt idx="9">
                  <c:v>142</c:v>
                </c:pt>
                <c:pt idx="10">
                  <c:v>142</c:v>
                </c:pt>
                <c:pt idx="11">
                  <c:v>142</c:v>
                </c:pt>
                <c:pt idx="12">
                  <c:v>142</c:v>
                </c:pt>
                <c:pt idx="13">
                  <c:v>142</c:v>
                </c:pt>
                <c:pt idx="14">
                  <c:v>142</c:v>
                </c:pt>
                <c:pt idx="15">
                  <c:v>142</c:v>
                </c:pt>
                <c:pt idx="16">
                  <c:v>142</c:v>
                </c:pt>
                <c:pt idx="17">
                  <c:v>142</c:v>
                </c:pt>
                <c:pt idx="18">
                  <c:v>142</c:v>
                </c:pt>
                <c:pt idx="19">
                  <c:v>142</c:v>
                </c:pt>
                <c:pt idx="20">
                  <c:v>142</c:v>
                </c:pt>
                <c:pt idx="21">
                  <c:v>142</c:v>
                </c:pt>
                <c:pt idx="22">
                  <c:v>142</c:v>
                </c:pt>
                <c:pt idx="23">
                  <c:v>142</c:v>
                </c:pt>
                <c:pt idx="24">
                  <c:v>142</c:v>
                </c:pt>
                <c:pt idx="25">
                  <c:v>142</c:v>
                </c:pt>
                <c:pt idx="26">
                  <c:v>142</c:v>
                </c:pt>
                <c:pt idx="27">
                  <c:v>142</c:v>
                </c:pt>
                <c:pt idx="28">
                  <c:v>142</c:v>
                </c:pt>
                <c:pt idx="29">
                  <c:v>142</c:v>
                </c:pt>
                <c:pt idx="30">
                  <c:v>142</c:v>
                </c:pt>
                <c:pt idx="31">
                  <c:v>142</c:v>
                </c:pt>
                <c:pt idx="32">
                  <c:v>142</c:v>
                </c:pt>
                <c:pt idx="33">
                  <c:v>142</c:v>
                </c:pt>
                <c:pt idx="34">
                  <c:v>142</c:v>
                </c:pt>
                <c:pt idx="35">
                  <c:v>142</c:v>
                </c:pt>
                <c:pt idx="36">
                  <c:v>142</c:v>
                </c:pt>
                <c:pt idx="37">
                  <c:v>142</c:v>
                </c:pt>
                <c:pt idx="38">
                  <c:v>142</c:v>
                </c:pt>
                <c:pt idx="39">
                  <c:v>142</c:v>
                </c:pt>
                <c:pt idx="40">
                  <c:v>142</c:v>
                </c:pt>
                <c:pt idx="41">
                  <c:v>142</c:v>
                </c:pt>
                <c:pt idx="42">
                  <c:v>142</c:v>
                </c:pt>
                <c:pt idx="43">
                  <c:v>142</c:v>
                </c:pt>
                <c:pt idx="44">
                  <c:v>142</c:v>
                </c:pt>
                <c:pt idx="45">
                  <c:v>142</c:v>
                </c:pt>
                <c:pt idx="46">
                  <c:v>142</c:v>
                </c:pt>
                <c:pt idx="47">
                  <c:v>142</c:v>
                </c:pt>
                <c:pt idx="48">
                  <c:v>142</c:v>
                </c:pt>
                <c:pt idx="49">
                  <c:v>142</c:v>
                </c:pt>
                <c:pt idx="50">
                  <c:v>142</c:v>
                </c:pt>
                <c:pt idx="51">
                  <c:v>142</c:v>
                </c:pt>
              </c:numCache>
            </c:numRef>
          </c:val>
          <c:smooth val="0"/>
          <c:extLst>
            <c:ext xmlns:c16="http://schemas.microsoft.com/office/drawing/2014/chart" uri="{C3380CC4-5D6E-409C-BE32-E72D297353CC}">
              <c16:uniqueId val="{00000008-64CF-4352-BC93-76825160D072}"/>
            </c:ext>
          </c:extLst>
        </c:ser>
        <c:ser>
          <c:idx val="8"/>
          <c:order val="9"/>
          <c:tx>
            <c:v>1</c:v>
          </c:tx>
          <c:spPr>
            <a:ln>
              <a:noFill/>
            </a:ln>
          </c:spPr>
          <c:marker>
            <c:symbol val="square"/>
            <c:size val="5"/>
            <c:spPr>
              <a:solidFill>
                <a:schemeClr val="accent2"/>
              </a:solidFill>
              <a:ln>
                <a:noFill/>
              </a:ln>
            </c:spPr>
          </c:marker>
          <c:val>
            <c:numRef>
              <c:f>[0]!ChartRange_E1</c:f>
              <c:numCache>
                <c:formatCode>#,##0</c:formatCode>
                <c:ptCount val="52"/>
                <c:pt idx="0">
                  <c:v>122</c:v>
                </c:pt>
                <c:pt idx="1">
                  <c:v>124</c:v>
                </c:pt>
                <c:pt idx="2">
                  <c:v>#N/A</c:v>
                </c:pt>
                <c:pt idx="3">
                  <c:v>#N/A</c:v>
                </c:pt>
                <c:pt idx="4">
                  <c:v>160</c:v>
                </c:pt>
                <c:pt idx="5">
                  <c:v>#N/A</c:v>
                </c:pt>
                <c:pt idx="6">
                  <c:v>#N/A</c:v>
                </c:pt>
                <c:pt idx="7">
                  <c:v>#N/A</c:v>
                </c:pt>
                <c:pt idx="8">
                  <c:v>#N/A</c:v>
                </c:pt>
                <c:pt idx="9">
                  <c:v>#N/A</c:v>
                </c:pt>
                <c:pt idx="10">
                  <c:v>#N/A</c:v>
                </c:pt>
                <c:pt idx="11">
                  <c:v>#N/A</c:v>
                </c:pt>
                <c:pt idx="12">
                  <c:v>120</c:v>
                </c:pt>
                <c:pt idx="13">
                  <c:v>#N/A</c:v>
                </c:pt>
                <c:pt idx="14">
                  <c:v>#N/A</c:v>
                </c:pt>
                <c:pt idx="15">
                  <c:v>#N/A</c:v>
                </c:pt>
                <c:pt idx="16">
                  <c:v>#N/A</c:v>
                </c:pt>
                <c:pt idx="17">
                  <c:v>#N/A</c:v>
                </c:pt>
                <c:pt idx="18">
                  <c:v>#N/A</c:v>
                </c:pt>
                <c:pt idx="19">
                  <c:v>#N/A</c:v>
                </c:pt>
                <c:pt idx="20">
                  <c:v>160</c:v>
                </c:pt>
                <c:pt idx="21">
                  <c:v>#N/A</c:v>
                </c:pt>
                <c:pt idx="22">
                  <c:v>#N/A</c:v>
                </c:pt>
                <c:pt idx="23">
                  <c:v>#N/A</c:v>
                </c:pt>
                <c:pt idx="24">
                  <c:v>#N/A</c:v>
                </c:pt>
                <c:pt idx="25">
                  <c:v>120</c:v>
                </c:pt>
                <c:pt idx="26">
                  <c:v>124</c:v>
                </c:pt>
                <c:pt idx="27">
                  <c:v>#N/A</c:v>
                </c:pt>
                <c:pt idx="28">
                  <c:v>#N/A</c:v>
                </c:pt>
                <c:pt idx="29">
                  <c:v>#N/A</c:v>
                </c:pt>
                <c:pt idx="30">
                  <c:v>#N/A</c:v>
                </c:pt>
                <c:pt idx="31">
                  <c:v>#N/A</c:v>
                </c:pt>
                <c:pt idx="32">
                  <c:v>#N/A</c:v>
                </c:pt>
                <c:pt idx="33">
                  <c:v>#N/A</c:v>
                </c:pt>
                <c:pt idx="34">
                  <c:v>#N/A</c:v>
                </c:pt>
                <c:pt idx="35">
                  <c:v>124</c:v>
                </c:pt>
                <c:pt idx="36">
                  <c:v>#N/A</c:v>
                </c:pt>
                <c:pt idx="37">
                  <c:v>#N/A</c:v>
                </c:pt>
                <c:pt idx="38">
                  <c:v>#N/A</c:v>
                </c:pt>
                <c:pt idx="39">
                  <c:v>#N/A</c:v>
                </c:pt>
                <c:pt idx="40">
                  <c:v>120</c:v>
                </c:pt>
                <c:pt idx="41">
                  <c:v>#N/A</c:v>
                </c:pt>
                <c:pt idx="42">
                  <c:v>#N/A</c:v>
                </c:pt>
                <c:pt idx="43">
                  <c:v>#N/A</c:v>
                </c:pt>
                <c:pt idx="44">
                  <c:v>#N/A</c:v>
                </c:pt>
                <c:pt idx="45">
                  <c:v>#N/A</c:v>
                </c:pt>
                <c:pt idx="46">
                  <c:v>#N/A</c:v>
                </c:pt>
                <c:pt idx="47">
                  <c:v>#N/A</c:v>
                </c:pt>
                <c:pt idx="48">
                  <c:v>#N/A</c:v>
                </c:pt>
                <c:pt idx="49">
                  <c:v>#N/A</c:v>
                </c:pt>
                <c:pt idx="50">
                  <c:v>#N/A</c:v>
                </c:pt>
                <c:pt idx="51">
                  <c:v>#N/A</c:v>
                </c:pt>
              </c:numCache>
            </c:numRef>
          </c:val>
          <c:smooth val="0"/>
          <c:extLst>
            <c:ext xmlns:c16="http://schemas.microsoft.com/office/drawing/2014/chart" uri="{C3380CC4-5D6E-409C-BE32-E72D297353CC}">
              <c16:uniqueId val="{00000009-64CF-4352-BC93-76825160D072}"/>
            </c:ext>
          </c:extLst>
        </c:ser>
        <c:ser>
          <c:idx val="9"/>
          <c:order val="10"/>
          <c:tx>
            <c:v>2</c:v>
          </c:tx>
          <c:spPr>
            <a:ln>
              <a:noFill/>
            </a:ln>
          </c:spPr>
          <c:marker>
            <c:symbol val="square"/>
            <c:size val="5"/>
            <c:spPr>
              <a:solidFill>
                <a:schemeClr val="accent3"/>
              </a:solidFill>
              <a:ln>
                <a:noFill/>
              </a:ln>
            </c:spPr>
          </c:marker>
          <c:val>
            <c:numRef>
              <c:f>[0]!ChartRange_E2</c:f>
              <c:numCache>
                <c:formatCode>General</c:formatCode>
                <c:ptCount val="52"/>
                <c:pt idx="1">
                  <c:v>#N/A</c:v>
                </c:pt>
                <c:pt idx="2">
                  <c:v>#N/A</c:v>
                </c:pt>
                <c:pt idx="3">
                  <c:v>#N/A</c:v>
                </c:pt>
                <c:pt idx="4">
                  <c:v>160</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130</c:v>
                </c:pt>
                <c:pt idx="24">
                  <c:v>130</c:v>
                </c:pt>
                <c:pt idx="25">
                  <c:v>120</c:v>
                </c:pt>
                <c:pt idx="26">
                  <c:v>#N/A</c:v>
                </c:pt>
                <c:pt idx="27">
                  <c:v>#N/A</c:v>
                </c:pt>
                <c:pt idx="28">
                  <c:v>#N/A</c:v>
                </c:pt>
                <c:pt idx="29">
                  <c:v>#N/A</c:v>
                </c:pt>
                <c:pt idx="30">
                  <c:v>#N/A</c:v>
                </c:pt>
                <c:pt idx="31">
                  <c:v>#N/A</c:v>
                </c:pt>
                <c:pt idx="32">
                  <c:v>#N/A</c:v>
                </c:pt>
                <c:pt idx="33">
                  <c:v>#N/A</c:v>
                </c:pt>
                <c:pt idx="34">
                  <c:v>#N/A</c:v>
                </c:pt>
                <c:pt idx="35">
                  <c:v>#N/A</c:v>
                </c:pt>
                <c:pt idx="36">
                  <c:v>#N/A</c:v>
                </c:pt>
                <c:pt idx="37">
                  <c:v>#N/A</c:v>
                </c:pt>
                <c:pt idx="38">
                  <c:v>140</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smooth val="0"/>
          <c:extLst>
            <c:ext xmlns:c16="http://schemas.microsoft.com/office/drawing/2014/chart" uri="{C3380CC4-5D6E-409C-BE32-E72D297353CC}">
              <c16:uniqueId val="{0000000A-64CF-4352-BC93-76825160D072}"/>
            </c:ext>
          </c:extLst>
        </c:ser>
        <c:ser>
          <c:idx val="10"/>
          <c:order val="11"/>
          <c:tx>
            <c:v>3</c:v>
          </c:tx>
          <c:spPr>
            <a:ln>
              <a:noFill/>
            </a:ln>
          </c:spPr>
          <c:marker>
            <c:symbol val="square"/>
            <c:size val="5"/>
            <c:spPr>
              <a:solidFill>
                <a:schemeClr val="accent4"/>
              </a:solidFill>
              <a:ln>
                <a:noFill/>
              </a:ln>
            </c:spPr>
          </c:marker>
          <c:val>
            <c:numRef>
              <c:f>[0]!ChartRange_E3</c:f>
              <c:numCache>
                <c:formatCode>General</c:formatCode>
                <c:ptCount val="52"/>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smooth val="0"/>
          <c:extLst>
            <c:ext xmlns:c16="http://schemas.microsoft.com/office/drawing/2014/chart" uri="{C3380CC4-5D6E-409C-BE32-E72D297353CC}">
              <c16:uniqueId val="{0000000B-64CF-4352-BC93-76825160D072}"/>
            </c:ext>
          </c:extLst>
        </c:ser>
        <c:ser>
          <c:idx val="11"/>
          <c:order val="12"/>
          <c:tx>
            <c:v>4</c:v>
          </c:tx>
          <c:spPr>
            <a:ln>
              <a:noFill/>
            </a:ln>
          </c:spPr>
          <c:marker>
            <c:symbol val="square"/>
            <c:size val="5"/>
            <c:spPr>
              <a:solidFill>
                <a:schemeClr val="accent6"/>
              </a:solidFill>
              <a:ln>
                <a:noFill/>
              </a:ln>
            </c:spPr>
          </c:marker>
          <c:val>
            <c:numRef>
              <c:f>[0]!ChartRange_E4</c:f>
              <c:numCache>
                <c:formatCode>#,##0</c:formatCode>
                <c:ptCount val="5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smooth val="0"/>
          <c:extLst>
            <c:ext xmlns:c16="http://schemas.microsoft.com/office/drawing/2014/chart" uri="{C3380CC4-5D6E-409C-BE32-E72D297353CC}">
              <c16:uniqueId val="{0000000C-64CF-4352-BC93-76825160D072}"/>
            </c:ext>
          </c:extLst>
        </c:ser>
        <c:ser>
          <c:idx val="12"/>
          <c:order val="13"/>
          <c:tx>
            <c:v>Excluded</c:v>
          </c:tx>
          <c:spPr>
            <a:ln>
              <a:noFill/>
            </a:ln>
          </c:spPr>
          <c:marker>
            <c:symbol val="diamond"/>
            <c:size val="6"/>
            <c:spPr>
              <a:solidFill>
                <a:srgbClr val="FF0000"/>
              </a:solidFill>
              <a:ln>
                <a:noFill/>
              </a:ln>
            </c:spPr>
          </c:marker>
          <c:val>
            <c:numRef>
              <c:f>[0]!ChartRange_Exclusion</c:f>
              <c:numCache>
                <c:formatCode>General</c:formatCode>
                <c:ptCount val="5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smooth val="0"/>
          <c:extLst>
            <c:ext xmlns:c16="http://schemas.microsoft.com/office/drawing/2014/chart" uri="{C3380CC4-5D6E-409C-BE32-E72D297353CC}">
              <c16:uniqueId val="{0000000D-64CF-4352-BC93-76825160D072}"/>
            </c:ext>
          </c:extLst>
        </c:ser>
        <c:ser>
          <c:idx val="13"/>
          <c:order val="14"/>
          <c:tx>
            <c:v>Lower percentile</c:v>
          </c:tx>
          <c:spPr>
            <a:ln w="12700">
              <a:solidFill>
                <a:schemeClr val="accent4">
                  <a:lumMod val="75000"/>
                </a:schemeClr>
              </a:solidFill>
              <a:prstDash val="sysDash"/>
            </a:ln>
          </c:spPr>
          <c:marker>
            <c:symbol val="none"/>
          </c:marker>
          <c:val>
            <c:numRef>
              <c:f>[0]!ChartRange_PercLower</c:f>
              <c:numCache>
                <c:formatCode>#,##0</c:formatCode>
                <c:ptCount val="52"/>
                <c:pt idx="0">
                  <c:v>142</c:v>
                </c:pt>
                <c:pt idx="1">
                  <c:v>142</c:v>
                </c:pt>
                <c:pt idx="2">
                  <c:v>142</c:v>
                </c:pt>
                <c:pt idx="3">
                  <c:v>142</c:v>
                </c:pt>
                <c:pt idx="4">
                  <c:v>142</c:v>
                </c:pt>
                <c:pt idx="5">
                  <c:v>142</c:v>
                </c:pt>
                <c:pt idx="6">
                  <c:v>142</c:v>
                </c:pt>
                <c:pt idx="7">
                  <c:v>142</c:v>
                </c:pt>
                <c:pt idx="8">
                  <c:v>142</c:v>
                </c:pt>
                <c:pt idx="9">
                  <c:v>142</c:v>
                </c:pt>
                <c:pt idx="10">
                  <c:v>142</c:v>
                </c:pt>
                <c:pt idx="11">
                  <c:v>142</c:v>
                </c:pt>
                <c:pt idx="12">
                  <c:v>142</c:v>
                </c:pt>
                <c:pt idx="13">
                  <c:v>142</c:v>
                </c:pt>
                <c:pt idx="14">
                  <c:v>142</c:v>
                </c:pt>
                <c:pt idx="15">
                  <c:v>142</c:v>
                </c:pt>
                <c:pt idx="16">
                  <c:v>142</c:v>
                </c:pt>
                <c:pt idx="17">
                  <c:v>142</c:v>
                </c:pt>
                <c:pt idx="18">
                  <c:v>142</c:v>
                </c:pt>
                <c:pt idx="19">
                  <c:v>142</c:v>
                </c:pt>
                <c:pt idx="20">
                  <c:v>142</c:v>
                </c:pt>
                <c:pt idx="21">
                  <c:v>142</c:v>
                </c:pt>
                <c:pt idx="22">
                  <c:v>142</c:v>
                </c:pt>
                <c:pt idx="23">
                  <c:v>142</c:v>
                </c:pt>
                <c:pt idx="24">
                  <c:v>142</c:v>
                </c:pt>
                <c:pt idx="25">
                  <c:v>142</c:v>
                </c:pt>
                <c:pt idx="26">
                  <c:v>142</c:v>
                </c:pt>
                <c:pt idx="27">
                  <c:v>142</c:v>
                </c:pt>
                <c:pt idx="28">
                  <c:v>142</c:v>
                </c:pt>
                <c:pt idx="29">
                  <c:v>142</c:v>
                </c:pt>
                <c:pt idx="30">
                  <c:v>142</c:v>
                </c:pt>
                <c:pt idx="31">
                  <c:v>142</c:v>
                </c:pt>
                <c:pt idx="32">
                  <c:v>142</c:v>
                </c:pt>
                <c:pt idx="33">
                  <c:v>142</c:v>
                </c:pt>
                <c:pt idx="34">
                  <c:v>142</c:v>
                </c:pt>
                <c:pt idx="35">
                  <c:v>142</c:v>
                </c:pt>
                <c:pt idx="36">
                  <c:v>142</c:v>
                </c:pt>
                <c:pt idx="37">
                  <c:v>142</c:v>
                </c:pt>
                <c:pt idx="38">
                  <c:v>142</c:v>
                </c:pt>
                <c:pt idx="39">
                  <c:v>142</c:v>
                </c:pt>
                <c:pt idx="40">
                  <c:v>142</c:v>
                </c:pt>
                <c:pt idx="41">
                  <c:v>142</c:v>
                </c:pt>
                <c:pt idx="42">
                  <c:v>142</c:v>
                </c:pt>
                <c:pt idx="43">
                  <c:v>142</c:v>
                </c:pt>
                <c:pt idx="44">
                  <c:v>142</c:v>
                </c:pt>
                <c:pt idx="45">
                  <c:v>142</c:v>
                </c:pt>
                <c:pt idx="46">
                  <c:v>142</c:v>
                </c:pt>
                <c:pt idx="47">
                  <c:v>142</c:v>
                </c:pt>
                <c:pt idx="48">
                  <c:v>142</c:v>
                </c:pt>
                <c:pt idx="49">
                  <c:v>142</c:v>
                </c:pt>
                <c:pt idx="50">
                  <c:v>142</c:v>
                </c:pt>
                <c:pt idx="51">
                  <c:v>142</c:v>
                </c:pt>
              </c:numCache>
            </c:numRef>
          </c:val>
          <c:smooth val="0"/>
          <c:extLst>
            <c:ext xmlns:c16="http://schemas.microsoft.com/office/drawing/2014/chart" uri="{C3380CC4-5D6E-409C-BE32-E72D297353CC}">
              <c16:uniqueId val="{0000000E-64CF-4352-BC93-76825160D072}"/>
            </c:ext>
          </c:extLst>
        </c:ser>
        <c:ser>
          <c:idx val="14"/>
          <c:order val="15"/>
          <c:tx>
            <c:v>Upper percentile</c:v>
          </c:tx>
          <c:spPr>
            <a:ln w="12700">
              <a:solidFill>
                <a:srgbClr val="C00000"/>
              </a:solidFill>
              <a:prstDash val="sysDash"/>
            </a:ln>
          </c:spPr>
          <c:marker>
            <c:symbol val="none"/>
          </c:marker>
          <c:val>
            <c:numRef>
              <c:f>[0]!ChartRange_PercUpper</c:f>
              <c:numCache>
                <c:formatCode>#,##0</c:formatCode>
                <c:ptCount val="52"/>
                <c:pt idx="0">
                  <c:v>155.30000000000001</c:v>
                </c:pt>
                <c:pt idx="1">
                  <c:v>155.30000000000001</c:v>
                </c:pt>
                <c:pt idx="2">
                  <c:v>155.30000000000001</c:v>
                </c:pt>
                <c:pt idx="3">
                  <c:v>155.30000000000001</c:v>
                </c:pt>
                <c:pt idx="4">
                  <c:v>155.30000000000001</c:v>
                </c:pt>
                <c:pt idx="5">
                  <c:v>155.30000000000001</c:v>
                </c:pt>
                <c:pt idx="6">
                  <c:v>155.30000000000001</c:v>
                </c:pt>
                <c:pt idx="7">
                  <c:v>155.30000000000001</c:v>
                </c:pt>
                <c:pt idx="8">
                  <c:v>155.30000000000001</c:v>
                </c:pt>
                <c:pt idx="9">
                  <c:v>155.30000000000001</c:v>
                </c:pt>
                <c:pt idx="10">
                  <c:v>155.30000000000001</c:v>
                </c:pt>
                <c:pt idx="11">
                  <c:v>155.30000000000001</c:v>
                </c:pt>
                <c:pt idx="12">
                  <c:v>155.30000000000001</c:v>
                </c:pt>
                <c:pt idx="13">
                  <c:v>155.30000000000001</c:v>
                </c:pt>
                <c:pt idx="14">
                  <c:v>155.30000000000001</c:v>
                </c:pt>
                <c:pt idx="15">
                  <c:v>155.30000000000001</c:v>
                </c:pt>
                <c:pt idx="16">
                  <c:v>155.30000000000001</c:v>
                </c:pt>
                <c:pt idx="17">
                  <c:v>155.30000000000001</c:v>
                </c:pt>
                <c:pt idx="18">
                  <c:v>155.30000000000001</c:v>
                </c:pt>
                <c:pt idx="19">
                  <c:v>155.30000000000001</c:v>
                </c:pt>
                <c:pt idx="20">
                  <c:v>155.30000000000001</c:v>
                </c:pt>
                <c:pt idx="21">
                  <c:v>155.30000000000001</c:v>
                </c:pt>
                <c:pt idx="22">
                  <c:v>155.30000000000001</c:v>
                </c:pt>
                <c:pt idx="23">
                  <c:v>155.30000000000001</c:v>
                </c:pt>
                <c:pt idx="24">
                  <c:v>155.30000000000001</c:v>
                </c:pt>
                <c:pt idx="25">
                  <c:v>155.30000000000001</c:v>
                </c:pt>
                <c:pt idx="26">
                  <c:v>155.30000000000001</c:v>
                </c:pt>
                <c:pt idx="27">
                  <c:v>155.30000000000001</c:v>
                </c:pt>
                <c:pt idx="28">
                  <c:v>155.30000000000001</c:v>
                </c:pt>
                <c:pt idx="29">
                  <c:v>155.30000000000001</c:v>
                </c:pt>
                <c:pt idx="30">
                  <c:v>155.30000000000001</c:v>
                </c:pt>
                <c:pt idx="31">
                  <c:v>155.30000000000001</c:v>
                </c:pt>
                <c:pt idx="32">
                  <c:v>155.30000000000001</c:v>
                </c:pt>
                <c:pt idx="33">
                  <c:v>155.30000000000001</c:v>
                </c:pt>
                <c:pt idx="34">
                  <c:v>155.30000000000001</c:v>
                </c:pt>
                <c:pt idx="35">
                  <c:v>155.30000000000001</c:v>
                </c:pt>
                <c:pt idx="36">
                  <c:v>155.30000000000001</c:v>
                </c:pt>
                <c:pt idx="37">
                  <c:v>155.30000000000001</c:v>
                </c:pt>
                <c:pt idx="38">
                  <c:v>155.30000000000001</c:v>
                </c:pt>
                <c:pt idx="39">
                  <c:v>155.30000000000001</c:v>
                </c:pt>
                <c:pt idx="40">
                  <c:v>155.30000000000001</c:v>
                </c:pt>
                <c:pt idx="41">
                  <c:v>155.30000000000001</c:v>
                </c:pt>
                <c:pt idx="42">
                  <c:v>155.30000000000001</c:v>
                </c:pt>
                <c:pt idx="43">
                  <c:v>155.30000000000001</c:v>
                </c:pt>
                <c:pt idx="44">
                  <c:v>155.30000000000001</c:v>
                </c:pt>
                <c:pt idx="45">
                  <c:v>155.30000000000001</c:v>
                </c:pt>
                <c:pt idx="46">
                  <c:v>155.30000000000001</c:v>
                </c:pt>
                <c:pt idx="47">
                  <c:v>155.30000000000001</c:v>
                </c:pt>
                <c:pt idx="48">
                  <c:v>155.30000000000001</c:v>
                </c:pt>
                <c:pt idx="49">
                  <c:v>155.30000000000001</c:v>
                </c:pt>
                <c:pt idx="50">
                  <c:v>155.30000000000001</c:v>
                </c:pt>
                <c:pt idx="51">
                  <c:v>155.30000000000001</c:v>
                </c:pt>
              </c:numCache>
            </c:numRef>
          </c:val>
          <c:smooth val="0"/>
          <c:extLst>
            <c:ext xmlns:c16="http://schemas.microsoft.com/office/drawing/2014/chart" uri="{C3380CC4-5D6E-409C-BE32-E72D297353CC}">
              <c16:uniqueId val="{0000000F-64CF-4352-BC93-76825160D072}"/>
            </c:ext>
          </c:extLst>
        </c:ser>
        <c:dLbls>
          <c:showLegendKey val="0"/>
          <c:showVal val="0"/>
          <c:showCatName val="0"/>
          <c:showSerName val="0"/>
          <c:showPercent val="0"/>
          <c:showBubbleSize val="0"/>
        </c:dLbls>
        <c:marker val="1"/>
        <c:smooth val="0"/>
        <c:axId val="261876736"/>
        <c:axId val="340792064"/>
      </c:lineChart>
      <c:catAx>
        <c:axId val="261876736"/>
        <c:scaling>
          <c:orientation val="minMax"/>
        </c:scaling>
        <c:delete val="0"/>
        <c:axPos val="b"/>
        <c:numFmt formatCode="General" sourceLinked="0"/>
        <c:majorTickMark val="none"/>
        <c:minorTickMark val="none"/>
        <c:tickLblPos val="nextTo"/>
        <c:txPr>
          <a:bodyPr/>
          <a:lstStyle/>
          <a:p>
            <a:pPr>
              <a:defRPr sz="800"/>
            </a:pPr>
            <a:endParaRPr lang="en-US"/>
          </a:p>
        </c:txPr>
        <c:crossAx val="340792064"/>
        <c:crosses val="autoZero"/>
        <c:auto val="1"/>
        <c:lblAlgn val="ctr"/>
        <c:lblOffset val="100"/>
        <c:noMultiLvlLbl val="1"/>
      </c:catAx>
      <c:valAx>
        <c:axId val="340792064"/>
        <c:scaling>
          <c:orientation val="minMax"/>
        </c:scaling>
        <c:delete val="0"/>
        <c:axPos val="l"/>
        <c:majorGridlines>
          <c:spPr>
            <a:ln>
              <a:solidFill>
                <a:schemeClr val="bg1"/>
              </a:solidFill>
            </a:ln>
          </c:spPr>
        </c:majorGridlines>
        <c:numFmt formatCode="#,##0" sourceLinked="1"/>
        <c:majorTickMark val="out"/>
        <c:minorTickMark val="none"/>
        <c:tickLblPos val="nextTo"/>
        <c:crossAx val="261876736"/>
        <c:crosses val="autoZero"/>
        <c:crossBetween val="between"/>
      </c:valAx>
      <c:valAx>
        <c:axId val="340793600"/>
        <c:scaling>
          <c:orientation val="minMax"/>
          <c:max val="1"/>
        </c:scaling>
        <c:delete val="0"/>
        <c:axPos val="r"/>
        <c:numFmt formatCode="General" sourceLinked="1"/>
        <c:majorTickMark val="none"/>
        <c:minorTickMark val="none"/>
        <c:tickLblPos val="none"/>
        <c:crossAx val="340799488"/>
        <c:crosses val="max"/>
        <c:crossBetween val="between"/>
      </c:valAx>
      <c:catAx>
        <c:axId val="340799488"/>
        <c:scaling>
          <c:orientation val="minMax"/>
        </c:scaling>
        <c:delete val="1"/>
        <c:axPos val="b"/>
        <c:majorTickMark val="out"/>
        <c:minorTickMark val="none"/>
        <c:tickLblPos val="nextTo"/>
        <c:crossAx val="340793600"/>
        <c:crosses val="autoZero"/>
        <c:auto val="1"/>
        <c:lblAlgn val="ctr"/>
        <c:lblOffset val="100"/>
        <c:noMultiLvlLbl val="0"/>
      </c:catAx>
    </c:plotArea>
    <c:legend>
      <c:legendPos val="t"/>
      <c:legendEntry>
        <c:idx val="0"/>
        <c:delete val="1"/>
      </c:legendEntry>
      <c:legendEntry>
        <c:idx val="1"/>
        <c:delete val="1"/>
      </c:legendEntry>
      <c:legendEntry>
        <c:idx val="2"/>
        <c:delete val="1"/>
      </c:legendEntry>
      <c:legendEntry>
        <c:idx val="3"/>
        <c:delete val="1"/>
      </c:legendEntry>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Planned demand - SPC</a:t>
            </a:r>
            <a:r>
              <a:rPr lang="en-US" baseline="0"/>
              <a:t> Chart</a:t>
            </a:r>
            <a:endParaRPr lang="en-US"/>
          </a:p>
        </c:rich>
      </c:tx>
      <c:overlay val="0"/>
    </c:title>
    <c:autoTitleDeleted val="0"/>
    <c:plotArea>
      <c:layout/>
      <c:barChart>
        <c:barDir val="col"/>
        <c:grouping val="clustered"/>
        <c:varyColors val="0"/>
        <c:ser>
          <c:idx val="1"/>
          <c:order val="6"/>
          <c:tx>
            <c:strRef>
              <c:f>'Planned background (hide)'!$AD$2</c:f>
              <c:strCache>
                <c:ptCount val="1"/>
                <c:pt idx="0">
                  <c:v>Baseline Selection</c:v>
                </c:pt>
              </c:strCache>
            </c:strRef>
          </c:tx>
          <c:spPr>
            <a:solidFill>
              <a:srgbClr val="CCCCFF">
                <a:alpha val="45000"/>
              </a:srgbClr>
            </a:solidFill>
          </c:spPr>
          <c:invertIfNegative val="0"/>
          <c:val>
            <c:numRef>
              <c:f>[0]!Plan_SPC_Baseline</c:f>
              <c:numCache>
                <c:formatCode>General</c:formatCode>
                <c:ptCount val="1"/>
                <c:pt idx="0">
                  <c:v>1</c:v>
                </c:pt>
              </c:numCache>
            </c:numRef>
          </c:val>
          <c:extLst>
            <c:ext xmlns:c16="http://schemas.microsoft.com/office/drawing/2014/chart" uri="{C3380CC4-5D6E-409C-BE32-E72D297353CC}">
              <c16:uniqueId val="{00000000-A4F4-476D-883B-B7CFBF0E47B0}"/>
            </c:ext>
          </c:extLst>
        </c:ser>
        <c:dLbls>
          <c:showLegendKey val="0"/>
          <c:showVal val="0"/>
          <c:showCatName val="0"/>
          <c:showSerName val="0"/>
          <c:showPercent val="0"/>
          <c:showBubbleSize val="0"/>
        </c:dLbls>
        <c:gapWidth val="0"/>
        <c:overlap val="100"/>
        <c:axId val="341536768"/>
        <c:axId val="341530880"/>
      </c:barChart>
      <c:lineChart>
        <c:grouping val="standard"/>
        <c:varyColors val="0"/>
        <c:ser>
          <c:idx val="3"/>
          <c:order val="0"/>
          <c:tx>
            <c:strRef>
              <c:f>'Planned background (hide)'!$AE$2</c:f>
              <c:strCache>
                <c:ptCount val="1"/>
                <c:pt idx="0">
                  <c:v>Planned Demand</c:v>
                </c:pt>
              </c:strCache>
            </c:strRef>
          </c:tx>
          <c:spPr>
            <a:ln>
              <a:solidFill>
                <a:schemeClr val="accent1"/>
              </a:solidFill>
            </a:ln>
          </c:spPr>
          <c:marker>
            <c:symbol val="none"/>
          </c:marker>
          <c:cat>
            <c:numRef>
              <c:f>[0]!Plan_SPC_Date</c:f>
              <c:numCache>
                <c:formatCode>0</c:formatCode>
                <c:ptCount val="1"/>
                <c:pt idx="0">
                  <c:v>1</c:v>
                </c:pt>
              </c:numCache>
            </c:numRef>
          </c:cat>
          <c:val>
            <c:numRef>
              <c:f>[0]!Plan_SPC_Demand</c:f>
              <c:numCache>
                <c:formatCode>#,##0</c:formatCode>
                <c:ptCount val="1"/>
                <c:pt idx="0">
                  <c:v>0</c:v>
                </c:pt>
              </c:numCache>
            </c:numRef>
          </c:val>
          <c:smooth val="0"/>
          <c:extLst>
            <c:ext xmlns:c16="http://schemas.microsoft.com/office/drawing/2014/chart" uri="{C3380CC4-5D6E-409C-BE32-E72D297353CC}">
              <c16:uniqueId val="{00000001-A4F4-476D-883B-B7CFBF0E47B0}"/>
            </c:ext>
          </c:extLst>
        </c:ser>
        <c:ser>
          <c:idx val="6"/>
          <c:order val="1"/>
          <c:tx>
            <c:strRef>
              <c:f>'Planned background (hide)'!$AH$2</c:f>
              <c:strCache>
                <c:ptCount val="1"/>
                <c:pt idx="0">
                  <c:v>Lower Control Limit</c:v>
                </c:pt>
              </c:strCache>
            </c:strRef>
          </c:tx>
          <c:spPr>
            <a:ln w="15875">
              <a:solidFill>
                <a:srgbClr val="00B050"/>
              </a:solidFill>
            </a:ln>
          </c:spPr>
          <c:marker>
            <c:symbol val="none"/>
          </c:marker>
          <c:cat>
            <c:numRef>
              <c:f>[0]!Plan_SPC_Date</c:f>
              <c:numCache>
                <c:formatCode>0</c:formatCode>
                <c:ptCount val="1"/>
                <c:pt idx="0">
                  <c:v>1</c:v>
                </c:pt>
              </c:numCache>
            </c:numRef>
          </c:cat>
          <c:val>
            <c:numRef>
              <c:f>[0]!Plan_SPC_LCL</c:f>
              <c:numCache>
                <c:formatCode>General</c:formatCode>
                <c:ptCount val="1"/>
                <c:pt idx="0">
                  <c:v>0</c:v>
                </c:pt>
              </c:numCache>
            </c:numRef>
          </c:val>
          <c:smooth val="0"/>
          <c:extLst>
            <c:ext xmlns:c16="http://schemas.microsoft.com/office/drawing/2014/chart" uri="{C3380CC4-5D6E-409C-BE32-E72D297353CC}">
              <c16:uniqueId val="{00000002-A4F4-476D-883B-B7CFBF0E47B0}"/>
            </c:ext>
          </c:extLst>
        </c:ser>
        <c:ser>
          <c:idx val="11"/>
          <c:order val="2"/>
          <c:tx>
            <c:strRef>
              <c:f>'Planned background (hide)'!$AM$2</c:f>
              <c:strCache>
                <c:ptCount val="1"/>
                <c:pt idx="0">
                  <c:v>Upper Control Limit</c:v>
                </c:pt>
              </c:strCache>
            </c:strRef>
          </c:tx>
          <c:spPr>
            <a:ln w="15875">
              <a:solidFill>
                <a:schemeClr val="tx2">
                  <a:lumMod val="40000"/>
                  <a:lumOff val="60000"/>
                </a:schemeClr>
              </a:solidFill>
            </a:ln>
          </c:spPr>
          <c:marker>
            <c:symbol val="none"/>
          </c:marker>
          <c:cat>
            <c:numRef>
              <c:f>[0]!Plan_SPC_Date</c:f>
              <c:numCache>
                <c:formatCode>0</c:formatCode>
                <c:ptCount val="1"/>
                <c:pt idx="0">
                  <c:v>1</c:v>
                </c:pt>
              </c:numCache>
            </c:numRef>
          </c:cat>
          <c:val>
            <c:numRef>
              <c:f>[0]!Plan_SPC_UCL</c:f>
              <c:numCache>
                <c:formatCode>General</c:formatCode>
                <c:ptCount val="1"/>
                <c:pt idx="0">
                  <c:v>0</c:v>
                </c:pt>
              </c:numCache>
            </c:numRef>
          </c:val>
          <c:smooth val="0"/>
          <c:extLst>
            <c:ext xmlns:c16="http://schemas.microsoft.com/office/drawing/2014/chart" uri="{C3380CC4-5D6E-409C-BE32-E72D297353CC}">
              <c16:uniqueId val="{00000003-A4F4-476D-883B-B7CFBF0E47B0}"/>
            </c:ext>
          </c:extLst>
        </c:ser>
        <c:ser>
          <c:idx val="12"/>
          <c:order val="3"/>
          <c:tx>
            <c:strRef>
              <c:f>'Planned background (hide)'!$AN$2</c:f>
              <c:strCache>
                <c:ptCount val="1"/>
                <c:pt idx="0">
                  <c:v>Lower Percentile Bound</c:v>
                </c:pt>
              </c:strCache>
            </c:strRef>
          </c:tx>
          <c:spPr>
            <a:ln w="12700">
              <a:solidFill>
                <a:schemeClr val="accent1"/>
              </a:solidFill>
              <a:prstDash val="dash"/>
            </a:ln>
          </c:spPr>
          <c:marker>
            <c:symbol val="none"/>
          </c:marker>
          <c:cat>
            <c:numRef>
              <c:f>[0]!Plan_SPC_Date</c:f>
              <c:numCache>
                <c:formatCode>0</c:formatCode>
                <c:ptCount val="1"/>
                <c:pt idx="0">
                  <c:v>1</c:v>
                </c:pt>
              </c:numCache>
            </c:numRef>
          </c:cat>
          <c:val>
            <c:numRef>
              <c:f>'Planned background (hide)'!$AN$3:$AN$54</c:f>
            </c:numRef>
          </c:val>
          <c:smooth val="0"/>
          <c:extLst>
            <c:ext xmlns:c16="http://schemas.microsoft.com/office/drawing/2014/chart" uri="{C3380CC4-5D6E-409C-BE32-E72D297353CC}">
              <c16:uniqueId val="{00000004-A4F4-476D-883B-B7CFBF0E47B0}"/>
            </c:ext>
          </c:extLst>
        </c:ser>
        <c:ser>
          <c:idx val="13"/>
          <c:order val="4"/>
          <c:tx>
            <c:strRef>
              <c:f>'Planned background (hide)'!$AO$2</c:f>
              <c:strCache>
                <c:ptCount val="1"/>
                <c:pt idx="0">
                  <c:v>Upper Percentile Bound</c:v>
                </c:pt>
              </c:strCache>
            </c:strRef>
          </c:tx>
          <c:spPr>
            <a:ln w="12700">
              <a:solidFill>
                <a:schemeClr val="accent4">
                  <a:lumMod val="75000"/>
                </a:schemeClr>
              </a:solidFill>
              <a:prstDash val="sysDash"/>
            </a:ln>
          </c:spPr>
          <c:marker>
            <c:symbol val="none"/>
          </c:marker>
          <c:cat>
            <c:numRef>
              <c:f>[0]!Plan_SPC_Date</c:f>
              <c:numCache>
                <c:formatCode>0</c:formatCode>
                <c:ptCount val="1"/>
                <c:pt idx="0">
                  <c:v>1</c:v>
                </c:pt>
              </c:numCache>
            </c:numRef>
          </c:cat>
          <c:val>
            <c:numRef>
              <c:f>'Planned background (hide)'!$AO$3:$AO$54</c:f>
            </c:numRef>
          </c:val>
          <c:smooth val="0"/>
          <c:extLst>
            <c:ext xmlns:c16="http://schemas.microsoft.com/office/drawing/2014/chart" uri="{C3380CC4-5D6E-409C-BE32-E72D297353CC}">
              <c16:uniqueId val="{00000005-A4F4-476D-883B-B7CFBF0E47B0}"/>
            </c:ext>
          </c:extLst>
        </c:ser>
        <c:ser>
          <c:idx val="0"/>
          <c:order val="5"/>
          <c:tx>
            <c:strRef>
              <c:f>'Planned background (hide)'!$AF$2</c:f>
              <c:strCache>
                <c:ptCount val="1"/>
                <c:pt idx="0">
                  <c:v>Mean</c:v>
                </c:pt>
              </c:strCache>
            </c:strRef>
          </c:tx>
          <c:spPr>
            <a:ln w="15875">
              <a:solidFill>
                <a:srgbClr val="768692"/>
              </a:solidFill>
            </a:ln>
          </c:spPr>
          <c:marker>
            <c:symbol val="none"/>
          </c:marker>
          <c:cat>
            <c:numRef>
              <c:f>[0]!Plan_SPC_Date</c:f>
              <c:numCache>
                <c:formatCode>0</c:formatCode>
                <c:ptCount val="1"/>
                <c:pt idx="0">
                  <c:v>1</c:v>
                </c:pt>
              </c:numCache>
            </c:numRef>
          </c:cat>
          <c:val>
            <c:numRef>
              <c:f>[0]!Plan_SPC_Mean</c:f>
              <c:numCache>
                <c:formatCode>#,##0</c:formatCode>
                <c:ptCount val="1"/>
                <c:pt idx="0">
                  <c:v>0</c:v>
                </c:pt>
              </c:numCache>
            </c:numRef>
          </c:val>
          <c:smooth val="0"/>
          <c:extLst>
            <c:ext xmlns:c16="http://schemas.microsoft.com/office/drawing/2014/chart" uri="{C3380CC4-5D6E-409C-BE32-E72D297353CC}">
              <c16:uniqueId val="{00000006-A4F4-476D-883B-B7CFBF0E47B0}"/>
            </c:ext>
          </c:extLst>
        </c:ser>
        <c:ser>
          <c:idx val="2"/>
          <c:order val="7"/>
          <c:tx>
            <c:strRef>
              <c:f>'Planned background (hide)'!$AP$2</c:f>
              <c:strCache>
                <c:ptCount val="1"/>
                <c:pt idx="0">
                  <c:v>1</c:v>
                </c:pt>
              </c:strCache>
            </c:strRef>
          </c:tx>
          <c:spPr>
            <a:ln>
              <a:noFill/>
            </a:ln>
          </c:spPr>
          <c:marker>
            <c:symbol val="square"/>
            <c:size val="5"/>
            <c:spPr>
              <a:solidFill>
                <a:srgbClr val="C0504D"/>
              </a:solidFill>
            </c:spPr>
          </c:marker>
          <c:cat>
            <c:numRef>
              <c:f>[0]!Plan_SPC_Date</c:f>
              <c:numCache>
                <c:formatCode>0</c:formatCode>
                <c:ptCount val="1"/>
                <c:pt idx="0">
                  <c:v>1</c:v>
                </c:pt>
              </c:numCache>
            </c:numRef>
          </c:cat>
          <c:val>
            <c:numRef>
              <c:f>[0]!Plan_SPC_R1</c:f>
              <c:numCache>
                <c:formatCode>General</c:formatCode>
                <c:ptCount val="1"/>
                <c:pt idx="0">
                  <c:v>#N/A</c:v>
                </c:pt>
              </c:numCache>
            </c:numRef>
          </c:val>
          <c:smooth val="0"/>
          <c:extLst>
            <c:ext xmlns:c16="http://schemas.microsoft.com/office/drawing/2014/chart" uri="{C3380CC4-5D6E-409C-BE32-E72D297353CC}">
              <c16:uniqueId val="{00000007-A4F4-476D-883B-B7CFBF0E47B0}"/>
            </c:ext>
          </c:extLst>
        </c:ser>
        <c:ser>
          <c:idx val="4"/>
          <c:order val="8"/>
          <c:tx>
            <c:strRef>
              <c:f>'Planned background (hide)'!$AR$2</c:f>
              <c:strCache>
                <c:ptCount val="1"/>
                <c:pt idx="0">
                  <c:v>2</c:v>
                </c:pt>
              </c:strCache>
            </c:strRef>
          </c:tx>
          <c:spPr>
            <a:ln>
              <a:noFill/>
            </a:ln>
          </c:spPr>
          <c:marker>
            <c:symbol val="square"/>
            <c:size val="5"/>
            <c:spPr>
              <a:solidFill>
                <a:srgbClr val="9BBB59"/>
              </a:solidFill>
            </c:spPr>
          </c:marker>
          <c:cat>
            <c:numRef>
              <c:f>[0]!Plan_SPC_Date</c:f>
              <c:numCache>
                <c:formatCode>0</c:formatCode>
                <c:ptCount val="1"/>
                <c:pt idx="0">
                  <c:v>1</c:v>
                </c:pt>
              </c:numCache>
            </c:numRef>
          </c:cat>
          <c:val>
            <c:numRef>
              <c:f>[0]!Plan_SPC_R2</c:f>
              <c:numCache>
                <c:formatCode>General</c:formatCode>
                <c:ptCount val="1"/>
              </c:numCache>
            </c:numRef>
          </c:val>
          <c:smooth val="0"/>
          <c:extLst>
            <c:ext xmlns:c16="http://schemas.microsoft.com/office/drawing/2014/chart" uri="{C3380CC4-5D6E-409C-BE32-E72D297353CC}">
              <c16:uniqueId val="{00000008-A4F4-476D-883B-B7CFBF0E47B0}"/>
            </c:ext>
          </c:extLst>
        </c:ser>
        <c:ser>
          <c:idx val="5"/>
          <c:order val="9"/>
          <c:tx>
            <c:strRef>
              <c:f>'Planned background (hide)'!$AT$2</c:f>
              <c:strCache>
                <c:ptCount val="1"/>
                <c:pt idx="0">
                  <c:v>3</c:v>
                </c:pt>
              </c:strCache>
            </c:strRef>
          </c:tx>
          <c:spPr>
            <a:ln>
              <a:noFill/>
            </a:ln>
          </c:spPr>
          <c:marker>
            <c:symbol val="square"/>
            <c:size val="5"/>
            <c:spPr>
              <a:solidFill>
                <a:srgbClr val="8064A2"/>
              </a:solidFill>
            </c:spPr>
          </c:marker>
          <c:cat>
            <c:numRef>
              <c:f>[0]!Plan_SPC_Date</c:f>
              <c:numCache>
                <c:formatCode>0</c:formatCode>
                <c:ptCount val="1"/>
                <c:pt idx="0">
                  <c:v>1</c:v>
                </c:pt>
              </c:numCache>
            </c:numRef>
          </c:cat>
          <c:val>
            <c:numRef>
              <c:f>[0]!Plan_SPC_R3</c:f>
              <c:numCache>
                <c:formatCode>General</c:formatCode>
                <c:ptCount val="1"/>
              </c:numCache>
            </c:numRef>
          </c:val>
          <c:smooth val="0"/>
          <c:extLst>
            <c:ext xmlns:c16="http://schemas.microsoft.com/office/drawing/2014/chart" uri="{C3380CC4-5D6E-409C-BE32-E72D297353CC}">
              <c16:uniqueId val="{00000009-A4F4-476D-883B-B7CFBF0E47B0}"/>
            </c:ext>
          </c:extLst>
        </c:ser>
        <c:ser>
          <c:idx val="7"/>
          <c:order val="10"/>
          <c:tx>
            <c:strRef>
              <c:f>'Planned background (hide)'!$AV$2</c:f>
              <c:strCache>
                <c:ptCount val="1"/>
                <c:pt idx="0">
                  <c:v>4</c:v>
                </c:pt>
              </c:strCache>
            </c:strRef>
          </c:tx>
          <c:spPr>
            <a:ln>
              <a:noFill/>
            </a:ln>
          </c:spPr>
          <c:marker>
            <c:symbol val="square"/>
            <c:size val="5"/>
            <c:spPr>
              <a:solidFill>
                <a:srgbClr val="F79646"/>
              </a:solidFill>
            </c:spPr>
          </c:marker>
          <c:cat>
            <c:numRef>
              <c:f>[0]!Plan_SPC_Date</c:f>
              <c:numCache>
                <c:formatCode>0</c:formatCode>
                <c:ptCount val="1"/>
                <c:pt idx="0">
                  <c:v>1</c:v>
                </c:pt>
              </c:numCache>
            </c:numRef>
          </c:cat>
          <c:val>
            <c:numRef>
              <c:f>[0]!Plan_SPC_R4</c:f>
              <c:numCache>
                <c:formatCode>General</c:formatCode>
                <c:ptCount val="1"/>
              </c:numCache>
            </c:numRef>
          </c:val>
          <c:smooth val="0"/>
          <c:extLst>
            <c:ext xmlns:c16="http://schemas.microsoft.com/office/drawing/2014/chart" uri="{C3380CC4-5D6E-409C-BE32-E72D297353CC}">
              <c16:uniqueId val="{0000000A-A4F4-476D-883B-B7CFBF0E47B0}"/>
            </c:ext>
          </c:extLst>
        </c:ser>
        <c:dLbls>
          <c:showLegendKey val="0"/>
          <c:showVal val="0"/>
          <c:showCatName val="0"/>
          <c:showSerName val="0"/>
          <c:showPercent val="0"/>
          <c:showBubbleSize val="0"/>
        </c:dLbls>
        <c:marker val="1"/>
        <c:smooth val="0"/>
        <c:axId val="341527168"/>
        <c:axId val="341529344"/>
      </c:lineChart>
      <c:catAx>
        <c:axId val="341527168"/>
        <c:scaling>
          <c:orientation val="minMax"/>
        </c:scaling>
        <c:delete val="0"/>
        <c:axPos val="b"/>
        <c:numFmt formatCode="General" sourceLinked="0"/>
        <c:majorTickMark val="none"/>
        <c:minorTickMark val="none"/>
        <c:tickLblPos val="nextTo"/>
        <c:crossAx val="341529344"/>
        <c:crosses val="autoZero"/>
        <c:auto val="1"/>
        <c:lblAlgn val="ctr"/>
        <c:lblOffset val="100"/>
        <c:noMultiLvlLbl val="1"/>
      </c:catAx>
      <c:valAx>
        <c:axId val="341529344"/>
        <c:scaling>
          <c:orientation val="minMax"/>
        </c:scaling>
        <c:delete val="0"/>
        <c:axPos val="l"/>
        <c:majorGridlines>
          <c:spPr>
            <a:ln>
              <a:solidFill>
                <a:schemeClr val="bg1"/>
              </a:solidFill>
            </a:ln>
          </c:spPr>
        </c:majorGridlines>
        <c:numFmt formatCode="#,##0" sourceLinked="1"/>
        <c:majorTickMark val="out"/>
        <c:minorTickMark val="none"/>
        <c:tickLblPos val="nextTo"/>
        <c:crossAx val="341527168"/>
        <c:crosses val="autoZero"/>
        <c:crossBetween val="between"/>
      </c:valAx>
      <c:valAx>
        <c:axId val="341530880"/>
        <c:scaling>
          <c:orientation val="minMax"/>
          <c:max val="1"/>
        </c:scaling>
        <c:delete val="0"/>
        <c:axPos val="r"/>
        <c:numFmt formatCode="General" sourceLinked="1"/>
        <c:majorTickMark val="none"/>
        <c:minorTickMark val="none"/>
        <c:tickLblPos val="none"/>
        <c:crossAx val="341536768"/>
        <c:crosses val="max"/>
        <c:crossBetween val="between"/>
      </c:valAx>
      <c:catAx>
        <c:axId val="341536768"/>
        <c:scaling>
          <c:orientation val="minMax"/>
        </c:scaling>
        <c:delete val="1"/>
        <c:axPos val="b"/>
        <c:majorTickMark val="out"/>
        <c:minorTickMark val="none"/>
        <c:tickLblPos val="nextTo"/>
        <c:crossAx val="341530880"/>
        <c:crosses val="autoZero"/>
        <c:auto val="1"/>
        <c:lblAlgn val="ctr"/>
        <c:lblOffset val="100"/>
        <c:noMultiLvlLbl val="0"/>
      </c:catAx>
    </c:plotArea>
    <c:legend>
      <c:legendPos val="t"/>
      <c:legendEntry>
        <c:idx val="0"/>
        <c:delete val="1"/>
      </c:legendEntry>
      <c:legendEntry>
        <c:idx val="1"/>
        <c:delete val="1"/>
      </c:legendEntry>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'Capacity calculation (hide)'!$I$1</c:f>
          <c:strCache>
            <c:ptCount val="1"/>
            <c:pt idx="0">
              <c:v>Capacity summary (patients)</c:v>
            </c:pt>
          </c:strCache>
        </c:strRef>
      </c:tx>
      <c:overlay val="0"/>
      <c:txPr>
        <a:bodyPr/>
        <a:lstStyle/>
        <a:p>
          <a:pPr>
            <a:defRPr/>
          </a:pPr>
          <a:endParaRPr lang="en-US"/>
        </a:p>
      </c:txPr>
    </c:title>
    <c:autoTitleDeleted val="0"/>
    <c:plotArea>
      <c:layout>
        <c:manualLayout>
          <c:layoutTarget val="inner"/>
          <c:xMode val="edge"/>
          <c:yMode val="edge"/>
          <c:x val="4.8518545780694484E-2"/>
          <c:y val="0.1930283659837925"/>
          <c:w val="0.93662159850775983"/>
          <c:h val="0.66051792760040662"/>
        </c:manualLayout>
      </c:layout>
      <c:barChart>
        <c:barDir val="col"/>
        <c:grouping val="stacked"/>
        <c:varyColors val="0"/>
        <c:ser>
          <c:idx val="0"/>
          <c:order val="0"/>
          <c:tx>
            <c:v>Core</c:v>
          </c:tx>
          <c:spPr>
            <a:solidFill>
              <a:schemeClr val="tx2"/>
            </a:solidFill>
          </c:spPr>
          <c:invertIfNegative val="0"/>
          <c:cat>
            <c:numRef>
              <c:f>[0]!Cap_Chart_Xaxis</c:f>
              <c:numCache>
                <c:formatCode>m/d/yyyy</c:formatCode>
                <c:ptCount val="52"/>
                <c:pt idx="0">
                  <c:v>43934</c:v>
                </c:pt>
                <c:pt idx="1">
                  <c:v>43941</c:v>
                </c:pt>
                <c:pt idx="2">
                  <c:v>43948</c:v>
                </c:pt>
                <c:pt idx="3">
                  <c:v>43955</c:v>
                </c:pt>
                <c:pt idx="4">
                  <c:v>43962</c:v>
                </c:pt>
                <c:pt idx="5">
                  <c:v>43969</c:v>
                </c:pt>
                <c:pt idx="6">
                  <c:v>43976</c:v>
                </c:pt>
                <c:pt idx="7">
                  <c:v>43983</c:v>
                </c:pt>
                <c:pt idx="8">
                  <c:v>43990</c:v>
                </c:pt>
                <c:pt idx="9">
                  <c:v>43997</c:v>
                </c:pt>
                <c:pt idx="10">
                  <c:v>44004</c:v>
                </c:pt>
                <c:pt idx="11">
                  <c:v>44011</c:v>
                </c:pt>
                <c:pt idx="12">
                  <c:v>44018</c:v>
                </c:pt>
                <c:pt idx="13">
                  <c:v>44025</c:v>
                </c:pt>
                <c:pt idx="14">
                  <c:v>44032</c:v>
                </c:pt>
                <c:pt idx="15">
                  <c:v>44039</c:v>
                </c:pt>
                <c:pt idx="16">
                  <c:v>44046</c:v>
                </c:pt>
                <c:pt idx="17">
                  <c:v>44053</c:v>
                </c:pt>
                <c:pt idx="18">
                  <c:v>44060</c:v>
                </c:pt>
                <c:pt idx="19">
                  <c:v>44067</c:v>
                </c:pt>
                <c:pt idx="20">
                  <c:v>44074</c:v>
                </c:pt>
                <c:pt idx="21">
                  <c:v>44081</c:v>
                </c:pt>
                <c:pt idx="22">
                  <c:v>44088</c:v>
                </c:pt>
                <c:pt idx="23">
                  <c:v>44095</c:v>
                </c:pt>
                <c:pt idx="24">
                  <c:v>44102</c:v>
                </c:pt>
                <c:pt idx="25">
                  <c:v>44109</c:v>
                </c:pt>
                <c:pt idx="26">
                  <c:v>44116</c:v>
                </c:pt>
                <c:pt idx="27">
                  <c:v>44123</c:v>
                </c:pt>
                <c:pt idx="28">
                  <c:v>44130</c:v>
                </c:pt>
                <c:pt idx="29">
                  <c:v>44137</c:v>
                </c:pt>
                <c:pt idx="30">
                  <c:v>44144</c:v>
                </c:pt>
                <c:pt idx="31">
                  <c:v>44151</c:v>
                </c:pt>
                <c:pt idx="32">
                  <c:v>44158</c:v>
                </c:pt>
                <c:pt idx="33">
                  <c:v>44165</c:v>
                </c:pt>
                <c:pt idx="34">
                  <c:v>44172</c:v>
                </c:pt>
                <c:pt idx="35">
                  <c:v>44179</c:v>
                </c:pt>
                <c:pt idx="36">
                  <c:v>44186</c:v>
                </c:pt>
                <c:pt idx="37">
                  <c:v>44193</c:v>
                </c:pt>
                <c:pt idx="38">
                  <c:v>44200</c:v>
                </c:pt>
                <c:pt idx="39">
                  <c:v>44207</c:v>
                </c:pt>
                <c:pt idx="40">
                  <c:v>44214</c:v>
                </c:pt>
                <c:pt idx="41">
                  <c:v>44221</c:v>
                </c:pt>
                <c:pt idx="42">
                  <c:v>44228</c:v>
                </c:pt>
                <c:pt idx="43">
                  <c:v>44235</c:v>
                </c:pt>
                <c:pt idx="44">
                  <c:v>44242</c:v>
                </c:pt>
                <c:pt idx="45">
                  <c:v>44249</c:v>
                </c:pt>
                <c:pt idx="46">
                  <c:v>44256</c:v>
                </c:pt>
                <c:pt idx="47">
                  <c:v>44263</c:v>
                </c:pt>
                <c:pt idx="48">
                  <c:v>44270</c:v>
                </c:pt>
                <c:pt idx="49">
                  <c:v>44277</c:v>
                </c:pt>
                <c:pt idx="50">
                  <c:v>44284</c:v>
                </c:pt>
                <c:pt idx="51">
                  <c:v>44291</c:v>
                </c:pt>
              </c:numCache>
            </c:numRef>
          </c:cat>
          <c:val>
            <c:numRef>
              <c:f>[0]!Cap_Chart_Core_Range</c:f>
              <c:numCache>
                <c:formatCode>#,##0</c:formatCode>
                <c:ptCount val="52"/>
                <c:pt idx="0">
                  <c:v>20</c:v>
                </c:pt>
                <c:pt idx="1">
                  <c:v>20</c:v>
                </c:pt>
                <c:pt idx="2">
                  <c:v>20</c:v>
                </c:pt>
                <c:pt idx="3">
                  <c:v>20</c:v>
                </c:pt>
                <c:pt idx="4">
                  <c:v>20</c:v>
                </c:pt>
                <c:pt idx="5">
                  <c:v>20</c:v>
                </c:pt>
                <c:pt idx="6">
                  <c:v>40</c:v>
                </c:pt>
                <c:pt idx="7">
                  <c:v>80</c:v>
                </c:pt>
                <c:pt idx="8">
                  <c:v>100</c:v>
                </c:pt>
                <c:pt idx="9">
                  <c:v>100</c:v>
                </c:pt>
                <c:pt idx="10">
                  <c:v>100</c:v>
                </c:pt>
                <c:pt idx="11">
                  <c:v>100</c:v>
                </c:pt>
                <c:pt idx="12">
                  <c:v>80.769230769230774</c:v>
                </c:pt>
                <c:pt idx="13">
                  <c:v>80.769230769230774</c:v>
                </c:pt>
                <c:pt idx="14">
                  <c:v>80.769230769230774</c:v>
                </c:pt>
                <c:pt idx="15">
                  <c:v>80.769230769230774</c:v>
                </c:pt>
                <c:pt idx="16">
                  <c:v>80.769230769230774</c:v>
                </c:pt>
                <c:pt idx="17">
                  <c:v>80.769230769230774</c:v>
                </c:pt>
                <c:pt idx="18">
                  <c:v>80.769230769230774</c:v>
                </c:pt>
                <c:pt idx="19">
                  <c:v>80.769230769230774</c:v>
                </c:pt>
                <c:pt idx="20">
                  <c:v>80.769230769230774</c:v>
                </c:pt>
                <c:pt idx="21">
                  <c:v>80.769230769230774</c:v>
                </c:pt>
                <c:pt idx="22">
                  <c:v>80.769230769230774</c:v>
                </c:pt>
                <c:pt idx="23">
                  <c:v>80.769230769230774</c:v>
                </c:pt>
                <c:pt idx="24">
                  <c:v>80.769230769230774</c:v>
                </c:pt>
                <c:pt idx="25">
                  <c:v>80.769230769230774</c:v>
                </c:pt>
                <c:pt idx="26">
                  <c:v>80.769230769230774</c:v>
                </c:pt>
                <c:pt idx="27">
                  <c:v>80.769230769230774</c:v>
                </c:pt>
                <c:pt idx="28">
                  <c:v>80.769230769230774</c:v>
                </c:pt>
                <c:pt idx="29">
                  <c:v>80.769230769230774</c:v>
                </c:pt>
                <c:pt idx="30">
                  <c:v>80.769230769230774</c:v>
                </c:pt>
                <c:pt idx="31">
                  <c:v>80.769230769230774</c:v>
                </c:pt>
                <c:pt idx="32">
                  <c:v>80.769230769230774</c:v>
                </c:pt>
                <c:pt idx="33">
                  <c:v>80.769230769230774</c:v>
                </c:pt>
                <c:pt idx="34">
                  <c:v>80.769230769230774</c:v>
                </c:pt>
                <c:pt idx="35">
                  <c:v>80.769230769230774</c:v>
                </c:pt>
                <c:pt idx="36">
                  <c:v>80.769230769230774</c:v>
                </c:pt>
                <c:pt idx="37">
                  <c:v>80.769230769230774</c:v>
                </c:pt>
                <c:pt idx="38">
                  <c:v>80.769230769230774</c:v>
                </c:pt>
                <c:pt idx="39">
                  <c:v>80.769230769230774</c:v>
                </c:pt>
                <c:pt idx="40">
                  <c:v>80.769230769230774</c:v>
                </c:pt>
                <c:pt idx="41">
                  <c:v>80.769230769230774</c:v>
                </c:pt>
                <c:pt idx="42">
                  <c:v>80.769230769230774</c:v>
                </c:pt>
                <c:pt idx="43">
                  <c:v>80.769230769230774</c:v>
                </c:pt>
                <c:pt idx="44">
                  <c:v>80.769230769230774</c:v>
                </c:pt>
                <c:pt idx="45">
                  <c:v>80.769230769230774</c:v>
                </c:pt>
                <c:pt idx="46">
                  <c:v>80.769230769230774</c:v>
                </c:pt>
                <c:pt idx="47">
                  <c:v>80.769230769230774</c:v>
                </c:pt>
                <c:pt idx="48">
                  <c:v>80.769230769230774</c:v>
                </c:pt>
                <c:pt idx="49">
                  <c:v>80.769230769230774</c:v>
                </c:pt>
                <c:pt idx="50">
                  <c:v>80.769230769230774</c:v>
                </c:pt>
                <c:pt idx="51">
                  <c:v>80.769230769230774</c:v>
                </c:pt>
              </c:numCache>
            </c:numRef>
          </c:val>
          <c:extLst>
            <c:ext xmlns:c16="http://schemas.microsoft.com/office/drawing/2014/chart" uri="{C3380CC4-5D6E-409C-BE32-E72D297353CC}">
              <c16:uniqueId val="{00000000-E972-4F3E-97D5-C675FAA2DE91}"/>
            </c:ext>
          </c:extLst>
        </c:ser>
        <c:ser>
          <c:idx val="1"/>
          <c:order val="1"/>
          <c:tx>
            <c:v>Ad hoc</c:v>
          </c:tx>
          <c:spPr>
            <a:solidFill>
              <a:schemeClr val="accent5"/>
            </a:solidFill>
          </c:spPr>
          <c:invertIfNegative val="0"/>
          <c:cat>
            <c:numRef>
              <c:f>[0]!Cap_Chart_Xaxis</c:f>
              <c:numCache>
                <c:formatCode>m/d/yyyy</c:formatCode>
                <c:ptCount val="52"/>
                <c:pt idx="0">
                  <c:v>43934</c:v>
                </c:pt>
                <c:pt idx="1">
                  <c:v>43941</c:v>
                </c:pt>
                <c:pt idx="2">
                  <c:v>43948</c:v>
                </c:pt>
                <c:pt idx="3">
                  <c:v>43955</c:v>
                </c:pt>
                <c:pt idx="4">
                  <c:v>43962</c:v>
                </c:pt>
                <c:pt idx="5">
                  <c:v>43969</c:v>
                </c:pt>
                <c:pt idx="6">
                  <c:v>43976</c:v>
                </c:pt>
                <c:pt idx="7">
                  <c:v>43983</c:v>
                </c:pt>
                <c:pt idx="8">
                  <c:v>43990</c:v>
                </c:pt>
                <c:pt idx="9">
                  <c:v>43997</c:v>
                </c:pt>
                <c:pt idx="10">
                  <c:v>44004</c:v>
                </c:pt>
                <c:pt idx="11">
                  <c:v>44011</c:v>
                </c:pt>
                <c:pt idx="12">
                  <c:v>44018</c:v>
                </c:pt>
                <c:pt idx="13">
                  <c:v>44025</c:v>
                </c:pt>
                <c:pt idx="14">
                  <c:v>44032</c:v>
                </c:pt>
                <c:pt idx="15">
                  <c:v>44039</c:v>
                </c:pt>
                <c:pt idx="16">
                  <c:v>44046</c:v>
                </c:pt>
                <c:pt idx="17">
                  <c:v>44053</c:v>
                </c:pt>
                <c:pt idx="18">
                  <c:v>44060</c:v>
                </c:pt>
                <c:pt idx="19">
                  <c:v>44067</c:v>
                </c:pt>
                <c:pt idx="20">
                  <c:v>44074</c:v>
                </c:pt>
                <c:pt idx="21">
                  <c:v>44081</c:v>
                </c:pt>
                <c:pt idx="22">
                  <c:v>44088</c:v>
                </c:pt>
                <c:pt idx="23">
                  <c:v>44095</c:v>
                </c:pt>
                <c:pt idx="24">
                  <c:v>44102</c:v>
                </c:pt>
                <c:pt idx="25">
                  <c:v>44109</c:v>
                </c:pt>
                <c:pt idx="26">
                  <c:v>44116</c:v>
                </c:pt>
                <c:pt idx="27">
                  <c:v>44123</c:v>
                </c:pt>
                <c:pt idx="28">
                  <c:v>44130</c:v>
                </c:pt>
                <c:pt idx="29">
                  <c:v>44137</c:v>
                </c:pt>
                <c:pt idx="30">
                  <c:v>44144</c:v>
                </c:pt>
                <c:pt idx="31">
                  <c:v>44151</c:v>
                </c:pt>
                <c:pt idx="32">
                  <c:v>44158</c:v>
                </c:pt>
                <c:pt idx="33">
                  <c:v>44165</c:v>
                </c:pt>
                <c:pt idx="34">
                  <c:v>44172</c:v>
                </c:pt>
                <c:pt idx="35">
                  <c:v>44179</c:v>
                </c:pt>
                <c:pt idx="36">
                  <c:v>44186</c:v>
                </c:pt>
                <c:pt idx="37">
                  <c:v>44193</c:v>
                </c:pt>
                <c:pt idx="38">
                  <c:v>44200</c:v>
                </c:pt>
                <c:pt idx="39">
                  <c:v>44207</c:v>
                </c:pt>
                <c:pt idx="40">
                  <c:v>44214</c:v>
                </c:pt>
                <c:pt idx="41">
                  <c:v>44221</c:v>
                </c:pt>
                <c:pt idx="42">
                  <c:v>44228</c:v>
                </c:pt>
                <c:pt idx="43">
                  <c:v>44235</c:v>
                </c:pt>
                <c:pt idx="44">
                  <c:v>44242</c:v>
                </c:pt>
                <c:pt idx="45">
                  <c:v>44249</c:v>
                </c:pt>
                <c:pt idx="46">
                  <c:v>44256</c:v>
                </c:pt>
                <c:pt idx="47">
                  <c:v>44263</c:v>
                </c:pt>
                <c:pt idx="48">
                  <c:v>44270</c:v>
                </c:pt>
                <c:pt idx="49">
                  <c:v>44277</c:v>
                </c:pt>
                <c:pt idx="50">
                  <c:v>44284</c:v>
                </c:pt>
                <c:pt idx="51">
                  <c:v>44291</c:v>
                </c:pt>
              </c:numCache>
            </c:numRef>
          </c:cat>
          <c:val>
            <c:numRef>
              <c:f>[0]!Cap_Chart_Adhoc_Range</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10</c:v>
                </c:pt>
                <c:pt idx="13">
                  <c:v>10</c:v>
                </c:pt>
                <c:pt idx="14">
                  <c:v>10</c:v>
                </c:pt>
                <c:pt idx="15">
                  <c:v>0</c:v>
                </c:pt>
                <c:pt idx="16">
                  <c:v>10</c:v>
                </c:pt>
                <c:pt idx="17">
                  <c:v>10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0-5A2F-4CC4-BD15-4EA20BAA07DE}"/>
            </c:ext>
          </c:extLst>
        </c:ser>
        <c:dLbls>
          <c:showLegendKey val="0"/>
          <c:showVal val="0"/>
          <c:showCatName val="0"/>
          <c:showSerName val="0"/>
          <c:showPercent val="0"/>
          <c:showBubbleSize val="0"/>
        </c:dLbls>
        <c:gapWidth val="0"/>
        <c:overlap val="100"/>
        <c:axId val="342488960"/>
        <c:axId val="342490496"/>
      </c:barChart>
      <c:lineChart>
        <c:grouping val="stacked"/>
        <c:varyColors val="0"/>
        <c:ser>
          <c:idx val="2"/>
          <c:order val="2"/>
          <c:tx>
            <c:v>Demand (Lower)</c:v>
          </c:tx>
          <c:marker>
            <c:symbol val="none"/>
          </c:marker>
          <c:val>
            <c:numRef>
              <c:f>'Summary Calculations (hide)'!$T$15:$T$66</c:f>
              <c:numCache>
                <c:formatCode>#,##0</c:formatCode>
                <c:ptCount val="52"/>
                <c:pt idx="0">
                  <c:v>5.0017499999999995</c:v>
                </c:pt>
                <c:pt idx="1">
                  <c:v>5.0017499999999995</c:v>
                </c:pt>
                <c:pt idx="2">
                  <c:v>5.0017499999999995</c:v>
                </c:pt>
                <c:pt idx="3">
                  <c:v>5.0017499999999995</c:v>
                </c:pt>
                <c:pt idx="4">
                  <c:v>5.0017499999999995</c:v>
                </c:pt>
                <c:pt idx="5">
                  <c:v>27.009449999999998</c:v>
                </c:pt>
                <c:pt idx="6">
                  <c:v>49.017149999999994</c:v>
                </c:pt>
                <c:pt idx="7">
                  <c:v>71.024850000000001</c:v>
                </c:pt>
                <c:pt idx="8">
                  <c:v>96.033599999999979</c:v>
                </c:pt>
                <c:pt idx="9">
                  <c:v>95.033249999999995</c:v>
                </c:pt>
                <c:pt idx="10">
                  <c:v>96.033599999999979</c:v>
                </c:pt>
                <c:pt idx="11">
                  <c:v>74.025899999999993</c:v>
                </c:pt>
                <c:pt idx="12">
                  <c:v>65.022750000000002</c:v>
                </c:pt>
                <c:pt idx="13">
                  <c:v>68.023799999999994</c:v>
                </c:pt>
                <c:pt idx="14">
                  <c:v>69.024149999999992</c:v>
                </c:pt>
                <c:pt idx="15">
                  <c:v>63.022049999999993</c:v>
                </c:pt>
                <c:pt idx="16">
                  <c:v>76.026600000000002</c:v>
                </c:pt>
                <c:pt idx="17">
                  <c:v>64.02239999999999</c:v>
                </c:pt>
                <c:pt idx="18">
                  <c:v>76.026600000000002</c:v>
                </c:pt>
                <c:pt idx="19">
                  <c:v>69.024149999999992</c:v>
                </c:pt>
                <c:pt idx="20">
                  <c:v>80.027999999999992</c:v>
                </c:pt>
                <c:pt idx="21">
                  <c:v>73.025549999999996</c:v>
                </c:pt>
                <c:pt idx="22">
                  <c:v>74.025899999999993</c:v>
                </c:pt>
                <c:pt idx="23">
                  <c:v>65.022750000000002</c:v>
                </c:pt>
                <c:pt idx="24">
                  <c:v>65.022750000000002</c:v>
                </c:pt>
                <c:pt idx="25">
                  <c:v>60.020999999999994</c:v>
                </c:pt>
                <c:pt idx="26">
                  <c:v>62.021699999999996</c:v>
                </c:pt>
                <c:pt idx="27">
                  <c:v>70.024499999999989</c:v>
                </c:pt>
                <c:pt idx="28">
                  <c:v>74.025899999999993</c:v>
                </c:pt>
                <c:pt idx="29">
                  <c:v>75.02624999999999</c:v>
                </c:pt>
                <c:pt idx="30">
                  <c:v>71.024850000000001</c:v>
                </c:pt>
                <c:pt idx="31">
                  <c:v>66.023099999999985</c:v>
                </c:pt>
                <c:pt idx="32">
                  <c:v>68.023799999999994</c:v>
                </c:pt>
                <c:pt idx="33">
                  <c:v>70.024499999999989</c:v>
                </c:pt>
                <c:pt idx="34">
                  <c:v>72.025199999999984</c:v>
                </c:pt>
                <c:pt idx="35">
                  <c:v>62.021699999999996</c:v>
                </c:pt>
                <c:pt idx="36">
                  <c:v>71.024850000000001</c:v>
                </c:pt>
                <c:pt idx="37">
                  <c:v>71.024850000000001</c:v>
                </c:pt>
                <c:pt idx="38">
                  <c:v>70.024499999999989</c:v>
                </c:pt>
                <c:pt idx="39">
                  <c:v>65.022750000000002</c:v>
                </c:pt>
                <c:pt idx="40">
                  <c:v>60.020999999999994</c:v>
                </c:pt>
                <c:pt idx="41">
                  <c:v>75.02624999999999</c:v>
                </c:pt>
                <c:pt idx="42">
                  <c:v>77.026949999999985</c:v>
                </c:pt>
                <c:pt idx="43">
                  <c:v>70.024499999999989</c:v>
                </c:pt>
                <c:pt idx="44">
                  <c:v>68.023799999999994</c:v>
                </c:pt>
                <c:pt idx="45">
                  <c:v>76.026600000000002</c:v>
                </c:pt>
                <c:pt idx="46">
                  <c:v>74.025899999999993</c:v>
                </c:pt>
                <c:pt idx="47">
                  <c:v>74.025899999999993</c:v>
                </c:pt>
                <c:pt idx="48">
                  <c:v>70.024499999999989</c:v>
                </c:pt>
                <c:pt idx="49">
                  <c:v>76.026600000000002</c:v>
                </c:pt>
                <c:pt idx="50">
                  <c:v>73.025549999999996</c:v>
                </c:pt>
                <c:pt idx="51">
                  <c:v>65.022750000000002</c:v>
                </c:pt>
              </c:numCache>
            </c:numRef>
          </c:val>
          <c:smooth val="0"/>
          <c:extLst>
            <c:ext xmlns:c16="http://schemas.microsoft.com/office/drawing/2014/chart" uri="{C3380CC4-5D6E-409C-BE32-E72D297353CC}">
              <c16:uniqueId val="{00000001-DBE3-4889-A3EF-E8E11A66346E}"/>
            </c:ext>
          </c:extLst>
        </c:ser>
        <c:ser>
          <c:idx val="3"/>
          <c:order val="3"/>
          <c:tx>
            <c:v>Demand (Upper)</c:v>
          </c:tx>
          <c:marker>
            <c:symbol val="none"/>
          </c:marker>
          <c:val>
            <c:numRef>
              <c:f>'Summary Calculations (hide)'!$U$15:$U$66</c:f>
              <c:numCache>
                <c:formatCode>#,##0</c:formatCode>
                <c:ptCount val="52"/>
                <c:pt idx="0">
                  <c:v>1.5005249999999997</c:v>
                </c:pt>
                <c:pt idx="1">
                  <c:v>1.5005249999999997</c:v>
                </c:pt>
                <c:pt idx="2">
                  <c:v>1.5005249999999997</c:v>
                </c:pt>
                <c:pt idx="3">
                  <c:v>1.5005249999999997</c:v>
                </c:pt>
                <c:pt idx="4">
                  <c:v>1.5005249999999997</c:v>
                </c:pt>
                <c:pt idx="5">
                  <c:v>1.5005249999999997</c:v>
                </c:pt>
                <c:pt idx="6">
                  <c:v>1.5005249999999961</c:v>
                </c:pt>
                <c:pt idx="7">
                  <c:v>1.5005249999999961</c:v>
                </c:pt>
                <c:pt idx="8">
                  <c:v>7.1024850000000299</c:v>
                </c:pt>
                <c:pt idx="9">
                  <c:v>7.0024499999999961</c:v>
                </c:pt>
                <c:pt idx="10">
                  <c:v>7.6026600000000144</c:v>
                </c:pt>
                <c:pt idx="11">
                  <c:v>6.9024150000000049</c:v>
                </c:pt>
                <c:pt idx="12">
                  <c:v>6.0020999999999987</c:v>
                </c:pt>
                <c:pt idx="13">
                  <c:v>6.8023799999999994</c:v>
                </c:pt>
                <c:pt idx="14">
                  <c:v>6.9024150000000049</c:v>
                </c:pt>
                <c:pt idx="15">
                  <c:v>6.3022050000000149</c:v>
                </c:pt>
                <c:pt idx="16">
                  <c:v>7.6026600000000002</c:v>
                </c:pt>
                <c:pt idx="17">
                  <c:v>6.4022400000000061</c:v>
                </c:pt>
                <c:pt idx="18">
                  <c:v>7.6026600000000002</c:v>
                </c:pt>
                <c:pt idx="19">
                  <c:v>6.9024150000000049</c:v>
                </c:pt>
                <c:pt idx="20">
                  <c:v>8.0027999999999935</c:v>
                </c:pt>
                <c:pt idx="21">
                  <c:v>7.3025550000000123</c:v>
                </c:pt>
                <c:pt idx="22">
                  <c:v>7.4025900000000036</c:v>
                </c:pt>
                <c:pt idx="23">
                  <c:v>6.5022749999999974</c:v>
                </c:pt>
                <c:pt idx="24">
                  <c:v>6.5022749999999974</c:v>
                </c:pt>
                <c:pt idx="25">
                  <c:v>6.0020999999999916</c:v>
                </c:pt>
                <c:pt idx="26">
                  <c:v>6.2021700000000095</c:v>
                </c:pt>
                <c:pt idx="27">
                  <c:v>7.0024499999999961</c:v>
                </c:pt>
                <c:pt idx="28">
                  <c:v>7.4025900000000036</c:v>
                </c:pt>
                <c:pt idx="29">
                  <c:v>7.502625000000009</c:v>
                </c:pt>
                <c:pt idx="30">
                  <c:v>7.1024850000000015</c:v>
                </c:pt>
                <c:pt idx="31">
                  <c:v>6.6023100000000028</c:v>
                </c:pt>
                <c:pt idx="32">
                  <c:v>6.8023799999999994</c:v>
                </c:pt>
                <c:pt idx="33">
                  <c:v>7.0024499999999961</c:v>
                </c:pt>
                <c:pt idx="34">
                  <c:v>7.2025200000000069</c:v>
                </c:pt>
                <c:pt idx="35">
                  <c:v>6.2021700000000095</c:v>
                </c:pt>
                <c:pt idx="36">
                  <c:v>7.1024850000000015</c:v>
                </c:pt>
                <c:pt idx="37">
                  <c:v>7.1024850000000015</c:v>
                </c:pt>
                <c:pt idx="38">
                  <c:v>7.0024499999999961</c:v>
                </c:pt>
                <c:pt idx="39">
                  <c:v>6.5022749999999974</c:v>
                </c:pt>
                <c:pt idx="40">
                  <c:v>6.0020999999999916</c:v>
                </c:pt>
                <c:pt idx="41">
                  <c:v>7.502625000000009</c:v>
                </c:pt>
                <c:pt idx="42">
                  <c:v>7.7026950000000198</c:v>
                </c:pt>
                <c:pt idx="43">
                  <c:v>7.0024499999999961</c:v>
                </c:pt>
                <c:pt idx="44">
                  <c:v>6.8023799999999994</c:v>
                </c:pt>
                <c:pt idx="45">
                  <c:v>7.6026600000000002</c:v>
                </c:pt>
                <c:pt idx="46">
                  <c:v>7.4025900000000036</c:v>
                </c:pt>
                <c:pt idx="47">
                  <c:v>7.4025900000000036</c:v>
                </c:pt>
                <c:pt idx="48">
                  <c:v>7.0024499999999961</c:v>
                </c:pt>
                <c:pt idx="49">
                  <c:v>7.6026600000000002</c:v>
                </c:pt>
                <c:pt idx="50">
                  <c:v>7.3025550000000123</c:v>
                </c:pt>
                <c:pt idx="51">
                  <c:v>6.5022749999999974</c:v>
                </c:pt>
              </c:numCache>
            </c:numRef>
          </c:val>
          <c:smooth val="0"/>
          <c:extLst>
            <c:ext xmlns:c16="http://schemas.microsoft.com/office/drawing/2014/chart" uri="{C3380CC4-5D6E-409C-BE32-E72D297353CC}">
              <c16:uniqueId val="{00000002-DBE3-4889-A3EF-E8E11A66346E}"/>
            </c:ext>
          </c:extLst>
        </c:ser>
        <c:dLbls>
          <c:showLegendKey val="0"/>
          <c:showVal val="0"/>
          <c:showCatName val="0"/>
          <c:showSerName val="0"/>
          <c:showPercent val="0"/>
          <c:showBubbleSize val="0"/>
        </c:dLbls>
        <c:marker val="1"/>
        <c:smooth val="0"/>
        <c:axId val="342488960"/>
        <c:axId val="342490496"/>
      </c:lineChart>
      <c:catAx>
        <c:axId val="342488960"/>
        <c:scaling>
          <c:orientation val="minMax"/>
        </c:scaling>
        <c:delete val="0"/>
        <c:axPos val="b"/>
        <c:majorGridlines>
          <c:spPr>
            <a:ln>
              <a:solidFill>
                <a:schemeClr val="bg1">
                  <a:lumMod val="85000"/>
                </a:schemeClr>
              </a:solidFill>
            </a:ln>
          </c:spPr>
        </c:majorGridlines>
        <c:numFmt formatCode="m/d/yyyy" sourceLinked="1"/>
        <c:majorTickMark val="out"/>
        <c:minorTickMark val="none"/>
        <c:tickLblPos val="nextTo"/>
        <c:spPr>
          <a:ln w="9525" cap="sq">
            <a:solidFill>
              <a:schemeClr val="accent1"/>
            </a:solidFill>
            <a:round/>
          </a:ln>
        </c:spPr>
        <c:txPr>
          <a:bodyPr rot="-5400000" vert="horz"/>
          <a:lstStyle/>
          <a:p>
            <a:pPr>
              <a:defRPr sz="800"/>
            </a:pPr>
            <a:endParaRPr lang="en-US"/>
          </a:p>
        </c:txPr>
        <c:crossAx val="342490496"/>
        <c:crossesAt val="0"/>
        <c:auto val="0"/>
        <c:lblAlgn val="ctr"/>
        <c:lblOffset val="100"/>
        <c:noMultiLvlLbl val="0"/>
      </c:catAx>
      <c:valAx>
        <c:axId val="342490496"/>
        <c:scaling>
          <c:orientation val="minMax"/>
          <c:min val="0"/>
        </c:scaling>
        <c:delete val="0"/>
        <c:axPos val="l"/>
        <c:majorGridlines>
          <c:spPr>
            <a:ln>
              <a:solidFill>
                <a:schemeClr val="bg1">
                  <a:lumMod val="85000"/>
                </a:schemeClr>
              </a:solidFill>
            </a:ln>
          </c:spPr>
        </c:majorGridlines>
        <c:numFmt formatCode="#,##0" sourceLinked="1"/>
        <c:majorTickMark val="out"/>
        <c:minorTickMark val="none"/>
        <c:tickLblPos val="nextTo"/>
        <c:crossAx val="342488960"/>
        <c:crosses val="autoZero"/>
        <c:crossBetween val="between"/>
      </c:valAx>
      <c:spPr>
        <a:noFill/>
      </c:spPr>
    </c:plotArea>
    <c:legend>
      <c:legendPos val="t"/>
      <c:overlay val="0"/>
    </c:legend>
    <c:plotVisOnly val="1"/>
    <c:dispBlanksAs val="gap"/>
    <c:showDLblsOverMax val="0"/>
  </c:chart>
  <c:spPr>
    <a:solidFill>
      <a:schemeClr val="bg1"/>
    </a:solidFill>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baseline="0"/>
              <a:t>Waits for pathways (wks)</a:t>
            </a:r>
            <a:endParaRPr lang="en-GB"/>
          </a:p>
        </c:rich>
      </c:tx>
      <c:overlay val="0"/>
    </c:title>
    <c:autoTitleDeleted val="0"/>
    <c:plotArea>
      <c:layout/>
      <c:barChart>
        <c:barDir val="bar"/>
        <c:grouping val="stacked"/>
        <c:varyColors val="0"/>
        <c:ser>
          <c:idx val="0"/>
          <c:order val="0"/>
          <c:spPr>
            <a:noFill/>
          </c:spPr>
          <c:invertIfNegative val="0"/>
          <c:cat>
            <c:strRef>
              <c:f>'Parameters calculator (hide)'!$A$55:$A$57</c:f>
              <c:strCache>
                <c:ptCount val="3"/>
                <c:pt idx="0">
                  <c:v>Routine</c:v>
                </c:pt>
                <c:pt idx="1">
                  <c:v>Urgent</c:v>
                </c:pt>
                <c:pt idx="2">
                  <c:v>2WW</c:v>
                </c:pt>
              </c:strCache>
            </c:strRef>
          </c:cat>
          <c:val>
            <c:numRef>
              <c:f>'Parameters calculator (hide)'!$L$55:$L$57</c:f>
              <c:numCache>
                <c:formatCode>General</c:formatCode>
                <c:ptCount val="3"/>
                <c:pt idx="0">
                  <c:v>2</c:v>
                </c:pt>
                <c:pt idx="1">
                  <c:v>1</c:v>
                </c:pt>
                <c:pt idx="2">
                  <c:v>0</c:v>
                </c:pt>
              </c:numCache>
            </c:numRef>
          </c:val>
          <c:extLst>
            <c:ext xmlns:c16="http://schemas.microsoft.com/office/drawing/2014/chart" uri="{C3380CC4-5D6E-409C-BE32-E72D297353CC}">
              <c16:uniqueId val="{00000000-C4BC-4FB0-B467-138451C24579}"/>
            </c:ext>
          </c:extLst>
        </c:ser>
        <c:ser>
          <c:idx val="1"/>
          <c:order val="1"/>
          <c:spPr>
            <a:solidFill>
              <a:schemeClr val="accent1"/>
            </a:solidFill>
          </c:spPr>
          <c:invertIfNegative val="0"/>
          <c:cat>
            <c:strRef>
              <c:f>'Parameters calculator (hide)'!$A$55:$A$57</c:f>
              <c:strCache>
                <c:ptCount val="3"/>
                <c:pt idx="0">
                  <c:v>Routine</c:v>
                </c:pt>
                <c:pt idx="1">
                  <c:v>Urgent</c:v>
                </c:pt>
                <c:pt idx="2">
                  <c:v>2WW</c:v>
                </c:pt>
              </c:strCache>
            </c:strRef>
          </c:cat>
          <c:val>
            <c:numRef>
              <c:f>'Parameters calculator (hide)'!$M$55:$M$57</c:f>
              <c:numCache>
                <c:formatCode>General</c:formatCode>
                <c:ptCount val="3"/>
                <c:pt idx="0">
                  <c:v>4</c:v>
                </c:pt>
                <c:pt idx="1">
                  <c:v>2</c:v>
                </c:pt>
                <c:pt idx="2">
                  <c:v>1.4285714285714286</c:v>
                </c:pt>
              </c:numCache>
            </c:numRef>
          </c:val>
          <c:extLst>
            <c:ext xmlns:c16="http://schemas.microsoft.com/office/drawing/2014/chart" uri="{C3380CC4-5D6E-409C-BE32-E72D297353CC}">
              <c16:uniqueId val="{00000001-C4BC-4FB0-B467-138451C24579}"/>
            </c:ext>
          </c:extLst>
        </c:ser>
        <c:ser>
          <c:idx val="2"/>
          <c:order val="2"/>
          <c:tx>
            <c:v>Rebookings</c:v>
          </c:tx>
          <c:invertIfNegative val="0"/>
          <c:cat>
            <c:strRef>
              <c:f>'Parameters calculator (hide)'!$A$55:$A$57</c:f>
              <c:strCache>
                <c:ptCount val="3"/>
                <c:pt idx="0">
                  <c:v>Routine</c:v>
                </c:pt>
                <c:pt idx="1">
                  <c:v>Urgent</c:v>
                </c:pt>
                <c:pt idx="2">
                  <c:v>2WW</c:v>
                </c:pt>
              </c:strCache>
            </c:strRef>
          </c:cat>
          <c:val>
            <c:numRef>
              <c:f>'Parameters calculator (hide)'!$N$55:$N$57</c:f>
              <c:numCache>
                <c:formatCode>General</c:formatCode>
                <c:ptCount val="3"/>
                <c:pt idx="0">
                  <c:v>0</c:v>
                </c:pt>
                <c:pt idx="1">
                  <c:v>0</c:v>
                </c:pt>
                <c:pt idx="2">
                  <c:v>0</c:v>
                </c:pt>
              </c:numCache>
            </c:numRef>
          </c:val>
          <c:extLst>
            <c:ext xmlns:c16="http://schemas.microsoft.com/office/drawing/2014/chart" uri="{C3380CC4-5D6E-409C-BE32-E72D297353CC}">
              <c16:uniqueId val="{00000000-C23A-461C-A1F6-A4DB4C6CF1EC}"/>
            </c:ext>
          </c:extLst>
        </c:ser>
        <c:dLbls>
          <c:showLegendKey val="0"/>
          <c:showVal val="0"/>
          <c:showCatName val="0"/>
          <c:showSerName val="0"/>
          <c:showPercent val="0"/>
          <c:showBubbleSize val="0"/>
        </c:dLbls>
        <c:gapWidth val="150"/>
        <c:overlap val="100"/>
        <c:axId val="341937152"/>
        <c:axId val="341943040"/>
      </c:barChart>
      <c:catAx>
        <c:axId val="341937152"/>
        <c:scaling>
          <c:orientation val="minMax"/>
        </c:scaling>
        <c:delete val="0"/>
        <c:axPos val="l"/>
        <c:numFmt formatCode="General" sourceLinked="0"/>
        <c:majorTickMark val="out"/>
        <c:minorTickMark val="none"/>
        <c:tickLblPos val="nextTo"/>
        <c:crossAx val="341943040"/>
        <c:crosses val="autoZero"/>
        <c:auto val="1"/>
        <c:lblAlgn val="ctr"/>
        <c:lblOffset val="100"/>
        <c:noMultiLvlLbl val="0"/>
      </c:catAx>
      <c:valAx>
        <c:axId val="341943040"/>
        <c:scaling>
          <c:orientation val="minMax"/>
        </c:scaling>
        <c:delete val="0"/>
        <c:axPos val="b"/>
        <c:majorGridlines>
          <c:spPr>
            <a:ln>
              <a:solidFill>
                <a:schemeClr val="bg1">
                  <a:lumMod val="95000"/>
                </a:schemeClr>
              </a:solidFill>
            </a:ln>
          </c:spPr>
        </c:majorGridlines>
        <c:title>
          <c:tx>
            <c:rich>
              <a:bodyPr/>
              <a:lstStyle/>
              <a:p>
                <a:pPr>
                  <a:defRPr/>
                </a:pPr>
                <a:r>
                  <a:rPr lang="en-GB"/>
                  <a:t>Weeks waiting</a:t>
                </a:r>
              </a:p>
            </c:rich>
          </c:tx>
          <c:overlay val="0"/>
        </c:title>
        <c:numFmt formatCode="General" sourceLinked="1"/>
        <c:majorTickMark val="out"/>
        <c:minorTickMark val="none"/>
        <c:tickLblPos val="nextTo"/>
        <c:crossAx val="341937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 Calculations (hide)'!$R$12</c:f>
          <c:strCache>
            <c:ptCount val="1"/>
            <c:pt idx="0">
              <c:v>Required vs available capacity (patients)</c:v>
            </c:pt>
          </c:strCache>
        </c:strRef>
      </c:tx>
      <c:overlay val="0"/>
      <c:txPr>
        <a:bodyPr/>
        <a:lstStyle/>
        <a:p>
          <a:pPr>
            <a:defRPr/>
          </a:pPr>
          <a:endParaRPr lang="en-US"/>
        </a:p>
      </c:txPr>
    </c:title>
    <c:autoTitleDeleted val="0"/>
    <c:plotArea>
      <c:layout/>
      <c:barChart>
        <c:barDir val="col"/>
        <c:grouping val="stacked"/>
        <c:varyColors val="0"/>
        <c:ser>
          <c:idx val="0"/>
          <c:order val="0"/>
          <c:spPr>
            <a:noFill/>
          </c:spPr>
          <c:invertIfNegative val="0"/>
          <c:val>
            <c:numRef>
              <c:f>'Summary Calculations (hide)'!$M$70</c:f>
              <c:numCache>
                <c:formatCode>#,##0</c:formatCode>
                <c:ptCount val="1"/>
                <c:pt idx="0">
                  <c:v>64.097898113207549</c:v>
                </c:pt>
              </c:numCache>
            </c:numRef>
          </c:val>
          <c:extLst>
            <c:ext xmlns:c16="http://schemas.microsoft.com/office/drawing/2014/chart" uri="{C3380CC4-5D6E-409C-BE32-E72D297353CC}">
              <c16:uniqueId val="{00000000-B6E2-4B83-9F9A-3EF9D1F26E59}"/>
            </c:ext>
          </c:extLst>
        </c:ser>
        <c:ser>
          <c:idx val="1"/>
          <c:order val="1"/>
          <c:tx>
            <c:v>Required capacity</c:v>
          </c:tx>
          <c:spPr>
            <a:solidFill>
              <a:schemeClr val="accent1">
                <a:lumMod val="60000"/>
                <a:lumOff val="40000"/>
              </a:schemeClr>
            </a:solidFill>
            <a:ln>
              <a:noFill/>
            </a:ln>
          </c:spPr>
          <c:invertIfNegative val="0"/>
          <c:val>
            <c:numRef>
              <c:f>'Summary Calculations (hide)'!$N$71</c:f>
              <c:numCache>
                <c:formatCode>#,##0</c:formatCode>
                <c:ptCount val="1"/>
                <c:pt idx="0">
                  <c:v>6.1521524999999855</c:v>
                </c:pt>
              </c:numCache>
            </c:numRef>
          </c:val>
          <c:extLst>
            <c:ext xmlns:c16="http://schemas.microsoft.com/office/drawing/2014/chart" uri="{C3380CC4-5D6E-409C-BE32-E72D297353CC}">
              <c16:uniqueId val="{00000001-B6E2-4B83-9F9A-3EF9D1F26E59}"/>
            </c:ext>
          </c:extLst>
        </c:ser>
        <c:dLbls>
          <c:showLegendKey val="0"/>
          <c:showVal val="0"/>
          <c:showCatName val="0"/>
          <c:showSerName val="0"/>
          <c:showPercent val="0"/>
          <c:showBubbleSize val="0"/>
        </c:dLbls>
        <c:gapWidth val="150"/>
        <c:overlap val="100"/>
        <c:axId val="362836736"/>
        <c:axId val="362838656"/>
      </c:barChart>
      <c:lineChart>
        <c:grouping val="stacked"/>
        <c:varyColors val="0"/>
        <c:ser>
          <c:idx val="3"/>
          <c:order val="2"/>
          <c:tx>
            <c:v>Available capacity (core)</c:v>
          </c:tx>
          <c:spPr>
            <a:ln>
              <a:noFill/>
            </a:ln>
          </c:spPr>
          <c:marker>
            <c:symbol val="x"/>
            <c:size val="13"/>
            <c:spPr>
              <a:noFill/>
              <a:ln w="19050">
                <a:solidFill>
                  <a:schemeClr val="tx2"/>
                </a:solidFill>
              </a:ln>
            </c:spPr>
          </c:marker>
          <c:val>
            <c:numRef>
              <c:f>'Summary Calculations (hide)'!$K$70</c:f>
              <c:numCache>
                <c:formatCode>#,##0</c:formatCode>
                <c:ptCount val="1"/>
                <c:pt idx="0">
                  <c:v>74.557329462989898</c:v>
                </c:pt>
              </c:numCache>
            </c:numRef>
          </c:val>
          <c:smooth val="0"/>
          <c:extLst>
            <c:ext xmlns:c16="http://schemas.microsoft.com/office/drawing/2014/chart" uri="{C3380CC4-5D6E-409C-BE32-E72D297353CC}">
              <c16:uniqueId val="{00000002-B6E2-4B83-9F9A-3EF9D1F26E59}"/>
            </c:ext>
          </c:extLst>
        </c:ser>
        <c:ser>
          <c:idx val="4"/>
          <c:order val="3"/>
          <c:tx>
            <c:v>Available capacity (ad hoc)</c:v>
          </c:tx>
          <c:spPr>
            <a:ln w="28575">
              <a:noFill/>
            </a:ln>
          </c:spPr>
          <c:marker>
            <c:symbol val="dash"/>
            <c:size val="8"/>
            <c:spPr>
              <a:solidFill>
                <a:schemeClr val="accent3">
                  <a:lumMod val="75000"/>
                </a:schemeClr>
              </a:solidFill>
              <a:ln>
                <a:solidFill>
                  <a:schemeClr val="tx1"/>
                </a:solidFill>
              </a:ln>
            </c:spPr>
          </c:marker>
          <c:val>
            <c:numRef>
              <c:f>'Summary Calculations (hide)'!$L$70</c:f>
              <c:numCache>
                <c:formatCode>#,##0</c:formatCode>
                <c:ptCount val="1"/>
                <c:pt idx="0">
                  <c:v>0.94339622641509435</c:v>
                </c:pt>
              </c:numCache>
            </c:numRef>
          </c:val>
          <c:smooth val="0"/>
          <c:extLst>
            <c:ext xmlns:c16="http://schemas.microsoft.com/office/drawing/2014/chart" uri="{C3380CC4-5D6E-409C-BE32-E72D297353CC}">
              <c16:uniqueId val="{00000000-B7E6-4927-9171-4C531ABD773D}"/>
            </c:ext>
          </c:extLst>
        </c:ser>
        <c:ser>
          <c:idx val="2"/>
          <c:order val="4"/>
          <c:tx>
            <c:v>Carve out (planned and same day)</c:v>
          </c:tx>
          <c:spPr>
            <a:ln w="28575">
              <a:noFill/>
            </a:ln>
          </c:spPr>
          <c:marker>
            <c:symbol val="dash"/>
            <c:size val="8"/>
            <c:spPr>
              <a:solidFill>
                <a:srgbClr val="7030A0"/>
              </a:solidFill>
              <a:ln w="9525">
                <a:solidFill>
                  <a:schemeClr val="accent4">
                    <a:lumMod val="20000"/>
                    <a:lumOff val="80000"/>
                  </a:schemeClr>
                </a:solidFill>
              </a:ln>
            </c:spPr>
          </c:marker>
          <c:val>
            <c:numRef>
              <c:f>'Summary Calculations (hide)'!$V$70</c:f>
            </c:numRef>
          </c:val>
          <c:smooth val="0"/>
          <c:extLst>
            <c:ext xmlns:c16="http://schemas.microsoft.com/office/drawing/2014/chart" uri="{C3380CC4-5D6E-409C-BE32-E72D297353CC}">
              <c16:uniqueId val="{00000003-B6E2-4B83-9F9A-3EF9D1F26E59}"/>
            </c:ext>
          </c:extLst>
        </c:ser>
        <c:dLbls>
          <c:showLegendKey val="0"/>
          <c:showVal val="0"/>
          <c:showCatName val="0"/>
          <c:showSerName val="0"/>
          <c:showPercent val="0"/>
          <c:showBubbleSize val="0"/>
        </c:dLbls>
        <c:marker val="1"/>
        <c:smooth val="0"/>
        <c:axId val="362836736"/>
        <c:axId val="362838656"/>
      </c:lineChart>
      <c:catAx>
        <c:axId val="362836736"/>
        <c:scaling>
          <c:orientation val="minMax"/>
        </c:scaling>
        <c:delete val="1"/>
        <c:axPos val="b"/>
        <c:majorTickMark val="out"/>
        <c:minorTickMark val="none"/>
        <c:tickLblPos val="nextTo"/>
        <c:crossAx val="362838656"/>
        <c:crosses val="autoZero"/>
        <c:auto val="1"/>
        <c:lblAlgn val="ctr"/>
        <c:lblOffset val="100"/>
        <c:noMultiLvlLbl val="0"/>
      </c:catAx>
      <c:valAx>
        <c:axId val="362838656"/>
        <c:scaling>
          <c:orientation val="minMax"/>
          <c:min val="0"/>
        </c:scaling>
        <c:delete val="0"/>
        <c:axPos val="l"/>
        <c:majorGridlines>
          <c:spPr>
            <a:ln>
              <a:solidFill>
                <a:schemeClr val="bg1">
                  <a:lumMod val="95000"/>
                </a:schemeClr>
              </a:solidFill>
            </a:ln>
          </c:spPr>
        </c:majorGridlines>
        <c:numFmt formatCode="#,##0" sourceLinked="1"/>
        <c:majorTickMark val="out"/>
        <c:minorTickMark val="none"/>
        <c:tickLblPos val="nextTo"/>
        <c:crossAx val="362836736"/>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'Parameters calculator (hide)'!$G$65</c:f>
          <c:strCache>
            <c:ptCount val="1"/>
            <c:pt idx="0">
              <c:v>Waiting list position (patients)</c:v>
            </c:pt>
          </c:strCache>
        </c:strRef>
      </c:tx>
      <c:overlay val="0"/>
    </c:title>
    <c:autoTitleDeleted val="0"/>
    <c:plotArea>
      <c:layout/>
      <c:barChart>
        <c:barDir val="col"/>
        <c:grouping val="stacked"/>
        <c:varyColors val="0"/>
        <c:ser>
          <c:idx val="0"/>
          <c:order val="0"/>
          <c:spPr>
            <a:noFill/>
          </c:spPr>
          <c:invertIfNegative val="0"/>
          <c:val>
            <c:numRef>
              <c:f>'Parameters calculator (hide)'!$H$66</c:f>
              <c:numCache>
                <c:formatCode>#,##0</c:formatCode>
                <c:ptCount val="1"/>
                <c:pt idx="0">
                  <c:v>269.8</c:v>
                </c:pt>
              </c:numCache>
            </c:numRef>
          </c:val>
          <c:extLst>
            <c:ext xmlns:c16="http://schemas.microsoft.com/office/drawing/2014/chart" uri="{C3380CC4-5D6E-409C-BE32-E72D297353CC}">
              <c16:uniqueId val="{00000000-44ED-495F-BD0B-597298BA7239}"/>
            </c:ext>
          </c:extLst>
        </c:ser>
        <c:ser>
          <c:idx val="1"/>
          <c:order val="1"/>
          <c:tx>
            <c:v>Sustainable waiting list size</c:v>
          </c:tx>
          <c:spPr>
            <a:solidFill>
              <a:schemeClr val="accent3">
                <a:lumMod val="60000"/>
                <a:lumOff val="40000"/>
              </a:schemeClr>
            </a:solidFill>
          </c:spPr>
          <c:invertIfNegative val="0"/>
          <c:val>
            <c:numRef>
              <c:f>'Parameters calculator (hide)'!$J$66</c:f>
              <c:numCache>
                <c:formatCode>#,##0</c:formatCode>
                <c:ptCount val="1"/>
                <c:pt idx="0">
                  <c:v>28.399999999999977</c:v>
                </c:pt>
              </c:numCache>
            </c:numRef>
          </c:val>
          <c:extLst>
            <c:ext xmlns:c16="http://schemas.microsoft.com/office/drawing/2014/chart" uri="{C3380CC4-5D6E-409C-BE32-E72D297353CC}">
              <c16:uniqueId val="{00000001-44ED-495F-BD0B-597298BA7239}"/>
            </c:ext>
          </c:extLst>
        </c:ser>
        <c:dLbls>
          <c:showLegendKey val="0"/>
          <c:showVal val="0"/>
          <c:showCatName val="0"/>
          <c:showSerName val="0"/>
          <c:showPercent val="0"/>
          <c:showBubbleSize val="0"/>
        </c:dLbls>
        <c:gapWidth val="150"/>
        <c:overlap val="100"/>
        <c:axId val="362868736"/>
        <c:axId val="362870656"/>
      </c:barChart>
      <c:lineChart>
        <c:grouping val="standard"/>
        <c:varyColors val="0"/>
        <c:ser>
          <c:idx val="2"/>
          <c:order val="2"/>
          <c:tx>
            <c:v>Current waiting list size (total)</c:v>
          </c:tx>
          <c:spPr>
            <a:ln>
              <a:noFill/>
            </a:ln>
          </c:spPr>
          <c:marker>
            <c:symbol val="diamond"/>
            <c:size val="7"/>
            <c:spPr>
              <a:solidFill>
                <a:schemeClr val="tx2"/>
              </a:solidFill>
            </c:spPr>
          </c:marker>
          <c:val>
            <c:numRef>
              <c:f>'Parameters calculator (hide)'!$H$67</c:f>
              <c:numCache>
                <c:formatCode>#,##0</c:formatCode>
                <c:ptCount val="1"/>
                <c:pt idx="0">
                  <c:v>76</c:v>
                </c:pt>
              </c:numCache>
            </c:numRef>
          </c:val>
          <c:smooth val="0"/>
          <c:extLst>
            <c:ext xmlns:c16="http://schemas.microsoft.com/office/drawing/2014/chart" uri="{C3380CC4-5D6E-409C-BE32-E72D297353CC}">
              <c16:uniqueId val="{00000002-44ED-495F-BD0B-597298BA7239}"/>
            </c:ext>
          </c:extLst>
        </c:ser>
        <c:dLbls>
          <c:showLegendKey val="0"/>
          <c:showVal val="0"/>
          <c:showCatName val="0"/>
          <c:showSerName val="0"/>
          <c:showPercent val="0"/>
          <c:showBubbleSize val="0"/>
        </c:dLbls>
        <c:marker val="1"/>
        <c:smooth val="0"/>
        <c:axId val="362868736"/>
        <c:axId val="362870656"/>
      </c:lineChart>
      <c:catAx>
        <c:axId val="362868736"/>
        <c:scaling>
          <c:orientation val="minMax"/>
        </c:scaling>
        <c:delete val="1"/>
        <c:axPos val="b"/>
        <c:majorTickMark val="out"/>
        <c:minorTickMark val="none"/>
        <c:tickLblPos val="nextTo"/>
        <c:crossAx val="362870656"/>
        <c:crosses val="autoZero"/>
        <c:auto val="1"/>
        <c:lblAlgn val="ctr"/>
        <c:lblOffset val="100"/>
        <c:noMultiLvlLbl val="0"/>
      </c:catAx>
      <c:valAx>
        <c:axId val="362870656"/>
        <c:scaling>
          <c:orientation val="minMax"/>
        </c:scaling>
        <c:delete val="0"/>
        <c:axPos val="l"/>
        <c:majorGridlines>
          <c:spPr>
            <a:ln>
              <a:solidFill>
                <a:schemeClr val="bg1">
                  <a:lumMod val="95000"/>
                </a:schemeClr>
              </a:solidFill>
            </a:ln>
          </c:spPr>
        </c:majorGridlines>
        <c:numFmt formatCode="#,##0" sourceLinked="1"/>
        <c:majorTickMark val="out"/>
        <c:minorTickMark val="none"/>
        <c:tickLblPos val="nextTo"/>
        <c:crossAx val="362868736"/>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 Calculations (hide)'!$A$2</c:f>
          <c:strCache>
            <c:ptCount val="1"/>
            <c:pt idx="0">
              <c:v>Required vs available capacity by week (Patients)</c:v>
            </c:pt>
          </c:strCache>
        </c:strRef>
      </c:tx>
      <c:overlay val="0"/>
      <c:txPr>
        <a:bodyPr/>
        <a:lstStyle/>
        <a:p>
          <a:pPr>
            <a:defRPr/>
          </a:pPr>
          <a:endParaRPr lang="en-US"/>
        </a:p>
      </c:txPr>
    </c:title>
    <c:autoTitleDeleted val="0"/>
    <c:plotArea>
      <c:layout/>
      <c:areaChart>
        <c:grouping val="stacked"/>
        <c:varyColors val="0"/>
        <c:ser>
          <c:idx val="0"/>
          <c:order val="0"/>
          <c:tx>
            <c:v>[blank]</c:v>
          </c:tx>
          <c:spPr>
            <a:noFill/>
            <a:ln w="25400">
              <a:noFill/>
            </a:ln>
          </c:spPr>
          <c:cat>
            <c:multiLvlStrRef>
              <c:f>'Summary Calculations (hide)'!$B$15:$C$66</c:f>
              <c:multiLvlStrCache>
                <c:ptCount val="52"/>
                <c:lvl>
                  <c:pt idx="0">
                    <c:v>Apr</c:v>
                  </c:pt>
                  <c:pt idx="3">
                    <c:v>May</c:v>
                  </c:pt>
                  <c:pt idx="7">
                    <c:v>Jun</c:v>
                  </c:pt>
                  <c:pt idx="12">
                    <c:v>Jul</c:v>
                  </c:pt>
                  <c:pt idx="16">
                    <c:v>Aug</c:v>
                  </c:pt>
                  <c:pt idx="21">
                    <c:v>Sep</c:v>
                  </c:pt>
                  <c:pt idx="25">
                    <c:v>Oct</c:v>
                  </c:pt>
                  <c:pt idx="29">
                    <c:v>Nov</c:v>
                  </c:pt>
                  <c:pt idx="34">
                    <c:v>Dec</c:v>
                  </c:pt>
                  <c:pt idx="38">
                    <c:v>Jan</c:v>
                  </c:pt>
                  <c:pt idx="42">
                    <c:v>Feb</c:v>
                  </c:pt>
                  <c:pt idx="46">
                    <c:v>Mar</c:v>
                  </c:pt>
                  <c:pt idx="51">
                    <c:v>Apr</c:v>
                  </c:pt>
                </c:lvl>
                <c:lvl>
                  <c:pt idx="0">
                    <c:v>2020</c:v>
                  </c:pt>
                  <c:pt idx="38">
                    <c:v>2021</c:v>
                  </c:pt>
                </c:lvl>
              </c:multiLvlStrCache>
            </c:multiLvlStrRef>
          </c:cat>
          <c:val>
            <c:numRef>
              <c:f>'Summary Calculations (hide)'!$T$15:$T$66</c:f>
              <c:numCache>
                <c:formatCode>#,##0</c:formatCode>
                <c:ptCount val="52"/>
                <c:pt idx="0">
                  <c:v>5.0017499999999995</c:v>
                </c:pt>
                <c:pt idx="1">
                  <c:v>5.0017499999999995</c:v>
                </c:pt>
                <c:pt idx="2">
                  <c:v>5.0017499999999995</c:v>
                </c:pt>
                <c:pt idx="3">
                  <c:v>5.0017499999999995</c:v>
                </c:pt>
                <c:pt idx="4">
                  <c:v>5.0017499999999995</c:v>
                </c:pt>
                <c:pt idx="5">
                  <c:v>27.009449999999998</c:v>
                </c:pt>
                <c:pt idx="6">
                  <c:v>49.017149999999994</c:v>
                </c:pt>
                <c:pt idx="7">
                  <c:v>71.024850000000001</c:v>
                </c:pt>
                <c:pt idx="8">
                  <c:v>96.033599999999979</c:v>
                </c:pt>
                <c:pt idx="9">
                  <c:v>95.033249999999995</c:v>
                </c:pt>
                <c:pt idx="10">
                  <c:v>96.033599999999979</c:v>
                </c:pt>
                <c:pt idx="11">
                  <c:v>74.025899999999993</c:v>
                </c:pt>
                <c:pt idx="12">
                  <c:v>65.022750000000002</c:v>
                </c:pt>
                <c:pt idx="13">
                  <c:v>68.023799999999994</c:v>
                </c:pt>
                <c:pt idx="14">
                  <c:v>69.024149999999992</c:v>
                </c:pt>
                <c:pt idx="15">
                  <c:v>63.022049999999993</c:v>
                </c:pt>
                <c:pt idx="16">
                  <c:v>76.026600000000002</c:v>
                </c:pt>
                <c:pt idx="17">
                  <c:v>64.02239999999999</c:v>
                </c:pt>
                <c:pt idx="18">
                  <c:v>76.026600000000002</c:v>
                </c:pt>
                <c:pt idx="19">
                  <c:v>69.024149999999992</c:v>
                </c:pt>
                <c:pt idx="20">
                  <c:v>80.027999999999992</c:v>
                </c:pt>
                <c:pt idx="21">
                  <c:v>73.025549999999996</c:v>
                </c:pt>
                <c:pt idx="22">
                  <c:v>74.025899999999993</c:v>
                </c:pt>
                <c:pt idx="23">
                  <c:v>65.022750000000002</c:v>
                </c:pt>
                <c:pt idx="24">
                  <c:v>65.022750000000002</c:v>
                </c:pt>
                <c:pt idx="25">
                  <c:v>60.020999999999994</c:v>
                </c:pt>
                <c:pt idx="26">
                  <c:v>62.021699999999996</c:v>
                </c:pt>
                <c:pt idx="27">
                  <c:v>70.024499999999989</c:v>
                </c:pt>
                <c:pt idx="28">
                  <c:v>74.025899999999993</c:v>
                </c:pt>
                <c:pt idx="29">
                  <c:v>75.02624999999999</c:v>
                </c:pt>
                <c:pt idx="30">
                  <c:v>71.024850000000001</c:v>
                </c:pt>
                <c:pt idx="31">
                  <c:v>66.023099999999985</c:v>
                </c:pt>
                <c:pt idx="32">
                  <c:v>68.023799999999994</c:v>
                </c:pt>
                <c:pt idx="33">
                  <c:v>70.024499999999989</c:v>
                </c:pt>
                <c:pt idx="34">
                  <c:v>72.025199999999984</c:v>
                </c:pt>
                <c:pt idx="35">
                  <c:v>62.021699999999996</c:v>
                </c:pt>
                <c:pt idx="36">
                  <c:v>71.024850000000001</c:v>
                </c:pt>
                <c:pt idx="37">
                  <c:v>71.024850000000001</c:v>
                </c:pt>
                <c:pt idx="38">
                  <c:v>70.024499999999989</c:v>
                </c:pt>
                <c:pt idx="39">
                  <c:v>65.022750000000002</c:v>
                </c:pt>
                <c:pt idx="40">
                  <c:v>60.020999999999994</c:v>
                </c:pt>
                <c:pt idx="41">
                  <c:v>75.02624999999999</c:v>
                </c:pt>
                <c:pt idx="42">
                  <c:v>77.026949999999985</c:v>
                </c:pt>
                <c:pt idx="43">
                  <c:v>70.024499999999989</c:v>
                </c:pt>
                <c:pt idx="44">
                  <c:v>68.023799999999994</c:v>
                </c:pt>
                <c:pt idx="45">
                  <c:v>76.026600000000002</c:v>
                </c:pt>
                <c:pt idx="46">
                  <c:v>74.025899999999993</c:v>
                </c:pt>
                <c:pt idx="47">
                  <c:v>74.025899999999993</c:v>
                </c:pt>
                <c:pt idx="48">
                  <c:v>70.024499999999989</c:v>
                </c:pt>
                <c:pt idx="49">
                  <c:v>76.026600000000002</c:v>
                </c:pt>
                <c:pt idx="50">
                  <c:v>73.025549999999996</c:v>
                </c:pt>
                <c:pt idx="51">
                  <c:v>65.022750000000002</c:v>
                </c:pt>
              </c:numCache>
            </c:numRef>
          </c:val>
          <c:extLst>
            <c:ext xmlns:c16="http://schemas.microsoft.com/office/drawing/2014/chart" uri="{C3380CC4-5D6E-409C-BE32-E72D297353CC}">
              <c16:uniqueId val="{00000000-B128-45B8-8878-4913986F5AF7}"/>
            </c:ext>
          </c:extLst>
        </c:ser>
        <c:ser>
          <c:idx val="1"/>
          <c:order val="1"/>
          <c:tx>
            <c:v>Required capacity</c:v>
          </c:tx>
          <c:spPr>
            <a:solidFill>
              <a:schemeClr val="accent1"/>
            </a:solidFill>
            <a:ln w="25400">
              <a:noFill/>
            </a:ln>
          </c:spPr>
          <c:cat>
            <c:multiLvlStrRef>
              <c:f>'Summary Calculations (hide)'!$B$15:$C$66</c:f>
              <c:multiLvlStrCache>
                <c:ptCount val="52"/>
                <c:lvl>
                  <c:pt idx="0">
                    <c:v>Apr</c:v>
                  </c:pt>
                  <c:pt idx="3">
                    <c:v>May</c:v>
                  </c:pt>
                  <c:pt idx="7">
                    <c:v>Jun</c:v>
                  </c:pt>
                  <c:pt idx="12">
                    <c:v>Jul</c:v>
                  </c:pt>
                  <c:pt idx="16">
                    <c:v>Aug</c:v>
                  </c:pt>
                  <c:pt idx="21">
                    <c:v>Sep</c:v>
                  </c:pt>
                  <c:pt idx="25">
                    <c:v>Oct</c:v>
                  </c:pt>
                  <c:pt idx="29">
                    <c:v>Nov</c:v>
                  </c:pt>
                  <c:pt idx="34">
                    <c:v>Dec</c:v>
                  </c:pt>
                  <c:pt idx="38">
                    <c:v>Jan</c:v>
                  </c:pt>
                  <c:pt idx="42">
                    <c:v>Feb</c:v>
                  </c:pt>
                  <c:pt idx="46">
                    <c:v>Mar</c:v>
                  </c:pt>
                  <c:pt idx="51">
                    <c:v>Apr</c:v>
                  </c:pt>
                </c:lvl>
                <c:lvl>
                  <c:pt idx="0">
                    <c:v>2020</c:v>
                  </c:pt>
                  <c:pt idx="38">
                    <c:v>2021</c:v>
                  </c:pt>
                </c:lvl>
              </c:multiLvlStrCache>
            </c:multiLvlStrRef>
          </c:cat>
          <c:val>
            <c:numRef>
              <c:f>'Summary Calculations (hide)'!$U$15:$U$66</c:f>
              <c:numCache>
                <c:formatCode>#,##0</c:formatCode>
                <c:ptCount val="52"/>
                <c:pt idx="0">
                  <c:v>1.5005249999999997</c:v>
                </c:pt>
                <c:pt idx="1">
                  <c:v>1.5005249999999997</c:v>
                </c:pt>
                <c:pt idx="2">
                  <c:v>1.5005249999999997</c:v>
                </c:pt>
                <c:pt idx="3">
                  <c:v>1.5005249999999997</c:v>
                </c:pt>
                <c:pt idx="4">
                  <c:v>1.5005249999999997</c:v>
                </c:pt>
                <c:pt idx="5">
                  <c:v>1.5005249999999997</c:v>
                </c:pt>
                <c:pt idx="6">
                  <c:v>1.5005249999999961</c:v>
                </c:pt>
                <c:pt idx="7">
                  <c:v>1.5005249999999961</c:v>
                </c:pt>
                <c:pt idx="8">
                  <c:v>7.1024850000000299</c:v>
                </c:pt>
                <c:pt idx="9">
                  <c:v>7.0024499999999961</c:v>
                </c:pt>
                <c:pt idx="10">
                  <c:v>7.6026600000000144</c:v>
                </c:pt>
                <c:pt idx="11">
                  <c:v>6.9024150000000049</c:v>
                </c:pt>
                <c:pt idx="12">
                  <c:v>6.0020999999999987</c:v>
                </c:pt>
                <c:pt idx="13">
                  <c:v>6.8023799999999994</c:v>
                </c:pt>
                <c:pt idx="14">
                  <c:v>6.9024150000000049</c:v>
                </c:pt>
                <c:pt idx="15">
                  <c:v>6.3022050000000149</c:v>
                </c:pt>
                <c:pt idx="16">
                  <c:v>7.6026600000000002</c:v>
                </c:pt>
                <c:pt idx="17">
                  <c:v>6.4022400000000061</c:v>
                </c:pt>
                <c:pt idx="18">
                  <c:v>7.6026600000000002</c:v>
                </c:pt>
                <c:pt idx="19">
                  <c:v>6.9024150000000049</c:v>
                </c:pt>
                <c:pt idx="20">
                  <c:v>8.0027999999999935</c:v>
                </c:pt>
                <c:pt idx="21">
                  <c:v>7.3025550000000123</c:v>
                </c:pt>
                <c:pt idx="22">
                  <c:v>7.4025900000000036</c:v>
                </c:pt>
                <c:pt idx="23">
                  <c:v>6.5022749999999974</c:v>
                </c:pt>
                <c:pt idx="24">
                  <c:v>6.5022749999999974</c:v>
                </c:pt>
                <c:pt idx="25">
                  <c:v>6.0020999999999916</c:v>
                </c:pt>
                <c:pt idx="26">
                  <c:v>6.2021700000000095</c:v>
                </c:pt>
                <c:pt idx="27">
                  <c:v>7.0024499999999961</c:v>
                </c:pt>
                <c:pt idx="28">
                  <c:v>7.4025900000000036</c:v>
                </c:pt>
                <c:pt idx="29">
                  <c:v>7.502625000000009</c:v>
                </c:pt>
                <c:pt idx="30">
                  <c:v>7.1024850000000015</c:v>
                </c:pt>
                <c:pt idx="31">
                  <c:v>6.6023100000000028</c:v>
                </c:pt>
                <c:pt idx="32">
                  <c:v>6.8023799999999994</c:v>
                </c:pt>
                <c:pt idx="33">
                  <c:v>7.0024499999999961</c:v>
                </c:pt>
                <c:pt idx="34">
                  <c:v>7.2025200000000069</c:v>
                </c:pt>
                <c:pt idx="35">
                  <c:v>6.2021700000000095</c:v>
                </c:pt>
                <c:pt idx="36">
                  <c:v>7.1024850000000015</c:v>
                </c:pt>
                <c:pt idx="37">
                  <c:v>7.1024850000000015</c:v>
                </c:pt>
                <c:pt idx="38">
                  <c:v>7.0024499999999961</c:v>
                </c:pt>
                <c:pt idx="39">
                  <c:v>6.5022749999999974</c:v>
                </c:pt>
                <c:pt idx="40">
                  <c:v>6.0020999999999916</c:v>
                </c:pt>
                <c:pt idx="41">
                  <c:v>7.502625000000009</c:v>
                </c:pt>
                <c:pt idx="42">
                  <c:v>7.7026950000000198</c:v>
                </c:pt>
                <c:pt idx="43">
                  <c:v>7.0024499999999961</c:v>
                </c:pt>
                <c:pt idx="44">
                  <c:v>6.8023799999999994</c:v>
                </c:pt>
                <c:pt idx="45">
                  <c:v>7.6026600000000002</c:v>
                </c:pt>
                <c:pt idx="46">
                  <c:v>7.4025900000000036</c:v>
                </c:pt>
                <c:pt idx="47">
                  <c:v>7.4025900000000036</c:v>
                </c:pt>
                <c:pt idx="48">
                  <c:v>7.0024499999999961</c:v>
                </c:pt>
                <c:pt idx="49">
                  <c:v>7.6026600000000002</c:v>
                </c:pt>
                <c:pt idx="50">
                  <c:v>7.3025550000000123</c:v>
                </c:pt>
                <c:pt idx="51">
                  <c:v>6.5022749999999974</c:v>
                </c:pt>
              </c:numCache>
            </c:numRef>
          </c:val>
          <c:extLst>
            <c:ext xmlns:c16="http://schemas.microsoft.com/office/drawing/2014/chart" uri="{C3380CC4-5D6E-409C-BE32-E72D297353CC}">
              <c16:uniqueId val="{00000001-B128-45B8-8878-4913986F5AF7}"/>
            </c:ext>
          </c:extLst>
        </c:ser>
        <c:dLbls>
          <c:showLegendKey val="0"/>
          <c:showVal val="0"/>
          <c:showCatName val="0"/>
          <c:showSerName val="0"/>
          <c:showPercent val="0"/>
          <c:showBubbleSize val="0"/>
        </c:dLbls>
        <c:axId val="362577920"/>
        <c:axId val="362579456"/>
      </c:areaChart>
      <c:lineChart>
        <c:grouping val="stacked"/>
        <c:varyColors val="0"/>
        <c:ser>
          <c:idx val="2"/>
          <c:order val="2"/>
          <c:tx>
            <c:v>Available capacity (core)</c:v>
          </c:tx>
          <c:spPr>
            <a:ln w="22225">
              <a:solidFill>
                <a:schemeClr val="accent3">
                  <a:lumMod val="50000"/>
                </a:schemeClr>
              </a:solidFill>
            </a:ln>
          </c:spPr>
          <c:marker>
            <c:symbol val="none"/>
          </c:marker>
          <c:val>
            <c:numRef>
              <c:f>'Summary Calculations (hide)'!$R$15:$R$66</c:f>
              <c:numCache>
                <c:formatCode>#,##0</c:formatCode>
                <c:ptCount val="52"/>
                <c:pt idx="0">
                  <c:v>20</c:v>
                </c:pt>
                <c:pt idx="1">
                  <c:v>20</c:v>
                </c:pt>
                <c:pt idx="2">
                  <c:v>20</c:v>
                </c:pt>
                <c:pt idx="3">
                  <c:v>20</c:v>
                </c:pt>
                <c:pt idx="4">
                  <c:v>20</c:v>
                </c:pt>
                <c:pt idx="5">
                  <c:v>20</c:v>
                </c:pt>
                <c:pt idx="6">
                  <c:v>40</c:v>
                </c:pt>
                <c:pt idx="7">
                  <c:v>80</c:v>
                </c:pt>
                <c:pt idx="8">
                  <c:v>100</c:v>
                </c:pt>
                <c:pt idx="9">
                  <c:v>100</c:v>
                </c:pt>
                <c:pt idx="10">
                  <c:v>100</c:v>
                </c:pt>
                <c:pt idx="11">
                  <c:v>100</c:v>
                </c:pt>
                <c:pt idx="12">
                  <c:v>80.769230769230774</c:v>
                </c:pt>
                <c:pt idx="13">
                  <c:v>80.769230769230774</c:v>
                </c:pt>
                <c:pt idx="14">
                  <c:v>80.769230769230774</c:v>
                </c:pt>
                <c:pt idx="15">
                  <c:v>80.769230769230774</c:v>
                </c:pt>
                <c:pt idx="16">
                  <c:v>80.769230769230774</c:v>
                </c:pt>
                <c:pt idx="17">
                  <c:v>80.769230769230774</c:v>
                </c:pt>
                <c:pt idx="18">
                  <c:v>80.769230769230774</c:v>
                </c:pt>
                <c:pt idx="19">
                  <c:v>80.769230769230774</c:v>
                </c:pt>
                <c:pt idx="20">
                  <c:v>80.769230769230774</c:v>
                </c:pt>
                <c:pt idx="21">
                  <c:v>80.769230769230774</c:v>
                </c:pt>
                <c:pt idx="22">
                  <c:v>80.769230769230774</c:v>
                </c:pt>
                <c:pt idx="23">
                  <c:v>80.769230769230774</c:v>
                </c:pt>
                <c:pt idx="24">
                  <c:v>80.769230769230774</c:v>
                </c:pt>
                <c:pt idx="25">
                  <c:v>80.769230769230774</c:v>
                </c:pt>
                <c:pt idx="26">
                  <c:v>80.769230769230774</c:v>
                </c:pt>
                <c:pt idx="27">
                  <c:v>80.769230769230774</c:v>
                </c:pt>
                <c:pt idx="28">
                  <c:v>80.769230769230774</c:v>
                </c:pt>
                <c:pt idx="29">
                  <c:v>80.769230769230774</c:v>
                </c:pt>
                <c:pt idx="30">
                  <c:v>80.769230769230774</c:v>
                </c:pt>
                <c:pt idx="31">
                  <c:v>80.769230769230774</c:v>
                </c:pt>
                <c:pt idx="32">
                  <c:v>80.769230769230774</c:v>
                </c:pt>
                <c:pt idx="33">
                  <c:v>80.769230769230774</c:v>
                </c:pt>
                <c:pt idx="34">
                  <c:v>80.769230769230774</c:v>
                </c:pt>
                <c:pt idx="35">
                  <c:v>80.769230769230774</c:v>
                </c:pt>
                <c:pt idx="36">
                  <c:v>80.769230769230774</c:v>
                </c:pt>
                <c:pt idx="37">
                  <c:v>80.769230769230774</c:v>
                </c:pt>
                <c:pt idx="38">
                  <c:v>80.769230769230774</c:v>
                </c:pt>
                <c:pt idx="39">
                  <c:v>80.769230769230774</c:v>
                </c:pt>
                <c:pt idx="40">
                  <c:v>80.769230769230774</c:v>
                </c:pt>
                <c:pt idx="41">
                  <c:v>80.769230769230774</c:v>
                </c:pt>
                <c:pt idx="42">
                  <c:v>80.769230769230774</c:v>
                </c:pt>
                <c:pt idx="43">
                  <c:v>80.769230769230774</c:v>
                </c:pt>
                <c:pt idx="44">
                  <c:v>80.769230769230774</c:v>
                </c:pt>
                <c:pt idx="45">
                  <c:v>80.769230769230774</c:v>
                </c:pt>
                <c:pt idx="46">
                  <c:v>80.769230769230774</c:v>
                </c:pt>
                <c:pt idx="47">
                  <c:v>80.769230769230774</c:v>
                </c:pt>
                <c:pt idx="48">
                  <c:v>80.769230769230774</c:v>
                </c:pt>
                <c:pt idx="49">
                  <c:v>80.769230769230774</c:v>
                </c:pt>
                <c:pt idx="50">
                  <c:v>80.769230769230774</c:v>
                </c:pt>
                <c:pt idx="51">
                  <c:v>80.769230769230774</c:v>
                </c:pt>
              </c:numCache>
            </c:numRef>
          </c:val>
          <c:smooth val="0"/>
          <c:extLst>
            <c:ext xmlns:c16="http://schemas.microsoft.com/office/drawing/2014/chart" uri="{C3380CC4-5D6E-409C-BE32-E72D297353CC}">
              <c16:uniqueId val="{00000002-B128-45B8-8878-4913986F5AF7}"/>
            </c:ext>
          </c:extLst>
        </c:ser>
        <c:ser>
          <c:idx val="3"/>
          <c:order val="3"/>
          <c:tx>
            <c:v>Available capacity (plus ad hoc)</c:v>
          </c:tx>
          <c:spPr>
            <a:ln w="19050">
              <a:solidFill>
                <a:schemeClr val="accent3"/>
              </a:solidFill>
            </a:ln>
          </c:spPr>
          <c:marker>
            <c:symbol val="diamond"/>
            <c:size val="5"/>
            <c:spPr>
              <a:solidFill>
                <a:schemeClr val="accent3">
                  <a:lumMod val="60000"/>
                  <a:lumOff val="40000"/>
                </a:schemeClr>
              </a:solidFill>
              <a:ln>
                <a:solidFill>
                  <a:schemeClr val="accent3">
                    <a:lumMod val="75000"/>
                  </a:schemeClr>
                </a:solidFill>
              </a:ln>
            </c:spPr>
          </c:marker>
          <c:val>
            <c:numRef>
              <c:f>'Summary Calculations (hide)'!$S$15:$S$66</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10</c:v>
                </c:pt>
                <c:pt idx="13">
                  <c:v>10</c:v>
                </c:pt>
                <c:pt idx="14">
                  <c:v>10</c:v>
                </c:pt>
                <c:pt idx="15">
                  <c:v>0</c:v>
                </c:pt>
                <c:pt idx="16">
                  <c:v>10</c:v>
                </c:pt>
                <c:pt idx="17">
                  <c:v>10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3-B128-45B8-8878-4913986F5AF7}"/>
            </c:ext>
          </c:extLst>
        </c:ser>
        <c:ser>
          <c:idx val="4"/>
          <c:order val="4"/>
          <c:tx>
            <c:v>Plus carve out (planned and same-day)</c:v>
          </c:tx>
          <c:spPr>
            <a:ln w="15875">
              <a:solidFill>
                <a:schemeClr val="accent3">
                  <a:lumMod val="50000"/>
                </a:schemeClr>
              </a:solidFill>
              <a:prstDash val="dashDot"/>
            </a:ln>
          </c:spPr>
          <c:marker>
            <c:symbol val="none"/>
          </c:marker>
          <c:val>
            <c:numRef>
              <c:f>'Summary Calculations (hide)'!$V$15:$V$66</c:f>
            </c:numRef>
          </c:val>
          <c:smooth val="0"/>
          <c:extLst>
            <c:ext xmlns:c16="http://schemas.microsoft.com/office/drawing/2014/chart" uri="{C3380CC4-5D6E-409C-BE32-E72D297353CC}">
              <c16:uniqueId val="{00000004-B128-45B8-8878-4913986F5AF7}"/>
            </c:ext>
          </c:extLst>
        </c:ser>
        <c:dLbls>
          <c:showLegendKey val="0"/>
          <c:showVal val="0"/>
          <c:showCatName val="0"/>
          <c:showSerName val="0"/>
          <c:showPercent val="0"/>
          <c:showBubbleSize val="0"/>
        </c:dLbls>
        <c:marker val="1"/>
        <c:smooth val="0"/>
        <c:axId val="362577920"/>
        <c:axId val="362579456"/>
      </c:lineChart>
      <c:catAx>
        <c:axId val="362577920"/>
        <c:scaling>
          <c:orientation val="minMax"/>
        </c:scaling>
        <c:delete val="0"/>
        <c:axPos val="b"/>
        <c:numFmt formatCode="General" sourceLinked="0"/>
        <c:majorTickMark val="none"/>
        <c:minorTickMark val="none"/>
        <c:tickLblPos val="nextTo"/>
        <c:txPr>
          <a:bodyPr/>
          <a:lstStyle/>
          <a:p>
            <a:pPr>
              <a:defRPr sz="800"/>
            </a:pPr>
            <a:endParaRPr lang="en-US"/>
          </a:p>
        </c:txPr>
        <c:crossAx val="362579456"/>
        <c:crosses val="autoZero"/>
        <c:auto val="1"/>
        <c:lblAlgn val="ctr"/>
        <c:lblOffset val="100"/>
        <c:noMultiLvlLbl val="1"/>
      </c:catAx>
      <c:valAx>
        <c:axId val="362579456"/>
        <c:scaling>
          <c:orientation val="minMax"/>
          <c:min val="0"/>
        </c:scaling>
        <c:delete val="0"/>
        <c:axPos val="l"/>
        <c:majorGridlines>
          <c:spPr>
            <a:ln>
              <a:solidFill>
                <a:schemeClr val="bg1">
                  <a:lumMod val="95000"/>
                </a:schemeClr>
              </a:solidFill>
            </a:ln>
          </c:spPr>
        </c:majorGridlines>
        <c:numFmt formatCode="#,##0" sourceLinked="1"/>
        <c:majorTickMark val="out"/>
        <c:minorTickMark val="none"/>
        <c:tickLblPos val="nextTo"/>
        <c:crossAx val="362577920"/>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areaChart>
        <c:grouping val="stacked"/>
        <c:varyColors val="0"/>
        <c:ser>
          <c:idx val="0"/>
          <c:order val="2"/>
          <c:tx>
            <c:strRef>
              <c:f>'WL PI Backing (hide)'!$T$10:$T$11</c:f>
              <c:strCache>
                <c:ptCount val="2"/>
                <c:pt idx="0">
                  <c:v>Prediction Output</c:v>
                </c:pt>
                <c:pt idx="1">
                  <c:v>1st</c:v>
                </c:pt>
              </c:strCache>
            </c:strRef>
          </c:tx>
          <c:spPr>
            <a:noFill/>
            <a:ln>
              <a:noFill/>
            </a:ln>
            <a:effectLst/>
          </c:spPr>
          <c:val>
            <c:numRef>
              <c:f>'WL PI Backing (hide)'!$T$13:$T$64</c:f>
              <c:numCache>
                <c:formatCode>General</c:formatCode>
                <c:ptCount val="52"/>
              </c:numCache>
            </c:numRef>
          </c:val>
          <c:extLst>
            <c:ext xmlns:c16="http://schemas.microsoft.com/office/drawing/2014/chart" uri="{C3380CC4-5D6E-409C-BE32-E72D297353CC}">
              <c16:uniqueId val="{00000000-0ACA-4B4B-8055-96490FA5BED2}"/>
            </c:ext>
          </c:extLst>
        </c:ser>
        <c:ser>
          <c:idx val="1"/>
          <c:order val="3"/>
          <c:tx>
            <c:v>1st / 99th Percentile</c:v>
          </c:tx>
          <c:spPr>
            <a:solidFill>
              <a:schemeClr val="tx2">
                <a:lumMod val="20000"/>
                <a:lumOff val="80000"/>
              </a:schemeClr>
            </a:solidFill>
            <a:ln>
              <a:noFill/>
            </a:ln>
            <a:effectLst/>
          </c:spPr>
          <c:val>
            <c:numRef>
              <c:f>'WL PI Backing (hide)'!$U$13:$U$64</c:f>
              <c:numCache>
                <c:formatCode>General</c:formatCode>
                <c:ptCount val="52"/>
              </c:numCache>
            </c:numRef>
          </c:val>
          <c:extLst>
            <c:ext xmlns:c16="http://schemas.microsoft.com/office/drawing/2014/chart" uri="{C3380CC4-5D6E-409C-BE32-E72D297353CC}">
              <c16:uniqueId val="{00000001-0ACA-4B4B-8055-96490FA5BED2}"/>
            </c:ext>
          </c:extLst>
        </c:ser>
        <c:ser>
          <c:idx val="2"/>
          <c:order val="4"/>
          <c:tx>
            <c:v>5th / 95th Percentile</c:v>
          </c:tx>
          <c:spPr>
            <a:solidFill>
              <a:schemeClr val="tx2"/>
            </a:solidFill>
            <a:ln>
              <a:noFill/>
            </a:ln>
            <a:effectLst/>
          </c:spPr>
          <c:val>
            <c:numRef>
              <c:f>'WL PI Backing (hide)'!$V$13:$V$64</c:f>
              <c:numCache>
                <c:formatCode>General</c:formatCode>
                <c:ptCount val="52"/>
              </c:numCache>
            </c:numRef>
          </c:val>
          <c:extLst>
            <c:ext xmlns:c16="http://schemas.microsoft.com/office/drawing/2014/chart" uri="{C3380CC4-5D6E-409C-BE32-E72D297353CC}">
              <c16:uniqueId val="{00000002-0ACA-4B4B-8055-96490FA5BED2}"/>
            </c:ext>
          </c:extLst>
        </c:ser>
        <c:ser>
          <c:idx val="3"/>
          <c:order val="5"/>
          <c:tx>
            <c:v>10th / 90th Percentile</c:v>
          </c:tx>
          <c:spPr>
            <a:solidFill>
              <a:schemeClr val="accent1"/>
            </a:solidFill>
            <a:ln>
              <a:noFill/>
            </a:ln>
            <a:effectLst/>
          </c:spPr>
          <c:val>
            <c:numRef>
              <c:f>'WL PI Backing (hide)'!$W$13:$W$64</c:f>
              <c:numCache>
                <c:formatCode>General</c:formatCode>
                <c:ptCount val="52"/>
              </c:numCache>
            </c:numRef>
          </c:val>
          <c:extLst>
            <c:ext xmlns:c16="http://schemas.microsoft.com/office/drawing/2014/chart" uri="{C3380CC4-5D6E-409C-BE32-E72D297353CC}">
              <c16:uniqueId val="{00000003-0ACA-4B4B-8055-96490FA5BED2}"/>
            </c:ext>
          </c:extLst>
        </c:ser>
        <c:ser>
          <c:idx val="4"/>
          <c:order val="6"/>
          <c:tx>
            <c:v>95th (hidden)</c:v>
          </c:tx>
          <c:spPr>
            <a:solidFill>
              <a:schemeClr val="tx2">
                <a:lumMod val="75000"/>
              </a:schemeClr>
            </a:solidFill>
            <a:ln>
              <a:noFill/>
            </a:ln>
            <a:effectLst/>
          </c:spPr>
          <c:val>
            <c:numRef>
              <c:f>'WL PI Backing (hide)'!$X$13:$X$64</c:f>
              <c:numCache>
                <c:formatCode>General</c:formatCode>
                <c:ptCount val="52"/>
              </c:numCache>
            </c:numRef>
          </c:val>
          <c:extLst>
            <c:ext xmlns:c16="http://schemas.microsoft.com/office/drawing/2014/chart" uri="{C3380CC4-5D6E-409C-BE32-E72D297353CC}">
              <c16:uniqueId val="{00000004-0ACA-4B4B-8055-96490FA5BED2}"/>
            </c:ext>
          </c:extLst>
        </c:ser>
        <c:ser>
          <c:idx val="5"/>
          <c:order val="7"/>
          <c:tx>
            <c:v>99th (hidden)</c:v>
          </c:tx>
          <c:spPr>
            <a:solidFill>
              <a:schemeClr val="tx2">
                <a:lumMod val="20000"/>
                <a:lumOff val="80000"/>
              </a:schemeClr>
            </a:solidFill>
            <a:ln>
              <a:noFill/>
            </a:ln>
            <a:effectLst/>
          </c:spPr>
          <c:val>
            <c:numRef>
              <c:f>'WL PI Backing (hide)'!$Y$13:$Y$64</c:f>
              <c:numCache>
                <c:formatCode>General</c:formatCode>
                <c:ptCount val="52"/>
              </c:numCache>
            </c:numRef>
          </c:val>
          <c:extLst>
            <c:ext xmlns:c16="http://schemas.microsoft.com/office/drawing/2014/chart" uri="{C3380CC4-5D6E-409C-BE32-E72D297353CC}">
              <c16:uniqueId val="{00000005-0ACA-4B4B-8055-96490FA5BED2}"/>
            </c:ext>
          </c:extLst>
        </c:ser>
        <c:dLbls>
          <c:showLegendKey val="0"/>
          <c:showVal val="0"/>
          <c:showCatName val="0"/>
          <c:showSerName val="0"/>
          <c:showPercent val="0"/>
          <c:showBubbleSize val="0"/>
        </c:dLbls>
        <c:axId val="505209616"/>
        <c:axId val="505205024"/>
      </c:areaChart>
      <c:barChart>
        <c:barDir val="col"/>
        <c:grouping val="stacked"/>
        <c:varyColors val="0"/>
        <c:ser>
          <c:idx val="7"/>
          <c:order val="0"/>
          <c:tx>
            <c:v>Blank Range</c:v>
          </c:tx>
          <c:spPr>
            <a:noFill/>
            <a:ln>
              <a:noFill/>
            </a:ln>
            <a:effectLst/>
          </c:spPr>
          <c:invertIfNegative val="0"/>
          <c:cat>
            <c:multiLvlStrRef>
              <c:f>'Summary Calculations (hide)'!$B$15:$C$66</c:f>
              <c:multiLvlStrCache>
                <c:ptCount val="52"/>
                <c:lvl>
                  <c:pt idx="0">
                    <c:v>Apr</c:v>
                  </c:pt>
                  <c:pt idx="3">
                    <c:v>May</c:v>
                  </c:pt>
                  <c:pt idx="7">
                    <c:v>Jun</c:v>
                  </c:pt>
                  <c:pt idx="12">
                    <c:v>Jul</c:v>
                  </c:pt>
                  <c:pt idx="16">
                    <c:v>Aug</c:v>
                  </c:pt>
                  <c:pt idx="21">
                    <c:v>Sep</c:v>
                  </c:pt>
                  <c:pt idx="25">
                    <c:v>Oct</c:v>
                  </c:pt>
                  <c:pt idx="29">
                    <c:v>Nov</c:v>
                  </c:pt>
                  <c:pt idx="34">
                    <c:v>Dec</c:v>
                  </c:pt>
                  <c:pt idx="38">
                    <c:v>Jan</c:v>
                  </c:pt>
                  <c:pt idx="42">
                    <c:v>Feb</c:v>
                  </c:pt>
                  <c:pt idx="46">
                    <c:v>Mar</c:v>
                  </c:pt>
                  <c:pt idx="51">
                    <c:v>Apr</c:v>
                  </c:pt>
                </c:lvl>
                <c:lvl>
                  <c:pt idx="0">
                    <c:v>2020</c:v>
                  </c:pt>
                  <c:pt idx="38">
                    <c:v>2021</c:v>
                  </c:pt>
                </c:lvl>
              </c:multiLvlStrCache>
            </c:multiLvlStrRef>
          </c:cat>
          <c:val>
            <c:numRef>
              <c:f>'WL PI Backing (hide)'!$AA$13:$AA$64</c:f>
              <c:numCache>
                <c:formatCode>General</c:formatCode>
                <c:ptCount val="52"/>
                <c:pt idx="0">
                  <c:v>269.8</c:v>
                </c:pt>
                <c:pt idx="1">
                  <c:v>269.8</c:v>
                </c:pt>
                <c:pt idx="2">
                  <c:v>269.8</c:v>
                </c:pt>
                <c:pt idx="3">
                  <c:v>269.8</c:v>
                </c:pt>
                <c:pt idx="4">
                  <c:v>269.8</c:v>
                </c:pt>
                <c:pt idx="5">
                  <c:v>269.8</c:v>
                </c:pt>
                <c:pt idx="6">
                  <c:v>269.8</c:v>
                </c:pt>
                <c:pt idx="7">
                  <c:v>269.8</c:v>
                </c:pt>
                <c:pt idx="8">
                  <c:v>269.8</c:v>
                </c:pt>
                <c:pt idx="9">
                  <c:v>269.8</c:v>
                </c:pt>
                <c:pt idx="10">
                  <c:v>269.8</c:v>
                </c:pt>
                <c:pt idx="11">
                  <c:v>269.8</c:v>
                </c:pt>
                <c:pt idx="12">
                  <c:v>269.8</c:v>
                </c:pt>
                <c:pt idx="13">
                  <c:v>269.8</c:v>
                </c:pt>
                <c:pt idx="14">
                  <c:v>269.8</c:v>
                </c:pt>
                <c:pt idx="15">
                  <c:v>269.8</c:v>
                </c:pt>
                <c:pt idx="16">
                  <c:v>269.8</c:v>
                </c:pt>
                <c:pt idx="17">
                  <c:v>269.8</c:v>
                </c:pt>
                <c:pt idx="18">
                  <c:v>269.8</c:v>
                </c:pt>
                <c:pt idx="19">
                  <c:v>269.8</c:v>
                </c:pt>
                <c:pt idx="20">
                  <c:v>269.8</c:v>
                </c:pt>
                <c:pt idx="21">
                  <c:v>269.8</c:v>
                </c:pt>
                <c:pt idx="22">
                  <c:v>269.8</c:v>
                </c:pt>
                <c:pt idx="23">
                  <c:v>269.8</c:v>
                </c:pt>
                <c:pt idx="24">
                  <c:v>269.8</c:v>
                </c:pt>
                <c:pt idx="25">
                  <c:v>269.8</c:v>
                </c:pt>
                <c:pt idx="26">
                  <c:v>269.8</c:v>
                </c:pt>
                <c:pt idx="27">
                  <c:v>269.8</c:v>
                </c:pt>
                <c:pt idx="28">
                  <c:v>269.8</c:v>
                </c:pt>
                <c:pt idx="29">
                  <c:v>269.8</c:v>
                </c:pt>
                <c:pt idx="30">
                  <c:v>269.8</c:v>
                </c:pt>
                <c:pt idx="31">
                  <c:v>269.8</c:v>
                </c:pt>
                <c:pt idx="32">
                  <c:v>269.8</c:v>
                </c:pt>
                <c:pt idx="33">
                  <c:v>269.8</c:v>
                </c:pt>
                <c:pt idx="34">
                  <c:v>269.8</c:v>
                </c:pt>
                <c:pt idx="35">
                  <c:v>269.8</c:v>
                </c:pt>
                <c:pt idx="36">
                  <c:v>269.8</c:v>
                </c:pt>
                <c:pt idx="37">
                  <c:v>269.8</c:v>
                </c:pt>
                <c:pt idx="38">
                  <c:v>269.8</c:v>
                </c:pt>
                <c:pt idx="39">
                  <c:v>269.8</c:v>
                </c:pt>
                <c:pt idx="40">
                  <c:v>269.8</c:v>
                </c:pt>
                <c:pt idx="41">
                  <c:v>269.8</c:v>
                </c:pt>
                <c:pt idx="42">
                  <c:v>269.8</c:v>
                </c:pt>
                <c:pt idx="43">
                  <c:v>269.8</c:v>
                </c:pt>
                <c:pt idx="44">
                  <c:v>269.8</c:v>
                </c:pt>
                <c:pt idx="45">
                  <c:v>269.8</c:v>
                </c:pt>
                <c:pt idx="46">
                  <c:v>269.8</c:v>
                </c:pt>
                <c:pt idx="47">
                  <c:v>269.8</c:v>
                </c:pt>
                <c:pt idx="48">
                  <c:v>269.8</c:v>
                </c:pt>
                <c:pt idx="49">
                  <c:v>269.8</c:v>
                </c:pt>
                <c:pt idx="50">
                  <c:v>269.8</c:v>
                </c:pt>
                <c:pt idx="51">
                  <c:v>269.8</c:v>
                </c:pt>
              </c:numCache>
            </c:numRef>
          </c:val>
          <c:extLst>
            <c:ext xmlns:c16="http://schemas.microsoft.com/office/drawing/2014/chart" uri="{C3380CC4-5D6E-409C-BE32-E72D297353CC}">
              <c16:uniqueId val="{00000001-0C40-4B1D-B3A1-8ACA6649A7A4}"/>
            </c:ext>
          </c:extLst>
        </c:ser>
        <c:ser>
          <c:idx val="8"/>
          <c:order val="1"/>
          <c:tx>
            <c:v>Sustainable Range</c:v>
          </c:tx>
          <c:spPr>
            <a:solidFill>
              <a:srgbClr val="FF0000">
                <a:alpha val="54000"/>
              </a:srgbClr>
            </a:solidFill>
            <a:ln>
              <a:noFill/>
            </a:ln>
            <a:effectLst/>
          </c:spPr>
          <c:invertIfNegative val="0"/>
          <c:cat>
            <c:multiLvlStrRef>
              <c:f>'Summary Calculations (hide)'!$B$15:$C$66</c:f>
              <c:multiLvlStrCache>
                <c:ptCount val="52"/>
                <c:lvl>
                  <c:pt idx="0">
                    <c:v>Apr</c:v>
                  </c:pt>
                  <c:pt idx="3">
                    <c:v>May</c:v>
                  </c:pt>
                  <c:pt idx="7">
                    <c:v>Jun</c:v>
                  </c:pt>
                  <c:pt idx="12">
                    <c:v>Jul</c:v>
                  </c:pt>
                  <c:pt idx="16">
                    <c:v>Aug</c:v>
                  </c:pt>
                  <c:pt idx="21">
                    <c:v>Sep</c:v>
                  </c:pt>
                  <c:pt idx="25">
                    <c:v>Oct</c:v>
                  </c:pt>
                  <c:pt idx="29">
                    <c:v>Nov</c:v>
                  </c:pt>
                  <c:pt idx="34">
                    <c:v>Dec</c:v>
                  </c:pt>
                  <c:pt idx="38">
                    <c:v>Jan</c:v>
                  </c:pt>
                  <c:pt idx="42">
                    <c:v>Feb</c:v>
                  </c:pt>
                  <c:pt idx="46">
                    <c:v>Mar</c:v>
                  </c:pt>
                  <c:pt idx="51">
                    <c:v>Apr</c:v>
                  </c:pt>
                </c:lvl>
                <c:lvl>
                  <c:pt idx="0">
                    <c:v>2020</c:v>
                  </c:pt>
                  <c:pt idx="38">
                    <c:v>2021</c:v>
                  </c:pt>
                </c:lvl>
              </c:multiLvlStrCache>
            </c:multiLvlStrRef>
          </c:cat>
          <c:val>
            <c:numRef>
              <c:f>'WL PI Backing (hide)'!$AC$13:$AC$64</c:f>
              <c:numCache>
                <c:formatCode>General</c:formatCode>
                <c:ptCount val="52"/>
                <c:pt idx="0">
                  <c:v>28.399999999999977</c:v>
                </c:pt>
                <c:pt idx="1">
                  <c:v>28.399999999999977</c:v>
                </c:pt>
                <c:pt idx="2">
                  <c:v>28.399999999999977</c:v>
                </c:pt>
                <c:pt idx="3">
                  <c:v>28.399999999999977</c:v>
                </c:pt>
                <c:pt idx="4">
                  <c:v>28.399999999999977</c:v>
                </c:pt>
                <c:pt idx="5">
                  <c:v>28.399999999999977</c:v>
                </c:pt>
                <c:pt idx="6">
                  <c:v>28.399999999999977</c:v>
                </c:pt>
                <c:pt idx="7">
                  <c:v>28.399999999999977</c:v>
                </c:pt>
                <c:pt idx="8">
                  <c:v>28.399999999999977</c:v>
                </c:pt>
                <c:pt idx="9">
                  <c:v>28.399999999999977</c:v>
                </c:pt>
                <c:pt idx="10">
                  <c:v>28.399999999999977</c:v>
                </c:pt>
                <c:pt idx="11">
                  <c:v>28.399999999999977</c:v>
                </c:pt>
                <c:pt idx="12">
                  <c:v>28.399999999999977</c:v>
                </c:pt>
                <c:pt idx="13">
                  <c:v>28.399999999999977</c:v>
                </c:pt>
                <c:pt idx="14">
                  <c:v>28.399999999999977</c:v>
                </c:pt>
                <c:pt idx="15">
                  <c:v>28.399999999999977</c:v>
                </c:pt>
                <c:pt idx="16">
                  <c:v>28.399999999999977</c:v>
                </c:pt>
                <c:pt idx="17">
                  <c:v>28.399999999999977</c:v>
                </c:pt>
                <c:pt idx="18">
                  <c:v>28.399999999999977</c:v>
                </c:pt>
                <c:pt idx="19">
                  <c:v>28.399999999999977</c:v>
                </c:pt>
                <c:pt idx="20">
                  <c:v>28.399999999999977</c:v>
                </c:pt>
                <c:pt idx="21">
                  <c:v>28.399999999999977</c:v>
                </c:pt>
                <c:pt idx="22">
                  <c:v>28.399999999999977</c:v>
                </c:pt>
                <c:pt idx="23">
                  <c:v>28.399999999999977</c:v>
                </c:pt>
                <c:pt idx="24">
                  <c:v>28.399999999999977</c:v>
                </c:pt>
                <c:pt idx="25">
                  <c:v>28.399999999999977</c:v>
                </c:pt>
                <c:pt idx="26">
                  <c:v>28.399999999999977</c:v>
                </c:pt>
                <c:pt idx="27">
                  <c:v>28.399999999999977</c:v>
                </c:pt>
                <c:pt idx="28">
                  <c:v>28.399999999999977</c:v>
                </c:pt>
                <c:pt idx="29">
                  <c:v>28.399999999999977</c:v>
                </c:pt>
                <c:pt idx="30">
                  <c:v>28.399999999999977</c:v>
                </c:pt>
                <c:pt idx="31">
                  <c:v>28.399999999999977</c:v>
                </c:pt>
                <c:pt idx="32">
                  <c:v>28.399999999999977</c:v>
                </c:pt>
                <c:pt idx="33">
                  <c:v>28.399999999999977</c:v>
                </c:pt>
                <c:pt idx="34">
                  <c:v>28.399999999999977</c:v>
                </c:pt>
                <c:pt idx="35">
                  <c:v>28.399999999999977</c:v>
                </c:pt>
                <c:pt idx="36">
                  <c:v>28.399999999999977</c:v>
                </c:pt>
                <c:pt idx="37">
                  <c:v>28.399999999999977</c:v>
                </c:pt>
                <c:pt idx="38">
                  <c:v>28.399999999999977</c:v>
                </c:pt>
                <c:pt idx="39">
                  <c:v>28.399999999999977</c:v>
                </c:pt>
                <c:pt idx="40">
                  <c:v>28.399999999999977</c:v>
                </c:pt>
                <c:pt idx="41">
                  <c:v>28.399999999999977</c:v>
                </c:pt>
                <c:pt idx="42">
                  <c:v>28.399999999999977</c:v>
                </c:pt>
                <c:pt idx="43">
                  <c:v>28.399999999999977</c:v>
                </c:pt>
                <c:pt idx="44">
                  <c:v>28.399999999999977</c:v>
                </c:pt>
                <c:pt idx="45">
                  <c:v>28.399999999999977</c:v>
                </c:pt>
                <c:pt idx="46">
                  <c:v>28.399999999999977</c:v>
                </c:pt>
                <c:pt idx="47">
                  <c:v>28.399999999999977</c:v>
                </c:pt>
                <c:pt idx="48">
                  <c:v>28.399999999999977</c:v>
                </c:pt>
                <c:pt idx="49">
                  <c:v>28.399999999999977</c:v>
                </c:pt>
                <c:pt idx="50">
                  <c:v>28.399999999999977</c:v>
                </c:pt>
                <c:pt idx="51">
                  <c:v>28.399999999999977</c:v>
                </c:pt>
              </c:numCache>
            </c:numRef>
          </c:val>
          <c:extLst>
            <c:ext xmlns:c16="http://schemas.microsoft.com/office/drawing/2014/chart" uri="{C3380CC4-5D6E-409C-BE32-E72D297353CC}">
              <c16:uniqueId val="{00000002-0C40-4B1D-B3A1-8ACA6649A7A4}"/>
            </c:ext>
          </c:extLst>
        </c:ser>
        <c:dLbls>
          <c:showLegendKey val="0"/>
          <c:showVal val="0"/>
          <c:showCatName val="0"/>
          <c:showSerName val="0"/>
          <c:showPercent val="0"/>
          <c:showBubbleSize val="0"/>
        </c:dLbls>
        <c:gapWidth val="0"/>
        <c:overlap val="100"/>
        <c:axId val="505209616"/>
        <c:axId val="505205024"/>
      </c:barChart>
      <c:lineChart>
        <c:grouping val="standard"/>
        <c:varyColors val="0"/>
        <c:ser>
          <c:idx val="6"/>
          <c:order val="8"/>
          <c:tx>
            <c:v>Mean</c:v>
          </c:tx>
          <c:spPr>
            <a:ln w="28575" cap="rnd">
              <a:solidFill>
                <a:srgbClr val="92D050"/>
              </a:solidFill>
              <a:round/>
            </a:ln>
            <a:effectLst/>
          </c:spPr>
          <c:marker>
            <c:symbol val="none"/>
          </c:marker>
          <c:val>
            <c:numRef>
              <c:f>'WL PI Backing (hide)'!$Z$13:$Z$64</c:f>
              <c:numCache>
                <c:formatCode>General</c:formatCode>
                <c:ptCount val="52"/>
              </c:numCache>
            </c:numRef>
          </c:val>
          <c:smooth val="0"/>
          <c:extLst>
            <c:ext xmlns:c16="http://schemas.microsoft.com/office/drawing/2014/chart" uri="{C3380CC4-5D6E-409C-BE32-E72D297353CC}">
              <c16:uniqueId val="{00000006-0ACA-4B4B-8055-96490FA5BED2}"/>
            </c:ext>
          </c:extLst>
        </c:ser>
        <c:dLbls>
          <c:showLegendKey val="0"/>
          <c:showVal val="0"/>
          <c:showCatName val="0"/>
          <c:showSerName val="0"/>
          <c:showPercent val="0"/>
          <c:showBubbleSize val="0"/>
        </c:dLbls>
        <c:marker val="1"/>
        <c:smooth val="0"/>
        <c:axId val="505209616"/>
        <c:axId val="505205024"/>
      </c:lineChart>
      <c:catAx>
        <c:axId val="50520961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205024"/>
        <c:crosses val="autoZero"/>
        <c:auto val="1"/>
        <c:lblAlgn val="ctr"/>
        <c:lblOffset val="100"/>
        <c:noMultiLvlLbl val="1"/>
      </c:catAx>
      <c:valAx>
        <c:axId val="5052050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209616"/>
        <c:crosses val="autoZero"/>
        <c:crossBetween val="between"/>
      </c:valAx>
      <c:spPr>
        <a:noFill/>
        <a:ln>
          <a:noFill/>
        </a:ln>
        <a:effectLst/>
      </c:spPr>
    </c:plotArea>
    <c:legend>
      <c:legendPos val="b"/>
      <c:legendEntry>
        <c:idx val="0"/>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Planning</a:t>
            </a:r>
          </a:p>
        </c:rich>
      </c:tx>
      <c:overlay val="0"/>
    </c:title>
    <c:autoTitleDeleted val="0"/>
    <c:plotArea>
      <c:layout>
        <c:manualLayout>
          <c:layoutTarget val="inner"/>
          <c:xMode val="edge"/>
          <c:yMode val="edge"/>
          <c:x val="4.176406591181011E-2"/>
          <c:y val="0.1930283659837925"/>
          <c:w val="0.94337607837664428"/>
          <c:h val="0.66051792760040662"/>
        </c:manualLayout>
      </c:layout>
      <c:areaChart>
        <c:grouping val="stacked"/>
        <c:varyColors val="0"/>
        <c:ser>
          <c:idx val="4"/>
          <c:order val="2"/>
          <c:tx>
            <c:v>Lower (original)</c:v>
          </c:tx>
          <c:spPr>
            <a:noFill/>
          </c:spPr>
          <c:cat>
            <c:numRef>
              <c:f>'Planning (hide)'!$A$4:$A$55</c:f>
              <c:numCache>
                <c:formatCode>m/d/yyyy</c:formatCode>
                <c:ptCount val="52"/>
                <c:pt idx="0">
                  <c:v>43934</c:v>
                </c:pt>
                <c:pt idx="1">
                  <c:v>43941</c:v>
                </c:pt>
                <c:pt idx="2">
                  <c:v>43948</c:v>
                </c:pt>
                <c:pt idx="3">
                  <c:v>43955</c:v>
                </c:pt>
                <c:pt idx="4">
                  <c:v>43962</c:v>
                </c:pt>
                <c:pt idx="5">
                  <c:v>43969</c:v>
                </c:pt>
                <c:pt idx="6">
                  <c:v>43976</c:v>
                </c:pt>
                <c:pt idx="7">
                  <c:v>43983</c:v>
                </c:pt>
                <c:pt idx="8">
                  <c:v>43990</c:v>
                </c:pt>
                <c:pt idx="9">
                  <c:v>43997</c:v>
                </c:pt>
                <c:pt idx="10">
                  <c:v>44004</c:v>
                </c:pt>
                <c:pt idx="11">
                  <c:v>44011</c:v>
                </c:pt>
                <c:pt idx="12">
                  <c:v>44018</c:v>
                </c:pt>
                <c:pt idx="13">
                  <c:v>44025</c:v>
                </c:pt>
                <c:pt idx="14">
                  <c:v>44032</c:v>
                </c:pt>
                <c:pt idx="15">
                  <c:v>44039</c:v>
                </c:pt>
                <c:pt idx="16">
                  <c:v>44046</c:v>
                </c:pt>
                <c:pt idx="17">
                  <c:v>44053</c:v>
                </c:pt>
                <c:pt idx="18">
                  <c:v>44060</c:v>
                </c:pt>
                <c:pt idx="19">
                  <c:v>44067</c:v>
                </c:pt>
                <c:pt idx="20">
                  <c:v>44074</c:v>
                </c:pt>
                <c:pt idx="21">
                  <c:v>44081</c:v>
                </c:pt>
                <c:pt idx="22">
                  <c:v>44088</c:v>
                </c:pt>
                <c:pt idx="23">
                  <c:v>44095</c:v>
                </c:pt>
                <c:pt idx="24">
                  <c:v>44102</c:v>
                </c:pt>
                <c:pt idx="25">
                  <c:v>44109</c:v>
                </c:pt>
                <c:pt idx="26">
                  <c:v>44116</c:v>
                </c:pt>
                <c:pt idx="27">
                  <c:v>44123</c:v>
                </c:pt>
                <c:pt idx="28">
                  <c:v>44130</c:v>
                </c:pt>
                <c:pt idx="29">
                  <c:v>44137</c:v>
                </c:pt>
                <c:pt idx="30">
                  <c:v>44144</c:v>
                </c:pt>
                <c:pt idx="31">
                  <c:v>44151</c:v>
                </c:pt>
                <c:pt idx="32">
                  <c:v>44158</c:v>
                </c:pt>
                <c:pt idx="33">
                  <c:v>44165</c:v>
                </c:pt>
                <c:pt idx="34">
                  <c:v>44172</c:v>
                </c:pt>
                <c:pt idx="35">
                  <c:v>44179</c:v>
                </c:pt>
                <c:pt idx="36">
                  <c:v>44186</c:v>
                </c:pt>
                <c:pt idx="37">
                  <c:v>44193</c:v>
                </c:pt>
                <c:pt idx="38">
                  <c:v>44200</c:v>
                </c:pt>
                <c:pt idx="39">
                  <c:v>44207</c:v>
                </c:pt>
                <c:pt idx="40">
                  <c:v>44214</c:v>
                </c:pt>
                <c:pt idx="41">
                  <c:v>44221</c:v>
                </c:pt>
                <c:pt idx="42">
                  <c:v>44228</c:v>
                </c:pt>
                <c:pt idx="43">
                  <c:v>44235</c:v>
                </c:pt>
                <c:pt idx="44">
                  <c:v>44242</c:v>
                </c:pt>
                <c:pt idx="45">
                  <c:v>44249</c:v>
                </c:pt>
                <c:pt idx="46">
                  <c:v>44256</c:v>
                </c:pt>
                <c:pt idx="47">
                  <c:v>44263</c:v>
                </c:pt>
                <c:pt idx="48">
                  <c:v>44270</c:v>
                </c:pt>
                <c:pt idx="49">
                  <c:v>44277</c:v>
                </c:pt>
                <c:pt idx="50">
                  <c:v>44284</c:v>
                </c:pt>
                <c:pt idx="51">
                  <c:v>44291</c:v>
                </c:pt>
              </c:numCache>
            </c:numRef>
          </c:cat>
          <c:val>
            <c:numRef>
              <c:f>'Planning (hide)'!$AD$4:$AD$55</c:f>
              <c:numCache>
                <c:formatCode>General</c:formatCode>
                <c:ptCount val="52"/>
                <c:pt idx="0">
                  <c:v>5.0017499999999995</c:v>
                </c:pt>
                <c:pt idx="1">
                  <c:v>5.0017499999999995</c:v>
                </c:pt>
                <c:pt idx="2">
                  <c:v>5.0017499999999995</c:v>
                </c:pt>
                <c:pt idx="3">
                  <c:v>5.0017499999999995</c:v>
                </c:pt>
                <c:pt idx="4">
                  <c:v>5.0017499999999995</c:v>
                </c:pt>
                <c:pt idx="5">
                  <c:v>27.009449999999998</c:v>
                </c:pt>
                <c:pt idx="6">
                  <c:v>49.017149999999994</c:v>
                </c:pt>
                <c:pt idx="7">
                  <c:v>71.024850000000001</c:v>
                </c:pt>
                <c:pt idx="8">
                  <c:v>96.033599999999979</c:v>
                </c:pt>
                <c:pt idx="9">
                  <c:v>95.033249999999995</c:v>
                </c:pt>
                <c:pt idx="10">
                  <c:v>96.033599999999979</c:v>
                </c:pt>
                <c:pt idx="11">
                  <c:v>74.025899999999993</c:v>
                </c:pt>
                <c:pt idx="12">
                  <c:v>65.022750000000002</c:v>
                </c:pt>
                <c:pt idx="13">
                  <c:v>68.023799999999994</c:v>
                </c:pt>
                <c:pt idx="14">
                  <c:v>69.024149999999992</c:v>
                </c:pt>
                <c:pt idx="15">
                  <c:v>63.022049999999993</c:v>
                </c:pt>
                <c:pt idx="16">
                  <c:v>76.026600000000002</c:v>
                </c:pt>
                <c:pt idx="17">
                  <c:v>64.02239999999999</c:v>
                </c:pt>
                <c:pt idx="18">
                  <c:v>76.026600000000002</c:v>
                </c:pt>
                <c:pt idx="19">
                  <c:v>69.024149999999992</c:v>
                </c:pt>
                <c:pt idx="20">
                  <c:v>80.027999999999992</c:v>
                </c:pt>
                <c:pt idx="21">
                  <c:v>73.025549999999996</c:v>
                </c:pt>
                <c:pt idx="22">
                  <c:v>74.025899999999993</c:v>
                </c:pt>
                <c:pt idx="23">
                  <c:v>65.022750000000002</c:v>
                </c:pt>
                <c:pt idx="24">
                  <c:v>65.022750000000002</c:v>
                </c:pt>
                <c:pt idx="25">
                  <c:v>60.020999999999994</c:v>
                </c:pt>
                <c:pt idx="26">
                  <c:v>62.021699999999996</c:v>
                </c:pt>
                <c:pt idx="27">
                  <c:v>70.024499999999989</c:v>
                </c:pt>
                <c:pt idx="28">
                  <c:v>74.025899999999993</c:v>
                </c:pt>
                <c:pt idx="29">
                  <c:v>75.02624999999999</c:v>
                </c:pt>
                <c:pt idx="30">
                  <c:v>71.024850000000001</c:v>
                </c:pt>
                <c:pt idx="31">
                  <c:v>66.023099999999985</c:v>
                </c:pt>
                <c:pt idx="32">
                  <c:v>68.023799999999994</c:v>
                </c:pt>
                <c:pt idx="33">
                  <c:v>70.024499999999989</c:v>
                </c:pt>
                <c:pt idx="34">
                  <c:v>72.025199999999984</c:v>
                </c:pt>
                <c:pt idx="35">
                  <c:v>62.021699999999996</c:v>
                </c:pt>
                <c:pt idx="36">
                  <c:v>71.024850000000001</c:v>
                </c:pt>
                <c:pt idx="37">
                  <c:v>70.024499999999989</c:v>
                </c:pt>
                <c:pt idx="38">
                  <c:v>65.022750000000002</c:v>
                </c:pt>
                <c:pt idx="39">
                  <c:v>60.020999999999994</c:v>
                </c:pt>
                <c:pt idx="40">
                  <c:v>75.02624999999999</c:v>
                </c:pt>
                <c:pt idx="41">
                  <c:v>77.026949999999985</c:v>
                </c:pt>
                <c:pt idx="42">
                  <c:v>70.024499999999989</c:v>
                </c:pt>
                <c:pt idx="43">
                  <c:v>68.023799999999994</c:v>
                </c:pt>
                <c:pt idx="44">
                  <c:v>76.026600000000002</c:v>
                </c:pt>
                <c:pt idx="45">
                  <c:v>74.025899999999993</c:v>
                </c:pt>
                <c:pt idx="46">
                  <c:v>74.025899999999993</c:v>
                </c:pt>
                <c:pt idx="47">
                  <c:v>70.024499999999989</c:v>
                </c:pt>
                <c:pt idx="48">
                  <c:v>76.026600000000002</c:v>
                </c:pt>
                <c:pt idx="49">
                  <c:v>73.025549999999996</c:v>
                </c:pt>
                <c:pt idx="50">
                  <c:v>65.022750000000002</c:v>
                </c:pt>
                <c:pt idx="51">
                  <c:v>71.024850000000001</c:v>
                </c:pt>
              </c:numCache>
            </c:numRef>
          </c:val>
          <c:extLst>
            <c:ext xmlns:c16="http://schemas.microsoft.com/office/drawing/2014/chart" uri="{C3380CC4-5D6E-409C-BE32-E72D297353CC}">
              <c16:uniqueId val="{00000000-A49C-4843-B092-F122F64A40EC}"/>
            </c:ext>
          </c:extLst>
        </c:ser>
        <c:ser>
          <c:idx val="5"/>
          <c:order val="3"/>
          <c:tx>
            <c:v>Required capacity (original)</c:v>
          </c:tx>
          <c:spPr>
            <a:solidFill>
              <a:schemeClr val="tx2">
                <a:lumMod val="40000"/>
                <a:lumOff val="60000"/>
              </a:schemeClr>
            </a:solidFill>
            <a:ln>
              <a:noFill/>
            </a:ln>
          </c:spPr>
          <c:cat>
            <c:numRef>
              <c:f>'Planning (hide)'!$A$4:$A$55</c:f>
              <c:numCache>
                <c:formatCode>m/d/yyyy</c:formatCode>
                <c:ptCount val="52"/>
                <c:pt idx="0">
                  <c:v>43934</c:v>
                </c:pt>
                <c:pt idx="1">
                  <c:v>43941</c:v>
                </c:pt>
                <c:pt idx="2">
                  <c:v>43948</c:v>
                </c:pt>
                <c:pt idx="3">
                  <c:v>43955</c:v>
                </c:pt>
                <c:pt idx="4">
                  <c:v>43962</c:v>
                </c:pt>
                <c:pt idx="5">
                  <c:v>43969</c:v>
                </c:pt>
                <c:pt idx="6">
                  <c:v>43976</c:v>
                </c:pt>
                <c:pt idx="7">
                  <c:v>43983</c:v>
                </c:pt>
                <c:pt idx="8">
                  <c:v>43990</c:v>
                </c:pt>
                <c:pt idx="9">
                  <c:v>43997</c:v>
                </c:pt>
                <c:pt idx="10">
                  <c:v>44004</c:v>
                </c:pt>
                <c:pt idx="11">
                  <c:v>44011</c:v>
                </c:pt>
                <c:pt idx="12">
                  <c:v>44018</c:v>
                </c:pt>
                <c:pt idx="13">
                  <c:v>44025</c:v>
                </c:pt>
                <c:pt idx="14">
                  <c:v>44032</c:v>
                </c:pt>
                <c:pt idx="15">
                  <c:v>44039</c:v>
                </c:pt>
                <c:pt idx="16">
                  <c:v>44046</c:v>
                </c:pt>
                <c:pt idx="17">
                  <c:v>44053</c:v>
                </c:pt>
                <c:pt idx="18">
                  <c:v>44060</c:v>
                </c:pt>
                <c:pt idx="19">
                  <c:v>44067</c:v>
                </c:pt>
                <c:pt idx="20">
                  <c:v>44074</c:v>
                </c:pt>
                <c:pt idx="21">
                  <c:v>44081</c:v>
                </c:pt>
                <c:pt idx="22">
                  <c:v>44088</c:v>
                </c:pt>
                <c:pt idx="23">
                  <c:v>44095</c:v>
                </c:pt>
                <c:pt idx="24">
                  <c:v>44102</c:v>
                </c:pt>
                <c:pt idx="25">
                  <c:v>44109</c:v>
                </c:pt>
                <c:pt idx="26">
                  <c:v>44116</c:v>
                </c:pt>
                <c:pt idx="27">
                  <c:v>44123</c:v>
                </c:pt>
                <c:pt idx="28">
                  <c:v>44130</c:v>
                </c:pt>
                <c:pt idx="29">
                  <c:v>44137</c:v>
                </c:pt>
                <c:pt idx="30">
                  <c:v>44144</c:v>
                </c:pt>
                <c:pt idx="31">
                  <c:v>44151</c:v>
                </c:pt>
                <c:pt idx="32">
                  <c:v>44158</c:v>
                </c:pt>
                <c:pt idx="33">
                  <c:v>44165</c:v>
                </c:pt>
                <c:pt idx="34">
                  <c:v>44172</c:v>
                </c:pt>
                <c:pt idx="35">
                  <c:v>44179</c:v>
                </c:pt>
                <c:pt idx="36">
                  <c:v>44186</c:v>
                </c:pt>
                <c:pt idx="37">
                  <c:v>44193</c:v>
                </c:pt>
                <c:pt idx="38">
                  <c:v>44200</c:v>
                </c:pt>
                <c:pt idx="39">
                  <c:v>44207</c:v>
                </c:pt>
                <c:pt idx="40">
                  <c:v>44214</c:v>
                </c:pt>
                <c:pt idx="41">
                  <c:v>44221</c:v>
                </c:pt>
                <c:pt idx="42">
                  <c:v>44228</c:v>
                </c:pt>
                <c:pt idx="43">
                  <c:v>44235</c:v>
                </c:pt>
                <c:pt idx="44">
                  <c:v>44242</c:v>
                </c:pt>
                <c:pt idx="45">
                  <c:v>44249</c:v>
                </c:pt>
                <c:pt idx="46">
                  <c:v>44256</c:v>
                </c:pt>
                <c:pt idx="47">
                  <c:v>44263</c:v>
                </c:pt>
                <c:pt idx="48">
                  <c:v>44270</c:v>
                </c:pt>
                <c:pt idx="49">
                  <c:v>44277</c:v>
                </c:pt>
                <c:pt idx="50">
                  <c:v>44284</c:v>
                </c:pt>
                <c:pt idx="51">
                  <c:v>44291</c:v>
                </c:pt>
              </c:numCache>
            </c:numRef>
          </c:cat>
          <c:val>
            <c:numRef>
              <c:f>'Planning (hide)'!$AE$4:$AE$55</c:f>
              <c:numCache>
                <c:formatCode>General</c:formatCode>
                <c:ptCount val="52"/>
                <c:pt idx="0">
                  <c:v>1.5005249999999997</c:v>
                </c:pt>
                <c:pt idx="1">
                  <c:v>1.5005249999999997</c:v>
                </c:pt>
                <c:pt idx="2">
                  <c:v>1.5005249999999997</c:v>
                </c:pt>
                <c:pt idx="3">
                  <c:v>1.5005249999999997</c:v>
                </c:pt>
                <c:pt idx="4">
                  <c:v>1.5005249999999997</c:v>
                </c:pt>
                <c:pt idx="5">
                  <c:v>1.5005249999999997</c:v>
                </c:pt>
                <c:pt idx="6">
                  <c:v>1.5005249999999961</c:v>
                </c:pt>
                <c:pt idx="7">
                  <c:v>1.5005249999999961</c:v>
                </c:pt>
                <c:pt idx="8">
                  <c:v>7.1024850000000299</c:v>
                </c:pt>
                <c:pt idx="9">
                  <c:v>7.0024499999999961</c:v>
                </c:pt>
                <c:pt idx="10">
                  <c:v>7.6026600000000144</c:v>
                </c:pt>
                <c:pt idx="11">
                  <c:v>6.9024150000000049</c:v>
                </c:pt>
                <c:pt idx="12">
                  <c:v>6.0020999999999987</c:v>
                </c:pt>
                <c:pt idx="13">
                  <c:v>6.8023799999999994</c:v>
                </c:pt>
                <c:pt idx="14">
                  <c:v>6.9024150000000049</c:v>
                </c:pt>
                <c:pt idx="15">
                  <c:v>6.3022050000000149</c:v>
                </c:pt>
                <c:pt idx="16">
                  <c:v>7.6026600000000002</c:v>
                </c:pt>
                <c:pt idx="17">
                  <c:v>6.4022400000000061</c:v>
                </c:pt>
                <c:pt idx="18">
                  <c:v>7.6026600000000002</c:v>
                </c:pt>
                <c:pt idx="19">
                  <c:v>6.9024150000000049</c:v>
                </c:pt>
                <c:pt idx="20">
                  <c:v>8.0027999999999935</c:v>
                </c:pt>
                <c:pt idx="21">
                  <c:v>7.3025550000000123</c:v>
                </c:pt>
                <c:pt idx="22">
                  <c:v>7.4025900000000036</c:v>
                </c:pt>
                <c:pt idx="23">
                  <c:v>6.5022749999999974</c:v>
                </c:pt>
                <c:pt idx="24">
                  <c:v>6.5022749999999974</c:v>
                </c:pt>
                <c:pt idx="25">
                  <c:v>6.0020999999999916</c:v>
                </c:pt>
                <c:pt idx="26">
                  <c:v>6.2021700000000095</c:v>
                </c:pt>
                <c:pt idx="27">
                  <c:v>7.0024499999999961</c:v>
                </c:pt>
                <c:pt idx="28">
                  <c:v>7.4025900000000036</c:v>
                </c:pt>
                <c:pt idx="29">
                  <c:v>7.502625000000009</c:v>
                </c:pt>
                <c:pt idx="30">
                  <c:v>7.1024850000000015</c:v>
                </c:pt>
                <c:pt idx="31">
                  <c:v>6.6023100000000028</c:v>
                </c:pt>
                <c:pt idx="32">
                  <c:v>6.8023799999999994</c:v>
                </c:pt>
                <c:pt idx="33">
                  <c:v>7.0024499999999961</c:v>
                </c:pt>
                <c:pt idx="34">
                  <c:v>7.2025200000000069</c:v>
                </c:pt>
                <c:pt idx="35">
                  <c:v>6.2021700000000095</c:v>
                </c:pt>
                <c:pt idx="36">
                  <c:v>7.1024850000000015</c:v>
                </c:pt>
                <c:pt idx="37">
                  <c:v>7.0024499999999961</c:v>
                </c:pt>
                <c:pt idx="38">
                  <c:v>6.5022749999999974</c:v>
                </c:pt>
                <c:pt idx="39">
                  <c:v>6.0020999999999916</c:v>
                </c:pt>
                <c:pt idx="40">
                  <c:v>7.502625000000009</c:v>
                </c:pt>
                <c:pt idx="41">
                  <c:v>7.7026950000000198</c:v>
                </c:pt>
                <c:pt idx="42">
                  <c:v>7.0024499999999961</c:v>
                </c:pt>
                <c:pt idx="43">
                  <c:v>6.8023799999999994</c:v>
                </c:pt>
                <c:pt idx="44">
                  <c:v>7.6026600000000002</c:v>
                </c:pt>
                <c:pt idx="45">
                  <c:v>7.4025900000000036</c:v>
                </c:pt>
                <c:pt idx="46">
                  <c:v>7.4025900000000036</c:v>
                </c:pt>
                <c:pt idx="47">
                  <c:v>7.0024499999999961</c:v>
                </c:pt>
                <c:pt idx="48">
                  <c:v>7.6026600000000002</c:v>
                </c:pt>
                <c:pt idx="49">
                  <c:v>7.3025550000000123</c:v>
                </c:pt>
                <c:pt idx="50">
                  <c:v>6.5022749999999974</c:v>
                </c:pt>
                <c:pt idx="51">
                  <c:v>6.6523274999999984</c:v>
                </c:pt>
              </c:numCache>
            </c:numRef>
          </c:val>
          <c:extLst>
            <c:ext xmlns:c16="http://schemas.microsoft.com/office/drawing/2014/chart" uri="{C3380CC4-5D6E-409C-BE32-E72D297353CC}">
              <c16:uniqueId val="{00000001-A49C-4843-B092-F122F64A40EC}"/>
            </c:ext>
          </c:extLst>
        </c:ser>
        <c:dLbls>
          <c:showLegendKey val="0"/>
          <c:showVal val="0"/>
          <c:showCatName val="0"/>
          <c:showSerName val="0"/>
          <c:showPercent val="0"/>
          <c:showBubbleSize val="0"/>
        </c:dLbls>
        <c:axId val="363044224"/>
        <c:axId val="363058304"/>
      </c:areaChart>
      <c:barChart>
        <c:barDir val="col"/>
        <c:grouping val="stacked"/>
        <c:varyColors val="0"/>
        <c:ser>
          <c:idx val="0"/>
          <c:order val="0"/>
          <c:tx>
            <c:v>Lower</c:v>
          </c:tx>
          <c:spPr>
            <a:noFill/>
          </c:spPr>
          <c:invertIfNegative val="0"/>
          <c:cat>
            <c:numRef>
              <c:f>'Planning (hide)'!$A$4:$A$55</c:f>
              <c:numCache>
                <c:formatCode>m/d/yyyy</c:formatCode>
                <c:ptCount val="52"/>
                <c:pt idx="0">
                  <c:v>43934</c:v>
                </c:pt>
                <c:pt idx="1">
                  <c:v>43941</c:v>
                </c:pt>
                <c:pt idx="2">
                  <c:v>43948</c:v>
                </c:pt>
                <c:pt idx="3">
                  <c:v>43955</c:v>
                </c:pt>
                <c:pt idx="4">
                  <c:v>43962</c:v>
                </c:pt>
                <c:pt idx="5">
                  <c:v>43969</c:v>
                </c:pt>
                <c:pt idx="6">
                  <c:v>43976</c:v>
                </c:pt>
                <c:pt idx="7">
                  <c:v>43983</c:v>
                </c:pt>
                <c:pt idx="8">
                  <c:v>43990</c:v>
                </c:pt>
                <c:pt idx="9">
                  <c:v>43997</c:v>
                </c:pt>
                <c:pt idx="10">
                  <c:v>44004</c:v>
                </c:pt>
                <c:pt idx="11">
                  <c:v>44011</c:v>
                </c:pt>
                <c:pt idx="12">
                  <c:v>44018</c:v>
                </c:pt>
                <c:pt idx="13">
                  <c:v>44025</c:v>
                </c:pt>
                <c:pt idx="14">
                  <c:v>44032</c:v>
                </c:pt>
                <c:pt idx="15">
                  <c:v>44039</c:v>
                </c:pt>
                <c:pt idx="16">
                  <c:v>44046</c:v>
                </c:pt>
                <c:pt idx="17">
                  <c:v>44053</c:v>
                </c:pt>
                <c:pt idx="18">
                  <c:v>44060</c:v>
                </c:pt>
                <c:pt idx="19">
                  <c:v>44067</c:v>
                </c:pt>
                <c:pt idx="20">
                  <c:v>44074</c:v>
                </c:pt>
                <c:pt idx="21">
                  <c:v>44081</c:v>
                </c:pt>
                <c:pt idx="22">
                  <c:v>44088</c:v>
                </c:pt>
                <c:pt idx="23">
                  <c:v>44095</c:v>
                </c:pt>
                <c:pt idx="24">
                  <c:v>44102</c:v>
                </c:pt>
                <c:pt idx="25">
                  <c:v>44109</c:v>
                </c:pt>
                <c:pt idx="26">
                  <c:v>44116</c:v>
                </c:pt>
                <c:pt idx="27">
                  <c:v>44123</c:v>
                </c:pt>
                <c:pt idx="28">
                  <c:v>44130</c:v>
                </c:pt>
                <c:pt idx="29">
                  <c:v>44137</c:v>
                </c:pt>
                <c:pt idx="30">
                  <c:v>44144</c:v>
                </c:pt>
                <c:pt idx="31">
                  <c:v>44151</c:v>
                </c:pt>
                <c:pt idx="32">
                  <c:v>44158</c:v>
                </c:pt>
                <c:pt idx="33">
                  <c:v>44165</c:v>
                </c:pt>
                <c:pt idx="34">
                  <c:v>44172</c:v>
                </c:pt>
                <c:pt idx="35">
                  <c:v>44179</c:v>
                </c:pt>
                <c:pt idx="36">
                  <c:v>44186</c:v>
                </c:pt>
                <c:pt idx="37">
                  <c:v>44193</c:v>
                </c:pt>
                <c:pt idx="38">
                  <c:v>44200</c:v>
                </c:pt>
                <c:pt idx="39">
                  <c:v>44207</c:v>
                </c:pt>
                <c:pt idx="40">
                  <c:v>44214</c:v>
                </c:pt>
                <c:pt idx="41">
                  <c:v>44221</c:v>
                </c:pt>
                <c:pt idx="42">
                  <c:v>44228</c:v>
                </c:pt>
                <c:pt idx="43">
                  <c:v>44235</c:v>
                </c:pt>
                <c:pt idx="44">
                  <c:v>44242</c:v>
                </c:pt>
                <c:pt idx="45">
                  <c:v>44249</c:v>
                </c:pt>
                <c:pt idx="46">
                  <c:v>44256</c:v>
                </c:pt>
                <c:pt idx="47">
                  <c:v>44263</c:v>
                </c:pt>
                <c:pt idx="48">
                  <c:v>44270</c:v>
                </c:pt>
                <c:pt idx="49">
                  <c:v>44277</c:v>
                </c:pt>
                <c:pt idx="50">
                  <c:v>44284</c:v>
                </c:pt>
                <c:pt idx="51">
                  <c:v>44291</c:v>
                </c:pt>
              </c:numCache>
            </c:numRef>
          </c:cat>
          <c:val>
            <c:numRef>
              <c:f>'Planning (hide)'!$C$4:$C$55</c:f>
              <c:numCache>
                <c:formatCode>#,##0</c:formatCode>
                <c:ptCount val="52"/>
                <c:pt idx="0">
                  <c:v>5.0017499999999995</c:v>
                </c:pt>
                <c:pt idx="1">
                  <c:v>5.0017499999999995</c:v>
                </c:pt>
                <c:pt idx="2">
                  <c:v>5.0017499999999995</c:v>
                </c:pt>
                <c:pt idx="3">
                  <c:v>5.0017499999999995</c:v>
                </c:pt>
                <c:pt idx="4">
                  <c:v>5.0017499999999995</c:v>
                </c:pt>
                <c:pt idx="5">
                  <c:v>27.009449999999998</c:v>
                </c:pt>
                <c:pt idx="6">
                  <c:v>49.017149999999994</c:v>
                </c:pt>
                <c:pt idx="7">
                  <c:v>71.024849999999986</c:v>
                </c:pt>
                <c:pt idx="8">
                  <c:v>71.024849999999986</c:v>
                </c:pt>
                <c:pt idx="9">
                  <c:v>70.024499999999989</c:v>
                </c:pt>
                <c:pt idx="10">
                  <c:v>76.026599999999988</c:v>
                </c:pt>
                <c:pt idx="11">
                  <c:v>69.024149999999992</c:v>
                </c:pt>
                <c:pt idx="12">
                  <c:v>60.020999999999994</c:v>
                </c:pt>
                <c:pt idx="13">
                  <c:v>68.023799999999994</c:v>
                </c:pt>
                <c:pt idx="14">
                  <c:v>69.024149999999992</c:v>
                </c:pt>
                <c:pt idx="15">
                  <c:v>63.022049999999993</c:v>
                </c:pt>
                <c:pt idx="16">
                  <c:v>76.026599999999988</c:v>
                </c:pt>
                <c:pt idx="17">
                  <c:v>64.02239999999999</c:v>
                </c:pt>
                <c:pt idx="18">
                  <c:v>76.026599999999988</c:v>
                </c:pt>
                <c:pt idx="19">
                  <c:v>69.024149999999992</c:v>
                </c:pt>
                <c:pt idx="20">
                  <c:v>80.027999999999992</c:v>
                </c:pt>
                <c:pt idx="21">
                  <c:v>73.025549999999996</c:v>
                </c:pt>
                <c:pt idx="22">
                  <c:v>74.025899999999993</c:v>
                </c:pt>
                <c:pt idx="23">
                  <c:v>65.022749999999988</c:v>
                </c:pt>
                <c:pt idx="24">
                  <c:v>65.022749999999988</c:v>
                </c:pt>
                <c:pt idx="25">
                  <c:v>60.020999999999994</c:v>
                </c:pt>
                <c:pt idx="26">
                  <c:v>62.021699999999989</c:v>
                </c:pt>
                <c:pt idx="27">
                  <c:v>70.024499999999989</c:v>
                </c:pt>
                <c:pt idx="28">
                  <c:v>74.025899999999993</c:v>
                </c:pt>
                <c:pt idx="29">
                  <c:v>75.02624999999999</c:v>
                </c:pt>
                <c:pt idx="30">
                  <c:v>71.024849999999986</c:v>
                </c:pt>
                <c:pt idx="31">
                  <c:v>66.023099999999985</c:v>
                </c:pt>
                <c:pt idx="32">
                  <c:v>68.023799999999994</c:v>
                </c:pt>
                <c:pt idx="33">
                  <c:v>70.024499999999989</c:v>
                </c:pt>
                <c:pt idx="34">
                  <c:v>72.025199999999984</c:v>
                </c:pt>
                <c:pt idx="35">
                  <c:v>62.021699999999989</c:v>
                </c:pt>
                <c:pt idx="36">
                  <c:v>71.024849999999986</c:v>
                </c:pt>
                <c:pt idx="37">
                  <c:v>71.024849999999986</c:v>
                </c:pt>
                <c:pt idx="38">
                  <c:v>70.024499999999989</c:v>
                </c:pt>
                <c:pt idx="39">
                  <c:v>65.022749999999988</c:v>
                </c:pt>
                <c:pt idx="40">
                  <c:v>60.020999999999994</c:v>
                </c:pt>
                <c:pt idx="41">
                  <c:v>75.02624999999999</c:v>
                </c:pt>
                <c:pt idx="42">
                  <c:v>77.026949999999985</c:v>
                </c:pt>
                <c:pt idx="43">
                  <c:v>70.024499999999989</c:v>
                </c:pt>
                <c:pt idx="44">
                  <c:v>68.023799999999994</c:v>
                </c:pt>
                <c:pt idx="45">
                  <c:v>76.026599999999988</c:v>
                </c:pt>
                <c:pt idx="46">
                  <c:v>74.025899999999993</c:v>
                </c:pt>
                <c:pt idx="47">
                  <c:v>74.025899999999993</c:v>
                </c:pt>
                <c:pt idx="48">
                  <c:v>70.024499999999989</c:v>
                </c:pt>
                <c:pt idx="49">
                  <c:v>76.026599999999988</c:v>
                </c:pt>
                <c:pt idx="50">
                  <c:v>73.025549999999996</c:v>
                </c:pt>
                <c:pt idx="51">
                  <c:v>65.022749999999988</c:v>
                </c:pt>
              </c:numCache>
            </c:numRef>
          </c:val>
          <c:extLst>
            <c:ext xmlns:c16="http://schemas.microsoft.com/office/drawing/2014/chart" uri="{C3380CC4-5D6E-409C-BE32-E72D297353CC}">
              <c16:uniqueId val="{00000000-E972-4F3E-97D5-C675FAA2DE91}"/>
            </c:ext>
          </c:extLst>
        </c:ser>
        <c:ser>
          <c:idx val="1"/>
          <c:order val="1"/>
          <c:tx>
            <c:v>Required Capacity</c:v>
          </c:tx>
          <c:spPr>
            <a:solidFill>
              <a:schemeClr val="accent5">
                <a:alpha val="73000"/>
              </a:schemeClr>
            </a:solidFill>
            <a:ln>
              <a:noFill/>
            </a:ln>
          </c:spPr>
          <c:invertIfNegative val="0"/>
          <c:cat>
            <c:numRef>
              <c:f>'Planning (hide)'!$A$4:$A$55</c:f>
              <c:numCache>
                <c:formatCode>m/d/yyyy</c:formatCode>
                <c:ptCount val="52"/>
                <c:pt idx="0">
                  <c:v>43934</c:v>
                </c:pt>
                <c:pt idx="1">
                  <c:v>43941</c:v>
                </c:pt>
                <c:pt idx="2">
                  <c:v>43948</c:v>
                </c:pt>
                <c:pt idx="3">
                  <c:v>43955</c:v>
                </c:pt>
                <c:pt idx="4">
                  <c:v>43962</c:v>
                </c:pt>
                <c:pt idx="5">
                  <c:v>43969</c:v>
                </c:pt>
                <c:pt idx="6">
                  <c:v>43976</c:v>
                </c:pt>
                <c:pt idx="7">
                  <c:v>43983</c:v>
                </c:pt>
                <c:pt idx="8">
                  <c:v>43990</c:v>
                </c:pt>
                <c:pt idx="9">
                  <c:v>43997</c:v>
                </c:pt>
                <c:pt idx="10">
                  <c:v>44004</c:v>
                </c:pt>
                <c:pt idx="11">
                  <c:v>44011</c:v>
                </c:pt>
                <c:pt idx="12">
                  <c:v>44018</c:v>
                </c:pt>
                <c:pt idx="13">
                  <c:v>44025</c:v>
                </c:pt>
                <c:pt idx="14">
                  <c:v>44032</c:v>
                </c:pt>
                <c:pt idx="15">
                  <c:v>44039</c:v>
                </c:pt>
                <c:pt idx="16">
                  <c:v>44046</c:v>
                </c:pt>
                <c:pt idx="17">
                  <c:v>44053</c:v>
                </c:pt>
                <c:pt idx="18">
                  <c:v>44060</c:v>
                </c:pt>
                <c:pt idx="19">
                  <c:v>44067</c:v>
                </c:pt>
                <c:pt idx="20">
                  <c:v>44074</c:v>
                </c:pt>
                <c:pt idx="21">
                  <c:v>44081</c:v>
                </c:pt>
                <c:pt idx="22">
                  <c:v>44088</c:v>
                </c:pt>
                <c:pt idx="23">
                  <c:v>44095</c:v>
                </c:pt>
                <c:pt idx="24">
                  <c:v>44102</c:v>
                </c:pt>
                <c:pt idx="25">
                  <c:v>44109</c:v>
                </c:pt>
                <c:pt idx="26">
                  <c:v>44116</c:v>
                </c:pt>
                <c:pt idx="27">
                  <c:v>44123</c:v>
                </c:pt>
                <c:pt idx="28">
                  <c:v>44130</c:v>
                </c:pt>
                <c:pt idx="29">
                  <c:v>44137</c:v>
                </c:pt>
                <c:pt idx="30">
                  <c:v>44144</c:v>
                </c:pt>
                <c:pt idx="31">
                  <c:v>44151</c:v>
                </c:pt>
                <c:pt idx="32">
                  <c:v>44158</c:v>
                </c:pt>
                <c:pt idx="33">
                  <c:v>44165</c:v>
                </c:pt>
                <c:pt idx="34">
                  <c:v>44172</c:v>
                </c:pt>
                <c:pt idx="35">
                  <c:v>44179</c:v>
                </c:pt>
                <c:pt idx="36">
                  <c:v>44186</c:v>
                </c:pt>
                <c:pt idx="37">
                  <c:v>44193</c:v>
                </c:pt>
                <c:pt idx="38">
                  <c:v>44200</c:v>
                </c:pt>
                <c:pt idx="39">
                  <c:v>44207</c:v>
                </c:pt>
                <c:pt idx="40">
                  <c:v>44214</c:v>
                </c:pt>
                <c:pt idx="41">
                  <c:v>44221</c:v>
                </c:pt>
                <c:pt idx="42">
                  <c:v>44228</c:v>
                </c:pt>
                <c:pt idx="43">
                  <c:v>44235</c:v>
                </c:pt>
                <c:pt idx="44">
                  <c:v>44242</c:v>
                </c:pt>
                <c:pt idx="45">
                  <c:v>44249</c:v>
                </c:pt>
                <c:pt idx="46">
                  <c:v>44256</c:v>
                </c:pt>
                <c:pt idx="47">
                  <c:v>44263</c:v>
                </c:pt>
                <c:pt idx="48">
                  <c:v>44270</c:v>
                </c:pt>
                <c:pt idx="49">
                  <c:v>44277</c:v>
                </c:pt>
                <c:pt idx="50">
                  <c:v>44284</c:v>
                </c:pt>
                <c:pt idx="51">
                  <c:v>44291</c:v>
                </c:pt>
              </c:numCache>
            </c:numRef>
          </c:cat>
          <c:val>
            <c:numRef>
              <c:f>'Planning (hide)'!$D$4:$D$55</c:f>
              <c:numCache>
                <c:formatCode>#,##0</c:formatCode>
                <c:ptCount val="52"/>
                <c:pt idx="0">
                  <c:v>1.5005249999999997</c:v>
                </c:pt>
                <c:pt idx="1">
                  <c:v>1.5005249999999997</c:v>
                </c:pt>
                <c:pt idx="2">
                  <c:v>1.5005249999999997</c:v>
                </c:pt>
                <c:pt idx="3">
                  <c:v>1.5005249999999997</c:v>
                </c:pt>
                <c:pt idx="4">
                  <c:v>1.5005249999999997</c:v>
                </c:pt>
                <c:pt idx="5">
                  <c:v>1.5005249999999997</c:v>
                </c:pt>
                <c:pt idx="6">
                  <c:v>1.5005249999999961</c:v>
                </c:pt>
                <c:pt idx="7">
                  <c:v>1.5005249999999961</c:v>
                </c:pt>
                <c:pt idx="8">
                  <c:v>7.1024850000000157</c:v>
                </c:pt>
                <c:pt idx="9">
                  <c:v>7.0024499999999961</c:v>
                </c:pt>
                <c:pt idx="10">
                  <c:v>7.6026600000000144</c:v>
                </c:pt>
                <c:pt idx="11">
                  <c:v>6.9024150000000049</c:v>
                </c:pt>
                <c:pt idx="12">
                  <c:v>6.0020999999999916</c:v>
                </c:pt>
                <c:pt idx="13">
                  <c:v>6.8023799999999994</c:v>
                </c:pt>
                <c:pt idx="14">
                  <c:v>6.9024150000000049</c:v>
                </c:pt>
                <c:pt idx="15">
                  <c:v>6.3022050000000149</c:v>
                </c:pt>
                <c:pt idx="16">
                  <c:v>7.6026600000000144</c:v>
                </c:pt>
                <c:pt idx="17">
                  <c:v>6.4022400000000061</c:v>
                </c:pt>
                <c:pt idx="18">
                  <c:v>7.6026600000000144</c:v>
                </c:pt>
                <c:pt idx="19">
                  <c:v>6.9024150000000049</c:v>
                </c:pt>
                <c:pt idx="20">
                  <c:v>8.0027999999999935</c:v>
                </c:pt>
                <c:pt idx="21">
                  <c:v>7.3025549999999981</c:v>
                </c:pt>
                <c:pt idx="22">
                  <c:v>7.4025900000000036</c:v>
                </c:pt>
                <c:pt idx="23">
                  <c:v>6.5022749999999974</c:v>
                </c:pt>
                <c:pt idx="24">
                  <c:v>6.5022749999999974</c:v>
                </c:pt>
                <c:pt idx="25">
                  <c:v>6.0020999999999916</c:v>
                </c:pt>
                <c:pt idx="26">
                  <c:v>6.2021700000000024</c:v>
                </c:pt>
                <c:pt idx="27">
                  <c:v>7.0024499999999961</c:v>
                </c:pt>
                <c:pt idx="28">
                  <c:v>7.4025900000000036</c:v>
                </c:pt>
                <c:pt idx="29">
                  <c:v>7.5026249999999948</c:v>
                </c:pt>
                <c:pt idx="30">
                  <c:v>7.1024850000000157</c:v>
                </c:pt>
                <c:pt idx="31">
                  <c:v>6.602310000000017</c:v>
                </c:pt>
                <c:pt idx="32">
                  <c:v>6.8023799999999994</c:v>
                </c:pt>
                <c:pt idx="33">
                  <c:v>7.0024499999999961</c:v>
                </c:pt>
                <c:pt idx="34">
                  <c:v>7.2025200000000069</c:v>
                </c:pt>
                <c:pt idx="35">
                  <c:v>6.2021700000000024</c:v>
                </c:pt>
                <c:pt idx="36">
                  <c:v>7.1024850000000157</c:v>
                </c:pt>
                <c:pt idx="37">
                  <c:v>7.1024850000000157</c:v>
                </c:pt>
                <c:pt idx="38">
                  <c:v>7.0024499999999961</c:v>
                </c:pt>
                <c:pt idx="39">
                  <c:v>6.5022749999999974</c:v>
                </c:pt>
                <c:pt idx="40">
                  <c:v>6.0020999999999916</c:v>
                </c:pt>
                <c:pt idx="41">
                  <c:v>7.5026249999999948</c:v>
                </c:pt>
                <c:pt idx="42">
                  <c:v>7.7026950000000056</c:v>
                </c:pt>
                <c:pt idx="43">
                  <c:v>7.0024499999999961</c:v>
                </c:pt>
                <c:pt idx="44">
                  <c:v>6.8023799999999994</c:v>
                </c:pt>
                <c:pt idx="45">
                  <c:v>7.6026600000000144</c:v>
                </c:pt>
                <c:pt idx="46">
                  <c:v>7.4025900000000036</c:v>
                </c:pt>
                <c:pt idx="47">
                  <c:v>7.4025900000000036</c:v>
                </c:pt>
                <c:pt idx="48">
                  <c:v>7.0024499999999961</c:v>
                </c:pt>
                <c:pt idx="49">
                  <c:v>7.6026600000000144</c:v>
                </c:pt>
                <c:pt idx="50">
                  <c:v>7.3025549999999981</c:v>
                </c:pt>
                <c:pt idx="51">
                  <c:v>6.5022749999999974</c:v>
                </c:pt>
              </c:numCache>
            </c:numRef>
          </c:val>
          <c:extLst>
            <c:ext xmlns:c16="http://schemas.microsoft.com/office/drawing/2014/chart" uri="{C3380CC4-5D6E-409C-BE32-E72D297353CC}">
              <c16:uniqueId val="{00000000-37B8-4D90-AC44-3A1104C5A053}"/>
            </c:ext>
          </c:extLst>
        </c:ser>
        <c:dLbls>
          <c:showLegendKey val="0"/>
          <c:showVal val="0"/>
          <c:showCatName val="0"/>
          <c:showSerName val="0"/>
          <c:showPercent val="0"/>
          <c:showBubbleSize val="0"/>
        </c:dLbls>
        <c:gapWidth val="0"/>
        <c:overlap val="100"/>
        <c:axId val="1110624304"/>
        <c:axId val="1110625944"/>
      </c:barChart>
      <c:lineChart>
        <c:grouping val="standard"/>
        <c:varyColors val="0"/>
        <c:ser>
          <c:idx val="3"/>
          <c:order val="4"/>
          <c:tx>
            <c:v>Original capacity</c:v>
          </c:tx>
          <c:spPr>
            <a:ln w="19050">
              <a:solidFill>
                <a:schemeClr val="accent3"/>
              </a:solidFill>
            </a:ln>
          </c:spPr>
          <c:marker>
            <c:symbol val="none"/>
          </c:marker>
          <c:val>
            <c:numRef>
              <c:f>'Planning (hide)'!$G$4:$G$55</c:f>
              <c:numCache>
                <c:formatCode>#,##0</c:formatCode>
                <c:ptCount val="52"/>
                <c:pt idx="0">
                  <c:v>20</c:v>
                </c:pt>
                <c:pt idx="1">
                  <c:v>20</c:v>
                </c:pt>
                <c:pt idx="2">
                  <c:v>20</c:v>
                </c:pt>
                <c:pt idx="3">
                  <c:v>20</c:v>
                </c:pt>
                <c:pt idx="4">
                  <c:v>20</c:v>
                </c:pt>
                <c:pt idx="5">
                  <c:v>20</c:v>
                </c:pt>
                <c:pt idx="6">
                  <c:v>40</c:v>
                </c:pt>
                <c:pt idx="7">
                  <c:v>80</c:v>
                </c:pt>
                <c:pt idx="8">
                  <c:v>100</c:v>
                </c:pt>
                <c:pt idx="9">
                  <c:v>100</c:v>
                </c:pt>
                <c:pt idx="10">
                  <c:v>100</c:v>
                </c:pt>
                <c:pt idx="11">
                  <c:v>100</c:v>
                </c:pt>
                <c:pt idx="12">
                  <c:v>90.769230769230774</c:v>
                </c:pt>
                <c:pt idx="13">
                  <c:v>90.769230769230774</c:v>
                </c:pt>
                <c:pt idx="14">
                  <c:v>90.769230769230774</c:v>
                </c:pt>
                <c:pt idx="15">
                  <c:v>80.769230769230774</c:v>
                </c:pt>
                <c:pt idx="16">
                  <c:v>90.769230769230774</c:v>
                </c:pt>
                <c:pt idx="17">
                  <c:v>90.769230769230774</c:v>
                </c:pt>
                <c:pt idx="18">
                  <c:v>80.769230769230774</c:v>
                </c:pt>
                <c:pt idx="19">
                  <c:v>80.769230769230774</c:v>
                </c:pt>
                <c:pt idx="20">
                  <c:v>80.769230769230774</c:v>
                </c:pt>
                <c:pt idx="21">
                  <c:v>80.769230769230774</c:v>
                </c:pt>
                <c:pt idx="22">
                  <c:v>80.769230769230774</c:v>
                </c:pt>
                <c:pt idx="23">
                  <c:v>80.769230769230774</c:v>
                </c:pt>
                <c:pt idx="24">
                  <c:v>80.769230769230774</c:v>
                </c:pt>
                <c:pt idx="25">
                  <c:v>80.769230769230774</c:v>
                </c:pt>
                <c:pt idx="26">
                  <c:v>80.769230769230774</c:v>
                </c:pt>
                <c:pt idx="27">
                  <c:v>80.769230769230774</c:v>
                </c:pt>
                <c:pt idx="28">
                  <c:v>80.769230769230774</c:v>
                </c:pt>
                <c:pt idx="29">
                  <c:v>80.769230769230774</c:v>
                </c:pt>
                <c:pt idx="30">
                  <c:v>80.769230769230774</c:v>
                </c:pt>
                <c:pt idx="31">
                  <c:v>80.769230769230774</c:v>
                </c:pt>
                <c:pt idx="32">
                  <c:v>80.769230769230774</c:v>
                </c:pt>
                <c:pt idx="33">
                  <c:v>80.769230769230774</c:v>
                </c:pt>
                <c:pt idx="34">
                  <c:v>80.769230769230774</c:v>
                </c:pt>
                <c:pt idx="35">
                  <c:v>80.769230769230774</c:v>
                </c:pt>
                <c:pt idx="36">
                  <c:v>80.769230769230774</c:v>
                </c:pt>
                <c:pt idx="37">
                  <c:v>80.769230769230774</c:v>
                </c:pt>
                <c:pt idx="38">
                  <c:v>80.769230769230774</c:v>
                </c:pt>
                <c:pt idx="39">
                  <c:v>80.769230769230774</c:v>
                </c:pt>
                <c:pt idx="40">
                  <c:v>80.769230769230774</c:v>
                </c:pt>
                <c:pt idx="41">
                  <c:v>80.769230769230774</c:v>
                </c:pt>
                <c:pt idx="42">
                  <c:v>80.769230769230774</c:v>
                </c:pt>
                <c:pt idx="43">
                  <c:v>80.769230769230774</c:v>
                </c:pt>
                <c:pt idx="44">
                  <c:v>80.769230769230774</c:v>
                </c:pt>
                <c:pt idx="45">
                  <c:v>80.769230769230774</c:v>
                </c:pt>
                <c:pt idx="46">
                  <c:v>80.769230769230774</c:v>
                </c:pt>
                <c:pt idx="47">
                  <c:v>80.769230769230774</c:v>
                </c:pt>
                <c:pt idx="48">
                  <c:v>80.769230769230774</c:v>
                </c:pt>
                <c:pt idx="49">
                  <c:v>80.769230769230774</c:v>
                </c:pt>
                <c:pt idx="50">
                  <c:v>80.769230769230774</c:v>
                </c:pt>
                <c:pt idx="51">
                  <c:v>80.769230769230774</c:v>
                </c:pt>
              </c:numCache>
            </c:numRef>
          </c:val>
          <c:smooth val="0"/>
          <c:extLst>
            <c:ext xmlns:c16="http://schemas.microsoft.com/office/drawing/2014/chart" uri="{C3380CC4-5D6E-409C-BE32-E72D297353CC}">
              <c16:uniqueId val="{00000002-37B8-4D90-AC44-3A1104C5A053}"/>
            </c:ext>
          </c:extLst>
        </c:ser>
        <c:ser>
          <c:idx val="2"/>
          <c:order val="5"/>
          <c:tx>
            <c:v>Adjusted Capacity</c:v>
          </c:tx>
          <c:spPr>
            <a:ln w="19050">
              <a:solidFill>
                <a:schemeClr val="accent3">
                  <a:lumMod val="50000"/>
                </a:schemeClr>
              </a:solidFill>
            </a:ln>
          </c:spPr>
          <c:marker>
            <c:symbol val="none"/>
          </c:marker>
          <c:val>
            <c:numRef>
              <c:f>'Planning (hide)'!$H$4:$H$55</c:f>
              <c:numCache>
                <c:formatCode>#,##0</c:formatCode>
                <c:ptCount val="52"/>
                <c:pt idx="0">
                  <c:v>20</c:v>
                </c:pt>
                <c:pt idx="1">
                  <c:v>20</c:v>
                </c:pt>
                <c:pt idx="2">
                  <c:v>20</c:v>
                </c:pt>
                <c:pt idx="3">
                  <c:v>20</c:v>
                </c:pt>
                <c:pt idx="4">
                  <c:v>20</c:v>
                </c:pt>
                <c:pt idx="5">
                  <c:v>20</c:v>
                </c:pt>
                <c:pt idx="6">
                  <c:v>40</c:v>
                </c:pt>
                <c:pt idx="7">
                  <c:v>80</c:v>
                </c:pt>
                <c:pt idx="8">
                  <c:v>100</c:v>
                </c:pt>
                <c:pt idx="9">
                  <c:v>100</c:v>
                </c:pt>
                <c:pt idx="10">
                  <c:v>100</c:v>
                </c:pt>
                <c:pt idx="11">
                  <c:v>100</c:v>
                </c:pt>
                <c:pt idx="12">
                  <c:v>90.769230769230774</c:v>
                </c:pt>
                <c:pt idx="13">
                  <c:v>90.769230769230774</c:v>
                </c:pt>
                <c:pt idx="14">
                  <c:v>90.769230769230774</c:v>
                </c:pt>
                <c:pt idx="15">
                  <c:v>80.769230769230774</c:v>
                </c:pt>
                <c:pt idx="16">
                  <c:v>90.769230769230774</c:v>
                </c:pt>
                <c:pt idx="17">
                  <c:v>90.769230769230774</c:v>
                </c:pt>
                <c:pt idx="18">
                  <c:v>80.769230769230774</c:v>
                </c:pt>
                <c:pt idx="19">
                  <c:v>80.769230769230774</c:v>
                </c:pt>
                <c:pt idx="20">
                  <c:v>80.769230769230774</c:v>
                </c:pt>
                <c:pt idx="21">
                  <c:v>80.769230769230774</c:v>
                </c:pt>
                <c:pt idx="22">
                  <c:v>80.769230769230774</c:v>
                </c:pt>
                <c:pt idx="23">
                  <c:v>80.769230769230774</c:v>
                </c:pt>
                <c:pt idx="24">
                  <c:v>80.769230769230774</c:v>
                </c:pt>
                <c:pt idx="25">
                  <c:v>80.769230769230774</c:v>
                </c:pt>
                <c:pt idx="26">
                  <c:v>80.769230769230774</c:v>
                </c:pt>
                <c:pt idx="27">
                  <c:v>80.769230769230774</c:v>
                </c:pt>
                <c:pt idx="28">
                  <c:v>80.769230769230774</c:v>
                </c:pt>
                <c:pt idx="29">
                  <c:v>80.769230769230774</c:v>
                </c:pt>
                <c:pt idx="30">
                  <c:v>80.769230769230774</c:v>
                </c:pt>
                <c:pt idx="31">
                  <c:v>80.769230769230774</c:v>
                </c:pt>
                <c:pt idx="32">
                  <c:v>80.769230769230774</c:v>
                </c:pt>
                <c:pt idx="33">
                  <c:v>80.769230769230774</c:v>
                </c:pt>
                <c:pt idx="34">
                  <c:v>80.769230769230774</c:v>
                </c:pt>
                <c:pt idx="35">
                  <c:v>80.769230769230774</c:v>
                </c:pt>
                <c:pt idx="36">
                  <c:v>80.769230769230774</c:v>
                </c:pt>
                <c:pt idx="37">
                  <c:v>80.769230769230774</c:v>
                </c:pt>
                <c:pt idx="38">
                  <c:v>80.769230769230774</c:v>
                </c:pt>
                <c:pt idx="39">
                  <c:v>80.769230769230774</c:v>
                </c:pt>
                <c:pt idx="40">
                  <c:v>80.769230769230774</c:v>
                </c:pt>
                <c:pt idx="41">
                  <c:v>80.769230769230774</c:v>
                </c:pt>
                <c:pt idx="42">
                  <c:v>80.769230769230774</c:v>
                </c:pt>
                <c:pt idx="43">
                  <c:v>80.769230769230774</c:v>
                </c:pt>
                <c:pt idx="44">
                  <c:v>80.769230769230774</c:v>
                </c:pt>
                <c:pt idx="45">
                  <c:v>80.769230769230774</c:v>
                </c:pt>
                <c:pt idx="46">
                  <c:v>80.769230769230774</c:v>
                </c:pt>
                <c:pt idx="47">
                  <c:v>80.769230769230774</c:v>
                </c:pt>
                <c:pt idx="48">
                  <c:v>80.769230769230774</c:v>
                </c:pt>
                <c:pt idx="49">
                  <c:v>80.769230769230774</c:v>
                </c:pt>
                <c:pt idx="50">
                  <c:v>80.769230769230774</c:v>
                </c:pt>
                <c:pt idx="51">
                  <c:v>80.769230769230774</c:v>
                </c:pt>
              </c:numCache>
            </c:numRef>
          </c:val>
          <c:smooth val="0"/>
          <c:extLst>
            <c:ext xmlns:c16="http://schemas.microsoft.com/office/drawing/2014/chart" uri="{C3380CC4-5D6E-409C-BE32-E72D297353CC}">
              <c16:uniqueId val="{00000001-37B8-4D90-AC44-3A1104C5A053}"/>
            </c:ext>
          </c:extLst>
        </c:ser>
        <c:dLbls>
          <c:showLegendKey val="0"/>
          <c:showVal val="0"/>
          <c:showCatName val="0"/>
          <c:showSerName val="0"/>
          <c:showPercent val="0"/>
          <c:showBubbleSize val="0"/>
        </c:dLbls>
        <c:marker val="1"/>
        <c:smooth val="0"/>
        <c:axId val="363044224"/>
        <c:axId val="363058304"/>
      </c:lineChart>
      <c:catAx>
        <c:axId val="363044224"/>
        <c:scaling>
          <c:orientation val="minMax"/>
        </c:scaling>
        <c:delete val="0"/>
        <c:axPos val="b"/>
        <c:majorGridlines>
          <c:spPr>
            <a:ln>
              <a:solidFill>
                <a:schemeClr val="bg1">
                  <a:lumMod val="85000"/>
                </a:schemeClr>
              </a:solidFill>
            </a:ln>
          </c:spPr>
        </c:majorGridlines>
        <c:numFmt formatCode="m/d/yyyy" sourceLinked="1"/>
        <c:majorTickMark val="out"/>
        <c:minorTickMark val="none"/>
        <c:tickLblPos val="nextTo"/>
        <c:spPr>
          <a:ln w="9525" cap="sq">
            <a:solidFill>
              <a:schemeClr val="accent1"/>
            </a:solidFill>
            <a:round/>
          </a:ln>
        </c:spPr>
        <c:txPr>
          <a:bodyPr rot="-5400000" vert="horz"/>
          <a:lstStyle/>
          <a:p>
            <a:pPr>
              <a:defRPr sz="800"/>
            </a:pPr>
            <a:endParaRPr lang="en-US"/>
          </a:p>
        </c:txPr>
        <c:crossAx val="363058304"/>
        <c:crossesAt val="0"/>
        <c:auto val="0"/>
        <c:lblAlgn val="ctr"/>
        <c:lblOffset val="100"/>
        <c:noMultiLvlLbl val="0"/>
      </c:catAx>
      <c:valAx>
        <c:axId val="363058304"/>
        <c:scaling>
          <c:orientation val="minMax"/>
          <c:min val="0"/>
        </c:scaling>
        <c:delete val="0"/>
        <c:axPos val="l"/>
        <c:majorGridlines>
          <c:spPr>
            <a:ln>
              <a:solidFill>
                <a:schemeClr val="bg1">
                  <a:lumMod val="85000"/>
                </a:schemeClr>
              </a:solidFill>
            </a:ln>
          </c:spPr>
        </c:majorGridlines>
        <c:numFmt formatCode="General" sourceLinked="1"/>
        <c:majorTickMark val="out"/>
        <c:minorTickMark val="none"/>
        <c:tickLblPos val="nextTo"/>
        <c:crossAx val="363044224"/>
        <c:crosses val="autoZero"/>
        <c:crossBetween val="between"/>
      </c:valAx>
      <c:valAx>
        <c:axId val="1110625944"/>
        <c:scaling>
          <c:orientation val="minMax"/>
          <c:max val="200"/>
          <c:min val="0"/>
        </c:scaling>
        <c:delete val="0"/>
        <c:axPos val="r"/>
        <c:numFmt formatCode="#,##0" sourceLinked="1"/>
        <c:majorTickMark val="out"/>
        <c:minorTickMark val="none"/>
        <c:tickLblPos val="none"/>
        <c:crossAx val="1110624304"/>
        <c:crosses val="max"/>
        <c:crossBetween val="between"/>
      </c:valAx>
      <c:dateAx>
        <c:axId val="1110624304"/>
        <c:scaling>
          <c:orientation val="minMax"/>
        </c:scaling>
        <c:delete val="1"/>
        <c:axPos val="b"/>
        <c:numFmt formatCode="m/d/yyyy" sourceLinked="1"/>
        <c:majorTickMark val="out"/>
        <c:minorTickMark val="none"/>
        <c:tickLblPos val="nextTo"/>
        <c:crossAx val="1110625944"/>
        <c:crosses val="autoZero"/>
        <c:auto val="1"/>
        <c:lblOffset val="100"/>
        <c:baseTimeUnit val="days"/>
      </c:dateAx>
      <c:spPr>
        <a:noFill/>
      </c:spPr>
    </c:plotArea>
    <c:legend>
      <c:legendPos val="t"/>
      <c:legendEntry>
        <c:idx val="0"/>
        <c:delete val="1"/>
      </c:legendEntry>
      <c:overlay val="0"/>
    </c:legend>
    <c:plotVisOnly val="1"/>
    <c:dispBlanksAs val="gap"/>
    <c:showDLblsOverMax val="0"/>
  </c:chart>
  <c:spPr>
    <a:solidFill>
      <a:schemeClr val="bg1"/>
    </a:solidFill>
  </c:sp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Drop" dropStyle="combo" dx="22" fmlaLink="'SPC background (hide)'!$C$4" fmlaRange="Range_S1Start" noThreeD="1" sel="1" val="0"/>
</file>

<file path=xl/ctrlProps/ctrlProp5.xml><?xml version="1.0" encoding="utf-8"?>
<formControlPr xmlns="http://schemas.microsoft.com/office/spreadsheetml/2009/9/main" objectType="Drop" dropStyle="combo" dx="22" fmlaLink="'SPC background (hide)'!$C$5" fmlaRange="Range_S1End" noThreeD="1" sel="1" val="0"/>
</file>

<file path=xl/ctrlProps/ctrlProp6.xml><?xml version="1.0" encoding="utf-8"?>
<formControlPr xmlns="http://schemas.microsoft.com/office/spreadsheetml/2009/9/main" objectType="Drop" dropStyle="combo" dx="22" fmlaLink="'SPC background (hide)'!$C$6" fmlaRange="Range_S2Start" noThreeD="1" sel="1" val="0"/>
</file>

<file path=xl/ctrlProps/ctrlProp7.xml><?xml version="1.0" encoding="utf-8"?>
<formControlPr xmlns="http://schemas.microsoft.com/office/spreadsheetml/2009/9/main" objectType="Drop" dropStyle="combo" dx="22" fmlaLink="'SPC background (hide)'!$C$7" fmlaRange="Range_S2End" noThreeD="1" sel="0" val="0"/>
</file>

<file path=xl/ctrlProps/ctrlProp8.xml><?xml version="1.0" encoding="utf-8"?>
<formControlPr xmlns="http://schemas.microsoft.com/office/spreadsheetml/2009/9/main" objectType="Drop" dropStyle="combo" dx="22" fmlaLink="'SPC background (hide)'!$C$8" fmlaRange="Range_S3Start" noThreeD="1" sel="1" val="0"/>
</file>

<file path=xl/ctrlProps/ctrlProp9.xml><?xml version="1.0" encoding="utf-8"?>
<formControlPr xmlns="http://schemas.microsoft.com/office/spreadsheetml/2009/9/main" objectType="Drop" dropStyle="combo" dx="22" fmlaLink="'SPC background (hide)'!$C$9" fmlaRange="Range_S3End" noThreeD="1" sel="0" val="0"/>
</file>

<file path=xl/ctrlProps/ctrlProp10.xml><?xml version="1.0" encoding="utf-8"?>
<formControlPr xmlns="http://schemas.microsoft.com/office/spreadsheetml/2009/9/main" objectType="Drop" dropStyle="combo" dx="22" fmlaLink="'SPC background (hide)'!$C$10" fmlaRange="Range_S4Start" noThreeD="1" sel="1" val="0"/>
</file>

<file path=xl/ctrlProps/ctrlProp11.xml><?xml version="1.0" encoding="utf-8"?>
<formControlPr xmlns="http://schemas.microsoft.com/office/spreadsheetml/2009/9/main" objectType="Drop" dropStyle="combo" dx="22" fmlaLink="'SPC background (hide)'!$C$11" fmlaRange="Range_S4End" noThreeD="1" sel="0" val="0"/>
</file>

<file path=xl/ctrlProps/ctrlProp12.xml><?xml version="1.0" encoding="utf-8"?>
<formControlPr xmlns="http://schemas.microsoft.com/office/spreadsheetml/2009/9/main" objectType="Drop" dropStyle="combo" dx="22" fmlaLink="'Planned background (hide)'!$U$18" fmlaRange="Planned_RangeStart" noThreeD="1" sel="0" val="0"/>
</file>

<file path=xl/ctrlProps/ctrlProp13.xml><?xml version="1.0" encoding="utf-8"?>
<formControlPr xmlns="http://schemas.microsoft.com/office/spreadsheetml/2009/9/main" objectType="Drop" dropStyle="combo" dx="22" fmlaLink="'Planned background (hide)'!$U$19" fmlaRange="Planned_RangeEnd" noThreeD="1" sel="1" val="0"/>
</file>

<file path=xl/ctrlProps/ctrlProp14.xml><?xml version="1.0" encoding="utf-8"?>
<formControlPr xmlns="http://schemas.microsoft.com/office/spreadsheetml/2009/9/main" objectType="GBox" noThreeD="1"/>
</file>

<file path=xl/ctrlProps/ctrlProp15.xml><?xml version="1.0" encoding="utf-8"?>
<formControlPr xmlns="http://schemas.microsoft.com/office/spreadsheetml/2009/9/main" objectType="GBox" noThreeD="1"/>
</file>

<file path=xl/ctrlProps/ctrlProp16.xml><?xml version="1.0" encoding="utf-8"?>
<formControlPr xmlns="http://schemas.microsoft.com/office/spreadsheetml/2009/9/main" objectType="Drop" dropStyle="combo" dx="22" fmlaLink="#REF!" fmlaRange="CAP_HistoricDateStart" noThreeD="1" sel="0" val="0"/>
</file>

<file path=xl/ctrlProps/ctrlProp17.xml><?xml version="1.0" encoding="utf-8"?>
<formControlPr xmlns="http://schemas.microsoft.com/office/spreadsheetml/2009/9/main" objectType="Radio" checked="Checked" firstButton="1" fmlaLink="'Capacity calculation (hide)'!$E$1" lockText="1" noThreeD="1"/>
</file>

<file path=xl/ctrlProps/ctrlProp18.xml><?xml version="1.0" encoding="utf-8"?>
<formControlPr xmlns="http://schemas.microsoft.com/office/spreadsheetml/2009/9/main" objectType="Radio" lockText="1" noThreeD="1"/>
</file>

<file path=xl/ctrlProps/ctrlProp19.xml><?xml version="1.0" encoding="utf-8"?>
<formControlPr xmlns="http://schemas.microsoft.com/office/spreadsheetml/2009/9/main" objectType="Radio" firstButton="1" fmlaLink="$D$9" lockText="1" noThreeD="1"/>
</file>

<file path=xl/ctrlProps/ctrlProp20.xml><?xml version="1.0" encoding="utf-8"?>
<formControlPr xmlns="http://schemas.microsoft.com/office/spreadsheetml/2009/9/main" objectType="Radio" lockText="1" noThreeD="1"/>
</file>

<file path=xl/ctrlProps/ctrlProp21.xml><?xml version="1.0" encoding="utf-8"?>
<formControlPr xmlns="http://schemas.microsoft.com/office/spreadsheetml/2009/9/main" objectType="Radio" checked="Checked" firstButton="1" fmlaLink="'Capacity calculation (hide)'!$E$1" lockText="1" noThreeD="1"/>
</file>

<file path=xl/ctrlProps/ctrlProp22.xml><?xml version="1.0" encoding="utf-8"?>
<formControlPr xmlns="http://schemas.microsoft.com/office/spreadsheetml/2009/9/main" objectType="Radio" lockText="1" noThreeD="1"/>
</file>

<file path=xl/ctrlProps/ctrlProp23.xml><?xml version="1.0" encoding="utf-8"?>
<formControlPr xmlns="http://schemas.microsoft.com/office/spreadsheetml/2009/9/main" objectType="Radio" firstButton="1" fmlaLink="'Parameters calculator (hide)'!$B$34" lockText="1" noThreeD="1"/>
</file>

<file path=xl/ctrlProps/ctrlProp24.xml><?xml version="1.0" encoding="utf-8"?>
<formControlPr xmlns="http://schemas.microsoft.com/office/spreadsheetml/2009/9/main" objectType="Radio" checked="Checked" lockText="1" noThreeD="1"/>
</file>

<file path=xl/ctrlProps/ctrlProp25.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2.xml"/></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3.xml"/></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5.xml"/></Relationships>
</file>

<file path=xl/drawings/_rels/drawing14.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5" Type="http://schemas.openxmlformats.org/officeDocument/2006/relationships/chart" Target="../charts/chart9.xml"/><Relationship Id="rId4" Type="http://schemas.openxmlformats.org/officeDocument/2006/relationships/image" Target="../media/image1.png"/></Relationships>
</file>

<file path=xl/drawings/_rels/drawing15.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5</xdr:row>
          <xdr:rowOff>0</xdr:rowOff>
        </xdr:from>
        <xdr:to>
          <xdr:col>3</xdr:col>
          <xdr:colOff>0</xdr:colOff>
          <xdr:row>6</xdr:row>
          <xdr:rowOff>0</xdr:rowOff>
        </xdr:to>
        <xdr:sp macro="" textlink="">
          <xdr:nvSpPr>
            <xdr:cNvPr id="216065" name="Button 1" hidden="1">
              <a:extLst>
                <a:ext uri="{63B3BB69-23CF-44E3-9099-C40C66FF867C}">
                  <a14:compatExt spid="_x0000_s216065"/>
                </a:ext>
                <a:ext uri="{FF2B5EF4-FFF2-40B4-BE49-F238E27FC236}">
                  <a16:creationId xmlns:a16="http://schemas.microsoft.com/office/drawing/2014/main" id="{00000000-0008-0000-0100-0000014C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Go back</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xdr:col>
      <xdr:colOff>180975</xdr:colOff>
      <xdr:row>0</xdr:row>
      <xdr:rowOff>171450</xdr:rowOff>
    </xdr:from>
    <xdr:to>
      <xdr:col>3</xdr:col>
      <xdr:colOff>422910</xdr:colOff>
      <xdr:row>2</xdr:row>
      <xdr:rowOff>80010</xdr:rowOff>
    </xdr:to>
    <xdr:pic macro="[0]!Sheet10.Note_help1_click">
      <xdr:nvPicPr>
        <xdr:cNvPr id="6" name="Picture 5">
          <a:extLst>
            <a:ext uri="{FF2B5EF4-FFF2-40B4-BE49-F238E27FC236}">
              <a16:creationId xmlns:a16="http://schemas.microsoft.com/office/drawing/2014/main" id="{00000000-0008-0000-03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238375" y="17145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7191375</xdr:colOff>
      <xdr:row>6</xdr:row>
      <xdr:rowOff>28575</xdr:rowOff>
    </xdr:from>
    <xdr:to>
      <xdr:col>3</xdr:col>
      <xdr:colOff>152400</xdr:colOff>
      <xdr:row>18</xdr:row>
      <xdr:rowOff>28575</xdr:rowOff>
    </xdr:to>
    <xdr:sp macro="" textlink="">
      <xdr:nvSpPr>
        <xdr:cNvPr id="2" name="Note Help 1" hidden="1">
          <a:extLst>
            <a:ext uri="{FF2B5EF4-FFF2-40B4-BE49-F238E27FC236}">
              <a16:creationId xmlns:a16="http://schemas.microsoft.com/office/drawing/2014/main" id="{00000000-0008-0000-0300-000002000000}"/>
            </a:ext>
          </a:extLst>
        </xdr:cNvPr>
        <xdr:cNvSpPr txBox="1"/>
      </xdr:nvSpPr>
      <xdr:spPr>
        <a:xfrm>
          <a:off x="7877175" y="1257300"/>
          <a:ext cx="3486150" cy="2724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a:t>
          </a:r>
          <a:r>
            <a:rPr lang="en-GB" sz="1100" baseline="0"/>
            <a:t> to record any assumptions you have made in the course of measuring any of the parameters you enter in this workbook.</a:t>
          </a:r>
        </a:p>
        <a:p>
          <a:endParaRPr lang="en-GB" sz="1100" baseline="0"/>
        </a:p>
        <a:p>
          <a:r>
            <a:rPr lang="en-GB" sz="1100"/>
            <a:t>The</a:t>
          </a:r>
          <a:r>
            <a:rPr lang="en-GB" sz="1100" baseline="0"/>
            <a:t> cells should expand to fit text if you are typing over several lines. </a:t>
          </a:r>
          <a:r>
            <a:rPr lang="en-GB" sz="1100" b="0" i="0" u="none" strike="noStrike">
              <a:solidFill>
                <a:schemeClr val="dk1"/>
              </a:solidFill>
              <a:effectLst/>
              <a:latin typeface="+mn-lt"/>
              <a:ea typeface="+mn-ea"/>
              <a:cs typeface="+mn-cs"/>
            </a:rPr>
            <a:t> </a:t>
          </a:r>
          <a:r>
            <a:rPr lang="en-GB"/>
            <a:t> </a:t>
          </a:r>
        </a:p>
        <a:p>
          <a:endParaRPr lang="en-GB" sz="1100" baseline="0"/>
        </a:p>
        <a:p>
          <a:r>
            <a:rPr lang="en-GB" sz="1100" baseline="0"/>
            <a:t>There are 100 rows available - if you need more, then you should be able to create more cells by copying and pasting an existing row.</a:t>
          </a:r>
        </a:p>
        <a:p>
          <a:endParaRPr lang="en-GB" sz="1100" baseline="0"/>
        </a:p>
        <a:p>
          <a:endParaRPr lang="en-GB" sz="11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10</xdr:col>
      <xdr:colOff>0</xdr:colOff>
      <xdr:row>3</xdr:row>
      <xdr:rowOff>11811</xdr:rowOff>
    </xdr:from>
    <xdr:to>
      <xdr:col>11</xdr:col>
      <xdr:colOff>211709</xdr:colOff>
      <xdr:row>5</xdr:row>
      <xdr:rowOff>0</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858000" y="554736"/>
          <a:ext cx="893064" cy="359664"/>
        </a:xfrm>
        <a:prstGeom prst="rect">
          <a:avLst/>
        </a:prstGeom>
      </xdr:spPr>
    </xdr:pic>
    <xdr:clientData/>
  </xdr:twoCellAnchor>
  <xdr:twoCellAnchor editAs="oneCell">
    <xdr:from>
      <xdr:col>9</xdr:col>
      <xdr:colOff>76200</xdr:colOff>
      <xdr:row>2</xdr:row>
      <xdr:rowOff>133350</xdr:rowOff>
    </xdr:from>
    <xdr:to>
      <xdr:col>9</xdr:col>
      <xdr:colOff>330200</xdr:colOff>
      <xdr:row>4</xdr:row>
      <xdr:rowOff>63500</xdr:rowOff>
    </xdr:to>
    <xdr:pic macro="[0]!Sheet4.Setup_Help_Click">
      <xdr:nvPicPr>
        <xdr:cNvPr id="2" name="Picture 1">
          <a:extLst>
            <a:ext uri="{FF2B5EF4-FFF2-40B4-BE49-F238E27FC236}">
              <a16:creationId xmlns:a16="http://schemas.microsoft.com/office/drawing/2014/main" id="{00000000-0008-0000-0400-00000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248400" y="49530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676275</xdr:colOff>
      <xdr:row>3</xdr:row>
      <xdr:rowOff>0</xdr:rowOff>
    </xdr:from>
    <xdr:to>
      <xdr:col>17</xdr:col>
      <xdr:colOff>476250</xdr:colOff>
      <xdr:row>14</xdr:row>
      <xdr:rowOff>133350</xdr:rowOff>
    </xdr:to>
    <xdr:sp macro="" textlink="">
      <xdr:nvSpPr>
        <xdr:cNvPr id="3" name="Setup Help 1" hidden="1">
          <a:extLst>
            <a:ext uri="{FF2B5EF4-FFF2-40B4-BE49-F238E27FC236}">
              <a16:creationId xmlns:a16="http://schemas.microsoft.com/office/drawing/2014/main" id="{00000000-0008-0000-0400-000003000000}"/>
            </a:ext>
          </a:extLst>
        </xdr:cNvPr>
        <xdr:cNvSpPr txBox="1"/>
      </xdr:nvSpPr>
      <xdr:spPr>
        <a:xfrm>
          <a:off x="6848475" y="552450"/>
          <a:ext cx="5286375" cy="2162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a:t>
          </a:r>
          <a:r>
            <a:rPr lang="en-GB" sz="1100" baseline="0"/>
            <a:t> this sheet to define the part of the service you are modelling. </a:t>
          </a:r>
        </a:p>
        <a:p>
          <a:endParaRPr lang="en-GB" sz="1100" baseline="0"/>
        </a:p>
        <a:p>
          <a:r>
            <a:rPr lang="en-GB" sz="1100" baseline="0"/>
            <a:t>Hover the mouse cursor over the cells with small red triangles in the corner for further details on each part of the setup page.</a:t>
          </a:r>
        </a:p>
        <a:p>
          <a:endParaRPr lang="en-GB" sz="1100" baseline="0"/>
        </a:p>
        <a:p>
          <a:r>
            <a:rPr lang="en-GB" sz="1100" baseline="0"/>
            <a:t>If you would like to customise the lists for the 'Provider Name' and 'Service Name' drop downs, please click on the 'Edit list' button.</a:t>
          </a:r>
        </a:p>
        <a:p>
          <a:endParaRPr lang="en-GB" sz="1100" baseline="0"/>
        </a:p>
        <a:p>
          <a:r>
            <a:rPr lang="en-GB" sz="1100" baseline="0"/>
            <a:t>If you have entered data on an earlier version of this model, you can import the data you have entered in your earlier files by clicking on the 'Import data from old files' button below. Note that this applies ONLY to versions of the core model.</a:t>
          </a:r>
        </a:p>
        <a:p>
          <a:endParaRPr lang="en-GB" sz="1100" baseline="0"/>
        </a:p>
      </xdr:txBody>
    </xdr:sp>
    <xdr:clientData/>
  </xdr:twoCellAnchor>
  <mc:AlternateContent xmlns:mc="http://schemas.openxmlformats.org/markup-compatibility/2006">
    <mc:Choice xmlns:a14="http://schemas.microsoft.com/office/drawing/2010/main" Requires="a14">
      <xdr:twoCellAnchor>
        <xdr:from>
          <xdr:col>8</xdr:col>
          <xdr:colOff>0</xdr:colOff>
          <xdr:row>4</xdr:row>
          <xdr:rowOff>0</xdr:rowOff>
        </xdr:from>
        <xdr:to>
          <xdr:col>9</xdr:col>
          <xdr:colOff>0</xdr:colOff>
          <xdr:row>5</xdr:row>
          <xdr:rowOff>0</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400-000009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Edit lists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18</xdr:row>
          <xdr:rowOff>0</xdr:rowOff>
        </xdr:from>
        <xdr:to>
          <xdr:col>12</xdr:col>
          <xdr:colOff>403860</xdr:colOff>
          <xdr:row>20</xdr:row>
          <xdr:rowOff>76200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400-00000A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Import data from old files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2</xdr:col>
      <xdr:colOff>0</xdr:colOff>
      <xdr:row>3</xdr:row>
      <xdr:rowOff>0</xdr:rowOff>
    </xdr:from>
    <xdr:to>
      <xdr:col>2</xdr:col>
      <xdr:colOff>259715</xdr:colOff>
      <xdr:row>4</xdr:row>
      <xdr:rowOff>107315</xdr:rowOff>
    </xdr:to>
    <xdr:pic macro="[0]!Sheet3.Demand_Help1_Click">
      <xdr:nvPicPr>
        <xdr:cNvPr id="2" name="Picture 1">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62025" y="54292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123823</xdr:colOff>
      <xdr:row>3</xdr:row>
      <xdr:rowOff>57151</xdr:rowOff>
    </xdr:from>
    <xdr:to>
      <xdr:col>10</xdr:col>
      <xdr:colOff>371475</xdr:colOff>
      <xdr:row>24</xdr:row>
      <xdr:rowOff>104776</xdr:rowOff>
    </xdr:to>
    <xdr:sp macro="" textlink="">
      <xdr:nvSpPr>
        <xdr:cNvPr id="3" name="Demand Help 1" hidden="1">
          <a:extLst>
            <a:ext uri="{FF2B5EF4-FFF2-40B4-BE49-F238E27FC236}">
              <a16:creationId xmlns:a16="http://schemas.microsoft.com/office/drawing/2014/main" id="{00000000-0008-0000-0500-000003000000}"/>
            </a:ext>
          </a:extLst>
        </xdr:cNvPr>
        <xdr:cNvSpPr txBox="1"/>
      </xdr:nvSpPr>
      <xdr:spPr>
        <a:xfrm>
          <a:off x="3009898" y="600076"/>
          <a:ext cx="4295777" cy="37909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Enter your demand data in the columns below. </a:t>
          </a:r>
        </a:p>
        <a:p>
          <a:endParaRPr lang="en-GB" sz="1100"/>
        </a:p>
        <a:p>
          <a:r>
            <a:rPr lang="en-GB" sz="1100"/>
            <a:t>To reduce the chance of errors,</a:t>
          </a:r>
          <a:r>
            <a:rPr lang="en-GB" sz="1100" baseline="0"/>
            <a:t> use the 'Paste special' method:</a:t>
          </a:r>
        </a:p>
        <a:p>
          <a:endParaRPr lang="en-GB" sz="1100" baseline="0"/>
        </a:p>
        <a:p>
          <a:r>
            <a:rPr lang="en-GB" sz="1100" baseline="0"/>
            <a:t>* Select the cell you would like to copy values into. </a:t>
          </a:r>
        </a:p>
        <a:p>
          <a:r>
            <a:rPr lang="en-GB" sz="1100" baseline="0"/>
            <a:t>* Press the following keys together: Control + Alt + 'V'</a:t>
          </a:r>
        </a:p>
        <a:p>
          <a:endParaRPr lang="en-GB" sz="1100" baseline="0"/>
        </a:p>
        <a:p>
          <a:endParaRPr lang="en-GB" sz="1100"/>
        </a:p>
        <a:p>
          <a:r>
            <a:rPr lang="en-GB" sz="1100"/>
            <a:t>When you are extracting your data, please</a:t>
          </a:r>
          <a:r>
            <a:rPr lang="en-GB" sz="1100" baseline="0"/>
            <a:t> try to ensure that it is as 'clean' as possible. This includes checking for the following:</a:t>
          </a:r>
        </a:p>
        <a:p>
          <a:endParaRPr lang="en-GB" sz="1100" baseline="0"/>
        </a:p>
        <a:p>
          <a:r>
            <a:rPr lang="en-GB" sz="1100" baseline="0"/>
            <a:t>- Data quality issues (eg. double entry of the same referral)</a:t>
          </a:r>
        </a:p>
        <a:p>
          <a:endParaRPr lang="en-GB" sz="1100" baseline="0"/>
        </a:p>
        <a:p>
          <a:r>
            <a:rPr lang="en-GB" sz="1100" baseline="0"/>
            <a:t>- Data completeness - ensure all sources of demand are accounted for. This may require collating from several different sources if you are receiving information from multiple electronic record systems.</a:t>
          </a:r>
        </a:p>
        <a:p>
          <a:endParaRPr lang="en-GB" sz="1100" baseline="0"/>
        </a:p>
        <a:p>
          <a:r>
            <a:rPr lang="en-GB" sz="1100" baseline="0"/>
            <a:t>- Appropriate demand - check that any requests for service you are recording on this sheet are relevant to the part of the service you are modelling. Drawing a process map may be helpful in checking your assumptions.</a:t>
          </a:r>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6</xdr:col>
      <xdr:colOff>659130</xdr:colOff>
      <xdr:row>2</xdr:row>
      <xdr:rowOff>171450</xdr:rowOff>
    </xdr:from>
    <xdr:to>
      <xdr:col>18</xdr:col>
      <xdr:colOff>7620</xdr:colOff>
      <xdr:row>20</xdr:row>
      <xdr:rowOff>0</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0</xdr:colOff>
          <xdr:row>4</xdr:row>
          <xdr:rowOff>0</xdr:rowOff>
        </xdr:to>
        <xdr:sp macro="" textlink="">
          <xdr:nvSpPr>
            <xdr:cNvPr id="27652" name="Section1Start" hidden="1">
              <a:extLst>
                <a:ext uri="{63B3BB69-23CF-44E3-9099-C40C66FF867C}">
                  <a14:compatExt spid="_x0000_s27652"/>
                </a:ext>
                <a:ext uri="{FF2B5EF4-FFF2-40B4-BE49-F238E27FC236}">
                  <a16:creationId xmlns:a16="http://schemas.microsoft.com/office/drawing/2014/main" id="{00000000-0008-0000-0800-000004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182880</xdr:rowOff>
        </xdr:from>
        <xdr:to>
          <xdr:col>2</xdr:col>
          <xdr:colOff>0</xdr:colOff>
          <xdr:row>4</xdr:row>
          <xdr:rowOff>182880</xdr:rowOff>
        </xdr:to>
        <xdr:sp macro="" textlink="">
          <xdr:nvSpPr>
            <xdr:cNvPr id="27653" name="Section1End" hidden="1">
              <a:extLst>
                <a:ext uri="{63B3BB69-23CF-44E3-9099-C40C66FF867C}">
                  <a14:compatExt spid="_x0000_s27653"/>
                </a:ext>
                <a:ext uri="{FF2B5EF4-FFF2-40B4-BE49-F238E27FC236}">
                  <a16:creationId xmlns:a16="http://schemas.microsoft.com/office/drawing/2014/main" id="{00000000-0008-0000-0800-000005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xdr:row>
          <xdr:rowOff>0</xdr:rowOff>
        </xdr:from>
        <xdr:to>
          <xdr:col>2</xdr:col>
          <xdr:colOff>0</xdr:colOff>
          <xdr:row>7</xdr:row>
          <xdr:rowOff>0</xdr:rowOff>
        </xdr:to>
        <xdr:sp macro="" textlink="">
          <xdr:nvSpPr>
            <xdr:cNvPr id="27655" name="Section2Start" hidden="1">
              <a:extLst>
                <a:ext uri="{63B3BB69-23CF-44E3-9099-C40C66FF867C}">
                  <a14:compatExt spid="_x0000_s27655"/>
                </a:ext>
                <a:ext uri="{FF2B5EF4-FFF2-40B4-BE49-F238E27FC236}">
                  <a16:creationId xmlns:a16="http://schemas.microsoft.com/office/drawing/2014/main" id="{00000000-0008-0000-0800-000007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7</xdr:row>
          <xdr:rowOff>0</xdr:rowOff>
        </xdr:from>
        <xdr:to>
          <xdr:col>2</xdr:col>
          <xdr:colOff>0</xdr:colOff>
          <xdr:row>8</xdr:row>
          <xdr:rowOff>0</xdr:rowOff>
        </xdr:to>
        <xdr:sp macro="" textlink="">
          <xdr:nvSpPr>
            <xdr:cNvPr id="27658" name="Section2End" hidden="1">
              <a:extLst>
                <a:ext uri="{63B3BB69-23CF-44E3-9099-C40C66FF867C}">
                  <a14:compatExt spid="_x0000_s27658"/>
                </a:ext>
                <a:ext uri="{FF2B5EF4-FFF2-40B4-BE49-F238E27FC236}">
                  <a16:creationId xmlns:a16="http://schemas.microsoft.com/office/drawing/2014/main" id="{00000000-0008-0000-0800-00000A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9</xdr:row>
          <xdr:rowOff>0</xdr:rowOff>
        </xdr:from>
        <xdr:to>
          <xdr:col>2</xdr:col>
          <xdr:colOff>0</xdr:colOff>
          <xdr:row>10</xdr:row>
          <xdr:rowOff>0</xdr:rowOff>
        </xdr:to>
        <xdr:sp macro="" textlink="">
          <xdr:nvSpPr>
            <xdr:cNvPr id="27659" name="Section3Start" hidden="1">
              <a:extLst>
                <a:ext uri="{63B3BB69-23CF-44E3-9099-C40C66FF867C}">
                  <a14:compatExt spid="_x0000_s27659"/>
                </a:ext>
                <a:ext uri="{FF2B5EF4-FFF2-40B4-BE49-F238E27FC236}">
                  <a16:creationId xmlns:a16="http://schemas.microsoft.com/office/drawing/2014/main" id="{00000000-0008-0000-0800-00000B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xdr:row>
          <xdr:rowOff>0</xdr:rowOff>
        </xdr:from>
        <xdr:to>
          <xdr:col>2</xdr:col>
          <xdr:colOff>0</xdr:colOff>
          <xdr:row>11</xdr:row>
          <xdr:rowOff>0</xdr:rowOff>
        </xdr:to>
        <xdr:sp macro="" textlink="">
          <xdr:nvSpPr>
            <xdr:cNvPr id="27660" name="Section3End" hidden="1">
              <a:extLst>
                <a:ext uri="{63B3BB69-23CF-44E3-9099-C40C66FF867C}">
                  <a14:compatExt spid="_x0000_s27660"/>
                </a:ext>
                <a:ext uri="{FF2B5EF4-FFF2-40B4-BE49-F238E27FC236}">
                  <a16:creationId xmlns:a16="http://schemas.microsoft.com/office/drawing/2014/main" id="{00000000-0008-0000-0800-00000C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12</xdr:row>
          <xdr:rowOff>0</xdr:rowOff>
        </xdr:from>
        <xdr:to>
          <xdr:col>2</xdr:col>
          <xdr:colOff>0</xdr:colOff>
          <xdr:row>13</xdr:row>
          <xdr:rowOff>0</xdr:rowOff>
        </xdr:to>
        <xdr:sp macro="" textlink="">
          <xdr:nvSpPr>
            <xdr:cNvPr id="27661" name="Section4Start" hidden="1">
              <a:extLst>
                <a:ext uri="{63B3BB69-23CF-44E3-9099-C40C66FF867C}">
                  <a14:compatExt spid="_x0000_s27661"/>
                </a:ext>
                <a:ext uri="{FF2B5EF4-FFF2-40B4-BE49-F238E27FC236}">
                  <a16:creationId xmlns:a16="http://schemas.microsoft.com/office/drawing/2014/main" id="{00000000-0008-0000-0800-00000D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13</xdr:row>
          <xdr:rowOff>0</xdr:rowOff>
        </xdr:from>
        <xdr:to>
          <xdr:col>2</xdr:col>
          <xdr:colOff>0</xdr:colOff>
          <xdr:row>14</xdr:row>
          <xdr:rowOff>0</xdr:rowOff>
        </xdr:to>
        <xdr:sp macro="" textlink="">
          <xdr:nvSpPr>
            <xdr:cNvPr id="27662" name="Section4End" hidden="1">
              <a:extLst>
                <a:ext uri="{63B3BB69-23CF-44E3-9099-C40C66FF867C}">
                  <a14:compatExt spid="_x0000_s27662"/>
                </a:ext>
                <a:ext uri="{FF2B5EF4-FFF2-40B4-BE49-F238E27FC236}">
                  <a16:creationId xmlns:a16="http://schemas.microsoft.com/office/drawing/2014/main" id="{00000000-0008-0000-0800-00000E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257175</xdr:colOff>
      <xdr:row>1</xdr:row>
      <xdr:rowOff>19050</xdr:rowOff>
    </xdr:from>
    <xdr:to>
      <xdr:col>17</xdr:col>
      <xdr:colOff>200024</xdr:colOff>
      <xdr:row>26</xdr:row>
      <xdr:rowOff>85726</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xdr:col>
      <xdr:colOff>648260</xdr:colOff>
      <xdr:row>1</xdr:row>
      <xdr:rowOff>171450</xdr:rowOff>
    </xdr:from>
    <xdr:to>
      <xdr:col>3</xdr:col>
      <xdr:colOff>225686</xdr:colOff>
      <xdr:row>3</xdr:row>
      <xdr:rowOff>82961</xdr:rowOff>
    </xdr:to>
    <xdr:pic macro="[0]!Sheet7.SPC_Help1_Click">
      <xdr:nvPicPr>
        <xdr:cNvPr id="11" name="Picture 10">
          <a:extLst>
            <a:ext uri="{FF2B5EF4-FFF2-40B4-BE49-F238E27FC236}">
              <a16:creationId xmlns:a16="http://schemas.microsoft.com/office/drawing/2014/main" id="{00000000-0008-0000-0800-00000B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029510" y="352425"/>
          <a:ext cx="249891" cy="28743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6724</xdr:colOff>
      <xdr:row>1</xdr:row>
      <xdr:rowOff>24653</xdr:rowOff>
    </xdr:from>
    <xdr:to>
      <xdr:col>11</xdr:col>
      <xdr:colOff>555812</xdr:colOff>
      <xdr:row>24</xdr:row>
      <xdr:rowOff>59951</xdr:rowOff>
    </xdr:to>
    <xdr:sp macro="" textlink="">
      <xdr:nvSpPr>
        <xdr:cNvPr id="3" name="SPC Help 1" hidden="1">
          <a:extLst>
            <a:ext uri="{FF2B5EF4-FFF2-40B4-BE49-F238E27FC236}">
              <a16:creationId xmlns:a16="http://schemas.microsoft.com/office/drawing/2014/main" id="{00000000-0008-0000-0800-000003000000}"/>
            </a:ext>
          </a:extLst>
        </xdr:cNvPr>
        <xdr:cNvSpPr txBox="1"/>
      </xdr:nvSpPr>
      <xdr:spPr>
        <a:xfrm>
          <a:off x="3330949" y="205628"/>
          <a:ext cx="5349688" cy="421677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statistical</a:t>
          </a:r>
          <a:r>
            <a:rPr lang="en-GB" sz="1100" baseline="0"/>
            <a:t> process control (SPC) chart  can be used to analyse your demand data.</a:t>
          </a:r>
        </a:p>
        <a:p>
          <a:endParaRPr lang="en-GB" sz="1100" baseline="0"/>
        </a:p>
        <a:p>
          <a:r>
            <a:rPr lang="en-GB" sz="1100" baseline="0"/>
            <a:t>You can set a baseline period that will be used as your estimate of 'normal' using the panel on the left. </a:t>
          </a:r>
        </a:p>
        <a:p>
          <a:endParaRPr lang="en-GB" sz="1100" baseline="0"/>
        </a:p>
        <a:p>
          <a:r>
            <a:rPr lang="en-GB" sz="1100" baseline="0"/>
            <a:t>If you have seasonalities that you would like to take account of, then changing the 'Display type:' option to '1+ Seasons' will allow you to define up to 4 seasons, each of which will be analysed separately.</a:t>
          </a:r>
        </a:p>
        <a:p>
          <a:endParaRPr lang="en-GB" sz="1100" baseline="0"/>
        </a:p>
        <a:p>
          <a:r>
            <a:rPr lang="en-GB" sz="1100" baseline="0"/>
            <a:t>You can also show other useful metrics using the display options on the lower left of the  sheet - these will allow you to switch between:</a:t>
          </a:r>
        </a:p>
        <a:p>
          <a:endParaRPr lang="en-GB" sz="1100" baseline="0"/>
        </a:p>
        <a:p>
          <a:r>
            <a:rPr lang="en-GB" sz="1100" baseline="0"/>
            <a:t>- SPC values </a:t>
          </a:r>
        </a:p>
        <a:p>
          <a:r>
            <a:rPr lang="en-GB" sz="1100" baseline="0"/>
            <a:t>- Percentile values</a:t>
          </a:r>
        </a:p>
        <a:p>
          <a:r>
            <a:rPr lang="en-GB" sz="1100" baseline="0"/>
            <a:t>- Include same day/emergency figures on top of your regular demand data.</a:t>
          </a:r>
        </a:p>
        <a:p>
          <a:endParaRPr lang="en-GB" sz="1100" baseline="0"/>
        </a:p>
        <a:p>
          <a:endParaRPr lang="en-GB" sz="1100" baseline="0"/>
        </a:p>
        <a:p>
          <a:r>
            <a:rPr lang="en-GB" sz="1100" baseline="0"/>
            <a:t>When analysing the SPC chart, remember that the question that needs answering is:</a:t>
          </a:r>
        </a:p>
        <a:p>
          <a:endParaRPr lang="en-GB" sz="1100" baseline="0"/>
        </a:p>
        <a:p>
          <a:r>
            <a:rPr lang="en-GB" sz="1100" baseline="0"/>
            <a:t>Is my baseline a reasonable representation of what I think will happen next?</a:t>
          </a:r>
        </a:p>
        <a:p>
          <a:endParaRPr lang="en-GB" sz="1100" baseline="0"/>
        </a:p>
        <a:p>
          <a:r>
            <a:rPr lang="en-GB" sz="1100" baseline="0"/>
            <a:t>If there are a lot of exception values, then you may want to recheck your data before continuing.</a:t>
          </a:r>
          <a:endParaRPr lang="en-GB" sz="1100"/>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28575</xdr:colOff>
      <xdr:row>3</xdr:row>
      <xdr:rowOff>19050</xdr:rowOff>
    </xdr:from>
    <xdr:to>
      <xdr:col>1</xdr:col>
      <xdr:colOff>274955</xdr:colOff>
      <xdr:row>4</xdr:row>
      <xdr:rowOff>122555</xdr:rowOff>
    </xdr:to>
    <xdr:pic macro="[0]!Sheet13.Planned_Help1_Click">
      <xdr:nvPicPr>
        <xdr:cNvPr id="2" name="Picture 1">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575" y="5619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628650</xdr:colOff>
      <xdr:row>4</xdr:row>
      <xdr:rowOff>47625</xdr:rowOff>
    </xdr:from>
    <xdr:to>
      <xdr:col>15</xdr:col>
      <xdr:colOff>152400</xdr:colOff>
      <xdr:row>13</xdr:row>
      <xdr:rowOff>57150</xdr:rowOff>
    </xdr:to>
    <xdr:sp macro="" textlink="">
      <xdr:nvSpPr>
        <xdr:cNvPr id="3" name="Planned Help 1" hidden="1">
          <a:extLst>
            <a:ext uri="{FF2B5EF4-FFF2-40B4-BE49-F238E27FC236}">
              <a16:creationId xmlns:a16="http://schemas.microsoft.com/office/drawing/2014/main" id="{00000000-0008-0000-0A00-000003000000}"/>
            </a:ext>
          </a:extLst>
        </xdr:cNvPr>
        <xdr:cNvSpPr txBox="1"/>
      </xdr:nvSpPr>
      <xdr:spPr>
        <a:xfrm>
          <a:off x="628650" y="771525"/>
          <a:ext cx="3667125" cy="1638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 to enter your planned demand information. </a:t>
          </a:r>
        </a:p>
        <a:p>
          <a:endParaRPr lang="en-GB" sz="1100"/>
        </a:p>
        <a:p>
          <a:r>
            <a:rPr lang="en-GB" sz="1100"/>
            <a:t>Thi</a:t>
          </a:r>
          <a:r>
            <a:rPr lang="en-GB" sz="1100" baseline="0"/>
            <a:t>s page gives you the option to enter your planned demand as an overall figure, or by modality.</a:t>
          </a:r>
        </a:p>
        <a:p>
          <a:endParaRPr lang="en-GB" sz="1100" baseline="0"/>
        </a:p>
        <a:p>
          <a:r>
            <a:rPr lang="en-GB" sz="1100" baseline="0"/>
            <a:t>If you enter by modality, then the figures will be weighted based on any minute/point values you may have assigned in the main 'Demand' sheet.</a:t>
          </a:r>
        </a:p>
        <a:p>
          <a:endParaRPr lang="en-GB" sz="1100" baseline="0"/>
        </a:p>
        <a:p>
          <a:endParaRPr lang="en-GB" sz="1100"/>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1</xdr:col>
          <xdr:colOff>868680</xdr:colOff>
          <xdr:row>3</xdr:row>
          <xdr:rowOff>175260</xdr:rowOff>
        </xdr:to>
        <xdr:sp macro="" textlink="">
          <xdr:nvSpPr>
            <xdr:cNvPr id="62465" name="PlannedRangeStart" hidden="1">
              <a:extLst>
                <a:ext uri="{63B3BB69-23CF-44E3-9099-C40C66FF867C}">
                  <a14:compatExt spid="_x0000_s62465"/>
                </a:ext>
                <a:ext uri="{FF2B5EF4-FFF2-40B4-BE49-F238E27FC236}">
                  <a16:creationId xmlns:a16="http://schemas.microsoft.com/office/drawing/2014/main" id="{00000000-0008-0000-0C00-000001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209550</xdr:colOff>
      <xdr:row>0</xdr:row>
      <xdr:rowOff>152399</xdr:rowOff>
    </xdr:from>
    <xdr:to>
      <xdr:col>16</xdr:col>
      <xdr:colOff>447674</xdr:colOff>
      <xdr:row>26</xdr:row>
      <xdr:rowOff>38100</xdr:rowOff>
    </xdr:to>
    <xdr:graphicFrame macro="">
      <xdr:nvGraphicFramePr>
        <xdr:cNvPr id="10" name="Chart 9">
          <a:extLst>
            <a:ext uri="{FF2B5EF4-FFF2-40B4-BE49-F238E27FC236}">
              <a16:creationId xmlns:a16="http://schemas.microsoft.com/office/drawing/2014/main" id="{00000000-0008-0000-0C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0</xdr:colOff>
          <xdr:row>4</xdr:row>
          <xdr:rowOff>0</xdr:rowOff>
        </xdr:from>
        <xdr:to>
          <xdr:col>1</xdr:col>
          <xdr:colOff>868680</xdr:colOff>
          <xdr:row>4</xdr:row>
          <xdr:rowOff>175260</xdr:rowOff>
        </xdr:to>
        <xdr:sp macro="" textlink="">
          <xdr:nvSpPr>
            <xdr:cNvPr id="62474" name="Section1Start" hidden="1">
              <a:extLst>
                <a:ext uri="{63B3BB69-23CF-44E3-9099-C40C66FF867C}">
                  <a14:compatExt spid="_x0000_s62474"/>
                </a:ext>
                <a:ext uri="{FF2B5EF4-FFF2-40B4-BE49-F238E27FC236}">
                  <a16:creationId xmlns:a16="http://schemas.microsoft.com/office/drawing/2014/main" id="{00000000-0008-0000-0C00-00000A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438150</xdr:colOff>
      <xdr:row>1</xdr:row>
      <xdr:rowOff>0</xdr:rowOff>
    </xdr:from>
    <xdr:to>
      <xdr:col>3</xdr:col>
      <xdr:colOff>0</xdr:colOff>
      <xdr:row>2</xdr:row>
      <xdr:rowOff>104775</xdr:rowOff>
    </xdr:to>
    <xdr:pic macro="[0]!Sheet19.PSPC_Help1_Click">
      <xdr:nvPicPr>
        <xdr:cNvPr id="5" name="Picture 4">
          <a:extLst>
            <a:ext uri="{FF2B5EF4-FFF2-40B4-BE49-F238E27FC236}">
              <a16:creationId xmlns:a16="http://schemas.microsoft.com/office/drawing/2014/main" id="{00000000-0008-0000-0C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638425" y="1809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209550</xdr:colOff>
      <xdr:row>0</xdr:row>
      <xdr:rowOff>152401</xdr:rowOff>
    </xdr:from>
    <xdr:to>
      <xdr:col>11</xdr:col>
      <xdr:colOff>72838</xdr:colOff>
      <xdr:row>19</xdr:row>
      <xdr:rowOff>28576</xdr:rowOff>
    </xdr:to>
    <xdr:sp macro="" textlink="">
      <xdr:nvSpPr>
        <xdr:cNvPr id="6" name="PSPC Help 1" hidden="1">
          <a:extLst>
            <a:ext uri="{FF2B5EF4-FFF2-40B4-BE49-F238E27FC236}">
              <a16:creationId xmlns:a16="http://schemas.microsoft.com/office/drawing/2014/main" id="{00000000-0008-0000-0C00-000006000000}"/>
            </a:ext>
          </a:extLst>
        </xdr:cNvPr>
        <xdr:cNvSpPr txBox="1"/>
      </xdr:nvSpPr>
      <xdr:spPr>
        <a:xfrm>
          <a:off x="3095625" y="152401"/>
          <a:ext cx="5349688" cy="3333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statistical</a:t>
          </a:r>
          <a:r>
            <a:rPr lang="en-GB" sz="1100" baseline="0"/>
            <a:t> process control (SPC) chart  can be used to analyse your planned demand data.</a:t>
          </a:r>
        </a:p>
        <a:p>
          <a:endParaRPr lang="en-GB" sz="1100" baseline="0"/>
        </a:p>
        <a:p>
          <a:r>
            <a:rPr lang="en-GB" sz="1100" baseline="0"/>
            <a:t>You can set a baseline period that will be used as your estimate of 'normal' using the panel on the left. </a:t>
          </a:r>
        </a:p>
        <a:p>
          <a:endParaRPr lang="en-GB" sz="1100" baseline="0"/>
        </a:p>
        <a:p>
          <a:r>
            <a:rPr lang="en-GB" sz="1100" baseline="0"/>
            <a:t>You can also show other useful metrics using the display options on the lower left of the  sheet - these will allow you to switch between:</a:t>
          </a:r>
        </a:p>
        <a:p>
          <a:endParaRPr lang="en-GB" sz="1100" baseline="0"/>
        </a:p>
        <a:p>
          <a:r>
            <a:rPr lang="en-GB" sz="1100" baseline="0"/>
            <a:t>- SPC values </a:t>
          </a:r>
        </a:p>
        <a:p>
          <a:r>
            <a:rPr lang="en-GB" sz="1100" baseline="0"/>
            <a:t>- Percentile values</a:t>
          </a:r>
        </a:p>
        <a:p>
          <a:endParaRPr lang="en-GB" sz="1100" baseline="0"/>
        </a:p>
        <a:p>
          <a:r>
            <a:rPr lang="en-GB" sz="1100" baseline="0"/>
            <a:t>When analysing the SPC chart, remember that the question that needs answering is:</a:t>
          </a:r>
        </a:p>
        <a:p>
          <a:endParaRPr lang="en-GB" sz="1100" baseline="0"/>
        </a:p>
        <a:p>
          <a:r>
            <a:rPr lang="en-GB" sz="1100" baseline="0"/>
            <a:t>Is my baseline a reasonable representation of what I think will happen next?</a:t>
          </a:r>
        </a:p>
        <a:p>
          <a:endParaRPr lang="en-GB" sz="1100" baseline="0"/>
        </a:p>
        <a:p>
          <a:r>
            <a:rPr lang="en-GB" sz="1100" baseline="0"/>
            <a:t>If there are a lot of exception values, then you may want to recheck your data before continuing.</a:t>
          </a:r>
          <a:endParaRPr lang="en-GB" sz="1100"/>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7</xdr:row>
          <xdr:rowOff>99060</xdr:rowOff>
        </xdr:from>
        <xdr:to>
          <xdr:col>3</xdr:col>
          <xdr:colOff>251460</xdr:colOff>
          <xdr:row>13</xdr:row>
          <xdr:rowOff>83820</xdr:rowOff>
        </xdr:to>
        <xdr:sp macro="" textlink="">
          <xdr:nvSpPr>
            <xdr:cNvPr id="32778" name="Group Box 10" hidden="1">
              <a:extLst>
                <a:ext uri="{63B3BB69-23CF-44E3-9099-C40C66FF867C}">
                  <a14:compatExt spid="_x0000_s32778"/>
                </a:ext>
                <a:ext uri="{FF2B5EF4-FFF2-40B4-BE49-F238E27FC236}">
                  <a16:creationId xmlns:a16="http://schemas.microsoft.com/office/drawing/2014/main" id="{00000000-0008-0000-0D00-00000A8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xdr:row>
          <xdr:rowOff>99060</xdr:rowOff>
        </xdr:from>
        <xdr:to>
          <xdr:col>3</xdr:col>
          <xdr:colOff>144780</xdr:colOff>
          <xdr:row>6</xdr:row>
          <xdr:rowOff>175260</xdr:rowOff>
        </xdr:to>
        <xdr:sp macro="" textlink="">
          <xdr:nvSpPr>
            <xdr:cNvPr id="32781" name="Group Box 13" hidden="1">
              <a:extLst>
                <a:ext uri="{63B3BB69-23CF-44E3-9099-C40C66FF867C}">
                  <a14:compatExt spid="_x0000_s32781"/>
                </a:ext>
                <a:ext uri="{FF2B5EF4-FFF2-40B4-BE49-F238E27FC236}">
                  <a16:creationId xmlns:a16="http://schemas.microsoft.com/office/drawing/2014/main" id="{00000000-0008-0000-0D00-00000D8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1417320</xdr:colOff>
          <xdr:row>15</xdr:row>
          <xdr:rowOff>533400</xdr:rowOff>
        </xdr:from>
        <xdr:to>
          <xdr:col>2</xdr:col>
          <xdr:colOff>1127760</xdr:colOff>
          <xdr:row>16</xdr:row>
          <xdr:rowOff>175260</xdr:rowOff>
        </xdr:to>
        <xdr:sp macro="" textlink="">
          <xdr:nvSpPr>
            <xdr:cNvPr id="32782" name="Drop Down 14" hidden="1">
              <a:extLst>
                <a:ext uri="{63B3BB69-23CF-44E3-9099-C40C66FF867C}">
                  <a14:compatExt spid="_x0000_s32782"/>
                </a:ext>
                <a:ext uri="{FF2B5EF4-FFF2-40B4-BE49-F238E27FC236}">
                  <a16:creationId xmlns:a16="http://schemas.microsoft.com/office/drawing/2014/main" id="{00000000-0008-0000-0D00-00000E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640080</xdr:colOff>
          <xdr:row>5</xdr:row>
          <xdr:rowOff>160020</xdr:rowOff>
        </xdr:from>
        <xdr:to>
          <xdr:col>1</xdr:col>
          <xdr:colOff>944880</xdr:colOff>
          <xdr:row>7</xdr:row>
          <xdr:rowOff>30480</xdr:rowOff>
        </xdr:to>
        <xdr:sp macro="" textlink="">
          <xdr:nvSpPr>
            <xdr:cNvPr id="32783" name="CAP_Simplified" hidden="1">
              <a:extLst>
                <a:ext uri="{63B3BB69-23CF-44E3-9099-C40C66FF867C}">
                  <a14:compatExt spid="_x0000_s32783"/>
                </a:ext>
                <a:ext uri="{FF2B5EF4-FFF2-40B4-BE49-F238E27FC236}">
                  <a16:creationId xmlns:a16="http://schemas.microsoft.com/office/drawing/2014/main" id="{00000000-0008-0000-0D00-00000F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563880</xdr:colOff>
          <xdr:row>5</xdr:row>
          <xdr:rowOff>160020</xdr:rowOff>
        </xdr:from>
        <xdr:to>
          <xdr:col>2</xdr:col>
          <xdr:colOff>868680</xdr:colOff>
          <xdr:row>7</xdr:row>
          <xdr:rowOff>30480</xdr:rowOff>
        </xdr:to>
        <xdr:sp macro="" textlink="">
          <xdr:nvSpPr>
            <xdr:cNvPr id="32784" name="CAP_Advanced" hidden="1">
              <a:extLst>
                <a:ext uri="{63B3BB69-23CF-44E3-9099-C40C66FF867C}">
                  <a14:compatExt spid="_x0000_s32784"/>
                </a:ext>
                <a:ext uri="{FF2B5EF4-FFF2-40B4-BE49-F238E27FC236}">
                  <a16:creationId xmlns:a16="http://schemas.microsoft.com/office/drawing/2014/main" id="{00000000-0008-0000-0D00-000010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571500</xdr:colOff>
          <xdr:row>8</xdr:row>
          <xdr:rowOff>0</xdr:rowOff>
        </xdr:from>
        <xdr:to>
          <xdr:col>1</xdr:col>
          <xdr:colOff>876300</xdr:colOff>
          <xdr:row>11</xdr:row>
          <xdr:rowOff>38100</xdr:rowOff>
        </xdr:to>
        <xdr:sp macro="" textlink="">
          <xdr:nvSpPr>
            <xdr:cNvPr id="32785" name="Option Button 17" hidden="1">
              <a:extLst>
                <a:ext uri="{63B3BB69-23CF-44E3-9099-C40C66FF867C}">
                  <a14:compatExt spid="_x0000_s32785"/>
                </a:ext>
                <a:ext uri="{FF2B5EF4-FFF2-40B4-BE49-F238E27FC236}">
                  <a16:creationId xmlns:a16="http://schemas.microsoft.com/office/drawing/2014/main" id="{00000000-0008-0000-0D00-000011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571500</xdr:colOff>
          <xdr:row>8</xdr:row>
          <xdr:rowOff>0</xdr:rowOff>
        </xdr:from>
        <xdr:to>
          <xdr:col>2</xdr:col>
          <xdr:colOff>822960</xdr:colOff>
          <xdr:row>11</xdr:row>
          <xdr:rowOff>38100</xdr:rowOff>
        </xdr:to>
        <xdr:sp macro="" textlink="">
          <xdr:nvSpPr>
            <xdr:cNvPr id="32786" name="Option Button 18" hidden="1">
              <a:extLst>
                <a:ext uri="{63B3BB69-23CF-44E3-9099-C40C66FF867C}">
                  <a14:compatExt spid="_x0000_s32786"/>
                </a:ext>
                <a:ext uri="{FF2B5EF4-FFF2-40B4-BE49-F238E27FC236}">
                  <a16:creationId xmlns:a16="http://schemas.microsoft.com/office/drawing/2014/main" id="{00000000-0008-0000-0D00-000012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3</xdr:col>
      <xdr:colOff>76200</xdr:colOff>
      <xdr:row>0</xdr:row>
      <xdr:rowOff>95250</xdr:rowOff>
    </xdr:from>
    <xdr:to>
      <xdr:col>3</xdr:col>
      <xdr:colOff>323850</xdr:colOff>
      <xdr:row>2</xdr:row>
      <xdr:rowOff>8890</xdr:rowOff>
    </xdr:to>
    <xdr:pic macro="[0]!Sheet18.Capacity_Help1_Click">
      <xdr:nvPicPr>
        <xdr:cNvPr id="9" name="Picture 8">
          <a:extLst>
            <a:ext uri="{FF2B5EF4-FFF2-40B4-BE49-F238E27FC236}">
              <a16:creationId xmlns:a16="http://schemas.microsoft.com/office/drawing/2014/main" id="{00000000-0008-0000-0D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124200" y="9525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609600</xdr:colOff>
      <xdr:row>1</xdr:row>
      <xdr:rowOff>47625</xdr:rowOff>
    </xdr:from>
    <xdr:to>
      <xdr:col>12</xdr:col>
      <xdr:colOff>161925</xdr:colOff>
      <xdr:row>15</xdr:row>
      <xdr:rowOff>123825</xdr:rowOff>
    </xdr:to>
    <xdr:sp macro="" textlink="">
      <xdr:nvSpPr>
        <xdr:cNvPr id="2" name="Capacity Help 1" hidden="1">
          <a:extLst>
            <a:ext uri="{FF2B5EF4-FFF2-40B4-BE49-F238E27FC236}">
              <a16:creationId xmlns:a16="http://schemas.microsoft.com/office/drawing/2014/main" id="{00000000-0008-0000-0D00-000002000000}"/>
            </a:ext>
          </a:extLst>
        </xdr:cNvPr>
        <xdr:cNvSpPr txBox="1"/>
      </xdr:nvSpPr>
      <xdr:spPr>
        <a:xfrm>
          <a:off x="3657600" y="228600"/>
          <a:ext cx="3819525" cy="22574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'Capacity'</a:t>
          </a:r>
          <a:r>
            <a:rPr lang="en-GB" sz="1100" baseline="0"/>
            <a:t> sheet allows you to enter your estimated capacity, differentiated by core and ad hoc (or plus cost) capacity.</a:t>
          </a:r>
        </a:p>
        <a:p>
          <a:endParaRPr lang="en-GB" sz="1100" baseline="0"/>
        </a:p>
        <a:p>
          <a:r>
            <a:rPr lang="en-GB" sz="1100" baseline="0"/>
            <a:t>If you select the 'Planning calculator', you can link your sessions to up to 3 key resources that must be available for it to run - this will let you see capacity pinch points. </a:t>
          </a:r>
        </a:p>
        <a:p>
          <a:endParaRPr lang="en-GB" sz="1100" baseline="0"/>
        </a:p>
        <a:p>
          <a:r>
            <a:rPr lang="en-GB" sz="1100" baseline="0"/>
            <a:t>If you do not use the 'Planning calculator', then the model will assume that your capacity will be phased evenly across the year.</a:t>
          </a:r>
          <a:endParaRPr lang="en-GB"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6</xdr:col>
      <xdr:colOff>0</xdr:colOff>
      <xdr:row>1</xdr:row>
      <xdr:rowOff>0</xdr:rowOff>
    </xdr:from>
    <xdr:to>
      <xdr:col>59</xdr:col>
      <xdr:colOff>186683</xdr:colOff>
      <xdr:row>22</xdr:row>
      <xdr:rowOff>339090</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640080</xdr:colOff>
          <xdr:row>5</xdr:row>
          <xdr:rowOff>160020</xdr:rowOff>
        </xdr:from>
        <xdr:to>
          <xdr:col>1</xdr:col>
          <xdr:colOff>944880</xdr:colOff>
          <xdr:row>7</xdr:row>
          <xdr:rowOff>30480</xdr:rowOff>
        </xdr:to>
        <xdr:sp macro="" textlink="">
          <xdr:nvSpPr>
            <xdr:cNvPr id="64841" name="CAP_Simplified" hidden="1">
              <a:extLst>
                <a:ext uri="{63B3BB69-23CF-44E3-9099-C40C66FF867C}">
                  <a14:compatExt spid="_x0000_s64841"/>
                </a:ext>
                <a:ext uri="{FF2B5EF4-FFF2-40B4-BE49-F238E27FC236}">
                  <a16:creationId xmlns:a16="http://schemas.microsoft.com/office/drawing/2014/main" id="{00000000-0008-0000-1000-000049F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251460</xdr:colOff>
          <xdr:row>5</xdr:row>
          <xdr:rowOff>160020</xdr:rowOff>
        </xdr:from>
        <xdr:to>
          <xdr:col>2</xdr:col>
          <xdr:colOff>556260</xdr:colOff>
          <xdr:row>7</xdr:row>
          <xdr:rowOff>30480</xdr:rowOff>
        </xdr:to>
        <xdr:sp macro="" textlink="">
          <xdr:nvSpPr>
            <xdr:cNvPr id="64842" name="CAP_Advanced" hidden="1">
              <a:extLst>
                <a:ext uri="{63B3BB69-23CF-44E3-9099-C40C66FF867C}">
                  <a14:compatExt spid="_x0000_s64842"/>
                </a:ext>
                <a:ext uri="{FF2B5EF4-FFF2-40B4-BE49-F238E27FC236}">
                  <a16:creationId xmlns:a16="http://schemas.microsoft.com/office/drawing/2014/main" id="{00000000-0008-0000-1000-00004AF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4</xdr:col>
      <xdr:colOff>114300</xdr:colOff>
      <xdr:row>0</xdr:row>
      <xdr:rowOff>133350</xdr:rowOff>
    </xdr:from>
    <xdr:to>
      <xdr:col>4</xdr:col>
      <xdr:colOff>377190</xdr:colOff>
      <xdr:row>2</xdr:row>
      <xdr:rowOff>41910</xdr:rowOff>
    </xdr:to>
    <xdr:pic macro="[0]!Sheet20.Cap_Summary_help1_click">
      <xdr:nvPicPr>
        <xdr:cNvPr id="5" name="Picture 4">
          <a:extLst>
            <a:ext uri="{FF2B5EF4-FFF2-40B4-BE49-F238E27FC236}">
              <a16:creationId xmlns:a16="http://schemas.microsoft.com/office/drawing/2014/main" id="{00000000-0008-0000-10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43250" y="13335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76200</xdr:colOff>
      <xdr:row>1</xdr:row>
      <xdr:rowOff>85725</xdr:rowOff>
    </xdr:from>
    <xdr:to>
      <xdr:col>23</xdr:col>
      <xdr:colOff>66675</xdr:colOff>
      <xdr:row>22</xdr:row>
      <xdr:rowOff>200025</xdr:rowOff>
    </xdr:to>
    <xdr:sp macro="" textlink="">
      <xdr:nvSpPr>
        <xdr:cNvPr id="2" name="Cap_Summary Help 1" hidden="1">
          <a:extLst>
            <a:ext uri="{FF2B5EF4-FFF2-40B4-BE49-F238E27FC236}">
              <a16:creationId xmlns:a16="http://schemas.microsoft.com/office/drawing/2014/main" id="{00000000-0008-0000-1000-000002000000}"/>
            </a:ext>
          </a:extLst>
        </xdr:cNvPr>
        <xdr:cNvSpPr txBox="1"/>
      </xdr:nvSpPr>
      <xdr:spPr>
        <a:xfrm>
          <a:off x="3810000" y="266700"/>
          <a:ext cx="3952875" cy="4105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sheet presents a summary of your capacity by week,</a:t>
          </a:r>
          <a:r>
            <a:rPr lang="en-GB" sz="1100" baseline="0"/>
            <a:t> based on the information you have entered.</a:t>
          </a:r>
        </a:p>
        <a:p>
          <a:endParaRPr lang="en-GB" sz="1100" baseline="0"/>
        </a:p>
        <a:p>
          <a:r>
            <a:rPr lang="en-GB" sz="1100" baseline="0"/>
            <a:t>If you selected 'Basic', the model will assume that the capacity entered in the 'Capacity' sheet can be evenly spread across 52 weeks.</a:t>
          </a:r>
        </a:p>
        <a:p>
          <a:endParaRPr lang="en-GB" sz="1100" baseline="0"/>
        </a:p>
        <a:p>
          <a:r>
            <a:rPr lang="en-GB" sz="1100" baseline="0"/>
            <a:t>Selecting 'Planning' will incorporate any information relating to critical resources which may limit the availability of core and ad hoc sessions.</a:t>
          </a:r>
        </a:p>
        <a:p>
          <a:endParaRPr lang="en-GB" sz="1100" baseline="0"/>
        </a:p>
        <a:p>
          <a:r>
            <a:rPr lang="en-GB" sz="1100" baseline="0"/>
            <a:t>The following rules apply to capacity calculations:</a:t>
          </a:r>
        </a:p>
        <a:p>
          <a:endParaRPr lang="en-GB" sz="1100" baseline="0"/>
        </a:p>
        <a:p>
          <a:r>
            <a:rPr lang="en-GB" sz="1100" baseline="0"/>
            <a:t>- If your adjusted clinic frequency is equal to, or greater than the session frequency stated in the 'Capacity tab' then the maximum deliverable capacity is assumed to be as stated in the 'Capacity' tab - this will be distributed evenly in the available weeks.</a:t>
          </a:r>
        </a:p>
        <a:p>
          <a:endParaRPr lang="en-GB" sz="1100" baseline="0"/>
        </a:p>
        <a:p>
          <a:r>
            <a:rPr lang="en-GB" sz="1100" baseline="0"/>
            <a:t>- If your adjusted frequency is less than the session frequency stated in the 'Capacity' tab then the clinic is assumed to run at the per-session rate entered in the 'Capacity' tab.</a:t>
          </a:r>
        </a:p>
        <a:p>
          <a:endParaRPr lang="en-GB" sz="1100" baseline="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275897</xdr:colOff>
      <xdr:row>8</xdr:row>
      <xdr:rowOff>183932</xdr:rowOff>
    </xdr:from>
    <xdr:to>
      <xdr:col>2</xdr:col>
      <xdr:colOff>413845</xdr:colOff>
      <xdr:row>8</xdr:row>
      <xdr:rowOff>183932</xdr:rowOff>
    </xdr:to>
    <xdr:cxnSp macro="">
      <xdr:nvCxnSpPr>
        <xdr:cNvPr id="2" name="Straight Arrow Connector 1">
          <a:extLst>
            <a:ext uri="{FF2B5EF4-FFF2-40B4-BE49-F238E27FC236}">
              <a16:creationId xmlns:a16="http://schemas.microsoft.com/office/drawing/2014/main" id="{00000000-0008-0000-1300-000002000000}"/>
            </a:ext>
          </a:extLst>
        </xdr:cNvPr>
        <xdr:cNvCxnSpPr/>
      </xdr:nvCxnSpPr>
      <xdr:spPr>
        <a:xfrm>
          <a:off x="2104697" y="1765082"/>
          <a:ext cx="137948"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315310</xdr:colOff>
      <xdr:row>8</xdr:row>
      <xdr:rowOff>183932</xdr:rowOff>
    </xdr:from>
    <xdr:to>
      <xdr:col>3</xdr:col>
      <xdr:colOff>472965</xdr:colOff>
      <xdr:row>8</xdr:row>
      <xdr:rowOff>183932</xdr:rowOff>
    </xdr:to>
    <xdr:cxnSp macro="">
      <xdr:nvCxnSpPr>
        <xdr:cNvPr id="3" name="Straight Arrow Connector 2">
          <a:extLst>
            <a:ext uri="{FF2B5EF4-FFF2-40B4-BE49-F238E27FC236}">
              <a16:creationId xmlns:a16="http://schemas.microsoft.com/office/drawing/2014/main" id="{00000000-0008-0000-1300-000003000000}"/>
            </a:ext>
          </a:extLst>
        </xdr:cNvPr>
        <xdr:cNvCxnSpPr/>
      </xdr:nvCxnSpPr>
      <xdr:spPr>
        <a:xfrm>
          <a:off x="2991835" y="1765082"/>
          <a:ext cx="157655"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10</xdr:row>
      <xdr:rowOff>144518</xdr:rowOff>
    </xdr:from>
    <xdr:to>
      <xdr:col>3</xdr:col>
      <xdr:colOff>0</xdr:colOff>
      <xdr:row>11</xdr:row>
      <xdr:rowOff>157656</xdr:rowOff>
    </xdr:to>
    <xdr:cxnSp macro="">
      <xdr:nvCxnSpPr>
        <xdr:cNvPr id="4" name="Straight Arrow Connector 3">
          <a:extLst>
            <a:ext uri="{FF2B5EF4-FFF2-40B4-BE49-F238E27FC236}">
              <a16:creationId xmlns:a16="http://schemas.microsoft.com/office/drawing/2014/main" id="{00000000-0008-0000-1300-000004000000}"/>
            </a:ext>
          </a:extLst>
        </xdr:cNvPr>
        <xdr:cNvCxnSpPr/>
      </xdr:nvCxnSpPr>
      <xdr:spPr>
        <a:xfrm>
          <a:off x="2676525" y="2106668"/>
          <a:ext cx="0" cy="203638"/>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288707</xdr:colOff>
      <xdr:row>16</xdr:row>
      <xdr:rowOff>2956</xdr:rowOff>
    </xdr:from>
    <xdr:to>
      <xdr:col>4</xdr:col>
      <xdr:colOff>446361</xdr:colOff>
      <xdr:row>16</xdr:row>
      <xdr:rowOff>2957</xdr:rowOff>
    </xdr:to>
    <xdr:cxnSp macro="">
      <xdr:nvCxnSpPr>
        <xdr:cNvPr id="5" name="Straight Arrow Connector 4">
          <a:extLst>
            <a:ext uri="{FF2B5EF4-FFF2-40B4-BE49-F238E27FC236}">
              <a16:creationId xmlns:a16="http://schemas.microsoft.com/office/drawing/2014/main" id="{00000000-0008-0000-1300-000005000000}"/>
            </a:ext>
          </a:extLst>
        </xdr:cNvPr>
        <xdr:cNvCxnSpPr/>
      </xdr:nvCxnSpPr>
      <xdr:spPr>
        <a:xfrm flipH="1">
          <a:off x="3812957" y="3098581"/>
          <a:ext cx="157654" cy="1"/>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18</xdr:row>
      <xdr:rowOff>105103</xdr:rowOff>
    </xdr:from>
    <xdr:to>
      <xdr:col>3</xdr:col>
      <xdr:colOff>0</xdr:colOff>
      <xdr:row>19</xdr:row>
      <xdr:rowOff>59120</xdr:rowOff>
    </xdr:to>
    <xdr:cxnSp macro="">
      <xdr:nvCxnSpPr>
        <xdr:cNvPr id="6" name="Straight Arrow Connector 5">
          <a:extLst>
            <a:ext uri="{FF2B5EF4-FFF2-40B4-BE49-F238E27FC236}">
              <a16:creationId xmlns:a16="http://schemas.microsoft.com/office/drawing/2014/main" id="{00000000-0008-0000-1300-000006000000}"/>
            </a:ext>
          </a:extLst>
        </xdr:cNvPr>
        <xdr:cNvCxnSpPr/>
      </xdr:nvCxnSpPr>
      <xdr:spPr>
        <a:xfrm>
          <a:off x="2676525" y="3572203"/>
          <a:ext cx="0" cy="134992"/>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601980</xdr:colOff>
      <xdr:row>20</xdr:row>
      <xdr:rowOff>186690</xdr:rowOff>
    </xdr:from>
    <xdr:to>
      <xdr:col>3</xdr:col>
      <xdr:colOff>788670</xdr:colOff>
      <xdr:row>20</xdr:row>
      <xdr:rowOff>186690</xdr:rowOff>
    </xdr:to>
    <xdr:cxnSp macro="">
      <xdr:nvCxnSpPr>
        <xdr:cNvPr id="7" name="Straight Arrow Connector 6">
          <a:extLst>
            <a:ext uri="{FF2B5EF4-FFF2-40B4-BE49-F238E27FC236}">
              <a16:creationId xmlns:a16="http://schemas.microsoft.com/office/drawing/2014/main" id="{00000000-0008-0000-1300-000007000000}"/>
            </a:ext>
          </a:extLst>
        </xdr:cNvPr>
        <xdr:cNvCxnSpPr/>
      </xdr:nvCxnSpPr>
      <xdr:spPr>
        <a:xfrm>
          <a:off x="3278505" y="4025265"/>
          <a:ext cx="186690"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22</xdr:row>
      <xdr:rowOff>78827</xdr:rowOff>
    </xdr:from>
    <xdr:to>
      <xdr:col>3</xdr:col>
      <xdr:colOff>0</xdr:colOff>
      <xdr:row>23</xdr:row>
      <xdr:rowOff>45720</xdr:rowOff>
    </xdr:to>
    <xdr:cxnSp macro="">
      <xdr:nvCxnSpPr>
        <xdr:cNvPr id="8" name="Straight Arrow Connector 7">
          <a:extLst>
            <a:ext uri="{FF2B5EF4-FFF2-40B4-BE49-F238E27FC236}">
              <a16:creationId xmlns:a16="http://schemas.microsoft.com/office/drawing/2014/main" id="{00000000-0008-0000-1300-000008000000}"/>
            </a:ext>
          </a:extLst>
        </xdr:cNvPr>
        <xdr:cNvCxnSpPr/>
      </xdr:nvCxnSpPr>
      <xdr:spPr>
        <a:xfrm>
          <a:off x="2676525" y="4298402"/>
          <a:ext cx="0" cy="147868"/>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76200</xdr:colOff>
      <xdr:row>20</xdr:row>
      <xdr:rowOff>177165</xdr:rowOff>
    </xdr:from>
    <xdr:to>
      <xdr:col>10</xdr:col>
      <xdr:colOff>300990</xdr:colOff>
      <xdr:row>20</xdr:row>
      <xdr:rowOff>177165</xdr:rowOff>
    </xdr:to>
    <xdr:cxnSp macro="">
      <xdr:nvCxnSpPr>
        <xdr:cNvPr id="9" name="Straight Arrow Connector 8">
          <a:extLst>
            <a:ext uri="{FF2B5EF4-FFF2-40B4-BE49-F238E27FC236}">
              <a16:creationId xmlns:a16="http://schemas.microsoft.com/office/drawing/2014/main" id="{00000000-0008-0000-1300-000009000000}"/>
            </a:ext>
          </a:extLst>
        </xdr:cNvPr>
        <xdr:cNvCxnSpPr/>
      </xdr:nvCxnSpPr>
      <xdr:spPr>
        <a:xfrm>
          <a:off x="9410700" y="4015740"/>
          <a:ext cx="224790"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685800</xdr:colOff>
      <xdr:row>22</xdr:row>
      <xdr:rowOff>124810</xdr:rowOff>
    </xdr:from>
    <xdr:to>
      <xdr:col>9</xdr:col>
      <xdr:colOff>0</xdr:colOff>
      <xdr:row>24</xdr:row>
      <xdr:rowOff>0</xdr:rowOff>
    </xdr:to>
    <xdr:cxnSp macro="">
      <xdr:nvCxnSpPr>
        <xdr:cNvPr id="10" name="Straight Arrow Connector 9">
          <a:extLst>
            <a:ext uri="{FF2B5EF4-FFF2-40B4-BE49-F238E27FC236}">
              <a16:creationId xmlns:a16="http://schemas.microsoft.com/office/drawing/2014/main" id="{00000000-0008-0000-1300-00000A000000}"/>
            </a:ext>
          </a:extLst>
        </xdr:cNvPr>
        <xdr:cNvCxnSpPr/>
      </xdr:nvCxnSpPr>
      <xdr:spPr>
        <a:xfrm flipH="1">
          <a:off x="8629650" y="4344385"/>
          <a:ext cx="9525" cy="23714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0</xdr:colOff>
          <xdr:row>3</xdr:row>
          <xdr:rowOff>0</xdr:rowOff>
        </xdr:from>
        <xdr:to>
          <xdr:col>5</xdr:col>
          <xdr:colOff>533400</xdr:colOff>
          <xdr:row>4</xdr:row>
          <xdr:rowOff>30480</xdr:rowOff>
        </xdr:to>
        <xdr:sp macro="" textlink="">
          <xdr:nvSpPr>
            <xdr:cNvPr id="11281" name="Param_Calculator_Yes" hidden="1">
              <a:extLst>
                <a:ext uri="{63B3BB69-23CF-44E3-9099-C40C66FF867C}">
                  <a14:compatExt spid="_x0000_s11281"/>
                </a:ext>
                <a:ext uri="{FF2B5EF4-FFF2-40B4-BE49-F238E27FC236}">
                  <a16:creationId xmlns:a16="http://schemas.microsoft.com/office/drawing/2014/main" id="{00000000-0008-0000-1300-000011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982980</xdr:colOff>
          <xdr:row>3</xdr:row>
          <xdr:rowOff>0</xdr:rowOff>
        </xdr:from>
        <xdr:to>
          <xdr:col>6</xdr:col>
          <xdr:colOff>0</xdr:colOff>
          <xdr:row>4</xdr:row>
          <xdr:rowOff>30480</xdr:rowOff>
        </xdr:to>
        <xdr:sp macro="" textlink="">
          <xdr:nvSpPr>
            <xdr:cNvPr id="11282" name="Param_Calculator_No" hidden="1">
              <a:extLst>
                <a:ext uri="{63B3BB69-23CF-44E3-9099-C40C66FF867C}">
                  <a14:compatExt spid="_x0000_s11282"/>
                </a:ext>
                <a:ext uri="{FF2B5EF4-FFF2-40B4-BE49-F238E27FC236}">
                  <a16:creationId xmlns:a16="http://schemas.microsoft.com/office/drawing/2014/main" id="{00000000-0008-0000-1300-000012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No</a:t>
              </a:r>
            </a:p>
          </xdr:txBody>
        </xdr:sp>
        <xdr:clientData/>
      </xdr:twoCellAnchor>
    </mc:Choice>
    <mc:Fallback/>
  </mc:AlternateContent>
  <xdr:twoCellAnchor editAs="oneCell">
    <xdr:from>
      <xdr:col>11</xdr:col>
      <xdr:colOff>333375</xdr:colOff>
      <xdr:row>1</xdr:row>
      <xdr:rowOff>0</xdr:rowOff>
    </xdr:from>
    <xdr:to>
      <xdr:col>11</xdr:col>
      <xdr:colOff>581660</xdr:colOff>
      <xdr:row>2</xdr:row>
      <xdr:rowOff>104140</xdr:rowOff>
    </xdr:to>
    <xdr:pic macro="[0]!Sheet11.Parameter_help1_click">
      <xdr:nvPicPr>
        <xdr:cNvPr id="13" name="Picture 12">
          <a:extLst>
            <a:ext uri="{FF2B5EF4-FFF2-40B4-BE49-F238E27FC236}">
              <a16:creationId xmlns:a16="http://schemas.microsoft.com/office/drawing/2014/main" id="{00000000-0008-0000-13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753725" y="1809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19050</xdr:colOff>
      <xdr:row>4</xdr:row>
      <xdr:rowOff>76200</xdr:rowOff>
    </xdr:from>
    <xdr:to>
      <xdr:col>11</xdr:col>
      <xdr:colOff>609600</xdr:colOff>
      <xdr:row>21</xdr:row>
      <xdr:rowOff>163286</xdr:rowOff>
    </xdr:to>
    <xdr:sp macro="" textlink="">
      <xdr:nvSpPr>
        <xdr:cNvPr id="11" name="Parameters Help 1" hidden="1">
          <a:extLst>
            <a:ext uri="{FF2B5EF4-FFF2-40B4-BE49-F238E27FC236}">
              <a16:creationId xmlns:a16="http://schemas.microsoft.com/office/drawing/2014/main" id="{00000000-0008-0000-1300-00000B000000}"/>
            </a:ext>
          </a:extLst>
        </xdr:cNvPr>
        <xdr:cNvSpPr txBox="1"/>
      </xdr:nvSpPr>
      <xdr:spPr>
        <a:xfrm>
          <a:off x="7652657" y="783771"/>
          <a:ext cx="3352800" cy="328476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page will allow you to calculate the parameter values for your required capacity calculation.</a:t>
          </a:r>
        </a:p>
        <a:p>
          <a:endParaRPr lang="en-GB" sz="1100"/>
        </a:p>
        <a:p>
          <a:r>
            <a:rPr lang="en-GB" sz="1100"/>
            <a:t>The parameters will be estimated from your activity outcomes - you will need to extract these from your patient records.</a:t>
          </a:r>
        </a:p>
        <a:p>
          <a:endParaRPr lang="en-GB" sz="1100"/>
        </a:p>
        <a:p>
          <a:r>
            <a:rPr lang="en-GB" sz="1100"/>
            <a:t>You can either estimate the parameter values directly, or enter the volume of related activity outcomes - the sheet will then calculate the % values, using the baseline you selected in the 'SPC' tab as the denominator.</a:t>
          </a:r>
        </a:p>
        <a:p>
          <a:endParaRPr lang="en-GB" sz="1100"/>
        </a:p>
        <a:p>
          <a:r>
            <a:rPr lang="en-GB" sz="1100"/>
            <a:t>If you have multiple modalities where each modality may take a different time to treat a patient, and your activity is recorded on a per-patient basis, then you may want to use the patient-to-activity outcome calculator.</a:t>
          </a:r>
        </a:p>
        <a:p>
          <a:endParaRPr lang="en-GB" sz="1100" baseline="0"/>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6</xdr:col>
      <xdr:colOff>561975</xdr:colOff>
      <xdr:row>1</xdr:row>
      <xdr:rowOff>76200</xdr:rowOff>
    </xdr:from>
    <xdr:to>
      <xdr:col>7</xdr:col>
      <xdr:colOff>0</xdr:colOff>
      <xdr:row>3</xdr:row>
      <xdr:rowOff>0</xdr:rowOff>
    </xdr:to>
    <xdr:pic>
      <xdr:nvPicPr>
        <xdr:cNvPr id="2" name="Picture 1">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58025" y="26670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571500</xdr:colOff>
      <xdr:row>11</xdr:row>
      <xdr:rowOff>0</xdr:rowOff>
    </xdr:from>
    <xdr:to>
      <xdr:col>13</xdr:col>
      <xdr:colOff>0</xdr:colOff>
      <xdr:row>29</xdr:row>
      <xdr:rowOff>28575</xdr:rowOff>
    </xdr:to>
    <xdr:graphicFrame macro="">
      <xdr:nvGraphicFramePr>
        <xdr:cNvPr id="2" name="Chart 1">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12</xdr:col>
      <xdr:colOff>419100</xdr:colOff>
      <xdr:row>3</xdr:row>
      <xdr:rowOff>85725</xdr:rowOff>
    </xdr:from>
    <xdr:to>
      <xdr:col>12</xdr:col>
      <xdr:colOff>666750</xdr:colOff>
      <xdr:row>4</xdr:row>
      <xdr:rowOff>190500</xdr:rowOff>
    </xdr:to>
    <xdr:pic macro="[0]!Sheet9.Pathway_help1_click">
      <xdr:nvPicPr>
        <xdr:cNvPr id="3" name="Picture 2">
          <a:extLst>
            <a:ext uri="{FF2B5EF4-FFF2-40B4-BE49-F238E27FC236}">
              <a16:creationId xmlns:a16="http://schemas.microsoft.com/office/drawing/2014/main" id="{00000000-0008-0000-16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48700" y="6381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66675</xdr:colOff>
      <xdr:row>5</xdr:row>
      <xdr:rowOff>161926</xdr:rowOff>
    </xdr:from>
    <xdr:to>
      <xdr:col>15</xdr:col>
      <xdr:colOff>57150</xdr:colOff>
      <xdr:row>18</xdr:row>
      <xdr:rowOff>19051</xdr:rowOff>
    </xdr:to>
    <xdr:sp macro="" textlink="">
      <xdr:nvSpPr>
        <xdr:cNvPr id="4" name="Pathway Help 1" hidden="1">
          <a:extLst>
            <a:ext uri="{FF2B5EF4-FFF2-40B4-BE49-F238E27FC236}">
              <a16:creationId xmlns:a16="http://schemas.microsoft.com/office/drawing/2014/main" id="{00000000-0008-0000-1600-000004000000}"/>
            </a:ext>
          </a:extLst>
        </xdr:cNvPr>
        <xdr:cNvSpPr txBox="1"/>
      </xdr:nvSpPr>
      <xdr:spPr>
        <a:xfrm>
          <a:off x="5553075" y="1276351"/>
          <a:ext cx="4791075" cy="2209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Enter the time</a:t>
          </a:r>
          <a:r>
            <a:rPr lang="en-GB" sz="1100" baseline="0"/>
            <a:t> in which patients should be seen on this page.</a:t>
          </a:r>
        </a:p>
        <a:p>
          <a:endParaRPr lang="en-GB" sz="1100" baseline="0"/>
        </a:p>
        <a:p>
          <a:r>
            <a:rPr lang="en-GB" sz="1100" baseline="0"/>
            <a:t>The labels for the urgency profiles can be customised on the 'Setup' sheet - please ensure that any data entered on the 'Demand' tab corresponds to the correct urgency profile.</a:t>
          </a:r>
        </a:p>
        <a:p>
          <a:endParaRPr lang="en-GB" sz="1100" baseline="0"/>
        </a:p>
        <a:p>
          <a:r>
            <a:rPr lang="en-GB" sz="1100" baseline="0"/>
            <a:t>The model will automatically calculate the proportion based on the data you have entered - note that this will be based on the baseline period you have selceted. </a:t>
          </a:r>
        </a:p>
        <a:p>
          <a:endParaRPr lang="en-GB" sz="1100" baseline="0"/>
        </a:p>
        <a:p>
          <a:r>
            <a:rPr lang="en-GB" sz="1100" baseline="0"/>
            <a:t>The data entered here will be used to calculate the estimated sustainable waiting list size.</a:t>
          </a:r>
          <a:endParaRPr lang="en-GB" sz="1100"/>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5</xdr:col>
      <xdr:colOff>0</xdr:colOff>
      <xdr:row>5</xdr:row>
      <xdr:rowOff>0</xdr:rowOff>
    </xdr:from>
    <xdr:to>
      <xdr:col>13</xdr:col>
      <xdr:colOff>104140</xdr:colOff>
      <xdr:row>22</xdr:row>
      <xdr:rowOff>0</xdr:rowOff>
    </xdr:to>
    <xdr:graphicFrame macro="">
      <xdr:nvGraphicFramePr>
        <xdr:cNvPr id="4" name="Req_Cap_Overall" hidden="1">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5</xdr:col>
      <xdr:colOff>257175</xdr:colOff>
      <xdr:row>38</xdr:row>
      <xdr:rowOff>171450</xdr:rowOff>
    </xdr:from>
    <xdr:to>
      <xdr:col>13</xdr:col>
      <xdr:colOff>353060</xdr:colOff>
      <xdr:row>54</xdr:row>
      <xdr:rowOff>10160</xdr:rowOff>
    </xdr:to>
    <xdr:graphicFrame macro="">
      <xdr:nvGraphicFramePr>
        <xdr:cNvPr id="5" name="WL_Chart">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3</xdr:col>
      <xdr:colOff>104775</xdr:colOff>
      <xdr:row>4</xdr:row>
      <xdr:rowOff>142876</xdr:rowOff>
    </xdr:from>
    <xdr:to>
      <xdr:col>19</xdr:col>
      <xdr:colOff>370840</xdr:colOff>
      <xdr:row>22</xdr:row>
      <xdr:rowOff>142240</xdr:rowOff>
    </xdr:to>
    <xdr:graphicFrame macro="">
      <xdr:nvGraphicFramePr>
        <xdr:cNvPr id="6" name="Req_Cap_Time">
          <a:extLst>
            <a:ext uri="{FF2B5EF4-FFF2-40B4-BE49-F238E27FC236}">
              <a16:creationId xmlns:a16="http://schemas.microsoft.com/office/drawing/2014/main" id="{00000000-0008-0000-1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xdr:col>
      <xdr:colOff>19050</xdr:colOff>
      <xdr:row>1</xdr:row>
      <xdr:rowOff>28575</xdr:rowOff>
    </xdr:from>
    <xdr:to>
      <xdr:col>1</xdr:col>
      <xdr:colOff>266700</xdr:colOff>
      <xdr:row>2</xdr:row>
      <xdr:rowOff>142240</xdr:rowOff>
    </xdr:to>
    <xdr:pic macro="[0]!Sheet17.Summary_help1_click">
      <xdr:nvPicPr>
        <xdr:cNvPr id="7" name="Picture 6">
          <a:extLst>
            <a:ext uri="{FF2B5EF4-FFF2-40B4-BE49-F238E27FC236}">
              <a16:creationId xmlns:a16="http://schemas.microsoft.com/office/drawing/2014/main" id="{00000000-0008-0000-17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4300" y="2190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304800</xdr:colOff>
      <xdr:row>2</xdr:row>
      <xdr:rowOff>57150</xdr:rowOff>
    </xdr:from>
    <xdr:to>
      <xdr:col>10</xdr:col>
      <xdr:colOff>438150</xdr:colOff>
      <xdr:row>21</xdr:row>
      <xdr:rowOff>19050</xdr:rowOff>
    </xdr:to>
    <xdr:sp macro="" textlink="">
      <xdr:nvSpPr>
        <xdr:cNvPr id="2" name="Summary Help 1" hidden="1">
          <a:extLst>
            <a:ext uri="{FF2B5EF4-FFF2-40B4-BE49-F238E27FC236}">
              <a16:creationId xmlns:a16="http://schemas.microsoft.com/office/drawing/2014/main" id="{00000000-0008-0000-1700-000002000000}"/>
            </a:ext>
          </a:extLst>
        </xdr:cNvPr>
        <xdr:cNvSpPr txBox="1"/>
      </xdr:nvSpPr>
      <xdr:spPr>
        <a:xfrm>
          <a:off x="2028825" y="428625"/>
          <a:ext cx="4762500" cy="3438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sheet provides</a:t>
          </a:r>
          <a:r>
            <a:rPr lang="en-GB" sz="1100" baseline="0"/>
            <a:t> you with a summary position of two key metrics of demand and capacity:</a:t>
          </a:r>
        </a:p>
        <a:p>
          <a:endParaRPr lang="en-GB" sz="1100" baseline="0"/>
        </a:p>
        <a:p>
          <a:r>
            <a:rPr lang="en-GB" sz="1100" baseline="0"/>
            <a:t>- the balance of required vs available capacity</a:t>
          </a:r>
        </a:p>
        <a:p>
          <a:endParaRPr lang="en-GB" sz="1100" baseline="0"/>
        </a:p>
        <a:p>
          <a:r>
            <a:rPr lang="en-GB" sz="1100" baseline="0"/>
            <a:t>- your current waiting list size vs the calculated sustainable size</a:t>
          </a:r>
        </a:p>
        <a:p>
          <a:endParaRPr lang="en-GB" sz="1100" baseline="0"/>
        </a:p>
        <a:p>
          <a:endParaRPr lang="en-GB" sz="1100" baseline="0"/>
        </a:p>
        <a:p>
          <a:r>
            <a:rPr lang="en-GB" sz="1100" baseline="0"/>
            <a:t>The balance of required vs available capacity provides you with the long term position - if there is a deficit, your waiting list size is likely to increase .</a:t>
          </a:r>
        </a:p>
        <a:p>
          <a:endParaRPr lang="en-GB" sz="1100" baseline="0"/>
        </a:p>
        <a:p>
          <a:r>
            <a:rPr lang="en-GB" sz="1100" baseline="0"/>
            <a:t>Your waiting list position informs you if you have a backlog that needs clearing in order to ensure you are seeing patients in a timely manner.</a:t>
          </a:r>
        </a:p>
        <a:p>
          <a:endParaRPr lang="en-GB" sz="1100" baseline="0"/>
        </a:p>
        <a:p>
          <a:r>
            <a:rPr lang="en-GB" sz="1100" baseline="0"/>
            <a:t>You can choose to view either the current waiting list position or a waiting list trajectory using the </a:t>
          </a:r>
          <a:r>
            <a:rPr lang="en-GB" sz="1100" b="1" baseline="0"/>
            <a:t>Breakdown</a:t>
          </a:r>
          <a:r>
            <a:rPr lang="en-GB" sz="1100" b="0" baseline="0"/>
            <a:t> drop-down selection.</a:t>
          </a:r>
          <a:endParaRPr lang="en-GB" sz="1100" baseline="0"/>
        </a:p>
        <a:p>
          <a:endParaRPr lang="en-GB" sz="1100" baseline="0"/>
        </a:p>
        <a:p>
          <a:endParaRPr lang="en-GB" sz="1100" baseline="0"/>
        </a:p>
        <a:p>
          <a:r>
            <a:rPr lang="en-GB" sz="1100" baseline="0"/>
            <a:t>You can also look at your required vs available capacity by time by selecting 'By time' as the breakdown option in the options below.</a:t>
          </a:r>
        </a:p>
      </xdr:txBody>
    </xdr:sp>
    <xdr:clientData/>
  </xdr:twoCellAnchor>
  <xdr:twoCellAnchor>
    <xdr:from>
      <xdr:col>5</xdr:col>
      <xdr:colOff>95250</xdr:colOff>
      <xdr:row>38</xdr:row>
      <xdr:rowOff>161925</xdr:rowOff>
    </xdr:from>
    <xdr:to>
      <xdr:col>21</xdr:col>
      <xdr:colOff>0</xdr:colOff>
      <xdr:row>59</xdr:row>
      <xdr:rowOff>114300</xdr:rowOff>
    </xdr:to>
    <xdr:graphicFrame macro="">
      <xdr:nvGraphicFramePr>
        <xdr:cNvPr id="8" name="WL_Prediction" hidden="1">
          <a:extLst>
            <a:ext uri="{FF2B5EF4-FFF2-40B4-BE49-F238E27FC236}">
              <a16:creationId xmlns:a16="http://schemas.microsoft.com/office/drawing/2014/main" id="{00000000-0008-0000-1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xdr:from>
          <xdr:col>2</xdr:col>
          <xdr:colOff>723900</xdr:colOff>
          <xdr:row>43</xdr:row>
          <xdr:rowOff>144780</xdr:rowOff>
        </xdr:from>
        <xdr:to>
          <xdr:col>4</xdr:col>
          <xdr:colOff>274320</xdr:colOff>
          <xdr:row>45</xdr:row>
          <xdr:rowOff>22860</xdr:rowOff>
        </xdr:to>
        <xdr:sp macro="" textlink="">
          <xdr:nvSpPr>
            <xdr:cNvPr id="172048" name="WL_Sim_Button" hidden="1">
              <a:extLst>
                <a:ext uri="{63B3BB69-23CF-44E3-9099-C40C66FF867C}">
                  <a14:compatExt spid="_x0000_s172048"/>
                </a:ext>
                <a:ext uri="{FF2B5EF4-FFF2-40B4-BE49-F238E27FC236}">
                  <a16:creationId xmlns:a16="http://schemas.microsoft.com/office/drawing/2014/main" id="{00000000-0008-0000-1700-000010A0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Run WL Sim</a:t>
              </a:r>
            </a:p>
          </xdr:txBody>
        </xdr:sp>
        <xdr:clientData fPrintsWithSheet="0"/>
      </xdr:twoCellAnchor>
    </mc:Choice>
    <mc:Fallback/>
  </mc:AlternateContent>
  <xdr:twoCellAnchor editAs="oneCell">
    <xdr:from>
      <xdr:col>4</xdr:col>
      <xdr:colOff>358140</xdr:colOff>
      <xdr:row>40</xdr:row>
      <xdr:rowOff>97155</xdr:rowOff>
    </xdr:from>
    <xdr:to>
      <xdr:col>4</xdr:col>
      <xdr:colOff>599440</xdr:colOff>
      <xdr:row>42</xdr:row>
      <xdr:rowOff>48260</xdr:rowOff>
    </xdr:to>
    <xdr:pic macro="[0]!Sheet17.Summary_help2_click">
      <xdr:nvPicPr>
        <xdr:cNvPr id="9" name="Picture 8" hidden="1">
          <a:extLst>
            <a:ext uri="{FF2B5EF4-FFF2-40B4-BE49-F238E27FC236}">
              <a16:creationId xmlns:a16="http://schemas.microsoft.com/office/drawing/2014/main" id="{00000000-0008-0000-1700-000009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223260" y="5530215"/>
          <a:ext cx="247650" cy="295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99060</xdr:colOff>
      <xdr:row>40</xdr:row>
      <xdr:rowOff>121920</xdr:rowOff>
    </xdr:from>
    <xdr:to>
      <xdr:col>13</xdr:col>
      <xdr:colOff>72390</xdr:colOff>
      <xdr:row>54</xdr:row>
      <xdr:rowOff>53340</xdr:rowOff>
    </xdr:to>
    <xdr:sp macro="" textlink="">
      <xdr:nvSpPr>
        <xdr:cNvPr id="11" name="Summary Help 2" hidden="1">
          <a:extLst>
            <a:ext uri="{FF2B5EF4-FFF2-40B4-BE49-F238E27FC236}">
              <a16:creationId xmlns:a16="http://schemas.microsoft.com/office/drawing/2014/main" id="{00000000-0008-0000-1700-00000B000000}"/>
            </a:ext>
          </a:extLst>
        </xdr:cNvPr>
        <xdr:cNvSpPr txBox="1"/>
      </xdr:nvSpPr>
      <xdr:spPr>
        <a:xfrm>
          <a:off x="3764280" y="5554980"/>
          <a:ext cx="4743450" cy="23850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solidFill>
                <a:schemeClr val="dk1"/>
              </a:solidFill>
              <a:effectLst/>
              <a:latin typeface="+mn-lt"/>
              <a:ea typeface="+mn-ea"/>
              <a:cs typeface="+mn-cs"/>
            </a:rPr>
            <a:t>The</a:t>
          </a:r>
          <a:r>
            <a:rPr lang="en-GB" sz="1100" baseline="0">
              <a:solidFill>
                <a:schemeClr val="dk1"/>
              </a:solidFill>
              <a:effectLst/>
              <a:latin typeface="+mn-lt"/>
              <a:ea typeface="+mn-ea"/>
              <a:cs typeface="+mn-cs"/>
            </a:rPr>
            <a:t> waiting list simulation</a:t>
          </a:r>
          <a:r>
            <a:rPr lang="en-GB" sz="1100">
              <a:solidFill>
                <a:schemeClr val="dk1"/>
              </a:solidFill>
              <a:effectLst/>
              <a:latin typeface="+mn-lt"/>
              <a:ea typeface="+mn-ea"/>
              <a:cs typeface="+mn-cs"/>
            </a:rPr>
            <a:t> allows you to account for any unplanned reduction in capacity:</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 Capacity adjustment rate refers to the likelihood of capacity being affected</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 Capacity impact refers to the magnitude of the reduction in capacity</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For example, a capacity adjustment rate of 5% and a capacity impact of 10%, means 5% of the time, there would be a 10% reduction in capacity (eg due to sickness).</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Once you</a:t>
          </a:r>
          <a:r>
            <a:rPr lang="en-GB" sz="1100" baseline="0">
              <a:solidFill>
                <a:schemeClr val="dk1"/>
              </a:solidFill>
              <a:effectLst/>
              <a:latin typeface="+mn-lt"/>
              <a:ea typeface="+mn-ea"/>
              <a:cs typeface="+mn-cs"/>
            </a:rPr>
            <a:t> have entered the capacity adjustment rate and impact, click "Run WL Sim" to run the waiting list simulation.</a:t>
          </a:r>
          <a:endParaRPr lang="en-GB" sz="1100">
            <a:solidFill>
              <a:schemeClr val="dk1"/>
            </a:solidFill>
            <a:effectLst/>
            <a:latin typeface="+mn-lt"/>
            <a:ea typeface="+mn-ea"/>
            <a:cs typeface="+mn-cs"/>
          </a:endParaRPr>
        </a:p>
      </xdr:txBody>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4</xdr:col>
      <xdr:colOff>251460</xdr:colOff>
      <xdr:row>0</xdr:row>
      <xdr:rowOff>0</xdr:rowOff>
    </xdr:from>
    <xdr:to>
      <xdr:col>57</xdr:col>
      <xdr:colOff>400043</xdr:colOff>
      <xdr:row>23</xdr:row>
      <xdr:rowOff>5715</xdr:rowOff>
    </xdr:to>
    <xdr:graphicFrame macro="">
      <xdr:nvGraphicFramePr>
        <xdr:cNvPr id="2" name="Chart 1">
          <a:extLst>
            <a:ext uri="{FF2B5EF4-FFF2-40B4-BE49-F238E27FC236}">
              <a16:creationId xmlns:a16="http://schemas.microsoft.com/office/drawing/2014/main" id="{00000000-0008-0000-1B00-00000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914400</xdr:colOff>
      <xdr:row>0</xdr:row>
      <xdr:rowOff>161925</xdr:rowOff>
    </xdr:from>
    <xdr:to>
      <xdr:col>1</xdr:col>
      <xdr:colOff>1177290</xdr:colOff>
      <xdr:row>2</xdr:row>
      <xdr:rowOff>76200</xdr:rowOff>
    </xdr:to>
    <xdr:pic macro="[0]!Sheet26.Planning_help1_click">
      <xdr:nvPicPr>
        <xdr:cNvPr id="5" name="Picture 4">
          <a:extLst>
            <a:ext uri="{FF2B5EF4-FFF2-40B4-BE49-F238E27FC236}">
              <a16:creationId xmlns:a16="http://schemas.microsoft.com/office/drawing/2014/main" id="{00000000-0008-0000-1B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33450" y="16192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714375</xdr:colOff>
      <xdr:row>2</xdr:row>
      <xdr:rowOff>57150</xdr:rowOff>
    </xdr:from>
    <xdr:to>
      <xdr:col>27</xdr:col>
      <xdr:colOff>104775</xdr:colOff>
      <xdr:row>11</xdr:row>
      <xdr:rowOff>133350</xdr:rowOff>
    </xdr:to>
    <xdr:sp macro="" textlink="">
      <xdr:nvSpPr>
        <xdr:cNvPr id="3" name="Planning Help 1" hidden="1">
          <a:extLst>
            <a:ext uri="{FF2B5EF4-FFF2-40B4-BE49-F238E27FC236}">
              <a16:creationId xmlns:a16="http://schemas.microsoft.com/office/drawing/2014/main" id="{00000000-0008-0000-1B00-000003000000}"/>
            </a:ext>
          </a:extLst>
        </xdr:cNvPr>
        <xdr:cNvSpPr txBox="1"/>
      </xdr:nvSpPr>
      <xdr:spPr>
        <a:xfrm>
          <a:off x="3048000" y="428625"/>
          <a:ext cx="4305300" cy="17049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a:t>
          </a:r>
          <a:r>
            <a:rPr lang="en-GB" sz="1100" baseline="0"/>
            <a:t> this sheet to help you plan short term adjustments to your capacity. </a:t>
          </a:r>
        </a:p>
        <a:p>
          <a:endParaRPr lang="en-GB" sz="1100" baseline="0"/>
        </a:p>
        <a:p>
          <a:r>
            <a:rPr lang="en-GB" sz="1100" baseline="0"/>
            <a:t>Keeping the available capacity (dark and light green lines) within the bounds of the required capacity (blue shaded areas) should enable you to keep pace with demand, factored for variation.</a:t>
          </a:r>
        </a:p>
        <a:p>
          <a:endParaRPr lang="en-GB" sz="1100" baseline="0"/>
        </a:p>
        <a:p>
          <a:r>
            <a:rPr lang="en-GB" sz="1100" baseline="0"/>
            <a:t>In order to reduce waiting list backlogs, you will need to keep your available capacity consistently above the required capacity range. </a:t>
          </a:r>
        </a:p>
        <a:p>
          <a:endParaRPr lang="en-GB" sz="1100" baseline="0"/>
        </a:p>
        <a:p>
          <a:endParaRPr lang="en-GB" sz="1100" baseline="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GBBULVD\BULHOME19\KKhunpha\Data\Desktop\draft%20model%20development\Demand%20module\Demand%20module%20interface%200.4b%20blank.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rg lookup (hide)"/>
      <sheetName val="Control sheet (hide)"/>
      <sheetName val="Input backing sheet (hide)"/>
      <sheetName val="Baseline calcluations (hide)"/>
      <sheetName val="Data input"/>
      <sheetName val="Drivers check"/>
      <sheetName val="Baseline selection"/>
      <sheetName val="Forecasting element"/>
      <sheetName val="Forecasting control (hide)"/>
      <sheetName val="Forecasting STM"/>
      <sheetName val="Forecasting S1M"/>
      <sheetName val="Forecasting S2M"/>
      <sheetName val="Forecasting S3M"/>
      <sheetName val="Forecasting S4M"/>
      <sheetName val="Forecasting S5M"/>
      <sheetName val="Forecasting STA"/>
      <sheetName val="Forecasting S1A"/>
      <sheetName val="Forecasting S2A"/>
      <sheetName val="Forecasting S3A"/>
      <sheetName val="Forecasting S4A"/>
      <sheetName val="Forecasting S5A"/>
      <sheetName val="test1"/>
      <sheetName val="Data for use in models"/>
    </sheetNames>
    <sheetDataSet>
      <sheetData sheetId="0" refreshError="1"/>
      <sheetData sheetId="1">
        <row r="2">
          <cell r="D2">
            <v>52</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omments" Target="../comments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vmlDrawing" Target="../drawings/vmlDrawing6.vml"/><Relationship Id="rId7" Type="http://schemas.openxmlformats.org/officeDocument/2006/relationships/ctrlProp" Target="../ctrlProps/ctrlProp7.xml"/><Relationship Id="rId12" Type="http://schemas.openxmlformats.org/officeDocument/2006/relationships/comments" Target="../comments5.xml"/><Relationship Id="rId2" Type="http://schemas.openxmlformats.org/officeDocument/2006/relationships/drawing" Target="../drawings/drawing6.xml"/><Relationship Id="rId1" Type="http://schemas.openxmlformats.org/officeDocument/2006/relationships/printerSettings" Target="../printerSettings/printerSettings8.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12.bin"/><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18.xml"/><Relationship Id="rId3" Type="http://schemas.openxmlformats.org/officeDocument/2006/relationships/vmlDrawing" Target="../drawings/vmlDrawing8.vml"/><Relationship Id="rId7" Type="http://schemas.openxmlformats.org/officeDocument/2006/relationships/ctrlProp" Target="../ctrlProps/ctrlProp17.xml"/><Relationship Id="rId2" Type="http://schemas.openxmlformats.org/officeDocument/2006/relationships/drawing" Target="../drawings/drawing9.xml"/><Relationship Id="rId1" Type="http://schemas.openxmlformats.org/officeDocument/2006/relationships/printerSettings" Target="../printerSettings/printerSettings13.bin"/><Relationship Id="rId6" Type="http://schemas.openxmlformats.org/officeDocument/2006/relationships/ctrlProp" Target="../ctrlProps/ctrlProp16.xml"/><Relationship Id="rId11" Type="http://schemas.openxmlformats.org/officeDocument/2006/relationships/comments" Target="../comments6.xml"/><Relationship Id="rId5" Type="http://schemas.openxmlformats.org/officeDocument/2006/relationships/ctrlProp" Target="../ctrlProps/ctrlProp15.xml"/><Relationship Id="rId10" Type="http://schemas.openxmlformats.org/officeDocument/2006/relationships/ctrlProp" Target="../ctrlProps/ctrlProp20.xml"/><Relationship Id="rId4" Type="http://schemas.openxmlformats.org/officeDocument/2006/relationships/ctrlProp" Target="../ctrlProps/ctrlProp14.xml"/><Relationship Id="rId9" Type="http://schemas.openxmlformats.org/officeDocument/2006/relationships/ctrlProp" Target="../ctrlProps/ctrlProp19.xml"/></Relationships>
</file>

<file path=xl/worksheets/_rels/sheet15.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9.vml"/></Relationships>
</file>

<file path=xl/worksheets/_rels/sheet16.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0.v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0.xml"/><Relationship Id="rId1" Type="http://schemas.openxmlformats.org/officeDocument/2006/relationships/printerSettings" Target="../printerSettings/printerSettings15.bin"/><Relationship Id="rId6" Type="http://schemas.openxmlformats.org/officeDocument/2006/relationships/comments" Target="../comments9.xml"/><Relationship Id="rId5" Type="http://schemas.openxmlformats.org/officeDocument/2006/relationships/ctrlProp" Target="../ctrlProps/ctrlProp22.xml"/><Relationship Id="rId4" Type="http://schemas.openxmlformats.org/officeDocument/2006/relationships/ctrlProp" Target="../ctrlProps/ctrlProp21.x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2.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3.v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16.bin"/><Relationship Id="rId6" Type="http://schemas.openxmlformats.org/officeDocument/2006/relationships/comments" Target="../comments12.xml"/><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17.bin"/><Relationship Id="rId4" Type="http://schemas.openxmlformats.org/officeDocument/2006/relationships/comments" Target="../comments13.xml"/></Relationships>
</file>

<file path=xl/worksheets/_rels/sheet22.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6.vml"/><Relationship Id="rId1" Type="http://schemas.openxmlformats.org/officeDocument/2006/relationships/printerSettings" Target="../printerSettings/printerSettings18.bin"/></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3.xml"/><Relationship Id="rId1" Type="http://schemas.openxmlformats.org/officeDocument/2006/relationships/printerSettings" Target="../printerSettings/printerSettings19.bin"/><Relationship Id="rId4" Type="http://schemas.openxmlformats.org/officeDocument/2006/relationships/comments" Target="../comments15.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4.xml"/><Relationship Id="rId1" Type="http://schemas.openxmlformats.org/officeDocument/2006/relationships/printerSettings" Target="../printerSettings/printerSettings20.bin"/><Relationship Id="rId5" Type="http://schemas.openxmlformats.org/officeDocument/2006/relationships/comments" Target="../comments16.xml"/><Relationship Id="rId4" Type="http://schemas.openxmlformats.org/officeDocument/2006/relationships/ctrlProp" Target="../ctrlProps/ctrlProp25.xml"/></Relationships>
</file>

<file path=xl/worksheets/_rels/sheet26.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9.vml"/><Relationship Id="rId1" Type="http://schemas.openxmlformats.org/officeDocument/2006/relationships/printerSettings" Target="../printerSettings/printerSettings21.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5.xml"/><Relationship Id="rId1" Type="http://schemas.openxmlformats.org/officeDocument/2006/relationships/printerSettings" Target="../printerSettings/printerSettings23.bin"/><Relationship Id="rId4" Type="http://schemas.openxmlformats.org/officeDocument/2006/relationships/comments" Target="../comments18.xml"/></Relationships>
</file>

<file path=xl/worksheets/_rels/sheet29.xml.rels><?xml version="1.0" encoding="UTF-8" standalone="yes"?>
<Relationships xmlns="http://schemas.openxmlformats.org/package/2006/relationships"><Relationship Id="rId2" Type="http://schemas.openxmlformats.org/officeDocument/2006/relationships/comments" Target="../comments19.xml"/><Relationship Id="rId1" Type="http://schemas.openxmlformats.org/officeDocument/2006/relationships/vmlDrawing" Target="../drawings/vmlDrawing2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E34"/>
  <sheetViews>
    <sheetView showGridLines="0" workbookViewId="0">
      <selection activeCell="D4" sqref="D4"/>
    </sheetView>
  </sheetViews>
  <sheetFormatPr defaultRowHeight="13.8" x14ac:dyDescent="0.25"/>
  <cols>
    <col min="1" max="1" width="9.59765625" bestFit="1" customWidth="1"/>
    <col min="2" max="2" width="9.8984375" bestFit="1" customWidth="1"/>
    <col min="3" max="3" width="20.09765625" customWidth="1"/>
    <col min="4" max="4" width="74.3984375" customWidth="1"/>
    <col min="5" max="5" width="35.3984375" customWidth="1"/>
  </cols>
  <sheetData>
    <row r="2" spans="1:5" x14ac:dyDescent="0.25">
      <c r="A2" s="286" t="s">
        <v>0</v>
      </c>
      <c r="B2" s="286" t="s">
        <v>1</v>
      </c>
      <c r="C2" s="286" t="s">
        <v>2</v>
      </c>
      <c r="D2" s="286" t="s">
        <v>3</v>
      </c>
      <c r="E2" s="286" t="s">
        <v>11</v>
      </c>
    </row>
    <row r="3" spans="1:5" s="67" customFormat="1" ht="69" x14ac:dyDescent="0.25">
      <c r="A3" s="290" t="s">
        <v>1244</v>
      </c>
      <c r="B3" s="291">
        <v>43997</v>
      </c>
      <c r="C3" s="290" t="s">
        <v>5</v>
      </c>
      <c r="D3" s="293" t="s">
        <v>1247</v>
      </c>
      <c r="E3" s="290"/>
    </row>
    <row r="4" spans="1:5" s="67" customFormat="1" ht="151.80000000000001" x14ac:dyDescent="0.25">
      <c r="A4" s="290">
        <v>3.4</v>
      </c>
      <c r="B4" s="291">
        <v>43993</v>
      </c>
      <c r="C4" s="290" t="s">
        <v>5</v>
      </c>
      <c r="D4" s="293" t="s">
        <v>1242</v>
      </c>
      <c r="E4" s="293"/>
    </row>
    <row r="5" spans="1:5" s="67" customFormat="1" ht="138" x14ac:dyDescent="0.25">
      <c r="A5" s="290">
        <v>3.3</v>
      </c>
      <c r="B5" s="291">
        <v>43980</v>
      </c>
      <c r="C5" s="290" t="s">
        <v>5</v>
      </c>
      <c r="D5" s="293" t="s">
        <v>1237</v>
      </c>
      <c r="E5" s="290"/>
    </row>
    <row r="6" spans="1:5" s="67" customFormat="1" ht="41.4" x14ac:dyDescent="0.25">
      <c r="A6" s="351">
        <v>3.2</v>
      </c>
      <c r="B6" s="291">
        <v>43965</v>
      </c>
      <c r="C6" s="290" t="s">
        <v>5</v>
      </c>
      <c r="D6" s="293" t="s">
        <v>1220</v>
      </c>
      <c r="E6" s="293"/>
    </row>
    <row r="7" spans="1:5" s="67" customFormat="1" ht="41.4" x14ac:dyDescent="0.25">
      <c r="A7" s="351">
        <v>3.1</v>
      </c>
      <c r="B7" s="291">
        <v>43964</v>
      </c>
      <c r="C7" s="290" t="s">
        <v>5</v>
      </c>
      <c r="D7" s="293" t="s">
        <v>1215</v>
      </c>
      <c r="E7" s="293"/>
    </row>
    <row r="8" spans="1:5" s="67" customFormat="1" ht="96.6" x14ac:dyDescent="0.25">
      <c r="A8" s="351">
        <v>3</v>
      </c>
      <c r="B8" s="291">
        <v>43963</v>
      </c>
      <c r="C8" s="290" t="s">
        <v>5</v>
      </c>
      <c r="D8" s="293" t="s">
        <v>1209</v>
      </c>
      <c r="E8" s="293" t="s">
        <v>1210</v>
      </c>
    </row>
    <row r="9" spans="1:5" s="67" customFormat="1" ht="69" x14ac:dyDescent="0.25">
      <c r="A9" s="290">
        <v>2.13</v>
      </c>
      <c r="B9" s="291">
        <v>43903</v>
      </c>
      <c r="C9" s="290" t="s">
        <v>5</v>
      </c>
      <c r="D9" s="293" t="s">
        <v>1180</v>
      </c>
      <c r="E9" s="286"/>
    </row>
    <row r="10" spans="1:5" s="67" customFormat="1" ht="27.6" x14ac:dyDescent="0.25">
      <c r="A10" s="290">
        <v>2.12</v>
      </c>
      <c r="B10" s="291">
        <v>43887</v>
      </c>
      <c r="C10" s="290" t="s">
        <v>276</v>
      </c>
      <c r="D10" s="293" t="s">
        <v>1181</v>
      </c>
      <c r="E10" s="286"/>
    </row>
    <row r="11" spans="1:5" s="67" customFormat="1" ht="55.2" x14ac:dyDescent="0.25">
      <c r="A11" s="290">
        <v>2.11</v>
      </c>
      <c r="B11" s="291">
        <v>43846</v>
      </c>
      <c r="C11" s="293" t="s">
        <v>1171</v>
      </c>
      <c r="D11" s="293" t="s">
        <v>1179</v>
      </c>
      <c r="E11" s="293" t="s">
        <v>1177</v>
      </c>
    </row>
    <row r="12" spans="1:5" s="67" customFormat="1" ht="41.4" x14ac:dyDescent="0.25">
      <c r="A12" s="332">
        <v>2.1</v>
      </c>
      <c r="B12" s="291">
        <v>43756</v>
      </c>
      <c r="C12" s="290" t="s">
        <v>276</v>
      </c>
      <c r="D12" s="293" t="s">
        <v>1175</v>
      </c>
      <c r="E12" s="286"/>
    </row>
    <row r="13" spans="1:5" s="67" customFormat="1" ht="55.2" x14ac:dyDescent="0.25">
      <c r="A13" s="290">
        <v>2.02</v>
      </c>
      <c r="B13" s="291">
        <v>43718</v>
      </c>
      <c r="C13" s="290" t="s">
        <v>5</v>
      </c>
      <c r="D13" s="293" t="s">
        <v>1174</v>
      </c>
      <c r="E13" s="286"/>
    </row>
    <row r="14" spans="1:5" s="67" customFormat="1" ht="55.2" x14ac:dyDescent="0.25">
      <c r="A14" s="290">
        <v>2.0099999999999998</v>
      </c>
      <c r="B14" s="291">
        <v>43693</v>
      </c>
      <c r="C14" s="290" t="s">
        <v>1112</v>
      </c>
      <c r="D14" s="293" t="s">
        <v>1173</v>
      </c>
      <c r="E14" s="286"/>
    </row>
    <row r="15" spans="1:5" s="67" customFormat="1" ht="96.6" x14ac:dyDescent="0.25">
      <c r="A15" s="328">
        <v>2</v>
      </c>
      <c r="B15" s="316">
        <v>43665</v>
      </c>
      <c r="C15" s="293" t="s">
        <v>1171</v>
      </c>
      <c r="D15" s="293" t="s">
        <v>1172</v>
      </c>
      <c r="E15" s="286"/>
    </row>
    <row r="16" spans="1:5" s="67" customFormat="1" ht="248.4" x14ac:dyDescent="0.25">
      <c r="A16" s="286">
        <v>1.05</v>
      </c>
      <c r="B16" s="316">
        <v>43570</v>
      </c>
      <c r="C16" s="293" t="s">
        <v>1170</v>
      </c>
      <c r="D16" s="293" t="s">
        <v>1165</v>
      </c>
      <c r="E16" s="318" t="s">
        <v>1164</v>
      </c>
    </row>
    <row r="17" spans="1:5" s="67" customFormat="1" ht="82.8" x14ac:dyDescent="0.25">
      <c r="A17" s="290">
        <v>1.04</v>
      </c>
      <c r="B17" s="291">
        <v>43516</v>
      </c>
      <c r="C17" s="290" t="s">
        <v>1112</v>
      </c>
      <c r="D17" s="293" t="s">
        <v>1115</v>
      </c>
      <c r="E17" s="293"/>
    </row>
    <row r="18" spans="1:5" s="67" customFormat="1" ht="124.2" x14ac:dyDescent="0.25">
      <c r="A18" s="290" t="s">
        <v>1111</v>
      </c>
      <c r="B18" s="291">
        <v>43486</v>
      </c>
      <c r="C18" s="290" t="s">
        <v>1112</v>
      </c>
      <c r="D18" s="293" t="s">
        <v>1113</v>
      </c>
      <c r="E18" s="293" t="s">
        <v>1114</v>
      </c>
    </row>
    <row r="19" spans="1:5" s="292" customFormat="1" ht="165.6" x14ac:dyDescent="0.25">
      <c r="A19" s="290" t="s">
        <v>1111</v>
      </c>
      <c r="B19" s="291">
        <v>43395</v>
      </c>
      <c r="C19" s="290" t="s">
        <v>5</v>
      </c>
      <c r="D19" s="293" t="s">
        <v>1110</v>
      </c>
      <c r="E19" s="293" t="s">
        <v>1109</v>
      </c>
    </row>
    <row r="20" spans="1:5" s="292" customFormat="1" ht="165.6" x14ac:dyDescent="0.25">
      <c r="A20" s="290">
        <v>1.03</v>
      </c>
      <c r="B20" s="291">
        <v>43319</v>
      </c>
      <c r="C20" s="290" t="s">
        <v>5</v>
      </c>
      <c r="D20" s="293" t="s">
        <v>1108</v>
      </c>
      <c r="E20" s="290"/>
    </row>
    <row r="21" spans="1:5" ht="409.6" x14ac:dyDescent="0.25">
      <c r="A21" s="287">
        <v>1.02</v>
      </c>
      <c r="B21" s="288">
        <v>43292</v>
      </c>
      <c r="C21" s="287" t="s">
        <v>5</v>
      </c>
      <c r="D21" s="289" t="s">
        <v>1107</v>
      </c>
      <c r="E21" s="289" t="s">
        <v>948</v>
      </c>
    </row>
    <row r="22" spans="1:5" ht="41.4" x14ac:dyDescent="0.25">
      <c r="A22" s="287" t="s">
        <v>936</v>
      </c>
      <c r="B22" s="288">
        <v>43291</v>
      </c>
      <c r="C22" s="287" t="s">
        <v>5</v>
      </c>
      <c r="D22" s="289" t="s">
        <v>937</v>
      </c>
      <c r="E22" s="287"/>
    </row>
    <row r="23" spans="1:5" ht="151.80000000000001" x14ac:dyDescent="0.25">
      <c r="A23" s="287" t="s">
        <v>880</v>
      </c>
      <c r="B23" s="288">
        <v>43255</v>
      </c>
      <c r="C23" s="287" t="s">
        <v>5</v>
      </c>
      <c r="D23" s="289" t="s">
        <v>881</v>
      </c>
      <c r="E23" s="287"/>
    </row>
    <row r="24" spans="1:5" ht="41.4" x14ac:dyDescent="0.25">
      <c r="A24" s="287" t="s">
        <v>873</v>
      </c>
      <c r="B24" s="288">
        <v>43247</v>
      </c>
      <c r="C24" s="287" t="s">
        <v>5</v>
      </c>
      <c r="D24" s="289" t="s">
        <v>874</v>
      </c>
      <c r="E24" s="287"/>
    </row>
    <row r="25" spans="1:5" ht="124.2" x14ac:dyDescent="0.25">
      <c r="A25" s="287">
        <v>0.4</v>
      </c>
      <c r="B25" s="288">
        <v>43229</v>
      </c>
      <c r="C25" s="287" t="s">
        <v>5</v>
      </c>
      <c r="D25" s="289" t="s">
        <v>491</v>
      </c>
      <c r="E25" s="289" t="s">
        <v>492</v>
      </c>
    </row>
    <row r="26" spans="1:5" ht="110.4" x14ac:dyDescent="0.25">
      <c r="A26" s="287" t="s">
        <v>324</v>
      </c>
      <c r="B26" s="288">
        <v>43206</v>
      </c>
      <c r="C26" s="287" t="s">
        <v>5</v>
      </c>
      <c r="D26" s="289" t="s">
        <v>325</v>
      </c>
      <c r="E26" s="289" t="s">
        <v>339</v>
      </c>
    </row>
    <row r="27" spans="1:5" ht="55.2" x14ac:dyDescent="0.25">
      <c r="A27" s="287" t="s">
        <v>300</v>
      </c>
      <c r="B27" s="288">
        <v>43185</v>
      </c>
      <c r="C27" s="287" t="s">
        <v>5</v>
      </c>
      <c r="D27" s="287"/>
      <c r="E27" s="289" t="s">
        <v>301</v>
      </c>
    </row>
    <row r="28" spans="1:5" ht="69" x14ac:dyDescent="0.25">
      <c r="A28" s="287" t="s">
        <v>298</v>
      </c>
      <c r="B28" s="288">
        <v>43178</v>
      </c>
      <c r="C28" s="287" t="s">
        <v>276</v>
      </c>
      <c r="D28" s="289" t="s">
        <v>299</v>
      </c>
      <c r="E28" s="287"/>
    </row>
    <row r="29" spans="1:5" ht="124.2" x14ac:dyDescent="0.25">
      <c r="A29" s="287" t="s">
        <v>288</v>
      </c>
      <c r="B29" s="288">
        <v>43172</v>
      </c>
      <c r="C29" s="287" t="s">
        <v>5</v>
      </c>
      <c r="D29" s="289" t="s">
        <v>289</v>
      </c>
      <c r="E29" s="289" t="s">
        <v>291</v>
      </c>
    </row>
    <row r="30" spans="1:5" ht="55.2" x14ac:dyDescent="0.25">
      <c r="A30" s="287" t="s">
        <v>275</v>
      </c>
      <c r="B30" s="288">
        <v>43167</v>
      </c>
      <c r="C30" s="287" t="s">
        <v>276</v>
      </c>
      <c r="D30" s="287" t="s">
        <v>277</v>
      </c>
      <c r="E30" s="289" t="s">
        <v>282</v>
      </c>
    </row>
    <row r="31" spans="1:5" x14ac:dyDescent="0.25">
      <c r="A31" s="287"/>
      <c r="B31" s="288">
        <v>43147</v>
      </c>
      <c r="C31" s="287" t="s">
        <v>5</v>
      </c>
      <c r="D31" s="287" t="s">
        <v>127</v>
      </c>
      <c r="E31" s="287"/>
    </row>
    <row r="32" spans="1:5" ht="96.6" x14ac:dyDescent="0.25">
      <c r="A32" s="287" t="s">
        <v>9</v>
      </c>
      <c r="B32" s="288">
        <v>43130</v>
      </c>
      <c r="C32" s="287" t="s">
        <v>5</v>
      </c>
      <c r="D32" s="289" t="s">
        <v>10</v>
      </c>
      <c r="E32" s="289" t="s">
        <v>12</v>
      </c>
    </row>
    <row r="33" spans="1:5" x14ac:dyDescent="0.25">
      <c r="A33" s="287" t="s">
        <v>7</v>
      </c>
      <c r="B33" s="288">
        <v>43068</v>
      </c>
      <c r="C33" s="287" t="s">
        <v>5</v>
      </c>
      <c r="D33" s="287" t="s">
        <v>8</v>
      </c>
      <c r="E33" s="287"/>
    </row>
    <row r="34" spans="1:5" x14ac:dyDescent="0.25">
      <c r="A34" s="287" t="s">
        <v>4</v>
      </c>
      <c r="B34" s="288">
        <v>42852</v>
      </c>
      <c r="C34" s="287" t="s">
        <v>5</v>
      </c>
      <c r="D34" s="287" t="s">
        <v>6</v>
      </c>
      <c r="E34" s="287"/>
    </row>
  </sheetData>
  <sortState xmlns:xlrd2="http://schemas.microsoft.com/office/spreadsheetml/2017/richdata2" ref="A17:E30">
    <sortCondition descending="1" ref="B17:B30"/>
  </sortState>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8"/>
  <dimension ref="A1:R245"/>
  <sheetViews>
    <sheetView showGridLines="0" topLeftCell="B1" workbookViewId="0">
      <selection activeCell="K8" sqref="K8"/>
    </sheetView>
  </sheetViews>
  <sheetFormatPr defaultRowHeight="13.8" x14ac:dyDescent="0.25"/>
  <cols>
    <col min="1" max="1" width="5.59765625" style="67" hidden="1" customWidth="1"/>
    <col min="2" max="2" width="27.5" customWidth="1"/>
    <col min="3" max="3" width="7.59765625" customWidth="1"/>
    <col min="4" max="4" width="23.19921875" customWidth="1"/>
  </cols>
  <sheetData>
    <row r="1" spans="1:18" x14ac:dyDescent="0.25">
      <c r="B1" t="s">
        <v>523</v>
      </c>
    </row>
    <row r="3" spans="1:18" x14ac:dyDescent="0.25">
      <c r="B3" t="s">
        <v>524</v>
      </c>
    </row>
    <row r="4" spans="1:18" x14ac:dyDescent="0.25">
      <c r="B4" t="s">
        <v>525</v>
      </c>
    </row>
    <row r="7" spans="1:18" x14ac:dyDescent="0.25">
      <c r="B7" s="2" t="s">
        <v>951</v>
      </c>
      <c r="K7" s="2" t="s">
        <v>1106</v>
      </c>
    </row>
    <row r="9" spans="1:18" x14ac:dyDescent="0.25">
      <c r="A9" s="67">
        <f>COUNTA(B10:B1048576)</f>
        <v>236</v>
      </c>
      <c r="B9" s="2" t="s">
        <v>526</v>
      </c>
      <c r="C9" s="2"/>
      <c r="D9" s="2" t="s">
        <v>527</v>
      </c>
      <c r="K9" s="2" t="s">
        <v>1104</v>
      </c>
      <c r="R9" s="2" t="s">
        <v>1105</v>
      </c>
    </row>
    <row r="10" spans="1:18" x14ac:dyDescent="0.25">
      <c r="A10" s="67">
        <f>COUNTA(D10:D1048576)</f>
        <v>79</v>
      </c>
      <c r="B10" s="67" t="s">
        <v>557</v>
      </c>
      <c r="D10" s="67" t="s">
        <v>827</v>
      </c>
      <c r="K10" t="s">
        <v>952</v>
      </c>
      <c r="R10" t="s">
        <v>827</v>
      </c>
    </row>
    <row r="11" spans="1:18" x14ac:dyDescent="0.25">
      <c r="B11" s="67" t="s">
        <v>558</v>
      </c>
      <c r="D11" s="67" t="s">
        <v>853</v>
      </c>
      <c r="K11" t="s">
        <v>953</v>
      </c>
      <c r="R11" t="s">
        <v>853</v>
      </c>
    </row>
    <row r="12" spans="1:18" x14ac:dyDescent="0.25">
      <c r="B12" s="67" t="s">
        <v>559</v>
      </c>
      <c r="D12" s="67" t="s">
        <v>811</v>
      </c>
      <c r="K12" t="s">
        <v>954</v>
      </c>
      <c r="R12" t="s">
        <v>811</v>
      </c>
    </row>
    <row r="13" spans="1:18" x14ac:dyDescent="0.25">
      <c r="B13" s="67" t="s">
        <v>560</v>
      </c>
      <c r="D13" s="67" t="s">
        <v>819</v>
      </c>
      <c r="K13" t="s">
        <v>955</v>
      </c>
      <c r="R13" t="s">
        <v>819</v>
      </c>
    </row>
    <row r="14" spans="1:18" x14ac:dyDescent="0.25">
      <c r="B14" s="67" t="s">
        <v>561</v>
      </c>
      <c r="D14" s="67" t="s">
        <v>861</v>
      </c>
      <c r="K14" t="s">
        <v>956</v>
      </c>
      <c r="R14" t="s">
        <v>861</v>
      </c>
    </row>
    <row r="15" spans="1:18" x14ac:dyDescent="0.25">
      <c r="B15" s="67" t="s">
        <v>562</v>
      </c>
      <c r="D15" s="67" t="s">
        <v>824</v>
      </c>
      <c r="K15" t="s">
        <v>957</v>
      </c>
      <c r="R15" t="s">
        <v>824</v>
      </c>
    </row>
    <row r="16" spans="1:18" x14ac:dyDescent="0.25">
      <c r="B16" s="67" t="s">
        <v>563</v>
      </c>
      <c r="D16" s="67" t="s">
        <v>809</v>
      </c>
      <c r="K16" t="s">
        <v>958</v>
      </c>
      <c r="R16" t="s">
        <v>809</v>
      </c>
    </row>
    <row r="17" spans="2:18" x14ac:dyDescent="0.25">
      <c r="B17" s="67" t="s">
        <v>564</v>
      </c>
      <c r="D17" s="67" t="s">
        <v>862</v>
      </c>
      <c r="K17" t="s">
        <v>959</v>
      </c>
      <c r="R17" t="s">
        <v>862</v>
      </c>
    </row>
    <row r="18" spans="2:18" x14ac:dyDescent="0.25">
      <c r="B18" s="67" t="s">
        <v>565</v>
      </c>
      <c r="D18" s="67" t="s">
        <v>854</v>
      </c>
      <c r="K18" t="s">
        <v>960</v>
      </c>
      <c r="R18" t="s">
        <v>854</v>
      </c>
    </row>
    <row r="19" spans="2:18" x14ac:dyDescent="0.25">
      <c r="B19" s="67" t="s">
        <v>566</v>
      </c>
      <c r="D19" s="67" t="s">
        <v>820</v>
      </c>
      <c r="K19" t="s">
        <v>961</v>
      </c>
      <c r="R19" t="s">
        <v>820</v>
      </c>
    </row>
    <row r="20" spans="2:18" x14ac:dyDescent="0.25">
      <c r="B20" s="67" t="s">
        <v>567</v>
      </c>
      <c r="D20" s="67" t="s">
        <v>816</v>
      </c>
      <c r="K20" t="s">
        <v>962</v>
      </c>
      <c r="R20" t="s">
        <v>816</v>
      </c>
    </row>
    <row r="21" spans="2:18" x14ac:dyDescent="0.25">
      <c r="B21" s="67" t="s">
        <v>568</v>
      </c>
      <c r="D21" s="67" t="s">
        <v>821</v>
      </c>
      <c r="K21" t="s">
        <v>963</v>
      </c>
      <c r="R21" t="s">
        <v>821</v>
      </c>
    </row>
    <row r="22" spans="2:18" x14ac:dyDescent="0.25">
      <c r="B22" s="67" t="s">
        <v>569</v>
      </c>
      <c r="D22" s="67" t="s">
        <v>837</v>
      </c>
      <c r="K22" t="s">
        <v>964</v>
      </c>
      <c r="R22" t="s">
        <v>837</v>
      </c>
    </row>
    <row r="23" spans="2:18" x14ac:dyDescent="0.25">
      <c r="B23" s="67" t="s">
        <v>570</v>
      </c>
      <c r="D23" s="67" t="s">
        <v>858</v>
      </c>
      <c r="K23" t="s">
        <v>965</v>
      </c>
      <c r="R23" t="s">
        <v>858</v>
      </c>
    </row>
    <row r="24" spans="2:18" x14ac:dyDescent="0.25">
      <c r="B24" s="67" t="s">
        <v>571</v>
      </c>
      <c r="D24" s="67" t="s">
        <v>818</v>
      </c>
      <c r="K24" t="s">
        <v>966</v>
      </c>
      <c r="R24" t="s">
        <v>818</v>
      </c>
    </row>
    <row r="25" spans="2:18" x14ac:dyDescent="0.25">
      <c r="B25" s="67" t="s">
        <v>572</v>
      </c>
      <c r="D25" s="67" t="s">
        <v>817</v>
      </c>
      <c r="K25" t="s">
        <v>967</v>
      </c>
      <c r="R25" t="s">
        <v>817</v>
      </c>
    </row>
    <row r="26" spans="2:18" x14ac:dyDescent="0.25">
      <c r="B26" s="67" t="s">
        <v>573</v>
      </c>
      <c r="D26" s="67" t="s">
        <v>871</v>
      </c>
      <c r="K26" t="s">
        <v>968</v>
      </c>
      <c r="R26" t="s">
        <v>871</v>
      </c>
    </row>
    <row r="27" spans="2:18" x14ac:dyDescent="0.25">
      <c r="B27" s="67" t="s">
        <v>574</v>
      </c>
      <c r="D27" s="67" t="s">
        <v>869</v>
      </c>
      <c r="K27" t="s">
        <v>969</v>
      </c>
      <c r="R27" t="s">
        <v>869</v>
      </c>
    </row>
    <row r="28" spans="2:18" x14ac:dyDescent="0.25">
      <c r="B28" s="67" t="s">
        <v>575</v>
      </c>
      <c r="D28" s="67" t="s">
        <v>848</v>
      </c>
      <c r="K28" t="s">
        <v>970</v>
      </c>
      <c r="R28" t="s">
        <v>848</v>
      </c>
    </row>
    <row r="29" spans="2:18" x14ac:dyDescent="0.25">
      <c r="B29" s="67" t="s">
        <v>576</v>
      </c>
      <c r="D29" s="67" t="s">
        <v>812</v>
      </c>
      <c r="K29" t="s">
        <v>971</v>
      </c>
      <c r="R29" t="s">
        <v>812</v>
      </c>
    </row>
    <row r="30" spans="2:18" x14ac:dyDescent="0.25">
      <c r="B30" s="67" t="s">
        <v>577</v>
      </c>
      <c r="D30" s="67" t="s">
        <v>842</v>
      </c>
      <c r="K30" t="s">
        <v>972</v>
      </c>
      <c r="R30" t="s">
        <v>842</v>
      </c>
    </row>
    <row r="31" spans="2:18" x14ac:dyDescent="0.25">
      <c r="B31" s="67" t="s">
        <v>578</v>
      </c>
      <c r="D31" s="67" t="s">
        <v>828</v>
      </c>
      <c r="K31" t="s">
        <v>973</v>
      </c>
      <c r="R31" t="s">
        <v>828</v>
      </c>
    </row>
    <row r="32" spans="2:18" x14ac:dyDescent="0.25">
      <c r="B32" s="67" t="s">
        <v>579</v>
      </c>
      <c r="D32" s="67" t="s">
        <v>815</v>
      </c>
      <c r="K32" t="s">
        <v>974</v>
      </c>
      <c r="R32" t="s">
        <v>815</v>
      </c>
    </row>
    <row r="33" spans="2:18" x14ac:dyDescent="0.25">
      <c r="B33" s="67" t="s">
        <v>580</v>
      </c>
      <c r="D33" s="67" t="s">
        <v>803</v>
      </c>
      <c r="K33" t="s">
        <v>975</v>
      </c>
      <c r="R33" t="s">
        <v>803</v>
      </c>
    </row>
    <row r="34" spans="2:18" x14ac:dyDescent="0.25">
      <c r="B34" s="67" t="s">
        <v>581</v>
      </c>
      <c r="D34" s="67" t="s">
        <v>796</v>
      </c>
      <c r="K34" t="s">
        <v>976</v>
      </c>
      <c r="R34" t="s">
        <v>796</v>
      </c>
    </row>
    <row r="35" spans="2:18" x14ac:dyDescent="0.25">
      <c r="B35" s="67" t="s">
        <v>582</v>
      </c>
      <c r="D35" s="67" t="s">
        <v>855</v>
      </c>
      <c r="K35" t="s">
        <v>977</v>
      </c>
      <c r="R35" t="s">
        <v>855</v>
      </c>
    </row>
    <row r="36" spans="2:18" x14ac:dyDescent="0.25">
      <c r="B36" s="67" t="s">
        <v>583</v>
      </c>
      <c r="D36" s="67" t="s">
        <v>814</v>
      </c>
      <c r="K36" t="s">
        <v>978</v>
      </c>
      <c r="R36" t="s">
        <v>814</v>
      </c>
    </row>
    <row r="37" spans="2:18" x14ac:dyDescent="0.25">
      <c r="B37" s="67" t="s">
        <v>584</v>
      </c>
      <c r="D37" s="67" t="s">
        <v>851</v>
      </c>
      <c r="K37" t="s">
        <v>979</v>
      </c>
      <c r="R37" t="s">
        <v>851</v>
      </c>
    </row>
    <row r="38" spans="2:18" x14ac:dyDescent="0.25">
      <c r="B38" s="67" t="s">
        <v>585</v>
      </c>
      <c r="D38" s="67" t="s">
        <v>850</v>
      </c>
      <c r="K38" t="s">
        <v>980</v>
      </c>
      <c r="R38" t="s">
        <v>850</v>
      </c>
    </row>
    <row r="39" spans="2:18" x14ac:dyDescent="0.25">
      <c r="B39" s="67" t="s">
        <v>586</v>
      </c>
      <c r="D39" s="67" t="s">
        <v>813</v>
      </c>
      <c r="K39" t="s">
        <v>981</v>
      </c>
      <c r="R39" t="s">
        <v>813</v>
      </c>
    </row>
    <row r="40" spans="2:18" x14ac:dyDescent="0.25">
      <c r="B40" s="67" t="s">
        <v>587</v>
      </c>
      <c r="D40" t="s">
        <v>860</v>
      </c>
      <c r="K40" t="s">
        <v>982</v>
      </c>
      <c r="R40" t="s">
        <v>860</v>
      </c>
    </row>
    <row r="41" spans="2:18" x14ac:dyDescent="0.25">
      <c r="B41" s="67" t="s">
        <v>588</v>
      </c>
      <c r="D41" t="s">
        <v>793</v>
      </c>
      <c r="K41" t="s">
        <v>983</v>
      </c>
      <c r="R41" t="s">
        <v>793</v>
      </c>
    </row>
    <row r="42" spans="2:18" x14ac:dyDescent="0.25">
      <c r="B42" s="67" t="s">
        <v>589</v>
      </c>
      <c r="D42" t="s">
        <v>832</v>
      </c>
      <c r="K42" t="s">
        <v>984</v>
      </c>
      <c r="R42" t="s">
        <v>832</v>
      </c>
    </row>
    <row r="43" spans="2:18" x14ac:dyDescent="0.25">
      <c r="B43" s="67" t="s">
        <v>590</v>
      </c>
      <c r="D43" t="s">
        <v>841</v>
      </c>
      <c r="K43" t="s">
        <v>985</v>
      </c>
      <c r="R43" t="s">
        <v>841</v>
      </c>
    </row>
    <row r="44" spans="2:18" x14ac:dyDescent="0.25">
      <c r="B44" s="67" t="s">
        <v>591</v>
      </c>
      <c r="D44" t="s">
        <v>847</v>
      </c>
      <c r="K44" t="s">
        <v>986</v>
      </c>
      <c r="R44" t="s">
        <v>847</v>
      </c>
    </row>
    <row r="45" spans="2:18" x14ac:dyDescent="0.25">
      <c r="B45" s="67" t="s">
        <v>592</v>
      </c>
      <c r="D45" t="s">
        <v>863</v>
      </c>
      <c r="K45" t="s">
        <v>987</v>
      </c>
      <c r="R45" t="s">
        <v>863</v>
      </c>
    </row>
    <row r="46" spans="2:18" x14ac:dyDescent="0.25">
      <c r="B46" s="67" t="s">
        <v>593</v>
      </c>
      <c r="D46" t="s">
        <v>864</v>
      </c>
      <c r="K46" t="s">
        <v>988</v>
      </c>
      <c r="R46" t="s">
        <v>864</v>
      </c>
    </row>
    <row r="47" spans="2:18" x14ac:dyDescent="0.25">
      <c r="B47" s="67" t="s">
        <v>594</v>
      </c>
      <c r="D47" t="s">
        <v>865</v>
      </c>
      <c r="K47" t="s">
        <v>989</v>
      </c>
      <c r="R47" t="s">
        <v>865</v>
      </c>
    </row>
    <row r="48" spans="2:18" x14ac:dyDescent="0.25">
      <c r="B48" s="67" t="s">
        <v>595</v>
      </c>
      <c r="D48" t="s">
        <v>830</v>
      </c>
      <c r="K48" t="s">
        <v>990</v>
      </c>
      <c r="R48" t="s">
        <v>830</v>
      </c>
    </row>
    <row r="49" spans="2:18" x14ac:dyDescent="0.25">
      <c r="B49" s="67" t="s">
        <v>596</v>
      </c>
      <c r="D49" t="s">
        <v>852</v>
      </c>
      <c r="K49" t="s">
        <v>991</v>
      </c>
      <c r="R49" t="s">
        <v>852</v>
      </c>
    </row>
    <row r="50" spans="2:18" x14ac:dyDescent="0.25">
      <c r="B50" s="67" t="s">
        <v>597</v>
      </c>
      <c r="D50" t="s">
        <v>867</v>
      </c>
      <c r="K50" t="s">
        <v>992</v>
      </c>
      <c r="R50" t="s">
        <v>867</v>
      </c>
    </row>
    <row r="51" spans="2:18" x14ac:dyDescent="0.25">
      <c r="B51" s="67" t="s">
        <v>598</v>
      </c>
      <c r="D51" t="s">
        <v>866</v>
      </c>
      <c r="K51" t="s">
        <v>993</v>
      </c>
      <c r="R51" t="s">
        <v>866</v>
      </c>
    </row>
    <row r="52" spans="2:18" x14ac:dyDescent="0.25">
      <c r="B52" s="67" t="s">
        <v>599</v>
      </c>
      <c r="D52" t="s">
        <v>834</v>
      </c>
      <c r="K52" t="s">
        <v>994</v>
      </c>
      <c r="R52" t="s">
        <v>834</v>
      </c>
    </row>
    <row r="53" spans="2:18" x14ac:dyDescent="0.25">
      <c r="B53" s="67" t="s">
        <v>600</v>
      </c>
      <c r="D53" t="s">
        <v>844</v>
      </c>
      <c r="K53" t="s">
        <v>995</v>
      </c>
      <c r="R53" t="s">
        <v>844</v>
      </c>
    </row>
    <row r="54" spans="2:18" x14ac:dyDescent="0.25">
      <c r="B54" s="67" t="s">
        <v>601</v>
      </c>
      <c r="D54" t="s">
        <v>868</v>
      </c>
      <c r="K54" t="s">
        <v>996</v>
      </c>
      <c r="R54" t="s">
        <v>868</v>
      </c>
    </row>
    <row r="55" spans="2:18" x14ac:dyDescent="0.25">
      <c r="B55" s="67" t="s">
        <v>602</v>
      </c>
      <c r="D55" t="s">
        <v>849</v>
      </c>
      <c r="K55" t="s">
        <v>997</v>
      </c>
      <c r="R55" t="s">
        <v>849</v>
      </c>
    </row>
    <row r="56" spans="2:18" x14ac:dyDescent="0.25">
      <c r="B56" s="67" t="s">
        <v>603</v>
      </c>
      <c r="D56" t="s">
        <v>833</v>
      </c>
      <c r="K56" t="s">
        <v>998</v>
      </c>
      <c r="R56" t="s">
        <v>833</v>
      </c>
    </row>
    <row r="57" spans="2:18" x14ac:dyDescent="0.25">
      <c r="B57" s="67" t="s">
        <v>604</v>
      </c>
      <c r="D57" t="s">
        <v>836</v>
      </c>
      <c r="K57" t="s">
        <v>999</v>
      </c>
      <c r="R57" t="s">
        <v>836</v>
      </c>
    </row>
    <row r="58" spans="2:18" x14ac:dyDescent="0.25">
      <c r="B58" s="67" t="s">
        <v>605</v>
      </c>
      <c r="D58" t="s">
        <v>807</v>
      </c>
      <c r="K58" t="s">
        <v>1000</v>
      </c>
      <c r="R58" t="s">
        <v>807</v>
      </c>
    </row>
    <row r="59" spans="2:18" x14ac:dyDescent="0.25">
      <c r="B59" s="67" t="s">
        <v>606</v>
      </c>
      <c r="D59" t="s">
        <v>835</v>
      </c>
      <c r="K59" t="s">
        <v>1001</v>
      </c>
      <c r="R59" t="s">
        <v>835</v>
      </c>
    </row>
    <row r="60" spans="2:18" x14ac:dyDescent="0.25">
      <c r="B60" s="67" t="s">
        <v>607</v>
      </c>
      <c r="D60" t="s">
        <v>846</v>
      </c>
      <c r="K60" t="s">
        <v>1002</v>
      </c>
      <c r="R60" t="s">
        <v>846</v>
      </c>
    </row>
    <row r="61" spans="2:18" x14ac:dyDescent="0.25">
      <c r="B61" s="67" t="s">
        <v>608</v>
      </c>
      <c r="D61" t="s">
        <v>845</v>
      </c>
      <c r="K61" t="s">
        <v>1003</v>
      </c>
      <c r="R61" t="s">
        <v>845</v>
      </c>
    </row>
    <row r="62" spans="2:18" x14ac:dyDescent="0.25">
      <c r="B62" s="67" t="s">
        <v>609</v>
      </c>
      <c r="D62" t="s">
        <v>870</v>
      </c>
      <c r="K62" t="s">
        <v>1004</v>
      </c>
      <c r="R62" t="s">
        <v>870</v>
      </c>
    </row>
    <row r="63" spans="2:18" x14ac:dyDescent="0.25">
      <c r="B63" s="67" t="s">
        <v>610</v>
      </c>
      <c r="D63" t="s">
        <v>857</v>
      </c>
      <c r="K63" t="s">
        <v>1005</v>
      </c>
      <c r="R63" t="s">
        <v>857</v>
      </c>
    </row>
    <row r="64" spans="2:18" x14ac:dyDescent="0.25">
      <c r="B64" s="67" t="s">
        <v>611</v>
      </c>
      <c r="D64" t="s">
        <v>797</v>
      </c>
      <c r="K64" t="s">
        <v>1006</v>
      </c>
      <c r="R64" t="s">
        <v>797</v>
      </c>
    </row>
    <row r="65" spans="2:18" x14ac:dyDescent="0.25">
      <c r="B65" s="67" t="s">
        <v>612</v>
      </c>
      <c r="D65" t="s">
        <v>802</v>
      </c>
      <c r="K65" t="s">
        <v>1007</v>
      </c>
      <c r="R65" t="s">
        <v>802</v>
      </c>
    </row>
    <row r="66" spans="2:18" x14ac:dyDescent="0.25">
      <c r="B66" s="67" t="s">
        <v>613</v>
      </c>
      <c r="D66" t="s">
        <v>798</v>
      </c>
      <c r="K66" t="s">
        <v>1008</v>
      </c>
      <c r="R66" t="s">
        <v>798</v>
      </c>
    </row>
    <row r="67" spans="2:18" x14ac:dyDescent="0.25">
      <c r="B67" s="67" t="s">
        <v>614</v>
      </c>
      <c r="D67" t="s">
        <v>801</v>
      </c>
      <c r="K67" t="s">
        <v>1009</v>
      </c>
      <c r="R67" t="s">
        <v>801</v>
      </c>
    </row>
    <row r="68" spans="2:18" x14ac:dyDescent="0.25">
      <c r="B68" s="67" t="s">
        <v>615</v>
      </c>
      <c r="D68" t="s">
        <v>825</v>
      </c>
      <c r="K68" t="s">
        <v>1010</v>
      </c>
      <c r="R68" t="s">
        <v>825</v>
      </c>
    </row>
    <row r="69" spans="2:18" x14ac:dyDescent="0.25">
      <c r="B69" s="67" t="s">
        <v>616</v>
      </c>
      <c r="D69" t="s">
        <v>800</v>
      </c>
      <c r="K69" t="s">
        <v>1011</v>
      </c>
      <c r="R69" t="s">
        <v>800</v>
      </c>
    </row>
    <row r="70" spans="2:18" x14ac:dyDescent="0.25">
      <c r="B70" s="67" t="s">
        <v>617</v>
      </c>
      <c r="D70" t="s">
        <v>840</v>
      </c>
      <c r="K70" t="s">
        <v>1012</v>
      </c>
      <c r="R70" t="s">
        <v>840</v>
      </c>
    </row>
    <row r="71" spans="2:18" x14ac:dyDescent="0.25">
      <c r="B71" s="67" t="s">
        <v>618</v>
      </c>
      <c r="D71" t="s">
        <v>810</v>
      </c>
      <c r="K71" t="s">
        <v>1013</v>
      </c>
      <c r="R71" t="s">
        <v>810</v>
      </c>
    </row>
    <row r="72" spans="2:18" x14ac:dyDescent="0.25">
      <c r="B72" s="67" t="s">
        <v>619</v>
      </c>
      <c r="D72" t="s">
        <v>839</v>
      </c>
      <c r="K72" t="s">
        <v>1014</v>
      </c>
      <c r="R72" t="s">
        <v>839</v>
      </c>
    </row>
    <row r="73" spans="2:18" x14ac:dyDescent="0.25">
      <c r="B73" s="67" t="s">
        <v>620</v>
      </c>
      <c r="D73" t="s">
        <v>823</v>
      </c>
      <c r="K73" t="s">
        <v>1015</v>
      </c>
      <c r="R73" t="s">
        <v>823</v>
      </c>
    </row>
    <row r="74" spans="2:18" x14ac:dyDescent="0.25">
      <c r="B74" s="67" t="s">
        <v>621</v>
      </c>
      <c r="D74" t="s">
        <v>804</v>
      </c>
      <c r="K74" t="s">
        <v>1016</v>
      </c>
      <c r="R74" t="s">
        <v>804</v>
      </c>
    </row>
    <row r="75" spans="2:18" x14ac:dyDescent="0.25">
      <c r="B75" s="67" t="s">
        <v>622</v>
      </c>
      <c r="D75" t="s">
        <v>808</v>
      </c>
      <c r="K75" t="s">
        <v>1017</v>
      </c>
      <c r="R75" t="s">
        <v>808</v>
      </c>
    </row>
    <row r="76" spans="2:18" x14ac:dyDescent="0.25">
      <c r="B76" s="67" t="s">
        <v>623</v>
      </c>
      <c r="D76" t="s">
        <v>805</v>
      </c>
      <c r="K76" t="s">
        <v>1018</v>
      </c>
      <c r="R76" t="s">
        <v>805</v>
      </c>
    </row>
    <row r="77" spans="2:18" x14ac:dyDescent="0.25">
      <c r="B77" s="67" t="s">
        <v>624</v>
      </c>
      <c r="D77" t="s">
        <v>856</v>
      </c>
      <c r="K77" t="s">
        <v>1019</v>
      </c>
      <c r="R77" t="s">
        <v>856</v>
      </c>
    </row>
    <row r="78" spans="2:18" x14ac:dyDescent="0.25">
      <c r="B78" s="67" t="s">
        <v>625</v>
      </c>
      <c r="D78" t="s">
        <v>859</v>
      </c>
      <c r="K78" t="s">
        <v>1020</v>
      </c>
      <c r="R78" t="s">
        <v>859</v>
      </c>
    </row>
    <row r="79" spans="2:18" x14ac:dyDescent="0.25">
      <c r="B79" s="67" t="s">
        <v>626</v>
      </c>
      <c r="D79" t="s">
        <v>822</v>
      </c>
      <c r="K79" t="s">
        <v>1021</v>
      </c>
      <c r="R79" t="s">
        <v>822</v>
      </c>
    </row>
    <row r="80" spans="2:18" x14ac:dyDescent="0.25">
      <c r="B80" s="67" t="s">
        <v>627</v>
      </c>
      <c r="D80" t="s">
        <v>829</v>
      </c>
      <c r="K80" t="s">
        <v>1022</v>
      </c>
      <c r="R80" t="s">
        <v>829</v>
      </c>
    </row>
    <row r="81" spans="2:18" x14ac:dyDescent="0.25">
      <c r="B81" s="67" t="s">
        <v>628</v>
      </c>
      <c r="D81" t="s">
        <v>799</v>
      </c>
      <c r="K81" t="s">
        <v>1023</v>
      </c>
      <c r="R81" t="s">
        <v>799</v>
      </c>
    </row>
    <row r="82" spans="2:18" x14ac:dyDescent="0.25">
      <c r="B82" s="67" t="s">
        <v>629</v>
      </c>
      <c r="D82" t="s">
        <v>838</v>
      </c>
      <c r="K82" t="s">
        <v>1024</v>
      </c>
      <c r="R82" t="s">
        <v>838</v>
      </c>
    </row>
    <row r="83" spans="2:18" x14ac:dyDescent="0.25">
      <c r="B83" s="67" t="s">
        <v>630</v>
      </c>
      <c r="D83" t="s">
        <v>843</v>
      </c>
      <c r="K83" t="s">
        <v>1025</v>
      </c>
      <c r="R83" t="s">
        <v>843</v>
      </c>
    </row>
    <row r="84" spans="2:18" x14ac:dyDescent="0.25">
      <c r="B84" s="67" t="s">
        <v>631</v>
      </c>
      <c r="D84" t="s">
        <v>826</v>
      </c>
      <c r="K84" t="s">
        <v>1026</v>
      </c>
      <c r="R84" t="s">
        <v>826</v>
      </c>
    </row>
    <row r="85" spans="2:18" x14ac:dyDescent="0.25">
      <c r="B85" s="67" t="s">
        <v>632</v>
      </c>
      <c r="D85" t="s">
        <v>806</v>
      </c>
      <c r="K85" t="s">
        <v>1027</v>
      </c>
      <c r="R85" t="s">
        <v>806</v>
      </c>
    </row>
    <row r="86" spans="2:18" x14ac:dyDescent="0.25">
      <c r="B86" s="67" t="s">
        <v>633</v>
      </c>
      <c r="D86" t="s">
        <v>795</v>
      </c>
      <c r="K86" t="s">
        <v>1028</v>
      </c>
      <c r="R86" t="s">
        <v>795</v>
      </c>
    </row>
    <row r="87" spans="2:18" x14ac:dyDescent="0.25">
      <c r="B87" s="67" t="s">
        <v>634</v>
      </c>
      <c r="D87" t="s">
        <v>831</v>
      </c>
      <c r="K87" t="s">
        <v>1029</v>
      </c>
      <c r="R87" t="s">
        <v>831</v>
      </c>
    </row>
    <row r="88" spans="2:18" x14ac:dyDescent="0.25">
      <c r="B88" s="67" t="s">
        <v>635</v>
      </c>
      <c r="D88" t="s">
        <v>794</v>
      </c>
      <c r="K88" t="s">
        <v>1030</v>
      </c>
      <c r="R88" t="s">
        <v>794</v>
      </c>
    </row>
    <row r="89" spans="2:18" x14ac:dyDescent="0.25">
      <c r="B89" s="67" t="s">
        <v>636</v>
      </c>
      <c r="K89" t="s">
        <v>1031</v>
      </c>
    </row>
    <row r="90" spans="2:18" x14ac:dyDescent="0.25">
      <c r="B90" s="67" t="s">
        <v>637</v>
      </c>
      <c r="K90" t="s">
        <v>1032</v>
      </c>
    </row>
    <row r="91" spans="2:18" x14ac:dyDescent="0.25">
      <c r="B91" s="67" t="s">
        <v>638</v>
      </c>
      <c r="K91" t="s">
        <v>1033</v>
      </c>
    </row>
    <row r="92" spans="2:18" x14ac:dyDescent="0.25">
      <c r="B92" s="67" t="s">
        <v>639</v>
      </c>
      <c r="K92" t="s">
        <v>1034</v>
      </c>
    </row>
    <row r="93" spans="2:18" x14ac:dyDescent="0.25">
      <c r="B93" s="67" t="s">
        <v>640</v>
      </c>
      <c r="K93" t="s">
        <v>1035</v>
      </c>
    </row>
    <row r="94" spans="2:18" x14ac:dyDescent="0.25">
      <c r="B94" s="67" t="s">
        <v>641</v>
      </c>
      <c r="K94" t="s">
        <v>1036</v>
      </c>
    </row>
    <row r="95" spans="2:18" x14ac:dyDescent="0.25">
      <c r="B95" s="67" t="s">
        <v>642</v>
      </c>
      <c r="K95" t="s">
        <v>1037</v>
      </c>
    </row>
    <row r="96" spans="2:18" x14ac:dyDescent="0.25">
      <c r="B96" s="67" t="s">
        <v>643</v>
      </c>
      <c r="K96" t="s">
        <v>1038</v>
      </c>
    </row>
    <row r="97" spans="2:11" x14ac:dyDescent="0.25">
      <c r="B97" s="67" t="s">
        <v>644</v>
      </c>
      <c r="K97" t="s">
        <v>1039</v>
      </c>
    </row>
    <row r="98" spans="2:11" x14ac:dyDescent="0.25">
      <c r="B98" s="67" t="s">
        <v>645</v>
      </c>
      <c r="K98" t="s">
        <v>1040</v>
      </c>
    </row>
    <row r="99" spans="2:11" x14ac:dyDescent="0.25">
      <c r="B99" s="67" t="s">
        <v>646</v>
      </c>
      <c r="K99" t="s">
        <v>1041</v>
      </c>
    </row>
    <row r="100" spans="2:11" x14ac:dyDescent="0.25">
      <c r="B100" s="67" t="s">
        <v>647</v>
      </c>
      <c r="K100" t="s">
        <v>1042</v>
      </c>
    </row>
    <row r="101" spans="2:11" x14ac:dyDescent="0.25">
      <c r="B101" s="67" t="s">
        <v>648</v>
      </c>
      <c r="K101" t="s">
        <v>1043</v>
      </c>
    </row>
    <row r="102" spans="2:11" x14ac:dyDescent="0.25">
      <c r="B102" s="67" t="s">
        <v>649</v>
      </c>
      <c r="K102" t="s">
        <v>1044</v>
      </c>
    </row>
    <row r="103" spans="2:11" x14ac:dyDescent="0.25">
      <c r="B103" s="67" t="s">
        <v>650</v>
      </c>
      <c r="K103" t="s">
        <v>1045</v>
      </c>
    </row>
    <row r="104" spans="2:11" x14ac:dyDescent="0.25">
      <c r="B104" s="67" t="s">
        <v>651</v>
      </c>
      <c r="K104" t="s">
        <v>1046</v>
      </c>
    </row>
    <row r="105" spans="2:11" x14ac:dyDescent="0.25">
      <c r="B105" s="67" t="s">
        <v>652</v>
      </c>
      <c r="K105" t="s">
        <v>1047</v>
      </c>
    </row>
    <row r="106" spans="2:11" x14ac:dyDescent="0.25">
      <c r="B106" s="67" t="s">
        <v>653</v>
      </c>
      <c r="K106" t="s">
        <v>1048</v>
      </c>
    </row>
    <row r="107" spans="2:11" x14ac:dyDescent="0.25">
      <c r="B107" s="67" t="s">
        <v>654</v>
      </c>
      <c r="K107" t="s">
        <v>1049</v>
      </c>
    </row>
    <row r="108" spans="2:11" x14ac:dyDescent="0.25">
      <c r="B108" s="67" t="s">
        <v>655</v>
      </c>
      <c r="K108" t="s">
        <v>1050</v>
      </c>
    </row>
    <row r="109" spans="2:11" x14ac:dyDescent="0.25">
      <c r="B109" s="67" t="s">
        <v>656</v>
      </c>
      <c r="K109" t="s">
        <v>1051</v>
      </c>
    </row>
    <row r="110" spans="2:11" x14ac:dyDescent="0.25">
      <c r="B110" s="67" t="s">
        <v>657</v>
      </c>
      <c r="K110" t="s">
        <v>1052</v>
      </c>
    </row>
    <row r="111" spans="2:11" x14ac:dyDescent="0.25">
      <c r="B111" s="67" t="s">
        <v>658</v>
      </c>
      <c r="K111" t="s">
        <v>1053</v>
      </c>
    </row>
    <row r="112" spans="2:11" x14ac:dyDescent="0.25">
      <c r="B112" s="67" t="s">
        <v>659</v>
      </c>
      <c r="K112" t="s">
        <v>1054</v>
      </c>
    </row>
    <row r="113" spans="2:11" x14ac:dyDescent="0.25">
      <c r="B113" s="67" t="s">
        <v>660</v>
      </c>
      <c r="K113" t="s">
        <v>1055</v>
      </c>
    </row>
    <row r="114" spans="2:11" x14ac:dyDescent="0.25">
      <c r="B114" s="67" t="s">
        <v>661</v>
      </c>
      <c r="K114" t="s">
        <v>1056</v>
      </c>
    </row>
    <row r="115" spans="2:11" x14ac:dyDescent="0.25">
      <c r="B115" s="67" t="s">
        <v>662</v>
      </c>
      <c r="K115" t="s">
        <v>1057</v>
      </c>
    </row>
    <row r="116" spans="2:11" x14ac:dyDescent="0.25">
      <c r="B116" s="67" t="s">
        <v>663</v>
      </c>
      <c r="K116" t="s">
        <v>1058</v>
      </c>
    </row>
    <row r="117" spans="2:11" x14ac:dyDescent="0.25">
      <c r="B117" s="67" t="s">
        <v>664</v>
      </c>
      <c r="K117" t="s">
        <v>1059</v>
      </c>
    </row>
    <row r="118" spans="2:11" x14ac:dyDescent="0.25">
      <c r="B118" s="67" t="s">
        <v>665</v>
      </c>
      <c r="K118" t="s">
        <v>1060</v>
      </c>
    </row>
    <row r="119" spans="2:11" x14ac:dyDescent="0.25">
      <c r="B119" s="67" t="s">
        <v>666</v>
      </c>
      <c r="K119" t="s">
        <v>1061</v>
      </c>
    </row>
    <row r="120" spans="2:11" x14ac:dyDescent="0.25">
      <c r="B120" s="67" t="s">
        <v>667</v>
      </c>
      <c r="K120" t="s">
        <v>1062</v>
      </c>
    </row>
    <row r="121" spans="2:11" x14ac:dyDescent="0.25">
      <c r="B121" s="67" t="s">
        <v>668</v>
      </c>
      <c r="K121" t="s">
        <v>1063</v>
      </c>
    </row>
    <row r="122" spans="2:11" x14ac:dyDescent="0.25">
      <c r="B122" s="67" t="s">
        <v>669</v>
      </c>
      <c r="K122" t="s">
        <v>1064</v>
      </c>
    </row>
    <row r="123" spans="2:11" x14ac:dyDescent="0.25">
      <c r="B123" s="67" t="s">
        <v>670</v>
      </c>
      <c r="K123" t="s">
        <v>1065</v>
      </c>
    </row>
    <row r="124" spans="2:11" x14ac:dyDescent="0.25">
      <c r="B124" s="67" t="s">
        <v>671</v>
      </c>
      <c r="K124" t="s">
        <v>1066</v>
      </c>
    </row>
    <row r="125" spans="2:11" x14ac:dyDescent="0.25">
      <c r="B125" s="67" t="s">
        <v>672</v>
      </c>
      <c r="K125" t="s">
        <v>1067</v>
      </c>
    </row>
    <row r="126" spans="2:11" x14ac:dyDescent="0.25">
      <c r="B126" s="67" t="s">
        <v>673</v>
      </c>
      <c r="K126" t="s">
        <v>1068</v>
      </c>
    </row>
    <row r="127" spans="2:11" x14ac:dyDescent="0.25">
      <c r="B127" s="67" t="s">
        <v>674</v>
      </c>
      <c r="K127" t="s">
        <v>1069</v>
      </c>
    </row>
    <row r="128" spans="2:11" x14ac:dyDescent="0.25">
      <c r="B128" s="67" t="s">
        <v>675</v>
      </c>
      <c r="K128" t="s">
        <v>1070</v>
      </c>
    </row>
    <row r="129" spans="2:11" x14ac:dyDescent="0.25">
      <c r="B129" s="67" t="s">
        <v>676</v>
      </c>
      <c r="K129" t="s">
        <v>1071</v>
      </c>
    </row>
    <row r="130" spans="2:11" x14ac:dyDescent="0.25">
      <c r="B130" s="67" t="s">
        <v>677</v>
      </c>
      <c r="K130" t="s">
        <v>1072</v>
      </c>
    </row>
    <row r="131" spans="2:11" x14ac:dyDescent="0.25">
      <c r="B131" s="67" t="s">
        <v>678</v>
      </c>
      <c r="K131" t="s">
        <v>1073</v>
      </c>
    </row>
    <row r="132" spans="2:11" x14ac:dyDescent="0.25">
      <c r="B132" s="67" t="s">
        <v>679</v>
      </c>
      <c r="K132" t="s">
        <v>1074</v>
      </c>
    </row>
    <row r="133" spans="2:11" x14ac:dyDescent="0.25">
      <c r="B133" s="67" t="s">
        <v>680</v>
      </c>
      <c r="K133" t="s">
        <v>1075</v>
      </c>
    </row>
    <row r="134" spans="2:11" x14ac:dyDescent="0.25">
      <c r="B134" s="67" t="s">
        <v>681</v>
      </c>
      <c r="K134" t="s">
        <v>1076</v>
      </c>
    </row>
    <row r="135" spans="2:11" x14ac:dyDescent="0.25">
      <c r="B135" s="67" t="s">
        <v>682</v>
      </c>
      <c r="K135" t="s">
        <v>1077</v>
      </c>
    </row>
    <row r="136" spans="2:11" x14ac:dyDescent="0.25">
      <c r="B136" s="67" t="s">
        <v>683</v>
      </c>
      <c r="K136" t="s">
        <v>1078</v>
      </c>
    </row>
    <row r="137" spans="2:11" x14ac:dyDescent="0.25">
      <c r="B137" s="67" t="s">
        <v>684</v>
      </c>
      <c r="K137" t="s">
        <v>1079</v>
      </c>
    </row>
    <row r="138" spans="2:11" x14ac:dyDescent="0.25">
      <c r="B138" s="67" t="s">
        <v>685</v>
      </c>
      <c r="K138" t="s">
        <v>1080</v>
      </c>
    </row>
    <row r="139" spans="2:11" x14ac:dyDescent="0.25">
      <c r="B139" s="67" t="s">
        <v>686</v>
      </c>
      <c r="K139" t="s">
        <v>1081</v>
      </c>
    </row>
    <row r="140" spans="2:11" x14ac:dyDescent="0.25">
      <c r="B140" s="67" t="s">
        <v>687</v>
      </c>
      <c r="K140" t="s">
        <v>1082</v>
      </c>
    </row>
    <row r="141" spans="2:11" x14ac:dyDescent="0.25">
      <c r="B141" s="67" t="s">
        <v>688</v>
      </c>
      <c r="K141" t="s">
        <v>1083</v>
      </c>
    </row>
    <row r="142" spans="2:11" x14ac:dyDescent="0.25">
      <c r="B142" s="67" t="s">
        <v>689</v>
      </c>
      <c r="K142" t="s">
        <v>1084</v>
      </c>
    </row>
    <row r="143" spans="2:11" x14ac:dyDescent="0.25">
      <c r="B143" s="67" t="s">
        <v>690</v>
      </c>
      <c r="K143" t="s">
        <v>1085</v>
      </c>
    </row>
    <row r="144" spans="2:11" x14ac:dyDescent="0.25">
      <c r="B144" s="67" t="s">
        <v>691</v>
      </c>
      <c r="K144" t="s">
        <v>1086</v>
      </c>
    </row>
    <row r="145" spans="2:11" x14ac:dyDescent="0.25">
      <c r="B145" s="67" t="s">
        <v>692</v>
      </c>
      <c r="K145" t="s">
        <v>1087</v>
      </c>
    </row>
    <row r="146" spans="2:11" x14ac:dyDescent="0.25">
      <c r="B146" s="67" t="s">
        <v>693</v>
      </c>
      <c r="K146" t="s">
        <v>1088</v>
      </c>
    </row>
    <row r="147" spans="2:11" x14ac:dyDescent="0.25">
      <c r="B147" s="67" t="s">
        <v>694</v>
      </c>
      <c r="K147" t="s">
        <v>1089</v>
      </c>
    </row>
    <row r="148" spans="2:11" x14ac:dyDescent="0.25">
      <c r="B148" s="67" t="s">
        <v>695</v>
      </c>
      <c r="K148" t="s">
        <v>1090</v>
      </c>
    </row>
    <row r="149" spans="2:11" x14ac:dyDescent="0.25">
      <c r="B149" s="67" t="s">
        <v>696</v>
      </c>
      <c r="K149" t="s">
        <v>1091</v>
      </c>
    </row>
    <row r="150" spans="2:11" x14ac:dyDescent="0.25">
      <c r="B150" s="67" t="s">
        <v>697</v>
      </c>
      <c r="K150" t="s">
        <v>1092</v>
      </c>
    </row>
    <row r="151" spans="2:11" x14ac:dyDescent="0.25">
      <c r="B151" s="67" t="s">
        <v>698</v>
      </c>
      <c r="K151" t="s">
        <v>1093</v>
      </c>
    </row>
    <row r="152" spans="2:11" x14ac:dyDescent="0.25">
      <c r="B152" s="67" t="s">
        <v>699</v>
      </c>
      <c r="K152" t="s">
        <v>1094</v>
      </c>
    </row>
    <row r="153" spans="2:11" x14ac:dyDescent="0.25">
      <c r="B153" s="67" t="s">
        <v>700</v>
      </c>
      <c r="K153" t="s">
        <v>1095</v>
      </c>
    </row>
    <row r="154" spans="2:11" x14ac:dyDescent="0.25">
      <c r="B154" s="67" t="s">
        <v>701</v>
      </c>
      <c r="K154" t="s">
        <v>1096</v>
      </c>
    </row>
    <row r="155" spans="2:11" x14ac:dyDescent="0.25">
      <c r="B155" s="67" t="s">
        <v>702</v>
      </c>
      <c r="K155" t="s">
        <v>1097</v>
      </c>
    </row>
    <row r="156" spans="2:11" x14ac:dyDescent="0.25">
      <c r="B156" s="67" t="s">
        <v>703</v>
      </c>
      <c r="K156" t="s">
        <v>1098</v>
      </c>
    </row>
    <row r="157" spans="2:11" x14ac:dyDescent="0.25">
      <c r="B157" s="67" t="s">
        <v>704</v>
      </c>
      <c r="K157" t="s">
        <v>1099</v>
      </c>
    </row>
    <row r="158" spans="2:11" x14ac:dyDescent="0.25">
      <c r="B158" s="67" t="s">
        <v>705</v>
      </c>
      <c r="K158" t="s">
        <v>1100</v>
      </c>
    </row>
    <row r="159" spans="2:11" x14ac:dyDescent="0.25">
      <c r="B159" s="67" t="s">
        <v>706</v>
      </c>
      <c r="K159" t="s">
        <v>1101</v>
      </c>
    </row>
    <row r="160" spans="2:11" x14ac:dyDescent="0.25">
      <c r="B160" s="67" t="s">
        <v>707</v>
      </c>
      <c r="K160" t="s">
        <v>1102</v>
      </c>
    </row>
    <row r="161" spans="2:11" x14ac:dyDescent="0.25">
      <c r="B161" s="67" t="s">
        <v>708</v>
      </c>
      <c r="K161" t="s">
        <v>1103</v>
      </c>
    </row>
    <row r="162" spans="2:11" x14ac:dyDescent="0.25">
      <c r="B162" s="67" t="s">
        <v>709</v>
      </c>
    </row>
    <row r="163" spans="2:11" x14ac:dyDescent="0.25">
      <c r="B163" s="67" t="s">
        <v>710</v>
      </c>
    </row>
    <row r="164" spans="2:11" x14ac:dyDescent="0.25">
      <c r="B164" s="67" t="s">
        <v>711</v>
      </c>
    </row>
    <row r="165" spans="2:11" x14ac:dyDescent="0.25">
      <c r="B165" s="67" t="s">
        <v>712</v>
      </c>
    </row>
    <row r="166" spans="2:11" x14ac:dyDescent="0.25">
      <c r="B166" s="67" t="s">
        <v>713</v>
      </c>
    </row>
    <row r="167" spans="2:11" x14ac:dyDescent="0.25">
      <c r="B167" s="67" t="s">
        <v>714</v>
      </c>
    </row>
    <row r="168" spans="2:11" x14ac:dyDescent="0.25">
      <c r="B168" s="67" t="s">
        <v>715</v>
      </c>
    </row>
    <row r="169" spans="2:11" x14ac:dyDescent="0.25">
      <c r="B169" s="67" t="s">
        <v>716</v>
      </c>
    </row>
    <row r="170" spans="2:11" x14ac:dyDescent="0.25">
      <c r="B170" s="67" t="s">
        <v>717</v>
      </c>
    </row>
    <row r="171" spans="2:11" x14ac:dyDescent="0.25">
      <c r="B171" s="67" t="s">
        <v>718</v>
      </c>
    </row>
    <row r="172" spans="2:11" x14ac:dyDescent="0.25">
      <c r="B172" s="67" t="s">
        <v>719</v>
      </c>
    </row>
    <row r="173" spans="2:11" x14ac:dyDescent="0.25">
      <c r="B173" s="67" t="s">
        <v>720</v>
      </c>
    </row>
    <row r="174" spans="2:11" x14ac:dyDescent="0.25">
      <c r="B174" s="67" t="s">
        <v>721</v>
      </c>
    </row>
    <row r="175" spans="2:11" x14ac:dyDescent="0.25">
      <c r="B175" s="67" t="s">
        <v>722</v>
      </c>
    </row>
    <row r="176" spans="2:11" x14ac:dyDescent="0.25">
      <c r="B176" s="67" t="s">
        <v>723</v>
      </c>
    </row>
    <row r="177" spans="2:2" x14ac:dyDescent="0.25">
      <c r="B177" s="67" t="s">
        <v>724</v>
      </c>
    </row>
    <row r="178" spans="2:2" x14ac:dyDescent="0.25">
      <c r="B178" s="67" t="s">
        <v>725</v>
      </c>
    </row>
    <row r="179" spans="2:2" x14ac:dyDescent="0.25">
      <c r="B179" s="67" t="s">
        <v>726</v>
      </c>
    </row>
    <row r="180" spans="2:2" x14ac:dyDescent="0.25">
      <c r="B180" s="67" t="s">
        <v>727</v>
      </c>
    </row>
    <row r="181" spans="2:2" x14ac:dyDescent="0.25">
      <c r="B181" s="67" t="s">
        <v>728</v>
      </c>
    </row>
    <row r="182" spans="2:2" x14ac:dyDescent="0.25">
      <c r="B182" s="67" t="s">
        <v>729</v>
      </c>
    </row>
    <row r="183" spans="2:2" x14ac:dyDescent="0.25">
      <c r="B183" s="67" t="s">
        <v>730</v>
      </c>
    </row>
    <row r="184" spans="2:2" x14ac:dyDescent="0.25">
      <c r="B184" s="67" t="s">
        <v>731</v>
      </c>
    </row>
    <row r="185" spans="2:2" x14ac:dyDescent="0.25">
      <c r="B185" s="67" t="s">
        <v>732</v>
      </c>
    </row>
    <row r="186" spans="2:2" x14ac:dyDescent="0.25">
      <c r="B186" s="67" t="s">
        <v>733</v>
      </c>
    </row>
    <row r="187" spans="2:2" x14ac:dyDescent="0.25">
      <c r="B187" s="67" t="s">
        <v>734</v>
      </c>
    </row>
    <row r="188" spans="2:2" x14ac:dyDescent="0.25">
      <c r="B188" s="67" t="s">
        <v>735</v>
      </c>
    </row>
    <row r="189" spans="2:2" x14ac:dyDescent="0.25">
      <c r="B189" s="67" t="s">
        <v>736</v>
      </c>
    </row>
    <row r="190" spans="2:2" x14ac:dyDescent="0.25">
      <c r="B190" s="67" t="s">
        <v>737</v>
      </c>
    </row>
    <row r="191" spans="2:2" x14ac:dyDescent="0.25">
      <c r="B191" s="67" t="s">
        <v>738</v>
      </c>
    </row>
    <row r="192" spans="2:2" x14ac:dyDescent="0.25">
      <c r="B192" s="67" t="s">
        <v>739</v>
      </c>
    </row>
    <row r="193" spans="2:2" x14ac:dyDescent="0.25">
      <c r="B193" s="67" t="s">
        <v>740</v>
      </c>
    </row>
    <row r="194" spans="2:2" x14ac:dyDescent="0.25">
      <c r="B194" s="67" t="s">
        <v>741</v>
      </c>
    </row>
    <row r="195" spans="2:2" x14ac:dyDescent="0.25">
      <c r="B195" s="67" t="s">
        <v>742</v>
      </c>
    </row>
    <row r="196" spans="2:2" x14ac:dyDescent="0.25">
      <c r="B196" s="67" t="s">
        <v>743</v>
      </c>
    </row>
    <row r="197" spans="2:2" x14ac:dyDescent="0.25">
      <c r="B197" s="67" t="s">
        <v>744</v>
      </c>
    </row>
    <row r="198" spans="2:2" x14ac:dyDescent="0.25">
      <c r="B198" s="67" t="s">
        <v>745</v>
      </c>
    </row>
    <row r="199" spans="2:2" x14ac:dyDescent="0.25">
      <c r="B199" s="67" t="s">
        <v>746</v>
      </c>
    </row>
    <row r="200" spans="2:2" x14ac:dyDescent="0.25">
      <c r="B200" s="67" t="s">
        <v>747</v>
      </c>
    </row>
    <row r="201" spans="2:2" x14ac:dyDescent="0.25">
      <c r="B201" s="67" t="s">
        <v>748</v>
      </c>
    </row>
    <row r="202" spans="2:2" x14ac:dyDescent="0.25">
      <c r="B202" s="67" t="s">
        <v>749</v>
      </c>
    </row>
    <row r="203" spans="2:2" x14ac:dyDescent="0.25">
      <c r="B203" s="67" t="s">
        <v>750</v>
      </c>
    </row>
    <row r="204" spans="2:2" x14ac:dyDescent="0.25">
      <c r="B204" s="67" t="s">
        <v>751</v>
      </c>
    </row>
    <row r="205" spans="2:2" x14ac:dyDescent="0.25">
      <c r="B205" s="67" t="s">
        <v>752</v>
      </c>
    </row>
    <row r="206" spans="2:2" x14ac:dyDescent="0.25">
      <c r="B206" s="67" t="s">
        <v>753</v>
      </c>
    </row>
    <row r="207" spans="2:2" x14ac:dyDescent="0.25">
      <c r="B207" s="67" t="s">
        <v>754</v>
      </c>
    </row>
    <row r="208" spans="2:2" x14ac:dyDescent="0.25">
      <c r="B208" s="67" t="s">
        <v>755</v>
      </c>
    </row>
    <row r="209" spans="2:2" x14ac:dyDescent="0.25">
      <c r="B209" s="67" t="s">
        <v>756</v>
      </c>
    </row>
    <row r="210" spans="2:2" x14ac:dyDescent="0.25">
      <c r="B210" s="67" t="s">
        <v>757</v>
      </c>
    </row>
    <row r="211" spans="2:2" x14ac:dyDescent="0.25">
      <c r="B211" s="67" t="s">
        <v>758</v>
      </c>
    </row>
    <row r="212" spans="2:2" x14ac:dyDescent="0.25">
      <c r="B212" s="67" t="s">
        <v>759</v>
      </c>
    </row>
    <row r="213" spans="2:2" x14ac:dyDescent="0.25">
      <c r="B213" s="67" t="s">
        <v>760</v>
      </c>
    </row>
    <row r="214" spans="2:2" x14ac:dyDescent="0.25">
      <c r="B214" s="67" t="s">
        <v>761</v>
      </c>
    </row>
    <row r="215" spans="2:2" x14ac:dyDescent="0.25">
      <c r="B215" s="67" t="s">
        <v>762</v>
      </c>
    </row>
    <row r="216" spans="2:2" x14ac:dyDescent="0.25">
      <c r="B216" s="67" t="s">
        <v>763</v>
      </c>
    </row>
    <row r="217" spans="2:2" x14ac:dyDescent="0.25">
      <c r="B217" s="67" t="s">
        <v>764</v>
      </c>
    </row>
    <row r="218" spans="2:2" x14ac:dyDescent="0.25">
      <c r="B218" s="67" t="s">
        <v>765</v>
      </c>
    </row>
    <row r="219" spans="2:2" x14ac:dyDescent="0.25">
      <c r="B219" s="67" t="s">
        <v>766</v>
      </c>
    </row>
    <row r="220" spans="2:2" x14ac:dyDescent="0.25">
      <c r="B220" s="67" t="s">
        <v>767</v>
      </c>
    </row>
    <row r="221" spans="2:2" x14ac:dyDescent="0.25">
      <c r="B221" s="67" t="s">
        <v>768</v>
      </c>
    </row>
    <row r="222" spans="2:2" x14ac:dyDescent="0.25">
      <c r="B222" s="67" t="s">
        <v>769</v>
      </c>
    </row>
    <row r="223" spans="2:2" x14ac:dyDescent="0.25">
      <c r="B223" s="67" t="s">
        <v>770</v>
      </c>
    </row>
    <row r="224" spans="2:2" x14ac:dyDescent="0.25">
      <c r="B224" s="67" t="s">
        <v>771</v>
      </c>
    </row>
    <row r="225" spans="2:2" x14ac:dyDescent="0.25">
      <c r="B225" s="67" t="s">
        <v>772</v>
      </c>
    </row>
    <row r="226" spans="2:2" x14ac:dyDescent="0.25">
      <c r="B226" s="67" t="s">
        <v>773</v>
      </c>
    </row>
    <row r="227" spans="2:2" x14ac:dyDescent="0.25">
      <c r="B227" s="67" t="s">
        <v>774</v>
      </c>
    </row>
    <row r="228" spans="2:2" x14ac:dyDescent="0.25">
      <c r="B228" s="67" t="s">
        <v>775</v>
      </c>
    </row>
    <row r="229" spans="2:2" x14ac:dyDescent="0.25">
      <c r="B229" s="67" t="s">
        <v>776</v>
      </c>
    </row>
    <row r="230" spans="2:2" x14ac:dyDescent="0.25">
      <c r="B230" s="67" t="s">
        <v>777</v>
      </c>
    </row>
    <row r="231" spans="2:2" x14ac:dyDescent="0.25">
      <c r="B231" s="67" t="s">
        <v>778</v>
      </c>
    </row>
    <row r="232" spans="2:2" x14ac:dyDescent="0.25">
      <c r="B232" s="67" t="s">
        <v>779</v>
      </c>
    </row>
    <row r="233" spans="2:2" x14ac:dyDescent="0.25">
      <c r="B233" s="67" t="s">
        <v>780</v>
      </c>
    </row>
    <row r="234" spans="2:2" x14ac:dyDescent="0.25">
      <c r="B234" s="67" t="s">
        <v>781</v>
      </c>
    </row>
    <row r="235" spans="2:2" x14ac:dyDescent="0.25">
      <c r="B235" s="67" t="s">
        <v>782</v>
      </c>
    </row>
    <row r="236" spans="2:2" x14ac:dyDescent="0.25">
      <c r="B236" s="67" t="s">
        <v>783</v>
      </c>
    </row>
    <row r="237" spans="2:2" x14ac:dyDescent="0.25">
      <c r="B237" s="67" t="s">
        <v>784</v>
      </c>
    </row>
    <row r="238" spans="2:2" x14ac:dyDescent="0.25">
      <c r="B238" s="67" t="s">
        <v>785</v>
      </c>
    </row>
    <row r="239" spans="2:2" x14ac:dyDescent="0.25">
      <c r="B239" s="67" t="s">
        <v>786</v>
      </c>
    </row>
    <row r="240" spans="2:2" x14ac:dyDescent="0.25">
      <c r="B240" s="67" t="s">
        <v>787</v>
      </c>
    </row>
    <row r="241" spans="2:2" x14ac:dyDescent="0.25">
      <c r="B241" s="67" t="s">
        <v>788</v>
      </c>
    </row>
    <row r="242" spans="2:2" x14ac:dyDescent="0.25">
      <c r="B242" s="67" t="s">
        <v>789</v>
      </c>
    </row>
    <row r="243" spans="2:2" x14ac:dyDescent="0.25">
      <c r="B243" s="67" t="s">
        <v>790</v>
      </c>
    </row>
    <row r="244" spans="2:2" x14ac:dyDescent="0.25">
      <c r="B244" s="67" t="s">
        <v>791</v>
      </c>
    </row>
    <row r="245" spans="2:2" x14ac:dyDescent="0.25">
      <c r="B245" s="67" t="s">
        <v>792</v>
      </c>
    </row>
  </sheetData>
  <sortState xmlns:xlrd2="http://schemas.microsoft.com/office/spreadsheetml/2017/richdata2" ref="D10:D88">
    <sortCondition ref="D10:D88"/>
  </sortState>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16065" r:id="rId4" name="Button 1">
              <controlPr defaultSize="0" print="0" autoFill="0" autoPict="0" macro="[0]!List_Set">
                <anchor moveWithCells="1" sizeWithCells="1">
                  <from>
                    <xdr:col>2</xdr:col>
                    <xdr:colOff>0</xdr:colOff>
                    <xdr:row>5</xdr:row>
                    <xdr:rowOff>0</xdr:rowOff>
                  </from>
                  <to>
                    <xdr:col>3</xdr:col>
                    <xdr:colOff>0</xdr:colOff>
                    <xdr:row>6</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I262"/>
  <sheetViews>
    <sheetView workbookViewId="0">
      <selection activeCell="H25" sqref="H25"/>
    </sheetView>
  </sheetViews>
  <sheetFormatPr defaultRowHeight="13.8" x14ac:dyDescent="0.25"/>
  <cols>
    <col min="6" max="6" width="11.3984375" bestFit="1" customWidth="1"/>
    <col min="11" max="11" width="28.19921875" customWidth="1"/>
    <col min="12" max="12" width="9.8984375" bestFit="1" customWidth="1"/>
    <col min="13" max="13" width="17.5" customWidth="1"/>
    <col min="16" max="16" width="10" bestFit="1" customWidth="1"/>
    <col min="17" max="17" width="11.19921875" bestFit="1" customWidth="1"/>
    <col min="19" max="19" width="12.3984375" bestFit="1" customWidth="1"/>
  </cols>
  <sheetData>
    <row r="1" spans="1:35" x14ac:dyDescent="0.25">
      <c r="A1" t="s">
        <v>26</v>
      </c>
      <c r="C1" t="s">
        <v>13</v>
      </c>
      <c r="E1" t="s">
        <v>14</v>
      </c>
      <c r="F1" t="s">
        <v>15</v>
      </c>
      <c r="H1" t="s">
        <v>16</v>
      </c>
      <c r="K1" t="s">
        <v>1191</v>
      </c>
      <c r="S1" t="s">
        <v>17</v>
      </c>
      <c r="V1" t="s">
        <v>18</v>
      </c>
      <c r="Y1" t="s">
        <v>207</v>
      </c>
      <c r="AE1" t="s">
        <v>297</v>
      </c>
      <c r="AI1" t="s">
        <v>327</v>
      </c>
    </row>
    <row r="2" spans="1:35" x14ac:dyDescent="0.25">
      <c r="A2">
        <v>0</v>
      </c>
      <c r="E2" t="s">
        <v>19</v>
      </c>
      <c r="F2">
        <v>1</v>
      </c>
      <c r="H2">
        <v>65</v>
      </c>
      <c r="I2">
        <v>0.65</v>
      </c>
      <c r="K2" s="320">
        <v>43892</v>
      </c>
      <c r="L2" s="320"/>
      <c r="M2" s="320"/>
      <c r="S2" s="7">
        <f>IF(Demand!$C$6="","",Demand!$C$6)</f>
        <v>43893</v>
      </c>
      <c r="V2">
        <v>1</v>
      </c>
      <c r="Y2" t="s">
        <v>210</v>
      </c>
      <c r="Z2" t="s">
        <v>208</v>
      </c>
      <c r="AA2" t="s">
        <v>209</v>
      </c>
      <c r="AE2" t="s">
        <v>57</v>
      </c>
      <c r="AI2" t="str">
        <f ca="1">"Baseline: "&amp;TEXT(MAX('SPC background (hide)'!$I$5:$I$11),"#")&amp;" wks"</f>
        <v>Baseline: 10 wks</v>
      </c>
    </row>
    <row r="3" spans="1:35" x14ac:dyDescent="0.25">
      <c r="A3">
        <v>1</v>
      </c>
      <c r="C3" t="s">
        <v>20</v>
      </c>
      <c r="E3" t="s">
        <v>21</v>
      </c>
      <c r="F3">
        <v>2</v>
      </c>
      <c r="H3">
        <v>70</v>
      </c>
      <c r="I3">
        <v>0.7</v>
      </c>
      <c r="K3" s="320">
        <f>K2+7</f>
        <v>43899</v>
      </c>
      <c r="S3" s="7">
        <f>IF($S$2="","",S2+7)</f>
        <v>43900</v>
      </c>
      <c r="V3">
        <v>1.5</v>
      </c>
      <c r="Y3" t="s">
        <v>32</v>
      </c>
      <c r="Z3" t="str">
        <f>Setup!C27</f>
        <v>Modality 1</v>
      </c>
      <c r="AA3" t="str">
        <f>IF(Z3="",Y3,Z3)</f>
        <v>Modality 1</v>
      </c>
      <c r="AE3" t="str">
        <f>IF(Capacity!B17="","",ROW(A1)&amp;". "&amp;Capacity!B17)</f>
        <v>1. Clinic 1</v>
      </c>
      <c r="AF3" s="67"/>
      <c r="AI3">
        <v>20</v>
      </c>
    </row>
    <row r="4" spans="1:35" x14ac:dyDescent="0.25">
      <c r="A4">
        <v>2</v>
      </c>
      <c r="C4" t="s">
        <v>22</v>
      </c>
      <c r="E4" t="s">
        <v>23</v>
      </c>
      <c r="F4">
        <v>3</v>
      </c>
      <c r="H4">
        <v>75</v>
      </c>
      <c r="I4">
        <v>0.75</v>
      </c>
      <c r="K4" s="320">
        <f t="shared" ref="K4:K54" si="0">K3+7</f>
        <v>43906</v>
      </c>
      <c r="S4" s="7">
        <f t="shared" ref="S4:S53" si="1">IF($S$2="","",S3+7)</f>
        <v>43907</v>
      </c>
      <c r="V4">
        <v>2</v>
      </c>
      <c r="Y4" t="s">
        <v>34</v>
      </c>
      <c r="Z4" t="str">
        <f>Setup!C28</f>
        <v>Modality 2</v>
      </c>
      <c r="AA4" t="str">
        <f t="shared" ref="AA4:AA12" si="2">IF(Z4="",Y4,Z4)</f>
        <v>Modality 2</v>
      </c>
      <c r="AE4" s="67" t="str">
        <f>IF(Capacity!B18="","",ROW(A2)&amp;". "&amp;Capacity!B18)</f>
        <v/>
      </c>
      <c r="AF4" s="67"/>
      <c r="AI4">
        <v>21</v>
      </c>
    </row>
    <row r="5" spans="1:35" x14ac:dyDescent="0.25">
      <c r="A5">
        <v>3</v>
      </c>
      <c r="H5">
        <v>80</v>
      </c>
      <c r="I5">
        <v>0.8</v>
      </c>
      <c r="K5" s="320">
        <f t="shared" si="0"/>
        <v>43913</v>
      </c>
      <c r="S5" s="7">
        <f t="shared" si="1"/>
        <v>43914</v>
      </c>
      <c r="V5">
        <v>2.5</v>
      </c>
      <c r="Y5" t="s">
        <v>36</v>
      </c>
      <c r="Z5" t="str">
        <f>Setup!C29</f>
        <v>Modality 3</v>
      </c>
      <c r="AA5" t="str">
        <f t="shared" si="2"/>
        <v>Modality 3</v>
      </c>
      <c r="AE5" s="67" t="str">
        <f>IF(Capacity!B19="","",ROW(A3)&amp;". "&amp;Capacity!B19)</f>
        <v/>
      </c>
      <c r="AF5" s="67"/>
      <c r="AI5" s="67">
        <v>22</v>
      </c>
    </row>
    <row r="6" spans="1:35" x14ac:dyDescent="0.25">
      <c r="A6">
        <v>4</v>
      </c>
      <c r="C6" t="s">
        <v>22</v>
      </c>
      <c r="E6" t="s">
        <v>19</v>
      </c>
      <c r="I6">
        <v>0.85</v>
      </c>
      <c r="K6" s="320">
        <f t="shared" si="0"/>
        <v>43920</v>
      </c>
      <c r="S6" s="7">
        <f t="shared" si="1"/>
        <v>43921</v>
      </c>
      <c r="V6">
        <v>3</v>
      </c>
      <c r="Y6" t="s">
        <v>38</v>
      </c>
      <c r="Z6" t="str">
        <f>Setup!C30</f>
        <v>Modality 4</v>
      </c>
      <c r="AA6" t="str">
        <f t="shared" si="2"/>
        <v>Modality 4</v>
      </c>
      <c r="AE6" s="67" t="str">
        <f>IF(Capacity!B20="","",ROW(A4)&amp;". "&amp;Capacity!B20)</f>
        <v/>
      </c>
      <c r="AF6" s="67"/>
      <c r="AI6" s="67">
        <v>23</v>
      </c>
    </row>
    <row r="7" spans="1:35" x14ac:dyDescent="0.25">
      <c r="A7">
        <v>5</v>
      </c>
      <c r="C7" t="s">
        <v>20</v>
      </c>
      <c r="E7" t="s">
        <v>23</v>
      </c>
      <c r="K7" s="320">
        <f t="shared" si="0"/>
        <v>43927</v>
      </c>
      <c r="S7" s="7">
        <f t="shared" si="1"/>
        <v>43928</v>
      </c>
      <c r="V7">
        <v>3.5</v>
      </c>
      <c r="Y7" t="s">
        <v>40</v>
      </c>
      <c r="Z7" t="str">
        <f>Setup!C31</f>
        <v>Modality 5</v>
      </c>
      <c r="AA7" t="str">
        <f t="shared" si="2"/>
        <v>Modality 5</v>
      </c>
      <c r="AE7" s="67" t="str">
        <f>IF(Capacity!B21="","",ROW(A5)&amp;". "&amp;Capacity!B21)</f>
        <v/>
      </c>
      <c r="AF7" s="67"/>
      <c r="AI7" s="67">
        <v>24</v>
      </c>
    </row>
    <row r="8" spans="1:35" x14ac:dyDescent="0.25">
      <c r="A8">
        <v>6</v>
      </c>
      <c r="K8" s="320">
        <f t="shared" si="0"/>
        <v>43934</v>
      </c>
      <c r="S8" s="7">
        <f t="shared" si="1"/>
        <v>43935</v>
      </c>
      <c r="V8">
        <v>4</v>
      </c>
      <c r="Y8" t="s">
        <v>42</v>
      </c>
      <c r="Z8" t="str">
        <f>Setup!C32</f>
        <v>Modality 6</v>
      </c>
      <c r="AA8" t="str">
        <f t="shared" si="2"/>
        <v>Modality 6</v>
      </c>
      <c r="AE8" s="67" t="str">
        <f>IF(Capacity!B22="","",ROW(A6)&amp;". "&amp;Capacity!B22)</f>
        <v/>
      </c>
      <c r="AF8" s="67"/>
      <c r="AI8" s="67">
        <v>25</v>
      </c>
    </row>
    <row r="9" spans="1:35" x14ac:dyDescent="0.25">
      <c r="A9">
        <v>7</v>
      </c>
      <c r="E9" t="s">
        <v>19</v>
      </c>
      <c r="H9" t="s">
        <v>137</v>
      </c>
      <c r="I9">
        <f>VLOOKUP(Setup!I19,'Control sheet (hide)'!H2:I5,2,0)</f>
        <v>0.65</v>
      </c>
      <c r="K9" s="320">
        <f t="shared" si="0"/>
        <v>43941</v>
      </c>
      <c r="S9" s="7">
        <f t="shared" si="1"/>
        <v>43942</v>
      </c>
      <c r="V9">
        <v>4.5</v>
      </c>
      <c r="Y9" t="s">
        <v>44</v>
      </c>
      <c r="Z9" t="str">
        <f>Setup!C33</f>
        <v>Modality 7</v>
      </c>
      <c r="AA9" t="str">
        <f t="shared" si="2"/>
        <v>Modality 7</v>
      </c>
      <c r="AE9" s="67" t="str">
        <f>IF(Capacity!B23="","",ROW(A7)&amp;". "&amp;Capacity!B23)</f>
        <v/>
      </c>
      <c r="AF9" s="67"/>
      <c r="AI9" s="67">
        <v>26</v>
      </c>
    </row>
    <row r="10" spans="1:35" x14ac:dyDescent="0.25">
      <c r="A10">
        <v>8</v>
      </c>
      <c r="E10" t="s">
        <v>21</v>
      </c>
      <c r="H10" t="s">
        <v>138</v>
      </c>
      <c r="I10">
        <f>I6</f>
        <v>0.85</v>
      </c>
      <c r="K10" s="320">
        <f t="shared" si="0"/>
        <v>43948</v>
      </c>
      <c r="S10" s="7">
        <f t="shared" si="1"/>
        <v>43949</v>
      </c>
      <c r="V10">
        <v>5</v>
      </c>
      <c r="Y10" t="s">
        <v>46</v>
      </c>
      <c r="Z10" t="str">
        <f>Setup!C34</f>
        <v>Modality 8</v>
      </c>
      <c r="AA10" t="str">
        <f t="shared" si="2"/>
        <v>Modality 8</v>
      </c>
      <c r="AE10" s="67" t="str">
        <f>IF(Capacity!B24="","",ROW(A8)&amp;". "&amp;Capacity!B24)</f>
        <v/>
      </c>
      <c r="AF10" s="67"/>
      <c r="AI10" s="67">
        <v>27</v>
      </c>
    </row>
    <row r="11" spans="1:35" x14ac:dyDescent="0.25">
      <c r="A11">
        <v>9</v>
      </c>
      <c r="C11" t="s">
        <v>1185</v>
      </c>
      <c r="K11" s="320">
        <f t="shared" si="0"/>
        <v>43955</v>
      </c>
      <c r="S11" s="7">
        <f t="shared" si="1"/>
        <v>43956</v>
      </c>
      <c r="V11">
        <v>5.5</v>
      </c>
      <c r="Y11" t="s">
        <v>48</v>
      </c>
      <c r="Z11" t="str">
        <f>Setup!C35</f>
        <v>Modality 9</v>
      </c>
      <c r="AA11" t="str">
        <f t="shared" si="2"/>
        <v>Modality 9</v>
      </c>
      <c r="AE11" s="67" t="str">
        <f>IF(Capacity!B25="","",ROW(A9)&amp;". "&amp;Capacity!B25)</f>
        <v/>
      </c>
      <c r="AF11" s="67"/>
      <c r="AI11" s="67">
        <v>28</v>
      </c>
    </row>
    <row r="12" spans="1:35" x14ac:dyDescent="0.25">
      <c r="A12">
        <v>10</v>
      </c>
      <c r="K12" s="320">
        <f t="shared" si="0"/>
        <v>43962</v>
      </c>
      <c r="S12" s="7">
        <f t="shared" si="1"/>
        <v>43963</v>
      </c>
      <c r="V12">
        <v>6</v>
      </c>
      <c r="Y12" t="s">
        <v>50</v>
      </c>
      <c r="Z12" t="str">
        <f>Setup!C36</f>
        <v>Modality 10</v>
      </c>
      <c r="AA12" t="str">
        <f t="shared" si="2"/>
        <v>Modality 10</v>
      </c>
      <c r="AE12" s="67" t="str">
        <f>IF(Capacity!B26="","",ROW(A10)&amp;". "&amp;Capacity!B26)</f>
        <v/>
      </c>
      <c r="AF12" s="67"/>
      <c r="AI12" s="67">
        <v>29</v>
      </c>
    </row>
    <row r="13" spans="1:35" x14ac:dyDescent="0.25">
      <c r="A13">
        <v>11</v>
      </c>
      <c r="E13" t="s">
        <v>24</v>
      </c>
      <c r="H13" t="s">
        <v>875</v>
      </c>
      <c r="K13" s="320">
        <f t="shared" si="0"/>
        <v>43969</v>
      </c>
      <c r="S13" s="7">
        <f t="shared" si="1"/>
        <v>43970</v>
      </c>
      <c r="V13">
        <v>6.5</v>
      </c>
      <c r="AA13" t="s">
        <v>211</v>
      </c>
      <c r="AE13" s="67" t="str">
        <f>IF(Capacity!B27="","",ROW(A11)&amp;". "&amp;Capacity!B27)</f>
        <v/>
      </c>
      <c r="AF13" s="67"/>
      <c r="AI13" s="67">
        <v>30</v>
      </c>
    </row>
    <row r="14" spans="1:35" x14ac:dyDescent="0.25">
      <c r="A14">
        <v>12</v>
      </c>
      <c r="E14" t="s">
        <v>25</v>
      </c>
      <c r="H14" t="s">
        <v>876</v>
      </c>
      <c r="K14" s="320">
        <f t="shared" si="0"/>
        <v>43976</v>
      </c>
      <c r="S14" s="7">
        <f t="shared" si="1"/>
        <v>43977</v>
      </c>
      <c r="V14">
        <v>7</v>
      </c>
      <c r="AE14" s="67" t="str">
        <f>IF(Capacity!B28="","",ROW(A12)&amp;". "&amp;Capacity!B28)</f>
        <v/>
      </c>
      <c r="AF14" s="67"/>
      <c r="AI14" s="67">
        <v>31</v>
      </c>
    </row>
    <row r="15" spans="1:35" x14ac:dyDescent="0.25">
      <c r="A15">
        <v>13</v>
      </c>
      <c r="K15" s="320">
        <f t="shared" si="0"/>
        <v>43983</v>
      </c>
      <c r="S15" s="7">
        <f t="shared" si="1"/>
        <v>43984</v>
      </c>
      <c r="V15">
        <v>7.5</v>
      </c>
      <c r="AE15" s="67" t="str">
        <f>IF(Capacity!B29="","",ROW(A13)&amp;". "&amp;Capacity!B29)</f>
        <v/>
      </c>
      <c r="AF15" s="67"/>
      <c r="AI15" s="67">
        <v>32</v>
      </c>
    </row>
    <row r="16" spans="1:35" x14ac:dyDescent="0.25">
      <c r="A16">
        <v>14</v>
      </c>
      <c r="E16" t="s">
        <v>88</v>
      </c>
      <c r="K16" s="320">
        <f t="shared" si="0"/>
        <v>43990</v>
      </c>
      <c r="S16" s="7">
        <f t="shared" si="1"/>
        <v>43991</v>
      </c>
      <c r="V16">
        <v>8</v>
      </c>
      <c r="AE16" s="67" t="str">
        <f>IF(Capacity!B30="","",ROW(A14)&amp;". "&amp;Capacity!B30)</f>
        <v/>
      </c>
      <c r="AF16" s="67"/>
      <c r="AI16" s="67">
        <v>33</v>
      </c>
    </row>
    <row r="17" spans="1:35" x14ac:dyDescent="0.25">
      <c r="A17">
        <v>15</v>
      </c>
      <c r="E17" t="s">
        <v>87</v>
      </c>
      <c r="K17" s="320">
        <f t="shared" si="0"/>
        <v>43997</v>
      </c>
      <c r="S17" s="7">
        <f t="shared" si="1"/>
        <v>43998</v>
      </c>
      <c r="V17">
        <v>8.5</v>
      </c>
      <c r="AE17" s="67" t="str">
        <f>IF(Capacity!B31="","",ROW(A15)&amp;". "&amp;Capacity!B31)</f>
        <v/>
      </c>
      <c r="AF17" s="67"/>
      <c r="AI17" s="67">
        <v>34</v>
      </c>
    </row>
    <row r="18" spans="1:35" x14ac:dyDescent="0.25">
      <c r="A18">
        <v>16</v>
      </c>
      <c r="K18" s="320">
        <f t="shared" si="0"/>
        <v>44004</v>
      </c>
      <c r="S18" s="7">
        <f t="shared" si="1"/>
        <v>44005</v>
      </c>
      <c r="V18">
        <v>9</v>
      </c>
      <c r="AE18" s="67" t="str">
        <f>IF(Capacity!B32="","",ROW(A16)&amp;". "&amp;Capacity!B32)</f>
        <v/>
      </c>
      <c r="AF18" s="67"/>
      <c r="AI18" s="67">
        <v>35</v>
      </c>
    </row>
    <row r="19" spans="1:35" x14ac:dyDescent="0.25">
      <c r="A19">
        <v>17</v>
      </c>
      <c r="E19" t="s">
        <v>402</v>
      </c>
      <c r="K19" s="320">
        <f t="shared" si="0"/>
        <v>44011</v>
      </c>
      <c r="S19" s="7">
        <f t="shared" si="1"/>
        <v>44012</v>
      </c>
      <c r="V19">
        <v>9.5</v>
      </c>
      <c r="AE19" s="67" t="str">
        <f>IF(Capacity!B33="","",ROW(A17)&amp;". "&amp;Capacity!B33)</f>
        <v/>
      </c>
      <c r="AF19" s="67"/>
      <c r="AI19" s="67">
        <v>36</v>
      </c>
    </row>
    <row r="20" spans="1:35" x14ac:dyDescent="0.25">
      <c r="A20">
        <v>18</v>
      </c>
      <c r="E20" t="s">
        <v>401</v>
      </c>
      <c r="K20" s="320">
        <f t="shared" si="0"/>
        <v>44018</v>
      </c>
      <c r="S20" s="7">
        <f t="shared" si="1"/>
        <v>44019</v>
      </c>
      <c r="V20">
        <v>10</v>
      </c>
      <c r="AE20" s="67" t="str">
        <f>IF(Capacity!B34="","",ROW(A18)&amp;". "&amp;Capacity!B34)</f>
        <v/>
      </c>
      <c r="AF20" s="67"/>
      <c r="AI20" s="67">
        <v>37</v>
      </c>
    </row>
    <row r="21" spans="1:35" x14ac:dyDescent="0.25">
      <c r="A21">
        <v>19</v>
      </c>
      <c r="K21" s="320">
        <f t="shared" si="0"/>
        <v>44025</v>
      </c>
      <c r="S21" s="7">
        <f t="shared" si="1"/>
        <v>44026</v>
      </c>
      <c r="V21">
        <v>10.5</v>
      </c>
      <c r="AE21" s="67" t="str">
        <f>IF(Capacity!B35="","",ROW(A19)&amp;". "&amp;Capacity!B35)</f>
        <v/>
      </c>
      <c r="AF21" s="67"/>
      <c r="AI21" s="67">
        <v>38</v>
      </c>
    </row>
    <row r="22" spans="1:35" x14ac:dyDescent="0.25">
      <c r="A22">
        <v>20</v>
      </c>
      <c r="E22" t="s">
        <v>24</v>
      </c>
      <c r="K22" s="320">
        <f t="shared" si="0"/>
        <v>44032</v>
      </c>
      <c r="S22" s="7">
        <f t="shared" si="1"/>
        <v>44033</v>
      </c>
      <c r="V22">
        <v>11</v>
      </c>
      <c r="AE22" s="67" t="str">
        <f>IF(Capacity!B36="","",ROW(A20)&amp;". "&amp;Capacity!B36)</f>
        <v/>
      </c>
      <c r="AF22" s="67"/>
      <c r="AI22" s="67">
        <v>39</v>
      </c>
    </row>
    <row r="23" spans="1:35" x14ac:dyDescent="0.25">
      <c r="A23">
        <v>21</v>
      </c>
      <c r="E23" t="s">
        <v>421</v>
      </c>
      <c r="K23" s="320">
        <f t="shared" si="0"/>
        <v>44039</v>
      </c>
      <c r="S23" s="7">
        <f t="shared" si="1"/>
        <v>44040</v>
      </c>
      <c r="V23">
        <v>11.5</v>
      </c>
      <c r="AE23" s="67" t="str">
        <f>IF(Capacity!B37="","",ROW(A21)&amp;". "&amp;Capacity!B37)</f>
        <v/>
      </c>
      <c r="AF23" s="67"/>
      <c r="AI23" s="67">
        <v>40</v>
      </c>
    </row>
    <row r="24" spans="1:35" x14ac:dyDescent="0.25">
      <c r="A24">
        <v>22</v>
      </c>
      <c r="H24" t="s">
        <v>249</v>
      </c>
      <c r="K24" s="320">
        <f t="shared" si="0"/>
        <v>44046</v>
      </c>
      <c r="S24" s="7">
        <f t="shared" si="1"/>
        <v>44047</v>
      </c>
      <c r="V24">
        <v>12</v>
      </c>
      <c r="AE24" s="67" t="str">
        <f>IF(Capacity!B38="","",ROW(A22)&amp;". "&amp;Capacity!B38)</f>
        <v/>
      </c>
      <c r="AF24" s="67"/>
      <c r="AI24" s="67">
        <v>41</v>
      </c>
    </row>
    <row r="25" spans="1:35" x14ac:dyDescent="0.25">
      <c r="A25">
        <v>23</v>
      </c>
      <c r="E25" t="s">
        <v>480</v>
      </c>
      <c r="H25" t="s">
        <v>1241</v>
      </c>
      <c r="K25" s="320">
        <f t="shared" si="0"/>
        <v>44053</v>
      </c>
      <c r="S25" s="7">
        <f t="shared" si="1"/>
        <v>44054</v>
      </c>
      <c r="AE25" s="67" t="str">
        <f>IF(Capacity!B39="","",ROW(A23)&amp;". "&amp;Capacity!B39)</f>
        <v/>
      </c>
      <c r="AF25" s="67"/>
      <c r="AI25" s="67">
        <v>42</v>
      </c>
    </row>
    <row r="26" spans="1:35" x14ac:dyDescent="0.25">
      <c r="A26">
        <v>24</v>
      </c>
      <c r="E26" t="s">
        <v>481</v>
      </c>
      <c r="K26" s="320">
        <f t="shared" si="0"/>
        <v>44060</v>
      </c>
      <c r="S26" s="7">
        <f t="shared" si="1"/>
        <v>44061</v>
      </c>
      <c r="AE26" s="67" t="str">
        <f>IF(Capacity!B40="","",ROW(A24)&amp;". "&amp;Capacity!B40)</f>
        <v/>
      </c>
      <c r="AF26" s="67"/>
      <c r="AI26" s="67">
        <v>43</v>
      </c>
    </row>
    <row r="27" spans="1:35" x14ac:dyDescent="0.25">
      <c r="A27">
        <v>25</v>
      </c>
      <c r="K27" s="320">
        <f t="shared" si="0"/>
        <v>44067</v>
      </c>
      <c r="S27" s="7">
        <f t="shared" si="1"/>
        <v>44068</v>
      </c>
      <c r="AE27" s="67" t="str">
        <f>IF(Capacity!B41="","",ROW(A25)&amp;". "&amp;Capacity!B41)</f>
        <v/>
      </c>
      <c r="AF27" s="67"/>
      <c r="AI27" s="67">
        <v>44</v>
      </c>
    </row>
    <row r="28" spans="1:35" x14ac:dyDescent="0.25">
      <c r="A28">
        <v>26</v>
      </c>
      <c r="K28" s="320">
        <f t="shared" si="0"/>
        <v>44074</v>
      </c>
      <c r="S28" s="7">
        <f t="shared" si="1"/>
        <v>44075</v>
      </c>
      <c r="AE28" s="67" t="str">
        <f>IF(Capacity!B42="","",ROW(A26)&amp;". "&amp;Capacity!B42)</f>
        <v/>
      </c>
      <c r="AF28" s="67"/>
      <c r="AI28" s="67">
        <v>45</v>
      </c>
    </row>
    <row r="29" spans="1:35" x14ac:dyDescent="0.25">
      <c r="A29">
        <v>27</v>
      </c>
      <c r="C29" t="s">
        <v>194</v>
      </c>
      <c r="E29" t="s">
        <v>482</v>
      </c>
      <c r="K29" s="320">
        <f t="shared" si="0"/>
        <v>44081</v>
      </c>
      <c r="S29" s="7">
        <f t="shared" si="1"/>
        <v>44082</v>
      </c>
      <c r="AE29" s="67" t="str">
        <f>IF(Capacity!B43="","",ROW(A27)&amp;". "&amp;Capacity!B43)</f>
        <v/>
      </c>
      <c r="AF29" s="67"/>
      <c r="AI29" s="67">
        <v>46</v>
      </c>
    </row>
    <row r="30" spans="1:35" x14ac:dyDescent="0.25">
      <c r="A30">
        <v>28</v>
      </c>
      <c r="C30" t="s">
        <v>192</v>
      </c>
      <c r="K30" s="320">
        <f t="shared" si="0"/>
        <v>44088</v>
      </c>
      <c r="S30" s="7">
        <f t="shared" si="1"/>
        <v>44089</v>
      </c>
      <c r="AE30" s="67" t="str">
        <f>IF(Capacity!B44="","",ROW(A28)&amp;". "&amp;Capacity!B44)</f>
        <v/>
      </c>
      <c r="AF30" s="67"/>
      <c r="AI30" s="67">
        <v>47</v>
      </c>
    </row>
    <row r="31" spans="1:35" x14ac:dyDescent="0.25">
      <c r="A31">
        <v>29</v>
      </c>
      <c r="C31" t="s">
        <v>193</v>
      </c>
      <c r="K31" s="320">
        <f t="shared" si="0"/>
        <v>44095</v>
      </c>
      <c r="S31" s="7">
        <f t="shared" si="1"/>
        <v>44096</v>
      </c>
      <c r="AE31" s="67" t="str">
        <f>IF(Capacity!B45="","",ROW(A29)&amp;". "&amp;Capacity!B45)</f>
        <v/>
      </c>
      <c r="AF31" s="67"/>
      <c r="AI31" s="67">
        <v>48</v>
      </c>
    </row>
    <row r="32" spans="1:35" x14ac:dyDescent="0.25">
      <c r="A32">
        <v>30</v>
      </c>
      <c r="K32" s="320">
        <f t="shared" si="0"/>
        <v>44102</v>
      </c>
      <c r="S32" s="7">
        <f t="shared" si="1"/>
        <v>44103</v>
      </c>
      <c r="AE32" s="67" t="str">
        <f>IF(Capacity!B46="","",ROW(A30)&amp;". "&amp;Capacity!B46)</f>
        <v/>
      </c>
      <c r="AF32" s="67"/>
      <c r="AI32" s="67">
        <v>49</v>
      </c>
    </row>
    <row r="33" spans="1:35" x14ac:dyDescent="0.25">
      <c r="A33">
        <v>31</v>
      </c>
      <c r="K33" s="320">
        <f t="shared" si="0"/>
        <v>44109</v>
      </c>
      <c r="S33" s="7">
        <f t="shared" si="1"/>
        <v>44110</v>
      </c>
      <c r="AE33" s="67" t="str">
        <f>IF(Capacity!B47="","",ROW(A31)&amp;". "&amp;Capacity!B47)</f>
        <v/>
      </c>
      <c r="AF33" s="67"/>
      <c r="AI33" s="67">
        <v>50</v>
      </c>
    </row>
    <row r="34" spans="1:35" x14ac:dyDescent="0.25">
      <c r="A34">
        <v>32</v>
      </c>
      <c r="C34" t="s">
        <v>24</v>
      </c>
      <c r="K34" s="320">
        <f t="shared" si="0"/>
        <v>44116</v>
      </c>
      <c r="S34" s="7">
        <f t="shared" si="1"/>
        <v>44117</v>
      </c>
      <c r="AE34" s="67" t="str">
        <f>IF(Capacity!B48="","",ROW(A32)&amp;". "&amp;Capacity!B48)</f>
        <v/>
      </c>
      <c r="AF34" s="67"/>
      <c r="AI34" s="67">
        <v>51</v>
      </c>
    </row>
    <row r="35" spans="1:35" x14ac:dyDescent="0.25">
      <c r="A35">
        <v>33</v>
      </c>
      <c r="C35" t="s">
        <v>102</v>
      </c>
      <c r="K35" s="320">
        <f t="shared" si="0"/>
        <v>44123</v>
      </c>
      <c r="S35" s="7">
        <f t="shared" si="1"/>
        <v>44124</v>
      </c>
      <c r="AE35" s="67" t="str">
        <f>IF(Capacity!B49="","",ROW(A33)&amp;". "&amp;Capacity!B49)</f>
        <v/>
      </c>
      <c r="AF35" s="67"/>
      <c r="AI35" s="67">
        <v>52</v>
      </c>
    </row>
    <row r="36" spans="1:35" x14ac:dyDescent="0.25">
      <c r="A36">
        <v>34</v>
      </c>
      <c r="K36" s="320">
        <f t="shared" si="0"/>
        <v>44130</v>
      </c>
      <c r="S36" s="7">
        <f t="shared" si="1"/>
        <v>44131</v>
      </c>
      <c r="AE36" s="67" t="str">
        <f>IF(Capacity!B50="","",ROW(A34)&amp;". "&amp;Capacity!B50)</f>
        <v/>
      </c>
      <c r="AF36" s="67"/>
    </row>
    <row r="37" spans="1:35" x14ac:dyDescent="0.25">
      <c r="A37">
        <v>35</v>
      </c>
      <c r="K37" s="320">
        <f t="shared" si="0"/>
        <v>44137</v>
      </c>
      <c r="S37" s="7">
        <f t="shared" si="1"/>
        <v>44138</v>
      </c>
      <c r="AE37" s="67" t="str">
        <f>IF(Capacity!B51="","",ROW(A35)&amp;". "&amp;Capacity!B51)</f>
        <v/>
      </c>
      <c r="AF37" s="67"/>
    </row>
    <row r="38" spans="1:35" x14ac:dyDescent="0.25">
      <c r="A38">
        <v>36</v>
      </c>
      <c r="K38" s="320">
        <f t="shared" si="0"/>
        <v>44144</v>
      </c>
      <c r="S38" s="7">
        <f t="shared" si="1"/>
        <v>44145</v>
      </c>
      <c r="AE38" s="67" t="str">
        <f>IF(Capacity!B52="","",ROW(A36)&amp;". "&amp;Capacity!B52)</f>
        <v/>
      </c>
      <c r="AF38" s="67"/>
    </row>
    <row r="39" spans="1:35" x14ac:dyDescent="0.25">
      <c r="A39">
        <v>37</v>
      </c>
      <c r="K39" s="320">
        <f t="shared" si="0"/>
        <v>44151</v>
      </c>
      <c r="S39" s="7">
        <f t="shared" si="1"/>
        <v>44152</v>
      </c>
      <c r="AE39" s="67" t="str">
        <f>IF(Capacity!B53="","",ROW(A37)&amp;". "&amp;Capacity!B53)</f>
        <v/>
      </c>
      <c r="AF39" s="67"/>
    </row>
    <row r="40" spans="1:35" x14ac:dyDescent="0.25">
      <c r="A40">
        <v>38</v>
      </c>
      <c r="K40" s="320">
        <f t="shared" si="0"/>
        <v>44158</v>
      </c>
      <c r="S40" s="7">
        <f t="shared" si="1"/>
        <v>44159</v>
      </c>
      <c r="AE40" s="67" t="str">
        <f>IF(Capacity!B54="","",ROW(A38)&amp;". "&amp;Capacity!B54)</f>
        <v/>
      </c>
      <c r="AF40" s="67"/>
    </row>
    <row r="41" spans="1:35" x14ac:dyDescent="0.25">
      <c r="A41">
        <v>39</v>
      </c>
      <c r="K41" s="320">
        <f t="shared" si="0"/>
        <v>44165</v>
      </c>
      <c r="S41" s="7">
        <f t="shared" si="1"/>
        <v>44166</v>
      </c>
      <c r="AE41" s="67" t="str">
        <f>IF(Capacity!B55="","",ROW(A39)&amp;". "&amp;Capacity!B55)</f>
        <v/>
      </c>
      <c r="AF41" s="67"/>
    </row>
    <row r="42" spans="1:35" x14ac:dyDescent="0.25">
      <c r="A42">
        <v>40</v>
      </c>
      <c r="K42" s="320">
        <f t="shared" si="0"/>
        <v>44172</v>
      </c>
      <c r="S42" s="7">
        <f t="shared" si="1"/>
        <v>44173</v>
      </c>
      <c r="AE42" s="67" t="str">
        <f>IF(Capacity!B56="","",ROW(A40)&amp;". "&amp;Capacity!B56)</f>
        <v/>
      </c>
      <c r="AF42" s="67"/>
    </row>
    <row r="43" spans="1:35" x14ac:dyDescent="0.25">
      <c r="A43">
        <v>41</v>
      </c>
      <c r="K43" s="320">
        <f t="shared" si="0"/>
        <v>44179</v>
      </c>
      <c r="S43" s="7">
        <f t="shared" si="1"/>
        <v>44180</v>
      </c>
      <c r="AE43" s="67" t="str">
        <f>IF(Capacity!B57="","",ROW(A41)&amp;". "&amp;Capacity!B57)</f>
        <v/>
      </c>
      <c r="AF43" s="67"/>
    </row>
    <row r="44" spans="1:35" x14ac:dyDescent="0.25">
      <c r="A44">
        <v>42</v>
      </c>
      <c r="K44" s="320">
        <f t="shared" si="0"/>
        <v>44186</v>
      </c>
      <c r="S44" s="7">
        <f t="shared" si="1"/>
        <v>44187</v>
      </c>
      <c r="AE44" s="67" t="str">
        <f>IF(Capacity!B58="","",ROW(A42)&amp;". "&amp;Capacity!B58)</f>
        <v/>
      </c>
      <c r="AF44" s="67"/>
    </row>
    <row r="45" spans="1:35" x14ac:dyDescent="0.25">
      <c r="A45">
        <v>43</v>
      </c>
      <c r="K45" s="320">
        <f t="shared" si="0"/>
        <v>44193</v>
      </c>
      <c r="S45" s="7">
        <f t="shared" si="1"/>
        <v>44194</v>
      </c>
      <c r="AE45" s="67" t="str">
        <f>IF(Capacity!B59="","",ROW(A43)&amp;". "&amp;Capacity!B59)</f>
        <v/>
      </c>
      <c r="AF45" s="67"/>
    </row>
    <row r="46" spans="1:35" x14ac:dyDescent="0.25">
      <c r="A46">
        <v>44</v>
      </c>
      <c r="K46" s="320">
        <f t="shared" si="0"/>
        <v>44200</v>
      </c>
      <c r="S46" s="7">
        <f t="shared" si="1"/>
        <v>44201</v>
      </c>
      <c r="AE46" s="67" t="str">
        <f>IF(Capacity!B60="","",ROW(A44)&amp;". "&amp;Capacity!B60)</f>
        <v/>
      </c>
      <c r="AF46" s="67"/>
    </row>
    <row r="47" spans="1:35" x14ac:dyDescent="0.25">
      <c r="A47">
        <v>45</v>
      </c>
      <c r="K47" s="320">
        <f t="shared" si="0"/>
        <v>44207</v>
      </c>
      <c r="S47" s="7">
        <f t="shared" si="1"/>
        <v>44208</v>
      </c>
      <c r="AE47" s="67" t="str">
        <f>IF(Capacity!B61="","",ROW(A45)&amp;". "&amp;Capacity!B61)</f>
        <v/>
      </c>
      <c r="AF47" s="67"/>
    </row>
    <row r="48" spans="1:35" x14ac:dyDescent="0.25">
      <c r="A48">
        <v>46</v>
      </c>
      <c r="K48" s="320">
        <f t="shared" si="0"/>
        <v>44214</v>
      </c>
      <c r="S48" s="7">
        <f t="shared" si="1"/>
        <v>44215</v>
      </c>
      <c r="AE48" s="67" t="str">
        <f>IF(Capacity!B62="","",ROW(A46)&amp;". "&amp;Capacity!B62)</f>
        <v/>
      </c>
      <c r="AF48" s="67"/>
    </row>
    <row r="49" spans="1:32" x14ac:dyDescent="0.25">
      <c r="A49">
        <v>47</v>
      </c>
      <c r="K49" s="320">
        <f t="shared" si="0"/>
        <v>44221</v>
      </c>
      <c r="S49" s="7">
        <f t="shared" si="1"/>
        <v>44222</v>
      </c>
      <c r="AE49" s="67" t="str">
        <f>IF(Capacity!B63="","",ROW(A47)&amp;". "&amp;Capacity!B63)</f>
        <v/>
      </c>
      <c r="AF49" s="67"/>
    </row>
    <row r="50" spans="1:32" x14ac:dyDescent="0.25">
      <c r="A50">
        <v>48</v>
      </c>
      <c r="K50" s="320">
        <f t="shared" si="0"/>
        <v>44228</v>
      </c>
      <c r="S50" s="7">
        <f t="shared" si="1"/>
        <v>44229</v>
      </c>
      <c r="AE50" s="67" t="str">
        <f>IF(Capacity!B64="","",ROW(A48)&amp;". "&amp;Capacity!B64)</f>
        <v/>
      </c>
      <c r="AF50" s="67"/>
    </row>
    <row r="51" spans="1:32" x14ac:dyDescent="0.25">
      <c r="A51">
        <v>49</v>
      </c>
      <c r="K51" s="320">
        <f t="shared" si="0"/>
        <v>44235</v>
      </c>
      <c r="S51" s="7">
        <f t="shared" si="1"/>
        <v>44236</v>
      </c>
      <c r="AE51" s="67" t="str">
        <f>IF(Capacity!B65="","",ROW(A49)&amp;". "&amp;Capacity!B65)</f>
        <v/>
      </c>
      <c r="AF51" s="67"/>
    </row>
    <row r="52" spans="1:32" x14ac:dyDescent="0.25">
      <c r="A52">
        <v>50</v>
      </c>
      <c r="K52" s="320">
        <f t="shared" si="0"/>
        <v>44242</v>
      </c>
      <c r="S52" s="7">
        <f t="shared" si="1"/>
        <v>44243</v>
      </c>
      <c r="AE52" s="67" t="str">
        <f>IF(Capacity!B66="","",ROW(A50)&amp;". "&amp;Capacity!B66)</f>
        <v/>
      </c>
      <c r="AF52" s="67"/>
    </row>
    <row r="53" spans="1:32" x14ac:dyDescent="0.25">
      <c r="A53">
        <v>51</v>
      </c>
      <c r="K53" s="320">
        <f t="shared" si="0"/>
        <v>44249</v>
      </c>
      <c r="S53" s="7">
        <f t="shared" si="1"/>
        <v>44250</v>
      </c>
      <c r="AE53" s="67" t="str">
        <f>IF(Capacity!B67="","",ROW(A51)&amp;". "&amp;Capacity!B67)</f>
        <v/>
      </c>
      <c r="AF53" s="67"/>
    </row>
    <row r="54" spans="1:32" x14ac:dyDescent="0.25">
      <c r="A54">
        <v>52</v>
      </c>
      <c r="K54" s="320">
        <f t="shared" si="0"/>
        <v>44256</v>
      </c>
      <c r="AE54" s="67" t="str">
        <f>IF(Capacity!B68="","",ROW(A52)&amp;". "&amp;Capacity!B68)</f>
        <v/>
      </c>
      <c r="AF54" s="67"/>
    </row>
    <row r="55" spans="1:32" x14ac:dyDescent="0.25">
      <c r="A55">
        <v>53</v>
      </c>
      <c r="AE55" s="67" t="str">
        <f>IF(Capacity!B69="","",ROW(A53)&amp;". "&amp;Capacity!B69)</f>
        <v/>
      </c>
      <c r="AF55" s="67"/>
    </row>
    <row r="56" spans="1:32" x14ac:dyDescent="0.25">
      <c r="A56">
        <v>54</v>
      </c>
      <c r="AE56" s="67" t="str">
        <f>IF(Capacity!B70="","",ROW(A54)&amp;". "&amp;Capacity!B70)</f>
        <v/>
      </c>
      <c r="AF56" s="67"/>
    </row>
    <row r="57" spans="1:32" x14ac:dyDescent="0.25">
      <c r="A57">
        <v>55</v>
      </c>
      <c r="AE57" s="67" t="str">
        <f>IF(Capacity!B71="","",ROW(A55)&amp;". "&amp;Capacity!B71)</f>
        <v/>
      </c>
      <c r="AF57" s="67"/>
    </row>
    <row r="58" spans="1:32" x14ac:dyDescent="0.25">
      <c r="A58">
        <v>56</v>
      </c>
      <c r="AE58" s="67" t="str">
        <f>IF(Capacity!B72="","",ROW(A56)&amp;". "&amp;Capacity!B72)</f>
        <v/>
      </c>
      <c r="AF58" s="67"/>
    </row>
    <row r="59" spans="1:32" x14ac:dyDescent="0.25">
      <c r="A59">
        <v>57</v>
      </c>
      <c r="AE59" s="67" t="str">
        <f>IF(Capacity!B73="","",ROW(A57)&amp;". "&amp;Capacity!B73)</f>
        <v/>
      </c>
      <c r="AF59" s="67"/>
    </row>
    <row r="60" spans="1:32" x14ac:dyDescent="0.25">
      <c r="A60">
        <v>58</v>
      </c>
      <c r="AE60" s="67" t="str">
        <f>IF(Capacity!B74="","",ROW(A58)&amp;". "&amp;Capacity!B74)</f>
        <v/>
      </c>
      <c r="AF60" s="67"/>
    </row>
    <row r="61" spans="1:32" x14ac:dyDescent="0.25">
      <c r="A61">
        <v>59</v>
      </c>
      <c r="AE61" s="67" t="str">
        <f>IF(Capacity!B75="","",ROW(A59)&amp;". "&amp;Capacity!B75)</f>
        <v/>
      </c>
      <c r="AF61" s="67"/>
    </row>
    <row r="62" spans="1:32" x14ac:dyDescent="0.25">
      <c r="A62">
        <v>60</v>
      </c>
      <c r="AE62" s="67" t="str">
        <f>IF(Capacity!B76="","",ROW(A60)&amp;". "&amp;Capacity!B76)</f>
        <v/>
      </c>
      <c r="AF62" s="67"/>
    </row>
    <row r="63" spans="1:32" x14ac:dyDescent="0.25">
      <c r="A63">
        <v>61</v>
      </c>
      <c r="AE63" s="67" t="str">
        <f>IF(Capacity!B77="","",ROW(A61)&amp;". "&amp;Capacity!B77)</f>
        <v/>
      </c>
      <c r="AF63" s="67"/>
    </row>
    <row r="64" spans="1:32" x14ac:dyDescent="0.25">
      <c r="A64">
        <v>62</v>
      </c>
      <c r="AE64" s="67" t="str">
        <f>IF(Capacity!B78="","",ROW(A62)&amp;". "&amp;Capacity!B78)</f>
        <v/>
      </c>
      <c r="AF64" s="67"/>
    </row>
    <row r="65" spans="1:32" x14ac:dyDescent="0.25">
      <c r="A65">
        <v>63</v>
      </c>
      <c r="AE65" s="67" t="str">
        <f>IF(Capacity!B79="","",ROW(A63)&amp;". "&amp;Capacity!B79)</f>
        <v/>
      </c>
      <c r="AF65" s="67"/>
    </row>
    <row r="66" spans="1:32" x14ac:dyDescent="0.25">
      <c r="A66">
        <v>64</v>
      </c>
      <c r="AE66" s="67" t="str">
        <f>IF(Capacity!B80="","",ROW(A64)&amp;". "&amp;Capacity!B80)</f>
        <v/>
      </c>
      <c r="AF66" s="67"/>
    </row>
    <row r="67" spans="1:32" x14ac:dyDescent="0.25">
      <c r="A67">
        <v>65</v>
      </c>
      <c r="AE67" s="67" t="str">
        <f>IF(Capacity!B81="","",ROW(A65)&amp;". "&amp;Capacity!B81)</f>
        <v/>
      </c>
      <c r="AF67" s="67"/>
    </row>
    <row r="68" spans="1:32" x14ac:dyDescent="0.25">
      <c r="A68">
        <v>66</v>
      </c>
      <c r="AE68" s="67" t="str">
        <f>IF(Capacity!B82="","",ROW(A66)&amp;". "&amp;Capacity!B82)</f>
        <v/>
      </c>
      <c r="AF68" s="67"/>
    </row>
    <row r="69" spans="1:32" x14ac:dyDescent="0.25">
      <c r="A69">
        <v>67</v>
      </c>
      <c r="AE69" s="67" t="str">
        <f>IF(Capacity!B83="","",ROW(A67)&amp;". "&amp;Capacity!B83)</f>
        <v/>
      </c>
      <c r="AF69" s="67"/>
    </row>
    <row r="70" spans="1:32" x14ac:dyDescent="0.25">
      <c r="A70">
        <v>68</v>
      </c>
      <c r="AE70" s="67" t="str">
        <f>IF(Capacity!B84="","",ROW(A68)&amp;". "&amp;Capacity!B84)</f>
        <v/>
      </c>
      <c r="AF70" s="67"/>
    </row>
    <row r="71" spans="1:32" x14ac:dyDescent="0.25">
      <c r="A71">
        <v>69</v>
      </c>
      <c r="AE71" s="67" t="str">
        <f>IF(Capacity!B85="","",ROW(A69)&amp;". "&amp;Capacity!B85)</f>
        <v/>
      </c>
      <c r="AF71" s="67"/>
    </row>
    <row r="72" spans="1:32" x14ac:dyDescent="0.25">
      <c r="A72">
        <v>70</v>
      </c>
      <c r="AE72" s="67" t="str">
        <f>IF(Capacity!B86="","",ROW(A70)&amp;". "&amp;Capacity!B86)</f>
        <v/>
      </c>
      <c r="AF72" s="67"/>
    </row>
    <row r="73" spans="1:32" x14ac:dyDescent="0.25">
      <c r="A73">
        <v>71</v>
      </c>
      <c r="AE73" s="67" t="str">
        <f>IF(Capacity!B87="","",ROW(A71)&amp;". "&amp;Capacity!B87)</f>
        <v/>
      </c>
      <c r="AF73" s="67"/>
    </row>
    <row r="74" spans="1:32" x14ac:dyDescent="0.25">
      <c r="A74">
        <v>72</v>
      </c>
      <c r="AE74" s="67" t="str">
        <f>IF(Capacity!B88="","",ROW(A72)&amp;". "&amp;Capacity!B88)</f>
        <v/>
      </c>
      <c r="AF74" s="67"/>
    </row>
    <row r="75" spans="1:32" x14ac:dyDescent="0.25">
      <c r="A75">
        <v>73</v>
      </c>
      <c r="AE75" s="67" t="str">
        <f>IF(Capacity!B89="","",ROW(A73)&amp;". "&amp;Capacity!B89)</f>
        <v/>
      </c>
      <c r="AF75" s="67"/>
    </row>
    <row r="76" spans="1:32" x14ac:dyDescent="0.25">
      <c r="A76">
        <v>74</v>
      </c>
      <c r="AE76" s="67" t="str">
        <f>IF(Capacity!B90="","",ROW(A74)&amp;". "&amp;Capacity!B90)</f>
        <v/>
      </c>
      <c r="AF76" s="67"/>
    </row>
    <row r="77" spans="1:32" x14ac:dyDescent="0.25">
      <c r="A77">
        <v>75</v>
      </c>
      <c r="AE77" s="67" t="str">
        <f>IF(Capacity!B91="","",ROW(A75)&amp;". "&amp;Capacity!B91)</f>
        <v/>
      </c>
      <c r="AF77" s="67"/>
    </row>
    <row r="78" spans="1:32" x14ac:dyDescent="0.25">
      <c r="A78">
        <v>76</v>
      </c>
      <c r="AE78" s="67" t="str">
        <f>IF(Capacity!B92="","",ROW(A76)&amp;". "&amp;Capacity!B92)</f>
        <v/>
      </c>
      <c r="AF78" s="67"/>
    </row>
    <row r="79" spans="1:32" x14ac:dyDescent="0.25">
      <c r="A79">
        <v>77</v>
      </c>
      <c r="AE79" s="67" t="str">
        <f>IF(Capacity!B93="","",ROW(A77)&amp;". "&amp;Capacity!B93)</f>
        <v/>
      </c>
      <c r="AF79" s="67"/>
    </row>
    <row r="80" spans="1:32" x14ac:dyDescent="0.25">
      <c r="A80">
        <v>78</v>
      </c>
      <c r="AE80" s="67" t="str">
        <f>IF(Capacity!B94="","",ROW(A78)&amp;". "&amp;Capacity!B94)</f>
        <v/>
      </c>
      <c r="AF80" s="67"/>
    </row>
    <row r="81" spans="1:32" x14ac:dyDescent="0.25">
      <c r="A81">
        <v>79</v>
      </c>
      <c r="AE81" s="67" t="str">
        <f>IF(Capacity!B95="","",ROW(A79)&amp;". "&amp;Capacity!B95)</f>
        <v/>
      </c>
      <c r="AF81" s="67"/>
    </row>
    <row r="82" spans="1:32" x14ac:dyDescent="0.25">
      <c r="A82">
        <v>80</v>
      </c>
      <c r="AE82" s="67" t="str">
        <f>IF(Capacity!B96="","",ROW(A80)&amp;". "&amp;Capacity!B96)</f>
        <v/>
      </c>
      <c r="AF82" s="67"/>
    </row>
    <row r="83" spans="1:32" x14ac:dyDescent="0.25">
      <c r="A83">
        <v>81</v>
      </c>
      <c r="AE83" s="67" t="str">
        <f>IF(Capacity!B97="","",ROW(A81)&amp;". "&amp;Capacity!B97)</f>
        <v/>
      </c>
      <c r="AF83" s="67"/>
    </row>
    <row r="84" spans="1:32" x14ac:dyDescent="0.25">
      <c r="A84">
        <v>82</v>
      </c>
      <c r="AE84" s="67" t="str">
        <f>IF(Capacity!B98="","",ROW(A82)&amp;". "&amp;Capacity!B98)</f>
        <v/>
      </c>
      <c r="AF84" s="67"/>
    </row>
    <row r="85" spans="1:32" x14ac:dyDescent="0.25">
      <c r="A85">
        <v>83</v>
      </c>
      <c r="AE85" s="67" t="str">
        <f>IF(Capacity!B99="","",ROW(A83)&amp;". "&amp;Capacity!B99)</f>
        <v/>
      </c>
      <c r="AF85" s="67"/>
    </row>
    <row r="86" spans="1:32" x14ac:dyDescent="0.25">
      <c r="A86">
        <v>84</v>
      </c>
      <c r="AE86" s="67" t="str">
        <f>IF(Capacity!B100="","",ROW(A84)&amp;". "&amp;Capacity!B100)</f>
        <v/>
      </c>
      <c r="AF86" s="67"/>
    </row>
    <row r="87" spans="1:32" x14ac:dyDescent="0.25">
      <c r="A87">
        <v>85</v>
      </c>
      <c r="AE87" s="67" t="str">
        <f>IF(Capacity!B101="","",ROW(A85)&amp;". "&amp;Capacity!B101)</f>
        <v/>
      </c>
      <c r="AF87" s="67"/>
    </row>
    <row r="88" spans="1:32" x14ac:dyDescent="0.25">
      <c r="A88">
        <v>86</v>
      </c>
      <c r="AE88" s="67" t="str">
        <f>IF(Capacity!B102="","",ROW(A86)&amp;". "&amp;Capacity!B102)</f>
        <v/>
      </c>
      <c r="AF88" s="67"/>
    </row>
    <row r="89" spans="1:32" x14ac:dyDescent="0.25">
      <c r="A89">
        <v>87</v>
      </c>
      <c r="AE89" s="67" t="str">
        <f>IF(Capacity!B103="","",ROW(A87)&amp;". "&amp;Capacity!B103)</f>
        <v/>
      </c>
      <c r="AF89" s="67"/>
    </row>
    <row r="90" spans="1:32" x14ac:dyDescent="0.25">
      <c r="A90">
        <v>88</v>
      </c>
      <c r="AE90" s="67" t="str">
        <f>IF(Capacity!B104="","",ROW(A88)&amp;". "&amp;Capacity!B104)</f>
        <v/>
      </c>
      <c r="AF90" s="67"/>
    </row>
    <row r="91" spans="1:32" x14ac:dyDescent="0.25">
      <c r="A91">
        <v>89</v>
      </c>
      <c r="AE91" s="67" t="str">
        <f>IF(Capacity!B105="","",ROW(A89)&amp;". "&amp;Capacity!B105)</f>
        <v/>
      </c>
      <c r="AF91" s="67"/>
    </row>
    <row r="92" spans="1:32" x14ac:dyDescent="0.25">
      <c r="A92">
        <v>90</v>
      </c>
      <c r="AE92" s="67" t="str">
        <f>IF(Capacity!B106="","",ROW(A90)&amp;". "&amp;Capacity!B106)</f>
        <v/>
      </c>
      <c r="AF92" s="67"/>
    </row>
    <row r="93" spans="1:32" x14ac:dyDescent="0.25">
      <c r="A93">
        <v>91</v>
      </c>
      <c r="AE93" s="67" t="str">
        <f>IF(Capacity!B107="","",ROW(A91)&amp;". "&amp;Capacity!B107)</f>
        <v/>
      </c>
      <c r="AF93" s="67"/>
    </row>
    <row r="94" spans="1:32" x14ac:dyDescent="0.25">
      <c r="A94">
        <v>92</v>
      </c>
      <c r="AE94" s="67" t="str">
        <f>IF(Capacity!B108="","",ROW(A92)&amp;". "&amp;Capacity!B108)</f>
        <v/>
      </c>
      <c r="AF94" s="67"/>
    </row>
    <row r="95" spans="1:32" x14ac:dyDescent="0.25">
      <c r="A95">
        <v>93</v>
      </c>
      <c r="AE95" s="67" t="str">
        <f>IF(Capacity!B109="","",ROW(A93)&amp;". "&amp;Capacity!B109)</f>
        <v/>
      </c>
      <c r="AF95" s="67"/>
    </row>
    <row r="96" spans="1:32" x14ac:dyDescent="0.25">
      <c r="A96">
        <v>94</v>
      </c>
      <c r="AE96" s="67" t="str">
        <f>IF(Capacity!B110="","",ROW(A94)&amp;". "&amp;Capacity!B110)</f>
        <v/>
      </c>
      <c r="AF96" s="67"/>
    </row>
    <row r="97" spans="1:32" x14ac:dyDescent="0.25">
      <c r="A97">
        <v>95</v>
      </c>
      <c r="AE97" s="67" t="str">
        <f>IF(Capacity!B111="","",ROW(A95)&amp;". "&amp;Capacity!B111)</f>
        <v/>
      </c>
      <c r="AF97" s="67"/>
    </row>
    <row r="98" spans="1:32" x14ac:dyDescent="0.25">
      <c r="A98">
        <v>96</v>
      </c>
      <c r="AE98" s="67" t="str">
        <f>IF(Capacity!B112="","",ROW(A96)&amp;". "&amp;Capacity!B112)</f>
        <v/>
      </c>
      <c r="AF98" s="67"/>
    </row>
    <row r="99" spans="1:32" x14ac:dyDescent="0.25">
      <c r="A99">
        <v>97</v>
      </c>
      <c r="AE99" s="67" t="str">
        <f>IF(Capacity!B113="","",ROW(A97)&amp;". "&amp;Capacity!B113)</f>
        <v/>
      </c>
      <c r="AF99" s="67"/>
    </row>
    <row r="100" spans="1:32" x14ac:dyDescent="0.25">
      <c r="A100">
        <v>98</v>
      </c>
      <c r="AE100" s="67" t="str">
        <f>IF(Capacity!B114="","",ROW(A98)&amp;". "&amp;Capacity!B114)</f>
        <v/>
      </c>
      <c r="AF100" s="67"/>
    </row>
    <row r="101" spans="1:32" x14ac:dyDescent="0.25">
      <c r="A101">
        <v>99</v>
      </c>
      <c r="AE101" s="67" t="str">
        <f>IF(Capacity!B115="","",ROW(A99)&amp;". "&amp;Capacity!B115)</f>
        <v/>
      </c>
      <c r="AF101" s="67"/>
    </row>
    <row r="102" spans="1:32" x14ac:dyDescent="0.25">
      <c r="A102">
        <v>100</v>
      </c>
      <c r="AE102" s="67" t="str">
        <f>IF(Capacity!B116="","",ROW(A100)&amp;". "&amp;Capacity!B116)</f>
        <v/>
      </c>
      <c r="AF102" s="67"/>
    </row>
    <row r="103" spans="1:32" x14ac:dyDescent="0.25">
      <c r="A103">
        <v>101</v>
      </c>
      <c r="AE103" s="67" t="e">
        <f>IF(Capacity!#REF!="","",ROW(A101)&amp;". "&amp;Capacity!#REF!)</f>
        <v>#REF!</v>
      </c>
      <c r="AF103" s="67"/>
    </row>
    <row r="104" spans="1:32" x14ac:dyDescent="0.25">
      <c r="A104">
        <v>102</v>
      </c>
      <c r="AE104" s="67" t="e">
        <f>IF(Capacity!#REF!="","",ROW(A102)&amp;". "&amp;Capacity!#REF!)</f>
        <v>#REF!</v>
      </c>
      <c r="AF104" s="67"/>
    </row>
    <row r="105" spans="1:32" x14ac:dyDescent="0.25">
      <c r="A105">
        <v>103</v>
      </c>
    </row>
    <row r="106" spans="1:32" x14ac:dyDescent="0.25">
      <c r="A106">
        <v>104</v>
      </c>
    </row>
    <row r="107" spans="1:32" x14ac:dyDescent="0.25">
      <c r="A107">
        <v>105</v>
      </c>
    </row>
    <row r="108" spans="1:32" x14ac:dyDescent="0.25">
      <c r="A108">
        <v>106</v>
      </c>
    </row>
    <row r="109" spans="1:32" x14ac:dyDescent="0.25">
      <c r="A109">
        <v>107</v>
      </c>
    </row>
    <row r="110" spans="1:32" x14ac:dyDescent="0.25">
      <c r="A110">
        <v>108</v>
      </c>
    </row>
    <row r="111" spans="1:32" x14ac:dyDescent="0.25">
      <c r="A111">
        <v>109</v>
      </c>
    </row>
    <row r="112" spans="1:32" x14ac:dyDescent="0.25">
      <c r="A112">
        <v>110</v>
      </c>
    </row>
    <row r="113" spans="1:1" x14ac:dyDescent="0.25">
      <c r="A113">
        <v>111</v>
      </c>
    </row>
    <row r="114" spans="1:1" x14ac:dyDescent="0.25">
      <c r="A114">
        <v>112</v>
      </c>
    </row>
    <row r="115" spans="1:1" x14ac:dyDescent="0.25">
      <c r="A115">
        <v>113</v>
      </c>
    </row>
    <row r="116" spans="1:1" x14ac:dyDescent="0.25">
      <c r="A116">
        <v>114</v>
      </c>
    </row>
    <row r="117" spans="1:1" x14ac:dyDescent="0.25">
      <c r="A117">
        <v>115</v>
      </c>
    </row>
    <row r="118" spans="1:1" x14ac:dyDescent="0.25">
      <c r="A118">
        <v>116</v>
      </c>
    </row>
    <row r="119" spans="1:1" x14ac:dyDescent="0.25">
      <c r="A119">
        <v>117</v>
      </c>
    </row>
    <row r="120" spans="1:1" x14ac:dyDescent="0.25">
      <c r="A120">
        <v>118</v>
      </c>
    </row>
    <row r="121" spans="1:1" x14ac:dyDescent="0.25">
      <c r="A121">
        <v>119</v>
      </c>
    </row>
    <row r="122" spans="1:1" x14ac:dyDescent="0.25">
      <c r="A122">
        <v>120</v>
      </c>
    </row>
    <row r="123" spans="1:1" x14ac:dyDescent="0.25">
      <c r="A123">
        <v>121</v>
      </c>
    </row>
    <row r="124" spans="1:1" x14ac:dyDescent="0.25">
      <c r="A124">
        <v>122</v>
      </c>
    </row>
    <row r="125" spans="1:1" x14ac:dyDescent="0.25">
      <c r="A125">
        <v>123</v>
      </c>
    </row>
    <row r="126" spans="1:1" x14ac:dyDescent="0.25">
      <c r="A126">
        <v>124</v>
      </c>
    </row>
    <row r="127" spans="1:1" x14ac:dyDescent="0.25">
      <c r="A127">
        <v>125</v>
      </c>
    </row>
    <row r="128" spans="1:1" x14ac:dyDescent="0.25">
      <c r="A128">
        <v>126</v>
      </c>
    </row>
    <row r="129" spans="1:1" x14ac:dyDescent="0.25">
      <c r="A129">
        <v>127</v>
      </c>
    </row>
    <row r="130" spans="1:1" x14ac:dyDescent="0.25">
      <c r="A130">
        <v>128</v>
      </c>
    </row>
    <row r="131" spans="1:1" x14ac:dyDescent="0.25">
      <c r="A131">
        <v>129</v>
      </c>
    </row>
    <row r="132" spans="1:1" x14ac:dyDescent="0.25">
      <c r="A132">
        <v>130</v>
      </c>
    </row>
    <row r="133" spans="1:1" x14ac:dyDescent="0.25">
      <c r="A133">
        <v>131</v>
      </c>
    </row>
    <row r="134" spans="1:1" x14ac:dyDescent="0.25">
      <c r="A134">
        <v>132</v>
      </c>
    </row>
    <row r="135" spans="1:1" x14ac:dyDescent="0.25">
      <c r="A135">
        <v>133</v>
      </c>
    </row>
    <row r="136" spans="1:1" x14ac:dyDescent="0.25">
      <c r="A136">
        <v>134</v>
      </c>
    </row>
    <row r="137" spans="1:1" x14ac:dyDescent="0.25">
      <c r="A137">
        <v>135</v>
      </c>
    </row>
    <row r="138" spans="1:1" x14ac:dyDescent="0.25">
      <c r="A138">
        <v>136</v>
      </c>
    </row>
    <row r="139" spans="1:1" x14ac:dyDescent="0.25">
      <c r="A139">
        <v>137</v>
      </c>
    </row>
    <row r="140" spans="1:1" x14ac:dyDescent="0.25">
      <c r="A140">
        <v>138</v>
      </c>
    </row>
    <row r="141" spans="1:1" x14ac:dyDescent="0.25">
      <c r="A141">
        <v>139</v>
      </c>
    </row>
    <row r="142" spans="1:1" x14ac:dyDescent="0.25">
      <c r="A142">
        <v>140</v>
      </c>
    </row>
    <row r="143" spans="1:1" x14ac:dyDescent="0.25">
      <c r="A143">
        <v>141</v>
      </c>
    </row>
    <row r="144" spans="1:1" x14ac:dyDescent="0.25">
      <c r="A144">
        <v>142</v>
      </c>
    </row>
    <row r="145" spans="1:1" x14ac:dyDescent="0.25">
      <c r="A145">
        <v>143</v>
      </c>
    </row>
    <row r="146" spans="1:1" x14ac:dyDescent="0.25">
      <c r="A146">
        <v>144</v>
      </c>
    </row>
    <row r="147" spans="1:1" x14ac:dyDescent="0.25">
      <c r="A147">
        <v>145</v>
      </c>
    </row>
    <row r="148" spans="1:1" x14ac:dyDescent="0.25">
      <c r="A148">
        <v>146</v>
      </c>
    </row>
    <row r="149" spans="1:1" x14ac:dyDescent="0.25">
      <c r="A149">
        <v>147</v>
      </c>
    </row>
    <row r="150" spans="1:1" x14ac:dyDescent="0.25">
      <c r="A150">
        <v>148</v>
      </c>
    </row>
    <row r="151" spans="1:1" x14ac:dyDescent="0.25">
      <c r="A151">
        <v>149</v>
      </c>
    </row>
    <row r="152" spans="1:1" x14ac:dyDescent="0.25">
      <c r="A152">
        <v>150</v>
      </c>
    </row>
    <row r="153" spans="1:1" x14ac:dyDescent="0.25">
      <c r="A153">
        <v>151</v>
      </c>
    </row>
    <row r="154" spans="1:1" x14ac:dyDescent="0.25">
      <c r="A154">
        <v>152</v>
      </c>
    </row>
    <row r="155" spans="1:1" x14ac:dyDescent="0.25">
      <c r="A155">
        <v>153</v>
      </c>
    </row>
    <row r="156" spans="1:1" x14ac:dyDescent="0.25">
      <c r="A156">
        <v>154</v>
      </c>
    </row>
    <row r="157" spans="1:1" x14ac:dyDescent="0.25">
      <c r="A157">
        <v>155</v>
      </c>
    </row>
    <row r="158" spans="1:1" x14ac:dyDescent="0.25">
      <c r="A158">
        <v>156</v>
      </c>
    </row>
    <row r="159" spans="1:1" x14ac:dyDescent="0.25">
      <c r="A159">
        <v>157</v>
      </c>
    </row>
    <row r="160" spans="1:1" x14ac:dyDescent="0.25">
      <c r="A160">
        <v>158</v>
      </c>
    </row>
    <row r="161" spans="1:1" x14ac:dyDescent="0.25">
      <c r="A161">
        <v>159</v>
      </c>
    </row>
    <row r="162" spans="1:1" x14ac:dyDescent="0.25">
      <c r="A162">
        <v>160</v>
      </c>
    </row>
    <row r="163" spans="1:1" x14ac:dyDescent="0.25">
      <c r="A163">
        <v>161</v>
      </c>
    </row>
    <row r="164" spans="1:1" x14ac:dyDescent="0.25">
      <c r="A164">
        <v>162</v>
      </c>
    </row>
    <row r="165" spans="1:1" x14ac:dyDescent="0.25">
      <c r="A165">
        <v>163</v>
      </c>
    </row>
    <row r="166" spans="1:1" x14ac:dyDescent="0.25">
      <c r="A166">
        <v>164</v>
      </c>
    </row>
    <row r="167" spans="1:1" x14ac:dyDescent="0.25">
      <c r="A167">
        <v>165</v>
      </c>
    </row>
    <row r="168" spans="1:1" x14ac:dyDescent="0.25">
      <c r="A168">
        <v>166</v>
      </c>
    </row>
    <row r="169" spans="1:1" x14ac:dyDescent="0.25">
      <c r="A169">
        <v>167</v>
      </c>
    </row>
    <row r="170" spans="1:1" x14ac:dyDescent="0.25">
      <c r="A170">
        <v>168</v>
      </c>
    </row>
    <row r="171" spans="1:1" x14ac:dyDescent="0.25">
      <c r="A171">
        <v>169</v>
      </c>
    </row>
    <row r="172" spans="1:1" x14ac:dyDescent="0.25">
      <c r="A172">
        <v>170</v>
      </c>
    </row>
    <row r="173" spans="1:1" x14ac:dyDescent="0.25">
      <c r="A173">
        <v>171</v>
      </c>
    </row>
    <row r="174" spans="1:1" x14ac:dyDescent="0.25">
      <c r="A174">
        <v>172</v>
      </c>
    </row>
    <row r="175" spans="1:1" x14ac:dyDescent="0.25">
      <c r="A175">
        <v>173</v>
      </c>
    </row>
    <row r="176" spans="1:1" x14ac:dyDescent="0.25">
      <c r="A176">
        <v>174</v>
      </c>
    </row>
    <row r="177" spans="1:1" x14ac:dyDescent="0.25">
      <c r="A177">
        <v>175</v>
      </c>
    </row>
    <row r="178" spans="1:1" x14ac:dyDescent="0.25">
      <c r="A178">
        <v>176</v>
      </c>
    </row>
    <row r="179" spans="1:1" x14ac:dyDescent="0.25">
      <c r="A179">
        <v>177</v>
      </c>
    </row>
    <row r="180" spans="1:1" x14ac:dyDescent="0.25">
      <c r="A180">
        <v>178</v>
      </c>
    </row>
    <row r="181" spans="1:1" x14ac:dyDescent="0.25">
      <c r="A181">
        <v>179</v>
      </c>
    </row>
    <row r="182" spans="1:1" x14ac:dyDescent="0.25">
      <c r="A182">
        <v>180</v>
      </c>
    </row>
    <row r="183" spans="1:1" x14ac:dyDescent="0.25">
      <c r="A183">
        <v>181</v>
      </c>
    </row>
    <row r="184" spans="1:1" x14ac:dyDescent="0.25">
      <c r="A184">
        <v>182</v>
      </c>
    </row>
    <row r="185" spans="1:1" x14ac:dyDescent="0.25">
      <c r="A185">
        <v>183</v>
      </c>
    </row>
    <row r="186" spans="1:1" x14ac:dyDescent="0.25">
      <c r="A186">
        <v>184</v>
      </c>
    </row>
    <row r="187" spans="1:1" x14ac:dyDescent="0.25">
      <c r="A187">
        <v>185</v>
      </c>
    </row>
    <row r="188" spans="1:1" x14ac:dyDescent="0.25">
      <c r="A188">
        <v>186</v>
      </c>
    </row>
    <row r="189" spans="1:1" x14ac:dyDescent="0.25">
      <c r="A189">
        <v>187</v>
      </c>
    </row>
    <row r="190" spans="1:1" x14ac:dyDescent="0.25">
      <c r="A190">
        <v>188</v>
      </c>
    </row>
    <row r="191" spans="1:1" x14ac:dyDescent="0.25">
      <c r="A191">
        <v>189</v>
      </c>
    </row>
    <row r="192" spans="1:1" x14ac:dyDescent="0.25">
      <c r="A192">
        <v>190</v>
      </c>
    </row>
    <row r="193" spans="1:1" x14ac:dyDescent="0.25">
      <c r="A193">
        <v>191</v>
      </c>
    </row>
    <row r="194" spans="1:1" x14ac:dyDescent="0.25">
      <c r="A194">
        <v>192</v>
      </c>
    </row>
    <row r="195" spans="1:1" x14ac:dyDescent="0.25">
      <c r="A195">
        <v>193</v>
      </c>
    </row>
    <row r="196" spans="1:1" x14ac:dyDescent="0.25">
      <c r="A196">
        <v>194</v>
      </c>
    </row>
    <row r="197" spans="1:1" x14ac:dyDescent="0.25">
      <c r="A197">
        <v>195</v>
      </c>
    </row>
    <row r="198" spans="1:1" x14ac:dyDescent="0.25">
      <c r="A198">
        <v>196</v>
      </c>
    </row>
    <row r="199" spans="1:1" x14ac:dyDescent="0.25">
      <c r="A199">
        <v>197</v>
      </c>
    </row>
    <row r="200" spans="1:1" x14ac:dyDescent="0.25">
      <c r="A200">
        <v>198</v>
      </c>
    </row>
    <row r="201" spans="1:1" x14ac:dyDescent="0.25">
      <c r="A201">
        <v>199</v>
      </c>
    </row>
    <row r="202" spans="1:1" x14ac:dyDescent="0.25">
      <c r="A202">
        <v>200</v>
      </c>
    </row>
    <row r="203" spans="1:1" x14ac:dyDescent="0.25">
      <c r="A203">
        <v>201</v>
      </c>
    </row>
    <row r="204" spans="1:1" x14ac:dyDescent="0.25">
      <c r="A204">
        <v>202</v>
      </c>
    </row>
    <row r="205" spans="1:1" x14ac:dyDescent="0.25">
      <c r="A205">
        <v>203</v>
      </c>
    </row>
    <row r="206" spans="1:1" x14ac:dyDescent="0.25">
      <c r="A206">
        <v>204</v>
      </c>
    </row>
    <row r="207" spans="1:1" x14ac:dyDescent="0.25">
      <c r="A207">
        <v>205</v>
      </c>
    </row>
    <row r="208" spans="1:1" x14ac:dyDescent="0.25">
      <c r="A208">
        <v>206</v>
      </c>
    </row>
    <row r="209" spans="1:1" x14ac:dyDescent="0.25">
      <c r="A209">
        <v>207</v>
      </c>
    </row>
    <row r="210" spans="1:1" x14ac:dyDescent="0.25">
      <c r="A210">
        <v>208</v>
      </c>
    </row>
    <row r="211" spans="1:1" x14ac:dyDescent="0.25">
      <c r="A211">
        <v>209</v>
      </c>
    </row>
    <row r="212" spans="1:1" x14ac:dyDescent="0.25">
      <c r="A212">
        <v>210</v>
      </c>
    </row>
    <row r="213" spans="1:1" x14ac:dyDescent="0.25">
      <c r="A213">
        <v>211</v>
      </c>
    </row>
    <row r="214" spans="1:1" x14ac:dyDescent="0.25">
      <c r="A214">
        <v>212</v>
      </c>
    </row>
    <row r="215" spans="1:1" x14ac:dyDescent="0.25">
      <c r="A215">
        <v>213</v>
      </c>
    </row>
    <row r="216" spans="1:1" x14ac:dyDescent="0.25">
      <c r="A216">
        <v>214</v>
      </c>
    </row>
    <row r="217" spans="1:1" x14ac:dyDescent="0.25">
      <c r="A217">
        <v>215</v>
      </c>
    </row>
    <row r="218" spans="1:1" x14ac:dyDescent="0.25">
      <c r="A218">
        <v>216</v>
      </c>
    </row>
    <row r="219" spans="1:1" x14ac:dyDescent="0.25">
      <c r="A219">
        <v>217</v>
      </c>
    </row>
    <row r="220" spans="1:1" x14ac:dyDescent="0.25">
      <c r="A220">
        <v>218</v>
      </c>
    </row>
    <row r="221" spans="1:1" x14ac:dyDescent="0.25">
      <c r="A221">
        <v>219</v>
      </c>
    </row>
    <row r="222" spans="1:1" x14ac:dyDescent="0.25">
      <c r="A222">
        <v>220</v>
      </c>
    </row>
    <row r="223" spans="1:1" x14ac:dyDescent="0.25">
      <c r="A223">
        <v>221</v>
      </c>
    </row>
    <row r="224" spans="1:1" x14ac:dyDescent="0.25">
      <c r="A224">
        <v>222</v>
      </c>
    </row>
    <row r="225" spans="1:1" x14ac:dyDescent="0.25">
      <c r="A225">
        <v>223</v>
      </c>
    </row>
    <row r="226" spans="1:1" x14ac:dyDescent="0.25">
      <c r="A226">
        <v>224</v>
      </c>
    </row>
    <row r="227" spans="1:1" x14ac:dyDescent="0.25">
      <c r="A227">
        <v>225</v>
      </c>
    </row>
    <row r="228" spans="1:1" x14ac:dyDescent="0.25">
      <c r="A228">
        <v>226</v>
      </c>
    </row>
    <row r="229" spans="1:1" x14ac:dyDescent="0.25">
      <c r="A229">
        <v>227</v>
      </c>
    </row>
    <row r="230" spans="1:1" x14ac:dyDescent="0.25">
      <c r="A230">
        <v>228</v>
      </c>
    </row>
    <row r="231" spans="1:1" x14ac:dyDescent="0.25">
      <c r="A231">
        <v>229</v>
      </c>
    </row>
    <row r="232" spans="1:1" x14ac:dyDescent="0.25">
      <c r="A232">
        <v>230</v>
      </c>
    </row>
    <row r="233" spans="1:1" x14ac:dyDescent="0.25">
      <c r="A233">
        <v>231</v>
      </c>
    </row>
    <row r="234" spans="1:1" x14ac:dyDescent="0.25">
      <c r="A234">
        <v>232</v>
      </c>
    </row>
    <row r="235" spans="1:1" x14ac:dyDescent="0.25">
      <c r="A235">
        <v>233</v>
      </c>
    </row>
    <row r="236" spans="1:1" x14ac:dyDescent="0.25">
      <c r="A236">
        <v>234</v>
      </c>
    </row>
    <row r="237" spans="1:1" x14ac:dyDescent="0.25">
      <c r="A237">
        <v>235</v>
      </c>
    </row>
    <row r="238" spans="1:1" x14ac:dyDescent="0.25">
      <c r="A238">
        <v>236</v>
      </c>
    </row>
    <row r="239" spans="1:1" x14ac:dyDescent="0.25">
      <c r="A239">
        <v>237</v>
      </c>
    </row>
    <row r="240" spans="1:1" x14ac:dyDescent="0.25">
      <c r="A240">
        <v>238</v>
      </c>
    </row>
    <row r="241" spans="1:1" x14ac:dyDescent="0.25">
      <c r="A241">
        <v>239</v>
      </c>
    </row>
    <row r="242" spans="1:1" x14ac:dyDescent="0.25">
      <c r="A242">
        <v>240</v>
      </c>
    </row>
    <row r="243" spans="1:1" x14ac:dyDescent="0.25">
      <c r="A243">
        <v>241</v>
      </c>
    </row>
    <row r="244" spans="1:1" x14ac:dyDescent="0.25">
      <c r="A244">
        <v>242</v>
      </c>
    </row>
    <row r="245" spans="1:1" x14ac:dyDescent="0.25">
      <c r="A245">
        <v>243</v>
      </c>
    </row>
    <row r="246" spans="1:1" x14ac:dyDescent="0.25">
      <c r="A246">
        <v>244</v>
      </c>
    </row>
    <row r="247" spans="1:1" x14ac:dyDescent="0.25">
      <c r="A247">
        <v>245</v>
      </c>
    </row>
    <row r="248" spans="1:1" x14ac:dyDescent="0.25">
      <c r="A248">
        <v>246</v>
      </c>
    </row>
    <row r="249" spans="1:1" x14ac:dyDescent="0.25">
      <c r="A249">
        <v>247</v>
      </c>
    </row>
    <row r="250" spans="1:1" x14ac:dyDescent="0.25">
      <c r="A250">
        <v>248</v>
      </c>
    </row>
    <row r="251" spans="1:1" x14ac:dyDescent="0.25">
      <c r="A251">
        <v>249</v>
      </c>
    </row>
    <row r="252" spans="1:1" x14ac:dyDescent="0.25">
      <c r="A252">
        <v>250</v>
      </c>
    </row>
    <row r="253" spans="1:1" x14ac:dyDescent="0.25">
      <c r="A253">
        <v>251</v>
      </c>
    </row>
    <row r="254" spans="1:1" x14ac:dyDescent="0.25">
      <c r="A254">
        <v>252</v>
      </c>
    </row>
    <row r="255" spans="1:1" x14ac:dyDescent="0.25">
      <c r="A255">
        <v>253</v>
      </c>
    </row>
    <row r="256" spans="1:1" x14ac:dyDescent="0.25">
      <c r="A256">
        <v>254</v>
      </c>
    </row>
    <row r="257" spans="1:1" x14ac:dyDescent="0.25">
      <c r="A257">
        <v>255</v>
      </c>
    </row>
    <row r="258" spans="1:1" x14ac:dyDescent="0.25">
      <c r="A258">
        <v>256</v>
      </c>
    </row>
    <row r="259" spans="1:1" x14ac:dyDescent="0.25">
      <c r="A259">
        <v>257</v>
      </c>
    </row>
    <row r="260" spans="1:1" x14ac:dyDescent="0.25">
      <c r="A260">
        <v>258</v>
      </c>
    </row>
    <row r="261" spans="1:1" x14ac:dyDescent="0.25">
      <c r="A261">
        <v>259</v>
      </c>
    </row>
    <row r="262" spans="1:1" x14ac:dyDescent="0.25">
      <c r="A262">
        <v>260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dimension ref="B2:Q1003"/>
  <sheetViews>
    <sheetView showGridLines="0" showRowColHeaders="0" workbookViewId="0">
      <selection activeCell="B10" sqref="B10"/>
    </sheetView>
  </sheetViews>
  <sheetFormatPr defaultRowHeight="13.8" x14ac:dyDescent="0.25"/>
  <cols>
    <col min="2" max="2" width="129.09765625" customWidth="1"/>
  </cols>
  <sheetData>
    <row r="2" spans="2:17" x14ac:dyDescent="0.25">
      <c r="B2" s="285" t="str">
        <f>"Demand and capacity analysis notes for "&amp;Setup!C5&amp;", "&amp;Setup!C7</f>
        <v>Demand and capacity analysis notes for A. N. Other Trust, Test Service</v>
      </c>
    </row>
    <row r="4" spans="2:17" x14ac:dyDescent="0.25">
      <c r="B4" s="152"/>
      <c r="C4" s="67"/>
      <c r="D4" s="67"/>
      <c r="E4" s="67"/>
      <c r="F4" s="67"/>
      <c r="G4" s="67"/>
      <c r="H4" s="67"/>
      <c r="I4" s="67"/>
      <c r="J4" s="67"/>
      <c r="K4" s="67"/>
      <c r="L4" s="67"/>
      <c r="M4" s="67"/>
      <c r="N4" s="67"/>
      <c r="O4" s="67"/>
      <c r="P4" s="67"/>
      <c r="Q4" s="67"/>
    </row>
    <row r="5" spans="2:17" s="1" customFormat="1" x14ac:dyDescent="0.25">
      <c r="B5" s="326"/>
    </row>
    <row r="6" spans="2:17" s="1" customFormat="1" x14ac:dyDescent="0.25">
      <c r="B6" s="321"/>
    </row>
    <row r="7" spans="2:17" s="1" customFormat="1" x14ac:dyDescent="0.25">
      <c r="B7" s="327"/>
    </row>
    <row r="8" spans="2:17" s="1" customFormat="1" x14ac:dyDescent="0.25">
      <c r="B8" s="321"/>
    </row>
    <row r="9" spans="2:17" s="1" customFormat="1" x14ac:dyDescent="0.25">
      <c r="B9" s="321"/>
    </row>
    <row r="10" spans="2:17" s="1" customFormat="1" x14ac:dyDescent="0.25">
      <c r="B10" s="327"/>
    </row>
    <row r="11" spans="2:17" s="1" customFormat="1" x14ac:dyDescent="0.25">
      <c r="B11" s="321"/>
    </row>
    <row r="12" spans="2:17" s="1" customFormat="1" x14ac:dyDescent="0.25">
      <c r="B12" s="321"/>
    </row>
    <row r="13" spans="2:17" s="1" customFormat="1" x14ac:dyDescent="0.25">
      <c r="B13" s="327"/>
    </row>
    <row r="14" spans="2:17" s="1" customFormat="1" x14ac:dyDescent="0.25">
      <c r="B14" s="321"/>
    </row>
    <row r="15" spans="2:17" s="1" customFormat="1" x14ac:dyDescent="0.25">
      <c r="B15" s="321"/>
    </row>
    <row r="16" spans="2:17" s="1" customFormat="1" x14ac:dyDescent="0.25">
      <c r="B16" s="321"/>
    </row>
    <row r="17" spans="2:2" s="1" customFormat="1" x14ac:dyDescent="0.25">
      <c r="B17" s="321"/>
    </row>
    <row r="18" spans="2:2" s="1" customFormat="1" x14ac:dyDescent="0.25">
      <c r="B18" s="321"/>
    </row>
    <row r="19" spans="2:2" s="1" customFormat="1" x14ac:dyDescent="0.25">
      <c r="B19" s="321"/>
    </row>
    <row r="20" spans="2:2" s="1" customFormat="1" x14ac:dyDescent="0.25">
      <c r="B20" s="321"/>
    </row>
    <row r="21" spans="2:2" s="1" customFormat="1" x14ac:dyDescent="0.25">
      <c r="B21" s="321"/>
    </row>
    <row r="22" spans="2:2" s="1" customFormat="1" x14ac:dyDescent="0.25">
      <c r="B22" s="321"/>
    </row>
    <row r="23" spans="2:2" s="1" customFormat="1" x14ac:dyDescent="0.25">
      <c r="B23" s="321"/>
    </row>
    <row r="24" spans="2:2" s="1" customFormat="1" x14ac:dyDescent="0.25">
      <c r="B24" s="321"/>
    </row>
    <row r="25" spans="2:2" s="1" customFormat="1" x14ac:dyDescent="0.25">
      <c r="B25" s="321"/>
    </row>
    <row r="26" spans="2:2" s="1" customFormat="1" x14ac:dyDescent="0.25">
      <c r="B26" s="321"/>
    </row>
    <row r="27" spans="2:2" s="1" customFormat="1" x14ac:dyDescent="0.25">
      <c r="B27" s="321"/>
    </row>
    <row r="28" spans="2:2" s="1" customFormat="1" x14ac:dyDescent="0.25">
      <c r="B28" s="321"/>
    </row>
    <row r="29" spans="2:2" s="1" customFormat="1" x14ac:dyDescent="0.25">
      <c r="B29" s="321"/>
    </row>
    <row r="30" spans="2:2" s="1" customFormat="1" x14ac:dyDescent="0.25">
      <c r="B30" s="321"/>
    </row>
    <row r="31" spans="2:2" s="1" customFormat="1" x14ac:dyDescent="0.25">
      <c r="B31" s="321"/>
    </row>
    <row r="32" spans="2:2" s="1" customFormat="1" x14ac:dyDescent="0.25">
      <c r="B32" s="321"/>
    </row>
    <row r="33" spans="2:17" s="1" customFormat="1" x14ac:dyDescent="0.25">
      <c r="B33" s="321"/>
    </row>
    <row r="34" spans="2:17" s="1" customFormat="1" x14ac:dyDescent="0.25">
      <c r="B34" s="321"/>
    </row>
    <row r="35" spans="2:17" s="1" customFormat="1" x14ac:dyDescent="0.25">
      <c r="B35" s="321"/>
    </row>
    <row r="36" spans="2:17" s="1" customFormat="1" x14ac:dyDescent="0.25">
      <c r="B36" s="321"/>
    </row>
    <row r="37" spans="2:17" s="1" customFormat="1" x14ac:dyDescent="0.25">
      <c r="B37" s="321"/>
    </row>
    <row r="38" spans="2:17" s="1" customFormat="1" x14ac:dyDescent="0.25">
      <c r="B38" s="321"/>
    </row>
    <row r="39" spans="2:17" s="1" customFormat="1" x14ac:dyDescent="0.25">
      <c r="B39" s="321"/>
    </row>
    <row r="40" spans="2:17" s="1" customFormat="1" x14ac:dyDescent="0.25">
      <c r="B40" s="321"/>
    </row>
    <row r="41" spans="2:17" s="1" customFormat="1" x14ac:dyDescent="0.25">
      <c r="B41" s="321"/>
    </row>
    <row r="42" spans="2:17" s="1" customFormat="1" x14ac:dyDescent="0.25">
      <c r="B42" s="321"/>
    </row>
    <row r="43" spans="2:17" s="1" customFormat="1" x14ac:dyDescent="0.25">
      <c r="B43" s="321"/>
    </row>
    <row r="44" spans="2:17" x14ac:dyDescent="0.25">
      <c r="B44" s="321"/>
      <c r="C44" s="67"/>
      <c r="D44" s="67"/>
      <c r="E44" s="67"/>
      <c r="F44" s="67"/>
      <c r="G44" s="67"/>
      <c r="H44" s="67"/>
      <c r="I44" s="67"/>
      <c r="J44" s="67"/>
      <c r="K44" s="67"/>
      <c r="L44" s="67"/>
      <c r="M44" s="67"/>
      <c r="N44" s="67"/>
      <c r="O44" s="67"/>
      <c r="P44" s="67"/>
      <c r="Q44" s="67"/>
    </row>
    <row r="45" spans="2:17" x14ac:dyDescent="0.25">
      <c r="B45" s="321"/>
    </row>
    <row r="46" spans="2:17" x14ac:dyDescent="0.25">
      <c r="B46" s="321"/>
    </row>
    <row r="47" spans="2:17" x14ac:dyDescent="0.25">
      <c r="B47" s="321"/>
    </row>
    <row r="48" spans="2:17" x14ac:dyDescent="0.25">
      <c r="B48" s="321"/>
    </row>
    <row r="49" spans="2:2" x14ac:dyDescent="0.25">
      <c r="B49" s="321"/>
    </row>
    <row r="50" spans="2:2" x14ac:dyDescent="0.25">
      <c r="B50" s="321"/>
    </row>
    <row r="51" spans="2:2" x14ac:dyDescent="0.25">
      <c r="B51" s="321"/>
    </row>
    <row r="52" spans="2:2" x14ac:dyDescent="0.25">
      <c r="B52" s="321"/>
    </row>
    <row r="53" spans="2:2" x14ac:dyDescent="0.25">
      <c r="B53" s="321"/>
    </row>
    <row r="54" spans="2:2" x14ac:dyDescent="0.25">
      <c r="B54" s="321"/>
    </row>
    <row r="55" spans="2:2" x14ac:dyDescent="0.25">
      <c r="B55" s="321"/>
    </row>
    <row r="56" spans="2:2" x14ac:dyDescent="0.25">
      <c r="B56" s="321"/>
    </row>
    <row r="57" spans="2:2" x14ac:dyDescent="0.25">
      <c r="B57" s="319"/>
    </row>
    <row r="58" spans="2:2" x14ac:dyDescent="0.25">
      <c r="B58" s="319"/>
    </row>
    <row r="59" spans="2:2" x14ac:dyDescent="0.25">
      <c r="B59" s="319"/>
    </row>
    <row r="60" spans="2:2" x14ac:dyDescent="0.25">
      <c r="B60" s="319"/>
    </row>
    <row r="61" spans="2:2" x14ac:dyDescent="0.25">
      <c r="B61" s="319"/>
    </row>
    <row r="62" spans="2:2" x14ac:dyDescent="0.25">
      <c r="B62" s="319"/>
    </row>
    <row r="63" spans="2:2" x14ac:dyDescent="0.25">
      <c r="B63" s="319"/>
    </row>
    <row r="64" spans="2:2" x14ac:dyDescent="0.25">
      <c r="B64" s="319"/>
    </row>
    <row r="65" spans="2:2" x14ac:dyDescent="0.25">
      <c r="B65" s="319"/>
    </row>
    <row r="66" spans="2:2" x14ac:dyDescent="0.25">
      <c r="B66" s="319"/>
    </row>
    <row r="67" spans="2:2" x14ac:dyDescent="0.25">
      <c r="B67" s="319"/>
    </row>
    <row r="68" spans="2:2" x14ac:dyDescent="0.25">
      <c r="B68" s="319"/>
    </row>
    <row r="69" spans="2:2" x14ac:dyDescent="0.25">
      <c r="B69" s="319"/>
    </row>
    <row r="70" spans="2:2" x14ac:dyDescent="0.25">
      <c r="B70" s="319"/>
    </row>
    <row r="71" spans="2:2" x14ac:dyDescent="0.25">
      <c r="B71" s="319"/>
    </row>
    <row r="72" spans="2:2" x14ac:dyDescent="0.25">
      <c r="B72" s="319"/>
    </row>
    <row r="73" spans="2:2" x14ac:dyDescent="0.25">
      <c r="B73" s="319"/>
    </row>
    <row r="74" spans="2:2" x14ac:dyDescent="0.25">
      <c r="B74" s="319"/>
    </row>
    <row r="75" spans="2:2" x14ac:dyDescent="0.25">
      <c r="B75" s="319"/>
    </row>
    <row r="76" spans="2:2" x14ac:dyDescent="0.25">
      <c r="B76" s="319"/>
    </row>
    <row r="77" spans="2:2" x14ac:dyDescent="0.25">
      <c r="B77" s="319"/>
    </row>
    <row r="78" spans="2:2" x14ac:dyDescent="0.25">
      <c r="B78" s="319"/>
    </row>
    <row r="79" spans="2:2" x14ac:dyDescent="0.25">
      <c r="B79" s="319"/>
    </row>
    <row r="80" spans="2:2" x14ac:dyDescent="0.25">
      <c r="B80" s="319"/>
    </row>
    <row r="81" spans="2:2" x14ac:dyDescent="0.25">
      <c r="B81" s="319"/>
    </row>
    <row r="82" spans="2:2" x14ac:dyDescent="0.25">
      <c r="B82" s="319"/>
    </row>
    <row r="83" spans="2:2" x14ac:dyDescent="0.25">
      <c r="B83" s="319"/>
    </row>
    <row r="84" spans="2:2" x14ac:dyDescent="0.25">
      <c r="B84" s="319"/>
    </row>
    <row r="85" spans="2:2" x14ac:dyDescent="0.25">
      <c r="B85" s="319"/>
    </row>
    <row r="86" spans="2:2" x14ac:dyDescent="0.25">
      <c r="B86" s="319"/>
    </row>
    <row r="87" spans="2:2" x14ac:dyDescent="0.25">
      <c r="B87" s="319"/>
    </row>
    <row r="88" spans="2:2" x14ac:dyDescent="0.25">
      <c r="B88" s="319"/>
    </row>
    <row r="89" spans="2:2" x14ac:dyDescent="0.25">
      <c r="B89" s="319"/>
    </row>
    <row r="90" spans="2:2" x14ac:dyDescent="0.25">
      <c r="B90" s="319"/>
    </row>
    <row r="91" spans="2:2" x14ac:dyDescent="0.25">
      <c r="B91" s="319"/>
    </row>
    <row r="92" spans="2:2" x14ac:dyDescent="0.25">
      <c r="B92" s="319"/>
    </row>
    <row r="93" spans="2:2" x14ac:dyDescent="0.25">
      <c r="B93" s="319"/>
    </row>
    <row r="94" spans="2:2" x14ac:dyDescent="0.25">
      <c r="B94" s="319"/>
    </row>
    <row r="95" spans="2:2" x14ac:dyDescent="0.25">
      <c r="B95" s="319"/>
    </row>
    <row r="96" spans="2:2" x14ac:dyDescent="0.25">
      <c r="B96" s="319"/>
    </row>
    <row r="97" spans="2:2" x14ac:dyDescent="0.25">
      <c r="B97" s="319"/>
    </row>
    <row r="98" spans="2:2" x14ac:dyDescent="0.25">
      <c r="B98" s="319"/>
    </row>
    <row r="99" spans="2:2" x14ac:dyDescent="0.25">
      <c r="B99" s="319"/>
    </row>
    <row r="100" spans="2:2" x14ac:dyDescent="0.25">
      <c r="B100" s="319"/>
    </row>
    <row r="101" spans="2:2" x14ac:dyDescent="0.25">
      <c r="B101" s="319"/>
    </row>
    <row r="102" spans="2:2" x14ac:dyDescent="0.25">
      <c r="B102" s="319"/>
    </row>
    <row r="103" spans="2:2" x14ac:dyDescent="0.25">
      <c r="B103" s="319"/>
    </row>
    <row r="104" spans="2:2" x14ac:dyDescent="0.25">
      <c r="B104" s="319"/>
    </row>
    <row r="105" spans="2:2" x14ac:dyDescent="0.25">
      <c r="B105" s="319"/>
    </row>
    <row r="106" spans="2:2" x14ac:dyDescent="0.25">
      <c r="B106" s="319"/>
    </row>
    <row r="107" spans="2:2" x14ac:dyDescent="0.25">
      <c r="B107" s="319"/>
    </row>
    <row r="108" spans="2:2" x14ac:dyDescent="0.25">
      <c r="B108" s="319"/>
    </row>
    <row r="109" spans="2:2" x14ac:dyDescent="0.25">
      <c r="B109" s="322"/>
    </row>
    <row r="110" spans="2:2" x14ac:dyDescent="0.25">
      <c r="B110" s="322"/>
    </row>
    <row r="111" spans="2:2" x14ac:dyDescent="0.25">
      <c r="B111" s="322"/>
    </row>
    <row r="112" spans="2:2" x14ac:dyDescent="0.25">
      <c r="B112" s="322"/>
    </row>
    <row r="113" spans="2:2" x14ac:dyDescent="0.25">
      <c r="B113" s="322"/>
    </row>
    <row r="114" spans="2:2" x14ac:dyDescent="0.25">
      <c r="B114" s="322"/>
    </row>
    <row r="115" spans="2:2" x14ac:dyDescent="0.25">
      <c r="B115" s="322"/>
    </row>
    <row r="116" spans="2:2" x14ac:dyDescent="0.25">
      <c r="B116" s="322"/>
    </row>
    <row r="117" spans="2:2" x14ac:dyDescent="0.25">
      <c r="B117" s="322"/>
    </row>
    <row r="118" spans="2:2" x14ac:dyDescent="0.25">
      <c r="B118" s="322"/>
    </row>
    <row r="119" spans="2:2" x14ac:dyDescent="0.25">
      <c r="B119" s="322"/>
    </row>
    <row r="120" spans="2:2" x14ac:dyDescent="0.25">
      <c r="B120" s="322"/>
    </row>
    <row r="121" spans="2:2" x14ac:dyDescent="0.25">
      <c r="B121" s="322"/>
    </row>
    <row r="122" spans="2:2" x14ac:dyDescent="0.25">
      <c r="B122" s="322"/>
    </row>
    <row r="123" spans="2:2" x14ac:dyDescent="0.25">
      <c r="B123" s="322"/>
    </row>
    <row r="124" spans="2:2" x14ac:dyDescent="0.25">
      <c r="B124" s="322"/>
    </row>
    <row r="125" spans="2:2" x14ac:dyDescent="0.25">
      <c r="B125" s="322"/>
    </row>
    <row r="126" spans="2:2" x14ac:dyDescent="0.25">
      <c r="B126" s="322"/>
    </row>
    <row r="127" spans="2:2" x14ac:dyDescent="0.25">
      <c r="B127" s="322"/>
    </row>
    <row r="128" spans="2:2" x14ac:dyDescent="0.25">
      <c r="B128" s="322"/>
    </row>
    <row r="129" spans="2:2" x14ac:dyDescent="0.25">
      <c r="B129" s="322"/>
    </row>
    <row r="130" spans="2:2" x14ac:dyDescent="0.25">
      <c r="B130" s="322"/>
    </row>
    <row r="131" spans="2:2" x14ac:dyDescent="0.25">
      <c r="B131" s="322"/>
    </row>
    <row r="132" spans="2:2" x14ac:dyDescent="0.25">
      <c r="B132" s="322"/>
    </row>
    <row r="133" spans="2:2" x14ac:dyDescent="0.25">
      <c r="B133" s="322"/>
    </row>
    <row r="134" spans="2:2" x14ac:dyDescent="0.25">
      <c r="B134" s="322"/>
    </row>
    <row r="135" spans="2:2" x14ac:dyDescent="0.25">
      <c r="B135" s="322"/>
    </row>
    <row r="136" spans="2:2" x14ac:dyDescent="0.25">
      <c r="B136" s="322"/>
    </row>
    <row r="137" spans="2:2" x14ac:dyDescent="0.25">
      <c r="B137" s="322"/>
    </row>
    <row r="138" spans="2:2" x14ac:dyDescent="0.25">
      <c r="B138" s="322"/>
    </row>
    <row r="139" spans="2:2" x14ac:dyDescent="0.25">
      <c r="B139" s="322"/>
    </row>
    <row r="140" spans="2:2" x14ac:dyDescent="0.25">
      <c r="B140" s="322"/>
    </row>
    <row r="141" spans="2:2" x14ac:dyDescent="0.25">
      <c r="B141" s="322"/>
    </row>
    <row r="142" spans="2:2" x14ac:dyDescent="0.25">
      <c r="B142" s="322"/>
    </row>
    <row r="143" spans="2:2" x14ac:dyDescent="0.25">
      <c r="B143" s="322"/>
    </row>
    <row r="144" spans="2:2" x14ac:dyDescent="0.25">
      <c r="B144" s="322"/>
    </row>
    <row r="145" spans="2:2" x14ac:dyDescent="0.25">
      <c r="B145" s="322"/>
    </row>
    <row r="146" spans="2:2" x14ac:dyDescent="0.25">
      <c r="B146" s="322"/>
    </row>
    <row r="147" spans="2:2" x14ac:dyDescent="0.25">
      <c r="B147" s="322"/>
    </row>
    <row r="148" spans="2:2" x14ac:dyDescent="0.25">
      <c r="B148" s="322"/>
    </row>
    <row r="149" spans="2:2" x14ac:dyDescent="0.25">
      <c r="B149" s="322"/>
    </row>
    <row r="150" spans="2:2" x14ac:dyDescent="0.25">
      <c r="B150" s="322"/>
    </row>
    <row r="151" spans="2:2" x14ac:dyDescent="0.25">
      <c r="B151" s="322"/>
    </row>
    <row r="152" spans="2:2" x14ac:dyDescent="0.25">
      <c r="B152" s="322"/>
    </row>
    <row r="153" spans="2:2" x14ac:dyDescent="0.25">
      <c r="B153" s="322"/>
    </row>
    <row r="154" spans="2:2" x14ac:dyDescent="0.25">
      <c r="B154" s="322"/>
    </row>
    <row r="155" spans="2:2" x14ac:dyDescent="0.25">
      <c r="B155" s="322"/>
    </row>
    <row r="156" spans="2:2" x14ac:dyDescent="0.25">
      <c r="B156" s="322"/>
    </row>
    <row r="157" spans="2:2" x14ac:dyDescent="0.25">
      <c r="B157" s="322"/>
    </row>
    <row r="158" spans="2:2" x14ac:dyDescent="0.25">
      <c r="B158" s="322"/>
    </row>
    <row r="159" spans="2:2" x14ac:dyDescent="0.25">
      <c r="B159" s="322"/>
    </row>
    <row r="160" spans="2:2" x14ac:dyDescent="0.25">
      <c r="B160" s="322"/>
    </row>
    <row r="161" spans="2:2" x14ac:dyDescent="0.25">
      <c r="B161" s="322"/>
    </row>
    <row r="162" spans="2:2" x14ac:dyDescent="0.25">
      <c r="B162" s="322"/>
    </row>
    <row r="163" spans="2:2" x14ac:dyDescent="0.25">
      <c r="B163" s="322"/>
    </row>
    <row r="164" spans="2:2" x14ac:dyDescent="0.25">
      <c r="B164" s="322"/>
    </row>
    <row r="165" spans="2:2" x14ac:dyDescent="0.25">
      <c r="B165" s="322"/>
    </row>
    <row r="166" spans="2:2" x14ac:dyDescent="0.25">
      <c r="B166" s="322"/>
    </row>
    <row r="167" spans="2:2" x14ac:dyDescent="0.25">
      <c r="B167" s="322"/>
    </row>
    <row r="168" spans="2:2" x14ac:dyDescent="0.25">
      <c r="B168" s="322"/>
    </row>
    <row r="169" spans="2:2" x14ac:dyDescent="0.25">
      <c r="B169" s="322"/>
    </row>
    <row r="170" spans="2:2" x14ac:dyDescent="0.25">
      <c r="B170" s="322"/>
    </row>
    <row r="171" spans="2:2" x14ac:dyDescent="0.25">
      <c r="B171" s="322"/>
    </row>
    <row r="172" spans="2:2" x14ac:dyDescent="0.25">
      <c r="B172" s="322"/>
    </row>
    <row r="173" spans="2:2" x14ac:dyDescent="0.25">
      <c r="B173" s="322"/>
    </row>
    <row r="174" spans="2:2" x14ac:dyDescent="0.25">
      <c r="B174" s="322"/>
    </row>
    <row r="175" spans="2:2" x14ac:dyDescent="0.25">
      <c r="B175" s="322"/>
    </row>
    <row r="176" spans="2:2" x14ac:dyDescent="0.25">
      <c r="B176" s="322"/>
    </row>
    <row r="177" spans="2:2" x14ac:dyDescent="0.25">
      <c r="B177" s="322"/>
    </row>
    <row r="178" spans="2:2" x14ac:dyDescent="0.25">
      <c r="B178" s="322"/>
    </row>
    <row r="179" spans="2:2" x14ac:dyDescent="0.25">
      <c r="B179" s="322"/>
    </row>
    <row r="180" spans="2:2" x14ac:dyDescent="0.25">
      <c r="B180" s="322"/>
    </row>
    <row r="181" spans="2:2" x14ac:dyDescent="0.25">
      <c r="B181" s="322"/>
    </row>
    <row r="182" spans="2:2" x14ac:dyDescent="0.25">
      <c r="B182" s="322"/>
    </row>
    <row r="183" spans="2:2" x14ac:dyDescent="0.25">
      <c r="B183" s="322"/>
    </row>
    <row r="184" spans="2:2" x14ac:dyDescent="0.25">
      <c r="B184" s="322"/>
    </row>
    <row r="185" spans="2:2" x14ac:dyDescent="0.25">
      <c r="B185" s="322"/>
    </row>
    <row r="186" spans="2:2" x14ac:dyDescent="0.25">
      <c r="B186" s="322"/>
    </row>
    <row r="187" spans="2:2" x14ac:dyDescent="0.25">
      <c r="B187" s="322"/>
    </row>
    <row r="188" spans="2:2" x14ac:dyDescent="0.25">
      <c r="B188" s="322"/>
    </row>
    <row r="189" spans="2:2" x14ac:dyDescent="0.25">
      <c r="B189" s="322"/>
    </row>
    <row r="190" spans="2:2" x14ac:dyDescent="0.25">
      <c r="B190" s="322"/>
    </row>
    <row r="191" spans="2:2" x14ac:dyDescent="0.25">
      <c r="B191" s="322"/>
    </row>
    <row r="192" spans="2:2" x14ac:dyDescent="0.25">
      <c r="B192" s="322"/>
    </row>
    <row r="193" spans="2:2" x14ac:dyDescent="0.25">
      <c r="B193" s="322"/>
    </row>
    <row r="194" spans="2:2" x14ac:dyDescent="0.25">
      <c r="B194" s="322"/>
    </row>
    <row r="195" spans="2:2" x14ac:dyDescent="0.25">
      <c r="B195" s="322"/>
    </row>
    <row r="196" spans="2:2" x14ac:dyDescent="0.25">
      <c r="B196" s="322"/>
    </row>
    <row r="197" spans="2:2" x14ac:dyDescent="0.25">
      <c r="B197" s="322"/>
    </row>
    <row r="198" spans="2:2" x14ac:dyDescent="0.25">
      <c r="B198" s="322"/>
    </row>
    <row r="199" spans="2:2" x14ac:dyDescent="0.25">
      <c r="B199" s="322"/>
    </row>
    <row r="200" spans="2:2" x14ac:dyDescent="0.25">
      <c r="B200" s="322"/>
    </row>
    <row r="201" spans="2:2" x14ac:dyDescent="0.25">
      <c r="B201" s="322"/>
    </row>
    <row r="202" spans="2:2" x14ac:dyDescent="0.25">
      <c r="B202" s="322"/>
    </row>
    <row r="203" spans="2:2" x14ac:dyDescent="0.25">
      <c r="B203" s="322"/>
    </row>
    <row r="204" spans="2:2" x14ac:dyDescent="0.25">
      <c r="B204" s="322"/>
    </row>
    <row r="205" spans="2:2" x14ac:dyDescent="0.25">
      <c r="B205" s="322"/>
    </row>
    <row r="206" spans="2:2" x14ac:dyDescent="0.25">
      <c r="B206" s="322"/>
    </row>
    <row r="207" spans="2:2" x14ac:dyDescent="0.25">
      <c r="B207" s="322"/>
    </row>
    <row r="208" spans="2:2" x14ac:dyDescent="0.25">
      <c r="B208" s="322"/>
    </row>
    <row r="209" spans="2:2" x14ac:dyDescent="0.25">
      <c r="B209" s="322"/>
    </row>
    <row r="210" spans="2:2" x14ac:dyDescent="0.25">
      <c r="B210" s="322"/>
    </row>
    <row r="211" spans="2:2" x14ac:dyDescent="0.25">
      <c r="B211" s="322"/>
    </row>
    <row r="212" spans="2:2" x14ac:dyDescent="0.25">
      <c r="B212" s="322"/>
    </row>
    <row r="213" spans="2:2" x14ac:dyDescent="0.25">
      <c r="B213" s="322"/>
    </row>
    <row r="214" spans="2:2" x14ac:dyDescent="0.25">
      <c r="B214" s="322"/>
    </row>
    <row r="215" spans="2:2" x14ac:dyDescent="0.25">
      <c r="B215" s="322"/>
    </row>
    <row r="216" spans="2:2" x14ac:dyDescent="0.25">
      <c r="B216" s="322"/>
    </row>
    <row r="217" spans="2:2" x14ac:dyDescent="0.25">
      <c r="B217" s="322"/>
    </row>
    <row r="218" spans="2:2" x14ac:dyDescent="0.25">
      <c r="B218" s="322"/>
    </row>
    <row r="219" spans="2:2" x14ac:dyDescent="0.25">
      <c r="B219" s="322"/>
    </row>
    <row r="220" spans="2:2" x14ac:dyDescent="0.25">
      <c r="B220" s="322"/>
    </row>
    <row r="221" spans="2:2" x14ac:dyDescent="0.25">
      <c r="B221" s="322"/>
    </row>
    <row r="222" spans="2:2" x14ac:dyDescent="0.25">
      <c r="B222" s="322"/>
    </row>
    <row r="223" spans="2:2" x14ac:dyDescent="0.25">
      <c r="B223" s="322"/>
    </row>
    <row r="224" spans="2:2" x14ac:dyDescent="0.25">
      <c r="B224" s="322"/>
    </row>
    <row r="225" spans="2:2" x14ac:dyDescent="0.25">
      <c r="B225" s="322"/>
    </row>
    <row r="226" spans="2:2" x14ac:dyDescent="0.25">
      <c r="B226" s="322"/>
    </row>
    <row r="227" spans="2:2" x14ac:dyDescent="0.25">
      <c r="B227" s="322"/>
    </row>
    <row r="228" spans="2:2" x14ac:dyDescent="0.25">
      <c r="B228" s="322"/>
    </row>
    <row r="229" spans="2:2" x14ac:dyDescent="0.25">
      <c r="B229" s="322"/>
    </row>
    <row r="230" spans="2:2" x14ac:dyDescent="0.25">
      <c r="B230" s="322"/>
    </row>
    <row r="231" spans="2:2" x14ac:dyDescent="0.25">
      <c r="B231" s="322"/>
    </row>
    <row r="232" spans="2:2" x14ac:dyDescent="0.25">
      <c r="B232" s="322"/>
    </row>
    <row r="233" spans="2:2" x14ac:dyDescent="0.25">
      <c r="B233" s="322"/>
    </row>
    <row r="234" spans="2:2" x14ac:dyDescent="0.25">
      <c r="B234" s="322"/>
    </row>
    <row r="235" spans="2:2" x14ac:dyDescent="0.25">
      <c r="B235" s="322"/>
    </row>
    <row r="236" spans="2:2" x14ac:dyDescent="0.25">
      <c r="B236" s="322"/>
    </row>
    <row r="237" spans="2:2" x14ac:dyDescent="0.25">
      <c r="B237" s="322"/>
    </row>
    <row r="238" spans="2:2" x14ac:dyDescent="0.25">
      <c r="B238" s="322"/>
    </row>
    <row r="239" spans="2:2" x14ac:dyDescent="0.25">
      <c r="B239" s="322"/>
    </row>
    <row r="240" spans="2:2" x14ac:dyDescent="0.25">
      <c r="B240" s="322"/>
    </row>
    <row r="241" spans="2:2" x14ac:dyDescent="0.25">
      <c r="B241" s="322"/>
    </row>
    <row r="242" spans="2:2" x14ac:dyDescent="0.25">
      <c r="B242" s="322"/>
    </row>
    <row r="243" spans="2:2" x14ac:dyDescent="0.25">
      <c r="B243" s="322"/>
    </row>
    <row r="244" spans="2:2" x14ac:dyDescent="0.25">
      <c r="B244" s="322"/>
    </row>
    <row r="245" spans="2:2" x14ac:dyDescent="0.25">
      <c r="B245" s="322"/>
    </row>
    <row r="246" spans="2:2" x14ac:dyDescent="0.25">
      <c r="B246" s="322"/>
    </row>
    <row r="247" spans="2:2" x14ac:dyDescent="0.25">
      <c r="B247" s="322"/>
    </row>
    <row r="248" spans="2:2" x14ac:dyDescent="0.25">
      <c r="B248" s="322"/>
    </row>
    <row r="249" spans="2:2" x14ac:dyDescent="0.25">
      <c r="B249" s="322"/>
    </row>
    <row r="250" spans="2:2" x14ac:dyDescent="0.25">
      <c r="B250" s="322"/>
    </row>
    <row r="251" spans="2:2" x14ac:dyDescent="0.25">
      <c r="B251" s="322"/>
    </row>
    <row r="252" spans="2:2" x14ac:dyDescent="0.25">
      <c r="B252" s="322"/>
    </row>
    <row r="253" spans="2:2" x14ac:dyDescent="0.25">
      <c r="B253" s="322"/>
    </row>
    <row r="254" spans="2:2" x14ac:dyDescent="0.25">
      <c r="B254" s="322"/>
    </row>
    <row r="255" spans="2:2" x14ac:dyDescent="0.25">
      <c r="B255" s="322"/>
    </row>
    <row r="256" spans="2:2" x14ac:dyDescent="0.25">
      <c r="B256" s="322"/>
    </row>
    <row r="257" spans="2:2" x14ac:dyDescent="0.25">
      <c r="B257" s="322"/>
    </row>
    <row r="258" spans="2:2" x14ac:dyDescent="0.25">
      <c r="B258" s="322"/>
    </row>
    <row r="259" spans="2:2" x14ac:dyDescent="0.25">
      <c r="B259" s="322"/>
    </row>
    <row r="260" spans="2:2" x14ac:dyDescent="0.25">
      <c r="B260" s="322"/>
    </row>
    <row r="261" spans="2:2" x14ac:dyDescent="0.25">
      <c r="B261" s="322"/>
    </row>
    <row r="262" spans="2:2" x14ac:dyDescent="0.25">
      <c r="B262" s="322"/>
    </row>
    <row r="263" spans="2:2" x14ac:dyDescent="0.25">
      <c r="B263" s="322"/>
    </row>
    <row r="264" spans="2:2" x14ac:dyDescent="0.25">
      <c r="B264" s="322"/>
    </row>
    <row r="265" spans="2:2" x14ac:dyDescent="0.25">
      <c r="B265" s="322"/>
    </row>
    <row r="266" spans="2:2" x14ac:dyDescent="0.25">
      <c r="B266" s="322"/>
    </row>
    <row r="267" spans="2:2" x14ac:dyDescent="0.25">
      <c r="B267" s="322"/>
    </row>
    <row r="268" spans="2:2" x14ac:dyDescent="0.25">
      <c r="B268" s="322"/>
    </row>
    <row r="269" spans="2:2" x14ac:dyDescent="0.25">
      <c r="B269" s="322"/>
    </row>
    <row r="270" spans="2:2" x14ac:dyDescent="0.25">
      <c r="B270" s="322"/>
    </row>
    <row r="271" spans="2:2" x14ac:dyDescent="0.25">
      <c r="B271" s="322"/>
    </row>
    <row r="272" spans="2:2" x14ac:dyDescent="0.25">
      <c r="B272" s="322"/>
    </row>
    <row r="273" spans="2:2" x14ac:dyDescent="0.25">
      <c r="B273" s="322"/>
    </row>
    <row r="274" spans="2:2" x14ac:dyDescent="0.25">
      <c r="B274" s="322"/>
    </row>
    <row r="275" spans="2:2" x14ac:dyDescent="0.25">
      <c r="B275" s="322"/>
    </row>
    <row r="276" spans="2:2" x14ac:dyDescent="0.25">
      <c r="B276" s="322"/>
    </row>
    <row r="277" spans="2:2" x14ac:dyDescent="0.25">
      <c r="B277" s="322"/>
    </row>
    <row r="278" spans="2:2" x14ac:dyDescent="0.25">
      <c r="B278" s="322"/>
    </row>
    <row r="279" spans="2:2" x14ac:dyDescent="0.25">
      <c r="B279" s="322"/>
    </row>
    <row r="280" spans="2:2" x14ac:dyDescent="0.25">
      <c r="B280" s="322"/>
    </row>
    <row r="281" spans="2:2" x14ac:dyDescent="0.25">
      <c r="B281" s="322"/>
    </row>
    <row r="282" spans="2:2" x14ac:dyDescent="0.25">
      <c r="B282" s="322"/>
    </row>
    <row r="283" spans="2:2" x14ac:dyDescent="0.25">
      <c r="B283" s="322"/>
    </row>
    <row r="284" spans="2:2" x14ac:dyDescent="0.25">
      <c r="B284" s="322"/>
    </row>
    <row r="285" spans="2:2" x14ac:dyDescent="0.25">
      <c r="B285" s="322"/>
    </row>
    <row r="286" spans="2:2" x14ac:dyDescent="0.25">
      <c r="B286" s="322"/>
    </row>
    <row r="287" spans="2:2" x14ac:dyDescent="0.25">
      <c r="B287" s="322"/>
    </row>
    <row r="288" spans="2:2" x14ac:dyDescent="0.25">
      <c r="B288" s="322"/>
    </row>
    <row r="289" spans="2:2" x14ac:dyDescent="0.25">
      <c r="B289" s="322"/>
    </row>
    <row r="290" spans="2:2" x14ac:dyDescent="0.25">
      <c r="B290" s="322"/>
    </row>
    <row r="291" spans="2:2" x14ac:dyDescent="0.25">
      <c r="B291" s="322"/>
    </row>
    <row r="292" spans="2:2" x14ac:dyDescent="0.25">
      <c r="B292" s="322"/>
    </row>
    <row r="293" spans="2:2" x14ac:dyDescent="0.25">
      <c r="B293" s="322"/>
    </row>
    <row r="294" spans="2:2" x14ac:dyDescent="0.25">
      <c r="B294" s="322"/>
    </row>
    <row r="295" spans="2:2" x14ac:dyDescent="0.25">
      <c r="B295" s="322"/>
    </row>
    <row r="296" spans="2:2" x14ac:dyDescent="0.25">
      <c r="B296" s="322"/>
    </row>
    <row r="297" spans="2:2" x14ac:dyDescent="0.25">
      <c r="B297" s="322"/>
    </row>
    <row r="298" spans="2:2" x14ac:dyDescent="0.25">
      <c r="B298" s="322"/>
    </row>
    <row r="299" spans="2:2" x14ac:dyDescent="0.25">
      <c r="B299" s="322"/>
    </row>
    <row r="300" spans="2:2" x14ac:dyDescent="0.25">
      <c r="B300" s="322"/>
    </row>
    <row r="301" spans="2:2" x14ac:dyDescent="0.25">
      <c r="B301" s="322"/>
    </row>
    <row r="302" spans="2:2" x14ac:dyDescent="0.25">
      <c r="B302" s="322"/>
    </row>
    <row r="303" spans="2:2" x14ac:dyDescent="0.25">
      <c r="B303" s="322"/>
    </row>
    <row r="304" spans="2:2" x14ac:dyDescent="0.25">
      <c r="B304" s="322"/>
    </row>
    <row r="305" spans="2:2" x14ac:dyDescent="0.25">
      <c r="B305" s="322"/>
    </row>
    <row r="306" spans="2:2" x14ac:dyDescent="0.25">
      <c r="B306" s="322"/>
    </row>
    <row r="307" spans="2:2" x14ac:dyDescent="0.25">
      <c r="B307" s="322"/>
    </row>
    <row r="308" spans="2:2" x14ac:dyDescent="0.25">
      <c r="B308" s="322"/>
    </row>
    <row r="309" spans="2:2" x14ac:dyDescent="0.25">
      <c r="B309" s="322"/>
    </row>
    <row r="310" spans="2:2" x14ac:dyDescent="0.25">
      <c r="B310" s="322"/>
    </row>
    <row r="311" spans="2:2" x14ac:dyDescent="0.25">
      <c r="B311" s="322"/>
    </row>
    <row r="312" spans="2:2" x14ac:dyDescent="0.25">
      <c r="B312" s="322"/>
    </row>
    <row r="313" spans="2:2" x14ac:dyDescent="0.25">
      <c r="B313" s="322"/>
    </row>
    <row r="314" spans="2:2" x14ac:dyDescent="0.25">
      <c r="B314" s="322"/>
    </row>
    <row r="315" spans="2:2" x14ac:dyDescent="0.25">
      <c r="B315" s="322"/>
    </row>
    <row r="316" spans="2:2" x14ac:dyDescent="0.25">
      <c r="B316" s="322"/>
    </row>
    <row r="317" spans="2:2" x14ac:dyDescent="0.25">
      <c r="B317" s="322"/>
    </row>
    <row r="318" spans="2:2" x14ac:dyDescent="0.25">
      <c r="B318" s="322"/>
    </row>
    <row r="319" spans="2:2" x14ac:dyDescent="0.25">
      <c r="B319" s="322"/>
    </row>
    <row r="320" spans="2:2" x14ac:dyDescent="0.25">
      <c r="B320" s="322"/>
    </row>
    <row r="321" spans="2:2" x14ac:dyDescent="0.25">
      <c r="B321" s="322"/>
    </row>
    <row r="322" spans="2:2" x14ac:dyDescent="0.25">
      <c r="B322" s="322"/>
    </row>
    <row r="323" spans="2:2" x14ac:dyDescent="0.25">
      <c r="B323" s="322"/>
    </row>
    <row r="324" spans="2:2" x14ac:dyDescent="0.25">
      <c r="B324" s="322"/>
    </row>
    <row r="325" spans="2:2" x14ac:dyDescent="0.25">
      <c r="B325" s="322"/>
    </row>
    <row r="326" spans="2:2" x14ac:dyDescent="0.25">
      <c r="B326" s="322"/>
    </row>
    <row r="327" spans="2:2" x14ac:dyDescent="0.25">
      <c r="B327" s="322"/>
    </row>
    <row r="328" spans="2:2" x14ac:dyDescent="0.25">
      <c r="B328" s="322"/>
    </row>
    <row r="329" spans="2:2" x14ac:dyDescent="0.25">
      <c r="B329" s="322"/>
    </row>
    <row r="330" spans="2:2" x14ac:dyDescent="0.25">
      <c r="B330" s="322"/>
    </row>
    <row r="331" spans="2:2" x14ac:dyDescent="0.25">
      <c r="B331" s="322"/>
    </row>
    <row r="332" spans="2:2" x14ac:dyDescent="0.25">
      <c r="B332" s="322"/>
    </row>
    <row r="333" spans="2:2" x14ac:dyDescent="0.25">
      <c r="B333" s="322"/>
    </row>
    <row r="334" spans="2:2" x14ac:dyDescent="0.25">
      <c r="B334" s="322"/>
    </row>
    <row r="335" spans="2:2" x14ac:dyDescent="0.25">
      <c r="B335" s="322"/>
    </row>
    <row r="336" spans="2:2" x14ac:dyDescent="0.25">
      <c r="B336" s="322"/>
    </row>
    <row r="337" spans="2:2" x14ac:dyDescent="0.25">
      <c r="B337" s="322"/>
    </row>
    <row r="338" spans="2:2" x14ac:dyDescent="0.25">
      <c r="B338" s="322"/>
    </row>
    <row r="339" spans="2:2" x14ac:dyDescent="0.25">
      <c r="B339" s="322"/>
    </row>
    <row r="340" spans="2:2" x14ac:dyDescent="0.25">
      <c r="B340" s="322"/>
    </row>
    <row r="341" spans="2:2" x14ac:dyDescent="0.25">
      <c r="B341" s="322"/>
    </row>
    <row r="342" spans="2:2" x14ac:dyDescent="0.25">
      <c r="B342" s="322"/>
    </row>
    <row r="343" spans="2:2" x14ac:dyDescent="0.25">
      <c r="B343" s="322"/>
    </row>
    <row r="344" spans="2:2" x14ac:dyDescent="0.25">
      <c r="B344" s="322"/>
    </row>
    <row r="345" spans="2:2" x14ac:dyDescent="0.25">
      <c r="B345" s="322"/>
    </row>
    <row r="346" spans="2:2" x14ac:dyDescent="0.25">
      <c r="B346" s="322"/>
    </row>
    <row r="347" spans="2:2" x14ac:dyDescent="0.25">
      <c r="B347" s="322"/>
    </row>
    <row r="348" spans="2:2" x14ac:dyDescent="0.25">
      <c r="B348" s="322"/>
    </row>
    <row r="349" spans="2:2" x14ac:dyDescent="0.25">
      <c r="B349" s="322"/>
    </row>
    <row r="350" spans="2:2" x14ac:dyDescent="0.25">
      <c r="B350" s="322"/>
    </row>
    <row r="351" spans="2:2" x14ac:dyDescent="0.25">
      <c r="B351" s="322"/>
    </row>
    <row r="352" spans="2:2" x14ac:dyDescent="0.25">
      <c r="B352" s="322"/>
    </row>
    <row r="353" spans="2:2" x14ac:dyDescent="0.25">
      <c r="B353" s="322"/>
    </row>
    <row r="354" spans="2:2" x14ac:dyDescent="0.25">
      <c r="B354" s="322"/>
    </row>
    <row r="355" spans="2:2" x14ac:dyDescent="0.25">
      <c r="B355" s="322"/>
    </row>
    <row r="356" spans="2:2" x14ac:dyDescent="0.25">
      <c r="B356" s="322"/>
    </row>
    <row r="357" spans="2:2" x14ac:dyDescent="0.25">
      <c r="B357" s="322"/>
    </row>
    <row r="358" spans="2:2" x14ac:dyDescent="0.25">
      <c r="B358" s="322"/>
    </row>
    <row r="359" spans="2:2" x14ac:dyDescent="0.25">
      <c r="B359" s="322"/>
    </row>
    <row r="360" spans="2:2" x14ac:dyDescent="0.25">
      <c r="B360" s="322"/>
    </row>
    <row r="361" spans="2:2" x14ac:dyDescent="0.25">
      <c r="B361" s="322"/>
    </row>
    <row r="362" spans="2:2" x14ac:dyDescent="0.25">
      <c r="B362" s="322"/>
    </row>
    <row r="363" spans="2:2" x14ac:dyDescent="0.25">
      <c r="B363" s="322"/>
    </row>
    <row r="364" spans="2:2" x14ac:dyDescent="0.25">
      <c r="B364" s="322"/>
    </row>
    <row r="365" spans="2:2" x14ac:dyDescent="0.25">
      <c r="B365" s="322"/>
    </row>
    <row r="366" spans="2:2" x14ac:dyDescent="0.25">
      <c r="B366" s="322"/>
    </row>
    <row r="367" spans="2:2" x14ac:dyDescent="0.25">
      <c r="B367" s="322"/>
    </row>
    <row r="368" spans="2:2" x14ac:dyDescent="0.25">
      <c r="B368" s="322"/>
    </row>
    <row r="369" spans="2:2" x14ac:dyDescent="0.25">
      <c r="B369" s="322"/>
    </row>
    <row r="370" spans="2:2" x14ac:dyDescent="0.25">
      <c r="B370" s="322"/>
    </row>
    <row r="371" spans="2:2" x14ac:dyDescent="0.25">
      <c r="B371" s="322"/>
    </row>
    <row r="372" spans="2:2" x14ac:dyDescent="0.25">
      <c r="B372" s="322"/>
    </row>
    <row r="373" spans="2:2" x14ac:dyDescent="0.25">
      <c r="B373" s="322"/>
    </row>
    <row r="374" spans="2:2" x14ac:dyDescent="0.25">
      <c r="B374" s="322"/>
    </row>
    <row r="375" spans="2:2" x14ac:dyDescent="0.25">
      <c r="B375" s="322"/>
    </row>
    <row r="376" spans="2:2" x14ac:dyDescent="0.25">
      <c r="B376" s="322"/>
    </row>
    <row r="377" spans="2:2" x14ac:dyDescent="0.25">
      <c r="B377" s="322"/>
    </row>
    <row r="378" spans="2:2" x14ac:dyDescent="0.25">
      <c r="B378" s="322"/>
    </row>
    <row r="379" spans="2:2" x14ac:dyDescent="0.25">
      <c r="B379" s="322"/>
    </row>
    <row r="380" spans="2:2" x14ac:dyDescent="0.25">
      <c r="B380" s="322"/>
    </row>
    <row r="381" spans="2:2" x14ac:dyDescent="0.25">
      <c r="B381" s="322"/>
    </row>
    <row r="382" spans="2:2" x14ac:dyDescent="0.25">
      <c r="B382" s="322"/>
    </row>
    <row r="383" spans="2:2" x14ac:dyDescent="0.25">
      <c r="B383" s="322"/>
    </row>
    <row r="384" spans="2:2" x14ac:dyDescent="0.25">
      <c r="B384" s="322"/>
    </row>
    <row r="385" spans="2:2" x14ac:dyDescent="0.25">
      <c r="B385" s="322"/>
    </row>
    <row r="386" spans="2:2" x14ac:dyDescent="0.25">
      <c r="B386" s="322"/>
    </row>
    <row r="387" spans="2:2" x14ac:dyDescent="0.25">
      <c r="B387" s="322"/>
    </row>
    <row r="388" spans="2:2" x14ac:dyDescent="0.25">
      <c r="B388" s="322"/>
    </row>
    <row r="389" spans="2:2" x14ac:dyDescent="0.25">
      <c r="B389" s="322"/>
    </row>
    <row r="390" spans="2:2" x14ac:dyDescent="0.25">
      <c r="B390" s="322"/>
    </row>
    <row r="391" spans="2:2" x14ac:dyDescent="0.25">
      <c r="B391" s="322"/>
    </row>
    <row r="392" spans="2:2" x14ac:dyDescent="0.25">
      <c r="B392" s="322"/>
    </row>
    <row r="393" spans="2:2" x14ac:dyDescent="0.25">
      <c r="B393" s="322"/>
    </row>
    <row r="394" spans="2:2" x14ac:dyDescent="0.25">
      <c r="B394" s="322"/>
    </row>
    <row r="395" spans="2:2" x14ac:dyDescent="0.25">
      <c r="B395" s="322"/>
    </row>
    <row r="396" spans="2:2" x14ac:dyDescent="0.25">
      <c r="B396" s="322"/>
    </row>
    <row r="397" spans="2:2" x14ac:dyDescent="0.25">
      <c r="B397" s="322"/>
    </row>
    <row r="398" spans="2:2" x14ac:dyDescent="0.25">
      <c r="B398" s="322"/>
    </row>
    <row r="399" spans="2:2" x14ac:dyDescent="0.25">
      <c r="B399" s="322"/>
    </row>
    <row r="400" spans="2:2" x14ac:dyDescent="0.25">
      <c r="B400" s="322"/>
    </row>
    <row r="401" spans="2:2" x14ac:dyDescent="0.25">
      <c r="B401" s="322"/>
    </row>
    <row r="402" spans="2:2" x14ac:dyDescent="0.25">
      <c r="B402" s="322"/>
    </row>
    <row r="403" spans="2:2" x14ac:dyDescent="0.25">
      <c r="B403" s="322"/>
    </row>
    <row r="404" spans="2:2" x14ac:dyDescent="0.25">
      <c r="B404" s="322"/>
    </row>
    <row r="405" spans="2:2" x14ac:dyDescent="0.25">
      <c r="B405" s="322"/>
    </row>
    <row r="406" spans="2:2" x14ac:dyDescent="0.25">
      <c r="B406" s="322"/>
    </row>
    <row r="407" spans="2:2" x14ac:dyDescent="0.25">
      <c r="B407" s="322"/>
    </row>
    <row r="408" spans="2:2" x14ac:dyDescent="0.25">
      <c r="B408" s="322"/>
    </row>
    <row r="409" spans="2:2" x14ac:dyDescent="0.25">
      <c r="B409" s="322"/>
    </row>
    <row r="410" spans="2:2" x14ac:dyDescent="0.25">
      <c r="B410" s="322"/>
    </row>
    <row r="411" spans="2:2" x14ac:dyDescent="0.25">
      <c r="B411" s="322"/>
    </row>
    <row r="412" spans="2:2" x14ac:dyDescent="0.25">
      <c r="B412" s="322"/>
    </row>
    <row r="413" spans="2:2" x14ac:dyDescent="0.25">
      <c r="B413" s="322"/>
    </row>
    <row r="414" spans="2:2" x14ac:dyDescent="0.25">
      <c r="B414" s="322"/>
    </row>
    <row r="415" spans="2:2" x14ac:dyDescent="0.25">
      <c r="B415" s="322"/>
    </row>
    <row r="416" spans="2:2" x14ac:dyDescent="0.25">
      <c r="B416" s="322"/>
    </row>
    <row r="417" spans="2:2" x14ac:dyDescent="0.25">
      <c r="B417" s="322"/>
    </row>
    <row r="418" spans="2:2" x14ac:dyDescent="0.25">
      <c r="B418" s="322"/>
    </row>
    <row r="419" spans="2:2" x14ac:dyDescent="0.25">
      <c r="B419" s="322"/>
    </row>
    <row r="420" spans="2:2" x14ac:dyDescent="0.25">
      <c r="B420" s="322"/>
    </row>
    <row r="421" spans="2:2" x14ac:dyDescent="0.25">
      <c r="B421" s="322"/>
    </row>
    <row r="422" spans="2:2" x14ac:dyDescent="0.25">
      <c r="B422" s="322"/>
    </row>
    <row r="423" spans="2:2" x14ac:dyDescent="0.25">
      <c r="B423" s="322"/>
    </row>
    <row r="424" spans="2:2" x14ac:dyDescent="0.25">
      <c r="B424" s="322"/>
    </row>
    <row r="425" spans="2:2" x14ac:dyDescent="0.25">
      <c r="B425" s="322"/>
    </row>
    <row r="426" spans="2:2" x14ac:dyDescent="0.25">
      <c r="B426" s="322"/>
    </row>
    <row r="427" spans="2:2" x14ac:dyDescent="0.25">
      <c r="B427" s="322"/>
    </row>
    <row r="428" spans="2:2" x14ac:dyDescent="0.25">
      <c r="B428" s="322"/>
    </row>
    <row r="429" spans="2:2" x14ac:dyDescent="0.25">
      <c r="B429" s="322"/>
    </row>
    <row r="430" spans="2:2" x14ac:dyDescent="0.25">
      <c r="B430" s="153"/>
    </row>
    <row r="431" spans="2:2" x14ac:dyDescent="0.25">
      <c r="B431" s="153"/>
    </row>
    <row r="432" spans="2:2" x14ac:dyDescent="0.25">
      <c r="B432" s="153"/>
    </row>
    <row r="433" spans="2:2" x14ac:dyDescent="0.25">
      <c r="B433" s="153"/>
    </row>
    <row r="434" spans="2:2" x14ac:dyDescent="0.25">
      <c r="B434" s="153"/>
    </row>
    <row r="435" spans="2:2" x14ac:dyDescent="0.25">
      <c r="B435" s="153"/>
    </row>
    <row r="436" spans="2:2" x14ac:dyDescent="0.25">
      <c r="B436" s="153"/>
    </row>
    <row r="437" spans="2:2" x14ac:dyDescent="0.25">
      <c r="B437" s="153"/>
    </row>
    <row r="438" spans="2:2" x14ac:dyDescent="0.25">
      <c r="B438" s="153"/>
    </row>
    <row r="439" spans="2:2" x14ac:dyDescent="0.25">
      <c r="B439" s="153"/>
    </row>
    <row r="440" spans="2:2" x14ac:dyDescent="0.25">
      <c r="B440" s="153"/>
    </row>
    <row r="441" spans="2:2" x14ac:dyDescent="0.25">
      <c r="B441" s="153"/>
    </row>
    <row r="442" spans="2:2" x14ac:dyDescent="0.25">
      <c r="B442" s="153"/>
    </row>
    <row r="443" spans="2:2" x14ac:dyDescent="0.25">
      <c r="B443" s="153"/>
    </row>
    <row r="444" spans="2:2" x14ac:dyDescent="0.25">
      <c r="B444" s="153"/>
    </row>
    <row r="445" spans="2:2" x14ac:dyDescent="0.25">
      <c r="B445" s="153"/>
    </row>
    <row r="446" spans="2:2" x14ac:dyDescent="0.25">
      <c r="B446" s="153"/>
    </row>
    <row r="447" spans="2:2" x14ac:dyDescent="0.25">
      <c r="B447" s="153"/>
    </row>
    <row r="448" spans="2:2" x14ac:dyDescent="0.25">
      <c r="B448" s="153"/>
    </row>
    <row r="449" spans="2:2" x14ac:dyDescent="0.25">
      <c r="B449" s="153"/>
    </row>
    <row r="450" spans="2:2" x14ac:dyDescent="0.25">
      <c r="B450" s="153"/>
    </row>
    <row r="451" spans="2:2" x14ac:dyDescent="0.25">
      <c r="B451" s="153"/>
    </row>
    <row r="452" spans="2:2" x14ac:dyDescent="0.25">
      <c r="B452" s="153"/>
    </row>
    <row r="453" spans="2:2" x14ac:dyDescent="0.25">
      <c r="B453" s="153"/>
    </row>
    <row r="454" spans="2:2" x14ac:dyDescent="0.25">
      <c r="B454" s="153"/>
    </row>
    <row r="455" spans="2:2" x14ac:dyDescent="0.25">
      <c r="B455" s="153"/>
    </row>
    <row r="456" spans="2:2" x14ac:dyDescent="0.25">
      <c r="B456" s="153"/>
    </row>
    <row r="457" spans="2:2" x14ac:dyDescent="0.25">
      <c r="B457" s="153"/>
    </row>
    <row r="458" spans="2:2" x14ac:dyDescent="0.25">
      <c r="B458" s="153"/>
    </row>
    <row r="459" spans="2:2" x14ac:dyDescent="0.25">
      <c r="B459" s="153"/>
    </row>
    <row r="460" spans="2:2" x14ac:dyDescent="0.25">
      <c r="B460" s="153"/>
    </row>
    <row r="461" spans="2:2" x14ac:dyDescent="0.25">
      <c r="B461" s="153"/>
    </row>
    <row r="462" spans="2:2" x14ac:dyDescent="0.25">
      <c r="B462" s="153"/>
    </row>
    <row r="463" spans="2:2" x14ac:dyDescent="0.25">
      <c r="B463" s="153"/>
    </row>
    <row r="464" spans="2:2" x14ac:dyDescent="0.25">
      <c r="B464" s="153"/>
    </row>
    <row r="465" spans="2:2" x14ac:dyDescent="0.25">
      <c r="B465" s="153"/>
    </row>
    <row r="466" spans="2:2" x14ac:dyDescent="0.25">
      <c r="B466" s="153"/>
    </row>
    <row r="467" spans="2:2" x14ac:dyDescent="0.25">
      <c r="B467" s="153"/>
    </row>
    <row r="468" spans="2:2" x14ac:dyDescent="0.25">
      <c r="B468" s="153"/>
    </row>
    <row r="469" spans="2:2" x14ac:dyDescent="0.25">
      <c r="B469" s="153"/>
    </row>
    <row r="470" spans="2:2" x14ac:dyDescent="0.25">
      <c r="B470" s="153"/>
    </row>
    <row r="471" spans="2:2" x14ac:dyDescent="0.25">
      <c r="B471" s="153"/>
    </row>
    <row r="472" spans="2:2" x14ac:dyDescent="0.25">
      <c r="B472" s="153"/>
    </row>
    <row r="473" spans="2:2" x14ac:dyDescent="0.25">
      <c r="B473" s="153"/>
    </row>
    <row r="474" spans="2:2" x14ac:dyDescent="0.25">
      <c r="B474" s="153"/>
    </row>
    <row r="475" spans="2:2" x14ac:dyDescent="0.25">
      <c r="B475" s="153"/>
    </row>
    <row r="476" spans="2:2" x14ac:dyDescent="0.25">
      <c r="B476" s="153"/>
    </row>
    <row r="477" spans="2:2" x14ac:dyDescent="0.25">
      <c r="B477" s="153"/>
    </row>
    <row r="478" spans="2:2" x14ac:dyDescent="0.25">
      <c r="B478" s="153"/>
    </row>
    <row r="479" spans="2:2" x14ac:dyDescent="0.25">
      <c r="B479" s="153"/>
    </row>
    <row r="480" spans="2:2" x14ac:dyDescent="0.25">
      <c r="B480" s="153"/>
    </row>
    <row r="481" spans="2:2" x14ac:dyDescent="0.25">
      <c r="B481" s="153"/>
    </row>
    <row r="482" spans="2:2" x14ac:dyDescent="0.25">
      <c r="B482" s="153"/>
    </row>
    <row r="483" spans="2:2" x14ac:dyDescent="0.25">
      <c r="B483" s="153"/>
    </row>
    <row r="484" spans="2:2" x14ac:dyDescent="0.25">
      <c r="B484" s="153"/>
    </row>
    <row r="485" spans="2:2" x14ac:dyDescent="0.25">
      <c r="B485" s="153"/>
    </row>
    <row r="486" spans="2:2" x14ac:dyDescent="0.25">
      <c r="B486" s="153"/>
    </row>
    <row r="487" spans="2:2" x14ac:dyDescent="0.25">
      <c r="B487" s="153"/>
    </row>
    <row r="488" spans="2:2" x14ac:dyDescent="0.25">
      <c r="B488" s="153"/>
    </row>
    <row r="489" spans="2:2" x14ac:dyDescent="0.25">
      <c r="B489" s="153"/>
    </row>
    <row r="490" spans="2:2" x14ac:dyDescent="0.25">
      <c r="B490" s="153"/>
    </row>
    <row r="491" spans="2:2" x14ac:dyDescent="0.25">
      <c r="B491" s="153"/>
    </row>
    <row r="492" spans="2:2" x14ac:dyDescent="0.25">
      <c r="B492" s="153"/>
    </row>
    <row r="493" spans="2:2" x14ac:dyDescent="0.25">
      <c r="B493" s="153"/>
    </row>
    <row r="494" spans="2:2" x14ac:dyDescent="0.25">
      <c r="B494" s="153"/>
    </row>
    <row r="495" spans="2:2" x14ac:dyDescent="0.25">
      <c r="B495" s="153"/>
    </row>
    <row r="496" spans="2:2" x14ac:dyDescent="0.25">
      <c r="B496" s="153"/>
    </row>
    <row r="497" spans="2:2" x14ac:dyDescent="0.25">
      <c r="B497" s="153"/>
    </row>
    <row r="498" spans="2:2" x14ac:dyDescent="0.25">
      <c r="B498" s="153"/>
    </row>
    <row r="499" spans="2:2" x14ac:dyDescent="0.25">
      <c r="B499" s="153"/>
    </row>
    <row r="500" spans="2:2" x14ac:dyDescent="0.25">
      <c r="B500" s="153"/>
    </row>
    <row r="501" spans="2:2" x14ac:dyDescent="0.25">
      <c r="B501" s="153"/>
    </row>
    <row r="502" spans="2:2" x14ac:dyDescent="0.25">
      <c r="B502" s="153"/>
    </row>
    <row r="503" spans="2:2" x14ac:dyDescent="0.25">
      <c r="B503" s="153"/>
    </row>
    <row r="504" spans="2:2" x14ac:dyDescent="0.25">
      <c r="B504" s="153"/>
    </row>
    <row r="505" spans="2:2" x14ac:dyDescent="0.25">
      <c r="B505" s="153"/>
    </row>
    <row r="506" spans="2:2" x14ac:dyDescent="0.25">
      <c r="B506" s="153"/>
    </row>
    <row r="507" spans="2:2" x14ac:dyDescent="0.25">
      <c r="B507" s="153"/>
    </row>
    <row r="508" spans="2:2" x14ac:dyDescent="0.25">
      <c r="B508" s="153"/>
    </row>
    <row r="509" spans="2:2" x14ac:dyDescent="0.25">
      <c r="B509" s="153"/>
    </row>
    <row r="510" spans="2:2" x14ac:dyDescent="0.25">
      <c r="B510" s="153"/>
    </row>
    <row r="511" spans="2:2" x14ac:dyDescent="0.25">
      <c r="B511" s="153"/>
    </row>
    <row r="512" spans="2:2" x14ac:dyDescent="0.25">
      <c r="B512" s="153"/>
    </row>
    <row r="513" spans="2:2" x14ac:dyDescent="0.25">
      <c r="B513" s="153"/>
    </row>
    <row r="514" spans="2:2" x14ac:dyDescent="0.25">
      <c r="B514" s="153"/>
    </row>
    <row r="515" spans="2:2" x14ac:dyDescent="0.25">
      <c r="B515" s="153"/>
    </row>
    <row r="516" spans="2:2" x14ac:dyDescent="0.25">
      <c r="B516" s="153"/>
    </row>
    <row r="517" spans="2:2" x14ac:dyDescent="0.25">
      <c r="B517" s="153"/>
    </row>
    <row r="518" spans="2:2" x14ac:dyDescent="0.25">
      <c r="B518" s="153"/>
    </row>
    <row r="519" spans="2:2" x14ac:dyDescent="0.25">
      <c r="B519" s="153"/>
    </row>
    <row r="520" spans="2:2" x14ac:dyDescent="0.25">
      <c r="B520" s="153"/>
    </row>
    <row r="521" spans="2:2" x14ac:dyDescent="0.25">
      <c r="B521" s="153"/>
    </row>
    <row r="522" spans="2:2" x14ac:dyDescent="0.25">
      <c r="B522" s="153"/>
    </row>
    <row r="523" spans="2:2" x14ac:dyDescent="0.25">
      <c r="B523" s="153"/>
    </row>
    <row r="524" spans="2:2" x14ac:dyDescent="0.25">
      <c r="B524" s="153"/>
    </row>
    <row r="525" spans="2:2" x14ac:dyDescent="0.25">
      <c r="B525" s="153"/>
    </row>
    <row r="526" spans="2:2" x14ac:dyDescent="0.25">
      <c r="B526" s="153"/>
    </row>
    <row r="527" spans="2:2" x14ac:dyDescent="0.25">
      <c r="B527" s="153"/>
    </row>
    <row r="528" spans="2:2" x14ac:dyDescent="0.25">
      <c r="B528" s="153"/>
    </row>
    <row r="529" spans="2:2" x14ac:dyDescent="0.25">
      <c r="B529" s="153"/>
    </row>
    <row r="530" spans="2:2" x14ac:dyDescent="0.25">
      <c r="B530" s="153"/>
    </row>
    <row r="531" spans="2:2" x14ac:dyDescent="0.25">
      <c r="B531" s="153"/>
    </row>
    <row r="532" spans="2:2" x14ac:dyDescent="0.25">
      <c r="B532" s="153"/>
    </row>
    <row r="533" spans="2:2" x14ac:dyDescent="0.25">
      <c r="B533" s="153"/>
    </row>
    <row r="534" spans="2:2" x14ac:dyDescent="0.25">
      <c r="B534" s="153"/>
    </row>
    <row r="535" spans="2:2" x14ac:dyDescent="0.25">
      <c r="B535" s="153"/>
    </row>
    <row r="536" spans="2:2" x14ac:dyDescent="0.25">
      <c r="B536" s="153"/>
    </row>
    <row r="537" spans="2:2" x14ac:dyDescent="0.25">
      <c r="B537" s="153"/>
    </row>
    <row r="538" spans="2:2" x14ac:dyDescent="0.25">
      <c r="B538" s="153"/>
    </row>
    <row r="539" spans="2:2" x14ac:dyDescent="0.25">
      <c r="B539" s="153"/>
    </row>
    <row r="540" spans="2:2" x14ac:dyDescent="0.25">
      <c r="B540" s="153"/>
    </row>
    <row r="541" spans="2:2" x14ac:dyDescent="0.25">
      <c r="B541" s="153"/>
    </row>
    <row r="542" spans="2:2" x14ac:dyDescent="0.25">
      <c r="B542" s="153"/>
    </row>
    <row r="543" spans="2:2" x14ac:dyDescent="0.25">
      <c r="B543" s="153"/>
    </row>
    <row r="544" spans="2:2" x14ac:dyDescent="0.25">
      <c r="B544" s="153"/>
    </row>
    <row r="545" spans="2:2" x14ac:dyDescent="0.25">
      <c r="B545" s="153"/>
    </row>
    <row r="546" spans="2:2" x14ac:dyDescent="0.25">
      <c r="B546" s="153"/>
    </row>
    <row r="547" spans="2:2" x14ac:dyDescent="0.25">
      <c r="B547" s="153"/>
    </row>
    <row r="548" spans="2:2" x14ac:dyDescent="0.25">
      <c r="B548" s="153"/>
    </row>
    <row r="549" spans="2:2" x14ac:dyDescent="0.25">
      <c r="B549" s="153"/>
    </row>
    <row r="550" spans="2:2" x14ac:dyDescent="0.25">
      <c r="B550" s="153"/>
    </row>
    <row r="551" spans="2:2" x14ac:dyDescent="0.25">
      <c r="B551" s="153"/>
    </row>
    <row r="552" spans="2:2" x14ac:dyDescent="0.25">
      <c r="B552" s="153"/>
    </row>
    <row r="553" spans="2:2" x14ac:dyDescent="0.25">
      <c r="B553" s="153"/>
    </row>
    <row r="554" spans="2:2" x14ac:dyDescent="0.25">
      <c r="B554" s="153"/>
    </row>
    <row r="555" spans="2:2" x14ac:dyDescent="0.25">
      <c r="B555" s="153"/>
    </row>
    <row r="556" spans="2:2" x14ac:dyDescent="0.25">
      <c r="B556" s="153"/>
    </row>
    <row r="557" spans="2:2" x14ac:dyDescent="0.25">
      <c r="B557" s="153"/>
    </row>
    <row r="558" spans="2:2" x14ac:dyDescent="0.25">
      <c r="B558" s="153"/>
    </row>
    <row r="559" spans="2:2" x14ac:dyDescent="0.25">
      <c r="B559" s="153"/>
    </row>
    <row r="560" spans="2:2" x14ac:dyDescent="0.25">
      <c r="B560" s="153"/>
    </row>
    <row r="561" spans="2:2" x14ac:dyDescent="0.25">
      <c r="B561" s="153"/>
    </row>
    <row r="562" spans="2:2" x14ac:dyDescent="0.25">
      <c r="B562" s="153"/>
    </row>
    <row r="563" spans="2:2" x14ac:dyDescent="0.25">
      <c r="B563" s="153"/>
    </row>
    <row r="564" spans="2:2" x14ac:dyDescent="0.25">
      <c r="B564" s="153"/>
    </row>
    <row r="565" spans="2:2" x14ac:dyDescent="0.25">
      <c r="B565" s="153"/>
    </row>
    <row r="566" spans="2:2" x14ac:dyDescent="0.25">
      <c r="B566" s="153"/>
    </row>
    <row r="567" spans="2:2" x14ac:dyDescent="0.25">
      <c r="B567" s="153"/>
    </row>
    <row r="568" spans="2:2" x14ac:dyDescent="0.25">
      <c r="B568" s="153"/>
    </row>
    <row r="569" spans="2:2" x14ac:dyDescent="0.25">
      <c r="B569" s="153"/>
    </row>
    <row r="570" spans="2:2" x14ac:dyDescent="0.25">
      <c r="B570" s="153"/>
    </row>
    <row r="571" spans="2:2" x14ac:dyDescent="0.25">
      <c r="B571" s="153"/>
    </row>
    <row r="572" spans="2:2" x14ac:dyDescent="0.25">
      <c r="B572" s="153"/>
    </row>
    <row r="573" spans="2:2" x14ac:dyDescent="0.25">
      <c r="B573" s="153"/>
    </row>
    <row r="574" spans="2:2" x14ac:dyDescent="0.25">
      <c r="B574" s="153"/>
    </row>
    <row r="575" spans="2:2" x14ac:dyDescent="0.25">
      <c r="B575" s="153"/>
    </row>
    <row r="576" spans="2:2" x14ac:dyDescent="0.25">
      <c r="B576" s="153"/>
    </row>
    <row r="577" spans="2:2" x14ac:dyDescent="0.25">
      <c r="B577" s="153"/>
    </row>
    <row r="578" spans="2:2" x14ac:dyDescent="0.25">
      <c r="B578" s="153"/>
    </row>
    <row r="579" spans="2:2" x14ac:dyDescent="0.25">
      <c r="B579" s="153"/>
    </row>
    <row r="580" spans="2:2" x14ac:dyDescent="0.25">
      <c r="B580" s="153"/>
    </row>
    <row r="581" spans="2:2" x14ac:dyDescent="0.25">
      <c r="B581" s="153"/>
    </row>
    <row r="582" spans="2:2" x14ac:dyDescent="0.25">
      <c r="B582" s="153"/>
    </row>
    <row r="583" spans="2:2" x14ac:dyDescent="0.25">
      <c r="B583" s="153"/>
    </row>
    <row r="584" spans="2:2" x14ac:dyDescent="0.25">
      <c r="B584" s="153"/>
    </row>
    <row r="585" spans="2:2" x14ac:dyDescent="0.25">
      <c r="B585" s="153"/>
    </row>
    <row r="586" spans="2:2" x14ac:dyDescent="0.25">
      <c r="B586" s="153"/>
    </row>
    <row r="587" spans="2:2" x14ac:dyDescent="0.25">
      <c r="B587" s="153"/>
    </row>
    <row r="588" spans="2:2" x14ac:dyDescent="0.25">
      <c r="B588" s="153"/>
    </row>
    <row r="589" spans="2:2" x14ac:dyDescent="0.25">
      <c r="B589" s="153"/>
    </row>
    <row r="590" spans="2:2" x14ac:dyDescent="0.25">
      <c r="B590" s="153"/>
    </row>
    <row r="591" spans="2:2" x14ac:dyDescent="0.25">
      <c r="B591" s="153"/>
    </row>
    <row r="592" spans="2:2" x14ac:dyDescent="0.25">
      <c r="B592" s="153"/>
    </row>
    <row r="593" spans="2:2" x14ac:dyDescent="0.25">
      <c r="B593" s="153"/>
    </row>
    <row r="594" spans="2:2" x14ac:dyDescent="0.25">
      <c r="B594" s="153"/>
    </row>
    <row r="595" spans="2:2" x14ac:dyDescent="0.25">
      <c r="B595" s="153"/>
    </row>
    <row r="596" spans="2:2" x14ac:dyDescent="0.25">
      <c r="B596" s="153"/>
    </row>
    <row r="597" spans="2:2" x14ac:dyDescent="0.25">
      <c r="B597" s="153"/>
    </row>
    <row r="598" spans="2:2" x14ac:dyDescent="0.25">
      <c r="B598" s="153"/>
    </row>
    <row r="599" spans="2:2" x14ac:dyDescent="0.25">
      <c r="B599" s="153"/>
    </row>
    <row r="600" spans="2:2" x14ac:dyDescent="0.25">
      <c r="B600" s="153"/>
    </row>
    <row r="601" spans="2:2" x14ac:dyDescent="0.25">
      <c r="B601" s="153"/>
    </row>
    <row r="602" spans="2:2" x14ac:dyDescent="0.25">
      <c r="B602" s="153"/>
    </row>
    <row r="603" spans="2:2" x14ac:dyDescent="0.25">
      <c r="B603" s="153"/>
    </row>
    <row r="604" spans="2:2" x14ac:dyDescent="0.25">
      <c r="B604" s="153"/>
    </row>
    <row r="605" spans="2:2" x14ac:dyDescent="0.25">
      <c r="B605" s="153"/>
    </row>
    <row r="606" spans="2:2" x14ac:dyDescent="0.25">
      <c r="B606" s="153"/>
    </row>
    <row r="607" spans="2:2" x14ac:dyDescent="0.25">
      <c r="B607" s="153"/>
    </row>
    <row r="608" spans="2:2" x14ac:dyDescent="0.25">
      <c r="B608" s="153"/>
    </row>
    <row r="609" spans="2:2" x14ac:dyDescent="0.25">
      <c r="B609" s="153"/>
    </row>
    <row r="610" spans="2:2" x14ac:dyDescent="0.25">
      <c r="B610" s="153"/>
    </row>
    <row r="611" spans="2:2" x14ac:dyDescent="0.25">
      <c r="B611" s="153"/>
    </row>
    <row r="612" spans="2:2" x14ac:dyDescent="0.25">
      <c r="B612" s="153"/>
    </row>
    <row r="613" spans="2:2" x14ac:dyDescent="0.25">
      <c r="B613" s="153"/>
    </row>
    <row r="614" spans="2:2" x14ac:dyDescent="0.25">
      <c r="B614" s="153"/>
    </row>
    <row r="615" spans="2:2" x14ac:dyDescent="0.25">
      <c r="B615" s="153"/>
    </row>
    <row r="616" spans="2:2" x14ac:dyDescent="0.25">
      <c r="B616" s="153"/>
    </row>
    <row r="617" spans="2:2" x14ac:dyDescent="0.25">
      <c r="B617" s="153"/>
    </row>
    <row r="618" spans="2:2" x14ac:dyDescent="0.25">
      <c r="B618" s="153"/>
    </row>
    <row r="619" spans="2:2" x14ac:dyDescent="0.25">
      <c r="B619" s="153"/>
    </row>
    <row r="620" spans="2:2" x14ac:dyDescent="0.25">
      <c r="B620" s="153"/>
    </row>
    <row r="621" spans="2:2" x14ac:dyDescent="0.25">
      <c r="B621" s="153"/>
    </row>
    <row r="622" spans="2:2" x14ac:dyDescent="0.25">
      <c r="B622" s="153"/>
    </row>
    <row r="623" spans="2:2" x14ac:dyDescent="0.25">
      <c r="B623" s="153"/>
    </row>
    <row r="624" spans="2:2" x14ac:dyDescent="0.25">
      <c r="B624" s="153"/>
    </row>
    <row r="625" spans="2:2" x14ac:dyDescent="0.25">
      <c r="B625" s="153"/>
    </row>
    <row r="626" spans="2:2" x14ac:dyDescent="0.25">
      <c r="B626" s="153"/>
    </row>
    <row r="627" spans="2:2" x14ac:dyDescent="0.25">
      <c r="B627" s="153"/>
    </row>
    <row r="628" spans="2:2" x14ac:dyDescent="0.25">
      <c r="B628" s="153"/>
    </row>
    <row r="629" spans="2:2" x14ac:dyDescent="0.25">
      <c r="B629" s="153"/>
    </row>
    <row r="630" spans="2:2" x14ac:dyDescent="0.25">
      <c r="B630" s="153"/>
    </row>
    <row r="631" spans="2:2" x14ac:dyDescent="0.25">
      <c r="B631" s="153"/>
    </row>
    <row r="632" spans="2:2" x14ac:dyDescent="0.25">
      <c r="B632" s="153"/>
    </row>
    <row r="633" spans="2:2" x14ac:dyDescent="0.25">
      <c r="B633" s="153"/>
    </row>
    <row r="634" spans="2:2" x14ac:dyDescent="0.25">
      <c r="B634" s="153"/>
    </row>
    <row r="635" spans="2:2" x14ac:dyDescent="0.25">
      <c r="B635" s="153"/>
    </row>
    <row r="636" spans="2:2" x14ac:dyDescent="0.25">
      <c r="B636" s="153"/>
    </row>
    <row r="637" spans="2:2" x14ac:dyDescent="0.25">
      <c r="B637" s="153"/>
    </row>
    <row r="638" spans="2:2" x14ac:dyDescent="0.25">
      <c r="B638" s="153"/>
    </row>
    <row r="639" spans="2:2" x14ac:dyDescent="0.25">
      <c r="B639" s="153"/>
    </row>
    <row r="640" spans="2:2" x14ac:dyDescent="0.25">
      <c r="B640" s="153"/>
    </row>
    <row r="641" spans="2:2" x14ac:dyDescent="0.25">
      <c r="B641" s="153"/>
    </row>
    <row r="642" spans="2:2" x14ac:dyDescent="0.25">
      <c r="B642" s="153"/>
    </row>
    <row r="643" spans="2:2" x14ac:dyDescent="0.25">
      <c r="B643" s="153"/>
    </row>
    <row r="644" spans="2:2" x14ac:dyDescent="0.25">
      <c r="B644" s="153"/>
    </row>
    <row r="645" spans="2:2" x14ac:dyDescent="0.25">
      <c r="B645" s="153"/>
    </row>
    <row r="646" spans="2:2" x14ac:dyDescent="0.25">
      <c r="B646" s="153"/>
    </row>
    <row r="647" spans="2:2" x14ac:dyDescent="0.25">
      <c r="B647" s="153"/>
    </row>
    <row r="648" spans="2:2" x14ac:dyDescent="0.25">
      <c r="B648" s="153"/>
    </row>
    <row r="649" spans="2:2" x14ac:dyDescent="0.25">
      <c r="B649" s="153"/>
    </row>
    <row r="650" spans="2:2" x14ac:dyDescent="0.25">
      <c r="B650" s="153"/>
    </row>
    <row r="651" spans="2:2" x14ac:dyDescent="0.25">
      <c r="B651" s="153"/>
    </row>
    <row r="652" spans="2:2" x14ac:dyDescent="0.25">
      <c r="B652" s="153"/>
    </row>
    <row r="653" spans="2:2" x14ac:dyDescent="0.25">
      <c r="B653" s="153"/>
    </row>
    <row r="654" spans="2:2" x14ac:dyDescent="0.25">
      <c r="B654" s="153"/>
    </row>
    <row r="655" spans="2:2" x14ac:dyDescent="0.25">
      <c r="B655" s="153"/>
    </row>
    <row r="656" spans="2:2" x14ac:dyDescent="0.25">
      <c r="B656" s="153"/>
    </row>
    <row r="657" spans="2:2" x14ac:dyDescent="0.25">
      <c r="B657" s="153"/>
    </row>
    <row r="658" spans="2:2" x14ac:dyDescent="0.25">
      <c r="B658" s="153"/>
    </row>
    <row r="659" spans="2:2" x14ac:dyDescent="0.25">
      <c r="B659" s="153"/>
    </row>
    <row r="660" spans="2:2" x14ac:dyDescent="0.25">
      <c r="B660" s="153"/>
    </row>
    <row r="661" spans="2:2" x14ac:dyDescent="0.25">
      <c r="B661" s="153"/>
    </row>
    <row r="662" spans="2:2" x14ac:dyDescent="0.25">
      <c r="B662" s="153"/>
    </row>
    <row r="663" spans="2:2" x14ac:dyDescent="0.25">
      <c r="B663" s="153"/>
    </row>
    <row r="664" spans="2:2" x14ac:dyDescent="0.25">
      <c r="B664" s="153"/>
    </row>
    <row r="665" spans="2:2" x14ac:dyDescent="0.25">
      <c r="B665" s="153"/>
    </row>
    <row r="666" spans="2:2" x14ac:dyDescent="0.25">
      <c r="B666" s="153"/>
    </row>
    <row r="667" spans="2:2" x14ac:dyDescent="0.25">
      <c r="B667" s="153"/>
    </row>
    <row r="668" spans="2:2" x14ac:dyDescent="0.25">
      <c r="B668" s="153"/>
    </row>
    <row r="669" spans="2:2" x14ac:dyDescent="0.25">
      <c r="B669" s="153"/>
    </row>
    <row r="670" spans="2:2" x14ac:dyDescent="0.25">
      <c r="B670" s="153"/>
    </row>
    <row r="671" spans="2:2" x14ac:dyDescent="0.25">
      <c r="B671" s="153"/>
    </row>
    <row r="672" spans="2:2" x14ac:dyDescent="0.25">
      <c r="B672" s="153"/>
    </row>
    <row r="673" spans="2:2" x14ac:dyDescent="0.25">
      <c r="B673" s="153"/>
    </row>
    <row r="674" spans="2:2" x14ac:dyDescent="0.25">
      <c r="B674" s="153"/>
    </row>
    <row r="675" spans="2:2" x14ac:dyDescent="0.25">
      <c r="B675" s="153"/>
    </row>
    <row r="676" spans="2:2" x14ac:dyDescent="0.25">
      <c r="B676" s="153"/>
    </row>
    <row r="677" spans="2:2" x14ac:dyDescent="0.25">
      <c r="B677" s="153"/>
    </row>
    <row r="678" spans="2:2" x14ac:dyDescent="0.25">
      <c r="B678" s="153"/>
    </row>
    <row r="679" spans="2:2" x14ac:dyDescent="0.25">
      <c r="B679" s="153"/>
    </row>
    <row r="680" spans="2:2" x14ac:dyDescent="0.25">
      <c r="B680" s="153"/>
    </row>
    <row r="681" spans="2:2" x14ac:dyDescent="0.25">
      <c r="B681" s="153"/>
    </row>
    <row r="682" spans="2:2" x14ac:dyDescent="0.25">
      <c r="B682" s="153"/>
    </row>
    <row r="683" spans="2:2" x14ac:dyDescent="0.25">
      <c r="B683" s="153"/>
    </row>
    <row r="684" spans="2:2" x14ac:dyDescent="0.25">
      <c r="B684" s="153"/>
    </row>
    <row r="685" spans="2:2" x14ac:dyDescent="0.25">
      <c r="B685" s="153"/>
    </row>
    <row r="686" spans="2:2" x14ac:dyDescent="0.25">
      <c r="B686" s="153"/>
    </row>
    <row r="687" spans="2:2" x14ac:dyDescent="0.25">
      <c r="B687" s="153"/>
    </row>
    <row r="688" spans="2:2" x14ac:dyDescent="0.25">
      <c r="B688" s="153"/>
    </row>
    <row r="689" spans="2:2" x14ac:dyDescent="0.25">
      <c r="B689" s="153"/>
    </row>
    <row r="690" spans="2:2" x14ac:dyDescent="0.25">
      <c r="B690" s="153"/>
    </row>
    <row r="691" spans="2:2" x14ac:dyDescent="0.25">
      <c r="B691" s="153"/>
    </row>
    <row r="692" spans="2:2" x14ac:dyDescent="0.25">
      <c r="B692" s="153"/>
    </row>
    <row r="693" spans="2:2" x14ac:dyDescent="0.25">
      <c r="B693" s="153"/>
    </row>
    <row r="694" spans="2:2" x14ac:dyDescent="0.25">
      <c r="B694" s="153"/>
    </row>
    <row r="695" spans="2:2" x14ac:dyDescent="0.25">
      <c r="B695" s="153"/>
    </row>
    <row r="696" spans="2:2" x14ac:dyDescent="0.25">
      <c r="B696" s="153"/>
    </row>
    <row r="697" spans="2:2" x14ac:dyDescent="0.25">
      <c r="B697" s="153"/>
    </row>
    <row r="698" spans="2:2" x14ac:dyDescent="0.25">
      <c r="B698" s="153"/>
    </row>
    <row r="699" spans="2:2" x14ac:dyDescent="0.25">
      <c r="B699" s="153"/>
    </row>
    <row r="700" spans="2:2" x14ac:dyDescent="0.25">
      <c r="B700" s="153"/>
    </row>
    <row r="701" spans="2:2" x14ac:dyDescent="0.25">
      <c r="B701" s="153"/>
    </row>
    <row r="702" spans="2:2" x14ac:dyDescent="0.25">
      <c r="B702" s="153"/>
    </row>
    <row r="703" spans="2:2" x14ac:dyDescent="0.25">
      <c r="B703" s="153"/>
    </row>
    <row r="704" spans="2:2" x14ac:dyDescent="0.25">
      <c r="B704" s="153"/>
    </row>
    <row r="705" spans="2:2" x14ac:dyDescent="0.25">
      <c r="B705" s="153"/>
    </row>
    <row r="706" spans="2:2" x14ac:dyDescent="0.25">
      <c r="B706" s="153"/>
    </row>
    <row r="707" spans="2:2" x14ac:dyDescent="0.25">
      <c r="B707" s="153"/>
    </row>
    <row r="708" spans="2:2" x14ac:dyDescent="0.25">
      <c r="B708" s="153"/>
    </row>
    <row r="709" spans="2:2" x14ac:dyDescent="0.25">
      <c r="B709" s="153"/>
    </row>
    <row r="710" spans="2:2" x14ac:dyDescent="0.25">
      <c r="B710" s="153"/>
    </row>
    <row r="711" spans="2:2" x14ac:dyDescent="0.25">
      <c r="B711" s="153"/>
    </row>
    <row r="712" spans="2:2" x14ac:dyDescent="0.25">
      <c r="B712" s="153"/>
    </row>
    <row r="713" spans="2:2" x14ac:dyDescent="0.25">
      <c r="B713" s="153"/>
    </row>
    <row r="714" spans="2:2" x14ac:dyDescent="0.25">
      <c r="B714" s="153"/>
    </row>
    <row r="715" spans="2:2" x14ac:dyDescent="0.25">
      <c r="B715" s="153"/>
    </row>
    <row r="716" spans="2:2" x14ac:dyDescent="0.25">
      <c r="B716" s="153"/>
    </row>
    <row r="717" spans="2:2" x14ac:dyDescent="0.25">
      <c r="B717" s="153"/>
    </row>
    <row r="718" spans="2:2" x14ac:dyDescent="0.25">
      <c r="B718" s="153"/>
    </row>
    <row r="719" spans="2:2" x14ac:dyDescent="0.25">
      <c r="B719" s="153"/>
    </row>
    <row r="720" spans="2:2" x14ac:dyDescent="0.25">
      <c r="B720" s="153"/>
    </row>
    <row r="721" spans="2:2" x14ac:dyDescent="0.25">
      <c r="B721" s="153"/>
    </row>
    <row r="722" spans="2:2" x14ac:dyDescent="0.25">
      <c r="B722" s="153"/>
    </row>
    <row r="723" spans="2:2" x14ac:dyDescent="0.25">
      <c r="B723" s="153"/>
    </row>
    <row r="724" spans="2:2" x14ac:dyDescent="0.25">
      <c r="B724" s="153"/>
    </row>
    <row r="725" spans="2:2" x14ac:dyDescent="0.25">
      <c r="B725" s="153"/>
    </row>
    <row r="726" spans="2:2" x14ac:dyDescent="0.25">
      <c r="B726" s="153"/>
    </row>
    <row r="727" spans="2:2" x14ac:dyDescent="0.25">
      <c r="B727" s="153"/>
    </row>
    <row r="728" spans="2:2" x14ac:dyDescent="0.25">
      <c r="B728" s="153"/>
    </row>
    <row r="729" spans="2:2" x14ac:dyDescent="0.25">
      <c r="B729" s="153"/>
    </row>
    <row r="730" spans="2:2" x14ac:dyDescent="0.25">
      <c r="B730" s="153"/>
    </row>
    <row r="731" spans="2:2" x14ac:dyDescent="0.25">
      <c r="B731" s="153"/>
    </row>
    <row r="732" spans="2:2" x14ac:dyDescent="0.25">
      <c r="B732" s="153"/>
    </row>
    <row r="733" spans="2:2" x14ac:dyDescent="0.25">
      <c r="B733" s="153"/>
    </row>
    <row r="734" spans="2:2" x14ac:dyDescent="0.25">
      <c r="B734" s="153"/>
    </row>
    <row r="735" spans="2:2" x14ac:dyDescent="0.25">
      <c r="B735" s="153"/>
    </row>
    <row r="736" spans="2:2" x14ac:dyDescent="0.25">
      <c r="B736" s="153"/>
    </row>
    <row r="737" spans="2:2" x14ac:dyDescent="0.25">
      <c r="B737" s="153"/>
    </row>
    <row r="738" spans="2:2" x14ac:dyDescent="0.25">
      <c r="B738" s="153"/>
    </row>
    <row r="739" spans="2:2" x14ac:dyDescent="0.25">
      <c r="B739" s="153"/>
    </row>
    <row r="740" spans="2:2" x14ac:dyDescent="0.25">
      <c r="B740" s="153"/>
    </row>
    <row r="741" spans="2:2" x14ac:dyDescent="0.25">
      <c r="B741" s="153"/>
    </row>
    <row r="742" spans="2:2" x14ac:dyDescent="0.25">
      <c r="B742" s="153"/>
    </row>
    <row r="743" spans="2:2" x14ac:dyDescent="0.25">
      <c r="B743" s="153"/>
    </row>
    <row r="744" spans="2:2" x14ac:dyDescent="0.25">
      <c r="B744" s="153"/>
    </row>
    <row r="745" spans="2:2" x14ac:dyDescent="0.25">
      <c r="B745" s="153"/>
    </row>
    <row r="746" spans="2:2" x14ac:dyDescent="0.25">
      <c r="B746" s="153"/>
    </row>
    <row r="747" spans="2:2" x14ac:dyDescent="0.25">
      <c r="B747" s="153"/>
    </row>
    <row r="748" spans="2:2" x14ac:dyDescent="0.25">
      <c r="B748" s="153"/>
    </row>
    <row r="749" spans="2:2" x14ac:dyDescent="0.25">
      <c r="B749" s="153"/>
    </row>
    <row r="750" spans="2:2" x14ac:dyDescent="0.25">
      <c r="B750" s="153"/>
    </row>
    <row r="751" spans="2:2" x14ac:dyDescent="0.25">
      <c r="B751" s="153"/>
    </row>
    <row r="752" spans="2:2" x14ac:dyDescent="0.25">
      <c r="B752" s="153"/>
    </row>
    <row r="753" spans="2:2" x14ac:dyDescent="0.25">
      <c r="B753" s="153"/>
    </row>
    <row r="754" spans="2:2" x14ac:dyDescent="0.25">
      <c r="B754" s="153"/>
    </row>
    <row r="755" spans="2:2" x14ac:dyDescent="0.25">
      <c r="B755" s="153"/>
    </row>
    <row r="756" spans="2:2" x14ac:dyDescent="0.25">
      <c r="B756" s="153"/>
    </row>
    <row r="757" spans="2:2" x14ac:dyDescent="0.25">
      <c r="B757" s="153"/>
    </row>
    <row r="758" spans="2:2" x14ac:dyDescent="0.25">
      <c r="B758" s="153"/>
    </row>
    <row r="759" spans="2:2" x14ac:dyDescent="0.25">
      <c r="B759" s="153"/>
    </row>
    <row r="760" spans="2:2" x14ac:dyDescent="0.25">
      <c r="B760" s="153"/>
    </row>
    <row r="761" spans="2:2" x14ac:dyDescent="0.25">
      <c r="B761" s="153"/>
    </row>
    <row r="762" spans="2:2" x14ac:dyDescent="0.25">
      <c r="B762" s="153"/>
    </row>
    <row r="763" spans="2:2" x14ac:dyDescent="0.25">
      <c r="B763" s="153"/>
    </row>
    <row r="764" spans="2:2" x14ac:dyDescent="0.25">
      <c r="B764" s="153"/>
    </row>
    <row r="765" spans="2:2" x14ac:dyDescent="0.25">
      <c r="B765" s="153"/>
    </row>
    <row r="766" spans="2:2" x14ac:dyDescent="0.25">
      <c r="B766" s="153"/>
    </row>
    <row r="767" spans="2:2" x14ac:dyDescent="0.25">
      <c r="B767" s="153"/>
    </row>
    <row r="768" spans="2:2" x14ac:dyDescent="0.25">
      <c r="B768" s="153"/>
    </row>
    <row r="769" spans="2:2" x14ac:dyDescent="0.25">
      <c r="B769" s="153"/>
    </row>
    <row r="770" spans="2:2" x14ac:dyDescent="0.25">
      <c r="B770" s="153"/>
    </row>
    <row r="771" spans="2:2" x14ac:dyDescent="0.25">
      <c r="B771" s="153"/>
    </row>
    <row r="772" spans="2:2" x14ac:dyDescent="0.25">
      <c r="B772" s="153"/>
    </row>
    <row r="773" spans="2:2" x14ac:dyDescent="0.25">
      <c r="B773" s="153"/>
    </row>
    <row r="774" spans="2:2" x14ac:dyDescent="0.25">
      <c r="B774" s="153"/>
    </row>
    <row r="775" spans="2:2" x14ac:dyDescent="0.25">
      <c r="B775" s="153"/>
    </row>
    <row r="776" spans="2:2" x14ac:dyDescent="0.25">
      <c r="B776" s="153"/>
    </row>
    <row r="777" spans="2:2" x14ac:dyDescent="0.25">
      <c r="B777" s="153"/>
    </row>
    <row r="778" spans="2:2" x14ac:dyDescent="0.25">
      <c r="B778" s="153"/>
    </row>
    <row r="779" spans="2:2" x14ac:dyDescent="0.25">
      <c r="B779" s="153"/>
    </row>
    <row r="780" spans="2:2" x14ac:dyDescent="0.25">
      <c r="B780" s="153"/>
    </row>
    <row r="781" spans="2:2" x14ac:dyDescent="0.25">
      <c r="B781" s="153"/>
    </row>
    <row r="782" spans="2:2" x14ac:dyDescent="0.25">
      <c r="B782" s="153"/>
    </row>
    <row r="783" spans="2:2" x14ac:dyDescent="0.25">
      <c r="B783" s="153"/>
    </row>
    <row r="784" spans="2:2" x14ac:dyDescent="0.25">
      <c r="B784" s="153"/>
    </row>
    <row r="785" spans="2:2" x14ac:dyDescent="0.25">
      <c r="B785" s="153"/>
    </row>
    <row r="786" spans="2:2" x14ac:dyDescent="0.25">
      <c r="B786" s="153"/>
    </row>
    <row r="787" spans="2:2" x14ac:dyDescent="0.25">
      <c r="B787" s="153"/>
    </row>
    <row r="788" spans="2:2" x14ac:dyDescent="0.25">
      <c r="B788" s="153"/>
    </row>
    <row r="789" spans="2:2" x14ac:dyDescent="0.25">
      <c r="B789" s="153"/>
    </row>
    <row r="790" spans="2:2" x14ac:dyDescent="0.25">
      <c r="B790" s="153"/>
    </row>
    <row r="791" spans="2:2" x14ac:dyDescent="0.25">
      <c r="B791" s="153"/>
    </row>
    <row r="792" spans="2:2" x14ac:dyDescent="0.25">
      <c r="B792" s="153"/>
    </row>
    <row r="793" spans="2:2" x14ac:dyDescent="0.25">
      <c r="B793" s="153"/>
    </row>
    <row r="794" spans="2:2" x14ac:dyDescent="0.25">
      <c r="B794" s="153"/>
    </row>
    <row r="795" spans="2:2" x14ac:dyDescent="0.25">
      <c r="B795" s="153"/>
    </row>
    <row r="796" spans="2:2" x14ac:dyDescent="0.25">
      <c r="B796" s="153"/>
    </row>
    <row r="797" spans="2:2" x14ac:dyDescent="0.25">
      <c r="B797" s="153"/>
    </row>
    <row r="798" spans="2:2" x14ac:dyDescent="0.25">
      <c r="B798" s="153"/>
    </row>
    <row r="799" spans="2:2" x14ac:dyDescent="0.25">
      <c r="B799" s="153"/>
    </row>
    <row r="800" spans="2:2" x14ac:dyDescent="0.25">
      <c r="B800" s="153"/>
    </row>
    <row r="801" spans="2:2" x14ac:dyDescent="0.25">
      <c r="B801" s="153"/>
    </row>
    <row r="802" spans="2:2" x14ac:dyDescent="0.25">
      <c r="B802" s="153"/>
    </row>
    <row r="803" spans="2:2" x14ac:dyDescent="0.25">
      <c r="B803" s="153"/>
    </row>
    <row r="804" spans="2:2" x14ac:dyDescent="0.25">
      <c r="B804" s="153"/>
    </row>
    <row r="805" spans="2:2" x14ac:dyDescent="0.25">
      <c r="B805" s="153"/>
    </row>
    <row r="806" spans="2:2" x14ac:dyDescent="0.25">
      <c r="B806" s="153"/>
    </row>
    <row r="807" spans="2:2" x14ac:dyDescent="0.25">
      <c r="B807" s="153"/>
    </row>
    <row r="808" spans="2:2" x14ac:dyDescent="0.25">
      <c r="B808" s="153"/>
    </row>
    <row r="809" spans="2:2" x14ac:dyDescent="0.25">
      <c r="B809" s="153"/>
    </row>
    <row r="810" spans="2:2" x14ac:dyDescent="0.25">
      <c r="B810" s="153"/>
    </row>
    <row r="811" spans="2:2" x14ac:dyDescent="0.25">
      <c r="B811" s="153"/>
    </row>
    <row r="812" spans="2:2" x14ac:dyDescent="0.25">
      <c r="B812" s="153"/>
    </row>
    <row r="813" spans="2:2" x14ac:dyDescent="0.25">
      <c r="B813" s="153"/>
    </row>
    <row r="814" spans="2:2" x14ac:dyDescent="0.25">
      <c r="B814" s="153"/>
    </row>
    <row r="815" spans="2:2" x14ac:dyDescent="0.25">
      <c r="B815" s="153"/>
    </row>
    <row r="816" spans="2:2" x14ac:dyDescent="0.25">
      <c r="B816" s="153"/>
    </row>
    <row r="817" spans="2:2" x14ac:dyDescent="0.25">
      <c r="B817" s="153"/>
    </row>
    <row r="818" spans="2:2" x14ac:dyDescent="0.25">
      <c r="B818" s="153"/>
    </row>
    <row r="819" spans="2:2" x14ac:dyDescent="0.25">
      <c r="B819" s="153"/>
    </row>
    <row r="820" spans="2:2" x14ac:dyDescent="0.25">
      <c r="B820" s="153"/>
    </row>
    <row r="821" spans="2:2" x14ac:dyDescent="0.25">
      <c r="B821" s="153"/>
    </row>
    <row r="822" spans="2:2" x14ac:dyDescent="0.25">
      <c r="B822" s="153"/>
    </row>
    <row r="823" spans="2:2" x14ac:dyDescent="0.25">
      <c r="B823" s="153"/>
    </row>
    <row r="824" spans="2:2" x14ac:dyDescent="0.25">
      <c r="B824" s="153"/>
    </row>
    <row r="825" spans="2:2" x14ac:dyDescent="0.25">
      <c r="B825" s="153"/>
    </row>
    <row r="826" spans="2:2" x14ac:dyDescent="0.25">
      <c r="B826" s="153"/>
    </row>
    <row r="827" spans="2:2" x14ac:dyDescent="0.25">
      <c r="B827" s="153"/>
    </row>
    <row r="828" spans="2:2" x14ac:dyDescent="0.25">
      <c r="B828" s="153"/>
    </row>
    <row r="829" spans="2:2" x14ac:dyDescent="0.25">
      <c r="B829" s="153"/>
    </row>
    <row r="830" spans="2:2" x14ac:dyDescent="0.25">
      <c r="B830" s="153"/>
    </row>
    <row r="831" spans="2:2" x14ac:dyDescent="0.25">
      <c r="B831" s="153"/>
    </row>
    <row r="832" spans="2:2" x14ac:dyDescent="0.25">
      <c r="B832" s="153"/>
    </row>
    <row r="833" spans="2:2" x14ac:dyDescent="0.25">
      <c r="B833" s="153"/>
    </row>
    <row r="834" spans="2:2" x14ac:dyDescent="0.25">
      <c r="B834" s="153"/>
    </row>
    <row r="835" spans="2:2" x14ac:dyDescent="0.25">
      <c r="B835" s="153"/>
    </row>
    <row r="836" spans="2:2" x14ac:dyDescent="0.25">
      <c r="B836" s="153"/>
    </row>
    <row r="837" spans="2:2" x14ac:dyDescent="0.25">
      <c r="B837" s="153"/>
    </row>
    <row r="838" spans="2:2" x14ac:dyDescent="0.25">
      <c r="B838" s="153"/>
    </row>
    <row r="839" spans="2:2" x14ac:dyDescent="0.25">
      <c r="B839" s="153"/>
    </row>
    <row r="840" spans="2:2" x14ac:dyDescent="0.25">
      <c r="B840" s="153"/>
    </row>
    <row r="841" spans="2:2" x14ac:dyDescent="0.25">
      <c r="B841" s="153"/>
    </row>
    <row r="842" spans="2:2" x14ac:dyDescent="0.25">
      <c r="B842" s="153"/>
    </row>
    <row r="843" spans="2:2" x14ac:dyDescent="0.25">
      <c r="B843" s="153"/>
    </row>
    <row r="844" spans="2:2" x14ac:dyDescent="0.25">
      <c r="B844" s="153"/>
    </row>
    <row r="845" spans="2:2" x14ac:dyDescent="0.25">
      <c r="B845" s="153"/>
    </row>
    <row r="846" spans="2:2" x14ac:dyDescent="0.25">
      <c r="B846" s="153"/>
    </row>
    <row r="847" spans="2:2" x14ac:dyDescent="0.25">
      <c r="B847" s="153"/>
    </row>
    <row r="848" spans="2:2" x14ac:dyDescent="0.25">
      <c r="B848" s="153"/>
    </row>
    <row r="849" spans="2:2" x14ac:dyDescent="0.25">
      <c r="B849" s="153"/>
    </row>
    <row r="850" spans="2:2" x14ac:dyDescent="0.25">
      <c r="B850" s="153"/>
    </row>
    <row r="851" spans="2:2" x14ac:dyDescent="0.25">
      <c r="B851" s="153"/>
    </row>
    <row r="852" spans="2:2" x14ac:dyDescent="0.25">
      <c r="B852" s="153"/>
    </row>
    <row r="853" spans="2:2" x14ac:dyDescent="0.25">
      <c r="B853" s="153"/>
    </row>
    <row r="854" spans="2:2" x14ac:dyDescent="0.25">
      <c r="B854" s="153"/>
    </row>
    <row r="855" spans="2:2" x14ac:dyDescent="0.25">
      <c r="B855" s="153"/>
    </row>
    <row r="856" spans="2:2" x14ac:dyDescent="0.25">
      <c r="B856" s="153"/>
    </row>
    <row r="857" spans="2:2" x14ac:dyDescent="0.25">
      <c r="B857" s="153"/>
    </row>
    <row r="858" spans="2:2" x14ac:dyDescent="0.25">
      <c r="B858" s="153"/>
    </row>
    <row r="859" spans="2:2" x14ac:dyDescent="0.25">
      <c r="B859" s="153"/>
    </row>
    <row r="860" spans="2:2" x14ac:dyDescent="0.25">
      <c r="B860" s="153"/>
    </row>
    <row r="861" spans="2:2" x14ac:dyDescent="0.25">
      <c r="B861" s="153"/>
    </row>
    <row r="862" spans="2:2" x14ac:dyDescent="0.25">
      <c r="B862" s="153"/>
    </row>
    <row r="863" spans="2:2" x14ac:dyDescent="0.25">
      <c r="B863" s="153"/>
    </row>
    <row r="864" spans="2:2" x14ac:dyDescent="0.25">
      <c r="B864" s="153"/>
    </row>
    <row r="865" spans="2:2" x14ac:dyDescent="0.25">
      <c r="B865" s="153"/>
    </row>
    <row r="866" spans="2:2" x14ac:dyDescent="0.25">
      <c r="B866" s="153"/>
    </row>
    <row r="867" spans="2:2" x14ac:dyDescent="0.25">
      <c r="B867" s="153"/>
    </row>
    <row r="868" spans="2:2" x14ac:dyDescent="0.25">
      <c r="B868" s="153"/>
    </row>
    <row r="869" spans="2:2" x14ac:dyDescent="0.25">
      <c r="B869" s="153"/>
    </row>
    <row r="870" spans="2:2" x14ac:dyDescent="0.25">
      <c r="B870" s="153"/>
    </row>
    <row r="871" spans="2:2" x14ac:dyDescent="0.25">
      <c r="B871" s="153"/>
    </row>
    <row r="872" spans="2:2" x14ac:dyDescent="0.25">
      <c r="B872" s="153"/>
    </row>
    <row r="873" spans="2:2" x14ac:dyDescent="0.25">
      <c r="B873" s="153"/>
    </row>
    <row r="874" spans="2:2" x14ac:dyDescent="0.25">
      <c r="B874" s="153"/>
    </row>
    <row r="875" spans="2:2" x14ac:dyDescent="0.25">
      <c r="B875" s="153"/>
    </row>
    <row r="876" spans="2:2" x14ac:dyDescent="0.25">
      <c r="B876" s="153"/>
    </row>
    <row r="877" spans="2:2" x14ac:dyDescent="0.25">
      <c r="B877" s="153"/>
    </row>
    <row r="878" spans="2:2" x14ac:dyDescent="0.25">
      <c r="B878" s="153"/>
    </row>
    <row r="879" spans="2:2" x14ac:dyDescent="0.25">
      <c r="B879" s="153"/>
    </row>
    <row r="880" spans="2:2" x14ac:dyDescent="0.25">
      <c r="B880" s="153"/>
    </row>
    <row r="881" spans="2:2" x14ac:dyDescent="0.25">
      <c r="B881" s="153"/>
    </row>
    <row r="882" spans="2:2" x14ac:dyDescent="0.25">
      <c r="B882" s="153"/>
    </row>
    <row r="883" spans="2:2" x14ac:dyDescent="0.25">
      <c r="B883" s="153"/>
    </row>
    <row r="884" spans="2:2" x14ac:dyDescent="0.25">
      <c r="B884" s="153"/>
    </row>
    <row r="885" spans="2:2" x14ac:dyDescent="0.25">
      <c r="B885" s="153"/>
    </row>
    <row r="886" spans="2:2" x14ac:dyDescent="0.25">
      <c r="B886" s="153"/>
    </row>
    <row r="887" spans="2:2" x14ac:dyDescent="0.25">
      <c r="B887" s="153"/>
    </row>
    <row r="888" spans="2:2" x14ac:dyDescent="0.25">
      <c r="B888" s="153"/>
    </row>
    <row r="889" spans="2:2" x14ac:dyDescent="0.25">
      <c r="B889" s="153"/>
    </row>
    <row r="890" spans="2:2" x14ac:dyDescent="0.25">
      <c r="B890" s="153"/>
    </row>
    <row r="891" spans="2:2" x14ac:dyDescent="0.25">
      <c r="B891" s="153"/>
    </row>
    <row r="892" spans="2:2" x14ac:dyDescent="0.25">
      <c r="B892" s="153"/>
    </row>
    <row r="893" spans="2:2" x14ac:dyDescent="0.25">
      <c r="B893" s="153"/>
    </row>
    <row r="894" spans="2:2" x14ac:dyDescent="0.25">
      <c r="B894" s="153"/>
    </row>
    <row r="895" spans="2:2" x14ac:dyDescent="0.25">
      <c r="B895" s="153"/>
    </row>
    <row r="896" spans="2:2" x14ac:dyDescent="0.25">
      <c r="B896" s="153"/>
    </row>
    <row r="897" spans="2:2" x14ac:dyDescent="0.25">
      <c r="B897" s="153"/>
    </row>
    <row r="898" spans="2:2" x14ac:dyDescent="0.25">
      <c r="B898" s="153"/>
    </row>
    <row r="899" spans="2:2" x14ac:dyDescent="0.25">
      <c r="B899" s="153"/>
    </row>
    <row r="900" spans="2:2" x14ac:dyDescent="0.25">
      <c r="B900" s="153"/>
    </row>
    <row r="901" spans="2:2" x14ac:dyDescent="0.25">
      <c r="B901" s="153"/>
    </row>
    <row r="902" spans="2:2" x14ac:dyDescent="0.25">
      <c r="B902" s="153"/>
    </row>
    <row r="903" spans="2:2" x14ac:dyDescent="0.25">
      <c r="B903" s="153"/>
    </row>
    <row r="904" spans="2:2" x14ac:dyDescent="0.25">
      <c r="B904" s="153"/>
    </row>
    <row r="905" spans="2:2" x14ac:dyDescent="0.25">
      <c r="B905" s="153"/>
    </row>
    <row r="906" spans="2:2" x14ac:dyDescent="0.25">
      <c r="B906" s="153"/>
    </row>
    <row r="907" spans="2:2" x14ac:dyDescent="0.25">
      <c r="B907" s="153"/>
    </row>
    <row r="908" spans="2:2" x14ac:dyDescent="0.25">
      <c r="B908" s="153"/>
    </row>
    <row r="909" spans="2:2" x14ac:dyDescent="0.25">
      <c r="B909" s="153"/>
    </row>
    <row r="910" spans="2:2" x14ac:dyDescent="0.25">
      <c r="B910" s="153"/>
    </row>
    <row r="911" spans="2:2" x14ac:dyDescent="0.25">
      <c r="B911" s="153"/>
    </row>
    <row r="912" spans="2:2" x14ac:dyDescent="0.25">
      <c r="B912" s="153"/>
    </row>
    <row r="913" spans="2:2" x14ac:dyDescent="0.25">
      <c r="B913" s="153"/>
    </row>
    <row r="914" spans="2:2" x14ac:dyDescent="0.25">
      <c r="B914" s="153"/>
    </row>
    <row r="915" spans="2:2" x14ac:dyDescent="0.25">
      <c r="B915" s="153"/>
    </row>
    <row r="916" spans="2:2" x14ac:dyDescent="0.25">
      <c r="B916" s="153"/>
    </row>
    <row r="917" spans="2:2" x14ac:dyDescent="0.25">
      <c r="B917" s="153"/>
    </row>
    <row r="918" spans="2:2" x14ac:dyDescent="0.25">
      <c r="B918" s="153"/>
    </row>
    <row r="919" spans="2:2" x14ac:dyDescent="0.25">
      <c r="B919" s="153"/>
    </row>
    <row r="920" spans="2:2" x14ac:dyDescent="0.25">
      <c r="B920" s="153"/>
    </row>
    <row r="921" spans="2:2" x14ac:dyDescent="0.25">
      <c r="B921" s="153"/>
    </row>
    <row r="922" spans="2:2" x14ac:dyDescent="0.25">
      <c r="B922" s="153"/>
    </row>
    <row r="923" spans="2:2" x14ac:dyDescent="0.25">
      <c r="B923" s="153"/>
    </row>
    <row r="924" spans="2:2" x14ac:dyDescent="0.25">
      <c r="B924" s="153"/>
    </row>
    <row r="925" spans="2:2" x14ac:dyDescent="0.25">
      <c r="B925" s="153"/>
    </row>
    <row r="926" spans="2:2" x14ac:dyDescent="0.25">
      <c r="B926" s="153"/>
    </row>
    <row r="927" spans="2:2" x14ac:dyDescent="0.25">
      <c r="B927" s="153"/>
    </row>
    <row r="928" spans="2:2" x14ac:dyDescent="0.25">
      <c r="B928" s="153"/>
    </row>
    <row r="929" spans="2:2" x14ac:dyDescent="0.25">
      <c r="B929" s="153"/>
    </row>
    <row r="930" spans="2:2" x14ac:dyDescent="0.25">
      <c r="B930" s="153"/>
    </row>
    <row r="931" spans="2:2" x14ac:dyDescent="0.25">
      <c r="B931" s="153"/>
    </row>
    <row r="932" spans="2:2" x14ac:dyDescent="0.25">
      <c r="B932" s="153"/>
    </row>
    <row r="933" spans="2:2" x14ac:dyDescent="0.25">
      <c r="B933" s="153"/>
    </row>
    <row r="934" spans="2:2" x14ac:dyDescent="0.25">
      <c r="B934" s="153"/>
    </row>
    <row r="935" spans="2:2" x14ac:dyDescent="0.25">
      <c r="B935" s="153"/>
    </row>
    <row r="936" spans="2:2" x14ac:dyDescent="0.25">
      <c r="B936" s="153"/>
    </row>
    <row r="937" spans="2:2" x14ac:dyDescent="0.25">
      <c r="B937" s="153"/>
    </row>
    <row r="938" spans="2:2" x14ac:dyDescent="0.25">
      <c r="B938" s="153"/>
    </row>
    <row r="939" spans="2:2" x14ac:dyDescent="0.25">
      <c r="B939" s="153"/>
    </row>
    <row r="940" spans="2:2" x14ac:dyDescent="0.25">
      <c r="B940" s="153"/>
    </row>
    <row r="941" spans="2:2" x14ac:dyDescent="0.25">
      <c r="B941" s="153"/>
    </row>
    <row r="942" spans="2:2" x14ac:dyDescent="0.25">
      <c r="B942" s="153"/>
    </row>
    <row r="943" spans="2:2" x14ac:dyDescent="0.25">
      <c r="B943" s="153"/>
    </row>
    <row r="944" spans="2:2" x14ac:dyDescent="0.25">
      <c r="B944" s="153"/>
    </row>
    <row r="945" spans="2:2" x14ac:dyDescent="0.25">
      <c r="B945" s="153"/>
    </row>
    <row r="946" spans="2:2" x14ac:dyDescent="0.25">
      <c r="B946" s="153"/>
    </row>
    <row r="947" spans="2:2" x14ac:dyDescent="0.25">
      <c r="B947" s="153"/>
    </row>
    <row r="948" spans="2:2" x14ac:dyDescent="0.25">
      <c r="B948" s="153"/>
    </row>
    <row r="949" spans="2:2" x14ac:dyDescent="0.25">
      <c r="B949" s="153"/>
    </row>
    <row r="950" spans="2:2" x14ac:dyDescent="0.25">
      <c r="B950" s="153"/>
    </row>
    <row r="951" spans="2:2" x14ac:dyDescent="0.25">
      <c r="B951" s="153"/>
    </row>
    <row r="952" spans="2:2" x14ac:dyDescent="0.25">
      <c r="B952" s="153"/>
    </row>
    <row r="953" spans="2:2" x14ac:dyDescent="0.25">
      <c r="B953" s="153"/>
    </row>
    <row r="954" spans="2:2" x14ac:dyDescent="0.25">
      <c r="B954" s="153"/>
    </row>
    <row r="955" spans="2:2" x14ac:dyDescent="0.25">
      <c r="B955" s="153"/>
    </row>
    <row r="956" spans="2:2" x14ac:dyDescent="0.25">
      <c r="B956" s="153"/>
    </row>
    <row r="957" spans="2:2" x14ac:dyDescent="0.25">
      <c r="B957" s="153"/>
    </row>
    <row r="958" spans="2:2" x14ac:dyDescent="0.25">
      <c r="B958" s="153"/>
    </row>
    <row r="959" spans="2:2" x14ac:dyDescent="0.25">
      <c r="B959" s="153"/>
    </row>
    <row r="960" spans="2:2" x14ac:dyDescent="0.25">
      <c r="B960" s="153"/>
    </row>
    <row r="961" spans="2:2" x14ac:dyDescent="0.25">
      <c r="B961" s="153"/>
    </row>
    <row r="962" spans="2:2" x14ac:dyDescent="0.25">
      <c r="B962" s="153"/>
    </row>
    <row r="963" spans="2:2" x14ac:dyDescent="0.25">
      <c r="B963" s="153"/>
    </row>
    <row r="964" spans="2:2" x14ac:dyDescent="0.25">
      <c r="B964" s="153"/>
    </row>
    <row r="965" spans="2:2" x14ac:dyDescent="0.25">
      <c r="B965" s="153"/>
    </row>
    <row r="966" spans="2:2" x14ac:dyDescent="0.25">
      <c r="B966" s="153"/>
    </row>
    <row r="967" spans="2:2" x14ac:dyDescent="0.25">
      <c r="B967" s="153"/>
    </row>
    <row r="968" spans="2:2" x14ac:dyDescent="0.25">
      <c r="B968" s="153"/>
    </row>
    <row r="969" spans="2:2" x14ac:dyDescent="0.25">
      <c r="B969" s="153"/>
    </row>
    <row r="970" spans="2:2" x14ac:dyDescent="0.25">
      <c r="B970" s="153"/>
    </row>
    <row r="971" spans="2:2" x14ac:dyDescent="0.25">
      <c r="B971" s="153"/>
    </row>
    <row r="972" spans="2:2" x14ac:dyDescent="0.25">
      <c r="B972" s="153"/>
    </row>
    <row r="973" spans="2:2" x14ac:dyDescent="0.25">
      <c r="B973" s="153"/>
    </row>
    <row r="974" spans="2:2" x14ac:dyDescent="0.25">
      <c r="B974" s="153"/>
    </row>
    <row r="975" spans="2:2" x14ac:dyDescent="0.25">
      <c r="B975" s="153"/>
    </row>
    <row r="976" spans="2:2" x14ac:dyDescent="0.25">
      <c r="B976" s="153"/>
    </row>
    <row r="977" spans="2:2" x14ac:dyDescent="0.25">
      <c r="B977" s="153"/>
    </row>
    <row r="978" spans="2:2" x14ac:dyDescent="0.25">
      <c r="B978" s="153"/>
    </row>
    <row r="979" spans="2:2" x14ac:dyDescent="0.25">
      <c r="B979" s="153"/>
    </row>
    <row r="980" spans="2:2" x14ac:dyDescent="0.25">
      <c r="B980" s="153"/>
    </row>
    <row r="981" spans="2:2" x14ac:dyDescent="0.25">
      <c r="B981" s="153"/>
    </row>
    <row r="982" spans="2:2" x14ac:dyDescent="0.25">
      <c r="B982" s="153"/>
    </row>
    <row r="983" spans="2:2" x14ac:dyDescent="0.25">
      <c r="B983" s="153"/>
    </row>
    <row r="984" spans="2:2" x14ac:dyDescent="0.25">
      <c r="B984" s="153"/>
    </row>
    <row r="985" spans="2:2" x14ac:dyDescent="0.25">
      <c r="B985" s="153"/>
    </row>
    <row r="986" spans="2:2" x14ac:dyDescent="0.25">
      <c r="B986" s="153"/>
    </row>
    <row r="987" spans="2:2" x14ac:dyDescent="0.25">
      <c r="B987" s="153"/>
    </row>
    <row r="988" spans="2:2" x14ac:dyDescent="0.25">
      <c r="B988" s="153"/>
    </row>
    <row r="989" spans="2:2" x14ac:dyDescent="0.25">
      <c r="B989" s="153"/>
    </row>
    <row r="990" spans="2:2" x14ac:dyDescent="0.25">
      <c r="B990" s="153"/>
    </row>
    <row r="991" spans="2:2" x14ac:dyDescent="0.25">
      <c r="B991" s="153"/>
    </row>
    <row r="992" spans="2:2" x14ac:dyDescent="0.25">
      <c r="B992" s="153"/>
    </row>
    <row r="993" spans="2:2" x14ac:dyDescent="0.25">
      <c r="B993" s="153"/>
    </row>
    <row r="994" spans="2:2" x14ac:dyDescent="0.25">
      <c r="B994" s="153"/>
    </row>
    <row r="995" spans="2:2" x14ac:dyDescent="0.25">
      <c r="B995" s="153"/>
    </row>
    <row r="996" spans="2:2" x14ac:dyDescent="0.25">
      <c r="B996" s="153"/>
    </row>
    <row r="997" spans="2:2" x14ac:dyDescent="0.25">
      <c r="B997" s="153"/>
    </row>
    <row r="998" spans="2:2" x14ac:dyDescent="0.25">
      <c r="B998" s="153"/>
    </row>
    <row r="999" spans="2:2" x14ac:dyDescent="0.25">
      <c r="B999" s="153"/>
    </row>
    <row r="1000" spans="2:2" x14ac:dyDescent="0.25">
      <c r="B1000" s="153"/>
    </row>
    <row r="1001" spans="2:2" x14ac:dyDescent="0.25">
      <c r="B1001" s="153"/>
    </row>
    <row r="1002" spans="2:2" x14ac:dyDescent="0.25">
      <c r="B1002" s="153"/>
    </row>
    <row r="1003" spans="2:2" x14ac:dyDescent="0.25">
      <c r="B1003" s="153"/>
    </row>
  </sheetData>
  <sheetProtection algorithmName="SHA-512" hashValue="xrsuLj/zYIdB7aBq5sCxZeiPQnc90GLhO6wehrG8EhM7NkCzJiJWao+iMlViyHJUDOZhZmg5YnNLxMyF47fpmA==" saltValue="NAzLPFGbcc0Acb/R7moIYg==" spinCount="100000" sheet="1" objects="1" scenarios="1"/>
  <conditionalFormatting sqref="B5:B7 B11:B12 B18:B108 B14:B16">
    <cfRule type="expression" dxfId="42" priority="7">
      <formula>IF(B5&lt;&gt;"",TRUE,FALSE)</formula>
    </cfRule>
  </conditionalFormatting>
  <conditionalFormatting sqref="B8">
    <cfRule type="expression" dxfId="41" priority="6">
      <formula>IF(B8&lt;&gt;"",TRUE,FALSE)</formula>
    </cfRule>
  </conditionalFormatting>
  <conditionalFormatting sqref="B17">
    <cfRule type="expression" dxfId="40" priority="4">
      <formula>IF(B17&lt;&gt;"",TRUE,FALSE)</formula>
    </cfRule>
  </conditionalFormatting>
  <conditionalFormatting sqref="B9">
    <cfRule type="expression" dxfId="39" priority="3">
      <formula>IF(B9&lt;&gt;"",TRUE,FALSE)</formula>
    </cfRule>
  </conditionalFormatting>
  <conditionalFormatting sqref="B10">
    <cfRule type="expression" dxfId="38" priority="2">
      <formula>IF(B10&lt;&gt;"",TRUE,FALSE)</formula>
    </cfRule>
  </conditionalFormatting>
  <conditionalFormatting sqref="B13">
    <cfRule type="expression" dxfId="37" priority="1">
      <formula>IF(B13&lt;&gt;"",TRUE,FALSE)</formula>
    </cfRule>
  </conditionalFormatting>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2:I36"/>
  <sheetViews>
    <sheetView showGridLines="0" showRowColHeaders="0" tabSelected="1" zoomScaleNormal="100" workbookViewId="0">
      <selection activeCell="B5" sqref="B5"/>
    </sheetView>
  </sheetViews>
  <sheetFormatPr defaultRowHeight="13.8" x14ac:dyDescent="0.25"/>
  <cols>
    <col min="57" max="57" width="0" hidden="1" customWidth="1"/>
  </cols>
  <sheetData>
    <row r="2" spans="1:9" x14ac:dyDescent="0.25">
      <c r="A2" s="2" t="s">
        <v>879</v>
      </c>
    </row>
    <row r="3" spans="1:9" x14ac:dyDescent="0.25">
      <c r="A3" s="274" t="s">
        <v>1245</v>
      </c>
    </row>
    <row r="4" spans="1:9" x14ac:dyDescent="0.25">
      <c r="A4" s="8"/>
      <c r="B4" s="8"/>
      <c r="C4" s="8"/>
      <c r="D4" s="8"/>
      <c r="E4" s="8"/>
      <c r="F4" s="8"/>
      <c r="G4" s="8"/>
      <c r="H4" s="8"/>
      <c r="I4" s="8"/>
    </row>
    <row r="5" spans="1:9" x14ac:dyDescent="0.25">
      <c r="A5" s="2" t="s">
        <v>27</v>
      </c>
      <c r="C5" s="381" t="s">
        <v>872</v>
      </c>
      <c r="D5" s="382"/>
      <c r="E5" s="382"/>
      <c r="F5" s="382"/>
      <c r="G5" s="383"/>
    </row>
    <row r="7" spans="1:9" x14ac:dyDescent="0.25">
      <c r="A7" s="2" t="s">
        <v>28</v>
      </c>
      <c r="C7" s="381" t="s">
        <v>899</v>
      </c>
      <c r="D7" s="382"/>
      <c r="E7" s="382"/>
      <c r="F7" s="382"/>
      <c r="G7" s="383"/>
    </row>
    <row r="8" spans="1:9" x14ac:dyDescent="0.25">
      <c r="A8" s="8"/>
      <c r="B8" s="8"/>
      <c r="C8" s="8"/>
      <c r="D8" s="8"/>
      <c r="E8" s="8"/>
      <c r="F8" s="8"/>
      <c r="G8" s="8"/>
      <c r="H8" s="8"/>
      <c r="I8" s="8"/>
    </row>
    <row r="9" spans="1:9" x14ac:dyDescent="0.25">
      <c r="A9" s="3"/>
      <c r="B9" s="3"/>
      <c r="C9" s="3"/>
      <c r="D9" s="3"/>
      <c r="E9" s="3"/>
      <c r="F9" s="3"/>
      <c r="G9" s="3"/>
      <c r="H9" s="3"/>
      <c r="I9" s="3"/>
    </row>
    <row r="10" spans="1:9" x14ac:dyDescent="0.25">
      <c r="A10" s="2" t="s">
        <v>51</v>
      </c>
      <c r="I10" s="4"/>
    </row>
    <row r="11" spans="1:9" x14ac:dyDescent="0.25">
      <c r="A11" s="384" t="s">
        <v>929</v>
      </c>
      <c r="B11" s="384"/>
      <c r="C11" s="384"/>
      <c r="D11" s="384"/>
      <c r="E11" s="384"/>
      <c r="F11" s="384"/>
      <c r="G11" s="384"/>
      <c r="H11" s="384"/>
      <c r="I11" s="210">
        <v>1</v>
      </c>
    </row>
    <row r="12" spans="1:9" x14ac:dyDescent="0.25">
      <c r="I12" s="4"/>
    </row>
    <row r="13" spans="1:9" x14ac:dyDescent="0.25">
      <c r="A13" s="384" t="s">
        <v>424</v>
      </c>
      <c r="B13" s="384"/>
      <c r="C13" s="384"/>
      <c r="D13" s="384"/>
      <c r="E13" s="384"/>
      <c r="F13" s="384"/>
      <c r="G13" s="384"/>
      <c r="H13" s="384"/>
      <c r="I13" s="210" t="s">
        <v>22</v>
      </c>
    </row>
    <row r="14" spans="1:9" x14ac:dyDescent="0.25">
      <c r="I14" s="4"/>
    </row>
    <row r="15" spans="1:9" x14ac:dyDescent="0.25">
      <c r="A15" s="384" t="s">
        <v>425</v>
      </c>
      <c r="B15" s="384"/>
      <c r="C15" s="384"/>
      <c r="D15" s="384"/>
      <c r="E15" s="384"/>
      <c r="F15" s="384"/>
      <c r="G15" s="384"/>
      <c r="H15" s="384"/>
      <c r="I15" s="210" t="s">
        <v>22</v>
      </c>
    </row>
    <row r="16" spans="1:9" x14ac:dyDescent="0.25">
      <c r="I16" s="4"/>
    </row>
    <row r="17" spans="1:9" x14ac:dyDescent="0.25">
      <c r="A17" s="384" t="s">
        <v>29</v>
      </c>
      <c r="B17" s="384"/>
      <c r="C17" s="384"/>
      <c r="D17" s="384"/>
      <c r="E17" s="384"/>
      <c r="F17" s="384"/>
      <c r="G17" s="384"/>
      <c r="H17" s="384"/>
      <c r="I17" s="210" t="s">
        <v>23</v>
      </c>
    </row>
    <row r="18" spans="1:9" x14ac:dyDescent="0.25">
      <c r="I18" s="4"/>
    </row>
    <row r="19" spans="1:9" x14ac:dyDescent="0.25">
      <c r="A19" s="384" t="s">
        <v>30</v>
      </c>
      <c r="B19" s="384"/>
      <c r="C19" s="384"/>
      <c r="D19" s="384"/>
      <c r="E19" s="384"/>
      <c r="F19" s="384"/>
      <c r="G19" s="384"/>
      <c r="H19" s="384"/>
      <c r="I19" s="210">
        <v>65</v>
      </c>
    </row>
    <row r="21" spans="1:9" x14ac:dyDescent="0.25">
      <c r="A21" t="s">
        <v>64</v>
      </c>
    </row>
    <row r="22" spans="1:9" x14ac:dyDescent="0.25">
      <c r="A22" s="142">
        <v>1</v>
      </c>
      <c r="B22" s="163" t="s">
        <v>58</v>
      </c>
    </row>
    <row r="23" spans="1:9" x14ac:dyDescent="0.25">
      <c r="A23" s="142">
        <v>2</v>
      </c>
      <c r="B23" s="163" t="s">
        <v>59</v>
      </c>
    </row>
    <row r="24" spans="1:9" x14ac:dyDescent="0.25">
      <c r="A24" s="142">
        <v>3</v>
      </c>
      <c r="B24" s="163" t="s">
        <v>60</v>
      </c>
    </row>
    <row r="26" spans="1:9" x14ac:dyDescent="0.25">
      <c r="G26" s="389" t="s">
        <v>930</v>
      </c>
      <c r="H26" s="389"/>
      <c r="I26" s="389"/>
    </row>
    <row r="27" spans="1:9" ht="19.5" customHeight="1" x14ac:dyDescent="0.25">
      <c r="A27" s="385" t="s">
        <v>31</v>
      </c>
      <c r="B27" s="386"/>
      <c r="C27" s="387" t="s">
        <v>32</v>
      </c>
      <c r="D27" s="388"/>
      <c r="E27" s="388"/>
      <c r="F27" s="388"/>
      <c r="G27" s="380">
        <v>76</v>
      </c>
      <c r="H27" s="380"/>
      <c r="I27" s="380"/>
    </row>
    <row r="28" spans="1:9" ht="19.5" hidden="1" customHeight="1" x14ac:dyDescent="0.25">
      <c r="A28" s="385" t="s">
        <v>33</v>
      </c>
      <c r="B28" s="386"/>
      <c r="C28" s="387" t="s">
        <v>34</v>
      </c>
      <c r="D28" s="388"/>
      <c r="E28" s="388"/>
      <c r="F28" s="388"/>
      <c r="G28" s="380">
        <v>0</v>
      </c>
      <c r="H28" s="380"/>
      <c r="I28" s="380"/>
    </row>
    <row r="29" spans="1:9" ht="19.5" hidden="1" customHeight="1" x14ac:dyDescent="0.25">
      <c r="A29" s="385" t="s">
        <v>35</v>
      </c>
      <c r="B29" s="386"/>
      <c r="C29" s="387" t="s">
        <v>36</v>
      </c>
      <c r="D29" s="388"/>
      <c r="E29" s="388"/>
      <c r="F29" s="388"/>
      <c r="G29" s="380">
        <v>0</v>
      </c>
      <c r="H29" s="380"/>
      <c r="I29" s="380"/>
    </row>
    <row r="30" spans="1:9" ht="19.5" hidden="1" customHeight="1" x14ac:dyDescent="0.25">
      <c r="A30" s="385" t="s">
        <v>37</v>
      </c>
      <c r="B30" s="386"/>
      <c r="C30" s="387" t="s">
        <v>38</v>
      </c>
      <c r="D30" s="388"/>
      <c r="E30" s="388"/>
      <c r="F30" s="388"/>
      <c r="G30" s="380">
        <v>0</v>
      </c>
      <c r="H30" s="380"/>
      <c r="I30" s="380"/>
    </row>
    <row r="31" spans="1:9" ht="19.5" hidden="1" customHeight="1" x14ac:dyDescent="0.25">
      <c r="A31" s="385" t="s">
        <v>39</v>
      </c>
      <c r="B31" s="386"/>
      <c r="C31" s="387" t="s">
        <v>40</v>
      </c>
      <c r="D31" s="388"/>
      <c r="E31" s="388"/>
      <c r="F31" s="388"/>
      <c r="G31" s="380">
        <v>0</v>
      </c>
      <c r="H31" s="380"/>
      <c r="I31" s="380"/>
    </row>
    <row r="32" spans="1:9" ht="19.5" hidden="1" customHeight="1" x14ac:dyDescent="0.25">
      <c r="A32" s="385" t="s">
        <v>41</v>
      </c>
      <c r="B32" s="386"/>
      <c r="C32" s="387" t="s">
        <v>42</v>
      </c>
      <c r="D32" s="388"/>
      <c r="E32" s="388"/>
      <c r="F32" s="388"/>
      <c r="G32" s="380">
        <v>0</v>
      </c>
      <c r="H32" s="380"/>
      <c r="I32" s="380"/>
    </row>
    <row r="33" spans="1:9" ht="19.5" hidden="1" customHeight="1" x14ac:dyDescent="0.25">
      <c r="A33" s="385" t="s">
        <v>43</v>
      </c>
      <c r="B33" s="386"/>
      <c r="C33" s="387" t="s">
        <v>44</v>
      </c>
      <c r="D33" s="388"/>
      <c r="E33" s="388"/>
      <c r="F33" s="388"/>
      <c r="G33" s="380">
        <v>0</v>
      </c>
      <c r="H33" s="380"/>
      <c r="I33" s="380"/>
    </row>
    <row r="34" spans="1:9" ht="19.5" hidden="1" customHeight="1" x14ac:dyDescent="0.25">
      <c r="A34" s="385" t="s">
        <v>45</v>
      </c>
      <c r="B34" s="386"/>
      <c r="C34" s="387" t="s">
        <v>46</v>
      </c>
      <c r="D34" s="388"/>
      <c r="E34" s="388"/>
      <c r="F34" s="388"/>
      <c r="G34" s="380">
        <v>0</v>
      </c>
      <c r="H34" s="380"/>
      <c r="I34" s="380"/>
    </row>
    <row r="35" spans="1:9" ht="19.5" hidden="1" customHeight="1" x14ac:dyDescent="0.25">
      <c r="A35" s="385" t="s">
        <v>47</v>
      </c>
      <c r="B35" s="386"/>
      <c r="C35" s="387" t="s">
        <v>48</v>
      </c>
      <c r="D35" s="388"/>
      <c r="E35" s="388"/>
      <c r="F35" s="388"/>
      <c r="G35" s="380">
        <v>0</v>
      </c>
      <c r="H35" s="380"/>
      <c r="I35" s="380"/>
    </row>
    <row r="36" spans="1:9" ht="19.5" hidden="1" customHeight="1" x14ac:dyDescent="0.25">
      <c r="A36" s="385" t="s">
        <v>49</v>
      </c>
      <c r="B36" s="386"/>
      <c r="C36" s="387" t="s">
        <v>50</v>
      </c>
      <c r="D36" s="388"/>
      <c r="E36" s="388"/>
      <c r="F36" s="388"/>
      <c r="G36" s="380">
        <v>0</v>
      </c>
      <c r="H36" s="380"/>
      <c r="I36" s="380"/>
    </row>
  </sheetData>
  <mergeCells count="38">
    <mergeCell ref="A35:B35"/>
    <mergeCell ref="C35:F35"/>
    <mergeCell ref="A36:B36"/>
    <mergeCell ref="C36:F36"/>
    <mergeCell ref="A32:B32"/>
    <mergeCell ref="C32:F32"/>
    <mergeCell ref="A33:B33"/>
    <mergeCell ref="C33:F33"/>
    <mergeCell ref="A34:B34"/>
    <mergeCell ref="C34:F34"/>
    <mergeCell ref="A29:B29"/>
    <mergeCell ref="C29:F29"/>
    <mergeCell ref="A30:B30"/>
    <mergeCell ref="C30:F30"/>
    <mergeCell ref="A31:B31"/>
    <mergeCell ref="C31:F31"/>
    <mergeCell ref="A17:H17"/>
    <mergeCell ref="A19:H19"/>
    <mergeCell ref="A27:B27"/>
    <mergeCell ref="C27:F27"/>
    <mergeCell ref="A28:B28"/>
    <mergeCell ref="C28:F28"/>
    <mergeCell ref="G26:I26"/>
    <mergeCell ref="G27:I27"/>
    <mergeCell ref="G28:I28"/>
    <mergeCell ref="C5:G5"/>
    <mergeCell ref="C7:G7"/>
    <mergeCell ref="A11:H11"/>
    <mergeCell ref="A13:H13"/>
    <mergeCell ref="A15:H15"/>
    <mergeCell ref="G34:I34"/>
    <mergeCell ref="G35:I35"/>
    <mergeCell ref="G36:I36"/>
    <mergeCell ref="G29:I29"/>
    <mergeCell ref="G30:I30"/>
    <mergeCell ref="G31:I31"/>
    <mergeCell ref="G32:I32"/>
    <mergeCell ref="G33:I33"/>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057" r:id="rId4" name="Button 9">
              <controlPr defaultSize="0" print="0" autoFill="0" autoPict="0" macro="[0]!Customise_List">
                <anchor moveWithCells="1" sizeWithCells="1">
                  <from>
                    <xdr:col>8</xdr:col>
                    <xdr:colOff>0</xdr:colOff>
                    <xdr:row>4</xdr:row>
                    <xdr:rowOff>0</xdr:rowOff>
                  </from>
                  <to>
                    <xdr:col>9</xdr:col>
                    <xdr:colOff>0</xdr:colOff>
                    <xdr:row>5</xdr:row>
                    <xdr:rowOff>0</xdr:rowOff>
                  </to>
                </anchor>
              </controlPr>
            </control>
          </mc:Choice>
        </mc:AlternateContent>
        <mc:AlternateContent xmlns:mc="http://schemas.openxmlformats.org/markup-compatibility/2006">
          <mc:Choice Requires="x14">
            <control shapeId="2058" r:id="rId5" name="Button 10">
              <controlPr defaultSize="0" print="0" autoFill="0" autoPict="0" macro="[0]!Import_Button">
                <anchor moveWithCells="1" sizeWithCells="1">
                  <from>
                    <xdr:col>10</xdr:col>
                    <xdr:colOff>0</xdr:colOff>
                    <xdr:row>18</xdr:row>
                    <xdr:rowOff>0</xdr:rowOff>
                  </from>
                  <to>
                    <xdr:col>12</xdr:col>
                    <xdr:colOff>403860</xdr:colOff>
                    <xdr:row>20</xdr:row>
                    <xdr:rowOff>76200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400-000000000000}">
          <x14:formula1>
            <xm:f>'Control sheet (hide)'!$A$3:$A$12</xm:f>
          </x14:formula1>
          <xm:sqref>I11</xm:sqref>
        </x14:dataValidation>
        <x14:dataValidation type="list" allowBlank="1" showInputMessage="1" showErrorMessage="1" xr:uid="{00000000-0002-0000-0400-000001000000}">
          <x14:formula1>
            <xm:f>'Control sheet (hide)'!$C$3:$C$4</xm:f>
          </x14:formula1>
          <xm:sqref>I13 I15</xm:sqref>
        </x14:dataValidation>
        <x14:dataValidation type="list" allowBlank="1" showInputMessage="1" showErrorMessage="1" xr:uid="{00000000-0002-0000-0400-000002000000}">
          <x14:formula1>
            <xm:f>'Control sheet (hide)'!$E$2:$E$4</xm:f>
          </x14:formula1>
          <xm:sqref>I17</xm:sqref>
        </x14:dataValidation>
        <x14:dataValidation type="list" allowBlank="1" showInputMessage="1" showErrorMessage="1" xr:uid="{00000000-0002-0000-0400-000003000000}">
          <x14:formula1>
            <xm:f>'Control sheet (hide)'!$H$2:$H$5</xm:f>
          </x14:formula1>
          <xm:sqref>I19</xm:sqref>
        </x14:dataValidation>
        <x14:dataValidation type="list" allowBlank="1" showInputMessage="1" xr:uid="{00000000-0002-0000-0400-000004000000}">
          <x14:formula1>
            <xm:f>OFFSET(List!$B$10,0,0,List!$A$9,1)</xm:f>
          </x14:formula1>
          <xm:sqref>C5:G5</xm:sqref>
        </x14:dataValidation>
        <x14:dataValidation type="list" allowBlank="1" showInputMessage="1" xr:uid="{00000000-0002-0000-0400-000005000000}">
          <x14:formula1>
            <xm:f>OFFSET(List!$D$10,0,0,List!$A$10,1)</xm:f>
          </x14:formula1>
          <xm:sqref>C7:G7</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BG272"/>
  <sheetViews>
    <sheetView showGridLines="0" showRowColHeaders="0" zoomScaleNormal="100" workbookViewId="0">
      <pane xSplit="4" ySplit="12" topLeftCell="E13" activePane="bottomRight" state="frozenSplit"/>
      <selection activeCell="I45" sqref="I45"/>
      <selection pane="topRight" activeCell="I45" sqref="I45"/>
      <selection pane="bottomLeft" activeCell="I45" sqref="I45"/>
      <selection pane="bottomRight" activeCell="C8" sqref="C8"/>
    </sheetView>
  </sheetViews>
  <sheetFormatPr defaultRowHeight="13.8" x14ac:dyDescent="0.25"/>
  <cols>
    <col min="1" max="1" width="9" hidden="1" customWidth="1"/>
    <col min="2" max="2" width="15.5" customWidth="1"/>
    <col min="3" max="3" width="14.09765625" bestFit="1" customWidth="1"/>
    <col min="4" max="4" width="15.69921875" customWidth="1"/>
    <col min="5" max="7" width="10.59765625" customWidth="1"/>
    <col min="8" max="53" width="10.59765625" hidden="1" customWidth="1"/>
    <col min="54" max="54" width="9" hidden="1" customWidth="1"/>
    <col min="55" max="56" width="9.09765625" customWidth="1"/>
    <col min="59" max="59" width="9.8984375" bestFit="1" customWidth="1"/>
  </cols>
  <sheetData>
    <row r="1" spans="1:57" x14ac:dyDescent="0.25">
      <c r="A1" t="s">
        <v>53</v>
      </c>
    </row>
    <row r="2" spans="1:57" x14ac:dyDescent="0.25">
      <c r="B2" t="s">
        <v>103</v>
      </c>
    </row>
    <row r="3" spans="1:57" x14ac:dyDescent="0.25">
      <c r="A3" t="s">
        <v>55</v>
      </c>
      <c r="B3" t="s">
        <v>112</v>
      </c>
    </row>
    <row r="5" spans="1:57" x14ac:dyDescent="0.25">
      <c r="A5" t="s">
        <v>54</v>
      </c>
    </row>
    <row r="6" spans="1:57" x14ac:dyDescent="0.25">
      <c r="A6">
        <f ca="1">IF(LEFT($C$8,1)="H",MAX(A13:A272),MAX(MAX(A13:A272),52))</f>
        <v>52</v>
      </c>
      <c r="B6" t="s">
        <v>1213</v>
      </c>
      <c r="C6" s="339">
        <v>43893</v>
      </c>
      <c r="K6" s="72"/>
    </row>
    <row r="7" spans="1:57" ht="14.25" customHeight="1" x14ac:dyDescent="0.25">
      <c r="B7" t="s">
        <v>1183</v>
      </c>
      <c r="C7" s="163">
        <v>15</v>
      </c>
    </row>
    <row r="8" spans="1:57" x14ac:dyDescent="0.25">
      <c r="B8" t="s">
        <v>1184</v>
      </c>
      <c r="C8" s="344" t="s">
        <v>1238</v>
      </c>
    </row>
    <row r="9" spans="1:57" x14ac:dyDescent="0.25">
      <c r="B9" s="362" t="str">
        <f>IF(LEFT(C8,1)="M","Note: SPC Chart is disabled when using your own forecast.","")</f>
        <v>Note: SPC Chart is disabled when using your own forecast.</v>
      </c>
    </row>
    <row r="10" spans="1:57" x14ac:dyDescent="0.25">
      <c r="B10" s="391" t="s">
        <v>128</v>
      </c>
      <c r="C10" s="391" t="s">
        <v>56</v>
      </c>
      <c r="D10" s="390" t="s">
        <v>1214</v>
      </c>
      <c r="E10" s="373" t="str">
        <f ca="1">OFFSET('Control sheet (hide)'!$AA$3,QUOTIENT(COLUMN(Demand!E9)-4,5),0,1,1)</f>
        <v>Modality 1</v>
      </c>
      <c r="F10" s="373"/>
      <c r="G10" s="373"/>
      <c r="H10" s="373"/>
      <c r="I10" s="373"/>
      <c r="J10" s="373" t="str">
        <f ca="1">OFFSET('Control sheet (hide)'!$AA$3,QUOTIENT(COLUMN(Demand!J9)-4,5),0,1,1)</f>
        <v>Modality 2</v>
      </c>
      <c r="K10" s="373"/>
      <c r="L10" s="373"/>
      <c r="M10" s="373"/>
      <c r="N10" s="373"/>
      <c r="O10" s="373" t="str">
        <f ca="1">OFFSET('Control sheet (hide)'!$AA$3,QUOTIENT(COLUMN(Demand!O9)-4,5),0,1,1)</f>
        <v>Modality 3</v>
      </c>
      <c r="P10" s="373"/>
      <c r="Q10" s="373"/>
      <c r="R10" s="373"/>
      <c r="S10" s="373"/>
      <c r="T10" s="373" t="str">
        <f ca="1">OFFSET('Control sheet (hide)'!$AA$3,QUOTIENT(COLUMN(Demand!T9)-4,5),0,1,1)</f>
        <v>Modality 4</v>
      </c>
      <c r="U10" s="373"/>
      <c r="V10" s="373"/>
      <c r="W10" s="373"/>
      <c r="X10" s="373"/>
      <c r="Y10" s="373" t="str">
        <f ca="1">OFFSET('Control sheet (hide)'!$AA$3,QUOTIENT(COLUMN(Demand!Y9)-4,5),0,1,1)</f>
        <v>Modality 5</v>
      </c>
      <c r="Z10" s="373"/>
      <c r="AA10" s="373"/>
      <c r="AB10" s="373"/>
      <c r="AC10" s="373"/>
      <c r="AD10" s="373" t="str">
        <f ca="1">OFFSET('Control sheet (hide)'!$AA$3,QUOTIENT(COLUMN(Demand!AD9)-4,5),0,1,1)</f>
        <v>Modality 6</v>
      </c>
      <c r="AE10" s="373"/>
      <c r="AF10" s="373"/>
      <c r="AG10" s="373"/>
      <c r="AH10" s="373"/>
      <c r="AI10" s="373" t="str">
        <f ca="1">OFFSET('Control sheet (hide)'!$AA$3,QUOTIENT(COLUMN(Demand!AI9)-4,5),0,1,1)</f>
        <v>Modality 7</v>
      </c>
      <c r="AJ10" s="373"/>
      <c r="AK10" s="373"/>
      <c r="AL10" s="373"/>
      <c r="AM10" s="373"/>
      <c r="AN10" s="373" t="str">
        <f ca="1">OFFSET('Control sheet (hide)'!$AA$3,QUOTIENT(COLUMN(Demand!AN9)-4,5),0,1,1)</f>
        <v>Modality 8</v>
      </c>
      <c r="AO10" s="373"/>
      <c r="AP10" s="373"/>
      <c r="AQ10" s="373"/>
      <c r="AR10" s="373"/>
      <c r="AS10" s="373" t="str">
        <f ca="1">OFFSET('Control sheet (hide)'!$AA$3,QUOTIENT(COLUMN(Demand!AS9)-4,5),0,1,1)</f>
        <v>Modality 9</v>
      </c>
      <c r="AT10" s="373"/>
      <c r="AU10" s="373"/>
      <c r="AV10" s="373"/>
      <c r="AW10" s="373"/>
      <c r="AX10" s="373" t="str">
        <f ca="1">OFFSET('Control sheet (hide)'!$AA$3,QUOTIENT(COLUMN(Demand!AX9)-4,5),0,1,1)</f>
        <v>Modality 10</v>
      </c>
      <c r="AY10" s="373"/>
      <c r="AZ10" s="373"/>
      <c r="BA10" s="373"/>
      <c r="BB10" s="373"/>
      <c r="BC10" s="390" t="str">
        <f>"Total"&amp;IF(Setup!$I$17&lt;&gt;"Patients","
(Patients)","")</f>
        <v>Total
(Patients)</v>
      </c>
      <c r="BD10" s="390" t="str">
        <f>"Total
("&amp;Setup!$I$17&amp;")"</f>
        <v>Total
(Points)</v>
      </c>
      <c r="BE10" s="390" t="s">
        <v>111</v>
      </c>
    </row>
    <row r="11" spans="1:57" ht="14.25" customHeight="1" x14ac:dyDescent="0.25">
      <c r="B11" s="391"/>
      <c r="C11" s="391"/>
      <c r="D11" s="390"/>
      <c r="E11" s="374" t="str">
        <f>IF(Setup!$I$17&lt;&gt;"Patients",Setup!$I$17&amp;":","")</f>
        <v>Points:</v>
      </c>
      <c r="F11" s="363">
        <v>2</v>
      </c>
      <c r="G11" s="374"/>
      <c r="H11" s="374"/>
      <c r="I11" s="374"/>
      <c r="J11" s="374" t="str">
        <f>IF(Setup!$I$17&lt;&gt;"Patients",Setup!$I$17&amp;":","")</f>
        <v>Points:</v>
      </c>
      <c r="K11" s="363">
        <v>0</v>
      </c>
      <c r="L11" s="374"/>
      <c r="M11" s="374"/>
      <c r="N11" s="374"/>
      <c r="O11" s="374" t="str">
        <f>IF(Setup!$I$17&lt;&gt;"Patients",Setup!$I$17&amp;":","")</f>
        <v>Points:</v>
      </c>
      <c r="P11" s="363">
        <v>0</v>
      </c>
      <c r="Q11" s="374"/>
      <c r="R11" s="374"/>
      <c r="S11" s="374"/>
      <c r="T11" s="374" t="str">
        <f>IF(Setup!$I$17&lt;&gt;"Patients",Setup!$I$17&amp;":","")</f>
        <v>Points:</v>
      </c>
      <c r="U11" s="363">
        <v>0</v>
      </c>
      <c r="V11" s="374"/>
      <c r="W11" s="374"/>
      <c r="X11" s="374"/>
      <c r="Y11" s="374" t="str">
        <f>IF(Setup!$I$17&lt;&gt;"Patients",Setup!$I$17&amp;":","")</f>
        <v>Points:</v>
      </c>
      <c r="Z11" s="363">
        <v>0</v>
      </c>
      <c r="AA11" s="374"/>
      <c r="AB11" s="374"/>
      <c r="AC11" s="374"/>
      <c r="AD11" s="374" t="str">
        <f>IF(Setup!$I$17&lt;&gt;"Patients",Setup!$I$17&amp;":","")</f>
        <v>Points:</v>
      </c>
      <c r="AE11" s="363">
        <v>0</v>
      </c>
      <c r="AF11" s="374"/>
      <c r="AG11" s="374"/>
      <c r="AH11" s="374"/>
      <c r="AI11" s="374" t="str">
        <f>IF(Setup!$I$17&lt;&gt;"Patients",Setup!$I$17&amp;":","")</f>
        <v>Points:</v>
      </c>
      <c r="AJ11" s="363">
        <v>0</v>
      </c>
      <c r="AK11" s="374"/>
      <c r="AL11" s="374"/>
      <c r="AM11" s="374"/>
      <c r="AN11" s="374" t="str">
        <f>IF(Setup!$I$17&lt;&gt;"Patients",Setup!$I$17&amp;":","")</f>
        <v>Points:</v>
      </c>
      <c r="AO11" s="363">
        <v>0</v>
      </c>
      <c r="AP11" s="374"/>
      <c r="AQ11" s="374"/>
      <c r="AR11" s="374"/>
      <c r="AS11" s="374" t="str">
        <f>IF(Setup!$I$17&lt;&gt;"Patients",Setup!$I$17&amp;":","")</f>
        <v>Points:</v>
      </c>
      <c r="AT11" s="363">
        <v>0</v>
      </c>
      <c r="AU11" s="374"/>
      <c r="AV11" s="374"/>
      <c r="AW11" s="374"/>
      <c r="AX11" s="374" t="str">
        <f>IF(Setup!$I$17&lt;&gt;"Patients",Setup!$I$17&amp;":","")</f>
        <v>Points:</v>
      </c>
      <c r="AY11" s="363">
        <v>0</v>
      </c>
      <c r="AZ11" s="374"/>
      <c r="BA11" s="374"/>
      <c r="BB11" s="374"/>
      <c r="BC11" s="390"/>
      <c r="BD11" s="390"/>
      <c r="BE11" s="390"/>
    </row>
    <row r="12" spans="1:57" ht="14.4" thickBot="1" x14ac:dyDescent="0.3">
      <c r="B12" s="391"/>
      <c r="C12" s="391"/>
      <c r="D12" s="390"/>
      <c r="E12" s="374" t="str">
        <f ca="1">OFFSET(Setup!$B$21,MOD(COLUMN(A1),5),0,1,1)</f>
        <v>2WW</v>
      </c>
      <c r="F12" s="374" t="str">
        <f ca="1">OFFSET(Setup!$B$21,MOD(COLUMN(B1),5),0,1,1)</f>
        <v>Urgent</v>
      </c>
      <c r="G12" s="374" t="str">
        <f ca="1">OFFSET(Setup!$B$21,MOD(COLUMN(C1),5),0,1,1)</f>
        <v>Routine</v>
      </c>
      <c r="H12" s="374" t="s">
        <v>61</v>
      </c>
      <c r="I12" s="374" t="s">
        <v>57</v>
      </c>
      <c r="J12" s="374" t="str">
        <f ca="1">OFFSET(Setup!$B$21,MOD(COLUMN(F1),5),0,1,1)</f>
        <v>2WW</v>
      </c>
      <c r="K12" s="374" t="str">
        <f ca="1">OFFSET(Setup!$B$21,MOD(COLUMN(G1),5),0,1,1)</f>
        <v>Urgent</v>
      </c>
      <c r="L12" s="374" t="str">
        <f ca="1">OFFSET(Setup!$B$21,MOD(COLUMN(H1),5),0,1,1)</f>
        <v>Routine</v>
      </c>
      <c r="M12" s="374" t="s">
        <v>61</v>
      </c>
      <c r="N12" s="374" t="s">
        <v>57</v>
      </c>
      <c r="O12" s="374" t="str">
        <f ca="1">OFFSET(Setup!$B$21,MOD(COLUMN(K1),5),0,1,1)</f>
        <v>2WW</v>
      </c>
      <c r="P12" s="374" t="str">
        <f ca="1">OFFSET(Setup!$B$21,MOD(COLUMN(L1),5),0,1,1)</f>
        <v>Urgent</v>
      </c>
      <c r="Q12" s="374" t="str">
        <f ca="1">OFFSET(Setup!$B$21,MOD(COLUMN(M1),5),0,1,1)</f>
        <v>Routine</v>
      </c>
      <c r="R12" s="374" t="s">
        <v>61</v>
      </c>
      <c r="S12" s="374" t="s">
        <v>57</v>
      </c>
      <c r="T12" s="374" t="str">
        <f ca="1">OFFSET(Setup!$B$21,MOD(COLUMN(P1),5),0,1,1)</f>
        <v>2WW</v>
      </c>
      <c r="U12" s="374" t="str">
        <f ca="1">OFFSET(Setup!$B$21,MOD(COLUMN(Q1),5),0,1,1)</f>
        <v>Urgent</v>
      </c>
      <c r="V12" s="374" t="str">
        <f ca="1">OFFSET(Setup!$B$21,MOD(COLUMN(R1),5),0,1,1)</f>
        <v>Routine</v>
      </c>
      <c r="W12" s="374" t="s">
        <v>61</v>
      </c>
      <c r="X12" s="374" t="s">
        <v>57</v>
      </c>
      <c r="Y12" s="374" t="str">
        <f ca="1">OFFSET(Setup!$B$21,MOD(COLUMN(U1),5),0,1,1)</f>
        <v>2WW</v>
      </c>
      <c r="Z12" s="374" t="str">
        <f ca="1">OFFSET(Setup!$B$21,MOD(COLUMN(V1),5),0,1,1)</f>
        <v>Urgent</v>
      </c>
      <c r="AA12" s="374" t="str">
        <f ca="1">OFFSET(Setup!$B$21,MOD(COLUMN(W1),5),0,1,1)</f>
        <v>Routine</v>
      </c>
      <c r="AB12" s="374" t="s">
        <v>61</v>
      </c>
      <c r="AC12" s="374" t="s">
        <v>57</v>
      </c>
      <c r="AD12" s="374" t="str">
        <f ca="1">OFFSET(Setup!$B$21,MOD(COLUMN(Z1),5),0,1,1)</f>
        <v>2WW</v>
      </c>
      <c r="AE12" s="374" t="str">
        <f ca="1">OFFSET(Setup!$B$21,MOD(COLUMN(AA1),5),0,1,1)</f>
        <v>Urgent</v>
      </c>
      <c r="AF12" s="374" t="str">
        <f ca="1">OFFSET(Setup!$B$21,MOD(COLUMN(AB1),5),0,1,1)</f>
        <v>Routine</v>
      </c>
      <c r="AG12" s="374" t="s">
        <v>61</v>
      </c>
      <c r="AH12" s="374" t="s">
        <v>57</v>
      </c>
      <c r="AI12" s="374" t="str">
        <f ca="1">OFFSET(Setup!$B$21,MOD(COLUMN(AE1),5),0,1,1)</f>
        <v>2WW</v>
      </c>
      <c r="AJ12" s="374" t="str">
        <f ca="1">OFFSET(Setup!$B$21,MOD(COLUMN(AF1),5),0,1,1)</f>
        <v>Urgent</v>
      </c>
      <c r="AK12" s="374" t="str">
        <f ca="1">OFFSET(Setup!$B$21,MOD(COLUMN(AG1),5),0,1,1)</f>
        <v>Routine</v>
      </c>
      <c r="AL12" s="374" t="s">
        <v>61</v>
      </c>
      <c r="AM12" s="374" t="s">
        <v>57</v>
      </c>
      <c r="AN12" s="374" t="str">
        <f ca="1">OFFSET(Setup!$B$21,MOD(COLUMN(AJ1),5),0,1,1)</f>
        <v>2WW</v>
      </c>
      <c r="AO12" s="374" t="str">
        <f ca="1">OFFSET(Setup!$B$21,MOD(COLUMN(AK1),5),0,1,1)</f>
        <v>Urgent</v>
      </c>
      <c r="AP12" s="374" t="str">
        <f ca="1">OFFSET(Setup!$B$21,MOD(COLUMN(AL1),5),0,1,1)</f>
        <v>Routine</v>
      </c>
      <c r="AQ12" s="374" t="s">
        <v>61</v>
      </c>
      <c r="AR12" s="374" t="s">
        <v>57</v>
      </c>
      <c r="AS12" s="374" t="str">
        <f ca="1">OFFSET(Setup!$B$21,MOD(COLUMN(AO1),5),0,1,1)</f>
        <v>2WW</v>
      </c>
      <c r="AT12" s="374" t="str">
        <f ca="1">OFFSET(Setup!$B$21,MOD(COLUMN(AP1),5),0,1,1)</f>
        <v>Urgent</v>
      </c>
      <c r="AU12" s="374" t="str">
        <f ca="1">OFFSET(Setup!$B$21,MOD(COLUMN(AQ1),5),0,1,1)</f>
        <v>Routine</v>
      </c>
      <c r="AV12" s="374" t="s">
        <v>61</v>
      </c>
      <c r="AW12" s="374" t="s">
        <v>57</v>
      </c>
      <c r="AX12" s="374" t="str">
        <f ca="1">OFFSET(Setup!$B$21,MOD(COLUMN(AT1),5),0,1,1)</f>
        <v>2WW</v>
      </c>
      <c r="AY12" s="374" t="str">
        <f ca="1">OFFSET(Setup!$B$21,MOD(COLUMN(AU1),5),0,1,1)</f>
        <v>Urgent</v>
      </c>
      <c r="AZ12" s="374" t="str">
        <f ca="1">OFFSET(Setup!$B$21,MOD(COLUMN(AV1),5),0,1,1)</f>
        <v>Routine</v>
      </c>
      <c r="BA12" s="374" t="s">
        <v>61</v>
      </c>
      <c r="BB12" s="374" t="s">
        <v>57</v>
      </c>
      <c r="BC12" s="390"/>
      <c r="BD12" s="390"/>
      <c r="BE12" s="390"/>
    </row>
    <row r="13" spans="1:57" x14ac:dyDescent="0.25">
      <c r="A13">
        <v>1</v>
      </c>
      <c r="B13" s="260">
        <f>IF(C6&lt;&gt;"",YEAR(D13),1)</f>
        <v>2020</v>
      </c>
      <c r="C13" s="261">
        <f>IF(OR($C$6&lt;&gt;"",AND($C$8&lt;&gt;"Historic",ROW(A13)&lt;=64)),WEEKNUM($C$6, 21),1)</f>
        <v>10</v>
      </c>
      <c r="D13" s="347">
        <f>IF($C$6&lt;&gt;"",$C$6-WEEKDAY($C$6,3),"")</f>
        <v>43892</v>
      </c>
      <c r="E13" s="180"/>
      <c r="F13" s="181"/>
      <c r="G13" s="182">
        <v>61</v>
      </c>
      <c r="H13" s="183"/>
      <c r="I13" s="248">
        <f>IF(COUNTBLANK(E13:H13)=4,"",SUM(E13:G13)+IF(Setup!$I$15="No",0,H13))</f>
        <v>61</v>
      </c>
      <c r="J13" s="194"/>
      <c r="K13" s="195"/>
      <c r="L13" s="196"/>
      <c r="M13" s="197"/>
      <c r="N13" s="252" t="str">
        <f>IF(COUNTBLANK(J13:M13)=4,"",SUM(J13:L13)+IF(Setup!$I$15="No",0,M13))</f>
        <v/>
      </c>
      <c r="O13" s="180"/>
      <c r="P13" s="181"/>
      <c r="Q13" s="182"/>
      <c r="R13" s="183"/>
      <c r="S13" s="248" t="str">
        <f>IF(COUNTBLANK(O13:R13)=4,"",SUM(O13:Q13)+IF(Setup!$I$15="No",0,R13))</f>
        <v/>
      </c>
      <c r="T13" s="194"/>
      <c r="U13" s="195"/>
      <c r="V13" s="196"/>
      <c r="W13" s="197"/>
      <c r="X13" s="252" t="str">
        <f>IF(COUNTBLANK(T13:W13)=4,"",SUM(T13:V13)+IF(Setup!$I$15="No",0,W13))</f>
        <v/>
      </c>
      <c r="Y13" s="180"/>
      <c r="Z13" s="181"/>
      <c r="AA13" s="182"/>
      <c r="AB13" s="183"/>
      <c r="AC13" s="248" t="str">
        <f>IF(COUNTBLANK(Y13:AB13)=4,"",SUM(Y13:AA13)+IF(Setup!$I$15="No",0,AB13))</f>
        <v/>
      </c>
      <c r="AD13" s="194"/>
      <c r="AE13" s="195"/>
      <c r="AF13" s="196"/>
      <c r="AG13" s="197"/>
      <c r="AH13" s="252" t="str">
        <f>IF(COUNTBLANK(AD13:AG13)=4,"",SUM(AD13:AF13)+IF(Setup!$I$15="No",0,AG13))</f>
        <v/>
      </c>
      <c r="AI13" s="180"/>
      <c r="AJ13" s="181"/>
      <c r="AK13" s="182"/>
      <c r="AL13" s="183"/>
      <c r="AM13" s="248" t="str">
        <f>IF(COUNTBLANK(AI13:AL13)=4,"",SUM(AI13:AK13)+IF(Setup!$I$15="No",0,AL13))</f>
        <v/>
      </c>
      <c r="AN13" s="194"/>
      <c r="AO13" s="195"/>
      <c r="AP13" s="196"/>
      <c r="AQ13" s="197"/>
      <c r="AR13" s="252" t="str">
        <f>IF(COUNTBLANK(AN13:AQ13)=4,"",SUM(AN13:AP13)+IF(Setup!$I$15="No",0,AQ13))</f>
        <v/>
      </c>
      <c r="AS13" s="180"/>
      <c r="AT13" s="181"/>
      <c r="AU13" s="182"/>
      <c r="AV13" s="183"/>
      <c r="AW13" s="248" t="str">
        <f>IF(COUNTBLANK(AS13:AV13)=4,"",SUM(AS13:AU13)+IF(Setup!$I$15="No",0,AV13))</f>
        <v/>
      </c>
      <c r="AX13" s="194"/>
      <c r="AY13" s="195"/>
      <c r="AZ13" s="196"/>
      <c r="BA13" s="197"/>
      <c r="BB13" s="252" t="str">
        <f>IF(COUNTBLANK(AX13:BA13)=4,"",SUM(AX13:AZ13)+IF(Setup!$I$15="No",0,BA13))</f>
        <v/>
      </c>
      <c r="BC13" s="256">
        <f ca="1">IF('Demand background (hide)'!A4=Num_Modalities,"",SUM(Demand!I13))</f>
        <v>61</v>
      </c>
      <c r="BD13" s="256">
        <f ca="1">IF(AND(A13&lt;=MaxRows,BE13&lt;&gt;"Yes"),'Demand background (hide)'!X4+IF(Setup!$I$15="Yes",'Demand background (hide)'!AJ4,0),"")</f>
        <v>122</v>
      </c>
      <c r="BE13" s="206"/>
    </row>
    <row r="14" spans="1:57" x14ac:dyDescent="0.25">
      <c r="A14">
        <f t="shared" ref="A14:A76" ca="1" si="0">IF(BC14&lt;&gt;"",ROW(A2),"")</f>
        <v>2</v>
      </c>
      <c r="B14" s="260" t="str">
        <f t="shared" ref="B14:B77" ca="1" si="1">IF(A14&lt;=MaxRows,IF($C$6&lt;&gt;"",IF(YEAR(D14)&lt;&gt;YEAR(D13),YEAR(D14)," "),IF(C14&lt;&gt;1,"",OFFSET(B14,-C13,0,1,1)+1))," ")</f>
        <v xml:space="preserve"> </v>
      </c>
      <c r="C14" s="262">
        <f t="shared" ref="C14:C77" ca="1" si="2">IF(ROW(A2)&lt;=MaxRows,IF($C$6&lt;&gt;"",WEEKNUM(D14,21),IF(MOD((C13+1),52)&gt;0,MOD((C13+1),52),52)),"")</f>
        <v>11</v>
      </c>
      <c r="D14" s="348">
        <f t="shared" ref="D14:D77" ca="1" si="3">IF(OR(AND(ROW(A2)&lt;=MaxRows,$C$6&lt;&gt;""),AND(ROW(A14)&lt;=64,LEFT($C$8,1)&lt;&gt;"H")),D13+7,"")</f>
        <v>43899</v>
      </c>
      <c r="E14" s="184"/>
      <c r="F14" s="185"/>
      <c r="G14" s="186">
        <v>62</v>
      </c>
      <c r="H14" s="187"/>
      <c r="I14" s="249">
        <f>IF(COUNTBLANK(E14:H14)=4,"",SUM(E14:G14)+IF(Setup!$I$15="No",0,H14))</f>
        <v>62</v>
      </c>
      <c r="J14" s="198"/>
      <c r="K14" s="199"/>
      <c r="L14" s="200"/>
      <c r="M14" s="201"/>
      <c r="N14" s="253" t="str">
        <f>IF(COUNTBLANK(J14:M14)=4,"",SUM(J14:L14)+IF(Setup!$I$15="No",0,M14))</f>
        <v/>
      </c>
      <c r="O14" s="184"/>
      <c r="P14" s="185"/>
      <c r="Q14" s="186"/>
      <c r="R14" s="187"/>
      <c r="S14" s="249" t="str">
        <f>IF(COUNTBLANK(O14:R14)=4,"",SUM(O14:Q14)+IF(Setup!$I$15="No",0,R14))</f>
        <v/>
      </c>
      <c r="T14" s="198"/>
      <c r="U14" s="199"/>
      <c r="V14" s="200"/>
      <c r="W14" s="201"/>
      <c r="X14" s="253" t="str">
        <f>IF(COUNTBLANK(T14:W14)=4,"",SUM(T14:V14)+IF(Setup!$I$15="No",0,W14))</f>
        <v/>
      </c>
      <c r="Y14" s="184"/>
      <c r="Z14" s="185"/>
      <c r="AA14" s="186"/>
      <c r="AB14" s="187"/>
      <c r="AC14" s="249" t="str">
        <f>IF(COUNTBLANK(Y14:AB14)=4,"",SUM(Y14:AA14)+IF(Setup!$I$15="No",0,AB14))</f>
        <v/>
      </c>
      <c r="AD14" s="198"/>
      <c r="AE14" s="199"/>
      <c r="AF14" s="200"/>
      <c r="AG14" s="201"/>
      <c r="AH14" s="253" t="str">
        <f>IF(COUNTBLANK(AD14:AG14)=4,"",SUM(AD14:AF14)+IF(Setup!$I$15="No",0,AG14))</f>
        <v/>
      </c>
      <c r="AI14" s="184"/>
      <c r="AJ14" s="185"/>
      <c r="AK14" s="186"/>
      <c r="AL14" s="187"/>
      <c r="AM14" s="249" t="str">
        <f>IF(COUNTBLANK(AI14:AL14)=4,"",SUM(AI14:AK14)+IF(Setup!$I$15="No",0,AL14))</f>
        <v/>
      </c>
      <c r="AN14" s="198"/>
      <c r="AO14" s="199"/>
      <c r="AP14" s="200"/>
      <c r="AQ14" s="201"/>
      <c r="AR14" s="253" t="str">
        <f>IF(COUNTBLANK(AN14:AQ14)=4,"",SUM(AN14:AP14)+IF(Setup!$I$15="No",0,AQ14))</f>
        <v/>
      </c>
      <c r="AS14" s="184"/>
      <c r="AT14" s="185"/>
      <c r="AU14" s="186"/>
      <c r="AV14" s="187"/>
      <c r="AW14" s="249" t="str">
        <f>IF(COUNTBLANK(AS14:AV14)=4,"",SUM(AS14:AU14)+IF(Setup!$I$15="No",0,AV14))</f>
        <v/>
      </c>
      <c r="AX14" s="198"/>
      <c r="AY14" s="199"/>
      <c r="AZ14" s="200"/>
      <c r="BA14" s="201"/>
      <c r="BB14" s="253" t="str">
        <f>IF(COUNTBLANK(AX14:BA14)=4,"",SUM(AX14:AZ14)+IF(Setup!$I$15="No",0,BA14))</f>
        <v/>
      </c>
      <c r="BC14" s="257">
        <f ca="1">IF('Demand background (hide)'!A5=Num_Modalities,"",SUM(Demand!I14))</f>
        <v>62</v>
      </c>
      <c r="BD14" s="257">
        <f ca="1">IF(AND(A14&lt;=MaxRows,BE14&lt;&gt;"Yes"),'Demand background (hide)'!X5+IF(Setup!$I$15="Yes",'Demand background (hide)'!AJ5,0),"")</f>
        <v>124</v>
      </c>
      <c r="BE14" s="207"/>
    </row>
    <row r="15" spans="1:57" x14ac:dyDescent="0.25">
      <c r="A15">
        <f t="shared" ca="1" si="0"/>
        <v>3</v>
      </c>
      <c r="B15" s="260" t="str">
        <f t="shared" ca="1" si="1"/>
        <v xml:space="preserve"> </v>
      </c>
      <c r="C15" s="262">
        <f t="shared" ca="1" si="2"/>
        <v>12</v>
      </c>
      <c r="D15" s="348">
        <f t="shared" ca="1" si="3"/>
        <v>43906</v>
      </c>
      <c r="E15" s="184"/>
      <c r="F15" s="185"/>
      <c r="G15" s="186">
        <v>69</v>
      </c>
      <c r="H15" s="187"/>
      <c r="I15" s="249">
        <f>IF(COUNTBLANK(E15:H15)=4,"",SUM(E15:G15)+IF(Setup!$I$15="No",0,H15))</f>
        <v>69</v>
      </c>
      <c r="J15" s="198"/>
      <c r="K15" s="199"/>
      <c r="L15" s="200"/>
      <c r="M15" s="201"/>
      <c r="N15" s="253" t="str">
        <f>IF(COUNTBLANK(J15:M15)=4,"",SUM(J15:L15)+IF(Setup!$I$15="No",0,M15))</f>
        <v/>
      </c>
      <c r="O15" s="184"/>
      <c r="P15" s="185"/>
      <c r="Q15" s="186"/>
      <c r="R15" s="187"/>
      <c r="S15" s="249" t="str">
        <f>IF(COUNTBLANK(O15:R15)=4,"",SUM(O15:Q15)+IF(Setup!$I$15="No",0,R15))</f>
        <v/>
      </c>
      <c r="T15" s="198"/>
      <c r="U15" s="199"/>
      <c r="V15" s="200"/>
      <c r="W15" s="201"/>
      <c r="X15" s="253" t="str">
        <f>IF(COUNTBLANK(T15:W15)=4,"",SUM(T15:V15)+IF(Setup!$I$15="No",0,W15))</f>
        <v/>
      </c>
      <c r="Y15" s="184"/>
      <c r="Z15" s="185"/>
      <c r="AA15" s="186"/>
      <c r="AB15" s="187"/>
      <c r="AC15" s="249" t="str">
        <f>IF(COUNTBLANK(Y15:AB15)=4,"",SUM(Y15:AA15)+IF(Setup!$I$15="No",0,AB15))</f>
        <v/>
      </c>
      <c r="AD15" s="198"/>
      <c r="AE15" s="199"/>
      <c r="AF15" s="200"/>
      <c r="AG15" s="201"/>
      <c r="AH15" s="253" t="str">
        <f>IF(COUNTBLANK(AD15:AG15)=4,"",SUM(AD15:AF15)+IF(Setup!$I$15="No",0,AG15))</f>
        <v/>
      </c>
      <c r="AI15" s="184"/>
      <c r="AJ15" s="185"/>
      <c r="AK15" s="186"/>
      <c r="AL15" s="187"/>
      <c r="AM15" s="249" t="str">
        <f>IF(COUNTBLANK(AI15:AL15)=4,"",SUM(AI15:AK15)+IF(Setup!$I$15="No",0,AL15))</f>
        <v/>
      </c>
      <c r="AN15" s="198"/>
      <c r="AO15" s="199"/>
      <c r="AP15" s="200"/>
      <c r="AQ15" s="201"/>
      <c r="AR15" s="253" t="str">
        <f>IF(COUNTBLANK(AN15:AQ15)=4,"",SUM(AN15:AP15)+IF(Setup!$I$15="No",0,AQ15))</f>
        <v/>
      </c>
      <c r="AS15" s="184"/>
      <c r="AT15" s="185"/>
      <c r="AU15" s="186"/>
      <c r="AV15" s="187"/>
      <c r="AW15" s="249" t="str">
        <f>IF(COUNTBLANK(AS15:AV15)=4,"",SUM(AS15:AU15)+IF(Setup!$I$15="No",0,AV15))</f>
        <v/>
      </c>
      <c r="AX15" s="198"/>
      <c r="AY15" s="199"/>
      <c r="AZ15" s="200"/>
      <c r="BA15" s="201"/>
      <c r="BB15" s="253" t="str">
        <f>IF(COUNTBLANK(AX15:BA15)=4,"",SUM(AX15:AZ15)+IF(Setup!$I$15="No",0,BA15))</f>
        <v/>
      </c>
      <c r="BC15" s="257">
        <f ca="1">IF('Demand background (hide)'!A6=Num_Modalities,"",SUM(Demand!I15))</f>
        <v>69</v>
      </c>
      <c r="BD15" s="257">
        <f ca="1">IF(AND(A15&lt;=MaxRows,BE15&lt;&gt;"Yes"),'Demand background (hide)'!X6+IF(Setup!$I$15="Yes",'Demand background (hide)'!AJ6,0),"")</f>
        <v>138</v>
      </c>
      <c r="BE15" s="207"/>
    </row>
    <row r="16" spans="1:57" x14ac:dyDescent="0.25">
      <c r="A16">
        <f t="shared" ca="1" si="0"/>
        <v>4</v>
      </c>
      <c r="B16" s="260" t="str">
        <f t="shared" ca="1" si="1"/>
        <v xml:space="preserve"> </v>
      </c>
      <c r="C16" s="262">
        <f t="shared" ca="1" si="2"/>
        <v>13</v>
      </c>
      <c r="D16" s="348">
        <f t="shared" ca="1" si="3"/>
        <v>43913</v>
      </c>
      <c r="E16" s="184"/>
      <c r="F16" s="185"/>
      <c r="G16" s="186">
        <v>71</v>
      </c>
      <c r="H16" s="187"/>
      <c r="I16" s="249">
        <f>IF(COUNTBLANK(E16:H16)=4,"",SUM(E16:G16)+IF(Setup!$I$15="No",0,H16))</f>
        <v>71</v>
      </c>
      <c r="J16" s="198"/>
      <c r="K16" s="199"/>
      <c r="L16" s="200"/>
      <c r="M16" s="201"/>
      <c r="N16" s="253" t="str">
        <f>IF(COUNTBLANK(J16:M16)=4,"",SUM(J16:L16)+IF(Setup!$I$15="No",0,M16))</f>
        <v/>
      </c>
      <c r="O16" s="184"/>
      <c r="P16" s="185"/>
      <c r="Q16" s="186"/>
      <c r="R16" s="187"/>
      <c r="S16" s="249" t="str">
        <f>IF(COUNTBLANK(O16:R16)=4,"",SUM(O16:Q16)+IF(Setup!$I$15="No",0,R16))</f>
        <v/>
      </c>
      <c r="T16" s="198"/>
      <c r="U16" s="199"/>
      <c r="V16" s="200"/>
      <c r="W16" s="201"/>
      <c r="X16" s="253" t="str">
        <f>IF(COUNTBLANK(T16:W16)=4,"",SUM(T16:V16)+IF(Setup!$I$15="No",0,W16))</f>
        <v/>
      </c>
      <c r="Y16" s="184"/>
      <c r="Z16" s="185"/>
      <c r="AA16" s="186"/>
      <c r="AB16" s="187"/>
      <c r="AC16" s="249" t="str">
        <f>IF(COUNTBLANK(Y16:AB16)=4,"",SUM(Y16:AA16)+IF(Setup!$I$15="No",0,AB16))</f>
        <v/>
      </c>
      <c r="AD16" s="198"/>
      <c r="AE16" s="199"/>
      <c r="AF16" s="200"/>
      <c r="AG16" s="201"/>
      <c r="AH16" s="253" t="str">
        <f>IF(COUNTBLANK(AD16:AG16)=4,"",SUM(AD16:AF16)+IF(Setup!$I$15="No",0,AG16))</f>
        <v/>
      </c>
      <c r="AI16" s="184"/>
      <c r="AJ16" s="185"/>
      <c r="AK16" s="186"/>
      <c r="AL16" s="187"/>
      <c r="AM16" s="249" t="str">
        <f>IF(COUNTBLANK(AI16:AL16)=4,"",SUM(AI16:AK16)+IF(Setup!$I$15="No",0,AL16))</f>
        <v/>
      </c>
      <c r="AN16" s="198"/>
      <c r="AO16" s="199"/>
      <c r="AP16" s="200"/>
      <c r="AQ16" s="201"/>
      <c r="AR16" s="253" t="str">
        <f>IF(COUNTBLANK(AN16:AQ16)=4,"",SUM(AN16:AP16)+IF(Setup!$I$15="No",0,AQ16))</f>
        <v/>
      </c>
      <c r="AS16" s="184"/>
      <c r="AT16" s="185"/>
      <c r="AU16" s="186"/>
      <c r="AV16" s="187"/>
      <c r="AW16" s="249" t="str">
        <f>IF(COUNTBLANK(AS16:AV16)=4,"",SUM(AS16:AU16)+IF(Setup!$I$15="No",0,AV16))</f>
        <v/>
      </c>
      <c r="AX16" s="198"/>
      <c r="AY16" s="199"/>
      <c r="AZ16" s="200"/>
      <c r="BA16" s="201"/>
      <c r="BB16" s="253" t="str">
        <f>IF(COUNTBLANK(AX16:BA16)=4,"",SUM(AX16:AZ16)+IF(Setup!$I$15="No",0,BA16))</f>
        <v/>
      </c>
      <c r="BC16" s="257">
        <f ca="1">IF('Demand background (hide)'!A7=Num_Modalities,"",SUM(Demand!I16))</f>
        <v>71</v>
      </c>
      <c r="BD16" s="257">
        <f ca="1">IF(AND(A16&lt;=MaxRows,BE16&lt;&gt;"Yes"),'Demand background (hide)'!X7+IF(Setup!$I$15="Yes",'Demand background (hide)'!AJ7,0),"")</f>
        <v>142</v>
      </c>
      <c r="BE16" s="207"/>
    </row>
    <row r="17" spans="1:57" x14ac:dyDescent="0.25">
      <c r="A17">
        <f t="shared" ca="1" si="0"/>
        <v>5</v>
      </c>
      <c r="B17" s="260" t="str">
        <f t="shared" ca="1" si="1"/>
        <v xml:space="preserve"> </v>
      </c>
      <c r="C17" s="262">
        <f t="shared" ca="1" si="2"/>
        <v>14</v>
      </c>
      <c r="D17" s="348">
        <f t="shared" ca="1" si="3"/>
        <v>43920</v>
      </c>
      <c r="E17" s="184"/>
      <c r="F17" s="185"/>
      <c r="G17" s="186">
        <v>80</v>
      </c>
      <c r="H17" s="187"/>
      <c r="I17" s="249">
        <f>IF(COUNTBLANK(E17:H17)=4,"",SUM(E17:G17)+IF(Setup!$I$15="No",0,H17))</f>
        <v>80</v>
      </c>
      <c r="J17" s="198"/>
      <c r="K17" s="199"/>
      <c r="L17" s="200"/>
      <c r="M17" s="201"/>
      <c r="N17" s="253" t="str">
        <f>IF(COUNTBLANK(J17:M17)=4,"",SUM(J17:L17)+IF(Setup!$I$15="No",0,M17))</f>
        <v/>
      </c>
      <c r="O17" s="184"/>
      <c r="P17" s="185"/>
      <c r="Q17" s="186"/>
      <c r="R17" s="187"/>
      <c r="S17" s="249" t="str">
        <f>IF(COUNTBLANK(O17:R17)=4,"",SUM(O17:Q17)+IF(Setup!$I$15="No",0,R17))</f>
        <v/>
      </c>
      <c r="T17" s="198"/>
      <c r="U17" s="199"/>
      <c r="V17" s="200"/>
      <c r="W17" s="201"/>
      <c r="X17" s="253" t="str">
        <f>IF(COUNTBLANK(T17:W17)=4,"",SUM(T17:V17)+IF(Setup!$I$15="No",0,W17))</f>
        <v/>
      </c>
      <c r="Y17" s="184"/>
      <c r="Z17" s="185"/>
      <c r="AA17" s="186"/>
      <c r="AB17" s="187"/>
      <c r="AC17" s="249" t="str">
        <f>IF(COUNTBLANK(Y17:AB17)=4,"",SUM(Y17:AA17)+IF(Setup!$I$15="No",0,AB17))</f>
        <v/>
      </c>
      <c r="AD17" s="198"/>
      <c r="AE17" s="199"/>
      <c r="AF17" s="200"/>
      <c r="AG17" s="201"/>
      <c r="AH17" s="253" t="str">
        <f>IF(COUNTBLANK(AD17:AG17)=4,"",SUM(AD17:AF17)+IF(Setup!$I$15="No",0,AG17))</f>
        <v/>
      </c>
      <c r="AI17" s="184"/>
      <c r="AJ17" s="185"/>
      <c r="AK17" s="186"/>
      <c r="AL17" s="187"/>
      <c r="AM17" s="249" t="str">
        <f>IF(COUNTBLANK(AI17:AL17)=4,"",SUM(AI17:AK17)+IF(Setup!$I$15="No",0,AL17))</f>
        <v/>
      </c>
      <c r="AN17" s="198"/>
      <c r="AO17" s="199"/>
      <c r="AP17" s="200"/>
      <c r="AQ17" s="201"/>
      <c r="AR17" s="253" t="str">
        <f>IF(COUNTBLANK(AN17:AQ17)=4,"",SUM(AN17:AP17)+IF(Setup!$I$15="No",0,AQ17))</f>
        <v/>
      </c>
      <c r="AS17" s="184"/>
      <c r="AT17" s="185"/>
      <c r="AU17" s="186"/>
      <c r="AV17" s="187"/>
      <c r="AW17" s="249" t="str">
        <f>IF(COUNTBLANK(AS17:AV17)=4,"",SUM(AS17:AU17)+IF(Setup!$I$15="No",0,AV17))</f>
        <v/>
      </c>
      <c r="AX17" s="198"/>
      <c r="AY17" s="199"/>
      <c r="AZ17" s="200"/>
      <c r="BA17" s="201"/>
      <c r="BB17" s="253" t="str">
        <f>IF(COUNTBLANK(AX17:BA17)=4,"",SUM(AX17:AZ17)+IF(Setup!$I$15="No",0,BA17))</f>
        <v/>
      </c>
      <c r="BC17" s="257">
        <f ca="1">IF('Demand background (hide)'!A8=Num_Modalities,"",SUM(Demand!I17))</f>
        <v>80</v>
      </c>
      <c r="BD17" s="257">
        <f ca="1">IF(AND(A17&lt;=MaxRows,BE17&lt;&gt;"Yes"),'Demand background (hide)'!X8+IF(Setup!$I$15="Yes",'Demand background (hide)'!AJ8,0),"")</f>
        <v>160</v>
      </c>
      <c r="BE17" s="207"/>
    </row>
    <row r="18" spans="1:57" x14ac:dyDescent="0.25">
      <c r="A18">
        <f t="shared" ca="1" si="0"/>
        <v>6</v>
      </c>
      <c r="B18" s="260" t="str">
        <f t="shared" ca="1" si="1"/>
        <v xml:space="preserve"> </v>
      </c>
      <c r="C18" s="262">
        <f t="shared" ca="1" si="2"/>
        <v>15</v>
      </c>
      <c r="D18" s="348">
        <f t="shared" ca="1" si="3"/>
        <v>43927</v>
      </c>
      <c r="E18" s="184"/>
      <c r="F18" s="185"/>
      <c r="G18" s="186">
        <v>78</v>
      </c>
      <c r="H18" s="187"/>
      <c r="I18" s="249">
        <f>IF(COUNTBLANK(E18:H18)=4,"",SUM(E18:G18)+IF(Setup!$I$15="No",0,H18))</f>
        <v>78</v>
      </c>
      <c r="J18" s="198"/>
      <c r="K18" s="199"/>
      <c r="L18" s="200"/>
      <c r="M18" s="201"/>
      <c r="N18" s="253" t="str">
        <f>IF(COUNTBLANK(J18:M18)=4,"",SUM(J18:L18)+IF(Setup!$I$15="No",0,M18))</f>
        <v/>
      </c>
      <c r="O18" s="184"/>
      <c r="P18" s="185"/>
      <c r="Q18" s="186"/>
      <c r="R18" s="187"/>
      <c r="S18" s="249" t="str">
        <f>IF(COUNTBLANK(O18:R18)=4,"",SUM(O18:Q18)+IF(Setup!$I$15="No",0,R18))</f>
        <v/>
      </c>
      <c r="T18" s="198"/>
      <c r="U18" s="199"/>
      <c r="V18" s="200"/>
      <c r="W18" s="201"/>
      <c r="X18" s="253" t="str">
        <f>IF(COUNTBLANK(T18:W18)=4,"",SUM(T18:V18)+IF(Setup!$I$15="No",0,W18))</f>
        <v/>
      </c>
      <c r="Y18" s="184"/>
      <c r="Z18" s="185"/>
      <c r="AA18" s="186"/>
      <c r="AB18" s="187"/>
      <c r="AC18" s="249" t="str">
        <f>IF(COUNTBLANK(Y18:AB18)=4,"",SUM(Y18:AA18)+IF(Setup!$I$15="No",0,AB18))</f>
        <v/>
      </c>
      <c r="AD18" s="198"/>
      <c r="AE18" s="199"/>
      <c r="AF18" s="200"/>
      <c r="AG18" s="201"/>
      <c r="AH18" s="253" t="str">
        <f>IF(COUNTBLANK(AD18:AG18)=4,"",SUM(AD18:AF18)+IF(Setup!$I$15="No",0,AG18))</f>
        <v/>
      </c>
      <c r="AI18" s="184"/>
      <c r="AJ18" s="185"/>
      <c r="AK18" s="186"/>
      <c r="AL18" s="187"/>
      <c r="AM18" s="249" t="str">
        <f>IF(COUNTBLANK(AI18:AL18)=4,"",SUM(AI18:AK18)+IF(Setup!$I$15="No",0,AL18))</f>
        <v/>
      </c>
      <c r="AN18" s="198"/>
      <c r="AO18" s="199"/>
      <c r="AP18" s="200"/>
      <c r="AQ18" s="201"/>
      <c r="AR18" s="253" t="str">
        <f>IF(COUNTBLANK(AN18:AQ18)=4,"",SUM(AN18:AP18)+IF(Setup!$I$15="No",0,AQ18))</f>
        <v/>
      </c>
      <c r="AS18" s="184"/>
      <c r="AT18" s="185"/>
      <c r="AU18" s="186"/>
      <c r="AV18" s="187"/>
      <c r="AW18" s="249" t="str">
        <f>IF(COUNTBLANK(AS18:AV18)=4,"",SUM(AS18:AU18)+IF(Setup!$I$15="No",0,AV18))</f>
        <v/>
      </c>
      <c r="AX18" s="198"/>
      <c r="AY18" s="199"/>
      <c r="AZ18" s="200"/>
      <c r="BA18" s="201"/>
      <c r="BB18" s="253" t="str">
        <f>IF(COUNTBLANK(AX18:BA18)=4,"",SUM(AX18:AZ18)+IF(Setup!$I$15="No",0,BA18))</f>
        <v/>
      </c>
      <c r="BC18" s="257">
        <f ca="1">IF('Demand background (hide)'!A9=Num_Modalities,"",SUM(Demand!I18))</f>
        <v>78</v>
      </c>
      <c r="BD18" s="257">
        <f ca="1">IF(AND(A18&lt;=MaxRows,BE18&lt;&gt;"Yes"),'Demand background (hide)'!X9+IF(Setup!$I$15="Yes",'Demand background (hide)'!AJ9,0),"")</f>
        <v>156</v>
      </c>
      <c r="BE18" s="207"/>
    </row>
    <row r="19" spans="1:57" x14ac:dyDescent="0.25">
      <c r="A19">
        <f t="shared" ca="1" si="0"/>
        <v>7</v>
      </c>
      <c r="B19" s="260" t="str">
        <f t="shared" ca="1" si="1"/>
        <v xml:space="preserve"> </v>
      </c>
      <c r="C19" s="262">
        <f t="shared" ca="1" si="2"/>
        <v>16</v>
      </c>
      <c r="D19" s="348">
        <f t="shared" ca="1" si="3"/>
        <v>43934</v>
      </c>
      <c r="E19" s="184"/>
      <c r="F19" s="185"/>
      <c r="G19" s="186">
        <v>77</v>
      </c>
      <c r="H19" s="187"/>
      <c r="I19" s="249">
        <f>IF(COUNTBLANK(E19:H19)=4,"",SUM(E19:G19)+IF(Setup!$I$15="No",0,H19))</f>
        <v>77</v>
      </c>
      <c r="J19" s="198"/>
      <c r="K19" s="199"/>
      <c r="L19" s="200"/>
      <c r="M19" s="201"/>
      <c r="N19" s="253" t="str">
        <f>IF(COUNTBLANK(J19:M19)=4,"",SUM(J19:L19)+IF(Setup!$I$15="No",0,M19))</f>
        <v/>
      </c>
      <c r="O19" s="184"/>
      <c r="P19" s="185"/>
      <c r="Q19" s="186"/>
      <c r="R19" s="187"/>
      <c r="S19" s="249" t="str">
        <f>IF(COUNTBLANK(O19:R19)=4,"",SUM(O19:Q19)+IF(Setup!$I$15="No",0,R19))</f>
        <v/>
      </c>
      <c r="T19" s="198"/>
      <c r="U19" s="199"/>
      <c r="V19" s="200"/>
      <c r="W19" s="201"/>
      <c r="X19" s="253" t="str">
        <f>IF(COUNTBLANK(T19:W19)=4,"",SUM(T19:V19)+IF(Setup!$I$15="No",0,W19))</f>
        <v/>
      </c>
      <c r="Y19" s="184"/>
      <c r="Z19" s="185"/>
      <c r="AA19" s="186"/>
      <c r="AB19" s="187"/>
      <c r="AC19" s="249" t="str">
        <f>IF(COUNTBLANK(Y19:AB19)=4,"",SUM(Y19:AA19)+IF(Setup!$I$15="No",0,AB19))</f>
        <v/>
      </c>
      <c r="AD19" s="198"/>
      <c r="AE19" s="199"/>
      <c r="AF19" s="200"/>
      <c r="AG19" s="201"/>
      <c r="AH19" s="253" t="str">
        <f>IF(COUNTBLANK(AD19:AG19)=4,"",SUM(AD19:AF19)+IF(Setup!$I$15="No",0,AG19))</f>
        <v/>
      </c>
      <c r="AI19" s="184"/>
      <c r="AJ19" s="185"/>
      <c r="AK19" s="186"/>
      <c r="AL19" s="187"/>
      <c r="AM19" s="249" t="str">
        <f>IF(COUNTBLANK(AI19:AL19)=4,"",SUM(AI19:AK19)+IF(Setup!$I$15="No",0,AL19))</f>
        <v/>
      </c>
      <c r="AN19" s="198"/>
      <c r="AO19" s="199"/>
      <c r="AP19" s="200"/>
      <c r="AQ19" s="201"/>
      <c r="AR19" s="253" t="str">
        <f>IF(COUNTBLANK(AN19:AQ19)=4,"",SUM(AN19:AP19)+IF(Setup!$I$15="No",0,AQ19))</f>
        <v/>
      </c>
      <c r="AS19" s="184"/>
      <c r="AT19" s="185"/>
      <c r="AU19" s="186"/>
      <c r="AV19" s="187"/>
      <c r="AW19" s="249" t="str">
        <f>IF(COUNTBLANK(AS19:AV19)=4,"",SUM(AS19:AU19)+IF(Setup!$I$15="No",0,AV19))</f>
        <v/>
      </c>
      <c r="AX19" s="198"/>
      <c r="AY19" s="199"/>
      <c r="AZ19" s="200"/>
      <c r="BA19" s="201"/>
      <c r="BB19" s="253" t="str">
        <f>IF(COUNTBLANK(AX19:BA19)=4,"",SUM(AX19:AZ19)+IF(Setup!$I$15="No",0,BA19))</f>
        <v/>
      </c>
      <c r="BC19" s="257">
        <f ca="1">IF('Demand background (hide)'!A10=Num_Modalities,"",SUM(Demand!I19))</f>
        <v>77</v>
      </c>
      <c r="BD19" s="257">
        <f ca="1">IF(AND(A19&lt;=MaxRows,BE19&lt;&gt;"Yes"),'Demand background (hide)'!X10+IF(Setup!$I$15="Yes",'Demand background (hide)'!AJ10,0),"")</f>
        <v>154</v>
      </c>
      <c r="BE19" s="207"/>
    </row>
    <row r="20" spans="1:57" x14ac:dyDescent="0.25">
      <c r="A20">
        <f t="shared" ca="1" si="0"/>
        <v>8</v>
      </c>
      <c r="B20" s="260" t="str">
        <f t="shared" ca="1" si="1"/>
        <v xml:space="preserve"> </v>
      </c>
      <c r="C20" s="262">
        <f t="shared" ca="1" si="2"/>
        <v>17</v>
      </c>
      <c r="D20" s="348">
        <f t="shared" ca="1" si="3"/>
        <v>43941</v>
      </c>
      <c r="E20" s="184"/>
      <c r="F20" s="185"/>
      <c r="G20" s="186">
        <v>71</v>
      </c>
      <c r="H20" s="187"/>
      <c r="I20" s="249">
        <f>IF(COUNTBLANK(E20:H20)=4,"",SUM(E20:G20)+IF(Setup!$I$15="No",0,H20))</f>
        <v>71</v>
      </c>
      <c r="J20" s="198"/>
      <c r="K20" s="199"/>
      <c r="L20" s="200"/>
      <c r="M20" s="201"/>
      <c r="N20" s="253" t="str">
        <f>IF(COUNTBLANK(J20:M20)=4,"",SUM(J20:L20)+IF(Setup!$I$15="No",0,M20))</f>
        <v/>
      </c>
      <c r="O20" s="184"/>
      <c r="P20" s="185"/>
      <c r="Q20" s="186"/>
      <c r="R20" s="187"/>
      <c r="S20" s="249" t="str">
        <f>IF(COUNTBLANK(O20:R20)=4,"",SUM(O20:Q20)+IF(Setup!$I$15="No",0,R20))</f>
        <v/>
      </c>
      <c r="T20" s="198"/>
      <c r="U20" s="199"/>
      <c r="V20" s="200"/>
      <c r="W20" s="201"/>
      <c r="X20" s="253" t="str">
        <f>IF(COUNTBLANK(T20:W20)=4,"",SUM(T20:V20)+IF(Setup!$I$15="No",0,W20))</f>
        <v/>
      </c>
      <c r="Y20" s="184"/>
      <c r="Z20" s="185"/>
      <c r="AA20" s="186"/>
      <c r="AB20" s="187"/>
      <c r="AC20" s="249" t="str">
        <f>IF(COUNTBLANK(Y20:AB20)=4,"",SUM(Y20:AA20)+IF(Setup!$I$15="No",0,AB20))</f>
        <v/>
      </c>
      <c r="AD20" s="198"/>
      <c r="AE20" s="199"/>
      <c r="AF20" s="200"/>
      <c r="AG20" s="201"/>
      <c r="AH20" s="253" t="str">
        <f>IF(COUNTBLANK(AD20:AG20)=4,"",SUM(AD20:AF20)+IF(Setup!$I$15="No",0,AG20))</f>
        <v/>
      </c>
      <c r="AI20" s="184"/>
      <c r="AJ20" s="185"/>
      <c r="AK20" s="186"/>
      <c r="AL20" s="187"/>
      <c r="AM20" s="249" t="str">
        <f>IF(COUNTBLANK(AI20:AL20)=4,"",SUM(AI20:AK20)+IF(Setup!$I$15="No",0,AL20))</f>
        <v/>
      </c>
      <c r="AN20" s="198"/>
      <c r="AO20" s="199"/>
      <c r="AP20" s="200"/>
      <c r="AQ20" s="201"/>
      <c r="AR20" s="253" t="str">
        <f>IF(COUNTBLANK(AN20:AQ20)=4,"",SUM(AN20:AP20)+IF(Setup!$I$15="No",0,AQ20))</f>
        <v/>
      </c>
      <c r="AS20" s="184"/>
      <c r="AT20" s="185"/>
      <c r="AU20" s="186"/>
      <c r="AV20" s="187"/>
      <c r="AW20" s="249" t="str">
        <f>IF(COUNTBLANK(AS20:AV20)=4,"",SUM(AS20:AU20)+IF(Setup!$I$15="No",0,AV20))</f>
        <v/>
      </c>
      <c r="AX20" s="198"/>
      <c r="AY20" s="199"/>
      <c r="AZ20" s="200"/>
      <c r="BA20" s="201"/>
      <c r="BB20" s="253" t="str">
        <f>IF(COUNTBLANK(AX20:BA20)=4,"",SUM(AX20:AZ20)+IF(Setup!$I$15="No",0,BA20))</f>
        <v/>
      </c>
      <c r="BC20" s="257">
        <f ca="1">IF('Demand background (hide)'!A11=Num_Modalities,"",SUM(Demand!I20))</f>
        <v>71</v>
      </c>
      <c r="BD20" s="257">
        <f ca="1">IF(AND(A20&lt;=MaxRows,BE20&lt;&gt;"Yes"),'Demand background (hide)'!X11+IF(Setup!$I$15="Yes",'Demand background (hide)'!AJ11,0),"")</f>
        <v>142</v>
      </c>
      <c r="BE20" s="207"/>
    </row>
    <row r="21" spans="1:57" x14ac:dyDescent="0.25">
      <c r="A21">
        <f t="shared" ca="1" si="0"/>
        <v>9</v>
      </c>
      <c r="B21" s="260" t="str">
        <f t="shared" ca="1" si="1"/>
        <v xml:space="preserve"> </v>
      </c>
      <c r="C21" s="262">
        <f t="shared" ca="1" si="2"/>
        <v>18</v>
      </c>
      <c r="D21" s="348">
        <f t="shared" ca="1" si="3"/>
        <v>43948</v>
      </c>
      <c r="E21" s="184"/>
      <c r="F21" s="185"/>
      <c r="G21" s="186">
        <v>71</v>
      </c>
      <c r="H21" s="187"/>
      <c r="I21" s="249">
        <f>IF(COUNTBLANK(E21:H21)=4,"",SUM(E21:G21)+IF(Setup!$I$15="No",0,H21))</f>
        <v>71</v>
      </c>
      <c r="J21" s="198"/>
      <c r="K21" s="199"/>
      <c r="L21" s="200"/>
      <c r="M21" s="201"/>
      <c r="N21" s="253" t="str">
        <f>IF(COUNTBLANK(J21:M21)=4,"",SUM(J21:L21)+IF(Setup!$I$15="No",0,M21))</f>
        <v/>
      </c>
      <c r="O21" s="184"/>
      <c r="P21" s="185"/>
      <c r="Q21" s="186"/>
      <c r="R21" s="187"/>
      <c r="S21" s="249" t="str">
        <f>IF(COUNTBLANK(O21:R21)=4,"",SUM(O21:Q21)+IF(Setup!$I$15="No",0,R21))</f>
        <v/>
      </c>
      <c r="T21" s="198"/>
      <c r="U21" s="199"/>
      <c r="V21" s="200"/>
      <c r="W21" s="201"/>
      <c r="X21" s="253" t="str">
        <f>IF(COUNTBLANK(T21:W21)=4,"",SUM(T21:V21)+IF(Setup!$I$15="No",0,W21))</f>
        <v/>
      </c>
      <c r="Y21" s="184"/>
      <c r="Z21" s="185"/>
      <c r="AA21" s="186"/>
      <c r="AB21" s="187"/>
      <c r="AC21" s="249" t="str">
        <f>IF(COUNTBLANK(Y21:AB21)=4,"",SUM(Y21:AA21)+IF(Setup!$I$15="No",0,AB21))</f>
        <v/>
      </c>
      <c r="AD21" s="198"/>
      <c r="AE21" s="199"/>
      <c r="AF21" s="200"/>
      <c r="AG21" s="201"/>
      <c r="AH21" s="253" t="str">
        <f>IF(COUNTBLANK(AD21:AG21)=4,"",SUM(AD21:AF21)+IF(Setup!$I$15="No",0,AG21))</f>
        <v/>
      </c>
      <c r="AI21" s="184"/>
      <c r="AJ21" s="185"/>
      <c r="AK21" s="186"/>
      <c r="AL21" s="187"/>
      <c r="AM21" s="249" t="str">
        <f>IF(COUNTBLANK(AI21:AL21)=4,"",SUM(AI21:AK21)+IF(Setup!$I$15="No",0,AL21))</f>
        <v/>
      </c>
      <c r="AN21" s="198"/>
      <c r="AO21" s="199"/>
      <c r="AP21" s="200"/>
      <c r="AQ21" s="201"/>
      <c r="AR21" s="253" t="str">
        <f>IF(COUNTBLANK(AN21:AQ21)=4,"",SUM(AN21:AP21)+IF(Setup!$I$15="No",0,AQ21))</f>
        <v/>
      </c>
      <c r="AS21" s="184"/>
      <c r="AT21" s="185"/>
      <c r="AU21" s="186"/>
      <c r="AV21" s="187"/>
      <c r="AW21" s="249" t="str">
        <f>IF(COUNTBLANK(AS21:AV21)=4,"",SUM(AS21:AU21)+IF(Setup!$I$15="No",0,AV21))</f>
        <v/>
      </c>
      <c r="AX21" s="198"/>
      <c r="AY21" s="199"/>
      <c r="AZ21" s="200"/>
      <c r="BA21" s="201"/>
      <c r="BB21" s="253" t="str">
        <f>IF(COUNTBLANK(AX21:BA21)=4,"",SUM(AX21:AZ21)+IF(Setup!$I$15="No",0,BA21))</f>
        <v/>
      </c>
      <c r="BC21" s="257">
        <f ca="1">IF('Demand background (hide)'!A12=Num_Modalities,"",SUM(Demand!I21))</f>
        <v>71</v>
      </c>
      <c r="BD21" s="257">
        <f ca="1">IF(AND(A21&lt;=MaxRows,BE21&lt;&gt;"Yes"),'Demand background (hide)'!X12+IF(Setup!$I$15="Yes",'Demand background (hide)'!AJ12,0),"")</f>
        <v>142</v>
      </c>
      <c r="BE21" s="207"/>
    </row>
    <row r="22" spans="1:57" x14ac:dyDescent="0.25">
      <c r="A22">
        <f t="shared" ca="1" si="0"/>
        <v>10</v>
      </c>
      <c r="B22" s="260" t="str">
        <f t="shared" ca="1" si="1"/>
        <v xml:space="preserve"> </v>
      </c>
      <c r="C22" s="262">
        <f t="shared" ca="1" si="2"/>
        <v>19</v>
      </c>
      <c r="D22" s="348">
        <f t="shared" ca="1" si="3"/>
        <v>43955</v>
      </c>
      <c r="E22" s="184"/>
      <c r="F22" s="185"/>
      <c r="G22" s="186">
        <v>70</v>
      </c>
      <c r="H22" s="187"/>
      <c r="I22" s="249">
        <f>IF(COUNTBLANK(E22:H22)=4,"",SUM(E22:G22)+IF(Setup!$I$15="No",0,H22))</f>
        <v>70</v>
      </c>
      <c r="J22" s="198"/>
      <c r="K22" s="199"/>
      <c r="L22" s="200"/>
      <c r="M22" s="201"/>
      <c r="N22" s="253" t="str">
        <f>IF(COUNTBLANK(J22:M22)=4,"",SUM(J22:L22)+IF(Setup!$I$15="No",0,M22))</f>
        <v/>
      </c>
      <c r="O22" s="184"/>
      <c r="P22" s="185"/>
      <c r="Q22" s="186"/>
      <c r="R22" s="187"/>
      <c r="S22" s="249" t="str">
        <f>IF(COUNTBLANK(O22:R22)=4,"",SUM(O22:Q22)+IF(Setup!$I$15="No",0,R22))</f>
        <v/>
      </c>
      <c r="T22" s="198"/>
      <c r="U22" s="199"/>
      <c r="V22" s="200"/>
      <c r="W22" s="201"/>
      <c r="X22" s="253" t="str">
        <f>IF(COUNTBLANK(T22:W22)=4,"",SUM(T22:V22)+IF(Setup!$I$15="No",0,W22))</f>
        <v/>
      </c>
      <c r="Y22" s="184"/>
      <c r="Z22" s="185"/>
      <c r="AA22" s="186"/>
      <c r="AB22" s="187"/>
      <c r="AC22" s="249" t="str">
        <f>IF(COUNTBLANK(Y22:AB22)=4,"",SUM(Y22:AA22)+IF(Setup!$I$15="No",0,AB22))</f>
        <v/>
      </c>
      <c r="AD22" s="198"/>
      <c r="AE22" s="199"/>
      <c r="AF22" s="200"/>
      <c r="AG22" s="201"/>
      <c r="AH22" s="253" t="str">
        <f>IF(COUNTBLANK(AD22:AG22)=4,"",SUM(AD22:AF22)+IF(Setup!$I$15="No",0,AG22))</f>
        <v/>
      </c>
      <c r="AI22" s="184"/>
      <c r="AJ22" s="185"/>
      <c r="AK22" s="186"/>
      <c r="AL22" s="187"/>
      <c r="AM22" s="249" t="str">
        <f>IF(COUNTBLANK(AI22:AL22)=4,"",SUM(AI22:AK22)+IF(Setup!$I$15="No",0,AL22))</f>
        <v/>
      </c>
      <c r="AN22" s="198"/>
      <c r="AO22" s="199"/>
      <c r="AP22" s="200"/>
      <c r="AQ22" s="201"/>
      <c r="AR22" s="253" t="str">
        <f>IF(COUNTBLANK(AN22:AQ22)=4,"",SUM(AN22:AP22)+IF(Setup!$I$15="No",0,AQ22))</f>
        <v/>
      </c>
      <c r="AS22" s="184"/>
      <c r="AT22" s="185"/>
      <c r="AU22" s="186"/>
      <c r="AV22" s="187"/>
      <c r="AW22" s="249" t="str">
        <f>IF(COUNTBLANK(AS22:AV22)=4,"",SUM(AS22:AU22)+IF(Setup!$I$15="No",0,AV22))</f>
        <v/>
      </c>
      <c r="AX22" s="198"/>
      <c r="AY22" s="199"/>
      <c r="AZ22" s="200"/>
      <c r="BA22" s="201"/>
      <c r="BB22" s="253" t="str">
        <f>IF(COUNTBLANK(AX22:BA22)=4,"",SUM(AX22:AZ22)+IF(Setup!$I$15="No",0,BA22))</f>
        <v/>
      </c>
      <c r="BC22" s="257">
        <f ca="1">IF('Demand background (hide)'!A13=Num_Modalities,"",SUM(Demand!I22))</f>
        <v>70</v>
      </c>
      <c r="BD22" s="257">
        <f ca="1">IF(AND(A22&lt;=MaxRows,BE22&lt;&gt;"Yes"),'Demand background (hide)'!X13+IF(Setup!$I$15="Yes",'Demand background (hide)'!AJ13,0),"")</f>
        <v>140</v>
      </c>
      <c r="BE22" s="207"/>
    </row>
    <row r="23" spans="1:57" x14ac:dyDescent="0.25">
      <c r="A23">
        <f t="shared" ca="1" si="0"/>
        <v>11</v>
      </c>
      <c r="B23" s="260" t="str">
        <f t="shared" ca="1" si="1"/>
        <v xml:space="preserve"> </v>
      </c>
      <c r="C23" s="262">
        <f t="shared" ca="1" si="2"/>
        <v>20</v>
      </c>
      <c r="D23" s="348">
        <f t="shared" ca="1" si="3"/>
        <v>43962</v>
      </c>
      <c r="E23" s="184"/>
      <c r="F23" s="185"/>
      <c r="G23" s="186">
        <v>76</v>
      </c>
      <c r="H23" s="187"/>
      <c r="I23" s="249">
        <f>IF(COUNTBLANK(E23:H23)=4,"",SUM(E23:G23)+IF(Setup!$I$15="No",0,H23))</f>
        <v>76</v>
      </c>
      <c r="J23" s="198"/>
      <c r="K23" s="199"/>
      <c r="L23" s="200"/>
      <c r="M23" s="201"/>
      <c r="N23" s="253" t="str">
        <f>IF(COUNTBLANK(J23:M23)=4,"",SUM(J23:L23)+IF(Setup!$I$15="No",0,M23))</f>
        <v/>
      </c>
      <c r="O23" s="184"/>
      <c r="P23" s="185"/>
      <c r="Q23" s="186"/>
      <c r="R23" s="187"/>
      <c r="S23" s="249" t="str">
        <f>IF(COUNTBLANK(O23:R23)=4,"",SUM(O23:Q23)+IF(Setup!$I$15="No",0,R23))</f>
        <v/>
      </c>
      <c r="T23" s="198"/>
      <c r="U23" s="199"/>
      <c r="V23" s="200"/>
      <c r="W23" s="201"/>
      <c r="X23" s="253" t="str">
        <f>IF(COUNTBLANK(T23:W23)=4,"",SUM(T23:V23)+IF(Setup!$I$15="No",0,W23))</f>
        <v/>
      </c>
      <c r="Y23" s="184"/>
      <c r="Z23" s="185"/>
      <c r="AA23" s="186"/>
      <c r="AB23" s="187"/>
      <c r="AC23" s="249" t="str">
        <f>IF(COUNTBLANK(Y23:AB23)=4,"",SUM(Y23:AA23)+IF(Setup!$I$15="No",0,AB23))</f>
        <v/>
      </c>
      <c r="AD23" s="198"/>
      <c r="AE23" s="199"/>
      <c r="AF23" s="200"/>
      <c r="AG23" s="201"/>
      <c r="AH23" s="253" t="str">
        <f>IF(COUNTBLANK(AD23:AG23)=4,"",SUM(AD23:AF23)+IF(Setup!$I$15="No",0,AG23))</f>
        <v/>
      </c>
      <c r="AI23" s="184"/>
      <c r="AJ23" s="185"/>
      <c r="AK23" s="186"/>
      <c r="AL23" s="187"/>
      <c r="AM23" s="249" t="str">
        <f>IF(COUNTBLANK(AI23:AL23)=4,"",SUM(AI23:AK23)+IF(Setup!$I$15="No",0,AL23))</f>
        <v/>
      </c>
      <c r="AN23" s="198"/>
      <c r="AO23" s="199"/>
      <c r="AP23" s="200"/>
      <c r="AQ23" s="201"/>
      <c r="AR23" s="253" t="str">
        <f>IF(COUNTBLANK(AN23:AQ23)=4,"",SUM(AN23:AP23)+IF(Setup!$I$15="No",0,AQ23))</f>
        <v/>
      </c>
      <c r="AS23" s="184"/>
      <c r="AT23" s="185"/>
      <c r="AU23" s="186"/>
      <c r="AV23" s="187"/>
      <c r="AW23" s="249" t="str">
        <f>IF(COUNTBLANK(AS23:AV23)=4,"",SUM(AS23:AU23)+IF(Setup!$I$15="No",0,AV23))</f>
        <v/>
      </c>
      <c r="AX23" s="198"/>
      <c r="AY23" s="199"/>
      <c r="AZ23" s="200"/>
      <c r="BA23" s="201"/>
      <c r="BB23" s="253" t="str">
        <f>IF(COUNTBLANK(AX23:BA23)=4,"",SUM(AX23:AZ23)+IF(Setup!$I$15="No",0,BA23))</f>
        <v/>
      </c>
      <c r="BC23" s="257">
        <f ca="1">IF('Demand background (hide)'!A14=Num_Modalities,"",SUM(Demand!I23))</f>
        <v>76</v>
      </c>
      <c r="BD23" s="257">
        <f ca="1">IF(AND(A23&lt;=MaxRows,BE23&lt;&gt;"Yes"),'Demand background (hide)'!X14+IF(Setup!$I$15="Yes",'Demand background (hide)'!AJ14,0),"")</f>
        <v>152</v>
      </c>
      <c r="BE23" s="207"/>
    </row>
    <row r="24" spans="1:57" x14ac:dyDescent="0.25">
      <c r="A24">
        <f t="shared" ca="1" si="0"/>
        <v>12</v>
      </c>
      <c r="B24" s="260" t="str">
        <f t="shared" ca="1" si="1"/>
        <v xml:space="preserve"> </v>
      </c>
      <c r="C24" s="262">
        <f t="shared" ca="1" si="2"/>
        <v>21</v>
      </c>
      <c r="D24" s="348">
        <f t="shared" ca="1" si="3"/>
        <v>43969</v>
      </c>
      <c r="E24" s="184"/>
      <c r="F24" s="185"/>
      <c r="G24" s="186">
        <v>69</v>
      </c>
      <c r="H24" s="187"/>
      <c r="I24" s="249">
        <f>IF(COUNTBLANK(E24:H24)=4,"",SUM(E24:G24)+IF(Setup!$I$15="No",0,H24))</f>
        <v>69</v>
      </c>
      <c r="J24" s="198"/>
      <c r="K24" s="199"/>
      <c r="L24" s="200"/>
      <c r="M24" s="201"/>
      <c r="N24" s="253" t="str">
        <f>IF(COUNTBLANK(J24:M24)=4,"",SUM(J24:L24)+IF(Setup!$I$15="No",0,M24))</f>
        <v/>
      </c>
      <c r="O24" s="184"/>
      <c r="P24" s="185"/>
      <c r="Q24" s="186"/>
      <c r="R24" s="187"/>
      <c r="S24" s="249" t="str">
        <f>IF(COUNTBLANK(O24:R24)=4,"",SUM(O24:Q24)+IF(Setup!$I$15="No",0,R24))</f>
        <v/>
      </c>
      <c r="T24" s="198"/>
      <c r="U24" s="199"/>
      <c r="V24" s="200"/>
      <c r="W24" s="201"/>
      <c r="X24" s="253" t="str">
        <f>IF(COUNTBLANK(T24:W24)=4,"",SUM(T24:V24)+IF(Setup!$I$15="No",0,W24))</f>
        <v/>
      </c>
      <c r="Y24" s="184"/>
      <c r="Z24" s="185"/>
      <c r="AA24" s="186"/>
      <c r="AB24" s="187"/>
      <c r="AC24" s="249" t="str">
        <f>IF(COUNTBLANK(Y24:AB24)=4,"",SUM(Y24:AA24)+IF(Setup!$I$15="No",0,AB24))</f>
        <v/>
      </c>
      <c r="AD24" s="198"/>
      <c r="AE24" s="199"/>
      <c r="AF24" s="200"/>
      <c r="AG24" s="201"/>
      <c r="AH24" s="253" t="str">
        <f>IF(COUNTBLANK(AD24:AG24)=4,"",SUM(AD24:AF24)+IF(Setup!$I$15="No",0,AG24))</f>
        <v/>
      </c>
      <c r="AI24" s="184"/>
      <c r="AJ24" s="185"/>
      <c r="AK24" s="186"/>
      <c r="AL24" s="187"/>
      <c r="AM24" s="249" t="str">
        <f>IF(COUNTBLANK(AI24:AL24)=4,"",SUM(AI24:AK24)+IF(Setup!$I$15="No",0,AL24))</f>
        <v/>
      </c>
      <c r="AN24" s="198"/>
      <c r="AO24" s="199"/>
      <c r="AP24" s="200"/>
      <c r="AQ24" s="201"/>
      <c r="AR24" s="253" t="str">
        <f>IF(COUNTBLANK(AN24:AQ24)=4,"",SUM(AN24:AP24)+IF(Setup!$I$15="No",0,AQ24))</f>
        <v/>
      </c>
      <c r="AS24" s="184"/>
      <c r="AT24" s="185"/>
      <c r="AU24" s="186"/>
      <c r="AV24" s="187"/>
      <c r="AW24" s="249" t="str">
        <f>IF(COUNTBLANK(AS24:AV24)=4,"",SUM(AS24:AU24)+IF(Setup!$I$15="No",0,AV24))</f>
        <v/>
      </c>
      <c r="AX24" s="198"/>
      <c r="AY24" s="199"/>
      <c r="AZ24" s="200"/>
      <c r="BA24" s="201"/>
      <c r="BB24" s="253" t="str">
        <f>IF(COUNTBLANK(AX24:BA24)=4,"",SUM(AX24:AZ24)+IF(Setup!$I$15="No",0,BA24))</f>
        <v/>
      </c>
      <c r="BC24" s="257">
        <f ca="1">IF('Demand background (hide)'!A15=Num_Modalities,"",SUM(Demand!I24))</f>
        <v>69</v>
      </c>
      <c r="BD24" s="257">
        <f ca="1">IF(AND(A24&lt;=MaxRows,BE24&lt;&gt;"Yes"),'Demand background (hide)'!X15+IF(Setup!$I$15="Yes",'Demand background (hide)'!AJ15,0),"")</f>
        <v>138</v>
      </c>
      <c r="BE24" s="207"/>
    </row>
    <row r="25" spans="1:57" x14ac:dyDescent="0.25">
      <c r="A25">
        <f t="shared" ca="1" si="0"/>
        <v>13</v>
      </c>
      <c r="B25" s="260" t="str">
        <f t="shared" ca="1" si="1"/>
        <v xml:space="preserve"> </v>
      </c>
      <c r="C25" s="262">
        <f t="shared" ca="1" si="2"/>
        <v>22</v>
      </c>
      <c r="D25" s="348">
        <f t="shared" ca="1" si="3"/>
        <v>43976</v>
      </c>
      <c r="E25" s="184"/>
      <c r="F25" s="185"/>
      <c r="G25" s="186">
        <v>60</v>
      </c>
      <c r="H25" s="187"/>
      <c r="I25" s="249">
        <f>IF(COUNTBLANK(E25:H25)=4,"",SUM(E25:G25)+IF(Setup!$I$15="No",0,H25))</f>
        <v>60</v>
      </c>
      <c r="J25" s="198"/>
      <c r="K25" s="199"/>
      <c r="L25" s="200"/>
      <c r="M25" s="201"/>
      <c r="N25" s="253" t="str">
        <f>IF(COUNTBLANK(J25:M25)=4,"",SUM(J25:L25)+IF(Setup!$I$15="No",0,M25))</f>
        <v/>
      </c>
      <c r="O25" s="184"/>
      <c r="P25" s="185"/>
      <c r="Q25" s="186"/>
      <c r="R25" s="187"/>
      <c r="S25" s="249" t="str">
        <f>IF(COUNTBLANK(O25:R25)=4,"",SUM(O25:Q25)+IF(Setup!$I$15="No",0,R25))</f>
        <v/>
      </c>
      <c r="T25" s="198"/>
      <c r="U25" s="199"/>
      <c r="V25" s="200"/>
      <c r="W25" s="201"/>
      <c r="X25" s="253" t="str">
        <f>IF(COUNTBLANK(T25:W25)=4,"",SUM(T25:V25)+IF(Setup!$I$15="No",0,W25))</f>
        <v/>
      </c>
      <c r="Y25" s="184"/>
      <c r="Z25" s="185"/>
      <c r="AA25" s="186"/>
      <c r="AB25" s="187"/>
      <c r="AC25" s="249" t="str">
        <f>IF(COUNTBLANK(Y25:AB25)=4,"",SUM(Y25:AA25)+IF(Setup!$I$15="No",0,AB25))</f>
        <v/>
      </c>
      <c r="AD25" s="198"/>
      <c r="AE25" s="199"/>
      <c r="AF25" s="200"/>
      <c r="AG25" s="201"/>
      <c r="AH25" s="253" t="str">
        <f>IF(COUNTBLANK(AD25:AG25)=4,"",SUM(AD25:AF25)+IF(Setup!$I$15="No",0,AG25))</f>
        <v/>
      </c>
      <c r="AI25" s="184"/>
      <c r="AJ25" s="185"/>
      <c r="AK25" s="186"/>
      <c r="AL25" s="187"/>
      <c r="AM25" s="249" t="str">
        <f>IF(COUNTBLANK(AI25:AL25)=4,"",SUM(AI25:AK25)+IF(Setup!$I$15="No",0,AL25))</f>
        <v/>
      </c>
      <c r="AN25" s="198"/>
      <c r="AO25" s="199"/>
      <c r="AP25" s="200"/>
      <c r="AQ25" s="201"/>
      <c r="AR25" s="253" t="str">
        <f>IF(COUNTBLANK(AN25:AQ25)=4,"",SUM(AN25:AP25)+IF(Setup!$I$15="No",0,AQ25))</f>
        <v/>
      </c>
      <c r="AS25" s="184"/>
      <c r="AT25" s="185"/>
      <c r="AU25" s="186"/>
      <c r="AV25" s="187"/>
      <c r="AW25" s="249" t="str">
        <f>IF(COUNTBLANK(AS25:AV25)=4,"",SUM(AS25:AU25)+IF(Setup!$I$15="No",0,AV25))</f>
        <v/>
      </c>
      <c r="AX25" s="198"/>
      <c r="AY25" s="199"/>
      <c r="AZ25" s="200"/>
      <c r="BA25" s="201"/>
      <c r="BB25" s="253" t="str">
        <f>IF(COUNTBLANK(AX25:BA25)=4,"",SUM(AX25:AZ25)+IF(Setup!$I$15="No",0,BA25))</f>
        <v/>
      </c>
      <c r="BC25" s="257">
        <f ca="1">IF('Demand background (hide)'!A16=Num_Modalities,"",SUM(Demand!I25))</f>
        <v>60</v>
      </c>
      <c r="BD25" s="257">
        <f ca="1">IF(AND(A25&lt;=MaxRows,BE25&lt;&gt;"Yes"),'Demand background (hide)'!X16+IF(Setup!$I$15="Yes",'Demand background (hide)'!AJ16,0),"")</f>
        <v>120</v>
      </c>
      <c r="BE25" s="207"/>
    </row>
    <row r="26" spans="1:57" x14ac:dyDescent="0.25">
      <c r="A26">
        <f t="shared" ca="1" si="0"/>
        <v>14</v>
      </c>
      <c r="B26" s="260" t="str">
        <f t="shared" ca="1" si="1"/>
        <v xml:space="preserve"> </v>
      </c>
      <c r="C26" s="262">
        <f t="shared" ca="1" si="2"/>
        <v>23</v>
      </c>
      <c r="D26" s="348">
        <f t="shared" ca="1" si="3"/>
        <v>43983</v>
      </c>
      <c r="E26" s="184"/>
      <c r="F26" s="185"/>
      <c r="G26" s="186">
        <v>68</v>
      </c>
      <c r="H26" s="187"/>
      <c r="I26" s="249">
        <f>IF(COUNTBLANK(E26:H26)=4,"",SUM(E26:G26)+IF(Setup!$I$15="No",0,H26))</f>
        <v>68</v>
      </c>
      <c r="J26" s="198"/>
      <c r="K26" s="199"/>
      <c r="L26" s="200"/>
      <c r="M26" s="201"/>
      <c r="N26" s="253" t="str">
        <f>IF(COUNTBLANK(J26:M26)=4,"",SUM(J26:L26)+IF(Setup!$I$15="No",0,M26))</f>
        <v/>
      </c>
      <c r="O26" s="184"/>
      <c r="P26" s="185"/>
      <c r="Q26" s="186"/>
      <c r="R26" s="187"/>
      <c r="S26" s="249" t="str">
        <f>IF(COUNTBLANK(O26:R26)=4,"",SUM(O26:Q26)+IF(Setup!$I$15="No",0,R26))</f>
        <v/>
      </c>
      <c r="T26" s="198"/>
      <c r="U26" s="199"/>
      <c r="V26" s="200"/>
      <c r="W26" s="201"/>
      <c r="X26" s="253" t="str">
        <f>IF(COUNTBLANK(T26:W26)=4,"",SUM(T26:V26)+IF(Setup!$I$15="No",0,W26))</f>
        <v/>
      </c>
      <c r="Y26" s="184"/>
      <c r="Z26" s="185"/>
      <c r="AA26" s="186"/>
      <c r="AB26" s="187"/>
      <c r="AC26" s="249" t="str">
        <f>IF(COUNTBLANK(Y26:AB26)=4,"",SUM(Y26:AA26)+IF(Setup!$I$15="No",0,AB26))</f>
        <v/>
      </c>
      <c r="AD26" s="198"/>
      <c r="AE26" s="199"/>
      <c r="AF26" s="200"/>
      <c r="AG26" s="201"/>
      <c r="AH26" s="253" t="str">
        <f>IF(COUNTBLANK(AD26:AG26)=4,"",SUM(AD26:AF26)+IF(Setup!$I$15="No",0,AG26))</f>
        <v/>
      </c>
      <c r="AI26" s="184"/>
      <c r="AJ26" s="185"/>
      <c r="AK26" s="186"/>
      <c r="AL26" s="187"/>
      <c r="AM26" s="249" t="str">
        <f>IF(COUNTBLANK(AI26:AL26)=4,"",SUM(AI26:AK26)+IF(Setup!$I$15="No",0,AL26))</f>
        <v/>
      </c>
      <c r="AN26" s="198"/>
      <c r="AO26" s="199"/>
      <c r="AP26" s="200"/>
      <c r="AQ26" s="201"/>
      <c r="AR26" s="253" t="str">
        <f>IF(COUNTBLANK(AN26:AQ26)=4,"",SUM(AN26:AP26)+IF(Setup!$I$15="No",0,AQ26))</f>
        <v/>
      </c>
      <c r="AS26" s="184"/>
      <c r="AT26" s="185"/>
      <c r="AU26" s="186"/>
      <c r="AV26" s="187"/>
      <c r="AW26" s="249" t="str">
        <f>IF(COUNTBLANK(AS26:AV26)=4,"",SUM(AS26:AU26)+IF(Setup!$I$15="No",0,AV26))</f>
        <v/>
      </c>
      <c r="AX26" s="198"/>
      <c r="AY26" s="199"/>
      <c r="AZ26" s="200"/>
      <c r="BA26" s="201"/>
      <c r="BB26" s="253" t="str">
        <f>IF(COUNTBLANK(AX26:BA26)=4,"",SUM(AX26:AZ26)+IF(Setup!$I$15="No",0,BA26))</f>
        <v/>
      </c>
      <c r="BC26" s="257">
        <f ca="1">IF('Demand background (hide)'!A17=Num_Modalities,"",SUM(Demand!I26))</f>
        <v>68</v>
      </c>
      <c r="BD26" s="257">
        <f ca="1">IF(AND(A26&lt;=MaxRows,BE26&lt;&gt;"Yes"),'Demand background (hide)'!X17+IF(Setup!$I$15="Yes",'Demand background (hide)'!AJ17,0),"")</f>
        <v>136</v>
      </c>
      <c r="BE26" s="207"/>
    </row>
    <row r="27" spans="1:57" x14ac:dyDescent="0.25">
      <c r="A27">
        <f t="shared" ca="1" si="0"/>
        <v>15</v>
      </c>
      <c r="B27" s="260" t="str">
        <f t="shared" ca="1" si="1"/>
        <v xml:space="preserve"> </v>
      </c>
      <c r="C27" s="262">
        <f t="shared" ca="1" si="2"/>
        <v>24</v>
      </c>
      <c r="D27" s="348">
        <f t="shared" ca="1" si="3"/>
        <v>43990</v>
      </c>
      <c r="E27" s="184"/>
      <c r="F27" s="185"/>
      <c r="G27" s="186">
        <v>69</v>
      </c>
      <c r="H27" s="187"/>
      <c r="I27" s="249">
        <f>IF(COUNTBLANK(E27:H27)=4,"",SUM(E27:G27)+IF(Setup!$I$15="No",0,H27))</f>
        <v>69</v>
      </c>
      <c r="J27" s="198"/>
      <c r="K27" s="199"/>
      <c r="L27" s="200"/>
      <c r="M27" s="201"/>
      <c r="N27" s="253" t="str">
        <f>IF(COUNTBLANK(J27:M27)=4,"",SUM(J27:L27)+IF(Setup!$I$15="No",0,M27))</f>
        <v/>
      </c>
      <c r="O27" s="184"/>
      <c r="P27" s="185"/>
      <c r="Q27" s="186"/>
      <c r="R27" s="187"/>
      <c r="S27" s="249" t="str">
        <f>IF(COUNTBLANK(O27:R27)=4,"",SUM(O27:Q27)+IF(Setup!$I$15="No",0,R27))</f>
        <v/>
      </c>
      <c r="T27" s="198"/>
      <c r="U27" s="199"/>
      <c r="V27" s="200"/>
      <c r="W27" s="201"/>
      <c r="X27" s="253" t="str">
        <f>IF(COUNTBLANK(T27:W27)=4,"",SUM(T27:V27)+IF(Setup!$I$15="No",0,W27))</f>
        <v/>
      </c>
      <c r="Y27" s="184"/>
      <c r="Z27" s="185"/>
      <c r="AA27" s="186"/>
      <c r="AB27" s="187"/>
      <c r="AC27" s="249" t="str">
        <f>IF(COUNTBLANK(Y27:AB27)=4,"",SUM(Y27:AA27)+IF(Setup!$I$15="No",0,AB27))</f>
        <v/>
      </c>
      <c r="AD27" s="198"/>
      <c r="AE27" s="199"/>
      <c r="AF27" s="200"/>
      <c r="AG27" s="201"/>
      <c r="AH27" s="253" t="str">
        <f>IF(COUNTBLANK(AD27:AG27)=4,"",SUM(AD27:AF27)+IF(Setup!$I$15="No",0,AG27))</f>
        <v/>
      </c>
      <c r="AI27" s="184"/>
      <c r="AJ27" s="185"/>
      <c r="AK27" s="186"/>
      <c r="AL27" s="187"/>
      <c r="AM27" s="249" t="str">
        <f>IF(COUNTBLANK(AI27:AL27)=4,"",SUM(AI27:AK27)+IF(Setup!$I$15="No",0,AL27))</f>
        <v/>
      </c>
      <c r="AN27" s="198"/>
      <c r="AO27" s="199"/>
      <c r="AP27" s="200"/>
      <c r="AQ27" s="201"/>
      <c r="AR27" s="253" t="str">
        <f>IF(COUNTBLANK(AN27:AQ27)=4,"",SUM(AN27:AP27)+IF(Setup!$I$15="No",0,AQ27))</f>
        <v/>
      </c>
      <c r="AS27" s="184"/>
      <c r="AT27" s="185"/>
      <c r="AU27" s="186"/>
      <c r="AV27" s="187"/>
      <c r="AW27" s="249" t="str">
        <f>IF(COUNTBLANK(AS27:AV27)=4,"",SUM(AS27:AU27)+IF(Setup!$I$15="No",0,AV27))</f>
        <v/>
      </c>
      <c r="AX27" s="198"/>
      <c r="AY27" s="199"/>
      <c r="AZ27" s="200"/>
      <c r="BA27" s="201"/>
      <c r="BB27" s="253" t="str">
        <f>IF(COUNTBLANK(AX27:BA27)=4,"",SUM(AX27:AZ27)+IF(Setup!$I$15="No",0,BA27))</f>
        <v/>
      </c>
      <c r="BC27" s="257">
        <f ca="1">IF('Demand background (hide)'!A18=Num_Modalities,"",SUM(Demand!I27))</f>
        <v>69</v>
      </c>
      <c r="BD27" s="257">
        <f ca="1">IF(AND(A27&lt;=MaxRows,BE27&lt;&gt;"Yes"),'Demand background (hide)'!X18+IF(Setup!$I$15="Yes",'Demand background (hide)'!AJ18,0),"")</f>
        <v>138</v>
      </c>
      <c r="BE27" s="207"/>
    </row>
    <row r="28" spans="1:57" x14ac:dyDescent="0.25">
      <c r="A28">
        <f t="shared" ca="1" si="0"/>
        <v>16</v>
      </c>
      <c r="B28" s="260" t="str">
        <f t="shared" ca="1" si="1"/>
        <v xml:space="preserve"> </v>
      </c>
      <c r="C28" s="262">
        <f t="shared" ca="1" si="2"/>
        <v>25</v>
      </c>
      <c r="D28" s="348">
        <f t="shared" ca="1" si="3"/>
        <v>43997</v>
      </c>
      <c r="E28" s="184"/>
      <c r="F28" s="185"/>
      <c r="G28" s="186">
        <v>63</v>
      </c>
      <c r="H28" s="187"/>
      <c r="I28" s="249">
        <f>IF(COUNTBLANK(E28:H28)=4,"",SUM(E28:G28)+IF(Setup!$I$15="No",0,H28))</f>
        <v>63</v>
      </c>
      <c r="J28" s="198"/>
      <c r="K28" s="199"/>
      <c r="L28" s="200"/>
      <c r="M28" s="201"/>
      <c r="N28" s="253" t="str">
        <f>IF(COUNTBLANK(J28:M28)=4,"",SUM(J28:L28)+IF(Setup!$I$15="No",0,M28))</f>
        <v/>
      </c>
      <c r="O28" s="184"/>
      <c r="P28" s="185"/>
      <c r="Q28" s="186"/>
      <c r="R28" s="187"/>
      <c r="S28" s="249" t="str">
        <f>IF(COUNTBLANK(O28:R28)=4,"",SUM(O28:Q28)+IF(Setup!$I$15="No",0,R28))</f>
        <v/>
      </c>
      <c r="T28" s="198"/>
      <c r="U28" s="199"/>
      <c r="V28" s="200"/>
      <c r="W28" s="201"/>
      <c r="X28" s="253" t="str">
        <f>IF(COUNTBLANK(T28:W28)=4,"",SUM(T28:V28)+IF(Setup!$I$15="No",0,W28))</f>
        <v/>
      </c>
      <c r="Y28" s="184"/>
      <c r="Z28" s="185"/>
      <c r="AA28" s="186"/>
      <c r="AB28" s="187"/>
      <c r="AC28" s="249" t="str">
        <f>IF(COUNTBLANK(Y28:AB28)=4,"",SUM(Y28:AA28)+IF(Setup!$I$15="No",0,AB28))</f>
        <v/>
      </c>
      <c r="AD28" s="198"/>
      <c r="AE28" s="199"/>
      <c r="AF28" s="200"/>
      <c r="AG28" s="201"/>
      <c r="AH28" s="253" t="str">
        <f>IF(COUNTBLANK(AD28:AG28)=4,"",SUM(AD28:AF28)+IF(Setup!$I$15="No",0,AG28))</f>
        <v/>
      </c>
      <c r="AI28" s="184"/>
      <c r="AJ28" s="185"/>
      <c r="AK28" s="186"/>
      <c r="AL28" s="187"/>
      <c r="AM28" s="249" t="str">
        <f>IF(COUNTBLANK(AI28:AL28)=4,"",SUM(AI28:AK28)+IF(Setup!$I$15="No",0,AL28))</f>
        <v/>
      </c>
      <c r="AN28" s="198"/>
      <c r="AO28" s="199"/>
      <c r="AP28" s="200"/>
      <c r="AQ28" s="201"/>
      <c r="AR28" s="253" t="str">
        <f>IF(COUNTBLANK(AN28:AQ28)=4,"",SUM(AN28:AP28)+IF(Setup!$I$15="No",0,AQ28))</f>
        <v/>
      </c>
      <c r="AS28" s="184"/>
      <c r="AT28" s="185"/>
      <c r="AU28" s="186"/>
      <c r="AV28" s="187"/>
      <c r="AW28" s="249" t="str">
        <f>IF(COUNTBLANK(AS28:AV28)=4,"",SUM(AS28:AU28)+IF(Setup!$I$15="No",0,AV28))</f>
        <v/>
      </c>
      <c r="AX28" s="198"/>
      <c r="AY28" s="199"/>
      <c r="AZ28" s="200"/>
      <c r="BA28" s="201"/>
      <c r="BB28" s="253" t="str">
        <f>IF(COUNTBLANK(AX28:BA28)=4,"",SUM(AX28:AZ28)+IF(Setup!$I$15="No",0,BA28))</f>
        <v/>
      </c>
      <c r="BC28" s="257">
        <f ca="1">IF('Demand background (hide)'!A19=Num_Modalities,"",SUM(Demand!I28))</f>
        <v>63</v>
      </c>
      <c r="BD28" s="257">
        <f ca="1">IF(AND(A28&lt;=MaxRows,BE28&lt;&gt;"Yes"),'Demand background (hide)'!X19+IF(Setup!$I$15="Yes",'Demand background (hide)'!AJ19,0),"")</f>
        <v>126</v>
      </c>
      <c r="BE28" s="207"/>
    </row>
    <row r="29" spans="1:57" x14ac:dyDescent="0.25">
      <c r="A29">
        <f t="shared" ca="1" si="0"/>
        <v>17</v>
      </c>
      <c r="B29" s="260" t="str">
        <f t="shared" ca="1" si="1"/>
        <v xml:space="preserve"> </v>
      </c>
      <c r="C29" s="262">
        <f t="shared" ca="1" si="2"/>
        <v>26</v>
      </c>
      <c r="D29" s="348">
        <f t="shared" ca="1" si="3"/>
        <v>44004</v>
      </c>
      <c r="E29" s="184"/>
      <c r="F29" s="185"/>
      <c r="G29" s="186">
        <v>76</v>
      </c>
      <c r="H29" s="187"/>
      <c r="I29" s="249">
        <f>IF(COUNTBLANK(E29:H29)=4,"",SUM(E29:G29)+IF(Setup!$I$15="No",0,H29))</f>
        <v>76</v>
      </c>
      <c r="J29" s="198"/>
      <c r="K29" s="199"/>
      <c r="L29" s="200"/>
      <c r="M29" s="201"/>
      <c r="N29" s="253" t="str">
        <f>IF(COUNTBLANK(J29:M29)=4,"",SUM(J29:L29)+IF(Setup!$I$15="No",0,M29))</f>
        <v/>
      </c>
      <c r="O29" s="184"/>
      <c r="P29" s="185"/>
      <c r="Q29" s="186"/>
      <c r="R29" s="187"/>
      <c r="S29" s="249" t="str">
        <f>IF(COUNTBLANK(O29:R29)=4,"",SUM(O29:Q29)+IF(Setup!$I$15="No",0,R29))</f>
        <v/>
      </c>
      <c r="T29" s="198"/>
      <c r="U29" s="199"/>
      <c r="V29" s="200"/>
      <c r="W29" s="201"/>
      <c r="X29" s="253" t="str">
        <f>IF(COUNTBLANK(T29:W29)=4,"",SUM(T29:V29)+IF(Setup!$I$15="No",0,W29))</f>
        <v/>
      </c>
      <c r="Y29" s="184"/>
      <c r="Z29" s="185"/>
      <c r="AA29" s="186"/>
      <c r="AB29" s="187"/>
      <c r="AC29" s="249" t="str">
        <f>IF(COUNTBLANK(Y29:AB29)=4,"",SUM(Y29:AA29)+IF(Setup!$I$15="No",0,AB29))</f>
        <v/>
      </c>
      <c r="AD29" s="198"/>
      <c r="AE29" s="199"/>
      <c r="AF29" s="200"/>
      <c r="AG29" s="201"/>
      <c r="AH29" s="253" t="str">
        <f>IF(COUNTBLANK(AD29:AG29)=4,"",SUM(AD29:AF29)+IF(Setup!$I$15="No",0,AG29))</f>
        <v/>
      </c>
      <c r="AI29" s="184"/>
      <c r="AJ29" s="185"/>
      <c r="AK29" s="186"/>
      <c r="AL29" s="187"/>
      <c r="AM29" s="249" t="str">
        <f>IF(COUNTBLANK(AI29:AL29)=4,"",SUM(AI29:AK29)+IF(Setup!$I$15="No",0,AL29))</f>
        <v/>
      </c>
      <c r="AN29" s="198"/>
      <c r="AO29" s="199"/>
      <c r="AP29" s="200"/>
      <c r="AQ29" s="201"/>
      <c r="AR29" s="253" t="str">
        <f>IF(COUNTBLANK(AN29:AQ29)=4,"",SUM(AN29:AP29)+IF(Setup!$I$15="No",0,AQ29))</f>
        <v/>
      </c>
      <c r="AS29" s="184"/>
      <c r="AT29" s="185"/>
      <c r="AU29" s="186"/>
      <c r="AV29" s="187"/>
      <c r="AW29" s="249" t="str">
        <f>IF(COUNTBLANK(AS29:AV29)=4,"",SUM(AS29:AU29)+IF(Setup!$I$15="No",0,AV29))</f>
        <v/>
      </c>
      <c r="AX29" s="198"/>
      <c r="AY29" s="199"/>
      <c r="AZ29" s="200"/>
      <c r="BA29" s="201"/>
      <c r="BB29" s="253" t="str">
        <f>IF(COUNTBLANK(AX29:BA29)=4,"",SUM(AX29:AZ29)+IF(Setup!$I$15="No",0,BA29))</f>
        <v/>
      </c>
      <c r="BC29" s="257">
        <f ca="1">IF('Demand background (hide)'!A20=Num_Modalities,"",SUM(Demand!I29))</f>
        <v>76</v>
      </c>
      <c r="BD29" s="257">
        <f ca="1">IF(AND(A29&lt;=MaxRows,BE29&lt;&gt;"Yes"),'Demand background (hide)'!X20+IF(Setup!$I$15="Yes",'Demand background (hide)'!AJ20,0),"")</f>
        <v>152</v>
      </c>
      <c r="BE29" s="207"/>
    </row>
    <row r="30" spans="1:57" x14ac:dyDescent="0.25">
      <c r="A30">
        <f t="shared" ca="1" si="0"/>
        <v>18</v>
      </c>
      <c r="B30" s="260" t="str">
        <f t="shared" ca="1" si="1"/>
        <v xml:space="preserve"> </v>
      </c>
      <c r="C30" s="262">
        <f t="shared" ca="1" si="2"/>
        <v>27</v>
      </c>
      <c r="D30" s="348">
        <f t="shared" ca="1" si="3"/>
        <v>44011</v>
      </c>
      <c r="E30" s="184"/>
      <c r="F30" s="185"/>
      <c r="G30" s="186">
        <v>64</v>
      </c>
      <c r="H30" s="187"/>
      <c r="I30" s="249">
        <f>IF(COUNTBLANK(E30:H30)=4,"",SUM(E30:G30)+IF(Setup!$I$15="No",0,H30))</f>
        <v>64</v>
      </c>
      <c r="J30" s="198"/>
      <c r="K30" s="199"/>
      <c r="L30" s="200"/>
      <c r="M30" s="201"/>
      <c r="N30" s="253" t="str">
        <f>IF(COUNTBLANK(J30:M30)=4,"",SUM(J30:L30)+IF(Setup!$I$15="No",0,M30))</f>
        <v/>
      </c>
      <c r="O30" s="184"/>
      <c r="P30" s="185"/>
      <c r="Q30" s="186"/>
      <c r="R30" s="187"/>
      <c r="S30" s="249" t="str">
        <f>IF(COUNTBLANK(O30:R30)=4,"",SUM(O30:Q30)+IF(Setup!$I$15="No",0,R30))</f>
        <v/>
      </c>
      <c r="T30" s="198"/>
      <c r="U30" s="199"/>
      <c r="V30" s="200"/>
      <c r="W30" s="201"/>
      <c r="X30" s="253" t="str">
        <f>IF(COUNTBLANK(T30:W30)=4,"",SUM(T30:V30)+IF(Setup!$I$15="No",0,W30))</f>
        <v/>
      </c>
      <c r="Y30" s="184"/>
      <c r="Z30" s="185"/>
      <c r="AA30" s="186"/>
      <c r="AB30" s="187"/>
      <c r="AC30" s="249" t="str">
        <f>IF(COUNTBLANK(Y30:AB30)=4,"",SUM(Y30:AA30)+IF(Setup!$I$15="No",0,AB30))</f>
        <v/>
      </c>
      <c r="AD30" s="198"/>
      <c r="AE30" s="199"/>
      <c r="AF30" s="200"/>
      <c r="AG30" s="201"/>
      <c r="AH30" s="253" t="str">
        <f>IF(COUNTBLANK(AD30:AG30)=4,"",SUM(AD30:AF30)+IF(Setup!$I$15="No",0,AG30))</f>
        <v/>
      </c>
      <c r="AI30" s="184"/>
      <c r="AJ30" s="185"/>
      <c r="AK30" s="186"/>
      <c r="AL30" s="187"/>
      <c r="AM30" s="249" t="str">
        <f>IF(COUNTBLANK(AI30:AL30)=4,"",SUM(AI30:AK30)+IF(Setup!$I$15="No",0,AL30))</f>
        <v/>
      </c>
      <c r="AN30" s="198"/>
      <c r="AO30" s="199"/>
      <c r="AP30" s="200"/>
      <c r="AQ30" s="201"/>
      <c r="AR30" s="253" t="str">
        <f>IF(COUNTBLANK(AN30:AQ30)=4,"",SUM(AN30:AP30)+IF(Setup!$I$15="No",0,AQ30))</f>
        <v/>
      </c>
      <c r="AS30" s="184"/>
      <c r="AT30" s="185"/>
      <c r="AU30" s="186"/>
      <c r="AV30" s="187"/>
      <c r="AW30" s="249" t="str">
        <f>IF(COUNTBLANK(AS30:AV30)=4,"",SUM(AS30:AU30)+IF(Setup!$I$15="No",0,AV30))</f>
        <v/>
      </c>
      <c r="AX30" s="198"/>
      <c r="AY30" s="199"/>
      <c r="AZ30" s="200"/>
      <c r="BA30" s="201"/>
      <c r="BB30" s="253" t="str">
        <f>IF(COUNTBLANK(AX30:BA30)=4,"",SUM(AX30:AZ30)+IF(Setup!$I$15="No",0,BA30))</f>
        <v/>
      </c>
      <c r="BC30" s="257">
        <f ca="1">IF('Demand background (hide)'!A21=Num_Modalities,"",SUM(Demand!I30))</f>
        <v>64</v>
      </c>
      <c r="BD30" s="257">
        <f ca="1">IF(AND(A30&lt;=MaxRows,BE30&lt;&gt;"Yes"),'Demand background (hide)'!X21+IF(Setup!$I$15="Yes",'Demand background (hide)'!AJ21,0),"")</f>
        <v>128</v>
      </c>
      <c r="BE30" s="207"/>
    </row>
    <row r="31" spans="1:57" x14ac:dyDescent="0.25">
      <c r="A31">
        <f t="shared" ca="1" si="0"/>
        <v>19</v>
      </c>
      <c r="B31" s="260" t="str">
        <f t="shared" ca="1" si="1"/>
        <v xml:space="preserve"> </v>
      </c>
      <c r="C31" s="262">
        <f t="shared" ca="1" si="2"/>
        <v>28</v>
      </c>
      <c r="D31" s="348">
        <f t="shared" ca="1" si="3"/>
        <v>44018</v>
      </c>
      <c r="E31" s="184"/>
      <c r="F31" s="185"/>
      <c r="G31" s="186">
        <v>76</v>
      </c>
      <c r="H31" s="187"/>
      <c r="I31" s="249">
        <f>IF(COUNTBLANK(E31:H31)=4,"",SUM(E31:G31)+IF(Setup!$I$15="No",0,H31))</f>
        <v>76</v>
      </c>
      <c r="J31" s="198"/>
      <c r="K31" s="199"/>
      <c r="L31" s="200"/>
      <c r="M31" s="201"/>
      <c r="N31" s="253" t="str">
        <f>IF(COUNTBLANK(J31:M31)=4,"",SUM(J31:L31)+IF(Setup!$I$15="No",0,M31))</f>
        <v/>
      </c>
      <c r="O31" s="184"/>
      <c r="P31" s="185"/>
      <c r="Q31" s="186"/>
      <c r="R31" s="187"/>
      <c r="S31" s="249" t="str">
        <f>IF(COUNTBLANK(O31:R31)=4,"",SUM(O31:Q31)+IF(Setup!$I$15="No",0,R31))</f>
        <v/>
      </c>
      <c r="T31" s="198"/>
      <c r="U31" s="199"/>
      <c r="V31" s="200"/>
      <c r="W31" s="201"/>
      <c r="X31" s="253" t="str">
        <f>IF(COUNTBLANK(T31:W31)=4,"",SUM(T31:V31)+IF(Setup!$I$15="No",0,W31))</f>
        <v/>
      </c>
      <c r="Y31" s="184"/>
      <c r="Z31" s="185"/>
      <c r="AA31" s="186"/>
      <c r="AB31" s="187"/>
      <c r="AC31" s="249" t="str">
        <f>IF(COUNTBLANK(Y31:AB31)=4,"",SUM(Y31:AA31)+IF(Setup!$I$15="No",0,AB31))</f>
        <v/>
      </c>
      <c r="AD31" s="198"/>
      <c r="AE31" s="199"/>
      <c r="AF31" s="200"/>
      <c r="AG31" s="201"/>
      <c r="AH31" s="253" t="str">
        <f>IF(COUNTBLANK(AD31:AG31)=4,"",SUM(AD31:AF31)+IF(Setup!$I$15="No",0,AG31))</f>
        <v/>
      </c>
      <c r="AI31" s="184"/>
      <c r="AJ31" s="185"/>
      <c r="AK31" s="186"/>
      <c r="AL31" s="187"/>
      <c r="AM31" s="249" t="str">
        <f>IF(COUNTBLANK(AI31:AL31)=4,"",SUM(AI31:AK31)+IF(Setup!$I$15="No",0,AL31))</f>
        <v/>
      </c>
      <c r="AN31" s="198"/>
      <c r="AO31" s="199"/>
      <c r="AP31" s="200"/>
      <c r="AQ31" s="201"/>
      <c r="AR31" s="253" t="str">
        <f>IF(COUNTBLANK(AN31:AQ31)=4,"",SUM(AN31:AP31)+IF(Setup!$I$15="No",0,AQ31))</f>
        <v/>
      </c>
      <c r="AS31" s="184"/>
      <c r="AT31" s="185"/>
      <c r="AU31" s="186"/>
      <c r="AV31" s="187"/>
      <c r="AW31" s="249" t="str">
        <f>IF(COUNTBLANK(AS31:AV31)=4,"",SUM(AS31:AU31)+IF(Setup!$I$15="No",0,AV31))</f>
        <v/>
      </c>
      <c r="AX31" s="198"/>
      <c r="AY31" s="199"/>
      <c r="AZ31" s="200"/>
      <c r="BA31" s="201"/>
      <c r="BB31" s="253" t="str">
        <f>IF(COUNTBLANK(AX31:BA31)=4,"",SUM(AX31:AZ31)+IF(Setup!$I$15="No",0,BA31))</f>
        <v/>
      </c>
      <c r="BC31" s="257">
        <f ca="1">IF('Demand background (hide)'!A22=Num_Modalities,"",SUM(Demand!I31))</f>
        <v>76</v>
      </c>
      <c r="BD31" s="257">
        <f ca="1">IF(AND(A31&lt;=MaxRows,BE31&lt;&gt;"Yes"),'Demand background (hide)'!X22+IF(Setup!$I$15="Yes",'Demand background (hide)'!AJ22,0),"")</f>
        <v>152</v>
      </c>
      <c r="BE31" s="207"/>
    </row>
    <row r="32" spans="1:57" x14ac:dyDescent="0.25">
      <c r="A32">
        <f t="shared" ca="1" si="0"/>
        <v>20</v>
      </c>
      <c r="B32" s="260" t="str">
        <f t="shared" ca="1" si="1"/>
        <v xml:space="preserve"> </v>
      </c>
      <c r="C32" s="262">
        <f t="shared" ca="1" si="2"/>
        <v>29</v>
      </c>
      <c r="D32" s="348">
        <f t="shared" ca="1" si="3"/>
        <v>44025</v>
      </c>
      <c r="E32" s="184"/>
      <c r="F32" s="185"/>
      <c r="G32" s="186">
        <v>69</v>
      </c>
      <c r="H32" s="187"/>
      <c r="I32" s="249">
        <f>IF(COUNTBLANK(E32:H32)=4,"",SUM(E32:G32)+IF(Setup!$I$15="No",0,H32))</f>
        <v>69</v>
      </c>
      <c r="J32" s="198"/>
      <c r="K32" s="199"/>
      <c r="L32" s="200"/>
      <c r="M32" s="201"/>
      <c r="N32" s="253" t="str">
        <f>IF(COUNTBLANK(J32:M32)=4,"",SUM(J32:L32)+IF(Setup!$I$15="No",0,M32))</f>
        <v/>
      </c>
      <c r="O32" s="184"/>
      <c r="P32" s="185"/>
      <c r="Q32" s="186"/>
      <c r="R32" s="187"/>
      <c r="S32" s="249" t="str">
        <f>IF(COUNTBLANK(O32:R32)=4,"",SUM(O32:Q32)+IF(Setup!$I$15="No",0,R32))</f>
        <v/>
      </c>
      <c r="T32" s="198"/>
      <c r="U32" s="199"/>
      <c r="V32" s="200"/>
      <c r="W32" s="201"/>
      <c r="X32" s="253" t="str">
        <f>IF(COUNTBLANK(T32:W32)=4,"",SUM(T32:V32)+IF(Setup!$I$15="No",0,W32))</f>
        <v/>
      </c>
      <c r="Y32" s="184"/>
      <c r="Z32" s="185"/>
      <c r="AA32" s="186"/>
      <c r="AB32" s="187"/>
      <c r="AC32" s="249" t="str">
        <f>IF(COUNTBLANK(Y32:AB32)=4,"",SUM(Y32:AA32)+IF(Setup!$I$15="No",0,AB32))</f>
        <v/>
      </c>
      <c r="AD32" s="198"/>
      <c r="AE32" s="199"/>
      <c r="AF32" s="200"/>
      <c r="AG32" s="201"/>
      <c r="AH32" s="253" t="str">
        <f>IF(COUNTBLANK(AD32:AG32)=4,"",SUM(AD32:AF32)+IF(Setup!$I$15="No",0,AG32))</f>
        <v/>
      </c>
      <c r="AI32" s="184"/>
      <c r="AJ32" s="185"/>
      <c r="AK32" s="186"/>
      <c r="AL32" s="187"/>
      <c r="AM32" s="249" t="str">
        <f>IF(COUNTBLANK(AI32:AL32)=4,"",SUM(AI32:AK32)+IF(Setup!$I$15="No",0,AL32))</f>
        <v/>
      </c>
      <c r="AN32" s="198"/>
      <c r="AO32" s="199"/>
      <c r="AP32" s="200"/>
      <c r="AQ32" s="201"/>
      <c r="AR32" s="253" t="str">
        <f>IF(COUNTBLANK(AN32:AQ32)=4,"",SUM(AN32:AP32)+IF(Setup!$I$15="No",0,AQ32))</f>
        <v/>
      </c>
      <c r="AS32" s="184"/>
      <c r="AT32" s="185"/>
      <c r="AU32" s="186"/>
      <c r="AV32" s="187"/>
      <c r="AW32" s="249" t="str">
        <f>IF(COUNTBLANK(AS32:AV32)=4,"",SUM(AS32:AU32)+IF(Setup!$I$15="No",0,AV32))</f>
        <v/>
      </c>
      <c r="AX32" s="198"/>
      <c r="AY32" s="199"/>
      <c r="AZ32" s="200"/>
      <c r="BA32" s="201"/>
      <c r="BB32" s="253" t="str">
        <f>IF(COUNTBLANK(AX32:BA32)=4,"",SUM(AX32:AZ32)+IF(Setup!$I$15="No",0,BA32))</f>
        <v/>
      </c>
      <c r="BC32" s="257">
        <f ca="1">IF('Demand background (hide)'!A23=Num_Modalities,"",SUM(Demand!I32))</f>
        <v>69</v>
      </c>
      <c r="BD32" s="257">
        <f ca="1">IF(AND(A32&lt;=MaxRows,BE32&lt;&gt;"Yes"),'Demand background (hide)'!X23+IF(Setup!$I$15="Yes",'Demand background (hide)'!AJ23,0),"")</f>
        <v>138</v>
      </c>
      <c r="BE32" s="207"/>
    </row>
    <row r="33" spans="1:57" x14ac:dyDescent="0.25">
      <c r="A33">
        <f t="shared" ca="1" si="0"/>
        <v>21</v>
      </c>
      <c r="B33" s="260" t="str">
        <f t="shared" ca="1" si="1"/>
        <v xml:space="preserve"> </v>
      </c>
      <c r="C33" s="262">
        <f t="shared" ca="1" si="2"/>
        <v>30</v>
      </c>
      <c r="D33" s="348">
        <f t="shared" ca="1" si="3"/>
        <v>44032</v>
      </c>
      <c r="E33" s="184"/>
      <c r="F33" s="185"/>
      <c r="G33" s="186">
        <v>80</v>
      </c>
      <c r="H33" s="187"/>
      <c r="I33" s="249">
        <f>IF(COUNTBLANK(E33:H33)=4,"",SUM(E33:G33)+IF(Setup!$I$15="No",0,H33))</f>
        <v>80</v>
      </c>
      <c r="J33" s="198"/>
      <c r="K33" s="199"/>
      <c r="L33" s="200"/>
      <c r="M33" s="201"/>
      <c r="N33" s="253" t="str">
        <f>IF(COUNTBLANK(J33:M33)=4,"",SUM(J33:L33)+IF(Setup!$I$15="No",0,M33))</f>
        <v/>
      </c>
      <c r="O33" s="184"/>
      <c r="P33" s="185"/>
      <c r="Q33" s="186"/>
      <c r="R33" s="187"/>
      <c r="S33" s="249" t="str">
        <f>IF(COUNTBLANK(O33:R33)=4,"",SUM(O33:Q33)+IF(Setup!$I$15="No",0,R33))</f>
        <v/>
      </c>
      <c r="T33" s="198"/>
      <c r="U33" s="199"/>
      <c r="V33" s="200"/>
      <c r="W33" s="201"/>
      <c r="X33" s="253" t="str">
        <f>IF(COUNTBLANK(T33:W33)=4,"",SUM(T33:V33)+IF(Setup!$I$15="No",0,W33))</f>
        <v/>
      </c>
      <c r="Y33" s="184"/>
      <c r="Z33" s="185"/>
      <c r="AA33" s="186"/>
      <c r="AB33" s="187"/>
      <c r="AC33" s="249" t="str">
        <f>IF(COUNTBLANK(Y33:AB33)=4,"",SUM(Y33:AA33)+IF(Setup!$I$15="No",0,AB33))</f>
        <v/>
      </c>
      <c r="AD33" s="198"/>
      <c r="AE33" s="199"/>
      <c r="AF33" s="200"/>
      <c r="AG33" s="201"/>
      <c r="AH33" s="253" t="str">
        <f>IF(COUNTBLANK(AD33:AG33)=4,"",SUM(AD33:AF33)+IF(Setup!$I$15="No",0,AG33))</f>
        <v/>
      </c>
      <c r="AI33" s="184"/>
      <c r="AJ33" s="185"/>
      <c r="AK33" s="186"/>
      <c r="AL33" s="187"/>
      <c r="AM33" s="249" t="str">
        <f>IF(COUNTBLANK(AI33:AL33)=4,"",SUM(AI33:AK33)+IF(Setup!$I$15="No",0,AL33))</f>
        <v/>
      </c>
      <c r="AN33" s="198"/>
      <c r="AO33" s="199"/>
      <c r="AP33" s="200"/>
      <c r="AQ33" s="201"/>
      <c r="AR33" s="253" t="str">
        <f>IF(COUNTBLANK(AN33:AQ33)=4,"",SUM(AN33:AP33)+IF(Setup!$I$15="No",0,AQ33))</f>
        <v/>
      </c>
      <c r="AS33" s="184"/>
      <c r="AT33" s="185"/>
      <c r="AU33" s="186"/>
      <c r="AV33" s="187"/>
      <c r="AW33" s="249" t="str">
        <f>IF(COUNTBLANK(AS33:AV33)=4,"",SUM(AS33:AU33)+IF(Setup!$I$15="No",0,AV33))</f>
        <v/>
      </c>
      <c r="AX33" s="198"/>
      <c r="AY33" s="199"/>
      <c r="AZ33" s="200"/>
      <c r="BA33" s="201"/>
      <c r="BB33" s="253" t="str">
        <f>IF(COUNTBLANK(AX33:BA33)=4,"",SUM(AX33:AZ33)+IF(Setup!$I$15="No",0,BA33))</f>
        <v/>
      </c>
      <c r="BC33" s="257">
        <f ca="1">IF('Demand background (hide)'!A24=Num_Modalities,"",SUM(Demand!I33))</f>
        <v>80</v>
      </c>
      <c r="BD33" s="257">
        <f ca="1">IF(AND(A33&lt;=MaxRows,BE33&lt;&gt;"Yes"),'Demand background (hide)'!X24+IF(Setup!$I$15="Yes",'Demand background (hide)'!AJ24,0),"")</f>
        <v>160</v>
      </c>
      <c r="BE33" s="207"/>
    </row>
    <row r="34" spans="1:57" x14ac:dyDescent="0.25">
      <c r="A34">
        <f t="shared" ca="1" si="0"/>
        <v>22</v>
      </c>
      <c r="B34" s="260" t="str">
        <f t="shared" ca="1" si="1"/>
        <v xml:space="preserve"> </v>
      </c>
      <c r="C34" s="262">
        <f t="shared" ca="1" si="2"/>
        <v>31</v>
      </c>
      <c r="D34" s="348">
        <f t="shared" ca="1" si="3"/>
        <v>44039</v>
      </c>
      <c r="E34" s="184"/>
      <c r="F34" s="185"/>
      <c r="G34" s="186">
        <v>73</v>
      </c>
      <c r="H34" s="187"/>
      <c r="I34" s="249">
        <f>IF(COUNTBLANK(E34:H34)=4,"",SUM(E34:G34)+IF(Setup!$I$15="No",0,H34))</f>
        <v>73</v>
      </c>
      <c r="J34" s="198"/>
      <c r="K34" s="199"/>
      <c r="L34" s="200"/>
      <c r="M34" s="201"/>
      <c r="N34" s="253" t="str">
        <f>IF(COUNTBLANK(J34:M34)=4,"",SUM(J34:L34)+IF(Setup!$I$15="No",0,M34))</f>
        <v/>
      </c>
      <c r="O34" s="184"/>
      <c r="P34" s="185"/>
      <c r="Q34" s="186"/>
      <c r="R34" s="187"/>
      <c r="S34" s="249" t="str">
        <f>IF(COUNTBLANK(O34:R34)=4,"",SUM(O34:Q34)+IF(Setup!$I$15="No",0,R34))</f>
        <v/>
      </c>
      <c r="T34" s="198"/>
      <c r="U34" s="199"/>
      <c r="V34" s="200"/>
      <c r="W34" s="201"/>
      <c r="X34" s="253" t="str">
        <f>IF(COUNTBLANK(T34:W34)=4,"",SUM(T34:V34)+IF(Setup!$I$15="No",0,W34))</f>
        <v/>
      </c>
      <c r="Y34" s="184"/>
      <c r="Z34" s="185"/>
      <c r="AA34" s="186"/>
      <c r="AB34" s="187"/>
      <c r="AC34" s="249" t="str">
        <f>IF(COUNTBLANK(Y34:AB34)=4,"",SUM(Y34:AA34)+IF(Setup!$I$15="No",0,AB34))</f>
        <v/>
      </c>
      <c r="AD34" s="198"/>
      <c r="AE34" s="199"/>
      <c r="AF34" s="200"/>
      <c r="AG34" s="201"/>
      <c r="AH34" s="253" t="str">
        <f>IF(COUNTBLANK(AD34:AG34)=4,"",SUM(AD34:AF34)+IF(Setup!$I$15="No",0,AG34))</f>
        <v/>
      </c>
      <c r="AI34" s="184"/>
      <c r="AJ34" s="185"/>
      <c r="AK34" s="186"/>
      <c r="AL34" s="187"/>
      <c r="AM34" s="249" t="str">
        <f>IF(COUNTBLANK(AI34:AL34)=4,"",SUM(AI34:AK34)+IF(Setup!$I$15="No",0,AL34))</f>
        <v/>
      </c>
      <c r="AN34" s="198"/>
      <c r="AO34" s="199"/>
      <c r="AP34" s="200"/>
      <c r="AQ34" s="201"/>
      <c r="AR34" s="253" t="str">
        <f>IF(COUNTBLANK(AN34:AQ34)=4,"",SUM(AN34:AP34)+IF(Setup!$I$15="No",0,AQ34))</f>
        <v/>
      </c>
      <c r="AS34" s="184"/>
      <c r="AT34" s="185"/>
      <c r="AU34" s="186"/>
      <c r="AV34" s="187"/>
      <c r="AW34" s="249" t="str">
        <f>IF(COUNTBLANK(AS34:AV34)=4,"",SUM(AS34:AU34)+IF(Setup!$I$15="No",0,AV34))</f>
        <v/>
      </c>
      <c r="AX34" s="198"/>
      <c r="AY34" s="199"/>
      <c r="AZ34" s="200"/>
      <c r="BA34" s="201"/>
      <c r="BB34" s="253" t="str">
        <f>IF(COUNTBLANK(AX34:BA34)=4,"",SUM(AX34:AZ34)+IF(Setup!$I$15="No",0,BA34))</f>
        <v/>
      </c>
      <c r="BC34" s="257">
        <f ca="1">IF('Demand background (hide)'!A25=Num_Modalities,"",SUM(Demand!I34))</f>
        <v>73</v>
      </c>
      <c r="BD34" s="257">
        <f ca="1">IF(AND(A34&lt;=MaxRows,BE34&lt;&gt;"Yes"),'Demand background (hide)'!X25+IF(Setup!$I$15="Yes",'Demand background (hide)'!AJ25,0),"")</f>
        <v>146</v>
      </c>
      <c r="BE34" s="207"/>
    </row>
    <row r="35" spans="1:57" x14ac:dyDescent="0.25">
      <c r="A35">
        <f t="shared" ca="1" si="0"/>
        <v>23</v>
      </c>
      <c r="B35" s="260" t="str">
        <f t="shared" ca="1" si="1"/>
        <v xml:space="preserve"> </v>
      </c>
      <c r="C35" s="262">
        <f t="shared" ca="1" si="2"/>
        <v>32</v>
      </c>
      <c r="D35" s="348">
        <f t="shared" ca="1" si="3"/>
        <v>44046</v>
      </c>
      <c r="E35" s="184"/>
      <c r="F35" s="185"/>
      <c r="G35" s="186">
        <v>74</v>
      </c>
      <c r="H35" s="187"/>
      <c r="I35" s="249">
        <f>IF(COUNTBLANK(E35:H35)=4,"",SUM(E35:G35)+IF(Setup!$I$15="No",0,H35))</f>
        <v>74</v>
      </c>
      <c r="J35" s="198"/>
      <c r="K35" s="199"/>
      <c r="L35" s="200"/>
      <c r="M35" s="201"/>
      <c r="N35" s="253" t="str">
        <f>IF(COUNTBLANK(J35:M35)=4,"",SUM(J35:L35)+IF(Setup!$I$15="No",0,M35))</f>
        <v/>
      </c>
      <c r="O35" s="184"/>
      <c r="P35" s="185"/>
      <c r="Q35" s="186"/>
      <c r="R35" s="187"/>
      <c r="S35" s="249" t="str">
        <f>IF(COUNTBLANK(O35:R35)=4,"",SUM(O35:Q35)+IF(Setup!$I$15="No",0,R35))</f>
        <v/>
      </c>
      <c r="T35" s="198"/>
      <c r="U35" s="199"/>
      <c r="V35" s="200"/>
      <c r="W35" s="201"/>
      <c r="X35" s="253" t="str">
        <f>IF(COUNTBLANK(T35:W35)=4,"",SUM(T35:V35)+IF(Setup!$I$15="No",0,W35))</f>
        <v/>
      </c>
      <c r="Y35" s="184"/>
      <c r="Z35" s="185"/>
      <c r="AA35" s="186"/>
      <c r="AB35" s="187"/>
      <c r="AC35" s="249" t="str">
        <f>IF(COUNTBLANK(Y35:AB35)=4,"",SUM(Y35:AA35)+IF(Setup!$I$15="No",0,AB35))</f>
        <v/>
      </c>
      <c r="AD35" s="198"/>
      <c r="AE35" s="199"/>
      <c r="AF35" s="200"/>
      <c r="AG35" s="201"/>
      <c r="AH35" s="253" t="str">
        <f>IF(COUNTBLANK(AD35:AG35)=4,"",SUM(AD35:AF35)+IF(Setup!$I$15="No",0,AG35))</f>
        <v/>
      </c>
      <c r="AI35" s="184"/>
      <c r="AJ35" s="185"/>
      <c r="AK35" s="186"/>
      <c r="AL35" s="187"/>
      <c r="AM35" s="249" t="str">
        <f>IF(COUNTBLANK(AI35:AL35)=4,"",SUM(AI35:AK35)+IF(Setup!$I$15="No",0,AL35))</f>
        <v/>
      </c>
      <c r="AN35" s="198"/>
      <c r="AO35" s="199"/>
      <c r="AP35" s="200"/>
      <c r="AQ35" s="201"/>
      <c r="AR35" s="253" t="str">
        <f>IF(COUNTBLANK(AN35:AQ35)=4,"",SUM(AN35:AP35)+IF(Setup!$I$15="No",0,AQ35))</f>
        <v/>
      </c>
      <c r="AS35" s="184"/>
      <c r="AT35" s="185"/>
      <c r="AU35" s="186"/>
      <c r="AV35" s="187"/>
      <c r="AW35" s="249" t="str">
        <f>IF(COUNTBLANK(AS35:AV35)=4,"",SUM(AS35:AU35)+IF(Setup!$I$15="No",0,AV35))</f>
        <v/>
      </c>
      <c r="AX35" s="198"/>
      <c r="AY35" s="199"/>
      <c r="AZ35" s="200"/>
      <c r="BA35" s="201"/>
      <c r="BB35" s="253" t="str">
        <f>IF(COUNTBLANK(AX35:BA35)=4,"",SUM(AX35:AZ35)+IF(Setup!$I$15="No",0,BA35))</f>
        <v/>
      </c>
      <c r="BC35" s="257">
        <f ca="1">IF('Demand background (hide)'!A26=Num_Modalities,"",SUM(Demand!I35))</f>
        <v>74</v>
      </c>
      <c r="BD35" s="257">
        <f ca="1">IF(AND(A35&lt;=MaxRows,BE35&lt;&gt;"Yes"),'Demand background (hide)'!X26+IF(Setup!$I$15="Yes",'Demand background (hide)'!AJ26,0),"")</f>
        <v>148</v>
      </c>
      <c r="BE35" s="207"/>
    </row>
    <row r="36" spans="1:57" x14ac:dyDescent="0.25">
      <c r="A36">
        <f t="shared" ca="1" si="0"/>
        <v>24</v>
      </c>
      <c r="B36" s="260" t="str">
        <f t="shared" ca="1" si="1"/>
        <v xml:space="preserve"> </v>
      </c>
      <c r="C36" s="262">
        <f t="shared" ca="1" si="2"/>
        <v>33</v>
      </c>
      <c r="D36" s="348">
        <f t="shared" ca="1" si="3"/>
        <v>44053</v>
      </c>
      <c r="E36" s="184"/>
      <c r="F36" s="185"/>
      <c r="G36" s="186">
        <v>65</v>
      </c>
      <c r="H36" s="187"/>
      <c r="I36" s="249">
        <f>IF(COUNTBLANK(E36:H36)=4,"",SUM(E36:G36)+IF(Setup!$I$15="No",0,H36))</f>
        <v>65</v>
      </c>
      <c r="J36" s="198"/>
      <c r="K36" s="199"/>
      <c r="L36" s="200"/>
      <c r="M36" s="201"/>
      <c r="N36" s="253" t="str">
        <f>IF(COUNTBLANK(J36:M36)=4,"",SUM(J36:L36)+IF(Setup!$I$15="No",0,M36))</f>
        <v/>
      </c>
      <c r="O36" s="184"/>
      <c r="P36" s="185"/>
      <c r="Q36" s="186"/>
      <c r="R36" s="187"/>
      <c r="S36" s="249" t="str">
        <f>IF(COUNTBLANK(O36:R36)=4,"",SUM(O36:Q36)+IF(Setup!$I$15="No",0,R36))</f>
        <v/>
      </c>
      <c r="T36" s="198"/>
      <c r="U36" s="199"/>
      <c r="V36" s="200"/>
      <c r="W36" s="201"/>
      <c r="X36" s="253" t="str">
        <f>IF(COUNTBLANK(T36:W36)=4,"",SUM(T36:V36)+IF(Setup!$I$15="No",0,W36))</f>
        <v/>
      </c>
      <c r="Y36" s="184"/>
      <c r="Z36" s="185"/>
      <c r="AA36" s="186"/>
      <c r="AB36" s="187"/>
      <c r="AC36" s="249" t="str">
        <f>IF(COUNTBLANK(Y36:AB36)=4,"",SUM(Y36:AA36)+IF(Setup!$I$15="No",0,AB36))</f>
        <v/>
      </c>
      <c r="AD36" s="198"/>
      <c r="AE36" s="199"/>
      <c r="AF36" s="200"/>
      <c r="AG36" s="201"/>
      <c r="AH36" s="253" t="str">
        <f>IF(COUNTBLANK(AD36:AG36)=4,"",SUM(AD36:AF36)+IF(Setup!$I$15="No",0,AG36))</f>
        <v/>
      </c>
      <c r="AI36" s="184"/>
      <c r="AJ36" s="185"/>
      <c r="AK36" s="186"/>
      <c r="AL36" s="187"/>
      <c r="AM36" s="249" t="str">
        <f>IF(COUNTBLANK(AI36:AL36)=4,"",SUM(AI36:AK36)+IF(Setup!$I$15="No",0,AL36))</f>
        <v/>
      </c>
      <c r="AN36" s="198"/>
      <c r="AO36" s="199"/>
      <c r="AP36" s="200"/>
      <c r="AQ36" s="201"/>
      <c r="AR36" s="253" t="str">
        <f>IF(COUNTBLANK(AN36:AQ36)=4,"",SUM(AN36:AP36)+IF(Setup!$I$15="No",0,AQ36))</f>
        <v/>
      </c>
      <c r="AS36" s="184"/>
      <c r="AT36" s="185"/>
      <c r="AU36" s="186"/>
      <c r="AV36" s="187"/>
      <c r="AW36" s="249" t="str">
        <f>IF(COUNTBLANK(AS36:AV36)=4,"",SUM(AS36:AU36)+IF(Setup!$I$15="No",0,AV36))</f>
        <v/>
      </c>
      <c r="AX36" s="198"/>
      <c r="AY36" s="199"/>
      <c r="AZ36" s="200"/>
      <c r="BA36" s="201"/>
      <c r="BB36" s="253" t="str">
        <f>IF(COUNTBLANK(AX36:BA36)=4,"",SUM(AX36:AZ36)+IF(Setup!$I$15="No",0,BA36))</f>
        <v/>
      </c>
      <c r="BC36" s="257">
        <f ca="1">IF('Demand background (hide)'!A27=Num_Modalities,"",SUM(Demand!I36))</f>
        <v>65</v>
      </c>
      <c r="BD36" s="257">
        <f ca="1">IF(AND(A36&lt;=MaxRows,BE36&lt;&gt;"Yes"),'Demand background (hide)'!X27+IF(Setup!$I$15="Yes",'Demand background (hide)'!AJ27,0),"")</f>
        <v>130</v>
      </c>
      <c r="BE36" s="207"/>
    </row>
    <row r="37" spans="1:57" x14ac:dyDescent="0.25">
      <c r="A37">
        <f t="shared" ca="1" si="0"/>
        <v>25</v>
      </c>
      <c r="B37" s="260" t="str">
        <f t="shared" ca="1" si="1"/>
        <v xml:space="preserve"> </v>
      </c>
      <c r="C37" s="262">
        <f t="shared" ca="1" si="2"/>
        <v>34</v>
      </c>
      <c r="D37" s="348">
        <f t="shared" ca="1" si="3"/>
        <v>44060</v>
      </c>
      <c r="E37" s="184"/>
      <c r="F37" s="185"/>
      <c r="G37" s="186">
        <v>65</v>
      </c>
      <c r="H37" s="187"/>
      <c r="I37" s="249">
        <f>IF(COUNTBLANK(E37:H37)=4,"",SUM(E37:G37)+IF(Setup!$I$15="No",0,H37))</f>
        <v>65</v>
      </c>
      <c r="J37" s="198"/>
      <c r="K37" s="199"/>
      <c r="L37" s="200"/>
      <c r="M37" s="201"/>
      <c r="N37" s="253" t="str">
        <f>IF(COUNTBLANK(J37:M37)=4,"",SUM(J37:L37)+IF(Setup!$I$15="No",0,M37))</f>
        <v/>
      </c>
      <c r="O37" s="184"/>
      <c r="P37" s="185"/>
      <c r="Q37" s="186"/>
      <c r="R37" s="187"/>
      <c r="S37" s="249" t="str">
        <f>IF(COUNTBLANK(O37:R37)=4,"",SUM(O37:Q37)+IF(Setup!$I$15="No",0,R37))</f>
        <v/>
      </c>
      <c r="T37" s="198"/>
      <c r="U37" s="199"/>
      <c r="V37" s="200"/>
      <c r="W37" s="201"/>
      <c r="X37" s="253" t="str">
        <f>IF(COUNTBLANK(T37:W37)=4,"",SUM(T37:V37)+IF(Setup!$I$15="No",0,W37))</f>
        <v/>
      </c>
      <c r="Y37" s="184"/>
      <c r="Z37" s="185"/>
      <c r="AA37" s="186"/>
      <c r="AB37" s="187"/>
      <c r="AC37" s="249" t="str">
        <f>IF(COUNTBLANK(Y37:AB37)=4,"",SUM(Y37:AA37)+IF(Setup!$I$15="No",0,AB37))</f>
        <v/>
      </c>
      <c r="AD37" s="198"/>
      <c r="AE37" s="199"/>
      <c r="AF37" s="200"/>
      <c r="AG37" s="201"/>
      <c r="AH37" s="253" t="str">
        <f>IF(COUNTBLANK(AD37:AG37)=4,"",SUM(AD37:AF37)+IF(Setup!$I$15="No",0,AG37))</f>
        <v/>
      </c>
      <c r="AI37" s="184"/>
      <c r="AJ37" s="185"/>
      <c r="AK37" s="186"/>
      <c r="AL37" s="187"/>
      <c r="AM37" s="249" t="str">
        <f>IF(COUNTBLANK(AI37:AL37)=4,"",SUM(AI37:AK37)+IF(Setup!$I$15="No",0,AL37))</f>
        <v/>
      </c>
      <c r="AN37" s="198"/>
      <c r="AO37" s="199"/>
      <c r="AP37" s="200"/>
      <c r="AQ37" s="201"/>
      <c r="AR37" s="253" t="str">
        <f>IF(COUNTBLANK(AN37:AQ37)=4,"",SUM(AN37:AP37)+IF(Setup!$I$15="No",0,AQ37))</f>
        <v/>
      </c>
      <c r="AS37" s="184"/>
      <c r="AT37" s="185"/>
      <c r="AU37" s="186"/>
      <c r="AV37" s="187"/>
      <c r="AW37" s="249" t="str">
        <f>IF(COUNTBLANK(AS37:AV37)=4,"",SUM(AS37:AU37)+IF(Setup!$I$15="No",0,AV37))</f>
        <v/>
      </c>
      <c r="AX37" s="198"/>
      <c r="AY37" s="199"/>
      <c r="AZ37" s="200"/>
      <c r="BA37" s="201"/>
      <c r="BB37" s="253" t="str">
        <f>IF(COUNTBLANK(AX37:BA37)=4,"",SUM(AX37:AZ37)+IF(Setup!$I$15="No",0,BA37))</f>
        <v/>
      </c>
      <c r="BC37" s="257">
        <f ca="1">IF('Demand background (hide)'!A28=Num_Modalities,"",SUM(Demand!I37))</f>
        <v>65</v>
      </c>
      <c r="BD37" s="257">
        <f ca="1">IF(AND(A37&lt;=MaxRows,BE37&lt;&gt;"Yes"),'Demand background (hide)'!X28+IF(Setup!$I$15="Yes",'Demand background (hide)'!AJ28,0),"")</f>
        <v>130</v>
      </c>
      <c r="BE37" s="207"/>
    </row>
    <row r="38" spans="1:57" x14ac:dyDescent="0.25">
      <c r="A38">
        <f t="shared" ca="1" si="0"/>
        <v>26</v>
      </c>
      <c r="B38" s="260" t="str">
        <f t="shared" ca="1" si="1"/>
        <v xml:space="preserve"> </v>
      </c>
      <c r="C38" s="262">
        <f t="shared" ca="1" si="2"/>
        <v>35</v>
      </c>
      <c r="D38" s="348">
        <f t="shared" ca="1" si="3"/>
        <v>44067</v>
      </c>
      <c r="E38" s="184"/>
      <c r="F38" s="185"/>
      <c r="G38" s="186">
        <v>60</v>
      </c>
      <c r="H38" s="187"/>
      <c r="I38" s="249">
        <f>IF(COUNTBLANK(E38:H38)=4,"",SUM(E38:G38)+IF(Setup!$I$15="No",0,H38))</f>
        <v>60</v>
      </c>
      <c r="J38" s="198"/>
      <c r="K38" s="199"/>
      <c r="L38" s="200"/>
      <c r="M38" s="201"/>
      <c r="N38" s="253" t="str">
        <f>IF(COUNTBLANK(J38:M38)=4,"",SUM(J38:L38)+IF(Setup!$I$15="No",0,M38))</f>
        <v/>
      </c>
      <c r="O38" s="184"/>
      <c r="P38" s="185"/>
      <c r="Q38" s="186"/>
      <c r="R38" s="187"/>
      <c r="S38" s="249" t="str">
        <f>IF(COUNTBLANK(O38:R38)=4,"",SUM(O38:Q38)+IF(Setup!$I$15="No",0,R38))</f>
        <v/>
      </c>
      <c r="T38" s="198"/>
      <c r="U38" s="199"/>
      <c r="V38" s="200"/>
      <c r="W38" s="201"/>
      <c r="X38" s="253" t="str">
        <f>IF(COUNTBLANK(T38:W38)=4,"",SUM(T38:V38)+IF(Setup!$I$15="No",0,W38))</f>
        <v/>
      </c>
      <c r="Y38" s="184"/>
      <c r="Z38" s="185"/>
      <c r="AA38" s="186"/>
      <c r="AB38" s="187"/>
      <c r="AC38" s="249" t="str">
        <f>IF(COUNTBLANK(Y38:AB38)=4,"",SUM(Y38:AA38)+IF(Setup!$I$15="No",0,AB38))</f>
        <v/>
      </c>
      <c r="AD38" s="198"/>
      <c r="AE38" s="199"/>
      <c r="AF38" s="200"/>
      <c r="AG38" s="201"/>
      <c r="AH38" s="253" t="str">
        <f>IF(COUNTBLANK(AD38:AG38)=4,"",SUM(AD38:AF38)+IF(Setup!$I$15="No",0,AG38))</f>
        <v/>
      </c>
      <c r="AI38" s="184"/>
      <c r="AJ38" s="185"/>
      <c r="AK38" s="186"/>
      <c r="AL38" s="187"/>
      <c r="AM38" s="249" t="str">
        <f>IF(COUNTBLANK(AI38:AL38)=4,"",SUM(AI38:AK38)+IF(Setup!$I$15="No",0,AL38))</f>
        <v/>
      </c>
      <c r="AN38" s="198"/>
      <c r="AO38" s="199"/>
      <c r="AP38" s="200"/>
      <c r="AQ38" s="201"/>
      <c r="AR38" s="253" t="str">
        <f>IF(COUNTBLANK(AN38:AQ38)=4,"",SUM(AN38:AP38)+IF(Setup!$I$15="No",0,AQ38))</f>
        <v/>
      </c>
      <c r="AS38" s="184"/>
      <c r="AT38" s="185"/>
      <c r="AU38" s="186"/>
      <c r="AV38" s="187"/>
      <c r="AW38" s="249" t="str">
        <f>IF(COUNTBLANK(AS38:AV38)=4,"",SUM(AS38:AU38)+IF(Setup!$I$15="No",0,AV38))</f>
        <v/>
      </c>
      <c r="AX38" s="198"/>
      <c r="AY38" s="199"/>
      <c r="AZ38" s="200"/>
      <c r="BA38" s="201"/>
      <c r="BB38" s="253" t="str">
        <f>IF(COUNTBLANK(AX38:BA38)=4,"",SUM(AX38:AZ38)+IF(Setup!$I$15="No",0,BA38))</f>
        <v/>
      </c>
      <c r="BC38" s="257">
        <f ca="1">IF('Demand background (hide)'!A29=Num_Modalities,"",SUM(Demand!I38))</f>
        <v>60</v>
      </c>
      <c r="BD38" s="257">
        <f ca="1">IF(AND(A38&lt;=MaxRows,BE38&lt;&gt;"Yes"),'Demand background (hide)'!X29+IF(Setup!$I$15="Yes",'Demand background (hide)'!AJ29,0),"")</f>
        <v>120</v>
      </c>
      <c r="BE38" s="207"/>
    </row>
    <row r="39" spans="1:57" x14ac:dyDescent="0.25">
      <c r="A39">
        <f t="shared" ca="1" si="0"/>
        <v>27</v>
      </c>
      <c r="B39" s="260" t="str">
        <f t="shared" ca="1" si="1"/>
        <v xml:space="preserve"> </v>
      </c>
      <c r="C39" s="262">
        <f t="shared" ca="1" si="2"/>
        <v>36</v>
      </c>
      <c r="D39" s="348">
        <f t="shared" ca="1" si="3"/>
        <v>44074</v>
      </c>
      <c r="E39" s="184"/>
      <c r="F39" s="185"/>
      <c r="G39" s="186">
        <v>62</v>
      </c>
      <c r="H39" s="187"/>
      <c r="I39" s="249">
        <f>IF(COUNTBLANK(E39:H39)=4,"",SUM(E39:G39)+IF(Setup!$I$15="No",0,H39))</f>
        <v>62</v>
      </c>
      <c r="J39" s="198"/>
      <c r="K39" s="199"/>
      <c r="L39" s="200"/>
      <c r="M39" s="201"/>
      <c r="N39" s="253" t="str">
        <f>IF(COUNTBLANK(J39:M39)=4,"",SUM(J39:L39)+IF(Setup!$I$15="No",0,M39))</f>
        <v/>
      </c>
      <c r="O39" s="184"/>
      <c r="P39" s="185"/>
      <c r="Q39" s="186"/>
      <c r="R39" s="187"/>
      <c r="S39" s="249" t="str">
        <f>IF(COUNTBLANK(O39:R39)=4,"",SUM(O39:Q39)+IF(Setup!$I$15="No",0,R39))</f>
        <v/>
      </c>
      <c r="T39" s="198"/>
      <c r="U39" s="199"/>
      <c r="V39" s="200"/>
      <c r="W39" s="201"/>
      <c r="X39" s="253" t="str">
        <f>IF(COUNTBLANK(T39:W39)=4,"",SUM(T39:V39)+IF(Setup!$I$15="No",0,W39))</f>
        <v/>
      </c>
      <c r="Y39" s="184"/>
      <c r="Z39" s="185"/>
      <c r="AA39" s="186"/>
      <c r="AB39" s="187"/>
      <c r="AC39" s="249" t="str">
        <f>IF(COUNTBLANK(Y39:AB39)=4,"",SUM(Y39:AA39)+IF(Setup!$I$15="No",0,AB39))</f>
        <v/>
      </c>
      <c r="AD39" s="198"/>
      <c r="AE39" s="199"/>
      <c r="AF39" s="200"/>
      <c r="AG39" s="201"/>
      <c r="AH39" s="253" t="str">
        <f>IF(COUNTBLANK(AD39:AG39)=4,"",SUM(AD39:AF39)+IF(Setup!$I$15="No",0,AG39))</f>
        <v/>
      </c>
      <c r="AI39" s="184"/>
      <c r="AJ39" s="185"/>
      <c r="AK39" s="186"/>
      <c r="AL39" s="187"/>
      <c r="AM39" s="249" t="str">
        <f>IF(COUNTBLANK(AI39:AL39)=4,"",SUM(AI39:AK39)+IF(Setup!$I$15="No",0,AL39))</f>
        <v/>
      </c>
      <c r="AN39" s="198"/>
      <c r="AO39" s="199"/>
      <c r="AP39" s="200"/>
      <c r="AQ39" s="201"/>
      <c r="AR39" s="253" t="str">
        <f>IF(COUNTBLANK(AN39:AQ39)=4,"",SUM(AN39:AP39)+IF(Setup!$I$15="No",0,AQ39))</f>
        <v/>
      </c>
      <c r="AS39" s="184"/>
      <c r="AT39" s="185"/>
      <c r="AU39" s="186"/>
      <c r="AV39" s="187"/>
      <c r="AW39" s="249" t="str">
        <f>IF(COUNTBLANK(AS39:AV39)=4,"",SUM(AS39:AU39)+IF(Setup!$I$15="No",0,AV39))</f>
        <v/>
      </c>
      <c r="AX39" s="198"/>
      <c r="AY39" s="199"/>
      <c r="AZ39" s="200"/>
      <c r="BA39" s="201"/>
      <c r="BB39" s="253" t="str">
        <f>IF(COUNTBLANK(AX39:BA39)=4,"",SUM(AX39:AZ39)+IF(Setup!$I$15="No",0,BA39))</f>
        <v/>
      </c>
      <c r="BC39" s="257">
        <f ca="1">IF('Demand background (hide)'!A30=Num_Modalities,"",SUM(Demand!I39))</f>
        <v>62</v>
      </c>
      <c r="BD39" s="257">
        <f ca="1">IF(AND(A39&lt;=MaxRows,BE39&lt;&gt;"Yes"),'Demand background (hide)'!X30+IF(Setup!$I$15="Yes",'Demand background (hide)'!AJ30,0),"")</f>
        <v>124</v>
      </c>
      <c r="BE39" s="207"/>
    </row>
    <row r="40" spans="1:57" x14ac:dyDescent="0.25">
      <c r="A40">
        <f t="shared" ca="1" si="0"/>
        <v>28</v>
      </c>
      <c r="B40" s="260" t="str">
        <f t="shared" ca="1" si="1"/>
        <v xml:space="preserve"> </v>
      </c>
      <c r="C40" s="262">
        <f t="shared" ca="1" si="2"/>
        <v>37</v>
      </c>
      <c r="D40" s="348">
        <f t="shared" ca="1" si="3"/>
        <v>44081</v>
      </c>
      <c r="E40" s="184"/>
      <c r="F40" s="185"/>
      <c r="G40" s="186">
        <v>70</v>
      </c>
      <c r="H40" s="187"/>
      <c r="I40" s="249">
        <f>IF(COUNTBLANK(E40:H40)=4,"",SUM(E40:G40)+IF(Setup!$I$15="No",0,H40))</f>
        <v>70</v>
      </c>
      <c r="J40" s="198"/>
      <c r="K40" s="199"/>
      <c r="L40" s="200"/>
      <c r="M40" s="201"/>
      <c r="N40" s="253" t="str">
        <f>IF(COUNTBLANK(J40:M40)=4,"",SUM(J40:L40)+IF(Setup!$I$15="No",0,M40))</f>
        <v/>
      </c>
      <c r="O40" s="184"/>
      <c r="P40" s="185"/>
      <c r="Q40" s="186"/>
      <c r="R40" s="187"/>
      <c r="S40" s="249" t="str">
        <f>IF(COUNTBLANK(O40:R40)=4,"",SUM(O40:Q40)+IF(Setup!$I$15="No",0,R40))</f>
        <v/>
      </c>
      <c r="T40" s="198"/>
      <c r="U40" s="199"/>
      <c r="V40" s="200"/>
      <c r="W40" s="201"/>
      <c r="X40" s="253" t="str">
        <f>IF(COUNTBLANK(T40:W40)=4,"",SUM(T40:V40)+IF(Setup!$I$15="No",0,W40))</f>
        <v/>
      </c>
      <c r="Y40" s="184"/>
      <c r="Z40" s="185"/>
      <c r="AA40" s="186"/>
      <c r="AB40" s="187"/>
      <c r="AC40" s="249" t="str">
        <f>IF(COUNTBLANK(Y40:AB40)=4,"",SUM(Y40:AA40)+IF(Setup!$I$15="No",0,AB40))</f>
        <v/>
      </c>
      <c r="AD40" s="198"/>
      <c r="AE40" s="199"/>
      <c r="AF40" s="200"/>
      <c r="AG40" s="201"/>
      <c r="AH40" s="253" t="str">
        <f>IF(COUNTBLANK(AD40:AG40)=4,"",SUM(AD40:AF40)+IF(Setup!$I$15="No",0,AG40))</f>
        <v/>
      </c>
      <c r="AI40" s="184"/>
      <c r="AJ40" s="185"/>
      <c r="AK40" s="186"/>
      <c r="AL40" s="187"/>
      <c r="AM40" s="249" t="str">
        <f>IF(COUNTBLANK(AI40:AL40)=4,"",SUM(AI40:AK40)+IF(Setup!$I$15="No",0,AL40))</f>
        <v/>
      </c>
      <c r="AN40" s="198"/>
      <c r="AO40" s="199"/>
      <c r="AP40" s="200"/>
      <c r="AQ40" s="201"/>
      <c r="AR40" s="253" t="str">
        <f>IF(COUNTBLANK(AN40:AQ40)=4,"",SUM(AN40:AP40)+IF(Setup!$I$15="No",0,AQ40))</f>
        <v/>
      </c>
      <c r="AS40" s="184"/>
      <c r="AT40" s="185"/>
      <c r="AU40" s="186"/>
      <c r="AV40" s="187"/>
      <c r="AW40" s="249" t="str">
        <f>IF(COUNTBLANK(AS40:AV40)=4,"",SUM(AS40:AU40)+IF(Setup!$I$15="No",0,AV40))</f>
        <v/>
      </c>
      <c r="AX40" s="198"/>
      <c r="AY40" s="199"/>
      <c r="AZ40" s="200"/>
      <c r="BA40" s="201"/>
      <c r="BB40" s="253" t="str">
        <f>IF(COUNTBLANK(AX40:BA40)=4,"",SUM(AX40:AZ40)+IF(Setup!$I$15="No",0,BA40))</f>
        <v/>
      </c>
      <c r="BC40" s="257">
        <f ca="1">IF('Demand background (hide)'!A31=Num_Modalities,"",SUM(Demand!I40))</f>
        <v>70</v>
      </c>
      <c r="BD40" s="257">
        <f ca="1">IF(AND(A40&lt;=MaxRows,BE40&lt;&gt;"Yes"),'Demand background (hide)'!X31+IF(Setup!$I$15="Yes",'Demand background (hide)'!AJ31,0),"")</f>
        <v>140</v>
      </c>
      <c r="BE40" s="207"/>
    </row>
    <row r="41" spans="1:57" x14ac:dyDescent="0.25">
      <c r="A41">
        <f t="shared" ca="1" si="0"/>
        <v>29</v>
      </c>
      <c r="B41" s="260" t="str">
        <f t="shared" ca="1" si="1"/>
        <v xml:space="preserve"> </v>
      </c>
      <c r="C41" s="262">
        <f t="shared" ca="1" si="2"/>
        <v>38</v>
      </c>
      <c r="D41" s="348">
        <f t="shared" ca="1" si="3"/>
        <v>44088</v>
      </c>
      <c r="E41" s="184"/>
      <c r="F41" s="185"/>
      <c r="G41" s="186">
        <v>74</v>
      </c>
      <c r="H41" s="187"/>
      <c r="I41" s="249">
        <f>IF(COUNTBLANK(E41:H41)=4,"",SUM(E41:G41)+IF(Setup!$I$15="No",0,H41))</f>
        <v>74</v>
      </c>
      <c r="J41" s="198"/>
      <c r="K41" s="199"/>
      <c r="L41" s="200"/>
      <c r="M41" s="201"/>
      <c r="N41" s="253" t="str">
        <f>IF(COUNTBLANK(J41:M41)=4,"",SUM(J41:L41)+IF(Setup!$I$15="No",0,M41))</f>
        <v/>
      </c>
      <c r="O41" s="184"/>
      <c r="P41" s="185"/>
      <c r="Q41" s="186"/>
      <c r="R41" s="187"/>
      <c r="S41" s="249" t="str">
        <f>IF(COUNTBLANK(O41:R41)=4,"",SUM(O41:Q41)+IF(Setup!$I$15="No",0,R41))</f>
        <v/>
      </c>
      <c r="T41" s="198"/>
      <c r="U41" s="199"/>
      <c r="V41" s="200"/>
      <c r="W41" s="201"/>
      <c r="X41" s="253" t="str">
        <f>IF(COUNTBLANK(T41:W41)=4,"",SUM(T41:V41)+IF(Setup!$I$15="No",0,W41))</f>
        <v/>
      </c>
      <c r="Y41" s="184"/>
      <c r="Z41" s="185"/>
      <c r="AA41" s="186"/>
      <c r="AB41" s="187"/>
      <c r="AC41" s="249" t="str">
        <f>IF(COUNTBLANK(Y41:AB41)=4,"",SUM(Y41:AA41)+IF(Setup!$I$15="No",0,AB41))</f>
        <v/>
      </c>
      <c r="AD41" s="198"/>
      <c r="AE41" s="199"/>
      <c r="AF41" s="200"/>
      <c r="AG41" s="201"/>
      <c r="AH41" s="253" t="str">
        <f>IF(COUNTBLANK(AD41:AG41)=4,"",SUM(AD41:AF41)+IF(Setup!$I$15="No",0,AG41))</f>
        <v/>
      </c>
      <c r="AI41" s="184"/>
      <c r="AJ41" s="185"/>
      <c r="AK41" s="186"/>
      <c r="AL41" s="187"/>
      <c r="AM41" s="249" t="str">
        <f>IF(COUNTBLANK(AI41:AL41)=4,"",SUM(AI41:AK41)+IF(Setup!$I$15="No",0,AL41))</f>
        <v/>
      </c>
      <c r="AN41" s="198"/>
      <c r="AO41" s="199"/>
      <c r="AP41" s="200"/>
      <c r="AQ41" s="201"/>
      <c r="AR41" s="253" t="str">
        <f>IF(COUNTBLANK(AN41:AQ41)=4,"",SUM(AN41:AP41)+IF(Setup!$I$15="No",0,AQ41))</f>
        <v/>
      </c>
      <c r="AS41" s="184"/>
      <c r="AT41" s="185"/>
      <c r="AU41" s="186"/>
      <c r="AV41" s="187"/>
      <c r="AW41" s="249" t="str">
        <f>IF(COUNTBLANK(AS41:AV41)=4,"",SUM(AS41:AU41)+IF(Setup!$I$15="No",0,AV41))</f>
        <v/>
      </c>
      <c r="AX41" s="198"/>
      <c r="AY41" s="199"/>
      <c r="AZ41" s="200"/>
      <c r="BA41" s="201"/>
      <c r="BB41" s="253" t="str">
        <f>IF(COUNTBLANK(AX41:BA41)=4,"",SUM(AX41:AZ41)+IF(Setup!$I$15="No",0,BA41))</f>
        <v/>
      </c>
      <c r="BC41" s="257">
        <f ca="1">IF('Demand background (hide)'!A32=Num_Modalities,"",SUM(Demand!I41))</f>
        <v>74</v>
      </c>
      <c r="BD41" s="257">
        <f ca="1">IF(AND(A41&lt;=MaxRows,BE41&lt;&gt;"Yes"),'Demand background (hide)'!X32+IF(Setup!$I$15="Yes",'Demand background (hide)'!AJ32,0),"")</f>
        <v>148</v>
      </c>
      <c r="BE41" s="207"/>
    </row>
    <row r="42" spans="1:57" x14ac:dyDescent="0.25">
      <c r="A42">
        <f t="shared" ca="1" si="0"/>
        <v>30</v>
      </c>
      <c r="B42" s="260" t="str">
        <f t="shared" ca="1" si="1"/>
        <v xml:space="preserve"> </v>
      </c>
      <c r="C42" s="262">
        <f t="shared" ca="1" si="2"/>
        <v>39</v>
      </c>
      <c r="D42" s="348">
        <f t="shared" ca="1" si="3"/>
        <v>44095</v>
      </c>
      <c r="E42" s="184"/>
      <c r="F42" s="185"/>
      <c r="G42" s="186">
        <v>75</v>
      </c>
      <c r="H42" s="187"/>
      <c r="I42" s="249">
        <f>IF(COUNTBLANK(E42:H42)=4,"",SUM(E42:G42)+IF(Setup!$I$15="No",0,H42))</f>
        <v>75</v>
      </c>
      <c r="J42" s="198"/>
      <c r="K42" s="199"/>
      <c r="L42" s="200"/>
      <c r="M42" s="201"/>
      <c r="N42" s="253" t="str">
        <f>IF(COUNTBLANK(J42:M42)=4,"",SUM(J42:L42)+IF(Setup!$I$15="No",0,M42))</f>
        <v/>
      </c>
      <c r="O42" s="184"/>
      <c r="P42" s="185"/>
      <c r="Q42" s="186"/>
      <c r="R42" s="187"/>
      <c r="S42" s="249" t="str">
        <f>IF(COUNTBLANK(O42:R42)=4,"",SUM(O42:Q42)+IF(Setup!$I$15="No",0,R42))</f>
        <v/>
      </c>
      <c r="T42" s="198"/>
      <c r="U42" s="199"/>
      <c r="V42" s="200"/>
      <c r="W42" s="201"/>
      <c r="X42" s="253" t="str">
        <f>IF(COUNTBLANK(T42:W42)=4,"",SUM(T42:V42)+IF(Setup!$I$15="No",0,W42))</f>
        <v/>
      </c>
      <c r="Y42" s="184"/>
      <c r="Z42" s="185"/>
      <c r="AA42" s="186"/>
      <c r="AB42" s="187"/>
      <c r="AC42" s="249" t="str">
        <f>IF(COUNTBLANK(Y42:AB42)=4,"",SUM(Y42:AA42)+IF(Setup!$I$15="No",0,AB42))</f>
        <v/>
      </c>
      <c r="AD42" s="198"/>
      <c r="AE42" s="199"/>
      <c r="AF42" s="200"/>
      <c r="AG42" s="201"/>
      <c r="AH42" s="253" t="str">
        <f>IF(COUNTBLANK(AD42:AG42)=4,"",SUM(AD42:AF42)+IF(Setup!$I$15="No",0,AG42))</f>
        <v/>
      </c>
      <c r="AI42" s="184"/>
      <c r="AJ42" s="185"/>
      <c r="AK42" s="186"/>
      <c r="AL42" s="187"/>
      <c r="AM42" s="249" t="str">
        <f>IF(COUNTBLANK(AI42:AL42)=4,"",SUM(AI42:AK42)+IF(Setup!$I$15="No",0,AL42))</f>
        <v/>
      </c>
      <c r="AN42" s="198"/>
      <c r="AO42" s="199"/>
      <c r="AP42" s="200"/>
      <c r="AQ42" s="201"/>
      <c r="AR42" s="253" t="str">
        <f>IF(COUNTBLANK(AN42:AQ42)=4,"",SUM(AN42:AP42)+IF(Setup!$I$15="No",0,AQ42))</f>
        <v/>
      </c>
      <c r="AS42" s="184"/>
      <c r="AT42" s="185"/>
      <c r="AU42" s="186"/>
      <c r="AV42" s="187"/>
      <c r="AW42" s="249" t="str">
        <f>IF(COUNTBLANK(AS42:AV42)=4,"",SUM(AS42:AU42)+IF(Setup!$I$15="No",0,AV42))</f>
        <v/>
      </c>
      <c r="AX42" s="198"/>
      <c r="AY42" s="199"/>
      <c r="AZ42" s="200"/>
      <c r="BA42" s="201"/>
      <c r="BB42" s="253" t="str">
        <f>IF(COUNTBLANK(AX42:BA42)=4,"",SUM(AX42:AZ42)+IF(Setup!$I$15="No",0,BA42))</f>
        <v/>
      </c>
      <c r="BC42" s="257">
        <f ca="1">IF('Demand background (hide)'!A33=Num_Modalities,"",SUM(Demand!I42))</f>
        <v>75</v>
      </c>
      <c r="BD42" s="257">
        <f ca="1">IF(AND(A42&lt;=MaxRows,BE42&lt;&gt;"Yes"),'Demand background (hide)'!X33+IF(Setup!$I$15="Yes",'Demand background (hide)'!AJ33,0),"")</f>
        <v>150</v>
      </c>
      <c r="BE42" s="207"/>
    </row>
    <row r="43" spans="1:57" x14ac:dyDescent="0.25">
      <c r="A43">
        <f t="shared" ca="1" si="0"/>
        <v>31</v>
      </c>
      <c r="B43" s="260" t="str">
        <f t="shared" ca="1" si="1"/>
        <v xml:space="preserve"> </v>
      </c>
      <c r="C43" s="262">
        <f t="shared" ca="1" si="2"/>
        <v>40</v>
      </c>
      <c r="D43" s="348">
        <f t="shared" ca="1" si="3"/>
        <v>44102</v>
      </c>
      <c r="E43" s="184"/>
      <c r="F43" s="185"/>
      <c r="G43" s="186">
        <v>71</v>
      </c>
      <c r="H43" s="187"/>
      <c r="I43" s="249">
        <f>IF(COUNTBLANK(E43:H43)=4,"",SUM(E43:G43)+IF(Setup!$I$15="No",0,H43))</f>
        <v>71</v>
      </c>
      <c r="J43" s="198"/>
      <c r="K43" s="199"/>
      <c r="L43" s="200"/>
      <c r="M43" s="201"/>
      <c r="N43" s="253" t="str">
        <f>IF(COUNTBLANK(J43:M43)=4,"",SUM(J43:L43)+IF(Setup!$I$15="No",0,M43))</f>
        <v/>
      </c>
      <c r="O43" s="184"/>
      <c r="P43" s="185"/>
      <c r="Q43" s="186"/>
      <c r="R43" s="187"/>
      <c r="S43" s="249" t="str">
        <f>IF(COUNTBLANK(O43:R43)=4,"",SUM(O43:Q43)+IF(Setup!$I$15="No",0,R43))</f>
        <v/>
      </c>
      <c r="T43" s="198"/>
      <c r="U43" s="199"/>
      <c r="V43" s="200"/>
      <c r="W43" s="201"/>
      <c r="X43" s="253" t="str">
        <f>IF(COUNTBLANK(T43:W43)=4,"",SUM(T43:V43)+IF(Setup!$I$15="No",0,W43))</f>
        <v/>
      </c>
      <c r="Y43" s="184"/>
      <c r="Z43" s="185"/>
      <c r="AA43" s="186"/>
      <c r="AB43" s="187"/>
      <c r="AC43" s="249" t="str">
        <f>IF(COUNTBLANK(Y43:AB43)=4,"",SUM(Y43:AA43)+IF(Setup!$I$15="No",0,AB43))</f>
        <v/>
      </c>
      <c r="AD43" s="198"/>
      <c r="AE43" s="199"/>
      <c r="AF43" s="200"/>
      <c r="AG43" s="201"/>
      <c r="AH43" s="253" t="str">
        <f>IF(COUNTBLANK(AD43:AG43)=4,"",SUM(AD43:AF43)+IF(Setup!$I$15="No",0,AG43))</f>
        <v/>
      </c>
      <c r="AI43" s="184"/>
      <c r="AJ43" s="185"/>
      <c r="AK43" s="186"/>
      <c r="AL43" s="187"/>
      <c r="AM43" s="249" t="str">
        <f>IF(COUNTBLANK(AI43:AL43)=4,"",SUM(AI43:AK43)+IF(Setup!$I$15="No",0,AL43))</f>
        <v/>
      </c>
      <c r="AN43" s="198"/>
      <c r="AO43" s="199"/>
      <c r="AP43" s="200"/>
      <c r="AQ43" s="201"/>
      <c r="AR43" s="253" t="str">
        <f>IF(COUNTBLANK(AN43:AQ43)=4,"",SUM(AN43:AP43)+IF(Setup!$I$15="No",0,AQ43))</f>
        <v/>
      </c>
      <c r="AS43" s="184"/>
      <c r="AT43" s="185"/>
      <c r="AU43" s="186"/>
      <c r="AV43" s="187"/>
      <c r="AW43" s="249" t="str">
        <f>IF(COUNTBLANK(AS43:AV43)=4,"",SUM(AS43:AU43)+IF(Setup!$I$15="No",0,AV43))</f>
        <v/>
      </c>
      <c r="AX43" s="198"/>
      <c r="AY43" s="199"/>
      <c r="AZ43" s="200"/>
      <c r="BA43" s="201"/>
      <c r="BB43" s="253" t="str">
        <f>IF(COUNTBLANK(AX43:BA43)=4,"",SUM(AX43:AZ43)+IF(Setup!$I$15="No",0,BA43))</f>
        <v/>
      </c>
      <c r="BC43" s="257">
        <f ca="1">IF('Demand background (hide)'!A34=Num_Modalities,"",SUM(Demand!I43))</f>
        <v>71</v>
      </c>
      <c r="BD43" s="257">
        <f ca="1">IF(AND(A43&lt;=MaxRows,BE43&lt;&gt;"Yes"),'Demand background (hide)'!X34+IF(Setup!$I$15="Yes",'Demand background (hide)'!AJ34,0),"")</f>
        <v>142</v>
      </c>
      <c r="BE43" s="207"/>
    </row>
    <row r="44" spans="1:57" x14ac:dyDescent="0.25">
      <c r="A44">
        <f t="shared" ca="1" si="0"/>
        <v>32</v>
      </c>
      <c r="B44" s="260" t="str">
        <f t="shared" ca="1" si="1"/>
        <v xml:space="preserve"> </v>
      </c>
      <c r="C44" s="262">
        <f t="shared" ca="1" si="2"/>
        <v>41</v>
      </c>
      <c r="D44" s="348">
        <f t="shared" ca="1" si="3"/>
        <v>44109</v>
      </c>
      <c r="E44" s="184"/>
      <c r="F44" s="185"/>
      <c r="G44" s="186">
        <v>66</v>
      </c>
      <c r="H44" s="187"/>
      <c r="I44" s="249">
        <f>IF(COUNTBLANK(E44:H44)=4,"",SUM(E44:G44)+IF(Setup!$I$15="No",0,H44))</f>
        <v>66</v>
      </c>
      <c r="J44" s="198"/>
      <c r="K44" s="199"/>
      <c r="L44" s="200"/>
      <c r="M44" s="201"/>
      <c r="N44" s="253" t="str">
        <f>IF(COUNTBLANK(J44:M44)=4,"",SUM(J44:L44)+IF(Setup!$I$15="No",0,M44))</f>
        <v/>
      </c>
      <c r="O44" s="184"/>
      <c r="P44" s="185"/>
      <c r="Q44" s="186"/>
      <c r="R44" s="187"/>
      <c r="S44" s="249" t="str">
        <f>IF(COUNTBLANK(O44:R44)=4,"",SUM(O44:Q44)+IF(Setup!$I$15="No",0,R44))</f>
        <v/>
      </c>
      <c r="T44" s="198"/>
      <c r="U44" s="199"/>
      <c r="V44" s="200"/>
      <c r="W44" s="201"/>
      <c r="X44" s="253" t="str">
        <f>IF(COUNTBLANK(T44:W44)=4,"",SUM(T44:V44)+IF(Setup!$I$15="No",0,W44))</f>
        <v/>
      </c>
      <c r="Y44" s="184"/>
      <c r="Z44" s="185"/>
      <c r="AA44" s="186"/>
      <c r="AB44" s="187"/>
      <c r="AC44" s="249" t="str">
        <f>IF(COUNTBLANK(Y44:AB44)=4,"",SUM(Y44:AA44)+IF(Setup!$I$15="No",0,AB44))</f>
        <v/>
      </c>
      <c r="AD44" s="198"/>
      <c r="AE44" s="199"/>
      <c r="AF44" s="200"/>
      <c r="AG44" s="201"/>
      <c r="AH44" s="253" t="str">
        <f>IF(COUNTBLANK(AD44:AG44)=4,"",SUM(AD44:AF44)+IF(Setup!$I$15="No",0,AG44))</f>
        <v/>
      </c>
      <c r="AI44" s="184"/>
      <c r="AJ44" s="185"/>
      <c r="AK44" s="186"/>
      <c r="AL44" s="187"/>
      <c r="AM44" s="249" t="str">
        <f>IF(COUNTBLANK(AI44:AL44)=4,"",SUM(AI44:AK44)+IF(Setup!$I$15="No",0,AL44))</f>
        <v/>
      </c>
      <c r="AN44" s="198"/>
      <c r="AO44" s="199"/>
      <c r="AP44" s="200"/>
      <c r="AQ44" s="201"/>
      <c r="AR44" s="253" t="str">
        <f>IF(COUNTBLANK(AN44:AQ44)=4,"",SUM(AN44:AP44)+IF(Setup!$I$15="No",0,AQ44))</f>
        <v/>
      </c>
      <c r="AS44" s="184"/>
      <c r="AT44" s="185"/>
      <c r="AU44" s="186"/>
      <c r="AV44" s="187"/>
      <c r="AW44" s="249" t="str">
        <f>IF(COUNTBLANK(AS44:AV44)=4,"",SUM(AS44:AU44)+IF(Setup!$I$15="No",0,AV44))</f>
        <v/>
      </c>
      <c r="AX44" s="198"/>
      <c r="AY44" s="199"/>
      <c r="AZ44" s="200"/>
      <c r="BA44" s="201"/>
      <c r="BB44" s="253" t="str">
        <f>IF(COUNTBLANK(AX44:BA44)=4,"",SUM(AX44:AZ44)+IF(Setup!$I$15="No",0,BA44))</f>
        <v/>
      </c>
      <c r="BC44" s="257">
        <f ca="1">IF('Demand background (hide)'!A35=Num_Modalities,"",SUM(Demand!I44))</f>
        <v>66</v>
      </c>
      <c r="BD44" s="257">
        <f ca="1">IF(AND(A44&lt;=MaxRows,BE44&lt;&gt;"Yes"),'Demand background (hide)'!X35+IF(Setup!$I$15="Yes",'Demand background (hide)'!AJ35,0),"")</f>
        <v>132</v>
      </c>
      <c r="BE44" s="207"/>
    </row>
    <row r="45" spans="1:57" x14ac:dyDescent="0.25">
      <c r="A45">
        <f t="shared" ca="1" si="0"/>
        <v>33</v>
      </c>
      <c r="B45" s="260" t="str">
        <f t="shared" ca="1" si="1"/>
        <v xml:space="preserve"> </v>
      </c>
      <c r="C45" s="262">
        <f t="shared" ca="1" si="2"/>
        <v>42</v>
      </c>
      <c r="D45" s="348">
        <f t="shared" ca="1" si="3"/>
        <v>44116</v>
      </c>
      <c r="E45" s="184"/>
      <c r="F45" s="185"/>
      <c r="G45" s="186">
        <v>68</v>
      </c>
      <c r="H45" s="187"/>
      <c r="I45" s="249">
        <f>IF(COUNTBLANK(E45:H45)=4,"",SUM(E45:G45)+IF(Setup!$I$15="No",0,H45))</f>
        <v>68</v>
      </c>
      <c r="J45" s="198"/>
      <c r="K45" s="199"/>
      <c r="L45" s="200"/>
      <c r="M45" s="201"/>
      <c r="N45" s="253" t="str">
        <f>IF(COUNTBLANK(J45:M45)=4,"",SUM(J45:L45)+IF(Setup!$I$15="No",0,M45))</f>
        <v/>
      </c>
      <c r="O45" s="184"/>
      <c r="P45" s="185"/>
      <c r="Q45" s="186"/>
      <c r="R45" s="187"/>
      <c r="S45" s="249" t="str">
        <f>IF(COUNTBLANK(O45:R45)=4,"",SUM(O45:Q45)+IF(Setup!$I$15="No",0,R45))</f>
        <v/>
      </c>
      <c r="T45" s="198"/>
      <c r="U45" s="199"/>
      <c r="V45" s="200"/>
      <c r="W45" s="201"/>
      <c r="X45" s="253" t="str">
        <f>IF(COUNTBLANK(T45:W45)=4,"",SUM(T45:V45)+IF(Setup!$I$15="No",0,W45))</f>
        <v/>
      </c>
      <c r="Y45" s="184"/>
      <c r="Z45" s="185"/>
      <c r="AA45" s="186"/>
      <c r="AB45" s="187"/>
      <c r="AC45" s="249" t="str">
        <f>IF(COUNTBLANK(Y45:AB45)=4,"",SUM(Y45:AA45)+IF(Setup!$I$15="No",0,AB45))</f>
        <v/>
      </c>
      <c r="AD45" s="198"/>
      <c r="AE45" s="199"/>
      <c r="AF45" s="200"/>
      <c r="AG45" s="201"/>
      <c r="AH45" s="253" t="str">
        <f>IF(COUNTBLANK(AD45:AG45)=4,"",SUM(AD45:AF45)+IF(Setup!$I$15="No",0,AG45))</f>
        <v/>
      </c>
      <c r="AI45" s="184"/>
      <c r="AJ45" s="185"/>
      <c r="AK45" s="186"/>
      <c r="AL45" s="187"/>
      <c r="AM45" s="249" t="str">
        <f>IF(COUNTBLANK(AI45:AL45)=4,"",SUM(AI45:AK45)+IF(Setup!$I$15="No",0,AL45))</f>
        <v/>
      </c>
      <c r="AN45" s="198"/>
      <c r="AO45" s="199"/>
      <c r="AP45" s="200"/>
      <c r="AQ45" s="201"/>
      <c r="AR45" s="253" t="str">
        <f>IF(COUNTBLANK(AN45:AQ45)=4,"",SUM(AN45:AP45)+IF(Setup!$I$15="No",0,AQ45))</f>
        <v/>
      </c>
      <c r="AS45" s="184"/>
      <c r="AT45" s="185"/>
      <c r="AU45" s="186"/>
      <c r="AV45" s="187"/>
      <c r="AW45" s="249" t="str">
        <f>IF(COUNTBLANK(AS45:AV45)=4,"",SUM(AS45:AU45)+IF(Setup!$I$15="No",0,AV45))</f>
        <v/>
      </c>
      <c r="AX45" s="198"/>
      <c r="AY45" s="199"/>
      <c r="AZ45" s="200"/>
      <c r="BA45" s="201"/>
      <c r="BB45" s="253" t="str">
        <f>IF(COUNTBLANK(AX45:BA45)=4,"",SUM(AX45:AZ45)+IF(Setup!$I$15="No",0,BA45))</f>
        <v/>
      </c>
      <c r="BC45" s="257">
        <f ca="1">IF('Demand background (hide)'!A36=Num_Modalities,"",SUM(Demand!I45))</f>
        <v>68</v>
      </c>
      <c r="BD45" s="257">
        <f ca="1">IF(AND(A45&lt;=MaxRows,BE45&lt;&gt;"Yes"),'Demand background (hide)'!X36+IF(Setup!$I$15="Yes",'Demand background (hide)'!AJ36,0),"")</f>
        <v>136</v>
      </c>
      <c r="BE45" s="207"/>
    </row>
    <row r="46" spans="1:57" x14ac:dyDescent="0.25">
      <c r="A46">
        <f t="shared" ca="1" si="0"/>
        <v>34</v>
      </c>
      <c r="B46" s="260" t="str">
        <f t="shared" ca="1" si="1"/>
        <v xml:space="preserve"> </v>
      </c>
      <c r="C46" s="262">
        <f t="shared" ca="1" si="2"/>
        <v>43</v>
      </c>
      <c r="D46" s="348">
        <f t="shared" ca="1" si="3"/>
        <v>44123</v>
      </c>
      <c r="E46" s="184"/>
      <c r="F46" s="185"/>
      <c r="G46" s="186">
        <v>70</v>
      </c>
      <c r="H46" s="187"/>
      <c r="I46" s="249">
        <f>IF(COUNTBLANK(E46:H46)=4,"",SUM(E46:G46)+IF(Setup!$I$15="No",0,H46))</f>
        <v>70</v>
      </c>
      <c r="J46" s="198"/>
      <c r="K46" s="199"/>
      <c r="L46" s="200"/>
      <c r="M46" s="201"/>
      <c r="N46" s="253" t="str">
        <f>IF(COUNTBLANK(J46:M46)=4,"",SUM(J46:L46)+IF(Setup!$I$15="No",0,M46))</f>
        <v/>
      </c>
      <c r="O46" s="184"/>
      <c r="P46" s="185"/>
      <c r="Q46" s="186"/>
      <c r="R46" s="187"/>
      <c r="S46" s="249" t="str">
        <f>IF(COUNTBLANK(O46:R46)=4,"",SUM(O46:Q46)+IF(Setup!$I$15="No",0,R46))</f>
        <v/>
      </c>
      <c r="T46" s="198"/>
      <c r="U46" s="199"/>
      <c r="V46" s="200"/>
      <c r="W46" s="201"/>
      <c r="X46" s="253" t="str">
        <f>IF(COUNTBLANK(T46:W46)=4,"",SUM(T46:V46)+IF(Setup!$I$15="No",0,W46))</f>
        <v/>
      </c>
      <c r="Y46" s="184"/>
      <c r="Z46" s="185"/>
      <c r="AA46" s="186"/>
      <c r="AB46" s="187"/>
      <c r="AC46" s="249" t="str">
        <f>IF(COUNTBLANK(Y46:AB46)=4,"",SUM(Y46:AA46)+IF(Setup!$I$15="No",0,AB46))</f>
        <v/>
      </c>
      <c r="AD46" s="198"/>
      <c r="AE46" s="199"/>
      <c r="AF46" s="200"/>
      <c r="AG46" s="201"/>
      <c r="AH46" s="253" t="str">
        <f>IF(COUNTBLANK(AD46:AG46)=4,"",SUM(AD46:AF46)+IF(Setup!$I$15="No",0,AG46))</f>
        <v/>
      </c>
      <c r="AI46" s="184"/>
      <c r="AJ46" s="185"/>
      <c r="AK46" s="186"/>
      <c r="AL46" s="187"/>
      <c r="AM46" s="249" t="str">
        <f>IF(COUNTBLANK(AI46:AL46)=4,"",SUM(AI46:AK46)+IF(Setup!$I$15="No",0,AL46))</f>
        <v/>
      </c>
      <c r="AN46" s="198"/>
      <c r="AO46" s="199"/>
      <c r="AP46" s="200"/>
      <c r="AQ46" s="201"/>
      <c r="AR46" s="253" t="str">
        <f>IF(COUNTBLANK(AN46:AQ46)=4,"",SUM(AN46:AP46)+IF(Setup!$I$15="No",0,AQ46))</f>
        <v/>
      </c>
      <c r="AS46" s="184"/>
      <c r="AT46" s="185"/>
      <c r="AU46" s="186"/>
      <c r="AV46" s="187"/>
      <c r="AW46" s="249" t="str">
        <f>IF(COUNTBLANK(AS46:AV46)=4,"",SUM(AS46:AU46)+IF(Setup!$I$15="No",0,AV46))</f>
        <v/>
      </c>
      <c r="AX46" s="198"/>
      <c r="AY46" s="199"/>
      <c r="AZ46" s="200"/>
      <c r="BA46" s="201"/>
      <c r="BB46" s="253" t="str">
        <f>IF(COUNTBLANK(AX46:BA46)=4,"",SUM(AX46:AZ46)+IF(Setup!$I$15="No",0,BA46))</f>
        <v/>
      </c>
      <c r="BC46" s="257">
        <f ca="1">IF('Demand background (hide)'!A37=Num_Modalities,"",SUM(Demand!I46))</f>
        <v>70</v>
      </c>
      <c r="BD46" s="257">
        <f ca="1">IF(AND(A46&lt;=MaxRows,BE46&lt;&gt;"Yes"),'Demand background (hide)'!X37+IF(Setup!$I$15="Yes",'Demand background (hide)'!AJ37,0),"")</f>
        <v>140</v>
      </c>
      <c r="BE46" s="207"/>
    </row>
    <row r="47" spans="1:57" x14ac:dyDescent="0.25">
      <c r="A47">
        <f t="shared" ca="1" si="0"/>
        <v>35</v>
      </c>
      <c r="B47" s="260" t="str">
        <f t="shared" ca="1" si="1"/>
        <v xml:space="preserve"> </v>
      </c>
      <c r="C47" s="262">
        <f t="shared" ca="1" si="2"/>
        <v>44</v>
      </c>
      <c r="D47" s="348">
        <f t="shared" ca="1" si="3"/>
        <v>44130</v>
      </c>
      <c r="E47" s="184"/>
      <c r="F47" s="185"/>
      <c r="G47" s="186">
        <v>72</v>
      </c>
      <c r="H47" s="187"/>
      <c r="I47" s="249">
        <f>IF(COUNTBLANK(E47:H47)=4,"",SUM(E47:G47)+IF(Setup!$I$15="No",0,H47))</f>
        <v>72</v>
      </c>
      <c r="J47" s="198"/>
      <c r="K47" s="199"/>
      <c r="L47" s="200"/>
      <c r="M47" s="201"/>
      <c r="N47" s="253" t="str">
        <f>IF(COUNTBLANK(J47:M47)=4,"",SUM(J47:L47)+IF(Setup!$I$15="No",0,M47))</f>
        <v/>
      </c>
      <c r="O47" s="184"/>
      <c r="P47" s="185"/>
      <c r="Q47" s="186"/>
      <c r="R47" s="187"/>
      <c r="S47" s="249" t="str">
        <f>IF(COUNTBLANK(O47:R47)=4,"",SUM(O47:Q47)+IF(Setup!$I$15="No",0,R47))</f>
        <v/>
      </c>
      <c r="T47" s="198"/>
      <c r="U47" s="199"/>
      <c r="V47" s="200"/>
      <c r="W47" s="201"/>
      <c r="X47" s="253" t="str">
        <f>IF(COUNTBLANK(T47:W47)=4,"",SUM(T47:V47)+IF(Setup!$I$15="No",0,W47))</f>
        <v/>
      </c>
      <c r="Y47" s="184"/>
      <c r="Z47" s="185"/>
      <c r="AA47" s="186"/>
      <c r="AB47" s="187"/>
      <c r="AC47" s="249" t="str">
        <f>IF(COUNTBLANK(Y47:AB47)=4,"",SUM(Y47:AA47)+IF(Setup!$I$15="No",0,AB47))</f>
        <v/>
      </c>
      <c r="AD47" s="198"/>
      <c r="AE47" s="199"/>
      <c r="AF47" s="200"/>
      <c r="AG47" s="201"/>
      <c r="AH47" s="253" t="str">
        <f>IF(COUNTBLANK(AD47:AG47)=4,"",SUM(AD47:AF47)+IF(Setup!$I$15="No",0,AG47))</f>
        <v/>
      </c>
      <c r="AI47" s="184"/>
      <c r="AJ47" s="185"/>
      <c r="AK47" s="186"/>
      <c r="AL47" s="187"/>
      <c r="AM47" s="249" t="str">
        <f>IF(COUNTBLANK(AI47:AL47)=4,"",SUM(AI47:AK47)+IF(Setup!$I$15="No",0,AL47))</f>
        <v/>
      </c>
      <c r="AN47" s="198"/>
      <c r="AO47" s="199"/>
      <c r="AP47" s="200"/>
      <c r="AQ47" s="201"/>
      <c r="AR47" s="253" t="str">
        <f>IF(COUNTBLANK(AN47:AQ47)=4,"",SUM(AN47:AP47)+IF(Setup!$I$15="No",0,AQ47))</f>
        <v/>
      </c>
      <c r="AS47" s="184"/>
      <c r="AT47" s="185"/>
      <c r="AU47" s="186"/>
      <c r="AV47" s="187"/>
      <c r="AW47" s="249" t="str">
        <f>IF(COUNTBLANK(AS47:AV47)=4,"",SUM(AS47:AU47)+IF(Setup!$I$15="No",0,AV47))</f>
        <v/>
      </c>
      <c r="AX47" s="198"/>
      <c r="AY47" s="199"/>
      <c r="AZ47" s="200"/>
      <c r="BA47" s="201"/>
      <c r="BB47" s="253" t="str">
        <f>IF(COUNTBLANK(AX47:BA47)=4,"",SUM(AX47:AZ47)+IF(Setup!$I$15="No",0,BA47))</f>
        <v/>
      </c>
      <c r="BC47" s="257">
        <f ca="1">IF('Demand background (hide)'!A38=Num_Modalities,"",SUM(Demand!I47))</f>
        <v>72</v>
      </c>
      <c r="BD47" s="257">
        <f ca="1">IF(AND(A47&lt;=MaxRows,BE47&lt;&gt;"Yes"),'Demand background (hide)'!X38+IF(Setup!$I$15="Yes",'Demand background (hide)'!AJ38,0),"")</f>
        <v>144</v>
      </c>
      <c r="BE47" s="207"/>
    </row>
    <row r="48" spans="1:57" x14ac:dyDescent="0.25">
      <c r="A48">
        <f t="shared" ca="1" si="0"/>
        <v>36</v>
      </c>
      <c r="B48" s="260" t="str">
        <f t="shared" ca="1" si="1"/>
        <v xml:space="preserve"> </v>
      </c>
      <c r="C48" s="262">
        <f t="shared" ca="1" si="2"/>
        <v>45</v>
      </c>
      <c r="D48" s="348">
        <f t="shared" ca="1" si="3"/>
        <v>44137</v>
      </c>
      <c r="E48" s="184"/>
      <c r="F48" s="185"/>
      <c r="G48" s="186">
        <v>62</v>
      </c>
      <c r="H48" s="187"/>
      <c r="I48" s="249">
        <f>IF(COUNTBLANK(E48:H48)=4,"",SUM(E48:G48)+IF(Setup!$I$15="No",0,H48))</f>
        <v>62</v>
      </c>
      <c r="J48" s="198"/>
      <c r="K48" s="199"/>
      <c r="L48" s="200"/>
      <c r="M48" s="201"/>
      <c r="N48" s="253" t="str">
        <f>IF(COUNTBLANK(J48:M48)=4,"",SUM(J48:L48)+IF(Setup!$I$15="No",0,M48))</f>
        <v/>
      </c>
      <c r="O48" s="184"/>
      <c r="P48" s="185"/>
      <c r="Q48" s="186"/>
      <c r="R48" s="187"/>
      <c r="S48" s="249" t="str">
        <f>IF(COUNTBLANK(O48:R48)=4,"",SUM(O48:Q48)+IF(Setup!$I$15="No",0,R48))</f>
        <v/>
      </c>
      <c r="T48" s="198"/>
      <c r="U48" s="199"/>
      <c r="V48" s="200"/>
      <c r="W48" s="201"/>
      <c r="X48" s="253" t="str">
        <f>IF(COUNTBLANK(T48:W48)=4,"",SUM(T48:V48)+IF(Setup!$I$15="No",0,W48))</f>
        <v/>
      </c>
      <c r="Y48" s="184"/>
      <c r="Z48" s="185"/>
      <c r="AA48" s="186"/>
      <c r="AB48" s="187"/>
      <c r="AC48" s="249" t="str">
        <f>IF(COUNTBLANK(Y48:AB48)=4,"",SUM(Y48:AA48)+IF(Setup!$I$15="No",0,AB48))</f>
        <v/>
      </c>
      <c r="AD48" s="198"/>
      <c r="AE48" s="199"/>
      <c r="AF48" s="200"/>
      <c r="AG48" s="201"/>
      <c r="AH48" s="253" t="str">
        <f>IF(COUNTBLANK(AD48:AG48)=4,"",SUM(AD48:AF48)+IF(Setup!$I$15="No",0,AG48))</f>
        <v/>
      </c>
      <c r="AI48" s="184"/>
      <c r="AJ48" s="185"/>
      <c r="AK48" s="186"/>
      <c r="AL48" s="187"/>
      <c r="AM48" s="249" t="str">
        <f>IF(COUNTBLANK(AI48:AL48)=4,"",SUM(AI48:AK48)+IF(Setup!$I$15="No",0,AL48))</f>
        <v/>
      </c>
      <c r="AN48" s="198"/>
      <c r="AO48" s="199"/>
      <c r="AP48" s="200"/>
      <c r="AQ48" s="201"/>
      <c r="AR48" s="253" t="str">
        <f>IF(COUNTBLANK(AN48:AQ48)=4,"",SUM(AN48:AP48)+IF(Setup!$I$15="No",0,AQ48))</f>
        <v/>
      </c>
      <c r="AS48" s="184"/>
      <c r="AT48" s="185"/>
      <c r="AU48" s="186"/>
      <c r="AV48" s="187"/>
      <c r="AW48" s="249" t="str">
        <f>IF(COUNTBLANK(AS48:AV48)=4,"",SUM(AS48:AU48)+IF(Setup!$I$15="No",0,AV48))</f>
        <v/>
      </c>
      <c r="AX48" s="198"/>
      <c r="AY48" s="199"/>
      <c r="AZ48" s="200"/>
      <c r="BA48" s="201"/>
      <c r="BB48" s="253" t="str">
        <f>IF(COUNTBLANK(AX48:BA48)=4,"",SUM(AX48:AZ48)+IF(Setup!$I$15="No",0,BA48))</f>
        <v/>
      </c>
      <c r="BC48" s="257">
        <f ca="1">IF('Demand background (hide)'!A39=Num_Modalities,"",SUM(Demand!I48))</f>
        <v>62</v>
      </c>
      <c r="BD48" s="257">
        <f ca="1">IF(AND(A48&lt;=MaxRows,BE48&lt;&gt;"Yes"),'Demand background (hide)'!X39+IF(Setup!$I$15="Yes",'Demand background (hide)'!AJ39,0),"")</f>
        <v>124</v>
      </c>
      <c r="BE48" s="207"/>
    </row>
    <row r="49" spans="1:57" x14ac:dyDescent="0.25">
      <c r="A49">
        <f t="shared" ca="1" si="0"/>
        <v>37</v>
      </c>
      <c r="B49" s="260" t="str">
        <f t="shared" ca="1" si="1"/>
        <v xml:space="preserve"> </v>
      </c>
      <c r="C49" s="262">
        <f t="shared" ca="1" si="2"/>
        <v>46</v>
      </c>
      <c r="D49" s="348">
        <f t="shared" ca="1" si="3"/>
        <v>44144</v>
      </c>
      <c r="E49" s="184"/>
      <c r="F49" s="185"/>
      <c r="G49" s="186">
        <v>71</v>
      </c>
      <c r="H49" s="187"/>
      <c r="I49" s="249">
        <f>IF(COUNTBLANK(E49:H49)=4,"",SUM(E49:G49)+IF(Setup!$I$15="No",0,H49))</f>
        <v>71</v>
      </c>
      <c r="J49" s="198"/>
      <c r="K49" s="199"/>
      <c r="L49" s="200"/>
      <c r="M49" s="201"/>
      <c r="N49" s="253" t="str">
        <f>IF(COUNTBLANK(J49:M49)=4,"",SUM(J49:L49)+IF(Setup!$I$15="No",0,M49))</f>
        <v/>
      </c>
      <c r="O49" s="184"/>
      <c r="P49" s="185"/>
      <c r="Q49" s="186"/>
      <c r="R49" s="187"/>
      <c r="S49" s="249" t="str">
        <f>IF(COUNTBLANK(O49:R49)=4,"",SUM(O49:Q49)+IF(Setup!$I$15="No",0,R49))</f>
        <v/>
      </c>
      <c r="T49" s="198"/>
      <c r="U49" s="199"/>
      <c r="V49" s="200"/>
      <c r="W49" s="201"/>
      <c r="X49" s="253" t="str">
        <f>IF(COUNTBLANK(T49:W49)=4,"",SUM(T49:V49)+IF(Setup!$I$15="No",0,W49))</f>
        <v/>
      </c>
      <c r="Y49" s="184"/>
      <c r="Z49" s="185"/>
      <c r="AA49" s="186"/>
      <c r="AB49" s="187"/>
      <c r="AC49" s="249" t="str">
        <f>IF(COUNTBLANK(Y49:AB49)=4,"",SUM(Y49:AA49)+IF(Setup!$I$15="No",0,AB49))</f>
        <v/>
      </c>
      <c r="AD49" s="198"/>
      <c r="AE49" s="199"/>
      <c r="AF49" s="200"/>
      <c r="AG49" s="201"/>
      <c r="AH49" s="253" t="str">
        <f>IF(COUNTBLANK(AD49:AG49)=4,"",SUM(AD49:AF49)+IF(Setup!$I$15="No",0,AG49))</f>
        <v/>
      </c>
      <c r="AI49" s="184"/>
      <c r="AJ49" s="185"/>
      <c r="AK49" s="186"/>
      <c r="AL49" s="187"/>
      <c r="AM49" s="249" t="str">
        <f>IF(COUNTBLANK(AI49:AL49)=4,"",SUM(AI49:AK49)+IF(Setup!$I$15="No",0,AL49))</f>
        <v/>
      </c>
      <c r="AN49" s="198"/>
      <c r="AO49" s="199"/>
      <c r="AP49" s="200"/>
      <c r="AQ49" s="201"/>
      <c r="AR49" s="253" t="str">
        <f>IF(COUNTBLANK(AN49:AQ49)=4,"",SUM(AN49:AP49)+IF(Setup!$I$15="No",0,AQ49))</f>
        <v/>
      </c>
      <c r="AS49" s="184"/>
      <c r="AT49" s="185"/>
      <c r="AU49" s="186"/>
      <c r="AV49" s="187"/>
      <c r="AW49" s="249" t="str">
        <f>IF(COUNTBLANK(AS49:AV49)=4,"",SUM(AS49:AU49)+IF(Setup!$I$15="No",0,AV49))</f>
        <v/>
      </c>
      <c r="AX49" s="198"/>
      <c r="AY49" s="199"/>
      <c r="AZ49" s="200"/>
      <c r="BA49" s="201"/>
      <c r="BB49" s="253" t="str">
        <f>IF(COUNTBLANK(AX49:BA49)=4,"",SUM(AX49:AZ49)+IF(Setup!$I$15="No",0,BA49))</f>
        <v/>
      </c>
      <c r="BC49" s="257">
        <f ca="1">IF('Demand background (hide)'!A40=Num_Modalities,"",SUM(Demand!I49))</f>
        <v>71</v>
      </c>
      <c r="BD49" s="257">
        <f ca="1">IF(AND(A49&lt;=MaxRows,BE49&lt;&gt;"Yes"),'Demand background (hide)'!X40+IF(Setup!$I$15="Yes",'Demand background (hide)'!AJ40,0),"")</f>
        <v>142</v>
      </c>
      <c r="BE49" s="207"/>
    </row>
    <row r="50" spans="1:57" x14ac:dyDescent="0.25">
      <c r="A50">
        <f t="shared" ca="1" si="0"/>
        <v>38</v>
      </c>
      <c r="B50" s="260" t="str">
        <f t="shared" ca="1" si="1"/>
        <v xml:space="preserve"> </v>
      </c>
      <c r="C50" s="262">
        <f t="shared" ca="1" si="2"/>
        <v>47</v>
      </c>
      <c r="D50" s="348">
        <f t="shared" ca="1" si="3"/>
        <v>44151</v>
      </c>
      <c r="E50" s="184"/>
      <c r="F50" s="185"/>
      <c r="G50" s="186">
        <v>78</v>
      </c>
      <c r="H50" s="187"/>
      <c r="I50" s="249">
        <f>IF(COUNTBLANK(E50:H50)=4,"",SUM(E50:G50)+IF(Setup!$I$15="No",0,H50))</f>
        <v>78</v>
      </c>
      <c r="J50" s="198"/>
      <c r="K50" s="199"/>
      <c r="L50" s="200"/>
      <c r="M50" s="201"/>
      <c r="N50" s="253" t="str">
        <f>IF(COUNTBLANK(J50:M50)=4,"",SUM(J50:L50)+IF(Setup!$I$15="No",0,M50))</f>
        <v/>
      </c>
      <c r="O50" s="184"/>
      <c r="P50" s="185"/>
      <c r="Q50" s="186"/>
      <c r="R50" s="187"/>
      <c r="S50" s="249" t="str">
        <f>IF(COUNTBLANK(O50:R50)=4,"",SUM(O50:Q50)+IF(Setup!$I$15="No",0,R50))</f>
        <v/>
      </c>
      <c r="T50" s="198"/>
      <c r="U50" s="199"/>
      <c r="V50" s="200"/>
      <c r="W50" s="201"/>
      <c r="X50" s="253" t="str">
        <f>IF(COUNTBLANK(T50:W50)=4,"",SUM(T50:V50)+IF(Setup!$I$15="No",0,W50))</f>
        <v/>
      </c>
      <c r="Y50" s="184"/>
      <c r="Z50" s="185"/>
      <c r="AA50" s="186"/>
      <c r="AB50" s="187"/>
      <c r="AC50" s="249" t="str">
        <f>IF(COUNTBLANK(Y50:AB50)=4,"",SUM(Y50:AA50)+IF(Setup!$I$15="No",0,AB50))</f>
        <v/>
      </c>
      <c r="AD50" s="198"/>
      <c r="AE50" s="199"/>
      <c r="AF50" s="200"/>
      <c r="AG50" s="201"/>
      <c r="AH50" s="253" t="str">
        <f>IF(COUNTBLANK(AD50:AG50)=4,"",SUM(AD50:AF50)+IF(Setup!$I$15="No",0,AG50))</f>
        <v/>
      </c>
      <c r="AI50" s="184"/>
      <c r="AJ50" s="185"/>
      <c r="AK50" s="186"/>
      <c r="AL50" s="187"/>
      <c r="AM50" s="249" t="str">
        <f>IF(COUNTBLANK(AI50:AL50)=4,"",SUM(AI50:AK50)+IF(Setup!$I$15="No",0,AL50))</f>
        <v/>
      </c>
      <c r="AN50" s="198"/>
      <c r="AO50" s="199"/>
      <c r="AP50" s="200"/>
      <c r="AQ50" s="201"/>
      <c r="AR50" s="253" t="str">
        <f>IF(COUNTBLANK(AN50:AQ50)=4,"",SUM(AN50:AP50)+IF(Setup!$I$15="No",0,AQ50))</f>
        <v/>
      </c>
      <c r="AS50" s="184"/>
      <c r="AT50" s="185"/>
      <c r="AU50" s="186"/>
      <c r="AV50" s="187"/>
      <c r="AW50" s="249" t="str">
        <f>IF(COUNTBLANK(AS50:AV50)=4,"",SUM(AS50:AU50)+IF(Setup!$I$15="No",0,AV50))</f>
        <v/>
      </c>
      <c r="AX50" s="198"/>
      <c r="AY50" s="199"/>
      <c r="AZ50" s="200"/>
      <c r="BA50" s="201"/>
      <c r="BB50" s="253" t="str">
        <f>IF(COUNTBLANK(AX50:BA50)=4,"",SUM(AX50:AZ50)+IF(Setup!$I$15="No",0,BA50))</f>
        <v/>
      </c>
      <c r="BC50" s="257">
        <f ca="1">IF('Demand background (hide)'!A41=Num_Modalities,"",SUM(Demand!I50))</f>
        <v>78</v>
      </c>
      <c r="BD50" s="257">
        <f ca="1">IF(AND(A50&lt;=MaxRows,BE50&lt;&gt;"Yes"),'Demand background (hide)'!X41+IF(Setup!$I$15="Yes",'Demand background (hide)'!AJ41,0),"")</f>
        <v>156</v>
      </c>
      <c r="BE50" s="207"/>
    </row>
    <row r="51" spans="1:57" x14ac:dyDescent="0.25">
      <c r="A51">
        <f t="shared" ca="1" si="0"/>
        <v>39</v>
      </c>
      <c r="B51" s="260" t="str">
        <f t="shared" ca="1" si="1"/>
        <v xml:space="preserve"> </v>
      </c>
      <c r="C51" s="262">
        <f t="shared" ca="1" si="2"/>
        <v>48</v>
      </c>
      <c r="D51" s="348">
        <f t="shared" ca="1" si="3"/>
        <v>44158</v>
      </c>
      <c r="E51" s="184"/>
      <c r="F51" s="185"/>
      <c r="G51" s="186">
        <v>70</v>
      </c>
      <c r="H51" s="187"/>
      <c r="I51" s="249">
        <f>IF(COUNTBLANK(E51:H51)=4,"",SUM(E51:G51)+IF(Setup!$I$15="No",0,H51))</f>
        <v>70</v>
      </c>
      <c r="J51" s="198"/>
      <c r="K51" s="199"/>
      <c r="L51" s="200"/>
      <c r="M51" s="201"/>
      <c r="N51" s="253" t="str">
        <f>IF(COUNTBLANK(J51:M51)=4,"",SUM(J51:L51)+IF(Setup!$I$15="No",0,M51))</f>
        <v/>
      </c>
      <c r="O51" s="184"/>
      <c r="P51" s="185"/>
      <c r="Q51" s="186"/>
      <c r="R51" s="187"/>
      <c r="S51" s="249" t="str">
        <f>IF(COUNTBLANK(O51:R51)=4,"",SUM(O51:Q51)+IF(Setup!$I$15="No",0,R51))</f>
        <v/>
      </c>
      <c r="T51" s="198"/>
      <c r="U51" s="199"/>
      <c r="V51" s="200"/>
      <c r="W51" s="201"/>
      <c r="X51" s="253" t="str">
        <f>IF(COUNTBLANK(T51:W51)=4,"",SUM(T51:V51)+IF(Setup!$I$15="No",0,W51))</f>
        <v/>
      </c>
      <c r="Y51" s="184"/>
      <c r="Z51" s="185"/>
      <c r="AA51" s="186"/>
      <c r="AB51" s="187"/>
      <c r="AC51" s="249" t="str">
        <f>IF(COUNTBLANK(Y51:AB51)=4,"",SUM(Y51:AA51)+IF(Setup!$I$15="No",0,AB51))</f>
        <v/>
      </c>
      <c r="AD51" s="198"/>
      <c r="AE51" s="199"/>
      <c r="AF51" s="200"/>
      <c r="AG51" s="201"/>
      <c r="AH51" s="253" t="str">
        <f>IF(COUNTBLANK(AD51:AG51)=4,"",SUM(AD51:AF51)+IF(Setup!$I$15="No",0,AG51))</f>
        <v/>
      </c>
      <c r="AI51" s="184"/>
      <c r="AJ51" s="185"/>
      <c r="AK51" s="186"/>
      <c r="AL51" s="187"/>
      <c r="AM51" s="249" t="str">
        <f>IF(COUNTBLANK(AI51:AL51)=4,"",SUM(AI51:AK51)+IF(Setup!$I$15="No",0,AL51))</f>
        <v/>
      </c>
      <c r="AN51" s="198"/>
      <c r="AO51" s="199"/>
      <c r="AP51" s="200"/>
      <c r="AQ51" s="201"/>
      <c r="AR51" s="253" t="str">
        <f>IF(COUNTBLANK(AN51:AQ51)=4,"",SUM(AN51:AP51)+IF(Setup!$I$15="No",0,AQ51))</f>
        <v/>
      </c>
      <c r="AS51" s="184"/>
      <c r="AT51" s="185"/>
      <c r="AU51" s="186"/>
      <c r="AV51" s="187"/>
      <c r="AW51" s="249" t="str">
        <f>IF(COUNTBLANK(AS51:AV51)=4,"",SUM(AS51:AU51)+IF(Setup!$I$15="No",0,AV51))</f>
        <v/>
      </c>
      <c r="AX51" s="198"/>
      <c r="AY51" s="199"/>
      <c r="AZ51" s="200"/>
      <c r="BA51" s="201"/>
      <c r="BB51" s="253" t="str">
        <f>IF(COUNTBLANK(AX51:BA51)=4,"",SUM(AX51:AZ51)+IF(Setup!$I$15="No",0,BA51))</f>
        <v/>
      </c>
      <c r="BC51" s="257">
        <f ca="1">IF('Demand background (hide)'!A42=Num_Modalities,"",SUM(Demand!I51))</f>
        <v>70</v>
      </c>
      <c r="BD51" s="257">
        <f ca="1">IF(AND(A51&lt;=MaxRows,BE51&lt;&gt;"Yes"),'Demand background (hide)'!X42+IF(Setup!$I$15="Yes",'Demand background (hide)'!AJ42,0),"")</f>
        <v>140</v>
      </c>
      <c r="BE51" s="207"/>
    </row>
    <row r="52" spans="1:57" x14ac:dyDescent="0.25">
      <c r="A52">
        <f t="shared" ca="1" si="0"/>
        <v>40</v>
      </c>
      <c r="B52" s="260" t="str">
        <f t="shared" ca="1" si="1"/>
        <v xml:space="preserve"> </v>
      </c>
      <c r="C52" s="262">
        <f t="shared" ca="1" si="2"/>
        <v>49</v>
      </c>
      <c r="D52" s="348">
        <f t="shared" ca="1" si="3"/>
        <v>44165</v>
      </c>
      <c r="E52" s="184"/>
      <c r="F52" s="185"/>
      <c r="G52" s="186">
        <v>65</v>
      </c>
      <c r="H52" s="187"/>
      <c r="I52" s="249">
        <f>IF(COUNTBLANK(E52:H52)=4,"",SUM(E52:G52)+IF(Setup!$I$15="No",0,H52))</f>
        <v>65</v>
      </c>
      <c r="J52" s="198"/>
      <c r="K52" s="199"/>
      <c r="L52" s="200"/>
      <c r="M52" s="201"/>
      <c r="N52" s="253" t="str">
        <f>IF(COUNTBLANK(J52:M52)=4,"",SUM(J52:L52)+IF(Setup!$I$15="No",0,M52))</f>
        <v/>
      </c>
      <c r="O52" s="184"/>
      <c r="P52" s="185"/>
      <c r="Q52" s="186"/>
      <c r="R52" s="187"/>
      <c r="S52" s="249" t="str">
        <f>IF(COUNTBLANK(O52:R52)=4,"",SUM(O52:Q52)+IF(Setup!$I$15="No",0,R52))</f>
        <v/>
      </c>
      <c r="T52" s="198"/>
      <c r="U52" s="199"/>
      <c r="V52" s="200"/>
      <c r="W52" s="201"/>
      <c r="X52" s="253" t="str">
        <f>IF(COUNTBLANK(T52:W52)=4,"",SUM(T52:V52)+IF(Setup!$I$15="No",0,W52))</f>
        <v/>
      </c>
      <c r="Y52" s="184"/>
      <c r="Z52" s="185"/>
      <c r="AA52" s="186"/>
      <c r="AB52" s="187"/>
      <c r="AC52" s="249" t="str">
        <f>IF(COUNTBLANK(Y52:AB52)=4,"",SUM(Y52:AA52)+IF(Setup!$I$15="No",0,AB52))</f>
        <v/>
      </c>
      <c r="AD52" s="198"/>
      <c r="AE52" s="199"/>
      <c r="AF52" s="200"/>
      <c r="AG52" s="201"/>
      <c r="AH52" s="253" t="str">
        <f>IF(COUNTBLANK(AD52:AG52)=4,"",SUM(AD52:AF52)+IF(Setup!$I$15="No",0,AG52))</f>
        <v/>
      </c>
      <c r="AI52" s="184"/>
      <c r="AJ52" s="185"/>
      <c r="AK52" s="186"/>
      <c r="AL52" s="187"/>
      <c r="AM52" s="249" t="str">
        <f>IF(COUNTBLANK(AI52:AL52)=4,"",SUM(AI52:AK52)+IF(Setup!$I$15="No",0,AL52))</f>
        <v/>
      </c>
      <c r="AN52" s="198"/>
      <c r="AO52" s="199"/>
      <c r="AP52" s="200"/>
      <c r="AQ52" s="201"/>
      <c r="AR52" s="253" t="str">
        <f>IF(COUNTBLANK(AN52:AQ52)=4,"",SUM(AN52:AP52)+IF(Setup!$I$15="No",0,AQ52))</f>
        <v/>
      </c>
      <c r="AS52" s="184"/>
      <c r="AT52" s="185"/>
      <c r="AU52" s="186"/>
      <c r="AV52" s="187"/>
      <c r="AW52" s="249" t="str">
        <f>IF(COUNTBLANK(AS52:AV52)=4,"",SUM(AS52:AU52)+IF(Setup!$I$15="No",0,AV52))</f>
        <v/>
      </c>
      <c r="AX52" s="198"/>
      <c r="AY52" s="199"/>
      <c r="AZ52" s="200"/>
      <c r="BA52" s="201"/>
      <c r="BB52" s="253" t="str">
        <f>IF(COUNTBLANK(AX52:BA52)=4,"",SUM(AX52:AZ52)+IF(Setup!$I$15="No",0,BA52))</f>
        <v/>
      </c>
      <c r="BC52" s="257">
        <f ca="1">IF('Demand background (hide)'!A43=Num_Modalities,"",SUM(Demand!I52))</f>
        <v>65</v>
      </c>
      <c r="BD52" s="257">
        <f ca="1">IF(AND(A52&lt;=MaxRows,BE52&lt;&gt;"Yes"),'Demand background (hide)'!X43+IF(Setup!$I$15="Yes",'Demand background (hide)'!AJ43,0),"")</f>
        <v>130</v>
      </c>
      <c r="BE52" s="207"/>
    </row>
    <row r="53" spans="1:57" x14ac:dyDescent="0.25">
      <c r="A53">
        <f t="shared" ca="1" si="0"/>
        <v>41</v>
      </c>
      <c r="B53" s="260" t="str">
        <f t="shared" ca="1" si="1"/>
        <v xml:space="preserve"> </v>
      </c>
      <c r="C53" s="262">
        <f t="shared" ca="1" si="2"/>
        <v>50</v>
      </c>
      <c r="D53" s="348">
        <f t="shared" ca="1" si="3"/>
        <v>44172</v>
      </c>
      <c r="E53" s="184"/>
      <c r="F53" s="185"/>
      <c r="G53" s="186">
        <v>60</v>
      </c>
      <c r="H53" s="187"/>
      <c r="I53" s="249">
        <f>IF(COUNTBLANK(E53:H53)=4,"",SUM(E53:G53)+IF(Setup!$I$15="No",0,H53))</f>
        <v>60</v>
      </c>
      <c r="J53" s="198"/>
      <c r="K53" s="199"/>
      <c r="L53" s="200"/>
      <c r="M53" s="201"/>
      <c r="N53" s="253" t="str">
        <f>IF(COUNTBLANK(J53:M53)=4,"",SUM(J53:L53)+IF(Setup!$I$15="No",0,M53))</f>
        <v/>
      </c>
      <c r="O53" s="184"/>
      <c r="P53" s="185"/>
      <c r="Q53" s="186"/>
      <c r="R53" s="187"/>
      <c r="S53" s="249" t="str">
        <f>IF(COUNTBLANK(O53:R53)=4,"",SUM(O53:Q53)+IF(Setup!$I$15="No",0,R53))</f>
        <v/>
      </c>
      <c r="T53" s="198"/>
      <c r="U53" s="199"/>
      <c r="V53" s="200"/>
      <c r="W53" s="201"/>
      <c r="X53" s="253" t="str">
        <f>IF(COUNTBLANK(T53:W53)=4,"",SUM(T53:V53)+IF(Setup!$I$15="No",0,W53))</f>
        <v/>
      </c>
      <c r="Y53" s="184"/>
      <c r="Z53" s="185"/>
      <c r="AA53" s="186"/>
      <c r="AB53" s="187"/>
      <c r="AC53" s="249" t="str">
        <f>IF(COUNTBLANK(Y53:AB53)=4,"",SUM(Y53:AA53)+IF(Setup!$I$15="No",0,AB53))</f>
        <v/>
      </c>
      <c r="AD53" s="198"/>
      <c r="AE53" s="199"/>
      <c r="AF53" s="200"/>
      <c r="AG53" s="201"/>
      <c r="AH53" s="253" t="str">
        <f>IF(COUNTBLANK(AD53:AG53)=4,"",SUM(AD53:AF53)+IF(Setup!$I$15="No",0,AG53))</f>
        <v/>
      </c>
      <c r="AI53" s="184"/>
      <c r="AJ53" s="185"/>
      <c r="AK53" s="186"/>
      <c r="AL53" s="187"/>
      <c r="AM53" s="249" t="str">
        <f>IF(COUNTBLANK(AI53:AL53)=4,"",SUM(AI53:AK53)+IF(Setup!$I$15="No",0,AL53))</f>
        <v/>
      </c>
      <c r="AN53" s="198"/>
      <c r="AO53" s="199"/>
      <c r="AP53" s="200"/>
      <c r="AQ53" s="201"/>
      <c r="AR53" s="253" t="str">
        <f>IF(COUNTBLANK(AN53:AQ53)=4,"",SUM(AN53:AP53)+IF(Setup!$I$15="No",0,AQ53))</f>
        <v/>
      </c>
      <c r="AS53" s="184"/>
      <c r="AT53" s="185"/>
      <c r="AU53" s="186"/>
      <c r="AV53" s="187"/>
      <c r="AW53" s="249" t="str">
        <f>IF(COUNTBLANK(AS53:AV53)=4,"",SUM(AS53:AU53)+IF(Setup!$I$15="No",0,AV53))</f>
        <v/>
      </c>
      <c r="AX53" s="198"/>
      <c r="AY53" s="199"/>
      <c r="AZ53" s="200"/>
      <c r="BA53" s="201"/>
      <c r="BB53" s="253" t="str">
        <f>IF(COUNTBLANK(AX53:BA53)=4,"",SUM(AX53:AZ53)+IF(Setup!$I$15="No",0,BA53))</f>
        <v/>
      </c>
      <c r="BC53" s="257">
        <f ca="1">IF('Demand background (hide)'!A44=Num_Modalities,"",SUM(Demand!I53))</f>
        <v>60</v>
      </c>
      <c r="BD53" s="257">
        <f ca="1">IF(AND(A53&lt;=MaxRows,BE53&lt;&gt;"Yes"),'Demand background (hide)'!X44+IF(Setup!$I$15="Yes",'Demand background (hide)'!AJ44,0),"")</f>
        <v>120</v>
      </c>
      <c r="BE53" s="207"/>
    </row>
    <row r="54" spans="1:57" x14ac:dyDescent="0.25">
      <c r="A54">
        <f t="shared" ca="1" si="0"/>
        <v>42</v>
      </c>
      <c r="B54" s="260" t="str">
        <f t="shared" ca="1" si="1"/>
        <v xml:space="preserve"> </v>
      </c>
      <c r="C54" s="262">
        <f t="shared" ca="1" si="2"/>
        <v>51</v>
      </c>
      <c r="D54" s="348">
        <f t="shared" ca="1" si="3"/>
        <v>44179</v>
      </c>
      <c r="E54" s="184"/>
      <c r="F54" s="185"/>
      <c r="G54" s="186">
        <v>75</v>
      </c>
      <c r="H54" s="187"/>
      <c r="I54" s="249">
        <f>IF(COUNTBLANK(E54:H54)=4,"",SUM(E54:G54)+IF(Setup!$I$15="No",0,H54))</f>
        <v>75</v>
      </c>
      <c r="J54" s="198"/>
      <c r="K54" s="199"/>
      <c r="L54" s="200"/>
      <c r="M54" s="201"/>
      <c r="N54" s="253" t="str">
        <f>IF(COUNTBLANK(J54:M54)=4,"",SUM(J54:L54)+IF(Setup!$I$15="No",0,M54))</f>
        <v/>
      </c>
      <c r="O54" s="184"/>
      <c r="P54" s="185"/>
      <c r="Q54" s="186"/>
      <c r="R54" s="187"/>
      <c r="S54" s="249" t="str">
        <f>IF(COUNTBLANK(O54:R54)=4,"",SUM(O54:Q54)+IF(Setup!$I$15="No",0,R54))</f>
        <v/>
      </c>
      <c r="T54" s="198"/>
      <c r="U54" s="199"/>
      <c r="V54" s="200"/>
      <c r="W54" s="201"/>
      <c r="X54" s="253" t="str">
        <f>IF(COUNTBLANK(T54:W54)=4,"",SUM(T54:V54)+IF(Setup!$I$15="No",0,W54))</f>
        <v/>
      </c>
      <c r="Y54" s="184"/>
      <c r="Z54" s="185"/>
      <c r="AA54" s="186"/>
      <c r="AB54" s="187"/>
      <c r="AC54" s="249" t="str">
        <f>IF(COUNTBLANK(Y54:AB54)=4,"",SUM(Y54:AA54)+IF(Setup!$I$15="No",0,AB54))</f>
        <v/>
      </c>
      <c r="AD54" s="198"/>
      <c r="AE54" s="199"/>
      <c r="AF54" s="200"/>
      <c r="AG54" s="201"/>
      <c r="AH54" s="253" t="str">
        <f>IF(COUNTBLANK(AD54:AG54)=4,"",SUM(AD54:AF54)+IF(Setup!$I$15="No",0,AG54))</f>
        <v/>
      </c>
      <c r="AI54" s="184"/>
      <c r="AJ54" s="185"/>
      <c r="AK54" s="186"/>
      <c r="AL54" s="187"/>
      <c r="AM54" s="249" t="str">
        <f>IF(COUNTBLANK(AI54:AL54)=4,"",SUM(AI54:AK54)+IF(Setup!$I$15="No",0,AL54))</f>
        <v/>
      </c>
      <c r="AN54" s="198"/>
      <c r="AO54" s="199"/>
      <c r="AP54" s="200"/>
      <c r="AQ54" s="201"/>
      <c r="AR54" s="253" t="str">
        <f>IF(COUNTBLANK(AN54:AQ54)=4,"",SUM(AN54:AP54)+IF(Setup!$I$15="No",0,AQ54))</f>
        <v/>
      </c>
      <c r="AS54" s="184"/>
      <c r="AT54" s="185"/>
      <c r="AU54" s="186"/>
      <c r="AV54" s="187"/>
      <c r="AW54" s="249" t="str">
        <f>IF(COUNTBLANK(AS54:AV54)=4,"",SUM(AS54:AU54)+IF(Setup!$I$15="No",0,AV54))</f>
        <v/>
      </c>
      <c r="AX54" s="198"/>
      <c r="AY54" s="199"/>
      <c r="AZ54" s="200"/>
      <c r="BA54" s="201"/>
      <c r="BB54" s="253" t="str">
        <f>IF(COUNTBLANK(AX54:BA54)=4,"",SUM(AX54:AZ54)+IF(Setup!$I$15="No",0,BA54))</f>
        <v/>
      </c>
      <c r="BC54" s="257">
        <f ca="1">IF('Demand background (hide)'!A45=Num_Modalities,"",SUM(Demand!I54))</f>
        <v>75</v>
      </c>
      <c r="BD54" s="257">
        <f ca="1">IF(AND(A54&lt;=MaxRows,BE54&lt;&gt;"Yes"),'Demand background (hide)'!X45+IF(Setup!$I$15="Yes",'Demand background (hide)'!AJ45,0),"")</f>
        <v>150</v>
      </c>
      <c r="BE54" s="207"/>
    </row>
    <row r="55" spans="1:57" x14ac:dyDescent="0.25">
      <c r="A55">
        <f t="shared" ca="1" si="0"/>
        <v>43</v>
      </c>
      <c r="B55" s="260" t="str">
        <f t="shared" ca="1" si="1"/>
        <v xml:space="preserve"> </v>
      </c>
      <c r="C55" s="262">
        <f t="shared" ca="1" si="2"/>
        <v>52</v>
      </c>
      <c r="D55" s="348">
        <f t="shared" ca="1" si="3"/>
        <v>44186</v>
      </c>
      <c r="E55" s="184"/>
      <c r="F55" s="185"/>
      <c r="G55" s="186">
        <v>77</v>
      </c>
      <c r="H55" s="187"/>
      <c r="I55" s="249">
        <f>IF(COUNTBLANK(E55:H55)=4,"",SUM(E55:G55)+IF(Setup!$I$15="No",0,H55))</f>
        <v>77</v>
      </c>
      <c r="J55" s="198"/>
      <c r="K55" s="199"/>
      <c r="L55" s="200"/>
      <c r="M55" s="201"/>
      <c r="N55" s="253" t="str">
        <f>IF(COUNTBLANK(J55:M55)=4,"",SUM(J55:L55)+IF(Setup!$I$15="No",0,M55))</f>
        <v/>
      </c>
      <c r="O55" s="184"/>
      <c r="P55" s="185"/>
      <c r="Q55" s="186"/>
      <c r="R55" s="187"/>
      <c r="S55" s="249" t="str">
        <f>IF(COUNTBLANK(O55:R55)=4,"",SUM(O55:Q55)+IF(Setup!$I$15="No",0,R55))</f>
        <v/>
      </c>
      <c r="T55" s="198"/>
      <c r="U55" s="199"/>
      <c r="V55" s="200"/>
      <c r="W55" s="201"/>
      <c r="X55" s="253" t="str">
        <f>IF(COUNTBLANK(T55:W55)=4,"",SUM(T55:V55)+IF(Setup!$I$15="No",0,W55))</f>
        <v/>
      </c>
      <c r="Y55" s="184"/>
      <c r="Z55" s="185"/>
      <c r="AA55" s="186"/>
      <c r="AB55" s="187"/>
      <c r="AC55" s="249" t="str">
        <f>IF(COUNTBLANK(Y55:AB55)=4,"",SUM(Y55:AA55)+IF(Setup!$I$15="No",0,AB55))</f>
        <v/>
      </c>
      <c r="AD55" s="198"/>
      <c r="AE55" s="199"/>
      <c r="AF55" s="200"/>
      <c r="AG55" s="201"/>
      <c r="AH55" s="253" t="str">
        <f>IF(COUNTBLANK(AD55:AG55)=4,"",SUM(AD55:AF55)+IF(Setup!$I$15="No",0,AG55))</f>
        <v/>
      </c>
      <c r="AI55" s="184"/>
      <c r="AJ55" s="185"/>
      <c r="AK55" s="186"/>
      <c r="AL55" s="187"/>
      <c r="AM55" s="249" t="str">
        <f>IF(COUNTBLANK(AI55:AL55)=4,"",SUM(AI55:AK55)+IF(Setup!$I$15="No",0,AL55))</f>
        <v/>
      </c>
      <c r="AN55" s="198"/>
      <c r="AO55" s="199"/>
      <c r="AP55" s="200"/>
      <c r="AQ55" s="201"/>
      <c r="AR55" s="253" t="str">
        <f>IF(COUNTBLANK(AN55:AQ55)=4,"",SUM(AN55:AP55)+IF(Setup!$I$15="No",0,AQ55))</f>
        <v/>
      </c>
      <c r="AS55" s="184"/>
      <c r="AT55" s="185"/>
      <c r="AU55" s="186"/>
      <c r="AV55" s="187"/>
      <c r="AW55" s="249" t="str">
        <f>IF(COUNTBLANK(AS55:AV55)=4,"",SUM(AS55:AU55)+IF(Setup!$I$15="No",0,AV55))</f>
        <v/>
      </c>
      <c r="AX55" s="198"/>
      <c r="AY55" s="199"/>
      <c r="AZ55" s="200"/>
      <c r="BA55" s="201"/>
      <c r="BB55" s="253" t="str">
        <f>IF(COUNTBLANK(AX55:BA55)=4,"",SUM(AX55:AZ55)+IF(Setup!$I$15="No",0,BA55))</f>
        <v/>
      </c>
      <c r="BC55" s="257">
        <f ca="1">IF('Demand background (hide)'!A46=Num_Modalities,"",SUM(Demand!I55))</f>
        <v>77</v>
      </c>
      <c r="BD55" s="257">
        <f ca="1">IF(AND(A55&lt;=MaxRows,BE55&lt;&gt;"Yes"),'Demand background (hide)'!X46+IF(Setup!$I$15="Yes",'Demand background (hide)'!AJ46,0),"")</f>
        <v>154</v>
      </c>
      <c r="BE55" s="207"/>
    </row>
    <row r="56" spans="1:57" x14ac:dyDescent="0.25">
      <c r="A56">
        <f t="shared" ca="1" si="0"/>
        <v>44</v>
      </c>
      <c r="B56" s="260" t="str">
        <f t="shared" ca="1" si="1"/>
        <v xml:space="preserve"> </v>
      </c>
      <c r="C56" s="262">
        <f t="shared" ca="1" si="2"/>
        <v>53</v>
      </c>
      <c r="D56" s="348">
        <f t="shared" ca="1" si="3"/>
        <v>44193</v>
      </c>
      <c r="E56" s="184"/>
      <c r="F56" s="185"/>
      <c r="G56" s="186">
        <v>70</v>
      </c>
      <c r="H56" s="187"/>
      <c r="I56" s="249">
        <f>IF(COUNTBLANK(E56:H56)=4,"",SUM(E56:G56)+IF(Setup!$I$15="No",0,H56))</f>
        <v>70</v>
      </c>
      <c r="J56" s="198"/>
      <c r="K56" s="199"/>
      <c r="L56" s="200"/>
      <c r="M56" s="201"/>
      <c r="N56" s="253" t="str">
        <f>IF(COUNTBLANK(J56:M56)=4,"",SUM(J56:L56)+IF(Setup!$I$15="No",0,M56))</f>
        <v/>
      </c>
      <c r="O56" s="184"/>
      <c r="P56" s="185"/>
      <c r="Q56" s="186"/>
      <c r="R56" s="187"/>
      <c r="S56" s="249" t="str">
        <f>IF(COUNTBLANK(O56:R56)=4,"",SUM(O56:Q56)+IF(Setup!$I$15="No",0,R56))</f>
        <v/>
      </c>
      <c r="T56" s="198"/>
      <c r="U56" s="199"/>
      <c r="V56" s="200"/>
      <c r="W56" s="201"/>
      <c r="X56" s="253" t="str">
        <f>IF(COUNTBLANK(T56:W56)=4,"",SUM(T56:V56)+IF(Setup!$I$15="No",0,W56))</f>
        <v/>
      </c>
      <c r="Y56" s="184"/>
      <c r="Z56" s="185"/>
      <c r="AA56" s="186"/>
      <c r="AB56" s="187"/>
      <c r="AC56" s="249" t="str">
        <f>IF(COUNTBLANK(Y56:AB56)=4,"",SUM(Y56:AA56)+IF(Setup!$I$15="No",0,AB56))</f>
        <v/>
      </c>
      <c r="AD56" s="198"/>
      <c r="AE56" s="199"/>
      <c r="AF56" s="200"/>
      <c r="AG56" s="201"/>
      <c r="AH56" s="253" t="str">
        <f>IF(COUNTBLANK(AD56:AG56)=4,"",SUM(AD56:AF56)+IF(Setup!$I$15="No",0,AG56))</f>
        <v/>
      </c>
      <c r="AI56" s="184"/>
      <c r="AJ56" s="185"/>
      <c r="AK56" s="186"/>
      <c r="AL56" s="187"/>
      <c r="AM56" s="249" t="str">
        <f>IF(COUNTBLANK(AI56:AL56)=4,"",SUM(AI56:AK56)+IF(Setup!$I$15="No",0,AL56))</f>
        <v/>
      </c>
      <c r="AN56" s="198"/>
      <c r="AO56" s="199"/>
      <c r="AP56" s="200"/>
      <c r="AQ56" s="201"/>
      <c r="AR56" s="253" t="str">
        <f>IF(COUNTBLANK(AN56:AQ56)=4,"",SUM(AN56:AP56)+IF(Setup!$I$15="No",0,AQ56))</f>
        <v/>
      </c>
      <c r="AS56" s="184"/>
      <c r="AT56" s="185"/>
      <c r="AU56" s="186"/>
      <c r="AV56" s="187"/>
      <c r="AW56" s="249" t="str">
        <f>IF(COUNTBLANK(AS56:AV56)=4,"",SUM(AS56:AU56)+IF(Setup!$I$15="No",0,AV56))</f>
        <v/>
      </c>
      <c r="AX56" s="198"/>
      <c r="AY56" s="199"/>
      <c r="AZ56" s="200"/>
      <c r="BA56" s="201"/>
      <c r="BB56" s="253" t="str">
        <f>IF(COUNTBLANK(AX56:BA56)=4,"",SUM(AX56:AZ56)+IF(Setup!$I$15="No",0,BA56))</f>
        <v/>
      </c>
      <c r="BC56" s="257">
        <f ca="1">IF('Demand background (hide)'!A47=Num_Modalities,"",SUM(Demand!I56))</f>
        <v>70</v>
      </c>
      <c r="BD56" s="257">
        <f ca="1">IF(AND(A56&lt;=MaxRows,BE56&lt;&gt;"Yes"),'Demand background (hide)'!X47+IF(Setup!$I$15="Yes",'Demand background (hide)'!AJ47,0),"")</f>
        <v>140</v>
      </c>
      <c r="BE56" s="207"/>
    </row>
    <row r="57" spans="1:57" x14ac:dyDescent="0.25">
      <c r="A57">
        <f t="shared" ca="1" si="0"/>
        <v>45</v>
      </c>
      <c r="B57" s="260">
        <f t="shared" ca="1" si="1"/>
        <v>2021</v>
      </c>
      <c r="C57" s="262">
        <f t="shared" ca="1" si="2"/>
        <v>1</v>
      </c>
      <c r="D57" s="348">
        <f t="shared" ca="1" si="3"/>
        <v>44200</v>
      </c>
      <c r="E57" s="184"/>
      <c r="F57" s="185"/>
      <c r="G57" s="186">
        <v>68</v>
      </c>
      <c r="H57" s="187"/>
      <c r="I57" s="249">
        <f>IF(COUNTBLANK(E57:H57)=4,"",SUM(E57:G57)+IF(Setup!$I$15="No",0,H57))</f>
        <v>68</v>
      </c>
      <c r="J57" s="198"/>
      <c r="K57" s="199"/>
      <c r="L57" s="200"/>
      <c r="M57" s="201"/>
      <c r="N57" s="253" t="str">
        <f>IF(COUNTBLANK(J57:M57)=4,"",SUM(J57:L57)+IF(Setup!$I$15="No",0,M57))</f>
        <v/>
      </c>
      <c r="O57" s="184"/>
      <c r="P57" s="185"/>
      <c r="Q57" s="186"/>
      <c r="R57" s="187"/>
      <c r="S57" s="249" t="str">
        <f>IF(COUNTBLANK(O57:R57)=4,"",SUM(O57:Q57)+IF(Setup!$I$15="No",0,R57))</f>
        <v/>
      </c>
      <c r="T57" s="198"/>
      <c r="U57" s="199"/>
      <c r="V57" s="200"/>
      <c r="W57" s="201"/>
      <c r="X57" s="253" t="str">
        <f>IF(COUNTBLANK(T57:W57)=4,"",SUM(T57:V57)+IF(Setup!$I$15="No",0,W57))</f>
        <v/>
      </c>
      <c r="Y57" s="184"/>
      <c r="Z57" s="185"/>
      <c r="AA57" s="186"/>
      <c r="AB57" s="187"/>
      <c r="AC57" s="249" t="str">
        <f>IF(COUNTBLANK(Y57:AB57)=4,"",SUM(Y57:AA57)+IF(Setup!$I$15="No",0,AB57))</f>
        <v/>
      </c>
      <c r="AD57" s="198"/>
      <c r="AE57" s="199"/>
      <c r="AF57" s="200"/>
      <c r="AG57" s="201"/>
      <c r="AH57" s="253" t="str">
        <f>IF(COUNTBLANK(AD57:AG57)=4,"",SUM(AD57:AF57)+IF(Setup!$I$15="No",0,AG57))</f>
        <v/>
      </c>
      <c r="AI57" s="184"/>
      <c r="AJ57" s="185"/>
      <c r="AK57" s="186"/>
      <c r="AL57" s="187"/>
      <c r="AM57" s="249" t="str">
        <f>IF(COUNTBLANK(AI57:AL57)=4,"",SUM(AI57:AK57)+IF(Setup!$I$15="No",0,AL57))</f>
        <v/>
      </c>
      <c r="AN57" s="198"/>
      <c r="AO57" s="199"/>
      <c r="AP57" s="200"/>
      <c r="AQ57" s="201"/>
      <c r="AR57" s="253" t="str">
        <f>IF(COUNTBLANK(AN57:AQ57)=4,"",SUM(AN57:AP57)+IF(Setup!$I$15="No",0,AQ57))</f>
        <v/>
      </c>
      <c r="AS57" s="184"/>
      <c r="AT57" s="185"/>
      <c r="AU57" s="186"/>
      <c r="AV57" s="187"/>
      <c r="AW57" s="249" t="str">
        <f>IF(COUNTBLANK(AS57:AV57)=4,"",SUM(AS57:AU57)+IF(Setup!$I$15="No",0,AV57))</f>
        <v/>
      </c>
      <c r="AX57" s="198"/>
      <c r="AY57" s="199"/>
      <c r="AZ57" s="200"/>
      <c r="BA57" s="201"/>
      <c r="BB57" s="253" t="str">
        <f>IF(COUNTBLANK(AX57:BA57)=4,"",SUM(AX57:AZ57)+IF(Setup!$I$15="No",0,BA57))</f>
        <v/>
      </c>
      <c r="BC57" s="257">
        <f ca="1">IF('Demand background (hide)'!A48=Num_Modalities,"",SUM(Demand!I57))</f>
        <v>68</v>
      </c>
      <c r="BD57" s="257">
        <f ca="1">IF(AND(A57&lt;=MaxRows,BE57&lt;&gt;"Yes"),'Demand background (hide)'!X48+IF(Setup!$I$15="Yes",'Demand background (hide)'!AJ48,0),"")</f>
        <v>136</v>
      </c>
      <c r="BE57" s="207"/>
    </row>
    <row r="58" spans="1:57" x14ac:dyDescent="0.25">
      <c r="A58">
        <f t="shared" ca="1" si="0"/>
        <v>46</v>
      </c>
      <c r="B58" s="260" t="str">
        <f t="shared" ca="1" si="1"/>
        <v xml:space="preserve"> </v>
      </c>
      <c r="C58" s="262">
        <f t="shared" ca="1" si="2"/>
        <v>2</v>
      </c>
      <c r="D58" s="348">
        <f t="shared" ca="1" si="3"/>
        <v>44207</v>
      </c>
      <c r="E58" s="184"/>
      <c r="F58" s="185"/>
      <c r="G58" s="186">
        <v>76</v>
      </c>
      <c r="H58" s="187"/>
      <c r="I58" s="249">
        <f>IF(COUNTBLANK(E58:H58)=4,"",SUM(E58:G58)+IF(Setup!$I$15="No",0,H58))</f>
        <v>76</v>
      </c>
      <c r="J58" s="198"/>
      <c r="K58" s="199"/>
      <c r="L58" s="200"/>
      <c r="M58" s="201"/>
      <c r="N58" s="253" t="str">
        <f>IF(COUNTBLANK(J58:M58)=4,"",SUM(J58:L58)+IF(Setup!$I$15="No",0,M58))</f>
        <v/>
      </c>
      <c r="O58" s="184"/>
      <c r="P58" s="185"/>
      <c r="Q58" s="186"/>
      <c r="R58" s="187"/>
      <c r="S58" s="249" t="str">
        <f>IF(COUNTBLANK(O58:R58)=4,"",SUM(O58:Q58)+IF(Setup!$I$15="No",0,R58))</f>
        <v/>
      </c>
      <c r="T58" s="198"/>
      <c r="U58" s="199"/>
      <c r="V58" s="200"/>
      <c r="W58" s="201"/>
      <c r="X58" s="253" t="str">
        <f>IF(COUNTBLANK(T58:W58)=4,"",SUM(T58:V58)+IF(Setup!$I$15="No",0,W58))</f>
        <v/>
      </c>
      <c r="Y58" s="184"/>
      <c r="Z58" s="185"/>
      <c r="AA58" s="186"/>
      <c r="AB58" s="187"/>
      <c r="AC58" s="249" t="str">
        <f>IF(COUNTBLANK(Y58:AB58)=4,"",SUM(Y58:AA58)+IF(Setup!$I$15="No",0,AB58))</f>
        <v/>
      </c>
      <c r="AD58" s="198"/>
      <c r="AE58" s="199"/>
      <c r="AF58" s="200"/>
      <c r="AG58" s="201"/>
      <c r="AH58" s="253" t="str">
        <f>IF(COUNTBLANK(AD58:AG58)=4,"",SUM(AD58:AF58)+IF(Setup!$I$15="No",0,AG58))</f>
        <v/>
      </c>
      <c r="AI58" s="184"/>
      <c r="AJ58" s="185"/>
      <c r="AK58" s="186"/>
      <c r="AL58" s="187"/>
      <c r="AM58" s="249" t="str">
        <f>IF(COUNTBLANK(AI58:AL58)=4,"",SUM(AI58:AK58)+IF(Setup!$I$15="No",0,AL58))</f>
        <v/>
      </c>
      <c r="AN58" s="198"/>
      <c r="AO58" s="199"/>
      <c r="AP58" s="200"/>
      <c r="AQ58" s="201"/>
      <c r="AR58" s="253" t="str">
        <f>IF(COUNTBLANK(AN58:AQ58)=4,"",SUM(AN58:AP58)+IF(Setup!$I$15="No",0,AQ58))</f>
        <v/>
      </c>
      <c r="AS58" s="184"/>
      <c r="AT58" s="185"/>
      <c r="AU58" s="186"/>
      <c r="AV58" s="187"/>
      <c r="AW58" s="249" t="str">
        <f>IF(COUNTBLANK(AS58:AV58)=4,"",SUM(AS58:AU58)+IF(Setup!$I$15="No",0,AV58))</f>
        <v/>
      </c>
      <c r="AX58" s="198"/>
      <c r="AY58" s="199"/>
      <c r="AZ58" s="200"/>
      <c r="BA58" s="201"/>
      <c r="BB58" s="253" t="str">
        <f>IF(COUNTBLANK(AX58:BA58)=4,"",SUM(AX58:AZ58)+IF(Setup!$I$15="No",0,BA58))</f>
        <v/>
      </c>
      <c r="BC58" s="257">
        <f ca="1">IF('Demand background (hide)'!A49=Num_Modalities,"",SUM(Demand!I58))</f>
        <v>76</v>
      </c>
      <c r="BD58" s="257">
        <f ca="1">IF(AND(A58&lt;=MaxRows,BE58&lt;&gt;"Yes"),'Demand background (hide)'!X49+IF(Setup!$I$15="Yes",'Demand background (hide)'!AJ49,0),"")</f>
        <v>152</v>
      </c>
      <c r="BE58" s="207"/>
    </row>
    <row r="59" spans="1:57" x14ac:dyDescent="0.25">
      <c r="A59">
        <f t="shared" ca="1" si="0"/>
        <v>47</v>
      </c>
      <c r="B59" s="260" t="str">
        <f t="shared" ca="1" si="1"/>
        <v xml:space="preserve"> </v>
      </c>
      <c r="C59" s="262">
        <f t="shared" ca="1" si="2"/>
        <v>3</v>
      </c>
      <c r="D59" s="348">
        <f t="shared" ca="1" si="3"/>
        <v>44214</v>
      </c>
      <c r="E59" s="184"/>
      <c r="F59" s="185"/>
      <c r="G59" s="186">
        <v>74</v>
      </c>
      <c r="H59" s="187"/>
      <c r="I59" s="249">
        <f>IF(COUNTBLANK(E59:H59)=4,"",SUM(E59:G59)+IF(Setup!$I$15="No",0,H59))</f>
        <v>74</v>
      </c>
      <c r="J59" s="198"/>
      <c r="K59" s="199"/>
      <c r="L59" s="200"/>
      <c r="M59" s="201"/>
      <c r="N59" s="253" t="str">
        <f>IF(COUNTBLANK(J59:M59)=4,"",SUM(J59:L59)+IF(Setup!$I$15="No",0,M59))</f>
        <v/>
      </c>
      <c r="O59" s="184"/>
      <c r="P59" s="185"/>
      <c r="Q59" s="186"/>
      <c r="R59" s="187"/>
      <c r="S59" s="249" t="str">
        <f>IF(COUNTBLANK(O59:R59)=4,"",SUM(O59:Q59)+IF(Setup!$I$15="No",0,R59))</f>
        <v/>
      </c>
      <c r="T59" s="198"/>
      <c r="U59" s="199"/>
      <c r="V59" s="200"/>
      <c r="W59" s="201"/>
      <c r="X59" s="253" t="str">
        <f>IF(COUNTBLANK(T59:W59)=4,"",SUM(T59:V59)+IF(Setup!$I$15="No",0,W59))</f>
        <v/>
      </c>
      <c r="Y59" s="184"/>
      <c r="Z59" s="185"/>
      <c r="AA59" s="186"/>
      <c r="AB59" s="187"/>
      <c r="AC59" s="249" t="str">
        <f>IF(COUNTBLANK(Y59:AB59)=4,"",SUM(Y59:AA59)+IF(Setup!$I$15="No",0,AB59))</f>
        <v/>
      </c>
      <c r="AD59" s="198"/>
      <c r="AE59" s="199"/>
      <c r="AF59" s="200"/>
      <c r="AG59" s="201"/>
      <c r="AH59" s="253" t="str">
        <f>IF(COUNTBLANK(AD59:AG59)=4,"",SUM(AD59:AF59)+IF(Setup!$I$15="No",0,AG59))</f>
        <v/>
      </c>
      <c r="AI59" s="184"/>
      <c r="AJ59" s="185"/>
      <c r="AK59" s="186"/>
      <c r="AL59" s="187"/>
      <c r="AM59" s="249" t="str">
        <f>IF(COUNTBLANK(AI59:AL59)=4,"",SUM(AI59:AK59)+IF(Setup!$I$15="No",0,AL59))</f>
        <v/>
      </c>
      <c r="AN59" s="198"/>
      <c r="AO59" s="199"/>
      <c r="AP59" s="200"/>
      <c r="AQ59" s="201"/>
      <c r="AR59" s="253" t="str">
        <f>IF(COUNTBLANK(AN59:AQ59)=4,"",SUM(AN59:AP59)+IF(Setup!$I$15="No",0,AQ59))</f>
        <v/>
      </c>
      <c r="AS59" s="184"/>
      <c r="AT59" s="185"/>
      <c r="AU59" s="186"/>
      <c r="AV59" s="187"/>
      <c r="AW59" s="249" t="str">
        <f>IF(COUNTBLANK(AS59:AV59)=4,"",SUM(AS59:AU59)+IF(Setup!$I$15="No",0,AV59))</f>
        <v/>
      </c>
      <c r="AX59" s="198"/>
      <c r="AY59" s="199"/>
      <c r="AZ59" s="200"/>
      <c r="BA59" s="201"/>
      <c r="BB59" s="253" t="str">
        <f>IF(COUNTBLANK(AX59:BA59)=4,"",SUM(AX59:AZ59)+IF(Setup!$I$15="No",0,BA59))</f>
        <v/>
      </c>
      <c r="BC59" s="257">
        <f ca="1">IF('Demand background (hide)'!A50=Num_Modalities,"",SUM(Demand!I59))</f>
        <v>74</v>
      </c>
      <c r="BD59" s="257">
        <f ca="1">IF(AND(A59&lt;=MaxRows,BE59&lt;&gt;"Yes"),'Demand background (hide)'!X50+IF(Setup!$I$15="Yes",'Demand background (hide)'!AJ50,0),"")</f>
        <v>148</v>
      </c>
      <c r="BE59" s="207"/>
    </row>
    <row r="60" spans="1:57" x14ac:dyDescent="0.25">
      <c r="A60">
        <f t="shared" ca="1" si="0"/>
        <v>48</v>
      </c>
      <c r="B60" s="260" t="str">
        <f t="shared" ca="1" si="1"/>
        <v xml:space="preserve"> </v>
      </c>
      <c r="C60" s="262">
        <f t="shared" ca="1" si="2"/>
        <v>4</v>
      </c>
      <c r="D60" s="348">
        <f t="shared" ca="1" si="3"/>
        <v>44221</v>
      </c>
      <c r="E60" s="184"/>
      <c r="F60" s="185"/>
      <c r="G60" s="186">
        <v>74</v>
      </c>
      <c r="H60" s="187"/>
      <c r="I60" s="249">
        <f>IF(COUNTBLANK(E60:H60)=4,"",SUM(E60:G60)+IF(Setup!$I$15="No",0,H60))</f>
        <v>74</v>
      </c>
      <c r="J60" s="198"/>
      <c r="K60" s="199"/>
      <c r="L60" s="200"/>
      <c r="M60" s="201"/>
      <c r="N60" s="253" t="str">
        <f>IF(COUNTBLANK(J60:M60)=4,"",SUM(J60:L60)+IF(Setup!$I$15="No",0,M60))</f>
        <v/>
      </c>
      <c r="O60" s="184"/>
      <c r="P60" s="185"/>
      <c r="Q60" s="186"/>
      <c r="R60" s="187"/>
      <c r="S60" s="249" t="str">
        <f>IF(COUNTBLANK(O60:R60)=4,"",SUM(O60:Q60)+IF(Setup!$I$15="No",0,R60))</f>
        <v/>
      </c>
      <c r="T60" s="198"/>
      <c r="U60" s="199"/>
      <c r="V60" s="200"/>
      <c r="W60" s="201"/>
      <c r="X60" s="253" t="str">
        <f>IF(COUNTBLANK(T60:W60)=4,"",SUM(T60:V60)+IF(Setup!$I$15="No",0,W60))</f>
        <v/>
      </c>
      <c r="Y60" s="184"/>
      <c r="Z60" s="185"/>
      <c r="AA60" s="186"/>
      <c r="AB60" s="187"/>
      <c r="AC60" s="249" t="str">
        <f>IF(COUNTBLANK(Y60:AB60)=4,"",SUM(Y60:AA60)+IF(Setup!$I$15="No",0,AB60))</f>
        <v/>
      </c>
      <c r="AD60" s="198"/>
      <c r="AE60" s="199"/>
      <c r="AF60" s="200"/>
      <c r="AG60" s="201"/>
      <c r="AH60" s="253" t="str">
        <f>IF(COUNTBLANK(AD60:AG60)=4,"",SUM(AD60:AF60)+IF(Setup!$I$15="No",0,AG60))</f>
        <v/>
      </c>
      <c r="AI60" s="184"/>
      <c r="AJ60" s="185"/>
      <c r="AK60" s="186"/>
      <c r="AL60" s="187"/>
      <c r="AM60" s="249" t="str">
        <f>IF(COUNTBLANK(AI60:AL60)=4,"",SUM(AI60:AK60)+IF(Setup!$I$15="No",0,AL60))</f>
        <v/>
      </c>
      <c r="AN60" s="198"/>
      <c r="AO60" s="199"/>
      <c r="AP60" s="200"/>
      <c r="AQ60" s="201"/>
      <c r="AR60" s="253" t="str">
        <f>IF(COUNTBLANK(AN60:AQ60)=4,"",SUM(AN60:AP60)+IF(Setup!$I$15="No",0,AQ60))</f>
        <v/>
      </c>
      <c r="AS60" s="184"/>
      <c r="AT60" s="185"/>
      <c r="AU60" s="186"/>
      <c r="AV60" s="187"/>
      <c r="AW60" s="249" t="str">
        <f>IF(COUNTBLANK(AS60:AV60)=4,"",SUM(AS60:AU60)+IF(Setup!$I$15="No",0,AV60))</f>
        <v/>
      </c>
      <c r="AX60" s="198"/>
      <c r="AY60" s="199"/>
      <c r="AZ60" s="200"/>
      <c r="BA60" s="201"/>
      <c r="BB60" s="253" t="str">
        <f>IF(COUNTBLANK(AX60:BA60)=4,"",SUM(AX60:AZ60)+IF(Setup!$I$15="No",0,BA60))</f>
        <v/>
      </c>
      <c r="BC60" s="257">
        <f ca="1">IF('Demand background (hide)'!A51=Num_Modalities,"",SUM(Demand!I60))</f>
        <v>74</v>
      </c>
      <c r="BD60" s="257">
        <f ca="1">IF(AND(A60&lt;=MaxRows,BE60&lt;&gt;"Yes"),'Demand background (hide)'!X51+IF(Setup!$I$15="Yes",'Demand background (hide)'!AJ51,0),"")</f>
        <v>148</v>
      </c>
      <c r="BE60" s="207"/>
    </row>
    <row r="61" spans="1:57" x14ac:dyDescent="0.25">
      <c r="A61">
        <f t="shared" ca="1" si="0"/>
        <v>49</v>
      </c>
      <c r="B61" s="260" t="str">
        <f t="shared" ca="1" si="1"/>
        <v xml:space="preserve"> </v>
      </c>
      <c r="C61" s="262">
        <f t="shared" ca="1" si="2"/>
        <v>5</v>
      </c>
      <c r="D61" s="348">
        <f t="shared" ca="1" si="3"/>
        <v>44228</v>
      </c>
      <c r="E61" s="184"/>
      <c r="F61" s="185"/>
      <c r="G61" s="186">
        <v>70</v>
      </c>
      <c r="H61" s="187"/>
      <c r="I61" s="249">
        <f>IF(COUNTBLANK(E61:H61)=4,"",SUM(E61:G61)+IF(Setup!$I$15="No",0,H61))</f>
        <v>70</v>
      </c>
      <c r="J61" s="198"/>
      <c r="K61" s="199"/>
      <c r="L61" s="200"/>
      <c r="M61" s="201"/>
      <c r="N61" s="253" t="str">
        <f>IF(COUNTBLANK(J61:M61)=4,"",SUM(J61:L61)+IF(Setup!$I$15="No",0,M61))</f>
        <v/>
      </c>
      <c r="O61" s="184"/>
      <c r="P61" s="185"/>
      <c r="Q61" s="186"/>
      <c r="R61" s="187"/>
      <c r="S61" s="249" t="str">
        <f>IF(COUNTBLANK(O61:R61)=4,"",SUM(O61:Q61)+IF(Setup!$I$15="No",0,R61))</f>
        <v/>
      </c>
      <c r="T61" s="198"/>
      <c r="U61" s="199"/>
      <c r="V61" s="200"/>
      <c r="W61" s="201"/>
      <c r="X61" s="253" t="str">
        <f>IF(COUNTBLANK(T61:W61)=4,"",SUM(T61:V61)+IF(Setup!$I$15="No",0,W61))</f>
        <v/>
      </c>
      <c r="Y61" s="184"/>
      <c r="Z61" s="185"/>
      <c r="AA61" s="186"/>
      <c r="AB61" s="187"/>
      <c r="AC61" s="249" t="str">
        <f>IF(COUNTBLANK(Y61:AB61)=4,"",SUM(Y61:AA61)+IF(Setup!$I$15="No",0,AB61))</f>
        <v/>
      </c>
      <c r="AD61" s="198"/>
      <c r="AE61" s="199"/>
      <c r="AF61" s="200"/>
      <c r="AG61" s="201"/>
      <c r="AH61" s="253" t="str">
        <f>IF(COUNTBLANK(AD61:AG61)=4,"",SUM(AD61:AF61)+IF(Setup!$I$15="No",0,AG61))</f>
        <v/>
      </c>
      <c r="AI61" s="184"/>
      <c r="AJ61" s="185"/>
      <c r="AK61" s="186"/>
      <c r="AL61" s="187"/>
      <c r="AM61" s="249" t="str">
        <f>IF(COUNTBLANK(AI61:AL61)=4,"",SUM(AI61:AK61)+IF(Setup!$I$15="No",0,AL61))</f>
        <v/>
      </c>
      <c r="AN61" s="198"/>
      <c r="AO61" s="199"/>
      <c r="AP61" s="200"/>
      <c r="AQ61" s="201"/>
      <c r="AR61" s="253" t="str">
        <f>IF(COUNTBLANK(AN61:AQ61)=4,"",SUM(AN61:AP61)+IF(Setup!$I$15="No",0,AQ61))</f>
        <v/>
      </c>
      <c r="AS61" s="184"/>
      <c r="AT61" s="185"/>
      <c r="AU61" s="186"/>
      <c r="AV61" s="187"/>
      <c r="AW61" s="249" t="str">
        <f>IF(COUNTBLANK(AS61:AV61)=4,"",SUM(AS61:AU61)+IF(Setup!$I$15="No",0,AV61))</f>
        <v/>
      </c>
      <c r="AX61" s="198"/>
      <c r="AY61" s="199"/>
      <c r="AZ61" s="200"/>
      <c r="BA61" s="201"/>
      <c r="BB61" s="253" t="str">
        <f>IF(COUNTBLANK(AX61:BA61)=4,"",SUM(AX61:AZ61)+IF(Setup!$I$15="No",0,BA61))</f>
        <v/>
      </c>
      <c r="BC61" s="257">
        <f ca="1">IF('Demand background (hide)'!A52=Num_Modalities,"",SUM(Demand!I61))</f>
        <v>70</v>
      </c>
      <c r="BD61" s="257">
        <f ca="1">IF(AND(A61&lt;=MaxRows,BE61&lt;&gt;"Yes"),'Demand background (hide)'!X52+IF(Setup!$I$15="Yes",'Demand background (hide)'!AJ52,0),"")</f>
        <v>140</v>
      </c>
      <c r="BE61" s="207"/>
    </row>
    <row r="62" spans="1:57" x14ac:dyDescent="0.25">
      <c r="A62">
        <f t="shared" ca="1" si="0"/>
        <v>50</v>
      </c>
      <c r="B62" s="260" t="str">
        <f t="shared" ca="1" si="1"/>
        <v xml:space="preserve"> </v>
      </c>
      <c r="C62" s="262">
        <f t="shared" ca="1" si="2"/>
        <v>6</v>
      </c>
      <c r="D62" s="348">
        <f t="shared" ca="1" si="3"/>
        <v>44235</v>
      </c>
      <c r="E62" s="184"/>
      <c r="F62" s="185"/>
      <c r="G62" s="186">
        <v>76</v>
      </c>
      <c r="H62" s="187"/>
      <c r="I62" s="249">
        <f>IF(COUNTBLANK(E62:H62)=4,"",SUM(E62:G62)+IF(Setup!$I$15="No",0,H62))</f>
        <v>76</v>
      </c>
      <c r="J62" s="198"/>
      <c r="K62" s="199"/>
      <c r="L62" s="200"/>
      <c r="M62" s="201"/>
      <c r="N62" s="253" t="str">
        <f>IF(COUNTBLANK(J62:M62)=4,"",SUM(J62:L62)+IF(Setup!$I$15="No",0,M62))</f>
        <v/>
      </c>
      <c r="O62" s="184"/>
      <c r="P62" s="185"/>
      <c r="Q62" s="186"/>
      <c r="R62" s="187"/>
      <c r="S62" s="249" t="str">
        <f>IF(COUNTBLANK(O62:R62)=4,"",SUM(O62:Q62)+IF(Setup!$I$15="No",0,R62))</f>
        <v/>
      </c>
      <c r="T62" s="198"/>
      <c r="U62" s="199"/>
      <c r="V62" s="200"/>
      <c r="W62" s="201"/>
      <c r="X62" s="253" t="str">
        <f>IF(COUNTBLANK(T62:W62)=4,"",SUM(T62:V62)+IF(Setup!$I$15="No",0,W62))</f>
        <v/>
      </c>
      <c r="Y62" s="184"/>
      <c r="Z62" s="185"/>
      <c r="AA62" s="186"/>
      <c r="AB62" s="187"/>
      <c r="AC62" s="249" t="str">
        <f>IF(COUNTBLANK(Y62:AB62)=4,"",SUM(Y62:AA62)+IF(Setup!$I$15="No",0,AB62))</f>
        <v/>
      </c>
      <c r="AD62" s="198"/>
      <c r="AE62" s="199"/>
      <c r="AF62" s="200"/>
      <c r="AG62" s="201"/>
      <c r="AH62" s="253" t="str">
        <f>IF(COUNTBLANK(AD62:AG62)=4,"",SUM(AD62:AF62)+IF(Setup!$I$15="No",0,AG62))</f>
        <v/>
      </c>
      <c r="AI62" s="184"/>
      <c r="AJ62" s="185"/>
      <c r="AK62" s="186"/>
      <c r="AL62" s="187"/>
      <c r="AM62" s="249" t="str">
        <f>IF(COUNTBLANK(AI62:AL62)=4,"",SUM(AI62:AK62)+IF(Setup!$I$15="No",0,AL62))</f>
        <v/>
      </c>
      <c r="AN62" s="198"/>
      <c r="AO62" s="199"/>
      <c r="AP62" s="200"/>
      <c r="AQ62" s="201"/>
      <c r="AR62" s="253" t="str">
        <f>IF(COUNTBLANK(AN62:AQ62)=4,"",SUM(AN62:AP62)+IF(Setup!$I$15="No",0,AQ62))</f>
        <v/>
      </c>
      <c r="AS62" s="184"/>
      <c r="AT62" s="185"/>
      <c r="AU62" s="186"/>
      <c r="AV62" s="187"/>
      <c r="AW62" s="249" t="str">
        <f>IF(COUNTBLANK(AS62:AV62)=4,"",SUM(AS62:AU62)+IF(Setup!$I$15="No",0,AV62))</f>
        <v/>
      </c>
      <c r="AX62" s="198"/>
      <c r="AY62" s="199"/>
      <c r="AZ62" s="200"/>
      <c r="BA62" s="201"/>
      <c r="BB62" s="253" t="str">
        <f>IF(COUNTBLANK(AX62:BA62)=4,"",SUM(AX62:AZ62)+IF(Setup!$I$15="No",0,BA62))</f>
        <v/>
      </c>
      <c r="BC62" s="257">
        <f ca="1">IF('Demand background (hide)'!A53=Num_Modalities,"",SUM(Demand!I62))</f>
        <v>76</v>
      </c>
      <c r="BD62" s="257">
        <f ca="1">IF(AND(A62&lt;=MaxRows,BE62&lt;&gt;"Yes"),'Demand background (hide)'!X53+IF(Setup!$I$15="Yes",'Demand background (hide)'!AJ53,0),"")</f>
        <v>152</v>
      </c>
      <c r="BE62" s="207"/>
    </row>
    <row r="63" spans="1:57" x14ac:dyDescent="0.25">
      <c r="A63">
        <f t="shared" ca="1" si="0"/>
        <v>51</v>
      </c>
      <c r="B63" s="260" t="str">
        <f t="shared" ca="1" si="1"/>
        <v xml:space="preserve"> </v>
      </c>
      <c r="C63" s="262">
        <f t="shared" ca="1" si="2"/>
        <v>7</v>
      </c>
      <c r="D63" s="348">
        <f t="shared" ca="1" si="3"/>
        <v>44242</v>
      </c>
      <c r="E63" s="184"/>
      <c r="F63" s="185"/>
      <c r="G63" s="186">
        <v>73</v>
      </c>
      <c r="H63" s="187"/>
      <c r="I63" s="249">
        <f>IF(COUNTBLANK(E63:H63)=4,"",SUM(E63:G63)+IF(Setup!$I$15="No",0,H63))</f>
        <v>73</v>
      </c>
      <c r="J63" s="198"/>
      <c r="K63" s="199"/>
      <c r="L63" s="200"/>
      <c r="M63" s="201"/>
      <c r="N63" s="253" t="str">
        <f>IF(COUNTBLANK(J63:M63)=4,"",SUM(J63:L63)+IF(Setup!$I$15="No",0,M63))</f>
        <v/>
      </c>
      <c r="O63" s="184"/>
      <c r="P63" s="185"/>
      <c r="Q63" s="186"/>
      <c r="R63" s="187"/>
      <c r="S63" s="249" t="str">
        <f>IF(COUNTBLANK(O63:R63)=4,"",SUM(O63:Q63)+IF(Setup!$I$15="No",0,R63))</f>
        <v/>
      </c>
      <c r="T63" s="198"/>
      <c r="U63" s="199"/>
      <c r="V63" s="200"/>
      <c r="W63" s="201"/>
      <c r="X63" s="253" t="str">
        <f>IF(COUNTBLANK(T63:W63)=4,"",SUM(T63:V63)+IF(Setup!$I$15="No",0,W63))</f>
        <v/>
      </c>
      <c r="Y63" s="184"/>
      <c r="Z63" s="185"/>
      <c r="AA63" s="186"/>
      <c r="AB63" s="187"/>
      <c r="AC63" s="249" t="str">
        <f>IF(COUNTBLANK(Y63:AB63)=4,"",SUM(Y63:AA63)+IF(Setup!$I$15="No",0,AB63))</f>
        <v/>
      </c>
      <c r="AD63" s="198"/>
      <c r="AE63" s="199"/>
      <c r="AF63" s="200"/>
      <c r="AG63" s="201"/>
      <c r="AH63" s="253" t="str">
        <f>IF(COUNTBLANK(AD63:AG63)=4,"",SUM(AD63:AF63)+IF(Setup!$I$15="No",0,AG63))</f>
        <v/>
      </c>
      <c r="AI63" s="184"/>
      <c r="AJ63" s="185"/>
      <c r="AK63" s="186"/>
      <c r="AL63" s="187"/>
      <c r="AM63" s="249" t="str">
        <f>IF(COUNTBLANK(AI63:AL63)=4,"",SUM(AI63:AK63)+IF(Setup!$I$15="No",0,AL63))</f>
        <v/>
      </c>
      <c r="AN63" s="198"/>
      <c r="AO63" s="199"/>
      <c r="AP63" s="200"/>
      <c r="AQ63" s="201"/>
      <c r="AR63" s="253" t="str">
        <f>IF(COUNTBLANK(AN63:AQ63)=4,"",SUM(AN63:AP63)+IF(Setup!$I$15="No",0,AQ63))</f>
        <v/>
      </c>
      <c r="AS63" s="184"/>
      <c r="AT63" s="185"/>
      <c r="AU63" s="186"/>
      <c r="AV63" s="187"/>
      <c r="AW63" s="249" t="str">
        <f>IF(COUNTBLANK(AS63:AV63)=4,"",SUM(AS63:AU63)+IF(Setup!$I$15="No",0,AV63))</f>
        <v/>
      </c>
      <c r="AX63" s="198"/>
      <c r="AY63" s="199"/>
      <c r="AZ63" s="200"/>
      <c r="BA63" s="201"/>
      <c r="BB63" s="253" t="str">
        <f>IF(COUNTBLANK(AX63:BA63)=4,"",SUM(AX63:AZ63)+IF(Setup!$I$15="No",0,BA63))</f>
        <v/>
      </c>
      <c r="BC63" s="257">
        <f ca="1">IF('Demand background (hide)'!A54=Num_Modalities,"",SUM(Demand!I63))</f>
        <v>73</v>
      </c>
      <c r="BD63" s="257">
        <f ca="1">IF(AND(A63&lt;=MaxRows,BE63&lt;&gt;"Yes"),'Demand background (hide)'!X54+IF(Setup!$I$15="Yes",'Demand background (hide)'!AJ54,0),"")</f>
        <v>146</v>
      </c>
      <c r="BE63" s="207"/>
    </row>
    <row r="64" spans="1:57" ht="14.4" thickBot="1" x14ac:dyDescent="0.3">
      <c r="A64">
        <f t="shared" ca="1" si="0"/>
        <v>52</v>
      </c>
      <c r="B64" s="260" t="str">
        <f t="shared" ca="1" si="1"/>
        <v xml:space="preserve"> </v>
      </c>
      <c r="C64" s="263">
        <f t="shared" ca="1" si="2"/>
        <v>8</v>
      </c>
      <c r="D64" s="349">
        <f t="shared" ca="1" si="3"/>
        <v>44249</v>
      </c>
      <c r="E64" s="188"/>
      <c r="F64" s="189"/>
      <c r="G64" s="190">
        <v>65</v>
      </c>
      <c r="H64" s="191"/>
      <c r="I64" s="250">
        <f>IF(COUNTBLANK(E64:H64)=4,"",SUM(E64:G64)+IF(Setup!$I$15="No",0,H64))</f>
        <v>65</v>
      </c>
      <c r="J64" s="202"/>
      <c r="K64" s="203"/>
      <c r="L64" s="204"/>
      <c r="M64" s="205"/>
      <c r="N64" s="254" t="str">
        <f>IF(COUNTBLANK(J64:M64)=4,"",SUM(J64:L64)+IF(Setup!$I$15="No",0,M64))</f>
        <v/>
      </c>
      <c r="O64" s="188"/>
      <c r="P64" s="189"/>
      <c r="Q64" s="190"/>
      <c r="R64" s="191"/>
      <c r="S64" s="250" t="str">
        <f>IF(COUNTBLANK(O64:R64)=4,"",SUM(O64:Q64)+IF(Setup!$I$15="No",0,R64))</f>
        <v/>
      </c>
      <c r="T64" s="202"/>
      <c r="U64" s="203"/>
      <c r="V64" s="204"/>
      <c r="W64" s="205"/>
      <c r="X64" s="254" t="str">
        <f>IF(COUNTBLANK(T64:W64)=4,"",SUM(T64:V64)+IF(Setup!$I$15="No",0,W64))</f>
        <v/>
      </c>
      <c r="Y64" s="188"/>
      <c r="Z64" s="189"/>
      <c r="AA64" s="190"/>
      <c r="AB64" s="191"/>
      <c r="AC64" s="250" t="str">
        <f>IF(COUNTBLANK(Y64:AB64)=4,"",SUM(Y64:AA64)+IF(Setup!$I$15="No",0,AB64))</f>
        <v/>
      </c>
      <c r="AD64" s="202"/>
      <c r="AE64" s="203"/>
      <c r="AF64" s="204"/>
      <c r="AG64" s="205"/>
      <c r="AH64" s="254" t="str">
        <f>IF(COUNTBLANK(AD64:AG64)=4,"",SUM(AD64:AF64)+IF(Setup!$I$15="No",0,AG64))</f>
        <v/>
      </c>
      <c r="AI64" s="188"/>
      <c r="AJ64" s="189"/>
      <c r="AK64" s="190"/>
      <c r="AL64" s="191"/>
      <c r="AM64" s="250" t="str">
        <f>IF(COUNTBLANK(AI64:AL64)=4,"",SUM(AI64:AK64)+IF(Setup!$I$15="No",0,AL64))</f>
        <v/>
      </c>
      <c r="AN64" s="202"/>
      <c r="AO64" s="203"/>
      <c r="AP64" s="204"/>
      <c r="AQ64" s="205"/>
      <c r="AR64" s="254" t="str">
        <f>IF(COUNTBLANK(AN64:AQ64)=4,"",SUM(AN64:AP64)+IF(Setup!$I$15="No",0,AQ64))</f>
        <v/>
      </c>
      <c r="AS64" s="188"/>
      <c r="AT64" s="189"/>
      <c r="AU64" s="190"/>
      <c r="AV64" s="191"/>
      <c r="AW64" s="250" t="str">
        <f>IF(COUNTBLANK(AS64:AV64)=4,"",SUM(AS64:AU64)+IF(Setup!$I$15="No",0,AV64))</f>
        <v/>
      </c>
      <c r="AX64" s="202"/>
      <c r="AY64" s="203"/>
      <c r="AZ64" s="204"/>
      <c r="BA64" s="205"/>
      <c r="BB64" s="254" t="str">
        <f>IF(COUNTBLANK(AX64:BA64)=4,"",SUM(AX64:AZ64)+IF(Setup!$I$15="No",0,BA64))</f>
        <v/>
      </c>
      <c r="BC64" s="258">
        <f ca="1">IF('Demand background (hide)'!A55=Num_Modalities,"",SUM(Demand!I64))</f>
        <v>65</v>
      </c>
      <c r="BD64" s="258">
        <f ca="1">IF(AND(A64&lt;=MaxRows,BE64&lt;&gt;"Yes"),'Demand background (hide)'!X55+IF(Setup!$I$15="Yes",'Demand background (hide)'!AJ55,0),"")</f>
        <v>130</v>
      </c>
      <c r="BE64" s="208"/>
    </row>
    <row r="65" spans="1:57" x14ac:dyDescent="0.25">
      <c r="A65" t="str">
        <f t="shared" ca="1" si="0"/>
        <v/>
      </c>
      <c r="B65" s="264" t="str">
        <f t="shared" ca="1" si="1"/>
        <v xml:space="preserve"> </v>
      </c>
      <c r="C65" s="265" t="str">
        <f t="shared" ca="1" si="2"/>
        <v/>
      </c>
      <c r="D65" s="350" t="str">
        <f t="shared" ca="1" si="3"/>
        <v/>
      </c>
      <c r="E65" s="192"/>
      <c r="F65" s="192"/>
      <c r="G65" s="193"/>
      <c r="H65" s="192"/>
      <c r="I65" s="251" t="str">
        <f>IF(COUNTBLANK(E65:H65)=4,"",SUM(E65:G65)+IF(Setup!$I$15="No",0,H65))</f>
        <v/>
      </c>
      <c r="J65" s="192"/>
      <c r="K65" s="192"/>
      <c r="L65" s="192"/>
      <c r="M65" s="192"/>
      <c r="N65" s="255" t="str">
        <f>IF(COUNTBLANK(J65:M65)=4,"",SUM(J65:L65)+IF(Setup!$I$15="No",0,M65))</f>
        <v/>
      </c>
      <c r="O65" s="192"/>
      <c r="P65" s="192"/>
      <c r="Q65" s="192"/>
      <c r="R65" s="192"/>
      <c r="S65" s="255" t="str">
        <f>IF(COUNTBLANK(O65:R65)=4,"",SUM(O65:Q65)+IF(Setup!$I$15="No",0,R65))</f>
        <v/>
      </c>
      <c r="T65" s="192"/>
      <c r="U65" s="192"/>
      <c r="V65" s="192"/>
      <c r="W65" s="192"/>
      <c r="X65" s="255" t="str">
        <f>IF(COUNTBLANK(T65:W65)=4,"",SUM(T65:V65)+IF(Setup!$I$15="No",0,W65))</f>
        <v/>
      </c>
      <c r="Y65" s="192"/>
      <c r="Z65" s="192"/>
      <c r="AA65" s="192"/>
      <c r="AB65" s="192"/>
      <c r="AC65" s="255" t="str">
        <f>IF(COUNTBLANK(Y65:AB65)=4,"",SUM(Y65:AA65)+IF(Setup!$I$15="No",0,AB65))</f>
        <v/>
      </c>
      <c r="AD65" s="192"/>
      <c r="AE65" s="192"/>
      <c r="AF65" s="192"/>
      <c r="AG65" s="192"/>
      <c r="AH65" s="255" t="str">
        <f>IF(COUNTBLANK(AD65:AG65)=4,"",SUM(AD65:AF65)+IF(Setup!$I$15="No",0,AG65))</f>
        <v/>
      </c>
      <c r="AI65" s="192"/>
      <c r="AJ65" s="192"/>
      <c r="AK65" s="192"/>
      <c r="AL65" s="192"/>
      <c r="AM65" s="255" t="str">
        <f>IF(COUNTBLANK(AI65:AL65)=4,"",SUM(AI65:AK65)+IF(Setup!$I$15="No",0,AL65))</f>
        <v/>
      </c>
      <c r="AN65" s="192"/>
      <c r="AO65" s="192"/>
      <c r="AP65" s="192"/>
      <c r="AQ65" s="192"/>
      <c r="AR65" s="255" t="str">
        <f>IF(COUNTBLANK(AN65:AQ65)=4,"",SUM(AN65:AP65)+IF(Setup!$I$15="No",0,AQ65))</f>
        <v/>
      </c>
      <c r="AS65" s="192"/>
      <c r="AT65" s="192"/>
      <c r="AU65" s="192"/>
      <c r="AV65" s="192"/>
      <c r="AW65" s="255" t="str">
        <f>IF(COUNTBLANK(AS65:AV65)=4,"",SUM(AS65:AU65)+IF(Setup!$I$15="No",0,AV65))</f>
        <v/>
      </c>
      <c r="AX65" s="192"/>
      <c r="AY65" s="192"/>
      <c r="AZ65" s="192"/>
      <c r="BA65" s="192"/>
      <c r="BB65" s="255" t="str">
        <f>IF(COUNTBLANK(AX65:BA65)=4,"",SUM(AX65:AZ65)+IF(Setup!$I$15="No",0,BA65))</f>
        <v/>
      </c>
      <c r="BC65" s="259" t="str">
        <f ca="1">IF('Demand background (hide)'!A56=Num_Modalities,"",SUM(Demand!I65))</f>
        <v/>
      </c>
      <c r="BD65" s="259" t="str">
        <f ca="1">IF(AND(A65&lt;=MaxRows,BE65&lt;&gt;"Yes"),'Demand background (hide)'!X56+IF(Setup!$I$15="Yes",'Demand background (hide)'!AJ56,0),"")</f>
        <v/>
      </c>
      <c r="BE65" s="209"/>
    </row>
    <row r="66" spans="1:57" x14ac:dyDescent="0.25">
      <c r="A66" t="str">
        <f t="shared" ca="1" si="0"/>
        <v/>
      </c>
      <c r="B66" s="264" t="str">
        <f t="shared" ca="1" si="1"/>
        <v xml:space="preserve"> </v>
      </c>
      <c r="C66" s="265" t="str">
        <f t="shared" ca="1" si="2"/>
        <v/>
      </c>
      <c r="D66" s="350" t="str">
        <f t="shared" ca="1" si="3"/>
        <v/>
      </c>
      <c r="E66" s="192"/>
      <c r="F66" s="192"/>
      <c r="G66" s="193"/>
      <c r="H66" s="192"/>
      <c r="I66" s="251" t="str">
        <f>IF(COUNTBLANK(E66:H66)=4,"",SUM(E66:G66)+IF(Setup!$I$15="No",0,H66))</f>
        <v/>
      </c>
      <c r="J66" s="192"/>
      <c r="K66" s="192"/>
      <c r="L66" s="192"/>
      <c r="M66" s="192"/>
      <c r="N66" s="255" t="str">
        <f>IF(COUNTBLANK(J66:M66)=4,"",SUM(J66:L66)+IF(Setup!$I$15="No",0,M66))</f>
        <v/>
      </c>
      <c r="O66" s="192"/>
      <c r="P66" s="192"/>
      <c r="Q66" s="192"/>
      <c r="R66" s="192"/>
      <c r="S66" s="255" t="str">
        <f>IF(COUNTBLANK(O66:R66)=4,"",SUM(O66:Q66)+IF(Setup!$I$15="No",0,R66))</f>
        <v/>
      </c>
      <c r="T66" s="192"/>
      <c r="U66" s="192"/>
      <c r="V66" s="192"/>
      <c r="W66" s="192"/>
      <c r="X66" s="255" t="str">
        <f>IF(COUNTBLANK(T66:W66)=4,"",SUM(T66:V66)+IF(Setup!$I$15="No",0,W66))</f>
        <v/>
      </c>
      <c r="Y66" s="192"/>
      <c r="Z66" s="192"/>
      <c r="AA66" s="192"/>
      <c r="AB66" s="192"/>
      <c r="AC66" s="255" t="str">
        <f>IF(COUNTBLANK(Y66:AB66)=4,"",SUM(Y66:AA66)+IF(Setup!$I$15="No",0,AB66))</f>
        <v/>
      </c>
      <c r="AD66" s="192"/>
      <c r="AE66" s="192"/>
      <c r="AF66" s="192"/>
      <c r="AG66" s="192"/>
      <c r="AH66" s="255" t="str">
        <f>IF(COUNTBLANK(AD66:AG66)=4,"",SUM(AD66:AF66)+IF(Setup!$I$15="No",0,AG66))</f>
        <v/>
      </c>
      <c r="AI66" s="192"/>
      <c r="AJ66" s="192"/>
      <c r="AK66" s="192"/>
      <c r="AL66" s="192"/>
      <c r="AM66" s="255" t="str">
        <f>IF(COUNTBLANK(AI66:AL66)=4,"",SUM(AI66:AK66)+IF(Setup!$I$15="No",0,AL66))</f>
        <v/>
      </c>
      <c r="AN66" s="192"/>
      <c r="AO66" s="192"/>
      <c r="AP66" s="192"/>
      <c r="AQ66" s="192"/>
      <c r="AR66" s="255" t="str">
        <f>IF(COUNTBLANK(AN66:AQ66)=4,"",SUM(AN66:AP66)+IF(Setup!$I$15="No",0,AQ66))</f>
        <v/>
      </c>
      <c r="AS66" s="192"/>
      <c r="AT66" s="192"/>
      <c r="AU66" s="192"/>
      <c r="AV66" s="192"/>
      <c r="AW66" s="255" t="str">
        <f>IF(COUNTBLANK(AS66:AV66)=4,"",SUM(AS66:AU66)+IF(Setup!$I$15="No",0,AV66))</f>
        <v/>
      </c>
      <c r="AX66" s="192"/>
      <c r="AY66" s="192"/>
      <c r="AZ66" s="192"/>
      <c r="BA66" s="192"/>
      <c r="BB66" s="255" t="str">
        <f>IF(COUNTBLANK(AX66:BA66)=4,"",SUM(AX66:AZ66)+IF(Setup!$I$15="No",0,BA66))</f>
        <v/>
      </c>
      <c r="BC66" s="259" t="str">
        <f ca="1">IF('Demand background (hide)'!A57=Num_Modalities,"",SUM(Demand!I66))</f>
        <v/>
      </c>
      <c r="BD66" s="259" t="str">
        <f ca="1">IF(AND(A66&lt;=MaxRows,BE66&lt;&gt;"Yes"),'Demand background (hide)'!X57+IF(Setup!$I$15="Yes",'Demand background (hide)'!AJ57,0),"")</f>
        <v/>
      </c>
      <c r="BE66" s="209"/>
    </row>
    <row r="67" spans="1:57" x14ac:dyDescent="0.25">
      <c r="A67" t="str">
        <f t="shared" ca="1" si="0"/>
        <v/>
      </c>
      <c r="B67" s="264" t="str">
        <f t="shared" ca="1" si="1"/>
        <v xml:space="preserve"> </v>
      </c>
      <c r="C67" s="265" t="str">
        <f t="shared" ca="1" si="2"/>
        <v/>
      </c>
      <c r="D67" s="350" t="str">
        <f t="shared" ca="1" si="3"/>
        <v/>
      </c>
      <c r="E67" s="192"/>
      <c r="F67" s="192"/>
      <c r="G67" s="193"/>
      <c r="H67" s="192"/>
      <c r="I67" s="251" t="str">
        <f>IF(COUNTBLANK(E67:H67)=4,"",SUM(E67:G67)+IF(Setup!$I$15="No",0,H67))</f>
        <v/>
      </c>
      <c r="J67" s="192"/>
      <c r="K67" s="192"/>
      <c r="L67" s="192"/>
      <c r="M67" s="192"/>
      <c r="N67" s="255" t="str">
        <f>IF(COUNTBLANK(J67:M67)=4,"",SUM(J67:L67)+IF(Setup!$I$15="No",0,M67))</f>
        <v/>
      </c>
      <c r="O67" s="192"/>
      <c r="P67" s="192"/>
      <c r="Q67" s="192"/>
      <c r="R67" s="192"/>
      <c r="S67" s="255" t="str">
        <f>IF(COUNTBLANK(O67:R67)=4,"",SUM(O67:Q67)+IF(Setup!$I$15="No",0,R67))</f>
        <v/>
      </c>
      <c r="T67" s="192"/>
      <c r="U67" s="192"/>
      <c r="V67" s="192"/>
      <c r="W67" s="192"/>
      <c r="X67" s="255" t="str">
        <f>IF(COUNTBLANK(T67:W67)=4,"",SUM(T67:V67)+IF(Setup!$I$15="No",0,W67))</f>
        <v/>
      </c>
      <c r="Y67" s="192"/>
      <c r="Z67" s="192"/>
      <c r="AA67" s="192"/>
      <c r="AB67" s="192"/>
      <c r="AC67" s="255" t="str">
        <f>IF(COUNTBLANK(Y67:AB67)=4,"",SUM(Y67:AA67)+IF(Setup!$I$15="No",0,AB67))</f>
        <v/>
      </c>
      <c r="AD67" s="192"/>
      <c r="AE67" s="192"/>
      <c r="AF67" s="192"/>
      <c r="AG67" s="192"/>
      <c r="AH67" s="255" t="str">
        <f>IF(COUNTBLANK(AD67:AG67)=4,"",SUM(AD67:AF67)+IF(Setup!$I$15="No",0,AG67))</f>
        <v/>
      </c>
      <c r="AI67" s="192"/>
      <c r="AJ67" s="192"/>
      <c r="AK67" s="192"/>
      <c r="AL67" s="192"/>
      <c r="AM67" s="255" t="str">
        <f>IF(COUNTBLANK(AI67:AL67)=4,"",SUM(AI67:AK67)+IF(Setup!$I$15="No",0,AL67))</f>
        <v/>
      </c>
      <c r="AN67" s="192"/>
      <c r="AO67" s="192"/>
      <c r="AP67" s="192"/>
      <c r="AQ67" s="192"/>
      <c r="AR67" s="255" t="str">
        <f>IF(COUNTBLANK(AN67:AQ67)=4,"",SUM(AN67:AP67)+IF(Setup!$I$15="No",0,AQ67))</f>
        <v/>
      </c>
      <c r="AS67" s="192"/>
      <c r="AT67" s="192"/>
      <c r="AU67" s="192"/>
      <c r="AV67" s="192"/>
      <c r="AW67" s="255" t="str">
        <f>IF(COUNTBLANK(AS67:AV67)=4,"",SUM(AS67:AU67)+IF(Setup!$I$15="No",0,AV67))</f>
        <v/>
      </c>
      <c r="AX67" s="192"/>
      <c r="AY67" s="192"/>
      <c r="AZ67" s="192"/>
      <c r="BA67" s="192"/>
      <c r="BB67" s="255" t="str">
        <f>IF(COUNTBLANK(AX67:BA67)=4,"",SUM(AX67:AZ67)+IF(Setup!$I$15="No",0,BA67))</f>
        <v/>
      </c>
      <c r="BC67" s="259" t="str">
        <f ca="1">IF('Demand background (hide)'!A58=Num_Modalities,"",SUM(Demand!I67))</f>
        <v/>
      </c>
      <c r="BD67" s="259" t="str">
        <f ca="1">IF(AND(A67&lt;=MaxRows,BE67&lt;&gt;"Yes"),'Demand background (hide)'!X58+IF(Setup!$I$15="Yes",'Demand background (hide)'!AJ58,0),"")</f>
        <v/>
      </c>
      <c r="BE67" s="209"/>
    </row>
    <row r="68" spans="1:57" x14ac:dyDescent="0.25">
      <c r="A68" t="str">
        <f t="shared" ca="1" si="0"/>
        <v/>
      </c>
      <c r="B68" s="264" t="str">
        <f t="shared" ca="1" si="1"/>
        <v xml:space="preserve"> </v>
      </c>
      <c r="C68" s="265" t="str">
        <f t="shared" ca="1" si="2"/>
        <v/>
      </c>
      <c r="D68" s="350" t="str">
        <f t="shared" ca="1" si="3"/>
        <v/>
      </c>
      <c r="E68" s="192"/>
      <c r="F68" s="192"/>
      <c r="G68" s="193"/>
      <c r="H68" s="192"/>
      <c r="I68" s="251" t="str">
        <f>IF(COUNTBLANK(E68:H68)=4,"",SUM(E68:G68)+IF(Setup!$I$15="No",0,H68))</f>
        <v/>
      </c>
      <c r="J68" s="192"/>
      <c r="K68" s="192"/>
      <c r="L68" s="192"/>
      <c r="M68" s="192"/>
      <c r="N68" s="255" t="str">
        <f>IF(COUNTBLANK(J68:M68)=4,"",SUM(J68:L68)+IF(Setup!$I$15="No",0,M68))</f>
        <v/>
      </c>
      <c r="O68" s="192"/>
      <c r="P68" s="192"/>
      <c r="Q68" s="192"/>
      <c r="R68" s="192"/>
      <c r="S68" s="255" t="str">
        <f>IF(COUNTBLANK(O68:R68)=4,"",SUM(O68:Q68)+IF(Setup!$I$15="No",0,R68))</f>
        <v/>
      </c>
      <c r="T68" s="192"/>
      <c r="U68" s="192"/>
      <c r="V68" s="192"/>
      <c r="W68" s="192"/>
      <c r="X68" s="255" t="str">
        <f>IF(COUNTBLANK(T68:W68)=4,"",SUM(T68:V68)+IF(Setup!$I$15="No",0,W68))</f>
        <v/>
      </c>
      <c r="Y68" s="192"/>
      <c r="Z68" s="192"/>
      <c r="AA68" s="192"/>
      <c r="AB68" s="192"/>
      <c r="AC68" s="255" t="str">
        <f>IF(COUNTBLANK(Y68:AB68)=4,"",SUM(Y68:AA68)+IF(Setup!$I$15="No",0,AB68))</f>
        <v/>
      </c>
      <c r="AD68" s="192"/>
      <c r="AE68" s="192"/>
      <c r="AF68" s="192"/>
      <c r="AG68" s="192"/>
      <c r="AH68" s="255" t="str">
        <f>IF(COUNTBLANK(AD68:AG68)=4,"",SUM(AD68:AF68)+IF(Setup!$I$15="No",0,AG68))</f>
        <v/>
      </c>
      <c r="AI68" s="192"/>
      <c r="AJ68" s="192"/>
      <c r="AK68" s="192"/>
      <c r="AL68" s="192"/>
      <c r="AM68" s="255" t="str">
        <f>IF(COUNTBLANK(AI68:AL68)=4,"",SUM(AI68:AK68)+IF(Setup!$I$15="No",0,AL68))</f>
        <v/>
      </c>
      <c r="AN68" s="192"/>
      <c r="AO68" s="192"/>
      <c r="AP68" s="192"/>
      <c r="AQ68" s="192"/>
      <c r="AR68" s="255" t="str">
        <f>IF(COUNTBLANK(AN68:AQ68)=4,"",SUM(AN68:AP68)+IF(Setup!$I$15="No",0,AQ68))</f>
        <v/>
      </c>
      <c r="AS68" s="192"/>
      <c r="AT68" s="192"/>
      <c r="AU68" s="192"/>
      <c r="AV68" s="192"/>
      <c r="AW68" s="255" t="str">
        <f>IF(COUNTBLANK(AS68:AV68)=4,"",SUM(AS68:AU68)+IF(Setup!$I$15="No",0,AV68))</f>
        <v/>
      </c>
      <c r="AX68" s="192"/>
      <c r="AY68" s="192"/>
      <c r="AZ68" s="192"/>
      <c r="BA68" s="192"/>
      <c r="BB68" s="255" t="str">
        <f>IF(COUNTBLANK(AX68:BA68)=4,"",SUM(AX68:AZ68)+IF(Setup!$I$15="No",0,BA68))</f>
        <v/>
      </c>
      <c r="BC68" s="259" t="str">
        <f ca="1">IF('Demand background (hide)'!A59=Num_Modalities,"",SUM(Demand!I68))</f>
        <v/>
      </c>
      <c r="BD68" s="259" t="str">
        <f ca="1">IF(AND(A68&lt;=MaxRows,BE68&lt;&gt;"Yes"),'Demand background (hide)'!X59+IF(Setup!$I$15="Yes",'Demand background (hide)'!AJ59,0),"")</f>
        <v/>
      </c>
      <c r="BE68" s="209"/>
    </row>
    <row r="69" spans="1:57" x14ac:dyDescent="0.25">
      <c r="A69" t="str">
        <f t="shared" ca="1" si="0"/>
        <v/>
      </c>
      <c r="B69" s="264" t="str">
        <f t="shared" ca="1" si="1"/>
        <v xml:space="preserve"> </v>
      </c>
      <c r="C69" s="265" t="str">
        <f t="shared" ca="1" si="2"/>
        <v/>
      </c>
      <c r="D69" s="350" t="str">
        <f t="shared" ca="1" si="3"/>
        <v/>
      </c>
      <c r="E69" s="192"/>
      <c r="F69" s="192"/>
      <c r="G69" s="193"/>
      <c r="H69" s="192"/>
      <c r="I69" s="251" t="str">
        <f>IF(COUNTBLANK(E69:H69)=4,"",SUM(E69:G69)+IF(Setup!$I$15="No",0,H69))</f>
        <v/>
      </c>
      <c r="J69" s="192"/>
      <c r="K69" s="192"/>
      <c r="L69" s="192"/>
      <c r="M69" s="192"/>
      <c r="N69" s="255" t="str">
        <f>IF(COUNTBLANK(J69:M69)=4,"",SUM(J69:L69)+IF(Setup!$I$15="No",0,M69))</f>
        <v/>
      </c>
      <c r="O69" s="192"/>
      <c r="P69" s="192"/>
      <c r="Q69" s="192"/>
      <c r="R69" s="192"/>
      <c r="S69" s="255" t="str">
        <f>IF(COUNTBLANK(O69:R69)=4,"",SUM(O69:Q69)+IF(Setup!$I$15="No",0,R69))</f>
        <v/>
      </c>
      <c r="T69" s="192"/>
      <c r="U69" s="192"/>
      <c r="V69" s="192"/>
      <c r="W69" s="192"/>
      <c r="X69" s="255" t="str">
        <f>IF(COUNTBLANK(T69:W69)=4,"",SUM(T69:V69)+IF(Setup!$I$15="No",0,W69))</f>
        <v/>
      </c>
      <c r="Y69" s="192"/>
      <c r="Z69" s="192"/>
      <c r="AA69" s="192"/>
      <c r="AB69" s="192"/>
      <c r="AC69" s="255" t="str">
        <f>IF(COUNTBLANK(Y69:AB69)=4,"",SUM(Y69:AA69)+IF(Setup!$I$15="No",0,AB69))</f>
        <v/>
      </c>
      <c r="AD69" s="192"/>
      <c r="AE69" s="192"/>
      <c r="AF69" s="192"/>
      <c r="AG69" s="192"/>
      <c r="AH69" s="255" t="str">
        <f>IF(COUNTBLANK(AD69:AG69)=4,"",SUM(AD69:AF69)+IF(Setup!$I$15="No",0,AG69))</f>
        <v/>
      </c>
      <c r="AI69" s="192"/>
      <c r="AJ69" s="192"/>
      <c r="AK69" s="192"/>
      <c r="AL69" s="192"/>
      <c r="AM69" s="255" t="str">
        <f>IF(COUNTBLANK(AI69:AL69)=4,"",SUM(AI69:AK69)+IF(Setup!$I$15="No",0,AL69))</f>
        <v/>
      </c>
      <c r="AN69" s="192"/>
      <c r="AO69" s="192"/>
      <c r="AP69" s="192"/>
      <c r="AQ69" s="192"/>
      <c r="AR69" s="255" t="str">
        <f>IF(COUNTBLANK(AN69:AQ69)=4,"",SUM(AN69:AP69)+IF(Setup!$I$15="No",0,AQ69))</f>
        <v/>
      </c>
      <c r="AS69" s="192"/>
      <c r="AT69" s="192"/>
      <c r="AU69" s="192"/>
      <c r="AV69" s="192"/>
      <c r="AW69" s="255" t="str">
        <f>IF(COUNTBLANK(AS69:AV69)=4,"",SUM(AS69:AU69)+IF(Setup!$I$15="No",0,AV69))</f>
        <v/>
      </c>
      <c r="AX69" s="192"/>
      <c r="AY69" s="192"/>
      <c r="AZ69" s="192"/>
      <c r="BA69" s="192"/>
      <c r="BB69" s="255" t="str">
        <f>IF(COUNTBLANK(AX69:BA69)=4,"",SUM(AX69:AZ69)+IF(Setup!$I$15="No",0,BA69))</f>
        <v/>
      </c>
      <c r="BC69" s="259" t="str">
        <f ca="1">IF('Demand background (hide)'!A60=Num_Modalities,"",SUM(Demand!I69))</f>
        <v/>
      </c>
      <c r="BD69" s="259" t="str">
        <f ca="1">IF(AND(A69&lt;=MaxRows,BE69&lt;&gt;"Yes"),'Demand background (hide)'!X60+IF(Setup!$I$15="Yes",'Demand background (hide)'!AJ60,0),"")</f>
        <v/>
      </c>
      <c r="BE69" s="209"/>
    </row>
    <row r="70" spans="1:57" x14ac:dyDescent="0.25">
      <c r="A70" t="str">
        <f t="shared" ca="1" si="0"/>
        <v/>
      </c>
      <c r="B70" s="264" t="str">
        <f t="shared" ca="1" si="1"/>
        <v xml:space="preserve"> </v>
      </c>
      <c r="C70" s="265" t="str">
        <f t="shared" ca="1" si="2"/>
        <v/>
      </c>
      <c r="D70" s="350" t="str">
        <f t="shared" ca="1" si="3"/>
        <v/>
      </c>
      <c r="E70" s="192"/>
      <c r="F70" s="192"/>
      <c r="G70" s="193"/>
      <c r="H70" s="192"/>
      <c r="I70" s="251" t="str">
        <f>IF(COUNTBLANK(E70:H70)=4,"",SUM(E70:G70)+IF(Setup!$I$15="No",0,H70))</f>
        <v/>
      </c>
      <c r="J70" s="192"/>
      <c r="K70" s="192"/>
      <c r="L70" s="192"/>
      <c r="M70" s="192"/>
      <c r="N70" s="255" t="str">
        <f>IF(COUNTBLANK(J70:M70)=4,"",SUM(J70:L70)+IF(Setup!$I$15="No",0,M70))</f>
        <v/>
      </c>
      <c r="O70" s="192"/>
      <c r="P70" s="192"/>
      <c r="Q70" s="192"/>
      <c r="R70" s="192"/>
      <c r="S70" s="255" t="str">
        <f>IF(COUNTBLANK(O70:R70)=4,"",SUM(O70:Q70)+IF(Setup!$I$15="No",0,R70))</f>
        <v/>
      </c>
      <c r="T70" s="192"/>
      <c r="U70" s="192"/>
      <c r="V70" s="192"/>
      <c r="W70" s="192"/>
      <c r="X70" s="255" t="str">
        <f>IF(COUNTBLANK(T70:W70)=4,"",SUM(T70:V70)+IF(Setup!$I$15="No",0,W70))</f>
        <v/>
      </c>
      <c r="Y70" s="192"/>
      <c r="Z70" s="192"/>
      <c r="AA70" s="192"/>
      <c r="AB70" s="192"/>
      <c r="AC70" s="255" t="str">
        <f>IF(COUNTBLANK(Y70:AB70)=4,"",SUM(Y70:AA70)+IF(Setup!$I$15="No",0,AB70))</f>
        <v/>
      </c>
      <c r="AD70" s="192"/>
      <c r="AE70" s="192"/>
      <c r="AF70" s="192"/>
      <c r="AG70" s="192"/>
      <c r="AH70" s="255" t="str">
        <f>IF(COUNTBLANK(AD70:AG70)=4,"",SUM(AD70:AF70)+IF(Setup!$I$15="No",0,AG70))</f>
        <v/>
      </c>
      <c r="AI70" s="192"/>
      <c r="AJ70" s="192"/>
      <c r="AK70" s="192"/>
      <c r="AL70" s="192"/>
      <c r="AM70" s="255" t="str">
        <f>IF(COUNTBLANK(AI70:AL70)=4,"",SUM(AI70:AK70)+IF(Setup!$I$15="No",0,AL70))</f>
        <v/>
      </c>
      <c r="AN70" s="192"/>
      <c r="AO70" s="192"/>
      <c r="AP70" s="192"/>
      <c r="AQ70" s="192"/>
      <c r="AR70" s="255" t="str">
        <f>IF(COUNTBLANK(AN70:AQ70)=4,"",SUM(AN70:AP70)+IF(Setup!$I$15="No",0,AQ70))</f>
        <v/>
      </c>
      <c r="AS70" s="192"/>
      <c r="AT70" s="192"/>
      <c r="AU70" s="192"/>
      <c r="AV70" s="192"/>
      <c r="AW70" s="255" t="str">
        <f>IF(COUNTBLANK(AS70:AV70)=4,"",SUM(AS70:AU70)+IF(Setup!$I$15="No",0,AV70))</f>
        <v/>
      </c>
      <c r="AX70" s="192"/>
      <c r="AY70" s="192"/>
      <c r="AZ70" s="192"/>
      <c r="BA70" s="192"/>
      <c r="BB70" s="255" t="str">
        <f>IF(COUNTBLANK(AX70:BA70)=4,"",SUM(AX70:AZ70)+IF(Setup!$I$15="No",0,BA70))</f>
        <v/>
      </c>
      <c r="BC70" s="259" t="str">
        <f ca="1">IF('Demand background (hide)'!A61=Num_Modalities,"",SUM(Demand!I70))</f>
        <v/>
      </c>
      <c r="BD70" s="259" t="str">
        <f ca="1">IF(AND(A70&lt;=MaxRows,BE70&lt;&gt;"Yes"),'Demand background (hide)'!X61+IF(Setup!$I$15="Yes",'Demand background (hide)'!AJ61,0),"")</f>
        <v/>
      </c>
      <c r="BE70" s="209"/>
    </row>
    <row r="71" spans="1:57" x14ac:dyDescent="0.25">
      <c r="A71" t="str">
        <f t="shared" ca="1" si="0"/>
        <v/>
      </c>
      <c r="B71" s="264" t="str">
        <f t="shared" ca="1" si="1"/>
        <v xml:space="preserve"> </v>
      </c>
      <c r="C71" s="265" t="str">
        <f t="shared" ca="1" si="2"/>
        <v/>
      </c>
      <c r="D71" s="350" t="str">
        <f t="shared" ca="1" si="3"/>
        <v/>
      </c>
      <c r="E71" s="192"/>
      <c r="F71" s="192"/>
      <c r="G71" s="193"/>
      <c r="H71" s="192"/>
      <c r="I71" s="251" t="str">
        <f>IF(COUNTBLANK(E71:H71)=4,"",SUM(E71:G71)+IF(Setup!$I$15="No",0,H71))</f>
        <v/>
      </c>
      <c r="J71" s="192"/>
      <c r="K71" s="192"/>
      <c r="L71" s="192"/>
      <c r="M71" s="192"/>
      <c r="N71" s="255" t="str">
        <f>IF(COUNTBLANK(J71:M71)=4,"",SUM(J71:L71)+IF(Setup!$I$15="No",0,M71))</f>
        <v/>
      </c>
      <c r="O71" s="192"/>
      <c r="P71" s="192"/>
      <c r="Q71" s="192"/>
      <c r="R71" s="192"/>
      <c r="S71" s="255" t="str">
        <f>IF(COUNTBLANK(O71:R71)=4,"",SUM(O71:Q71)+IF(Setup!$I$15="No",0,R71))</f>
        <v/>
      </c>
      <c r="T71" s="192"/>
      <c r="U71" s="192"/>
      <c r="V71" s="192"/>
      <c r="W71" s="192"/>
      <c r="X71" s="255" t="str">
        <f>IF(COUNTBLANK(T71:W71)=4,"",SUM(T71:V71)+IF(Setup!$I$15="No",0,W71))</f>
        <v/>
      </c>
      <c r="Y71" s="192"/>
      <c r="Z71" s="192"/>
      <c r="AA71" s="192"/>
      <c r="AB71" s="192"/>
      <c r="AC71" s="255" t="str">
        <f>IF(COUNTBLANK(Y71:AB71)=4,"",SUM(Y71:AA71)+IF(Setup!$I$15="No",0,AB71))</f>
        <v/>
      </c>
      <c r="AD71" s="192"/>
      <c r="AE71" s="192"/>
      <c r="AF71" s="192"/>
      <c r="AG71" s="192"/>
      <c r="AH71" s="255" t="str">
        <f>IF(COUNTBLANK(AD71:AG71)=4,"",SUM(AD71:AF71)+IF(Setup!$I$15="No",0,AG71))</f>
        <v/>
      </c>
      <c r="AI71" s="192"/>
      <c r="AJ71" s="192"/>
      <c r="AK71" s="192"/>
      <c r="AL71" s="192"/>
      <c r="AM71" s="255" t="str">
        <f>IF(COUNTBLANK(AI71:AL71)=4,"",SUM(AI71:AK71)+IF(Setup!$I$15="No",0,AL71))</f>
        <v/>
      </c>
      <c r="AN71" s="192"/>
      <c r="AO71" s="192"/>
      <c r="AP71" s="192"/>
      <c r="AQ71" s="192"/>
      <c r="AR71" s="255" t="str">
        <f>IF(COUNTBLANK(AN71:AQ71)=4,"",SUM(AN71:AP71)+IF(Setup!$I$15="No",0,AQ71))</f>
        <v/>
      </c>
      <c r="AS71" s="192"/>
      <c r="AT71" s="192"/>
      <c r="AU71" s="192"/>
      <c r="AV71" s="192"/>
      <c r="AW71" s="255" t="str">
        <f>IF(COUNTBLANK(AS71:AV71)=4,"",SUM(AS71:AU71)+IF(Setup!$I$15="No",0,AV71))</f>
        <v/>
      </c>
      <c r="AX71" s="192"/>
      <c r="AY71" s="192"/>
      <c r="AZ71" s="192"/>
      <c r="BA71" s="192"/>
      <c r="BB71" s="255" t="str">
        <f>IF(COUNTBLANK(AX71:BA71)=4,"",SUM(AX71:AZ71)+IF(Setup!$I$15="No",0,BA71))</f>
        <v/>
      </c>
      <c r="BC71" s="259" t="str">
        <f ca="1">IF('Demand background (hide)'!A62=Num_Modalities,"",SUM(Demand!I71))</f>
        <v/>
      </c>
      <c r="BD71" s="259" t="str">
        <f ca="1">IF(AND(A71&lt;=MaxRows,BE71&lt;&gt;"Yes"),'Demand background (hide)'!X62+IF(Setup!$I$15="Yes",'Demand background (hide)'!AJ62,0),"")</f>
        <v/>
      </c>
      <c r="BE71" s="209"/>
    </row>
    <row r="72" spans="1:57" x14ac:dyDescent="0.25">
      <c r="A72" t="str">
        <f t="shared" ca="1" si="0"/>
        <v/>
      </c>
      <c r="B72" s="264" t="str">
        <f t="shared" ca="1" si="1"/>
        <v xml:space="preserve"> </v>
      </c>
      <c r="C72" s="265" t="str">
        <f t="shared" ca="1" si="2"/>
        <v/>
      </c>
      <c r="D72" s="350" t="str">
        <f t="shared" ca="1" si="3"/>
        <v/>
      </c>
      <c r="E72" s="192"/>
      <c r="F72" s="192"/>
      <c r="G72" s="193"/>
      <c r="H72" s="192"/>
      <c r="I72" s="251" t="str">
        <f>IF(COUNTBLANK(E72:H72)=4,"",SUM(E72:G72)+IF(Setup!$I$15="No",0,H72))</f>
        <v/>
      </c>
      <c r="J72" s="192"/>
      <c r="K72" s="192"/>
      <c r="L72" s="192"/>
      <c r="M72" s="192"/>
      <c r="N72" s="255" t="str">
        <f>IF(COUNTBLANK(J72:M72)=4,"",SUM(J72:L72)+IF(Setup!$I$15="No",0,M72))</f>
        <v/>
      </c>
      <c r="O72" s="192"/>
      <c r="P72" s="192"/>
      <c r="Q72" s="192"/>
      <c r="R72" s="192"/>
      <c r="S72" s="255" t="str">
        <f>IF(COUNTBLANK(O72:R72)=4,"",SUM(O72:Q72)+IF(Setup!$I$15="No",0,R72))</f>
        <v/>
      </c>
      <c r="T72" s="192"/>
      <c r="U72" s="192"/>
      <c r="V72" s="192"/>
      <c r="W72" s="192"/>
      <c r="X72" s="255" t="str">
        <f>IF(COUNTBLANK(T72:W72)=4,"",SUM(T72:V72)+IF(Setup!$I$15="No",0,W72))</f>
        <v/>
      </c>
      <c r="Y72" s="192"/>
      <c r="Z72" s="192"/>
      <c r="AA72" s="192"/>
      <c r="AB72" s="192"/>
      <c r="AC72" s="255" t="str">
        <f>IF(COUNTBLANK(Y72:AB72)=4,"",SUM(Y72:AA72)+IF(Setup!$I$15="No",0,AB72))</f>
        <v/>
      </c>
      <c r="AD72" s="192"/>
      <c r="AE72" s="192"/>
      <c r="AF72" s="192"/>
      <c r="AG72" s="192"/>
      <c r="AH72" s="255" t="str">
        <f>IF(COUNTBLANK(AD72:AG72)=4,"",SUM(AD72:AF72)+IF(Setup!$I$15="No",0,AG72))</f>
        <v/>
      </c>
      <c r="AI72" s="192"/>
      <c r="AJ72" s="192"/>
      <c r="AK72" s="192"/>
      <c r="AL72" s="192"/>
      <c r="AM72" s="255" t="str">
        <f>IF(COUNTBLANK(AI72:AL72)=4,"",SUM(AI72:AK72)+IF(Setup!$I$15="No",0,AL72))</f>
        <v/>
      </c>
      <c r="AN72" s="192"/>
      <c r="AO72" s="192"/>
      <c r="AP72" s="192"/>
      <c r="AQ72" s="192"/>
      <c r="AR72" s="255" t="str">
        <f>IF(COUNTBLANK(AN72:AQ72)=4,"",SUM(AN72:AP72)+IF(Setup!$I$15="No",0,AQ72))</f>
        <v/>
      </c>
      <c r="AS72" s="192"/>
      <c r="AT72" s="192"/>
      <c r="AU72" s="192"/>
      <c r="AV72" s="192"/>
      <c r="AW72" s="255" t="str">
        <f>IF(COUNTBLANK(AS72:AV72)=4,"",SUM(AS72:AU72)+IF(Setup!$I$15="No",0,AV72))</f>
        <v/>
      </c>
      <c r="AX72" s="192"/>
      <c r="AY72" s="192"/>
      <c r="AZ72" s="192"/>
      <c r="BA72" s="192"/>
      <c r="BB72" s="255" t="str">
        <f>IF(COUNTBLANK(AX72:BA72)=4,"",SUM(AX72:AZ72)+IF(Setup!$I$15="No",0,BA72))</f>
        <v/>
      </c>
      <c r="BC72" s="259" t="str">
        <f ca="1">IF('Demand background (hide)'!A63=Num_Modalities,"",SUM(Demand!I72))</f>
        <v/>
      </c>
      <c r="BD72" s="259" t="str">
        <f ca="1">IF(AND(A72&lt;=MaxRows,BE72&lt;&gt;"Yes"),'Demand background (hide)'!X63+IF(Setup!$I$15="Yes",'Demand background (hide)'!AJ63,0),"")</f>
        <v/>
      </c>
      <c r="BE72" s="209"/>
    </row>
    <row r="73" spans="1:57" x14ac:dyDescent="0.25">
      <c r="A73" t="str">
        <f t="shared" ca="1" si="0"/>
        <v/>
      </c>
      <c r="B73" s="264" t="str">
        <f t="shared" ca="1" si="1"/>
        <v xml:space="preserve"> </v>
      </c>
      <c r="C73" s="265" t="str">
        <f t="shared" ca="1" si="2"/>
        <v/>
      </c>
      <c r="D73" s="350" t="str">
        <f t="shared" ca="1" si="3"/>
        <v/>
      </c>
      <c r="E73" s="192"/>
      <c r="F73" s="192"/>
      <c r="G73" s="193"/>
      <c r="H73" s="192"/>
      <c r="I73" s="251" t="str">
        <f>IF(COUNTBLANK(E73:H73)=4,"",SUM(E73:G73)+IF(Setup!$I$15="No",0,H73))</f>
        <v/>
      </c>
      <c r="J73" s="192"/>
      <c r="K73" s="192"/>
      <c r="L73" s="192"/>
      <c r="M73" s="192"/>
      <c r="N73" s="255" t="str">
        <f>IF(COUNTBLANK(J73:M73)=4,"",SUM(J73:L73)+IF(Setup!$I$15="No",0,M73))</f>
        <v/>
      </c>
      <c r="O73" s="192"/>
      <c r="P73" s="192"/>
      <c r="Q73" s="192"/>
      <c r="R73" s="192"/>
      <c r="S73" s="255" t="str">
        <f>IF(COUNTBLANK(O73:R73)=4,"",SUM(O73:Q73)+IF(Setup!$I$15="No",0,R73))</f>
        <v/>
      </c>
      <c r="T73" s="192"/>
      <c r="U73" s="192"/>
      <c r="V73" s="192"/>
      <c r="W73" s="192"/>
      <c r="X73" s="255" t="str">
        <f>IF(COUNTBLANK(T73:W73)=4,"",SUM(T73:V73)+IF(Setup!$I$15="No",0,W73))</f>
        <v/>
      </c>
      <c r="Y73" s="192"/>
      <c r="Z73" s="192"/>
      <c r="AA73" s="192"/>
      <c r="AB73" s="192"/>
      <c r="AC73" s="255" t="str">
        <f>IF(COUNTBLANK(Y73:AB73)=4,"",SUM(Y73:AA73)+IF(Setup!$I$15="No",0,AB73))</f>
        <v/>
      </c>
      <c r="AD73" s="192"/>
      <c r="AE73" s="192"/>
      <c r="AF73" s="192"/>
      <c r="AG73" s="192"/>
      <c r="AH73" s="255" t="str">
        <f>IF(COUNTBLANK(AD73:AG73)=4,"",SUM(AD73:AF73)+IF(Setup!$I$15="No",0,AG73))</f>
        <v/>
      </c>
      <c r="AI73" s="192"/>
      <c r="AJ73" s="192"/>
      <c r="AK73" s="192"/>
      <c r="AL73" s="192"/>
      <c r="AM73" s="255" t="str">
        <f>IF(COUNTBLANK(AI73:AL73)=4,"",SUM(AI73:AK73)+IF(Setup!$I$15="No",0,AL73))</f>
        <v/>
      </c>
      <c r="AN73" s="192"/>
      <c r="AO73" s="192"/>
      <c r="AP73" s="192"/>
      <c r="AQ73" s="192"/>
      <c r="AR73" s="255" t="str">
        <f>IF(COUNTBLANK(AN73:AQ73)=4,"",SUM(AN73:AP73)+IF(Setup!$I$15="No",0,AQ73))</f>
        <v/>
      </c>
      <c r="AS73" s="192"/>
      <c r="AT73" s="192"/>
      <c r="AU73" s="192"/>
      <c r="AV73" s="192"/>
      <c r="AW73" s="255" t="str">
        <f>IF(COUNTBLANK(AS73:AV73)=4,"",SUM(AS73:AU73)+IF(Setup!$I$15="No",0,AV73))</f>
        <v/>
      </c>
      <c r="AX73" s="192"/>
      <c r="AY73" s="192"/>
      <c r="AZ73" s="192"/>
      <c r="BA73" s="192"/>
      <c r="BB73" s="255" t="str">
        <f>IF(COUNTBLANK(AX73:BA73)=4,"",SUM(AX73:AZ73)+IF(Setup!$I$15="No",0,BA73))</f>
        <v/>
      </c>
      <c r="BC73" s="259" t="str">
        <f ca="1">IF('Demand background (hide)'!A64=Num_Modalities,"",SUM(Demand!I73))</f>
        <v/>
      </c>
      <c r="BD73" s="259" t="str">
        <f ca="1">IF(AND(A73&lt;=MaxRows,BE73&lt;&gt;"Yes"),'Demand background (hide)'!X64+IF(Setup!$I$15="Yes",'Demand background (hide)'!AJ64,0),"")</f>
        <v/>
      </c>
      <c r="BE73" s="209"/>
    </row>
    <row r="74" spans="1:57" x14ac:dyDescent="0.25">
      <c r="A74" t="str">
        <f t="shared" ca="1" si="0"/>
        <v/>
      </c>
      <c r="B74" s="264" t="str">
        <f t="shared" ca="1" si="1"/>
        <v xml:space="preserve"> </v>
      </c>
      <c r="C74" s="265" t="str">
        <f t="shared" ca="1" si="2"/>
        <v/>
      </c>
      <c r="D74" s="350" t="str">
        <f t="shared" ca="1" si="3"/>
        <v/>
      </c>
      <c r="E74" s="192"/>
      <c r="F74" s="192"/>
      <c r="G74" s="193"/>
      <c r="H74" s="192"/>
      <c r="I74" s="251" t="str">
        <f>IF(COUNTBLANK(E74:H74)=4,"",SUM(E74:G74)+IF(Setup!$I$15="No",0,H74))</f>
        <v/>
      </c>
      <c r="J74" s="192"/>
      <c r="K74" s="192"/>
      <c r="L74" s="192"/>
      <c r="M74" s="192"/>
      <c r="N74" s="255" t="str">
        <f>IF(COUNTBLANK(J74:M74)=4,"",SUM(J74:L74)+IF(Setup!$I$15="No",0,M74))</f>
        <v/>
      </c>
      <c r="O74" s="192"/>
      <c r="P74" s="192"/>
      <c r="Q74" s="192"/>
      <c r="R74" s="192"/>
      <c r="S74" s="255" t="str">
        <f>IF(COUNTBLANK(O74:R74)=4,"",SUM(O74:Q74)+IF(Setup!$I$15="No",0,R74))</f>
        <v/>
      </c>
      <c r="T74" s="192"/>
      <c r="U74" s="192"/>
      <c r="V74" s="192"/>
      <c r="W74" s="192"/>
      <c r="X74" s="255" t="str">
        <f>IF(COUNTBLANK(T74:W74)=4,"",SUM(T74:V74)+IF(Setup!$I$15="No",0,W74))</f>
        <v/>
      </c>
      <c r="Y74" s="192"/>
      <c r="Z74" s="192"/>
      <c r="AA74" s="192"/>
      <c r="AB74" s="192"/>
      <c r="AC74" s="255" t="str">
        <f>IF(COUNTBLANK(Y74:AB74)=4,"",SUM(Y74:AA74)+IF(Setup!$I$15="No",0,AB74))</f>
        <v/>
      </c>
      <c r="AD74" s="192"/>
      <c r="AE74" s="192"/>
      <c r="AF74" s="192"/>
      <c r="AG74" s="192"/>
      <c r="AH74" s="255" t="str">
        <f>IF(COUNTBLANK(AD74:AG74)=4,"",SUM(AD74:AF74)+IF(Setup!$I$15="No",0,AG74))</f>
        <v/>
      </c>
      <c r="AI74" s="192"/>
      <c r="AJ74" s="192"/>
      <c r="AK74" s="192"/>
      <c r="AL74" s="192"/>
      <c r="AM74" s="255" t="str">
        <f>IF(COUNTBLANK(AI74:AL74)=4,"",SUM(AI74:AK74)+IF(Setup!$I$15="No",0,AL74))</f>
        <v/>
      </c>
      <c r="AN74" s="192"/>
      <c r="AO74" s="192"/>
      <c r="AP74" s="192"/>
      <c r="AQ74" s="192"/>
      <c r="AR74" s="255" t="str">
        <f>IF(COUNTBLANK(AN74:AQ74)=4,"",SUM(AN74:AP74)+IF(Setup!$I$15="No",0,AQ74))</f>
        <v/>
      </c>
      <c r="AS74" s="192"/>
      <c r="AT74" s="192"/>
      <c r="AU74" s="192"/>
      <c r="AV74" s="192"/>
      <c r="AW74" s="255" t="str">
        <f>IF(COUNTBLANK(AS74:AV74)=4,"",SUM(AS74:AU74)+IF(Setup!$I$15="No",0,AV74))</f>
        <v/>
      </c>
      <c r="AX74" s="192"/>
      <c r="AY74" s="192"/>
      <c r="AZ74" s="192"/>
      <c r="BA74" s="192"/>
      <c r="BB74" s="255" t="str">
        <f>IF(COUNTBLANK(AX74:BA74)=4,"",SUM(AX74:AZ74)+IF(Setup!$I$15="No",0,BA74))</f>
        <v/>
      </c>
      <c r="BC74" s="259" t="str">
        <f ca="1">IF('Demand background (hide)'!A65=Num_Modalities,"",SUM(Demand!I74))</f>
        <v/>
      </c>
      <c r="BD74" s="259" t="str">
        <f ca="1">IF(AND(A74&lt;=MaxRows,BE74&lt;&gt;"Yes"),'Demand background (hide)'!X65+IF(Setup!$I$15="Yes",'Demand background (hide)'!AJ65,0),"")</f>
        <v/>
      </c>
      <c r="BE74" s="209"/>
    </row>
    <row r="75" spans="1:57" x14ac:dyDescent="0.25">
      <c r="A75" t="str">
        <f t="shared" ca="1" si="0"/>
        <v/>
      </c>
      <c r="B75" s="264" t="str">
        <f t="shared" ca="1" si="1"/>
        <v xml:space="preserve"> </v>
      </c>
      <c r="C75" s="265" t="str">
        <f t="shared" ca="1" si="2"/>
        <v/>
      </c>
      <c r="D75" s="350" t="str">
        <f t="shared" ca="1" si="3"/>
        <v/>
      </c>
      <c r="E75" s="192"/>
      <c r="F75" s="192"/>
      <c r="G75" s="193"/>
      <c r="H75" s="192"/>
      <c r="I75" s="251" t="str">
        <f>IF(COUNTBLANK(E75:H75)=4,"",SUM(E75:G75)+IF(Setup!$I$15="No",0,H75))</f>
        <v/>
      </c>
      <c r="J75" s="192"/>
      <c r="K75" s="192"/>
      <c r="L75" s="192"/>
      <c r="M75" s="192"/>
      <c r="N75" s="255" t="str">
        <f>IF(COUNTBLANK(J75:M75)=4,"",SUM(J75:L75)+IF(Setup!$I$15="No",0,M75))</f>
        <v/>
      </c>
      <c r="O75" s="192"/>
      <c r="P75" s="192"/>
      <c r="Q75" s="192"/>
      <c r="R75" s="192"/>
      <c r="S75" s="255" t="str">
        <f>IF(COUNTBLANK(O75:R75)=4,"",SUM(O75:Q75)+IF(Setup!$I$15="No",0,R75))</f>
        <v/>
      </c>
      <c r="T75" s="192"/>
      <c r="U75" s="192"/>
      <c r="V75" s="192"/>
      <c r="W75" s="192"/>
      <c r="X75" s="255" t="str">
        <f>IF(COUNTBLANK(T75:W75)=4,"",SUM(T75:V75)+IF(Setup!$I$15="No",0,W75))</f>
        <v/>
      </c>
      <c r="Y75" s="192"/>
      <c r="Z75" s="192"/>
      <c r="AA75" s="192"/>
      <c r="AB75" s="192"/>
      <c r="AC75" s="255" t="str">
        <f>IF(COUNTBLANK(Y75:AB75)=4,"",SUM(Y75:AA75)+IF(Setup!$I$15="No",0,AB75))</f>
        <v/>
      </c>
      <c r="AD75" s="192"/>
      <c r="AE75" s="192"/>
      <c r="AF75" s="192"/>
      <c r="AG75" s="192"/>
      <c r="AH75" s="255" t="str">
        <f>IF(COUNTBLANK(AD75:AG75)=4,"",SUM(AD75:AF75)+IF(Setup!$I$15="No",0,AG75))</f>
        <v/>
      </c>
      <c r="AI75" s="192"/>
      <c r="AJ75" s="192"/>
      <c r="AK75" s="192"/>
      <c r="AL75" s="192"/>
      <c r="AM75" s="255" t="str">
        <f>IF(COUNTBLANK(AI75:AL75)=4,"",SUM(AI75:AK75)+IF(Setup!$I$15="No",0,AL75))</f>
        <v/>
      </c>
      <c r="AN75" s="192"/>
      <c r="AO75" s="192"/>
      <c r="AP75" s="192"/>
      <c r="AQ75" s="192"/>
      <c r="AR75" s="255" t="str">
        <f>IF(COUNTBLANK(AN75:AQ75)=4,"",SUM(AN75:AP75)+IF(Setup!$I$15="No",0,AQ75))</f>
        <v/>
      </c>
      <c r="AS75" s="192"/>
      <c r="AT75" s="192"/>
      <c r="AU75" s="192"/>
      <c r="AV75" s="192"/>
      <c r="AW75" s="255" t="str">
        <f>IF(COUNTBLANK(AS75:AV75)=4,"",SUM(AS75:AU75)+IF(Setup!$I$15="No",0,AV75))</f>
        <v/>
      </c>
      <c r="AX75" s="192"/>
      <c r="AY75" s="192"/>
      <c r="AZ75" s="192"/>
      <c r="BA75" s="192"/>
      <c r="BB75" s="255" t="str">
        <f>IF(COUNTBLANK(AX75:BA75)=4,"",SUM(AX75:AZ75)+IF(Setup!$I$15="No",0,BA75))</f>
        <v/>
      </c>
      <c r="BC75" s="259" t="str">
        <f ca="1">IF('Demand background (hide)'!A66=Num_Modalities,"",SUM(Demand!I75))</f>
        <v/>
      </c>
      <c r="BD75" s="259" t="str">
        <f ca="1">IF(AND(A75&lt;=MaxRows,BE75&lt;&gt;"Yes"),'Demand background (hide)'!X66+IF(Setup!$I$15="Yes",'Demand background (hide)'!AJ66,0),"")</f>
        <v/>
      </c>
      <c r="BE75" s="209"/>
    </row>
    <row r="76" spans="1:57" x14ac:dyDescent="0.25">
      <c r="A76" t="str">
        <f t="shared" ca="1" si="0"/>
        <v/>
      </c>
      <c r="B76" s="264" t="str">
        <f t="shared" ca="1" si="1"/>
        <v xml:space="preserve"> </v>
      </c>
      <c r="C76" s="265" t="str">
        <f t="shared" ca="1" si="2"/>
        <v/>
      </c>
      <c r="D76" s="350" t="str">
        <f t="shared" ca="1" si="3"/>
        <v/>
      </c>
      <c r="E76" s="192"/>
      <c r="F76" s="192"/>
      <c r="G76" s="193"/>
      <c r="H76" s="192"/>
      <c r="I76" s="251" t="str">
        <f>IF(COUNTBLANK(E76:H76)=4,"",SUM(E76:G76)+IF(Setup!$I$15="No",0,H76))</f>
        <v/>
      </c>
      <c r="J76" s="192"/>
      <c r="K76" s="192"/>
      <c r="L76" s="192"/>
      <c r="M76" s="192"/>
      <c r="N76" s="255" t="str">
        <f>IF(COUNTBLANK(J76:M76)=4,"",SUM(J76:L76)+IF(Setup!$I$15="No",0,M76))</f>
        <v/>
      </c>
      <c r="O76" s="192"/>
      <c r="P76" s="192"/>
      <c r="Q76" s="192"/>
      <c r="R76" s="192"/>
      <c r="S76" s="255" t="str">
        <f>IF(COUNTBLANK(O76:R76)=4,"",SUM(O76:Q76)+IF(Setup!$I$15="No",0,R76))</f>
        <v/>
      </c>
      <c r="T76" s="192"/>
      <c r="U76" s="192"/>
      <c r="V76" s="192"/>
      <c r="W76" s="192"/>
      <c r="X76" s="255" t="str">
        <f>IF(COUNTBLANK(T76:W76)=4,"",SUM(T76:V76)+IF(Setup!$I$15="No",0,W76))</f>
        <v/>
      </c>
      <c r="Y76" s="192"/>
      <c r="Z76" s="192"/>
      <c r="AA76" s="192"/>
      <c r="AB76" s="192"/>
      <c r="AC76" s="255" t="str">
        <f>IF(COUNTBLANK(Y76:AB76)=4,"",SUM(Y76:AA76)+IF(Setup!$I$15="No",0,AB76))</f>
        <v/>
      </c>
      <c r="AD76" s="192"/>
      <c r="AE76" s="192"/>
      <c r="AF76" s="192"/>
      <c r="AG76" s="192"/>
      <c r="AH76" s="255" t="str">
        <f>IF(COUNTBLANK(AD76:AG76)=4,"",SUM(AD76:AF76)+IF(Setup!$I$15="No",0,AG76))</f>
        <v/>
      </c>
      <c r="AI76" s="192"/>
      <c r="AJ76" s="192"/>
      <c r="AK76" s="192"/>
      <c r="AL76" s="192"/>
      <c r="AM76" s="255" t="str">
        <f>IF(COUNTBLANK(AI76:AL76)=4,"",SUM(AI76:AK76)+IF(Setup!$I$15="No",0,AL76))</f>
        <v/>
      </c>
      <c r="AN76" s="192"/>
      <c r="AO76" s="192"/>
      <c r="AP76" s="192"/>
      <c r="AQ76" s="192"/>
      <c r="AR76" s="255" t="str">
        <f>IF(COUNTBLANK(AN76:AQ76)=4,"",SUM(AN76:AP76)+IF(Setup!$I$15="No",0,AQ76))</f>
        <v/>
      </c>
      <c r="AS76" s="192"/>
      <c r="AT76" s="192"/>
      <c r="AU76" s="192"/>
      <c r="AV76" s="192"/>
      <c r="AW76" s="255" t="str">
        <f>IF(COUNTBLANK(AS76:AV76)=4,"",SUM(AS76:AU76)+IF(Setup!$I$15="No",0,AV76))</f>
        <v/>
      </c>
      <c r="AX76" s="192"/>
      <c r="AY76" s="192"/>
      <c r="AZ76" s="192"/>
      <c r="BA76" s="192"/>
      <c r="BB76" s="255" t="str">
        <f>IF(COUNTBLANK(AX76:BA76)=4,"",SUM(AX76:AZ76)+IF(Setup!$I$15="No",0,BA76))</f>
        <v/>
      </c>
      <c r="BC76" s="259" t="str">
        <f ca="1">IF('Demand background (hide)'!A67=Num_Modalities,"",SUM(Demand!I76))</f>
        <v/>
      </c>
      <c r="BD76" s="259" t="str">
        <f ca="1">IF(AND(A76&lt;=MaxRows,BE76&lt;&gt;"Yes"),'Demand background (hide)'!X67+IF(Setup!$I$15="Yes",'Demand background (hide)'!AJ67,0),"")</f>
        <v/>
      </c>
      <c r="BE76" s="209"/>
    </row>
    <row r="77" spans="1:57" x14ac:dyDescent="0.25">
      <c r="A77" t="str">
        <f t="shared" ref="A77:A140" ca="1" si="4">IF(BC77&lt;&gt;"",ROW(A65),"")</f>
        <v/>
      </c>
      <c r="B77" s="264" t="str">
        <f t="shared" ca="1" si="1"/>
        <v xml:space="preserve"> </v>
      </c>
      <c r="C77" s="265" t="str">
        <f t="shared" ca="1" si="2"/>
        <v/>
      </c>
      <c r="D77" s="350" t="str">
        <f t="shared" ca="1" si="3"/>
        <v/>
      </c>
      <c r="E77" s="192"/>
      <c r="F77" s="192"/>
      <c r="G77" s="193"/>
      <c r="H77" s="192"/>
      <c r="I77" s="251" t="str">
        <f>IF(COUNTBLANK(E77:H77)=4,"",SUM(E77:G77)+IF(Setup!$I$15="No",0,H77))</f>
        <v/>
      </c>
      <c r="J77" s="192"/>
      <c r="K77" s="192"/>
      <c r="L77" s="192"/>
      <c r="M77" s="192"/>
      <c r="N77" s="255" t="str">
        <f>IF(COUNTBLANK(J77:M77)=4,"",SUM(J77:L77)+IF(Setup!$I$15="No",0,M77))</f>
        <v/>
      </c>
      <c r="O77" s="192"/>
      <c r="P77" s="192"/>
      <c r="Q77" s="192"/>
      <c r="R77" s="192"/>
      <c r="S77" s="255" t="str">
        <f>IF(COUNTBLANK(O77:R77)=4,"",SUM(O77:Q77)+IF(Setup!$I$15="No",0,R77))</f>
        <v/>
      </c>
      <c r="T77" s="192"/>
      <c r="U77" s="192"/>
      <c r="V77" s="192"/>
      <c r="W77" s="192"/>
      <c r="X77" s="255" t="str">
        <f>IF(COUNTBLANK(T77:W77)=4,"",SUM(T77:V77)+IF(Setup!$I$15="No",0,W77))</f>
        <v/>
      </c>
      <c r="Y77" s="192"/>
      <c r="Z77" s="192"/>
      <c r="AA77" s="192"/>
      <c r="AB77" s="192"/>
      <c r="AC77" s="255" t="str">
        <f>IF(COUNTBLANK(Y77:AB77)=4,"",SUM(Y77:AA77)+IF(Setup!$I$15="No",0,AB77))</f>
        <v/>
      </c>
      <c r="AD77" s="192"/>
      <c r="AE77" s="192"/>
      <c r="AF77" s="192"/>
      <c r="AG77" s="192"/>
      <c r="AH77" s="255" t="str">
        <f>IF(COUNTBLANK(AD77:AG77)=4,"",SUM(AD77:AF77)+IF(Setup!$I$15="No",0,AG77))</f>
        <v/>
      </c>
      <c r="AI77" s="192"/>
      <c r="AJ77" s="192"/>
      <c r="AK77" s="192"/>
      <c r="AL77" s="192"/>
      <c r="AM77" s="255" t="str">
        <f>IF(COUNTBLANK(AI77:AL77)=4,"",SUM(AI77:AK77)+IF(Setup!$I$15="No",0,AL77))</f>
        <v/>
      </c>
      <c r="AN77" s="192"/>
      <c r="AO77" s="192"/>
      <c r="AP77" s="192"/>
      <c r="AQ77" s="192"/>
      <c r="AR77" s="255" t="str">
        <f>IF(COUNTBLANK(AN77:AQ77)=4,"",SUM(AN77:AP77)+IF(Setup!$I$15="No",0,AQ77))</f>
        <v/>
      </c>
      <c r="AS77" s="192"/>
      <c r="AT77" s="192"/>
      <c r="AU77" s="192"/>
      <c r="AV77" s="192"/>
      <c r="AW77" s="255" t="str">
        <f>IF(COUNTBLANK(AS77:AV77)=4,"",SUM(AS77:AU77)+IF(Setup!$I$15="No",0,AV77))</f>
        <v/>
      </c>
      <c r="AX77" s="192"/>
      <c r="AY77" s="192"/>
      <c r="AZ77" s="192"/>
      <c r="BA77" s="192"/>
      <c r="BB77" s="255" t="str">
        <f>IF(COUNTBLANK(AX77:BA77)=4,"",SUM(AX77:AZ77)+IF(Setup!$I$15="No",0,BA77))</f>
        <v/>
      </c>
      <c r="BC77" s="259" t="str">
        <f ca="1">IF('Demand background (hide)'!A68=Num_Modalities,"",SUM(Demand!I77))</f>
        <v/>
      </c>
      <c r="BD77" s="259" t="str">
        <f ca="1">IF(AND(A77&lt;=MaxRows,BE77&lt;&gt;"Yes"),'Demand background (hide)'!X68+IF(Setup!$I$15="Yes",'Demand background (hide)'!AJ68,0),"")</f>
        <v/>
      </c>
      <c r="BE77" s="209"/>
    </row>
    <row r="78" spans="1:57" x14ac:dyDescent="0.25">
      <c r="A78" t="str">
        <f t="shared" ca="1" si="4"/>
        <v/>
      </c>
      <c r="B78" s="264" t="str">
        <f t="shared" ref="B78:B141" ca="1" si="5">IF(A78&lt;=MaxRows,IF($C$6&lt;&gt;"",IF(YEAR(D78)&lt;&gt;YEAR(D77),YEAR(D78)," "),IF(C78&lt;&gt;1,"",OFFSET(B78,-C77,0,1,1)+1))," ")</f>
        <v xml:space="preserve"> </v>
      </c>
      <c r="C78" s="265" t="str">
        <f t="shared" ref="C78:C141" ca="1" si="6">IF(ROW(A66)&lt;=MaxRows,IF($C$6&lt;&gt;"",WEEKNUM(D78,21),IF(MOD((C77+1),52)&gt;0,MOD((C77+1),52),52)),"")</f>
        <v/>
      </c>
      <c r="D78" s="350" t="str">
        <f t="shared" ref="D78:D141" ca="1" si="7">IF(OR(AND(ROW(A66)&lt;=MaxRows,$C$6&lt;&gt;""),AND(ROW(A78)&lt;=64,LEFT($C$8,1)&lt;&gt;"H")),D77+7,"")</f>
        <v/>
      </c>
      <c r="E78" s="192"/>
      <c r="F78" s="192"/>
      <c r="G78" s="193"/>
      <c r="H78" s="192"/>
      <c r="I78" s="251" t="str">
        <f>IF(COUNTBLANK(E78:H78)=4,"",SUM(E78:G78)+IF(Setup!$I$15="No",0,H78))</f>
        <v/>
      </c>
      <c r="J78" s="192"/>
      <c r="K78" s="192"/>
      <c r="L78" s="192"/>
      <c r="M78" s="192"/>
      <c r="N78" s="255" t="str">
        <f>IF(COUNTBLANK(J78:M78)=4,"",SUM(J78:L78)+IF(Setup!$I$15="No",0,M78))</f>
        <v/>
      </c>
      <c r="O78" s="192"/>
      <c r="P78" s="192"/>
      <c r="Q78" s="192"/>
      <c r="R78" s="192"/>
      <c r="S78" s="255" t="str">
        <f>IF(COUNTBLANK(O78:R78)=4,"",SUM(O78:Q78)+IF(Setup!$I$15="No",0,R78))</f>
        <v/>
      </c>
      <c r="T78" s="192"/>
      <c r="U78" s="192"/>
      <c r="V78" s="192"/>
      <c r="W78" s="192"/>
      <c r="X78" s="255" t="str">
        <f>IF(COUNTBLANK(T78:W78)=4,"",SUM(T78:V78)+IF(Setup!$I$15="No",0,W78))</f>
        <v/>
      </c>
      <c r="Y78" s="192"/>
      <c r="Z78" s="192"/>
      <c r="AA78" s="192"/>
      <c r="AB78" s="192"/>
      <c r="AC78" s="255" t="str">
        <f>IF(COUNTBLANK(Y78:AB78)=4,"",SUM(Y78:AA78)+IF(Setup!$I$15="No",0,AB78))</f>
        <v/>
      </c>
      <c r="AD78" s="192"/>
      <c r="AE78" s="192"/>
      <c r="AF78" s="192"/>
      <c r="AG78" s="192"/>
      <c r="AH78" s="255" t="str">
        <f>IF(COUNTBLANK(AD78:AG78)=4,"",SUM(AD78:AF78)+IF(Setup!$I$15="No",0,AG78))</f>
        <v/>
      </c>
      <c r="AI78" s="192"/>
      <c r="AJ78" s="192"/>
      <c r="AK78" s="192"/>
      <c r="AL78" s="192"/>
      <c r="AM78" s="255" t="str">
        <f>IF(COUNTBLANK(AI78:AL78)=4,"",SUM(AI78:AK78)+IF(Setup!$I$15="No",0,AL78))</f>
        <v/>
      </c>
      <c r="AN78" s="192"/>
      <c r="AO78" s="192"/>
      <c r="AP78" s="192"/>
      <c r="AQ78" s="192"/>
      <c r="AR78" s="255" t="str">
        <f>IF(COUNTBLANK(AN78:AQ78)=4,"",SUM(AN78:AP78)+IF(Setup!$I$15="No",0,AQ78))</f>
        <v/>
      </c>
      <c r="AS78" s="192"/>
      <c r="AT78" s="192"/>
      <c r="AU78" s="192"/>
      <c r="AV78" s="192"/>
      <c r="AW78" s="255" t="str">
        <f>IF(COUNTBLANK(AS78:AV78)=4,"",SUM(AS78:AU78)+IF(Setup!$I$15="No",0,AV78))</f>
        <v/>
      </c>
      <c r="AX78" s="192"/>
      <c r="AY78" s="192"/>
      <c r="AZ78" s="192"/>
      <c r="BA78" s="192"/>
      <c r="BB78" s="255" t="str">
        <f>IF(COUNTBLANK(AX78:BA78)=4,"",SUM(AX78:AZ78)+IF(Setup!$I$15="No",0,BA78))</f>
        <v/>
      </c>
      <c r="BC78" s="259" t="str">
        <f ca="1">IF('Demand background (hide)'!A69=Num_Modalities,"",SUM(Demand!I78))</f>
        <v/>
      </c>
      <c r="BD78" s="259" t="str">
        <f ca="1">IF(AND(A78&lt;=MaxRows,BE78&lt;&gt;"Yes"),'Demand background (hide)'!X69+IF(Setup!$I$15="Yes",'Demand background (hide)'!AJ69,0),"")</f>
        <v/>
      </c>
      <c r="BE78" s="209"/>
    </row>
    <row r="79" spans="1:57" x14ac:dyDescent="0.25">
      <c r="A79" t="str">
        <f t="shared" ca="1" si="4"/>
        <v/>
      </c>
      <c r="B79" s="264" t="str">
        <f t="shared" ca="1" si="5"/>
        <v xml:space="preserve"> </v>
      </c>
      <c r="C79" s="265" t="str">
        <f t="shared" ca="1" si="6"/>
        <v/>
      </c>
      <c r="D79" s="350" t="str">
        <f t="shared" ca="1" si="7"/>
        <v/>
      </c>
      <c r="E79" s="192"/>
      <c r="F79" s="192"/>
      <c r="G79" s="193"/>
      <c r="H79" s="192"/>
      <c r="I79" s="251" t="str">
        <f>IF(COUNTBLANK(E79:H79)=4,"",SUM(E79:G79)+IF(Setup!$I$15="No",0,H79))</f>
        <v/>
      </c>
      <c r="J79" s="192"/>
      <c r="K79" s="192"/>
      <c r="L79" s="192"/>
      <c r="M79" s="192"/>
      <c r="N79" s="255" t="str">
        <f>IF(COUNTBLANK(J79:M79)=4,"",SUM(J79:L79)+IF(Setup!$I$15="No",0,M79))</f>
        <v/>
      </c>
      <c r="O79" s="192"/>
      <c r="P79" s="192"/>
      <c r="Q79" s="192"/>
      <c r="R79" s="192"/>
      <c r="S79" s="255" t="str">
        <f>IF(COUNTBLANK(O79:R79)=4,"",SUM(O79:Q79)+IF(Setup!$I$15="No",0,R79))</f>
        <v/>
      </c>
      <c r="T79" s="192"/>
      <c r="U79" s="192"/>
      <c r="V79" s="192"/>
      <c r="W79" s="192"/>
      <c r="X79" s="255" t="str">
        <f>IF(COUNTBLANK(T79:W79)=4,"",SUM(T79:V79)+IF(Setup!$I$15="No",0,W79))</f>
        <v/>
      </c>
      <c r="Y79" s="192"/>
      <c r="Z79" s="192"/>
      <c r="AA79" s="192"/>
      <c r="AB79" s="192"/>
      <c r="AC79" s="255" t="str">
        <f>IF(COUNTBLANK(Y79:AB79)=4,"",SUM(Y79:AA79)+IF(Setup!$I$15="No",0,AB79))</f>
        <v/>
      </c>
      <c r="AD79" s="192"/>
      <c r="AE79" s="192"/>
      <c r="AF79" s="192"/>
      <c r="AG79" s="192"/>
      <c r="AH79" s="255" t="str">
        <f>IF(COUNTBLANK(AD79:AG79)=4,"",SUM(AD79:AF79)+IF(Setup!$I$15="No",0,AG79))</f>
        <v/>
      </c>
      <c r="AI79" s="192"/>
      <c r="AJ79" s="192"/>
      <c r="AK79" s="192"/>
      <c r="AL79" s="192"/>
      <c r="AM79" s="255" t="str">
        <f>IF(COUNTBLANK(AI79:AL79)=4,"",SUM(AI79:AK79)+IF(Setup!$I$15="No",0,AL79))</f>
        <v/>
      </c>
      <c r="AN79" s="192"/>
      <c r="AO79" s="192"/>
      <c r="AP79" s="192"/>
      <c r="AQ79" s="192"/>
      <c r="AR79" s="255" t="str">
        <f>IF(COUNTBLANK(AN79:AQ79)=4,"",SUM(AN79:AP79)+IF(Setup!$I$15="No",0,AQ79))</f>
        <v/>
      </c>
      <c r="AS79" s="192"/>
      <c r="AT79" s="192"/>
      <c r="AU79" s="192"/>
      <c r="AV79" s="192"/>
      <c r="AW79" s="255" t="str">
        <f>IF(COUNTBLANK(AS79:AV79)=4,"",SUM(AS79:AU79)+IF(Setup!$I$15="No",0,AV79))</f>
        <v/>
      </c>
      <c r="AX79" s="192"/>
      <c r="AY79" s="192"/>
      <c r="AZ79" s="192"/>
      <c r="BA79" s="192"/>
      <c r="BB79" s="255" t="str">
        <f>IF(COUNTBLANK(AX79:BA79)=4,"",SUM(AX79:AZ79)+IF(Setup!$I$15="No",0,BA79))</f>
        <v/>
      </c>
      <c r="BC79" s="259" t="str">
        <f ca="1">IF('Demand background (hide)'!A70=Num_Modalities,"",SUM(Demand!I79))</f>
        <v/>
      </c>
      <c r="BD79" s="259" t="str">
        <f ca="1">IF(AND(A79&lt;=MaxRows,BE79&lt;&gt;"Yes"),'Demand background (hide)'!X70+IF(Setup!$I$15="Yes",'Demand background (hide)'!AJ70,0),"")</f>
        <v/>
      </c>
      <c r="BE79" s="209"/>
    </row>
    <row r="80" spans="1:57" x14ac:dyDescent="0.25">
      <c r="A80" t="str">
        <f t="shared" ca="1" si="4"/>
        <v/>
      </c>
      <c r="B80" s="264" t="str">
        <f t="shared" ca="1" si="5"/>
        <v xml:space="preserve"> </v>
      </c>
      <c r="C80" s="265" t="str">
        <f t="shared" ca="1" si="6"/>
        <v/>
      </c>
      <c r="D80" s="350" t="str">
        <f t="shared" ca="1" si="7"/>
        <v/>
      </c>
      <c r="E80" s="192"/>
      <c r="F80" s="192"/>
      <c r="G80" s="193"/>
      <c r="H80" s="192"/>
      <c r="I80" s="251" t="str">
        <f>IF(COUNTBLANK(E80:H80)=4,"",SUM(E80:G80)+IF(Setup!$I$15="No",0,H80))</f>
        <v/>
      </c>
      <c r="J80" s="192"/>
      <c r="K80" s="192"/>
      <c r="L80" s="192"/>
      <c r="M80" s="192"/>
      <c r="N80" s="255" t="str">
        <f>IF(COUNTBLANK(J80:M80)=4,"",SUM(J80:L80)+IF(Setup!$I$15="No",0,M80))</f>
        <v/>
      </c>
      <c r="O80" s="192"/>
      <c r="P80" s="192"/>
      <c r="Q80" s="192"/>
      <c r="R80" s="192"/>
      <c r="S80" s="255" t="str">
        <f>IF(COUNTBLANK(O80:R80)=4,"",SUM(O80:Q80)+IF(Setup!$I$15="No",0,R80))</f>
        <v/>
      </c>
      <c r="T80" s="192"/>
      <c r="U80" s="192"/>
      <c r="V80" s="192"/>
      <c r="W80" s="192"/>
      <c r="X80" s="255" t="str">
        <f>IF(COUNTBLANK(T80:W80)=4,"",SUM(T80:V80)+IF(Setup!$I$15="No",0,W80))</f>
        <v/>
      </c>
      <c r="Y80" s="192"/>
      <c r="Z80" s="192"/>
      <c r="AA80" s="192"/>
      <c r="AB80" s="192"/>
      <c r="AC80" s="255" t="str">
        <f>IF(COUNTBLANK(Y80:AB80)=4,"",SUM(Y80:AA80)+IF(Setup!$I$15="No",0,AB80))</f>
        <v/>
      </c>
      <c r="AD80" s="192"/>
      <c r="AE80" s="192"/>
      <c r="AF80" s="192"/>
      <c r="AG80" s="192"/>
      <c r="AH80" s="255" t="str">
        <f>IF(COUNTBLANK(AD80:AG80)=4,"",SUM(AD80:AF80)+IF(Setup!$I$15="No",0,AG80))</f>
        <v/>
      </c>
      <c r="AI80" s="192"/>
      <c r="AJ80" s="192"/>
      <c r="AK80" s="192"/>
      <c r="AL80" s="192"/>
      <c r="AM80" s="255" t="str">
        <f>IF(COUNTBLANK(AI80:AL80)=4,"",SUM(AI80:AK80)+IF(Setup!$I$15="No",0,AL80))</f>
        <v/>
      </c>
      <c r="AN80" s="192"/>
      <c r="AO80" s="192"/>
      <c r="AP80" s="192"/>
      <c r="AQ80" s="192"/>
      <c r="AR80" s="255" t="str">
        <f>IF(COUNTBLANK(AN80:AQ80)=4,"",SUM(AN80:AP80)+IF(Setup!$I$15="No",0,AQ80))</f>
        <v/>
      </c>
      <c r="AS80" s="192"/>
      <c r="AT80" s="192"/>
      <c r="AU80" s="192"/>
      <c r="AV80" s="192"/>
      <c r="AW80" s="255" t="str">
        <f>IF(COUNTBLANK(AS80:AV80)=4,"",SUM(AS80:AU80)+IF(Setup!$I$15="No",0,AV80))</f>
        <v/>
      </c>
      <c r="AX80" s="192"/>
      <c r="AY80" s="192"/>
      <c r="AZ80" s="192"/>
      <c r="BA80" s="192"/>
      <c r="BB80" s="255" t="str">
        <f>IF(COUNTBLANK(AX80:BA80)=4,"",SUM(AX80:AZ80)+IF(Setup!$I$15="No",0,BA80))</f>
        <v/>
      </c>
      <c r="BC80" s="259" t="str">
        <f ca="1">IF('Demand background (hide)'!A71=Num_Modalities,"",SUM(Demand!I80))</f>
        <v/>
      </c>
      <c r="BD80" s="259" t="str">
        <f ca="1">IF(AND(A80&lt;=MaxRows,BE80&lt;&gt;"Yes"),'Demand background (hide)'!X71+IF(Setup!$I$15="Yes",'Demand background (hide)'!AJ71,0),"")</f>
        <v/>
      </c>
      <c r="BE80" s="209"/>
    </row>
    <row r="81" spans="1:57" x14ac:dyDescent="0.25">
      <c r="A81" t="str">
        <f t="shared" ca="1" si="4"/>
        <v/>
      </c>
      <c r="B81" s="264" t="str">
        <f t="shared" ca="1" si="5"/>
        <v xml:space="preserve"> </v>
      </c>
      <c r="C81" s="265" t="str">
        <f t="shared" ca="1" si="6"/>
        <v/>
      </c>
      <c r="D81" s="350" t="str">
        <f t="shared" ca="1" si="7"/>
        <v/>
      </c>
      <c r="E81" s="192"/>
      <c r="F81" s="192"/>
      <c r="G81" s="193"/>
      <c r="H81" s="192"/>
      <c r="I81" s="251" t="str">
        <f>IF(COUNTBLANK(E81:H81)=4,"",SUM(E81:G81)+IF(Setup!$I$15="No",0,H81))</f>
        <v/>
      </c>
      <c r="J81" s="192"/>
      <c r="K81" s="192"/>
      <c r="L81" s="192"/>
      <c r="M81" s="192"/>
      <c r="N81" s="255" t="str">
        <f>IF(COUNTBLANK(J81:M81)=4,"",SUM(J81:L81)+IF(Setup!$I$15="No",0,M81))</f>
        <v/>
      </c>
      <c r="O81" s="192"/>
      <c r="P81" s="192"/>
      <c r="Q81" s="192"/>
      <c r="R81" s="192"/>
      <c r="S81" s="255" t="str">
        <f>IF(COUNTBLANK(O81:R81)=4,"",SUM(O81:Q81)+IF(Setup!$I$15="No",0,R81))</f>
        <v/>
      </c>
      <c r="T81" s="192"/>
      <c r="U81" s="192"/>
      <c r="V81" s="192"/>
      <c r="W81" s="192"/>
      <c r="X81" s="255" t="str">
        <f>IF(COUNTBLANK(T81:W81)=4,"",SUM(T81:V81)+IF(Setup!$I$15="No",0,W81))</f>
        <v/>
      </c>
      <c r="Y81" s="192"/>
      <c r="Z81" s="192"/>
      <c r="AA81" s="192"/>
      <c r="AB81" s="192"/>
      <c r="AC81" s="255" t="str">
        <f>IF(COUNTBLANK(Y81:AB81)=4,"",SUM(Y81:AA81)+IF(Setup!$I$15="No",0,AB81))</f>
        <v/>
      </c>
      <c r="AD81" s="192"/>
      <c r="AE81" s="192"/>
      <c r="AF81" s="192"/>
      <c r="AG81" s="192"/>
      <c r="AH81" s="255" t="str">
        <f>IF(COUNTBLANK(AD81:AG81)=4,"",SUM(AD81:AF81)+IF(Setup!$I$15="No",0,AG81))</f>
        <v/>
      </c>
      <c r="AI81" s="192"/>
      <c r="AJ81" s="192"/>
      <c r="AK81" s="192"/>
      <c r="AL81" s="192"/>
      <c r="AM81" s="255" t="str">
        <f>IF(COUNTBLANK(AI81:AL81)=4,"",SUM(AI81:AK81)+IF(Setup!$I$15="No",0,AL81))</f>
        <v/>
      </c>
      <c r="AN81" s="192"/>
      <c r="AO81" s="192"/>
      <c r="AP81" s="192"/>
      <c r="AQ81" s="192"/>
      <c r="AR81" s="255" t="str">
        <f>IF(COUNTBLANK(AN81:AQ81)=4,"",SUM(AN81:AP81)+IF(Setup!$I$15="No",0,AQ81))</f>
        <v/>
      </c>
      <c r="AS81" s="192"/>
      <c r="AT81" s="192"/>
      <c r="AU81" s="192"/>
      <c r="AV81" s="192"/>
      <c r="AW81" s="255" t="str">
        <f>IF(COUNTBLANK(AS81:AV81)=4,"",SUM(AS81:AU81)+IF(Setup!$I$15="No",0,AV81))</f>
        <v/>
      </c>
      <c r="AX81" s="192"/>
      <c r="AY81" s="192"/>
      <c r="AZ81" s="192"/>
      <c r="BA81" s="192"/>
      <c r="BB81" s="255" t="str">
        <f>IF(COUNTBLANK(AX81:BA81)=4,"",SUM(AX81:AZ81)+IF(Setup!$I$15="No",0,BA81))</f>
        <v/>
      </c>
      <c r="BC81" s="259" t="str">
        <f ca="1">IF('Demand background (hide)'!A72=Num_Modalities,"",SUM(Demand!I81))</f>
        <v/>
      </c>
      <c r="BD81" s="259" t="str">
        <f ca="1">IF(AND(A81&lt;=MaxRows,BE81&lt;&gt;"Yes"),'Demand background (hide)'!X72+IF(Setup!$I$15="Yes",'Demand background (hide)'!AJ72,0),"")</f>
        <v/>
      </c>
      <c r="BE81" s="209"/>
    </row>
    <row r="82" spans="1:57" x14ac:dyDescent="0.25">
      <c r="A82" t="str">
        <f t="shared" ca="1" si="4"/>
        <v/>
      </c>
      <c r="B82" s="264" t="str">
        <f t="shared" ca="1" si="5"/>
        <v xml:space="preserve"> </v>
      </c>
      <c r="C82" s="265" t="str">
        <f t="shared" ca="1" si="6"/>
        <v/>
      </c>
      <c r="D82" s="350" t="str">
        <f t="shared" ca="1" si="7"/>
        <v/>
      </c>
      <c r="E82" s="192"/>
      <c r="F82" s="192"/>
      <c r="G82" s="193"/>
      <c r="H82" s="192"/>
      <c r="I82" s="251" t="str">
        <f>IF(COUNTBLANK(E82:H82)=4,"",SUM(E82:G82)+IF(Setup!$I$15="No",0,H82))</f>
        <v/>
      </c>
      <c r="J82" s="192"/>
      <c r="K82" s="192"/>
      <c r="L82" s="192"/>
      <c r="M82" s="192"/>
      <c r="N82" s="255" t="str">
        <f>IF(COUNTBLANK(J82:M82)=4,"",SUM(J82:L82)+IF(Setup!$I$15="No",0,M82))</f>
        <v/>
      </c>
      <c r="O82" s="192"/>
      <c r="P82" s="192"/>
      <c r="Q82" s="192"/>
      <c r="R82" s="192"/>
      <c r="S82" s="255" t="str">
        <f>IF(COUNTBLANK(O82:R82)=4,"",SUM(O82:Q82)+IF(Setup!$I$15="No",0,R82))</f>
        <v/>
      </c>
      <c r="T82" s="192"/>
      <c r="U82" s="192"/>
      <c r="V82" s="192"/>
      <c r="W82" s="192"/>
      <c r="X82" s="255" t="str">
        <f>IF(COUNTBLANK(T82:W82)=4,"",SUM(T82:V82)+IF(Setup!$I$15="No",0,W82))</f>
        <v/>
      </c>
      <c r="Y82" s="192"/>
      <c r="Z82" s="192"/>
      <c r="AA82" s="192"/>
      <c r="AB82" s="192"/>
      <c r="AC82" s="255" t="str">
        <f>IF(COUNTBLANK(Y82:AB82)=4,"",SUM(Y82:AA82)+IF(Setup!$I$15="No",0,AB82))</f>
        <v/>
      </c>
      <c r="AD82" s="192"/>
      <c r="AE82" s="192"/>
      <c r="AF82" s="192"/>
      <c r="AG82" s="192"/>
      <c r="AH82" s="255" t="str">
        <f>IF(COUNTBLANK(AD82:AG82)=4,"",SUM(AD82:AF82)+IF(Setup!$I$15="No",0,AG82))</f>
        <v/>
      </c>
      <c r="AI82" s="192"/>
      <c r="AJ82" s="192"/>
      <c r="AK82" s="192"/>
      <c r="AL82" s="192"/>
      <c r="AM82" s="255" t="str">
        <f>IF(COUNTBLANK(AI82:AL82)=4,"",SUM(AI82:AK82)+IF(Setup!$I$15="No",0,AL82))</f>
        <v/>
      </c>
      <c r="AN82" s="192"/>
      <c r="AO82" s="192"/>
      <c r="AP82" s="192"/>
      <c r="AQ82" s="192"/>
      <c r="AR82" s="255" t="str">
        <f>IF(COUNTBLANK(AN82:AQ82)=4,"",SUM(AN82:AP82)+IF(Setup!$I$15="No",0,AQ82))</f>
        <v/>
      </c>
      <c r="AS82" s="192"/>
      <c r="AT82" s="192"/>
      <c r="AU82" s="192"/>
      <c r="AV82" s="192"/>
      <c r="AW82" s="255" t="str">
        <f>IF(COUNTBLANK(AS82:AV82)=4,"",SUM(AS82:AU82)+IF(Setup!$I$15="No",0,AV82))</f>
        <v/>
      </c>
      <c r="AX82" s="192"/>
      <c r="AY82" s="192"/>
      <c r="AZ82" s="192"/>
      <c r="BA82" s="192"/>
      <c r="BB82" s="255" t="str">
        <f>IF(COUNTBLANK(AX82:BA82)=4,"",SUM(AX82:AZ82)+IF(Setup!$I$15="No",0,BA82))</f>
        <v/>
      </c>
      <c r="BC82" s="259" t="str">
        <f ca="1">IF('Demand background (hide)'!A73=Num_Modalities,"",SUM(Demand!I82))</f>
        <v/>
      </c>
      <c r="BD82" s="259" t="str">
        <f ca="1">IF(AND(A82&lt;=MaxRows,BE82&lt;&gt;"Yes"),'Demand background (hide)'!X73+IF(Setup!$I$15="Yes",'Demand background (hide)'!AJ73,0),"")</f>
        <v/>
      </c>
      <c r="BE82" s="209"/>
    </row>
    <row r="83" spans="1:57" x14ac:dyDescent="0.25">
      <c r="A83" t="str">
        <f t="shared" ca="1" si="4"/>
        <v/>
      </c>
      <c r="B83" s="264" t="str">
        <f t="shared" ca="1" si="5"/>
        <v xml:space="preserve"> </v>
      </c>
      <c r="C83" s="265" t="str">
        <f t="shared" ca="1" si="6"/>
        <v/>
      </c>
      <c r="D83" s="350" t="str">
        <f t="shared" ca="1" si="7"/>
        <v/>
      </c>
      <c r="E83" s="192"/>
      <c r="F83" s="192"/>
      <c r="G83" s="193"/>
      <c r="H83" s="192"/>
      <c r="I83" s="251" t="str">
        <f>IF(COUNTBLANK(E83:H83)=4,"",SUM(E83:G83)+IF(Setup!$I$15="No",0,H83))</f>
        <v/>
      </c>
      <c r="J83" s="192"/>
      <c r="K83" s="192"/>
      <c r="L83" s="192"/>
      <c r="M83" s="192"/>
      <c r="N83" s="255" t="str">
        <f>IF(COUNTBLANK(J83:M83)=4,"",SUM(J83:L83)+IF(Setup!$I$15="No",0,M83))</f>
        <v/>
      </c>
      <c r="O83" s="192"/>
      <c r="P83" s="192"/>
      <c r="Q83" s="192"/>
      <c r="R83" s="192"/>
      <c r="S83" s="255" t="str">
        <f>IF(COUNTBLANK(O83:R83)=4,"",SUM(O83:Q83)+IF(Setup!$I$15="No",0,R83))</f>
        <v/>
      </c>
      <c r="T83" s="192"/>
      <c r="U83" s="192"/>
      <c r="V83" s="192"/>
      <c r="W83" s="192"/>
      <c r="X83" s="255" t="str">
        <f>IF(COUNTBLANK(T83:W83)=4,"",SUM(T83:V83)+IF(Setup!$I$15="No",0,W83))</f>
        <v/>
      </c>
      <c r="Y83" s="192"/>
      <c r="Z83" s="192"/>
      <c r="AA83" s="192"/>
      <c r="AB83" s="192"/>
      <c r="AC83" s="255" t="str">
        <f>IF(COUNTBLANK(Y83:AB83)=4,"",SUM(Y83:AA83)+IF(Setup!$I$15="No",0,AB83))</f>
        <v/>
      </c>
      <c r="AD83" s="192"/>
      <c r="AE83" s="192"/>
      <c r="AF83" s="192"/>
      <c r="AG83" s="192"/>
      <c r="AH83" s="255" t="str">
        <f>IF(COUNTBLANK(AD83:AG83)=4,"",SUM(AD83:AF83)+IF(Setup!$I$15="No",0,AG83))</f>
        <v/>
      </c>
      <c r="AI83" s="192"/>
      <c r="AJ83" s="192"/>
      <c r="AK83" s="192"/>
      <c r="AL83" s="192"/>
      <c r="AM83" s="255" t="str">
        <f>IF(COUNTBLANK(AI83:AL83)=4,"",SUM(AI83:AK83)+IF(Setup!$I$15="No",0,AL83))</f>
        <v/>
      </c>
      <c r="AN83" s="192"/>
      <c r="AO83" s="192"/>
      <c r="AP83" s="192"/>
      <c r="AQ83" s="192"/>
      <c r="AR83" s="255" t="str">
        <f>IF(COUNTBLANK(AN83:AQ83)=4,"",SUM(AN83:AP83)+IF(Setup!$I$15="No",0,AQ83))</f>
        <v/>
      </c>
      <c r="AS83" s="192"/>
      <c r="AT83" s="192"/>
      <c r="AU83" s="192"/>
      <c r="AV83" s="192"/>
      <c r="AW83" s="255" t="str">
        <f>IF(COUNTBLANK(AS83:AV83)=4,"",SUM(AS83:AU83)+IF(Setup!$I$15="No",0,AV83))</f>
        <v/>
      </c>
      <c r="AX83" s="192"/>
      <c r="AY83" s="192"/>
      <c r="AZ83" s="192"/>
      <c r="BA83" s="192"/>
      <c r="BB83" s="255" t="str">
        <f>IF(COUNTBLANK(AX83:BA83)=4,"",SUM(AX83:AZ83)+IF(Setup!$I$15="No",0,BA83))</f>
        <v/>
      </c>
      <c r="BC83" s="259" t="str">
        <f ca="1">IF('Demand background (hide)'!A74=Num_Modalities,"",SUM(Demand!I83))</f>
        <v/>
      </c>
      <c r="BD83" s="259" t="str">
        <f ca="1">IF(AND(A83&lt;=MaxRows,BE83&lt;&gt;"Yes"),'Demand background (hide)'!X74+IF(Setup!$I$15="Yes",'Demand background (hide)'!AJ74,0),"")</f>
        <v/>
      </c>
      <c r="BE83" s="209"/>
    </row>
    <row r="84" spans="1:57" x14ac:dyDescent="0.25">
      <c r="A84" t="str">
        <f t="shared" ca="1" si="4"/>
        <v/>
      </c>
      <c r="B84" s="264" t="str">
        <f t="shared" ca="1" si="5"/>
        <v xml:space="preserve"> </v>
      </c>
      <c r="C84" s="265" t="str">
        <f t="shared" ca="1" si="6"/>
        <v/>
      </c>
      <c r="D84" s="350" t="str">
        <f t="shared" ca="1" si="7"/>
        <v/>
      </c>
      <c r="E84" s="192"/>
      <c r="F84" s="192"/>
      <c r="G84" s="193"/>
      <c r="H84" s="192"/>
      <c r="I84" s="251" t="str">
        <f>IF(COUNTBLANK(E84:H84)=4,"",SUM(E84:G84)+IF(Setup!$I$15="No",0,H84))</f>
        <v/>
      </c>
      <c r="J84" s="192"/>
      <c r="K84" s="192"/>
      <c r="L84" s="192"/>
      <c r="M84" s="192"/>
      <c r="N84" s="255" t="str">
        <f>IF(COUNTBLANK(J84:M84)=4,"",SUM(J84:L84)+IF(Setup!$I$15="No",0,M84))</f>
        <v/>
      </c>
      <c r="O84" s="192"/>
      <c r="P84" s="192"/>
      <c r="Q84" s="192"/>
      <c r="R84" s="192"/>
      <c r="S84" s="255" t="str">
        <f>IF(COUNTBLANK(O84:R84)=4,"",SUM(O84:Q84)+IF(Setup!$I$15="No",0,R84))</f>
        <v/>
      </c>
      <c r="T84" s="192"/>
      <c r="U84" s="192"/>
      <c r="V84" s="192"/>
      <c r="W84" s="192"/>
      <c r="X84" s="255" t="str">
        <f>IF(COUNTBLANK(T84:W84)=4,"",SUM(T84:V84)+IF(Setup!$I$15="No",0,W84))</f>
        <v/>
      </c>
      <c r="Y84" s="192"/>
      <c r="Z84" s="192"/>
      <c r="AA84" s="192"/>
      <c r="AB84" s="192"/>
      <c r="AC84" s="255" t="str">
        <f>IF(COUNTBLANK(Y84:AB84)=4,"",SUM(Y84:AA84)+IF(Setup!$I$15="No",0,AB84))</f>
        <v/>
      </c>
      <c r="AD84" s="192"/>
      <c r="AE84" s="192"/>
      <c r="AF84" s="192"/>
      <c r="AG84" s="192"/>
      <c r="AH84" s="255" t="str">
        <f>IF(COUNTBLANK(AD84:AG84)=4,"",SUM(AD84:AF84)+IF(Setup!$I$15="No",0,AG84))</f>
        <v/>
      </c>
      <c r="AI84" s="192"/>
      <c r="AJ84" s="192"/>
      <c r="AK84" s="192"/>
      <c r="AL84" s="192"/>
      <c r="AM84" s="255" t="str">
        <f>IF(COUNTBLANK(AI84:AL84)=4,"",SUM(AI84:AK84)+IF(Setup!$I$15="No",0,AL84))</f>
        <v/>
      </c>
      <c r="AN84" s="192"/>
      <c r="AO84" s="192"/>
      <c r="AP84" s="192"/>
      <c r="AQ84" s="192"/>
      <c r="AR84" s="255" t="str">
        <f>IF(COUNTBLANK(AN84:AQ84)=4,"",SUM(AN84:AP84)+IF(Setup!$I$15="No",0,AQ84))</f>
        <v/>
      </c>
      <c r="AS84" s="192"/>
      <c r="AT84" s="192"/>
      <c r="AU84" s="192"/>
      <c r="AV84" s="192"/>
      <c r="AW84" s="255" t="str">
        <f>IF(COUNTBLANK(AS84:AV84)=4,"",SUM(AS84:AU84)+IF(Setup!$I$15="No",0,AV84))</f>
        <v/>
      </c>
      <c r="AX84" s="192"/>
      <c r="AY84" s="192"/>
      <c r="AZ84" s="192"/>
      <c r="BA84" s="192"/>
      <c r="BB84" s="255" t="str">
        <f>IF(COUNTBLANK(AX84:BA84)=4,"",SUM(AX84:AZ84)+IF(Setup!$I$15="No",0,BA84))</f>
        <v/>
      </c>
      <c r="BC84" s="259" t="str">
        <f ca="1">IF('Demand background (hide)'!A75=Num_Modalities,"",SUM(Demand!I84))</f>
        <v/>
      </c>
      <c r="BD84" s="259" t="str">
        <f ca="1">IF(AND(A84&lt;=MaxRows,BE84&lt;&gt;"Yes"),'Demand background (hide)'!X75+IF(Setup!$I$15="Yes",'Demand background (hide)'!AJ75,0),"")</f>
        <v/>
      </c>
      <c r="BE84" s="209"/>
    </row>
    <row r="85" spans="1:57" x14ac:dyDescent="0.25">
      <c r="A85" t="str">
        <f t="shared" ca="1" si="4"/>
        <v/>
      </c>
      <c r="B85" s="264" t="str">
        <f t="shared" ca="1" si="5"/>
        <v xml:space="preserve"> </v>
      </c>
      <c r="C85" s="265" t="str">
        <f t="shared" ca="1" si="6"/>
        <v/>
      </c>
      <c r="D85" s="350" t="str">
        <f t="shared" ca="1" si="7"/>
        <v/>
      </c>
      <c r="E85" s="192"/>
      <c r="F85" s="192"/>
      <c r="G85" s="193"/>
      <c r="H85" s="192"/>
      <c r="I85" s="251" t="str">
        <f>IF(COUNTBLANK(E85:H85)=4,"",SUM(E85:G85)+IF(Setup!$I$15="No",0,H85))</f>
        <v/>
      </c>
      <c r="J85" s="192"/>
      <c r="K85" s="192"/>
      <c r="L85" s="192"/>
      <c r="M85" s="192"/>
      <c r="N85" s="255" t="str">
        <f>IF(COUNTBLANK(J85:M85)=4,"",SUM(J85:L85)+IF(Setup!$I$15="No",0,M85))</f>
        <v/>
      </c>
      <c r="O85" s="192"/>
      <c r="P85" s="192"/>
      <c r="Q85" s="192"/>
      <c r="R85" s="192"/>
      <c r="S85" s="255" t="str">
        <f>IF(COUNTBLANK(O85:R85)=4,"",SUM(O85:Q85)+IF(Setup!$I$15="No",0,R85))</f>
        <v/>
      </c>
      <c r="T85" s="192"/>
      <c r="U85" s="192"/>
      <c r="V85" s="192"/>
      <c r="W85" s="192"/>
      <c r="X85" s="255" t="str">
        <f>IF(COUNTBLANK(T85:W85)=4,"",SUM(T85:V85)+IF(Setup!$I$15="No",0,W85))</f>
        <v/>
      </c>
      <c r="Y85" s="192"/>
      <c r="Z85" s="192"/>
      <c r="AA85" s="192"/>
      <c r="AB85" s="192"/>
      <c r="AC85" s="255" t="str">
        <f>IF(COUNTBLANK(Y85:AB85)=4,"",SUM(Y85:AA85)+IF(Setup!$I$15="No",0,AB85))</f>
        <v/>
      </c>
      <c r="AD85" s="192"/>
      <c r="AE85" s="192"/>
      <c r="AF85" s="192"/>
      <c r="AG85" s="192"/>
      <c r="AH85" s="255" t="str">
        <f>IF(COUNTBLANK(AD85:AG85)=4,"",SUM(AD85:AF85)+IF(Setup!$I$15="No",0,AG85))</f>
        <v/>
      </c>
      <c r="AI85" s="192"/>
      <c r="AJ85" s="192"/>
      <c r="AK85" s="192"/>
      <c r="AL85" s="192"/>
      <c r="AM85" s="255" t="str">
        <f>IF(COUNTBLANK(AI85:AL85)=4,"",SUM(AI85:AK85)+IF(Setup!$I$15="No",0,AL85))</f>
        <v/>
      </c>
      <c r="AN85" s="192"/>
      <c r="AO85" s="192"/>
      <c r="AP85" s="192"/>
      <c r="AQ85" s="192"/>
      <c r="AR85" s="255" t="str">
        <f>IF(COUNTBLANK(AN85:AQ85)=4,"",SUM(AN85:AP85)+IF(Setup!$I$15="No",0,AQ85))</f>
        <v/>
      </c>
      <c r="AS85" s="192"/>
      <c r="AT85" s="192"/>
      <c r="AU85" s="192"/>
      <c r="AV85" s="192"/>
      <c r="AW85" s="255" t="str">
        <f>IF(COUNTBLANK(AS85:AV85)=4,"",SUM(AS85:AU85)+IF(Setup!$I$15="No",0,AV85))</f>
        <v/>
      </c>
      <c r="AX85" s="192"/>
      <c r="AY85" s="192"/>
      <c r="AZ85" s="192"/>
      <c r="BA85" s="192"/>
      <c r="BB85" s="255" t="str">
        <f>IF(COUNTBLANK(AX85:BA85)=4,"",SUM(AX85:AZ85)+IF(Setup!$I$15="No",0,BA85))</f>
        <v/>
      </c>
      <c r="BC85" s="259" t="str">
        <f ca="1">IF('Demand background (hide)'!A76=Num_Modalities,"",SUM(Demand!I85))</f>
        <v/>
      </c>
      <c r="BD85" s="259" t="str">
        <f ca="1">IF(AND(A85&lt;=MaxRows,BE85&lt;&gt;"Yes"),'Demand background (hide)'!X76+IF(Setup!$I$15="Yes",'Demand background (hide)'!AJ76,0),"")</f>
        <v/>
      </c>
      <c r="BE85" s="209"/>
    </row>
    <row r="86" spans="1:57" x14ac:dyDescent="0.25">
      <c r="A86" t="str">
        <f t="shared" ca="1" si="4"/>
        <v/>
      </c>
      <c r="B86" s="264" t="str">
        <f t="shared" ca="1" si="5"/>
        <v xml:space="preserve"> </v>
      </c>
      <c r="C86" s="265" t="str">
        <f t="shared" ca="1" si="6"/>
        <v/>
      </c>
      <c r="D86" s="350" t="str">
        <f t="shared" ca="1" si="7"/>
        <v/>
      </c>
      <c r="E86" s="192"/>
      <c r="F86" s="192"/>
      <c r="G86" s="193"/>
      <c r="H86" s="192"/>
      <c r="I86" s="251" t="str">
        <f>IF(COUNTBLANK(E86:H86)=4,"",SUM(E86:G86)+IF(Setup!$I$15="No",0,H86))</f>
        <v/>
      </c>
      <c r="J86" s="192"/>
      <c r="K86" s="192"/>
      <c r="L86" s="192"/>
      <c r="M86" s="192"/>
      <c r="N86" s="255" t="str">
        <f>IF(COUNTBLANK(J86:M86)=4,"",SUM(J86:L86)+IF(Setup!$I$15="No",0,M86))</f>
        <v/>
      </c>
      <c r="O86" s="192"/>
      <c r="P86" s="192"/>
      <c r="Q86" s="192"/>
      <c r="R86" s="192"/>
      <c r="S86" s="255" t="str">
        <f>IF(COUNTBLANK(O86:R86)=4,"",SUM(O86:Q86)+IF(Setup!$I$15="No",0,R86))</f>
        <v/>
      </c>
      <c r="T86" s="192"/>
      <c r="U86" s="192"/>
      <c r="V86" s="192"/>
      <c r="W86" s="192"/>
      <c r="X86" s="255" t="str">
        <f>IF(COUNTBLANK(T86:W86)=4,"",SUM(T86:V86)+IF(Setup!$I$15="No",0,W86))</f>
        <v/>
      </c>
      <c r="Y86" s="192"/>
      <c r="Z86" s="192"/>
      <c r="AA86" s="192"/>
      <c r="AB86" s="192"/>
      <c r="AC86" s="255" t="str">
        <f>IF(COUNTBLANK(Y86:AB86)=4,"",SUM(Y86:AA86)+IF(Setup!$I$15="No",0,AB86))</f>
        <v/>
      </c>
      <c r="AD86" s="192"/>
      <c r="AE86" s="192"/>
      <c r="AF86" s="192"/>
      <c r="AG86" s="192"/>
      <c r="AH86" s="255" t="str">
        <f>IF(COUNTBLANK(AD86:AG86)=4,"",SUM(AD86:AF86)+IF(Setup!$I$15="No",0,AG86))</f>
        <v/>
      </c>
      <c r="AI86" s="192"/>
      <c r="AJ86" s="192"/>
      <c r="AK86" s="192"/>
      <c r="AL86" s="192"/>
      <c r="AM86" s="255" t="str">
        <f>IF(COUNTBLANK(AI86:AL86)=4,"",SUM(AI86:AK86)+IF(Setup!$I$15="No",0,AL86))</f>
        <v/>
      </c>
      <c r="AN86" s="192"/>
      <c r="AO86" s="192"/>
      <c r="AP86" s="192"/>
      <c r="AQ86" s="192"/>
      <c r="AR86" s="255" t="str">
        <f>IF(COUNTBLANK(AN86:AQ86)=4,"",SUM(AN86:AP86)+IF(Setup!$I$15="No",0,AQ86))</f>
        <v/>
      </c>
      <c r="AS86" s="192"/>
      <c r="AT86" s="192"/>
      <c r="AU86" s="192"/>
      <c r="AV86" s="192"/>
      <c r="AW86" s="255" t="str">
        <f>IF(COUNTBLANK(AS86:AV86)=4,"",SUM(AS86:AU86)+IF(Setup!$I$15="No",0,AV86))</f>
        <v/>
      </c>
      <c r="AX86" s="192"/>
      <c r="AY86" s="192"/>
      <c r="AZ86" s="192"/>
      <c r="BA86" s="192"/>
      <c r="BB86" s="255" t="str">
        <f>IF(COUNTBLANK(AX86:BA86)=4,"",SUM(AX86:AZ86)+IF(Setup!$I$15="No",0,BA86))</f>
        <v/>
      </c>
      <c r="BC86" s="259" t="str">
        <f ca="1">IF('Demand background (hide)'!A77=Num_Modalities,"",SUM(Demand!I86))</f>
        <v/>
      </c>
      <c r="BD86" s="259" t="str">
        <f ca="1">IF(AND(A86&lt;=MaxRows,BE86&lt;&gt;"Yes"),'Demand background (hide)'!X77+IF(Setup!$I$15="Yes",'Demand background (hide)'!AJ77,0),"")</f>
        <v/>
      </c>
      <c r="BE86" s="209"/>
    </row>
    <row r="87" spans="1:57" x14ac:dyDescent="0.25">
      <c r="A87" t="str">
        <f t="shared" ca="1" si="4"/>
        <v/>
      </c>
      <c r="B87" s="264" t="str">
        <f t="shared" ca="1" si="5"/>
        <v xml:space="preserve"> </v>
      </c>
      <c r="C87" s="265" t="str">
        <f t="shared" ca="1" si="6"/>
        <v/>
      </c>
      <c r="D87" s="350" t="str">
        <f t="shared" ca="1" si="7"/>
        <v/>
      </c>
      <c r="E87" s="192"/>
      <c r="F87" s="192"/>
      <c r="G87" s="193"/>
      <c r="H87" s="192"/>
      <c r="I87" s="251" t="str">
        <f>IF(COUNTBLANK(E87:H87)=4,"",SUM(E87:G87)+IF(Setup!$I$15="No",0,H87))</f>
        <v/>
      </c>
      <c r="J87" s="192"/>
      <c r="K87" s="192"/>
      <c r="L87" s="192"/>
      <c r="M87" s="192"/>
      <c r="N87" s="255" t="str">
        <f>IF(COUNTBLANK(J87:M87)=4,"",SUM(J87:L87)+IF(Setup!$I$15="No",0,M87))</f>
        <v/>
      </c>
      <c r="O87" s="192"/>
      <c r="P87" s="192"/>
      <c r="Q87" s="192"/>
      <c r="R87" s="192"/>
      <c r="S87" s="255" t="str">
        <f>IF(COUNTBLANK(O87:R87)=4,"",SUM(O87:Q87)+IF(Setup!$I$15="No",0,R87))</f>
        <v/>
      </c>
      <c r="T87" s="192"/>
      <c r="U87" s="192"/>
      <c r="V87" s="192"/>
      <c r="W87" s="192"/>
      <c r="X87" s="255" t="str">
        <f>IF(COUNTBLANK(T87:W87)=4,"",SUM(T87:V87)+IF(Setup!$I$15="No",0,W87))</f>
        <v/>
      </c>
      <c r="Y87" s="192"/>
      <c r="Z87" s="192"/>
      <c r="AA87" s="192"/>
      <c r="AB87" s="192"/>
      <c r="AC87" s="255" t="str">
        <f>IF(COUNTBLANK(Y87:AB87)=4,"",SUM(Y87:AA87)+IF(Setup!$I$15="No",0,AB87))</f>
        <v/>
      </c>
      <c r="AD87" s="192"/>
      <c r="AE87" s="192"/>
      <c r="AF87" s="192"/>
      <c r="AG87" s="192"/>
      <c r="AH87" s="255" t="str">
        <f>IF(COUNTBLANK(AD87:AG87)=4,"",SUM(AD87:AF87)+IF(Setup!$I$15="No",0,AG87))</f>
        <v/>
      </c>
      <c r="AI87" s="192"/>
      <c r="AJ87" s="192"/>
      <c r="AK87" s="192"/>
      <c r="AL87" s="192"/>
      <c r="AM87" s="255" t="str">
        <f>IF(COUNTBLANK(AI87:AL87)=4,"",SUM(AI87:AK87)+IF(Setup!$I$15="No",0,AL87))</f>
        <v/>
      </c>
      <c r="AN87" s="192"/>
      <c r="AO87" s="192"/>
      <c r="AP87" s="192"/>
      <c r="AQ87" s="192"/>
      <c r="AR87" s="255" t="str">
        <f>IF(COUNTBLANK(AN87:AQ87)=4,"",SUM(AN87:AP87)+IF(Setup!$I$15="No",0,AQ87))</f>
        <v/>
      </c>
      <c r="AS87" s="192"/>
      <c r="AT87" s="192"/>
      <c r="AU87" s="192"/>
      <c r="AV87" s="192"/>
      <c r="AW87" s="255" t="str">
        <f>IF(COUNTBLANK(AS87:AV87)=4,"",SUM(AS87:AU87)+IF(Setup!$I$15="No",0,AV87))</f>
        <v/>
      </c>
      <c r="AX87" s="192"/>
      <c r="AY87" s="192"/>
      <c r="AZ87" s="192"/>
      <c r="BA87" s="192"/>
      <c r="BB87" s="255" t="str">
        <f>IF(COUNTBLANK(AX87:BA87)=4,"",SUM(AX87:AZ87)+IF(Setup!$I$15="No",0,BA87))</f>
        <v/>
      </c>
      <c r="BC87" s="259" t="str">
        <f ca="1">IF('Demand background (hide)'!A78=Num_Modalities,"",SUM(Demand!I87))</f>
        <v/>
      </c>
      <c r="BD87" s="259" t="str">
        <f ca="1">IF(AND(A87&lt;=MaxRows,BE87&lt;&gt;"Yes"),'Demand background (hide)'!X78+IF(Setup!$I$15="Yes",'Demand background (hide)'!AJ78,0),"")</f>
        <v/>
      </c>
      <c r="BE87" s="209"/>
    </row>
    <row r="88" spans="1:57" x14ac:dyDescent="0.25">
      <c r="A88" t="str">
        <f t="shared" ca="1" si="4"/>
        <v/>
      </c>
      <c r="B88" s="264" t="str">
        <f t="shared" ca="1" si="5"/>
        <v xml:space="preserve"> </v>
      </c>
      <c r="C88" s="265" t="str">
        <f t="shared" ca="1" si="6"/>
        <v/>
      </c>
      <c r="D88" s="350" t="str">
        <f t="shared" ca="1" si="7"/>
        <v/>
      </c>
      <c r="E88" s="192"/>
      <c r="F88" s="192"/>
      <c r="G88" s="193"/>
      <c r="H88" s="192"/>
      <c r="I88" s="251" t="str">
        <f>IF(COUNTBLANK(E88:H88)=4,"",SUM(E88:G88)+IF(Setup!$I$15="No",0,H88))</f>
        <v/>
      </c>
      <c r="J88" s="192"/>
      <c r="K88" s="192"/>
      <c r="L88" s="192"/>
      <c r="M88" s="192"/>
      <c r="N88" s="255" t="str">
        <f>IF(COUNTBLANK(J88:M88)=4,"",SUM(J88:L88)+IF(Setup!$I$15="No",0,M88))</f>
        <v/>
      </c>
      <c r="O88" s="192"/>
      <c r="P88" s="192"/>
      <c r="Q88" s="192"/>
      <c r="R88" s="192"/>
      <c r="S88" s="255" t="str">
        <f>IF(COUNTBLANK(O88:R88)=4,"",SUM(O88:Q88)+IF(Setup!$I$15="No",0,R88))</f>
        <v/>
      </c>
      <c r="T88" s="192"/>
      <c r="U88" s="192"/>
      <c r="V88" s="192"/>
      <c r="W88" s="192"/>
      <c r="X88" s="255" t="str">
        <f>IF(COUNTBLANK(T88:W88)=4,"",SUM(T88:V88)+IF(Setup!$I$15="No",0,W88))</f>
        <v/>
      </c>
      <c r="Y88" s="192"/>
      <c r="Z88" s="192"/>
      <c r="AA88" s="192"/>
      <c r="AB88" s="192"/>
      <c r="AC88" s="255" t="str">
        <f>IF(COUNTBLANK(Y88:AB88)=4,"",SUM(Y88:AA88)+IF(Setup!$I$15="No",0,AB88))</f>
        <v/>
      </c>
      <c r="AD88" s="192"/>
      <c r="AE88" s="192"/>
      <c r="AF88" s="192"/>
      <c r="AG88" s="192"/>
      <c r="AH88" s="255" t="str">
        <f>IF(COUNTBLANK(AD88:AG88)=4,"",SUM(AD88:AF88)+IF(Setup!$I$15="No",0,AG88))</f>
        <v/>
      </c>
      <c r="AI88" s="192"/>
      <c r="AJ88" s="192"/>
      <c r="AK88" s="192"/>
      <c r="AL88" s="192"/>
      <c r="AM88" s="255" t="str">
        <f>IF(COUNTBLANK(AI88:AL88)=4,"",SUM(AI88:AK88)+IF(Setup!$I$15="No",0,AL88))</f>
        <v/>
      </c>
      <c r="AN88" s="192"/>
      <c r="AO88" s="192"/>
      <c r="AP88" s="192"/>
      <c r="AQ88" s="192"/>
      <c r="AR88" s="255" t="str">
        <f>IF(COUNTBLANK(AN88:AQ88)=4,"",SUM(AN88:AP88)+IF(Setup!$I$15="No",0,AQ88))</f>
        <v/>
      </c>
      <c r="AS88" s="192"/>
      <c r="AT88" s="192"/>
      <c r="AU88" s="192"/>
      <c r="AV88" s="192"/>
      <c r="AW88" s="255" t="str">
        <f>IF(COUNTBLANK(AS88:AV88)=4,"",SUM(AS88:AU88)+IF(Setup!$I$15="No",0,AV88))</f>
        <v/>
      </c>
      <c r="AX88" s="192"/>
      <c r="AY88" s="192"/>
      <c r="AZ88" s="192"/>
      <c r="BA88" s="192"/>
      <c r="BB88" s="255" t="str">
        <f>IF(COUNTBLANK(AX88:BA88)=4,"",SUM(AX88:AZ88)+IF(Setup!$I$15="No",0,BA88))</f>
        <v/>
      </c>
      <c r="BC88" s="259" t="str">
        <f ca="1">IF('Demand background (hide)'!A79=Num_Modalities,"",SUM(Demand!I88))</f>
        <v/>
      </c>
      <c r="BD88" s="259" t="str">
        <f ca="1">IF(AND(A88&lt;=MaxRows,BE88&lt;&gt;"Yes"),'Demand background (hide)'!X79+IF(Setup!$I$15="Yes",'Demand background (hide)'!AJ79,0),"")</f>
        <v/>
      </c>
      <c r="BE88" s="209"/>
    </row>
    <row r="89" spans="1:57" x14ac:dyDescent="0.25">
      <c r="A89" t="str">
        <f t="shared" ca="1" si="4"/>
        <v/>
      </c>
      <c r="B89" s="264" t="str">
        <f t="shared" ca="1" si="5"/>
        <v xml:space="preserve"> </v>
      </c>
      <c r="C89" s="265" t="str">
        <f t="shared" ca="1" si="6"/>
        <v/>
      </c>
      <c r="D89" s="350" t="str">
        <f t="shared" ca="1" si="7"/>
        <v/>
      </c>
      <c r="E89" s="192"/>
      <c r="F89" s="192"/>
      <c r="G89" s="193"/>
      <c r="H89" s="192"/>
      <c r="I89" s="251" t="str">
        <f>IF(COUNTBLANK(E89:H89)=4,"",SUM(E89:G89)+IF(Setup!$I$15="No",0,H89))</f>
        <v/>
      </c>
      <c r="J89" s="192"/>
      <c r="K89" s="192"/>
      <c r="L89" s="192"/>
      <c r="M89" s="192"/>
      <c r="N89" s="255" t="str">
        <f>IF(COUNTBLANK(J89:M89)=4,"",SUM(J89:L89)+IF(Setup!$I$15="No",0,M89))</f>
        <v/>
      </c>
      <c r="O89" s="192"/>
      <c r="P89" s="192"/>
      <c r="Q89" s="192"/>
      <c r="R89" s="192"/>
      <c r="S89" s="255" t="str">
        <f>IF(COUNTBLANK(O89:R89)=4,"",SUM(O89:Q89)+IF(Setup!$I$15="No",0,R89))</f>
        <v/>
      </c>
      <c r="T89" s="192"/>
      <c r="U89" s="192"/>
      <c r="V89" s="192"/>
      <c r="W89" s="192"/>
      <c r="X89" s="255" t="str">
        <f>IF(COUNTBLANK(T89:W89)=4,"",SUM(T89:V89)+IF(Setup!$I$15="No",0,W89))</f>
        <v/>
      </c>
      <c r="Y89" s="192"/>
      <c r="Z89" s="192"/>
      <c r="AA89" s="192"/>
      <c r="AB89" s="192"/>
      <c r="AC89" s="255" t="str">
        <f>IF(COUNTBLANK(Y89:AB89)=4,"",SUM(Y89:AA89)+IF(Setup!$I$15="No",0,AB89))</f>
        <v/>
      </c>
      <c r="AD89" s="192"/>
      <c r="AE89" s="192"/>
      <c r="AF89" s="192"/>
      <c r="AG89" s="192"/>
      <c r="AH89" s="255" t="str">
        <f>IF(COUNTBLANK(AD89:AG89)=4,"",SUM(AD89:AF89)+IF(Setup!$I$15="No",0,AG89))</f>
        <v/>
      </c>
      <c r="AI89" s="192"/>
      <c r="AJ89" s="192"/>
      <c r="AK89" s="192"/>
      <c r="AL89" s="192"/>
      <c r="AM89" s="255" t="str">
        <f>IF(COUNTBLANK(AI89:AL89)=4,"",SUM(AI89:AK89)+IF(Setup!$I$15="No",0,AL89))</f>
        <v/>
      </c>
      <c r="AN89" s="192"/>
      <c r="AO89" s="192"/>
      <c r="AP89" s="192"/>
      <c r="AQ89" s="192"/>
      <c r="AR89" s="255" t="str">
        <f>IF(COUNTBLANK(AN89:AQ89)=4,"",SUM(AN89:AP89)+IF(Setup!$I$15="No",0,AQ89))</f>
        <v/>
      </c>
      <c r="AS89" s="192"/>
      <c r="AT89" s="192"/>
      <c r="AU89" s="192"/>
      <c r="AV89" s="192"/>
      <c r="AW89" s="255" t="str">
        <f>IF(COUNTBLANK(AS89:AV89)=4,"",SUM(AS89:AU89)+IF(Setup!$I$15="No",0,AV89))</f>
        <v/>
      </c>
      <c r="AX89" s="192"/>
      <c r="AY89" s="192"/>
      <c r="AZ89" s="192"/>
      <c r="BA89" s="192"/>
      <c r="BB89" s="255" t="str">
        <f>IF(COUNTBLANK(AX89:BA89)=4,"",SUM(AX89:AZ89)+IF(Setup!$I$15="No",0,BA89))</f>
        <v/>
      </c>
      <c r="BC89" s="259" t="str">
        <f ca="1">IF('Demand background (hide)'!A80=Num_Modalities,"",SUM(Demand!I89))</f>
        <v/>
      </c>
      <c r="BD89" s="259" t="str">
        <f ca="1">IF(AND(A89&lt;=MaxRows,BE89&lt;&gt;"Yes"),'Demand background (hide)'!X80+IF(Setup!$I$15="Yes",'Demand background (hide)'!AJ80,0),"")</f>
        <v/>
      </c>
      <c r="BE89" s="209"/>
    </row>
    <row r="90" spans="1:57" x14ac:dyDescent="0.25">
      <c r="A90" t="str">
        <f t="shared" ca="1" si="4"/>
        <v/>
      </c>
      <c r="B90" s="264" t="str">
        <f t="shared" ca="1" si="5"/>
        <v xml:space="preserve"> </v>
      </c>
      <c r="C90" s="265" t="str">
        <f t="shared" ca="1" si="6"/>
        <v/>
      </c>
      <c r="D90" s="350" t="str">
        <f t="shared" ca="1" si="7"/>
        <v/>
      </c>
      <c r="E90" s="192"/>
      <c r="F90" s="192"/>
      <c r="G90" s="193"/>
      <c r="H90" s="192"/>
      <c r="I90" s="251" t="str">
        <f>IF(COUNTBLANK(E90:H90)=4,"",SUM(E90:G90)+IF(Setup!$I$15="No",0,H90))</f>
        <v/>
      </c>
      <c r="J90" s="192"/>
      <c r="K90" s="192"/>
      <c r="L90" s="192"/>
      <c r="M90" s="192"/>
      <c r="N90" s="255" t="str">
        <f>IF(COUNTBLANK(J90:M90)=4,"",SUM(J90:L90)+IF(Setup!$I$15="No",0,M90))</f>
        <v/>
      </c>
      <c r="O90" s="192"/>
      <c r="P90" s="192"/>
      <c r="Q90" s="192"/>
      <c r="R90" s="192"/>
      <c r="S90" s="255" t="str">
        <f>IF(COUNTBLANK(O90:R90)=4,"",SUM(O90:Q90)+IF(Setup!$I$15="No",0,R90))</f>
        <v/>
      </c>
      <c r="T90" s="192"/>
      <c r="U90" s="192"/>
      <c r="V90" s="192"/>
      <c r="W90" s="192"/>
      <c r="X90" s="255" t="str">
        <f>IF(COUNTBLANK(T90:W90)=4,"",SUM(T90:V90)+IF(Setup!$I$15="No",0,W90))</f>
        <v/>
      </c>
      <c r="Y90" s="192"/>
      <c r="Z90" s="192"/>
      <c r="AA90" s="192"/>
      <c r="AB90" s="192"/>
      <c r="AC90" s="255" t="str">
        <f>IF(COUNTBLANK(Y90:AB90)=4,"",SUM(Y90:AA90)+IF(Setup!$I$15="No",0,AB90))</f>
        <v/>
      </c>
      <c r="AD90" s="192"/>
      <c r="AE90" s="192"/>
      <c r="AF90" s="192"/>
      <c r="AG90" s="192"/>
      <c r="AH90" s="255" t="str">
        <f>IF(COUNTBLANK(AD90:AG90)=4,"",SUM(AD90:AF90)+IF(Setup!$I$15="No",0,AG90))</f>
        <v/>
      </c>
      <c r="AI90" s="192"/>
      <c r="AJ90" s="192"/>
      <c r="AK90" s="192"/>
      <c r="AL90" s="192"/>
      <c r="AM90" s="255" t="str">
        <f>IF(COUNTBLANK(AI90:AL90)=4,"",SUM(AI90:AK90)+IF(Setup!$I$15="No",0,AL90))</f>
        <v/>
      </c>
      <c r="AN90" s="192"/>
      <c r="AO90" s="192"/>
      <c r="AP90" s="192"/>
      <c r="AQ90" s="192"/>
      <c r="AR90" s="255" t="str">
        <f>IF(COUNTBLANK(AN90:AQ90)=4,"",SUM(AN90:AP90)+IF(Setup!$I$15="No",0,AQ90))</f>
        <v/>
      </c>
      <c r="AS90" s="192"/>
      <c r="AT90" s="192"/>
      <c r="AU90" s="192"/>
      <c r="AV90" s="192"/>
      <c r="AW90" s="255" t="str">
        <f>IF(COUNTBLANK(AS90:AV90)=4,"",SUM(AS90:AU90)+IF(Setup!$I$15="No",0,AV90))</f>
        <v/>
      </c>
      <c r="AX90" s="192"/>
      <c r="AY90" s="192"/>
      <c r="AZ90" s="192"/>
      <c r="BA90" s="192"/>
      <c r="BB90" s="255" t="str">
        <f>IF(COUNTBLANK(AX90:BA90)=4,"",SUM(AX90:AZ90)+IF(Setup!$I$15="No",0,BA90))</f>
        <v/>
      </c>
      <c r="BC90" s="259" t="str">
        <f ca="1">IF('Demand background (hide)'!A81=Num_Modalities,"",SUM(Demand!I90))</f>
        <v/>
      </c>
      <c r="BD90" s="259" t="str">
        <f ca="1">IF(AND(A90&lt;=MaxRows,BE90&lt;&gt;"Yes"),'Demand background (hide)'!X81+IF(Setup!$I$15="Yes",'Demand background (hide)'!AJ81,0),"")</f>
        <v/>
      </c>
      <c r="BE90" s="209"/>
    </row>
    <row r="91" spans="1:57" x14ac:dyDescent="0.25">
      <c r="A91" t="str">
        <f t="shared" ca="1" si="4"/>
        <v/>
      </c>
      <c r="B91" s="264" t="str">
        <f t="shared" ca="1" si="5"/>
        <v xml:space="preserve"> </v>
      </c>
      <c r="C91" s="265" t="str">
        <f t="shared" ca="1" si="6"/>
        <v/>
      </c>
      <c r="D91" s="350" t="str">
        <f t="shared" ca="1" si="7"/>
        <v/>
      </c>
      <c r="E91" s="192"/>
      <c r="F91" s="192"/>
      <c r="G91" s="193"/>
      <c r="H91" s="192"/>
      <c r="I91" s="251" t="str">
        <f>IF(COUNTBLANK(E91:H91)=4,"",SUM(E91:G91)+IF(Setup!$I$15="No",0,H91))</f>
        <v/>
      </c>
      <c r="J91" s="192"/>
      <c r="K91" s="192"/>
      <c r="L91" s="192"/>
      <c r="M91" s="192"/>
      <c r="N91" s="255" t="str">
        <f>IF(COUNTBLANK(J91:M91)=4,"",SUM(J91:L91)+IF(Setup!$I$15="No",0,M91))</f>
        <v/>
      </c>
      <c r="O91" s="192"/>
      <c r="P91" s="192"/>
      <c r="Q91" s="192"/>
      <c r="R91" s="192"/>
      <c r="S91" s="255" t="str">
        <f>IF(COUNTBLANK(O91:R91)=4,"",SUM(O91:Q91)+IF(Setup!$I$15="No",0,R91))</f>
        <v/>
      </c>
      <c r="T91" s="192"/>
      <c r="U91" s="192"/>
      <c r="V91" s="192"/>
      <c r="W91" s="192"/>
      <c r="X91" s="255" t="str">
        <f>IF(COUNTBLANK(T91:W91)=4,"",SUM(T91:V91)+IF(Setup!$I$15="No",0,W91))</f>
        <v/>
      </c>
      <c r="Y91" s="192"/>
      <c r="Z91" s="192"/>
      <c r="AA91" s="192"/>
      <c r="AB91" s="192"/>
      <c r="AC91" s="255" t="str">
        <f>IF(COUNTBLANK(Y91:AB91)=4,"",SUM(Y91:AA91)+IF(Setup!$I$15="No",0,AB91))</f>
        <v/>
      </c>
      <c r="AD91" s="192"/>
      <c r="AE91" s="192"/>
      <c r="AF91" s="192"/>
      <c r="AG91" s="192"/>
      <c r="AH91" s="255" t="str">
        <f>IF(COUNTBLANK(AD91:AG91)=4,"",SUM(AD91:AF91)+IF(Setup!$I$15="No",0,AG91))</f>
        <v/>
      </c>
      <c r="AI91" s="192"/>
      <c r="AJ91" s="192"/>
      <c r="AK91" s="192"/>
      <c r="AL91" s="192"/>
      <c r="AM91" s="255" t="str">
        <f>IF(COUNTBLANK(AI91:AL91)=4,"",SUM(AI91:AK91)+IF(Setup!$I$15="No",0,AL91))</f>
        <v/>
      </c>
      <c r="AN91" s="192"/>
      <c r="AO91" s="192"/>
      <c r="AP91" s="192"/>
      <c r="AQ91" s="192"/>
      <c r="AR91" s="255" t="str">
        <f>IF(COUNTBLANK(AN91:AQ91)=4,"",SUM(AN91:AP91)+IF(Setup!$I$15="No",0,AQ91))</f>
        <v/>
      </c>
      <c r="AS91" s="192"/>
      <c r="AT91" s="192"/>
      <c r="AU91" s="192"/>
      <c r="AV91" s="192"/>
      <c r="AW91" s="255" t="str">
        <f>IF(COUNTBLANK(AS91:AV91)=4,"",SUM(AS91:AU91)+IF(Setup!$I$15="No",0,AV91))</f>
        <v/>
      </c>
      <c r="AX91" s="192"/>
      <c r="AY91" s="192"/>
      <c r="AZ91" s="192"/>
      <c r="BA91" s="192"/>
      <c r="BB91" s="255" t="str">
        <f>IF(COUNTBLANK(AX91:BA91)=4,"",SUM(AX91:AZ91)+IF(Setup!$I$15="No",0,BA91))</f>
        <v/>
      </c>
      <c r="BC91" s="259" t="str">
        <f ca="1">IF('Demand background (hide)'!A82=Num_Modalities,"",SUM(Demand!I91))</f>
        <v/>
      </c>
      <c r="BD91" s="259" t="str">
        <f ca="1">IF(AND(A91&lt;=MaxRows,BE91&lt;&gt;"Yes"),'Demand background (hide)'!X82+IF(Setup!$I$15="Yes",'Demand background (hide)'!AJ82,0),"")</f>
        <v/>
      </c>
      <c r="BE91" s="209"/>
    </row>
    <row r="92" spans="1:57" x14ac:dyDescent="0.25">
      <c r="A92" t="str">
        <f t="shared" ca="1" si="4"/>
        <v/>
      </c>
      <c r="B92" s="264" t="str">
        <f t="shared" ca="1" si="5"/>
        <v xml:space="preserve"> </v>
      </c>
      <c r="C92" s="265" t="str">
        <f t="shared" ca="1" si="6"/>
        <v/>
      </c>
      <c r="D92" s="350" t="str">
        <f t="shared" ca="1" si="7"/>
        <v/>
      </c>
      <c r="E92" s="192"/>
      <c r="F92" s="192"/>
      <c r="G92" s="193"/>
      <c r="H92" s="192"/>
      <c r="I92" s="251" t="str">
        <f>IF(COUNTBLANK(E92:H92)=4,"",SUM(E92:G92)+IF(Setup!$I$15="No",0,H92))</f>
        <v/>
      </c>
      <c r="J92" s="192"/>
      <c r="K92" s="192"/>
      <c r="L92" s="192"/>
      <c r="M92" s="192"/>
      <c r="N92" s="255" t="str">
        <f>IF(COUNTBLANK(J92:M92)=4,"",SUM(J92:L92)+IF(Setup!$I$15="No",0,M92))</f>
        <v/>
      </c>
      <c r="O92" s="192"/>
      <c r="P92" s="192"/>
      <c r="Q92" s="192"/>
      <c r="R92" s="192"/>
      <c r="S92" s="255" t="str">
        <f>IF(COUNTBLANK(O92:R92)=4,"",SUM(O92:Q92)+IF(Setup!$I$15="No",0,R92))</f>
        <v/>
      </c>
      <c r="T92" s="192"/>
      <c r="U92" s="192"/>
      <c r="V92" s="192"/>
      <c r="W92" s="192"/>
      <c r="X92" s="255" t="str">
        <f>IF(COUNTBLANK(T92:W92)=4,"",SUM(T92:V92)+IF(Setup!$I$15="No",0,W92))</f>
        <v/>
      </c>
      <c r="Y92" s="192"/>
      <c r="Z92" s="192"/>
      <c r="AA92" s="192"/>
      <c r="AB92" s="192"/>
      <c r="AC92" s="255" t="str">
        <f>IF(COUNTBLANK(Y92:AB92)=4,"",SUM(Y92:AA92)+IF(Setup!$I$15="No",0,AB92))</f>
        <v/>
      </c>
      <c r="AD92" s="192"/>
      <c r="AE92" s="192"/>
      <c r="AF92" s="192"/>
      <c r="AG92" s="192"/>
      <c r="AH92" s="255" t="str">
        <f>IF(COUNTBLANK(AD92:AG92)=4,"",SUM(AD92:AF92)+IF(Setup!$I$15="No",0,AG92))</f>
        <v/>
      </c>
      <c r="AI92" s="192"/>
      <c r="AJ92" s="192"/>
      <c r="AK92" s="192"/>
      <c r="AL92" s="192"/>
      <c r="AM92" s="255" t="str">
        <f>IF(COUNTBLANK(AI92:AL92)=4,"",SUM(AI92:AK92)+IF(Setup!$I$15="No",0,AL92))</f>
        <v/>
      </c>
      <c r="AN92" s="192"/>
      <c r="AO92" s="192"/>
      <c r="AP92" s="192"/>
      <c r="AQ92" s="192"/>
      <c r="AR92" s="255" t="str">
        <f>IF(COUNTBLANK(AN92:AQ92)=4,"",SUM(AN92:AP92)+IF(Setup!$I$15="No",0,AQ92))</f>
        <v/>
      </c>
      <c r="AS92" s="192"/>
      <c r="AT92" s="192"/>
      <c r="AU92" s="192"/>
      <c r="AV92" s="192"/>
      <c r="AW92" s="255" t="str">
        <f>IF(COUNTBLANK(AS92:AV92)=4,"",SUM(AS92:AU92)+IF(Setup!$I$15="No",0,AV92))</f>
        <v/>
      </c>
      <c r="AX92" s="192"/>
      <c r="AY92" s="192"/>
      <c r="AZ92" s="192"/>
      <c r="BA92" s="192"/>
      <c r="BB92" s="255" t="str">
        <f>IF(COUNTBLANK(AX92:BA92)=4,"",SUM(AX92:AZ92)+IF(Setup!$I$15="No",0,BA92))</f>
        <v/>
      </c>
      <c r="BC92" s="259" t="str">
        <f ca="1">IF('Demand background (hide)'!A83=Num_Modalities,"",SUM(Demand!I92))</f>
        <v/>
      </c>
      <c r="BD92" s="259" t="str">
        <f ca="1">IF(AND(A92&lt;=MaxRows,BE92&lt;&gt;"Yes"),'Demand background (hide)'!X83+IF(Setup!$I$15="Yes",'Demand background (hide)'!AJ83,0),"")</f>
        <v/>
      </c>
      <c r="BE92" s="209"/>
    </row>
    <row r="93" spans="1:57" x14ac:dyDescent="0.25">
      <c r="A93" t="str">
        <f t="shared" ca="1" si="4"/>
        <v/>
      </c>
      <c r="B93" s="264" t="str">
        <f t="shared" ca="1" si="5"/>
        <v xml:space="preserve"> </v>
      </c>
      <c r="C93" s="265" t="str">
        <f t="shared" ca="1" si="6"/>
        <v/>
      </c>
      <c r="D93" s="350" t="str">
        <f t="shared" ca="1" si="7"/>
        <v/>
      </c>
      <c r="E93" s="192"/>
      <c r="F93" s="192"/>
      <c r="G93" s="193"/>
      <c r="H93" s="192"/>
      <c r="I93" s="251" t="str">
        <f>IF(COUNTBLANK(E93:H93)=4,"",SUM(E93:G93)+IF(Setup!$I$15="No",0,H93))</f>
        <v/>
      </c>
      <c r="J93" s="192"/>
      <c r="K93" s="192"/>
      <c r="L93" s="192"/>
      <c r="M93" s="192"/>
      <c r="N93" s="255" t="str">
        <f>IF(COUNTBLANK(J93:M93)=4,"",SUM(J93:L93)+IF(Setup!$I$15="No",0,M93))</f>
        <v/>
      </c>
      <c r="O93" s="192"/>
      <c r="P93" s="192"/>
      <c r="Q93" s="192"/>
      <c r="R93" s="192"/>
      <c r="S93" s="255" t="str">
        <f>IF(COUNTBLANK(O93:R93)=4,"",SUM(O93:Q93)+IF(Setup!$I$15="No",0,R93))</f>
        <v/>
      </c>
      <c r="T93" s="192"/>
      <c r="U93" s="192"/>
      <c r="V93" s="192"/>
      <c r="W93" s="192"/>
      <c r="X93" s="255" t="str">
        <f>IF(COUNTBLANK(T93:W93)=4,"",SUM(T93:V93)+IF(Setup!$I$15="No",0,W93))</f>
        <v/>
      </c>
      <c r="Y93" s="192"/>
      <c r="Z93" s="192"/>
      <c r="AA93" s="192"/>
      <c r="AB93" s="192"/>
      <c r="AC93" s="255" t="str">
        <f>IF(COUNTBLANK(Y93:AB93)=4,"",SUM(Y93:AA93)+IF(Setup!$I$15="No",0,AB93))</f>
        <v/>
      </c>
      <c r="AD93" s="192"/>
      <c r="AE93" s="192"/>
      <c r="AF93" s="192"/>
      <c r="AG93" s="192"/>
      <c r="AH93" s="255" t="str">
        <f>IF(COUNTBLANK(AD93:AG93)=4,"",SUM(AD93:AF93)+IF(Setup!$I$15="No",0,AG93))</f>
        <v/>
      </c>
      <c r="AI93" s="192"/>
      <c r="AJ93" s="192"/>
      <c r="AK93" s="192"/>
      <c r="AL93" s="192"/>
      <c r="AM93" s="255" t="str">
        <f>IF(COUNTBLANK(AI93:AL93)=4,"",SUM(AI93:AK93)+IF(Setup!$I$15="No",0,AL93))</f>
        <v/>
      </c>
      <c r="AN93" s="192"/>
      <c r="AO93" s="192"/>
      <c r="AP93" s="192"/>
      <c r="AQ93" s="192"/>
      <c r="AR93" s="255" t="str">
        <f>IF(COUNTBLANK(AN93:AQ93)=4,"",SUM(AN93:AP93)+IF(Setup!$I$15="No",0,AQ93))</f>
        <v/>
      </c>
      <c r="AS93" s="192"/>
      <c r="AT93" s="192"/>
      <c r="AU93" s="192"/>
      <c r="AV93" s="192"/>
      <c r="AW93" s="255" t="str">
        <f>IF(COUNTBLANK(AS93:AV93)=4,"",SUM(AS93:AU93)+IF(Setup!$I$15="No",0,AV93))</f>
        <v/>
      </c>
      <c r="AX93" s="192"/>
      <c r="AY93" s="192"/>
      <c r="AZ93" s="192"/>
      <c r="BA93" s="192"/>
      <c r="BB93" s="255" t="str">
        <f>IF(COUNTBLANK(AX93:BA93)=4,"",SUM(AX93:AZ93)+IF(Setup!$I$15="No",0,BA93))</f>
        <v/>
      </c>
      <c r="BC93" s="259" t="str">
        <f ca="1">IF('Demand background (hide)'!A84=Num_Modalities,"",SUM(Demand!I93))</f>
        <v/>
      </c>
      <c r="BD93" s="259" t="str">
        <f ca="1">IF(AND(A93&lt;=MaxRows,BE93&lt;&gt;"Yes"),'Demand background (hide)'!X84+IF(Setup!$I$15="Yes",'Demand background (hide)'!AJ84,0),"")</f>
        <v/>
      </c>
      <c r="BE93" s="209"/>
    </row>
    <row r="94" spans="1:57" x14ac:dyDescent="0.25">
      <c r="A94" t="str">
        <f t="shared" ca="1" si="4"/>
        <v/>
      </c>
      <c r="B94" s="264" t="str">
        <f t="shared" ca="1" si="5"/>
        <v xml:space="preserve"> </v>
      </c>
      <c r="C94" s="265" t="str">
        <f t="shared" ca="1" si="6"/>
        <v/>
      </c>
      <c r="D94" s="350" t="str">
        <f t="shared" ca="1" si="7"/>
        <v/>
      </c>
      <c r="E94" s="192"/>
      <c r="F94" s="192"/>
      <c r="G94" s="193"/>
      <c r="H94" s="192"/>
      <c r="I94" s="251" t="str">
        <f>IF(COUNTBLANK(E94:H94)=4,"",SUM(E94:G94)+IF(Setup!$I$15="No",0,H94))</f>
        <v/>
      </c>
      <c r="J94" s="192"/>
      <c r="K94" s="192"/>
      <c r="L94" s="192"/>
      <c r="M94" s="192"/>
      <c r="N94" s="255" t="str">
        <f>IF(COUNTBLANK(J94:M94)=4,"",SUM(J94:L94)+IF(Setup!$I$15="No",0,M94))</f>
        <v/>
      </c>
      <c r="O94" s="192"/>
      <c r="P94" s="192"/>
      <c r="Q94" s="192"/>
      <c r="R94" s="192"/>
      <c r="S94" s="255" t="str">
        <f>IF(COUNTBLANK(O94:R94)=4,"",SUM(O94:Q94)+IF(Setup!$I$15="No",0,R94))</f>
        <v/>
      </c>
      <c r="T94" s="192"/>
      <c r="U94" s="192"/>
      <c r="V94" s="192"/>
      <c r="W94" s="192"/>
      <c r="X94" s="255" t="str">
        <f>IF(COUNTBLANK(T94:W94)=4,"",SUM(T94:V94)+IF(Setup!$I$15="No",0,W94))</f>
        <v/>
      </c>
      <c r="Y94" s="192"/>
      <c r="Z94" s="192"/>
      <c r="AA94" s="192"/>
      <c r="AB94" s="192"/>
      <c r="AC94" s="255" t="str">
        <f>IF(COUNTBLANK(Y94:AB94)=4,"",SUM(Y94:AA94)+IF(Setup!$I$15="No",0,AB94))</f>
        <v/>
      </c>
      <c r="AD94" s="192"/>
      <c r="AE94" s="192"/>
      <c r="AF94" s="192"/>
      <c r="AG94" s="192"/>
      <c r="AH94" s="255" t="str">
        <f>IF(COUNTBLANK(AD94:AG94)=4,"",SUM(AD94:AF94)+IF(Setup!$I$15="No",0,AG94))</f>
        <v/>
      </c>
      <c r="AI94" s="192"/>
      <c r="AJ94" s="192"/>
      <c r="AK94" s="192"/>
      <c r="AL94" s="192"/>
      <c r="AM94" s="255" t="str">
        <f>IF(COUNTBLANK(AI94:AL94)=4,"",SUM(AI94:AK94)+IF(Setup!$I$15="No",0,AL94))</f>
        <v/>
      </c>
      <c r="AN94" s="192"/>
      <c r="AO94" s="192"/>
      <c r="AP94" s="192"/>
      <c r="AQ94" s="192"/>
      <c r="AR94" s="255" t="str">
        <f>IF(COUNTBLANK(AN94:AQ94)=4,"",SUM(AN94:AP94)+IF(Setup!$I$15="No",0,AQ94))</f>
        <v/>
      </c>
      <c r="AS94" s="192"/>
      <c r="AT94" s="192"/>
      <c r="AU94" s="192"/>
      <c r="AV94" s="192"/>
      <c r="AW94" s="255" t="str">
        <f>IF(COUNTBLANK(AS94:AV94)=4,"",SUM(AS94:AU94)+IF(Setup!$I$15="No",0,AV94))</f>
        <v/>
      </c>
      <c r="AX94" s="192"/>
      <c r="AY94" s="192"/>
      <c r="AZ94" s="192"/>
      <c r="BA94" s="192"/>
      <c r="BB94" s="255" t="str">
        <f>IF(COUNTBLANK(AX94:BA94)=4,"",SUM(AX94:AZ94)+IF(Setup!$I$15="No",0,BA94))</f>
        <v/>
      </c>
      <c r="BC94" s="259" t="str">
        <f ca="1">IF('Demand background (hide)'!A85=Num_Modalities,"",SUM(Demand!I94))</f>
        <v/>
      </c>
      <c r="BD94" s="259" t="str">
        <f ca="1">IF(AND(A94&lt;=MaxRows,BE94&lt;&gt;"Yes"),'Demand background (hide)'!X85+IF(Setup!$I$15="Yes",'Demand background (hide)'!AJ85,0),"")</f>
        <v/>
      </c>
      <c r="BE94" s="209"/>
    </row>
    <row r="95" spans="1:57" x14ac:dyDescent="0.25">
      <c r="A95" t="str">
        <f t="shared" ca="1" si="4"/>
        <v/>
      </c>
      <c r="B95" s="264" t="str">
        <f t="shared" ca="1" si="5"/>
        <v xml:space="preserve"> </v>
      </c>
      <c r="C95" s="265" t="str">
        <f t="shared" ca="1" si="6"/>
        <v/>
      </c>
      <c r="D95" s="350" t="str">
        <f t="shared" ca="1" si="7"/>
        <v/>
      </c>
      <c r="E95" s="192"/>
      <c r="F95" s="192"/>
      <c r="G95" s="193"/>
      <c r="H95" s="192"/>
      <c r="I95" s="251" t="str">
        <f>IF(COUNTBLANK(E95:H95)=4,"",SUM(E95:G95)+IF(Setup!$I$15="No",0,H95))</f>
        <v/>
      </c>
      <c r="J95" s="192"/>
      <c r="K95" s="192"/>
      <c r="L95" s="192"/>
      <c r="M95" s="192"/>
      <c r="N95" s="255" t="str">
        <f>IF(COUNTBLANK(J95:M95)=4,"",SUM(J95:L95)+IF(Setup!$I$15="No",0,M95))</f>
        <v/>
      </c>
      <c r="O95" s="192"/>
      <c r="P95" s="192"/>
      <c r="Q95" s="192"/>
      <c r="R95" s="192"/>
      <c r="S95" s="255" t="str">
        <f>IF(COUNTBLANK(O95:R95)=4,"",SUM(O95:Q95)+IF(Setup!$I$15="No",0,R95))</f>
        <v/>
      </c>
      <c r="T95" s="192"/>
      <c r="U95" s="192"/>
      <c r="V95" s="192"/>
      <c r="W95" s="192"/>
      <c r="X95" s="255" t="str">
        <f>IF(COUNTBLANK(T95:W95)=4,"",SUM(T95:V95)+IF(Setup!$I$15="No",0,W95))</f>
        <v/>
      </c>
      <c r="Y95" s="192"/>
      <c r="Z95" s="192"/>
      <c r="AA95" s="192"/>
      <c r="AB95" s="192"/>
      <c r="AC95" s="255" t="str">
        <f>IF(COUNTBLANK(Y95:AB95)=4,"",SUM(Y95:AA95)+IF(Setup!$I$15="No",0,AB95))</f>
        <v/>
      </c>
      <c r="AD95" s="192"/>
      <c r="AE95" s="192"/>
      <c r="AF95" s="192"/>
      <c r="AG95" s="192"/>
      <c r="AH95" s="255" t="str">
        <f>IF(COUNTBLANK(AD95:AG95)=4,"",SUM(AD95:AF95)+IF(Setup!$I$15="No",0,AG95))</f>
        <v/>
      </c>
      <c r="AI95" s="192"/>
      <c r="AJ95" s="192"/>
      <c r="AK95" s="192"/>
      <c r="AL95" s="192"/>
      <c r="AM95" s="255" t="str">
        <f>IF(COUNTBLANK(AI95:AL95)=4,"",SUM(AI95:AK95)+IF(Setup!$I$15="No",0,AL95))</f>
        <v/>
      </c>
      <c r="AN95" s="192"/>
      <c r="AO95" s="192"/>
      <c r="AP95" s="192"/>
      <c r="AQ95" s="192"/>
      <c r="AR95" s="255" t="str">
        <f>IF(COUNTBLANK(AN95:AQ95)=4,"",SUM(AN95:AP95)+IF(Setup!$I$15="No",0,AQ95))</f>
        <v/>
      </c>
      <c r="AS95" s="192"/>
      <c r="AT95" s="192"/>
      <c r="AU95" s="192"/>
      <c r="AV95" s="192"/>
      <c r="AW95" s="255" t="str">
        <f>IF(COUNTBLANK(AS95:AV95)=4,"",SUM(AS95:AU95)+IF(Setup!$I$15="No",0,AV95))</f>
        <v/>
      </c>
      <c r="AX95" s="192"/>
      <c r="AY95" s="192"/>
      <c r="AZ95" s="192"/>
      <c r="BA95" s="192"/>
      <c r="BB95" s="255" t="str">
        <f>IF(COUNTBLANK(AX95:BA95)=4,"",SUM(AX95:AZ95)+IF(Setup!$I$15="No",0,BA95))</f>
        <v/>
      </c>
      <c r="BC95" s="259" t="str">
        <f ca="1">IF('Demand background (hide)'!A86=Num_Modalities,"",SUM(Demand!I95))</f>
        <v/>
      </c>
      <c r="BD95" s="259" t="str">
        <f ca="1">IF(AND(A95&lt;=MaxRows,BE95&lt;&gt;"Yes"),'Demand background (hide)'!X86+IF(Setup!$I$15="Yes",'Demand background (hide)'!AJ86,0),"")</f>
        <v/>
      </c>
      <c r="BE95" s="209"/>
    </row>
    <row r="96" spans="1:57" x14ac:dyDescent="0.25">
      <c r="A96" t="str">
        <f t="shared" ca="1" si="4"/>
        <v/>
      </c>
      <c r="B96" s="264" t="str">
        <f t="shared" ca="1" si="5"/>
        <v xml:space="preserve"> </v>
      </c>
      <c r="C96" s="265" t="str">
        <f t="shared" ca="1" si="6"/>
        <v/>
      </c>
      <c r="D96" s="350" t="str">
        <f t="shared" ca="1" si="7"/>
        <v/>
      </c>
      <c r="E96" s="192"/>
      <c r="F96" s="192"/>
      <c r="G96" s="193"/>
      <c r="H96" s="192"/>
      <c r="I96" s="251" t="str">
        <f>IF(COUNTBLANK(E96:H96)=4,"",SUM(E96:G96)+IF(Setup!$I$15="No",0,H96))</f>
        <v/>
      </c>
      <c r="J96" s="192"/>
      <c r="K96" s="192"/>
      <c r="L96" s="192"/>
      <c r="M96" s="192"/>
      <c r="N96" s="255" t="str">
        <f>IF(COUNTBLANK(J96:M96)=4,"",SUM(J96:L96)+IF(Setup!$I$15="No",0,M96))</f>
        <v/>
      </c>
      <c r="O96" s="192"/>
      <c r="P96" s="192"/>
      <c r="Q96" s="192"/>
      <c r="R96" s="192"/>
      <c r="S96" s="255" t="str">
        <f>IF(COUNTBLANK(O96:R96)=4,"",SUM(O96:Q96)+IF(Setup!$I$15="No",0,R96))</f>
        <v/>
      </c>
      <c r="T96" s="192"/>
      <c r="U96" s="192"/>
      <c r="V96" s="192"/>
      <c r="W96" s="192"/>
      <c r="X96" s="255" t="str">
        <f>IF(COUNTBLANK(T96:W96)=4,"",SUM(T96:V96)+IF(Setup!$I$15="No",0,W96))</f>
        <v/>
      </c>
      <c r="Y96" s="192"/>
      <c r="Z96" s="192"/>
      <c r="AA96" s="192"/>
      <c r="AB96" s="192"/>
      <c r="AC96" s="255" t="str">
        <f>IF(COUNTBLANK(Y96:AB96)=4,"",SUM(Y96:AA96)+IF(Setup!$I$15="No",0,AB96))</f>
        <v/>
      </c>
      <c r="AD96" s="192"/>
      <c r="AE96" s="192"/>
      <c r="AF96" s="192"/>
      <c r="AG96" s="192"/>
      <c r="AH96" s="255" t="str">
        <f>IF(COUNTBLANK(AD96:AG96)=4,"",SUM(AD96:AF96)+IF(Setup!$I$15="No",0,AG96))</f>
        <v/>
      </c>
      <c r="AI96" s="192"/>
      <c r="AJ96" s="192"/>
      <c r="AK96" s="192"/>
      <c r="AL96" s="192"/>
      <c r="AM96" s="255" t="str">
        <f>IF(COUNTBLANK(AI96:AL96)=4,"",SUM(AI96:AK96)+IF(Setup!$I$15="No",0,AL96))</f>
        <v/>
      </c>
      <c r="AN96" s="192"/>
      <c r="AO96" s="192"/>
      <c r="AP96" s="192"/>
      <c r="AQ96" s="192"/>
      <c r="AR96" s="255" t="str">
        <f>IF(COUNTBLANK(AN96:AQ96)=4,"",SUM(AN96:AP96)+IF(Setup!$I$15="No",0,AQ96))</f>
        <v/>
      </c>
      <c r="AS96" s="192"/>
      <c r="AT96" s="192"/>
      <c r="AU96" s="192"/>
      <c r="AV96" s="192"/>
      <c r="AW96" s="255" t="str">
        <f>IF(COUNTBLANK(AS96:AV96)=4,"",SUM(AS96:AU96)+IF(Setup!$I$15="No",0,AV96))</f>
        <v/>
      </c>
      <c r="AX96" s="192"/>
      <c r="AY96" s="192"/>
      <c r="AZ96" s="192"/>
      <c r="BA96" s="192"/>
      <c r="BB96" s="255" t="str">
        <f>IF(COUNTBLANK(AX96:BA96)=4,"",SUM(AX96:AZ96)+IF(Setup!$I$15="No",0,BA96))</f>
        <v/>
      </c>
      <c r="BC96" s="259" t="str">
        <f ca="1">IF('Demand background (hide)'!A87=Num_Modalities,"",SUM(Demand!I96))</f>
        <v/>
      </c>
      <c r="BD96" s="259" t="str">
        <f ca="1">IF(AND(A96&lt;=MaxRows,BE96&lt;&gt;"Yes"),'Demand background (hide)'!X87+IF(Setup!$I$15="Yes",'Demand background (hide)'!AJ87,0),"")</f>
        <v/>
      </c>
      <c r="BE96" s="209"/>
    </row>
    <row r="97" spans="1:57" x14ac:dyDescent="0.25">
      <c r="A97" t="str">
        <f t="shared" ca="1" si="4"/>
        <v/>
      </c>
      <c r="B97" s="264" t="str">
        <f t="shared" ca="1" si="5"/>
        <v xml:space="preserve"> </v>
      </c>
      <c r="C97" s="265" t="str">
        <f t="shared" ca="1" si="6"/>
        <v/>
      </c>
      <c r="D97" s="350" t="str">
        <f t="shared" ca="1" si="7"/>
        <v/>
      </c>
      <c r="E97" s="192"/>
      <c r="F97" s="192"/>
      <c r="G97" s="193"/>
      <c r="H97" s="192"/>
      <c r="I97" s="251" t="str">
        <f>IF(COUNTBLANK(E97:H97)=4,"",SUM(E97:G97)+IF(Setup!$I$15="No",0,H97))</f>
        <v/>
      </c>
      <c r="J97" s="192"/>
      <c r="K97" s="192"/>
      <c r="L97" s="192"/>
      <c r="M97" s="192"/>
      <c r="N97" s="255" t="str">
        <f>IF(COUNTBLANK(J97:M97)=4,"",SUM(J97:L97)+IF(Setup!$I$15="No",0,M97))</f>
        <v/>
      </c>
      <c r="O97" s="192"/>
      <c r="P97" s="192"/>
      <c r="Q97" s="192"/>
      <c r="R97" s="192"/>
      <c r="S97" s="255" t="str">
        <f>IF(COUNTBLANK(O97:R97)=4,"",SUM(O97:Q97)+IF(Setup!$I$15="No",0,R97))</f>
        <v/>
      </c>
      <c r="T97" s="192"/>
      <c r="U97" s="192"/>
      <c r="V97" s="192"/>
      <c r="W97" s="192"/>
      <c r="X97" s="255" t="str">
        <f>IF(COUNTBLANK(T97:W97)=4,"",SUM(T97:V97)+IF(Setup!$I$15="No",0,W97))</f>
        <v/>
      </c>
      <c r="Y97" s="192"/>
      <c r="Z97" s="192"/>
      <c r="AA97" s="192"/>
      <c r="AB97" s="192"/>
      <c r="AC97" s="255" t="str">
        <f>IF(COUNTBLANK(Y97:AB97)=4,"",SUM(Y97:AA97)+IF(Setup!$I$15="No",0,AB97))</f>
        <v/>
      </c>
      <c r="AD97" s="192"/>
      <c r="AE97" s="192"/>
      <c r="AF97" s="192"/>
      <c r="AG97" s="192"/>
      <c r="AH97" s="255" t="str">
        <f>IF(COUNTBLANK(AD97:AG97)=4,"",SUM(AD97:AF97)+IF(Setup!$I$15="No",0,AG97))</f>
        <v/>
      </c>
      <c r="AI97" s="192"/>
      <c r="AJ97" s="192"/>
      <c r="AK97" s="192"/>
      <c r="AL97" s="192"/>
      <c r="AM97" s="255" t="str">
        <f>IF(COUNTBLANK(AI97:AL97)=4,"",SUM(AI97:AK97)+IF(Setup!$I$15="No",0,AL97))</f>
        <v/>
      </c>
      <c r="AN97" s="192"/>
      <c r="AO97" s="192"/>
      <c r="AP97" s="192"/>
      <c r="AQ97" s="192"/>
      <c r="AR97" s="255" t="str">
        <f>IF(COUNTBLANK(AN97:AQ97)=4,"",SUM(AN97:AP97)+IF(Setup!$I$15="No",0,AQ97))</f>
        <v/>
      </c>
      <c r="AS97" s="192"/>
      <c r="AT97" s="192"/>
      <c r="AU97" s="192"/>
      <c r="AV97" s="192"/>
      <c r="AW97" s="255" t="str">
        <f>IF(COUNTBLANK(AS97:AV97)=4,"",SUM(AS97:AU97)+IF(Setup!$I$15="No",0,AV97))</f>
        <v/>
      </c>
      <c r="AX97" s="192"/>
      <c r="AY97" s="192"/>
      <c r="AZ97" s="192"/>
      <c r="BA97" s="192"/>
      <c r="BB97" s="255" t="str">
        <f>IF(COUNTBLANK(AX97:BA97)=4,"",SUM(AX97:AZ97)+IF(Setup!$I$15="No",0,BA97))</f>
        <v/>
      </c>
      <c r="BC97" s="259" t="str">
        <f ca="1">IF('Demand background (hide)'!A88=Num_Modalities,"",SUM(Demand!I97))</f>
        <v/>
      </c>
      <c r="BD97" s="259" t="str">
        <f ca="1">IF(AND(A97&lt;=MaxRows,BE97&lt;&gt;"Yes"),'Demand background (hide)'!X88+IF(Setup!$I$15="Yes",'Demand background (hide)'!AJ88,0),"")</f>
        <v/>
      </c>
      <c r="BE97" s="209"/>
    </row>
    <row r="98" spans="1:57" x14ac:dyDescent="0.25">
      <c r="A98" t="str">
        <f t="shared" ca="1" si="4"/>
        <v/>
      </c>
      <c r="B98" s="264" t="str">
        <f t="shared" ca="1" si="5"/>
        <v xml:space="preserve"> </v>
      </c>
      <c r="C98" s="265" t="str">
        <f t="shared" ca="1" si="6"/>
        <v/>
      </c>
      <c r="D98" s="350" t="str">
        <f t="shared" ca="1" si="7"/>
        <v/>
      </c>
      <c r="E98" s="192"/>
      <c r="F98" s="192"/>
      <c r="G98" s="193"/>
      <c r="H98" s="192"/>
      <c r="I98" s="251" t="str">
        <f>IF(COUNTBLANK(E98:H98)=4,"",SUM(E98:G98)+IF(Setup!$I$15="No",0,H98))</f>
        <v/>
      </c>
      <c r="J98" s="192"/>
      <c r="K98" s="192"/>
      <c r="L98" s="192"/>
      <c r="M98" s="192"/>
      <c r="N98" s="255" t="str">
        <f>IF(COUNTBLANK(J98:M98)=4,"",SUM(J98:L98)+IF(Setup!$I$15="No",0,M98))</f>
        <v/>
      </c>
      <c r="O98" s="192"/>
      <c r="P98" s="192"/>
      <c r="Q98" s="192"/>
      <c r="R98" s="192"/>
      <c r="S98" s="255" t="str">
        <f>IF(COUNTBLANK(O98:R98)=4,"",SUM(O98:Q98)+IF(Setup!$I$15="No",0,R98))</f>
        <v/>
      </c>
      <c r="T98" s="192"/>
      <c r="U98" s="192"/>
      <c r="V98" s="192"/>
      <c r="W98" s="192"/>
      <c r="X98" s="255" t="str">
        <f>IF(COUNTBLANK(T98:W98)=4,"",SUM(T98:V98)+IF(Setup!$I$15="No",0,W98))</f>
        <v/>
      </c>
      <c r="Y98" s="192"/>
      <c r="Z98" s="192"/>
      <c r="AA98" s="192"/>
      <c r="AB98" s="192"/>
      <c r="AC98" s="255" t="str">
        <f>IF(COUNTBLANK(Y98:AB98)=4,"",SUM(Y98:AA98)+IF(Setup!$I$15="No",0,AB98))</f>
        <v/>
      </c>
      <c r="AD98" s="192"/>
      <c r="AE98" s="192"/>
      <c r="AF98" s="192"/>
      <c r="AG98" s="192"/>
      <c r="AH98" s="255" t="str">
        <f>IF(COUNTBLANK(AD98:AG98)=4,"",SUM(AD98:AF98)+IF(Setup!$I$15="No",0,AG98))</f>
        <v/>
      </c>
      <c r="AI98" s="192"/>
      <c r="AJ98" s="192"/>
      <c r="AK98" s="192"/>
      <c r="AL98" s="192"/>
      <c r="AM98" s="255" t="str">
        <f>IF(COUNTBLANK(AI98:AL98)=4,"",SUM(AI98:AK98)+IF(Setup!$I$15="No",0,AL98))</f>
        <v/>
      </c>
      <c r="AN98" s="192"/>
      <c r="AO98" s="192"/>
      <c r="AP98" s="192"/>
      <c r="AQ98" s="192"/>
      <c r="AR98" s="255" t="str">
        <f>IF(COUNTBLANK(AN98:AQ98)=4,"",SUM(AN98:AP98)+IF(Setup!$I$15="No",0,AQ98))</f>
        <v/>
      </c>
      <c r="AS98" s="192"/>
      <c r="AT98" s="192"/>
      <c r="AU98" s="192"/>
      <c r="AV98" s="192"/>
      <c r="AW98" s="255" t="str">
        <f>IF(COUNTBLANK(AS98:AV98)=4,"",SUM(AS98:AU98)+IF(Setup!$I$15="No",0,AV98))</f>
        <v/>
      </c>
      <c r="AX98" s="192"/>
      <c r="AY98" s="192"/>
      <c r="AZ98" s="192"/>
      <c r="BA98" s="192"/>
      <c r="BB98" s="255" t="str">
        <f>IF(COUNTBLANK(AX98:BA98)=4,"",SUM(AX98:AZ98)+IF(Setup!$I$15="No",0,BA98))</f>
        <v/>
      </c>
      <c r="BC98" s="259" t="str">
        <f ca="1">IF('Demand background (hide)'!A89=Num_Modalities,"",SUM(Demand!I98))</f>
        <v/>
      </c>
      <c r="BD98" s="259" t="str">
        <f ca="1">IF(AND(A98&lt;=MaxRows,BE98&lt;&gt;"Yes"),'Demand background (hide)'!X89+IF(Setup!$I$15="Yes",'Demand background (hide)'!AJ89,0),"")</f>
        <v/>
      </c>
      <c r="BE98" s="209"/>
    </row>
    <row r="99" spans="1:57" x14ac:dyDescent="0.25">
      <c r="A99" t="str">
        <f t="shared" ca="1" si="4"/>
        <v/>
      </c>
      <c r="B99" s="264" t="str">
        <f t="shared" ca="1" si="5"/>
        <v xml:space="preserve"> </v>
      </c>
      <c r="C99" s="265" t="str">
        <f t="shared" ca="1" si="6"/>
        <v/>
      </c>
      <c r="D99" s="350" t="str">
        <f t="shared" ca="1" si="7"/>
        <v/>
      </c>
      <c r="E99" s="192"/>
      <c r="F99" s="192"/>
      <c r="G99" s="193"/>
      <c r="H99" s="192"/>
      <c r="I99" s="251" t="str">
        <f>IF(COUNTBLANK(E99:H99)=4,"",SUM(E99:G99)+IF(Setup!$I$15="No",0,H99))</f>
        <v/>
      </c>
      <c r="J99" s="192"/>
      <c r="K99" s="192"/>
      <c r="L99" s="192"/>
      <c r="M99" s="192"/>
      <c r="N99" s="255" t="str">
        <f>IF(COUNTBLANK(J99:M99)=4,"",SUM(J99:L99)+IF(Setup!$I$15="No",0,M99))</f>
        <v/>
      </c>
      <c r="O99" s="192"/>
      <c r="P99" s="192"/>
      <c r="Q99" s="192"/>
      <c r="R99" s="192"/>
      <c r="S99" s="255" t="str">
        <f>IF(COUNTBLANK(O99:R99)=4,"",SUM(O99:Q99)+IF(Setup!$I$15="No",0,R99))</f>
        <v/>
      </c>
      <c r="T99" s="192"/>
      <c r="U99" s="192"/>
      <c r="V99" s="192"/>
      <c r="W99" s="192"/>
      <c r="X99" s="255" t="str">
        <f>IF(COUNTBLANK(T99:W99)=4,"",SUM(T99:V99)+IF(Setup!$I$15="No",0,W99))</f>
        <v/>
      </c>
      <c r="Y99" s="192"/>
      <c r="Z99" s="192"/>
      <c r="AA99" s="192"/>
      <c r="AB99" s="192"/>
      <c r="AC99" s="255" t="str">
        <f>IF(COUNTBLANK(Y99:AB99)=4,"",SUM(Y99:AA99)+IF(Setup!$I$15="No",0,AB99))</f>
        <v/>
      </c>
      <c r="AD99" s="192"/>
      <c r="AE99" s="192"/>
      <c r="AF99" s="192"/>
      <c r="AG99" s="192"/>
      <c r="AH99" s="255" t="str">
        <f>IF(COUNTBLANK(AD99:AG99)=4,"",SUM(AD99:AF99)+IF(Setup!$I$15="No",0,AG99))</f>
        <v/>
      </c>
      <c r="AI99" s="192"/>
      <c r="AJ99" s="192"/>
      <c r="AK99" s="192"/>
      <c r="AL99" s="192"/>
      <c r="AM99" s="255" t="str">
        <f>IF(COUNTBLANK(AI99:AL99)=4,"",SUM(AI99:AK99)+IF(Setup!$I$15="No",0,AL99))</f>
        <v/>
      </c>
      <c r="AN99" s="192"/>
      <c r="AO99" s="192"/>
      <c r="AP99" s="192"/>
      <c r="AQ99" s="192"/>
      <c r="AR99" s="255" t="str">
        <f>IF(COUNTBLANK(AN99:AQ99)=4,"",SUM(AN99:AP99)+IF(Setup!$I$15="No",0,AQ99))</f>
        <v/>
      </c>
      <c r="AS99" s="192"/>
      <c r="AT99" s="192"/>
      <c r="AU99" s="192"/>
      <c r="AV99" s="192"/>
      <c r="AW99" s="255" t="str">
        <f>IF(COUNTBLANK(AS99:AV99)=4,"",SUM(AS99:AU99)+IF(Setup!$I$15="No",0,AV99))</f>
        <v/>
      </c>
      <c r="AX99" s="192"/>
      <c r="AY99" s="192"/>
      <c r="AZ99" s="192"/>
      <c r="BA99" s="192"/>
      <c r="BB99" s="255" t="str">
        <f>IF(COUNTBLANK(AX99:BA99)=4,"",SUM(AX99:AZ99)+IF(Setup!$I$15="No",0,BA99))</f>
        <v/>
      </c>
      <c r="BC99" s="259" t="str">
        <f ca="1">IF('Demand background (hide)'!A90=Num_Modalities,"",SUM(Demand!I99))</f>
        <v/>
      </c>
      <c r="BD99" s="259" t="str">
        <f ca="1">IF(AND(A99&lt;=MaxRows,BE99&lt;&gt;"Yes"),'Demand background (hide)'!X90+IF(Setup!$I$15="Yes",'Demand background (hide)'!AJ90,0),"")</f>
        <v/>
      </c>
      <c r="BE99" s="209"/>
    </row>
    <row r="100" spans="1:57" x14ac:dyDescent="0.25">
      <c r="A100" t="str">
        <f t="shared" ca="1" si="4"/>
        <v/>
      </c>
      <c r="B100" s="264" t="str">
        <f t="shared" ca="1" si="5"/>
        <v xml:space="preserve"> </v>
      </c>
      <c r="C100" s="265" t="str">
        <f t="shared" ca="1" si="6"/>
        <v/>
      </c>
      <c r="D100" s="350" t="str">
        <f t="shared" ca="1" si="7"/>
        <v/>
      </c>
      <c r="E100" s="192"/>
      <c r="F100" s="192"/>
      <c r="G100" s="193"/>
      <c r="H100" s="192"/>
      <c r="I100" s="251" t="str">
        <f>IF(COUNTBLANK(E100:H100)=4,"",SUM(E100:G100)+IF(Setup!$I$15="No",0,H100))</f>
        <v/>
      </c>
      <c r="J100" s="192"/>
      <c r="K100" s="192"/>
      <c r="L100" s="192"/>
      <c r="M100" s="192"/>
      <c r="N100" s="255" t="str">
        <f>IF(COUNTBLANK(J100:M100)=4,"",SUM(J100:L100)+IF(Setup!$I$15="No",0,M100))</f>
        <v/>
      </c>
      <c r="O100" s="192"/>
      <c r="P100" s="192"/>
      <c r="Q100" s="192"/>
      <c r="R100" s="192"/>
      <c r="S100" s="255" t="str">
        <f>IF(COUNTBLANK(O100:R100)=4,"",SUM(O100:Q100)+IF(Setup!$I$15="No",0,R100))</f>
        <v/>
      </c>
      <c r="T100" s="192"/>
      <c r="U100" s="192"/>
      <c r="V100" s="192"/>
      <c r="W100" s="192"/>
      <c r="X100" s="255" t="str">
        <f>IF(COUNTBLANK(T100:W100)=4,"",SUM(T100:V100)+IF(Setup!$I$15="No",0,W100))</f>
        <v/>
      </c>
      <c r="Y100" s="192"/>
      <c r="Z100" s="192"/>
      <c r="AA100" s="192"/>
      <c r="AB100" s="192"/>
      <c r="AC100" s="255" t="str">
        <f>IF(COUNTBLANK(Y100:AB100)=4,"",SUM(Y100:AA100)+IF(Setup!$I$15="No",0,AB100))</f>
        <v/>
      </c>
      <c r="AD100" s="192"/>
      <c r="AE100" s="192"/>
      <c r="AF100" s="192"/>
      <c r="AG100" s="192"/>
      <c r="AH100" s="255" t="str">
        <f>IF(COUNTBLANK(AD100:AG100)=4,"",SUM(AD100:AF100)+IF(Setup!$I$15="No",0,AG100))</f>
        <v/>
      </c>
      <c r="AI100" s="192"/>
      <c r="AJ100" s="192"/>
      <c r="AK100" s="192"/>
      <c r="AL100" s="192"/>
      <c r="AM100" s="255" t="str">
        <f>IF(COUNTBLANK(AI100:AL100)=4,"",SUM(AI100:AK100)+IF(Setup!$I$15="No",0,AL100))</f>
        <v/>
      </c>
      <c r="AN100" s="192"/>
      <c r="AO100" s="192"/>
      <c r="AP100" s="192"/>
      <c r="AQ100" s="192"/>
      <c r="AR100" s="255" t="str">
        <f>IF(COUNTBLANK(AN100:AQ100)=4,"",SUM(AN100:AP100)+IF(Setup!$I$15="No",0,AQ100))</f>
        <v/>
      </c>
      <c r="AS100" s="192"/>
      <c r="AT100" s="192"/>
      <c r="AU100" s="192"/>
      <c r="AV100" s="192"/>
      <c r="AW100" s="255" t="str">
        <f>IF(COUNTBLANK(AS100:AV100)=4,"",SUM(AS100:AU100)+IF(Setup!$I$15="No",0,AV100))</f>
        <v/>
      </c>
      <c r="AX100" s="192"/>
      <c r="AY100" s="192"/>
      <c r="AZ100" s="192"/>
      <c r="BA100" s="192"/>
      <c r="BB100" s="255" t="str">
        <f>IF(COUNTBLANK(AX100:BA100)=4,"",SUM(AX100:AZ100)+IF(Setup!$I$15="No",0,BA100))</f>
        <v/>
      </c>
      <c r="BC100" s="259" t="str">
        <f ca="1">IF('Demand background (hide)'!A91=Num_Modalities,"",SUM(Demand!I100))</f>
        <v/>
      </c>
      <c r="BD100" s="259" t="str">
        <f ca="1">IF(AND(A100&lt;=MaxRows,BE100&lt;&gt;"Yes"),'Demand background (hide)'!X91+IF(Setup!$I$15="Yes",'Demand background (hide)'!AJ91,0),"")</f>
        <v/>
      </c>
      <c r="BE100" s="209"/>
    </row>
    <row r="101" spans="1:57" x14ac:dyDescent="0.25">
      <c r="A101" t="str">
        <f t="shared" ca="1" si="4"/>
        <v/>
      </c>
      <c r="B101" s="264" t="str">
        <f t="shared" ca="1" si="5"/>
        <v xml:space="preserve"> </v>
      </c>
      <c r="C101" s="265" t="str">
        <f t="shared" ca="1" si="6"/>
        <v/>
      </c>
      <c r="D101" s="350" t="str">
        <f t="shared" ca="1" si="7"/>
        <v/>
      </c>
      <c r="E101" s="192"/>
      <c r="F101" s="192"/>
      <c r="G101" s="193"/>
      <c r="H101" s="192"/>
      <c r="I101" s="251" t="str">
        <f>IF(COUNTBLANK(E101:H101)=4,"",SUM(E101:G101)+IF(Setup!$I$15="No",0,H101))</f>
        <v/>
      </c>
      <c r="J101" s="192"/>
      <c r="K101" s="192"/>
      <c r="L101" s="192"/>
      <c r="M101" s="192"/>
      <c r="N101" s="255" t="str">
        <f>IF(COUNTBLANK(J101:M101)=4,"",SUM(J101:L101)+IF(Setup!$I$15="No",0,M101))</f>
        <v/>
      </c>
      <c r="O101" s="192"/>
      <c r="P101" s="192"/>
      <c r="Q101" s="192"/>
      <c r="R101" s="192"/>
      <c r="S101" s="255" t="str">
        <f>IF(COUNTBLANK(O101:R101)=4,"",SUM(O101:Q101)+IF(Setup!$I$15="No",0,R101))</f>
        <v/>
      </c>
      <c r="T101" s="192"/>
      <c r="U101" s="192"/>
      <c r="V101" s="192"/>
      <c r="W101" s="192"/>
      <c r="X101" s="255" t="str">
        <f>IF(COUNTBLANK(T101:W101)=4,"",SUM(T101:V101)+IF(Setup!$I$15="No",0,W101))</f>
        <v/>
      </c>
      <c r="Y101" s="192"/>
      <c r="Z101" s="192"/>
      <c r="AA101" s="192"/>
      <c r="AB101" s="192"/>
      <c r="AC101" s="255" t="str">
        <f>IF(COUNTBLANK(Y101:AB101)=4,"",SUM(Y101:AA101)+IF(Setup!$I$15="No",0,AB101))</f>
        <v/>
      </c>
      <c r="AD101" s="192"/>
      <c r="AE101" s="192"/>
      <c r="AF101" s="192"/>
      <c r="AG101" s="192"/>
      <c r="AH101" s="255" t="str">
        <f>IF(COUNTBLANK(AD101:AG101)=4,"",SUM(AD101:AF101)+IF(Setup!$I$15="No",0,AG101))</f>
        <v/>
      </c>
      <c r="AI101" s="192"/>
      <c r="AJ101" s="192"/>
      <c r="AK101" s="192"/>
      <c r="AL101" s="192"/>
      <c r="AM101" s="255" t="str">
        <f>IF(COUNTBLANK(AI101:AL101)=4,"",SUM(AI101:AK101)+IF(Setup!$I$15="No",0,AL101))</f>
        <v/>
      </c>
      <c r="AN101" s="192"/>
      <c r="AO101" s="192"/>
      <c r="AP101" s="192"/>
      <c r="AQ101" s="192"/>
      <c r="AR101" s="255" t="str">
        <f>IF(COUNTBLANK(AN101:AQ101)=4,"",SUM(AN101:AP101)+IF(Setup!$I$15="No",0,AQ101))</f>
        <v/>
      </c>
      <c r="AS101" s="192"/>
      <c r="AT101" s="192"/>
      <c r="AU101" s="192"/>
      <c r="AV101" s="192"/>
      <c r="AW101" s="255" t="str">
        <f>IF(COUNTBLANK(AS101:AV101)=4,"",SUM(AS101:AU101)+IF(Setup!$I$15="No",0,AV101))</f>
        <v/>
      </c>
      <c r="AX101" s="192"/>
      <c r="AY101" s="192"/>
      <c r="AZ101" s="192"/>
      <c r="BA101" s="192"/>
      <c r="BB101" s="255" t="str">
        <f>IF(COUNTBLANK(AX101:BA101)=4,"",SUM(AX101:AZ101)+IF(Setup!$I$15="No",0,BA101))</f>
        <v/>
      </c>
      <c r="BC101" s="259" t="str">
        <f ca="1">IF('Demand background (hide)'!A92=Num_Modalities,"",SUM(Demand!I101))</f>
        <v/>
      </c>
      <c r="BD101" s="259" t="str">
        <f ca="1">IF(AND(A101&lt;=MaxRows,BE101&lt;&gt;"Yes"),'Demand background (hide)'!X92+IF(Setup!$I$15="Yes",'Demand background (hide)'!AJ92,0),"")</f>
        <v/>
      </c>
      <c r="BE101" s="209"/>
    </row>
    <row r="102" spans="1:57" x14ac:dyDescent="0.25">
      <c r="A102" t="str">
        <f t="shared" ca="1" si="4"/>
        <v/>
      </c>
      <c r="B102" s="264" t="str">
        <f t="shared" ca="1" si="5"/>
        <v xml:space="preserve"> </v>
      </c>
      <c r="C102" s="265" t="str">
        <f t="shared" ca="1" si="6"/>
        <v/>
      </c>
      <c r="D102" s="350" t="str">
        <f t="shared" ca="1" si="7"/>
        <v/>
      </c>
      <c r="E102" s="192"/>
      <c r="F102" s="192"/>
      <c r="G102" s="193"/>
      <c r="H102" s="192"/>
      <c r="I102" s="251" t="str">
        <f>IF(COUNTBLANK(E102:H102)=4,"",SUM(E102:G102)+IF(Setup!$I$15="No",0,H102))</f>
        <v/>
      </c>
      <c r="J102" s="192"/>
      <c r="K102" s="192"/>
      <c r="L102" s="192"/>
      <c r="M102" s="192"/>
      <c r="N102" s="255" t="str">
        <f>IF(COUNTBLANK(J102:M102)=4,"",SUM(J102:L102)+IF(Setup!$I$15="No",0,M102))</f>
        <v/>
      </c>
      <c r="O102" s="192"/>
      <c r="P102" s="192"/>
      <c r="Q102" s="192"/>
      <c r="R102" s="192"/>
      <c r="S102" s="255" t="str">
        <f>IF(COUNTBLANK(O102:R102)=4,"",SUM(O102:Q102)+IF(Setup!$I$15="No",0,R102))</f>
        <v/>
      </c>
      <c r="T102" s="192"/>
      <c r="U102" s="192"/>
      <c r="V102" s="192"/>
      <c r="W102" s="192"/>
      <c r="X102" s="255" t="str">
        <f>IF(COUNTBLANK(T102:W102)=4,"",SUM(T102:V102)+IF(Setup!$I$15="No",0,W102))</f>
        <v/>
      </c>
      <c r="Y102" s="192"/>
      <c r="Z102" s="192"/>
      <c r="AA102" s="192"/>
      <c r="AB102" s="192"/>
      <c r="AC102" s="255" t="str">
        <f>IF(COUNTBLANK(Y102:AB102)=4,"",SUM(Y102:AA102)+IF(Setup!$I$15="No",0,AB102))</f>
        <v/>
      </c>
      <c r="AD102" s="192"/>
      <c r="AE102" s="192"/>
      <c r="AF102" s="192"/>
      <c r="AG102" s="192"/>
      <c r="AH102" s="255" t="str">
        <f>IF(COUNTBLANK(AD102:AG102)=4,"",SUM(AD102:AF102)+IF(Setup!$I$15="No",0,AG102))</f>
        <v/>
      </c>
      <c r="AI102" s="192"/>
      <c r="AJ102" s="192"/>
      <c r="AK102" s="192"/>
      <c r="AL102" s="192"/>
      <c r="AM102" s="255" t="str">
        <f>IF(COUNTBLANK(AI102:AL102)=4,"",SUM(AI102:AK102)+IF(Setup!$I$15="No",0,AL102))</f>
        <v/>
      </c>
      <c r="AN102" s="192"/>
      <c r="AO102" s="192"/>
      <c r="AP102" s="192"/>
      <c r="AQ102" s="192"/>
      <c r="AR102" s="255" t="str">
        <f>IF(COUNTBLANK(AN102:AQ102)=4,"",SUM(AN102:AP102)+IF(Setup!$I$15="No",0,AQ102))</f>
        <v/>
      </c>
      <c r="AS102" s="192"/>
      <c r="AT102" s="192"/>
      <c r="AU102" s="192"/>
      <c r="AV102" s="192"/>
      <c r="AW102" s="255" t="str">
        <f>IF(COUNTBLANK(AS102:AV102)=4,"",SUM(AS102:AU102)+IF(Setup!$I$15="No",0,AV102))</f>
        <v/>
      </c>
      <c r="AX102" s="192"/>
      <c r="AY102" s="192"/>
      <c r="AZ102" s="192"/>
      <c r="BA102" s="192"/>
      <c r="BB102" s="255" t="str">
        <f>IF(COUNTBLANK(AX102:BA102)=4,"",SUM(AX102:AZ102)+IF(Setup!$I$15="No",0,BA102))</f>
        <v/>
      </c>
      <c r="BC102" s="259" t="str">
        <f ca="1">IF('Demand background (hide)'!A93=Num_Modalities,"",SUM(Demand!I102))</f>
        <v/>
      </c>
      <c r="BD102" s="259" t="str">
        <f ca="1">IF(AND(A102&lt;=MaxRows,BE102&lt;&gt;"Yes"),'Demand background (hide)'!X93+IF(Setup!$I$15="Yes",'Demand background (hide)'!AJ93,0),"")</f>
        <v/>
      </c>
      <c r="BE102" s="209"/>
    </row>
    <row r="103" spans="1:57" x14ac:dyDescent="0.25">
      <c r="A103" t="str">
        <f t="shared" ca="1" si="4"/>
        <v/>
      </c>
      <c r="B103" s="264" t="str">
        <f t="shared" ca="1" si="5"/>
        <v xml:space="preserve"> </v>
      </c>
      <c r="C103" s="265" t="str">
        <f t="shared" ca="1" si="6"/>
        <v/>
      </c>
      <c r="D103" s="350" t="str">
        <f t="shared" ca="1" si="7"/>
        <v/>
      </c>
      <c r="E103" s="192"/>
      <c r="F103" s="192"/>
      <c r="G103" s="193"/>
      <c r="H103" s="192"/>
      <c r="I103" s="251" t="str">
        <f>IF(COUNTBLANK(E103:H103)=4,"",SUM(E103:G103)+IF(Setup!$I$15="No",0,H103))</f>
        <v/>
      </c>
      <c r="J103" s="192"/>
      <c r="K103" s="192"/>
      <c r="L103" s="192"/>
      <c r="M103" s="192"/>
      <c r="N103" s="255" t="str">
        <f>IF(COUNTBLANK(J103:M103)=4,"",SUM(J103:L103)+IF(Setup!$I$15="No",0,M103))</f>
        <v/>
      </c>
      <c r="O103" s="192"/>
      <c r="P103" s="192"/>
      <c r="Q103" s="192"/>
      <c r="R103" s="192"/>
      <c r="S103" s="255" t="str">
        <f>IF(COUNTBLANK(O103:R103)=4,"",SUM(O103:Q103)+IF(Setup!$I$15="No",0,R103))</f>
        <v/>
      </c>
      <c r="T103" s="192"/>
      <c r="U103" s="192"/>
      <c r="V103" s="192"/>
      <c r="W103" s="192"/>
      <c r="X103" s="255" t="str">
        <f>IF(COUNTBLANK(T103:W103)=4,"",SUM(T103:V103)+IF(Setup!$I$15="No",0,W103))</f>
        <v/>
      </c>
      <c r="Y103" s="192"/>
      <c r="Z103" s="192"/>
      <c r="AA103" s="192"/>
      <c r="AB103" s="192"/>
      <c r="AC103" s="255" t="str">
        <f>IF(COUNTBLANK(Y103:AB103)=4,"",SUM(Y103:AA103)+IF(Setup!$I$15="No",0,AB103))</f>
        <v/>
      </c>
      <c r="AD103" s="192"/>
      <c r="AE103" s="192"/>
      <c r="AF103" s="192"/>
      <c r="AG103" s="192"/>
      <c r="AH103" s="255" t="str">
        <f>IF(COUNTBLANK(AD103:AG103)=4,"",SUM(AD103:AF103)+IF(Setup!$I$15="No",0,AG103))</f>
        <v/>
      </c>
      <c r="AI103" s="192"/>
      <c r="AJ103" s="192"/>
      <c r="AK103" s="192"/>
      <c r="AL103" s="192"/>
      <c r="AM103" s="255" t="str">
        <f>IF(COUNTBLANK(AI103:AL103)=4,"",SUM(AI103:AK103)+IF(Setup!$I$15="No",0,AL103))</f>
        <v/>
      </c>
      <c r="AN103" s="192"/>
      <c r="AO103" s="192"/>
      <c r="AP103" s="192"/>
      <c r="AQ103" s="192"/>
      <c r="AR103" s="255" t="str">
        <f>IF(COUNTBLANK(AN103:AQ103)=4,"",SUM(AN103:AP103)+IF(Setup!$I$15="No",0,AQ103))</f>
        <v/>
      </c>
      <c r="AS103" s="192"/>
      <c r="AT103" s="192"/>
      <c r="AU103" s="192"/>
      <c r="AV103" s="192"/>
      <c r="AW103" s="255" t="str">
        <f>IF(COUNTBLANK(AS103:AV103)=4,"",SUM(AS103:AU103)+IF(Setup!$I$15="No",0,AV103))</f>
        <v/>
      </c>
      <c r="AX103" s="192"/>
      <c r="AY103" s="192"/>
      <c r="AZ103" s="192"/>
      <c r="BA103" s="192"/>
      <c r="BB103" s="255" t="str">
        <f>IF(COUNTBLANK(AX103:BA103)=4,"",SUM(AX103:AZ103)+IF(Setup!$I$15="No",0,BA103))</f>
        <v/>
      </c>
      <c r="BC103" s="259" t="str">
        <f ca="1">IF('Demand background (hide)'!A94=Num_Modalities,"",SUM(Demand!I103))</f>
        <v/>
      </c>
      <c r="BD103" s="259" t="str">
        <f ca="1">IF(AND(A103&lt;=MaxRows,BE103&lt;&gt;"Yes"),'Demand background (hide)'!X94+IF(Setup!$I$15="Yes",'Demand background (hide)'!AJ94,0),"")</f>
        <v/>
      </c>
      <c r="BE103" s="209"/>
    </row>
    <row r="104" spans="1:57" x14ac:dyDescent="0.25">
      <c r="A104" t="str">
        <f t="shared" ca="1" si="4"/>
        <v/>
      </c>
      <c r="B104" s="264" t="str">
        <f t="shared" ca="1" si="5"/>
        <v xml:space="preserve"> </v>
      </c>
      <c r="C104" s="265" t="str">
        <f t="shared" ca="1" si="6"/>
        <v/>
      </c>
      <c r="D104" s="350" t="str">
        <f t="shared" ca="1" si="7"/>
        <v/>
      </c>
      <c r="E104" s="192"/>
      <c r="F104" s="192"/>
      <c r="G104" s="193"/>
      <c r="H104" s="192"/>
      <c r="I104" s="251" t="str">
        <f>IF(COUNTBLANK(E104:H104)=4,"",SUM(E104:G104)+IF(Setup!$I$15="No",0,H104))</f>
        <v/>
      </c>
      <c r="J104" s="192"/>
      <c r="K104" s="192"/>
      <c r="L104" s="192"/>
      <c r="M104" s="192"/>
      <c r="N104" s="255" t="str">
        <f>IF(COUNTBLANK(J104:M104)=4,"",SUM(J104:L104)+IF(Setup!$I$15="No",0,M104))</f>
        <v/>
      </c>
      <c r="O104" s="192"/>
      <c r="P104" s="192"/>
      <c r="Q104" s="192"/>
      <c r="R104" s="192"/>
      <c r="S104" s="255" t="str">
        <f>IF(COUNTBLANK(O104:R104)=4,"",SUM(O104:Q104)+IF(Setup!$I$15="No",0,R104))</f>
        <v/>
      </c>
      <c r="T104" s="192"/>
      <c r="U104" s="192"/>
      <c r="V104" s="192"/>
      <c r="W104" s="192"/>
      <c r="X104" s="255" t="str">
        <f>IF(COUNTBLANK(T104:W104)=4,"",SUM(T104:V104)+IF(Setup!$I$15="No",0,W104))</f>
        <v/>
      </c>
      <c r="Y104" s="192"/>
      <c r="Z104" s="192"/>
      <c r="AA104" s="192"/>
      <c r="AB104" s="192"/>
      <c r="AC104" s="255" t="str">
        <f>IF(COUNTBLANK(Y104:AB104)=4,"",SUM(Y104:AA104)+IF(Setup!$I$15="No",0,AB104))</f>
        <v/>
      </c>
      <c r="AD104" s="192"/>
      <c r="AE104" s="192"/>
      <c r="AF104" s="192"/>
      <c r="AG104" s="192"/>
      <c r="AH104" s="255" t="str">
        <f>IF(COUNTBLANK(AD104:AG104)=4,"",SUM(AD104:AF104)+IF(Setup!$I$15="No",0,AG104))</f>
        <v/>
      </c>
      <c r="AI104" s="192"/>
      <c r="AJ104" s="192"/>
      <c r="AK104" s="192"/>
      <c r="AL104" s="192"/>
      <c r="AM104" s="255" t="str">
        <f>IF(COUNTBLANK(AI104:AL104)=4,"",SUM(AI104:AK104)+IF(Setup!$I$15="No",0,AL104))</f>
        <v/>
      </c>
      <c r="AN104" s="192"/>
      <c r="AO104" s="192"/>
      <c r="AP104" s="192"/>
      <c r="AQ104" s="192"/>
      <c r="AR104" s="255" t="str">
        <f>IF(COUNTBLANK(AN104:AQ104)=4,"",SUM(AN104:AP104)+IF(Setup!$I$15="No",0,AQ104))</f>
        <v/>
      </c>
      <c r="AS104" s="192"/>
      <c r="AT104" s="192"/>
      <c r="AU104" s="192"/>
      <c r="AV104" s="192"/>
      <c r="AW104" s="255" t="str">
        <f>IF(COUNTBLANK(AS104:AV104)=4,"",SUM(AS104:AU104)+IF(Setup!$I$15="No",0,AV104))</f>
        <v/>
      </c>
      <c r="AX104" s="192"/>
      <c r="AY104" s="192"/>
      <c r="AZ104" s="192"/>
      <c r="BA104" s="192"/>
      <c r="BB104" s="255" t="str">
        <f>IF(COUNTBLANK(AX104:BA104)=4,"",SUM(AX104:AZ104)+IF(Setup!$I$15="No",0,BA104))</f>
        <v/>
      </c>
      <c r="BC104" s="259" t="str">
        <f ca="1">IF('Demand background (hide)'!A95=Num_Modalities,"",SUM(Demand!I104))</f>
        <v/>
      </c>
      <c r="BD104" s="259" t="str">
        <f ca="1">IF(AND(A104&lt;=MaxRows,BE104&lt;&gt;"Yes"),'Demand background (hide)'!X95+IF(Setup!$I$15="Yes",'Demand background (hide)'!AJ95,0),"")</f>
        <v/>
      </c>
      <c r="BE104" s="209"/>
    </row>
    <row r="105" spans="1:57" x14ac:dyDescent="0.25">
      <c r="A105" t="str">
        <f t="shared" ca="1" si="4"/>
        <v/>
      </c>
      <c r="B105" s="264" t="str">
        <f t="shared" ca="1" si="5"/>
        <v xml:space="preserve"> </v>
      </c>
      <c r="C105" s="265" t="str">
        <f t="shared" ca="1" si="6"/>
        <v/>
      </c>
      <c r="D105" s="350" t="str">
        <f t="shared" ca="1" si="7"/>
        <v/>
      </c>
      <c r="E105" s="192"/>
      <c r="F105" s="192"/>
      <c r="G105" s="193"/>
      <c r="H105" s="192"/>
      <c r="I105" s="251" t="str">
        <f>IF(COUNTBLANK(E105:H105)=4,"",SUM(E105:G105)+IF(Setup!$I$15="No",0,H105))</f>
        <v/>
      </c>
      <c r="J105" s="192"/>
      <c r="K105" s="192"/>
      <c r="L105" s="192"/>
      <c r="M105" s="192"/>
      <c r="N105" s="255" t="str">
        <f>IF(COUNTBLANK(J105:M105)=4,"",SUM(J105:L105)+IF(Setup!$I$15="No",0,M105))</f>
        <v/>
      </c>
      <c r="O105" s="192"/>
      <c r="P105" s="192"/>
      <c r="Q105" s="192"/>
      <c r="R105" s="192"/>
      <c r="S105" s="255" t="str">
        <f>IF(COUNTBLANK(O105:R105)=4,"",SUM(O105:Q105)+IF(Setup!$I$15="No",0,R105))</f>
        <v/>
      </c>
      <c r="T105" s="192"/>
      <c r="U105" s="192"/>
      <c r="V105" s="192"/>
      <c r="W105" s="192"/>
      <c r="X105" s="255" t="str">
        <f>IF(COUNTBLANK(T105:W105)=4,"",SUM(T105:V105)+IF(Setup!$I$15="No",0,W105))</f>
        <v/>
      </c>
      <c r="Y105" s="192"/>
      <c r="Z105" s="192"/>
      <c r="AA105" s="192"/>
      <c r="AB105" s="192"/>
      <c r="AC105" s="255" t="str">
        <f>IF(COUNTBLANK(Y105:AB105)=4,"",SUM(Y105:AA105)+IF(Setup!$I$15="No",0,AB105))</f>
        <v/>
      </c>
      <c r="AD105" s="192"/>
      <c r="AE105" s="192"/>
      <c r="AF105" s="192"/>
      <c r="AG105" s="192"/>
      <c r="AH105" s="255" t="str">
        <f>IF(COUNTBLANK(AD105:AG105)=4,"",SUM(AD105:AF105)+IF(Setup!$I$15="No",0,AG105))</f>
        <v/>
      </c>
      <c r="AI105" s="192"/>
      <c r="AJ105" s="192"/>
      <c r="AK105" s="192"/>
      <c r="AL105" s="192"/>
      <c r="AM105" s="255" t="str">
        <f>IF(COUNTBLANK(AI105:AL105)=4,"",SUM(AI105:AK105)+IF(Setup!$I$15="No",0,AL105))</f>
        <v/>
      </c>
      <c r="AN105" s="192"/>
      <c r="AO105" s="192"/>
      <c r="AP105" s="192"/>
      <c r="AQ105" s="192"/>
      <c r="AR105" s="255" t="str">
        <f>IF(COUNTBLANK(AN105:AQ105)=4,"",SUM(AN105:AP105)+IF(Setup!$I$15="No",0,AQ105))</f>
        <v/>
      </c>
      <c r="AS105" s="192"/>
      <c r="AT105" s="192"/>
      <c r="AU105" s="192"/>
      <c r="AV105" s="192"/>
      <c r="AW105" s="255" t="str">
        <f>IF(COUNTBLANK(AS105:AV105)=4,"",SUM(AS105:AU105)+IF(Setup!$I$15="No",0,AV105))</f>
        <v/>
      </c>
      <c r="AX105" s="192"/>
      <c r="AY105" s="192"/>
      <c r="AZ105" s="192"/>
      <c r="BA105" s="192"/>
      <c r="BB105" s="255" t="str">
        <f>IF(COUNTBLANK(AX105:BA105)=4,"",SUM(AX105:AZ105)+IF(Setup!$I$15="No",0,BA105))</f>
        <v/>
      </c>
      <c r="BC105" s="259" t="str">
        <f ca="1">IF('Demand background (hide)'!A96=Num_Modalities,"",SUM(Demand!I105))</f>
        <v/>
      </c>
      <c r="BD105" s="259" t="str">
        <f ca="1">IF(AND(A105&lt;=MaxRows,BE105&lt;&gt;"Yes"),'Demand background (hide)'!X96+IF(Setup!$I$15="Yes",'Demand background (hide)'!AJ96,0),"")</f>
        <v/>
      </c>
      <c r="BE105" s="209"/>
    </row>
    <row r="106" spans="1:57" x14ac:dyDescent="0.25">
      <c r="A106" t="str">
        <f t="shared" ca="1" si="4"/>
        <v/>
      </c>
      <c r="B106" s="264" t="str">
        <f t="shared" ca="1" si="5"/>
        <v xml:space="preserve"> </v>
      </c>
      <c r="C106" s="265" t="str">
        <f t="shared" ca="1" si="6"/>
        <v/>
      </c>
      <c r="D106" s="350" t="str">
        <f t="shared" ca="1" si="7"/>
        <v/>
      </c>
      <c r="E106" s="192"/>
      <c r="F106" s="192"/>
      <c r="G106" s="193"/>
      <c r="H106" s="192"/>
      <c r="I106" s="251" t="str">
        <f>IF(COUNTBLANK(E106:H106)=4,"",SUM(E106:G106)+IF(Setup!$I$15="No",0,H106))</f>
        <v/>
      </c>
      <c r="J106" s="192"/>
      <c r="K106" s="192"/>
      <c r="L106" s="192"/>
      <c r="M106" s="192"/>
      <c r="N106" s="255" t="str">
        <f>IF(COUNTBLANK(J106:M106)=4,"",SUM(J106:L106)+IF(Setup!$I$15="No",0,M106))</f>
        <v/>
      </c>
      <c r="O106" s="192"/>
      <c r="P106" s="192"/>
      <c r="Q106" s="192"/>
      <c r="R106" s="192"/>
      <c r="S106" s="255" t="str">
        <f>IF(COUNTBLANK(O106:R106)=4,"",SUM(O106:Q106)+IF(Setup!$I$15="No",0,R106))</f>
        <v/>
      </c>
      <c r="T106" s="192"/>
      <c r="U106" s="192"/>
      <c r="V106" s="192"/>
      <c r="W106" s="192"/>
      <c r="X106" s="255" t="str">
        <f>IF(COUNTBLANK(T106:W106)=4,"",SUM(T106:V106)+IF(Setup!$I$15="No",0,W106))</f>
        <v/>
      </c>
      <c r="Y106" s="192"/>
      <c r="Z106" s="192"/>
      <c r="AA106" s="192"/>
      <c r="AB106" s="192"/>
      <c r="AC106" s="255" t="str">
        <f>IF(COUNTBLANK(Y106:AB106)=4,"",SUM(Y106:AA106)+IF(Setup!$I$15="No",0,AB106))</f>
        <v/>
      </c>
      <c r="AD106" s="192"/>
      <c r="AE106" s="192"/>
      <c r="AF106" s="192"/>
      <c r="AG106" s="192"/>
      <c r="AH106" s="255" t="str">
        <f>IF(COUNTBLANK(AD106:AG106)=4,"",SUM(AD106:AF106)+IF(Setup!$I$15="No",0,AG106))</f>
        <v/>
      </c>
      <c r="AI106" s="192"/>
      <c r="AJ106" s="192"/>
      <c r="AK106" s="192"/>
      <c r="AL106" s="192"/>
      <c r="AM106" s="255" t="str">
        <f>IF(COUNTBLANK(AI106:AL106)=4,"",SUM(AI106:AK106)+IF(Setup!$I$15="No",0,AL106))</f>
        <v/>
      </c>
      <c r="AN106" s="192"/>
      <c r="AO106" s="192"/>
      <c r="AP106" s="192"/>
      <c r="AQ106" s="192"/>
      <c r="AR106" s="255" t="str">
        <f>IF(COUNTBLANK(AN106:AQ106)=4,"",SUM(AN106:AP106)+IF(Setup!$I$15="No",0,AQ106))</f>
        <v/>
      </c>
      <c r="AS106" s="192"/>
      <c r="AT106" s="192"/>
      <c r="AU106" s="192"/>
      <c r="AV106" s="192"/>
      <c r="AW106" s="255" t="str">
        <f>IF(COUNTBLANK(AS106:AV106)=4,"",SUM(AS106:AU106)+IF(Setup!$I$15="No",0,AV106))</f>
        <v/>
      </c>
      <c r="AX106" s="192"/>
      <c r="AY106" s="192"/>
      <c r="AZ106" s="192"/>
      <c r="BA106" s="192"/>
      <c r="BB106" s="255" t="str">
        <f>IF(COUNTBLANK(AX106:BA106)=4,"",SUM(AX106:AZ106)+IF(Setup!$I$15="No",0,BA106))</f>
        <v/>
      </c>
      <c r="BC106" s="259" t="str">
        <f ca="1">IF('Demand background (hide)'!A97=Num_Modalities,"",SUM(Demand!I106))</f>
        <v/>
      </c>
      <c r="BD106" s="259" t="str">
        <f ca="1">IF(AND(A106&lt;=MaxRows,BE106&lt;&gt;"Yes"),'Demand background (hide)'!X97+IF(Setup!$I$15="Yes",'Demand background (hide)'!AJ97,0),"")</f>
        <v/>
      </c>
      <c r="BE106" s="209"/>
    </row>
    <row r="107" spans="1:57" x14ac:dyDescent="0.25">
      <c r="A107" t="str">
        <f t="shared" ca="1" si="4"/>
        <v/>
      </c>
      <c r="B107" s="264" t="str">
        <f t="shared" ca="1" si="5"/>
        <v xml:space="preserve"> </v>
      </c>
      <c r="C107" s="265" t="str">
        <f t="shared" ca="1" si="6"/>
        <v/>
      </c>
      <c r="D107" s="350" t="str">
        <f t="shared" ca="1" si="7"/>
        <v/>
      </c>
      <c r="E107" s="192"/>
      <c r="F107" s="192"/>
      <c r="G107" s="193"/>
      <c r="H107" s="192"/>
      <c r="I107" s="251" t="str">
        <f>IF(COUNTBLANK(E107:H107)=4,"",SUM(E107:G107)+IF(Setup!$I$15="No",0,H107))</f>
        <v/>
      </c>
      <c r="J107" s="192"/>
      <c r="K107" s="192"/>
      <c r="L107" s="192"/>
      <c r="M107" s="192"/>
      <c r="N107" s="255" t="str">
        <f>IF(COUNTBLANK(J107:M107)=4,"",SUM(J107:L107)+IF(Setup!$I$15="No",0,M107))</f>
        <v/>
      </c>
      <c r="O107" s="192"/>
      <c r="P107" s="192"/>
      <c r="Q107" s="192"/>
      <c r="R107" s="192"/>
      <c r="S107" s="255" t="str">
        <f>IF(COUNTBLANK(O107:R107)=4,"",SUM(O107:Q107)+IF(Setup!$I$15="No",0,R107))</f>
        <v/>
      </c>
      <c r="T107" s="192"/>
      <c r="U107" s="192"/>
      <c r="V107" s="192"/>
      <c r="W107" s="192"/>
      <c r="X107" s="255" t="str">
        <f>IF(COUNTBLANK(T107:W107)=4,"",SUM(T107:V107)+IF(Setup!$I$15="No",0,W107))</f>
        <v/>
      </c>
      <c r="Y107" s="192"/>
      <c r="Z107" s="192"/>
      <c r="AA107" s="192"/>
      <c r="AB107" s="192"/>
      <c r="AC107" s="255" t="str">
        <f>IF(COUNTBLANK(Y107:AB107)=4,"",SUM(Y107:AA107)+IF(Setup!$I$15="No",0,AB107))</f>
        <v/>
      </c>
      <c r="AD107" s="192"/>
      <c r="AE107" s="192"/>
      <c r="AF107" s="192"/>
      <c r="AG107" s="192"/>
      <c r="AH107" s="255" t="str">
        <f>IF(COUNTBLANK(AD107:AG107)=4,"",SUM(AD107:AF107)+IF(Setup!$I$15="No",0,AG107))</f>
        <v/>
      </c>
      <c r="AI107" s="192"/>
      <c r="AJ107" s="192"/>
      <c r="AK107" s="192"/>
      <c r="AL107" s="192"/>
      <c r="AM107" s="255" t="str">
        <f>IF(COUNTBLANK(AI107:AL107)=4,"",SUM(AI107:AK107)+IF(Setup!$I$15="No",0,AL107))</f>
        <v/>
      </c>
      <c r="AN107" s="192"/>
      <c r="AO107" s="192"/>
      <c r="AP107" s="192"/>
      <c r="AQ107" s="192"/>
      <c r="AR107" s="255" t="str">
        <f>IF(COUNTBLANK(AN107:AQ107)=4,"",SUM(AN107:AP107)+IF(Setup!$I$15="No",0,AQ107))</f>
        <v/>
      </c>
      <c r="AS107" s="192"/>
      <c r="AT107" s="192"/>
      <c r="AU107" s="192"/>
      <c r="AV107" s="192"/>
      <c r="AW107" s="255" t="str">
        <f>IF(COUNTBLANK(AS107:AV107)=4,"",SUM(AS107:AU107)+IF(Setup!$I$15="No",0,AV107))</f>
        <v/>
      </c>
      <c r="AX107" s="192"/>
      <c r="AY107" s="192"/>
      <c r="AZ107" s="192"/>
      <c r="BA107" s="192"/>
      <c r="BB107" s="255" t="str">
        <f>IF(COUNTBLANK(AX107:BA107)=4,"",SUM(AX107:AZ107)+IF(Setup!$I$15="No",0,BA107))</f>
        <v/>
      </c>
      <c r="BC107" s="259" t="str">
        <f ca="1">IF('Demand background (hide)'!A98=Num_Modalities,"",SUM(Demand!I107))</f>
        <v/>
      </c>
      <c r="BD107" s="259" t="str">
        <f ca="1">IF(AND(A107&lt;=MaxRows,BE107&lt;&gt;"Yes"),'Demand background (hide)'!X98+IF(Setup!$I$15="Yes",'Demand background (hide)'!AJ98,0),"")</f>
        <v/>
      </c>
      <c r="BE107" s="209"/>
    </row>
    <row r="108" spans="1:57" x14ac:dyDescent="0.25">
      <c r="A108" t="str">
        <f t="shared" ca="1" si="4"/>
        <v/>
      </c>
      <c r="B108" s="264" t="str">
        <f t="shared" ca="1" si="5"/>
        <v xml:space="preserve"> </v>
      </c>
      <c r="C108" s="265" t="str">
        <f t="shared" ca="1" si="6"/>
        <v/>
      </c>
      <c r="D108" s="350" t="str">
        <f t="shared" ca="1" si="7"/>
        <v/>
      </c>
      <c r="E108" s="192"/>
      <c r="F108" s="192"/>
      <c r="G108" s="193"/>
      <c r="H108" s="192"/>
      <c r="I108" s="251" t="str">
        <f>IF(COUNTBLANK(E108:H108)=4,"",SUM(E108:G108)+IF(Setup!$I$15="No",0,H108))</f>
        <v/>
      </c>
      <c r="J108" s="192"/>
      <c r="K108" s="192"/>
      <c r="L108" s="192"/>
      <c r="M108" s="192"/>
      <c r="N108" s="255" t="str">
        <f>IF(COUNTBLANK(J108:M108)=4,"",SUM(J108:L108)+IF(Setup!$I$15="No",0,M108))</f>
        <v/>
      </c>
      <c r="O108" s="192"/>
      <c r="P108" s="192"/>
      <c r="Q108" s="192"/>
      <c r="R108" s="192"/>
      <c r="S108" s="255" t="str">
        <f>IF(COUNTBLANK(O108:R108)=4,"",SUM(O108:Q108)+IF(Setup!$I$15="No",0,R108))</f>
        <v/>
      </c>
      <c r="T108" s="192"/>
      <c r="U108" s="192"/>
      <c r="V108" s="192"/>
      <c r="W108" s="192"/>
      <c r="X108" s="255" t="str">
        <f>IF(COUNTBLANK(T108:W108)=4,"",SUM(T108:V108)+IF(Setup!$I$15="No",0,W108))</f>
        <v/>
      </c>
      <c r="Y108" s="192"/>
      <c r="Z108" s="192"/>
      <c r="AA108" s="192"/>
      <c r="AB108" s="192"/>
      <c r="AC108" s="255" t="str">
        <f>IF(COUNTBLANK(Y108:AB108)=4,"",SUM(Y108:AA108)+IF(Setup!$I$15="No",0,AB108))</f>
        <v/>
      </c>
      <c r="AD108" s="192"/>
      <c r="AE108" s="192"/>
      <c r="AF108" s="192"/>
      <c r="AG108" s="192"/>
      <c r="AH108" s="255" t="str">
        <f>IF(COUNTBLANK(AD108:AG108)=4,"",SUM(AD108:AF108)+IF(Setup!$I$15="No",0,AG108))</f>
        <v/>
      </c>
      <c r="AI108" s="192"/>
      <c r="AJ108" s="192"/>
      <c r="AK108" s="192"/>
      <c r="AL108" s="192"/>
      <c r="AM108" s="255" t="str">
        <f>IF(COUNTBLANK(AI108:AL108)=4,"",SUM(AI108:AK108)+IF(Setup!$I$15="No",0,AL108))</f>
        <v/>
      </c>
      <c r="AN108" s="192"/>
      <c r="AO108" s="192"/>
      <c r="AP108" s="192"/>
      <c r="AQ108" s="192"/>
      <c r="AR108" s="255" t="str">
        <f>IF(COUNTBLANK(AN108:AQ108)=4,"",SUM(AN108:AP108)+IF(Setup!$I$15="No",0,AQ108))</f>
        <v/>
      </c>
      <c r="AS108" s="192"/>
      <c r="AT108" s="192"/>
      <c r="AU108" s="192"/>
      <c r="AV108" s="192"/>
      <c r="AW108" s="255" t="str">
        <f>IF(COUNTBLANK(AS108:AV108)=4,"",SUM(AS108:AU108)+IF(Setup!$I$15="No",0,AV108))</f>
        <v/>
      </c>
      <c r="AX108" s="192"/>
      <c r="AY108" s="192"/>
      <c r="AZ108" s="192"/>
      <c r="BA108" s="192"/>
      <c r="BB108" s="255" t="str">
        <f>IF(COUNTBLANK(AX108:BA108)=4,"",SUM(AX108:AZ108)+IF(Setup!$I$15="No",0,BA108))</f>
        <v/>
      </c>
      <c r="BC108" s="259" t="str">
        <f ca="1">IF('Demand background (hide)'!A99=Num_Modalities,"",SUM(Demand!I108))</f>
        <v/>
      </c>
      <c r="BD108" s="259" t="str">
        <f ca="1">IF(AND(A108&lt;=MaxRows,BE108&lt;&gt;"Yes"),'Demand background (hide)'!X99+IF(Setup!$I$15="Yes",'Demand background (hide)'!AJ99,0),"")</f>
        <v/>
      </c>
      <c r="BE108" s="209"/>
    </row>
    <row r="109" spans="1:57" x14ac:dyDescent="0.25">
      <c r="A109" t="str">
        <f t="shared" ca="1" si="4"/>
        <v/>
      </c>
      <c r="B109" s="264" t="str">
        <f t="shared" ca="1" si="5"/>
        <v xml:space="preserve"> </v>
      </c>
      <c r="C109" s="265" t="str">
        <f t="shared" ca="1" si="6"/>
        <v/>
      </c>
      <c r="D109" s="350" t="str">
        <f t="shared" ca="1" si="7"/>
        <v/>
      </c>
      <c r="E109" s="192"/>
      <c r="F109" s="192"/>
      <c r="G109" s="193"/>
      <c r="H109" s="192"/>
      <c r="I109" s="251" t="str">
        <f>IF(COUNTBLANK(E109:H109)=4,"",SUM(E109:G109)+IF(Setup!$I$15="No",0,H109))</f>
        <v/>
      </c>
      <c r="J109" s="192"/>
      <c r="K109" s="192"/>
      <c r="L109" s="192"/>
      <c r="M109" s="192"/>
      <c r="N109" s="255" t="str">
        <f>IF(COUNTBLANK(J109:M109)=4,"",SUM(J109:L109)+IF(Setup!$I$15="No",0,M109))</f>
        <v/>
      </c>
      <c r="O109" s="192"/>
      <c r="P109" s="192"/>
      <c r="Q109" s="192"/>
      <c r="R109" s="192"/>
      <c r="S109" s="255" t="str">
        <f>IF(COUNTBLANK(O109:R109)=4,"",SUM(O109:Q109)+IF(Setup!$I$15="No",0,R109))</f>
        <v/>
      </c>
      <c r="T109" s="192"/>
      <c r="U109" s="192"/>
      <c r="V109" s="192"/>
      <c r="W109" s="192"/>
      <c r="X109" s="255" t="str">
        <f>IF(COUNTBLANK(T109:W109)=4,"",SUM(T109:V109)+IF(Setup!$I$15="No",0,W109))</f>
        <v/>
      </c>
      <c r="Y109" s="192"/>
      <c r="Z109" s="192"/>
      <c r="AA109" s="192"/>
      <c r="AB109" s="192"/>
      <c r="AC109" s="255" t="str">
        <f>IF(COUNTBLANK(Y109:AB109)=4,"",SUM(Y109:AA109)+IF(Setup!$I$15="No",0,AB109))</f>
        <v/>
      </c>
      <c r="AD109" s="192"/>
      <c r="AE109" s="192"/>
      <c r="AF109" s="192"/>
      <c r="AG109" s="192"/>
      <c r="AH109" s="255" t="str">
        <f>IF(COUNTBLANK(AD109:AG109)=4,"",SUM(AD109:AF109)+IF(Setup!$I$15="No",0,AG109))</f>
        <v/>
      </c>
      <c r="AI109" s="192"/>
      <c r="AJ109" s="192"/>
      <c r="AK109" s="192"/>
      <c r="AL109" s="192"/>
      <c r="AM109" s="255" t="str">
        <f>IF(COUNTBLANK(AI109:AL109)=4,"",SUM(AI109:AK109)+IF(Setup!$I$15="No",0,AL109))</f>
        <v/>
      </c>
      <c r="AN109" s="192"/>
      <c r="AO109" s="192"/>
      <c r="AP109" s="192"/>
      <c r="AQ109" s="192"/>
      <c r="AR109" s="255" t="str">
        <f>IF(COUNTBLANK(AN109:AQ109)=4,"",SUM(AN109:AP109)+IF(Setup!$I$15="No",0,AQ109))</f>
        <v/>
      </c>
      <c r="AS109" s="192"/>
      <c r="AT109" s="192"/>
      <c r="AU109" s="192"/>
      <c r="AV109" s="192"/>
      <c r="AW109" s="255" t="str">
        <f>IF(COUNTBLANK(AS109:AV109)=4,"",SUM(AS109:AU109)+IF(Setup!$I$15="No",0,AV109))</f>
        <v/>
      </c>
      <c r="AX109" s="192"/>
      <c r="AY109" s="192"/>
      <c r="AZ109" s="192"/>
      <c r="BA109" s="192"/>
      <c r="BB109" s="255" t="str">
        <f>IF(COUNTBLANK(AX109:BA109)=4,"",SUM(AX109:AZ109)+IF(Setup!$I$15="No",0,BA109))</f>
        <v/>
      </c>
      <c r="BC109" s="259" t="str">
        <f ca="1">IF('Demand background (hide)'!A100=Num_Modalities,"",SUM(Demand!I109))</f>
        <v/>
      </c>
      <c r="BD109" s="259" t="str">
        <f ca="1">IF(AND(A109&lt;=MaxRows,BE109&lt;&gt;"Yes"),'Demand background (hide)'!X100+IF(Setup!$I$15="Yes",'Demand background (hide)'!AJ100,0),"")</f>
        <v/>
      </c>
      <c r="BE109" s="209"/>
    </row>
    <row r="110" spans="1:57" x14ac:dyDescent="0.25">
      <c r="A110" t="str">
        <f t="shared" ca="1" si="4"/>
        <v/>
      </c>
      <c r="B110" s="264" t="str">
        <f t="shared" ca="1" si="5"/>
        <v xml:space="preserve"> </v>
      </c>
      <c r="C110" s="265" t="str">
        <f t="shared" ca="1" si="6"/>
        <v/>
      </c>
      <c r="D110" s="350" t="str">
        <f t="shared" ca="1" si="7"/>
        <v/>
      </c>
      <c r="E110" s="192"/>
      <c r="F110" s="192"/>
      <c r="G110" s="193"/>
      <c r="H110" s="192"/>
      <c r="I110" s="251" t="str">
        <f>IF(COUNTBLANK(E110:H110)=4,"",SUM(E110:G110)+IF(Setup!$I$15="No",0,H110))</f>
        <v/>
      </c>
      <c r="J110" s="192"/>
      <c r="K110" s="192"/>
      <c r="L110" s="192"/>
      <c r="M110" s="192"/>
      <c r="N110" s="255" t="str">
        <f>IF(COUNTBLANK(J110:M110)=4,"",SUM(J110:L110)+IF(Setup!$I$15="No",0,M110))</f>
        <v/>
      </c>
      <c r="O110" s="192"/>
      <c r="P110" s="192"/>
      <c r="Q110" s="192"/>
      <c r="R110" s="192"/>
      <c r="S110" s="255" t="str">
        <f>IF(COUNTBLANK(O110:R110)=4,"",SUM(O110:Q110)+IF(Setup!$I$15="No",0,R110))</f>
        <v/>
      </c>
      <c r="T110" s="192"/>
      <c r="U110" s="192"/>
      <c r="V110" s="192"/>
      <c r="W110" s="192"/>
      <c r="X110" s="255" t="str">
        <f>IF(COUNTBLANK(T110:W110)=4,"",SUM(T110:V110)+IF(Setup!$I$15="No",0,W110))</f>
        <v/>
      </c>
      <c r="Y110" s="192"/>
      <c r="Z110" s="192"/>
      <c r="AA110" s="192"/>
      <c r="AB110" s="192"/>
      <c r="AC110" s="255" t="str">
        <f>IF(COUNTBLANK(Y110:AB110)=4,"",SUM(Y110:AA110)+IF(Setup!$I$15="No",0,AB110))</f>
        <v/>
      </c>
      <c r="AD110" s="192"/>
      <c r="AE110" s="192"/>
      <c r="AF110" s="192"/>
      <c r="AG110" s="192"/>
      <c r="AH110" s="255" t="str">
        <f>IF(COUNTBLANK(AD110:AG110)=4,"",SUM(AD110:AF110)+IF(Setup!$I$15="No",0,AG110))</f>
        <v/>
      </c>
      <c r="AI110" s="192"/>
      <c r="AJ110" s="192"/>
      <c r="AK110" s="192"/>
      <c r="AL110" s="192"/>
      <c r="AM110" s="255" t="str">
        <f>IF(COUNTBLANK(AI110:AL110)=4,"",SUM(AI110:AK110)+IF(Setup!$I$15="No",0,AL110))</f>
        <v/>
      </c>
      <c r="AN110" s="192"/>
      <c r="AO110" s="192"/>
      <c r="AP110" s="192"/>
      <c r="AQ110" s="192"/>
      <c r="AR110" s="255" t="str">
        <f>IF(COUNTBLANK(AN110:AQ110)=4,"",SUM(AN110:AP110)+IF(Setup!$I$15="No",0,AQ110))</f>
        <v/>
      </c>
      <c r="AS110" s="192"/>
      <c r="AT110" s="192"/>
      <c r="AU110" s="192"/>
      <c r="AV110" s="192"/>
      <c r="AW110" s="255" t="str">
        <f>IF(COUNTBLANK(AS110:AV110)=4,"",SUM(AS110:AU110)+IF(Setup!$I$15="No",0,AV110))</f>
        <v/>
      </c>
      <c r="AX110" s="192"/>
      <c r="AY110" s="192"/>
      <c r="AZ110" s="192"/>
      <c r="BA110" s="192"/>
      <c r="BB110" s="255" t="str">
        <f>IF(COUNTBLANK(AX110:BA110)=4,"",SUM(AX110:AZ110)+IF(Setup!$I$15="No",0,BA110))</f>
        <v/>
      </c>
      <c r="BC110" s="259" t="str">
        <f ca="1">IF('Demand background (hide)'!A101=Num_Modalities,"",SUM(Demand!I110))</f>
        <v/>
      </c>
      <c r="BD110" s="259" t="str">
        <f ca="1">IF(AND(A110&lt;=MaxRows,BE110&lt;&gt;"Yes"),'Demand background (hide)'!X101+IF(Setup!$I$15="Yes",'Demand background (hide)'!AJ101,0),"")</f>
        <v/>
      </c>
      <c r="BE110" s="209"/>
    </row>
    <row r="111" spans="1:57" x14ac:dyDescent="0.25">
      <c r="A111" t="str">
        <f t="shared" ca="1" si="4"/>
        <v/>
      </c>
      <c r="B111" s="264" t="str">
        <f t="shared" ca="1" si="5"/>
        <v xml:space="preserve"> </v>
      </c>
      <c r="C111" s="265" t="str">
        <f t="shared" ca="1" si="6"/>
        <v/>
      </c>
      <c r="D111" s="350" t="str">
        <f t="shared" ca="1" si="7"/>
        <v/>
      </c>
      <c r="E111" s="192"/>
      <c r="F111" s="192"/>
      <c r="G111" s="193"/>
      <c r="H111" s="192"/>
      <c r="I111" s="251" t="str">
        <f>IF(COUNTBLANK(E111:H111)=4,"",SUM(E111:G111)+IF(Setup!$I$15="No",0,H111))</f>
        <v/>
      </c>
      <c r="J111" s="192"/>
      <c r="K111" s="192"/>
      <c r="L111" s="192"/>
      <c r="M111" s="192"/>
      <c r="N111" s="255" t="str">
        <f>IF(COUNTBLANK(J111:M111)=4,"",SUM(J111:L111)+IF(Setup!$I$15="No",0,M111))</f>
        <v/>
      </c>
      <c r="O111" s="192"/>
      <c r="P111" s="192"/>
      <c r="Q111" s="192"/>
      <c r="R111" s="192"/>
      <c r="S111" s="255" t="str">
        <f>IF(COUNTBLANK(O111:R111)=4,"",SUM(O111:Q111)+IF(Setup!$I$15="No",0,R111))</f>
        <v/>
      </c>
      <c r="T111" s="192"/>
      <c r="U111" s="192"/>
      <c r="V111" s="192"/>
      <c r="W111" s="192"/>
      <c r="X111" s="255" t="str">
        <f>IF(COUNTBLANK(T111:W111)=4,"",SUM(T111:V111)+IF(Setup!$I$15="No",0,W111))</f>
        <v/>
      </c>
      <c r="Y111" s="192"/>
      <c r="Z111" s="192"/>
      <c r="AA111" s="192"/>
      <c r="AB111" s="192"/>
      <c r="AC111" s="255" t="str">
        <f>IF(COUNTBLANK(Y111:AB111)=4,"",SUM(Y111:AA111)+IF(Setup!$I$15="No",0,AB111))</f>
        <v/>
      </c>
      <c r="AD111" s="192"/>
      <c r="AE111" s="192"/>
      <c r="AF111" s="192"/>
      <c r="AG111" s="192"/>
      <c r="AH111" s="255" t="str">
        <f>IF(COUNTBLANK(AD111:AG111)=4,"",SUM(AD111:AF111)+IF(Setup!$I$15="No",0,AG111))</f>
        <v/>
      </c>
      <c r="AI111" s="192"/>
      <c r="AJ111" s="192"/>
      <c r="AK111" s="192"/>
      <c r="AL111" s="192"/>
      <c r="AM111" s="255" t="str">
        <f>IF(COUNTBLANK(AI111:AL111)=4,"",SUM(AI111:AK111)+IF(Setup!$I$15="No",0,AL111))</f>
        <v/>
      </c>
      <c r="AN111" s="192"/>
      <c r="AO111" s="192"/>
      <c r="AP111" s="192"/>
      <c r="AQ111" s="192"/>
      <c r="AR111" s="255" t="str">
        <f>IF(COUNTBLANK(AN111:AQ111)=4,"",SUM(AN111:AP111)+IF(Setup!$I$15="No",0,AQ111))</f>
        <v/>
      </c>
      <c r="AS111" s="192"/>
      <c r="AT111" s="192"/>
      <c r="AU111" s="192"/>
      <c r="AV111" s="192"/>
      <c r="AW111" s="255" t="str">
        <f>IF(COUNTBLANK(AS111:AV111)=4,"",SUM(AS111:AU111)+IF(Setup!$I$15="No",0,AV111))</f>
        <v/>
      </c>
      <c r="AX111" s="192"/>
      <c r="AY111" s="192"/>
      <c r="AZ111" s="192"/>
      <c r="BA111" s="192"/>
      <c r="BB111" s="255" t="str">
        <f>IF(COUNTBLANK(AX111:BA111)=4,"",SUM(AX111:AZ111)+IF(Setup!$I$15="No",0,BA111))</f>
        <v/>
      </c>
      <c r="BC111" s="259" t="str">
        <f ca="1">IF('Demand background (hide)'!A102=Num_Modalities,"",SUM(Demand!I111))</f>
        <v/>
      </c>
      <c r="BD111" s="259" t="str">
        <f ca="1">IF(AND(A111&lt;=MaxRows,BE111&lt;&gt;"Yes"),'Demand background (hide)'!X102+IF(Setup!$I$15="Yes",'Demand background (hide)'!AJ102,0),"")</f>
        <v/>
      </c>
      <c r="BE111" s="209"/>
    </row>
    <row r="112" spans="1:57" x14ac:dyDescent="0.25">
      <c r="A112" t="str">
        <f t="shared" ca="1" si="4"/>
        <v/>
      </c>
      <c r="B112" s="264" t="str">
        <f t="shared" ca="1" si="5"/>
        <v xml:space="preserve"> </v>
      </c>
      <c r="C112" s="265" t="str">
        <f t="shared" ca="1" si="6"/>
        <v/>
      </c>
      <c r="D112" s="350" t="str">
        <f t="shared" ca="1" si="7"/>
        <v/>
      </c>
      <c r="E112" s="192"/>
      <c r="F112" s="192"/>
      <c r="G112" s="193"/>
      <c r="H112" s="192"/>
      <c r="I112" s="251" t="str">
        <f>IF(COUNTBLANK(E112:H112)=4,"",SUM(E112:G112)+IF(Setup!$I$15="No",0,H112))</f>
        <v/>
      </c>
      <c r="J112" s="192"/>
      <c r="K112" s="192"/>
      <c r="L112" s="192"/>
      <c r="M112" s="192"/>
      <c r="N112" s="255" t="str">
        <f>IF(COUNTBLANK(J112:M112)=4,"",SUM(J112:L112)+IF(Setup!$I$15="No",0,M112))</f>
        <v/>
      </c>
      <c r="O112" s="192"/>
      <c r="P112" s="192"/>
      <c r="Q112" s="192"/>
      <c r="R112" s="192"/>
      <c r="S112" s="255" t="str">
        <f>IF(COUNTBLANK(O112:R112)=4,"",SUM(O112:Q112)+IF(Setup!$I$15="No",0,R112))</f>
        <v/>
      </c>
      <c r="T112" s="192"/>
      <c r="U112" s="192"/>
      <c r="V112" s="192"/>
      <c r="W112" s="192"/>
      <c r="X112" s="255" t="str">
        <f>IF(COUNTBLANK(T112:W112)=4,"",SUM(T112:V112)+IF(Setup!$I$15="No",0,W112))</f>
        <v/>
      </c>
      <c r="Y112" s="192"/>
      <c r="Z112" s="192"/>
      <c r="AA112" s="192"/>
      <c r="AB112" s="192"/>
      <c r="AC112" s="255" t="str">
        <f>IF(COUNTBLANK(Y112:AB112)=4,"",SUM(Y112:AA112)+IF(Setup!$I$15="No",0,AB112))</f>
        <v/>
      </c>
      <c r="AD112" s="192"/>
      <c r="AE112" s="192"/>
      <c r="AF112" s="192"/>
      <c r="AG112" s="192"/>
      <c r="AH112" s="255" t="str">
        <f>IF(COUNTBLANK(AD112:AG112)=4,"",SUM(AD112:AF112)+IF(Setup!$I$15="No",0,AG112))</f>
        <v/>
      </c>
      <c r="AI112" s="192"/>
      <c r="AJ112" s="192"/>
      <c r="AK112" s="192"/>
      <c r="AL112" s="192"/>
      <c r="AM112" s="255" t="str">
        <f>IF(COUNTBLANK(AI112:AL112)=4,"",SUM(AI112:AK112)+IF(Setup!$I$15="No",0,AL112))</f>
        <v/>
      </c>
      <c r="AN112" s="192"/>
      <c r="AO112" s="192"/>
      <c r="AP112" s="192"/>
      <c r="AQ112" s="192"/>
      <c r="AR112" s="255" t="str">
        <f>IF(COUNTBLANK(AN112:AQ112)=4,"",SUM(AN112:AP112)+IF(Setup!$I$15="No",0,AQ112))</f>
        <v/>
      </c>
      <c r="AS112" s="192"/>
      <c r="AT112" s="192"/>
      <c r="AU112" s="192"/>
      <c r="AV112" s="192"/>
      <c r="AW112" s="255" t="str">
        <f>IF(COUNTBLANK(AS112:AV112)=4,"",SUM(AS112:AU112)+IF(Setup!$I$15="No",0,AV112))</f>
        <v/>
      </c>
      <c r="AX112" s="192"/>
      <c r="AY112" s="192"/>
      <c r="AZ112" s="192"/>
      <c r="BA112" s="192"/>
      <c r="BB112" s="255" t="str">
        <f>IF(COUNTBLANK(AX112:BA112)=4,"",SUM(AX112:AZ112)+IF(Setup!$I$15="No",0,BA112))</f>
        <v/>
      </c>
      <c r="BC112" s="259" t="str">
        <f ca="1">IF('Demand background (hide)'!A103=Num_Modalities,"",SUM(Demand!I112))</f>
        <v/>
      </c>
      <c r="BD112" s="259" t="str">
        <f ca="1">IF(AND(A112&lt;=MaxRows,BE112&lt;&gt;"Yes"),'Demand background (hide)'!X103+IF(Setup!$I$15="Yes",'Demand background (hide)'!AJ103,0),"")</f>
        <v/>
      </c>
      <c r="BE112" s="209"/>
    </row>
    <row r="113" spans="1:59" x14ac:dyDescent="0.25">
      <c r="A113" t="str">
        <f t="shared" ca="1" si="4"/>
        <v/>
      </c>
      <c r="B113" s="264" t="str">
        <f t="shared" ca="1" si="5"/>
        <v xml:space="preserve"> </v>
      </c>
      <c r="C113" s="265" t="str">
        <f t="shared" ca="1" si="6"/>
        <v/>
      </c>
      <c r="D113" s="350" t="str">
        <f t="shared" ca="1" si="7"/>
        <v/>
      </c>
      <c r="E113" s="192"/>
      <c r="F113" s="192"/>
      <c r="G113" s="193"/>
      <c r="H113" s="192"/>
      <c r="I113" s="251" t="str">
        <f>IF(COUNTBLANK(E113:H113)=4,"",SUM(E113:G113)+IF(Setup!$I$15="No",0,H113))</f>
        <v/>
      </c>
      <c r="J113" s="192"/>
      <c r="K113" s="192"/>
      <c r="L113" s="192"/>
      <c r="M113" s="192"/>
      <c r="N113" s="255" t="str">
        <f>IF(COUNTBLANK(J113:M113)=4,"",SUM(J113:L113)+IF(Setup!$I$15="No",0,M113))</f>
        <v/>
      </c>
      <c r="O113" s="192"/>
      <c r="P113" s="192"/>
      <c r="Q113" s="192"/>
      <c r="R113" s="192"/>
      <c r="S113" s="255" t="str">
        <f>IF(COUNTBLANK(O113:R113)=4,"",SUM(O113:Q113)+IF(Setup!$I$15="No",0,R113))</f>
        <v/>
      </c>
      <c r="T113" s="192"/>
      <c r="U113" s="192"/>
      <c r="V113" s="192"/>
      <c r="W113" s="192"/>
      <c r="X113" s="255" t="str">
        <f>IF(COUNTBLANK(T113:W113)=4,"",SUM(T113:V113)+IF(Setup!$I$15="No",0,W113))</f>
        <v/>
      </c>
      <c r="Y113" s="192"/>
      <c r="Z113" s="192"/>
      <c r="AA113" s="192"/>
      <c r="AB113" s="192"/>
      <c r="AC113" s="255" t="str">
        <f>IF(COUNTBLANK(Y113:AB113)=4,"",SUM(Y113:AA113)+IF(Setup!$I$15="No",0,AB113))</f>
        <v/>
      </c>
      <c r="AD113" s="192"/>
      <c r="AE113" s="192"/>
      <c r="AF113" s="192"/>
      <c r="AG113" s="192"/>
      <c r="AH113" s="255" t="str">
        <f>IF(COUNTBLANK(AD113:AG113)=4,"",SUM(AD113:AF113)+IF(Setup!$I$15="No",0,AG113))</f>
        <v/>
      </c>
      <c r="AI113" s="192"/>
      <c r="AJ113" s="192"/>
      <c r="AK113" s="192"/>
      <c r="AL113" s="192"/>
      <c r="AM113" s="255" t="str">
        <f>IF(COUNTBLANK(AI113:AL113)=4,"",SUM(AI113:AK113)+IF(Setup!$I$15="No",0,AL113))</f>
        <v/>
      </c>
      <c r="AN113" s="192"/>
      <c r="AO113" s="192"/>
      <c r="AP113" s="192"/>
      <c r="AQ113" s="192"/>
      <c r="AR113" s="255" t="str">
        <f>IF(COUNTBLANK(AN113:AQ113)=4,"",SUM(AN113:AP113)+IF(Setup!$I$15="No",0,AQ113))</f>
        <v/>
      </c>
      <c r="AS113" s="192"/>
      <c r="AT113" s="192"/>
      <c r="AU113" s="192"/>
      <c r="AV113" s="192"/>
      <c r="AW113" s="255" t="str">
        <f>IF(COUNTBLANK(AS113:AV113)=4,"",SUM(AS113:AU113)+IF(Setup!$I$15="No",0,AV113))</f>
        <v/>
      </c>
      <c r="AX113" s="192"/>
      <c r="AY113" s="192"/>
      <c r="AZ113" s="192"/>
      <c r="BA113" s="192"/>
      <c r="BB113" s="255" t="str">
        <f>IF(COUNTBLANK(AX113:BA113)=4,"",SUM(AX113:AZ113)+IF(Setup!$I$15="No",0,BA113))</f>
        <v/>
      </c>
      <c r="BC113" s="259" t="str">
        <f ca="1">IF('Demand background (hide)'!A104=Num_Modalities,"",SUM(Demand!I113))</f>
        <v/>
      </c>
      <c r="BD113" s="259" t="str">
        <f ca="1">IF(AND(A113&lt;=MaxRows,BE113&lt;&gt;"Yes"),'Demand background (hide)'!X104+IF(Setup!$I$15="Yes",'Demand background (hide)'!AJ104,0),"")</f>
        <v/>
      </c>
      <c r="BE113" s="209"/>
    </row>
    <row r="114" spans="1:59" x14ac:dyDescent="0.25">
      <c r="A114" t="str">
        <f t="shared" ca="1" si="4"/>
        <v/>
      </c>
      <c r="B114" s="264" t="str">
        <f t="shared" ca="1" si="5"/>
        <v xml:space="preserve"> </v>
      </c>
      <c r="C114" s="265" t="str">
        <f t="shared" ca="1" si="6"/>
        <v/>
      </c>
      <c r="D114" s="350" t="str">
        <f t="shared" ca="1" si="7"/>
        <v/>
      </c>
      <c r="E114" s="192"/>
      <c r="F114" s="192"/>
      <c r="G114" s="193"/>
      <c r="H114" s="192"/>
      <c r="I114" s="251" t="str">
        <f>IF(COUNTBLANK(E114:H114)=4,"",SUM(E114:G114)+IF(Setup!$I$15="No",0,H114))</f>
        <v/>
      </c>
      <c r="J114" s="192"/>
      <c r="K114" s="192"/>
      <c r="L114" s="192"/>
      <c r="M114" s="192"/>
      <c r="N114" s="255" t="str">
        <f>IF(COUNTBLANK(J114:M114)=4,"",SUM(J114:L114)+IF(Setup!$I$15="No",0,M114))</f>
        <v/>
      </c>
      <c r="O114" s="192"/>
      <c r="P114" s="192"/>
      <c r="Q114" s="192"/>
      <c r="R114" s="192"/>
      <c r="S114" s="255" t="str">
        <f>IF(COUNTBLANK(O114:R114)=4,"",SUM(O114:Q114)+IF(Setup!$I$15="No",0,R114))</f>
        <v/>
      </c>
      <c r="T114" s="192"/>
      <c r="U114" s="192"/>
      <c r="V114" s="192"/>
      <c r="W114" s="192"/>
      <c r="X114" s="255" t="str">
        <f>IF(COUNTBLANK(T114:W114)=4,"",SUM(T114:V114)+IF(Setup!$I$15="No",0,W114))</f>
        <v/>
      </c>
      <c r="Y114" s="192"/>
      <c r="Z114" s="192"/>
      <c r="AA114" s="192"/>
      <c r="AB114" s="192"/>
      <c r="AC114" s="255" t="str">
        <f>IF(COUNTBLANK(Y114:AB114)=4,"",SUM(Y114:AA114)+IF(Setup!$I$15="No",0,AB114))</f>
        <v/>
      </c>
      <c r="AD114" s="192"/>
      <c r="AE114" s="192"/>
      <c r="AF114" s="192"/>
      <c r="AG114" s="192"/>
      <c r="AH114" s="255" t="str">
        <f>IF(COUNTBLANK(AD114:AG114)=4,"",SUM(AD114:AF114)+IF(Setup!$I$15="No",0,AG114))</f>
        <v/>
      </c>
      <c r="AI114" s="192"/>
      <c r="AJ114" s="192"/>
      <c r="AK114" s="192"/>
      <c r="AL114" s="192"/>
      <c r="AM114" s="255" t="str">
        <f>IF(COUNTBLANK(AI114:AL114)=4,"",SUM(AI114:AK114)+IF(Setup!$I$15="No",0,AL114))</f>
        <v/>
      </c>
      <c r="AN114" s="192"/>
      <c r="AO114" s="192"/>
      <c r="AP114" s="192"/>
      <c r="AQ114" s="192"/>
      <c r="AR114" s="255" t="str">
        <f>IF(COUNTBLANK(AN114:AQ114)=4,"",SUM(AN114:AP114)+IF(Setup!$I$15="No",0,AQ114))</f>
        <v/>
      </c>
      <c r="AS114" s="192"/>
      <c r="AT114" s="192"/>
      <c r="AU114" s="192"/>
      <c r="AV114" s="192"/>
      <c r="AW114" s="255" t="str">
        <f>IF(COUNTBLANK(AS114:AV114)=4,"",SUM(AS114:AU114)+IF(Setup!$I$15="No",0,AV114))</f>
        <v/>
      </c>
      <c r="AX114" s="192"/>
      <c r="AY114" s="192"/>
      <c r="AZ114" s="192"/>
      <c r="BA114" s="192"/>
      <c r="BB114" s="255" t="str">
        <f>IF(COUNTBLANK(AX114:BA114)=4,"",SUM(AX114:AZ114)+IF(Setup!$I$15="No",0,BA114))</f>
        <v/>
      </c>
      <c r="BC114" s="259" t="str">
        <f ca="1">IF('Demand background (hide)'!A105=Num_Modalities,"",SUM(Demand!I114))</f>
        <v/>
      </c>
      <c r="BD114" s="259" t="str">
        <f ca="1">IF(AND(A114&lt;=MaxRows,BE114&lt;&gt;"Yes"),'Demand background (hide)'!X105+IF(Setup!$I$15="Yes",'Demand background (hide)'!AJ105,0),"")</f>
        <v/>
      </c>
      <c r="BE114" s="209"/>
    </row>
    <row r="115" spans="1:59" x14ac:dyDescent="0.25">
      <c r="A115" t="str">
        <f t="shared" ca="1" si="4"/>
        <v/>
      </c>
      <c r="B115" s="264" t="str">
        <f t="shared" ca="1" si="5"/>
        <v xml:space="preserve"> </v>
      </c>
      <c r="C115" s="265" t="str">
        <f t="shared" ca="1" si="6"/>
        <v/>
      </c>
      <c r="D115" s="350" t="str">
        <f t="shared" ca="1" si="7"/>
        <v/>
      </c>
      <c r="E115" s="192"/>
      <c r="F115" s="192"/>
      <c r="G115" s="193"/>
      <c r="H115" s="192"/>
      <c r="I115" s="251" t="str">
        <f>IF(COUNTBLANK(E115:H115)=4,"",SUM(E115:G115)+IF(Setup!$I$15="No",0,H115))</f>
        <v/>
      </c>
      <c r="J115" s="192"/>
      <c r="K115" s="192"/>
      <c r="L115" s="192"/>
      <c r="M115" s="192"/>
      <c r="N115" s="255" t="str">
        <f>IF(COUNTBLANK(J115:M115)=4,"",SUM(J115:L115)+IF(Setup!$I$15="No",0,M115))</f>
        <v/>
      </c>
      <c r="O115" s="192"/>
      <c r="P115" s="192"/>
      <c r="Q115" s="192"/>
      <c r="R115" s="192"/>
      <c r="S115" s="255" t="str">
        <f>IF(COUNTBLANK(O115:R115)=4,"",SUM(O115:Q115)+IF(Setup!$I$15="No",0,R115))</f>
        <v/>
      </c>
      <c r="T115" s="192"/>
      <c r="U115" s="192"/>
      <c r="V115" s="192"/>
      <c r="W115" s="192"/>
      <c r="X115" s="255" t="str">
        <f>IF(COUNTBLANK(T115:W115)=4,"",SUM(T115:V115)+IF(Setup!$I$15="No",0,W115))</f>
        <v/>
      </c>
      <c r="Y115" s="192"/>
      <c r="Z115" s="192"/>
      <c r="AA115" s="192"/>
      <c r="AB115" s="192"/>
      <c r="AC115" s="255" t="str">
        <f>IF(COUNTBLANK(Y115:AB115)=4,"",SUM(Y115:AA115)+IF(Setup!$I$15="No",0,AB115))</f>
        <v/>
      </c>
      <c r="AD115" s="192"/>
      <c r="AE115" s="192"/>
      <c r="AF115" s="192"/>
      <c r="AG115" s="192"/>
      <c r="AH115" s="255" t="str">
        <f>IF(COUNTBLANK(AD115:AG115)=4,"",SUM(AD115:AF115)+IF(Setup!$I$15="No",0,AG115))</f>
        <v/>
      </c>
      <c r="AI115" s="192"/>
      <c r="AJ115" s="192"/>
      <c r="AK115" s="192"/>
      <c r="AL115" s="192"/>
      <c r="AM115" s="255" t="str">
        <f>IF(COUNTBLANK(AI115:AL115)=4,"",SUM(AI115:AK115)+IF(Setup!$I$15="No",0,AL115))</f>
        <v/>
      </c>
      <c r="AN115" s="192"/>
      <c r="AO115" s="192"/>
      <c r="AP115" s="192"/>
      <c r="AQ115" s="192"/>
      <c r="AR115" s="255" t="str">
        <f>IF(COUNTBLANK(AN115:AQ115)=4,"",SUM(AN115:AP115)+IF(Setup!$I$15="No",0,AQ115))</f>
        <v/>
      </c>
      <c r="AS115" s="192"/>
      <c r="AT115" s="192"/>
      <c r="AU115" s="192"/>
      <c r="AV115" s="192"/>
      <c r="AW115" s="255" t="str">
        <f>IF(COUNTBLANK(AS115:AV115)=4,"",SUM(AS115:AU115)+IF(Setup!$I$15="No",0,AV115))</f>
        <v/>
      </c>
      <c r="AX115" s="192"/>
      <c r="AY115" s="192"/>
      <c r="AZ115" s="192"/>
      <c r="BA115" s="192"/>
      <c r="BB115" s="255" t="str">
        <f>IF(COUNTBLANK(AX115:BA115)=4,"",SUM(AX115:AZ115)+IF(Setup!$I$15="No",0,BA115))</f>
        <v/>
      </c>
      <c r="BC115" s="259" t="str">
        <f ca="1">IF('Demand background (hide)'!A106=Num_Modalities,"",SUM(Demand!I115))</f>
        <v/>
      </c>
      <c r="BD115" s="259" t="str">
        <f ca="1">IF(AND(A115&lt;=MaxRows,BE115&lt;&gt;"Yes"),'Demand background (hide)'!X106+IF(Setup!$I$15="Yes",'Demand background (hide)'!AJ106,0),"")</f>
        <v/>
      </c>
      <c r="BE115" s="209"/>
    </row>
    <row r="116" spans="1:59" x14ac:dyDescent="0.25">
      <c r="A116" t="str">
        <f t="shared" ca="1" si="4"/>
        <v/>
      </c>
      <c r="B116" s="264" t="str">
        <f t="shared" ca="1" si="5"/>
        <v xml:space="preserve"> </v>
      </c>
      <c r="C116" s="265" t="str">
        <f t="shared" ca="1" si="6"/>
        <v/>
      </c>
      <c r="D116" s="350" t="str">
        <f t="shared" ca="1" si="7"/>
        <v/>
      </c>
      <c r="E116" s="192"/>
      <c r="F116" s="192"/>
      <c r="G116" s="193"/>
      <c r="H116" s="192"/>
      <c r="I116" s="251" t="str">
        <f>IF(COUNTBLANK(E116:H116)=4,"",SUM(E116:G116)+IF(Setup!$I$15="No",0,H116))</f>
        <v/>
      </c>
      <c r="J116" s="192"/>
      <c r="K116" s="192"/>
      <c r="L116" s="192"/>
      <c r="M116" s="192"/>
      <c r="N116" s="255" t="str">
        <f>IF(COUNTBLANK(J116:M116)=4,"",SUM(J116:L116)+IF(Setup!$I$15="No",0,M116))</f>
        <v/>
      </c>
      <c r="O116" s="192"/>
      <c r="P116" s="192"/>
      <c r="Q116" s="192"/>
      <c r="R116" s="192"/>
      <c r="S116" s="255" t="str">
        <f>IF(COUNTBLANK(O116:R116)=4,"",SUM(O116:Q116)+IF(Setup!$I$15="No",0,R116))</f>
        <v/>
      </c>
      <c r="T116" s="192"/>
      <c r="U116" s="192"/>
      <c r="V116" s="192"/>
      <c r="W116" s="192"/>
      <c r="X116" s="255" t="str">
        <f>IF(COUNTBLANK(T116:W116)=4,"",SUM(T116:V116)+IF(Setup!$I$15="No",0,W116))</f>
        <v/>
      </c>
      <c r="Y116" s="192"/>
      <c r="Z116" s="192"/>
      <c r="AA116" s="192"/>
      <c r="AB116" s="192"/>
      <c r="AC116" s="255" t="str">
        <f>IF(COUNTBLANK(Y116:AB116)=4,"",SUM(Y116:AA116)+IF(Setup!$I$15="No",0,AB116))</f>
        <v/>
      </c>
      <c r="AD116" s="192"/>
      <c r="AE116" s="192"/>
      <c r="AF116" s="192"/>
      <c r="AG116" s="192"/>
      <c r="AH116" s="255" t="str">
        <f>IF(COUNTBLANK(AD116:AG116)=4,"",SUM(AD116:AF116)+IF(Setup!$I$15="No",0,AG116))</f>
        <v/>
      </c>
      <c r="AI116" s="192"/>
      <c r="AJ116" s="192"/>
      <c r="AK116" s="192"/>
      <c r="AL116" s="192"/>
      <c r="AM116" s="255" t="str">
        <f>IF(COUNTBLANK(AI116:AL116)=4,"",SUM(AI116:AK116)+IF(Setup!$I$15="No",0,AL116))</f>
        <v/>
      </c>
      <c r="AN116" s="192"/>
      <c r="AO116" s="192"/>
      <c r="AP116" s="192"/>
      <c r="AQ116" s="192"/>
      <c r="AR116" s="255" t="str">
        <f>IF(COUNTBLANK(AN116:AQ116)=4,"",SUM(AN116:AP116)+IF(Setup!$I$15="No",0,AQ116))</f>
        <v/>
      </c>
      <c r="AS116" s="192"/>
      <c r="AT116" s="192"/>
      <c r="AU116" s="192"/>
      <c r="AV116" s="192"/>
      <c r="AW116" s="255" t="str">
        <f>IF(COUNTBLANK(AS116:AV116)=4,"",SUM(AS116:AU116)+IF(Setup!$I$15="No",0,AV116))</f>
        <v/>
      </c>
      <c r="AX116" s="192"/>
      <c r="AY116" s="192"/>
      <c r="AZ116" s="192"/>
      <c r="BA116" s="192"/>
      <c r="BB116" s="255" t="str">
        <f>IF(COUNTBLANK(AX116:BA116)=4,"",SUM(AX116:AZ116)+IF(Setup!$I$15="No",0,BA116))</f>
        <v/>
      </c>
      <c r="BC116" s="259" t="str">
        <f ca="1">IF('Demand background (hide)'!A107=Num_Modalities,"",SUM(Demand!I116))</f>
        <v/>
      </c>
      <c r="BD116" s="259" t="str">
        <f ca="1">IF(AND(A116&lt;=MaxRows,BE116&lt;&gt;"Yes"),'Demand background (hide)'!X107+IF(Setup!$I$15="Yes",'Demand background (hide)'!AJ107,0),"")</f>
        <v/>
      </c>
      <c r="BE116" s="209"/>
    </row>
    <row r="117" spans="1:59" x14ac:dyDescent="0.25">
      <c r="A117" t="str">
        <f t="shared" ca="1" si="4"/>
        <v/>
      </c>
      <c r="B117" s="264" t="str">
        <f t="shared" ca="1" si="5"/>
        <v xml:space="preserve"> </v>
      </c>
      <c r="C117" s="265" t="str">
        <f t="shared" ca="1" si="6"/>
        <v/>
      </c>
      <c r="D117" s="350" t="str">
        <f t="shared" ca="1" si="7"/>
        <v/>
      </c>
      <c r="E117" s="192"/>
      <c r="F117" s="192"/>
      <c r="G117" s="192"/>
      <c r="H117" s="192"/>
      <c r="I117" s="251" t="str">
        <f>IF(COUNTBLANK(E117:H117)=4,"",SUM(E117:G117)+IF(Setup!$I$15="No",0,H117))</f>
        <v/>
      </c>
      <c r="J117" s="192"/>
      <c r="K117" s="192"/>
      <c r="L117" s="192"/>
      <c r="M117" s="192"/>
      <c r="N117" s="255" t="str">
        <f>IF(COUNTBLANK(J117:M117)=4,"",SUM(J117:L117)+IF(Setup!$I$15="No",0,M117))</f>
        <v/>
      </c>
      <c r="O117" s="192"/>
      <c r="P117" s="192"/>
      <c r="Q117" s="192"/>
      <c r="R117" s="192"/>
      <c r="S117" s="255" t="str">
        <f>IF(COUNTBLANK(O117:R117)=4,"",SUM(O117:Q117)+IF(Setup!$I$15="No",0,R117))</f>
        <v/>
      </c>
      <c r="T117" s="192"/>
      <c r="U117" s="192"/>
      <c r="V117" s="192"/>
      <c r="W117" s="192"/>
      <c r="X117" s="255" t="str">
        <f>IF(COUNTBLANK(T117:W117)=4,"",SUM(T117:V117)+IF(Setup!$I$15="No",0,W117))</f>
        <v/>
      </c>
      <c r="Y117" s="192"/>
      <c r="Z117" s="192"/>
      <c r="AA117" s="192"/>
      <c r="AB117" s="192"/>
      <c r="AC117" s="255" t="str">
        <f>IF(COUNTBLANK(Y117:AB117)=4,"",SUM(Y117:AA117)+IF(Setup!$I$15="No",0,AB117))</f>
        <v/>
      </c>
      <c r="AD117" s="192"/>
      <c r="AE117" s="192"/>
      <c r="AF117" s="192"/>
      <c r="AG117" s="192"/>
      <c r="AH117" s="255" t="str">
        <f>IF(COUNTBLANK(AD117:AG117)=4,"",SUM(AD117:AF117)+IF(Setup!$I$15="No",0,AG117))</f>
        <v/>
      </c>
      <c r="AI117" s="192"/>
      <c r="AJ117" s="192"/>
      <c r="AK117" s="192"/>
      <c r="AL117" s="192"/>
      <c r="AM117" s="255" t="str">
        <f>IF(COUNTBLANK(AI117:AL117)=4,"",SUM(AI117:AK117)+IF(Setup!$I$15="No",0,AL117))</f>
        <v/>
      </c>
      <c r="AN117" s="192"/>
      <c r="AO117" s="192"/>
      <c r="AP117" s="192"/>
      <c r="AQ117" s="192"/>
      <c r="AR117" s="255" t="str">
        <f>IF(COUNTBLANK(AN117:AQ117)=4,"",SUM(AN117:AP117)+IF(Setup!$I$15="No",0,AQ117))</f>
        <v/>
      </c>
      <c r="AS117" s="192"/>
      <c r="AT117" s="192"/>
      <c r="AU117" s="192"/>
      <c r="AV117" s="192"/>
      <c r="AW117" s="255" t="str">
        <f>IF(COUNTBLANK(AS117:AV117)=4,"",SUM(AS117:AU117)+IF(Setup!$I$15="No",0,AV117))</f>
        <v/>
      </c>
      <c r="AX117" s="192"/>
      <c r="AY117" s="192"/>
      <c r="AZ117" s="192"/>
      <c r="BA117" s="192"/>
      <c r="BB117" s="255" t="str">
        <f>IF(COUNTBLANK(AX117:BA117)=4,"",SUM(AX117:AZ117)+IF(Setup!$I$15="No",0,BA117))</f>
        <v/>
      </c>
      <c r="BC117" s="259" t="str">
        <f ca="1">IF('Demand background (hide)'!A108=Num_Modalities,"",SUM(Demand!I117))</f>
        <v/>
      </c>
      <c r="BD117" s="259" t="str">
        <f ca="1">IF(AND(A117&lt;=MaxRows,BE117&lt;&gt;"Yes"),'Demand background (hide)'!X108+IF(Setup!$I$15="Yes",'Demand background (hide)'!AJ108,0),"")</f>
        <v/>
      </c>
      <c r="BE117" s="209"/>
      <c r="BG117" s="50"/>
    </row>
    <row r="118" spans="1:59" x14ac:dyDescent="0.25">
      <c r="A118" t="str">
        <f t="shared" ca="1" si="4"/>
        <v/>
      </c>
      <c r="B118" s="264" t="str">
        <f t="shared" ca="1" si="5"/>
        <v xml:space="preserve"> </v>
      </c>
      <c r="C118" s="265" t="str">
        <f t="shared" ca="1" si="6"/>
        <v/>
      </c>
      <c r="D118" s="350" t="str">
        <f t="shared" ca="1" si="7"/>
        <v/>
      </c>
      <c r="E118" s="192"/>
      <c r="F118" s="192"/>
      <c r="G118" s="192"/>
      <c r="H118" s="192"/>
      <c r="I118" s="251" t="str">
        <f>IF(COUNTBLANK(E118:H118)=4,"",SUM(E118:G118)+IF(Setup!$I$15="No",0,H118))</f>
        <v/>
      </c>
      <c r="J118" s="192"/>
      <c r="K118" s="192"/>
      <c r="L118" s="192"/>
      <c r="M118" s="192"/>
      <c r="N118" s="255" t="str">
        <f>IF(COUNTBLANK(J118:M118)=4,"",SUM(J118:L118)+IF(Setup!$I$15="No",0,M118))</f>
        <v/>
      </c>
      <c r="O118" s="192"/>
      <c r="P118" s="192"/>
      <c r="Q118" s="192"/>
      <c r="R118" s="192"/>
      <c r="S118" s="255" t="str">
        <f>IF(COUNTBLANK(O118:R118)=4,"",SUM(O118:Q118)+IF(Setup!$I$15="No",0,R118))</f>
        <v/>
      </c>
      <c r="T118" s="192"/>
      <c r="U118" s="192"/>
      <c r="V118" s="192"/>
      <c r="W118" s="192"/>
      <c r="X118" s="255" t="str">
        <f>IF(COUNTBLANK(T118:W118)=4,"",SUM(T118:V118)+IF(Setup!$I$15="No",0,W118))</f>
        <v/>
      </c>
      <c r="Y118" s="192"/>
      <c r="Z118" s="192"/>
      <c r="AA118" s="192"/>
      <c r="AB118" s="192"/>
      <c r="AC118" s="255" t="str">
        <f>IF(COUNTBLANK(Y118:AB118)=4,"",SUM(Y118:AA118)+IF(Setup!$I$15="No",0,AB118))</f>
        <v/>
      </c>
      <c r="AD118" s="192"/>
      <c r="AE118" s="192"/>
      <c r="AF118" s="192"/>
      <c r="AG118" s="192"/>
      <c r="AH118" s="255" t="str">
        <f>IF(COUNTBLANK(AD118:AG118)=4,"",SUM(AD118:AF118)+IF(Setup!$I$15="No",0,AG118))</f>
        <v/>
      </c>
      <c r="AI118" s="192"/>
      <c r="AJ118" s="192"/>
      <c r="AK118" s="192"/>
      <c r="AL118" s="192"/>
      <c r="AM118" s="255" t="str">
        <f>IF(COUNTBLANK(AI118:AL118)=4,"",SUM(AI118:AK118)+IF(Setup!$I$15="No",0,AL118))</f>
        <v/>
      </c>
      <c r="AN118" s="192"/>
      <c r="AO118" s="192"/>
      <c r="AP118" s="192"/>
      <c r="AQ118" s="192"/>
      <c r="AR118" s="255" t="str">
        <f>IF(COUNTBLANK(AN118:AQ118)=4,"",SUM(AN118:AP118)+IF(Setup!$I$15="No",0,AQ118))</f>
        <v/>
      </c>
      <c r="AS118" s="192"/>
      <c r="AT118" s="192"/>
      <c r="AU118" s="192"/>
      <c r="AV118" s="192"/>
      <c r="AW118" s="255" t="str">
        <f>IF(COUNTBLANK(AS118:AV118)=4,"",SUM(AS118:AU118)+IF(Setup!$I$15="No",0,AV118))</f>
        <v/>
      </c>
      <c r="AX118" s="192"/>
      <c r="AY118" s="192"/>
      <c r="AZ118" s="192"/>
      <c r="BA118" s="192"/>
      <c r="BB118" s="255" t="str">
        <f>IF(COUNTBLANK(AX118:BA118)=4,"",SUM(AX118:AZ118)+IF(Setup!$I$15="No",0,BA118))</f>
        <v/>
      </c>
      <c r="BC118" s="259" t="str">
        <f ca="1">IF('Demand background (hide)'!A109=Num_Modalities,"",SUM(Demand!I118))</f>
        <v/>
      </c>
      <c r="BD118" s="259" t="str">
        <f ca="1">IF(AND(A118&lt;=MaxRows,BE118&lt;&gt;"Yes"),'Demand background (hide)'!X109+IF(Setup!$I$15="Yes",'Demand background (hide)'!AJ109,0),"")</f>
        <v/>
      </c>
      <c r="BE118" s="209"/>
    </row>
    <row r="119" spans="1:59" x14ac:dyDescent="0.25">
      <c r="A119" t="str">
        <f t="shared" ca="1" si="4"/>
        <v/>
      </c>
      <c r="B119" s="264" t="str">
        <f t="shared" ca="1" si="5"/>
        <v xml:space="preserve"> </v>
      </c>
      <c r="C119" s="265" t="str">
        <f t="shared" ca="1" si="6"/>
        <v/>
      </c>
      <c r="D119" s="350" t="str">
        <f t="shared" ca="1" si="7"/>
        <v/>
      </c>
      <c r="E119" s="192"/>
      <c r="F119" s="192"/>
      <c r="G119" s="192"/>
      <c r="H119" s="192"/>
      <c r="I119" s="251" t="str">
        <f>IF(COUNTBLANK(E119:H119)=4,"",SUM(E119:G119)+IF(Setup!$I$15="No",0,H119))</f>
        <v/>
      </c>
      <c r="J119" s="192"/>
      <c r="K119" s="192"/>
      <c r="L119" s="192"/>
      <c r="M119" s="192"/>
      <c r="N119" s="255" t="str">
        <f>IF(COUNTBLANK(J119:M119)=4,"",SUM(J119:L119)+IF(Setup!$I$15="No",0,M119))</f>
        <v/>
      </c>
      <c r="O119" s="192"/>
      <c r="P119" s="192"/>
      <c r="Q119" s="192"/>
      <c r="R119" s="192"/>
      <c r="S119" s="255" t="str">
        <f>IF(COUNTBLANK(O119:R119)=4,"",SUM(O119:Q119)+IF(Setup!$I$15="No",0,R119))</f>
        <v/>
      </c>
      <c r="T119" s="192"/>
      <c r="U119" s="192"/>
      <c r="V119" s="192"/>
      <c r="W119" s="192"/>
      <c r="X119" s="255" t="str">
        <f>IF(COUNTBLANK(T119:W119)=4,"",SUM(T119:V119)+IF(Setup!$I$15="No",0,W119))</f>
        <v/>
      </c>
      <c r="Y119" s="192"/>
      <c r="Z119" s="192"/>
      <c r="AA119" s="192"/>
      <c r="AB119" s="192"/>
      <c r="AC119" s="255" t="str">
        <f>IF(COUNTBLANK(Y119:AB119)=4,"",SUM(Y119:AA119)+IF(Setup!$I$15="No",0,AB119))</f>
        <v/>
      </c>
      <c r="AD119" s="192"/>
      <c r="AE119" s="192"/>
      <c r="AF119" s="192"/>
      <c r="AG119" s="192"/>
      <c r="AH119" s="255" t="str">
        <f>IF(COUNTBLANK(AD119:AG119)=4,"",SUM(AD119:AF119)+IF(Setup!$I$15="No",0,AG119))</f>
        <v/>
      </c>
      <c r="AI119" s="192"/>
      <c r="AJ119" s="192"/>
      <c r="AK119" s="192"/>
      <c r="AL119" s="192"/>
      <c r="AM119" s="255" t="str">
        <f>IF(COUNTBLANK(AI119:AL119)=4,"",SUM(AI119:AK119)+IF(Setup!$I$15="No",0,AL119))</f>
        <v/>
      </c>
      <c r="AN119" s="192"/>
      <c r="AO119" s="192"/>
      <c r="AP119" s="192"/>
      <c r="AQ119" s="192"/>
      <c r="AR119" s="255" t="str">
        <f>IF(COUNTBLANK(AN119:AQ119)=4,"",SUM(AN119:AP119)+IF(Setup!$I$15="No",0,AQ119))</f>
        <v/>
      </c>
      <c r="AS119" s="192"/>
      <c r="AT119" s="192"/>
      <c r="AU119" s="192"/>
      <c r="AV119" s="192"/>
      <c r="AW119" s="255" t="str">
        <f>IF(COUNTBLANK(AS119:AV119)=4,"",SUM(AS119:AU119)+IF(Setup!$I$15="No",0,AV119))</f>
        <v/>
      </c>
      <c r="AX119" s="192"/>
      <c r="AY119" s="192"/>
      <c r="AZ119" s="192"/>
      <c r="BA119" s="192"/>
      <c r="BB119" s="255" t="str">
        <f>IF(COUNTBLANK(AX119:BA119)=4,"",SUM(AX119:AZ119)+IF(Setup!$I$15="No",0,BA119))</f>
        <v/>
      </c>
      <c r="BC119" s="259" t="str">
        <f ca="1">IF('Demand background (hide)'!A110=Num_Modalities,"",SUM(Demand!I119))</f>
        <v/>
      </c>
      <c r="BD119" s="259" t="str">
        <f ca="1">IF(AND(A119&lt;=MaxRows,BE119&lt;&gt;"Yes"),'Demand background (hide)'!X110+IF(Setup!$I$15="Yes",'Demand background (hide)'!AJ110,0),"")</f>
        <v/>
      </c>
      <c r="BE119" s="209"/>
    </row>
    <row r="120" spans="1:59" x14ac:dyDescent="0.25">
      <c r="A120" t="str">
        <f t="shared" ca="1" si="4"/>
        <v/>
      </c>
      <c r="B120" s="264" t="str">
        <f t="shared" ca="1" si="5"/>
        <v xml:space="preserve"> </v>
      </c>
      <c r="C120" s="265" t="str">
        <f t="shared" ca="1" si="6"/>
        <v/>
      </c>
      <c r="D120" s="350" t="str">
        <f t="shared" ca="1" si="7"/>
        <v/>
      </c>
      <c r="E120" s="192"/>
      <c r="F120" s="192"/>
      <c r="G120" s="192"/>
      <c r="H120" s="192"/>
      <c r="I120" s="251" t="str">
        <f>IF(COUNTBLANK(E120:H120)=4,"",SUM(E120:G120)+IF(Setup!$I$15="No",0,H120))</f>
        <v/>
      </c>
      <c r="J120" s="192"/>
      <c r="K120" s="192"/>
      <c r="L120" s="192"/>
      <c r="M120" s="192"/>
      <c r="N120" s="255" t="str">
        <f>IF(COUNTBLANK(J120:M120)=4,"",SUM(J120:L120)+IF(Setup!$I$15="No",0,M120))</f>
        <v/>
      </c>
      <c r="O120" s="192"/>
      <c r="P120" s="192"/>
      <c r="Q120" s="192"/>
      <c r="R120" s="192"/>
      <c r="S120" s="255" t="str">
        <f>IF(COUNTBLANK(O120:R120)=4,"",SUM(O120:Q120)+IF(Setup!$I$15="No",0,R120))</f>
        <v/>
      </c>
      <c r="T120" s="192"/>
      <c r="U120" s="192"/>
      <c r="V120" s="192"/>
      <c r="W120" s="192"/>
      <c r="X120" s="255" t="str">
        <f>IF(COUNTBLANK(T120:W120)=4,"",SUM(T120:V120)+IF(Setup!$I$15="No",0,W120))</f>
        <v/>
      </c>
      <c r="Y120" s="192"/>
      <c r="Z120" s="192"/>
      <c r="AA120" s="192"/>
      <c r="AB120" s="192"/>
      <c r="AC120" s="255" t="str">
        <f>IF(COUNTBLANK(Y120:AB120)=4,"",SUM(Y120:AA120)+IF(Setup!$I$15="No",0,AB120))</f>
        <v/>
      </c>
      <c r="AD120" s="192"/>
      <c r="AE120" s="192"/>
      <c r="AF120" s="192"/>
      <c r="AG120" s="192"/>
      <c r="AH120" s="255" t="str">
        <f>IF(COUNTBLANK(AD120:AG120)=4,"",SUM(AD120:AF120)+IF(Setup!$I$15="No",0,AG120))</f>
        <v/>
      </c>
      <c r="AI120" s="192"/>
      <c r="AJ120" s="192"/>
      <c r="AK120" s="192"/>
      <c r="AL120" s="192"/>
      <c r="AM120" s="255" t="str">
        <f>IF(COUNTBLANK(AI120:AL120)=4,"",SUM(AI120:AK120)+IF(Setup!$I$15="No",0,AL120))</f>
        <v/>
      </c>
      <c r="AN120" s="192"/>
      <c r="AO120" s="192"/>
      <c r="AP120" s="192"/>
      <c r="AQ120" s="192"/>
      <c r="AR120" s="255" t="str">
        <f>IF(COUNTBLANK(AN120:AQ120)=4,"",SUM(AN120:AP120)+IF(Setup!$I$15="No",0,AQ120))</f>
        <v/>
      </c>
      <c r="AS120" s="192"/>
      <c r="AT120" s="192"/>
      <c r="AU120" s="192"/>
      <c r="AV120" s="192"/>
      <c r="AW120" s="255" t="str">
        <f>IF(COUNTBLANK(AS120:AV120)=4,"",SUM(AS120:AU120)+IF(Setup!$I$15="No",0,AV120))</f>
        <v/>
      </c>
      <c r="AX120" s="192"/>
      <c r="AY120" s="192"/>
      <c r="AZ120" s="192"/>
      <c r="BA120" s="192"/>
      <c r="BB120" s="255" t="str">
        <f>IF(COUNTBLANK(AX120:BA120)=4,"",SUM(AX120:AZ120)+IF(Setup!$I$15="No",0,BA120))</f>
        <v/>
      </c>
      <c r="BC120" s="259" t="str">
        <f ca="1">IF('Demand background (hide)'!A111=Num_Modalities,"",SUM(Demand!I120))</f>
        <v/>
      </c>
      <c r="BD120" s="259" t="str">
        <f ca="1">IF(AND(A120&lt;=MaxRows,BE120&lt;&gt;"Yes"),'Demand background (hide)'!X111+IF(Setup!$I$15="Yes",'Demand background (hide)'!AJ111,0),"")</f>
        <v/>
      </c>
      <c r="BE120" s="209"/>
    </row>
    <row r="121" spans="1:59" x14ac:dyDescent="0.25">
      <c r="A121" t="str">
        <f t="shared" ca="1" si="4"/>
        <v/>
      </c>
      <c r="B121" s="264" t="str">
        <f t="shared" ca="1" si="5"/>
        <v xml:space="preserve"> </v>
      </c>
      <c r="C121" s="265" t="str">
        <f t="shared" ca="1" si="6"/>
        <v/>
      </c>
      <c r="D121" s="350" t="str">
        <f t="shared" ca="1" si="7"/>
        <v/>
      </c>
      <c r="E121" s="192"/>
      <c r="F121" s="192"/>
      <c r="G121" s="192"/>
      <c r="H121" s="192"/>
      <c r="I121" s="251" t="str">
        <f>IF(COUNTBLANK(E121:H121)=4,"",SUM(E121:G121)+IF(Setup!$I$15="No",0,H121))</f>
        <v/>
      </c>
      <c r="J121" s="192"/>
      <c r="K121" s="192"/>
      <c r="L121" s="192"/>
      <c r="M121" s="192"/>
      <c r="N121" s="255" t="str">
        <f>IF(COUNTBLANK(J121:M121)=4,"",SUM(J121:L121)+IF(Setup!$I$15="No",0,M121))</f>
        <v/>
      </c>
      <c r="O121" s="192"/>
      <c r="P121" s="192"/>
      <c r="Q121" s="192"/>
      <c r="R121" s="192"/>
      <c r="S121" s="255" t="str">
        <f>IF(COUNTBLANK(O121:R121)=4,"",SUM(O121:Q121)+IF(Setup!$I$15="No",0,R121))</f>
        <v/>
      </c>
      <c r="T121" s="192"/>
      <c r="U121" s="192"/>
      <c r="V121" s="192"/>
      <c r="W121" s="192"/>
      <c r="X121" s="255" t="str">
        <f>IF(COUNTBLANK(T121:W121)=4,"",SUM(T121:V121)+IF(Setup!$I$15="No",0,W121))</f>
        <v/>
      </c>
      <c r="Y121" s="192"/>
      <c r="Z121" s="192"/>
      <c r="AA121" s="192"/>
      <c r="AB121" s="192"/>
      <c r="AC121" s="255" t="str">
        <f>IF(COUNTBLANK(Y121:AB121)=4,"",SUM(Y121:AA121)+IF(Setup!$I$15="No",0,AB121))</f>
        <v/>
      </c>
      <c r="AD121" s="192"/>
      <c r="AE121" s="192"/>
      <c r="AF121" s="192"/>
      <c r="AG121" s="192"/>
      <c r="AH121" s="255" t="str">
        <f>IF(COUNTBLANK(AD121:AG121)=4,"",SUM(AD121:AF121)+IF(Setup!$I$15="No",0,AG121))</f>
        <v/>
      </c>
      <c r="AI121" s="192"/>
      <c r="AJ121" s="192"/>
      <c r="AK121" s="192"/>
      <c r="AL121" s="192"/>
      <c r="AM121" s="255" t="str">
        <f>IF(COUNTBLANK(AI121:AL121)=4,"",SUM(AI121:AK121)+IF(Setup!$I$15="No",0,AL121))</f>
        <v/>
      </c>
      <c r="AN121" s="192"/>
      <c r="AO121" s="192"/>
      <c r="AP121" s="192"/>
      <c r="AQ121" s="192"/>
      <c r="AR121" s="255" t="str">
        <f>IF(COUNTBLANK(AN121:AQ121)=4,"",SUM(AN121:AP121)+IF(Setup!$I$15="No",0,AQ121))</f>
        <v/>
      </c>
      <c r="AS121" s="192"/>
      <c r="AT121" s="192"/>
      <c r="AU121" s="192"/>
      <c r="AV121" s="192"/>
      <c r="AW121" s="255" t="str">
        <f>IF(COUNTBLANK(AS121:AV121)=4,"",SUM(AS121:AU121)+IF(Setup!$I$15="No",0,AV121))</f>
        <v/>
      </c>
      <c r="AX121" s="192"/>
      <c r="AY121" s="192"/>
      <c r="AZ121" s="192"/>
      <c r="BA121" s="192"/>
      <c r="BB121" s="255" t="str">
        <f>IF(COUNTBLANK(AX121:BA121)=4,"",SUM(AX121:AZ121)+IF(Setup!$I$15="No",0,BA121))</f>
        <v/>
      </c>
      <c r="BC121" s="259" t="str">
        <f ca="1">IF('Demand background (hide)'!A112=Num_Modalities,"",SUM(Demand!I121))</f>
        <v/>
      </c>
      <c r="BD121" s="259" t="str">
        <f ca="1">IF(AND(A121&lt;=MaxRows,BE121&lt;&gt;"Yes"),'Demand background (hide)'!X112+IF(Setup!$I$15="Yes",'Demand background (hide)'!AJ112,0),"")</f>
        <v/>
      </c>
      <c r="BE121" s="209"/>
    </row>
    <row r="122" spans="1:59" x14ac:dyDescent="0.25">
      <c r="A122" t="str">
        <f t="shared" ca="1" si="4"/>
        <v/>
      </c>
      <c r="B122" s="264" t="str">
        <f t="shared" ca="1" si="5"/>
        <v xml:space="preserve"> </v>
      </c>
      <c r="C122" s="265" t="str">
        <f t="shared" ca="1" si="6"/>
        <v/>
      </c>
      <c r="D122" s="350" t="str">
        <f t="shared" ca="1" si="7"/>
        <v/>
      </c>
      <c r="E122" s="192"/>
      <c r="F122" s="192"/>
      <c r="G122" s="192"/>
      <c r="H122" s="192"/>
      <c r="I122" s="251" t="str">
        <f>IF(COUNTBLANK(E122:H122)=4,"",SUM(E122:G122)+IF(Setup!$I$15="No",0,H122))</f>
        <v/>
      </c>
      <c r="J122" s="192"/>
      <c r="K122" s="192"/>
      <c r="L122" s="192"/>
      <c r="M122" s="192"/>
      <c r="N122" s="255" t="str">
        <f>IF(COUNTBLANK(J122:M122)=4,"",SUM(J122:L122)+IF(Setup!$I$15="No",0,M122))</f>
        <v/>
      </c>
      <c r="O122" s="192"/>
      <c r="P122" s="192"/>
      <c r="Q122" s="192"/>
      <c r="R122" s="192"/>
      <c r="S122" s="255" t="str">
        <f>IF(COUNTBLANK(O122:R122)=4,"",SUM(O122:Q122)+IF(Setup!$I$15="No",0,R122))</f>
        <v/>
      </c>
      <c r="T122" s="192"/>
      <c r="U122" s="192"/>
      <c r="V122" s="192"/>
      <c r="W122" s="192"/>
      <c r="X122" s="255" t="str">
        <f>IF(COUNTBLANK(T122:W122)=4,"",SUM(T122:V122)+IF(Setup!$I$15="No",0,W122))</f>
        <v/>
      </c>
      <c r="Y122" s="192"/>
      <c r="Z122" s="192"/>
      <c r="AA122" s="192"/>
      <c r="AB122" s="192"/>
      <c r="AC122" s="255" t="str">
        <f>IF(COUNTBLANK(Y122:AB122)=4,"",SUM(Y122:AA122)+IF(Setup!$I$15="No",0,AB122))</f>
        <v/>
      </c>
      <c r="AD122" s="192"/>
      <c r="AE122" s="192"/>
      <c r="AF122" s="192"/>
      <c r="AG122" s="192"/>
      <c r="AH122" s="255" t="str">
        <f>IF(COUNTBLANK(AD122:AG122)=4,"",SUM(AD122:AF122)+IF(Setup!$I$15="No",0,AG122))</f>
        <v/>
      </c>
      <c r="AI122" s="192"/>
      <c r="AJ122" s="192"/>
      <c r="AK122" s="192"/>
      <c r="AL122" s="192"/>
      <c r="AM122" s="255" t="str">
        <f>IF(COUNTBLANK(AI122:AL122)=4,"",SUM(AI122:AK122)+IF(Setup!$I$15="No",0,AL122))</f>
        <v/>
      </c>
      <c r="AN122" s="192"/>
      <c r="AO122" s="192"/>
      <c r="AP122" s="192"/>
      <c r="AQ122" s="192"/>
      <c r="AR122" s="255" t="str">
        <f>IF(COUNTBLANK(AN122:AQ122)=4,"",SUM(AN122:AP122)+IF(Setup!$I$15="No",0,AQ122))</f>
        <v/>
      </c>
      <c r="AS122" s="192"/>
      <c r="AT122" s="192"/>
      <c r="AU122" s="192"/>
      <c r="AV122" s="192"/>
      <c r="AW122" s="255" t="str">
        <f>IF(COUNTBLANK(AS122:AV122)=4,"",SUM(AS122:AU122)+IF(Setup!$I$15="No",0,AV122))</f>
        <v/>
      </c>
      <c r="AX122" s="192"/>
      <c r="AY122" s="192"/>
      <c r="AZ122" s="192"/>
      <c r="BA122" s="192"/>
      <c r="BB122" s="255" t="str">
        <f>IF(COUNTBLANK(AX122:BA122)=4,"",SUM(AX122:AZ122)+IF(Setup!$I$15="No",0,BA122))</f>
        <v/>
      </c>
      <c r="BC122" s="259" t="str">
        <f ca="1">IF('Demand background (hide)'!A113=Num_Modalities,"",SUM(Demand!I122))</f>
        <v/>
      </c>
      <c r="BD122" s="259" t="str">
        <f ca="1">IF(AND(A122&lt;=MaxRows,BE122&lt;&gt;"Yes"),'Demand background (hide)'!X113+IF(Setup!$I$15="Yes",'Demand background (hide)'!AJ113,0),"")</f>
        <v/>
      </c>
      <c r="BE122" s="209"/>
    </row>
    <row r="123" spans="1:59" x14ac:dyDescent="0.25">
      <c r="A123" t="str">
        <f t="shared" ca="1" si="4"/>
        <v/>
      </c>
      <c r="B123" s="264" t="str">
        <f t="shared" ca="1" si="5"/>
        <v xml:space="preserve"> </v>
      </c>
      <c r="C123" s="265" t="str">
        <f t="shared" ca="1" si="6"/>
        <v/>
      </c>
      <c r="D123" s="350" t="str">
        <f t="shared" ca="1" si="7"/>
        <v/>
      </c>
      <c r="E123" s="192"/>
      <c r="F123" s="192"/>
      <c r="G123" s="192"/>
      <c r="H123" s="192"/>
      <c r="I123" s="251" t="str">
        <f>IF(COUNTBLANK(E123:H123)=4,"",SUM(E123:G123)+IF(Setup!$I$15="No",0,H123))</f>
        <v/>
      </c>
      <c r="J123" s="192"/>
      <c r="K123" s="192"/>
      <c r="L123" s="192"/>
      <c r="M123" s="192"/>
      <c r="N123" s="255" t="str">
        <f>IF(COUNTBLANK(J123:M123)=4,"",SUM(J123:L123)+IF(Setup!$I$15="No",0,M123))</f>
        <v/>
      </c>
      <c r="O123" s="192"/>
      <c r="P123" s="192"/>
      <c r="Q123" s="192"/>
      <c r="R123" s="192"/>
      <c r="S123" s="255" t="str">
        <f>IF(COUNTBLANK(O123:R123)=4,"",SUM(O123:Q123)+IF(Setup!$I$15="No",0,R123))</f>
        <v/>
      </c>
      <c r="T123" s="192"/>
      <c r="U123" s="192"/>
      <c r="V123" s="192"/>
      <c r="W123" s="192"/>
      <c r="X123" s="255" t="str">
        <f>IF(COUNTBLANK(T123:W123)=4,"",SUM(T123:V123)+IF(Setup!$I$15="No",0,W123))</f>
        <v/>
      </c>
      <c r="Y123" s="192"/>
      <c r="Z123" s="192"/>
      <c r="AA123" s="192"/>
      <c r="AB123" s="192"/>
      <c r="AC123" s="255" t="str">
        <f>IF(COUNTBLANK(Y123:AB123)=4,"",SUM(Y123:AA123)+IF(Setup!$I$15="No",0,AB123))</f>
        <v/>
      </c>
      <c r="AD123" s="192"/>
      <c r="AE123" s="192"/>
      <c r="AF123" s="192"/>
      <c r="AG123" s="192"/>
      <c r="AH123" s="255" t="str">
        <f>IF(COUNTBLANK(AD123:AG123)=4,"",SUM(AD123:AF123)+IF(Setup!$I$15="No",0,AG123))</f>
        <v/>
      </c>
      <c r="AI123" s="192"/>
      <c r="AJ123" s="192"/>
      <c r="AK123" s="192"/>
      <c r="AL123" s="192"/>
      <c r="AM123" s="255" t="str">
        <f>IF(COUNTBLANK(AI123:AL123)=4,"",SUM(AI123:AK123)+IF(Setup!$I$15="No",0,AL123))</f>
        <v/>
      </c>
      <c r="AN123" s="192"/>
      <c r="AO123" s="192"/>
      <c r="AP123" s="192"/>
      <c r="AQ123" s="192"/>
      <c r="AR123" s="255" t="str">
        <f>IF(COUNTBLANK(AN123:AQ123)=4,"",SUM(AN123:AP123)+IF(Setup!$I$15="No",0,AQ123))</f>
        <v/>
      </c>
      <c r="AS123" s="192"/>
      <c r="AT123" s="192"/>
      <c r="AU123" s="192"/>
      <c r="AV123" s="192"/>
      <c r="AW123" s="255" t="str">
        <f>IF(COUNTBLANK(AS123:AV123)=4,"",SUM(AS123:AU123)+IF(Setup!$I$15="No",0,AV123))</f>
        <v/>
      </c>
      <c r="AX123" s="192"/>
      <c r="AY123" s="192"/>
      <c r="AZ123" s="192"/>
      <c r="BA123" s="192"/>
      <c r="BB123" s="255" t="str">
        <f>IF(COUNTBLANK(AX123:BA123)=4,"",SUM(AX123:AZ123)+IF(Setup!$I$15="No",0,BA123))</f>
        <v/>
      </c>
      <c r="BC123" s="259" t="str">
        <f ca="1">IF('Demand background (hide)'!A114=Num_Modalities,"",SUM(Demand!I123))</f>
        <v/>
      </c>
      <c r="BD123" s="259" t="str">
        <f ca="1">IF(AND(A123&lt;=MaxRows,BE123&lt;&gt;"Yes"),'Demand background (hide)'!X114+IF(Setup!$I$15="Yes",'Demand background (hide)'!AJ114,0),"")</f>
        <v/>
      </c>
      <c r="BE123" s="209"/>
    </row>
    <row r="124" spans="1:59" x14ac:dyDescent="0.25">
      <c r="A124" t="str">
        <f t="shared" ca="1" si="4"/>
        <v/>
      </c>
      <c r="B124" s="264" t="str">
        <f t="shared" ca="1" si="5"/>
        <v xml:space="preserve"> </v>
      </c>
      <c r="C124" s="265" t="str">
        <f t="shared" ca="1" si="6"/>
        <v/>
      </c>
      <c r="D124" s="350" t="str">
        <f t="shared" ca="1" si="7"/>
        <v/>
      </c>
      <c r="E124" s="192"/>
      <c r="F124" s="192"/>
      <c r="G124" s="192"/>
      <c r="H124" s="192"/>
      <c r="I124" s="251" t="str">
        <f>IF(COUNTBLANK(E124:H124)=4,"",SUM(E124:G124)+IF(Setup!$I$15="No",0,H124))</f>
        <v/>
      </c>
      <c r="J124" s="192"/>
      <c r="K124" s="192"/>
      <c r="L124" s="192"/>
      <c r="M124" s="192"/>
      <c r="N124" s="255" t="str">
        <f>IF(COUNTBLANK(J124:M124)=4,"",SUM(J124:L124)+IF(Setup!$I$15="No",0,M124))</f>
        <v/>
      </c>
      <c r="O124" s="192"/>
      <c r="P124" s="192"/>
      <c r="Q124" s="192"/>
      <c r="R124" s="192"/>
      <c r="S124" s="255" t="str">
        <f>IF(COUNTBLANK(O124:R124)=4,"",SUM(O124:Q124)+IF(Setup!$I$15="No",0,R124))</f>
        <v/>
      </c>
      <c r="T124" s="192"/>
      <c r="U124" s="192"/>
      <c r="V124" s="192"/>
      <c r="W124" s="192"/>
      <c r="X124" s="255" t="str">
        <f>IF(COUNTBLANK(T124:W124)=4,"",SUM(T124:V124)+IF(Setup!$I$15="No",0,W124))</f>
        <v/>
      </c>
      <c r="Y124" s="192"/>
      <c r="Z124" s="192"/>
      <c r="AA124" s="192"/>
      <c r="AB124" s="192"/>
      <c r="AC124" s="255" t="str">
        <f>IF(COUNTBLANK(Y124:AB124)=4,"",SUM(Y124:AA124)+IF(Setup!$I$15="No",0,AB124))</f>
        <v/>
      </c>
      <c r="AD124" s="192"/>
      <c r="AE124" s="192"/>
      <c r="AF124" s="192"/>
      <c r="AG124" s="192"/>
      <c r="AH124" s="255" t="str">
        <f>IF(COUNTBLANK(AD124:AG124)=4,"",SUM(AD124:AF124)+IF(Setup!$I$15="No",0,AG124))</f>
        <v/>
      </c>
      <c r="AI124" s="192"/>
      <c r="AJ124" s="192"/>
      <c r="AK124" s="192"/>
      <c r="AL124" s="192"/>
      <c r="AM124" s="255" t="str">
        <f>IF(COUNTBLANK(AI124:AL124)=4,"",SUM(AI124:AK124)+IF(Setup!$I$15="No",0,AL124))</f>
        <v/>
      </c>
      <c r="AN124" s="192"/>
      <c r="AO124" s="192"/>
      <c r="AP124" s="192"/>
      <c r="AQ124" s="192"/>
      <c r="AR124" s="255" t="str">
        <f>IF(COUNTBLANK(AN124:AQ124)=4,"",SUM(AN124:AP124)+IF(Setup!$I$15="No",0,AQ124))</f>
        <v/>
      </c>
      <c r="AS124" s="192"/>
      <c r="AT124" s="192"/>
      <c r="AU124" s="192"/>
      <c r="AV124" s="192"/>
      <c r="AW124" s="255" t="str">
        <f>IF(COUNTBLANK(AS124:AV124)=4,"",SUM(AS124:AU124)+IF(Setup!$I$15="No",0,AV124))</f>
        <v/>
      </c>
      <c r="AX124" s="192"/>
      <c r="AY124" s="192"/>
      <c r="AZ124" s="192"/>
      <c r="BA124" s="192"/>
      <c r="BB124" s="255" t="str">
        <f>IF(COUNTBLANK(AX124:BA124)=4,"",SUM(AX124:AZ124)+IF(Setup!$I$15="No",0,BA124))</f>
        <v/>
      </c>
      <c r="BC124" s="259" t="str">
        <f ca="1">IF('Demand background (hide)'!A115=Num_Modalities,"",SUM(Demand!I124))</f>
        <v/>
      </c>
      <c r="BD124" s="259" t="str">
        <f ca="1">IF(AND(A124&lt;=MaxRows,BE124&lt;&gt;"Yes"),'Demand background (hide)'!X115+IF(Setup!$I$15="Yes",'Demand background (hide)'!AJ115,0),"")</f>
        <v/>
      </c>
      <c r="BE124" s="209"/>
    </row>
    <row r="125" spans="1:59" x14ac:dyDescent="0.25">
      <c r="A125" t="str">
        <f t="shared" ca="1" si="4"/>
        <v/>
      </c>
      <c r="B125" s="264" t="str">
        <f t="shared" ca="1" si="5"/>
        <v xml:space="preserve"> </v>
      </c>
      <c r="C125" s="265" t="str">
        <f t="shared" ca="1" si="6"/>
        <v/>
      </c>
      <c r="D125" s="350" t="str">
        <f t="shared" ca="1" si="7"/>
        <v/>
      </c>
      <c r="E125" s="192"/>
      <c r="F125" s="192"/>
      <c r="G125" s="192"/>
      <c r="H125" s="192"/>
      <c r="I125" s="251" t="str">
        <f>IF(COUNTBLANK(E125:H125)=4,"",SUM(E125:G125)+IF(Setup!$I$15="No",0,H125))</f>
        <v/>
      </c>
      <c r="J125" s="192"/>
      <c r="K125" s="192"/>
      <c r="L125" s="192"/>
      <c r="M125" s="192"/>
      <c r="N125" s="255" t="str">
        <f>IF(COUNTBLANK(J125:M125)=4,"",SUM(J125:L125)+IF(Setup!$I$15="No",0,M125))</f>
        <v/>
      </c>
      <c r="O125" s="192"/>
      <c r="P125" s="192"/>
      <c r="Q125" s="192"/>
      <c r="R125" s="192"/>
      <c r="S125" s="255" t="str">
        <f>IF(COUNTBLANK(O125:R125)=4,"",SUM(O125:Q125)+IF(Setup!$I$15="No",0,R125))</f>
        <v/>
      </c>
      <c r="T125" s="192"/>
      <c r="U125" s="192"/>
      <c r="V125" s="192"/>
      <c r="W125" s="192"/>
      <c r="X125" s="255" t="str">
        <f>IF(COUNTBLANK(T125:W125)=4,"",SUM(T125:V125)+IF(Setup!$I$15="No",0,W125))</f>
        <v/>
      </c>
      <c r="Y125" s="192"/>
      <c r="Z125" s="192"/>
      <c r="AA125" s="192"/>
      <c r="AB125" s="192"/>
      <c r="AC125" s="255" t="str">
        <f>IF(COUNTBLANK(Y125:AB125)=4,"",SUM(Y125:AA125)+IF(Setup!$I$15="No",0,AB125))</f>
        <v/>
      </c>
      <c r="AD125" s="192"/>
      <c r="AE125" s="192"/>
      <c r="AF125" s="192"/>
      <c r="AG125" s="192"/>
      <c r="AH125" s="255" t="str">
        <f>IF(COUNTBLANK(AD125:AG125)=4,"",SUM(AD125:AF125)+IF(Setup!$I$15="No",0,AG125))</f>
        <v/>
      </c>
      <c r="AI125" s="192"/>
      <c r="AJ125" s="192"/>
      <c r="AK125" s="192"/>
      <c r="AL125" s="192"/>
      <c r="AM125" s="255" t="str">
        <f>IF(COUNTBLANK(AI125:AL125)=4,"",SUM(AI125:AK125)+IF(Setup!$I$15="No",0,AL125))</f>
        <v/>
      </c>
      <c r="AN125" s="192"/>
      <c r="AO125" s="192"/>
      <c r="AP125" s="192"/>
      <c r="AQ125" s="192"/>
      <c r="AR125" s="255" t="str">
        <f>IF(COUNTBLANK(AN125:AQ125)=4,"",SUM(AN125:AP125)+IF(Setup!$I$15="No",0,AQ125))</f>
        <v/>
      </c>
      <c r="AS125" s="192"/>
      <c r="AT125" s="192"/>
      <c r="AU125" s="192"/>
      <c r="AV125" s="192"/>
      <c r="AW125" s="255" t="str">
        <f>IF(COUNTBLANK(AS125:AV125)=4,"",SUM(AS125:AU125)+IF(Setup!$I$15="No",0,AV125))</f>
        <v/>
      </c>
      <c r="AX125" s="192"/>
      <c r="AY125" s="192"/>
      <c r="AZ125" s="192"/>
      <c r="BA125" s="192"/>
      <c r="BB125" s="255" t="str">
        <f>IF(COUNTBLANK(AX125:BA125)=4,"",SUM(AX125:AZ125)+IF(Setup!$I$15="No",0,BA125))</f>
        <v/>
      </c>
      <c r="BC125" s="259" t="str">
        <f ca="1">IF('Demand background (hide)'!A116=Num_Modalities,"",SUM(Demand!I125))</f>
        <v/>
      </c>
      <c r="BD125" s="259" t="str">
        <f ca="1">IF(AND(A125&lt;=MaxRows,BE125&lt;&gt;"Yes"),'Demand background (hide)'!X116+IF(Setup!$I$15="Yes",'Demand background (hide)'!AJ116,0),"")</f>
        <v/>
      </c>
      <c r="BE125" s="209"/>
    </row>
    <row r="126" spans="1:59" x14ac:dyDescent="0.25">
      <c r="A126" t="str">
        <f t="shared" ca="1" si="4"/>
        <v/>
      </c>
      <c r="B126" s="264" t="str">
        <f t="shared" ca="1" si="5"/>
        <v xml:space="preserve"> </v>
      </c>
      <c r="C126" s="265" t="str">
        <f t="shared" ca="1" si="6"/>
        <v/>
      </c>
      <c r="D126" s="350" t="str">
        <f t="shared" ca="1" si="7"/>
        <v/>
      </c>
      <c r="E126" s="192"/>
      <c r="F126" s="192"/>
      <c r="G126" s="192"/>
      <c r="H126" s="192"/>
      <c r="I126" s="251" t="str">
        <f>IF(COUNTBLANK(E126:H126)=4,"",SUM(E126:G126)+IF(Setup!$I$15="No",0,H126))</f>
        <v/>
      </c>
      <c r="J126" s="192"/>
      <c r="K126" s="192"/>
      <c r="L126" s="192"/>
      <c r="M126" s="192"/>
      <c r="N126" s="255" t="str">
        <f>IF(COUNTBLANK(J126:M126)=4,"",SUM(J126:L126)+IF(Setup!$I$15="No",0,M126))</f>
        <v/>
      </c>
      <c r="O126" s="192"/>
      <c r="P126" s="192"/>
      <c r="Q126" s="192"/>
      <c r="R126" s="192"/>
      <c r="S126" s="255" t="str">
        <f>IF(COUNTBLANK(O126:R126)=4,"",SUM(O126:Q126)+IF(Setup!$I$15="No",0,R126))</f>
        <v/>
      </c>
      <c r="T126" s="192"/>
      <c r="U126" s="192"/>
      <c r="V126" s="192"/>
      <c r="W126" s="192"/>
      <c r="X126" s="255" t="str">
        <f>IF(COUNTBLANK(T126:W126)=4,"",SUM(T126:V126)+IF(Setup!$I$15="No",0,W126))</f>
        <v/>
      </c>
      <c r="Y126" s="192"/>
      <c r="Z126" s="192"/>
      <c r="AA126" s="192"/>
      <c r="AB126" s="192"/>
      <c r="AC126" s="255" t="str">
        <f>IF(COUNTBLANK(Y126:AB126)=4,"",SUM(Y126:AA126)+IF(Setup!$I$15="No",0,AB126))</f>
        <v/>
      </c>
      <c r="AD126" s="192"/>
      <c r="AE126" s="192"/>
      <c r="AF126" s="192"/>
      <c r="AG126" s="192"/>
      <c r="AH126" s="255" t="str">
        <f>IF(COUNTBLANK(AD126:AG126)=4,"",SUM(AD126:AF126)+IF(Setup!$I$15="No",0,AG126))</f>
        <v/>
      </c>
      <c r="AI126" s="192"/>
      <c r="AJ126" s="192"/>
      <c r="AK126" s="192"/>
      <c r="AL126" s="192"/>
      <c r="AM126" s="255" t="str">
        <f>IF(COUNTBLANK(AI126:AL126)=4,"",SUM(AI126:AK126)+IF(Setup!$I$15="No",0,AL126))</f>
        <v/>
      </c>
      <c r="AN126" s="192"/>
      <c r="AO126" s="192"/>
      <c r="AP126" s="192"/>
      <c r="AQ126" s="192"/>
      <c r="AR126" s="255" t="str">
        <f>IF(COUNTBLANK(AN126:AQ126)=4,"",SUM(AN126:AP126)+IF(Setup!$I$15="No",0,AQ126))</f>
        <v/>
      </c>
      <c r="AS126" s="192"/>
      <c r="AT126" s="192"/>
      <c r="AU126" s="192"/>
      <c r="AV126" s="192"/>
      <c r="AW126" s="255" t="str">
        <f>IF(COUNTBLANK(AS126:AV126)=4,"",SUM(AS126:AU126)+IF(Setup!$I$15="No",0,AV126))</f>
        <v/>
      </c>
      <c r="AX126" s="192"/>
      <c r="AY126" s="192"/>
      <c r="AZ126" s="192"/>
      <c r="BA126" s="192"/>
      <c r="BB126" s="255" t="str">
        <f>IF(COUNTBLANK(AX126:BA126)=4,"",SUM(AX126:AZ126)+IF(Setup!$I$15="No",0,BA126))</f>
        <v/>
      </c>
      <c r="BC126" s="259" t="str">
        <f ca="1">IF('Demand background (hide)'!A117=Num_Modalities,"",SUM(Demand!I126))</f>
        <v/>
      </c>
      <c r="BD126" s="259" t="str">
        <f ca="1">IF(AND(A126&lt;=MaxRows,BE126&lt;&gt;"Yes"),'Demand background (hide)'!X117+IF(Setup!$I$15="Yes",'Demand background (hide)'!AJ117,0),"")</f>
        <v/>
      </c>
      <c r="BE126" s="209"/>
    </row>
    <row r="127" spans="1:59" x14ac:dyDescent="0.25">
      <c r="A127" t="str">
        <f t="shared" ca="1" si="4"/>
        <v/>
      </c>
      <c r="B127" s="264" t="str">
        <f t="shared" ca="1" si="5"/>
        <v xml:space="preserve"> </v>
      </c>
      <c r="C127" s="265" t="str">
        <f t="shared" ca="1" si="6"/>
        <v/>
      </c>
      <c r="D127" s="350" t="str">
        <f t="shared" ca="1" si="7"/>
        <v/>
      </c>
      <c r="E127" s="192"/>
      <c r="F127" s="192"/>
      <c r="G127" s="192"/>
      <c r="H127" s="192"/>
      <c r="I127" s="251" t="str">
        <f>IF(COUNTBLANK(E127:H127)=4,"",SUM(E127:G127)+IF(Setup!$I$15="No",0,H127))</f>
        <v/>
      </c>
      <c r="J127" s="192"/>
      <c r="K127" s="192"/>
      <c r="L127" s="192"/>
      <c r="M127" s="192"/>
      <c r="N127" s="255" t="str">
        <f>IF(COUNTBLANK(J127:M127)=4,"",SUM(J127:L127)+IF(Setup!$I$15="No",0,M127))</f>
        <v/>
      </c>
      <c r="O127" s="192"/>
      <c r="P127" s="192"/>
      <c r="Q127" s="192"/>
      <c r="R127" s="192"/>
      <c r="S127" s="255" t="str">
        <f>IF(COUNTBLANK(O127:R127)=4,"",SUM(O127:Q127)+IF(Setup!$I$15="No",0,R127))</f>
        <v/>
      </c>
      <c r="T127" s="192"/>
      <c r="U127" s="192"/>
      <c r="V127" s="192"/>
      <c r="W127" s="192"/>
      <c r="X127" s="255" t="str">
        <f>IF(COUNTBLANK(T127:W127)=4,"",SUM(T127:V127)+IF(Setup!$I$15="No",0,W127))</f>
        <v/>
      </c>
      <c r="Y127" s="192"/>
      <c r="Z127" s="192"/>
      <c r="AA127" s="192"/>
      <c r="AB127" s="192"/>
      <c r="AC127" s="255" t="str">
        <f>IF(COUNTBLANK(Y127:AB127)=4,"",SUM(Y127:AA127)+IF(Setup!$I$15="No",0,AB127))</f>
        <v/>
      </c>
      <c r="AD127" s="192"/>
      <c r="AE127" s="192"/>
      <c r="AF127" s="192"/>
      <c r="AG127" s="192"/>
      <c r="AH127" s="255" t="str">
        <f>IF(COUNTBLANK(AD127:AG127)=4,"",SUM(AD127:AF127)+IF(Setup!$I$15="No",0,AG127))</f>
        <v/>
      </c>
      <c r="AI127" s="192"/>
      <c r="AJ127" s="192"/>
      <c r="AK127" s="192"/>
      <c r="AL127" s="192"/>
      <c r="AM127" s="255" t="str">
        <f>IF(COUNTBLANK(AI127:AL127)=4,"",SUM(AI127:AK127)+IF(Setup!$I$15="No",0,AL127))</f>
        <v/>
      </c>
      <c r="AN127" s="192"/>
      <c r="AO127" s="192"/>
      <c r="AP127" s="192"/>
      <c r="AQ127" s="192"/>
      <c r="AR127" s="255" t="str">
        <f>IF(COUNTBLANK(AN127:AQ127)=4,"",SUM(AN127:AP127)+IF(Setup!$I$15="No",0,AQ127))</f>
        <v/>
      </c>
      <c r="AS127" s="192"/>
      <c r="AT127" s="192"/>
      <c r="AU127" s="192"/>
      <c r="AV127" s="192"/>
      <c r="AW127" s="255" t="str">
        <f>IF(COUNTBLANK(AS127:AV127)=4,"",SUM(AS127:AU127)+IF(Setup!$I$15="No",0,AV127))</f>
        <v/>
      </c>
      <c r="AX127" s="192"/>
      <c r="AY127" s="192"/>
      <c r="AZ127" s="192"/>
      <c r="BA127" s="192"/>
      <c r="BB127" s="255" t="str">
        <f>IF(COUNTBLANK(AX127:BA127)=4,"",SUM(AX127:AZ127)+IF(Setup!$I$15="No",0,BA127))</f>
        <v/>
      </c>
      <c r="BC127" s="259" t="str">
        <f ca="1">IF('Demand background (hide)'!A118=Num_Modalities,"",SUM(Demand!I127))</f>
        <v/>
      </c>
      <c r="BD127" s="259" t="str">
        <f ca="1">IF(AND(A127&lt;=MaxRows,BE127&lt;&gt;"Yes"),'Demand background (hide)'!X118+IF(Setup!$I$15="Yes",'Demand background (hide)'!AJ118,0),"")</f>
        <v/>
      </c>
      <c r="BE127" s="209"/>
    </row>
    <row r="128" spans="1:59" x14ac:dyDescent="0.25">
      <c r="A128" t="str">
        <f t="shared" ca="1" si="4"/>
        <v/>
      </c>
      <c r="B128" s="264" t="str">
        <f t="shared" ca="1" si="5"/>
        <v xml:space="preserve"> </v>
      </c>
      <c r="C128" s="265" t="str">
        <f t="shared" ca="1" si="6"/>
        <v/>
      </c>
      <c r="D128" s="350" t="str">
        <f t="shared" ca="1" si="7"/>
        <v/>
      </c>
      <c r="E128" s="192"/>
      <c r="F128" s="192"/>
      <c r="G128" s="192"/>
      <c r="H128" s="192"/>
      <c r="I128" s="251" t="str">
        <f>IF(COUNTBLANK(E128:H128)=4,"",SUM(E128:G128)+IF(Setup!$I$15="No",0,H128))</f>
        <v/>
      </c>
      <c r="J128" s="192"/>
      <c r="K128" s="192"/>
      <c r="L128" s="192"/>
      <c r="M128" s="192"/>
      <c r="N128" s="255" t="str">
        <f>IF(COUNTBLANK(J128:M128)=4,"",SUM(J128:L128)+IF(Setup!$I$15="No",0,M128))</f>
        <v/>
      </c>
      <c r="O128" s="192"/>
      <c r="P128" s="192"/>
      <c r="Q128" s="192"/>
      <c r="R128" s="192"/>
      <c r="S128" s="255" t="str">
        <f>IF(COUNTBLANK(O128:R128)=4,"",SUM(O128:Q128)+IF(Setup!$I$15="No",0,R128))</f>
        <v/>
      </c>
      <c r="T128" s="192"/>
      <c r="U128" s="192"/>
      <c r="V128" s="192"/>
      <c r="W128" s="192"/>
      <c r="X128" s="255" t="str">
        <f>IF(COUNTBLANK(T128:W128)=4,"",SUM(T128:V128)+IF(Setup!$I$15="No",0,W128))</f>
        <v/>
      </c>
      <c r="Y128" s="192"/>
      <c r="Z128" s="192"/>
      <c r="AA128" s="192"/>
      <c r="AB128" s="192"/>
      <c r="AC128" s="255" t="str">
        <f>IF(COUNTBLANK(Y128:AB128)=4,"",SUM(Y128:AA128)+IF(Setup!$I$15="No",0,AB128))</f>
        <v/>
      </c>
      <c r="AD128" s="192"/>
      <c r="AE128" s="192"/>
      <c r="AF128" s="192"/>
      <c r="AG128" s="192"/>
      <c r="AH128" s="255" t="str">
        <f>IF(COUNTBLANK(AD128:AG128)=4,"",SUM(AD128:AF128)+IF(Setup!$I$15="No",0,AG128))</f>
        <v/>
      </c>
      <c r="AI128" s="192"/>
      <c r="AJ128" s="192"/>
      <c r="AK128" s="192"/>
      <c r="AL128" s="192"/>
      <c r="AM128" s="255" t="str">
        <f>IF(COUNTBLANK(AI128:AL128)=4,"",SUM(AI128:AK128)+IF(Setup!$I$15="No",0,AL128))</f>
        <v/>
      </c>
      <c r="AN128" s="192"/>
      <c r="AO128" s="192"/>
      <c r="AP128" s="192"/>
      <c r="AQ128" s="192"/>
      <c r="AR128" s="255" t="str">
        <f>IF(COUNTBLANK(AN128:AQ128)=4,"",SUM(AN128:AP128)+IF(Setup!$I$15="No",0,AQ128))</f>
        <v/>
      </c>
      <c r="AS128" s="192"/>
      <c r="AT128" s="192"/>
      <c r="AU128" s="192"/>
      <c r="AV128" s="192"/>
      <c r="AW128" s="255" t="str">
        <f>IF(COUNTBLANK(AS128:AV128)=4,"",SUM(AS128:AU128)+IF(Setup!$I$15="No",0,AV128))</f>
        <v/>
      </c>
      <c r="AX128" s="192"/>
      <c r="AY128" s="192"/>
      <c r="AZ128" s="192"/>
      <c r="BA128" s="192"/>
      <c r="BB128" s="255" t="str">
        <f>IF(COUNTBLANK(AX128:BA128)=4,"",SUM(AX128:AZ128)+IF(Setup!$I$15="No",0,BA128))</f>
        <v/>
      </c>
      <c r="BC128" s="259" t="str">
        <f ca="1">IF('Demand background (hide)'!A119=Num_Modalities,"",SUM(Demand!I128))</f>
        <v/>
      </c>
      <c r="BD128" s="259" t="str">
        <f ca="1">IF(AND(A128&lt;=MaxRows,BE128&lt;&gt;"Yes"),'Demand background (hide)'!X119+IF(Setup!$I$15="Yes",'Demand background (hide)'!AJ119,0),"")</f>
        <v/>
      </c>
      <c r="BE128" s="209"/>
    </row>
    <row r="129" spans="1:57" x14ac:dyDescent="0.25">
      <c r="A129" t="str">
        <f t="shared" ca="1" si="4"/>
        <v/>
      </c>
      <c r="B129" s="264" t="str">
        <f t="shared" ca="1" si="5"/>
        <v xml:space="preserve"> </v>
      </c>
      <c r="C129" s="265" t="str">
        <f t="shared" ca="1" si="6"/>
        <v/>
      </c>
      <c r="D129" s="350" t="str">
        <f t="shared" ca="1" si="7"/>
        <v/>
      </c>
      <c r="E129" s="192"/>
      <c r="F129" s="192"/>
      <c r="G129" s="192"/>
      <c r="H129" s="192"/>
      <c r="I129" s="251" t="str">
        <f>IF(COUNTBLANK(E129:H129)=4,"",SUM(E129:G129)+IF(Setup!$I$15="No",0,H129))</f>
        <v/>
      </c>
      <c r="J129" s="192"/>
      <c r="K129" s="192"/>
      <c r="L129" s="192"/>
      <c r="M129" s="192"/>
      <c r="N129" s="255" t="str">
        <f>IF(COUNTBLANK(J129:M129)=4,"",SUM(J129:L129)+IF(Setup!$I$15="No",0,M129))</f>
        <v/>
      </c>
      <c r="O129" s="192"/>
      <c r="P129" s="192"/>
      <c r="Q129" s="192"/>
      <c r="R129" s="192"/>
      <c r="S129" s="255" t="str">
        <f>IF(COUNTBLANK(O129:R129)=4,"",SUM(O129:Q129)+IF(Setup!$I$15="No",0,R129))</f>
        <v/>
      </c>
      <c r="T129" s="192"/>
      <c r="U129" s="192"/>
      <c r="V129" s="192"/>
      <c r="W129" s="192"/>
      <c r="X129" s="255" t="str">
        <f>IF(COUNTBLANK(T129:W129)=4,"",SUM(T129:V129)+IF(Setup!$I$15="No",0,W129))</f>
        <v/>
      </c>
      <c r="Y129" s="192"/>
      <c r="Z129" s="192"/>
      <c r="AA129" s="192"/>
      <c r="AB129" s="192"/>
      <c r="AC129" s="255" t="str">
        <f>IF(COUNTBLANK(Y129:AB129)=4,"",SUM(Y129:AA129)+IF(Setup!$I$15="No",0,AB129))</f>
        <v/>
      </c>
      <c r="AD129" s="192"/>
      <c r="AE129" s="192"/>
      <c r="AF129" s="192"/>
      <c r="AG129" s="192"/>
      <c r="AH129" s="255" t="str">
        <f>IF(COUNTBLANK(AD129:AG129)=4,"",SUM(AD129:AF129)+IF(Setup!$I$15="No",0,AG129))</f>
        <v/>
      </c>
      <c r="AI129" s="192"/>
      <c r="AJ129" s="192"/>
      <c r="AK129" s="192"/>
      <c r="AL129" s="192"/>
      <c r="AM129" s="255" t="str">
        <f>IF(COUNTBLANK(AI129:AL129)=4,"",SUM(AI129:AK129)+IF(Setup!$I$15="No",0,AL129))</f>
        <v/>
      </c>
      <c r="AN129" s="192"/>
      <c r="AO129" s="192"/>
      <c r="AP129" s="192"/>
      <c r="AQ129" s="192"/>
      <c r="AR129" s="255" t="str">
        <f>IF(COUNTBLANK(AN129:AQ129)=4,"",SUM(AN129:AP129)+IF(Setup!$I$15="No",0,AQ129))</f>
        <v/>
      </c>
      <c r="AS129" s="192"/>
      <c r="AT129" s="192"/>
      <c r="AU129" s="192"/>
      <c r="AV129" s="192"/>
      <c r="AW129" s="255" t="str">
        <f>IF(COUNTBLANK(AS129:AV129)=4,"",SUM(AS129:AU129)+IF(Setup!$I$15="No",0,AV129))</f>
        <v/>
      </c>
      <c r="AX129" s="192"/>
      <c r="AY129" s="192"/>
      <c r="AZ129" s="192"/>
      <c r="BA129" s="192"/>
      <c r="BB129" s="255" t="str">
        <f>IF(COUNTBLANK(AX129:BA129)=4,"",SUM(AX129:AZ129)+IF(Setup!$I$15="No",0,BA129))</f>
        <v/>
      </c>
      <c r="BC129" s="259" t="str">
        <f ca="1">IF('Demand background (hide)'!A120=Num_Modalities,"",SUM(Demand!I129))</f>
        <v/>
      </c>
      <c r="BD129" s="259" t="str">
        <f ca="1">IF(AND(A129&lt;=MaxRows,BE129&lt;&gt;"Yes"),'Demand background (hide)'!X120+IF(Setup!$I$15="Yes",'Demand background (hide)'!AJ120,0),"")</f>
        <v/>
      </c>
      <c r="BE129" s="209"/>
    </row>
    <row r="130" spans="1:57" x14ac:dyDescent="0.25">
      <c r="A130" t="str">
        <f t="shared" ca="1" si="4"/>
        <v/>
      </c>
      <c r="B130" s="264" t="str">
        <f t="shared" ca="1" si="5"/>
        <v xml:space="preserve"> </v>
      </c>
      <c r="C130" s="265" t="str">
        <f t="shared" ca="1" si="6"/>
        <v/>
      </c>
      <c r="D130" s="350" t="str">
        <f t="shared" ca="1" si="7"/>
        <v/>
      </c>
      <c r="E130" s="192"/>
      <c r="F130" s="192"/>
      <c r="G130" s="192"/>
      <c r="H130" s="192"/>
      <c r="I130" s="251" t="str">
        <f>IF(COUNTBLANK(E130:H130)=4,"",SUM(E130:G130)+IF(Setup!$I$15="No",0,H130))</f>
        <v/>
      </c>
      <c r="J130" s="192"/>
      <c r="K130" s="192"/>
      <c r="L130" s="192"/>
      <c r="M130" s="192"/>
      <c r="N130" s="255" t="str">
        <f>IF(COUNTBLANK(J130:M130)=4,"",SUM(J130:L130)+IF(Setup!$I$15="No",0,M130))</f>
        <v/>
      </c>
      <c r="O130" s="192"/>
      <c r="P130" s="192"/>
      <c r="Q130" s="192"/>
      <c r="R130" s="192"/>
      <c r="S130" s="255" t="str">
        <f>IF(COUNTBLANK(O130:R130)=4,"",SUM(O130:Q130)+IF(Setup!$I$15="No",0,R130))</f>
        <v/>
      </c>
      <c r="T130" s="192"/>
      <c r="U130" s="192"/>
      <c r="V130" s="192"/>
      <c r="W130" s="192"/>
      <c r="X130" s="255" t="str">
        <f>IF(COUNTBLANK(T130:W130)=4,"",SUM(T130:V130)+IF(Setup!$I$15="No",0,W130))</f>
        <v/>
      </c>
      <c r="Y130" s="192"/>
      <c r="Z130" s="192"/>
      <c r="AA130" s="192"/>
      <c r="AB130" s="192"/>
      <c r="AC130" s="255" t="str">
        <f>IF(COUNTBLANK(Y130:AB130)=4,"",SUM(Y130:AA130)+IF(Setup!$I$15="No",0,AB130))</f>
        <v/>
      </c>
      <c r="AD130" s="192"/>
      <c r="AE130" s="192"/>
      <c r="AF130" s="192"/>
      <c r="AG130" s="192"/>
      <c r="AH130" s="255" t="str">
        <f>IF(COUNTBLANK(AD130:AG130)=4,"",SUM(AD130:AF130)+IF(Setup!$I$15="No",0,AG130))</f>
        <v/>
      </c>
      <c r="AI130" s="192"/>
      <c r="AJ130" s="192"/>
      <c r="AK130" s="192"/>
      <c r="AL130" s="192"/>
      <c r="AM130" s="255" t="str">
        <f>IF(COUNTBLANK(AI130:AL130)=4,"",SUM(AI130:AK130)+IF(Setup!$I$15="No",0,AL130))</f>
        <v/>
      </c>
      <c r="AN130" s="192"/>
      <c r="AO130" s="192"/>
      <c r="AP130" s="192"/>
      <c r="AQ130" s="192"/>
      <c r="AR130" s="255" t="str">
        <f>IF(COUNTBLANK(AN130:AQ130)=4,"",SUM(AN130:AP130)+IF(Setup!$I$15="No",0,AQ130))</f>
        <v/>
      </c>
      <c r="AS130" s="192"/>
      <c r="AT130" s="192"/>
      <c r="AU130" s="192"/>
      <c r="AV130" s="192"/>
      <c r="AW130" s="255" t="str">
        <f>IF(COUNTBLANK(AS130:AV130)=4,"",SUM(AS130:AU130)+IF(Setup!$I$15="No",0,AV130))</f>
        <v/>
      </c>
      <c r="AX130" s="192"/>
      <c r="AY130" s="192"/>
      <c r="AZ130" s="192"/>
      <c r="BA130" s="192"/>
      <c r="BB130" s="255" t="str">
        <f>IF(COUNTBLANK(AX130:BA130)=4,"",SUM(AX130:AZ130)+IF(Setup!$I$15="No",0,BA130))</f>
        <v/>
      </c>
      <c r="BC130" s="259" t="str">
        <f ca="1">IF('Demand background (hide)'!A121=Num_Modalities,"",SUM(Demand!I130))</f>
        <v/>
      </c>
      <c r="BD130" s="259" t="str">
        <f ca="1">IF(AND(A130&lt;=MaxRows,BE130&lt;&gt;"Yes"),'Demand background (hide)'!X121+IF(Setup!$I$15="Yes",'Demand background (hide)'!AJ121,0),"")</f>
        <v/>
      </c>
      <c r="BE130" s="209"/>
    </row>
    <row r="131" spans="1:57" x14ac:dyDescent="0.25">
      <c r="A131" t="str">
        <f t="shared" ca="1" si="4"/>
        <v/>
      </c>
      <c r="B131" s="264" t="str">
        <f t="shared" ca="1" si="5"/>
        <v xml:space="preserve"> </v>
      </c>
      <c r="C131" s="265" t="str">
        <f t="shared" ca="1" si="6"/>
        <v/>
      </c>
      <c r="D131" s="350" t="str">
        <f t="shared" ca="1" si="7"/>
        <v/>
      </c>
      <c r="E131" s="192"/>
      <c r="F131" s="192"/>
      <c r="G131" s="192"/>
      <c r="H131" s="192"/>
      <c r="I131" s="251" t="str">
        <f>IF(COUNTBLANK(E131:H131)=4,"",SUM(E131:G131)+IF(Setup!$I$15="No",0,H131))</f>
        <v/>
      </c>
      <c r="J131" s="192"/>
      <c r="K131" s="192"/>
      <c r="L131" s="192"/>
      <c r="M131" s="192"/>
      <c r="N131" s="255" t="str">
        <f>IF(COUNTBLANK(J131:M131)=4,"",SUM(J131:L131)+IF(Setup!$I$15="No",0,M131))</f>
        <v/>
      </c>
      <c r="O131" s="192"/>
      <c r="P131" s="192"/>
      <c r="Q131" s="192"/>
      <c r="R131" s="192"/>
      <c r="S131" s="255" t="str">
        <f>IF(COUNTBLANK(O131:R131)=4,"",SUM(O131:Q131)+IF(Setup!$I$15="No",0,R131))</f>
        <v/>
      </c>
      <c r="T131" s="192"/>
      <c r="U131" s="192"/>
      <c r="V131" s="192"/>
      <c r="W131" s="192"/>
      <c r="X131" s="255" t="str">
        <f>IF(COUNTBLANK(T131:W131)=4,"",SUM(T131:V131)+IF(Setup!$I$15="No",0,W131))</f>
        <v/>
      </c>
      <c r="Y131" s="192"/>
      <c r="Z131" s="192"/>
      <c r="AA131" s="192"/>
      <c r="AB131" s="192"/>
      <c r="AC131" s="255" t="str">
        <f>IF(COUNTBLANK(Y131:AB131)=4,"",SUM(Y131:AA131)+IF(Setup!$I$15="No",0,AB131))</f>
        <v/>
      </c>
      <c r="AD131" s="192"/>
      <c r="AE131" s="192"/>
      <c r="AF131" s="192"/>
      <c r="AG131" s="192"/>
      <c r="AH131" s="255" t="str">
        <f>IF(COUNTBLANK(AD131:AG131)=4,"",SUM(AD131:AF131)+IF(Setup!$I$15="No",0,AG131))</f>
        <v/>
      </c>
      <c r="AI131" s="192"/>
      <c r="AJ131" s="192"/>
      <c r="AK131" s="192"/>
      <c r="AL131" s="192"/>
      <c r="AM131" s="255" t="str">
        <f>IF(COUNTBLANK(AI131:AL131)=4,"",SUM(AI131:AK131)+IF(Setup!$I$15="No",0,AL131))</f>
        <v/>
      </c>
      <c r="AN131" s="192"/>
      <c r="AO131" s="192"/>
      <c r="AP131" s="192"/>
      <c r="AQ131" s="192"/>
      <c r="AR131" s="255" t="str">
        <f>IF(COUNTBLANK(AN131:AQ131)=4,"",SUM(AN131:AP131)+IF(Setup!$I$15="No",0,AQ131))</f>
        <v/>
      </c>
      <c r="AS131" s="192"/>
      <c r="AT131" s="192"/>
      <c r="AU131" s="192"/>
      <c r="AV131" s="192"/>
      <c r="AW131" s="255" t="str">
        <f>IF(COUNTBLANK(AS131:AV131)=4,"",SUM(AS131:AU131)+IF(Setup!$I$15="No",0,AV131))</f>
        <v/>
      </c>
      <c r="AX131" s="192"/>
      <c r="AY131" s="192"/>
      <c r="AZ131" s="192"/>
      <c r="BA131" s="192"/>
      <c r="BB131" s="255" t="str">
        <f>IF(COUNTBLANK(AX131:BA131)=4,"",SUM(AX131:AZ131)+IF(Setup!$I$15="No",0,BA131))</f>
        <v/>
      </c>
      <c r="BC131" s="259" t="str">
        <f ca="1">IF('Demand background (hide)'!A122=Num_Modalities,"",SUM(Demand!I131))</f>
        <v/>
      </c>
      <c r="BD131" s="259" t="str">
        <f ca="1">IF(AND(A131&lt;=MaxRows,BE131&lt;&gt;"Yes"),'Demand background (hide)'!X122+IF(Setup!$I$15="Yes",'Demand background (hide)'!AJ122,0),"")</f>
        <v/>
      </c>
      <c r="BE131" s="209"/>
    </row>
    <row r="132" spans="1:57" x14ac:dyDescent="0.25">
      <c r="A132" t="str">
        <f t="shared" ca="1" si="4"/>
        <v/>
      </c>
      <c r="B132" s="264" t="str">
        <f t="shared" ca="1" si="5"/>
        <v xml:space="preserve"> </v>
      </c>
      <c r="C132" s="265" t="str">
        <f t="shared" ca="1" si="6"/>
        <v/>
      </c>
      <c r="D132" s="350" t="str">
        <f t="shared" ca="1" si="7"/>
        <v/>
      </c>
      <c r="E132" s="192"/>
      <c r="F132" s="192"/>
      <c r="G132" s="192"/>
      <c r="H132" s="192"/>
      <c r="I132" s="251" t="str">
        <f>IF(COUNTBLANK(E132:H132)=4,"",SUM(E132:G132)+IF(Setup!$I$15="No",0,H132))</f>
        <v/>
      </c>
      <c r="J132" s="192"/>
      <c r="K132" s="192"/>
      <c r="L132" s="192"/>
      <c r="M132" s="192"/>
      <c r="N132" s="255" t="str">
        <f>IF(COUNTBLANK(J132:M132)=4,"",SUM(J132:L132)+IF(Setup!$I$15="No",0,M132))</f>
        <v/>
      </c>
      <c r="O132" s="192"/>
      <c r="P132" s="192"/>
      <c r="Q132" s="192"/>
      <c r="R132" s="192"/>
      <c r="S132" s="255" t="str">
        <f>IF(COUNTBLANK(O132:R132)=4,"",SUM(O132:Q132)+IF(Setup!$I$15="No",0,R132))</f>
        <v/>
      </c>
      <c r="T132" s="192"/>
      <c r="U132" s="192"/>
      <c r="V132" s="192"/>
      <c r="W132" s="192"/>
      <c r="X132" s="255" t="str">
        <f>IF(COUNTBLANK(T132:W132)=4,"",SUM(T132:V132)+IF(Setup!$I$15="No",0,W132))</f>
        <v/>
      </c>
      <c r="Y132" s="192"/>
      <c r="Z132" s="192"/>
      <c r="AA132" s="192"/>
      <c r="AB132" s="192"/>
      <c r="AC132" s="255" t="str">
        <f>IF(COUNTBLANK(Y132:AB132)=4,"",SUM(Y132:AA132)+IF(Setup!$I$15="No",0,AB132))</f>
        <v/>
      </c>
      <c r="AD132" s="192"/>
      <c r="AE132" s="192"/>
      <c r="AF132" s="192"/>
      <c r="AG132" s="192"/>
      <c r="AH132" s="255" t="str">
        <f>IF(COUNTBLANK(AD132:AG132)=4,"",SUM(AD132:AF132)+IF(Setup!$I$15="No",0,AG132))</f>
        <v/>
      </c>
      <c r="AI132" s="192"/>
      <c r="AJ132" s="192"/>
      <c r="AK132" s="192"/>
      <c r="AL132" s="192"/>
      <c r="AM132" s="255" t="str">
        <f>IF(COUNTBLANK(AI132:AL132)=4,"",SUM(AI132:AK132)+IF(Setup!$I$15="No",0,AL132))</f>
        <v/>
      </c>
      <c r="AN132" s="192"/>
      <c r="AO132" s="192"/>
      <c r="AP132" s="192"/>
      <c r="AQ132" s="192"/>
      <c r="AR132" s="255" t="str">
        <f>IF(COUNTBLANK(AN132:AQ132)=4,"",SUM(AN132:AP132)+IF(Setup!$I$15="No",0,AQ132))</f>
        <v/>
      </c>
      <c r="AS132" s="192"/>
      <c r="AT132" s="192"/>
      <c r="AU132" s="192"/>
      <c r="AV132" s="192"/>
      <c r="AW132" s="255" t="str">
        <f>IF(COUNTBLANK(AS132:AV132)=4,"",SUM(AS132:AU132)+IF(Setup!$I$15="No",0,AV132))</f>
        <v/>
      </c>
      <c r="AX132" s="192"/>
      <c r="AY132" s="192"/>
      <c r="AZ132" s="192"/>
      <c r="BA132" s="192"/>
      <c r="BB132" s="255" t="str">
        <f>IF(COUNTBLANK(AX132:BA132)=4,"",SUM(AX132:AZ132)+IF(Setup!$I$15="No",0,BA132))</f>
        <v/>
      </c>
      <c r="BC132" s="259" t="str">
        <f ca="1">IF('Demand background (hide)'!A123=Num_Modalities,"",SUM(Demand!I132))</f>
        <v/>
      </c>
      <c r="BD132" s="259" t="str">
        <f ca="1">IF(AND(A132&lt;=MaxRows,BE132&lt;&gt;"Yes"),'Demand background (hide)'!X123+IF(Setup!$I$15="Yes",'Demand background (hide)'!AJ123,0),"")</f>
        <v/>
      </c>
      <c r="BE132" s="209"/>
    </row>
    <row r="133" spans="1:57" x14ac:dyDescent="0.25">
      <c r="A133" t="str">
        <f t="shared" ca="1" si="4"/>
        <v/>
      </c>
      <c r="B133" s="264" t="str">
        <f t="shared" ca="1" si="5"/>
        <v xml:space="preserve"> </v>
      </c>
      <c r="C133" s="265" t="str">
        <f t="shared" ca="1" si="6"/>
        <v/>
      </c>
      <c r="D133" s="350" t="str">
        <f t="shared" ca="1" si="7"/>
        <v/>
      </c>
      <c r="E133" s="192"/>
      <c r="F133" s="192"/>
      <c r="G133" s="192"/>
      <c r="H133" s="192"/>
      <c r="I133" s="251" t="str">
        <f>IF(COUNTBLANK(E133:H133)=4,"",SUM(E133:G133)+IF(Setup!$I$15="No",0,H133))</f>
        <v/>
      </c>
      <c r="J133" s="192"/>
      <c r="K133" s="192"/>
      <c r="L133" s="192"/>
      <c r="M133" s="192"/>
      <c r="N133" s="255" t="str">
        <f>IF(COUNTBLANK(J133:M133)=4,"",SUM(J133:L133)+IF(Setup!$I$15="No",0,M133))</f>
        <v/>
      </c>
      <c r="O133" s="192"/>
      <c r="P133" s="192"/>
      <c r="Q133" s="192"/>
      <c r="R133" s="192"/>
      <c r="S133" s="255" t="str">
        <f>IF(COUNTBLANK(O133:R133)=4,"",SUM(O133:Q133)+IF(Setup!$I$15="No",0,R133))</f>
        <v/>
      </c>
      <c r="T133" s="192"/>
      <c r="U133" s="192"/>
      <c r="V133" s="192"/>
      <c r="W133" s="192"/>
      <c r="X133" s="255" t="str">
        <f>IF(COUNTBLANK(T133:W133)=4,"",SUM(T133:V133)+IF(Setup!$I$15="No",0,W133))</f>
        <v/>
      </c>
      <c r="Y133" s="192"/>
      <c r="Z133" s="192"/>
      <c r="AA133" s="192"/>
      <c r="AB133" s="192"/>
      <c r="AC133" s="255" t="str">
        <f>IF(COUNTBLANK(Y133:AB133)=4,"",SUM(Y133:AA133)+IF(Setup!$I$15="No",0,AB133))</f>
        <v/>
      </c>
      <c r="AD133" s="192"/>
      <c r="AE133" s="192"/>
      <c r="AF133" s="192"/>
      <c r="AG133" s="192"/>
      <c r="AH133" s="255" t="str">
        <f>IF(COUNTBLANK(AD133:AG133)=4,"",SUM(AD133:AF133)+IF(Setup!$I$15="No",0,AG133))</f>
        <v/>
      </c>
      <c r="AI133" s="192"/>
      <c r="AJ133" s="192"/>
      <c r="AK133" s="192"/>
      <c r="AL133" s="192"/>
      <c r="AM133" s="255" t="str">
        <f>IF(COUNTBLANK(AI133:AL133)=4,"",SUM(AI133:AK133)+IF(Setup!$I$15="No",0,AL133))</f>
        <v/>
      </c>
      <c r="AN133" s="192"/>
      <c r="AO133" s="192"/>
      <c r="AP133" s="192"/>
      <c r="AQ133" s="192"/>
      <c r="AR133" s="255" t="str">
        <f>IF(COUNTBLANK(AN133:AQ133)=4,"",SUM(AN133:AP133)+IF(Setup!$I$15="No",0,AQ133))</f>
        <v/>
      </c>
      <c r="AS133" s="192"/>
      <c r="AT133" s="192"/>
      <c r="AU133" s="192"/>
      <c r="AV133" s="192"/>
      <c r="AW133" s="255" t="str">
        <f>IF(COUNTBLANK(AS133:AV133)=4,"",SUM(AS133:AU133)+IF(Setup!$I$15="No",0,AV133))</f>
        <v/>
      </c>
      <c r="AX133" s="192"/>
      <c r="AY133" s="192"/>
      <c r="AZ133" s="192"/>
      <c r="BA133" s="192"/>
      <c r="BB133" s="255" t="str">
        <f>IF(COUNTBLANK(AX133:BA133)=4,"",SUM(AX133:AZ133)+IF(Setup!$I$15="No",0,BA133))</f>
        <v/>
      </c>
      <c r="BC133" s="259" t="str">
        <f ca="1">IF('Demand background (hide)'!A124=Num_Modalities,"",SUM(Demand!I133))</f>
        <v/>
      </c>
      <c r="BD133" s="259" t="str">
        <f ca="1">IF(AND(A133&lt;=MaxRows,BE133&lt;&gt;"Yes"),'Demand background (hide)'!X124+IF(Setup!$I$15="Yes",'Demand background (hide)'!AJ124,0),"")</f>
        <v/>
      </c>
      <c r="BE133" s="209"/>
    </row>
    <row r="134" spans="1:57" x14ac:dyDescent="0.25">
      <c r="A134" t="str">
        <f t="shared" ca="1" si="4"/>
        <v/>
      </c>
      <c r="B134" s="264" t="str">
        <f t="shared" ca="1" si="5"/>
        <v xml:space="preserve"> </v>
      </c>
      <c r="C134" s="265" t="str">
        <f t="shared" ca="1" si="6"/>
        <v/>
      </c>
      <c r="D134" s="350" t="str">
        <f t="shared" ca="1" si="7"/>
        <v/>
      </c>
      <c r="E134" s="192"/>
      <c r="F134" s="192"/>
      <c r="G134" s="192"/>
      <c r="H134" s="192"/>
      <c r="I134" s="251" t="str">
        <f>IF(COUNTBLANK(E134:H134)=4,"",SUM(E134:G134)+IF(Setup!$I$15="No",0,H134))</f>
        <v/>
      </c>
      <c r="J134" s="192"/>
      <c r="K134" s="192"/>
      <c r="L134" s="192"/>
      <c r="M134" s="192"/>
      <c r="N134" s="255" t="str">
        <f>IF(COUNTBLANK(J134:M134)=4,"",SUM(J134:L134)+IF(Setup!$I$15="No",0,M134))</f>
        <v/>
      </c>
      <c r="O134" s="192"/>
      <c r="P134" s="192"/>
      <c r="Q134" s="192"/>
      <c r="R134" s="192"/>
      <c r="S134" s="255" t="str">
        <f>IF(COUNTBLANK(O134:R134)=4,"",SUM(O134:Q134)+IF(Setup!$I$15="No",0,R134))</f>
        <v/>
      </c>
      <c r="T134" s="192"/>
      <c r="U134" s="192"/>
      <c r="V134" s="192"/>
      <c r="W134" s="192"/>
      <c r="X134" s="255" t="str">
        <f>IF(COUNTBLANK(T134:W134)=4,"",SUM(T134:V134)+IF(Setup!$I$15="No",0,W134))</f>
        <v/>
      </c>
      <c r="Y134" s="192"/>
      <c r="Z134" s="192"/>
      <c r="AA134" s="192"/>
      <c r="AB134" s="192"/>
      <c r="AC134" s="255" t="str">
        <f>IF(COUNTBLANK(Y134:AB134)=4,"",SUM(Y134:AA134)+IF(Setup!$I$15="No",0,AB134))</f>
        <v/>
      </c>
      <c r="AD134" s="192"/>
      <c r="AE134" s="192"/>
      <c r="AF134" s="192"/>
      <c r="AG134" s="192"/>
      <c r="AH134" s="255" t="str">
        <f>IF(COUNTBLANK(AD134:AG134)=4,"",SUM(AD134:AF134)+IF(Setup!$I$15="No",0,AG134))</f>
        <v/>
      </c>
      <c r="AI134" s="192"/>
      <c r="AJ134" s="192"/>
      <c r="AK134" s="192"/>
      <c r="AL134" s="192"/>
      <c r="AM134" s="255" t="str">
        <f>IF(COUNTBLANK(AI134:AL134)=4,"",SUM(AI134:AK134)+IF(Setup!$I$15="No",0,AL134))</f>
        <v/>
      </c>
      <c r="AN134" s="192"/>
      <c r="AO134" s="192"/>
      <c r="AP134" s="192"/>
      <c r="AQ134" s="192"/>
      <c r="AR134" s="255" t="str">
        <f>IF(COUNTBLANK(AN134:AQ134)=4,"",SUM(AN134:AP134)+IF(Setup!$I$15="No",0,AQ134))</f>
        <v/>
      </c>
      <c r="AS134" s="192"/>
      <c r="AT134" s="192"/>
      <c r="AU134" s="192"/>
      <c r="AV134" s="192"/>
      <c r="AW134" s="255" t="str">
        <f>IF(COUNTBLANK(AS134:AV134)=4,"",SUM(AS134:AU134)+IF(Setup!$I$15="No",0,AV134))</f>
        <v/>
      </c>
      <c r="AX134" s="192"/>
      <c r="AY134" s="192"/>
      <c r="AZ134" s="192"/>
      <c r="BA134" s="192"/>
      <c r="BB134" s="255" t="str">
        <f>IF(COUNTBLANK(AX134:BA134)=4,"",SUM(AX134:AZ134)+IF(Setup!$I$15="No",0,BA134))</f>
        <v/>
      </c>
      <c r="BC134" s="259" t="str">
        <f ca="1">IF('Demand background (hide)'!A125=Num_Modalities,"",SUM(Demand!I134))</f>
        <v/>
      </c>
      <c r="BD134" s="259" t="str">
        <f ca="1">IF(AND(A134&lt;=MaxRows,BE134&lt;&gt;"Yes"),'Demand background (hide)'!X125+IF(Setup!$I$15="Yes",'Demand background (hide)'!AJ125,0),"")</f>
        <v/>
      </c>
      <c r="BE134" s="209"/>
    </row>
    <row r="135" spans="1:57" x14ac:dyDescent="0.25">
      <c r="A135" t="str">
        <f t="shared" ca="1" si="4"/>
        <v/>
      </c>
      <c r="B135" s="264" t="str">
        <f t="shared" ca="1" si="5"/>
        <v xml:space="preserve"> </v>
      </c>
      <c r="C135" s="265" t="str">
        <f t="shared" ca="1" si="6"/>
        <v/>
      </c>
      <c r="D135" s="350" t="str">
        <f t="shared" ca="1" si="7"/>
        <v/>
      </c>
      <c r="E135" s="192"/>
      <c r="F135" s="192"/>
      <c r="G135" s="192"/>
      <c r="H135" s="192"/>
      <c r="I135" s="251" t="str">
        <f>IF(COUNTBLANK(E135:H135)=4,"",SUM(E135:G135)+IF(Setup!$I$15="No",0,H135))</f>
        <v/>
      </c>
      <c r="J135" s="192"/>
      <c r="K135" s="192"/>
      <c r="L135" s="192"/>
      <c r="M135" s="192"/>
      <c r="N135" s="255" t="str">
        <f>IF(COUNTBLANK(J135:M135)=4,"",SUM(J135:L135)+IF(Setup!$I$15="No",0,M135))</f>
        <v/>
      </c>
      <c r="O135" s="192"/>
      <c r="P135" s="192"/>
      <c r="Q135" s="192"/>
      <c r="R135" s="192"/>
      <c r="S135" s="255" t="str">
        <f>IF(COUNTBLANK(O135:R135)=4,"",SUM(O135:Q135)+IF(Setup!$I$15="No",0,R135))</f>
        <v/>
      </c>
      <c r="T135" s="192"/>
      <c r="U135" s="192"/>
      <c r="V135" s="192"/>
      <c r="W135" s="192"/>
      <c r="X135" s="255" t="str">
        <f>IF(COUNTBLANK(T135:W135)=4,"",SUM(T135:V135)+IF(Setup!$I$15="No",0,W135))</f>
        <v/>
      </c>
      <c r="Y135" s="192"/>
      <c r="Z135" s="192"/>
      <c r="AA135" s="192"/>
      <c r="AB135" s="192"/>
      <c r="AC135" s="255" t="str">
        <f>IF(COUNTBLANK(Y135:AB135)=4,"",SUM(Y135:AA135)+IF(Setup!$I$15="No",0,AB135))</f>
        <v/>
      </c>
      <c r="AD135" s="192"/>
      <c r="AE135" s="192"/>
      <c r="AF135" s="192"/>
      <c r="AG135" s="192"/>
      <c r="AH135" s="255" t="str">
        <f>IF(COUNTBLANK(AD135:AG135)=4,"",SUM(AD135:AF135)+IF(Setup!$I$15="No",0,AG135))</f>
        <v/>
      </c>
      <c r="AI135" s="192"/>
      <c r="AJ135" s="192"/>
      <c r="AK135" s="192"/>
      <c r="AL135" s="192"/>
      <c r="AM135" s="255" t="str">
        <f>IF(COUNTBLANK(AI135:AL135)=4,"",SUM(AI135:AK135)+IF(Setup!$I$15="No",0,AL135))</f>
        <v/>
      </c>
      <c r="AN135" s="192"/>
      <c r="AO135" s="192"/>
      <c r="AP135" s="192"/>
      <c r="AQ135" s="192"/>
      <c r="AR135" s="255" t="str">
        <f>IF(COUNTBLANK(AN135:AQ135)=4,"",SUM(AN135:AP135)+IF(Setup!$I$15="No",0,AQ135))</f>
        <v/>
      </c>
      <c r="AS135" s="192"/>
      <c r="AT135" s="192"/>
      <c r="AU135" s="192"/>
      <c r="AV135" s="192"/>
      <c r="AW135" s="255" t="str">
        <f>IF(COUNTBLANK(AS135:AV135)=4,"",SUM(AS135:AU135)+IF(Setup!$I$15="No",0,AV135))</f>
        <v/>
      </c>
      <c r="AX135" s="192"/>
      <c r="AY135" s="192"/>
      <c r="AZ135" s="192"/>
      <c r="BA135" s="192"/>
      <c r="BB135" s="255" t="str">
        <f>IF(COUNTBLANK(AX135:BA135)=4,"",SUM(AX135:AZ135)+IF(Setup!$I$15="No",0,BA135))</f>
        <v/>
      </c>
      <c r="BC135" s="259" t="str">
        <f ca="1">IF('Demand background (hide)'!A126=Num_Modalities,"",SUM(Demand!I135))</f>
        <v/>
      </c>
      <c r="BD135" s="259" t="str">
        <f ca="1">IF(AND(A135&lt;=MaxRows,BE135&lt;&gt;"Yes"),'Demand background (hide)'!X126+IF(Setup!$I$15="Yes",'Demand background (hide)'!AJ126,0),"")</f>
        <v/>
      </c>
      <c r="BE135" s="209"/>
    </row>
    <row r="136" spans="1:57" x14ac:dyDescent="0.25">
      <c r="A136" t="str">
        <f t="shared" ca="1" si="4"/>
        <v/>
      </c>
      <c r="B136" s="264" t="str">
        <f t="shared" ca="1" si="5"/>
        <v xml:space="preserve"> </v>
      </c>
      <c r="C136" s="265" t="str">
        <f t="shared" ca="1" si="6"/>
        <v/>
      </c>
      <c r="D136" s="350" t="str">
        <f t="shared" ca="1" si="7"/>
        <v/>
      </c>
      <c r="E136" s="192"/>
      <c r="F136" s="192"/>
      <c r="G136" s="192"/>
      <c r="H136" s="192"/>
      <c r="I136" s="251" t="str">
        <f>IF(COUNTBLANK(E136:H136)=4,"",SUM(E136:G136)+IF(Setup!$I$15="No",0,H136))</f>
        <v/>
      </c>
      <c r="J136" s="192"/>
      <c r="K136" s="192"/>
      <c r="L136" s="192"/>
      <c r="M136" s="192"/>
      <c r="N136" s="255" t="str">
        <f>IF(COUNTBLANK(J136:M136)=4,"",SUM(J136:L136)+IF(Setup!$I$15="No",0,M136))</f>
        <v/>
      </c>
      <c r="O136" s="192"/>
      <c r="P136" s="192"/>
      <c r="Q136" s="192"/>
      <c r="R136" s="192"/>
      <c r="S136" s="255" t="str">
        <f>IF(COUNTBLANK(O136:R136)=4,"",SUM(O136:Q136)+IF(Setup!$I$15="No",0,R136))</f>
        <v/>
      </c>
      <c r="T136" s="192"/>
      <c r="U136" s="192"/>
      <c r="V136" s="192"/>
      <c r="W136" s="192"/>
      <c r="X136" s="255" t="str">
        <f>IF(COUNTBLANK(T136:W136)=4,"",SUM(T136:V136)+IF(Setup!$I$15="No",0,W136))</f>
        <v/>
      </c>
      <c r="Y136" s="192"/>
      <c r="Z136" s="192"/>
      <c r="AA136" s="192"/>
      <c r="AB136" s="192"/>
      <c r="AC136" s="255" t="str">
        <f>IF(COUNTBLANK(Y136:AB136)=4,"",SUM(Y136:AA136)+IF(Setup!$I$15="No",0,AB136))</f>
        <v/>
      </c>
      <c r="AD136" s="192"/>
      <c r="AE136" s="192"/>
      <c r="AF136" s="192"/>
      <c r="AG136" s="192"/>
      <c r="AH136" s="255" t="str">
        <f>IF(COUNTBLANK(AD136:AG136)=4,"",SUM(AD136:AF136)+IF(Setup!$I$15="No",0,AG136))</f>
        <v/>
      </c>
      <c r="AI136" s="192"/>
      <c r="AJ136" s="192"/>
      <c r="AK136" s="192"/>
      <c r="AL136" s="192"/>
      <c r="AM136" s="255" t="str">
        <f>IF(COUNTBLANK(AI136:AL136)=4,"",SUM(AI136:AK136)+IF(Setup!$I$15="No",0,AL136))</f>
        <v/>
      </c>
      <c r="AN136" s="192"/>
      <c r="AO136" s="192"/>
      <c r="AP136" s="192"/>
      <c r="AQ136" s="192"/>
      <c r="AR136" s="255" t="str">
        <f>IF(COUNTBLANK(AN136:AQ136)=4,"",SUM(AN136:AP136)+IF(Setup!$I$15="No",0,AQ136))</f>
        <v/>
      </c>
      <c r="AS136" s="192"/>
      <c r="AT136" s="192"/>
      <c r="AU136" s="192"/>
      <c r="AV136" s="192"/>
      <c r="AW136" s="255" t="str">
        <f>IF(COUNTBLANK(AS136:AV136)=4,"",SUM(AS136:AU136)+IF(Setup!$I$15="No",0,AV136))</f>
        <v/>
      </c>
      <c r="AX136" s="192"/>
      <c r="AY136" s="192"/>
      <c r="AZ136" s="192"/>
      <c r="BA136" s="192"/>
      <c r="BB136" s="255" t="str">
        <f>IF(COUNTBLANK(AX136:BA136)=4,"",SUM(AX136:AZ136)+IF(Setup!$I$15="No",0,BA136))</f>
        <v/>
      </c>
      <c r="BC136" s="259" t="str">
        <f ca="1">IF('Demand background (hide)'!A127=Num_Modalities,"",SUM(Demand!I136))</f>
        <v/>
      </c>
      <c r="BD136" s="259" t="str">
        <f ca="1">IF(AND(A136&lt;=MaxRows,BE136&lt;&gt;"Yes"),'Demand background (hide)'!X127+IF(Setup!$I$15="Yes",'Demand background (hide)'!AJ127,0),"")</f>
        <v/>
      </c>
      <c r="BE136" s="209"/>
    </row>
    <row r="137" spans="1:57" x14ac:dyDescent="0.25">
      <c r="A137" t="str">
        <f t="shared" ca="1" si="4"/>
        <v/>
      </c>
      <c r="B137" s="264" t="str">
        <f t="shared" ca="1" si="5"/>
        <v xml:space="preserve"> </v>
      </c>
      <c r="C137" s="265" t="str">
        <f t="shared" ca="1" si="6"/>
        <v/>
      </c>
      <c r="D137" s="350" t="str">
        <f t="shared" ca="1" si="7"/>
        <v/>
      </c>
      <c r="E137" s="192"/>
      <c r="F137" s="192"/>
      <c r="G137" s="192"/>
      <c r="H137" s="192"/>
      <c r="I137" s="251" t="str">
        <f>IF(COUNTBLANK(E137:H137)=4,"",SUM(E137:G137)+IF(Setup!$I$15="No",0,H137))</f>
        <v/>
      </c>
      <c r="J137" s="192"/>
      <c r="K137" s="192"/>
      <c r="L137" s="192"/>
      <c r="M137" s="192"/>
      <c r="N137" s="255" t="str">
        <f>IF(COUNTBLANK(J137:M137)=4,"",SUM(J137:L137)+IF(Setup!$I$15="No",0,M137))</f>
        <v/>
      </c>
      <c r="O137" s="192"/>
      <c r="P137" s="192"/>
      <c r="Q137" s="192"/>
      <c r="R137" s="192"/>
      <c r="S137" s="255" t="str">
        <f>IF(COUNTBLANK(O137:R137)=4,"",SUM(O137:Q137)+IF(Setup!$I$15="No",0,R137))</f>
        <v/>
      </c>
      <c r="T137" s="192"/>
      <c r="U137" s="192"/>
      <c r="V137" s="192"/>
      <c r="W137" s="192"/>
      <c r="X137" s="255" t="str">
        <f>IF(COUNTBLANK(T137:W137)=4,"",SUM(T137:V137)+IF(Setup!$I$15="No",0,W137))</f>
        <v/>
      </c>
      <c r="Y137" s="192"/>
      <c r="Z137" s="192"/>
      <c r="AA137" s="192"/>
      <c r="AB137" s="192"/>
      <c r="AC137" s="255" t="str">
        <f>IF(COUNTBLANK(Y137:AB137)=4,"",SUM(Y137:AA137)+IF(Setup!$I$15="No",0,AB137))</f>
        <v/>
      </c>
      <c r="AD137" s="192"/>
      <c r="AE137" s="192"/>
      <c r="AF137" s="192"/>
      <c r="AG137" s="192"/>
      <c r="AH137" s="255" t="str">
        <f>IF(COUNTBLANK(AD137:AG137)=4,"",SUM(AD137:AF137)+IF(Setup!$I$15="No",0,AG137))</f>
        <v/>
      </c>
      <c r="AI137" s="192"/>
      <c r="AJ137" s="192"/>
      <c r="AK137" s="192"/>
      <c r="AL137" s="192"/>
      <c r="AM137" s="255" t="str">
        <f>IF(COUNTBLANK(AI137:AL137)=4,"",SUM(AI137:AK137)+IF(Setup!$I$15="No",0,AL137))</f>
        <v/>
      </c>
      <c r="AN137" s="192"/>
      <c r="AO137" s="192"/>
      <c r="AP137" s="192"/>
      <c r="AQ137" s="192"/>
      <c r="AR137" s="255" t="str">
        <f>IF(COUNTBLANK(AN137:AQ137)=4,"",SUM(AN137:AP137)+IF(Setup!$I$15="No",0,AQ137))</f>
        <v/>
      </c>
      <c r="AS137" s="192"/>
      <c r="AT137" s="192"/>
      <c r="AU137" s="192"/>
      <c r="AV137" s="192"/>
      <c r="AW137" s="255" t="str">
        <f>IF(COUNTBLANK(AS137:AV137)=4,"",SUM(AS137:AU137)+IF(Setup!$I$15="No",0,AV137))</f>
        <v/>
      </c>
      <c r="AX137" s="192"/>
      <c r="AY137" s="192"/>
      <c r="AZ137" s="192"/>
      <c r="BA137" s="192"/>
      <c r="BB137" s="255" t="str">
        <f>IF(COUNTBLANK(AX137:BA137)=4,"",SUM(AX137:AZ137)+IF(Setup!$I$15="No",0,BA137))</f>
        <v/>
      </c>
      <c r="BC137" s="259" t="str">
        <f ca="1">IF('Demand background (hide)'!A128=Num_Modalities,"",SUM(Demand!I137))</f>
        <v/>
      </c>
      <c r="BD137" s="259" t="str">
        <f ca="1">IF(AND(A137&lt;=MaxRows,BE137&lt;&gt;"Yes"),'Demand background (hide)'!X128+IF(Setup!$I$15="Yes",'Demand background (hide)'!AJ128,0),"")</f>
        <v/>
      </c>
      <c r="BE137" s="209"/>
    </row>
    <row r="138" spans="1:57" x14ac:dyDescent="0.25">
      <c r="A138" t="str">
        <f t="shared" ca="1" si="4"/>
        <v/>
      </c>
      <c r="B138" s="264" t="str">
        <f t="shared" ca="1" si="5"/>
        <v xml:space="preserve"> </v>
      </c>
      <c r="C138" s="265" t="str">
        <f t="shared" ca="1" si="6"/>
        <v/>
      </c>
      <c r="D138" s="350" t="str">
        <f t="shared" ca="1" si="7"/>
        <v/>
      </c>
      <c r="E138" s="192"/>
      <c r="F138" s="192"/>
      <c r="G138" s="192"/>
      <c r="H138" s="192"/>
      <c r="I138" s="251" t="str">
        <f>IF(COUNTBLANK(E138:H138)=4,"",SUM(E138:G138)+IF(Setup!$I$15="No",0,H138))</f>
        <v/>
      </c>
      <c r="J138" s="192"/>
      <c r="K138" s="192"/>
      <c r="L138" s="192"/>
      <c r="M138" s="192"/>
      <c r="N138" s="255" t="str">
        <f>IF(COUNTBLANK(J138:M138)=4,"",SUM(J138:L138)+IF(Setup!$I$15="No",0,M138))</f>
        <v/>
      </c>
      <c r="O138" s="192"/>
      <c r="P138" s="192"/>
      <c r="Q138" s="192"/>
      <c r="R138" s="192"/>
      <c r="S138" s="255" t="str">
        <f>IF(COUNTBLANK(O138:R138)=4,"",SUM(O138:Q138)+IF(Setup!$I$15="No",0,R138))</f>
        <v/>
      </c>
      <c r="T138" s="192"/>
      <c r="U138" s="192"/>
      <c r="V138" s="192"/>
      <c r="W138" s="192"/>
      <c r="X138" s="255" t="str">
        <f>IF(COUNTBLANK(T138:W138)=4,"",SUM(T138:V138)+IF(Setup!$I$15="No",0,W138))</f>
        <v/>
      </c>
      <c r="Y138" s="192"/>
      <c r="Z138" s="192"/>
      <c r="AA138" s="192"/>
      <c r="AB138" s="192"/>
      <c r="AC138" s="255" t="str">
        <f>IF(COUNTBLANK(Y138:AB138)=4,"",SUM(Y138:AA138)+IF(Setup!$I$15="No",0,AB138))</f>
        <v/>
      </c>
      <c r="AD138" s="192"/>
      <c r="AE138" s="192"/>
      <c r="AF138" s="192"/>
      <c r="AG138" s="192"/>
      <c r="AH138" s="255" t="str">
        <f>IF(COUNTBLANK(AD138:AG138)=4,"",SUM(AD138:AF138)+IF(Setup!$I$15="No",0,AG138))</f>
        <v/>
      </c>
      <c r="AI138" s="192"/>
      <c r="AJ138" s="192"/>
      <c r="AK138" s="192"/>
      <c r="AL138" s="192"/>
      <c r="AM138" s="255" t="str">
        <f>IF(COUNTBLANK(AI138:AL138)=4,"",SUM(AI138:AK138)+IF(Setup!$I$15="No",0,AL138))</f>
        <v/>
      </c>
      <c r="AN138" s="192"/>
      <c r="AO138" s="192"/>
      <c r="AP138" s="192"/>
      <c r="AQ138" s="192"/>
      <c r="AR138" s="255" t="str">
        <f>IF(COUNTBLANK(AN138:AQ138)=4,"",SUM(AN138:AP138)+IF(Setup!$I$15="No",0,AQ138))</f>
        <v/>
      </c>
      <c r="AS138" s="192"/>
      <c r="AT138" s="192"/>
      <c r="AU138" s="192"/>
      <c r="AV138" s="192"/>
      <c r="AW138" s="255" t="str">
        <f>IF(COUNTBLANK(AS138:AV138)=4,"",SUM(AS138:AU138)+IF(Setup!$I$15="No",0,AV138))</f>
        <v/>
      </c>
      <c r="AX138" s="192"/>
      <c r="AY138" s="192"/>
      <c r="AZ138" s="192"/>
      <c r="BA138" s="192"/>
      <c r="BB138" s="255" t="str">
        <f>IF(COUNTBLANK(AX138:BA138)=4,"",SUM(AX138:AZ138)+IF(Setup!$I$15="No",0,BA138))</f>
        <v/>
      </c>
      <c r="BC138" s="259" t="str">
        <f ca="1">IF('Demand background (hide)'!A129=Num_Modalities,"",SUM(Demand!I138))</f>
        <v/>
      </c>
      <c r="BD138" s="259" t="str">
        <f ca="1">IF(AND(A138&lt;=MaxRows,BE138&lt;&gt;"Yes"),'Demand background (hide)'!X129+IF(Setup!$I$15="Yes",'Demand background (hide)'!AJ129,0),"")</f>
        <v/>
      </c>
      <c r="BE138" s="209"/>
    </row>
    <row r="139" spans="1:57" x14ac:dyDescent="0.25">
      <c r="A139" t="str">
        <f t="shared" ca="1" si="4"/>
        <v/>
      </c>
      <c r="B139" s="264" t="str">
        <f t="shared" ca="1" si="5"/>
        <v xml:space="preserve"> </v>
      </c>
      <c r="C139" s="265" t="str">
        <f t="shared" ca="1" si="6"/>
        <v/>
      </c>
      <c r="D139" s="350" t="str">
        <f t="shared" ca="1" si="7"/>
        <v/>
      </c>
      <c r="E139" s="192"/>
      <c r="F139" s="192"/>
      <c r="G139" s="192"/>
      <c r="H139" s="192"/>
      <c r="I139" s="251" t="str">
        <f>IF(COUNTBLANK(E139:H139)=4,"",SUM(E139:G139)+IF(Setup!$I$15="No",0,H139))</f>
        <v/>
      </c>
      <c r="J139" s="192"/>
      <c r="K139" s="192"/>
      <c r="L139" s="192"/>
      <c r="M139" s="192"/>
      <c r="N139" s="255" t="str">
        <f>IF(COUNTBLANK(J139:M139)=4,"",SUM(J139:L139)+IF(Setup!$I$15="No",0,M139))</f>
        <v/>
      </c>
      <c r="O139" s="192"/>
      <c r="P139" s="192"/>
      <c r="Q139" s="192"/>
      <c r="R139" s="192"/>
      <c r="S139" s="255" t="str">
        <f>IF(COUNTBLANK(O139:R139)=4,"",SUM(O139:Q139)+IF(Setup!$I$15="No",0,R139))</f>
        <v/>
      </c>
      <c r="T139" s="192"/>
      <c r="U139" s="192"/>
      <c r="V139" s="192"/>
      <c r="W139" s="192"/>
      <c r="X139" s="255" t="str">
        <f>IF(COUNTBLANK(T139:W139)=4,"",SUM(T139:V139)+IF(Setup!$I$15="No",0,W139))</f>
        <v/>
      </c>
      <c r="Y139" s="192"/>
      <c r="Z139" s="192"/>
      <c r="AA139" s="192"/>
      <c r="AB139" s="192"/>
      <c r="AC139" s="255" t="str">
        <f>IF(COUNTBLANK(Y139:AB139)=4,"",SUM(Y139:AA139)+IF(Setup!$I$15="No",0,AB139))</f>
        <v/>
      </c>
      <c r="AD139" s="192"/>
      <c r="AE139" s="192"/>
      <c r="AF139" s="192"/>
      <c r="AG139" s="192"/>
      <c r="AH139" s="255" t="str">
        <f>IF(COUNTBLANK(AD139:AG139)=4,"",SUM(AD139:AF139)+IF(Setup!$I$15="No",0,AG139))</f>
        <v/>
      </c>
      <c r="AI139" s="192"/>
      <c r="AJ139" s="192"/>
      <c r="AK139" s="192"/>
      <c r="AL139" s="192"/>
      <c r="AM139" s="255" t="str">
        <f>IF(COUNTBLANK(AI139:AL139)=4,"",SUM(AI139:AK139)+IF(Setup!$I$15="No",0,AL139))</f>
        <v/>
      </c>
      <c r="AN139" s="192"/>
      <c r="AO139" s="192"/>
      <c r="AP139" s="192"/>
      <c r="AQ139" s="192"/>
      <c r="AR139" s="255" t="str">
        <f>IF(COUNTBLANK(AN139:AQ139)=4,"",SUM(AN139:AP139)+IF(Setup!$I$15="No",0,AQ139))</f>
        <v/>
      </c>
      <c r="AS139" s="192"/>
      <c r="AT139" s="192"/>
      <c r="AU139" s="192"/>
      <c r="AV139" s="192"/>
      <c r="AW139" s="255" t="str">
        <f>IF(COUNTBLANK(AS139:AV139)=4,"",SUM(AS139:AU139)+IF(Setup!$I$15="No",0,AV139))</f>
        <v/>
      </c>
      <c r="AX139" s="192"/>
      <c r="AY139" s="192"/>
      <c r="AZ139" s="192"/>
      <c r="BA139" s="192"/>
      <c r="BB139" s="255" t="str">
        <f>IF(COUNTBLANK(AX139:BA139)=4,"",SUM(AX139:AZ139)+IF(Setup!$I$15="No",0,BA139))</f>
        <v/>
      </c>
      <c r="BC139" s="259" t="str">
        <f ca="1">IF('Demand background (hide)'!A130=Num_Modalities,"",SUM(Demand!I139))</f>
        <v/>
      </c>
      <c r="BD139" s="259" t="str">
        <f ca="1">IF(AND(A139&lt;=MaxRows,BE139&lt;&gt;"Yes"),'Demand background (hide)'!X130+IF(Setup!$I$15="Yes",'Demand background (hide)'!AJ130,0),"")</f>
        <v/>
      </c>
      <c r="BE139" s="209"/>
    </row>
    <row r="140" spans="1:57" x14ac:dyDescent="0.25">
      <c r="A140" t="str">
        <f t="shared" ca="1" si="4"/>
        <v/>
      </c>
      <c r="B140" s="264" t="str">
        <f t="shared" ca="1" si="5"/>
        <v xml:space="preserve"> </v>
      </c>
      <c r="C140" s="265" t="str">
        <f t="shared" ca="1" si="6"/>
        <v/>
      </c>
      <c r="D140" s="350" t="str">
        <f t="shared" ca="1" si="7"/>
        <v/>
      </c>
      <c r="E140" s="192"/>
      <c r="F140" s="192"/>
      <c r="G140" s="192"/>
      <c r="H140" s="192"/>
      <c r="I140" s="251" t="str">
        <f>IF(COUNTBLANK(E140:H140)=4,"",SUM(E140:G140)+IF(Setup!$I$15="No",0,H140))</f>
        <v/>
      </c>
      <c r="J140" s="192"/>
      <c r="K140" s="192"/>
      <c r="L140" s="192"/>
      <c r="M140" s="192"/>
      <c r="N140" s="255" t="str">
        <f>IF(COUNTBLANK(J140:M140)=4,"",SUM(J140:L140)+IF(Setup!$I$15="No",0,M140))</f>
        <v/>
      </c>
      <c r="O140" s="192"/>
      <c r="P140" s="192"/>
      <c r="Q140" s="192"/>
      <c r="R140" s="192"/>
      <c r="S140" s="255" t="str">
        <f>IF(COUNTBLANK(O140:R140)=4,"",SUM(O140:Q140)+IF(Setup!$I$15="No",0,R140))</f>
        <v/>
      </c>
      <c r="T140" s="192"/>
      <c r="U140" s="192"/>
      <c r="V140" s="192"/>
      <c r="W140" s="192"/>
      <c r="X140" s="255" t="str">
        <f>IF(COUNTBLANK(T140:W140)=4,"",SUM(T140:V140)+IF(Setup!$I$15="No",0,W140))</f>
        <v/>
      </c>
      <c r="Y140" s="192"/>
      <c r="Z140" s="192"/>
      <c r="AA140" s="192"/>
      <c r="AB140" s="192"/>
      <c r="AC140" s="255" t="str">
        <f>IF(COUNTBLANK(Y140:AB140)=4,"",SUM(Y140:AA140)+IF(Setup!$I$15="No",0,AB140))</f>
        <v/>
      </c>
      <c r="AD140" s="192"/>
      <c r="AE140" s="192"/>
      <c r="AF140" s="192"/>
      <c r="AG140" s="192"/>
      <c r="AH140" s="255" t="str">
        <f>IF(COUNTBLANK(AD140:AG140)=4,"",SUM(AD140:AF140)+IF(Setup!$I$15="No",0,AG140))</f>
        <v/>
      </c>
      <c r="AI140" s="192"/>
      <c r="AJ140" s="192"/>
      <c r="AK140" s="192"/>
      <c r="AL140" s="192"/>
      <c r="AM140" s="255" t="str">
        <f>IF(COUNTBLANK(AI140:AL140)=4,"",SUM(AI140:AK140)+IF(Setup!$I$15="No",0,AL140))</f>
        <v/>
      </c>
      <c r="AN140" s="192"/>
      <c r="AO140" s="192"/>
      <c r="AP140" s="192"/>
      <c r="AQ140" s="192"/>
      <c r="AR140" s="255" t="str">
        <f>IF(COUNTBLANK(AN140:AQ140)=4,"",SUM(AN140:AP140)+IF(Setup!$I$15="No",0,AQ140))</f>
        <v/>
      </c>
      <c r="AS140" s="192"/>
      <c r="AT140" s="192"/>
      <c r="AU140" s="192"/>
      <c r="AV140" s="192"/>
      <c r="AW140" s="255" t="str">
        <f>IF(COUNTBLANK(AS140:AV140)=4,"",SUM(AS140:AU140)+IF(Setup!$I$15="No",0,AV140))</f>
        <v/>
      </c>
      <c r="AX140" s="192"/>
      <c r="AY140" s="192"/>
      <c r="AZ140" s="192"/>
      <c r="BA140" s="192"/>
      <c r="BB140" s="255" t="str">
        <f>IF(COUNTBLANK(AX140:BA140)=4,"",SUM(AX140:AZ140)+IF(Setup!$I$15="No",0,BA140))</f>
        <v/>
      </c>
      <c r="BC140" s="259" t="str">
        <f ca="1">IF('Demand background (hide)'!A131=Num_Modalities,"",SUM(Demand!I140))</f>
        <v/>
      </c>
      <c r="BD140" s="259" t="str">
        <f ca="1">IF(AND(A140&lt;=MaxRows,BE140&lt;&gt;"Yes"),'Demand background (hide)'!X131+IF(Setup!$I$15="Yes",'Demand background (hide)'!AJ131,0),"")</f>
        <v/>
      </c>
      <c r="BE140" s="209"/>
    </row>
    <row r="141" spans="1:57" x14ac:dyDescent="0.25">
      <c r="A141" t="str">
        <f t="shared" ref="A141:A204" ca="1" si="8">IF(BC141&lt;&gt;"",ROW(A129),"")</f>
        <v/>
      </c>
      <c r="B141" s="264" t="str">
        <f t="shared" ca="1" si="5"/>
        <v xml:space="preserve"> </v>
      </c>
      <c r="C141" s="265" t="str">
        <f t="shared" ca="1" si="6"/>
        <v/>
      </c>
      <c r="D141" s="350" t="str">
        <f t="shared" ca="1" si="7"/>
        <v/>
      </c>
      <c r="E141" s="192"/>
      <c r="F141" s="192"/>
      <c r="G141" s="192"/>
      <c r="H141" s="192"/>
      <c r="I141" s="251" t="str">
        <f>IF(COUNTBLANK(E141:H141)=4,"",SUM(E141:G141)+IF(Setup!$I$15="No",0,H141))</f>
        <v/>
      </c>
      <c r="J141" s="192"/>
      <c r="K141" s="192"/>
      <c r="L141" s="192"/>
      <c r="M141" s="192"/>
      <c r="N141" s="255" t="str">
        <f>IF(COUNTBLANK(J141:M141)=4,"",SUM(J141:L141)+IF(Setup!$I$15="No",0,M141))</f>
        <v/>
      </c>
      <c r="O141" s="192"/>
      <c r="P141" s="192"/>
      <c r="Q141" s="192"/>
      <c r="R141" s="192"/>
      <c r="S141" s="255" t="str">
        <f>IF(COUNTBLANK(O141:R141)=4,"",SUM(O141:Q141)+IF(Setup!$I$15="No",0,R141))</f>
        <v/>
      </c>
      <c r="T141" s="192"/>
      <c r="U141" s="192"/>
      <c r="V141" s="192"/>
      <c r="W141" s="192"/>
      <c r="X141" s="255" t="str">
        <f>IF(COUNTBLANK(T141:W141)=4,"",SUM(T141:V141)+IF(Setup!$I$15="No",0,W141))</f>
        <v/>
      </c>
      <c r="Y141" s="192"/>
      <c r="Z141" s="192"/>
      <c r="AA141" s="192"/>
      <c r="AB141" s="192"/>
      <c r="AC141" s="255" t="str">
        <f>IF(COUNTBLANK(Y141:AB141)=4,"",SUM(Y141:AA141)+IF(Setup!$I$15="No",0,AB141))</f>
        <v/>
      </c>
      <c r="AD141" s="192"/>
      <c r="AE141" s="192"/>
      <c r="AF141" s="192"/>
      <c r="AG141" s="192"/>
      <c r="AH141" s="255" t="str">
        <f>IF(COUNTBLANK(AD141:AG141)=4,"",SUM(AD141:AF141)+IF(Setup!$I$15="No",0,AG141))</f>
        <v/>
      </c>
      <c r="AI141" s="192"/>
      <c r="AJ141" s="192"/>
      <c r="AK141" s="192"/>
      <c r="AL141" s="192"/>
      <c r="AM141" s="255" t="str">
        <f>IF(COUNTBLANK(AI141:AL141)=4,"",SUM(AI141:AK141)+IF(Setup!$I$15="No",0,AL141))</f>
        <v/>
      </c>
      <c r="AN141" s="192"/>
      <c r="AO141" s="192"/>
      <c r="AP141" s="192"/>
      <c r="AQ141" s="192"/>
      <c r="AR141" s="255" t="str">
        <f>IF(COUNTBLANK(AN141:AQ141)=4,"",SUM(AN141:AP141)+IF(Setup!$I$15="No",0,AQ141))</f>
        <v/>
      </c>
      <c r="AS141" s="192"/>
      <c r="AT141" s="192"/>
      <c r="AU141" s="192"/>
      <c r="AV141" s="192"/>
      <c r="AW141" s="255" t="str">
        <f>IF(COUNTBLANK(AS141:AV141)=4,"",SUM(AS141:AU141)+IF(Setup!$I$15="No",0,AV141))</f>
        <v/>
      </c>
      <c r="AX141" s="192"/>
      <c r="AY141" s="192"/>
      <c r="AZ141" s="192"/>
      <c r="BA141" s="192"/>
      <c r="BB141" s="255" t="str">
        <f>IF(COUNTBLANK(AX141:BA141)=4,"",SUM(AX141:AZ141)+IF(Setup!$I$15="No",0,BA141))</f>
        <v/>
      </c>
      <c r="BC141" s="259" t="str">
        <f ca="1">IF('Demand background (hide)'!A132=Num_Modalities,"",SUM(Demand!I141))</f>
        <v/>
      </c>
      <c r="BD141" s="259" t="str">
        <f ca="1">IF(AND(A141&lt;=MaxRows,BE141&lt;&gt;"Yes"),'Demand background (hide)'!X132+IF(Setup!$I$15="Yes",'Demand background (hide)'!AJ132,0),"")</f>
        <v/>
      </c>
      <c r="BE141" s="209"/>
    </row>
    <row r="142" spans="1:57" x14ac:dyDescent="0.25">
      <c r="A142" t="str">
        <f t="shared" ca="1" si="8"/>
        <v/>
      </c>
      <c r="B142" s="264" t="str">
        <f t="shared" ref="B142:B205" ca="1" si="9">IF(A142&lt;=MaxRows,IF($C$6&lt;&gt;"",IF(YEAR(D142)&lt;&gt;YEAR(D141),YEAR(D142)," "),IF(C142&lt;&gt;1,"",OFFSET(B142,-C141,0,1,1)+1))," ")</f>
        <v xml:space="preserve"> </v>
      </c>
      <c r="C142" s="265" t="str">
        <f t="shared" ref="C142:C205" ca="1" si="10">IF(ROW(A130)&lt;=MaxRows,IF($C$6&lt;&gt;"",WEEKNUM(D142,21),IF(MOD((C141+1),52)&gt;0,MOD((C141+1),52),52)),"")</f>
        <v/>
      </c>
      <c r="D142" s="350" t="str">
        <f t="shared" ref="D142:D205" ca="1" si="11">IF(OR(AND(ROW(A130)&lt;=MaxRows,$C$6&lt;&gt;""),AND(ROW(A142)&lt;=64,LEFT($C$8,1)&lt;&gt;"H")),D141+7,"")</f>
        <v/>
      </c>
      <c r="E142" s="192"/>
      <c r="F142" s="192"/>
      <c r="G142" s="192"/>
      <c r="H142" s="192"/>
      <c r="I142" s="251" t="str">
        <f>IF(COUNTBLANK(E142:H142)=4,"",SUM(E142:G142)+IF(Setup!$I$15="No",0,H142))</f>
        <v/>
      </c>
      <c r="J142" s="192"/>
      <c r="K142" s="192"/>
      <c r="L142" s="192"/>
      <c r="M142" s="192"/>
      <c r="N142" s="255" t="str">
        <f>IF(COUNTBLANK(J142:M142)=4,"",SUM(J142:L142)+IF(Setup!$I$15="No",0,M142))</f>
        <v/>
      </c>
      <c r="O142" s="192"/>
      <c r="P142" s="192"/>
      <c r="Q142" s="192"/>
      <c r="R142" s="192"/>
      <c r="S142" s="255" t="str">
        <f>IF(COUNTBLANK(O142:R142)=4,"",SUM(O142:Q142)+IF(Setup!$I$15="No",0,R142))</f>
        <v/>
      </c>
      <c r="T142" s="192"/>
      <c r="U142" s="192"/>
      <c r="V142" s="192"/>
      <c r="W142" s="192"/>
      <c r="X142" s="255" t="str">
        <f>IF(COUNTBLANK(T142:W142)=4,"",SUM(T142:V142)+IF(Setup!$I$15="No",0,W142))</f>
        <v/>
      </c>
      <c r="Y142" s="192"/>
      <c r="Z142" s="192"/>
      <c r="AA142" s="192"/>
      <c r="AB142" s="192"/>
      <c r="AC142" s="255" t="str">
        <f>IF(COUNTBLANK(Y142:AB142)=4,"",SUM(Y142:AA142)+IF(Setup!$I$15="No",0,AB142))</f>
        <v/>
      </c>
      <c r="AD142" s="192"/>
      <c r="AE142" s="192"/>
      <c r="AF142" s="192"/>
      <c r="AG142" s="192"/>
      <c r="AH142" s="255" t="str">
        <f>IF(COUNTBLANK(AD142:AG142)=4,"",SUM(AD142:AF142)+IF(Setup!$I$15="No",0,AG142))</f>
        <v/>
      </c>
      <c r="AI142" s="192"/>
      <c r="AJ142" s="192"/>
      <c r="AK142" s="192"/>
      <c r="AL142" s="192"/>
      <c r="AM142" s="255" t="str">
        <f>IF(COUNTBLANK(AI142:AL142)=4,"",SUM(AI142:AK142)+IF(Setup!$I$15="No",0,AL142))</f>
        <v/>
      </c>
      <c r="AN142" s="192"/>
      <c r="AO142" s="192"/>
      <c r="AP142" s="192"/>
      <c r="AQ142" s="192"/>
      <c r="AR142" s="255" t="str">
        <f>IF(COUNTBLANK(AN142:AQ142)=4,"",SUM(AN142:AP142)+IF(Setup!$I$15="No",0,AQ142))</f>
        <v/>
      </c>
      <c r="AS142" s="192"/>
      <c r="AT142" s="192"/>
      <c r="AU142" s="192"/>
      <c r="AV142" s="192"/>
      <c r="AW142" s="255" t="str">
        <f>IF(COUNTBLANK(AS142:AV142)=4,"",SUM(AS142:AU142)+IF(Setup!$I$15="No",0,AV142))</f>
        <v/>
      </c>
      <c r="AX142" s="192"/>
      <c r="AY142" s="192"/>
      <c r="AZ142" s="192"/>
      <c r="BA142" s="192"/>
      <c r="BB142" s="255" t="str">
        <f>IF(COUNTBLANK(AX142:BA142)=4,"",SUM(AX142:AZ142)+IF(Setup!$I$15="No",0,BA142))</f>
        <v/>
      </c>
      <c r="BC142" s="259" t="str">
        <f ca="1">IF('Demand background (hide)'!A133=Num_Modalities,"",SUM(Demand!I142))</f>
        <v/>
      </c>
      <c r="BD142" s="259" t="str">
        <f ca="1">IF(AND(A142&lt;=MaxRows,BE142&lt;&gt;"Yes"),'Demand background (hide)'!X133+IF(Setup!$I$15="Yes",'Demand background (hide)'!AJ133,0),"")</f>
        <v/>
      </c>
      <c r="BE142" s="209"/>
    </row>
    <row r="143" spans="1:57" x14ac:dyDescent="0.25">
      <c r="A143" t="str">
        <f t="shared" ca="1" si="8"/>
        <v/>
      </c>
      <c r="B143" s="264" t="str">
        <f t="shared" ca="1" si="9"/>
        <v xml:space="preserve"> </v>
      </c>
      <c r="C143" s="265" t="str">
        <f t="shared" ca="1" si="10"/>
        <v/>
      </c>
      <c r="D143" s="350" t="str">
        <f t="shared" ca="1" si="11"/>
        <v/>
      </c>
      <c r="E143" s="192"/>
      <c r="F143" s="192"/>
      <c r="G143" s="192"/>
      <c r="H143" s="192"/>
      <c r="I143" s="251" t="str">
        <f>IF(COUNTBLANK(E143:H143)=4,"",SUM(E143:G143)+IF(Setup!$I$15="No",0,H143))</f>
        <v/>
      </c>
      <c r="J143" s="192"/>
      <c r="K143" s="192"/>
      <c r="L143" s="192"/>
      <c r="M143" s="192"/>
      <c r="N143" s="255" t="str">
        <f>IF(COUNTBLANK(J143:M143)=4,"",SUM(J143:L143)+IF(Setup!$I$15="No",0,M143))</f>
        <v/>
      </c>
      <c r="O143" s="192"/>
      <c r="P143" s="192"/>
      <c r="Q143" s="192"/>
      <c r="R143" s="192"/>
      <c r="S143" s="255" t="str">
        <f>IF(COUNTBLANK(O143:R143)=4,"",SUM(O143:Q143)+IF(Setup!$I$15="No",0,R143))</f>
        <v/>
      </c>
      <c r="T143" s="192"/>
      <c r="U143" s="192"/>
      <c r="V143" s="192"/>
      <c r="W143" s="192"/>
      <c r="X143" s="255" t="str">
        <f>IF(COUNTBLANK(T143:W143)=4,"",SUM(T143:V143)+IF(Setup!$I$15="No",0,W143))</f>
        <v/>
      </c>
      <c r="Y143" s="192"/>
      <c r="Z143" s="192"/>
      <c r="AA143" s="192"/>
      <c r="AB143" s="192"/>
      <c r="AC143" s="255" t="str">
        <f>IF(COUNTBLANK(Y143:AB143)=4,"",SUM(Y143:AA143)+IF(Setup!$I$15="No",0,AB143))</f>
        <v/>
      </c>
      <c r="AD143" s="192"/>
      <c r="AE143" s="192"/>
      <c r="AF143" s="192"/>
      <c r="AG143" s="192"/>
      <c r="AH143" s="255" t="str">
        <f>IF(COUNTBLANK(AD143:AG143)=4,"",SUM(AD143:AF143)+IF(Setup!$I$15="No",0,AG143))</f>
        <v/>
      </c>
      <c r="AI143" s="192"/>
      <c r="AJ143" s="192"/>
      <c r="AK143" s="192"/>
      <c r="AL143" s="192"/>
      <c r="AM143" s="255" t="str">
        <f>IF(COUNTBLANK(AI143:AL143)=4,"",SUM(AI143:AK143)+IF(Setup!$I$15="No",0,AL143))</f>
        <v/>
      </c>
      <c r="AN143" s="192"/>
      <c r="AO143" s="192"/>
      <c r="AP143" s="192"/>
      <c r="AQ143" s="192"/>
      <c r="AR143" s="255" t="str">
        <f>IF(COUNTBLANK(AN143:AQ143)=4,"",SUM(AN143:AP143)+IF(Setup!$I$15="No",0,AQ143))</f>
        <v/>
      </c>
      <c r="AS143" s="192"/>
      <c r="AT143" s="192"/>
      <c r="AU143" s="192"/>
      <c r="AV143" s="192"/>
      <c r="AW143" s="255" t="str">
        <f>IF(COUNTBLANK(AS143:AV143)=4,"",SUM(AS143:AU143)+IF(Setup!$I$15="No",0,AV143))</f>
        <v/>
      </c>
      <c r="AX143" s="192"/>
      <c r="AY143" s="192"/>
      <c r="AZ143" s="192"/>
      <c r="BA143" s="192"/>
      <c r="BB143" s="255" t="str">
        <f>IF(COUNTBLANK(AX143:BA143)=4,"",SUM(AX143:AZ143)+IF(Setup!$I$15="No",0,BA143))</f>
        <v/>
      </c>
      <c r="BC143" s="259" t="str">
        <f ca="1">IF('Demand background (hide)'!A134=Num_Modalities,"",SUM(Demand!I143))</f>
        <v/>
      </c>
      <c r="BD143" s="259" t="str">
        <f ca="1">IF(AND(A143&lt;=MaxRows,BE143&lt;&gt;"Yes"),'Demand background (hide)'!X134+IF(Setup!$I$15="Yes",'Demand background (hide)'!AJ134,0),"")</f>
        <v/>
      </c>
      <c r="BE143" s="209"/>
    </row>
    <row r="144" spans="1:57" x14ac:dyDescent="0.25">
      <c r="A144" t="str">
        <f t="shared" ca="1" si="8"/>
        <v/>
      </c>
      <c r="B144" s="264" t="str">
        <f t="shared" ca="1" si="9"/>
        <v xml:space="preserve"> </v>
      </c>
      <c r="C144" s="265" t="str">
        <f t="shared" ca="1" si="10"/>
        <v/>
      </c>
      <c r="D144" s="350" t="str">
        <f t="shared" ca="1" si="11"/>
        <v/>
      </c>
      <c r="E144" s="192"/>
      <c r="F144" s="192"/>
      <c r="G144" s="192"/>
      <c r="H144" s="192"/>
      <c r="I144" s="251" t="str">
        <f>IF(COUNTBLANK(E144:H144)=4,"",SUM(E144:G144)+IF(Setup!$I$15="No",0,H144))</f>
        <v/>
      </c>
      <c r="J144" s="192"/>
      <c r="K144" s="192"/>
      <c r="L144" s="192"/>
      <c r="M144" s="192"/>
      <c r="N144" s="255" t="str">
        <f>IF(COUNTBLANK(J144:M144)=4,"",SUM(J144:L144)+IF(Setup!$I$15="No",0,M144))</f>
        <v/>
      </c>
      <c r="O144" s="192"/>
      <c r="P144" s="192"/>
      <c r="Q144" s="192"/>
      <c r="R144" s="192"/>
      <c r="S144" s="255" t="str">
        <f>IF(COUNTBLANK(O144:R144)=4,"",SUM(O144:Q144)+IF(Setup!$I$15="No",0,R144))</f>
        <v/>
      </c>
      <c r="T144" s="192"/>
      <c r="U144" s="192"/>
      <c r="V144" s="192"/>
      <c r="W144" s="192"/>
      <c r="X144" s="255" t="str">
        <f>IF(COUNTBLANK(T144:W144)=4,"",SUM(T144:V144)+IF(Setup!$I$15="No",0,W144))</f>
        <v/>
      </c>
      <c r="Y144" s="192"/>
      <c r="Z144" s="192"/>
      <c r="AA144" s="192"/>
      <c r="AB144" s="192"/>
      <c r="AC144" s="255" t="str">
        <f>IF(COUNTBLANK(Y144:AB144)=4,"",SUM(Y144:AA144)+IF(Setup!$I$15="No",0,AB144))</f>
        <v/>
      </c>
      <c r="AD144" s="192"/>
      <c r="AE144" s="192"/>
      <c r="AF144" s="192"/>
      <c r="AG144" s="192"/>
      <c r="AH144" s="255" t="str">
        <f>IF(COUNTBLANK(AD144:AG144)=4,"",SUM(AD144:AF144)+IF(Setup!$I$15="No",0,AG144))</f>
        <v/>
      </c>
      <c r="AI144" s="192"/>
      <c r="AJ144" s="192"/>
      <c r="AK144" s="192"/>
      <c r="AL144" s="192"/>
      <c r="AM144" s="255" t="str">
        <f>IF(COUNTBLANK(AI144:AL144)=4,"",SUM(AI144:AK144)+IF(Setup!$I$15="No",0,AL144))</f>
        <v/>
      </c>
      <c r="AN144" s="192"/>
      <c r="AO144" s="192"/>
      <c r="AP144" s="192"/>
      <c r="AQ144" s="192"/>
      <c r="AR144" s="255" t="str">
        <f>IF(COUNTBLANK(AN144:AQ144)=4,"",SUM(AN144:AP144)+IF(Setup!$I$15="No",0,AQ144))</f>
        <v/>
      </c>
      <c r="AS144" s="192"/>
      <c r="AT144" s="192"/>
      <c r="AU144" s="192"/>
      <c r="AV144" s="192"/>
      <c r="AW144" s="255" t="str">
        <f>IF(COUNTBLANK(AS144:AV144)=4,"",SUM(AS144:AU144)+IF(Setup!$I$15="No",0,AV144))</f>
        <v/>
      </c>
      <c r="AX144" s="192"/>
      <c r="AY144" s="192"/>
      <c r="AZ144" s="192"/>
      <c r="BA144" s="192"/>
      <c r="BB144" s="255" t="str">
        <f>IF(COUNTBLANK(AX144:BA144)=4,"",SUM(AX144:AZ144)+IF(Setup!$I$15="No",0,BA144))</f>
        <v/>
      </c>
      <c r="BC144" s="259" t="str">
        <f ca="1">IF('Demand background (hide)'!A135=Num_Modalities,"",SUM(Demand!I144))</f>
        <v/>
      </c>
      <c r="BD144" s="259" t="str">
        <f ca="1">IF(AND(A144&lt;=MaxRows,BE144&lt;&gt;"Yes"),'Demand background (hide)'!X135+IF(Setup!$I$15="Yes",'Demand background (hide)'!AJ135,0),"")</f>
        <v/>
      </c>
      <c r="BE144" s="209"/>
    </row>
    <row r="145" spans="1:57" x14ac:dyDescent="0.25">
      <c r="A145" t="str">
        <f t="shared" ca="1" si="8"/>
        <v/>
      </c>
      <c r="B145" s="264" t="str">
        <f t="shared" ca="1" si="9"/>
        <v xml:space="preserve"> </v>
      </c>
      <c r="C145" s="265" t="str">
        <f t="shared" ca="1" si="10"/>
        <v/>
      </c>
      <c r="D145" s="350" t="str">
        <f t="shared" ca="1" si="11"/>
        <v/>
      </c>
      <c r="E145" s="192"/>
      <c r="F145" s="192"/>
      <c r="G145" s="192"/>
      <c r="H145" s="192"/>
      <c r="I145" s="251" t="str">
        <f>IF(COUNTBLANK(E145:H145)=4,"",SUM(E145:G145)+IF(Setup!$I$15="No",0,H145))</f>
        <v/>
      </c>
      <c r="J145" s="192"/>
      <c r="K145" s="192"/>
      <c r="L145" s="192"/>
      <c r="M145" s="192"/>
      <c r="N145" s="255" t="str">
        <f>IF(COUNTBLANK(J145:M145)=4,"",SUM(J145:L145)+IF(Setup!$I$15="No",0,M145))</f>
        <v/>
      </c>
      <c r="O145" s="192"/>
      <c r="P145" s="192"/>
      <c r="Q145" s="192"/>
      <c r="R145" s="192"/>
      <c r="S145" s="255" t="str">
        <f>IF(COUNTBLANK(O145:R145)=4,"",SUM(O145:Q145)+IF(Setup!$I$15="No",0,R145))</f>
        <v/>
      </c>
      <c r="T145" s="192"/>
      <c r="U145" s="192"/>
      <c r="V145" s="192"/>
      <c r="W145" s="192"/>
      <c r="X145" s="255" t="str">
        <f>IF(COUNTBLANK(T145:W145)=4,"",SUM(T145:V145)+IF(Setup!$I$15="No",0,W145))</f>
        <v/>
      </c>
      <c r="Y145" s="192"/>
      <c r="Z145" s="192"/>
      <c r="AA145" s="192"/>
      <c r="AB145" s="192"/>
      <c r="AC145" s="255" t="str">
        <f>IF(COUNTBLANK(Y145:AB145)=4,"",SUM(Y145:AA145)+IF(Setup!$I$15="No",0,AB145))</f>
        <v/>
      </c>
      <c r="AD145" s="192"/>
      <c r="AE145" s="192"/>
      <c r="AF145" s="192"/>
      <c r="AG145" s="192"/>
      <c r="AH145" s="255" t="str">
        <f>IF(COUNTBLANK(AD145:AG145)=4,"",SUM(AD145:AF145)+IF(Setup!$I$15="No",0,AG145))</f>
        <v/>
      </c>
      <c r="AI145" s="192"/>
      <c r="AJ145" s="192"/>
      <c r="AK145" s="192"/>
      <c r="AL145" s="192"/>
      <c r="AM145" s="255" t="str">
        <f>IF(COUNTBLANK(AI145:AL145)=4,"",SUM(AI145:AK145)+IF(Setup!$I$15="No",0,AL145))</f>
        <v/>
      </c>
      <c r="AN145" s="192"/>
      <c r="AO145" s="192"/>
      <c r="AP145" s="192"/>
      <c r="AQ145" s="192"/>
      <c r="AR145" s="255" t="str">
        <f>IF(COUNTBLANK(AN145:AQ145)=4,"",SUM(AN145:AP145)+IF(Setup!$I$15="No",0,AQ145))</f>
        <v/>
      </c>
      <c r="AS145" s="192"/>
      <c r="AT145" s="192"/>
      <c r="AU145" s="192"/>
      <c r="AV145" s="192"/>
      <c r="AW145" s="255" t="str">
        <f>IF(COUNTBLANK(AS145:AV145)=4,"",SUM(AS145:AU145)+IF(Setup!$I$15="No",0,AV145))</f>
        <v/>
      </c>
      <c r="AX145" s="192"/>
      <c r="AY145" s="192"/>
      <c r="AZ145" s="192"/>
      <c r="BA145" s="192"/>
      <c r="BB145" s="255" t="str">
        <f>IF(COUNTBLANK(AX145:BA145)=4,"",SUM(AX145:AZ145)+IF(Setup!$I$15="No",0,BA145))</f>
        <v/>
      </c>
      <c r="BC145" s="259" t="str">
        <f ca="1">IF('Demand background (hide)'!A136=Num_Modalities,"",SUM(Demand!I145))</f>
        <v/>
      </c>
      <c r="BD145" s="259" t="str">
        <f ca="1">IF(AND(A145&lt;=MaxRows,BE145&lt;&gt;"Yes"),'Demand background (hide)'!X136+IF(Setup!$I$15="Yes",'Demand background (hide)'!AJ136,0),"")</f>
        <v/>
      </c>
      <c r="BE145" s="209"/>
    </row>
    <row r="146" spans="1:57" x14ac:dyDescent="0.25">
      <c r="A146" t="str">
        <f t="shared" ca="1" si="8"/>
        <v/>
      </c>
      <c r="B146" s="264" t="str">
        <f t="shared" ca="1" si="9"/>
        <v xml:space="preserve"> </v>
      </c>
      <c r="C146" s="265" t="str">
        <f t="shared" ca="1" si="10"/>
        <v/>
      </c>
      <c r="D146" s="350" t="str">
        <f t="shared" ca="1" si="11"/>
        <v/>
      </c>
      <c r="E146" s="192"/>
      <c r="F146" s="192"/>
      <c r="G146" s="192"/>
      <c r="H146" s="192"/>
      <c r="I146" s="251" t="str">
        <f>IF(COUNTBLANK(E146:H146)=4,"",SUM(E146:G146)+IF(Setup!$I$15="No",0,H146))</f>
        <v/>
      </c>
      <c r="J146" s="192"/>
      <c r="K146" s="192"/>
      <c r="L146" s="192"/>
      <c r="M146" s="192"/>
      <c r="N146" s="255" t="str">
        <f>IF(COUNTBLANK(J146:M146)=4,"",SUM(J146:L146)+IF(Setup!$I$15="No",0,M146))</f>
        <v/>
      </c>
      <c r="O146" s="192"/>
      <c r="P146" s="192"/>
      <c r="Q146" s="192"/>
      <c r="R146" s="192"/>
      <c r="S146" s="255" t="str">
        <f>IF(COUNTBLANK(O146:R146)=4,"",SUM(O146:Q146)+IF(Setup!$I$15="No",0,R146))</f>
        <v/>
      </c>
      <c r="T146" s="192"/>
      <c r="U146" s="192"/>
      <c r="V146" s="192"/>
      <c r="W146" s="192"/>
      <c r="X146" s="255" t="str">
        <f>IF(COUNTBLANK(T146:W146)=4,"",SUM(T146:V146)+IF(Setup!$I$15="No",0,W146))</f>
        <v/>
      </c>
      <c r="Y146" s="192"/>
      <c r="Z146" s="192"/>
      <c r="AA146" s="192"/>
      <c r="AB146" s="192"/>
      <c r="AC146" s="255" t="str">
        <f>IF(COUNTBLANK(Y146:AB146)=4,"",SUM(Y146:AA146)+IF(Setup!$I$15="No",0,AB146))</f>
        <v/>
      </c>
      <c r="AD146" s="192"/>
      <c r="AE146" s="192"/>
      <c r="AF146" s="192"/>
      <c r="AG146" s="192"/>
      <c r="AH146" s="255" t="str">
        <f>IF(COUNTBLANK(AD146:AG146)=4,"",SUM(AD146:AF146)+IF(Setup!$I$15="No",0,AG146))</f>
        <v/>
      </c>
      <c r="AI146" s="192"/>
      <c r="AJ146" s="192"/>
      <c r="AK146" s="192"/>
      <c r="AL146" s="192"/>
      <c r="AM146" s="255" t="str">
        <f>IF(COUNTBLANK(AI146:AL146)=4,"",SUM(AI146:AK146)+IF(Setup!$I$15="No",0,AL146))</f>
        <v/>
      </c>
      <c r="AN146" s="192"/>
      <c r="AO146" s="192"/>
      <c r="AP146" s="192"/>
      <c r="AQ146" s="192"/>
      <c r="AR146" s="255" t="str">
        <f>IF(COUNTBLANK(AN146:AQ146)=4,"",SUM(AN146:AP146)+IF(Setup!$I$15="No",0,AQ146))</f>
        <v/>
      </c>
      <c r="AS146" s="192"/>
      <c r="AT146" s="192"/>
      <c r="AU146" s="192"/>
      <c r="AV146" s="192"/>
      <c r="AW146" s="255" t="str">
        <f>IF(COUNTBLANK(AS146:AV146)=4,"",SUM(AS146:AU146)+IF(Setup!$I$15="No",0,AV146))</f>
        <v/>
      </c>
      <c r="AX146" s="192"/>
      <c r="AY146" s="192"/>
      <c r="AZ146" s="192"/>
      <c r="BA146" s="192"/>
      <c r="BB146" s="255" t="str">
        <f>IF(COUNTBLANK(AX146:BA146)=4,"",SUM(AX146:AZ146)+IF(Setup!$I$15="No",0,BA146))</f>
        <v/>
      </c>
      <c r="BC146" s="259" t="str">
        <f ca="1">IF('Demand background (hide)'!A137=Num_Modalities,"",SUM(Demand!I146))</f>
        <v/>
      </c>
      <c r="BD146" s="259" t="str">
        <f ca="1">IF(AND(A146&lt;=MaxRows,BE146&lt;&gt;"Yes"),'Demand background (hide)'!X137+IF(Setup!$I$15="Yes",'Demand background (hide)'!AJ137,0),"")</f>
        <v/>
      </c>
      <c r="BE146" s="209"/>
    </row>
    <row r="147" spans="1:57" x14ac:dyDescent="0.25">
      <c r="A147" t="str">
        <f t="shared" ca="1" si="8"/>
        <v/>
      </c>
      <c r="B147" s="264" t="str">
        <f t="shared" ca="1" si="9"/>
        <v xml:space="preserve"> </v>
      </c>
      <c r="C147" s="265" t="str">
        <f t="shared" ca="1" si="10"/>
        <v/>
      </c>
      <c r="D147" s="350" t="str">
        <f t="shared" ca="1" si="11"/>
        <v/>
      </c>
      <c r="E147" s="192"/>
      <c r="F147" s="192"/>
      <c r="G147" s="192"/>
      <c r="H147" s="192"/>
      <c r="I147" s="251" t="str">
        <f>IF(COUNTBLANK(E147:H147)=4,"",SUM(E147:G147)+IF(Setup!$I$15="No",0,H147))</f>
        <v/>
      </c>
      <c r="J147" s="192"/>
      <c r="K147" s="192"/>
      <c r="L147" s="192"/>
      <c r="M147" s="192"/>
      <c r="N147" s="255" t="str">
        <f>IF(COUNTBLANK(J147:M147)=4,"",SUM(J147:L147)+IF(Setup!$I$15="No",0,M147))</f>
        <v/>
      </c>
      <c r="O147" s="192"/>
      <c r="P147" s="192"/>
      <c r="Q147" s="192"/>
      <c r="R147" s="192"/>
      <c r="S147" s="255" t="str">
        <f>IF(COUNTBLANK(O147:R147)=4,"",SUM(O147:Q147)+IF(Setup!$I$15="No",0,R147))</f>
        <v/>
      </c>
      <c r="T147" s="192"/>
      <c r="U147" s="192"/>
      <c r="V147" s="192"/>
      <c r="W147" s="192"/>
      <c r="X147" s="255" t="str">
        <f>IF(COUNTBLANK(T147:W147)=4,"",SUM(T147:V147)+IF(Setup!$I$15="No",0,W147))</f>
        <v/>
      </c>
      <c r="Y147" s="192"/>
      <c r="Z147" s="192"/>
      <c r="AA147" s="192"/>
      <c r="AB147" s="192"/>
      <c r="AC147" s="255" t="str">
        <f>IF(COUNTBLANK(Y147:AB147)=4,"",SUM(Y147:AA147)+IF(Setup!$I$15="No",0,AB147))</f>
        <v/>
      </c>
      <c r="AD147" s="192"/>
      <c r="AE147" s="192"/>
      <c r="AF147" s="192"/>
      <c r="AG147" s="192"/>
      <c r="AH147" s="255" t="str">
        <f>IF(COUNTBLANK(AD147:AG147)=4,"",SUM(AD147:AF147)+IF(Setup!$I$15="No",0,AG147))</f>
        <v/>
      </c>
      <c r="AI147" s="192"/>
      <c r="AJ147" s="192"/>
      <c r="AK147" s="192"/>
      <c r="AL147" s="192"/>
      <c r="AM147" s="255" t="str">
        <f>IF(COUNTBLANK(AI147:AL147)=4,"",SUM(AI147:AK147)+IF(Setup!$I$15="No",0,AL147))</f>
        <v/>
      </c>
      <c r="AN147" s="192"/>
      <c r="AO147" s="192"/>
      <c r="AP147" s="192"/>
      <c r="AQ147" s="192"/>
      <c r="AR147" s="255" t="str">
        <f>IF(COUNTBLANK(AN147:AQ147)=4,"",SUM(AN147:AP147)+IF(Setup!$I$15="No",0,AQ147))</f>
        <v/>
      </c>
      <c r="AS147" s="192"/>
      <c r="AT147" s="192"/>
      <c r="AU147" s="192"/>
      <c r="AV147" s="192"/>
      <c r="AW147" s="255" t="str">
        <f>IF(COUNTBLANK(AS147:AV147)=4,"",SUM(AS147:AU147)+IF(Setup!$I$15="No",0,AV147))</f>
        <v/>
      </c>
      <c r="AX147" s="192"/>
      <c r="AY147" s="192"/>
      <c r="AZ147" s="192"/>
      <c r="BA147" s="192"/>
      <c r="BB147" s="255" t="str">
        <f>IF(COUNTBLANK(AX147:BA147)=4,"",SUM(AX147:AZ147)+IF(Setup!$I$15="No",0,BA147))</f>
        <v/>
      </c>
      <c r="BC147" s="259" t="str">
        <f ca="1">IF('Demand background (hide)'!A138=Num_Modalities,"",SUM(Demand!I147))</f>
        <v/>
      </c>
      <c r="BD147" s="259" t="str">
        <f ca="1">IF(AND(A147&lt;=MaxRows,BE147&lt;&gt;"Yes"),'Demand background (hide)'!X138+IF(Setup!$I$15="Yes",'Demand background (hide)'!AJ138,0),"")</f>
        <v/>
      </c>
      <c r="BE147" s="209"/>
    </row>
    <row r="148" spans="1:57" x14ac:dyDescent="0.25">
      <c r="A148" t="str">
        <f t="shared" ca="1" si="8"/>
        <v/>
      </c>
      <c r="B148" s="264" t="str">
        <f t="shared" ca="1" si="9"/>
        <v xml:space="preserve"> </v>
      </c>
      <c r="C148" s="265" t="str">
        <f t="shared" ca="1" si="10"/>
        <v/>
      </c>
      <c r="D148" s="350" t="str">
        <f t="shared" ca="1" si="11"/>
        <v/>
      </c>
      <c r="E148" s="192"/>
      <c r="F148" s="192"/>
      <c r="G148" s="192"/>
      <c r="H148" s="192"/>
      <c r="I148" s="251" t="str">
        <f>IF(COUNTBLANK(E148:H148)=4,"",SUM(E148:G148)+IF(Setup!$I$15="No",0,H148))</f>
        <v/>
      </c>
      <c r="J148" s="192"/>
      <c r="K148" s="192"/>
      <c r="L148" s="192"/>
      <c r="M148" s="192"/>
      <c r="N148" s="255" t="str">
        <f>IF(COUNTBLANK(J148:M148)=4,"",SUM(J148:L148)+IF(Setup!$I$15="No",0,M148))</f>
        <v/>
      </c>
      <c r="O148" s="192"/>
      <c r="P148" s="192"/>
      <c r="Q148" s="192"/>
      <c r="R148" s="192"/>
      <c r="S148" s="255" t="str">
        <f>IF(COUNTBLANK(O148:R148)=4,"",SUM(O148:Q148)+IF(Setup!$I$15="No",0,R148))</f>
        <v/>
      </c>
      <c r="T148" s="192"/>
      <c r="U148" s="192"/>
      <c r="V148" s="192"/>
      <c r="W148" s="192"/>
      <c r="X148" s="255" t="str">
        <f>IF(COUNTBLANK(T148:W148)=4,"",SUM(T148:V148)+IF(Setup!$I$15="No",0,W148))</f>
        <v/>
      </c>
      <c r="Y148" s="192"/>
      <c r="Z148" s="192"/>
      <c r="AA148" s="192"/>
      <c r="AB148" s="192"/>
      <c r="AC148" s="255" t="str">
        <f>IF(COUNTBLANK(Y148:AB148)=4,"",SUM(Y148:AA148)+IF(Setup!$I$15="No",0,AB148))</f>
        <v/>
      </c>
      <c r="AD148" s="192"/>
      <c r="AE148" s="192"/>
      <c r="AF148" s="192"/>
      <c r="AG148" s="192"/>
      <c r="AH148" s="255" t="str">
        <f>IF(COUNTBLANK(AD148:AG148)=4,"",SUM(AD148:AF148)+IF(Setup!$I$15="No",0,AG148))</f>
        <v/>
      </c>
      <c r="AI148" s="192"/>
      <c r="AJ148" s="192"/>
      <c r="AK148" s="192"/>
      <c r="AL148" s="192"/>
      <c r="AM148" s="255" t="str">
        <f>IF(COUNTBLANK(AI148:AL148)=4,"",SUM(AI148:AK148)+IF(Setup!$I$15="No",0,AL148))</f>
        <v/>
      </c>
      <c r="AN148" s="192"/>
      <c r="AO148" s="192"/>
      <c r="AP148" s="192"/>
      <c r="AQ148" s="192"/>
      <c r="AR148" s="255" t="str">
        <f>IF(COUNTBLANK(AN148:AQ148)=4,"",SUM(AN148:AP148)+IF(Setup!$I$15="No",0,AQ148))</f>
        <v/>
      </c>
      <c r="AS148" s="192"/>
      <c r="AT148" s="192"/>
      <c r="AU148" s="192"/>
      <c r="AV148" s="192"/>
      <c r="AW148" s="255" t="str">
        <f>IF(COUNTBLANK(AS148:AV148)=4,"",SUM(AS148:AU148)+IF(Setup!$I$15="No",0,AV148))</f>
        <v/>
      </c>
      <c r="AX148" s="192"/>
      <c r="AY148" s="192"/>
      <c r="AZ148" s="192"/>
      <c r="BA148" s="192"/>
      <c r="BB148" s="255" t="str">
        <f>IF(COUNTBLANK(AX148:BA148)=4,"",SUM(AX148:AZ148)+IF(Setup!$I$15="No",0,BA148))</f>
        <v/>
      </c>
      <c r="BC148" s="259" t="str">
        <f ca="1">IF('Demand background (hide)'!A139=Num_Modalities,"",SUM(Demand!I148))</f>
        <v/>
      </c>
      <c r="BD148" s="259" t="str">
        <f ca="1">IF(AND(A148&lt;=MaxRows,BE148&lt;&gt;"Yes"),'Demand background (hide)'!X139+IF(Setup!$I$15="Yes",'Demand background (hide)'!AJ139,0),"")</f>
        <v/>
      </c>
      <c r="BE148" s="209"/>
    </row>
    <row r="149" spans="1:57" x14ac:dyDescent="0.25">
      <c r="A149" t="str">
        <f t="shared" ca="1" si="8"/>
        <v/>
      </c>
      <c r="B149" s="264" t="str">
        <f t="shared" ca="1" si="9"/>
        <v xml:space="preserve"> </v>
      </c>
      <c r="C149" s="265" t="str">
        <f t="shared" ca="1" si="10"/>
        <v/>
      </c>
      <c r="D149" s="350" t="str">
        <f t="shared" ca="1" si="11"/>
        <v/>
      </c>
      <c r="E149" s="192"/>
      <c r="F149" s="192"/>
      <c r="G149" s="192"/>
      <c r="H149" s="192"/>
      <c r="I149" s="251" t="str">
        <f>IF(COUNTBLANK(E149:H149)=4,"",SUM(E149:G149)+IF(Setup!$I$15="No",0,H149))</f>
        <v/>
      </c>
      <c r="J149" s="192"/>
      <c r="K149" s="192"/>
      <c r="L149" s="192"/>
      <c r="M149" s="192"/>
      <c r="N149" s="255" t="str">
        <f>IF(COUNTBLANK(J149:M149)=4,"",SUM(J149:L149)+IF(Setup!$I$15="No",0,M149))</f>
        <v/>
      </c>
      <c r="O149" s="192"/>
      <c r="P149" s="192"/>
      <c r="Q149" s="192"/>
      <c r="R149" s="192"/>
      <c r="S149" s="255" t="str">
        <f>IF(COUNTBLANK(O149:R149)=4,"",SUM(O149:Q149)+IF(Setup!$I$15="No",0,R149))</f>
        <v/>
      </c>
      <c r="T149" s="192"/>
      <c r="U149" s="192"/>
      <c r="V149" s="192"/>
      <c r="W149" s="192"/>
      <c r="X149" s="255" t="str">
        <f>IF(COUNTBLANK(T149:W149)=4,"",SUM(T149:V149)+IF(Setup!$I$15="No",0,W149))</f>
        <v/>
      </c>
      <c r="Y149" s="192"/>
      <c r="Z149" s="192"/>
      <c r="AA149" s="192"/>
      <c r="AB149" s="192"/>
      <c r="AC149" s="255" t="str">
        <f>IF(COUNTBLANK(Y149:AB149)=4,"",SUM(Y149:AA149)+IF(Setup!$I$15="No",0,AB149))</f>
        <v/>
      </c>
      <c r="AD149" s="192"/>
      <c r="AE149" s="192"/>
      <c r="AF149" s="192"/>
      <c r="AG149" s="192"/>
      <c r="AH149" s="255" t="str">
        <f>IF(COUNTBLANK(AD149:AG149)=4,"",SUM(AD149:AF149)+IF(Setup!$I$15="No",0,AG149))</f>
        <v/>
      </c>
      <c r="AI149" s="192"/>
      <c r="AJ149" s="192"/>
      <c r="AK149" s="192"/>
      <c r="AL149" s="192"/>
      <c r="AM149" s="255" t="str">
        <f>IF(COUNTBLANK(AI149:AL149)=4,"",SUM(AI149:AK149)+IF(Setup!$I$15="No",0,AL149))</f>
        <v/>
      </c>
      <c r="AN149" s="192"/>
      <c r="AO149" s="192"/>
      <c r="AP149" s="192"/>
      <c r="AQ149" s="192"/>
      <c r="AR149" s="255" t="str">
        <f>IF(COUNTBLANK(AN149:AQ149)=4,"",SUM(AN149:AP149)+IF(Setup!$I$15="No",0,AQ149))</f>
        <v/>
      </c>
      <c r="AS149" s="192"/>
      <c r="AT149" s="192"/>
      <c r="AU149" s="192"/>
      <c r="AV149" s="192"/>
      <c r="AW149" s="255" t="str">
        <f>IF(COUNTBLANK(AS149:AV149)=4,"",SUM(AS149:AU149)+IF(Setup!$I$15="No",0,AV149))</f>
        <v/>
      </c>
      <c r="AX149" s="192"/>
      <c r="AY149" s="192"/>
      <c r="AZ149" s="192"/>
      <c r="BA149" s="192"/>
      <c r="BB149" s="255" t="str">
        <f>IF(COUNTBLANK(AX149:BA149)=4,"",SUM(AX149:AZ149)+IF(Setup!$I$15="No",0,BA149))</f>
        <v/>
      </c>
      <c r="BC149" s="259" t="str">
        <f ca="1">IF('Demand background (hide)'!A140=Num_Modalities,"",SUM(Demand!I149))</f>
        <v/>
      </c>
      <c r="BD149" s="259" t="str">
        <f ca="1">IF(AND(A149&lt;=MaxRows,BE149&lt;&gt;"Yes"),'Demand background (hide)'!X140+IF(Setup!$I$15="Yes",'Demand background (hide)'!AJ140,0),"")</f>
        <v/>
      </c>
      <c r="BE149" s="209"/>
    </row>
    <row r="150" spans="1:57" x14ac:dyDescent="0.25">
      <c r="A150" t="str">
        <f t="shared" ca="1" si="8"/>
        <v/>
      </c>
      <c r="B150" s="264" t="str">
        <f t="shared" ca="1" si="9"/>
        <v xml:space="preserve"> </v>
      </c>
      <c r="C150" s="265" t="str">
        <f t="shared" ca="1" si="10"/>
        <v/>
      </c>
      <c r="D150" s="350" t="str">
        <f t="shared" ca="1" si="11"/>
        <v/>
      </c>
      <c r="E150" s="192"/>
      <c r="F150" s="192"/>
      <c r="G150" s="192"/>
      <c r="H150" s="192"/>
      <c r="I150" s="251" t="str">
        <f>IF(COUNTBLANK(E150:H150)=4,"",SUM(E150:G150)+IF(Setup!$I$15="No",0,H150))</f>
        <v/>
      </c>
      <c r="J150" s="192"/>
      <c r="K150" s="192"/>
      <c r="L150" s="192"/>
      <c r="M150" s="192"/>
      <c r="N150" s="255" t="str">
        <f>IF(COUNTBLANK(J150:M150)=4,"",SUM(J150:L150)+IF(Setup!$I$15="No",0,M150))</f>
        <v/>
      </c>
      <c r="O150" s="192"/>
      <c r="P150" s="192"/>
      <c r="Q150" s="192"/>
      <c r="R150" s="192"/>
      <c r="S150" s="255" t="str">
        <f>IF(COUNTBLANK(O150:R150)=4,"",SUM(O150:Q150)+IF(Setup!$I$15="No",0,R150))</f>
        <v/>
      </c>
      <c r="T150" s="192"/>
      <c r="U150" s="192"/>
      <c r="V150" s="192"/>
      <c r="W150" s="192"/>
      <c r="X150" s="255" t="str">
        <f>IF(COUNTBLANK(T150:W150)=4,"",SUM(T150:V150)+IF(Setup!$I$15="No",0,W150))</f>
        <v/>
      </c>
      <c r="Y150" s="192"/>
      <c r="Z150" s="192"/>
      <c r="AA150" s="192"/>
      <c r="AB150" s="192"/>
      <c r="AC150" s="255" t="str">
        <f>IF(COUNTBLANK(Y150:AB150)=4,"",SUM(Y150:AA150)+IF(Setup!$I$15="No",0,AB150))</f>
        <v/>
      </c>
      <c r="AD150" s="192"/>
      <c r="AE150" s="192"/>
      <c r="AF150" s="192"/>
      <c r="AG150" s="192"/>
      <c r="AH150" s="255" t="str">
        <f>IF(COUNTBLANK(AD150:AG150)=4,"",SUM(AD150:AF150)+IF(Setup!$I$15="No",0,AG150))</f>
        <v/>
      </c>
      <c r="AI150" s="192"/>
      <c r="AJ150" s="192"/>
      <c r="AK150" s="192"/>
      <c r="AL150" s="192"/>
      <c r="AM150" s="255" t="str">
        <f>IF(COUNTBLANK(AI150:AL150)=4,"",SUM(AI150:AK150)+IF(Setup!$I$15="No",0,AL150))</f>
        <v/>
      </c>
      <c r="AN150" s="192"/>
      <c r="AO150" s="192"/>
      <c r="AP150" s="192"/>
      <c r="AQ150" s="192"/>
      <c r="AR150" s="255" t="str">
        <f>IF(COUNTBLANK(AN150:AQ150)=4,"",SUM(AN150:AP150)+IF(Setup!$I$15="No",0,AQ150))</f>
        <v/>
      </c>
      <c r="AS150" s="192"/>
      <c r="AT150" s="192"/>
      <c r="AU150" s="192"/>
      <c r="AV150" s="192"/>
      <c r="AW150" s="255" t="str">
        <f>IF(COUNTBLANK(AS150:AV150)=4,"",SUM(AS150:AU150)+IF(Setup!$I$15="No",0,AV150))</f>
        <v/>
      </c>
      <c r="AX150" s="192"/>
      <c r="AY150" s="192"/>
      <c r="AZ150" s="192"/>
      <c r="BA150" s="192"/>
      <c r="BB150" s="255" t="str">
        <f>IF(COUNTBLANK(AX150:BA150)=4,"",SUM(AX150:AZ150)+IF(Setup!$I$15="No",0,BA150))</f>
        <v/>
      </c>
      <c r="BC150" s="259" t="str">
        <f ca="1">IF('Demand background (hide)'!A141=Num_Modalities,"",SUM(Demand!I150))</f>
        <v/>
      </c>
      <c r="BD150" s="259" t="str">
        <f ca="1">IF(AND(A150&lt;=MaxRows,BE150&lt;&gt;"Yes"),'Demand background (hide)'!X141+IF(Setup!$I$15="Yes",'Demand background (hide)'!AJ141,0),"")</f>
        <v/>
      </c>
      <c r="BE150" s="209"/>
    </row>
    <row r="151" spans="1:57" x14ac:dyDescent="0.25">
      <c r="A151" t="str">
        <f t="shared" ca="1" si="8"/>
        <v/>
      </c>
      <c r="B151" s="264" t="str">
        <f t="shared" ca="1" si="9"/>
        <v xml:space="preserve"> </v>
      </c>
      <c r="C151" s="265" t="str">
        <f t="shared" ca="1" si="10"/>
        <v/>
      </c>
      <c r="D151" s="350" t="str">
        <f t="shared" ca="1" si="11"/>
        <v/>
      </c>
      <c r="E151" s="192"/>
      <c r="F151" s="192"/>
      <c r="G151" s="192"/>
      <c r="H151" s="192"/>
      <c r="I151" s="251" t="str">
        <f>IF(COUNTBLANK(E151:H151)=4,"",SUM(E151:G151)+IF(Setup!$I$15="No",0,H151))</f>
        <v/>
      </c>
      <c r="J151" s="192"/>
      <c r="K151" s="192"/>
      <c r="L151" s="192"/>
      <c r="M151" s="192"/>
      <c r="N151" s="255" t="str">
        <f>IF(COUNTBLANK(J151:M151)=4,"",SUM(J151:L151)+IF(Setup!$I$15="No",0,M151))</f>
        <v/>
      </c>
      <c r="O151" s="192"/>
      <c r="P151" s="192"/>
      <c r="Q151" s="192"/>
      <c r="R151" s="192"/>
      <c r="S151" s="255" t="str">
        <f>IF(COUNTBLANK(O151:R151)=4,"",SUM(O151:Q151)+IF(Setup!$I$15="No",0,R151))</f>
        <v/>
      </c>
      <c r="T151" s="192"/>
      <c r="U151" s="192"/>
      <c r="V151" s="192"/>
      <c r="W151" s="192"/>
      <c r="X151" s="255" t="str">
        <f>IF(COUNTBLANK(T151:W151)=4,"",SUM(T151:V151)+IF(Setup!$I$15="No",0,W151))</f>
        <v/>
      </c>
      <c r="Y151" s="192"/>
      <c r="Z151" s="192"/>
      <c r="AA151" s="192"/>
      <c r="AB151" s="192"/>
      <c r="AC151" s="255" t="str">
        <f>IF(COUNTBLANK(Y151:AB151)=4,"",SUM(Y151:AA151)+IF(Setup!$I$15="No",0,AB151))</f>
        <v/>
      </c>
      <c r="AD151" s="192"/>
      <c r="AE151" s="192"/>
      <c r="AF151" s="192"/>
      <c r="AG151" s="192"/>
      <c r="AH151" s="255" t="str">
        <f>IF(COUNTBLANK(AD151:AG151)=4,"",SUM(AD151:AF151)+IF(Setup!$I$15="No",0,AG151))</f>
        <v/>
      </c>
      <c r="AI151" s="192"/>
      <c r="AJ151" s="192"/>
      <c r="AK151" s="192"/>
      <c r="AL151" s="192"/>
      <c r="AM151" s="255" t="str">
        <f>IF(COUNTBLANK(AI151:AL151)=4,"",SUM(AI151:AK151)+IF(Setup!$I$15="No",0,AL151))</f>
        <v/>
      </c>
      <c r="AN151" s="192"/>
      <c r="AO151" s="192"/>
      <c r="AP151" s="192"/>
      <c r="AQ151" s="192"/>
      <c r="AR151" s="255" t="str">
        <f>IF(COUNTBLANK(AN151:AQ151)=4,"",SUM(AN151:AP151)+IF(Setup!$I$15="No",0,AQ151))</f>
        <v/>
      </c>
      <c r="AS151" s="192"/>
      <c r="AT151" s="192"/>
      <c r="AU151" s="192"/>
      <c r="AV151" s="192"/>
      <c r="AW151" s="255" t="str">
        <f>IF(COUNTBLANK(AS151:AV151)=4,"",SUM(AS151:AU151)+IF(Setup!$I$15="No",0,AV151))</f>
        <v/>
      </c>
      <c r="AX151" s="192"/>
      <c r="AY151" s="192"/>
      <c r="AZ151" s="192"/>
      <c r="BA151" s="192"/>
      <c r="BB151" s="255" t="str">
        <f>IF(COUNTBLANK(AX151:BA151)=4,"",SUM(AX151:AZ151)+IF(Setup!$I$15="No",0,BA151))</f>
        <v/>
      </c>
      <c r="BC151" s="259" t="str">
        <f ca="1">IF('Demand background (hide)'!A142=Num_Modalities,"",SUM(Demand!I151))</f>
        <v/>
      </c>
      <c r="BD151" s="259" t="str">
        <f ca="1">IF(AND(A151&lt;=MaxRows,BE151&lt;&gt;"Yes"),'Demand background (hide)'!X142+IF(Setup!$I$15="Yes",'Demand background (hide)'!AJ142,0),"")</f>
        <v/>
      </c>
      <c r="BE151" s="209"/>
    </row>
    <row r="152" spans="1:57" x14ac:dyDescent="0.25">
      <c r="A152" t="str">
        <f t="shared" ca="1" si="8"/>
        <v/>
      </c>
      <c r="B152" s="264" t="str">
        <f t="shared" ca="1" si="9"/>
        <v xml:space="preserve"> </v>
      </c>
      <c r="C152" s="265" t="str">
        <f t="shared" ca="1" si="10"/>
        <v/>
      </c>
      <c r="D152" s="350" t="str">
        <f t="shared" ca="1" si="11"/>
        <v/>
      </c>
      <c r="E152" s="192"/>
      <c r="F152" s="192"/>
      <c r="G152" s="192"/>
      <c r="H152" s="192"/>
      <c r="I152" s="251" t="str">
        <f>IF(COUNTBLANK(E152:H152)=4,"",SUM(E152:G152)+IF(Setup!$I$15="No",0,H152))</f>
        <v/>
      </c>
      <c r="J152" s="192"/>
      <c r="K152" s="192"/>
      <c r="L152" s="192"/>
      <c r="M152" s="192"/>
      <c r="N152" s="255" t="str">
        <f>IF(COUNTBLANK(J152:M152)=4,"",SUM(J152:L152)+IF(Setup!$I$15="No",0,M152))</f>
        <v/>
      </c>
      <c r="O152" s="192"/>
      <c r="P152" s="192"/>
      <c r="Q152" s="192"/>
      <c r="R152" s="192"/>
      <c r="S152" s="255" t="str">
        <f>IF(COUNTBLANK(O152:R152)=4,"",SUM(O152:Q152)+IF(Setup!$I$15="No",0,R152))</f>
        <v/>
      </c>
      <c r="T152" s="192"/>
      <c r="U152" s="192"/>
      <c r="V152" s="192"/>
      <c r="W152" s="192"/>
      <c r="X152" s="255" t="str">
        <f>IF(COUNTBLANK(T152:W152)=4,"",SUM(T152:V152)+IF(Setup!$I$15="No",0,W152))</f>
        <v/>
      </c>
      <c r="Y152" s="192"/>
      <c r="Z152" s="192"/>
      <c r="AA152" s="192"/>
      <c r="AB152" s="192"/>
      <c r="AC152" s="255" t="str">
        <f>IF(COUNTBLANK(Y152:AB152)=4,"",SUM(Y152:AA152)+IF(Setup!$I$15="No",0,AB152))</f>
        <v/>
      </c>
      <c r="AD152" s="192"/>
      <c r="AE152" s="192"/>
      <c r="AF152" s="192"/>
      <c r="AG152" s="192"/>
      <c r="AH152" s="255" t="str">
        <f>IF(COUNTBLANK(AD152:AG152)=4,"",SUM(AD152:AF152)+IF(Setup!$I$15="No",0,AG152))</f>
        <v/>
      </c>
      <c r="AI152" s="192"/>
      <c r="AJ152" s="192"/>
      <c r="AK152" s="192"/>
      <c r="AL152" s="192"/>
      <c r="AM152" s="255" t="str">
        <f>IF(COUNTBLANK(AI152:AL152)=4,"",SUM(AI152:AK152)+IF(Setup!$I$15="No",0,AL152))</f>
        <v/>
      </c>
      <c r="AN152" s="192"/>
      <c r="AO152" s="192"/>
      <c r="AP152" s="192"/>
      <c r="AQ152" s="192"/>
      <c r="AR152" s="255" t="str">
        <f>IF(COUNTBLANK(AN152:AQ152)=4,"",SUM(AN152:AP152)+IF(Setup!$I$15="No",0,AQ152))</f>
        <v/>
      </c>
      <c r="AS152" s="192"/>
      <c r="AT152" s="192"/>
      <c r="AU152" s="192"/>
      <c r="AV152" s="192"/>
      <c r="AW152" s="255" t="str">
        <f>IF(COUNTBLANK(AS152:AV152)=4,"",SUM(AS152:AU152)+IF(Setup!$I$15="No",0,AV152))</f>
        <v/>
      </c>
      <c r="AX152" s="192"/>
      <c r="AY152" s="192"/>
      <c r="AZ152" s="192"/>
      <c r="BA152" s="192"/>
      <c r="BB152" s="255" t="str">
        <f>IF(COUNTBLANK(AX152:BA152)=4,"",SUM(AX152:AZ152)+IF(Setup!$I$15="No",0,BA152))</f>
        <v/>
      </c>
      <c r="BC152" s="259" t="str">
        <f ca="1">IF('Demand background (hide)'!A143=Num_Modalities,"",SUM(Demand!I152))</f>
        <v/>
      </c>
      <c r="BD152" s="259" t="str">
        <f ca="1">IF(AND(A152&lt;=MaxRows,BE152&lt;&gt;"Yes"),'Demand background (hide)'!X143+IF(Setup!$I$15="Yes",'Demand background (hide)'!AJ143,0),"")</f>
        <v/>
      </c>
      <c r="BE152" s="209"/>
    </row>
    <row r="153" spans="1:57" x14ac:dyDescent="0.25">
      <c r="A153" t="str">
        <f t="shared" ca="1" si="8"/>
        <v/>
      </c>
      <c r="B153" s="264" t="str">
        <f t="shared" ca="1" si="9"/>
        <v xml:space="preserve"> </v>
      </c>
      <c r="C153" s="265" t="str">
        <f t="shared" ca="1" si="10"/>
        <v/>
      </c>
      <c r="D153" s="350" t="str">
        <f t="shared" ca="1" si="11"/>
        <v/>
      </c>
      <c r="E153" s="192"/>
      <c r="F153" s="192"/>
      <c r="G153" s="192"/>
      <c r="H153" s="192"/>
      <c r="I153" s="251" t="str">
        <f>IF(COUNTBLANK(E153:H153)=4,"",SUM(E153:G153)+IF(Setup!$I$15="No",0,H153))</f>
        <v/>
      </c>
      <c r="J153" s="192"/>
      <c r="K153" s="192"/>
      <c r="L153" s="192"/>
      <c r="M153" s="192"/>
      <c r="N153" s="255" t="str">
        <f>IF(COUNTBLANK(J153:M153)=4,"",SUM(J153:L153)+IF(Setup!$I$15="No",0,M153))</f>
        <v/>
      </c>
      <c r="O153" s="192"/>
      <c r="P153" s="192"/>
      <c r="Q153" s="192"/>
      <c r="R153" s="192"/>
      <c r="S153" s="255" t="str">
        <f>IF(COUNTBLANK(O153:R153)=4,"",SUM(O153:Q153)+IF(Setup!$I$15="No",0,R153))</f>
        <v/>
      </c>
      <c r="T153" s="192"/>
      <c r="U153" s="192"/>
      <c r="V153" s="192"/>
      <c r="W153" s="192"/>
      <c r="X153" s="255" t="str">
        <f>IF(COUNTBLANK(T153:W153)=4,"",SUM(T153:V153)+IF(Setup!$I$15="No",0,W153))</f>
        <v/>
      </c>
      <c r="Y153" s="192"/>
      <c r="Z153" s="192"/>
      <c r="AA153" s="192"/>
      <c r="AB153" s="192"/>
      <c r="AC153" s="255" t="str">
        <f>IF(COUNTBLANK(Y153:AB153)=4,"",SUM(Y153:AA153)+IF(Setup!$I$15="No",0,AB153))</f>
        <v/>
      </c>
      <c r="AD153" s="192"/>
      <c r="AE153" s="192"/>
      <c r="AF153" s="192"/>
      <c r="AG153" s="192"/>
      <c r="AH153" s="255" t="str">
        <f>IF(COUNTBLANK(AD153:AG153)=4,"",SUM(AD153:AF153)+IF(Setup!$I$15="No",0,AG153))</f>
        <v/>
      </c>
      <c r="AI153" s="192"/>
      <c r="AJ153" s="192"/>
      <c r="AK153" s="192"/>
      <c r="AL153" s="192"/>
      <c r="AM153" s="255" t="str">
        <f>IF(COUNTBLANK(AI153:AL153)=4,"",SUM(AI153:AK153)+IF(Setup!$I$15="No",0,AL153))</f>
        <v/>
      </c>
      <c r="AN153" s="192"/>
      <c r="AO153" s="192"/>
      <c r="AP153" s="192"/>
      <c r="AQ153" s="192"/>
      <c r="AR153" s="255" t="str">
        <f>IF(COUNTBLANK(AN153:AQ153)=4,"",SUM(AN153:AP153)+IF(Setup!$I$15="No",0,AQ153))</f>
        <v/>
      </c>
      <c r="AS153" s="192"/>
      <c r="AT153" s="192"/>
      <c r="AU153" s="192"/>
      <c r="AV153" s="192"/>
      <c r="AW153" s="255" t="str">
        <f>IF(COUNTBLANK(AS153:AV153)=4,"",SUM(AS153:AU153)+IF(Setup!$I$15="No",0,AV153))</f>
        <v/>
      </c>
      <c r="AX153" s="192"/>
      <c r="AY153" s="192"/>
      <c r="AZ153" s="192"/>
      <c r="BA153" s="192"/>
      <c r="BB153" s="255" t="str">
        <f>IF(COUNTBLANK(AX153:BA153)=4,"",SUM(AX153:AZ153)+IF(Setup!$I$15="No",0,BA153))</f>
        <v/>
      </c>
      <c r="BC153" s="259" t="str">
        <f ca="1">IF('Demand background (hide)'!A144=Num_Modalities,"",SUM(Demand!I153))</f>
        <v/>
      </c>
      <c r="BD153" s="259" t="str">
        <f ca="1">IF(AND(A153&lt;=MaxRows,BE153&lt;&gt;"Yes"),'Demand background (hide)'!X144+IF(Setup!$I$15="Yes",'Demand background (hide)'!AJ144,0),"")</f>
        <v/>
      </c>
      <c r="BE153" s="209"/>
    </row>
    <row r="154" spans="1:57" x14ac:dyDescent="0.25">
      <c r="A154" t="str">
        <f t="shared" ca="1" si="8"/>
        <v/>
      </c>
      <c r="B154" s="264" t="str">
        <f t="shared" ca="1" si="9"/>
        <v xml:space="preserve"> </v>
      </c>
      <c r="C154" s="265" t="str">
        <f t="shared" ca="1" si="10"/>
        <v/>
      </c>
      <c r="D154" s="350" t="str">
        <f t="shared" ca="1" si="11"/>
        <v/>
      </c>
      <c r="E154" s="192"/>
      <c r="F154" s="192"/>
      <c r="G154" s="192"/>
      <c r="H154" s="192"/>
      <c r="I154" s="251" t="str">
        <f>IF(COUNTBLANK(E154:H154)=4,"",SUM(E154:G154)+IF(Setup!$I$15="No",0,H154))</f>
        <v/>
      </c>
      <c r="J154" s="192"/>
      <c r="K154" s="192"/>
      <c r="L154" s="192"/>
      <c r="M154" s="192"/>
      <c r="N154" s="255" t="str">
        <f>IF(COUNTBLANK(J154:M154)=4,"",SUM(J154:L154)+IF(Setup!$I$15="No",0,M154))</f>
        <v/>
      </c>
      <c r="O154" s="192"/>
      <c r="P154" s="192"/>
      <c r="Q154" s="192"/>
      <c r="R154" s="192"/>
      <c r="S154" s="255" t="str">
        <f>IF(COUNTBLANK(O154:R154)=4,"",SUM(O154:Q154)+IF(Setup!$I$15="No",0,R154))</f>
        <v/>
      </c>
      <c r="T154" s="192"/>
      <c r="U154" s="192"/>
      <c r="V154" s="192"/>
      <c r="W154" s="192"/>
      <c r="X154" s="255" t="str">
        <f>IF(COUNTBLANK(T154:W154)=4,"",SUM(T154:V154)+IF(Setup!$I$15="No",0,W154))</f>
        <v/>
      </c>
      <c r="Y154" s="192"/>
      <c r="Z154" s="192"/>
      <c r="AA154" s="192"/>
      <c r="AB154" s="192"/>
      <c r="AC154" s="255" t="str">
        <f>IF(COUNTBLANK(Y154:AB154)=4,"",SUM(Y154:AA154)+IF(Setup!$I$15="No",0,AB154))</f>
        <v/>
      </c>
      <c r="AD154" s="192"/>
      <c r="AE154" s="192"/>
      <c r="AF154" s="192"/>
      <c r="AG154" s="192"/>
      <c r="AH154" s="255" t="str">
        <f>IF(COUNTBLANK(AD154:AG154)=4,"",SUM(AD154:AF154)+IF(Setup!$I$15="No",0,AG154))</f>
        <v/>
      </c>
      <c r="AI154" s="192"/>
      <c r="AJ154" s="192"/>
      <c r="AK154" s="192"/>
      <c r="AL154" s="192"/>
      <c r="AM154" s="255" t="str">
        <f>IF(COUNTBLANK(AI154:AL154)=4,"",SUM(AI154:AK154)+IF(Setup!$I$15="No",0,AL154))</f>
        <v/>
      </c>
      <c r="AN154" s="192"/>
      <c r="AO154" s="192"/>
      <c r="AP154" s="192"/>
      <c r="AQ154" s="192"/>
      <c r="AR154" s="255" t="str">
        <f>IF(COUNTBLANK(AN154:AQ154)=4,"",SUM(AN154:AP154)+IF(Setup!$I$15="No",0,AQ154))</f>
        <v/>
      </c>
      <c r="AS154" s="192"/>
      <c r="AT154" s="192"/>
      <c r="AU154" s="192"/>
      <c r="AV154" s="192"/>
      <c r="AW154" s="255" t="str">
        <f>IF(COUNTBLANK(AS154:AV154)=4,"",SUM(AS154:AU154)+IF(Setup!$I$15="No",0,AV154))</f>
        <v/>
      </c>
      <c r="AX154" s="192"/>
      <c r="AY154" s="192"/>
      <c r="AZ154" s="192"/>
      <c r="BA154" s="192"/>
      <c r="BB154" s="255" t="str">
        <f>IF(COUNTBLANK(AX154:BA154)=4,"",SUM(AX154:AZ154)+IF(Setup!$I$15="No",0,BA154))</f>
        <v/>
      </c>
      <c r="BC154" s="259" t="str">
        <f ca="1">IF('Demand background (hide)'!A145=Num_Modalities,"",SUM(Demand!I154))</f>
        <v/>
      </c>
      <c r="BD154" s="259" t="str">
        <f ca="1">IF(AND(A154&lt;=MaxRows,BE154&lt;&gt;"Yes"),'Demand background (hide)'!X145+IF(Setup!$I$15="Yes",'Demand background (hide)'!AJ145,0),"")</f>
        <v/>
      </c>
      <c r="BE154" s="209"/>
    </row>
    <row r="155" spans="1:57" x14ac:dyDescent="0.25">
      <c r="A155" t="str">
        <f t="shared" ca="1" si="8"/>
        <v/>
      </c>
      <c r="B155" s="264" t="str">
        <f t="shared" ca="1" si="9"/>
        <v xml:space="preserve"> </v>
      </c>
      <c r="C155" s="265" t="str">
        <f t="shared" ca="1" si="10"/>
        <v/>
      </c>
      <c r="D155" s="350" t="str">
        <f t="shared" ca="1" si="11"/>
        <v/>
      </c>
      <c r="E155" s="192"/>
      <c r="F155" s="192"/>
      <c r="G155" s="192"/>
      <c r="H155" s="192"/>
      <c r="I155" s="251" t="str">
        <f>IF(COUNTBLANK(E155:H155)=4,"",SUM(E155:G155)+IF(Setup!$I$15="No",0,H155))</f>
        <v/>
      </c>
      <c r="J155" s="192"/>
      <c r="K155" s="192"/>
      <c r="L155" s="192"/>
      <c r="M155" s="192"/>
      <c r="N155" s="255" t="str">
        <f>IF(COUNTBLANK(J155:M155)=4,"",SUM(J155:L155)+IF(Setup!$I$15="No",0,M155))</f>
        <v/>
      </c>
      <c r="O155" s="192"/>
      <c r="P155" s="192"/>
      <c r="Q155" s="192"/>
      <c r="R155" s="192"/>
      <c r="S155" s="255" t="str">
        <f>IF(COUNTBLANK(O155:R155)=4,"",SUM(O155:Q155)+IF(Setup!$I$15="No",0,R155))</f>
        <v/>
      </c>
      <c r="T155" s="192"/>
      <c r="U155" s="192"/>
      <c r="V155" s="192"/>
      <c r="W155" s="192"/>
      <c r="X155" s="255" t="str">
        <f>IF(COUNTBLANK(T155:W155)=4,"",SUM(T155:V155)+IF(Setup!$I$15="No",0,W155))</f>
        <v/>
      </c>
      <c r="Y155" s="192"/>
      <c r="Z155" s="192"/>
      <c r="AA155" s="192"/>
      <c r="AB155" s="192"/>
      <c r="AC155" s="255" t="str">
        <f>IF(COUNTBLANK(Y155:AB155)=4,"",SUM(Y155:AA155)+IF(Setup!$I$15="No",0,AB155))</f>
        <v/>
      </c>
      <c r="AD155" s="192"/>
      <c r="AE155" s="192"/>
      <c r="AF155" s="192"/>
      <c r="AG155" s="192"/>
      <c r="AH155" s="255" t="str">
        <f>IF(COUNTBLANK(AD155:AG155)=4,"",SUM(AD155:AF155)+IF(Setup!$I$15="No",0,AG155))</f>
        <v/>
      </c>
      <c r="AI155" s="192"/>
      <c r="AJ155" s="192"/>
      <c r="AK155" s="192"/>
      <c r="AL155" s="192"/>
      <c r="AM155" s="255" t="str">
        <f>IF(COUNTBLANK(AI155:AL155)=4,"",SUM(AI155:AK155)+IF(Setup!$I$15="No",0,AL155))</f>
        <v/>
      </c>
      <c r="AN155" s="192"/>
      <c r="AO155" s="192"/>
      <c r="AP155" s="192"/>
      <c r="AQ155" s="192"/>
      <c r="AR155" s="255" t="str">
        <f>IF(COUNTBLANK(AN155:AQ155)=4,"",SUM(AN155:AP155)+IF(Setup!$I$15="No",0,AQ155))</f>
        <v/>
      </c>
      <c r="AS155" s="192"/>
      <c r="AT155" s="192"/>
      <c r="AU155" s="192"/>
      <c r="AV155" s="192"/>
      <c r="AW155" s="255" t="str">
        <f>IF(COUNTBLANK(AS155:AV155)=4,"",SUM(AS155:AU155)+IF(Setup!$I$15="No",0,AV155))</f>
        <v/>
      </c>
      <c r="AX155" s="192"/>
      <c r="AY155" s="192"/>
      <c r="AZ155" s="192"/>
      <c r="BA155" s="192"/>
      <c r="BB155" s="255" t="str">
        <f>IF(COUNTBLANK(AX155:BA155)=4,"",SUM(AX155:AZ155)+IF(Setup!$I$15="No",0,BA155))</f>
        <v/>
      </c>
      <c r="BC155" s="259" t="str">
        <f ca="1">IF('Demand background (hide)'!A146=Num_Modalities,"",SUM(Demand!I155))</f>
        <v/>
      </c>
      <c r="BD155" s="259" t="str">
        <f ca="1">IF(AND(A155&lt;=MaxRows,BE155&lt;&gt;"Yes"),'Demand background (hide)'!X146+IF(Setup!$I$15="Yes",'Demand background (hide)'!AJ146,0),"")</f>
        <v/>
      </c>
      <c r="BE155" s="209"/>
    </row>
    <row r="156" spans="1:57" x14ac:dyDescent="0.25">
      <c r="A156" t="str">
        <f t="shared" ca="1" si="8"/>
        <v/>
      </c>
      <c r="B156" s="264" t="str">
        <f t="shared" ca="1" si="9"/>
        <v xml:space="preserve"> </v>
      </c>
      <c r="C156" s="265" t="str">
        <f t="shared" ca="1" si="10"/>
        <v/>
      </c>
      <c r="D156" s="350" t="str">
        <f t="shared" ca="1" si="11"/>
        <v/>
      </c>
      <c r="E156" s="192"/>
      <c r="F156" s="192"/>
      <c r="G156" s="192"/>
      <c r="H156" s="192"/>
      <c r="I156" s="251" t="str">
        <f>IF(COUNTBLANK(E156:H156)=4,"",SUM(E156:G156)+IF(Setup!$I$15="No",0,H156))</f>
        <v/>
      </c>
      <c r="J156" s="192"/>
      <c r="K156" s="192"/>
      <c r="L156" s="192"/>
      <c r="M156" s="192"/>
      <c r="N156" s="255" t="str">
        <f>IF(COUNTBLANK(J156:M156)=4,"",SUM(J156:L156)+IF(Setup!$I$15="No",0,M156))</f>
        <v/>
      </c>
      <c r="O156" s="192"/>
      <c r="P156" s="192"/>
      <c r="Q156" s="192"/>
      <c r="R156" s="192"/>
      <c r="S156" s="255" t="str">
        <f>IF(COUNTBLANK(O156:R156)=4,"",SUM(O156:Q156)+IF(Setup!$I$15="No",0,R156))</f>
        <v/>
      </c>
      <c r="T156" s="192"/>
      <c r="U156" s="192"/>
      <c r="V156" s="192"/>
      <c r="W156" s="192"/>
      <c r="X156" s="255" t="str">
        <f>IF(COUNTBLANK(T156:W156)=4,"",SUM(T156:V156)+IF(Setup!$I$15="No",0,W156))</f>
        <v/>
      </c>
      <c r="Y156" s="192"/>
      <c r="Z156" s="192"/>
      <c r="AA156" s="192"/>
      <c r="AB156" s="192"/>
      <c r="AC156" s="255" t="str">
        <f>IF(COUNTBLANK(Y156:AB156)=4,"",SUM(Y156:AA156)+IF(Setup!$I$15="No",0,AB156))</f>
        <v/>
      </c>
      <c r="AD156" s="192"/>
      <c r="AE156" s="192"/>
      <c r="AF156" s="192"/>
      <c r="AG156" s="192"/>
      <c r="AH156" s="255" t="str">
        <f>IF(COUNTBLANK(AD156:AG156)=4,"",SUM(AD156:AF156)+IF(Setup!$I$15="No",0,AG156))</f>
        <v/>
      </c>
      <c r="AI156" s="192"/>
      <c r="AJ156" s="192"/>
      <c r="AK156" s="192"/>
      <c r="AL156" s="192"/>
      <c r="AM156" s="255" t="str">
        <f>IF(COUNTBLANK(AI156:AL156)=4,"",SUM(AI156:AK156)+IF(Setup!$I$15="No",0,AL156))</f>
        <v/>
      </c>
      <c r="AN156" s="192"/>
      <c r="AO156" s="192"/>
      <c r="AP156" s="192"/>
      <c r="AQ156" s="192"/>
      <c r="AR156" s="255" t="str">
        <f>IF(COUNTBLANK(AN156:AQ156)=4,"",SUM(AN156:AP156)+IF(Setup!$I$15="No",0,AQ156))</f>
        <v/>
      </c>
      <c r="AS156" s="192"/>
      <c r="AT156" s="192"/>
      <c r="AU156" s="192"/>
      <c r="AV156" s="192"/>
      <c r="AW156" s="255" t="str">
        <f>IF(COUNTBLANK(AS156:AV156)=4,"",SUM(AS156:AU156)+IF(Setup!$I$15="No",0,AV156))</f>
        <v/>
      </c>
      <c r="AX156" s="192"/>
      <c r="AY156" s="192"/>
      <c r="AZ156" s="192"/>
      <c r="BA156" s="192"/>
      <c r="BB156" s="255" t="str">
        <f>IF(COUNTBLANK(AX156:BA156)=4,"",SUM(AX156:AZ156)+IF(Setup!$I$15="No",0,BA156))</f>
        <v/>
      </c>
      <c r="BC156" s="259" t="str">
        <f ca="1">IF('Demand background (hide)'!A147=Num_Modalities,"",SUM(Demand!I156))</f>
        <v/>
      </c>
      <c r="BD156" s="259" t="str">
        <f ca="1">IF(AND(A156&lt;=MaxRows,BE156&lt;&gt;"Yes"),'Demand background (hide)'!X147+IF(Setup!$I$15="Yes",'Demand background (hide)'!AJ147,0),"")</f>
        <v/>
      </c>
      <c r="BE156" s="209"/>
    </row>
    <row r="157" spans="1:57" x14ac:dyDescent="0.25">
      <c r="A157" t="str">
        <f t="shared" ca="1" si="8"/>
        <v/>
      </c>
      <c r="B157" s="264" t="str">
        <f t="shared" ca="1" si="9"/>
        <v xml:space="preserve"> </v>
      </c>
      <c r="C157" s="265" t="str">
        <f t="shared" ca="1" si="10"/>
        <v/>
      </c>
      <c r="D157" s="350" t="str">
        <f t="shared" ca="1" si="11"/>
        <v/>
      </c>
      <c r="E157" s="192"/>
      <c r="F157" s="192"/>
      <c r="G157" s="192"/>
      <c r="H157" s="192"/>
      <c r="I157" s="251" t="str">
        <f>IF(COUNTBLANK(E157:H157)=4,"",SUM(E157:G157)+IF(Setup!$I$15="No",0,H157))</f>
        <v/>
      </c>
      <c r="J157" s="192"/>
      <c r="K157" s="192"/>
      <c r="L157" s="192"/>
      <c r="M157" s="192"/>
      <c r="N157" s="255" t="str">
        <f>IF(COUNTBLANK(J157:M157)=4,"",SUM(J157:L157)+IF(Setup!$I$15="No",0,M157))</f>
        <v/>
      </c>
      <c r="O157" s="192"/>
      <c r="P157" s="192"/>
      <c r="Q157" s="192"/>
      <c r="R157" s="192"/>
      <c r="S157" s="255" t="str">
        <f>IF(COUNTBLANK(O157:R157)=4,"",SUM(O157:Q157)+IF(Setup!$I$15="No",0,R157))</f>
        <v/>
      </c>
      <c r="T157" s="192"/>
      <c r="U157" s="192"/>
      <c r="V157" s="192"/>
      <c r="W157" s="192"/>
      <c r="X157" s="255" t="str">
        <f>IF(COUNTBLANK(T157:W157)=4,"",SUM(T157:V157)+IF(Setup!$I$15="No",0,W157))</f>
        <v/>
      </c>
      <c r="Y157" s="192"/>
      <c r="Z157" s="192"/>
      <c r="AA157" s="192"/>
      <c r="AB157" s="192"/>
      <c r="AC157" s="255" t="str">
        <f>IF(COUNTBLANK(Y157:AB157)=4,"",SUM(Y157:AA157)+IF(Setup!$I$15="No",0,AB157))</f>
        <v/>
      </c>
      <c r="AD157" s="192"/>
      <c r="AE157" s="192"/>
      <c r="AF157" s="192"/>
      <c r="AG157" s="192"/>
      <c r="AH157" s="255" t="str">
        <f>IF(COUNTBLANK(AD157:AG157)=4,"",SUM(AD157:AF157)+IF(Setup!$I$15="No",0,AG157))</f>
        <v/>
      </c>
      <c r="AI157" s="192"/>
      <c r="AJ157" s="192"/>
      <c r="AK157" s="192"/>
      <c r="AL157" s="192"/>
      <c r="AM157" s="255" t="str">
        <f>IF(COUNTBLANK(AI157:AL157)=4,"",SUM(AI157:AK157)+IF(Setup!$I$15="No",0,AL157))</f>
        <v/>
      </c>
      <c r="AN157" s="192"/>
      <c r="AO157" s="192"/>
      <c r="AP157" s="192"/>
      <c r="AQ157" s="192"/>
      <c r="AR157" s="255" t="str">
        <f>IF(COUNTBLANK(AN157:AQ157)=4,"",SUM(AN157:AP157)+IF(Setup!$I$15="No",0,AQ157))</f>
        <v/>
      </c>
      <c r="AS157" s="192"/>
      <c r="AT157" s="192"/>
      <c r="AU157" s="192"/>
      <c r="AV157" s="192"/>
      <c r="AW157" s="255" t="str">
        <f>IF(COUNTBLANK(AS157:AV157)=4,"",SUM(AS157:AU157)+IF(Setup!$I$15="No",0,AV157))</f>
        <v/>
      </c>
      <c r="AX157" s="192"/>
      <c r="AY157" s="192"/>
      <c r="AZ157" s="192"/>
      <c r="BA157" s="192"/>
      <c r="BB157" s="255" t="str">
        <f>IF(COUNTBLANK(AX157:BA157)=4,"",SUM(AX157:AZ157)+IF(Setup!$I$15="No",0,BA157))</f>
        <v/>
      </c>
      <c r="BC157" s="259" t="str">
        <f ca="1">IF('Demand background (hide)'!A148=Num_Modalities,"",SUM(Demand!I157))</f>
        <v/>
      </c>
      <c r="BD157" s="259" t="str">
        <f ca="1">IF(AND(A157&lt;=MaxRows,BE157&lt;&gt;"Yes"),'Demand background (hide)'!X148+IF(Setup!$I$15="Yes",'Demand background (hide)'!AJ148,0),"")</f>
        <v/>
      </c>
      <c r="BE157" s="209"/>
    </row>
    <row r="158" spans="1:57" x14ac:dyDescent="0.25">
      <c r="A158" t="str">
        <f t="shared" ca="1" si="8"/>
        <v/>
      </c>
      <c r="B158" s="264" t="str">
        <f t="shared" ca="1" si="9"/>
        <v xml:space="preserve"> </v>
      </c>
      <c r="C158" s="265" t="str">
        <f t="shared" ca="1" si="10"/>
        <v/>
      </c>
      <c r="D158" s="350" t="str">
        <f t="shared" ca="1" si="11"/>
        <v/>
      </c>
      <c r="E158" s="192"/>
      <c r="F158" s="192"/>
      <c r="G158" s="192"/>
      <c r="H158" s="192"/>
      <c r="I158" s="251" t="str">
        <f>IF(COUNTBLANK(E158:H158)=4,"",SUM(E158:G158)+IF(Setup!$I$15="No",0,H158))</f>
        <v/>
      </c>
      <c r="J158" s="192"/>
      <c r="K158" s="192"/>
      <c r="L158" s="192"/>
      <c r="M158" s="192"/>
      <c r="N158" s="255" t="str">
        <f>IF(COUNTBLANK(J158:M158)=4,"",SUM(J158:L158)+IF(Setup!$I$15="No",0,M158))</f>
        <v/>
      </c>
      <c r="O158" s="192"/>
      <c r="P158" s="192"/>
      <c r="Q158" s="192"/>
      <c r="R158" s="192"/>
      <c r="S158" s="255" t="str">
        <f>IF(COUNTBLANK(O158:R158)=4,"",SUM(O158:Q158)+IF(Setup!$I$15="No",0,R158))</f>
        <v/>
      </c>
      <c r="T158" s="192"/>
      <c r="U158" s="192"/>
      <c r="V158" s="192"/>
      <c r="W158" s="192"/>
      <c r="X158" s="255" t="str">
        <f>IF(COUNTBLANK(T158:W158)=4,"",SUM(T158:V158)+IF(Setup!$I$15="No",0,W158))</f>
        <v/>
      </c>
      <c r="Y158" s="192"/>
      <c r="Z158" s="192"/>
      <c r="AA158" s="192"/>
      <c r="AB158" s="192"/>
      <c r="AC158" s="255" t="str">
        <f>IF(COUNTBLANK(Y158:AB158)=4,"",SUM(Y158:AA158)+IF(Setup!$I$15="No",0,AB158))</f>
        <v/>
      </c>
      <c r="AD158" s="192"/>
      <c r="AE158" s="192"/>
      <c r="AF158" s="192"/>
      <c r="AG158" s="192"/>
      <c r="AH158" s="255" t="str">
        <f>IF(COUNTBLANK(AD158:AG158)=4,"",SUM(AD158:AF158)+IF(Setup!$I$15="No",0,AG158))</f>
        <v/>
      </c>
      <c r="AI158" s="192"/>
      <c r="AJ158" s="192"/>
      <c r="AK158" s="192"/>
      <c r="AL158" s="192"/>
      <c r="AM158" s="255" t="str">
        <f>IF(COUNTBLANK(AI158:AL158)=4,"",SUM(AI158:AK158)+IF(Setup!$I$15="No",0,AL158))</f>
        <v/>
      </c>
      <c r="AN158" s="192"/>
      <c r="AO158" s="192"/>
      <c r="AP158" s="192"/>
      <c r="AQ158" s="192"/>
      <c r="AR158" s="255" t="str">
        <f>IF(COUNTBLANK(AN158:AQ158)=4,"",SUM(AN158:AP158)+IF(Setup!$I$15="No",0,AQ158))</f>
        <v/>
      </c>
      <c r="AS158" s="192"/>
      <c r="AT158" s="192"/>
      <c r="AU158" s="192"/>
      <c r="AV158" s="192"/>
      <c r="AW158" s="255" t="str">
        <f>IF(COUNTBLANK(AS158:AV158)=4,"",SUM(AS158:AU158)+IF(Setup!$I$15="No",0,AV158))</f>
        <v/>
      </c>
      <c r="AX158" s="192"/>
      <c r="AY158" s="192"/>
      <c r="AZ158" s="192"/>
      <c r="BA158" s="192"/>
      <c r="BB158" s="255" t="str">
        <f>IF(COUNTBLANK(AX158:BA158)=4,"",SUM(AX158:AZ158)+IF(Setup!$I$15="No",0,BA158))</f>
        <v/>
      </c>
      <c r="BC158" s="259" t="str">
        <f ca="1">IF('Demand background (hide)'!A149=Num_Modalities,"",SUM(Demand!I158))</f>
        <v/>
      </c>
      <c r="BD158" s="259" t="str">
        <f ca="1">IF(AND(A158&lt;=MaxRows,BE158&lt;&gt;"Yes"),'Demand background (hide)'!X149+IF(Setup!$I$15="Yes",'Demand background (hide)'!AJ149,0),"")</f>
        <v/>
      </c>
      <c r="BE158" s="209"/>
    </row>
    <row r="159" spans="1:57" x14ac:dyDescent="0.25">
      <c r="A159" t="str">
        <f t="shared" ca="1" si="8"/>
        <v/>
      </c>
      <c r="B159" s="264" t="str">
        <f t="shared" ca="1" si="9"/>
        <v xml:space="preserve"> </v>
      </c>
      <c r="C159" s="265" t="str">
        <f t="shared" ca="1" si="10"/>
        <v/>
      </c>
      <c r="D159" s="350" t="str">
        <f t="shared" ca="1" si="11"/>
        <v/>
      </c>
      <c r="E159" s="192"/>
      <c r="F159" s="192"/>
      <c r="G159" s="192"/>
      <c r="H159" s="192"/>
      <c r="I159" s="251" t="str">
        <f>IF(COUNTBLANK(E159:H159)=4,"",SUM(E159:G159)+IF(Setup!$I$15="No",0,H159))</f>
        <v/>
      </c>
      <c r="J159" s="192"/>
      <c r="K159" s="192"/>
      <c r="L159" s="192"/>
      <c r="M159" s="192"/>
      <c r="N159" s="255" t="str">
        <f>IF(COUNTBLANK(J159:M159)=4,"",SUM(J159:L159)+IF(Setup!$I$15="No",0,M159))</f>
        <v/>
      </c>
      <c r="O159" s="192"/>
      <c r="P159" s="192"/>
      <c r="Q159" s="192"/>
      <c r="R159" s="192"/>
      <c r="S159" s="255" t="str">
        <f>IF(COUNTBLANK(O159:R159)=4,"",SUM(O159:Q159)+IF(Setup!$I$15="No",0,R159))</f>
        <v/>
      </c>
      <c r="T159" s="192"/>
      <c r="U159" s="192"/>
      <c r="V159" s="192"/>
      <c r="W159" s="192"/>
      <c r="X159" s="255" t="str">
        <f>IF(COUNTBLANK(T159:W159)=4,"",SUM(T159:V159)+IF(Setup!$I$15="No",0,W159))</f>
        <v/>
      </c>
      <c r="Y159" s="192"/>
      <c r="Z159" s="192"/>
      <c r="AA159" s="192"/>
      <c r="AB159" s="192"/>
      <c r="AC159" s="255" t="str">
        <f>IF(COUNTBLANK(Y159:AB159)=4,"",SUM(Y159:AA159)+IF(Setup!$I$15="No",0,AB159))</f>
        <v/>
      </c>
      <c r="AD159" s="192"/>
      <c r="AE159" s="192"/>
      <c r="AF159" s="192"/>
      <c r="AG159" s="192"/>
      <c r="AH159" s="255" t="str">
        <f>IF(COUNTBLANK(AD159:AG159)=4,"",SUM(AD159:AF159)+IF(Setup!$I$15="No",0,AG159))</f>
        <v/>
      </c>
      <c r="AI159" s="192"/>
      <c r="AJ159" s="192"/>
      <c r="AK159" s="192"/>
      <c r="AL159" s="192"/>
      <c r="AM159" s="255" t="str">
        <f>IF(COUNTBLANK(AI159:AL159)=4,"",SUM(AI159:AK159)+IF(Setup!$I$15="No",0,AL159))</f>
        <v/>
      </c>
      <c r="AN159" s="192"/>
      <c r="AO159" s="192"/>
      <c r="AP159" s="192"/>
      <c r="AQ159" s="192"/>
      <c r="AR159" s="255" t="str">
        <f>IF(COUNTBLANK(AN159:AQ159)=4,"",SUM(AN159:AP159)+IF(Setup!$I$15="No",0,AQ159))</f>
        <v/>
      </c>
      <c r="AS159" s="192"/>
      <c r="AT159" s="192"/>
      <c r="AU159" s="192"/>
      <c r="AV159" s="192"/>
      <c r="AW159" s="255" t="str">
        <f>IF(COUNTBLANK(AS159:AV159)=4,"",SUM(AS159:AU159)+IF(Setup!$I$15="No",0,AV159))</f>
        <v/>
      </c>
      <c r="AX159" s="192"/>
      <c r="AY159" s="192"/>
      <c r="AZ159" s="192"/>
      <c r="BA159" s="192"/>
      <c r="BB159" s="255" t="str">
        <f>IF(COUNTBLANK(AX159:BA159)=4,"",SUM(AX159:AZ159)+IF(Setup!$I$15="No",0,BA159))</f>
        <v/>
      </c>
      <c r="BC159" s="259" t="str">
        <f ca="1">IF('Demand background (hide)'!A150=Num_Modalities,"",SUM(Demand!I159))</f>
        <v/>
      </c>
      <c r="BD159" s="259" t="str">
        <f ca="1">IF(AND(A159&lt;=MaxRows,BE159&lt;&gt;"Yes"),'Demand background (hide)'!X150+IF(Setup!$I$15="Yes",'Demand background (hide)'!AJ150,0),"")</f>
        <v/>
      </c>
      <c r="BE159" s="209"/>
    </row>
    <row r="160" spans="1:57" x14ac:dyDescent="0.25">
      <c r="A160" t="str">
        <f t="shared" ca="1" si="8"/>
        <v/>
      </c>
      <c r="B160" s="264" t="str">
        <f t="shared" ca="1" si="9"/>
        <v xml:space="preserve"> </v>
      </c>
      <c r="C160" s="265" t="str">
        <f t="shared" ca="1" si="10"/>
        <v/>
      </c>
      <c r="D160" s="350" t="str">
        <f t="shared" ca="1" si="11"/>
        <v/>
      </c>
      <c r="E160" s="192"/>
      <c r="F160" s="192"/>
      <c r="G160" s="192"/>
      <c r="H160" s="192"/>
      <c r="I160" s="251" t="str">
        <f>IF(COUNTBLANK(E160:H160)=4,"",SUM(E160:G160)+IF(Setup!$I$15="No",0,H160))</f>
        <v/>
      </c>
      <c r="J160" s="192"/>
      <c r="K160" s="192"/>
      <c r="L160" s="192"/>
      <c r="M160" s="192"/>
      <c r="N160" s="255" t="str">
        <f>IF(COUNTBLANK(J160:M160)=4,"",SUM(J160:L160)+IF(Setup!$I$15="No",0,M160))</f>
        <v/>
      </c>
      <c r="O160" s="192"/>
      <c r="P160" s="192"/>
      <c r="Q160" s="192"/>
      <c r="R160" s="192"/>
      <c r="S160" s="255" t="str">
        <f>IF(COUNTBLANK(O160:R160)=4,"",SUM(O160:Q160)+IF(Setup!$I$15="No",0,R160))</f>
        <v/>
      </c>
      <c r="T160" s="192"/>
      <c r="U160" s="192"/>
      <c r="V160" s="192"/>
      <c r="W160" s="192"/>
      <c r="X160" s="255" t="str">
        <f>IF(COUNTBLANK(T160:W160)=4,"",SUM(T160:V160)+IF(Setup!$I$15="No",0,W160))</f>
        <v/>
      </c>
      <c r="Y160" s="192"/>
      <c r="Z160" s="192"/>
      <c r="AA160" s="192"/>
      <c r="AB160" s="192"/>
      <c r="AC160" s="255" t="str">
        <f>IF(COUNTBLANK(Y160:AB160)=4,"",SUM(Y160:AA160)+IF(Setup!$I$15="No",0,AB160))</f>
        <v/>
      </c>
      <c r="AD160" s="192"/>
      <c r="AE160" s="192"/>
      <c r="AF160" s="192"/>
      <c r="AG160" s="192"/>
      <c r="AH160" s="255" t="str">
        <f>IF(COUNTBLANK(AD160:AG160)=4,"",SUM(AD160:AF160)+IF(Setup!$I$15="No",0,AG160))</f>
        <v/>
      </c>
      <c r="AI160" s="192"/>
      <c r="AJ160" s="192"/>
      <c r="AK160" s="192"/>
      <c r="AL160" s="192"/>
      <c r="AM160" s="255" t="str">
        <f>IF(COUNTBLANK(AI160:AL160)=4,"",SUM(AI160:AK160)+IF(Setup!$I$15="No",0,AL160))</f>
        <v/>
      </c>
      <c r="AN160" s="192"/>
      <c r="AO160" s="192"/>
      <c r="AP160" s="192"/>
      <c r="AQ160" s="192"/>
      <c r="AR160" s="255" t="str">
        <f>IF(COUNTBLANK(AN160:AQ160)=4,"",SUM(AN160:AP160)+IF(Setup!$I$15="No",0,AQ160))</f>
        <v/>
      </c>
      <c r="AS160" s="192"/>
      <c r="AT160" s="192"/>
      <c r="AU160" s="192"/>
      <c r="AV160" s="192"/>
      <c r="AW160" s="255" t="str">
        <f>IF(COUNTBLANK(AS160:AV160)=4,"",SUM(AS160:AU160)+IF(Setup!$I$15="No",0,AV160))</f>
        <v/>
      </c>
      <c r="AX160" s="192"/>
      <c r="AY160" s="192"/>
      <c r="AZ160" s="192"/>
      <c r="BA160" s="192"/>
      <c r="BB160" s="255" t="str">
        <f>IF(COUNTBLANK(AX160:BA160)=4,"",SUM(AX160:AZ160)+IF(Setup!$I$15="No",0,BA160))</f>
        <v/>
      </c>
      <c r="BC160" s="259" t="str">
        <f ca="1">IF('Demand background (hide)'!A151=Num_Modalities,"",SUM(Demand!I160))</f>
        <v/>
      </c>
      <c r="BD160" s="259" t="str">
        <f ca="1">IF(AND(A160&lt;=MaxRows,BE160&lt;&gt;"Yes"),'Demand background (hide)'!X151+IF(Setup!$I$15="Yes",'Demand background (hide)'!AJ151,0),"")</f>
        <v/>
      </c>
      <c r="BE160" s="209"/>
    </row>
    <row r="161" spans="1:57" x14ac:dyDescent="0.25">
      <c r="A161" t="str">
        <f t="shared" ca="1" si="8"/>
        <v/>
      </c>
      <c r="B161" s="264" t="str">
        <f t="shared" ca="1" si="9"/>
        <v xml:space="preserve"> </v>
      </c>
      <c r="C161" s="265" t="str">
        <f t="shared" ca="1" si="10"/>
        <v/>
      </c>
      <c r="D161" s="350" t="str">
        <f t="shared" ca="1" si="11"/>
        <v/>
      </c>
      <c r="E161" s="192"/>
      <c r="F161" s="192"/>
      <c r="G161" s="192"/>
      <c r="H161" s="192"/>
      <c r="I161" s="251" t="str">
        <f>IF(COUNTBLANK(E161:H161)=4,"",SUM(E161:G161)+IF(Setup!$I$15="No",0,H161))</f>
        <v/>
      </c>
      <c r="J161" s="192"/>
      <c r="K161" s="192"/>
      <c r="L161" s="192"/>
      <c r="M161" s="192"/>
      <c r="N161" s="255" t="str">
        <f>IF(COUNTBLANK(J161:M161)=4,"",SUM(J161:L161)+IF(Setup!$I$15="No",0,M161))</f>
        <v/>
      </c>
      <c r="O161" s="192"/>
      <c r="P161" s="192"/>
      <c r="Q161" s="192"/>
      <c r="R161" s="192"/>
      <c r="S161" s="255" t="str">
        <f>IF(COUNTBLANK(O161:R161)=4,"",SUM(O161:Q161)+IF(Setup!$I$15="No",0,R161))</f>
        <v/>
      </c>
      <c r="T161" s="192"/>
      <c r="U161" s="192"/>
      <c r="V161" s="192"/>
      <c r="W161" s="192"/>
      <c r="X161" s="255" t="str">
        <f>IF(COUNTBLANK(T161:W161)=4,"",SUM(T161:V161)+IF(Setup!$I$15="No",0,W161))</f>
        <v/>
      </c>
      <c r="Y161" s="192"/>
      <c r="Z161" s="192"/>
      <c r="AA161" s="192"/>
      <c r="AB161" s="192"/>
      <c r="AC161" s="255" t="str">
        <f>IF(COUNTBLANK(Y161:AB161)=4,"",SUM(Y161:AA161)+IF(Setup!$I$15="No",0,AB161))</f>
        <v/>
      </c>
      <c r="AD161" s="192"/>
      <c r="AE161" s="192"/>
      <c r="AF161" s="192"/>
      <c r="AG161" s="192"/>
      <c r="AH161" s="255" t="str">
        <f>IF(COUNTBLANK(AD161:AG161)=4,"",SUM(AD161:AF161)+IF(Setup!$I$15="No",0,AG161))</f>
        <v/>
      </c>
      <c r="AI161" s="192"/>
      <c r="AJ161" s="192"/>
      <c r="AK161" s="192"/>
      <c r="AL161" s="192"/>
      <c r="AM161" s="255" t="str">
        <f>IF(COUNTBLANK(AI161:AL161)=4,"",SUM(AI161:AK161)+IF(Setup!$I$15="No",0,AL161))</f>
        <v/>
      </c>
      <c r="AN161" s="192"/>
      <c r="AO161" s="192"/>
      <c r="AP161" s="192"/>
      <c r="AQ161" s="192"/>
      <c r="AR161" s="255" t="str">
        <f>IF(COUNTBLANK(AN161:AQ161)=4,"",SUM(AN161:AP161)+IF(Setup!$I$15="No",0,AQ161))</f>
        <v/>
      </c>
      <c r="AS161" s="192"/>
      <c r="AT161" s="192"/>
      <c r="AU161" s="192"/>
      <c r="AV161" s="192"/>
      <c r="AW161" s="255" t="str">
        <f>IF(COUNTBLANK(AS161:AV161)=4,"",SUM(AS161:AU161)+IF(Setup!$I$15="No",0,AV161))</f>
        <v/>
      </c>
      <c r="AX161" s="192"/>
      <c r="AY161" s="192"/>
      <c r="AZ161" s="192"/>
      <c r="BA161" s="192"/>
      <c r="BB161" s="255" t="str">
        <f>IF(COUNTBLANK(AX161:BA161)=4,"",SUM(AX161:AZ161)+IF(Setup!$I$15="No",0,BA161))</f>
        <v/>
      </c>
      <c r="BC161" s="259" t="str">
        <f ca="1">IF('Demand background (hide)'!A152=Num_Modalities,"",SUM(Demand!I161))</f>
        <v/>
      </c>
      <c r="BD161" s="259" t="str">
        <f ca="1">IF(AND(A161&lt;=MaxRows,BE161&lt;&gt;"Yes"),'Demand background (hide)'!X152+IF(Setup!$I$15="Yes",'Demand background (hide)'!AJ152,0),"")</f>
        <v/>
      </c>
      <c r="BE161" s="209"/>
    </row>
    <row r="162" spans="1:57" x14ac:dyDescent="0.25">
      <c r="A162" t="str">
        <f t="shared" ca="1" si="8"/>
        <v/>
      </c>
      <c r="B162" s="264" t="str">
        <f t="shared" ca="1" si="9"/>
        <v xml:space="preserve"> </v>
      </c>
      <c r="C162" s="265" t="str">
        <f t="shared" ca="1" si="10"/>
        <v/>
      </c>
      <c r="D162" s="350" t="str">
        <f t="shared" ca="1" si="11"/>
        <v/>
      </c>
      <c r="E162" s="192"/>
      <c r="F162" s="192"/>
      <c r="G162" s="192"/>
      <c r="H162" s="192"/>
      <c r="I162" s="251" t="str">
        <f>IF(COUNTBLANK(E162:H162)=4,"",SUM(E162:G162)+IF(Setup!$I$15="No",0,H162))</f>
        <v/>
      </c>
      <c r="J162" s="192"/>
      <c r="K162" s="192"/>
      <c r="L162" s="192"/>
      <c r="M162" s="192"/>
      <c r="N162" s="255" t="str">
        <f>IF(COUNTBLANK(J162:M162)=4,"",SUM(J162:L162)+IF(Setup!$I$15="No",0,M162))</f>
        <v/>
      </c>
      <c r="O162" s="192"/>
      <c r="P162" s="192"/>
      <c r="Q162" s="192"/>
      <c r="R162" s="192"/>
      <c r="S162" s="255" t="str">
        <f>IF(COUNTBLANK(O162:R162)=4,"",SUM(O162:Q162)+IF(Setup!$I$15="No",0,R162))</f>
        <v/>
      </c>
      <c r="T162" s="192"/>
      <c r="U162" s="192"/>
      <c r="V162" s="192"/>
      <c r="W162" s="192"/>
      <c r="X162" s="255" t="str">
        <f>IF(COUNTBLANK(T162:W162)=4,"",SUM(T162:V162)+IF(Setup!$I$15="No",0,W162))</f>
        <v/>
      </c>
      <c r="Y162" s="192"/>
      <c r="Z162" s="192"/>
      <c r="AA162" s="192"/>
      <c r="AB162" s="192"/>
      <c r="AC162" s="255" t="str">
        <f>IF(COUNTBLANK(Y162:AB162)=4,"",SUM(Y162:AA162)+IF(Setup!$I$15="No",0,AB162))</f>
        <v/>
      </c>
      <c r="AD162" s="192"/>
      <c r="AE162" s="192"/>
      <c r="AF162" s="192"/>
      <c r="AG162" s="192"/>
      <c r="AH162" s="255" t="str">
        <f>IF(COUNTBLANK(AD162:AG162)=4,"",SUM(AD162:AF162)+IF(Setup!$I$15="No",0,AG162))</f>
        <v/>
      </c>
      <c r="AI162" s="192"/>
      <c r="AJ162" s="192"/>
      <c r="AK162" s="192"/>
      <c r="AL162" s="192"/>
      <c r="AM162" s="255" t="str">
        <f>IF(COUNTBLANK(AI162:AL162)=4,"",SUM(AI162:AK162)+IF(Setup!$I$15="No",0,AL162))</f>
        <v/>
      </c>
      <c r="AN162" s="192"/>
      <c r="AO162" s="192"/>
      <c r="AP162" s="192"/>
      <c r="AQ162" s="192"/>
      <c r="AR162" s="255" t="str">
        <f>IF(COUNTBLANK(AN162:AQ162)=4,"",SUM(AN162:AP162)+IF(Setup!$I$15="No",0,AQ162))</f>
        <v/>
      </c>
      <c r="AS162" s="192"/>
      <c r="AT162" s="192"/>
      <c r="AU162" s="192"/>
      <c r="AV162" s="192"/>
      <c r="AW162" s="255" t="str">
        <f>IF(COUNTBLANK(AS162:AV162)=4,"",SUM(AS162:AU162)+IF(Setup!$I$15="No",0,AV162))</f>
        <v/>
      </c>
      <c r="AX162" s="192"/>
      <c r="AY162" s="192"/>
      <c r="AZ162" s="192"/>
      <c r="BA162" s="192"/>
      <c r="BB162" s="255" t="str">
        <f>IF(COUNTBLANK(AX162:BA162)=4,"",SUM(AX162:AZ162)+IF(Setup!$I$15="No",0,BA162))</f>
        <v/>
      </c>
      <c r="BC162" s="259" t="str">
        <f ca="1">IF('Demand background (hide)'!A153=Num_Modalities,"",SUM(Demand!I162))</f>
        <v/>
      </c>
      <c r="BD162" s="259" t="str">
        <f ca="1">IF(AND(A162&lt;=MaxRows,BE162&lt;&gt;"Yes"),'Demand background (hide)'!X153+IF(Setup!$I$15="Yes",'Demand background (hide)'!AJ153,0),"")</f>
        <v/>
      </c>
      <c r="BE162" s="209"/>
    </row>
    <row r="163" spans="1:57" x14ac:dyDescent="0.25">
      <c r="A163" t="str">
        <f t="shared" ca="1" si="8"/>
        <v/>
      </c>
      <c r="B163" s="264" t="str">
        <f t="shared" ca="1" si="9"/>
        <v xml:space="preserve"> </v>
      </c>
      <c r="C163" s="265" t="str">
        <f t="shared" ca="1" si="10"/>
        <v/>
      </c>
      <c r="D163" s="350" t="str">
        <f t="shared" ca="1" si="11"/>
        <v/>
      </c>
      <c r="E163" s="192"/>
      <c r="F163" s="192"/>
      <c r="G163" s="192"/>
      <c r="H163" s="192"/>
      <c r="I163" s="251" t="str">
        <f>IF(COUNTBLANK(E163:H163)=4,"",SUM(E163:G163)+IF(Setup!$I$15="No",0,H163))</f>
        <v/>
      </c>
      <c r="J163" s="192"/>
      <c r="K163" s="192"/>
      <c r="L163" s="192"/>
      <c r="M163" s="192"/>
      <c r="N163" s="255" t="str">
        <f>IF(COUNTBLANK(J163:M163)=4,"",SUM(J163:L163)+IF(Setup!$I$15="No",0,M163))</f>
        <v/>
      </c>
      <c r="O163" s="192"/>
      <c r="P163" s="192"/>
      <c r="Q163" s="192"/>
      <c r="R163" s="192"/>
      <c r="S163" s="255" t="str">
        <f>IF(COUNTBLANK(O163:R163)=4,"",SUM(O163:Q163)+IF(Setup!$I$15="No",0,R163))</f>
        <v/>
      </c>
      <c r="T163" s="192"/>
      <c r="U163" s="192"/>
      <c r="V163" s="192"/>
      <c r="W163" s="192"/>
      <c r="X163" s="255" t="str">
        <f>IF(COUNTBLANK(T163:W163)=4,"",SUM(T163:V163)+IF(Setup!$I$15="No",0,W163))</f>
        <v/>
      </c>
      <c r="Y163" s="192"/>
      <c r="Z163" s="192"/>
      <c r="AA163" s="192"/>
      <c r="AB163" s="192"/>
      <c r="AC163" s="255" t="str">
        <f>IF(COUNTBLANK(Y163:AB163)=4,"",SUM(Y163:AA163)+IF(Setup!$I$15="No",0,AB163))</f>
        <v/>
      </c>
      <c r="AD163" s="192"/>
      <c r="AE163" s="192"/>
      <c r="AF163" s="192"/>
      <c r="AG163" s="192"/>
      <c r="AH163" s="255" t="str">
        <f>IF(COUNTBLANK(AD163:AG163)=4,"",SUM(AD163:AF163)+IF(Setup!$I$15="No",0,AG163))</f>
        <v/>
      </c>
      <c r="AI163" s="192"/>
      <c r="AJ163" s="192"/>
      <c r="AK163" s="192"/>
      <c r="AL163" s="192"/>
      <c r="AM163" s="255" t="str">
        <f>IF(COUNTBLANK(AI163:AL163)=4,"",SUM(AI163:AK163)+IF(Setup!$I$15="No",0,AL163))</f>
        <v/>
      </c>
      <c r="AN163" s="192"/>
      <c r="AO163" s="192"/>
      <c r="AP163" s="192"/>
      <c r="AQ163" s="192"/>
      <c r="AR163" s="255" t="str">
        <f>IF(COUNTBLANK(AN163:AQ163)=4,"",SUM(AN163:AP163)+IF(Setup!$I$15="No",0,AQ163))</f>
        <v/>
      </c>
      <c r="AS163" s="192"/>
      <c r="AT163" s="192"/>
      <c r="AU163" s="192"/>
      <c r="AV163" s="192"/>
      <c r="AW163" s="255" t="str">
        <f>IF(COUNTBLANK(AS163:AV163)=4,"",SUM(AS163:AU163)+IF(Setup!$I$15="No",0,AV163))</f>
        <v/>
      </c>
      <c r="AX163" s="192"/>
      <c r="AY163" s="192"/>
      <c r="AZ163" s="192"/>
      <c r="BA163" s="192"/>
      <c r="BB163" s="255" t="str">
        <f>IF(COUNTBLANK(AX163:BA163)=4,"",SUM(AX163:AZ163)+IF(Setup!$I$15="No",0,BA163))</f>
        <v/>
      </c>
      <c r="BC163" s="259" t="str">
        <f ca="1">IF('Demand background (hide)'!A154=Num_Modalities,"",SUM(Demand!I163))</f>
        <v/>
      </c>
      <c r="BD163" s="259" t="str">
        <f ca="1">IF(AND(A163&lt;=MaxRows,BE163&lt;&gt;"Yes"),'Demand background (hide)'!X154+IF(Setup!$I$15="Yes",'Demand background (hide)'!AJ154,0),"")</f>
        <v/>
      </c>
      <c r="BE163" s="209"/>
    </row>
    <row r="164" spans="1:57" x14ac:dyDescent="0.25">
      <c r="A164" t="str">
        <f t="shared" ca="1" si="8"/>
        <v/>
      </c>
      <c r="B164" s="264" t="str">
        <f t="shared" ca="1" si="9"/>
        <v xml:space="preserve"> </v>
      </c>
      <c r="C164" s="265" t="str">
        <f t="shared" ca="1" si="10"/>
        <v/>
      </c>
      <c r="D164" s="350" t="str">
        <f t="shared" ca="1" si="11"/>
        <v/>
      </c>
      <c r="E164" s="192"/>
      <c r="F164" s="192"/>
      <c r="G164" s="192"/>
      <c r="H164" s="192"/>
      <c r="I164" s="251" t="str">
        <f>IF(COUNTBLANK(E164:H164)=4,"",SUM(E164:G164)+IF(Setup!$I$15="No",0,H164))</f>
        <v/>
      </c>
      <c r="J164" s="192"/>
      <c r="K164" s="192"/>
      <c r="L164" s="192"/>
      <c r="M164" s="192"/>
      <c r="N164" s="255" t="str">
        <f>IF(COUNTBLANK(J164:M164)=4,"",SUM(J164:L164)+IF(Setup!$I$15="No",0,M164))</f>
        <v/>
      </c>
      <c r="O164" s="192"/>
      <c r="P164" s="192"/>
      <c r="Q164" s="192"/>
      <c r="R164" s="192"/>
      <c r="S164" s="255" t="str">
        <f>IF(COUNTBLANK(O164:R164)=4,"",SUM(O164:Q164)+IF(Setup!$I$15="No",0,R164))</f>
        <v/>
      </c>
      <c r="T164" s="192"/>
      <c r="U164" s="192"/>
      <c r="V164" s="192"/>
      <c r="W164" s="192"/>
      <c r="X164" s="255" t="str">
        <f>IF(COUNTBLANK(T164:W164)=4,"",SUM(T164:V164)+IF(Setup!$I$15="No",0,W164))</f>
        <v/>
      </c>
      <c r="Y164" s="192"/>
      <c r="Z164" s="192"/>
      <c r="AA164" s="192"/>
      <c r="AB164" s="192"/>
      <c r="AC164" s="255" t="str">
        <f>IF(COUNTBLANK(Y164:AB164)=4,"",SUM(Y164:AA164)+IF(Setup!$I$15="No",0,AB164))</f>
        <v/>
      </c>
      <c r="AD164" s="192"/>
      <c r="AE164" s="192"/>
      <c r="AF164" s="192"/>
      <c r="AG164" s="192"/>
      <c r="AH164" s="255" t="str">
        <f>IF(COUNTBLANK(AD164:AG164)=4,"",SUM(AD164:AF164)+IF(Setup!$I$15="No",0,AG164))</f>
        <v/>
      </c>
      <c r="AI164" s="192"/>
      <c r="AJ164" s="192"/>
      <c r="AK164" s="192"/>
      <c r="AL164" s="192"/>
      <c r="AM164" s="255" t="str">
        <f>IF(COUNTBLANK(AI164:AL164)=4,"",SUM(AI164:AK164)+IF(Setup!$I$15="No",0,AL164))</f>
        <v/>
      </c>
      <c r="AN164" s="192"/>
      <c r="AO164" s="192"/>
      <c r="AP164" s="192"/>
      <c r="AQ164" s="192"/>
      <c r="AR164" s="255" t="str">
        <f>IF(COUNTBLANK(AN164:AQ164)=4,"",SUM(AN164:AP164)+IF(Setup!$I$15="No",0,AQ164))</f>
        <v/>
      </c>
      <c r="AS164" s="192"/>
      <c r="AT164" s="192"/>
      <c r="AU164" s="192"/>
      <c r="AV164" s="192"/>
      <c r="AW164" s="255" t="str">
        <f>IF(COUNTBLANK(AS164:AV164)=4,"",SUM(AS164:AU164)+IF(Setup!$I$15="No",0,AV164))</f>
        <v/>
      </c>
      <c r="AX164" s="192"/>
      <c r="AY164" s="192"/>
      <c r="AZ164" s="192"/>
      <c r="BA164" s="192"/>
      <c r="BB164" s="255" t="str">
        <f>IF(COUNTBLANK(AX164:BA164)=4,"",SUM(AX164:AZ164)+IF(Setup!$I$15="No",0,BA164))</f>
        <v/>
      </c>
      <c r="BC164" s="259" t="str">
        <f ca="1">IF('Demand background (hide)'!A155=Num_Modalities,"",SUM(Demand!I164))</f>
        <v/>
      </c>
      <c r="BD164" s="259" t="str">
        <f ca="1">IF(AND(A164&lt;=MaxRows,BE164&lt;&gt;"Yes"),'Demand background (hide)'!X155+IF(Setup!$I$15="Yes",'Demand background (hide)'!AJ155,0),"")</f>
        <v/>
      </c>
      <c r="BE164" s="209"/>
    </row>
    <row r="165" spans="1:57" x14ac:dyDescent="0.25">
      <c r="A165" t="str">
        <f t="shared" ca="1" si="8"/>
        <v/>
      </c>
      <c r="B165" s="264" t="str">
        <f t="shared" ca="1" si="9"/>
        <v xml:space="preserve"> </v>
      </c>
      <c r="C165" s="265" t="str">
        <f t="shared" ca="1" si="10"/>
        <v/>
      </c>
      <c r="D165" s="350" t="str">
        <f t="shared" ca="1" si="11"/>
        <v/>
      </c>
      <c r="E165" s="192"/>
      <c r="F165" s="192"/>
      <c r="G165" s="192"/>
      <c r="H165" s="192"/>
      <c r="I165" s="251" t="str">
        <f>IF(COUNTBLANK(E165:H165)=4,"",SUM(E165:G165)+IF(Setup!$I$15="No",0,H165))</f>
        <v/>
      </c>
      <c r="J165" s="192"/>
      <c r="K165" s="192"/>
      <c r="L165" s="192"/>
      <c r="M165" s="192"/>
      <c r="N165" s="255" t="str">
        <f>IF(COUNTBLANK(J165:M165)=4,"",SUM(J165:L165)+IF(Setup!$I$15="No",0,M165))</f>
        <v/>
      </c>
      <c r="O165" s="192"/>
      <c r="P165" s="192"/>
      <c r="Q165" s="192"/>
      <c r="R165" s="192"/>
      <c r="S165" s="255" t="str">
        <f>IF(COUNTBLANK(O165:R165)=4,"",SUM(O165:Q165)+IF(Setup!$I$15="No",0,R165))</f>
        <v/>
      </c>
      <c r="T165" s="192"/>
      <c r="U165" s="192"/>
      <c r="V165" s="192"/>
      <c r="W165" s="192"/>
      <c r="X165" s="255" t="str">
        <f>IF(COUNTBLANK(T165:W165)=4,"",SUM(T165:V165)+IF(Setup!$I$15="No",0,W165))</f>
        <v/>
      </c>
      <c r="Y165" s="192"/>
      <c r="Z165" s="192"/>
      <c r="AA165" s="192"/>
      <c r="AB165" s="192"/>
      <c r="AC165" s="255" t="str">
        <f>IF(COUNTBLANK(Y165:AB165)=4,"",SUM(Y165:AA165)+IF(Setup!$I$15="No",0,AB165))</f>
        <v/>
      </c>
      <c r="AD165" s="192"/>
      <c r="AE165" s="192"/>
      <c r="AF165" s="192"/>
      <c r="AG165" s="192"/>
      <c r="AH165" s="255" t="str">
        <f>IF(COUNTBLANK(AD165:AG165)=4,"",SUM(AD165:AF165)+IF(Setup!$I$15="No",0,AG165))</f>
        <v/>
      </c>
      <c r="AI165" s="192"/>
      <c r="AJ165" s="192"/>
      <c r="AK165" s="192"/>
      <c r="AL165" s="192"/>
      <c r="AM165" s="255" t="str">
        <f>IF(COUNTBLANK(AI165:AL165)=4,"",SUM(AI165:AK165)+IF(Setup!$I$15="No",0,AL165))</f>
        <v/>
      </c>
      <c r="AN165" s="192"/>
      <c r="AO165" s="192"/>
      <c r="AP165" s="192"/>
      <c r="AQ165" s="192"/>
      <c r="AR165" s="255" t="str">
        <f>IF(COUNTBLANK(AN165:AQ165)=4,"",SUM(AN165:AP165)+IF(Setup!$I$15="No",0,AQ165))</f>
        <v/>
      </c>
      <c r="AS165" s="192"/>
      <c r="AT165" s="192"/>
      <c r="AU165" s="192"/>
      <c r="AV165" s="192"/>
      <c r="AW165" s="255" t="str">
        <f>IF(COUNTBLANK(AS165:AV165)=4,"",SUM(AS165:AU165)+IF(Setup!$I$15="No",0,AV165))</f>
        <v/>
      </c>
      <c r="AX165" s="192"/>
      <c r="AY165" s="192"/>
      <c r="AZ165" s="192"/>
      <c r="BA165" s="192"/>
      <c r="BB165" s="255" t="str">
        <f>IF(COUNTBLANK(AX165:BA165)=4,"",SUM(AX165:AZ165)+IF(Setup!$I$15="No",0,BA165))</f>
        <v/>
      </c>
      <c r="BC165" s="259" t="str">
        <f ca="1">IF('Demand background (hide)'!A156=Num_Modalities,"",SUM(Demand!I165))</f>
        <v/>
      </c>
      <c r="BD165" s="259" t="str">
        <f ca="1">IF(AND(A165&lt;=MaxRows,BE165&lt;&gt;"Yes"),'Demand background (hide)'!X156+IF(Setup!$I$15="Yes",'Demand background (hide)'!AJ156,0),"")</f>
        <v/>
      </c>
      <c r="BE165" s="209"/>
    </row>
    <row r="166" spans="1:57" x14ac:dyDescent="0.25">
      <c r="A166" t="str">
        <f t="shared" ca="1" si="8"/>
        <v/>
      </c>
      <c r="B166" s="264" t="str">
        <f t="shared" ca="1" si="9"/>
        <v xml:space="preserve"> </v>
      </c>
      <c r="C166" s="265" t="str">
        <f t="shared" ca="1" si="10"/>
        <v/>
      </c>
      <c r="D166" s="350" t="str">
        <f t="shared" ca="1" si="11"/>
        <v/>
      </c>
      <c r="E166" s="192"/>
      <c r="F166" s="192"/>
      <c r="G166" s="192"/>
      <c r="H166" s="192"/>
      <c r="I166" s="251" t="str">
        <f>IF(COUNTBLANK(E166:H166)=4,"",SUM(E166:G166)+IF(Setup!$I$15="No",0,H166))</f>
        <v/>
      </c>
      <c r="J166" s="192"/>
      <c r="K166" s="192"/>
      <c r="L166" s="192"/>
      <c r="M166" s="192"/>
      <c r="N166" s="255" t="str">
        <f>IF(COUNTBLANK(J166:M166)=4,"",SUM(J166:L166)+IF(Setup!$I$15="No",0,M166))</f>
        <v/>
      </c>
      <c r="O166" s="192"/>
      <c r="P166" s="192"/>
      <c r="Q166" s="192"/>
      <c r="R166" s="192"/>
      <c r="S166" s="255" t="str">
        <f>IF(COUNTBLANK(O166:R166)=4,"",SUM(O166:Q166)+IF(Setup!$I$15="No",0,R166))</f>
        <v/>
      </c>
      <c r="T166" s="192"/>
      <c r="U166" s="192"/>
      <c r="V166" s="192"/>
      <c r="W166" s="192"/>
      <c r="X166" s="255" t="str">
        <f>IF(COUNTBLANK(T166:W166)=4,"",SUM(T166:V166)+IF(Setup!$I$15="No",0,W166))</f>
        <v/>
      </c>
      <c r="Y166" s="192"/>
      <c r="Z166" s="192"/>
      <c r="AA166" s="192"/>
      <c r="AB166" s="192"/>
      <c r="AC166" s="255" t="str">
        <f>IF(COUNTBLANK(Y166:AB166)=4,"",SUM(Y166:AA166)+IF(Setup!$I$15="No",0,AB166))</f>
        <v/>
      </c>
      <c r="AD166" s="192"/>
      <c r="AE166" s="192"/>
      <c r="AF166" s="192"/>
      <c r="AG166" s="192"/>
      <c r="AH166" s="255" t="str">
        <f>IF(COUNTBLANK(AD166:AG166)=4,"",SUM(AD166:AF166)+IF(Setup!$I$15="No",0,AG166))</f>
        <v/>
      </c>
      <c r="AI166" s="192"/>
      <c r="AJ166" s="192"/>
      <c r="AK166" s="192"/>
      <c r="AL166" s="192"/>
      <c r="AM166" s="255" t="str">
        <f>IF(COUNTBLANK(AI166:AL166)=4,"",SUM(AI166:AK166)+IF(Setup!$I$15="No",0,AL166))</f>
        <v/>
      </c>
      <c r="AN166" s="192"/>
      <c r="AO166" s="192"/>
      <c r="AP166" s="192"/>
      <c r="AQ166" s="192"/>
      <c r="AR166" s="255" t="str">
        <f>IF(COUNTBLANK(AN166:AQ166)=4,"",SUM(AN166:AP166)+IF(Setup!$I$15="No",0,AQ166))</f>
        <v/>
      </c>
      <c r="AS166" s="192"/>
      <c r="AT166" s="192"/>
      <c r="AU166" s="192"/>
      <c r="AV166" s="192"/>
      <c r="AW166" s="255" t="str">
        <f>IF(COUNTBLANK(AS166:AV166)=4,"",SUM(AS166:AU166)+IF(Setup!$I$15="No",0,AV166))</f>
        <v/>
      </c>
      <c r="AX166" s="192"/>
      <c r="AY166" s="192"/>
      <c r="AZ166" s="192"/>
      <c r="BA166" s="192"/>
      <c r="BB166" s="255" t="str">
        <f>IF(COUNTBLANK(AX166:BA166)=4,"",SUM(AX166:AZ166)+IF(Setup!$I$15="No",0,BA166))</f>
        <v/>
      </c>
      <c r="BC166" s="259" t="str">
        <f ca="1">IF('Demand background (hide)'!A157=Num_Modalities,"",SUM(Demand!I166))</f>
        <v/>
      </c>
      <c r="BD166" s="259" t="str">
        <f ca="1">IF(AND(A166&lt;=MaxRows,BE166&lt;&gt;"Yes"),'Demand background (hide)'!X157+IF(Setup!$I$15="Yes",'Demand background (hide)'!AJ157,0),"")</f>
        <v/>
      </c>
      <c r="BE166" s="209"/>
    </row>
    <row r="167" spans="1:57" x14ac:dyDescent="0.25">
      <c r="A167" t="str">
        <f t="shared" ca="1" si="8"/>
        <v/>
      </c>
      <c r="B167" s="264" t="str">
        <f t="shared" ca="1" si="9"/>
        <v xml:space="preserve"> </v>
      </c>
      <c r="C167" s="265" t="str">
        <f t="shared" ca="1" si="10"/>
        <v/>
      </c>
      <c r="D167" s="350" t="str">
        <f t="shared" ca="1" si="11"/>
        <v/>
      </c>
      <c r="E167" s="192"/>
      <c r="F167" s="192"/>
      <c r="G167" s="192"/>
      <c r="H167" s="192"/>
      <c r="I167" s="251" t="str">
        <f>IF(COUNTBLANK(E167:H167)=4,"",SUM(E167:G167)+IF(Setup!$I$15="No",0,H167))</f>
        <v/>
      </c>
      <c r="J167" s="192"/>
      <c r="K167" s="192"/>
      <c r="L167" s="192"/>
      <c r="M167" s="192"/>
      <c r="N167" s="255" t="str">
        <f>IF(COUNTBLANK(J167:M167)=4,"",SUM(J167:L167)+IF(Setup!$I$15="No",0,M167))</f>
        <v/>
      </c>
      <c r="O167" s="192"/>
      <c r="P167" s="192"/>
      <c r="Q167" s="192"/>
      <c r="R167" s="192"/>
      <c r="S167" s="255" t="str">
        <f>IF(COUNTBLANK(O167:R167)=4,"",SUM(O167:Q167)+IF(Setup!$I$15="No",0,R167))</f>
        <v/>
      </c>
      <c r="T167" s="192"/>
      <c r="U167" s="192"/>
      <c r="V167" s="192"/>
      <c r="W167" s="192"/>
      <c r="X167" s="255" t="str">
        <f>IF(COUNTBLANK(T167:W167)=4,"",SUM(T167:V167)+IF(Setup!$I$15="No",0,W167))</f>
        <v/>
      </c>
      <c r="Y167" s="192"/>
      <c r="Z167" s="192"/>
      <c r="AA167" s="192"/>
      <c r="AB167" s="192"/>
      <c r="AC167" s="255" t="str">
        <f>IF(COUNTBLANK(Y167:AB167)=4,"",SUM(Y167:AA167)+IF(Setup!$I$15="No",0,AB167))</f>
        <v/>
      </c>
      <c r="AD167" s="192"/>
      <c r="AE167" s="192"/>
      <c r="AF167" s="192"/>
      <c r="AG167" s="192"/>
      <c r="AH167" s="255" t="str">
        <f>IF(COUNTBLANK(AD167:AG167)=4,"",SUM(AD167:AF167)+IF(Setup!$I$15="No",0,AG167))</f>
        <v/>
      </c>
      <c r="AI167" s="192"/>
      <c r="AJ167" s="192"/>
      <c r="AK167" s="192"/>
      <c r="AL167" s="192"/>
      <c r="AM167" s="255" t="str">
        <f>IF(COUNTBLANK(AI167:AL167)=4,"",SUM(AI167:AK167)+IF(Setup!$I$15="No",0,AL167))</f>
        <v/>
      </c>
      <c r="AN167" s="192"/>
      <c r="AO167" s="192"/>
      <c r="AP167" s="192"/>
      <c r="AQ167" s="192"/>
      <c r="AR167" s="255" t="str">
        <f>IF(COUNTBLANK(AN167:AQ167)=4,"",SUM(AN167:AP167)+IF(Setup!$I$15="No",0,AQ167))</f>
        <v/>
      </c>
      <c r="AS167" s="192"/>
      <c r="AT167" s="192"/>
      <c r="AU167" s="192"/>
      <c r="AV167" s="192"/>
      <c r="AW167" s="255" t="str">
        <f>IF(COUNTBLANK(AS167:AV167)=4,"",SUM(AS167:AU167)+IF(Setup!$I$15="No",0,AV167))</f>
        <v/>
      </c>
      <c r="AX167" s="192"/>
      <c r="AY167" s="192"/>
      <c r="AZ167" s="192"/>
      <c r="BA167" s="192"/>
      <c r="BB167" s="255" t="str">
        <f>IF(COUNTBLANK(AX167:BA167)=4,"",SUM(AX167:AZ167)+IF(Setup!$I$15="No",0,BA167))</f>
        <v/>
      </c>
      <c r="BC167" s="259" t="str">
        <f ca="1">IF('Demand background (hide)'!A158=Num_Modalities,"",SUM(Demand!I167))</f>
        <v/>
      </c>
      <c r="BD167" s="259" t="str">
        <f ca="1">IF(AND(A167&lt;=MaxRows,BE167&lt;&gt;"Yes"),'Demand background (hide)'!X158+IF(Setup!$I$15="Yes",'Demand background (hide)'!AJ158,0),"")</f>
        <v/>
      </c>
      <c r="BE167" s="209"/>
    </row>
    <row r="168" spans="1:57" x14ac:dyDescent="0.25">
      <c r="A168" t="str">
        <f t="shared" ca="1" si="8"/>
        <v/>
      </c>
      <c r="B168" s="264" t="str">
        <f t="shared" ca="1" si="9"/>
        <v xml:space="preserve"> </v>
      </c>
      <c r="C168" s="265" t="str">
        <f t="shared" ca="1" si="10"/>
        <v/>
      </c>
      <c r="D168" s="350" t="str">
        <f t="shared" ca="1" si="11"/>
        <v/>
      </c>
      <c r="E168" s="192"/>
      <c r="F168" s="192"/>
      <c r="G168" s="192"/>
      <c r="H168" s="192"/>
      <c r="I168" s="251" t="str">
        <f>IF(COUNTBLANK(E168:H168)=4,"",SUM(E168:G168)+IF(Setup!$I$15="No",0,H168))</f>
        <v/>
      </c>
      <c r="J168" s="192"/>
      <c r="K168" s="192"/>
      <c r="L168" s="192"/>
      <c r="M168" s="192"/>
      <c r="N168" s="255" t="str">
        <f>IF(COUNTBLANK(J168:M168)=4,"",SUM(J168:L168)+IF(Setup!$I$15="No",0,M168))</f>
        <v/>
      </c>
      <c r="O168" s="192"/>
      <c r="P168" s="192"/>
      <c r="Q168" s="192"/>
      <c r="R168" s="192"/>
      <c r="S168" s="255" t="str">
        <f>IF(COUNTBLANK(O168:R168)=4,"",SUM(O168:Q168)+IF(Setup!$I$15="No",0,R168))</f>
        <v/>
      </c>
      <c r="T168" s="192"/>
      <c r="U168" s="192"/>
      <c r="V168" s="192"/>
      <c r="W168" s="192"/>
      <c r="X168" s="255" t="str">
        <f>IF(COUNTBLANK(T168:W168)=4,"",SUM(T168:V168)+IF(Setup!$I$15="No",0,W168))</f>
        <v/>
      </c>
      <c r="Y168" s="192"/>
      <c r="Z168" s="192"/>
      <c r="AA168" s="192"/>
      <c r="AB168" s="192"/>
      <c r="AC168" s="255" t="str">
        <f>IF(COUNTBLANK(Y168:AB168)=4,"",SUM(Y168:AA168)+IF(Setup!$I$15="No",0,AB168))</f>
        <v/>
      </c>
      <c r="AD168" s="192"/>
      <c r="AE168" s="192"/>
      <c r="AF168" s="192"/>
      <c r="AG168" s="192"/>
      <c r="AH168" s="255" t="str">
        <f>IF(COUNTBLANK(AD168:AG168)=4,"",SUM(AD168:AF168)+IF(Setup!$I$15="No",0,AG168))</f>
        <v/>
      </c>
      <c r="AI168" s="192"/>
      <c r="AJ168" s="192"/>
      <c r="AK168" s="192"/>
      <c r="AL168" s="192"/>
      <c r="AM168" s="255" t="str">
        <f>IF(COUNTBLANK(AI168:AL168)=4,"",SUM(AI168:AK168)+IF(Setup!$I$15="No",0,AL168))</f>
        <v/>
      </c>
      <c r="AN168" s="192"/>
      <c r="AO168" s="192"/>
      <c r="AP168" s="192"/>
      <c r="AQ168" s="192"/>
      <c r="AR168" s="255" t="str">
        <f>IF(COUNTBLANK(AN168:AQ168)=4,"",SUM(AN168:AP168)+IF(Setup!$I$15="No",0,AQ168))</f>
        <v/>
      </c>
      <c r="AS168" s="192"/>
      <c r="AT168" s="192"/>
      <c r="AU168" s="192"/>
      <c r="AV168" s="192"/>
      <c r="AW168" s="255" t="str">
        <f>IF(COUNTBLANK(AS168:AV168)=4,"",SUM(AS168:AU168)+IF(Setup!$I$15="No",0,AV168))</f>
        <v/>
      </c>
      <c r="AX168" s="192"/>
      <c r="AY168" s="192"/>
      <c r="AZ168" s="192"/>
      <c r="BA168" s="192"/>
      <c r="BB168" s="255" t="str">
        <f>IF(COUNTBLANK(AX168:BA168)=4,"",SUM(AX168:AZ168)+IF(Setup!$I$15="No",0,BA168))</f>
        <v/>
      </c>
      <c r="BC168" s="259" t="str">
        <f ca="1">IF('Demand background (hide)'!A159=Num_Modalities,"",SUM(Demand!I168))</f>
        <v/>
      </c>
      <c r="BD168" s="259" t="str">
        <f ca="1">IF(AND(A168&lt;=MaxRows,BE168&lt;&gt;"Yes"),'Demand background (hide)'!X159+IF(Setup!$I$15="Yes",'Demand background (hide)'!AJ159,0),"")</f>
        <v/>
      </c>
      <c r="BE168" s="209"/>
    </row>
    <row r="169" spans="1:57" x14ac:dyDescent="0.25">
      <c r="A169" t="str">
        <f t="shared" ca="1" si="8"/>
        <v/>
      </c>
      <c r="B169" s="264" t="str">
        <f t="shared" ca="1" si="9"/>
        <v xml:space="preserve"> </v>
      </c>
      <c r="C169" s="265" t="str">
        <f t="shared" ca="1" si="10"/>
        <v/>
      </c>
      <c r="D169" s="350" t="str">
        <f t="shared" ca="1" si="11"/>
        <v/>
      </c>
      <c r="E169" s="192"/>
      <c r="F169" s="192"/>
      <c r="G169" s="192"/>
      <c r="H169" s="192"/>
      <c r="I169" s="251" t="str">
        <f>IF(COUNTBLANK(E169:H169)=4,"",SUM(E169:G169)+IF(Setup!$I$15="No",0,H169))</f>
        <v/>
      </c>
      <c r="J169" s="192"/>
      <c r="K169" s="192"/>
      <c r="L169" s="192"/>
      <c r="M169" s="192"/>
      <c r="N169" s="255" t="str">
        <f>IF(COUNTBLANK(J169:M169)=4,"",SUM(J169:L169)+IF(Setup!$I$15="No",0,M169))</f>
        <v/>
      </c>
      <c r="O169" s="192"/>
      <c r="P169" s="192"/>
      <c r="Q169" s="192"/>
      <c r="R169" s="192"/>
      <c r="S169" s="255" t="str">
        <f>IF(COUNTBLANK(O169:R169)=4,"",SUM(O169:Q169)+IF(Setup!$I$15="No",0,R169))</f>
        <v/>
      </c>
      <c r="T169" s="192"/>
      <c r="U169" s="192"/>
      <c r="V169" s="192"/>
      <c r="W169" s="192"/>
      <c r="X169" s="255" t="str">
        <f>IF(COUNTBLANK(T169:W169)=4,"",SUM(T169:V169)+IF(Setup!$I$15="No",0,W169))</f>
        <v/>
      </c>
      <c r="Y169" s="192"/>
      <c r="Z169" s="192"/>
      <c r="AA169" s="192"/>
      <c r="AB169" s="192"/>
      <c r="AC169" s="255" t="str">
        <f>IF(COUNTBLANK(Y169:AB169)=4,"",SUM(Y169:AA169)+IF(Setup!$I$15="No",0,AB169))</f>
        <v/>
      </c>
      <c r="AD169" s="192"/>
      <c r="AE169" s="192"/>
      <c r="AF169" s="192"/>
      <c r="AG169" s="192"/>
      <c r="AH169" s="255" t="str">
        <f>IF(COUNTBLANK(AD169:AG169)=4,"",SUM(AD169:AF169)+IF(Setup!$I$15="No",0,AG169))</f>
        <v/>
      </c>
      <c r="AI169" s="192"/>
      <c r="AJ169" s="192"/>
      <c r="AK169" s="192"/>
      <c r="AL169" s="192"/>
      <c r="AM169" s="255" t="str">
        <f>IF(COUNTBLANK(AI169:AL169)=4,"",SUM(AI169:AK169)+IF(Setup!$I$15="No",0,AL169))</f>
        <v/>
      </c>
      <c r="AN169" s="192"/>
      <c r="AO169" s="192"/>
      <c r="AP169" s="192"/>
      <c r="AQ169" s="192"/>
      <c r="AR169" s="255" t="str">
        <f>IF(COUNTBLANK(AN169:AQ169)=4,"",SUM(AN169:AP169)+IF(Setup!$I$15="No",0,AQ169))</f>
        <v/>
      </c>
      <c r="AS169" s="192"/>
      <c r="AT169" s="192"/>
      <c r="AU169" s="192"/>
      <c r="AV169" s="192"/>
      <c r="AW169" s="255" t="str">
        <f>IF(COUNTBLANK(AS169:AV169)=4,"",SUM(AS169:AU169)+IF(Setup!$I$15="No",0,AV169))</f>
        <v/>
      </c>
      <c r="AX169" s="192"/>
      <c r="AY169" s="192"/>
      <c r="AZ169" s="192"/>
      <c r="BA169" s="192"/>
      <c r="BB169" s="255" t="str">
        <f>IF(COUNTBLANK(AX169:BA169)=4,"",SUM(AX169:AZ169)+IF(Setup!$I$15="No",0,BA169))</f>
        <v/>
      </c>
      <c r="BC169" s="259" t="str">
        <f ca="1">IF('Demand background (hide)'!A160=Num_Modalities,"",SUM(Demand!I169))</f>
        <v/>
      </c>
      <c r="BD169" s="259" t="str">
        <f ca="1">IF(AND(A169&lt;=MaxRows,BE169&lt;&gt;"Yes"),'Demand background (hide)'!X160+IF(Setup!$I$15="Yes",'Demand background (hide)'!AJ160,0),"")</f>
        <v/>
      </c>
      <c r="BE169" s="209"/>
    </row>
    <row r="170" spans="1:57" x14ac:dyDescent="0.25">
      <c r="A170" t="str">
        <f t="shared" ca="1" si="8"/>
        <v/>
      </c>
      <c r="B170" s="264" t="str">
        <f t="shared" ca="1" si="9"/>
        <v xml:space="preserve"> </v>
      </c>
      <c r="C170" s="265" t="str">
        <f t="shared" ca="1" si="10"/>
        <v/>
      </c>
      <c r="D170" s="350" t="str">
        <f t="shared" ca="1" si="11"/>
        <v/>
      </c>
      <c r="E170" s="192"/>
      <c r="F170" s="192"/>
      <c r="G170" s="192"/>
      <c r="H170" s="192"/>
      <c r="I170" s="251" t="str">
        <f>IF(COUNTBLANK(E170:H170)=4,"",SUM(E170:G170)+IF(Setup!$I$15="No",0,H170))</f>
        <v/>
      </c>
      <c r="J170" s="192"/>
      <c r="K170" s="192"/>
      <c r="L170" s="192"/>
      <c r="M170" s="192"/>
      <c r="N170" s="255" t="str">
        <f>IF(COUNTBLANK(J170:M170)=4,"",SUM(J170:L170)+IF(Setup!$I$15="No",0,M170))</f>
        <v/>
      </c>
      <c r="O170" s="192"/>
      <c r="P170" s="192"/>
      <c r="Q170" s="192"/>
      <c r="R170" s="192"/>
      <c r="S170" s="255" t="str">
        <f>IF(COUNTBLANK(O170:R170)=4,"",SUM(O170:Q170)+IF(Setup!$I$15="No",0,R170))</f>
        <v/>
      </c>
      <c r="T170" s="192"/>
      <c r="U170" s="192"/>
      <c r="V170" s="192"/>
      <c r="W170" s="192"/>
      <c r="X170" s="255" t="str">
        <f>IF(COUNTBLANK(T170:W170)=4,"",SUM(T170:V170)+IF(Setup!$I$15="No",0,W170))</f>
        <v/>
      </c>
      <c r="Y170" s="192"/>
      <c r="Z170" s="192"/>
      <c r="AA170" s="192"/>
      <c r="AB170" s="192"/>
      <c r="AC170" s="255" t="str">
        <f>IF(COUNTBLANK(Y170:AB170)=4,"",SUM(Y170:AA170)+IF(Setup!$I$15="No",0,AB170))</f>
        <v/>
      </c>
      <c r="AD170" s="192"/>
      <c r="AE170" s="192"/>
      <c r="AF170" s="192"/>
      <c r="AG170" s="192"/>
      <c r="AH170" s="255" t="str">
        <f>IF(COUNTBLANK(AD170:AG170)=4,"",SUM(AD170:AF170)+IF(Setup!$I$15="No",0,AG170))</f>
        <v/>
      </c>
      <c r="AI170" s="192"/>
      <c r="AJ170" s="192"/>
      <c r="AK170" s="192"/>
      <c r="AL170" s="192"/>
      <c r="AM170" s="255" t="str">
        <f>IF(COUNTBLANK(AI170:AL170)=4,"",SUM(AI170:AK170)+IF(Setup!$I$15="No",0,AL170))</f>
        <v/>
      </c>
      <c r="AN170" s="192"/>
      <c r="AO170" s="192"/>
      <c r="AP170" s="192"/>
      <c r="AQ170" s="192"/>
      <c r="AR170" s="255" t="str">
        <f>IF(COUNTBLANK(AN170:AQ170)=4,"",SUM(AN170:AP170)+IF(Setup!$I$15="No",0,AQ170))</f>
        <v/>
      </c>
      <c r="AS170" s="192"/>
      <c r="AT170" s="192"/>
      <c r="AU170" s="192"/>
      <c r="AV170" s="192"/>
      <c r="AW170" s="255" t="str">
        <f>IF(COUNTBLANK(AS170:AV170)=4,"",SUM(AS170:AU170)+IF(Setup!$I$15="No",0,AV170))</f>
        <v/>
      </c>
      <c r="AX170" s="192"/>
      <c r="AY170" s="192"/>
      <c r="AZ170" s="192"/>
      <c r="BA170" s="192"/>
      <c r="BB170" s="255" t="str">
        <f>IF(COUNTBLANK(AX170:BA170)=4,"",SUM(AX170:AZ170)+IF(Setup!$I$15="No",0,BA170))</f>
        <v/>
      </c>
      <c r="BC170" s="259" t="str">
        <f ca="1">IF('Demand background (hide)'!A161=Num_Modalities,"",SUM(Demand!I170))</f>
        <v/>
      </c>
      <c r="BD170" s="259" t="str">
        <f ca="1">IF(AND(A170&lt;=MaxRows,BE170&lt;&gt;"Yes"),'Demand background (hide)'!X161+IF(Setup!$I$15="Yes",'Demand background (hide)'!AJ161,0),"")</f>
        <v/>
      </c>
      <c r="BE170" s="209"/>
    </row>
    <row r="171" spans="1:57" x14ac:dyDescent="0.25">
      <c r="A171" t="str">
        <f t="shared" ca="1" si="8"/>
        <v/>
      </c>
      <c r="B171" s="264" t="str">
        <f t="shared" ca="1" si="9"/>
        <v xml:space="preserve"> </v>
      </c>
      <c r="C171" s="265" t="str">
        <f t="shared" ca="1" si="10"/>
        <v/>
      </c>
      <c r="D171" s="350" t="str">
        <f t="shared" ca="1" si="11"/>
        <v/>
      </c>
      <c r="E171" s="192"/>
      <c r="F171" s="192"/>
      <c r="G171" s="192"/>
      <c r="H171" s="192"/>
      <c r="I171" s="251" t="str">
        <f>IF(COUNTBLANK(E171:H171)=4,"",SUM(E171:G171)+IF(Setup!$I$15="No",0,H171))</f>
        <v/>
      </c>
      <c r="J171" s="192"/>
      <c r="K171" s="192"/>
      <c r="L171" s="192"/>
      <c r="M171" s="192"/>
      <c r="N171" s="255" t="str">
        <f>IF(COUNTBLANK(J171:M171)=4,"",SUM(J171:L171)+IF(Setup!$I$15="No",0,M171))</f>
        <v/>
      </c>
      <c r="O171" s="192"/>
      <c r="P171" s="192"/>
      <c r="Q171" s="192"/>
      <c r="R171" s="192"/>
      <c r="S171" s="255" t="str">
        <f>IF(COUNTBLANK(O171:R171)=4,"",SUM(O171:Q171)+IF(Setup!$I$15="No",0,R171))</f>
        <v/>
      </c>
      <c r="T171" s="192"/>
      <c r="U171" s="192"/>
      <c r="V171" s="192"/>
      <c r="W171" s="192"/>
      <c r="X171" s="255" t="str">
        <f>IF(COUNTBLANK(T171:W171)=4,"",SUM(T171:V171)+IF(Setup!$I$15="No",0,W171))</f>
        <v/>
      </c>
      <c r="Y171" s="192"/>
      <c r="Z171" s="192"/>
      <c r="AA171" s="192"/>
      <c r="AB171" s="192"/>
      <c r="AC171" s="255" t="str">
        <f>IF(COUNTBLANK(Y171:AB171)=4,"",SUM(Y171:AA171)+IF(Setup!$I$15="No",0,AB171))</f>
        <v/>
      </c>
      <c r="AD171" s="192"/>
      <c r="AE171" s="192"/>
      <c r="AF171" s="192"/>
      <c r="AG171" s="192"/>
      <c r="AH171" s="255" t="str">
        <f>IF(COUNTBLANK(AD171:AG171)=4,"",SUM(AD171:AF171)+IF(Setup!$I$15="No",0,AG171))</f>
        <v/>
      </c>
      <c r="AI171" s="192"/>
      <c r="AJ171" s="192"/>
      <c r="AK171" s="192"/>
      <c r="AL171" s="192"/>
      <c r="AM171" s="255" t="str">
        <f>IF(COUNTBLANK(AI171:AL171)=4,"",SUM(AI171:AK171)+IF(Setup!$I$15="No",0,AL171))</f>
        <v/>
      </c>
      <c r="AN171" s="192"/>
      <c r="AO171" s="192"/>
      <c r="AP171" s="192"/>
      <c r="AQ171" s="192"/>
      <c r="AR171" s="255" t="str">
        <f>IF(COUNTBLANK(AN171:AQ171)=4,"",SUM(AN171:AP171)+IF(Setup!$I$15="No",0,AQ171))</f>
        <v/>
      </c>
      <c r="AS171" s="192"/>
      <c r="AT171" s="192"/>
      <c r="AU171" s="192"/>
      <c r="AV171" s="192"/>
      <c r="AW171" s="255" t="str">
        <f>IF(COUNTBLANK(AS171:AV171)=4,"",SUM(AS171:AU171)+IF(Setup!$I$15="No",0,AV171))</f>
        <v/>
      </c>
      <c r="AX171" s="192"/>
      <c r="AY171" s="192"/>
      <c r="AZ171" s="192"/>
      <c r="BA171" s="192"/>
      <c r="BB171" s="255" t="str">
        <f>IF(COUNTBLANK(AX171:BA171)=4,"",SUM(AX171:AZ171)+IF(Setup!$I$15="No",0,BA171))</f>
        <v/>
      </c>
      <c r="BC171" s="259" t="str">
        <f ca="1">IF('Demand background (hide)'!A162=Num_Modalities,"",SUM(Demand!I171))</f>
        <v/>
      </c>
      <c r="BD171" s="259" t="str">
        <f ca="1">IF(AND(A171&lt;=MaxRows,BE171&lt;&gt;"Yes"),'Demand background (hide)'!X162+IF(Setup!$I$15="Yes",'Demand background (hide)'!AJ162,0),"")</f>
        <v/>
      </c>
      <c r="BE171" s="209"/>
    </row>
    <row r="172" spans="1:57" x14ac:dyDescent="0.25">
      <c r="A172" t="str">
        <f t="shared" ca="1" si="8"/>
        <v/>
      </c>
      <c r="B172" s="264" t="str">
        <f t="shared" ca="1" si="9"/>
        <v xml:space="preserve"> </v>
      </c>
      <c r="C172" s="265" t="str">
        <f t="shared" ca="1" si="10"/>
        <v/>
      </c>
      <c r="D172" s="350" t="str">
        <f t="shared" ca="1" si="11"/>
        <v/>
      </c>
      <c r="E172" s="192"/>
      <c r="F172" s="192"/>
      <c r="G172" s="192"/>
      <c r="H172" s="192"/>
      <c r="I172" s="251" t="str">
        <f>IF(COUNTBLANK(E172:H172)=4,"",SUM(E172:G172)+IF(Setup!$I$15="No",0,H172))</f>
        <v/>
      </c>
      <c r="J172" s="192"/>
      <c r="K172" s="192"/>
      <c r="L172" s="192"/>
      <c r="M172" s="192"/>
      <c r="N172" s="255" t="str">
        <f>IF(COUNTBLANK(J172:M172)=4,"",SUM(J172:L172)+IF(Setup!$I$15="No",0,M172))</f>
        <v/>
      </c>
      <c r="O172" s="192"/>
      <c r="P172" s="192"/>
      <c r="Q172" s="192"/>
      <c r="R172" s="192"/>
      <c r="S172" s="255" t="str">
        <f>IF(COUNTBLANK(O172:R172)=4,"",SUM(O172:Q172)+IF(Setup!$I$15="No",0,R172))</f>
        <v/>
      </c>
      <c r="T172" s="192"/>
      <c r="U172" s="192"/>
      <c r="V172" s="192"/>
      <c r="W172" s="192"/>
      <c r="X172" s="255" t="str">
        <f>IF(COUNTBLANK(T172:W172)=4,"",SUM(T172:V172)+IF(Setup!$I$15="No",0,W172))</f>
        <v/>
      </c>
      <c r="Y172" s="192"/>
      <c r="Z172" s="192"/>
      <c r="AA172" s="192"/>
      <c r="AB172" s="192"/>
      <c r="AC172" s="255" t="str">
        <f>IF(COUNTBLANK(Y172:AB172)=4,"",SUM(Y172:AA172)+IF(Setup!$I$15="No",0,AB172))</f>
        <v/>
      </c>
      <c r="AD172" s="192"/>
      <c r="AE172" s="192"/>
      <c r="AF172" s="192"/>
      <c r="AG172" s="192"/>
      <c r="AH172" s="255" t="str">
        <f>IF(COUNTBLANK(AD172:AG172)=4,"",SUM(AD172:AF172)+IF(Setup!$I$15="No",0,AG172))</f>
        <v/>
      </c>
      <c r="AI172" s="192"/>
      <c r="AJ172" s="192"/>
      <c r="AK172" s="192"/>
      <c r="AL172" s="192"/>
      <c r="AM172" s="255" t="str">
        <f>IF(COUNTBLANK(AI172:AL172)=4,"",SUM(AI172:AK172)+IF(Setup!$I$15="No",0,AL172))</f>
        <v/>
      </c>
      <c r="AN172" s="192"/>
      <c r="AO172" s="192"/>
      <c r="AP172" s="192"/>
      <c r="AQ172" s="192"/>
      <c r="AR172" s="255" t="str">
        <f>IF(COUNTBLANK(AN172:AQ172)=4,"",SUM(AN172:AP172)+IF(Setup!$I$15="No",0,AQ172))</f>
        <v/>
      </c>
      <c r="AS172" s="192"/>
      <c r="AT172" s="192"/>
      <c r="AU172" s="192"/>
      <c r="AV172" s="192"/>
      <c r="AW172" s="255" t="str">
        <f>IF(COUNTBLANK(AS172:AV172)=4,"",SUM(AS172:AU172)+IF(Setup!$I$15="No",0,AV172))</f>
        <v/>
      </c>
      <c r="AX172" s="192"/>
      <c r="AY172" s="192"/>
      <c r="AZ172" s="192"/>
      <c r="BA172" s="192"/>
      <c r="BB172" s="255" t="str">
        <f>IF(COUNTBLANK(AX172:BA172)=4,"",SUM(AX172:AZ172)+IF(Setup!$I$15="No",0,BA172))</f>
        <v/>
      </c>
      <c r="BC172" s="259" t="str">
        <f ca="1">IF('Demand background (hide)'!A163=Num_Modalities,"",SUM(Demand!I172))</f>
        <v/>
      </c>
      <c r="BD172" s="259" t="str">
        <f ca="1">IF(AND(A172&lt;=MaxRows,BE172&lt;&gt;"Yes"),'Demand background (hide)'!X163+IF(Setup!$I$15="Yes",'Demand background (hide)'!AJ163,0),"")</f>
        <v/>
      </c>
      <c r="BE172" s="209"/>
    </row>
    <row r="173" spans="1:57" x14ac:dyDescent="0.25">
      <c r="A173" t="str">
        <f t="shared" ca="1" si="8"/>
        <v/>
      </c>
      <c r="B173" s="264" t="str">
        <f t="shared" ca="1" si="9"/>
        <v xml:space="preserve"> </v>
      </c>
      <c r="C173" s="265" t="str">
        <f t="shared" ca="1" si="10"/>
        <v/>
      </c>
      <c r="D173" s="350" t="str">
        <f t="shared" ca="1" si="11"/>
        <v/>
      </c>
      <c r="E173" s="192"/>
      <c r="F173" s="192"/>
      <c r="G173" s="192"/>
      <c r="H173" s="192"/>
      <c r="I173" s="251" t="str">
        <f>IF(COUNTBLANK(E173:H173)=4,"",SUM(E173:G173)+IF(Setup!$I$15="No",0,H173))</f>
        <v/>
      </c>
      <c r="J173" s="192"/>
      <c r="K173" s="192"/>
      <c r="L173" s="192"/>
      <c r="M173" s="192"/>
      <c r="N173" s="255" t="str">
        <f>IF(COUNTBLANK(J173:M173)=4,"",SUM(J173:L173)+IF(Setup!$I$15="No",0,M173))</f>
        <v/>
      </c>
      <c r="O173" s="192"/>
      <c r="P173" s="192"/>
      <c r="Q173" s="192"/>
      <c r="R173" s="192"/>
      <c r="S173" s="255" t="str">
        <f>IF(COUNTBLANK(O173:R173)=4,"",SUM(O173:Q173)+IF(Setup!$I$15="No",0,R173))</f>
        <v/>
      </c>
      <c r="T173" s="192"/>
      <c r="U173" s="192"/>
      <c r="V173" s="192"/>
      <c r="W173" s="192"/>
      <c r="X173" s="255" t="str">
        <f>IF(COUNTBLANK(T173:W173)=4,"",SUM(T173:V173)+IF(Setup!$I$15="No",0,W173))</f>
        <v/>
      </c>
      <c r="Y173" s="192"/>
      <c r="Z173" s="192"/>
      <c r="AA173" s="192"/>
      <c r="AB173" s="192"/>
      <c r="AC173" s="255" t="str">
        <f>IF(COUNTBLANK(Y173:AB173)=4,"",SUM(Y173:AA173)+IF(Setup!$I$15="No",0,AB173))</f>
        <v/>
      </c>
      <c r="AD173" s="192"/>
      <c r="AE173" s="192"/>
      <c r="AF173" s="192"/>
      <c r="AG173" s="192"/>
      <c r="AH173" s="255" t="str">
        <f>IF(COUNTBLANK(AD173:AG173)=4,"",SUM(AD173:AF173)+IF(Setup!$I$15="No",0,AG173))</f>
        <v/>
      </c>
      <c r="AI173" s="192"/>
      <c r="AJ173" s="192"/>
      <c r="AK173" s="192"/>
      <c r="AL173" s="192"/>
      <c r="AM173" s="255" t="str">
        <f>IF(COUNTBLANK(AI173:AL173)=4,"",SUM(AI173:AK173)+IF(Setup!$I$15="No",0,AL173))</f>
        <v/>
      </c>
      <c r="AN173" s="192"/>
      <c r="AO173" s="192"/>
      <c r="AP173" s="192"/>
      <c r="AQ173" s="192"/>
      <c r="AR173" s="255" t="str">
        <f>IF(COUNTBLANK(AN173:AQ173)=4,"",SUM(AN173:AP173)+IF(Setup!$I$15="No",0,AQ173))</f>
        <v/>
      </c>
      <c r="AS173" s="192"/>
      <c r="AT173" s="192"/>
      <c r="AU173" s="192"/>
      <c r="AV173" s="192"/>
      <c r="AW173" s="255" t="str">
        <f>IF(COUNTBLANK(AS173:AV173)=4,"",SUM(AS173:AU173)+IF(Setup!$I$15="No",0,AV173))</f>
        <v/>
      </c>
      <c r="AX173" s="192"/>
      <c r="AY173" s="192"/>
      <c r="AZ173" s="192"/>
      <c r="BA173" s="192"/>
      <c r="BB173" s="255" t="str">
        <f>IF(COUNTBLANK(AX173:BA173)=4,"",SUM(AX173:AZ173)+IF(Setup!$I$15="No",0,BA173))</f>
        <v/>
      </c>
      <c r="BC173" s="259" t="str">
        <f ca="1">IF('Demand background (hide)'!A164=Num_Modalities,"",SUM(Demand!I173))</f>
        <v/>
      </c>
      <c r="BD173" s="259" t="str">
        <f ca="1">IF(AND(A173&lt;=MaxRows,BE173&lt;&gt;"Yes"),'Demand background (hide)'!X164+IF(Setup!$I$15="Yes",'Demand background (hide)'!AJ164,0),"")</f>
        <v/>
      </c>
      <c r="BE173" s="209"/>
    </row>
    <row r="174" spans="1:57" x14ac:dyDescent="0.25">
      <c r="A174" t="str">
        <f t="shared" ca="1" si="8"/>
        <v/>
      </c>
      <c r="B174" s="264" t="str">
        <f t="shared" ca="1" si="9"/>
        <v xml:space="preserve"> </v>
      </c>
      <c r="C174" s="265" t="str">
        <f t="shared" ca="1" si="10"/>
        <v/>
      </c>
      <c r="D174" s="350" t="str">
        <f t="shared" ca="1" si="11"/>
        <v/>
      </c>
      <c r="E174" s="192"/>
      <c r="F174" s="192"/>
      <c r="G174" s="192"/>
      <c r="H174" s="192"/>
      <c r="I174" s="251" t="str">
        <f>IF(COUNTBLANK(E174:H174)=4,"",SUM(E174:G174)+IF(Setup!$I$15="No",0,H174))</f>
        <v/>
      </c>
      <c r="J174" s="192"/>
      <c r="K174" s="192"/>
      <c r="L174" s="192"/>
      <c r="M174" s="192"/>
      <c r="N174" s="255" t="str">
        <f>IF(COUNTBLANK(J174:M174)=4,"",SUM(J174:L174)+IF(Setup!$I$15="No",0,M174))</f>
        <v/>
      </c>
      <c r="O174" s="192"/>
      <c r="P174" s="192"/>
      <c r="Q174" s="192"/>
      <c r="R174" s="192"/>
      <c r="S174" s="255" t="str">
        <f>IF(COUNTBLANK(O174:R174)=4,"",SUM(O174:Q174)+IF(Setup!$I$15="No",0,R174))</f>
        <v/>
      </c>
      <c r="T174" s="192"/>
      <c r="U174" s="192"/>
      <c r="V174" s="192"/>
      <c r="W174" s="192"/>
      <c r="X174" s="255" t="str">
        <f>IF(COUNTBLANK(T174:W174)=4,"",SUM(T174:V174)+IF(Setup!$I$15="No",0,W174))</f>
        <v/>
      </c>
      <c r="Y174" s="192"/>
      <c r="Z174" s="192"/>
      <c r="AA174" s="192"/>
      <c r="AB174" s="192"/>
      <c r="AC174" s="255" t="str">
        <f>IF(COUNTBLANK(Y174:AB174)=4,"",SUM(Y174:AA174)+IF(Setup!$I$15="No",0,AB174))</f>
        <v/>
      </c>
      <c r="AD174" s="192"/>
      <c r="AE174" s="192"/>
      <c r="AF174" s="192"/>
      <c r="AG174" s="192"/>
      <c r="AH174" s="255" t="str">
        <f>IF(COUNTBLANK(AD174:AG174)=4,"",SUM(AD174:AF174)+IF(Setup!$I$15="No",0,AG174))</f>
        <v/>
      </c>
      <c r="AI174" s="192"/>
      <c r="AJ174" s="192"/>
      <c r="AK174" s="192"/>
      <c r="AL174" s="192"/>
      <c r="AM174" s="255" t="str">
        <f>IF(COUNTBLANK(AI174:AL174)=4,"",SUM(AI174:AK174)+IF(Setup!$I$15="No",0,AL174))</f>
        <v/>
      </c>
      <c r="AN174" s="192"/>
      <c r="AO174" s="192"/>
      <c r="AP174" s="192"/>
      <c r="AQ174" s="192"/>
      <c r="AR174" s="255" t="str">
        <f>IF(COUNTBLANK(AN174:AQ174)=4,"",SUM(AN174:AP174)+IF(Setup!$I$15="No",0,AQ174))</f>
        <v/>
      </c>
      <c r="AS174" s="192"/>
      <c r="AT174" s="192"/>
      <c r="AU174" s="192"/>
      <c r="AV174" s="192"/>
      <c r="AW174" s="255" t="str">
        <f>IF(COUNTBLANK(AS174:AV174)=4,"",SUM(AS174:AU174)+IF(Setup!$I$15="No",0,AV174))</f>
        <v/>
      </c>
      <c r="AX174" s="192"/>
      <c r="AY174" s="192"/>
      <c r="AZ174" s="192"/>
      <c r="BA174" s="192"/>
      <c r="BB174" s="255" t="str">
        <f>IF(COUNTBLANK(AX174:BA174)=4,"",SUM(AX174:AZ174)+IF(Setup!$I$15="No",0,BA174))</f>
        <v/>
      </c>
      <c r="BC174" s="259" t="str">
        <f ca="1">IF('Demand background (hide)'!A165=Num_Modalities,"",SUM(Demand!I174))</f>
        <v/>
      </c>
      <c r="BD174" s="259" t="str">
        <f ca="1">IF(AND(A174&lt;=MaxRows,BE174&lt;&gt;"Yes"),'Demand background (hide)'!X165+IF(Setup!$I$15="Yes",'Demand background (hide)'!AJ165,0),"")</f>
        <v/>
      </c>
      <c r="BE174" s="209"/>
    </row>
    <row r="175" spans="1:57" x14ac:dyDescent="0.25">
      <c r="A175" t="str">
        <f t="shared" ca="1" si="8"/>
        <v/>
      </c>
      <c r="B175" s="264" t="str">
        <f t="shared" ca="1" si="9"/>
        <v xml:space="preserve"> </v>
      </c>
      <c r="C175" s="265" t="str">
        <f t="shared" ca="1" si="10"/>
        <v/>
      </c>
      <c r="D175" s="350" t="str">
        <f t="shared" ca="1" si="11"/>
        <v/>
      </c>
      <c r="E175" s="192"/>
      <c r="F175" s="192"/>
      <c r="G175" s="192"/>
      <c r="H175" s="192"/>
      <c r="I175" s="251" t="str">
        <f>IF(COUNTBLANK(E175:H175)=4,"",SUM(E175:G175)+IF(Setup!$I$15="No",0,H175))</f>
        <v/>
      </c>
      <c r="J175" s="192"/>
      <c r="K175" s="192"/>
      <c r="L175" s="192"/>
      <c r="M175" s="192"/>
      <c r="N175" s="255" t="str">
        <f>IF(COUNTBLANK(J175:M175)=4,"",SUM(J175:L175)+IF(Setup!$I$15="No",0,M175))</f>
        <v/>
      </c>
      <c r="O175" s="192"/>
      <c r="P175" s="192"/>
      <c r="Q175" s="192"/>
      <c r="R175" s="192"/>
      <c r="S175" s="255" t="str">
        <f>IF(COUNTBLANK(O175:R175)=4,"",SUM(O175:Q175)+IF(Setup!$I$15="No",0,R175))</f>
        <v/>
      </c>
      <c r="T175" s="192"/>
      <c r="U175" s="192"/>
      <c r="V175" s="192"/>
      <c r="W175" s="192"/>
      <c r="X175" s="255" t="str">
        <f>IF(COUNTBLANK(T175:W175)=4,"",SUM(T175:V175)+IF(Setup!$I$15="No",0,W175))</f>
        <v/>
      </c>
      <c r="Y175" s="192"/>
      <c r="Z175" s="192"/>
      <c r="AA175" s="192"/>
      <c r="AB175" s="192"/>
      <c r="AC175" s="255" t="str">
        <f>IF(COUNTBLANK(Y175:AB175)=4,"",SUM(Y175:AA175)+IF(Setup!$I$15="No",0,AB175))</f>
        <v/>
      </c>
      <c r="AD175" s="192"/>
      <c r="AE175" s="192"/>
      <c r="AF175" s="192"/>
      <c r="AG175" s="192"/>
      <c r="AH175" s="255" t="str">
        <f>IF(COUNTBLANK(AD175:AG175)=4,"",SUM(AD175:AF175)+IF(Setup!$I$15="No",0,AG175))</f>
        <v/>
      </c>
      <c r="AI175" s="192"/>
      <c r="AJ175" s="192"/>
      <c r="AK175" s="192"/>
      <c r="AL175" s="192"/>
      <c r="AM175" s="255" t="str">
        <f>IF(COUNTBLANK(AI175:AL175)=4,"",SUM(AI175:AK175)+IF(Setup!$I$15="No",0,AL175))</f>
        <v/>
      </c>
      <c r="AN175" s="192"/>
      <c r="AO175" s="192"/>
      <c r="AP175" s="192"/>
      <c r="AQ175" s="192"/>
      <c r="AR175" s="255" t="str">
        <f>IF(COUNTBLANK(AN175:AQ175)=4,"",SUM(AN175:AP175)+IF(Setup!$I$15="No",0,AQ175))</f>
        <v/>
      </c>
      <c r="AS175" s="192"/>
      <c r="AT175" s="192"/>
      <c r="AU175" s="192"/>
      <c r="AV175" s="192"/>
      <c r="AW175" s="255" t="str">
        <f>IF(COUNTBLANK(AS175:AV175)=4,"",SUM(AS175:AU175)+IF(Setup!$I$15="No",0,AV175))</f>
        <v/>
      </c>
      <c r="AX175" s="192"/>
      <c r="AY175" s="192"/>
      <c r="AZ175" s="192"/>
      <c r="BA175" s="192"/>
      <c r="BB175" s="255" t="str">
        <f>IF(COUNTBLANK(AX175:BA175)=4,"",SUM(AX175:AZ175)+IF(Setup!$I$15="No",0,BA175))</f>
        <v/>
      </c>
      <c r="BC175" s="259" t="str">
        <f ca="1">IF('Demand background (hide)'!A166=Num_Modalities,"",SUM(Demand!I175))</f>
        <v/>
      </c>
      <c r="BD175" s="259" t="str">
        <f ca="1">IF(AND(A175&lt;=MaxRows,BE175&lt;&gt;"Yes"),'Demand background (hide)'!X166+IF(Setup!$I$15="Yes",'Demand background (hide)'!AJ166,0),"")</f>
        <v/>
      </c>
      <c r="BE175" s="209"/>
    </row>
    <row r="176" spans="1:57" x14ac:dyDescent="0.25">
      <c r="A176" t="str">
        <f t="shared" ca="1" si="8"/>
        <v/>
      </c>
      <c r="B176" s="264" t="str">
        <f t="shared" ca="1" si="9"/>
        <v xml:space="preserve"> </v>
      </c>
      <c r="C176" s="265" t="str">
        <f t="shared" ca="1" si="10"/>
        <v/>
      </c>
      <c r="D176" s="350" t="str">
        <f t="shared" ca="1" si="11"/>
        <v/>
      </c>
      <c r="E176" s="192"/>
      <c r="F176" s="192"/>
      <c r="G176" s="192"/>
      <c r="H176" s="192"/>
      <c r="I176" s="251" t="str">
        <f>IF(COUNTBLANK(E176:H176)=4,"",SUM(E176:G176)+IF(Setup!$I$15="No",0,H176))</f>
        <v/>
      </c>
      <c r="J176" s="192"/>
      <c r="K176" s="192"/>
      <c r="L176" s="192"/>
      <c r="M176" s="192"/>
      <c r="N176" s="255" t="str">
        <f>IF(COUNTBLANK(J176:M176)=4,"",SUM(J176:L176)+IF(Setup!$I$15="No",0,M176))</f>
        <v/>
      </c>
      <c r="O176" s="192"/>
      <c r="P176" s="192"/>
      <c r="Q176" s="192"/>
      <c r="R176" s="192"/>
      <c r="S176" s="255" t="str">
        <f>IF(COUNTBLANK(O176:R176)=4,"",SUM(O176:Q176)+IF(Setup!$I$15="No",0,R176))</f>
        <v/>
      </c>
      <c r="T176" s="192"/>
      <c r="U176" s="192"/>
      <c r="V176" s="192"/>
      <c r="W176" s="192"/>
      <c r="X176" s="255" t="str">
        <f>IF(COUNTBLANK(T176:W176)=4,"",SUM(T176:V176)+IF(Setup!$I$15="No",0,W176))</f>
        <v/>
      </c>
      <c r="Y176" s="192"/>
      <c r="Z176" s="192"/>
      <c r="AA176" s="192"/>
      <c r="AB176" s="192"/>
      <c r="AC176" s="255" t="str">
        <f>IF(COUNTBLANK(Y176:AB176)=4,"",SUM(Y176:AA176)+IF(Setup!$I$15="No",0,AB176))</f>
        <v/>
      </c>
      <c r="AD176" s="192"/>
      <c r="AE176" s="192"/>
      <c r="AF176" s="192"/>
      <c r="AG176" s="192"/>
      <c r="AH176" s="255" t="str">
        <f>IF(COUNTBLANK(AD176:AG176)=4,"",SUM(AD176:AF176)+IF(Setup!$I$15="No",0,AG176))</f>
        <v/>
      </c>
      <c r="AI176" s="192"/>
      <c r="AJ176" s="192"/>
      <c r="AK176" s="192"/>
      <c r="AL176" s="192"/>
      <c r="AM176" s="255" t="str">
        <f>IF(COUNTBLANK(AI176:AL176)=4,"",SUM(AI176:AK176)+IF(Setup!$I$15="No",0,AL176))</f>
        <v/>
      </c>
      <c r="AN176" s="192"/>
      <c r="AO176" s="192"/>
      <c r="AP176" s="192"/>
      <c r="AQ176" s="192"/>
      <c r="AR176" s="255" t="str">
        <f>IF(COUNTBLANK(AN176:AQ176)=4,"",SUM(AN176:AP176)+IF(Setup!$I$15="No",0,AQ176))</f>
        <v/>
      </c>
      <c r="AS176" s="192"/>
      <c r="AT176" s="192"/>
      <c r="AU176" s="192"/>
      <c r="AV176" s="192"/>
      <c r="AW176" s="255" t="str">
        <f>IF(COUNTBLANK(AS176:AV176)=4,"",SUM(AS176:AU176)+IF(Setup!$I$15="No",0,AV176))</f>
        <v/>
      </c>
      <c r="AX176" s="192"/>
      <c r="AY176" s="192"/>
      <c r="AZ176" s="192"/>
      <c r="BA176" s="192"/>
      <c r="BB176" s="255" t="str">
        <f>IF(COUNTBLANK(AX176:BA176)=4,"",SUM(AX176:AZ176)+IF(Setup!$I$15="No",0,BA176))</f>
        <v/>
      </c>
      <c r="BC176" s="259" t="str">
        <f ca="1">IF('Demand background (hide)'!A167=Num_Modalities,"",SUM(Demand!I176))</f>
        <v/>
      </c>
      <c r="BD176" s="259" t="str">
        <f ca="1">IF(AND(A176&lt;=MaxRows,BE176&lt;&gt;"Yes"),'Demand background (hide)'!X167+IF(Setup!$I$15="Yes",'Demand background (hide)'!AJ167,0),"")</f>
        <v/>
      </c>
      <c r="BE176" s="209"/>
    </row>
    <row r="177" spans="1:57" x14ac:dyDescent="0.25">
      <c r="A177" t="str">
        <f t="shared" ca="1" si="8"/>
        <v/>
      </c>
      <c r="B177" s="264" t="str">
        <f t="shared" ca="1" si="9"/>
        <v xml:space="preserve"> </v>
      </c>
      <c r="C177" s="265" t="str">
        <f t="shared" ca="1" si="10"/>
        <v/>
      </c>
      <c r="D177" s="350" t="str">
        <f t="shared" ca="1" si="11"/>
        <v/>
      </c>
      <c r="E177" s="192"/>
      <c r="F177" s="192"/>
      <c r="G177" s="192"/>
      <c r="H177" s="192"/>
      <c r="I177" s="251" t="str">
        <f>IF(COUNTBLANK(E177:H177)=4,"",SUM(E177:G177)+IF(Setup!$I$15="No",0,H177))</f>
        <v/>
      </c>
      <c r="J177" s="192"/>
      <c r="K177" s="192"/>
      <c r="L177" s="192"/>
      <c r="M177" s="192"/>
      <c r="N177" s="255" t="str">
        <f>IF(COUNTBLANK(J177:M177)=4,"",SUM(J177:L177)+IF(Setup!$I$15="No",0,M177))</f>
        <v/>
      </c>
      <c r="O177" s="192"/>
      <c r="P177" s="192"/>
      <c r="Q177" s="192"/>
      <c r="R177" s="192"/>
      <c r="S177" s="255" t="str">
        <f>IF(COUNTBLANK(O177:R177)=4,"",SUM(O177:Q177)+IF(Setup!$I$15="No",0,R177))</f>
        <v/>
      </c>
      <c r="T177" s="192"/>
      <c r="U177" s="192"/>
      <c r="V177" s="192"/>
      <c r="W177" s="192"/>
      <c r="X177" s="255" t="str">
        <f>IF(COUNTBLANK(T177:W177)=4,"",SUM(T177:V177)+IF(Setup!$I$15="No",0,W177))</f>
        <v/>
      </c>
      <c r="Y177" s="192"/>
      <c r="Z177" s="192"/>
      <c r="AA177" s="192"/>
      <c r="AB177" s="192"/>
      <c r="AC177" s="255" t="str">
        <f>IF(COUNTBLANK(Y177:AB177)=4,"",SUM(Y177:AA177)+IF(Setup!$I$15="No",0,AB177))</f>
        <v/>
      </c>
      <c r="AD177" s="192"/>
      <c r="AE177" s="192"/>
      <c r="AF177" s="192"/>
      <c r="AG177" s="192"/>
      <c r="AH177" s="255" t="str">
        <f>IF(COUNTBLANK(AD177:AG177)=4,"",SUM(AD177:AF177)+IF(Setup!$I$15="No",0,AG177))</f>
        <v/>
      </c>
      <c r="AI177" s="192"/>
      <c r="AJ177" s="192"/>
      <c r="AK177" s="192"/>
      <c r="AL177" s="192"/>
      <c r="AM177" s="255" t="str">
        <f>IF(COUNTBLANK(AI177:AL177)=4,"",SUM(AI177:AK177)+IF(Setup!$I$15="No",0,AL177))</f>
        <v/>
      </c>
      <c r="AN177" s="192"/>
      <c r="AO177" s="192"/>
      <c r="AP177" s="192"/>
      <c r="AQ177" s="192"/>
      <c r="AR177" s="255" t="str">
        <f>IF(COUNTBLANK(AN177:AQ177)=4,"",SUM(AN177:AP177)+IF(Setup!$I$15="No",0,AQ177))</f>
        <v/>
      </c>
      <c r="AS177" s="192"/>
      <c r="AT177" s="192"/>
      <c r="AU177" s="192"/>
      <c r="AV177" s="192"/>
      <c r="AW177" s="255" t="str">
        <f>IF(COUNTBLANK(AS177:AV177)=4,"",SUM(AS177:AU177)+IF(Setup!$I$15="No",0,AV177))</f>
        <v/>
      </c>
      <c r="AX177" s="192"/>
      <c r="AY177" s="192"/>
      <c r="AZ177" s="192"/>
      <c r="BA177" s="192"/>
      <c r="BB177" s="255" t="str">
        <f>IF(COUNTBLANK(AX177:BA177)=4,"",SUM(AX177:AZ177)+IF(Setup!$I$15="No",0,BA177))</f>
        <v/>
      </c>
      <c r="BC177" s="259" t="str">
        <f ca="1">IF('Demand background (hide)'!A168=Num_Modalities,"",SUM(Demand!I177))</f>
        <v/>
      </c>
      <c r="BD177" s="259" t="str">
        <f ca="1">IF(AND(A177&lt;=MaxRows,BE177&lt;&gt;"Yes"),'Demand background (hide)'!X168+IF(Setup!$I$15="Yes",'Demand background (hide)'!AJ168,0),"")</f>
        <v/>
      </c>
      <c r="BE177" s="209"/>
    </row>
    <row r="178" spans="1:57" x14ac:dyDescent="0.25">
      <c r="A178" t="str">
        <f t="shared" ca="1" si="8"/>
        <v/>
      </c>
      <c r="B178" s="264" t="str">
        <f t="shared" ca="1" si="9"/>
        <v xml:space="preserve"> </v>
      </c>
      <c r="C178" s="265" t="str">
        <f t="shared" ca="1" si="10"/>
        <v/>
      </c>
      <c r="D178" s="350" t="str">
        <f t="shared" ca="1" si="11"/>
        <v/>
      </c>
      <c r="E178" s="192"/>
      <c r="F178" s="192"/>
      <c r="G178" s="192"/>
      <c r="H178" s="192"/>
      <c r="I178" s="251" t="str">
        <f>IF(COUNTBLANK(E178:H178)=4,"",SUM(E178:G178)+IF(Setup!$I$15="No",0,H178))</f>
        <v/>
      </c>
      <c r="J178" s="192"/>
      <c r="K178" s="192"/>
      <c r="L178" s="192"/>
      <c r="M178" s="192"/>
      <c r="N178" s="255" t="str">
        <f>IF(COUNTBLANK(J178:M178)=4,"",SUM(J178:L178)+IF(Setup!$I$15="No",0,M178))</f>
        <v/>
      </c>
      <c r="O178" s="192"/>
      <c r="P178" s="192"/>
      <c r="Q178" s="192"/>
      <c r="R178" s="192"/>
      <c r="S178" s="255" t="str">
        <f>IF(COUNTBLANK(O178:R178)=4,"",SUM(O178:Q178)+IF(Setup!$I$15="No",0,R178))</f>
        <v/>
      </c>
      <c r="T178" s="192"/>
      <c r="U178" s="192"/>
      <c r="V178" s="192"/>
      <c r="W178" s="192"/>
      <c r="X178" s="255" t="str">
        <f>IF(COUNTBLANK(T178:W178)=4,"",SUM(T178:V178)+IF(Setup!$I$15="No",0,W178))</f>
        <v/>
      </c>
      <c r="Y178" s="192"/>
      <c r="Z178" s="192"/>
      <c r="AA178" s="192"/>
      <c r="AB178" s="192"/>
      <c r="AC178" s="255" t="str">
        <f>IF(COUNTBLANK(Y178:AB178)=4,"",SUM(Y178:AA178)+IF(Setup!$I$15="No",0,AB178))</f>
        <v/>
      </c>
      <c r="AD178" s="192"/>
      <c r="AE178" s="192"/>
      <c r="AF178" s="192"/>
      <c r="AG178" s="192"/>
      <c r="AH178" s="255" t="str">
        <f>IF(COUNTBLANK(AD178:AG178)=4,"",SUM(AD178:AF178)+IF(Setup!$I$15="No",0,AG178))</f>
        <v/>
      </c>
      <c r="AI178" s="192"/>
      <c r="AJ178" s="192"/>
      <c r="AK178" s="192"/>
      <c r="AL178" s="192"/>
      <c r="AM178" s="255" t="str">
        <f>IF(COUNTBLANK(AI178:AL178)=4,"",SUM(AI178:AK178)+IF(Setup!$I$15="No",0,AL178))</f>
        <v/>
      </c>
      <c r="AN178" s="192"/>
      <c r="AO178" s="192"/>
      <c r="AP178" s="192"/>
      <c r="AQ178" s="192"/>
      <c r="AR178" s="255" t="str">
        <f>IF(COUNTBLANK(AN178:AQ178)=4,"",SUM(AN178:AP178)+IF(Setup!$I$15="No",0,AQ178))</f>
        <v/>
      </c>
      <c r="AS178" s="192"/>
      <c r="AT178" s="192"/>
      <c r="AU178" s="192"/>
      <c r="AV178" s="192"/>
      <c r="AW178" s="255" t="str">
        <f>IF(COUNTBLANK(AS178:AV178)=4,"",SUM(AS178:AU178)+IF(Setup!$I$15="No",0,AV178))</f>
        <v/>
      </c>
      <c r="AX178" s="192"/>
      <c r="AY178" s="192"/>
      <c r="AZ178" s="192"/>
      <c r="BA178" s="192"/>
      <c r="BB178" s="255" t="str">
        <f>IF(COUNTBLANK(AX178:BA178)=4,"",SUM(AX178:AZ178)+IF(Setup!$I$15="No",0,BA178))</f>
        <v/>
      </c>
      <c r="BC178" s="259" t="str">
        <f ca="1">IF('Demand background (hide)'!A169=Num_Modalities,"",SUM(Demand!I178))</f>
        <v/>
      </c>
      <c r="BD178" s="259" t="str">
        <f ca="1">IF(AND(A178&lt;=MaxRows,BE178&lt;&gt;"Yes"),'Demand background (hide)'!X169+IF(Setup!$I$15="Yes",'Demand background (hide)'!AJ169,0),"")</f>
        <v/>
      </c>
      <c r="BE178" s="209"/>
    </row>
    <row r="179" spans="1:57" x14ac:dyDescent="0.25">
      <c r="A179" t="str">
        <f t="shared" ca="1" si="8"/>
        <v/>
      </c>
      <c r="B179" s="264" t="str">
        <f t="shared" ca="1" si="9"/>
        <v xml:space="preserve"> </v>
      </c>
      <c r="C179" s="265" t="str">
        <f t="shared" ca="1" si="10"/>
        <v/>
      </c>
      <c r="D179" s="350" t="str">
        <f t="shared" ca="1" si="11"/>
        <v/>
      </c>
      <c r="E179" s="192"/>
      <c r="F179" s="192"/>
      <c r="G179" s="192"/>
      <c r="H179" s="192"/>
      <c r="I179" s="251" t="str">
        <f>IF(COUNTBLANK(E179:H179)=4,"",SUM(E179:G179)+IF(Setup!$I$15="No",0,H179))</f>
        <v/>
      </c>
      <c r="J179" s="192"/>
      <c r="K179" s="192"/>
      <c r="L179" s="192"/>
      <c r="M179" s="192"/>
      <c r="N179" s="255" t="str">
        <f>IF(COUNTBLANK(J179:M179)=4,"",SUM(J179:L179)+IF(Setup!$I$15="No",0,M179))</f>
        <v/>
      </c>
      <c r="O179" s="192"/>
      <c r="P179" s="192"/>
      <c r="Q179" s="192"/>
      <c r="R179" s="192"/>
      <c r="S179" s="255" t="str">
        <f>IF(COUNTBLANK(O179:R179)=4,"",SUM(O179:Q179)+IF(Setup!$I$15="No",0,R179))</f>
        <v/>
      </c>
      <c r="T179" s="192"/>
      <c r="U179" s="192"/>
      <c r="V179" s="192"/>
      <c r="W179" s="192"/>
      <c r="X179" s="255" t="str">
        <f>IF(COUNTBLANK(T179:W179)=4,"",SUM(T179:V179)+IF(Setup!$I$15="No",0,W179))</f>
        <v/>
      </c>
      <c r="Y179" s="192"/>
      <c r="Z179" s="192"/>
      <c r="AA179" s="192"/>
      <c r="AB179" s="192"/>
      <c r="AC179" s="255" t="str">
        <f>IF(COUNTBLANK(Y179:AB179)=4,"",SUM(Y179:AA179)+IF(Setup!$I$15="No",0,AB179))</f>
        <v/>
      </c>
      <c r="AD179" s="192"/>
      <c r="AE179" s="192"/>
      <c r="AF179" s="192"/>
      <c r="AG179" s="192"/>
      <c r="AH179" s="255" t="str">
        <f>IF(COUNTBLANK(AD179:AG179)=4,"",SUM(AD179:AF179)+IF(Setup!$I$15="No",0,AG179))</f>
        <v/>
      </c>
      <c r="AI179" s="192"/>
      <c r="AJ179" s="192"/>
      <c r="AK179" s="192"/>
      <c r="AL179" s="192"/>
      <c r="AM179" s="255" t="str">
        <f>IF(COUNTBLANK(AI179:AL179)=4,"",SUM(AI179:AK179)+IF(Setup!$I$15="No",0,AL179))</f>
        <v/>
      </c>
      <c r="AN179" s="192"/>
      <c r="AO179" s="192"/>
      <c r="AP179" s="192"/>
      <c r="AQ179" s="192"/>
      <c r="AR179" s="255" t="str">
        <f>IF(COUNTBLANK(AN179:AQ179)=4,"",SUM(AN179:AP179)+IF(Setup!$I$15="No",0,AQ179))</f>
        <v/>
      </c>
      <c r="AS179" s="192"/>
      <c r="AT179" s="192"/>
      <c r="AU179" s="192"/>
      <c r="AV179" s="192"/>
      <c r="AW179" s="255" t="str">
        <f>IF(COUNTBLANK(AS179:AV179)=4,"",SUM(AS179:AU179)+IF(Setup!$I$15="No",0,AV179))</f>
        <v/>
      </c>
      <c r="AX179" s="192"/>
      <c r="AY179" s="192"/>
      <c r="AZ179" s="192"/>
      <c r="BA179" s="192"/>
      <c r="BB179" s="255" t="str">
        <f>IF(COUNTBLANK(AX179:BA179)=4,"",SUM(AX179:AZ179)+IF(Setup!$I$15="No",0,BA179))</f>
        <v/>
      </c>
      <c r="BC179" s="259" t="str">
        <f ca="1">IF('Demand background (hide)'!A170=Num_Modalities,"",SUM(Demand!I179))</f>
        <v/>
      </c>
      <c r="BD179" s="259" t="str">
        <f ca="1">IF(AND(A179&lt;=MaxRows,BE179&lt;&gt;"Yes"),'Demand background (hide)'!X170+IF(Setup!$I$15="Yes",'Demand background (hide)'!AJ170,0),"")</f>
        <v/>
      </c>
      <c r="BE179" s="209"/>
    </row>
    <row r="180" spans="1:57" x14ac:dyDescent="0.25">
      <c r="A180" t="str">
        <f t="shared" ca="1" si="8"/>
        <v/>
      </c>
      <c r="B180" s="264" t="str">
        <f t="shared" ca="1" si="9"/>
        <v xml:space="preserve"> </v>
      </c>
      <c r="C180" s="265" t="str">
        <f t="shared" ca="1" si="10"/>
        <v/>
      </c>
      <c r="D180" s="350" t="str">
        <f t="shared" ca="1" si="11"/>
        <v/>
      </c>
      <c r="E180" s="192"/>
      <c r="F180" s="192"/>
      <c r="G180" s="192"/>
      <c r="H180" s="192"/>
      <c r="I180" s="251" t="str">
        <f>IF(COUNTBLANK(E180:H180)=4,"",SUM(E180:G180)+IF(Setup!$I$15="No",0,H180))</f>
        <v/>
      </c>
      <c r="J180" s="192"/>
      <c r="K180" s="192"/>
      <c r="L180" s="192"/>
      <c r="M180" s="192"/>
      <c r="N180" s="255" t="str">
        <f>IF(COUNTBLANK(J180:M180)=4,"",SUM(J180:L180)+IF(Setup!$I$15="No",0,M180))</f>
        <v/>
      </c>
      <c r="O180" s="192"/>
      <c r="P180" s="192"/>
      <c r="Q180" s="192"/>
      <c r="R180" s="192"/>
      <c r="S180" s="255" t="str">
        <f>IF(COUNTBLANK(O180:R180)=4,"",SUM(O180:Q180)+IF(Setup!$I$15="No",0,R180))</f>
        <v/>
      </c>
      <c r="T180" s="192"/>
      <c r="U180" s="192"/>
      <c r="V180" s="192"/>
      <c r="W180" s="192"/>
      <c r="X180" s="255" t="str">
        <f>IF(COUNTBLANK(T180:W180)=4,"",SUM(T180:V180)+IF(Setup!$I$15="No",0,W180))</f>
        <v/>
      </c>
      <c r="Y180" s="192"/>
      <c r="Z180" s="192"/>
      <c r="AA180" s="192"/>
      <c r="AB180" s="192"/>
      <c r="AC180" s="255" t="str">
        <f>IF(COUNTBLANK(Y180:AB180)=4,"",SUM(Y180:AA180)+IF(Setup!$I$15="No",0,AB180))</f>
        <v/>
      </c>
      <c r="AD180" s="192"/>
      <c r="AE180" s="192"/>
      <c r="AF180" s="192"/>
      <c r="AG180" s="192"/>
      <c r="AH180" s="255" t="str">
        <f>IF(COUNTBLANK(AD180:AG180)=4,"",SUM(AD180:AF180)+IF(Setup!$I$15="No",0,AG180))</f>
        <v/>
      </c>
      <c r="AI180" s="192"/>
      <c r="AJ180" s="192"/>
      <c r="AK180" s="192"/>
      <c r="AL180" s="192"/>
      <c r="AM180" s="255" t="str">
        <f>IF(COUNTBLANK(AI180:AL180)=4,"",SUM(AI180:AK180)+IF(Setup!$I$15="No",0,AL180))</f>
        <v/>
      </c>
      <c r="AN180" s="192"/>
      <c r="AO180" s="192"/>
      <c r="AP180" s="192"/>
      <c r="AQ180" s="192"/>
      <c r="AR180" s="255" t="str">
        <f>IF(COUNTBLANK(AN180:AQ180)=4,"",SUM(AN180:AP180)+IF(Setup!$I$15="No",0,AQ180))</f>
        <v/>
      </c>
      <c r="AS180" s="192"/>
      <c r="AT180" s="192"/>
      <c r="AU180" s="192"/>
      <c r="AV180" s="192"/>
      <c r="AW180" s="255" t="str">
        <f>IF(COUNTBLANK(AS180:AV180)=4,"",SUM(AS180:AU180)+IF(Setup!$I$15="No",0,AV180))</f>
        <v/>
      </c>
      <c r="AX180" s="192"/>
      <c r="AY180" s="192"/>
      <c r="AZ180" s="192"/>
      <c r="BA180" s="192"/>
      <c r="BB180" s="255" t="str">
        <f>IF(COUNTBLANK(AX180:BA180)=4,"",SUM(AX180:AZ180)+IF(Setup!$I$15="No",0,BA180))</f>
        <v/>
      </c>
      <c r="BC180" s="259" t="str">
        <f ca="1">IF('Demand background (hide)'!A171=Num_Modalities,"",SUM(Demand!I180))</f>
        <v/>
      </c>
      <c r="BD180" s="259" t="str">
        <f ca="1">IF(AND(A180&lt;=MaxRows,BE180&lt;&gt;"Yes"),'Demand background (hide)'!X171+IF(Setup!$I$15="Yes",'Demand background (hide)'!AJ171,0),"")</f>
        <v/>
      </c>
      <c r="BE180" s="209"/>
    </row>
    <row r="181" spans="1:57" x14ac:dyDescent="0.25">
      <c r="A181" t="str">
        <f t="shared" ca="1" si="8"/>
        <v/>
      </c>
      <c r="B181" s="264" t="str">
        <f t="shared" ca="1" si="9"/>
        <v xml:space="preserve"> </v>
      </c>
      <c r="C181" s="265" t="str">
        <f t="shared" ca="1" si="10"/>
        <v/>
      </c>
      <c r="D181" s="350" t="str">
        <f t="shared" ca="1" si="11"/>
        <v/>
      </c>
      <c r="E181" s="192"/>
      <c r="F181" s="192"/>
      <c r="G181" s="192"/>
      <c r="H181" s="192"/>
      <c r="I181" s="251" t="str">
        <f>IF(COUNTBLANK(E181:H181)=4,"",SUM(E181:G181)+IF(Setup!$I$15="No",0,H181))</f>
        <v/>
      </c>
      <c r="J181" s="192"/>
      <c r="K181" s="192"/>
      <c r="L181" s="192"/>
      <c r="M181" s="192"/>
      <c r="N181" s="255" t="str">
        <f>IF(COUNTBLANK(J181:M181)=4,"",SUM(J181:L181)+IF(Setup!$I$15="No",0,M181))</f>
        <v/>
      </c>
      <c r="O181" s="192"/>
      <c r="P181" s="192"/>
      <c r="Q181" s="192"/>
      <c r="R181" s="192"/>
      <c r="S181" s="255" t="str">
        <f>IF(COUNTBLANK(O181:R181)=4,"",SUM(O181:Q181)+IF(Setup!$I$15="No",0,R181))</f>
        <v/>
      </c>
      <c r="T181" s="192"/>
      <c r="U181" s="192"/>
      <c r="V181" s="192"/>
      <c r="W181" s="192"/>
      <c r="X181" s="255" t="str">
        <f>IF(COUNTBLANK(T181:W181)=4,"",SUM(T181:V181)+IF(Setup!$I$15="No",0,W181))</f>
        <v/>
      </c>
      <c r="Y181" s="192"/>
      <c r="Z181" s="192"/>
      <c r="AA181" s="192"/>
      <c r="AB181" s="192"/>
      <c r="AC181" s="255" t="str">
        <f>IF(COUNTBLANK(Y181:AB181)=4,"",SUM(Y181:AA181)+IF(Setup!$I$15="No",0,AB181))</f>
        <v/>
      </c>
      <c r="AD181" s="192"/>
      <c r="AE181" s="192"/>
      <c r="AF181" s="192"/>
      <c r="AG181" s="192"/>
      <c r="AH181" s="255" t="str">
        <f>IF(COUNTBLANK(AD181:AG181)=4,"",SUM(AD181:AF181)+IF(Setup!$I$15="No",0,AG181))</f>
        <v/>
      </c>
      <c r="AI181" s="192"/>
      <c r="AJ181" s="192"/>
      <c r="AK181" s="192"/>
      <c r="AL181" s="192"/>
      <c r="AM181" s="255" t="str">
        <f>IF(COUNTBLANK(AI181:AL181)=4,"",SUM(AI181:AK181)+IF(Setup!$I$15="No",0,AL181))</f>
        <v/>
      </c>
      <c r="AN181" s="192"/>
      <c r="AO181" s="192"/>
      <c r="AP181" s="192"/>
      <c r="AQ181" s="192"/>
      <c r="AR181" s="255" t="str">
        <f>IF(COUNTBLANK(AN181:AQ181)=4,"",SUM(AN181:AP181)+IF(Setup!$I$15="No",0,AQ181))</f>
        <v/>
      </c>
      <c r="AS181" s="192"/>
      <c r="AT181" s="192"/>
      <c r="AU181" s="192"/>
      <c r="AV181" s="192"/>
      <c r="AW181" s="255" t="str">
        <f>IF(COUNTBLANK(AS181:AV181)=4,"",SUM(AS181:AU181)+IF(Setup!$I$15="No",0,AV181))</f>
        <v/>
      </c>
      <c r="AX181" s="192"/>
      <c r="AY181" s="192"/>
      <c r="AZ181" s="192"/>
      <c r="BA181" s="192"/>
      <c r="BB181" s="255" t="str">
        <f>IF(COUNTBLANK(AX181:BA181)=4,"",SUM(AX181:AZ181)+IF(Setup!$I$15="No",0,BA181))</f>
        <v/>
      </c>
      <c r="BC181" s="259" t="str">
        <f ca="1">IF('Demand background (hide)'!A172=Num_Modalities,"",SUM(Demand!I181))</f>
        <v/>
      </c>
      <c r="BD181" s="259" t="str">
        <f ca="1">IF(AND(A181&lt;=MaxRows,BE181&lt;&gt;"Yes"),'Demand background (hide)'!X172+IF(Setup!$I$15="Yes",'Demand background (hide)'!AJ172,0),"")</f>
        <v/>
      </c>
      <c r="BE181" s="209"/>
    </row>
    <row r="182" spans="1:57" x14ac:dyDescent="0.25">
      <c r="A182" t="str">
        <f t="shared" ca="1" si="8"/>
        <v/>
      </c>
      <c r="B182" s="264" t="str">
        <f t="shared" ca="1" si="9"/>
        <v xml:space="preserve"> </v>
      </c>
      <c r="C182" s="265" t="str">
        <f t="shared" ca="1" si="10"/>
        <v/>
      </c>
      <c r="D182" s="350" t="str">
        <f t="shared" ca="1" si="11"/>
        <v/>
      </c>
      <c r="E182" s="192"/>
      <c r="F182" s="192"/>
      <c r="G182" s="192"/>
      <c r="H182" s="192"/>
      <c r="I182" s="251" t="str">
        <f>IF(COUNTBLANK(E182:H182)=4,"",SUM(E182:G182)+IF(Setup!$I$15="No",0,H182))</f>
        <v/>
      </c>
      <c r="J182" s="192"/>
      <c r="K182" s="192"/>
      <c r="L182" s="192"/>
      <c r="M182" s="192"/>
      <c r="N182" s="255" t="str">
        <f>IF(COUNTBLANK(J182:M182)=4,"",SUM(J182:L182)+IF(Setup!$I$15="No",0,M182))</f>
        <v/>
      </c>
      <c r="O182" s="192"/>
      <c r="P182" s="192"/>
      <c r="Q182" s="192"/>
      <c r="R182" s="192"/>
      <c r="S182" s="255" t="str">
        <f>IF(COUNTBLANK(O182:R182)=4,"",SUM(O182:Q182)+IF(Setup!$I$15="No",0,R182))</f>
        <v/>
      </c>
      <c r="T182" s="192"/>
      <c r="U182" s="192"/>
      <c r="V182" s="192"/>
      <c r="W182" s="192"/>
      <c r="X182" s="255" t="str">
        <f>IF(COUNTBLANK(T182:W182)=4,"",SUM(T182:V182)+IF(Setup!$I$15="No",0,W182))</f>
        <v/>
      </c>
      <c r="Y182" s="192"/>
      <c r="Z182" s="192"/>
      <c r="AA182" s="192"/>
      <c r="AB182" s="192"/>
      <c r="AC182" s="255" t="str">
        <f>IF(COUNTBLANK(Y182:AB182)=4,"",SUM(Y182:AA182)+IF(Setup!$I$15="No",0,AB182))</f>
        <v/>
      </c>
      <c r="AD182" s="192"/>
      <c r="AE182" s="192"/>
      <c r="AF182" s="192"/>
      <c r="AG182" s="192"/>
      <c r="AH182" s="255" t="str">
        <f>IF(COUNTBLANK(AD182:AG182)=4,"",SUM(AD182:AF182)+IF(Setup!$I$15="No",0,AG182))</f>
        <v/>
      </c>
      <c r="AI182" s="192"/>
      <c r="AJ182" s="192"/>
      <c r="AK182" s="192"/>
      <c r="AL182" s="192"/>
      <c r="AM182" s="255" t="str">
        <f>IF(COUNTBLANK(AI182:AL182)=4,"",SUM(AI182:AK182)+IF(Setup!$I$15="No",0,AL182))</f>
        <v/>
      </c>
      <c r="AN182" s="192"/>
      <c r="AO182" s="192"/>
      <c r="AP182" s="192"/>
      <c r="AQ182" s="192"/>
      <c r="AR182" s="255" t="str">
        <f>IF(COUNTBLANK(AN182:AQ182)=4,"",SUM(AN182:AP182)+IF(Setup!$I$15="No",0,AQ182))</f>
        <v/>
      </c>
      <c r="AS182" s="192"/>
      <c r="AT182" s="192"/>
      <c r="AU182" s="192"/>
      <c r="AV182" s="192"/>
      <c r="AW182" s="255" t="str">
        <f>IF(COUNTBLANK(AS182:AV182)=4,"",SUM(AS182:AU182)+IF(Setup!$I$15="No",0,AV182))</f>
        <v/>
      </c>
      <c r="AX182" s="192"/>
      <c r="AY182" s="192"/>
      <c r="AZ182" s="192"/>
      <c r="BA182" s="192"/>
      <c r="BB182" s="255" t="str">
        <f>IF(COUNTBLANK(AX182:BA182)=4,"",SUM(AX182:AZ182)+IF(Setup!$I$15="No",0,BA182))</f>
        <v/>
      </c>
      <c r="BC182" s="259" t="str">
        <f ca="1">IF('Demand background (hide)'!A173=Num_Modalities,"",SUM(Demand!I182))</f>
        <v/>
      </c>
      <c r="BD182" s="259" t="str">
        <f ca="1">IF(AND(A182&lt;=MaxRows,BE182&lt;&gt;"Yes"),'Demand background (hide)'!X173+IF(Setup!$I$15="Yes",'Demand background (hide)'!AJ173,0),"")</f>
        <v/>
      </c>
      <c r="BE182" s="209"/>
    </row>
    <row r="183" spans="1:57" x14ac:dyDescent="0.25">
      <c r="A183" t="str">
        <f t="shared" ca="1" si="8"/>
        <v/>
      </c>
      <c r="B183" s="264" t="str">
        <f t="shared" ca="1" si="9"/>
        <v xml:space="preserve"> </v>
      </c>
      <c r="C183" s="265" t="str">
        <f t="shared" ca="1" si="10"/>
        <v/>
      </c>
      <c r="D183" s="350" t="str">
        <f t="shared" ca="1" si="11"/>
        <v/>
      </c>
      <c r="E183" s="192"/>
      <c r="F183" s="192"/>
      <c r="G183" s="192"/>
      <c r="H183" s="192"/>
      <c r="I183" s="251" t="str">
        <f>IF(COUNTBLANK(E183:H183)=4,"",SUM(E183:G183)+IF(Setup!$I$15="No",0,H183))</f>
        <v/>
      </c>
      <c r="J183" s="192"/>
      <c r="K183" s="192"/>
      <c r="L183" s="192"/>
      <c r="M183" s="192"/>
      <c r="N183" s="255" t="str">
        <f>IF(COUNTBLANK(J183:M183)=4,"",SUM(J183:L183)+IF(Setup!$I$15="No",0,M183))</f>
        <v/>
      </c>
      <c r="O183" s="192"/>
      <c r="P183" s="192"/>
      <c r="Q183" s="192"/>
      <c r="R183" s="192"/>
      <c r="S183" s="255" t="str">
        <f>IF(COUNTBLANK(O183:R183)=4,"",SUM(O183:Q183)+IF(Setup!$I$15="No",0,R183))</f>
        <v/>
      </c>
      <c r="T183" s="192"/>
      <c r="U183" s="192"/>
      <c r="V183" s="192"/>
      <c r="W183" s="192"/>
      <c r="X183" s="255" t="str">
        <f>IF(COUNTBLANK(T183:W183)=4,"",SUM(T183:V183)+IF(Setup!$I$15="No",0,W183))</f>
        <v/>
      </c>
      <c r="Y183" s="192"/>
      <c r="Z183" s="192"/>
      <c r="AA183" s="192"/>
      <c r="AB183" s="192"/>
      <c r="AC183" s="255" t="str">
        <f>IF(COUNTBLANK(Y183:AB183)=4,"",SUM(Y183:AA183)+IF(Setup!$I$15="No",0,AB183))</f>
        <v/>
      </c>
      <c r="AD183" s="192"/>
      <c r="AE183" s="192"/>
      <c r="AF183" s="192"/>
      <c r="AG183" s="192"/>
      <c r="AH183" s="255" t="str">
        <f>IF(COUNTBLANK(AD183:AG183)=4,"",SUM(AD183:AF183)+IF(Setup!$I$15="No",0,AG183))</f>
        <v/>
      </c>
      <c r="AI183" s="192"/>
      <c r="AJ183" s="192"/>
      <c r="AK183" s="192"/>
      <c r="AL183" s="192"/>
      <c r="AM183" s="255" t="str">
        <f>IF(COUNTBLANK(AI183:AL183)=4,"",SUM(AI183:AK183)+IF(Setup!$I$15="No",0,AL183))</f>
        <v/>
      </c>
      <c r="AN183" s="192"/>
      <c r="AO183" s="192"/>
      <c r="AP183" s="192"/>
      <c r="AQ183" s="192"/>
      <c r="AR183" s="255" t="str">
        <f>IF(COUNTBLANK(AN183:AQ183)=4,"",SUM(AN183:AP183)+IF(Setup!$I$15="No",0,AQ183))</f>
        <v/>
      </c>
      <c r="AS183" s="192"/>
      <c r="AT183" s="192"/>
      <c r="AU183" s="192"/>
      <c r="AV183" s="192"/>
      <c r="AW183" s="255" t="str">
        <f>IF(COUNTBLANK(AS183:AV183)=4,"",SUM(AS183:AU183)+IF(Setup!$I$15="No",0,AV183))</f>
        <v/>
      </c>
      <c r="AX183" s="192"/>
      <c r="AY183" s="192"/>
      <c r="AZ183" s="192"/>
      <c r="BA183" s="192"/>
      <c r="BB183" s="255" t="str">
        <f>IF(COUNTBLANK(AX183:BA183)=4,"",SUM(AX183:AZ183)+IF(Setup!$I$15="No",0,BA183))</f>
        <v/>
      </c>
      <c r="BC183" s="259" t="str">
        <f ca="1">IF('Demand background (hide)'!A174=Num_Modalities,"",SUM(Demand!I183))</f>
        <v/>
      </c>
      <c r="BD183" s="259" t="str">
        <f ca="1">IF(AND(A183&lt;=MaxRows,BE183&lt;&gt;"Yes"),'Demand background (hide)'!X174+IF(Setup!$I$15="Yes",'Demand background (hide)'!AJ174,0),"")</f>
        <v/>
      </c>
      <c r="BE183" s="209"/>
    </row>
    <row r="184" spans="1:57" x14ac:dyDescent="0.25">
      <c r="A184" t="str">
        <f t="shared" ca="1" si="8"/>
        <v/>
      </c>
      <c r="B184" s="264" t="str">
        <f t="shared" ca="1" si="9"/>
        <v xml:space="preserve"> </v>
      </c>
      <c r="C184" s="265" t="str">
        <f t="shared" ca="1" si="10"/>
        <v/>
      </c>
      <c r="D184" s="350" t="str">
        <f t="shared" ca="1" si="11"/>
        <v/>
      </c>
      <c r="E184" s="192"/>
      <c r="F184" s="192"/>
      <c r="G184" s="192"/>
      <c r="H184" s="192"/>
      <c r="I184" s="251" t="str">
        <f>IF(COUNTBLANK(E184:H184)=4,"",SUM(E184:G184)+IF(Setup!$I$15="No",0,H184))</f>
        <v/>
      </c>
      <c r="J184" s="192"/>
      <c r="K184" s="192"/>
      <c r="L184" s="192"/>
      <c r="M184" s="192"/>
      <c r="N184" s="255" t="str">
        <f>IF(COUNTBLANK(J184:M184)=4,"",SUM(J184:L184)+IF(Setup!$I$15="No",0,M184))</f>
        <v/>
      </c>
      <c r="O184" s="192"/>
      <c r="P184" s="192"/>
      <c r="Q184" s="192"/>
      <c r="R184" s="192"/>
      <c r="S184" s="255" t="str">
        <f>IF(COUNTBLANK(O184:R184)=4,"",SUM(O184:Q184)+IF(Setup!$I$15="No",0,R184))</f>
        <v/>
      </c>
      <c r="T184" s="192"/>
      <c r="U184" s="192"/>
      <c r="V184" s="192"/>
      <c r="W184" s="192"/>
      <c r="X184" s="255" t="str">
        <f>IF(COUNTBLANK(T184:W184)=4,"",SUM(T184:V184)+IF(Setup!$I$15="No",0,W184))</f>
        <v/>
      </c>
      <c r="Y184" s="192"/>
      <c r="Z184" s="192"/>
      <c r="AA184" s="192"/>
      <c r="AB184" s="192"/>
      <c r="AC184" s="255" t="str">
        <f>IF(COUNTBLANK(Y184:AB184)=4,"",SUM(Y184:AA184)+IF(Setup!$I$15="No",0,AB184))</f>
        <v/>
      </c>
      <c r="AD184" s="192"/>
      <c r="AE184" s="192"/>
      <c r="AF184" s="192"/>
      <c r="AG184" s="192"/>
      <c r="AH184" s="255" t="str">
        <f>IF(COUNTBLANK(AD184:AG184)=4,"",SUM(AD184:AF184)+IF(Setup!$I$15="No",0,AG184))</f>
        <v/>
      </c>
      <c r="AI184" s="192"/>
      <c r="AJ184" s="192"/>
      <c r="AK184" s="192"/>
      <c r="AL184" s="192"/>
      <c r="AM184" s="255" t="str">
        <f>IF(COUNTBLANK(AI184:AL184)=4,"",SUM(AI184:AK184)+IF(Setup!$I$15="No",0,AL184))</f>
        <v/>
      </c>
      <c r="AN184" s="192"/>
      <c r="AO184" s="192"/>
      <c r="AP184" s="192"/>
      <c r="AQ184" s="192"/>
      <c r="AR184" s="255" t="str">
        <f>IF(COUNTBLANK(AN184:AQ184)=4,"",SUM(AN184:AP184)+IF(Setup!$I$15="No",0,AQ184))</f>
        <v/>
      </c>
      <c r="AS184" s="192"/>
      <c r="AT184" s="192"/>
      <c r="AU184" s="192"/>
      <c r="AV184" s="192"/>
      <c r="AW184" s="255" t="str">
        <f>IF(COUNTBLANK(AS184:AV184)=4,"",SUM(AS184:AU184)+IF(Setup!$I$15="No",0,AV184))</f>
        <v/>
      </c>
      <c r="AX184" s="192"/>
      <c r="AY184" s="192"/>
      <c r="AZ184" s="192"/>
      <c r="BA184" s="192"/>
      <c r="BB184" s="255" t="str">
        <f>IF(COUNTBLANK(AX184:BA184)=4,"",SUM(AX184:AZ184)+IF(Setup!$I$15="No",0,BA184))</f>
        <v/>
      </c>
      <c r="BC184" s="259" t="str">
        <f ca="1">IF('Demand background (hide)'!A175=Num_Modalities,"",SUM(Demand!I184))</f>
        <v/>
      </c>
      <c r="BD184" s="259" t="str">
        <f ca="1">IF(AND(A184&lt;=MaxRows,BE184&lt;&gt;"Yes"),'Demand background (hide)'!X175+IF(Setup!$I$15="Yes",'Demand background (hide)'!AJ175,0),"")</f>
        <v/>
      </c>
      <c r="BE184" s="209"/>
    </row>
    <row r="185" spans="1:57" x14ac:dyDescent="0.25">
      <c r="A185" t="str">
        <f t="shared" ca="1" si="8"/>
        <v/>
      </c>
      <c r="B185" s="264" t="str">
        <f t="shared" ca="1" si="9"/>
        <v xml:space="preserve"> </v>
      </c>
      <c r="C185" s="265" t="str">
        <f t="shared" ca="1" si="10"/>
        <v/>
      </c>
      <c r="D185" s="350" t="str">
        <f t="shared" ca="1" si="11"/>
        <v/>
      </c>
      <c r="E185" s="192"/>
      <c r="F185" s="192"/>
      <c r="G185" s="192"/>
      <c r="H185" s="192"/>
      <c r="I185" s="251" t="str">
        <f>IF(COUNTBLANK(E185:H185)=4,"",SUM(E185:G185)+IF(Setup!$I$15="No",0,H185))</f>
        <v/>
      </c>
      <c r="J185" s="192"/>
      <c r="K185" s="192"/>
      <c r="L185" s="192"/>
      <c r="M185" s="192"/>
      <c r="N185" s="255" t="str">
        <f>IF(COUNTBLANK(J185:M185)=4,"",SUM(J185:L185)+IF(Setup!$I$15="No",0,M185))</f>
        <v/>
      </c>
      <c r="O185" s="192"/>
      <c r="P185" s="192"/>
      <c r="Q185" s="192"/>
      <c r="R185" s="192"/>
      <c r="S185" s="255" t="str">
        <f>IF(COUNTBLANK(O185:R185)=4,"",SUM(O185:Q185)+IF(Setup!$I$15="No",0,R185))</f>
        <v/>
      </c>
      <c r="T185" s="192"/>
      <c r="U185" s="192"/>
      <c r="V185" s="192"/>
      <c r="W185" s="192"/>
      <c r="X185" s="255" t="str">
        <f>IF(COUNTBLANK(T185:W185)=4,"",SUM(T185:V185)+IF(Setup!$I$15="No",0,W185))</f>
        <v/>
      </c>
      <c r="Y185" s="192"/>
      <c r="Z185" s="192"/>
      <c r="AA185" s="192"/>
      <c r="AB185" s="192"/>
      <c r="AC185" s="255" t="str">
        <f>IF(COUNTBLANK(Y185:AB185)=4,"",SUM(Y185:AA185)+IF(Setup!$I$15="No",0,AB185))</f>
        <v/>
      </c>
      <c r="AD185" s="192"/>
      <c r="AE185" s="192"/>
      <c r="AF185" s="192"/>
      <c r="AG185" s="192"/>
      <c r="AH185" s="255" t="str">
        <f>IF(COUNTBLANK(AD185:AG185)=4,"",SUM(AD185:AF185)+IF(Setup!$I$15="No",0,AG185))</f>
        <v/>
      </c>
      <c r="AI185" s="192"/>
      <c r="AJ185" s="192"/>
      <c r="AK185" s="192"/>
      <c r="AL185" s="192"/>
      <c r="AM185" s="255" t="str">
        <f>IF(COUNTBLANK(AI185:AL185)=4,"",SUM(AI185:AK185)+IF(Setup!$I$15="No",0,AL185))</f>
        <v/>
      </c>
      <c r="AN185" s="192"/>
      <c r="AO185" s="192"/>
      <c r="AP185" s="192"/>
      <c r="AQ185" s="192"/>
      <c r="AR185" s="255" t="str">
        <f>IF(COUNTBLANK(AN185:AQ185)=4,"",SUM(AN185:AP185)+IF(Setup!$I$15="No",0,AQ185))</f>
        <v/>
      </c>
      <c r="AS185" s="192"/>
      <c r="AT185" s="192"/>
      <c r="AU185" s="192"/>
      <c r="AV185" s="192"/>
      <c r="AW185" s="255" t="str">
        <f>IF(COUNTBLANK(AS185:AV185)=4,"",SUM(AS185:AU185)+IF(Setup!$I$15="No",0,AV185))</f>
        <v/>
      </c>
      <c r="AX185" s="192"/>
      <c r="AY185" s="192"/>
      <c r="AZ185" s="192"/>
      <c r="BA185" s="192"/>
      <c r="BB185" s="255" t="str">
        <f>IF(COUNTBLANK(AX185:BA185)=4,"",SUM(AX185:AZ185)+IF(Setup!$I$15="No",0,BA185))</f>
        <v/>
      </c>
      <c r="BC185" s="259" t="str">
        <f ca="1">IF('Demand background (hide)'!A176=Num_Modalities,"",SUM(Demand!I185))</f>
        <v/>
      </c>
      <c r="BD185" s="259" t="str">
        <f ca="1">IF(AND(A185&lt;=MaxRows,BE185&lt;&gt;"Yes"),'Demand background (hide)'!X176+IF(Setup!$I$15="Yes",'Demand background (hide)'!AJ176,0),"")</f>
        <v/>
      </c>
      <c r="BE185" s="209"/>
    </row>
    <row r="186" spans="1:57" x14ac:dyDescent="0.25">
      <c r="A186" t="str">
        <f t="shared" ca="1" si="8"/>
        <v/>
      </c>
      <c r="B186" s="264" t="str">
        <f t="shared" ca="1" si="9"/>
        <v xml:space="preserve"> </v>
      </c>
      <c r="C186" s="265" t="str">
        <f t="shared" ca="1" si="10"/>
        <v/>
      </c>
      <c r="D186" s="350" t="str">
        <f t="shared" ca="1" si="11"/>
        <v/>
      </c>
      <c r="E186" s="192"/>
      <c r="F186" s="192"/>
      <c r="G186" s="192"/>
      <c r="H186" s="192"/>
      <c r="I186" s="251" t="str">
        <f>IF(COUNTBLANK(E186:H186)=4,"",SUM(E186:G186)+IF(Setup!$I$15="No",0,H186))</f>
        <v/>
      </c>
      <c r="J186" s="192"/>
      <c r="K186" s="192"/>
      <c r="L186" s="192"/>
      <c r="M186" s="192"/>
      <c r="N186" s="255" t="str">
        <f>IF(COUNTBLANK(J186:M186)=4,"",SUM(J186:L186)+IF(Setup!$I$15="No",0,M186))</f>
        <v/>
      </c>
      <c r="O186" s="192"/>
      <c r="P186" s="192"/>
      <c r="Q186" s="192"/>
      <c r="R186" s="192"/>
      <c r="S186" s="255" t="str">
        <f>IF(COUNTBLANK(O186:R186)=4,"",SUM(O186:Q186)+IF(Setup!$I$15="No",0,R186))</f>
        <v/>
      </c>
      <c r="T186" s="192"/>
      <c r="U186" s="192"/>
      <c r="V186" s="192"/>
      <c r="W186" s="192"/>
      <c r="X186" s="255" t="str">
        <f>IF(COUNTBLANK(T186:W186)=4,"",SUM(T186:V186)+IF(Setup!$I$15="No",0,W186))</f>
        <v/>
      </c>
      <c r="Y186" s="192"/>
      <c r="Z186" s="192"/>
      <c r="AA186" s="192"/>
      <c r="AB186" s="192"/>
      <c r="AC186" s="255" t="str">
        <f>IF(COUNTBLANK(Y186:AB186)=4,"",SUM(Y186:AA186)+IF(Setup!$I$15="No",0,AB186))</f>
        <v/>
      </c>
      <c r="AD186" s="192"/>
      <c r="AE186" s="192"/>
      <c r="AF186" s="192"/>
      <c r="AG186" s="192"/>
      <c r="AH186" s="255" t="str">
        <f>IF(COUNTBLANK(AD186:AG186)=4,"",SUM(AD186:AF186)+IF(Setup!$I$15="No",0,AG186))</f>
        <v/>
      </c>
      <c r="AI186" s="192"/>
      <c r="AJ186" s="192"/>
      <c r="AK186" s="192"/>
      <c r="AL186" s="192"/>
      <c r="AM186" s="255" t="str">
        <f>IF(COUNTBLANK(AI186:AL186)=4,"",SUM(AI186:AK186)+IF(Setup!$I$15="No",0,AL186))</f>
        <v/>
      </c>
      <c r="AN186" s="192"/>
      <c r="AO186" s="192"/>
      <c r="AP186" s="192"/>
      <c r="AQ186" s="192"/>
      <c r="AR186" s="255" t="str">
        <f>IF(COUNTBLANK(AN186:AQ186)=4,"",SUM(AN186:AP186)+IF(Setup!$I$15="No",0,AQ186))</f>
        <v/>
      </c>
      <c r="AS186" s="192"/>
      <c r="AT186" s="192"/>
      <c r="AU186" s="192"/>
      <c r="AV186" s="192"/>
      <c r="AW186" s="255" t="str">
        <f>IF(COUNTBLANK(AS186:AV186)=4,"",SUM(AS186:AU186)+IF(Setup!$I$15="No",0,AV186))</f>
        <v/>
      </c>
      <c r="AX186" s="192"/>
      <c r="AY186" s="192"/>
      <c r="AZ186" s="192"/>
      <c r="BA186" s="192"/>
      <c r="BB186" s="255" t="str">
        <f>IF(COUNTBLANK(AX186:BA186)=4,"",SUM(AX186:AZ186)+IF(Setup!$I$15="No",0,BA186))</f>
        <v/>
      </c>
      <c r="BC186" s="259" t="str">
        <f ca="1">IF('Demand background (hide)'!A177=Num_Modalities,"",SUM(Demand!I186))</f>
        <v/>
      </c>
      <c r="BD186" s="259" t="str">
        <f ca="1">IF(AND(A186&lt;=MaxRows,BE186&lt;&gt;"Yes"),'Demand background (hide)'!X177+IF(Setup!$I$15="Yes",'Demand background (hide)'!AJ177,0),"")</f>
        <v/>
      </c>
      <c r="BE186" s="209"/>
    </row>
    <row r="187" spans="1:57" x14ac:dyDescent="0.25">
      <c r="A187" t="str">
        <f t="shared" ca="1" si="8"/>
        <v/>
      </c>
      <c r="B187" s="264" t="str">
        <f t="shared" ca="1" si="9"/>
        <v xml:space="preserve"> </v>
      </c>
      <c r="C187" s="265" t="str">
        <f t="shared" ca="1" si="10"/>
        <v/>
      </c>
      <c r="D187" s="350" t="str">
        <f t="shared" ca="1" si="11"/>
        <v/>
      </c>
      <c r="E187" s="192"/>
      <c r="F187" s="192"/>
      <c r="G187" s="192"/>
      <c r="H187" s="192"/>
      <c r="I187" s="251" t="str">
        <f>IF(COUNTBLANK(E187:H187)=4,"",SUM(E187:G187)+IF(Setup!$I$15="No",0,H187))</f>
        <v/>
      </c>
      <c r="J187" s="192"/>
      <c r="K187" s="192"/>
      <c r="L187" s="192"/>
      <c r="M187" s="192"/>
      <c r="N187" s="255" t="str">
        <f>IF(COUNTBLANK(J187:M187)=4,"",SUM(J187:L187)+IF(Setup!$I$15="No",0,M187))</f>
        <v/>
      </c>
      <c r="O187" s="192"/>
      <c r="P187" s="192"/>
      <c r="Q187" s="192"/>
      <c r="R187" s="192"/>
      <c r="S187" s="255" t="str">
        <f>IF(COUNTBLANK(O187:R187)=4,"",SUM(O187:Q187)+IF(Setup!$I$15="No",0,R187))</f>
        <v/>
      </c>
      <c r="T187" s="192"/>
      <c r="U187" s="192"/>
      <c r="V187" s="192"/>
      <c r="W187" s="192"/>
      <c r="X187" s="255" t="str">
        <f>IF(COUNTBLANK(T187:W187)=4,"",SUM(T187:V187)+IF(Setup!$I$15="No",0,W187))</f>
        <v/>
      </c>
      <c r="Y187" s="192"/>
      <c r="Z187" s="192"/>
      <c r="AA187" s="192"/>
      <c r="AB187" s="192"/>
      <c r="AC187" s="255" t="str">
        <f>IF(COUNTBLANK(Y187:AB187)=4,"",SUM(Y187:AA187)+IF(Setup!$I$15="No",0,AB187))</f>
        <v/>
      </c>
      <c r="AD187" s="192"/>
      <c r="AE187" s="192"/>
      <c r="AF187" s="192"/>
      <c r="AG187" s="192"/>
      <c r="AH187" s="255" t="str">
        <f>IF(COUNTBLANK(AD187:AG187)=4,"",SUM(AD187:AF187)+IF(Setup!$I$15="No",0,AG187))</f>
        <v/>
      </c>
      <c r="AI187" s="192"/>
      <c r="AJ187" s="192"/>
      <c r="AK187" s="192"/>
      <c r="AL187" s="192"/>
      <c r="AM187" s="255" t="str">
        <f>IF(COUNTBLANK(AI187:AL187)=4,"",SUM(AI187:AK187)+IF(Setup!$I$15="No",0,AL187))</f>
        <v/>
      </c>
      <c r="AN187" s="192"/>
      <c r="AO187" s="192"/>
      <c r="AP187" s="192"/>
      <c r="AQ187" s="192"/>
      <c r="AR187" s="255" t="str">
        <f>IF(COUNTBLANK(AN187:AQ187)=4,"",SUM(AN187:AP187)+IF(Setup!$I$15="No",0,AQ187))</f>
        <v/>
      </c>
      <c r="AS187" s="192"/>
      <c r="AT187" s="192"/>
      <c r="AU187" s="192"/>
      <c r="AV187" s="192"/>
      <c r="AW187" s="255" t="str">
        <f>IF(COUNTBLANK(AS187:AV187)=4,"",SUM(AS187:AU187)+IF(Setup!$I$15="No",0,AV187))</f>
        <v/>
      </c>
      <c r="AX187" s="192"/>
      <c r="AY187" s="192"/>
      <c r="AZ187" s="192"/>
      <c r="BA187" s="192"/>
      <c r="BB187" s="255" t="str">
        <f>IF(COUNTBLANK(AX187:BA187)=4,"",SUM(AX187:AZ187)+IF(Setup!$I$15="No",0,BA187))</f>
        <v/>
      </c>
      <c r="BC187" s="259" t="str">
        <f ca="1">IF('Demand background (hide)'!A178=Num_Modalities,"",SUM(Demand!I187))</f>
        <v/>
      </c>
      <c r="BD187" s="259" t="str">
        <f ca="1">IF(AND(A187&lt;=MaxRows,BE187&lt;&gt;"Yes"),'Demand background (hide)'!X178+IF(Setup!$I$15="Yes",'Demand background (hide)'!AJ178,0),"")</f>
        <v/>
      </c>
      <c r="BE187" s="209"/>
    </row>
    <row r="188" spans="1:57" x14ac:dyDescent="0.25">
      <c r="A188" t="str">
        <f t="shared" ca="1" si="8"/>
        <v/>
      </c>
      <c r="B188" s="264" t="str">
        <f t="shared" ca="1" si="9"/>
        <v xml:space="preserve"> </v>
      </c>
      <c r="C188" s="265" t="str">
        <f t="shared" ca="1" si="10"/>
        <v/>
      </c>
      <c r="D188" s="350" t="str">
        <f t="shared" ca="1" si="11"/>
        <v/>
      </c>
      <c r="E188" s="192"/>
      <c r="F188" s="192"/>
      <c r="G188" s="192"/>
      <c r="H188" s="192"/>
      <c r="I188" s="251" t="str">
        <f>IF(COUNTBLANK(E188:H188)=4,"",SUM(E188:G188)+IF(Setup!$I$15="No",0,H188))</f>
        <v/>
      </c>
      <c r="J188" s="192"/>
      <c r="K188" s="192"/>
      <c r="L188" s="192"/>
      <c r="M188" s="192"/>
      <c r="N188" s="255" t="str">
        <f>IF(COUNTBLANK(J188:M188)=4,"",SUM(J188:L188)+IF(Setup!$I$15="No",0,M188))</f>
        <v/>
      </c>
      <c r="O188" s="192"/>
      <c r="P188" s="192"/>
      <c r="Q188" s="192"/>
      <c r="R188" s="192"/>
      <c r="S188" s="255" t="str">
        <f>IF(COUNTBLANK(O188:R188)=4,"",SUM(O188:Q188)+IF(Setup!$I$15="No",0,R188))</f>
        <v/>
      </c>
      <c r="T188" s="192"/>
      <c r="U188" s="192"/>
      <c r="V188" s="192"/>
      <c r="W188" s="192"/>
      <c r="X188" s="255" t="str">
        <f>IF(COUNTBLANK(T188:W188)=4,"",SUM(T188:V188)+IF(Setup!$I$15="No",0,W188))</f>
        <v/>
      </c>
      <c r="Y188" s="192"/>
      <c r="Z188" s="192"/>
      <c r="AA188" s="192"/>
      <c r="AB188" s="192"/>
      <c r="AC188" s="255" t="str">
        <f>IF(COUNTBLANK(Y188:AB188)=4,"",SUM(Y188:AA188)+IF(Setup!$I$15="No",0,AB188))</f>
        <v/>
      </c>
      <c r="AD188" s="192"/>
      <c r="AE188" s="192"/>
      <c r="AF188" s="192"/>
      <c r="AG188" s="192"/>
      <c r="AH188" s="255" t="str">
        <f>IF(COUNTBLANK(AD188:AG188)=4,"",SUM(AD188:AF188)+IF(Setup!$I$15="No",0,AG188))</f>
        <v/>
      </c>
      <c r="AI188" s="192"/>
      <c r="AJ188" s="192"/>
      <c r="AK188" s="192"/>
      <c r="AL188" s="192"/>
      <c r="AM188" s="255" t="str">
        <f>IF(COUNTBLANK(AI188:AL188)=4,"",SUM(AI188:AK188)+IF(Setup!$I$15="No",0,AL188))</f>
        <v/>
      </c>
      <c r="AN188" s="192"/>
      <c r="AO188" s="192"/>
      <c r="AP188" s="192"/>
      <c r="AQ188" s="192"/>
      <c r="AR188" s="255" t="str">
        <f>IF(COUNTBLANK(AN188:AQ188)=4,"",SUM(AN188:AP188)+IF(Setup!$I$15="No",0,AQ188))</f>
        <v/>
      </c>
      <c r="AS188" s="192"/>
      <c r="AT188" s="192"/>
      <c r="AU188" s="192"/>
      <c r="AV188" s="192"/>
      <c r="AW188" s="255" t="str">
        <f>IF(COUNTBLANK(AS188:AV188)=4,"",SUM(AS188:AU188)+IF(Setup!$I$15="No",0,AV188))</f>
        <v/>
      </c>
      <c r="AX188" s="192"/>
      <c r="AY188" s="192"/>
      <c r="AZ188" s="192"/>
      <c r="BA188" s="192"/>
      <c r="BB188" s="255" t="str">
        <f>IF(COUNTBLANK(AX188:BA188)=4,"",SUM(AX188:AZ188)+IF(Setup!$I$15="No",0,BA188))</f>
        <v/>
      </c>
      <c r="BC188" s="259" t="str">
        <f ca="1">IF('Demand background (hide)'!A179=Num_Modalities,"",SUM(Demand!I188))</f>
        <v/>
      </c>
      <c r="BD188" s="259" t="str">
        <f ca="1">IF(AND(A188&lt;=MaxRows,BE188&lt;&gt;"Yes"),'Demand background (hide)'!X179+IF(Setup!$I$15="Yes",'Demand background (hide)'!AJ179,0),"")</f>
        <v/>
      </c>
      <c r="BE188" s="209"/>
    </row>
    <row r="189" spans="1:57" x14ac:dyDescent="0.25">
      <c r="A189" t="str">
        <f t="shared" ca="1" si="8"/>
        <v/>
      </c>
      <c r="B189" s="264" t="str">
        <f t="shared" ca="1" si="9"/>
        <v xml:space="preserve"> </v>
      </c>
      <c r="C189" s="265" t="str">
        <f t="shared" ca="1" si="10"/>
        <v/>
      </c>
      <c r="D189" s="350" t="str">
        <f t="shared" ca="1" si="11"/>
        <v/>
      </c>
      <c r="E189" s="192"/>
      <c r="F189" s="192"/>
      <c r="G189" s="192"/>
      <c r="H189" s="192"/>
      <c r="I189" s="251" t="str">
        <f>IF(COUNTBLANK(E189:H189)=4,"",SUM(E189:G189)+IF(Setup!$I$15="No",0,H189))</f>
        <v/>
      </c>
      <c r="J189" s="192"/>
      <c r="K189" s="192"/>
      <c r="L189" s="192"/>
      <c r="M189" s="192"/>
      <c r="N189" s="255" t="str">
        <f>IF(COUNTBLANK(J189:M189)=4,"",SUM(J189:L189)+IF(Setup!$I$15="No",0,M189))</f>
        <v/>
      </c>
      <c r="O189" s="192"/>
      <c r="P189" s="192"/>
      <c r="Q189" s="192"/>
      <c r="R189" s="192"/>
      <c r="S189" s="255" t="str">
        <f>IF(COUNTBLANK(O189:R189)=4,"",SUM(O189:Q189)+IF(Setup!$I$15="No",0,R189))</f>
        <v/>
      </c>
      <c r="T189" s="192"/>
      <c r="U189" s="192"/>
      <c r="V189" s="192"/>
      <c r="W189" s="192"/>
      <c r="X189" s="255" t="str">
        <f>IF(COUNTBLANK(T189:W189)=4,"",SUM(T189:V189)+IF(Setup!$I$15="No",0,W189))</f>
        <v/>
      </c>
      <c r="Y189" s="192"/>
      <c r="Z189" s="192"/>
      <c r="AA189" s="192"/>
      <c r="AB189" s="192"/>
      <c r="AC189" s="255" t="str">
        <f>IF(COUNTBLANK(Y189:AB189)=4,"",SUM(Y189:AA189)+IF(Setup!$I$15="No",0,AB189))</f>
        <v/>
      </c>
      <c r="AD189" s="192"/>
      <c r="AE189" s="192"/>
      <c r="AF189" s="192"/>
      <c r="AG189" s="192"/>
      <c r="AH189" s="255" t="str">
        <f>IF(COUNTBLANK(AD189:AG189)=4,"",SUM(AD189:AF189)+IF(Setup!$I$15="No",0,AG189))</f>
        <v/>
      </c>
      <c r="AI189" s="192"/>
      <c r="AJ189" s="192"/>
      <c r="AK189" s="192"/>
      <c r="AL189" s="192"/>
      <c r="AM189" s="255" t="str">
        <f>IF(COUNTBLANK(AI189:AL189)=4,"",SUM(AI189:AK189)+IF(Setup!$I$15="No",0,AL189))</f>
        <v/>
      </c>
      <c r="AN189" s="192"/>
      <c r="AO189" s="192"/>
      <c r="AP189" s="192"/>
      <c r="AQ189" s="192"/>
      <c r="AR189" s="255" t="str">
        <f>IF(COUNTBLANK(AN189:AQ189)=4,"",SUM(AN189:AP189)+IF(Setup!$I$15="No",0,AQ189))</f>
        <v/>
      </c>
      <c r="AS189" s="192"/>
      <c r="AT189" s="192"/>
      <c r="AU189" s="192"/>
      <c r="AV189" s="192"/>
      <c r="AW189" s="255" t="str">
        <f>IF(COUNTBLANK(AS189:AV189)=4,"",SUM(AS189:AU189)+IF(Setup!$I$15="No",0,AV189))</f>
        <v/>
      </c>
      <c r="AX189" s="192"/>
      <c r="AY189" s="192"/>
      <c r="AZ189" s="192"/>
      <c r="BA189" s="192"/>
      <c r="BB189" s="255" t="str">
        <f>IF(COUNTBLANK(AX189:BA189)=4,"",SUM(AX189:AZ189)+IF(Setup!$I$15="No",0,BA189))</f>
        <v/>
      </c>
      <c r="BC189" s="259" t="str">
        <f ca="1">IF('Demand background (hide)'!A180=Num_Modalities,"",SUM(Demand!I189))</f>
        <v/>
      </c>
      <c r="BD189" s="259" t="str">
        <f ca="1">IF(AND(A189&lt;=MaxRows,BE189&lt;&gt;"Yes"),'Demand background (hide)'!X180+IF(Setup!$I$15="Yes",'Demand background (hide)'!AJ180,0),"")</f>
        <v/>
      </c>
      <c r="BE189" s="209"/>
    </row>
    <row r="190" spans="1:57" x14ac:dyDescent="0.25">
      <c r="A190" t="str">
        <f t="shared" ca="1" si="8"/>
        <v/>
      </c>
      <c r="B190" s="264" t="str">
        <f t="shared" ca="1" si="9"/>
        <v xml:space="preserve"> </v>
      </c>
      <c r="C190" s="265" t="str">
        <f t="shared" ca="1" si="10"/>
        <v/>
      </c>
      <c r="D190" s="350" t="str">
        <f t="shared" ca="1" si="11"/>
        <v/>
      </c>
      <c r="E190" s="192"/>
      <c r="F190" s="192"/>
      <c r="G190" s="192"/>
      <c r="H190" s="192"/>
      <c r="I190" s="251" t="str">
        <f>IF(COUNTBLANK(E190:H190)=4,"",SUM(E190:G190)+IF(Setup!$I$15="No",0,H190))</f>
        <v/>
      </c>
      <c r="J190" s="192"/>
      <c r="K190" s="192"/>
      <c r="L190" s="192"/>
      <c r="M190" s="192"/>
      <c r="N190" s="255" t="str">
        <f>IF(COUNTBLANK(J190:M190)=4,"",SUM(J190:L190)+IF(Setup!$I$15="No",0,M190))</f>
        <v/>
      </c>
      <c r="O190" s="192"/>
      <c r="P190" s="192"/>
      <c r="Q190" s="192"/>
      <c r="R190" s="192"/>
      <c r="S190" s="255" t="str">
        <f>IF(COUNTBLANK(O190:R190)=4,"",SUM(O190:Q190)+IF(Setup!$I$15="No",0,R190))</f>
        <v/>
      </c>
      <c r="T190" s="192"/>
      <c r="U190" s="192"/>
      <c r="V190" s="192"/>
      <c r="W190" s="192"/>
      <c r="X190" s="255" t="str">
        <f>IF(COUNTBLANK(T190:W190)=4,"",SUM(T190:V190)+IF(Setup!$I$15="No",0,W190))</f>
        <v/>
      </c>
      <c r="Y190" s="192"/>
      <c r="Z190" s="192"/>
      <c r="AA190" s="192"/>
      <c r="AB190" s="192"/>
      <c r="AC190" s="255" t="str">
        <f>IF(COUNTBLANK(Y190:AB190)=4,"",SUM(Y190:AA190)+IF(Setup!$I$15="No",0,AB190))</f>
        <v/>
      </c>
      <c r="AD190" s="192"/>
      <c r="AE190" s="192"/>
      <c r="AF190" s="192"/>
      <c r="AG190" s="192"/>
      <c r="AH190" s="255" t="str">
        <f>IF(COUNTBLANK(AD190:AG190)=4,"",SUM(AD190:AF190)+IF(Setup!$I$15="No",0,AG190))</f>
        <v/>
      </c>
      <c r="AI190" s="192"/>
      <c r="AJ190" s="192"/>
      <c r="AK190" s="192"/>
      <c r="AL190" s="192"/>
      <c r="AM190" s="255" t="str">
        <f>IF(COUNTBLANK(AI190:AL190)=4,"",SUM(AI190:AK190)+IF(Setup!$I$15="No",0,AL190))</f>
        <v/>
      </c>
      <c r="AN190" s="192"/>
      <c r="AO190" s="192"/>
      <c r="AP190" s="192"/>
      <c r="AQ190" s="192"/>
      <c r="AR190" s="255" t="str">
        <f>IF(COUNTBLANK(AN190:AQ190)=4,"",SUM(AN190:AP190)+IF(Setup!$I$15="No",0,AQ190))</f>
        <v/>
      </c>
      <c r="AS190" s="192"/>
      <c r="AT190" s="192"/>
      <c r="AU190" s="192"/>
      <c r="AV190" s="192"/>
      <c r="AW190" s="255" t="str">
        <f>IF(COUNTBLANK(AS190:AV190)=4,"",SUM(AS190:AU190)+IF(Setup!$I$15="No",0,AV190))</f>
        <v/>
      </c>
      <c r="AX190" s="192"/>
      <c r="AY190" s="192"/>
      <c r="AZ190" s="192"/>
      <c r="BA190" s="192"/>
      <c r="BB190" s="255" t="str">
        <f>IF(COUNTBLANK(AX190:BA190)=4,"",SUM(AX190:AZ190)+IF(Setup!$I$15="No",0,BA190))</f>
        <v/>
      </c>
      <c r="BC190" s="259" t="str">
        <f ca="1">IF('Demand background (hide)'!A181=Num_Modalities,"",SUM(Demand!I190))</f>
        <v/>
      </c>
      <c r="BD190" s="259" t="str">
        <f ca="1">IF(AND(A190&lt;=MaxRows,BE190&lt;&gt;"Yes"),'Demand background (hide)'!X181+IF(Setup!$I$15="Yes",'Demand background (hide)'!AJ181,0),"")</f>
        <v/>
      </c>
      <c r="BE190" s="209"/>
    </row>
    <row r="191" spans="1:57" x14ac:dyDescent="0.25">
      <c r="A191" t="str">
        <f t="shared" ca="1" si="8"/>
        <v/>
      </c>
      <c r="B191" s="264" t="str">
        <f t="shared" ca="1" si="9"/>
        <v xml:space="preserve"> </v>
      </c>
      <c r="C191" s="265" t="str">
        <f t="shared" ca="1" si="10"/>
        <v/>
      </c>
      <c r="D191" s="350" t="str">
        <f t="shared" ca="1" si="11"/>
        <v/>
      </c>
      <c r="E191" s="192"/>
      <c r="F191" s="192"/>
      <c r="G191" s="192"/>
      <c r="H191" s="192"/>
      <c r="I191" s="251" t="str">
        <f>IF(COUNTBLANK(E191:H191)=4,"",SUM(E191:G191)+IF(Setup!$I$15="No",0,H191))</f>
        <v/>
      </c>
      <c r="J191" s="192"/>
      <c r="K191" s="192"/>
      <c r="L191" s="192"/>
      <c r="M191" s="192"/>
      <c r="N191" s="255" t="str">
        <f>IF(COUNTBLANK(J191:M191)=4,"",SUM(J191:L191)+IF(Setup!$I$15="No",0,M191))</f>
        <v/>
      </c>
      <c r="O191" s="192"/>
      <c r="P191" s="192"/>
      <c r="Q191" s="192"/>
      <c r="R191" s="192"/>
      <c r="S191" s="255" t="str">
        <f>IF(COUNTBLANK(O191:R191)=4,"",SUM(O191:Q191)+IF(Setup!$I$15="No",0,R191))</f>
        <v/>
      </c>
      <c r="T191" s="192"/>
      <c r="U191" s="192"/>
      <c r="V191" s="192"/>
      <c r="W191" s="192"/>
      <c r="X191" s="255" t="str">
        <f>IF(COUNTBLANK(T191:W191)=4,"",SUM(T191:V191)+IF(Setup!$I$15="No",0,W191))</f>
        <v/>
      </c>
      <c r="Y191" s="192"/>
      <c r="Z191" s="192"/>
      <c r="AA191" s="192"/>
      <c r="AB191" s="192"/>
      <c r="AC191" s="255" t="str">
        <f>IF(COUNTBLANK(Y191:AB191)=4,"",SUM(Y191:AA191)+IF(Setup!$I$15="No",0,AB191))</f>
        <v/>
      </c>
      <c r="AD191" s="192"/>
      <c r="AE191" s="192"/>
      <c r="AF191" s="192"/>
      <c r="AG191" s="192"/>
      <c r="AH191" s="255" t="str">
        <f>IF(COUNTBLANK(AD191:AG191)=4,"",SUM(AD191:AF191)+IF(Setup!$I$15="No",0,AG191))</f>
        <v/>
      </c>
      <c r="AI191" s="192"/>
      <c r="AJ191" s="192"/>
      <c r="AK191" s="192"/>
      <c r="AL191" s="192"/>
      <c r="AM191" s="255" t="str">
        <f>IF(COUNTBLANK(AI191:AL191)=4,"",SUM(AI191:AK191)+IF(Setup!$I$15="No",0,AL191))</f>
        <v/>
      </c>
      <c r="AN191" s="192"/>
      <c r="AO191" s="192"/>
      <c r="AP191" s="192"/>
      <c r="AQ191" s="192"/>
      <c r="AR191" s="255" t="str">
        <f>IF(COUNTBLANK(AN191:AQ191)=4,"",SUM(AN191:AP191)+IF(Setup!$I$15="No",0,AQ191))</f>
        <v/>
      </c>
      <c r="AS191" s="192"/>
      <c r="AT191" s="192"/>
      <c r="AU191" s="192"/>
      <c r="AV191" s="192"/>
      <c r="AW191" s="255" t="str">
        <f>IF(COUNTBLANK(AS191:AV191)=4,"",SUM(AS191:AU191)+IF(Setup!$I$15="No",0,AV191))</f>
        <v/>
      </c>
      <c r="AX191" s="192"/>
      <c r="AY191" s="192"/>
      <c r="AZ191" s="192"/>
      <c r="BA191" s="192"/>
      <c r="BB191" s="255" t="str">
        <f>IF(COUNTBLANK(AX191:BA191)=4,"",SUM(AX191:AZ191)+IF(Setup!$I$15="No",0,BA191))</f>
        <v/>
      </c>
      <c r="BC191" s="259" t="str">
        <f ca="1">IF('Demand background (hide)'!A182=Num_Modalities,"",SUM(Demand!I191))</f>
        <v/>
      </c>
      <c r="BD191" s="259" t="str">
        <f ca="1">IF(AND(A191&lt;=MaxRows,BE191&lt;&gt;"Yes"),'Demand background (hide)'!X182+IF(Setup!$I$15="Yes",'Demand background (hide)'!AJ182,0),"")</f>
        <v/>
      </c>
      <c r="BE191" s="209"/>
    </row>
    <row r="192" spans="1:57" x14ac:dyDescent="0.25">
      <c r="A192" t="str">
        <f t="shared" ca="1" si="8"/>
        <v/>
      </c>
      <c r="B192" s="264" t="str">
        <f t="shared" ca="1" si="9"/>
        <v xml:space="preserve"> </v>
      </c>
      <c r="C192" s="265" t="str">
        <f t="shared" ca="1" si="10"/>
        <v/>
      </c>
      <c r="D192" s="350" t="str">
        <f t="shared" ca="1" si="11"/>
        <v/>
      </c>
      <c r="E192" s="192"/>
      <c r="F192" s="192"/>
      <c r="G192" s="192"/>
      <c r="H192" s="192"/>
      <c r="I192" s="251" t="str">
        <f>IF(COUNTBLANK(E192:H192)=4,"",SUM(E192:G192)+IF(Setup!$I$15="No",0,H192))</f>
        <v/>
      </c>
      <c r="J192" s="192"/>
      <c r="K192" s="192"/>
      <c r="L192" s="192"/>
      <c r="M192" s="192"/>
      <c r="N192" s="255" t="str">
        <f>IF(COUNTBLANK(J192:M192)=4,"",SUM(J192:L192)+IF(Setup!$I$15="No",0,M192))</f>
        <v/>
      </c>
      <c r="O192" s="192"/>
      <c r="P192" s="192"/>
      <c r="Q192" s="192"/>
      <c r="R192" s="192"/>
      <c r="S192" s="255" t="str">
        <f>IF(COUNTBLANK(O192:R192)=4,"",SUM(O192:Q192)+IF(Setup!$I$15="No",0,R192))</f>
        <v/>
      </c>
      <c r="T192" s="192"/>
      <c r="U192" s="192"/>
      <c r="V192" s="192"/>
      <c r="W192" s="192"/>
      <c r="X192" s="255" t="str">
        <f>IF(COUNTBLANK(T192:W192)=4,"",SUM(T192:V192)+IF(Setup!$I$15="No",0,W192))</f>
        <v/>
      </c>
      <c r="Y192" s="192"/>
      <c r="Z192" s="192"/>
      <c r="AA192" s="192"/>
      <c r="AB192" s="192"/>
      <c r="AC192" s="255" t="str">
        <f>IF(COUNTBLANK(Y192:AB192)=4,"",SUM(Y192:AA192)+IF(Setup!$I$15="No",0,AB192))</f>
        <v/>
      </c>
      <c r="AD192" s="192"/>
      <c r="AE192" s="192"/>
      <c r="AF192" s="192"/>
      <c r="AG192" s="192"/>
      <c r="AH192" s="255" t="str">
        <f>IF(COUNTBLANK(AD192:AG192)=4,"",SUM(AD192:AF192)+IF(Setup!$I$15="No",0,AG192))</f>
        <v/>
      </c>
      <c r="AI192" s="192"/>
      <c r="AJ192" s="192"/>
      <c r="AK192" s="192"/>
      <c r="AL192" s="192"/>
      <c r="AM192" s="255" t="str">
        <f>IF(COUNTBLANK(AI192:AL192)=4,"",SUM(AI192:AK192)+IF(Setup!$I$15="No",0,AL192))</f>
        <v/>
      </c>
      <c r="AN192" s="192"/>
      <c r="AO192" s="192"/>
      <c r="AP192" s="192"/>
      <c r="AQ192" s="192"/>
      <c r="AR192" s="255" t="str">
        <f>IF(COUNTBLANK(AN192:AQ192)=4,"",SUM(AN192:AP192)+IF(Setup!$I$15="No",0,AQ192))</f>
        <v/>
      </c>
      <c r="AS192" s="192"/>
      <c r="AT192" s="192"/>
      <c r="AU192" s="192"/>
      <c r="AV192" s="192"/>
      <c r="AW192" s="255" t="str">
        <f>IF(COUNTBLANK(AS192:AV192)=4,"",SUM(AS192:AU192)+IF(Setup!$I$15="No",0,AV192))</f>
        <v/>
      </c>
      <c r="AX192" s="192"/>
      <c r="AY192" s="192"/>
      <c r="AZ192" s="192"/>
      <c r="BA192" s="192"/>
      <c r="BB192" s="255" t="str">
        <f>IF(COUNTBLANK(AX192:BA192)=4,"",SUM(AX192:AZ192)+IF(Setup!$I$15="No",0,BA192))</f>
        <v/>
      </c>
      <c r="BC192" s="259" t="str">
        <f ca="1">IF('Demand background (hide)'!A183=Num_Modalities,"",SUM(Demand!I192))</f>
        <v/>
      </c>
      <c r="BD192" s="259" t="str">
        <f ca="1">IF(AND(A192&lt;=MaxRows,BE192&lt;&gt;"Yes"),'Demand background (hide)'!X183+IF(Setup!$I$15="Yes",'Demand background (hide)'!AJ183,0),"")</f>
        <v/>
      </c>
      <c r="BE192" s="209"/>
    </row>
    <row r="193" spans="1:57" x14ac:dyDescent="0.25">
      <c r="A193" t="str">
        <f t="shared" ca="1" si="8"/>
        <v/>
      </c>
      <c r="B193" s="264" t="str">
        <f t="shared" ca="1" si="9"/>
        <v xml:space="preserve"> </v>
      </c>
      <c r="C193" s="265" t="str">
        <f t="shared" ca="1" si="10"/>
        <v/>
      </c>
      <c r="D193" s="350" t="str">
        <f t="shared" ca="1" si="11"/>
        <v/>
      </c>
      <c r="E193" s="192"/>
      <c r="F193" s="192"/>
      <c r="G193" s="192"/>
      <c r="H193" s="192"/>
      <c r="I193" s="251" t="str">
        <f>IF(COUNTBLANK(E193:H193)=4,"",SUM(E193:G193)+IF(Setup!$I$15="No",0,H193))</f>
        <v/>
      </c>
      <c r="J193" s="192"/>
      <c r="K193" s="192"/>
      <c r="L193" s="192"/>
      <c r="M193" s="192"/>
      <c r="N193" s="255" t="str">
        <f>IF(COUNTBLANK(J193:M193)=4,"",SUM(J193:L193)+IF(Setup!$I$15="No",0,M193))</f>
        <v/>
      </c>
      <c r="O193" s="192"/>
      <c r="P193" s="192"/>
      <c r="Q193" s="192"/>
      <c r="R193" s="192"/>
      <c r="S193" s="255" t="str">
        <f>IF(COUNTBLANK(O193:R193)=4,"",SUM(O193:Q193)+IF(Setup!$I$15="No",0,R193))</f>
        <v/>
      </c>
      <c r="T193" s="192"/>
      <c r="U193" s="192"/>
      <c r="V193" s="192"/>
      <c r="W193" s="192"/>
      <c r="X193" s="255" t="str">
        <f>IF(COUNTBLANK(T193:W193)=4,"",SUM(T193:V193)+IF(Setup!$I$15="No",0,W193))</f>
        <v/>
      </c>
      <c r="Y193" s="192"/>
      <c r="Z193" s="192"/>
      <c r="AA193" s="192"/>
      <c r="AB193" s="192"/>
      <c r="AC193" s="255" t="str">
        <f>IF(COUNTBLANK(Y193:AB193)=4,"",SUM(Y193:AA193)+IF(Setup!$I$15="No",0,AB193))</f>
        <v/>
      </c>
      <c r="AD193" s="192"/>
      <c r="AE193" s="192"/>
      <c r="AF193" s="192"/>
      <c r="AG193" s="192"/>
      <c r="AH193" s="255" t="str">
        <f>IF(COUNTBLANK(AD193:AG193)=4,"",SUM(AD193:AF193)+IF(Setup!$I$15="No",0,AG193))</f>
        <v/>
      </c>
      <c r="AI193" s="192"/>
      <c r="AJ193" s="192"/>
      <c r="AK193" s="192"/>
      <c r="AL193" s="192"/>
      <c r="AM193" s="255" t="str">
        <f>IF(COUNTBLANK(AI193:AL193)=4,"",SUM(AI193:AK193)+IF(Setup!$I$15="No",0,AL193))</f>
        <v/>
      </c>
      <c r="AN193" s="192"/>
      <c r="AO193" s="192"/>
      <c r="AP193" s="192"/>
      <c r="AQ193" s="192"/>
      <c r="AR193" s="255" t="str">
        <f>IF(COUNTBLANK(AN193:AQ193)=4,"",SUM(AN193:AP193)+IF(Setup!$I$15="No",0,AQ193))</f>
        <v/>
      </c>
      <c r="AS193" s="192"/>
      <c r="AT193" s="192"/>
      <c r="AU193" s="192"/>
      <c r="AV193" s="192"/>
      <c r="AW193" s="255" t="str">
        <f>IF(COUNTBLANK(AS193:AV193)=4,"",SUM(AS193:AU193)+IF(Setup!$I$15="No",0,AV193))</f>
        <v/>
      </c>
      <c r="AX193" s="192"/>
      <c r="AY193" s="192"/>
      <c r="AZ193" s="192"/>
      <c r="BA193" s="192"/>
      <c r="BB193" s="255" t="str">
        <f>IF(COUNTBLANK(AX193:BA193)=4,"",SUM(AX193:AZ193)+IF(Setup!$I$15="No",0,BA193))</f>
        <v/>
      </c>
      <c r="BC193" s="259" t="str">
        <f ca="1">IF('Demand background (hide)'!A184=Num_Modalities,"",SUM(Demand!I193))</f>
        <v/>
      </c>
      <c r="BD193" s="259" t="str">
        <f ca="1">IF(AND(A193&lt;=MaxRows,BE193&lt;&gt;"Yes"),'Demand background (hide)'!X184+IF(Setup!$I$15="Yes",'Demand background (hide)'!AJ184,0),"")</f>
        <v/>
      </c>
      <c r="BE193" s="209"/>
    </row>
    <row r="194" spans="1:57" x14ac:dyDescent="0.25">
      <c r="A194" t="str">
        <f t="shared" ca="1" si="8"/>
        <v/>
      </c>
      <c r="B194" s="264" t="str">
        <f t="shared" ca="1" si="9"/>
        <v xml:space="preserve"> </v>
      </c>
      <c r="C194" s="265" t="str">
        <f t="shared" ca="1" si="10"/>
        <v/>
      </c>
      <c r="D194" s="350" t="str">
        <f t="shared" ca="1" si="11"/>
        <v/>
      </c>
      <c r="E194" s="192"/>
      <c r="F194" s="192"/>
      <c r="G194" s="192"/>
      <c r="H194" s="192"/>
      <c r="I194" s="251" t="str">
        <f>IF(COUNTBLANK(E194:H194)=4,"",SUM(E194:G194)+IF(Setup!$I$15="No",0,H194))</f>
        <v/>
      </c>
      <c r="J194" s="192"/>
      <c r="K194" s="192"/>
      <c r="L194" s="192"/>
      <c r="M194" s="192"/>
      <c r="N194" s="255" t="str">
        <f>IF(COUNTBLANK(J194:M194)=4,"",SUM(J194:L194)+IF(Setup!$I$15="No",0,M194))</f>
        <v/>
      </c>
      <c r="O194" s="192"/>
      <c r="P194" s="192"/>
      <c r="Q194" s="192"/>
      <c r="R194" s="192"/>
      <c r="S194" s="255" t="str">
        <f>IF(COUNTBLANK(O194:R194)=4,"",SUM(O194:Q194)+IF(Setup!$I$15="No",0,R194))</f>
        <v/>
      </c>
      <c r="T194" s="192"/>
      <c r="U194" s="192"/>
      <c r="V194" s="192"/>
      <c r="W194" s="192"/>
      <c r="X194" s="255" t="str">
        <f>IF(COUNTBLANK(T194:W194)=4,"",SUM(T194:V194)+IF(Setup!$I$15="No",0,W194))</f>
        <v/>
      </c>
      <c r="Y194" s="192"/>
      <c r="Z194" s="192"/>
      <c r="AA194" s="192"/>
      <c r="AB194" s="192"/>
      <c r="AC194" s="255" t="str">
        <f>IF(COUNTBLANK(Y194:AB194)=4,"",SUM(Y194:AA194)+IF(Setup!$I$15="No",0,AB194))</f>
        <v/>
      </c>
      <c r="AD194" s="192"/>
      <c r="AE194" s="192"/>
      <c r="AF194" s="192"/>
      <c r="AG194" s="192"/>
      <c r="AH194" s="255" t="str">
        <f>IF(COUNTBLANK(AD194:AG194)=4,"",SUM(AD194:AF194)+IF(Setup!$I$15="No",0,AG194))</f>
        <v/>
      </c>
      <c r="AI194" s="192"/>
      <c r="AJ194" s="192"/>
      <c r="AK194" s="192"/>
      <c r="AL194" s="192"/>
      <c r="AM194" s="255" t="str">
        <f>IF(COUNTBLANK(AI194:AL194)=4,"",SUM(AI194:AK194)+IF(Setup!$I$15="No",0,AL194))</f>
        <v/>
      </c>
      <c r="AN194" s="192"/>
      <c r="AO194" s="192"/>
      <c r="AP194" s="192"/>
      <c r="AQ194" s="192"/>
      <c r="AR194" s="255" t="str">
        <f>IF(COUNTBLANK(AN194:AQ194)=4,"",SUM(AN194:AP194)+IF(Setup!$I$15="No",0,AQ194))</f>
        <v/>
      </c>
      <c r="AS194" s="192"/>
      <c r="AT194" s="192"/>
      <c r="AU194" s="192"/>
      <c r="AV194" s="192"/>
      <c r="AW194" s="255" t="str">
        <f>IF(COUNTBLANK(AS194:AV194)=4,"",SUM(AS194:AU194)+IF(Setup!$I$15="No",0,AV194))</f>
        <v/>
      </c>
      <c r="AX194" s="192"/>
      <c r="AY194" s="192"/>
      <c r="AZ194" s="192"/>
      <c r="BA194" s="192"/>
      <c r="BB194" s="255" t="str">
        <f>IF(COUNTBLANK(AX194:BA194)=4,"",SUM(AX194:AZ194)+IF(Setup!$I$15="No",0,BA194))</f>
        <v/>
      </c>
      <c r="BC194" s="259" t="str">
        <f ca="1">IF('Demand background (hide)'!A185=Num_Modalities,"",SUM(Demand!I194))</f>
        <v/>
      </c>
      <c r="BD194" s="259" t="str">
        <f ca="1">IF(AND(A194&lt;=MaxRows,BE194&lt;&gt;"Yes"),'Demand background (hide)'!X185+IF(Setup!$I$15="Yes",'Demand background (hide)'!AJ185,0),"")</f>
        <v/>
      </c>
      <c r="BE194" s="209"/>
    </row>
    <row r="195" spans="1:57" x14ac:dyDescent="0.25">
      <c r="A195" t="str">
        <f t="shared" ca="1" si="8"/>
        <v/>
      </c>
      <c r="B195" s="264" t="str">
        <f t="shared" ca="1" si="9"/>
        <v xml:space="preserve"> </v>
      </c>
      <c r="C195" s="265" t="str">
        <f t="shared" ca="1" si="10"/>
        <v/>
      </c>
      <c r="D195" s="350" t="str">
        <f t="shared" ca="1" si="11"/>
        <v/>
      </c>
      <c r="E195" s="192"/>
      <c r="F195" s="192"/>
      <c r="G195" s="192"/>
      <c r="H195" s="192"/>
      <c r="I195" s="251" t="str">
        <f>IF(COUNTBLANK(E195:H195)=4,"",SUM(E195:G195)+IF(Setup!$I$15="No",0,H195))</f>
        <v/>
      </c>
      <c r="J195" s="192"/>
      <c r="K195" s="192"/>
      <c r="L195" s="192"/>
      <c r="M195" s="192"/>
      <c r="N195" s="255" t="str">
        <f>IF(COUNTBLANK(J195:M195)=4,"",SUM(J195:L195)+IF(Setup!$I$15="No",0,M195))</f>
        <v/>
      </c>
      <c r="O195" s="192"/>
      <c r="P195" s="192"/>
      <c r="Q195" s="192"/>
      <c r="R195" s="192"/>
      <c r="S195" s="255" t="str">
        <f>IF(COUNTBLANK(O195:R195)=4,"",SUM(O195:Q195)+IF(Setup!$I$15="No",0,R195))</f>
        <v/>
      </c>
      <c r="T195" s="192"/>
      <c r="U195" s="192"/>
      <c r="V195" s="192"/>
      <c r="W195" s="192"/>
      <c r="X195" s="255" t="str">
        <f>IF(COUNTBLANK(T195:W195)=4,"",SUM(T195:V195)+IF(Setup!$I$15="No",0,W195))</f>
        <v/>
      </c>
      <c r="Y195" s="192"/>
      <c r="Z195" s="192"/>
      <c r="AA195" s="192"/>
      <c r="AB195" s="192"/>
      <c r="AC195" s="255" t="str">
        <f>IF(COUNTBLANK(Y195:AB195)=4,"",SUM(Y195:AA195)+IF(Setup!$I$15="No",0,AB195))</f>
        <v/>
      </c>
      <c r="AD195" s="192"/>
      <c r="AE195" s="192"/>
      <c r="AF195" s="192"/>
      <c r="AG195" s="192"/>
      <c r="AH195" s="255" t="str">
        <f>IF(COUNTBLANK(AD195:AG195)=4,"",SUM(AD195:AF195)+IF(Setup!$I$15="No",0,AG195))</f>
        <v/>
      </c>
      <c r="AI195" s="192"/>
      <c r="AJ195" s="192"/>
      <c r="AK195" s="192"/>
      <c r="AL195" s="192"/>
      <c r="AM195" s="255" t="str">
        <f>IF(COUNTBLANK(AI195:AL195)=4,"",SUM(AI195:AK195)+IF(Setup!$I$15="No",0,AL195))</f>
        <v/>
      </c>
      <c r="AN195" s="192"/>
      <c r="AO195" s="192"/>
      <c r="AP195" s="192"/>
      <c r="AQ195" s="192"/>
      <c r="AR195" s="255" t="str">
        <f>IF(COUNTBLANK(AN195:AQ195)=4,"",SUM(AN195:AP195)+IF(Setup!$I$15="No",0,AQ195))</f>
        <v/>
      </c>
      <c r="AS195" s="192"/>
      <c r="AT195" s="192"/>
      <c r="AU195" s="192"/>
      <c r="AV195" s="192"/>
      <c r="AW195" s="255" t="str">
        <f>IF(COUNTBLANK(AS195:AV195)=4,"",SUM(AS195:AU195)+IF(Setup!$I$15="No",0,AV195))</f>
        <v/>
      </c>
      <c r="AX195" s="192"/>
      <c r="AY195" s="192"/>
      <c r="AZ195" s="192"/>
      <c r="BA195" s="192"/>
      <c r="BB195" s="255" t="str">
        <f>IF(COUNTBLANK(AX195:BA195)=4,"",SUM(AX195:AZ195)+IF(Setup!$I$15="No",0,BA195))</f>
        <v/>
      </c>
      <c r="BC195" s="259" t="str">
        <f ca="1">IF('Demand background (hide)'!A186=Num_Modalities,"",SUM(Demand!I195))</f>
        <v/>
      </c>
      <c r="BD195" s="259" t="str">
        <f ca="1">IF(AND(A195&lt;=MaxRows,BE195&lt;&gt;"Yes"),'Demand background (hide)'!X186+IF(Setup!$I$15="Yes",'Demand background (hide)'!AJ186,0),"")</f>
        <v/>
      </c>
      <c r="BE195" s="209"/>
    </row>
    <row r="196" spans="1:57" x14ac:dyDescent="0.25">
      <c r="A196" t="str">
        <f t="shared" ca="1" si="8"/>
        <v/>
      </c>
      <c r="B196" s="264" t="str">
        <f t="shared" ca="1" si="9"/>
        <v xml:space="preserve"> </v>
      </c>
      <c r="C196" s="265" t="str">
        <f t="shared" ca="1" si="10"/>
        <v/>
      </c>
      <c r="D196" s="350" t="str">
        <f t="shared" ca="1" si="11"/>
        <v/>
      </c>
      <c r="E196" s="192"/>
      <c r="F196" s="192"/>
      <c r="G196" s="192"/>
      <c r="H196" s="192"/>
      <c r="I196" s="251" t="str">
        <f>IF(COUNTBLANK(E196:H196)=4,"",SUM(E196:G196)+IF(Setup!$I$15="No",0,H196))</f>
        <v/>
      </c>
      <c r="J196" s="192"/>
      <c r="K196" s="192"/>
      <c r="L196" s="192"/>
      <c r="M196" s="192"/>
      <c r="N196" s="255" t="str">
        <f>IF(COUNTBLANK(J196:M196)=4,"",SUM(J196:L196)+IF(Setup!$I$15="No",0,M196))</f>
        <v/>
      </c>
      <c r="O196" s="192"/>
      <c r="P196" s="192"/>
      <c r="Q196" s="192"/>
      <c r="R196" s="192"/>
      <c r="S196" s="255" t="str">
        <f>IF(COUNTBLANK(O196:R196)=4,"",SUM(O196:Q196)+IF(Setup!$I$15="No",0,R196))</f>
        <v/>
      </c>
      <c r="T196" s="192"/>
      <c r="U196" s="192"/>
      <c r="V196" s="192"/>
      <c r="W196" s="192"/>
      <c r="X196" s="255" t="str">
        <f>IF(COUNTBLANK(T196:W196)=4,"",SUM(T196:V196)+IF(Setup!$I$15="No",0,W196))</f>
        <v/>
      </c>
      <c r="Y196" s="192"/>
      <c r="Z196" s="192"/>
      <c r="AA196" s="192"/>
      <c r="AB196" s="192"/>
      <c r="AC196" s="255" t="str">
        <f>IF(COUNTBLANK(Y196:AB196)=4,"",SUM(Y196:AA196)+IF(Setup!$I$15="No",0,AB196))</f>
        <v/>
      </c>
      <c r="AD196" s="192"/>
      <c r="AE196" s="192"/>
      <c r="AF196" s="192"/>
      <c r="AG196" s="192"/>
      <c r="AH196" s="255" t="str">
        <f>IF(COUNTBLANK(AD196:AG196)=4,"",SUM(AD196:AF196)+IF(Setup!$I$15="No",0,AG196))</f>
        <v/>
      </c>
      <c r="AI196" s="192"/>
      <c r="AJ196" s="192"/>
      <c r="AK196" s="192"/>
      <c r="AL196" s="192"/>
      <c r="AM196" s="255" t="str">
        <f>IF(COUNTBLANK(AI196:AL196)=4,"",SUM(AI196:AK196)+IF(Setup!$I$15="No",0,AL196))</f>
        <v/>
      </c>
      <c r="AN196" s="192"/>
      <c r="AO196" s="192"/>
      <c r="AP196" s="192"/>
      <c r="AQ196" s="192"/>
      <c r="AR196" s="255" t="str">
        <f>IF(COUNTBLANK(AN196:AQ196)=4,"",SUM(AN196:AP196)+IF(Setup!$I$15="No",0,AQ196))</f>
        <v/>
      </c>
      <c r="AS196" s="192"/>
      <c r="AT196" s="192"/>
      <c r="AU196" s="192"/>
      <c r="AV196" s="192"/>
      <c r="AW196" s="255" t="str">
        <f>IF(COUNTBLANK(AS196:AV196)=4,"",SUM(AS196:AU196)+IF(Setup!$I$15="No",0,AV196))</f>
        <v/>
      </c>
      <c r="AX196" s="192"/>
      <c r="AY196" s="192"/>
      <c r="AZ196" s="192"/>
      <c r="BA196" s="192"/>
      <c r="BB196" s="255" t="str">
        <f>IF(COUNTBLANK(AX196:BA196)=4,"",SUM(AX196:AZ196)+IF(Setup!$I$15="No",0,BA196))</f>
        <v/>
      </c>
      <c r="BC196" s="259" t="str">
        <f ca="1">IF('Demand background (hide)'!A187=Num_Modalities,"",SUM(Demand!I196))</f>
        <v/>
      </c>
      <c r="BD196" s="259" t="str">
        <f ca="1">IF(AND(A196&lt;=MaxRows,BE196&lt;&gt;"Yes"),'Demand background (hide)'!X187+IF(Setup!$I$15="Yes",'Demand background (hide)'!AJ187,0),"")</f>
        <v/>
      </c>
      <c r="BE196" s="209"/>
    </row>
    <row r="197" spans="1:57" x14ac:dyDescent="0.25">
      <c r="A197" t="str">
        <f t="shared" ca="1" si="8"/>
        <v/>
      </c>
      <c r="B197" s="264" t="str">
        <f t="shared" ca="1" si="9"/>
        <v xml:space="preserve"> </v>
      </c>
      <c r="C197" s="265" t="str">
        <f t="shared" ca="1" si="10"/>
        <v/>
      </c>
      <c r="D197" s="350" t="str">
        <f t="shared" ca="1" si="11"/>
        <v/>
      </c>
      <c r="E197" s="192"/>
      <c r="F197" s="192"/>
      <c r="G197" s="192"/>
      <c r="H197" s="192"/>
      <c r="I197" s="251" t="str">
        <f>IF(COUNTBLANK(E197:H197)=4,"",SUM(E197:G197)+IF(Setup!$I$15="No",0,H197))</f>
        <v/>
      </c>
      <c r="J197" s="192"/>
      <c r="K197" s="192"/>
      <c r="L197" s="192"/>
      <c r="M197" s="192"/>
      <c r="N197" s="255" t="str">
        <f>IF(COUNTBLANK(J197:M197)=4,"",SUM(J197:L197)+IF(Setup!$I$15="No",0,M197))</f>
        <v/>
      </c>
      <c r="O197" s="192"/>
      <c r="P197" s="192"/>
      <c r="Q197" s="192"/>
      <c r="R197" s="192"/>
      <c r="S197" s="255" t="str">
        <f>IF(COUNTBLANK(O197:R197)=4,"",SUM(O197:Q197)+IF(Setup!$I$15="No",0,R197))</f>
        <v/>
      </c>
      <c r="T197" s="192"/>
      <c r="U197" s="192"/>
      <c r="V197" s="192"/>
      <c r="W197" s="192"/>
      <c r="X197" s="255" t="str">
        <f>IF(COUNTBLANK(T197:W197)=4,"",SUM(T197:V197)+IF(Setup!$I$15="No",0,W197))</f>
        <v/>
      </c>
      <c r="Y197" s="192"/>
      <c r="Z197" s="192"/>
      <c r="AA197" s="192"/>
      <c r="AB197" s="192"/>
      <c r="AC197" s="255" t="str">
        <f>IF(COUNTBLANK(Y197:AB197)=4,"",SUM(Y197:AA197)+IF(Setup!$I$15="No",0,AB197))</f>
        <v/>
      </c>
      <c r="AD197" s="192"/>
      <c r="AE197" s="192"/>
      <c r="AF197" s="192"/>
      <c r="AG197" s="192"/>
      <c r="AH197" s="255" t="str">
        <f>IF(COUNTBLANK(AD197:AG197)=4,"",SUM(AD197:AF197)+IF(Setup!$I$15="No",0,AG197))</f>
        <v/>
      </c>
      <c r="AI197" s="192"/>
      <c r="AJ197" s="192"/>
      <c r="AK197" s="192"/>
      <c r="AL197" s="192"/>
      <c r="AM197" s="255" t="str">
        <f>IF(COUNTBLANK(AI197:AL197)=4,"",SUM(AI197:AK197)+IF(Setup!$I$15="No",0,AL197))</f>
        <v/>
      </c>
      <c r="AN197" s="192"/>
      <c r="AO197" s="192"/>
      <c r="AP197" s="192"/>
      <c r="AQ197" s="192"/>
      <c r="AR197" s="255" t="str">
        <f>IF(COUNTBLANK(AN197:AQ197)=4,"",SUM(AN197:AP197)+IF(Setup!$I$15="No",0,AQ197))</f>
        <v/>
      </c>
      <c r="AS197" s="192"/>
      <c r="AT197" s="192"/>
      <c r="AU197" s="192"/>
      <c r="AV197" s="192"/>
      <c r="AW197" s="255" t="str">
        <f>IF(COUNTBLANK(AS197:AV197)=4,"",SUM(AS197:AU197)+IF(Setup!$I$15="No",0,AV197))</f>
        <v/>
      </c>
      <c r="AX197" s="192"/>
      <c r="AY197" s="192"/>
      <c r="AZ197" s="192"/>
      <c r="BA197" s="192"/>
      <c r="BB197" s="255" t="str">
        <f>IF(COUNTBLANK(AX197:BA197)=4,"",SUM(AX197:AZ197)+IF(Setup!$I$15="No",0,BA197))</f>
        <v/>
      </c>
      <c r="BC197" s="259" t="str">
        <f ca="1">IF('Demand background (hide)'!A188=Num_Modalities,"",SUM(Demand!I197))</f>
        <v/>
      </c>
      <c r="BD197" s="259" t="str">
        <f ca="1">IF(AND(A197&lt;=MaxRows,BE197&lt;&gt;"Yes"),'Demand background (hide)'!X188+IF(Setup!$I$15="Yes",'Demand background (hide)'!AJ188,0),"")</f>
        <v/>
      </c>
      <c r="BE197" s="209"/>
    </row>
    <row r="198" spans="1:57" x14ac:dyDescent="0.25">
      <c r="A198" t="str">
        <f t="shared" ca="1" si="8"/>
        <v/>
      </c>
      <c r="B198" s="264" t="str">
        <f t="shared" ca="1" si="9"/>
        <v xml:space="preserve"> </v>
      </c>
      <c r="C198" s="265" t="str">
        <f t="shared" ca="1" si="10"/>
        <v/>
      </c>
      <c r="D198" s="350" t="str">
        <f t="shared" ca="1" si="11"/>
        <v/>
      </c>
      <c r="E198" s="192"/>
      <c r="F198" s="192"/>
      <c r="G198" s="192"/>
      <c r="H198" s="192"/>
      <c r="I198" s="251" t="str">
        <f>IF(COUNTBLANK(E198:H198)=4,"",SUM(E198:G198)+IF(Setup!$I$15="No",0,H198))</f>
        <v/>
      </c>
      <c r="J198" s="192"/>
      <c r="K198" s="192"/>
      <c r="L198" s="192"/>
      <c r="M198" s="192"/>
      <c r="N198" s="255" t="str">
        <f>IF(COUNTBLANK(J198:M198)=4,"",SUM(J198:L198)+IF(Setup!$I$15="No",0,M198))</f>
        <v/>
      </c>
      <c r="O198" s="192"/>
      <c r="P198" s="192"/>
      <c r="Q198" s="192"/>
      <c r="R198" s="192"/>
      <c r="S198" s="255" t="str">
        <f>IF(COUNTBLANK(O198:R198)=4,"",SUM(O198:Q198)+IF(Setup!$I$15="No",0,R198))</f>
        <v/>
      </c>
      <c r="T198" s="192"/>
      <c r="U198" s="192"/>
      <c r="V198" s="192"/>
      <c r="W198" s="192"/>
      <c r="X198" s="255" t="str">
        <f>IF(COUNTBLANK(T198:W198)=4,"",SUM(T198:V198)+IF(Setup!$I$15="No",0,W198))</f>
        <v/>
      </c>
      <c r="Y198" s="192"/>
      <c r="Z198" s="192"/>
      <c r="AA198" s="192"/>
      <c r="AB198" s="192"/>
      <c r="AC198" s="255" t="str">
        <f>IF(COUNTBLANK(Y198:AB198)=4,"",SUM(Y198:AA198)+IF(Setup!$I$15="No",0,AB198))</f>
        <v/>
      </c>
      <c r="AD198" s="192"/>
      <c r="AE198" s="192"/>
      <c r="AF198" s="192"/>
      <c r="AG198" s="192"/>
      <c r="AH198" s="255" t="str">
        <f>IF(COUNTBLANK(AD198:AG198)=4,"",SUM(AD198:AF198)+IF(Setup!$I$15="No",0,AG198))</f>
        <v/>
      </c>
      <c r="AI198" s="192"/>
      <c r="AJ198" s="192"/>
      <c r="AK198" s="192"/>
      <c r="AL198" s="192"/>
      <c r="AM198" s="255" t="str">
        <f>IF(COUNTBLANK(AI198:AL198)=4,"",SUM(AI198:AK198)+IF(Setup!$I$15="No",0,AL198))</f>
        <v/>
      </c>
      <c r="AN198" s="192"/>
      <c r="AO198" s="192"/>
      <c r="AP198" s="192"/>
      <c r="AQ198" s="192"/>
      <c r="AR198" s="255" t="str">
        <f>IF(COUNTBLANK(AN198:AQ198)=4,"",SUM(AN198:AP198)+IF(Setup!$I$15="No",0,AQ198))</f>
        <v/>
      </c>
      <c r="AS198" s="192"/>
      <c r="AT198" s="192"/>
      <c r="AU198" s="192"/>
      <c r="AV198" s="192"/>
      <c r="AW198" s="255" t="str">
        <f>IF(COUNTBLANK(AS198:AV198)=4,"",SUM(AS198:AU198)+IF(Setup!$I$15="No",0,AV198))</f>
        <v/>
      </c>
      <c r="AX198" s="192"/>
      <c r="AY198" s="192"/>
      <c r="AZ198" s="192"/>
      <c r="BA198" s="192"/>
      <c r="BB198" s="255" t="str">
        <f>IF(COUNTBLANK(AX198:BA198)=4,"",SUM(AX198:AZ198)+IF(Setup!$I$15="No",0,BA198))</f>
        <v/>
      </c>
      <c r="BC198" s="259" t="str">
        <f ca="1">IF('Demand background (hide)'!A189=Num_Modalities,"",SUM(Demand!I198))</f>
        <v/>
      </c>
      <c r="BD198" s="259" t="str">
        <f ca="1">IF(AND(A198&lt;=MaxRows,BE198&lt;&gt;"Yes"),'Demand background (hide)'!X189+IF(Setup!$I$15="Yes",'Demand background (hide)'!AJ189,0),"")</f>
        <v/>
      </c>
      <c r="BE198" s="209"/>
    </row>
    <row r="199" spans="1:57" x14ac:dyDescent="0.25">
      <c r="A199" t="str">
        <f t="shared" ca="1" si="8"/>
        <v/>
      </c>
      <c r="B199" s="264" t="str">
        <f t="shared" ca="1" si="9"/>
        <v xml:space="preserve"> </v>
      </c>
      <c r="C199" s="265" t="str">
        <f t="shared" ca="1" si="10"/>
        <v/>
      </c>
      <c r="D199" s="350" t="str">
        <f t="shared" ca="1" si="11"/>
        <v/>
      </c>
      <c r="E199" s="192"/>
      <c r="F199" s="192"/>
      <c r="G199" s="192"/>
      <c r="H199" s="192"/>
      <c r="I199" s="251" t="str">
        <f>IF(COUNTBLANK(E199:H199)=4,"",SUM(E199:G199)+IF(Setup!$I$15="No",0,H199))</f>
        <v/>
      </c>
      <c r="J199" s="192"/>
      <c r="K199" s="192"/>
      <c r="L199" s="192"/>
      <c r="M199" s="192"/>
      <c r="N199" s="255" t="str">
        <f>IF(COUNTBLANK(J199:M199)=4,"",SUM(J199:L199)+IF(Setup!$I$15="No",0,M199))</f>
        <v/>
      </c>
      <c r="O199" s="192"/>
      <c r="P199" s="192"/>
      <c r="Q199" s="192"/>
      <c r="R199" s="192"/>
      <c r="S199" s="255" t="str">
        <f>IF(COUNTBLANK(O199:R199)=4,"",SUM(O199:Q199)+IF(Setup!$I$15="No",0,R199))</f>
        <v/>
      </c>
      <c r="T199" s="192"/>
      <c r="U199" s="192"/>
      <c r="V199" s="192"/>
      <c r="W199" s="192"/>
      <c r="X199" s="255" t="str">
        <f>IF(COUNTBLANK(T199:W199)=4,"",SUM(T199:V199)+IF(Setup!$I$15="No",0,W199))</f>
        <v/>
      </c>
      <c r="Y199" s="192"/>
      <c r="Z199" s="192"/>
      <c r="AA199" s="192"/>
      <c r="AB199" s="192"/>
      <c r="AC199" s="255" t="str">
        <f>IF(COUNTBLANK(Y199:AB199)=4,"",SUM(Y199:AA199)+IF(Setup!$I$15="No",0,AB199))</f>
        <v/>
      </c>
      <c r="AD199" s="192"/>
      <c r="AE199" s="192"/>
      <c r="AF199" s="192"/>
      <c r="AG199" s="192"/>
      <c r="AH199" s="255" t="str">
        <f>IF(COUNTBLANK(AD199:AG199)=4,"",SUM(AD199:AF199)+IF(Setup!$I$15="No",0,AG199))</f>
        <v/>
      </c>
      <c r="AI199" s="192"/>
      <c r="AJ199" s="192"/>
      <c r="AK199" s="192"/>
      <c r="AL199" s="192"/>
      <c r="AM199" s="255" t="str">
        <f>IF(COUNTBLANK(AI199:AL199)=4,"",SUM(AI199:AK199)+IF(Setup!$I$15="No",0,AL199))</f>
        <v/>
      </c>
      <c r="AN199" s="192"/>
      <c r="AO199" s="192"/>
      <c r="AP199" s="192"/>
      <c r="AQ199" s="192"/>
      <c r="AR199" s="255" t="str">
        <f>IF(COUNTBLANK(AN199:AQ199)=4,"",SUM(AN199:AP199)+IF(Setup!$I$15="No",0,AQ199))</f>
        <v/>
      </c>
      <c r="AS199" s="192"/>
      <c r="AT199" s="192"/>
      <c r="AU199" s="192"/>
      <c r="AV199" s="192"/>
      <c r="AW199" s="255" t="str">
        <f>IF(COUNTBLANK(AS199:AV199)=4,"",SUM(AS199:AU199)+IF(Setup!$I$15="No",0,AV199))</f>
        <v/>
      </c>
      <c r="AX199" s="192"/>
      <c r="AY199" s="192"/>
      <c r="AZ199" s="192"/>
      <c r="BA199" s="192"/>
      <c r="BB199" s="255" t="str">
        <f>IF(COUNTBLANK(AX199:BA199)=4,"",SUM(AX199:AZ199)+IF(Setup!$I$15="No",0,BA199))</f>
        <v/>
      </c>
      <c r="BC199" s="259" t="str">
        <f ca="1">IF('Demand background (hide)'!A190=Num_Modalities,"",SUM(Demand!I199))</f>
        <v/>
      </c>
      <c r="BD199" s="259" t="str">
        <f ca="1">IF(AND(A199&lt;=MaxRows,BE199&lt;&gt;"Yes"),'Demand background (hide)'!X190+IF(Setup!$I$15="Yes",'Demand background (hide)'!AJ190,0),"")</f>
        <v/>
      </c>
      <c r="BE199" s="209"/>
    </row>
    <row r="200" spans="1:57" x14ac:dyDescent="0.25">
      <c r="A200" t="str">
        <f t="shared" ca="1" si="8"/>
        <v/>
      </c>
      <c r="B200" s="264" t="str">
        <f t="shared" ca="1" si="9"/>
        <v xml:space="preserve"> </v>
      </c>
      <c r="C200" s="265" t="str">
        <f t="shared" ca="1" si="10"/>
        <v/>
      </c>
      <c r="D200" s="350" t="str">
        <f t="shared" ca="1" si="11"/>
        <v/>
      </c>
      <c r="E200" s="192"/>
      <c r="F200" s="192"/>
      <c r="G200" s="192"/>
      <c r="H200" s="192"/>
      <c r="I200" s="251" t="str">
        <f>IF(COUNTBLANK(E200:H200)=4,"",SUM(E200:G200)+IF(Setup!$I$15="No",0,H200))</f>
        <v/>
      </c>
      <c r="J200" s="192"/>
      <c r="K200" s="192"/>
      <c r="L200" s="192"/>
      <c r="M200" s="192"/>
      <c r="N200" s="255" t="str">
        <f>IF(COUNTBLANK(J200:M200)=4,"",SUM(J200:L200)+IF(Setup!$I$15="No",0,M200))</f>
        <v/>
      </c>
      <c r="O200" s="192"/>
      <c r="P200" s="192"/>
      <c r="Q200" s="192"/>
      <c r="R200" s="192"/>
      <c r="S200" s="255" t="str">
        <f>IF(COUNTBLANK(O200:R200)=4,"",SUM(O200:Q200)+IF(Setup!$I$15="No",0,R200))</f>
        <v/>
      </c>
      <c r="T200" s="192"/>
      <c r="U200" s="192"/>
      <c r="V200" s="192"/>
      <c r="W200" s="192"/>
      <c r="X200" s="255" t="str">
        <f>IF(COUNTBLANK(T200:W200)=4,"",SUM(T200:V200)+IF(Setup!$I$15="No",0,W200))</f>
        <v/>
      </c>
      <c r="Y200" s="192"/>
      <c r="Z200" s="192"/>
      <c r="AA200" s="192"/>
      <c r="AB200" s="192"/>
      <c r="AC200" s="255" t="str">
        <f>IF(COUNTBLANK(Y200:AB200)=4,"",SUM(Y200:AA200)+IF(Setup!$I$15="No",0,AB200))</f>
        <v/>
      </c>
      <c r="AD200" s="192"/>
      <c r="AE200" s="192"/>
      <c r="AF200" s="192"/>
      <c r="AG200" s="192"/>
      <c r="AH200" s="255" t="str">
        <f>IF(COUNTBLANK(AD200:AG200)=4,"",SUM(AD200:AF200)+IF(Setup!$I$15="No",0,AG200))</f>
        <v/>
      </c>
      <c r="AI200" s="192"/>
      <c r="AJ200" s="192"/>
      <c r="AK200" s="192"/>
      <c r="AL200" s="192"/>
      <c r="AM200" s="255" t="str">
        <f>IF(COUNTBLANK(AI200:AL200)=4,"",SUM(AI200:AK200)+IF(Setup!$I$15="No",0,AL200))</f>
        <v/>
      </c>
      <c r="AN200" s="192"/>
      <c r="AO200" s="192"/>
      <c r="AP200" s="192"/>
      <c r="AQ200" s="192"/>
      <c r="AR200" s="255" t="str">
        <f>IF(COUNTBLANK(AN200:AQ200)=4,"",SUM(AN200:AP200)+IF(Setup!$I$15="No",0,AQ200))</f>
        <v/>
      </c>
      <c r="AS200" s="192"/>
      <c r="AT200" s="192"/>
      <c r="AU200" s="192"/>
      <c r="AV200" s="192"/>
      <c r="AW200" s="255" t="str">
        <f>IF(COUNTBLANK(AS200:AV200)=4,"",SUM(AS200:AU200)+IF(Setup!$I$15="No",0,AV200))</f>
        <v/>
      </c>
      <c r="AX200" s="192"/>
      <c r="AY200" s="192"/>
      <c r="AZ200" s="192"/>
      <c r="BA200" s="192"/>
      <c r="BB200" s="255" t="str">
        <f>IF(COUNTBLANK(AX200:BA200)=4,"",SUM(AX200:AZ200)+IF(Setup!$I$15="No",0,BA200))</f>
        <v/>
      </c>
      <c r="BC200" s="259" t="str">
        <f ca="1">IF('Demand background (hide)'!A191=Num_Modalities,"",SUM(Demand!I200))</f>
        <v/>
      </c>
      <c r="BD200" s="259" t="str">
        <f ca="1">IF(AND(A200&lt;=MaxRows,BE200&lt;&gt;"Yes"),'Demand background (hide)'!X191+IF(Setup!$I$15="Yes",'Demand background (hide)'!AJ191,0),"")</f>
        <v/>
      </c>
      <c r="BE200" s="209"/>
    </row>
    <row r="201" spans="1:57" x14ac:dyDescent="0.25">
      <c r="A201" t="str">
        <f t="shared" ca="1" si="8"/>
        <v/>
      </c>
      <c r="B201" s="264" t="str">
        <f t="shared" ca="1" si="9"/>
        <v xml:space="preserve"> </v>
      </c>
      <c r="C201" s="265" t="str">
        <f t="shared" ca="1" si="10"/>
        <v/>
      </c>
      <c r="D201" s="350" t="str">
        <f t="shared" ca="1" si="11"/>
        <v/>
      </c>
      <c r="E201" s="192"/>
      <c r="F201" s="192"/>
      <c r="G201" s="192"/>
      <c r="H201" s="192"/>
      <c r="I201" s="251" t="str">
        <f>IF(COUNTBLANK(E201:H201)=4,"",SUM(E201:G201)+IF(Setup!$I$15="No",0,H201))</f>
        <v/>
      </c>
      <c r="J201" s="192"/>
      <c r="K201" s="192"/>
      <c r="L201" s="192"/>
      <c r="M201" s="192"/>
      <c r="N201" s="255" t="str">
        <f>IF(COUNTBLANK(J201:M201)=4,"",SUM(J201:L201)+IF(Setup!$I$15="No",0,M201))</f>
        <v/>
      </c>
      <c r="O201" s="192"/>
      <c r="P201" s="192"/>
      <c r="Q201" s="192"/>
      <c r="R201" s="192"/>
      <c r="S201" s="255" t="str">
        <f>IF(COUNTBLANK(O201:R201)=4,"",SUM(O201:Q201)+IF(Setup!$I$15="No",0,R201))</f>
        <v/>
      </c>
      <c r="T201" s="192"/>
      <c r="U201" s="192"/>
      <c r="V201" s="192"/>
      <c r="W201" s="192"/>
      <c r="X201" s="255" t="str">
        <f>IF(COUNTBLANK(T201:W201)=4,"",SUM(T201:V201)+IF(Setup!$I$15="No",0,W201))</f>
        <v/>
      </c>
      <c r="Y201" s="192"/>
      <c r="Z201" s="192"/>
      <c r="AA201" s="192"/>
      <c r="AB201" s="192"/>
      <c r="AC201" s="255" t="str">
        <f>IF(COUNTBLANK(Y201:AB201)=4,"",SUM(Y201:AA201)+IF(Setup!$I$15="No",0,AB201))</f>
        <v/>
      </c>
      <c r="AD201" s="192"/>
      <c r="AE201" s="192"/>
      <c r="AF201" s="192"/>
      <c r="AG201" s="192"/>
      <c r="AH201" s="255" t="str">
        <f>IF(COUNTBLANK(AD201:AG201)=4,"",SUM(AD201:AF201)+IF(Setup!$I$15="No",0,AG201))</f>
        <v/>
      </c>
      <c r="AI201" s="192"/>
      <c r="AJ201" s="192"/>
      <c r="AK201" s="192"/>
      <c r="AL201" s="192"/>
      <c r="AM201" s="255" t="str">
        <f>IF(COUNTBLANK(AI201:AL201)=4,"",SUM(AI201:AK201)+IF(Setup!$I$15="No",0,AL201))</f>
        <v/>
      </c>
      <c r="AN201" s="192"/>
      <c r="AO201" s="192"/>
      <c r="AP201" s="192"/>
      <c r="AQ201" s="192"/>
      <c r="AR201" s="255" t="str">
        <f>IF(COUNTBLANK(AN201:AQ201)=4,"",SUM(AN201:AP201)+IF(Setup!$I$15="No",0,AQ201))</f>
        <v/>
      </c>
      <c r="AS201" s="192"/>
      <c r="AT201" s="192"/>
      <c r="AU201" s="192"/>
      <c r="AV201" s="192"/>
      <c r="AW201" s="255" t="str">
        <f>IF(COUNTBLANK(AS201:AV201)=4,"",SUM(AS201:AU201)+IF(Setup!$I$15="No",0,AV201))</f>
        <v/>
      </c>
      <c r="AX201" s="192"/>
      <c r="AY201" s="192"/>
      <c r="AZ201" s="192"/>
      <c r="BA201" s="192"/>
      <c r="BB201" s="255" t="str">
        <f>IF(COUNTBLANK(AX201:BA201)=4,"",SUM(AX201:AZ201)+IF(Setup!$I$15="No",0,BA201))</f>
        <v/>
      </c>
      <c r="BC201" s="259" t="str">
        <f ca="1">IF('Demand background (hide)'!A192=Num_Modalities,"",SUM(Demand!I201))</f>
        <v/>
      </c>
      <c r="BD201" s="259" t="str">
        <f ca="1">IF(AND(A201&lt;=MaxRows,BE201&lt;&gt;"Yes"),'Demand background (hide)'!X192+IF(Setup!$I$15="Yes",'Demand background (hide)'!AJ192,0),"")</f>
        <v/>
      </c>
      <c r="BE201" s="209"/>
    </row>
    <row r="202" spans="1:57" x14ac:dyDescent="0.25">
      <c r="A202" t="str">
        <f t="shared" ca="1" si="8"/>
        <v/>
      </c>
      <c r="B202" s="264" t="str">
        <f t="shared" ca="1" si="9"/>
        <v xml:space="preserve"> </v>
      </c>
      <c r="C202" s="265" t="str">
        <f t="shared" ca="1" si="10"/>
        <v/>
      </c>
      <c r="D202" s="350" t="str">
        <f t="shared" ca="1" si="11"/>
        <v/>
      </c>
      <c r="E202" s="192"/>
      <c r="F202" s="192"/>
      <c r="G202" s="192"/>
      <c r="H202" s="192"/>
      <c r="I202" s="251" t="str">
        <f>IF(COUNTBLANK(E202:H202)=4,"",SUM(E202:G202)+IF(Setup!$I$15="No",0,H202))</f>
        <v/>
      </c>
      <c r="J202" s="192"/>
      <c r="K202" s="192"/>
      <c r="L202" s="192"/>
      <c r="M202" s="192"/>
      <c r="N202" s="255" t="str">
        <f>IF(COUNTBLANK(J202:M202)=4,"",SUM(J202:L202)+IF(Setup!$I$15="No",0,M202))</f>
        <v/>
      </c>
      <c r="O202" s="192"/>
      <c r="P202" s="192"/>
      <c r="Q202" s="192"/>
      <c r="R202" s="192"/>
      <c r="S202" s="255" t="str">
        <f>IF(COUNTBLANK(O202:R202)=4,"",SUM(O202:Q202)+IF(Setup!$I$15="No",0,R202))</f>
        <v/>
      </c>
      <c r="T202" s="192"/>
      <c r="U202" s="192"/>
      <c r="V202" s="192"/>
      <c r="W202" s="192"/>
      <c r="X202" s="255" t="str">
        <f>IF(COUNTBLANK(T202:W202)=4,"",SUM(T202:V202)+IF(Setup!$I$15="No",0,W202))</f>
        <v/>
      </c>
      <c r="Y202" s="192"/>
      <c r="Z202" s="192"/>
      <c r="AA202" s="192"/>
      <c r="AB202" s="192"/>
      <c r="AC202" s="255" t="str">
        <f>IF(COUNTBLANK(Y202:AB202)=4,"",SUM(Y202:AA202)+IF(Setup!$I$15="No",0,AB202))</f>
        <v/>
      </c>
      <c r="AD202" s="192"/>
      <c r="AE202" s="192"/>
      <c r="AF202" s="192"/>
      <c r="AG202" s="192"/>
      <c r="AH202" s="255" t="str">
        <f>IF(COUNTBLANK(AD202:AG202)=4,"",SUM(AD202:AF202)+IF(Setup!$I$15="No",0,AG202))</f>
        <v/>
      </c>
      <c r="AI202" s="192"/>
      <c r="AJ202" s="192"/>
      <c r="AK202" s="192"/>
      <c r="AL202" s="192"/>
      <c r="AM202" s="255" t="str">
        <f>IF(COUNTBLANK(AI202:AL202)=4,"",SUM(AI202:AK202)+IF(Setup!$I$15="No",0,AL202))</f>
        <v/>
      </c>
      <c r="AN202" s="192"/>
      <c r="AO202" s="192"/>
      <c r="AP202" s="192"/>
      <c r="AQ202" s="192"/>
      <c r="AR202" s="255" t="str">
        <f>IF(COUNTBLANK(AN202:AQ202)=4,"",SUM(AN202:AP202)+IF(Setup!$I$15="No",0,AQ202))</f>
        <v/>
      </c>
      <c r="AS202" s="192"/>
      <c r="AT202" s="192"/>
      <c r="AU202" s="192"/>
      <c r="AV202" s="192"/>
      <c r="AW202" s="255" t="str">
        <f>IF(COUNTBLANK(AS202:AV202)=4,"",SUM(AS202:AU202)+IF(Setup!$I$15="No",0,AV202))</f>
        <v/>
      </c>
      <c r="AX202" s="192"/>
      <c r="AY202" s="192"/>
      <c r="AZ202" s="192"/>
      <c r="BA202" s="192"/>
      <c r="BB202" s="255" t="str">
        <f>IF(COUNTBLANK(AX202:BA202)=4,"",SUM(AX202:AZ202)+IF(Setup!$I$15="No",0,BA202))</f>
        <v/>
      </c>
      <c r="BC202" s="259" t="str">
        <f ca="1">IF('Demand background (hide)'!A193=Num_Modalities,"",SUM(Demand!I202))</f>
        <v/>
      </c>
      <c r="BD202" s="259" t="str">
        <f ca="1">IF(AND(A202&lt;=MaxRows,BE202&lt;&gt;"Yes"),'Demand background (hide)'!X193+IF(Setup!$I$15="Yes",'Demand background (hide)'!AJ193,0),"")</f>
        <v/>
      </c>
      <c r="BE202" s="209"/>
    </row>
    <row r="203" spans="1:57" x14ac:dyDescent="0.25">
      <c r="A203" t="str">
        <f t="shared" ca="1" si="8"/>
        <v/>
      </c>
      <c r="B203" s="264" t="str">
        <f t="shared" ca="1" si="9"/>
        <v xml:space="preserve"> </v>
      </c>
      <c r="C203" s="265" t="str">
        <f t="shared" ca="1" si="10"/>
        <v/>
      </c>
      <c r="D203" s="350" t="str">
        <f t="shared" ca="1" si="11"/>
        <v/>
      </c>
      <c r="E203" s="192"/>
      <c r="F203" s="192"/>
      <c r="G203" s="192"/>
      <c r="H203" s="192"/>
      <c r="I203" s="251" t="str">
        <f>IF(COUNTBLANK(E203:H203)=4,"",SUM(E203:G203)+IF(Setup!$I$15="No",0,H203))</f>
        <v/>
      </c>
      <c r="J203" s="192"/>
      <c r="K203" s="192"/>
      <c r="L203" s="192"/>
      <c r="M203" s="192"/>
      <c r="N203" s="255" t="str">
        <f>IF(COUNTBLANK(J203:M203)=4,"",SUM(J203:L203)+IF(Setup!$I$15="No",0,M203))</f>
        <v/>
      </c>
      <c r="O203" s="192"/>
      <c r="P203" s="192"/>
      <c r="Q203" s="192"/>
      <c r="R203" s="192"/>
      <c r="S203" s="255" t="str">
        <f>IF(COUNTBLANK(O203:R203)=4,"",SUM(O203:Q203)+IF(Setup!$I$15="No",0,R203))</f>
        <v/>
      </c>
      <c r="T203" s="192"/>
      <c r="U203" s="192"/>
      <c r="V203" s="192"/>
      <c r="W203" s="192"/>
      <c r="X203" s="255" t="str">
        <f>IF(COUNTBLANK(T203:W203)=4,"",SUM(T203:V203)+IF(Setup!$I$15="No",0,W203))</f>
        <v/>
      </c>
      <c r="Y203" s="192"/>
      <c r="Z203" s="192"/>
      <c r="AA203" s="192"/>
      <c r="AB203" s="192"/>
      <c r="AC203" s="255" t="str">
        <f>IF(COUNTBLANK(Y203:AB203)=4,"",SUM(Y203:AA203)+IF(Setup!$I$15="No",0,AB203))</f>
        <v/>
      </c>
      <c r="AD203" s="192"/>
      <c r="AE203" s="192"/>
      <c r="AF203" s="192"/>
      <c r="AG203" s="192"/>
      <c r="AH203" s="255" t="str">
        <f>IF(COUNTBLANK(AD203:AG203)=4,"",SUM(AD203:AF203)+IF(Setup!$I$15="No",0,AG203))</f>
        <v/>
      </c>
      <c r="AI203" s="192"/>
      <c r="AJ203" s="192"/>
      <c r="AK203" s="192"/>
      <c r="AL203" s="192"/>
      <c r="AM203" s="255" t="str">
        <f>IF(COUNTBLANK(AI203:AL203)=4,"",SUM(AI203:AK203)+IF(Setup!$I$15="No",0,AL203))</f>
        <v/>
      </c>
      <c r="AN203" s="192"/>
      <c r="AO203" s="192"/>
      <c r="AP203" s="192"/>
      <c r="AQ203" s="192"/>
      <c r="AR203" s="255" t="str">
        <f>IF(COUNTBLANK(AN203:AQ203)=4,"",SUM(AN203:AP203)+IF(Setup!$I$15="No",0,AQ203))</f>
        <v/>
      </c>
      <c r="AS203" s="192"/>
      <c r="AT203" s="192"/>
      <c r="AU203" s="192"/>
      <c r="AV203" s="192"/>
      <c r="AW203" s="255" t="str">
        <f>IF(COUNTBLANK(AS203:AV203)=4,"",SUM(AS203:AU203)+IF(Setup!$I$15="No",0,AV203))</f>
        <v/>
      </c>
      <c r="AX203" s="192"/>
      <c r="AY203" s="192"/>
      <c r="AZ203" s="192"/>
      <c r="BA203" s="192"/>
      <c r="BB203" s="255" t="str">
        <f>IF(COUNTBLANK(AX203:BA203)=4,"",SUM(AX203:AZ203)+IF(Setup!$I$15="No",0,BA203))</f>
        <v/>
      </c>
      <c r="BC203" s="259" t="str">
        <f ca="1">IF('Demand background (hide)'!A194=Num_Modalities,"",SUM(Demand!I203))</f>
        <v/>
      </c>
      <c r="BD203" s="259" t="str">
        <f ca="1">IF(AND(A203&lt;=MaxRows,BE203&lt;&gt;"Yes"),'Demand background (hide)'!X194+IF(Setup!$I$15="Yes",'Demand background (hide)'!AJ194,0),"")</f>
        <v/>
      </c>
      <c r="BE203" s="209"/>
    </row>
    <row r="204" spans="1:57" x14ac:dyDescent="0.25">
      <c r="A204" t="str">
        <f t="shared" ca="1" si="8"/>
        <v/>
      </c>
      <c r="B204" s="264" t="str">
        <f t="shared" ca="1" si="9"/>
        <v xml:space="preserve"> </v>
      </c>
      <c r="C204" s="265" t="str">
        <f t="shared" ca="1" si="10"/>
        <v/>
      </c>
      <c r="D204" s="350" t="str">
        <f t="shared" ca="1" si="11"/>
        <v/>
      </c>
      <c r="E204" s="192"/>
      <c r="F204" s="192"/>
      <c r="G204" s="192"/>
      <c r="H204" s="192"/>
      <c r="I204" s="251" t="str">
        <f>IF(COUNTBLANK(E204:H204)=4,"",SUM(E204:G204)+IF(Setup!$I$15="No",0,H204))</f>
        <v/>
      </c>
      <c r="J204" s="192"/>
      <c r="K204" s="192"/>
      <c r="L204" s="192"/>
      <c r="M204" s="192"/>
      <c r="N204" s="255" t="str">
        <f>IF(COUNTBLANK(J204:M204)=4,"",SUM(J204:L204)+IF(Setup!$I$15="No",0,M204))</f>
        <v/>
      </c>
      <c r="O204" s="192"/>
      <c r="P204" s="192"/>
      <c r="Q204" s="192"/>
      <c r="R204" s="192"/>
      <c r="S204" s="255" t="str">
        <f>IF(COUNTBLANK(O204:R204)=4,"",SUM(O204:Q204)+IF(Setup!$I$15="No",0,R204))</f>
        <v/>
      </c>
      <c r="T204" s="192"/>
      <c r="U204" s="192"/>
      <c r="V204" s="192"/>
      <c r="W204" s="192"/>
      <c r="X204" s="255" t="str">
        <f>IF(COUNTBLANK(T204:W204)=4,"",SUM(T204:V204)+IF(Setup!$I$15="No",0,W204))</f>
        <v/>
      </c>
      <c r="Y204" s="192"/>
      <c r="Z204" s="192"/>
      <c r="AA204" s="192"/>
      <c r="AB204" s="192"/>
      <c r="AC204" s="255" t="str">
        <f>IF(COUNTBLANK(Y204:AB204)=4,"",SUM(Y204:AA204)+IF(Setup!$I$15="No",0,AB204))</f>
        <v/>
      </c>
      <c r="AD204" s="192"/>
      <c r="AE204" s="192"/>
      <c r="AF204" s="192"/>
      <c r="AG204" s="192"/>
      <c r="AH204" s="255" t="str">
        <f>IF(COUNTBLANK(AD204:AG204)=4,"",SUM(AD204:AF204)+IF(Setup!$I$15="No",0,AG204))</f>
        <v/>
      </c>
      <c r="AI204" s="192"/>
      <c r="AJ204" s="192"/>
      <c r="AK204" s="192"/>
      <c r="AL204" s="192"/>
      <c r="AM204" s="255" t="str">
        <f>IF(COUNTBLANK(AI204:AL204)=4,"",SUM(AI204:AK204)+IF(Setup!$I$15="No",0,AL204))</f>
        <v/>
      </c>
      <c r="AN204" s="192"/>
      <c r="AO204" s="192"/>
      <c r="AP204" s="192"/>
      <c r="AQ204" s="192"/>
      <c r="AR204" s="255" t="str">
        <f>IF(COUNTBLANK(AN204:AQ204)=4,"",SUM(AN204:AP204)+IF(Setup!$I$15="No",0,AQ204))</f>
        <v/>
      </c>
      <c r="AS204" s="192"/>
      <c r="AT204" s="192"/>
      <c r="AU204" s="192"/>
      <c r="AV204" s="192"/>
      <c r="AW204" s="255" t="str">
        <f>IF(COUNTBLANK(AS204:AV204)=4,"",SUM(AS204:AU204)+IF(Setup!$I$15="No",0,AV204))</f>
        <v/>
      </c>
      <c r="AX204" s="192"/>
      <c r="AY204" s="192"/>
      <c r="AZ204" s="192"/>
      <c r="BA204" s="192"/>
      <c r="BB204" s="255" t="str">
        <f>IF(COUNTBLANK(AX204:BA204)=4,"",SUM(AX204:AZ204)+IF(Setup!$I$15="No",0,BA204))</f>
        <v/>
      </c>
      <c r="BC204" s="259" t="str">
        <f ca="1">IF('Demand background (hide)'!A195=Num_Modalities,"",SUM(Demand!I204))</f>
        <v/>
      </c>
      <c r="BD204" s="259" t="str">
        <f ca="1">IF(AND(A204&lt;=MaxRows,BE204&lt;&gt;"Yes"),'Demand background (hide)'!X195+IF(Setup!$I$15="Yes",'Demand background (hide)'!AJ195,0),"")</f>
        <v/>
      </c>
      <c r="BE204" s="209"/>
    </row>
    <row r="205" spans="1:57" x14ac:dyDescent="0.25">
      <c r="A205" t="str">
        <f t="shared" ref="A205:A268" ca="1" si="12">IF(BC205&lt;&gt;"",ROW(A193),"")</f>
        <v/>
      </c>
      <c r="B205" s="264" t="str">
        <f t="shared" ca="1" si="9"/>
        <v xml:space="preserve"> </v>
      </c>
      <c r="C205" s="265" t="str">
        <f t="shared" ca="1" si="10"/>
        <v/>
      </c>
      <c r="D205" s="350" t="str">
        <f t="shared" ca="1" si="11"/>
        <v/>
      </c>
      <c r="E205" s="192"/>
      <c r="F205" s="192"/>
      <c r="G205" s="192"/>
      <c r="H205" s="192"/>
      <c r="I205" s="251" t="str">
        <f>IF(COUNTBLANK(E205:H205)=4,"",SUM(E205:G205)+IF(Setup!$I$15="No",0,H205))</f>
        <v/>
      </c>
      <c r="J205" s="192"/>
      <c r="K205" s="192"/>
      <c r="L205" s="192"/>
      <c r="M205" s="192"/>
      <c r="N205" s="255" t="str">
        <f>IF(COUNTBLANK(J205:M205)=4,"",SUM(J205:L205)+IF(Setup!$I$15="No",0,M205))</f>
        <v/>
      </c>
      <c r="O205" s="192"/>
      <c r="P205" s="192"/>
      <c r="Q205" s="192"/>
      <c r="R205" s="192"/>
      <c r="S205" s="255" t="str">
        <f>IF(COUNTBLANK(O205:R205)=4,"",SUM(O205:Q205)+IF(Setup!$I$15="No",0,R205))</f>
        <v/>
      </c>
      <c r="T205" s="192"/>
      <c r="U205" s="192"/>
      <c r="V205" s="192"/>
      <c r="W205" s="192"/>
      <c r="X205" s="255" t="str">
        <f>IF(COUNTBLANK(T205:W205)=4,"",SUM(T205:V205)+IF(Setup!$I$15="No",0,W205))</f>
        <v/>
      </c>
      <c r="Y205" s="192"/>
      <c r="Z205" s="192"/>
      <c r="AA205" s="192"/>
      <c r="AB205" s="192"/>
      <c r="AC205" s="255" t="str">
        <f>IF(COUNTBLANK(Y205:AB205)=4,"",SUM(Y205:AA205)+IF(Setup!$I$15="No",0,AB205))</f>
        <v/>
      </c>
      <c r="AD205" s="192"/>
      <c r="AE205" s="192"/>
      <c r="AF205" s="192"/>
      <c r="AG205" s="192"/>
      <c r="AH205" s="255" t="str">
        <f>IF(COUNTBLANK(AD205:AG205)=4,"",SUM(AD205:AF205)+IF(Setup!$I$15="No",0,AG205))</f>
        <v/>
      </c>
      <c r="AI205" s="192"/>
      <c r="AJ205" s="192"/>
      <c r="AK205" s="192"/>
      <c r="AL205" s="192"/>
      <c r="AM205" s="255" t="str">
        <f>IF(COUNTBLANK(AI205:AL205)=4,"",SUM(AI205:AK205)+IF(Setup!$I$15="No",0,AL205))</f>
        <v/>
      </c>
      <c r="AN205" s="192"/>
      <c r="AO205" s="192"/>
      <c r="AP205" s="192"/>
      <c r="AQ205" s="192"/>
      <c r="AR205" s="255" t="str">
        <f>IF(COUNTBLANK(AN205:AQ205)=4,"",SUM(AN205:AP205)+IF(Setup!$I$15="No",0,AQ205))</f>
        <v/>
      </c>
      <c r="AS205" s="192"/>
      <c r="AT205" s="192"/>
      <c r="AU205" s="192"/>
      <c r="AV205" s="192"/>
      <c r="AW205" s="255" t="str">
        <f>IF(COUNTBLANK(AS205:AV205)=4,"",SUM(AS205:AU205)+IF(Setup!$I$15="No",0,AV205))</f>
        <v/>
      </c>
      <c r="AX205" s="192"/>
      <c r="AY205" s="192"/>
      <c r="AZ205" s="192"/>
      <c r="BA205" s="192"/>
      <c r="BB205" s="255" t="str">
        <f>IF(COUNTBLANK(AX205:BA205)=4,"",SUM(AX205:AZ205)+IF(Setup!$I$15="No",0,BA205))</f>
        <v/>
      </c>
      <c r="BC205" s="259" t="str">
        <f ca="1">IF('Demand background (hide)'!A196=Num_Modalities,"",SUM(Demand!I205))</f>
        <v/>
      </c>
      <c r="BD205" s="259" t="str">
        <f ca="1">IF(AND(A205&lt;=MaxRows,BE205&lt;&gt;"Yes"),'Demand background (hide)'!X196+IF(Setup!$I$15="Yes",'Demand background (hide)'!AJ196,0),"")</f>
        <v/>
      </c>
      <c r="BE205" s="209"/>
    </row>
    <row r="206" spans="1:57" x14ac:dyDescent="0.25">
      <c r="A206" t="str">
        <f t="shared" ca="1" si="12"/>
        <v/>
      </c>
      <c r="B206" s="264" t="str">
        <f t="shared" ref="B206:B269" ca="1" si="13">IF(A206&lt;=MaxRows,IF($C$6&lt;&gt;"",IF(YEAR(D206)&lt;&gt;YEAR(D205),YEAR(D206)," "),IF(C206&lt;&gt;1,"",OFFSET(B206,-C205,0,1,1)+1))," ")</f>
        <v xml:space="preserve"> </v>
      </c>
      <c r="C206" s="265" t="str">
        <f t="shared" ref="C206:C269" ca="1" si="14">IF(ROW(A194)&lt;=MaxRows,IF($C$6&lt;&gt;"",WEEKNUM(D206,21),IF(MOD((C205+1),52)&gt;0,MOD((C205+1),52),52)),"")</f>
        <v/>
      </c>
      <c r="D206" s="350" t="str">
        <f t="shared" ref="D206:D269" ca="1" si="15">IF(OR(AND(ROW(A194)&lt;=MaxRows,$C$6&lt;&gt;""),AND(ROW(A206)&lt;=64,LEFT($C$8,1)&lt;&gt;"H")),D205+7,"")</f>
        <v/>
      </c>
      <c r="E206" s="192"/>
      <c r="F206" s="192"/>
      <c r="G206" s="192"/>
      <c r="H206" s="192"/>
      <c r="I206" s="251" t="str">
        <f>IF(COUNTBLANK(E206:H206)=4,"",SUM(E206:G206)+IF(Setup!$I$15="No",0,H206))</f>
        <v/>
      </c>
      <c r="J206" s="192"/>
      <c r="K206" s="192"/>
      <c r="L206" s="192"/>
      <c r="M206" s="192"/>
      <c r="N206" s="255" t="str">
        <f>IF(COUNTBLANK(J206:M206)=4,"",SUM(J206:L206)+IF(Setup!$I$15="No",0,M206))</f>
        <v/>
      </c>
      <c r="O206" s="192"/>
      <c r="P206" s="192"/>
      <c r="Q206" s="192"/>
      <c r="R206" s="192"/>
      <c r="S206" s="255" t="str">
        <f>IF(COUNTBLANK(O206:R206)=4,"",SUM(O206:Q206)+IF(Setup!$I$15="No",0,R206))</f>
        <v/>
      </c>
      <c r="T206" s="192"/>
      <c r="U206" s="192"/>
      <c r="V206" s="192"/>
      <c r="W206" s="192"/>
      <c r="X206" s="255" t="str">
        <f>IF(COUNTBLANK(T206:W206)=4,"",SUM(T206:V206)+IF(Setup!$I$15="No",0,W206))</f>
        <v/>
      </c>
      <c r="Y206" s="192"/>
      <c r="Z206" s="192"/>
      <c r="AA206" s="192"/>
      <c r="AB206" s="192"/>
      <c r="AC206" s="255" t="str">
        <f>IF(COUNTBLANK(Y206:AB206)=4,"",SUM(Y206:AA206)+IF(Setup!$I$15="No",0,AB206))</f>
        <v/>
      </c>
      <c r="AD206" s="192"/>
      <c r="AE206" s="192"/>
      <c r="AF206" s="192"/>
      <c r="AG206" s="192"/>
      <c r="AH206" s="255" t="str">
        <f>IF(COUNTBLANK(AD206:AG206)=4,"",SUM(AD206:AF206)+IF(Setup!$I$15="No",0,AG206))</f>
        <v/>
      </c>
      <c r="AI206" s="192"/>
      <c r="AJ206" s="192"/>
      <c r="AK206" s="192"/>
      <c r="AL206" s="192"/>
      <c r="AM206" s="255" t="str">
        <f>IF(COUNTBLANK(AI206:AL206)=4,"",SUM(AI206:AK206)+IF(Setup!$I$15="No",0,AL206))</f>
        <v/>
      </c>
      <c r="AN206" s="192"/>
      <c r="AO206" s="192"/>
      <c r="AP206" s="192"/>
      <c r="AQ206" s="192"/>
      <c r="AR206" s="255" t="str">
        <f>IF(COUNTBLANK(AN206:AQ206)=4,"",SUM(AN206:AP206)+IF(Setup!$I$15="No",0,AQ206))</f>
        <v/>
      </c>
      <c r="AS206" s="192"/>
      <c r="AT206" s="192"/>
      <c r="AU206" s="192"/>
      <c r="AV206" s="192"/>
      <c r="AW206" s="255" t="str">
        <f>IF(COUNTBLANK(AS206:AV206)=4,"",SUM(AS206:AU206)+IF(Setup!$I$15="No",0,AV206))</f>
        <v/>
      </c>
      <c r="AX206" s="192"/>
      <c r="AY206" s="192"/>
      <c r="AZ206" s="192"/>
      <c r="BA206" s="192"/>
      <c r="BB206" s="255" t="str">
        <f>IF(COUNTBLANK(AX206:BA206)=4,"",SUM(AX206:AZ206)+IF(Setup!$I$15="No",0,BA206))</f>
        <v/>
      </c>
      <c r="BC206" s="259" t="str">
        <f ca="1">IF('Demand background (hide)'!A197=Num_Modalities,"",SUM(Demand!I206))</f>
        <v/>
      </c>
      <c r="BD206" s="259" t="str">
        <f ca="1">IF(AND(A206&lt;=MaxRows,BE206&lt;&gt;"Yes"),'Demand background (hide)'!X197+IF(Setup!$I$15="Yes",'Demand background (hide)'!AJ197,0),"")</f>
        <v/>
      </c>
      <c r="BE206" s="209"/>
    </row>
    <row r="207" spans="1:57" x14ac:dyDescent="0.25">
      <c r="A207" t="str">
        <f t="shared" ca="1" si="12"/>
        <v/>
      </c>
      <c r="B207" s="264" t="str">
        <f t="shared" ca="1" si="13"/>
        <v xml:space="preserve"> </v>
      </c>
      <c r="C207" s="265" t="str">
        <f t="shared" ca="1" si="14"/>
        <v/>
      </c>
      <c r="D207" s="350" t="str">
        <f t="shared" ca="1" si="15"/>
        <v/>
      </c>
      <c r="E207" s="192"/>
      <c r="F207" s="192"/>
      <c r="G207" s="192"/>
      <c r="H207" s="192"/>
      <c r="I207" s="251" t="str">
        <f>IF(COUNTBLANK(E207:H207)=4,"",SUM(E207:G207)+IF(Setup!$I$15="No",0,H207))</f>
        <v/>
      </c>
      <c r="J207" s="192"/>
      <c r="K207" s="192"/>
      <c r="L207" s="192"/>
      <c r="M207" s="192"/>
      <c r="N207" s="255" t="str">
        <f>IF(COUNTBLANK(J207:M207)=4,"",SUM(J207:L207)+IF(Setup!$I$15="No",0,M207))</f>
        <v/>
      </c>
      <c r="O207" s="192"/>
      <c r="P207" s="192"/>
      <c r="Q207" s="192"/>
      <c r="R207" s="192"/>
      <c r="S207" s="255" t="str">
        <f>IF(COUNTBLANK(O207:R207)=4,"",SUM(O207:Q207)+IF(Setup!$I$15="No",0,R207))</f>
        <v/>
      </c>
      <c r="T207" s="192"/>
      <c r="U207" s="192"/>
      <c r="V207" s="192"/>
      <c r="W207" s="192"/>
      <c r="X207" s="255" t="str">
        <f>IF(COUNTBLANK(T207:W207)=4,"",SUM(T207:V207)+IF(Setup!$I$15="No",0,W207))</f>
        <v/>
      </c>
      <c r="Y207" s="192"/>
      <c r="Z207" s="192"/>
      <c r="AA207" s="192"/>
      <c r="AB207" s="192"/>
      <c r="AC207" s="255" t="str">
        <f>IF(COUNTBLANK(Y207:AB207)=4,"",SUM(Y207:AA207)+IF(Setup!$I$15="No",0,AB207))</f>
        <v/>
      </c>
      <c r="AD207" s="192"/>
      <c r="AE207" s="192"/>
      <c r="AF207" s="192"/>
      <c r="AG207" s="192"/>
      <c r="AH207" s="255" t="str">
        <f>IF(COUNTBLANK(AD207:AG207)=4,"",SUM(AD207:AF207)+IF(Setup!$I$15="No",0,AG207))</f>
        <v/>
      </c>
      <c r="AI207" s="192"/>
      <c r="AJ207" s="192"/>
      <c r="AK207" s="192"/>
      <c r="AL207" s="192"/>
      <c r="AM207" s="255" t="str">
        <f>IF(COUNTBLANK(AI207:AL207)=4,"",SUM(AI207:AK207)+IF(Setup!$I$15="No",0,AL207))</f>
        <v/>
      </c>
      <c r="AN207" s="192"/>
      <c r="AO207" s="192"/>
      <c r="AP207" s="192"/>
      <c r="AQ207" s="192"/>
      <c r="AR207" s="255" t="str">
        <f>IF(COUNTBLANK(AN207:AQ207)=4,"",SUM(AN207:AP207)+IF(Setup!$I$15="No",0,AQ207))</f>
        <v/>
      </c>
      <c r="AS207" s="192"/>
      <c r="AT207" s="192"/>
      <c r="AU207" s="192"/>
      <c r="AV207" s="192"/>
      <c r="AW207" s="255" t="str">
        <f>IF(COUNTBLANK(AS207:AV207)=4,"",SUM(AS207:AU207)+IF(Setup!$I$15="No",0,AV207))</f>
        <v/>
      </c>
      <c r="AX207" s="192"/>
      <c r="AY207" s="192"/>
      <c r="AZ207" s="192"/>
      <c r="BA207" s="192"/>
      <c r="BB207" s="255" t="str">
        <f>IF(COUNTBLANK(AX207:BA207)=4,"",SUM(AX207:AZ207)+IF(Setup!$I$15="No",0,BA207))</f>
        <v/>
      </c>
      <c r="BC207" s="259" t="str">
        <f ca="1">IF('Demand background (hide)'!A198=Num_Modalities,"",SUM(Demand!I207))</f>
        <v/>
      </c>
      <c r="BD207" s="259" t="str">
        <f ca="1">IF(AND(A207&lt;=MaxRows,BE207&lt;&gt;"Yes"),'Demand background (hide)'!X198+IF(Setup!$I$15="Yes",'Demand background (hide)'!AJ198,0),"")</f>
        <v/>
      </c>
      <c r="BE207" s="209"/>
    </row>
    <row r="208" spans="1:57" x14ac:dyDescent="0.25">
      <c r="A208" t="str">
        <f t="shared" ca="1" si="12"/>
        <v/>
      </c>
      <c r="B208" s="264" t="str">
        <f t="shared" ca="1" si="13"/>
        <v xml:space="preserve"> </v>
      </c>
      <c r="C208" s="265" t="str">
        <f t="shared" ca="1" si="14"/>
        <v/>
      </c>
      <c r="D208" s="350" t="str">
        <f t="shared" ca="1" si="15"/>
        <v/>
      </c>
      <c r="E208" s="192"/>
      <c r="F208" s="192"/>
      <c r="G208" s="192"/>
      <c r="H208" s="192"/>
      <c r="I208" s="251" t="str">
        <f>IF(COUNTBLANK(E208:H208)=4,"",SUM(E208:G208)+IF(Setup!$I$15="No",0,H208))</f>
        <v/>
      </c>
      <c r="J208" s="192"/>
      <c r="K208" s="192"/>
      <c r="L208" s="192"/>
      <c r="M208" s="192"/>
      <c r="N208" s="255" t="str">
        <f>IF(COUNTBLANK(J208:M208)=4,"",SUM(J208:L208)+IF(Setup!$I$15="No",0,M208))</f>
        <v/>
      </c>
      <c r="O208" s="192"/>
      <c r="P208" s="192"/>
      <c r="Q208" s="192"/>
      <c r="R208" s="192"/>
      <c r="S208" s="255" t="str">
        <f>IF(COUNTBLANK(O208:R208)=4,"",SUM(O208:Q208)+IF(Setup!$I$15="No",0,R208))</f>
        <v/>
      </c>
      <c r="T208" s="192"/>
      <c r="U208" s="192"/>
      <c r="V208" s="192"/>
      <c r="W208" s="192"/>
      <c r="X208" s="255" t="str">
        <f>IF(COUNTBLANK(T208:W208)=4,"",SUM(T208:V208)+IF(Setup!$I$15="No",0,W208))</f>
        <v/>
      </c>
      <c r="Y208" s="192"/>
      <c r="Z208" s="192"/>
      <c r="AA208" s="192"/>
      <c r="AB208" s="192"/>
      <c r="AC208" s="255" t="str">
        <f>IF(COUNTBLANK(Y208:AB208)=4,"",SUM(Y208:AA208)+IF(Setup!$I$15="No",0,AB208))</f>
        <v/>
      </c>
      <c r="AD208" s="192"/>
      <c r="AE208" s="192"/>
      <c r="AF208" s="192"/>
      <c r="AG208" s="192"/>
      <c r="AH208" s="255" t="str">
        <f>IF(COUNTBLANK(AD208:AG208)=4,"",SUM(AD208:AF208)+IF(Setup!$I$15="No",0,AG208))</f>
        <v/>
      </c>
      <c r="AI208" s="192"/>
      <c r="AJ208" s="192"/>
      <c r="AK208" s="192"/>
      <c r="AL208" s="192"/>
      <c r="AM208" s="255" t="str">
        <f>IF(COUNTBLANK(AI208:AL208)=4,"",SUM(AI208:AK208)+IF(Setup!$I$15="No",0,AL208))</f>
        <v/>
      </c>
      <c r="AN208" s="192"/>
      <c r="AO208" s="192"/>
      <c r="AP208" s="192"/>
      <c r="AQ208" s="192"/>
      <c r="AR208" s="255" t="str">
        <f>IF(COUNTBLANK(AN208:AQ208)=4,"",SUM(AN208:AP208)+IF(Setup!$I$15="No",0,AQ208))</f>
        <v/>
      </c>
      <c r="AS208" s="192"/>
      <c r="AT208" s="192"/>
      <c r="AU208" s="192"/>
      <c r="AV208" s="192"/>
      <c r="AW208" s="255" t="str">
        <f>IF(COUNTBLANK(AS208:AV208)=4,"",SUM(AS208:AU208)+IF(Setup!$I$15="No",0,AV208))</f>
        <v/>
      </c>
      <c r="AX208" s="192"/>
      <c r="AY208" s="192"/>
      <c r="AZ208" s="192"/>
      <c r="BA208" s="192"/>
      <c r="BB208" s="255" t="str">
        <f>IF(COUNTBLANK(AX208:BA208)=4,"",SUM(AX208:AZ208)+IF(Setup!$I$15="No",0,BA208))</f>
        <v/>
      </c>
      <c r="BC208" s="259" t="str">
        <f ca="1">IF('Demand background (hide)'!A199=Num_Modalities,"",SUM(Demand!I208))</f>
        <v/>
      </c>
      <c r="BD208" s="259" t="str">
        <f ca="1">IF(AND(A208&lt;=MaxRows,BE208&lt;&gt;"Yes"),'Demand background (hide)'!X199+IF(Setup!$I$15="Yes",'Demand background (hide)'!AJ199,0),"")</f>
        <v/>
      </c>
      <c r="BE208" s="209"/>
    </row>
    <row r="209" spans="1:57" x14ac:dyDescent="0.25">
      <c r="A209" t="str">
        <f t="shared" ca="1" si="12"/>
        <v/>
      </c>
      <c r="B209" s="264" t="str">
        <f t="shared" ca="1" si="13"/>
        <v xml:space="preserve"> </v>
      </c>
      <c r="C209" s="265" t="str">
        <f t="shared" ca="1" si="14"/>
        <v/>
      </c>
      <c r="D209" s="350" t="str">
        <f t="shared" ca="1" si="15"/>
        <v/>
      </c>
      <c r="E209" s="192"/>
      <c r="F209" s="192"/>
      <c r="G209" s="192"/>
      <c r="H209" s="192"/>
      <c r="I209" s="251" t="str">
        <f>IF(COUNTBLANK(E209:H209)=4,"",SUM(E209:G209)+IF(Setup!$I$15="No",0,H209))</f>
        <v/>
      </c>
      <c r="J209" s="192"/>
      <c r="K209" s="192"/>
      <c r="L209" s="192"/>
      <c r="M209" s="192"/>
      <c r="N209" s="255" t="str">
        <f>IF(COUNTBLANK(J209:M209)=4,"",SUM(J209:L209)+IF(Setup!$I$15="No",0,M209))</f>
        <v/>
      </c>
      <c r="O209" s="192"/>
      <c r="P209" s="192"/>
      <c r="Q209" s="192"/>
      <c r="R209" s="192"/>
      <c r="S209" s="255" t="str">
        <f>IF(COUNTBLANK(O209:R209)=4,"",SUM(O209:Q209)+IF(Setup!$I$15="No",0,R209))</f>
        <v/>
      </c>
      <c r="T209" s="192"/>
      <c r="U209" s="192"/>
      <c r="V209" s="192"/>
      <c r="W209" s="192"/>
      <c r="X209" s="255" t="str">
        <f>IF(COUNTBLANK(T209:W209)=4,"",SUM(T209:V209)+IF(Setup!$I$15="No",0,W209))</f>
        <v/>
      </c>
      <c r="Y209" s="192"/>
      <c r="Z209" s="192"/>
      <c r="AA209" s="192"/>
      <c r="AB209" s="192"/>
      <c r="AC209" s="255" t="str">
        <f>IF(COUNTBLANK(Y209:AB209)=4,"",SUM(Y209:AA209)+IF(Setup!$I$15="No",0,AB209))</f>
        <v/>
      </c>
      <c r="AD209" s="192"/>
      <c r="AE209" s="192"/>
      <c r="AF209" s="192"/>
      <c r="AG209" s="192"/>
      <c r="AH209" s="255" t="str">
        <f>IF(COUNTBLANK(AD209:AG209)=4,"",SUM(AD209:AF209)+IF(Setup!$I$15="No",0,AG209))</f>
        <v/>
      </c>
      <c r="AI209" s="192"/>
      <c r="AJ209" s="192"/>
      <c r="AK209" s="192"/>
      <c r="AL209" s="192"/>
      <c r="AM209" s="255" t="str">
        <f>IF(COUNTBLANK(AI209:AL209)=4,"",SUM(AI209:AK209)+IF(Setup!$I$15="No",0,AL209))</f>
        <v/>
      </c>
      <c r="AN209" s="192"/>
      <c r="AO209" s="192"/>
      <c r="AP209" s="192"/>
      <c r="AQ209" s="192"/>
      <c r="AR209" s="255" t="str">
        <f>IF(COUNTBLANK(AN209:AQ209)=4,"",SUM(AN209:AP209)+IF(Setup!$I$15="No",0,AQ209))</f>
        <v/>
      </c>
      <c r="AS209" s="192"/>
      <c r="AT209" s="192"/>
      <c r="AU209" s="192"/>
      <c r="AV209" s="192"/>
      <c r="AW209" s="255" t="str">
        <f>IF(COUNTBLANK(AS209:AV209)=4,"",SUM(AS209:AU209)+IF(Setup!$I$15="No",0,AV209))</f>
        <v/>
      </c>
      <c r="AX209" s="192"/>
      <c r="AY209" s="192"/>
      <c r="AZ209" s="192"/>
      <c r="BA209" s="192"/>
      <c r="BB209" s="255" t="str">
        <f>IF(COUNTBLANK(AX209:BA209)=4,"",SUM(AX209:AZ209)+IF(Setup!$I$15="No",0,BA209))</f>
        <v/>
      </c>
      <c r="BC209" s="259" t="str">
        <f ca="1">IF('Demand background (hide)'!A200=Num_Modalities,"",SUM(Demand!I209))</f>
        <v/>
      </c>
      <c r="BD209" s="259" t="str">
        <f ca="1">IF(AND(A209&lt;=MaxRows,BE209&lt;&gt;"Yes"),'Demand background (hide)'!X200+IF(Setup!$I$15="Yes",'Demand background (hide)'!AJ200,0),"")</f>
        <v/>
      </c>
      <c r="BE209" s="209"/>
    </row>
    <row r="210" spans="1:57" x14ac:dyDescent="0.25">
      <c r="A210" t="str">
        <f t="shared" ca="1" si="12"/>
        <v/>
      </c>
      <c r="B210" s="264" t="str">
        <f t="shared" ca="1" si="13"/>
        <v xml:space="preserve"> </v>
      </c>
      <c r="C210" s="265" t="str">
        <f t="shared" ca="1" si="14"/>
        <v/>
      </c>
      <c r="D210" s="350" t="str">
        <f t="shared" ca="1" si="15"/>
        <v/>
      </c>
      <c r="E210" s="192"/>
      <c r="F210" s="192"/>
      <c r="G210" s="192"/>
      <c r="H210" s="192"/>
      <c r="I210" s="251" t="str">
        <f>IF(COUNTBLANK(E210:H210)=4,"",SUM(E210:G210)+IF(Setup!$I$15="No",0,H210))</f>
        <v/>
      </c>
      <c r="J210" s="192"/>
      <c r="K210" s="192"/>
      <c r="L210" s="192"/>
      <c r="M210" s="192"/>
      <c r="N210" s="255" t="str">
        <f>IF(COUNTBLANK(J210:M210)=4,"",SUM(J210:L210)+IF(Setup!$I$15="No",0,M210))</f>
        <v/>
      </c>
      <c r="O210" s="192"/>
      <c r="P210" s="192"/>
      <c r="Q210" s="192"/>
      <c r="R210" s="192"/>
      <c r="S210" s="255" t="str">
        <f>IF(COUNTBLANK(O210:R210)=4,"",SUM(O210:Q210)+IF(Setup!$I$15="No",0,R210))</f>
        <v/>
      </c>
      <c r="T210" s="192"/>
      <c r="U210" s="192"/>
      <c r="V210" s="192"/>
      <c r="W210" s="192"/>
      <c r="X210" s="255" t="str">
        <f>IF(COUNTBLANK(T210:W210)=4,"",SUM(T210:V210)+IF(Setup!$I$15="No",0,W210))</f>
        <v/>
      </c>
      <c r="Y210" s="192"/>
      <c r="Z210" s="192"/>
      <c r="AA210" s="192"/>
      <c r="AB210" s="192"/>
      <c r="AC210" s="255" t="str">
        <f>IF(COUNTBLANK(Y210:AB210)=4,"",SUM(Y210:AA210)+IF(Setup!$I$15="No",0,AB210))</f>
        <v/>
      </c>
      <c r="AD210" s="192"/>
      <c r="AE210" s="192"/>
      <c r="AF210" s="192"/>
      <c r="AG210" s="192"/>
      <c r="AH210" s="255" t="str">
        <f>IF(COUNTBLANK(AD210:AG210)=4,"",SUM(AD210:AF210)+IF(Setup!$I$15="No",0,AG210))</f>
        <v/>
      </c>
      <c r="AI210" s="192"/>
      <c r="AJ210" s="192"/>
      <c r="AK210" s="192"/>
      <c r="AL210" s="192"/>
      <c r="AM210" s="255" t="str">
        <f>IF(COUNTBLANK(AI210:AL210)=4,"",SUM(AI210:AK210)+IF(Setup!$I$15="No",0,AL210))</f>
        <v/>
      </c>
      <c r="AN210" s="192"/>
      <c r="AO210" s="192"/>
      <c r="AP210" s="192"/>
      <c r="AQ210" s="192"/>
      <c r="AR210" s="255" t="str">
        <f>IF(COUNTBLANK(AN210:AQ210)=4,"",SUM(AN210:AP210)+IF(Setup!$I$15="No",0,AQ210))</f>
        <v/>
      </c>
      <c r="AS210" s="192"/>
      <c r="AT210" s="192"/>
      <c r="AU210" s="192"/>
      <c r="AV210" s="192"/>
      <c r="AW210" s="255" t="str">
        <f>IF(COUNTBLANK(AS210:AV210)=4,"",SUM(AS210:AU210)+IF(Setup!$I$15="No",0,AV210))</f>
        <v/>
      </c>
      <c r="AX210" s="192"/>
      <c r="AY210" s="192"/>
      <c r="AZ210" s="192"/>
      <c r="BA210" s="192"/>
      <c r="BB210" s="255" t="str">
        <f>IF(COUNTBLANK(AX210:BA210)=4,"",SUM(AX210:AZ210)+IF(Setup!$I$15="No",0,BA210))</f>
        <v/>
      </c>
      <c r="BC210" s="259" t="str">
        <f ca="1">IF('Demand background (hide)'!A201=Num_Modalities,"",SUM(Demand!I210))</f>
        <v/>
      </c>
      <c r="BD210" s="259" t="str">
        <f ca="1">IF(AND(A210&lt;=MaxRows,BE210&lt;&gt;"Yes"),'Demand background (hide)'!X201+IF(Setup!$I$15="Yes",'Demand background (hide)'!AJ201,0),"")</f>
        <v/>
      </c>
      <c r="BE210" s="209"/>
    </row>
    <row r="211" spans="1:57" x14ac:dyDescent="0.25">
      <c r="A211" t="str">
        <f t="shared" ca="1" si="12"/>
        <v/>
      </c>
      <c r="B211" s="264" t="str">
        <f t="shared" ca="1" si="13"/>
        <v xml:space="preserve"> </v>
      </c>
      <c r="C211" s="265" t="str">
        <f t="shared" ca="1" si="14"/>
        <v/>
      </c>
      <c r="D211" s="350" t="str">
        <f t="shared" ca="1" si="15"/>
        <v/>
      </c>
      <c r="E211" s="192"/>
      <c r="F211" s="192"/>
      <c r="G211" s="192"/>
      <c r="H211" s="192"/>
      <c r="I211" s="251" t="str">
        <f>IF(COUNTBLANK(E211:H211)=4,"",SUM(E211:G211)+IF(Setup!$I$15="No",0,H211))</f>
        <v/>
      </c>
      <c r="J211" s="192"/>
      <c r="K211" s="192"/>
      <c r="L211" s="192"/>
      <c r="M211" s="192"/>
      <c r="N211" s="255" t="str">
        <f>IF(COUNTBLANK(J211:M211)=4,"",SUM(J211:L211)+IF(Setup!$I$15="No",0,M211))</f>
        <v/>
      </c>
      <c r="O211" s="192"/>
      <c r="P211" s="192"/>
      <c r="Q211" s="192"/>
      <c r="R211" s="192"/>
      <c r="S211" s="255" t="str">
        <f>IF(COUNTBLANK(O211:R211)=4,"",SUM(O211:Q211)+IF(Setup!$I$15="No",0,R211))</f>
        <v/>
      </c>
      <c r="T211" s="192"/>
      <c r="U211" s="192"/>
      <c r="V211" s="192"/>
      <c r="W211" s="192"/>
      <c r="X211" s="255" t="str">
        <f>IF(COUNTBLANK(T211:W211)=4,"",SUM(T211:V211)+IF(Setup!$I$15="No",0,W211))</f>
        <v/>
      </c>
      <c r="Y211" s="192"/>
      <c r="Z211" s="192"/>
      <c r="AA211" s="192"/>
      <c r="AB211" s="192"/>
      <c r="AC211" s="255" t="str">
        <f>IF(COUNTBLANK(Y211:AB211)=4,"",SUM(Y211:AA211)+IF(Setup!$I$15="No",0,AB211))</f>
        <v/>
      </c>
      <c r="AD211" s="192"/>
      <c r="AE211" s="192"/>
      <c r="AF211" s="192"/>
      <c r="AG211" s="192"/>
      <c r="AH211" s="255" t="str">
        <f>IF(COUNTBLANK(AD211:AG211)=4,"",SUM(AD211:AF211)+IF(Setup!$I$15="No",0,AG211))</f>
        <v/>
      </c>
      <c r="AI211" s="192"/>
      <c r="AJ211" s="192"/>
      <c r="AK211" s="192"/>
      <c r="AL211" s="192"/>
      <c r="AM211" s="255" t="str">
        <f>IF(COUNTBLANK(AI211:AL211)=4,"",SUM(AI211:AK211)+IF(Setup!$I$15="No",0,AL211))</f>
        <v/>
      </c>
      <c r="AN211" s="192"/>
      <c r="AO211" s="192"/>
      <c r="AP211" s="192"/>
      <c r="AQ211" s="192"/>
      <c r="AR211" s="255" t="str">
        <f>IF(COUNTBLANK(AN211:AQ211)=4,"",SUM(AN211:AP211)+IF(Setup!$I$15="No",0,AQ211))</f>
        <v/>
      </c>
      <c r="AS211" s="192"/>
      <c r="AT211" s="192"/>
      <c r="AU211" s="192"/>
      <c r="AV211" s="192"/>
      <c r="AW211" s="255" t="str">
        <f>IF(COUNTBLANK(AS211:AV211)=4,"",SUM(AS211:AU211)+IF(Setup!$I$15="No",0,AV211))</f>
        <v/>
      </c>
      <c r="AX211" s="192"/>
      <c r="AY211" s="192"/>
      <c r="AZ211" s="192"/>
      <c r="BA211" s="192"/>
      <c r="BB211" s="255" t="str">
        <f>IF(COUNTBLANK(AX211:BA211)=4,"",SUM(AX211:AZ211)+IF(Setup!$I$15="No",0,BA211))</f>
        <v/>
      </c>
      <c r="BC211" s="259" t="str">
        <f ca="1">IF('Demand background (hide)'!A202=Num_Modalities,"",SUM(Demand!I211))</f>
        <v/>
      </c>
      <c r="BD211" s="259" t="str">
        <f ca="1">IF(AND(A211&lt;=MaxRows,BE211&lt;&gt;"Yes"),'Demand background (hide)'!X202+IF(Setup!$I$15="Yes",'Demand background (hide)'!AJ202,0),"")</f>
        <v/>
      </c>
      <c r="BE211" s="209"/>
    </row>
    <row r="212" spans="1:57" x14ac:dyDescent="0.25">
      <c r="A212" t="str">
        <f t="shared" ca="1" si="12"/>
        <v/>
      </c>
      <c r="B212" s="264" t="str">
        <f t="shared" ca="1" si="13"/>
        <v xml:space="preserve"> </v>
      </c>
      <c r="C212" s="265" t="str">
        <f t="shared" ca="1" si="14"/>
        <v/>
      </c>
      <c r="D212" s="350" t="str">
        <f t="shared" ca="1" si="15"/>
        <v/>
      </c>
      <c r="E212" s="192"/>
      <c r="F212" s="192"/>
      <c r="G212" s="192"/>
      <c r="H212" s="192"/>
      <c r="I212" s="251" t="str">
        <f>IF(COUNTBLANK(E212:H212)=4,"",SUM(E212:G212)+IF(Setup!$I$15="No",0,H212))</f>
        <v/>
      </c>
      <c r="J212" s="192"/>
      <c r="K212" s="192"/>
      <c r="L212" s="192"/>
      <c r="M212" s="192"/>
      <c r="N212" s="255" t="str">
        <f>IF(COUNTBLANK(J212:M212)=4,"",SUM(J212:L212)+IF(Setup!$I$15="No",0,M212))</f>
        <v/>
      </c>
      <c r="O212" s="192"/>
      <c r="P212" s="192"/>
      <c r="Q212" s="192"/>
      <c r="R212" s="192"/>
      <c r="S212" s="255" t="str">
        <f>IF(COUNTBLANK(O212:R212)=4,"",SUM(O212:Q212)+IF(Setup!$I$15="No",0,R212))</f>
        <v/>
      </c>
      <c r="T212" s="192"/>
      <c r="U212" s="192"/>
      <c r="V212" s="192"/>
      <c r="W212" s="192"/>
      <c r="X212" s="255" t="str">
        <f>IF(COUNTBLANK(T212:W212)=4,"",SUM(T212:V212)+IF(Setup!$I$15="No",0,W212))</f>
        <v/>
      </c>
      <c r="Y212" s="192"/>
      <c r="Z212" s="192"/>
      <c r="AA212" s="192"/>
      <c r="AB212" s="192"/>
      <c r="AC212" s="255" t="str">
        <f>IF(COUNTBLANK(Y212:AB212)=4,"",SUM(Y212:AA212)+IF(Setup!$I$15="No",0,AB212))</f>
        <v/>
      </c>
      <c r="AD212" s="192"/>
      <c r="AE212" s="192"/>
      <c r="AF212" s="192"/>
      <c r="AG212" s="192"/>
      <c r="AH212" s="255" t="str">
        <f>IF(COUNTBLANK(AD212:AG212)=4,"",SUM(AD212:AF212)+IF(Setup!$I$15="No",0,AG212))</f>
        <v/>
      </c>
      <c r="AI212" s="192"/>
      <c r="AJ212" s="192"/>
      <c r="AK212" s="192"/>
      <c r="AL212" s="192"/>
      <c r="AM212" s="255" t="str">
        <f>IF(COUNTBLANK(AI212:AL212)=4,"",SUM(AI212:AK212)+IF(Setup!$I$15="No",0,AL212))</f>
        <v/>
      </c>
      <c r="AN212" s="192"/>
      <c r="AO212" s="192"/>
      <c r="AP212" s="192"/>
      <c r="AQ212" s="192"/>
      <c r="AR212" s="255" t="str">
        <f>IF(COUNTBLANK(AN212:AQ212)=4,"",SUM(AN212:AP212)+IF(Setup!$I$15="No",0,AQ212))</f>
        <v/>
      </c>
      <c r="AS212" s="192"/>
      <c r="AT212" s="192"/>
      <c r="AU212" s="192"/>
      <c r="AV212" s="192"/>
      <c r="AW212" s="255" t="str">
        <f>IF(COUNTBLANK(AS212:AV212)=4,"",SUM(AS212:AU212)+IF(Setup!$I$15="No",0,AV212))</f>
        <v/>
      </c>
      <c r="AX212" s="192"/>
      <c r="AY212" s="192"/>
      <c r="AZ212" s="192"/>
      <c r="BA212" s="192"/>
      <c r="BB212" s="255" t="str">
        <f>IF(COUNTBLANK(AX212:BA212)=4,"",SUM(AX212:AZ212)+IF(Setup!$I$15="No",0,BA212))</f>
        <v/>
      </c>
      <c r="BC212" s="259" t="str">
        <f ca="1">IF('Demand background (hide)'!A203=Num_Modalities,"",SUM(Demand!I212))</f>
        <v/>
      </c>
      <c r="BD212" s="259" t="str">
        <f ca="1">IF(AND(A212&lt;=MaxRows,BE212&lt;&gt;"Yes"),'Demand background (hide)'!X203+IF(Setup!$I$15="Yes",'Demand background (hide)'!AJ203,0),"")</f>
        <v/>
      </c>
      <c r="BE212" s="209"/>
    </row>
    <row r="213" spans="1:57" x14ac:dyDescent="0.25">
      <c r="A213" t="str">
        <f t="shared" ca="1" si="12"/>
        <v/>
      </c>
      <c r="B213" s="264" t="str">
        <f t="shared" ca="1" si="13"/>
        <v xml:space="preserve"> </v>
      </c>
      <c r="C213" s="265" t="str">
        <f t="shared" ca="1" si="14"/>
        <v/>
      </c>
      <c r="D213" s="350" t="str">
        <f t="shared" ca="1" si="15"/>
        <v/>
      </c>
      <c r="E213" s="192"/>
      <c r="F213" s="192"/>
      <c r="G213" s="192"/>
      <c r="H213" s="192"/>
      <c r="I213" s="251" t="str">
        <f>IF(COUNTBLANK(E213:H213)=4,"",SUM(E213:G213)+IF(Setup!$I$15="No",0,H213))</f>
        <v/>
      </c>
      <c r="J213" s="192"/>
      <c r="K213" s="192"/>
      <c r="L213" s="192"/>
      <c r="M213" s="192"/>
      <c r="N213" s="255" t="str">
        <f>IF(COUNTBLANK(J213:M213)=4,"",SUM(J213:L213)+IF(Setup!$I$15="No",0,M213))</f>
        <v/>
      </c>
      <c r="O213" s="192"/>
      <c r="P213" s="192"/>
      <c r="Q213" s="192"/>
      <c r="R213" s="192"/>
      <c r="S213" s="255" t="str">
        <f>IF(COUNTBLANK(O213:R213)=4,"",SUM(O213:Q213)+IF(Setup!$I$15="No",0,R213))</f>
        <v/>
      </c>
      <c r="T213" s="192"/>
      <c r="U213" s="192"/>
      <c r="V213" s="192"/>
      <c r="W213" s="192"/>
      <c r="X213" s="255" t="str">
        <f>IF(COUNTBLANK(T213:W213)=4,"",SUM(T213:V213)+IF(Setup!$I$15="No",0,W213))</f>
        <v/>
      </c>
      <c r="Y213" s="192"/>
      <c r="Z213" s="192"/>
      <c r="AA213" s="192"/>
      <c r="AB213" s="192"/>
      <c r="AC213" s="255" t="str">
        <f>IF(COUNTBLANK(Y213:AB213)=4,"",SUM(Y213:AA213)+IF(Setup!$I$15="No",0,AB213))</f>
        <v/>
      </c>
      <c r="AD213" s="192"/>
      <c r="AE213" s="192"/>
      <c r="AF213" s="192"/>
      <c r="AG213" s="192"/>
      <c r="AH213" s="255" t="str">
        <f>IF(COUNTBLANK(AD213:AG213)=4,"",SUM(AD213:AF213)+IF(Setup!$I$15="No",0,AG213))</f>
        <v/>
      </c>
      <c r="AI213" s="192"/>
      <c r="AJ213" s="192"/>
      <c r="AK213" s="192"/>
      <c r="AL213" s="192"/>
      <c r="AM213" s="255" t="str">
        <f>IF(COUNTBLANK(AI213:AL213)=4,"",SUM(AI213:AK213)+IF(Setup!$I$15="No",0,AL213))</f>
        <v/>
      </c>
      <c r="AN213" s="192"/>
      <c r="AO213" s="192"/>
      <c r="AP213" s="192"/>
      <c r="AQ213" s="192"/>
      <c r="AR213" s="255" t="str">
        <f>IF(COUNTBLANK(AN213:AQ213)=4,"",SUM(AN213:AP213)+IF(Setup!$I$15="No",0,AQ213))</f>
        <v/>
      </c>
      <c r="AS213" s="192"/>
      <c r="AT213" s="192"/>
      <c r="AU213" s="192"/>
      <c r="AV213" s="192"/>
      <c r="AW213" s="255" t="str">
        <f>IF(COUNTBLANK(AS213:AV213)=4,"",SUM(AS213:AU213)+IF(Setup!$I$15="No",0,AV213))</f>
        <v/>
      </c>
      <c r="AX213" s="192"/>
      <c r="AY213" s="192"/>
      <c r="AZ213" s="192"/>
      <c r="BA213" s="192"/>
      <c r="BB213" s="255" t="str">
        <f>IF(COUNTBLANK(AX213:BA213)=4,"",SUM(AX213:AZ213)+IF(Setup!$I$15="No",0,BA213))</f>
        <v/>
      </c>
      <c r="BC213" s="259" t="str">
        <f ca="1">IF('Demand background (hide)'!A204=Num_Modalities,"",SUM(Demand!I213))</f>
        <v/>
      </c>
      <c r="BD213" s="259" t="str">
        <f ca="1">IF(AND(A213&lt;=MaxRows,BE213&lt;&gt;"Yes"),'Demand background (hide)'!X204+IF(Setup!$I$15="Yes",'Demand background (hide)'!AJ204,0),"")</f>
        <v/>
      </c>
      <c r="BE213" s="209"/>
    </row>
    <row r="214" spans="1:57" x14ac:dyDescent="0.25">
      <c r="A214" t="str">
        <f t="shared" ca="1" si="12"/>
        <v/>
      </c>
      <c r="B214" s="264" t="str">
        <f t="shared" ca="1" si="13"/>
        <v xml:space="preserve"> </v>
      </c>
      <c r="C214" s="265" t="str">
        <f t="shared" ca="1" si="14"/>
        <v/>
      </c>
      <c r="D214" s="350" t="str">
        <f t="shared" ca="1" si="15"/>
        <v/>
      </c>
      <c r="E214" s="192"/>
      <c r="F214" s="192"/>
      <c r="G214" s="192"/>
      <c r="H214" s="192"/>
      <c r="I214" s="251" t="str">
        <f>IF(COUNTBLANK(E214:H214)=4,"",SUM(E214:G214)+IF(Setup!$I$15="No",0,H214))</f>
        <v/>
      </c>
      <c r="J214" s="192"/>
      <c r="K214" s="192"/>
      <c r="L214" s="192"/>
      <c r="M214" s="192"/>
      <c r="N214" s="255" t="str">
        <f>IF(COUNTBLANK(J214:M214)=4,"",SUM(J214:L214)+IF(Setup!$I$15="No",0,M214))</f>
        <v/>
      </c>
      <c r="O214" s="192"/>
      <c r="P214" s="192"/>
      <c r="Q214" s="192"/>
      <c r="R214" s="192"/>
      <c r="S214" s="255" t="str">
        <f>IF(COUNTBLANK(O214:R214)=4,"",SUM(O214:Q214)+IF(Setup!$I$15="No",0,R214))</f>
        <v/>
      </c>
      <c r="T214" s="192"/>
      <c r="U214" s="192"/>
      <c r="V214" s="192"/>
      <c r="W214" s="192"/>
      <c r="X214" s="255" t="str">
        <f>IF(COUNTBLANK(T214:W214)=4,"",SUM(T214:V214)+IF(Setup!$I$15="No",0,W214))</f>
        <v/>
      </c>
      <c r="Y214" s="192"/>
      <c r="Z214" s="192"/>
      <c r="AA214" s="192"/>
      <c r="AB214" s="192"/>
      <c r="AC214" s="255" t="str">
        <f>IF(COUNTBLANK(Y214:AB214)=4,"",SUM(Y214:AA214)+IF(Setup!$I$15="No",0,AB214))</f>
        <v/>
      </c>
      <c r="AD214" s="192"/>
      <c r="AE214" s="192"/>
      <c r="AF214" s="192"/>
      <c r="AG214" s="192"/>
      <c r="AH214" s="255" t="str">
        <f>IF(COUNTBLANK(AD214:AG214)=4,"",SUM(AD214:AF214)+IF(Setup!$I$15="No",0,AG214))</f>
        <v/>
      </c>
      <c r="AI214" s="192"/>
      <c r="AJ214" s="192"/>
      <c r="AK214" s="192"/>
      <c r="AL214" s="192"/>
      <c r="AM214" s="255" t="str">
        <f>IF(COUNTBLANK(AI214:AL214)=4,"",SUM(AI214:AK214)+IF(Setup!$I$15="No",0,AL214))</f>
        <v/>
      </c>
      <c r="AN214" s="192"/>
      <c r="AO214" s="192"/>
      <c r="AP214" s="192"/>
      <c r="AQ214" s="192"/>
      <c r="AR214" s="255" t="str">
        <f>IF(COUNTBLANK(AN214:AQ214)=4,"",SUM(AN214:AP214)+IF(Setup!$I$15="No",0,AQ214))</f>
        <v/>
      </c>
      <c r="AS214" s="192"/>
      <c r="AT214" s="192"/>
      <c r="AU214" s="192"/>
      <c r="AV214" s="192"/>
      <c r="AW214" s="255" t="str">
        <f>IF(COUNTBLANK(AS214:AV214)=4,"",SUM(AS214:AU214)+IF(Setup!$I$15="No",0,AV214))</f>
        <v/>
      </c>
      <c r="AX214" s="192"/>
      <c r="AY214" s="192"/>
      <c r="AZ214" s="192"/>
      <c r="BA214" s="192"/>
      <c r="BB214" s="255" t="str">
        <f>IF(COUNTBLANK(AX214:BA214)=4,"",SUM(AX214:AZ214)+IF(Setup!$I$15="No",0,BA214))</f>
        <v/>
      </c>
      <c r="BC214" s="259" t="str">
        <f ca="1">IF('Demand background (hide)'!A205=Num_Modalities,"",SUM(Demand!I214))</f>
        <v/>
      </c>
      <c r="BD214" s="259" t="str">
        <f ca="1">IF(AND(A214&lt;=MaxRows,BE214&lt;&gt;"Yes"),'Demand background (hide)'!X205+IF(Setup!$I$15="Yes",'Demand background (hide)'!AJ205,0),"")</f>
        <v/>
      </c>
      <c r="BE214" s="209"/>
    </row>
    <row r="215" spans="1:57" x14ac:dyDescent="0.25">
      <c r="A215" t="str">
        <f t="shared" ca="1" si="12"/>
        <v/>
      </c>
      <c r="B215" s="264" t="str">
        <f t="shared" ca="1" si="13"/>
        <v xml:space="preserve"> </v>
      </c>
      <c r="C215" s="265" t="str">
        <f t="shared" ca="1" si="14"/>
        <v/>
      </c>
      <c r="D215" s="350" t="str">
        <f t="shared" ca="1" si="15"/>
        <v/>
      </c>
      <c r="E215" s="192"/>
      <c r="F215" s="192"/>
      <c r="G215" s="192"/>
      <c r="H215" s="192"/>
      <c r="I215" s="251" t="str">
        <f>IF(COUNTBLANK(E215:H215)=4,"",SUM(E215:G215)+IF(Setup!$I$15="No",0,H215))</f>
        <v/>
      </c>
      <c r="J215" s="192"/>
      <c r="K215" s="192"/>
      <c r="L215" s="192"/>
      <c r="M215" s="192"/>
      <c r="N215" s="255" t="str">
        <f>IF(COUNTBLANK(J215:M215)=4,"",SUM(J215:L215)+IF(Setup!$I$15="No",0,M215))</f>
        <v/>
      </c>
      <c r="O215" s="192"/>
      <c r="P215" s="192"/>
      <c r="Q215" s="192"/>
      <c r="R215" s="192"/>
      <c r="S215" s="255" t="str">
        <f>IF(COUNTBLANK(O215:R215)=4,"",SUM(O215:Q215)+IF(Setup!$I$15="No",0,R215))</f>
        <v/>
      </c>
      <c r="T215" s="192"/>
      <c r="U215" s="192"/>
      <c r="V215" s="192"/>
      <c r="W215" s="192"/>
      <c r="X215" s="255" t="str">
        <f>IF(COUNTBLANK(T215:W215)=4,"",SUM(T215:V215)+IF(Setup!$I$15="No",0,W215))</f>
        <v/>
      </c>
      <c r="Y215" s="192"/>
      <c r="Z215" s="192"/>
      <c r="AA215" s="192"/>
      <c r="AB215" s="192"/>
      <c r="AC215" s="255" t="str">
        <f>IF(COUNTBLANK(Y215:AB215)=4,"",SUM(Y215:AA215)+IF(Setup!$I$15="No",0,AB215))</f>
        <v/>
      </c>
      <c r="AD215" s="192"/>
      <c r="AE215" s="192"/>
      <c r="AF215" s="192"/>
      <c r="AG215" s="192"/>
      <c r="AH215" s="255" t="str">
        <f>IF(COUNTBLANK(AD215:AG215)=4,"",SUM(AD215:AF215)+IF(Setup!$I$15="No",0,AG215))</f>
        <v/>
      </c>
      <c r="AI215" s="192"/>
      <c r="AJ215" s="192"/>
      <c r="AK215" s="192"/>
      <c r="AL215" s="192"/>
      <c r="AM215" s="255" t="str">
        <f>IF(COUNTBLANK(AI215:AL215)=4,"",SUM(AI215:AK215)+IF(Setup!$I$15="No",0,AL215))</f>
        <v/>
      </c>
      <c r="AN215" s="192"/>
      <c r="AO215" s="192"/>
      <c r="AP215" s="192"/>
      <c r="AQ215" s="192"/>
      <c r="AR215" s="255" t="str">
        <f>IF(COUNTBLANK(AN215:AQ215)=4,"",SUM(AN215:AP215)+IF(Setup!$I$15="No",0,AQ215))</f>
        <v/>
      </c>
      <c r="AS215" s="192"/>
      <c r="AT215" s="192"/>
      <c r="AU215" s="192"/>
      <c r="AV215" s="192"/>
      <c r="AW215" s="255" t="str">
        <f>IF(COUNTBLANK(AS215:AV215)=4,"",SUM(AS215:AU215)+IF(Setup!$I$15="No",0,AV215))</f>
        <v/>
      </c>
      <c r="AX215" s="192"/>
      <c r="AY215" s="192"/>
      <c r="AZ215" s="192"/>
      <c r="BA215" s="192"/>
      <c r="BB215" s="255" t="str">
        <f>IF(COUNTBLANK(AX215:BA215)=4,"",SUM(AX215:AZ215)+IF(Setup!$I$15="No",0,BA215))</f>
        <v/>
      </c>
      <c r="BC215" s="259" t="str">
        <f ca="1">IF('Demand background (hide)'!A206=Num_Modalities,"",SUM(Demand!I215))</f>
        <v/>
      </c>
      <c r="BD215" s="259" t="str">
        <f ca="1">IF(AND(A215&lt;=MaxRows,BE215&lt;&gt;"Yes"),'Demand background (hide)'!X206+IF(Setup!$I$15="Yes",'Demand background (hide)'!AJ206,0),"")</f>
        <v/>
      </c>
      <c r="BE215" s="209"/>
    </row>
    <row r="216" spans="1:57" x14ac:dyDescent="0.25">
      <c r="A216" t="str">
        <f t="shared" ca="1" si="12"/>
        <v/>
      </c>
      <c r="B216" s="264" t="str">
        <f t="shared" ca="1" si="13"/>
        <v xml:space="preserve"> </v>
      </c>
      <c r="C216" s="265" t="str">
        <f t="shared" ca="1" si="14"/>
        <v/>
      </c>
      <c r="D216" s="350" t="str">
        <f t="shared" ca="1" si="15"/>
        <v/>
      </c>
      <c r="E216" s="192"/>
      <c r="F216" s="192"/>
      <c r="G216" s="192"/>
      <c r="H216" s="192"/>
      <c r="I216" s="251" t="str">
        <f>IF(COUNTBLANK(E216:H216)=4,"",SUM(E216:G216)+IF(Setup!$I$15="No",0,H216))</f>
        <v/>
      </c>
      <c r="J216" s="192"/>
      <c r="K216" s="192"/>
      <c r="L216" s="192"/>
      <c r="M216" s="192"/>
      <c r="N216" s="255" t="str">
        <f>IF(COUNTBLANK(J216:M216)=4,"",SUM(J216:L216)+IF(Setup!$I$15="No",0,M216))</f>
        <v/>
      </c>
      <c r="O216" s="192"/>
      <c r="P216" s="192"/>
      <c r="Q216" s="192"/>
      <c r="R216" s="192"/>
      <c r="S216" s="255" t="str">
        <f>IF(COUNTBLANK(O216:R216)=4,"",SUM(O216:Q216)+IF(Setup!$I$15="No",0,R216))</f>
        <v/>
      </c>
      <c r="T216" s="192"/>
      <c r="U216" s="192"/>
      <c r="V216" s="192"/>
      <c r="W216" s="192"/>
      <c r="X216" s="255" t="str">
        <f>IF(COUNTBLANK(T216:W216)=4,"",SUM(T216:V216)+IF(Setup!$I$15="No",0,W216))</f>
        <v/>
      </c>
      <c r="Y216" s="192"/>
      <c r="Z216" s="192"/>
      <c r="AA216" s="192"/>
      <c r="AB216" s="192"/>
      <c r="AC216" s="255" t="str">
        <f>IF(COUNTBLANK(Y216:AB216)=4,"",SUM(Y216:AA216)+IF(Setup!$I$15="No",0,AB216))</f>
        <v/>
      </c>
      <c r="AD216" s="192"/>
      <c r="AE216" s="192"/>
      <c r="AF216" s="192"/>
      <c r="AG216" s="192"/>
      <c r="AH216" s="255" t="str">
        <f>IF(COUNTBLANK(AD216:AG216)=4,"",SUM(AD216:AF216)+IF(Setup!$I$15="No",0,AG216))</f>
        <v/>
      </c>
      <c r="AI216" s="192"/>
      <c r="AJ216" s="192"/>
      <c r="AK216" s="192"/>
      <c r="AL216" s="192"/>
      <c r="AM216" s="255" t="str">
        <f>IF(COUNTBLANK(AI216:AL216)=4,"",SUM(AI216:AK216)+IF(Setup!$I$15="No",0,AL216))</f>
        <v/>
      </c>
      <c r="AN216" s="192"/>
      <c r="AO216" s="192"/>
      <c r="AP216" s="192"/>
      <c r="AQ216" s="192"/>
      <c r="AR216" s="255" t="str">
        <f>IF(COUNTBLANK(AN216:AQ216)=4,"",SUM(AN216:AP216)+IF(Setup!$I$15="No",0,AQ216))</f>
        <v/>
      </c>
      <c r="AS216" s="192"/>
      <c r="AT216" s="192"/>
      <c r="AU216" s="192"/>
      <c r="AV216" s="192"/>
      <c r="AW216" s="255" t="str">
        <f>IF(COUNTBLANK(AS216:AV216)=4,"",SUM(AS216:AU216)+IF(Setup!$I$15="No",0,AV216))</f>
        <v/>
      </c>
      <c r="AX216" s="192"/>
      <c r="AY216" s="192"/>
      <c r="AZ216" s="192"/>
      <c r="BA216" s="192"/>
      <c r="BB216" s="255" t="str">
        <f>IF(COUNTBLANK(AX216:BA216)=4,"",SUM(AX216:AZ216)+IF(Setup!$I$15="No",0,BA216))</f>
        <v/>
      </c>
      <c r="BC216" s="259" t="str">
        <f ca="1">IF('Demand background (hide)'!A207=Num_Modalities,"",SUM(Demand!I216))</f>
        <v/>
      </c>
      <c r="BD216" s="259" t="str">
        <f ca="1">IF(AND(A216&lt;=MaxRows,BE216&lt;&gt;"Yes"),'Demand background (hide)'!X207+IF(Setup!$I$15="Yes",'Demand background (hide)'!AJ207,0),"")</f>
        <v/>
      </c>
      <c r="BE216" s="209"/>
    </row>
    <row r="217" spans="1:57" x14ac:dyDescent="0.25">
      <c r="A217" t="str">
        <f t="shared" ca="1" si="12"/>
        <v/>
      </c>
      <c r="B217" s="264" t="str">
        <f t="shared" ca="1" si="13"/>
        <v xml:space="preserve"> </v>
      </c>
      <c r="C217" s="265" t="str">
        <f t="shared" ca="1" si="14"/>
        <v/>
      </c>
      <c r="D217" s="350" t="str">
        <f t="shared" ca="1" si="15"/>
        <v/>
      </c>
      <c r="E217" s="192"/>
      <c r="F217" s="192"/>
      <c r="G217" s="192"/>
      <c r="H217" s="192"/>
      <c r="I217" s="251" t="str">
        <f>IF(COUNTBLANK(E217:H217)=4,"",SUM(E217:G217)+IF(Setup!$I$15="No",0,H217))</f>
        <v/>
      </c>
      <c r="J217" s="192"/>
      <c r="K217" s="192"/>
      <c r="L217" s="192"/>
      <c r="M217" s="192"/>
      <c r="N217" s="255" t="str">
        <f>IF(COUNTBLANK(J217:M217)=4,"",SUM(J217:L217)+IF(Setup!$I$15="No",0,M217))</f>
        <v/>
      </c>
      <c r="O217" s="192"/>
      <c r="P217" s="192"/>
      <c r="Q217" s="192"/>
      <c r="R217" s="192"/>
      <c r="S217" s="255" t="str">
        <f>IF(COUNTBLANK(O217:R217)=4,"",SUM(O217:Q217)+IF(Setup!$I$15="No",0,R217))</f>
        <v/>
      </c>
      <c r="T217" s="192"/>
      <c r="U217" s="192"/>
      <c r="V217" s="192"/>
      <c r="W217" s="192"/>
      <c r="X217" s="255" t="str">
        <f>IF(COUNTBLANK(T217:W217)=4,"",SUM(T217:V217)+IF(Setup!$I$15="No",0,W217))</f>
        <v/>
      </c>
      <c r="Y217" s="192"/>
      <c r="Z217" s="192"/>
      <c r="AA217" s="192"/>
      <c r="AB217" s="192"/>
      <c r="AC217" s="255" t="str">
        <f>IF(COUNTBLANK(Y217:AB217)=4,"",SUM(Y217:AA217)+IF(Setup!$I$15="No",0,AB217))</f>
        <v/>
      </c>
      <c r="AD217" s="192"/>
      <c r="AE217" s="192"/>
      <c r="AF217" s="192"/>
      <c r="AG217" s="192"/>
      <c r="AH217" s="255" t="str">
        <f>IF(COUNTBLANK(AD217:AG217)=4,"",SUM(AD217:AF217)+IF(Setup!$I$15="No",0,AG217))</f>
        <v/>
      </c>
      <c r="AI217" s="192"/>
      <c r="AJ217" s="192"/>
      <c r="AK217" s="192"/>
      <c r="AL217" s="192"/>
      <c r="AM217" s="255" t="str">
        <f>IF(COUNTBLANK(AI217:AL217)=4,"",SUM(AI217:AK217)+IF(Setup!$I$15="No",0,AL217))</f>
        <v/>
      </c>
      <c r="AN217" s="192"/>
      <c r="AO217" s="192"/>
      <c r="AP217" s="192"/>
      <c r="AQ217" s="192"/>
      <c r="AR217" s="255" t="str">
        <f>IF(COUNTBLANK(AN217:AQ217)=4,"",SUM(AN217:AP217)+IF(Setup!$I$15="No",0,AQ217))</f>
        <v/>
      </c>
      <c r="AS217" s="192"/>
      <c r="AT217" s="192"/>
      <c r="AU217" s="192"/>
      <c r="AV217" s="192"/>
      <c r="AW217" s="255" t="str">
        <f>IF(COUNTBLANK(AS217:AV217)=4,"",SUM(AS217:AU217)+IF(Setup!$I$15="No",0,AV217))</f>
        <v/>
      </c>
      <c r="AX217" s="192"/>
      <c r="AY217" s="192"/>
      <c r="AZ217" s="192"/>
      <c r="BA217" s="192"/>
      <c r="BB217" s="255" t="str">
        <f>IF(COUNTBLANK(AX217:BA217)=4,"",SUM(AX217:AZ217)+IF(Setup!$I$15="No",0,BA217))</f>
        <v/>
      </c>
      <c r="BC217" s="259" t="str">
        <f ca="1">IF('Demand background (hide)'!A208=Num_Modalities,"",SUM(Demand!I217))</f>
        <v/>
      </c>
      <c r="BD217" s="259" t="str">
        <f ca="1">IF(AND(A217&lt;=MaxRows,BE217&lt;&gt;"Yes"),'Demand background (hide)'!X208+IF(Setup!$I$15="Yes",'Demand background (hide)'!AJ208,0),"")</f>
        <v/>
      </c>
      <c r="BE217" s="209"/>
    </row>
    <row r="218" spans="1:57" x14ac:dyDescent="0.25">
      <c r="A218" t="str">
        <f t="shared" ca="1" si="12"/>
        <v/>
      </c>
      <c r="B218" s="264" t="str">
        <f t="shared" ca="1" si="13"/>
        <v xml:space="preserve"> </v>
      </c>
      <c r="C218" s="265" t="str">
        <f t="shared" ca="1" si="14"/>
        <v/>
      </c>
      <c r="D218" s="350" t="str">
        <f t="shared" ca="1" si="15"/>
        <v/>
      </c>
      <c r="E218" s="192"/>
      <c r="F218" s="192"/>
      <c r="G218" s="192"/>
      <c r="H218" s="192"/>
      <c r="I218" s="251" t="str">
        <f>IF(COUNTBLANK(E218:H218)=4,"",SUM(E218:G218)+IF(Setup!$I$15="No",0,H218))</f>
        <v/>
      </c>
      <c r="J218" s="192"/>
      <c r="K218" s="192"/>
      <c r="L218" s="192"/>
      <c r="M218" s="192"/>
      <c r="N218" s="255" t="str">
        <f>IF(COUNTBLANK(J218:M218)=4,"",SUM(J218:L218)+IF(Setup!$I$15="No",0,M218))</f>
        <v/>
      </c>
      <c r="O218" s="192"/>
      <c r="P218" s="192"/>
      <c r="Q218" s="192"/>
      <c r="R218" s="192"/>
      <c r="S218" s="255" t="str">
        <f>IF(COUNTBLANK(O218:R218)=4,"",SUM(O218:Q218)+IF(Setup!$I$15="No",0,R218))</f>
        <v/>
      </c>
      <c r="T218" s="192"/>
      <c r="U218" s="192"/>
      <c r="V218" s="192"/>
      <c r="W218" s="192"/>
      <c r="X218" s="255" t="str">
        <f>IF(COUNTBLANK(T218:W218)=4,"",SUM(T218:V218)+IF(Setup!$I$15="No",0,W218))</f>
        <v/>
      </c>
      <c r="Y218" s="192"/>
      <c r="Z218" s="192"/>
      <c r="AA218" s="192"/>
      <c r="AB218" s="192"/>
      <c r="AC218" s="255" t="str">
        <f>IF(COUNTBLANK(Y218:AB218)=4,"",SUM(Y218:AA218)+IF(Setup!$I$15="No",0,AB218))</f>
        <v/>
      </c>
      <c r="AD218" s="192"/>
      <c r="AE218" s="192"/>
      <c r="AF218" s="192"/>
      <c r="AG218" s="192"/>
      <c r="AH218" s="255" t="str">
        <f>IF(COUNTBLANK(AD218:AG218)=4,"",SUM(AD218:AF218)+IF(Setup!$I$15="No",0,AG218))</f>
        <v/>
      </c>
      <c r="AI218" s="192"/>
      <c r="AJ218" s="192"/>
      <c r="AK218" s="192"/>
      <c r="AL218" s="192"/>
      <c r="AM218" s="255" t="str">
        <f>IF(COUNTBLANK(AI218:AL218)=4,"",SUM(AI218:AK218)+IF(Setup!$I$15="No",0,AL218))</f>
        <v/>
      </c>
      <c r="AN218" s="192"/>
      <c r="AO218" s="192"/>
      <c r="AP218" s="192"/>
      <c r="AQ218" s="192"/>
      <c r="AR218" s="255" t="str">
        <f>IF(COUNTBLANK(AN218:AQ218)=4,"",SUM(AN218:AP218)+IF(Setup!$I$15="No",0,AQ218))</f>
        <v/>
      </c>
      <c r="AS218" s="192"/>
      <c r="AT218" s="192"/>
      <c r="AU218" s="192"/>
      <c r="AV218" s="192"/>
      <c r="AW218" s="255" t="str">
        <f>IF(COUNTBLANK(AS218:AV218)=4,"",SUM(AS218:AU218)+IF(Setup!$I$15="No",0,AV218))</f>
        <v/>
      </c>
      <c r="AX218" s="192"/>
      <c r="AY218" s="192"/>
      <c r="AZ218" s="192"/>
      <c r="BA218" s="192"/>
      <c r="BB218" s="255" t="str">
        <f>IF(COUNTBLANK(AX218:BA218)=4,"",SUM(AX218:AZ218)+IF(Setup!$I$15="No",0,BA218))</f>
        <v/>
      </c>
      <c r="BC218" s="259" t="str">
        <f ca="1">IF('Demand background (hide)'!A209=Num_Modalities,"",SUM(Demand!I218))</f>
        <v/>
      </c>
      <c r="BD218" s="259" t="str">
        <f ca="1">IF(AND(A218&lt;=MaxRows,BE218&lt;&gt;"Yes"),'Demand background (hide)'!X209+IF(Setup!$I$15="Yes",'Demand background (hide)'!AJ209,0),"")</f>
        <v/>
      </c>
      <c r="BE218" s="209"/>
    </row>
    <row r="219" spans="1:57" x14ac:dyDescent="0.25">
      <c r="A219" t="str">
        <f t="shared" ca="1" si="12"/>
        <v/>
      </c>
      <c r="B219" s="264" t="str">
        <f t="shared" ca="1" si="13"/>
        <v xml:space="preserve"> </v>
      </c>
      <c r="C219" s="265" t="str">
        <f t="shared" ca="1" si="14"/>
        <v/>
      </c>
      <c r="D219" s="350" t="str">
        <f t="shared" ca="1" si="15"/>
        <v/>
      </c>
      <c r="E219" s="192"/>
      <c r="F219" s="192"/>
      <c r="G219" s="192"/>
      <c r="H219" s="192"/>
      <c r="I219" s="251" t="str">
        <f>IF(COUNTBLANK(E219:H219)=4,"",SUM(E219:G219)+IF(Setup!$I$15="No",0,H219))</f>
        <v/>
      </c>
      <c r="J219" s="192"/>
      <c r="K219" s="192"/>
      <c r="L219" s="192"/>
      <c r="M219" s="192"/>
      <c r="N219" s="255" t="str">
        <f>IF(COUNTBLANK(J219:M219)=4,"",SUM(J219:L219)+IF(Setup!$I$15="No",0,M219))</f>
        <v/>
      </c>
      <c r="O219" s="192"/>
      <c r="P219" s="192"/>
      <c r="Q219" s="192"/>
      <c r="R219" s="192"/>
      <c r="S219" s="255" t="str">
        <f>IF(COUNTBLANK(O219:R219)=4,"",SUM(O219:Q219)+IF(Setup!$I$15="No",0,R219))</f>
        <v/>
      </c>
      <c r="T219" s="192"/>
      <c r="U219" s="192"/>
      <c r="V219" s="192"/>
      <c r="W219" s="192"/>
      <c r="X219" s="255" t="str">
        <f>IF(COUNTBLANK(T219:W219)=4,"",SUM(T219:V219)+IF(Setup!$I$15="No",0,W219))</f>
        <v/>
      </c>
      <c r="Y219" s="192"/>
      <c r="Z219" s="192"/>
      <c r="AA219" s="192"/>
      <c r="AB219" s="192"/>
      <c r="AC219" s="255" t="str">
        <f>IF(COUNTBLANK(Y219:AB219)=4,"",SUM(Y219:AA219)+IF(Setup!$I$15="No",0,AB219))</f>
        <v/>
      </c>
      <c r="AD219" s="192"/>
      <c r="AE219" s="192"/>
      <c r="AF219" s="192"/>
      <c r="AG219" s="192"/>
      <c r="AH219" s="255" t="str">
        <f>IF(COUNTBLANK(AD219:AG219)=4,"",SUM(AD219:AF219)+IF(Setup!$I$15="No",0,AG219))</f>
        <v/>
      </c>
      <c r="AI219" s="192"/>
      <c r="AJ219" s="192"/>
      <c r="AK219" s="192"/>
      <c r="AL219" s="192"/>
      <c r="AM219" s="255" t="str">
        <f>IF(COUNTBLANK(AI219:AL219)=4,"",SUM(AI219:AK219)+IF(Setup!$I$15="No",0,AL219))</f>
        <v/>
      </c>
      <c r="AN219" s="192"/>
      <c r="AO219" s="192"/>
      <c r="AP219" s="192"/>
      <c r="AQ219" s="192"/>
      <c r="AR219" s="255" t="str">
        <f>IF(COUNTBLANK(AN219:AQ219)=4,"",SUM(AN219:AP219)+IF(Setup!$I$15="No",0,AQ219))</f>
        <v/>
      </c>
      <c r="AS219" s="192"/>
      <c r="AT219" s="192"/>
      <c r="AU219" s="192"/>
      <c r="AV219" s="192"/>
      <c r="AW219" s="255" t="str">
        <f>IF(COUNTBLANK(AS219:AV219)=4,"",SUM(AS219:AU219)+IF(Setup!$I$15="No",0,AV219))</f>
        <v/>
      </c>
      <c r="AX219" s="192"/>
      <c r="AY219" s="192"/>
      <c r="AZ219" s="192"/>
      <c r="BA219" s="192"/>
      <c r="BB219" s="255" t="str">
        <f>IF(COUNTBLANK(AX219:BA219)=4,"",SUM(AX219:AZ219)+IF(Setup!$I$15="No",0,BA219))</f>
        <v/>
      </c>
      <c r="BC219" s="259" t="str">
        <f ca="1">IF('Demand background (hide)'!A210=Num_Modalities,"",SUM(Demand!I219))</f>
        <v/>
      </c>
      <c r="BD219" s="259" t="str">
        <f ca="1">IF(AND(A219&lt;=MaxRows,BE219&lt;&gt;"Yes"),'Demand background (hide)'!X210+IF(Setup!$I$15="Yes",'Demand background (hide)'!AJ210,0),"")</f>
        <v/>
      </c>
      <c r="BE219" s="209"/>
    </row>
    <row r="220" spans="1:57" x14ac:dyDescent="0.25">
      <c r="A220" t="str">
        <f t="shared" ca="1" si="12"/>
        <v/>
      </c>
      <c r="B220" s="264" t="str">
        <f t="shared" ca="1" si="13"/>
        <v xml:space="preserve"> </v>
      </c>
      <c r="C220" s="265" t="str">
        <f t="shared" ca="1" si="14"/>
        <v/>
      </c>
      <c r="D220" s="350" t="str">
        <f t="shared" ca="1" si="15"/>
        <v/>
      </c>
      <c r="E220" s="192"/>
      <c r="F220" s="192"/>
      <c r="G220" s="192"/>
      <c r="H220" s="192"/>
      <c r="I220" s="251" t="str">
        <f>IF(COUNTBLANK(E220:H220)=4,"",SUM(E220:G220)+IF(Setup!$I$15="No",0,H220))</f>
        <v/>
      </c>
      <c r="J220" s="192"/>
      <c r="K220" s="192"/>
      <c r="L220" s="192"/>
      <c r="M220" s="192"/>
      <c r="N220" s="255" t="str">
        <f>IF(COUNTBLANK(J220:M220)=4,"",SUM(J220:L220)+IF(Setup!$I$15="No",0,M220))</f>
        <v/>
      </c>
      <c r="O220" s="192"/>
      <c r="P220" s="192"/>
      <c r="Q220" s="192"/>
      <c r="R220" s="192"/>
      <c r="S220" s="255" t="str">
        <f>IF(COUNTBLANK(O220:R220)=4,"",SUM(O220:Q220)+IF(Setup!$I$15="No",0,R220))</f>
        <v/>
      </c>
      <c r="T220" s="192"/>
      <c r="U220" s="192"/>
      <c r="V220" s="192"/>
      <c r="W220" s="192"/>
      <c r="X220" s="255" t="str">
        <f>IF(COUNTBLANK(T220:W220)=4,"",SUM(T220:V220)+IF(Setup!$I$15="No",0,W220))</f>
        <v/>
      </c>
      <c r="Y220" s="192"/>
      <c r="Z220" s="192"/>
      <c r="AA220" s="192"/>
      <c r="AB220" s="192"/>
      <c r="AC220" s="255" t="str">
        <f>IF(COUNTBLANK(Y220:AB220)=4,"",SUM(Y220:AA220)+IF(Setup!$I$15="No",0,AB220))</f>
        <v/>
      </c>
      <c r="AD220" s="192"/>
      <c r="AE220" s="192"/>
      <c r="AF220" s="192"/>
      <c r="AG220" s="192"/>
      <c r="AH220" s="255" t="str">
        <f>IF(COUNTBLANK(AD220:AG220)=4,"",SUM(AD220:AF220)+IF(Setup!$I$15="No",0,AG220))</f>
        <v/>
      </c>
      <c r="AI220" s="192"/>
      <c r="AJ220" s="192"/>
      <c r="AK220" s="192"/>
      <c r="AL220" s="192"/>
      <c r="AM220" s="255" t="str">
        <f>IF(COUNTBLANK(AI220:AL220)=4,"",SUM(AI220:AK220)+IF(Setup!$I$15="No",0,AL220))</f>
        <v/>
      </c>
      <c r="AN220" s="192"/>
      <c r="AO220" s="192"/>
      <c r="AP220" s="192"/>
      <c r="AQ220" s="192"/>
      <c r="AR220" s="255" t="str">
        <f>IF(COUNTBLANK(AN220:AQ220)=4,"",SUM(AN220:AP220)+IF(Setup!$I$15="No",0,AQ220))</f>
        <v/>
      </c>
      <c r="AS220" s="192"/>
      <c r="AT220" s="192"/>
      <c r="AU220" s="192"/>
      <c r="AV220" s="192"/>
      <c r="AW220" s="255" t="str">
        <f>IF(COUNTBLANK(AS220:AV220)=4,"",SUM(AS220:AU220)+IF(Setup!$I$15="No",0,AV220))</f>
        <v/>
      </c>
      <c r="AX220" s="192"/>
      <c r="AY220" s="192"/>
      <c r="AZ220" s="192"/>
      <c r="BA220" s="192"/>
      <c r="BB220" s="255" t="str">
        <f>IF(COUNTBLANK(AX220:BA220)=4,"",SUM(AX220:AZ220)+IF(Setup!$I$15="No",0,BA220))</f>
        <v/>
      </c>
      <c r="BC220" s="259" t="str">
        <f ca="1">IF('Demand background (hide)'!A211=Num_Modalities,"",SUM(Demand!I220))</f>
        <v/>
      </c>
      <c r="BD220" s="259" t="str">
        <f ca="1">IF(AND(A220&lt;=MaxRows,BE220&lt;&gt;"Yes"),'Demand background (hide)'!X211+IF(Setup!$I$15="Yes",'Demand background (hide)'!AJ211,0),"")</f>
        <v/>
      </c>
      <c r="BE220" s="209"/>
    </row>
    <row r="221" spans="1:57" x14ac:dyDescent="0.25">
      <c r="A221" t="str">
        <f t="shared" ca="1" si="12"/>
        <v/>
      </c>
      <c r="B221" s="264" t="str">
        <f t="shared" ca="1" si="13"/>
        <v xml:space="preserve"> </v>
      </c>
      <c r="C221" s="265" t="str">
        <f t="shared" ca="1" si="14"/>
        <v/>
      </c>
      <c r="D221" s="350" t="str">
        <f t="shared" ca="1" si="15"/>
        <v/>
      </c>
      <c r="E221" s="192"/>
      <c r="F221" s="192"/>
      <c r="G221" s="192"/>
      <c r="H221" s="192"/>
      <c r="I221" s="251" t="str">
        <f>IF(COUNTBLANK(E221:H221)=4,"",SUM(E221:G221)+IF(Setup!$I$15="No",0,H221))</f>
        <v/>
      </c>
      <c r="J221" s="192"/>
      <c r="K221" s="192"/>
      <c r="L221" s="192"/>
      <c r="M221" s="192"/>
      <c r="N221" s="255" t="str">
        <f>IF(COUNTBLANK(J221:M221)=4,"",SUM(J221:L221)+IF(Setup!$I$15="No",0,M221))</f>
        <v/>
      </c>
      <c r="O221" s="192"/>
      <c r="P221" s="192"/>
      <c r="Q221" s="192"/>
      <c r="R221" s="192"/>
      <c r="S221" s="255" t="str">
        <f>IF(COUNTBLANK(O221:R221)=4,"",SUM(O221:Q221)+IF(Setup!$I$15="No",0,R221))</f>
        <v/>
      </c>
      <c r="T221" s="192"/>
      <c r="U221" s="192"/>
      <c r="V221" s="192"/>
      <c r="W221" s="192"/>
      <c r="X221" s="255" t="str">
        <f>IF(COUNTBLANK(T221:W221)=4,"",SUM(T221:V221)+IF(Setup!$I$15="No",0,W221))</f>
        <v/>
      </c>
      <c r="Y221" s="192"/>
      <c r="Z221" s="192"/>
      <c r="AA221" s="192"/>
      <c r="AB221" s="192"/>
      <c r="AC221" s="255" t="str">
        <f>IF(COUNTBLANK(Y221:AB221)=4,"",SUM(Y221:AA221)+IF(Setup!$I$15="No",0,AB221))</f>
        <v/>
      </c>
      <c r="AD221" s="192"/>
      <c r="AE221" s="192"/>
      <c r="AF221" s="192"/>
      <c r="AG221" s="192"/>
      <c r="AH221" s="255" t="str">
        <f>IF(COUNTBLANK(AD221:AG221)=4,"",SUM(AD221:AF221)+IF(Setup!$I$15="No",0,AG221))</f>
        <v/>
      </c>
      <c r="AI221" s="192"/>
      <c r="AJ221" s="192"/>
      <c r="AK221" s="192"/>
      <c r="AL221" s="192"/>
      <c r="AM221" s="255" t="str">
        <f>IF(COUNTBLANK(AI221:AL221)=4,"",SUM(AI221:AK221)+IF(Setup!$I$15="No",0,AL221))</f>
        <v/>
      </c>
      <c r="AN221" s="192"/>
      <c r="AO221" s="192"/>
      <c r="AP221" s="192"/>
      <c r="AQ221" s="192"/>
      <c r="AR221" s="255" t="str">
        <f>IF(COUNTBLANK(AN221:AQ221)=4,"",SUM(AN221:AP221)+IF(Setup!$I$15="No",0,AQ221))</f>
        <v/>
      </c>
      <c r="AS221" s="192"/>
      <c r="AT221" s="192"/>
      <c r="AU221" s="192"/>
      <c r="AV221" s="192"/>
      <c r="AW221" s="255" t="str">
        <f>IF(COUNTBLANK(AS221:AV221)=4,"",SUM(AS221:AU221)+IF(Setup!$I$15="No",0,AV221))</f>
        <v/>
      </c>
      <c r="AX221" s="192"/>
      <c r="AY221" s="192"/>
      <c r="AZ221" s="192"/>
      <c r="BA221" s="192"/>
      <c r="BB221" s="255" t="str">
        <f>IF(COUNTBLANK(AX221:BA221)=4,"",SUM(AX221:AZ221)+IF(Setup!$I$15="No",0,BA221))</f>
        <v/>
      </c>
      <c r="BC221" s="259" t="str">
        <f ca="1">IF('Demand background (hide)'!A212=Num_Modalities,"",SUM(Demand!I221))</f>
        <v/>
      </c>
      <c r="BD221" s="259" t="str">
        <f ca="1">IF(AND(A221&lt;=MaxRows,BE221&lt;&gt;"Yes"),'Demand background (hide)'!X212+IF(Setup!$I$15="Yes",'Demand background (hide)'!AJ212,0),"")</f>
        <v/>
      </c>
      <c r="BE221" s="209"/>
    </row>
    <row r="222" spans="1:57" x14ac:dyDescent="0.25">
      <c r="A222" t="str">
        <f t="shared" ca="1" si="12"/>
        <v/>
      </c>
      <c r="B222" s="264" t="str">
        <f t="shared" ca="1" si="13"/>
        <v xml:space="preserve"> </v>
      </c>
      <c r="C222" s="265" t="str">
        <f t="shared" ca="1" si="14"/>
        <v/>
      </c>
      <c r="D222" s="350" t="str">
        <f t="shared" ca="1" si="15"/>
        <v/>
      </c>
      <c r="E222" s="192"/>
      <c r="F222" s="192"/>
      <c r="G222" s="192"/>
      <c r="H222" s="192"/>
      <c r="I222" s="251" t="str">
        <f>IF(COUNTBLANK(E222:H222)=4,"",SUM(E222:G222)+IF(Setup!$I$15="No",0,H222))</f>
        <v/>
      </c>
      <c r="J222" s="192"/>
      <c r="K222" s="192"/>
      <c r="L222" s="192"/>
      <c r="M222" s="192"/>
      <c r="N222" s="255" t="str">
        <f>IF(COUNTBLANK(J222:M222)=4,"",SUM(J222:L222)+IF(Setup!$I$15="No",0,M222))</f>
        <v/>
      </c>
      <c r="O222" s="192"/>
      <c r="P222" s="192"/>
      <c r="Q222" s="192"/>
      <c r="R222" s="192"/>
      <c r="S222" s="255" t="str">
        <f>IF(COUNTBLANK(O222:R222)=4,"",SUM(O222:Q222)+IF(Setup!$I$15="No",0,R222))</f>
        <v/>
      </c>
      <c r="T222" s="192"/>
      <c r="U222" s="192"/>
      <c r="V222" s="192"/>
      <c r="W222" s="192"/>
      <c r="X222" s="255" t="str">
        <f>IF(COUNTBLANK(T222:W222)=4,"",SUM(T222:V222)+IF(Setup!$I$15="No",0,W222))</f>
        <v/>
      </c>
      <c r="Y222" s="192"/>
      <c r="Z222" s="192"/>
      <c r="AA222" s="192"/>
      <c r="AB222" s="192"/>
      <c r="AC222" s="255" t="str">
        <f>IF(COUNTBLANK(Y222:AB222)=4,"",SUM(Y222:AA222)+IF(Setup!$I$15="No",0,AB222))</f>
        <v/>
      </c>
      <c r="AD222" s="192"/>
      <c r="AE222" s="192"/>
      <c r="AF222" s="192"/>
      <c r="AG222" s="192"/>
      <c r="AH222" s="255" t="str">
        <f>IF(COUNTBLANK(AD222:AG222)=4,"",SUM(AD222:AF222)+IF(Setup!$I$15="No",0,AG222))</f>
        <v/>
      </c>
      <c r="AI222" s="192"/>
      <c r="AJ222" s="192"/>
      <c r="AK222" s="192"/>
      <c r="AL222" s="192"/>
      <c r="AM222" s="255" t="str">
        <f>IF(COUNTBLANK(AI222:AL222)=4,"",SUM(AI222:AK222)+IF(Setup!$I$15="No",0,AL222))</f>
        <v/>
      </c>
      <c r="AN222" s="192"/>
      <c r="AO222" s="192"/>
      <c r="AP222" s="192"/>
      <c r="AQ222" s="192"/>
      <c r="AR222" s="255" t="str">
        <f>IF(COUNTBLANK(AN222:AQ222)=4,"",SUM(AN222:AP222)+IF(Setup!$I$15="No",0,AQ222))</f>
        <v/>
      </c>
      <c r="AS222" s="192"/>
      <c r="AT222" s="192"/>
      <c r="AU222" s="192"/>
      <c r="AV222" s="192"/>
      <c r="AW222" s="255" t="str">
        <f>IF(COUNTBLANK(AS222:AV222)=4,"",SUM(AS222:AU222)+IF(Setup!$I$15="No",0,AV222))</f>
        <v/>
      </c>
      <c r="AX222" s="192"/>
      <c r="AY222" s="192"/>
      <c r="AZ222" s="192"/>
      <c r="BA222" s="192"/>
      <c r="BB222" s="255" t="str">
        <f>IF(COUNTBLANK(AX222:BA222)=4,"",SUM(AX222:AZ222)+IF(Setup!$I$15="No",0,BA222))</f>
        <v/>
      </c>
      <c r="BC222" s="259" t="str">
        <f ca="1">IF('Demand background (hide)'!A213=Num_Modalities,"",SUM(Demand!I222))</f>
        <v/>
      </c>
      <c r="BD222" s="259" t="str">
        <f ca="1">IF(AND(A222&lt;=MaxRows,BE222&lt;&gt;"Yes"),'Demand background (hide)'!X213+IF(Setup!$I$15="Yes",'Demand background (hide)'!AJ213,0),"")</f>
        <v/>
      </c>
      <c r="BE222" s="209"/>
    </row>
    <row r="223" spans="1:57" x14ac:dyDescent="0.25">
      <c r="A223" t="str">
        <f t="shared" ca="1" si="12"/>
        <v/>
      </c>
      <c r="B223" s="264" t="str">
        <f t="shared" ca="1" si="13"/>
        <v xml:space="preserve"> </v>
      </c>
      <c r="C223" s="265" t="str">
        <f t="shared" ca="1" si="14"/>
        <v/>
      </c>
      <c r="D223" s="350" t="str">
        <f t="shared" ca="1" si="15"/>
        <v/>
      </c>
      <c r="E223" s="192"/>
      <c r="F223" s="192"/>
      <c r="G223" s="192"/>
      <c r="H223" s="192"/>
      <c r="I223" s="251" t="str">
        <f>IF(COUNTBLANK(E223:H223)=4,"",SUM(E223:G223)+IF(Setup!$I$15="No",0,H223))</f>
        <v/>
      </c>
      <c r="J223" s="192"/>
      <c r="K223" s="192"/>
      <c r="L223" s="192"/>
      <c r="M223" s="192"/>
      <c r="N223" s="255" t="str">
        <f>IF(COUNTBLANK(J223:M223)=4,"",SUM(J223:L223)+IF(Setup!$I$15="No",0,M223))</f>
        <v/>
      </c>
      <c r="O223" s="192"/>
      <c r="P223" s="192"/>
      <c r="Q223" s="192"/>
      <c r="R223" s="192"/>
      <c r="S223" s="255" t="str">
        <f>IF(COUNTBLANK(O223:R223)=4,"",SUM(O223:Q223)+IF(Setup!$I$15="No",0,R223))</f>
        <v/>
      </c>
      <c r="T223" s="192"/>
      <c r="U223" s="192"/>
      <c r="V223" s="192"/>
      <c r="W223" s="192"/>
      <c r="X223" s="255" t="str">
        <f>IF(COUNTBLANK(T223:W223)=4,"",SUM(T223:V223)+IF(Setup!$I$15="No",0,W223))</f>
        <v/>
      </c>
      <c r="Y223" s="192"/>
      <c r="Z223" s="192"/>
      <c r="AA223" s="192"/>
      <c r="AB223" s="192"/>
      <c r="AC223" s="255" t="str">
        <f>IF(COUNTBLANK(Y223:AB223)=4,"",SUM(Y223:AA223)+IF(Setup!$I$15="No",0,AB223))</f>
        <v/>
      </c>
      <c r="AD223" s="192"/>
      <c r="AE223" s="192"/>
      <c r="AF223" s="192"/>
      <c r="AG223" s="192"/>
      <c r="AH223" s="255" t="str">
        <f>IF(COUNTBLANK(AD223:AG223)=4,"",SUM(AD223:AF223)+IF(Setup!$I$15="No",0,AG223))</f>
        <v/>
      </c>
      <c r="AI223" s="192"/>
      <c r="AJ223" s="192"/>
      <c r="AK223" s="192"/>
      <c r="AL223" s="192"/>
      <c r="AM223" s="255" t="str">
        <f>IF(COUNTBLANK(AI223:AL223)=4,"",SUM(AI223:AK223)+IF(Setup!$I$15="No",0,AL223))</f>
        <v/>
      </c>
      <c r="AN223" s="192"/>
      <c r="AO223" s="192"/>
      <c r="AP223" s="192"/>
      <c r="AQ223" s="192"/>
      <c r="AR223" s="255" t="str">
        <f>IF(COUNTBLANK(AN223:AQ223)=4,"",SUM(AN223:AP223)+IF(Setup!$I$15="No",0,AQ223))</f>
        <v/>
      </c>
      <c r="AS223" s="192"/>
      <c r="AT223" s="192"/>
      <c r="AU223" s="192"/>
      <c r="AV223" s="192"/>
      <c r="AW223" s="255" t="str">
        <f>IF(COUNTBLANK(AS223:AV223)=4,"",SUM(AS223:AU223)+IF(Setup!$I$15="No",0,AV223))</f>
        <v/>
      </c>
      <c r="AX223" s="192"/>
      <c r="AY223" s="192"/>
      <c r="AZ223" s="192"/>
      <c r="BA223" s="192"/>
      <c r="BB223" s="255" t="str">
        <f>IF(COUNTBLANK(AX223:BA223)=4,"",SUM(AX223:AZ223)+IF(Setup!$I$15="No",0,BA223))</f>
        <v/>
      </c>
      <c r="BC223" s="259" t="str">
        <f ca="1">IF('Demand background (hide)'!A214=Num_Modalities,"",SUM(Demand!I223))</f>
        <v/>
      </c>
      <c r="BD223" s="259" t="str">
        <f ca="1">IF(AND(A223&lt;=MaxRows,BE223&lt;&gt;"Yes"),'Demand background (hide)'!X214+IF(Setup!$I$15="Yes",'Demand background (hide)'!AJ214,0),"")</f>
        <v/>
      </c>
      <c r="BE223" s="209"/>
    </row>
    <row r="224" spans="1:57" x14ac:dyDescent="0.25">
      <c r="A224" t="str">
        <f t="shared" ca="1" si="12"/>
        <v/>
      </c>
      <c r="B224" s="264" t="str">
        <f t="shared" ca="1" si="13"/>
        <v xml:space="preserve"> </v>
      </c>
      <c r="C224" s="265" t="str">
        <f t="shared" ca="1" si="14"/>
        <v/>
      </c>
      <c r="D224" s="350" t="str">
        <f t="shared" ca="1" si="15"/>
        <v/>
      </c>
      <c r="E224" s="192"/>
      <c r="F224" s="192"/>
      <c r="G224" s="192"/>
      <c r="H224" s="192"/>
      <c r="I224" s="251" t="str">
        <f>IF(COUNTBLANK(E224:H224)=4,"",SUM(E224:G224)+IF(Setup!$I$15="No",0,H224))</f>
        <v/>
      </c>
      <c r="J224" s="192"/>
      <c r="K224" s="192"/>
      <c r="L224" s="192"/>
      <c r="M224" s="192"/>
      <c r="N224" s="255" t="str">
        <f>IF(COUNTBLANK(J224:M224)=4,"",SUM(J224:L224)+IF(Setup!$I$15="No",0,M224))</f>
        <v/>
      </c>
      <c r="O224" s="192"/>
      <c r="P224" s="192"/>
      <c r="Q224" s="192"/>
      <c r="R224" s="192"/>
      <c r="S224" s="255" t="str">
        <f>IF(COUNTBLANK(O224:R224)=4,"",SUM(O224:Q224)+IF(Setup!$I$15="No",0,R224))</f>
        <v/>
      </c>
      <c r="T224" s="192"/>
      <c r="U224" s="192"/>
      <c r="V224" s="192"/>
      <c r="W224" s="192"/>
      <c r="X224" s="255" t="str">
        <f>IF(COUNTBLANK(T224:W224)=4,"",SUM(T224:V224)+IF(Setup!$I$15="No",0,W224))</f>
        <v/>
      </c>
      <c r="Y224" s="192"/>
      <c r="Z224" s="192"/>
      <c r="AA224" s="192"/>
      <c r="AB224" s="192"/>
      <c r="AC224" s="255" t="str">
        <f>IF(COUNTBLANK(Y224:AB224)=4,"",SUM(Y224:AA224)+IF(Setup!$I$15="No",0,AB224))</f>
        <v/>
      </c>
      <c r="AD224" s="192"/>
      <c r="AE224" s="192"/>
      <c r="AF224" s="192"/>
      <c r="AG224" s="192"/>
      <c r="AH224" s="255" t="str">
        <f>IF(COUNTBLANK(AD224:AG224)=4,"",SUM(AD224:AF224)+IF(Setup!$I$15="No",0,AG224))</f>
        <v/>
      </c>
      <c r="AI224" s="192"/>
      <c r="AJ224" s="192"/>
      <c r="AK224" s="192"/>
      <c r="AL224" s="192"/>
      <c r="AM224" s="255" t="str">
        <f>IF(COUNTBLANK(AI224:AL224)=4,"",SUM(AI224:AK224)+IF(Setup!$I$15="No",0,AL224))</f>
        <v/>
      </c>
      <c r="AN224" s="192"/>
      <c r="AO224" s="192"/>
      <c r="AP224" s="192"/>
      <c r="AQ224" s="192"/>
      <c r="AR224" s="255" t="str">
        <f>IF(COUNTBLANK(AN224:AQ224)=4,"",SUM(AN224:AP224)+IF(Setup!$I$15="No",0,AQ224))</f>
        <v/>
      </c>
      <c r="AS224" s="192"/>
      <c r="AT224" s="192"/>
      <c r="AU224" s="192"/>
      <c r="AV224" s="192"/>
      <c r="AW224" s="255" t="str">
        <f>IF(COUNTBLANK(AS224:AV224)=4,"",SUM(AS224:AU224)+IF(Setup!$I$15="No",0,AV224))</f>
        <v/>
      </c>
      <c r="AX224" s="192"/>
      <c r="AY224" s="192"/>
      <c r="AZ224" s="192"/>
      <c r="BA224" s="192"/>
      <c r="BB224" s="255" t="str">
        <f>IF(COUNTBLANK(AX224:BA224)=4,"",SUM(AX224:AZ224)+IF(Setup!$I$15="No",0,BA224))</f>
        <v/>
      </c>
      <c r="BC224" s="259" t="str">
        <f ca="1">IF('Demand background (hide)'!A215=Num_Modalities,"",SUM(Demand!I224))</f>
        <v/>
      </c>
      <c r="BD224" s="259" t="str">
        <f ca="1">IF(AND(A224&lt;=MaxRows,BE224&lt;&gt;"Yes"),'Demand background (hide)'!X215+IF(Setup!$I$15="Yes",'Demand background (hide)'!AJ215,0),"")</f>
        <v/>
      </c>
      <c r="BE224" s="209"/>
    </row>
    <row r="225" spans="1:57" x14ac:dyDescent="0.25">
      <c r="A225" t="str">
        <f t="shared" ca="1" si="12"/>
        <v/>
      </c>
      <c r="B225" s="264" t="str">
        <f t="shared" ca="1" si="13"/>
        <v xml:space="preserve"> </v>
      </c>
      <c r="C225" s="265" t="str">
        <f t="shared" ca="1" si="14"/>
        <v/>
      </c>
      <c r="D225" s="350" t="str">
        <f t="shared" ca="1" si="15"/>
        <v/>
      </c>
      <c r="E225" s="192"/>
      <c r="F225" s="192"/>
      <c r="G225" s="192"/>
      <c r="H225" s="192"/>
      <c r="I225" s="251" t="str">
        <f>IF(COUNTBLANK(E225:H225)=4,"",SUM(E225:G225)+IF(Setup!$I$15="No",0,H225))</f>
        <v/>
      </c>
      <c r="J225" s="192"/>
      <c r="K225" s="192"/>
      <c r="L225" s="192"/>
      <c r="M225" s="192"/>
      <c r="N225" s="255" t="str">
        <f>IF(COUNTBLANK(J225:M225)=4,"",SUM(J225:L225)+IF(Setup!$I$15="No",0,M225))</f>
        <v/>
      </c>
      <c r="O225" s="192"/>
      <c r="P225" s="192"/>
      <c r="Q225" s="192"/>
      <c r="R225" s="192"/>
      <c r="S225" s="255" t="str">
        <f>IF(COUNTBLANK(O225:R225)=4,"",SUM(O225:Q225)+IF(Setup!$I$15="No",0,R225))</f>
        <v/>
      </c>
      <c r="T225" s="192"/>
      <c r="U225" s="192"/>
      <c r="V225" s="192"/>
      <c r="W225" s="192"/>
      <c r="X225" s="255" t="str">
        <f>IF(COUNTBLANK(T225:W225)=4,"",SUM(T225:V225)+IF(Setup!$I$15="No",0,W225))</f>
        <v/>
      </c>
      <c r="Y225" s="192"/>
      <c r="Z225" s="192"/>
      <c r="AA225" s="192"/>
      <c r="AB225" s="192"/>
      <c r="AC225" s="255" t="str">
        <f>IF(COUNTBLANK(Y225:AB225)=4,"",SUM(Y225:AA225)+IF(Setup!$I$15="No",0,AB225))</f>
        <v/>
      </c>
      <c r="AD225" s="192"/>
      <c r="AE225" s="192"/>
      <c r="AF225" s="192"/>
      <c r="AG225" s="192"/>
      <c r="AH225" s="255" t="str">
        <f>IF(COUNTBLANK(AD225:AG225)=4,"",SUM(AD225:AF225)+IF(Setup!$I$15="No",0,AG225))</f>
        <v/>
      </c>
      <c r="AI225" s="192"/>
      <c r="AJ225" s="192"/>
      <c r="AK225" s="192"/>
      <c r="AL225" s="192"/>
      <c r="AM225" s="255" t="str">
        <f>IF(COUNTBLANK(AI225:AL225)=4,"",SUM(AI225:AK225)+IF(Setup!$I$15="No",0,AL225))</f>
        <v/>
      </c>
      <c r="AN225" s="192"/>
      <c r="AO225" s="192"/>
      <c r="AP225" s="192"/>
      <c r="AQ225" s="192"/>
      <c r="AR225" s="255" t="str">
        <f>IF(COUNTBLANK(AN225:AQ225)=4,"",SUM(AN225:AP225)+IF(Setup!$I$15="No",0,AQ225))</f>
        <v/>
      </c>
      <c r="AS225" s="192"/>
      <c r="AT225" s="192"/>
      <c r="AU225" s="192"/>
      <c r="AV225" s="192"/>
      <c r="AW225" s="255" t="str">
        <f>IF(COUNTBLANK(AS225:AV225)=4,"",SUM(AS225:AU225)+IF(Setup!$I$15="No",0,AV225))</f>
        <v/>
      </c>
      <c r="AX225" s="192"/>
      <c r="AY225" s="192"/>
      <c r="AZ225" s="192"/>
      <c r="BA225" s="192"/>
      <c r="BB225" s="255" t="str">
        <f>IF(COUNTBLANK(AX225:BA225)=4,"",SUM(AX225:AZ225)+IF(Setup!$I$15="No",0,BA225))</f>
        <v/>
      </c>
      <c r="BC225" s="259" t="str">
        <f ca="1">IF('Demand background (hide)'!A216=Num_Modalities,"",SUM(Demand!I225))</f>
        <v/>
      </c>
      <c r="BD225" s="259" t="str">
        <f ca="1">IF(AND(A225&lt;=MaxRows,BE225&lt;&gt;"Yes"),'Demand background (hide)'!X216+IF(Setup!$I$15="Yes",'Demand background (hide)'!AJ216,0),"")</f>
        <v/>
      </c>
      <c r="BE225" s="209"/>
    </row>
    <row r="226" spans="1:57" x14ac:dyDescent="0.25">
      <c r="A226" t="str">
        <f t="shared" ca="1" si="12"/>
        <v/>
      </c>
      <c r="B226" s="264" t="str">
        <f t="shared" ca="1" si="13"/>
        <v xml:space="preserve"> </v>
      </c>
      <c r="C226" s="265" t="str">
        <f t="shared" ca="1" si="14"/>
        <v/>
      </c>
      <c r="D226" s="350" t="str">
        <f t="shared" ca="1" si="15"/>
        <v/>
      </c>
      <c r="E226" s="192"/>
      <c r="F226" s="192"/>
      <c r="G226" s="192"/>
      <c r="H226" s="192"/>
      <c r="I226" s="251" t="str">
        <f>IF(COUNTBLANK(E226:H226)=4,"",SUM(E226:G226)+IF(Setup!$I$15="No",0,H226))</f>
        <v/>
      </c>
      <c r="J226" s="192"/>
      <c r="K226" s="192"/>
      <c r="L226" s="192"/>
      <c r="M226" s="192"/>
      <c r="N226" s="255" t="str">
        <f>IF(COUNTBLANK(J226:M226)=4,"",SUM(J226:L226)+IF(Setup!$I$15="No",0,M226))</f>
        <v/>
      </c>
      <c r="O226" s="192"/>
      <c r="P226" s="192"/>
      <c r="Q226" s="192"/>
      <c r="R226" s="192"/>
      <c r="S226" s="255" t="str">
        <f>IF(COUNTBLANK(O226:R226)=4,"",SUM(O226:Q226)+IF(Setup!$I$15="No",0,R226))</f>
        <v/>
      </c>
      <c r="T226" s="192"/>
      <c r="U226" s="192"/>
      <c r="V226" s="192"/>
      <c r="W226" s="192"/>
      <c r="X226" s="255" t="str">
        <f>IF(COUNTBLANK(T226:W226)=4,"",SUM(T226:V226)+IF(Setup!$I$15="No",0,W226))</f>
        <v/>
      </c>
      <c r="Y226" s="192"/>
      <c r="Z226" s="192"/>
      <c r="AA226" s="192"/>
      <c r="AB226" s="192"/>
      <c r="AC226" s="255" t="str">
        <f>IF(COUNTBLANK(Y226:AB226)=4,"",SUM(Y226:AA226)+IF(Setup!$I$15="No",0,AB226))</f>
        <v/>
      </c>
      <c r="AD226" s="192"/>
      <c r="AE226" s="192"/>
      <c r="AF226" s="192"/>
      <c r="AG226" s="192"/>
      <c r="AH226" s="255" t="str">
        <f>IF(COUNTBLANK(AD226:AG226)=4,"",SUM(AD226:AF226)+IF(Setup!$I$15="No",0,AG226))</f>
        <v/>
      </c>
      <c r="AI226" s="192"/>
      <c r="AJ226" s="192"/>
      <c r="AK226" s="192"/>
      <c r="AL226" s="192"/>
      <c r="AM226" s="255" t="str">
        <f>IF(COUNTBLANK(AI226:AL226)=4,"",SUM(AI226:AK226)+IF(Setup!$I$15="No",0,AL226))</f>
        <v/>
      </c>
      <c r="AN226" s="192"/>
      <c r="AO226" s="192"/>
      <c r="AP226" s="192"/>
      <c r="AQ226" s="192"/>
      <c r="AR226" s="255" t="str">
        <f>IF(COUNTBLANK(AN226:AQ226)=4,"",SUM(AN226:AP226)+IF(Setup!$I$15="No",0,AQ226))</f>
        <v/>
      </c>
      <c r="AS226" s="192"/>
      <c r="AT226" s="192"/>
      <c r="AU226" s="192"/>
      <c r="AV226" s="192"/>
      <c r="AW226" s="255" t="str">
        <f>IF(COUNTBLANK(AS226:AV226)=4,"",SUM(AS226:AU226)+IF(Setup!$I$15="No",0,AV226))</f>
        <v/>
      </c>
      <c r="AX226" s="192"/>
      <c r="AY226" s="192"/>
      <c r="AZ226" s="192"/>
      <c r="BA226" s="192"/>
      <c r="BB226" s="255" t="str">
        <f>IF(COUNTBLANK(AX226:BA226)=4,"",SUM(AX226:AZ226)+IF(Setup!$I$15="No",0,BA226))</f>
        <v/>
      </c>
      <c r="BC226" s="259" t="str">
        <f ca="1">IF('Demand background (hide)'!A217=Num_Modalities,"",SUM(Demand!I226))</f>
        <v/>
      </c>
      <c r="BD226" s="259" t="str">
        <f ca="1">IF(AND(A226&lt;=MaxRows,BE226&lt;&gt;"Yes"),'Demand background (hide)'!X217+IF(Setup!$I$15="Yes",'Demand background (hide)'!AJ217,0),"")</f>
        <v/>
      </c>
      <c r="BE226" s="209"/>
    </row>
    <row r="227" spans="1:57" x14ac:dyDescent="0.25">
      <c r="A227" t="str">
        <f t="shared" ca="1" si="12"/>
        <v/>
      </c>
      <c r="B227" s="264" t="str">
        <f t="shared" ca="1" si="13"/>
        <v xml:space="preserve"> </v>
      </c>
      <c r="C227" s="265" t="str">
        <f t="shared" ca="1" si="14"/>
        <v/>
      </c>
      <c r="D227" s="350" t="str">
        <f t="shared" ca="1" si="15"/>
        <v/>
      </c>
      <c r="E227" s="192"/>
      <c r="F227" s="192"/>
      <c r="G227" s="192"/>
      <c r="H227" s="192"/>
      <c r="I227" s="251" t="str">
        <f>IF(COUNTBLANK(E227:H227)=4,"",SUM(E227:G227)+IF(Setup!$I$15="No",0,H227))</f>
        <v/>
      </c>
      <c r="J227" s="192"/>
      <c r="K227" s="192"/>
      <c r="L227" s="192"/>
      <c r="M227" s="192"/>
      <c r="N227" s="255" t="str">
        <f>IF(COUNTBLANK(J227:M227)=4,"",SUM(J227:L227)+IF(Setup!$I$15="No",0,M227))</f>
        <v/>
      </c>
      <c r="O227" s="192"/>
      <c r="P227" s="192"/>
      <c r="Q227" s="192"/>
      <c r="R227" s="192"/>
      <c r="S227" s="255" t="str">
        <f>IF(COUNTBLANK(O227:R227)=4,"",SUM(O227:Q227)+IF(Setup!$I$15="No",0,R227))</f>
        <v/>
      </c>
      <c r="T227" s="192"/>
      <c r="U227" s="192"/>
      <c r="V227" s="192"/>
      <c r="W227" s="192"/>
      <c r="X227" s="255" t="str">
        <f>IF(COUNTBLANK(T227:W227)=4,"",SUM(T227:V227)+IF(Setup!$I$15="No",0,W227))</f>
        <v/>
      </c>
      <c r="Y227" s="192"/>
      <c r="Z227" s="192"/>
      <c r="AA227" s="192"/>
      <c r="AB227" s="192"/>
      <c r="AC227" s="255" t="str">
        <f>IF(COUNTBLANK(Y227:AB227)=4,"",SUM(Y227:AA227)+IF(Setup!$I$15="No",0,AB227))</f>
        <v/>
      </c>
      <c r="AD227" s="192"/>
      <c r="AE227" s="192"/>
      <c r="AF227" s="192"/>
      <c r="AG227" s="192"/>
      <c r="AH227" s="255" t="str">
        <f>IF(COUNTBLANK(AD227:AG227)=4,"",SUM(AD227:AF227)+IF(Setup!$I$15="No",0,AG227))</f>
        <v/>
      </c>
      <c r="AI227" s="192"/>
      <c r="AJ227" s="192"/>
      <c r="AK227" s="192"/>
      <c r="AL227" s="192"/>
      <c r="AM227" s="255" t="str">
        <f>IF(COUNTBLANK(AI227:AL227)=4,"",SUM(AI227:AK227)+IF(Setup!$I$15="No",0,AL227))</f>
        <v/>
      </c>
      <c r="AN227" s="192"/>
      <c r="AO227" s="192"/>
      <c r="AP227" s="192"/>
      <c r="AQ227" s="192"/>
      <c r="AR227" s="255" t="str">
        <f>IF(COUNTBLANK(AN227:AQ227)=4,"",SUM(AN227:AP227)+IF(Setup!$I$15="No",0,AQ227))</f>
        <v/>
      </c>
      <c r="AS227" s="192"/>
      <c r="AT227" s="192"/>
      <c r="AU227" s="192"/>
      <c r="AV227" s="192"/>
      <c r="AW227" s="255" t="str">
        <f>IF(COUNTBLANK(AS227:AV227)=4,"",SUM(AS227:AU227)+IF(Setup!$I$15="No",0,AV227))</f>
        <v/>
      </c>
      <c r="AX227" s="192"/>
      <c r="AY227" s="192"/>
      <c r="AZ227" s="192"/>
      <c r="BA227" s="192"/>
      <c r="BB227" s="255" t="str">
        <f>IF(COUNTBLANK(AX227:BA227)=4,"",SUM(AX227:AZ227)+IF(Setup!$I$15="No",0,BA227))</f>
        <v/>
      </c>
      <c r="BC227" s="259" t="str">
        <f ca="1">IF('Demand background (hide)'!A218=Num_Modalities,"",SUM(Demand!I227))</f>
        <v/>
      </c>
      <c r="BD227" s="259" t="str">
        <f ca="1">IF(AND(A227&lt;=MaxRows,BE227&lt;&gt;"Yes"),'Demand background (hide)'!X218+IF(Setup!$I$15="Yes",'Demand background (hide)'!AJ218,0),"")</f>
        <v/>
      </c>
      <c r="BE227" s="209"/>
    </row>
    <row r="228" spans="1:57" x14ac:dyDescent="0.25">
      <c r="A228" t="str">
        <f t="shared" ca="1" si="12"/>
        <v/>
      </c>
      <c r="B228" s="264" t="str">
        <f t="shared" ca="1" si="13"/>
        <v xml:space="preserve"> </v>
      </c>
      <c r="C228" s="265" t="str">
        <f t="shared" ca="1" si="14"/>
        <v/>
      </c>
      <c r="D228" s="350" t="str">
        <f t="shared" ca="1" si="15"/>
        <v/>
      </c>
      <c r="E228" s="192"/>
      <c r="F228" s="192"/>
      <c r="G228" s="192"/>
      <c r="H228" s="192"/>
      <c r="I228" s="251" t="str">
        <f>IF(COUNTBLANK(E228:H228)=4,"",SUM(E228:G228)+IF(Setup!$I$15="No",0,H228))</f>
        <v/>
      </c>
      <c r="J228" s="192"/>
      <c r="K228" s="192"/>
      <c r="L228" s="192"/>
      <c r="M228" s="192"/>
      <c r="N228" s="255" t="str">
        <f>IF(COUNTBLANK(J228:M228)=4,"",SUM(J228:L228)+IF(Setup!$I$15="No",0,M228))</f>
        <v/>
      </c>
      <c r="O228" s="192"/>
      <c r="P228" s="192"/>
      <c r="Q228" s="192"/>
      <c r="R228" s="192"/>
      <c r="S228" s="255" t="str">
        <f>IF(COUNTBLANK(O228:R228)=4,"",SUM(O228:Q228)+IF(Setup!$I$15="No",0,R228))</f>
        <v/>
      </c>
      <c r="T228" s="192"/>
      <c r="U228" s="192"/>
      <c r="V228" s="192"/>
      <c r="W228" s="192"/>
      <c r="X228" s="255" t="str">
        <f>IF(COUNTBLANK(T228:W228)=4,"",SUM(T228:V228)+IF(Setup!$I$15="No",0,W228))</f>
        <v/>
      </c>
      <c r="Y228" s="192"/>
      <c r="Z228" s="192"/>
      <c r="AA228" s="192"/>
      <c r="AB228" s="192"/>
      <c r="AC228" s="255" t="str">
        <f>IF(COUNTBLANK(Y228:AB228)=4,"",SUM(Y228:AA228)+IF(Setup!$I$15="No",0,AB228))</f>
        <v/>
      </c>
      <c r="AD228" s="192"/>
      <c r="AE228" s="192"/>
      <c r="AF228" s="192"/>
      <c r="AG228" s="192"/>
      <c r="AH228" s="255" t="str">
        <f>IF(COUNTBLANK(AD228:AG228)=4,"",SUM(AD228:AF228)+IF(Setup!$I$15="No",0,AG228))</f>
        <v/>
      </c>
      <c r="AI228" s="192"/>
      <c r="AJ228" s="192"/>
      <c r="AK228" s="192"/>
      <c r="AL228" s="192"/>
      <c r="AM228" s="255" t="str">
        <f>IF(COUNTBLANK(AI228:AL228)=4,"",SUM(AI228:AK228)+IF(Setup!$I$15="No",0,AL228))</f>
        <v/>
      </c>
      <c r="AN228" s="192"/>
      <c r="AO228" s="192"/>
      <c r="AP228" s="192"/>
      <c r="AQ228" s="192"/>
      <c r="AR228" s="255" t="str">
        <f>IF(COUNTBLANK(AN228:AQ228)=4,"",SUM(AN228:AP228)+IF(Setup!$I$15="No",0,AQ228))</f>
        <v/>
      </c>
      <c r="AS228" s="192"/>
      <c r="AT228" s="192"/>
      <c r="AU228" s="192"/>
      <c r="AV228" s="192"/>
      <c r="AW228" s="255" t="str">
        <f>IF(COUNTBLANK(AS228:AV228)=4,"",SUM(AS228:AU228)+IF(Setup!$I$15="No",0,AV228))</f>
        <v/>
      </c>
      <c r="AX228" s="192"/>
      <c r="AY228" s="192"/>
      <c r="AZ228" s="192"/>
      <c r="BA228" s="192"/>
      <c r="BB228" s="255" t="str">
        <f>IF(COUNTBLANK(AX228:BA228)=4,"",SUM(AX228:AZ228)+IF(Setup!$I$15="No",0,BA228))</f>
        <v/>
      </c>
      <c r="BC228" s="259" t="str">
        <f ca="1">IF('Demand background (hide)'!A219=Num_Modalities,"",SUM(Demand!I228))</f>
        <v/>
      </c>
      <c r="BD228" s="259" t="str">
        <f ca="1">IF(AND(A228&lt;=MaxRows,BE228&lt;&gt;"Yes"),'Demand background (hide)'!X219+IF(Setup!$I$15="Yes",'Demand background (hide)'!AJ219,0),"")</f>
        <v/>
      </c>
      <c r="BE228" s="209"/>
    </row>
    <row r="229" spans="1:57" x14ac:dyDescent="0.25">
      <c r="A229" t="str">
        <f t="shared" ca="1" si="12"/>
        <v/>
      </c>
      <c r="B229" s="264" t="str">
        <f t="shared" ca="1" si="13"/>
        <v xml:space="preserve"> </v>
      </c>
      <c r="C229" s="265" t="str">
        <f t="shared" ca="1" si="14"/>
        <v/>
      </c>
      <c r="D229" s="350" t="str">
        <f t="shared" ca="1" si="15"/>
        <v/>
      </c>
      <c r="E229" s="192"/>
      <c r="F229" s="192"/>
      <c r="G229" s="192"/>
      <c r="H229" s="192"/>
      <c r="I229" s="251" t="str">
        <f>IF(COUNTBLANK(E229:H229)=4,"",SUM(E229:G229)+IF(Setup!$I$15="No",0,H229))</f>
        <v/>
      </c>
      <c r="J229" s="192"/>
      <c r="K229" s="192"/>
      <c r="L229" s="192"/>
      <c r="M229" s="192"/>
      <c r="N229" s="255" t="str">
        <f>IF(COUNTBLANK(J229:M229)=4,"",SUM(J229:L229)+IF(Setup!$I$15="No",0,M229))</f>
        <v/>
      </c>
      <c r="O229" s="192"/>
      <c r="P229" s="192"/>
      <c r="Q229" s="192"/>
      <c r="R229" s="192"/>
      <c r="S229" s="255" t="str">
        <f>IF(COUNTBLANK(O229:R229)=4,"",SUM(O229:Q229)+IF(Setup!$I$15="No",0,R229))</f>
        <v/>
      </c>
      <c r="T229" s="192"/>
      <c r="U229" s="192"/>
      <c r="V229" s="192"/>
      <c r="W229" s="192"/>
      <c r="X229" s="255" t="str">
        <f>IF(COUNTBLANK(T229:W229)=4,"",SUM(T229:V229)+IF(Setup!$I$15="No",0,W229))</f>
        <v/>
      </c>
      <c r="Y229" s="192"/>
      <c r="Z229" s="192"/>
      <c r="AA229" s="192"/>
      <c r="AB229" s="192"/>
      <c r="AC229" s="255" t="str">
        <f>IF(COUNTBLANK(Y229:AB229)=4,"",SUM(Y229:AA229)+IF(Setup!$I$15="No",0,AB229))</f>
        <v/>
      </c>
      <c r="AD229" s="192"/>
      <c r="AE229" s="192"/>
      <c r="AF229" s="192"/>
      <c r="AG229" s="192"/>
      <c r="AH229" s="255" t="str">
        <f>IF(COUNTBLANK(AD229:AG229)=4,"",SUM(AD229:AF229)+IF(Setup!$I$15="No",0,AG229))</f>
        <v/>
      </c>
      <c r="AI229" s="192"/>
      <c r="AJ229" s="192"/>
      <c r="AK229" s="192"/>
      <c r="AL229" s="192"/>
      <c r="AM229" s="255" t="str">
        <f>IF(COUNTBLANK(AI229:AL229)=4,"",SUM(AI229:AK229)+IF(Setup!$I$15="No",0,AL229))</f>
        <v/>
      </c>
      <c r="AN229" s="192"/>
      <c r="AO229" s="192"/>
      <c r="AP229" s="192"/>
      <c r="AQ229" s="192"/>
      <c r="AR229" s="255" t="str">
        <f>IF(COUNTBLANK(AN229:AQ229)=4,"",SUM(AN229:AP229)+IF(Setup!$I$15="No",0,AQ229))</f>
        <v/>
      </c>
      <c r="AS229" s="192"/>
      <c r="AT229" s="192"/>
      <c r="AU229" s="192"/>
      <c r="AV229" s="192"/>
      <c r="AW229" s="255" t="str">
        <f>IF(COUNTBLANK(AS229:AV229)=4,"",SUM(AS229:AU229)+IF(Setup!$I$15="No",0,AV229))</f>
        <v/>
      </c>
      <c r="AX229" s="192"/>
      <c r="AY229" s="192"/>
      <c r="AZ229" s="192"/>
      <c r="BA229" s="192"/>
      <c r="BB229" s="255" t="str">
        <f>IF(COUNTBLANK(AX229:BA229)=4,"",SUM(AX229:AZ229)+IF(Setup!$I$15="No",0,BA229))</f>
        <v/>
      </c>
      <c r="BC229" s="259" t="str">
        <f ca="1">IF('Demand background (hide)'!A220=Num_Modalities,"",SUM(Demand!I229))</f>
        <v/>
      </c>
      <c r="BD229" s="259" t="str">
        <f ca="1">IF(AND(A229&lt;=MaxRows,BE229&lt;&gt;"Yes"),'Demand background (hide)'!X220+IF(Setup!$I$15="Yes",'Demand background (hide)'!AJ220,0),"")</f>
        <v/>
      </c>
      <c r="BE229" s="209"/>
    </row>
    <row r="230" spans="1:57" x14ac:dyDescent="0.25">
      <c r="A230" t="str">
        <f t="shared" ca="1" si="12"/>
        <v/>
      </c>
      <c r="B230" s="264" t="str">
        <f t="shared" ca="1" si="13"/>
        <v xml:space="preserve"> </v>
      </c>
      <c r="C230" s="265" t="str">
        <f t="shared" ca="1" si="14"/>
        <v/>
      </c>
      <c r="D230" s="350" t="str">
        <f t="shared" ca="1" si="15"/>
        <v/>
      </c>
      <c r="E230" s="192"/>
      <c r="F230" s="192"/>
      <c r="G230" s="192"/>
      <c r="H230" s="192"/>
      <c r="I230" s="251" t="str">
        <f>IF(COUNTBLANK(E230:H230)=4,"",SUM(E230:G230)+IF(Setup!$I$15="No",0,H230))</f>
        <v/>
      </c>
      <c r="J230" s="192"/>
      <c r="K230" s="192"/>
      <c r="L230" s="192"/>
      <c r="M230" s="192"/>
      <c r="N230" s="255" t="str">
        <f>IF(COUNTBLANK(J230:M230)=4,"",SUM(J230:L230)+IF(Setup!$I$15="No",0,M230))</f>
        <v/>
      </c>
      <c r="O230" s="192"/>
      <c r="P230" s="192"/>
      <c r="Q230" s="192"/>
      <c r="R230" s="192"/>
      <c r="S230" s="255" t="str">
        <f>IF(COUNTBLANK(O230:R230)=4,"",SUM(O230:Q230)+IF(Setup!$I$15="No",0,R230))</f>
        <v/>
      </c>
      <c r="T230" s="192"/>
      <c r="U230" s="192"/>
      <c r="V230" s="192"/>
      <c r="W230" s="192"/>
      <c r="X230" s="255" t="str">
        <f>IF(COUNTBLANK(T230:W230)=4,"",SUM(T230:V230)+IF(Setup!$I$15="No",0,W230))</f>
        <v/>
      </c>
      <c r="Y230" s="192"/>
      <c r="Z230" s="192"/>
      <c r="AA230" s="192"/>
      <c r="AB230" s="192"/>
      <c r="AC230" s="255" t="str">
        <f>IF(COUNTBLANK(Y230:AB230)=4,"",SUM(Y230:AA230)+IF(Setup!$I$15="No",0,AB230))</f>
        <v/>
      </c>
      <c r="AD230" s="192"/>
      <c r="AE230" s="192"/>
      <c r="AF230" s="192"/>
      <c r="AG230" s="192"/>
      <c r="AH230" s="255" t="str">
        <f>IF(COUNTBLANK(AD230:AG230)=4,"",SUM(AD230:AF230)+IF(Setup!$I$15="No",0,AG230))</f>
        <v/>
      </c>
      <c r="AI230" s="192"/>
      <c r="AJ230" s="192"/>
      <c r="AK230" s="192"/>
      <c r="AL230" s="192"/>
      <c r="AM230" s="255" t="str">
        <f>IF(COUNTBLANK(AI230:AL230)=4,"",SUM(AI230:AK230)+IF(Setup!$I$15="No",0,AL230))</f>
        <v/>
      </c>
      <c r="AN230" s="192"/>
      <c r="AO230" s="192"/>
      <c r="AP230" s="192"/>
      <c r="AQ230" s="192"/>
      <c r="AR230" s="255" t="str">
        <f>IF(COUNTBLANK(AN230:AQ230)=4,"",SUM(AN230:AP230)+IF(Setup!$I$15="No",0,AQ230))</f>
        <v/>
      </c>
      <c r="AS230" s="192"/>
      <c r="AT230" s="192"/>
      <c r="AU230" s="192"/>
      <c r="AV230" s="192"/>
      <c r="AW230" s="255" t="str">
        <f>IF(COUNTBLANK(AS230:AV230)=4,"",SUM(AS230:AU230)+IF(Setup!$I$15="No",0,AV230))</f>
        <v/>
      </c>
      <c r="AX230" s="192"/>
      <c r="AY230" s="192"/>
      <c r="AZ230" s="192"/>
      <c r="BA230" s="192"/>
      <c r="BB230" s="255" t="str">
        <f>IF(COUNTBLANK(AX230:BA230)=4,"",SUM(AX230:AZ230)+IF(Setup!$I$15="No",0,BA230))</f>
        <v/>
      </c>
      <c r="BC230" s="259" t="str">
        <f ca="1">IF('Demand background (hide)'!A221=Num_Modalities,"",SUM(Demand!I230))</f>
        <v/>
      </c>
      <c r="BD230" s="259" t="str">
        <f ca="1">IF(AND(A230&lt;=MaxRows,BE230&lt;&gt;"Yes"),'Demand background (hide)'!X221+IF(Setup!$I$15="Yes",'Demand background (hide)'!AJ221,0),"")</f>
        <v/>
      </c>
      <c r="BE230" s="209"/>
    </row>
    <row r="231" spans="1:57" x14ac:dyDescent="0.25">
      <c r="A231" t="str">
        <f t="shared" ca="1" si="12"/>
        <v/>
      </c>
      <c r="B231" s="264" t="str">
        <f t="shared" ca="1" si="13"/>
        <v xml:space="preserve"> </v>
      </c>
      <c r="C231" s="265" t="str">
        <f t="shared" ca="1" si="14"/>
        <v/>
      </c>
      <c r="D231" s="350" t="str">
        <f t="shared" ca="1" si="15"/>
        <v/>
      </c>
      <c r="E231" s="192"/>
      <c r="F231" s="192"/>
      <c r="G231" s="192"/>
      <c r="H231" s="192"/>
      <c r="I231" s="251" t="str">
        <f>IF(COUNTBLANK(E231:H231)=4,"",SUM(E231:G231)+IF(Setup!$I$15="No",0,H231))</f>
        <v/>
      </c>
      <c r="J231" s="192"/>
      <c r="K231" s="192"/>
      <c r="L231" s="192"/>
      <c r="M231" s="192"/>
      <c r="N231" s="255" t="str">
        <f>IF(COUNTBLANK(J231:M231)=4,"",SUM(J231:L231)+IF(Setup!$I$15="No",0,M231))</f>
        <v/>
      </c>
      <c r="O231" s="192"/>
      <c r="P231" s="192"/>
      <c r="Q231" s="192"/>
      <c r="R231" s="192"/>
      <c r="S231" s="255" t="str">
        <f>IF(COUNTBLANK(O231:R231)=4,"",SUM(O231:Q231)+IF(Setup!$I$15="No",0,R231))</f>
        <v/>
      </c>
      <c r="T231" s="192"/>
      <c r="U231" s="192"/>
      <c r="V231" s="192"/>
      <c r="W231" s="192"/>
      <c r="X231" s="255" t="str">
        <f>IF(COUNTBLANK(T231:W231)=4,"",SUM(T231:V231)+IF(Setup!$I$15="No",0,W231))</f>
        <v/>
      </c>
      <c r="Y231" s="192"/>
      <c r="Z231" s="192"/>
      <c r="AA231" s="192"/>
      <c r="AB231" s="192"/>
      <c r="AC231" s="255" t="str">
        <f>IF(COUNTBLANK(Y231:AB231)=4,"",SUM(Y231:AA231)+IF(Setup!$I$15="No",0,AB231))</f>
        <v/>
      </c>
      <c r="AD231" s="192"/>
      <c r="AE231" s="192"/>
      <c r="AF231" s="192"/>
      <c r="AG231" s="192"/>
      <c r="AH231" s="255" t="str">
        <f>IF(COUNTBLANK(AD231:AG231)=4,"",SUM(AD231:AF231)+IF(Setup!$I$15="No",0,AG231))</f>
        <v/>
      </c>
      <c r="AI231" s="192"/>
      <c r="AJ231" s="192"/>
      <c r="AK231" s="192"/>
      <c r="AL231" s="192"/>
      <c r="AM231" s="255" t="str">
        <f>IF(COUNTBLANK(AI231:AL231)=4,"",SUM(AI231:AK231)+IF(Setup!$I$15="No",0,AL231))</f>
        <v/>
      </c>
      <c r="AN231" s="192"/>
      <c r="AO231" s="192"/>
      <c r="AP231" s="192"/>
      <c r="AQ231" s="192"/>
      <c r="AR231" s="255" t="str">
        <f>IF(COUNTBLANK(AN231:AQ231)=4,"",SUM(AN231:AP231)+IF(Setup!$I$15="No",0,AQ231))</f>
        <v/>
      </c>
      <c r="AS231" s="192"/>
      <c r="AT231" s="192"/>
      <c r="AU231" s="192"/>
      <c r="AV231" s="192"/>
      <c r="AW231" s="255" t="str">
        <f>IF(COUNTBLANK(AS231:AV231)=4,"",SUM(AS231:AU231)+IF(Setup!$I$15="No",0,AV231))</f>
        <v/>
      </c>
      <c r="AX231" s="192"/>
      <c r="AY231" s="192"/>
      <c r="AZ231" s="192"/>
      <c r="BA231" s="192"/>
      <c r="BB231" s="255" t="str">
        <f>IF(COUNTBLANK(AX231:BA231)=4,"",SUM(AX231:AZ231)+IF(Setup!$I$15="No",0,BA231))</f>
        <v/>
      </c>
      <c r="BC231" s="259" t="str">
        <f ca="1">IF('Demand background (hide)'!A222=Num_Modalities,"",SUM(Demand!I231))</f>
        <v/>
      </c>
      <c r="BD231" s="259" t="str">
        <f ca="1">IF(AND(A231&lt;=MaxRows,BE231&lt;&gt;"Yes"),'Demand background (hide)'!X222+IF(Setup!$I$15="Yes",'Demand background (hide)'!AJ222,0),"")</f>
        <v/>
      </c>
      <c r="BE231" s="209"/>
    </row>
    <row r="232" spans="1:57" x14ac:dyDescent="0.25">
      <c r="A232" t="str">
        <f t="shared" ca="1" si="12"/>
        <v/>
      </c>
      <c r="B232" s="264" t="str">
        <f t="shared" ca="1" si="13"/>
        <v xml:space="preserve"> </v>
      </c>
      <c r="C232" s="265" t="str">
        <f t="shared" ca="1" si="14"/>
        <v/>
      </c>
      <c r="D232" s="350" t="str">
        <f t="shared" ca="1" si="15"/>
        <v/>
      </c>
      <c r="E232" s="192"/>
      <c r="F232" s="192"/>
      <c r="G232" s="192"/>
      <c r="H232" s="192"/>
      <c r="I232" s="251" t="str">
        <f>IF(COUNTBLANK(E232:H232)=4,"",SUM(E232:G232)+IF(Setup!$I$15="No",0,H232))</f>
        <v/>
      </c>
      <c r="J232" s="192"/>
      <c r="K232" s="192"/>
      <c r="L232" s="192"/>
      <c r="M232" s="192"/>
      <c r="N232" s="255" t="str">
        <f>IF(COUNTBLANK(J232:M232)=4,"",SUM(J232:L232)+IF(Setup!$I$15="No",0,M232))</f>
        <v/>
      </c>
      <c r="O232" s="192"/>
      <c r="P232" s="192"/>
      <c r="Q232" s="192"/>
      <c r="R232" s="192"/>
      <c r="S232" s="255" t="str">
        <f>IF(COUNTBLANK(O232:R232)=4,"",SUM(O232:Q232)+IF(Setup!$I$15="No",0,R232))</f>
        <v/>
      </c>
      <c r="T232" s="192"/>
      <c r="U232" s="192"/>
      <c r="V232" s="192"/>
      <c r="W232" s="192"/>
      <c r="X232" s="255" t="str">
        <f>IF(COUNTBLANK(T232:W232)=4,"",SUM(T232:V232)+IF(Setup!$I$15="No",0,W232))</f>
        <v/>
      </c>
      <c r="Y232" s="192"/>
      <c r="Z232" s="192"/>
      <c r="AA232" s="192"/>
      <c r="AB232" s="192"/>
      <c r="AC232" s="255" t="str">
        <f>IF(COUNTBLANK(Y232:AB232)=4,"",SUM(Y232:AA232)+IF(Setup!$I$15="No",0,AB232))</f>
        <v/>
      </c>
      <c r="AD232" s="192"/>
      <c r="AE232" s="192"/>
      <c r="AF232" s="192"/>
      <c r="AG232" s="192"/>
      <c r="AH232" s="255" t="str">
        <f>IF(COUNTBLANK(AD232:AG232)=4,"",SUM(AD232:AF232)+IF(Setup!$I$15="No",0,AG232))</f>
        <v/>
      </c>
      <c r="AI232" s="192"/>
      <c r="AJ232" s="192"/>
      <c r="AK232" s="192"/>
      <c r="AL232" s="192"/>
      <c r="AM232" s="255" t="str">
        <f>IF(COUNTBLANK(AI232:AL232)=4,"",SUM(AI232:AK232)+IF(Setup!$I$15="No",0,AL232))</f>
        <v/>
      </c>
      <c r="AN232" s="192"/>
      <c r="AO232" s="192"/>
      <c r="AP232" s="192"/>
      <c r="AQ232" s="192"/>
      <c r="AR232" s="255" t="str">
        <f>IF(COUNTBLANK(AN232:AQ232)=4,"",SUM(AN232:AP232)+IF(Setup!$I$15="No",0,AQ232))</f>
        <v/>
      </c>
      <c r="AS232" s="192"/>
      <c r="AT232" s="192"/>
      <c r="AU232" s="192"/>
      <c r="AV232" s="192"/>
      <c r="AW232" s="255" t="str">
        <f>IF(COUNTBLANK(AS232:AV232)=4,"",SUM(AS232:AU232)+IF(Setup!$I$15="No",0,AV232))</f>
        <v/>
      </c>
      <c r="AX232" s="192"/>
      <c r="AY232" s="192"/>
      <c r="AZ232" s="192"/>
      <c r="BA232" s="192"/>
      <c r="BB232" s="255" t="str">
        <f>IF(COUNTBLANK(AX232:BA232)=4,"",SUM(AX232:AZ232)+IF(Setup!$I$15="No",0,BA232))</f>
        <v/>
      </c>
      <c r="BC232" s="259" t="str">
        <f ca="1">IF('Demand background (hide)'!A223=Num_Modalities,"",SUM(Demand!I232))</f>
        <v/>
      </c>
      <c r="BD232" s="259" t="str">
        <f ca="1">IF(AND(A232&lt;=MaxRows,BE232&lt;&gt;"Yes"),'Demand background (hide)'!X223+IF(Setup!$I$15="Yes",'Demand background (hide)'!AJ223,0),"")</f>
        <v/>
      </c>
      <c r="BE232" s="209"/>
    </row>
    <row r="233" spans="1:57" x14ac:dyDescent="0.25">
      <c r="A233" t="str">
        <f t="shared" ca="1" si="12"/>
        <v/>
      </c>
      <c r="B233" s="264" t="str">
        <f t="shared" ca="1" si="13"/>
        <v xml:space="preserve"> </v>
      </c>
      <c r="C233" s="265" t="str">
        <f t="shared" ca="1" si="14"/>
        <v/>
      </c>
      <c r="D233" s="350" t="str">
        <f t="shared" ca="1" si="15"/>
        <v/>
      </c>
      <c r="E233" s="192"/>
      <c r="F233" s="192"/>
      <c r="G233" s="192"/>
      <c r="H233" s="192"/>
      <c r="I233" s="251" t="str">
        <f>IF(COUNTBLANK(E233:H233)=4,"",SUM(E233:G233)+IF(Setup!$I$15="No",0,H233))</f>
        <v/>
      </c>
      <c r="J233" s="192"/>
      <c r="K233" s="192"/>
      <c r="L233" s="192"/>
      <c r="M233" s="192"/>
      <c r="N233" s="255" t="str">
        <f>IF(COUNTBLANK(J233:M233)=4,"",SUM(J233:L233)+IF(Setup!$I$15="No",0,M233))</f>
        <v/>
      </c>
      <c r="O233" s="192"/>
      <c r="P233" s="192"/>
      <c r="Q233" s="192"/>
      <c r="R233" s="192"/>
      <c r="S233" s="255" t="str">
        <f>IF(COUNTBLANK(O233:R233)=4,"",SUM(O233:Q233)+IF(Setup!$I$15="No",0,R233))</f>
        <v/>
      </c>
      <c r="T233" s="192"/>
      <c r="U233" s="192"/>
      <c r="V233" s="192"/>
      <c r="W233" s="192"/>
      <c r="X233" s="255" t="str">
        <f>IF(COUNTBLANK(T233:W233)=4,"",SUM(T233:V233)+IF(Setup!$I$15="No",0,W233))</f>
        <v/>
      </c>
      <c r="Y233" s="192"/>
      <c r="Z233" s="192"/>
      <c r="AA233" s="192"/>
      <c r="AB233" s="192"/>
      <c r="AC233" s="255" t="str">
        <f>IF(COUNTBLANK(Y233:AB233)=4,"",SUM(Y233:AA233)+IF(Setup!$I$15="No",0,AB233))</f>
        <v/>
      </c>
      <c r="AD233" s="192"/>
      <c r="AE233" s="192"/>
      <c r="AF233" s="192"/>
      <c r="AG233" s="192"/>
      <c r="AH233" s="255" t="str">
        <f>IF(COUNTBLANK(AD233:AG233)=4,"",SUM(AD233:AF233)+IF(Setup!$I$15="No",0,AG233))</f>
        <v/>
      </c>
      <c r="AI233" s="192"/>
      <c r="AJ233" s="192"/>
      <c r="AK233" s="192"/>
      <c r="AL233" s="192"/>
      <c r="AM233" s="255" t="str">
        <f>IF(COUNTBLANK(AI233:AL233)=4,"",SUM(AI233:AK233)+IF(Setup!$I$15="No",0,AL233))</f>
        <v/>
      </c>
      <c r="AN233" s="192"/>
      <c r="AO233" s="192"/>
      <c r="AP233" s="192"/>
      <c r="AQ233" s="192"/>
      <c r="AR233" s="255" t="str">
        <f>IF(COUNTBLANK(AN233:AQ233)=4,"",SUM(AN233:AP233)+IF(Setup!$I$15="No",0,AQ233))</f>
        <v/>
      </c>
      <c r="AS233" s="192"/>
      <c r="AT233" s="192"/>
      <c r="AU233" s="192"/>
      <c r="AV233" s="192"/>
      <c r="AW233" s="255" t="str">
        <f>IF(COUNTBLANK(AS233:AV233)=4,"",SUM(AS233:AU233)+IF(Setup!$I$15="No",0,AV233))</f>
        <v/>
      </c>
      <c r="AX233" s="192"/>
      <c r="AY233" s="192"/>
      <c r="AZ233" s="192"/>
      <c r="BA233" s="192"/>
      <c r="BB233" s="255" t="str">
        <f>IF(COUNTBLANK(AX233:BA233)=4,"",SUM(AX233:AZ233)+IF(Setup!$I$15="No",0,BA233))</f>
        <v/>
      </c>
      <c r="BC233" s="259" t="str">
        <f ca="1">IF('Demand background (hide)'!A224=Num_Modalities,"",SUM(Demand!I233))</f>
        <v/>
      </c>
      <c r="BD233" s="259" t="str">
        <f ca="1">IF(AND(A233&lt;=MaxRows,BE233&lt;&gt;"Yes"),'Demand background (hide)'!X224+IF(Setup!$I$15="Yes",'Demand background (hide)'!AJ224,0),"")</f>
        <v/>
      </c>
      <c r="BE233" s="209"/>
    </row>
    <row r="234" spans="1:57" x14ac:dyDescent="0.25">
      <c r="A234" t="str">
        <f t="shared" ca="1" si="12"/>
        <v/>
      </c>
      <c r="B234" s="264" t="str">
        <f t="shared" ca="1" si="13"/>
        <v xml:space="preserve"> </v>
      </c>
      <c r="C234" s="265" t="str">
        <f t="shared" ca="1" si="14"/>
        <v/>
      </c>
      <c r="D234" s="350" t="str">
        <f t="shared" ca="1" si="15"/>
        <v/>
      </c>
      <c r="E234" s="192"/>
      <c r="F234" s="192"/>
      <c r="G234" s="192"/>
      <c r="H234" s="192"/>
      <c r="I234" s="251" t="str">
        <f>IF(COUNTBLANK(E234:H234)=4,"",SUM(E234:G234)+IF(Setup!$I$15="No",0,H234))</f>
        <v/>
      </c>
      <c r="J234" s="192"/>
      <c r="K234" s="192"/>
      <c r="L234" s="192"/>
      <c r="M234" s="192"/>
      <c r="N234" s="255" t="str">
        <f>IF(COUNTBLANK(J234:M234)=4,"",SUM(J234:L234)+IF(Setup!$I$15="No",0,M234))</f>
        <v/>
      </c>
      <c r="O234" s="192"/>
      <c r="P234" s="192"/>
      <c r="Q234" s="192"/>
      <c r="R234" s="192"/>
      <c r="S234" s="255" t="str">
        <f>IF(COUNTBLANK(O234:R234)=4,"",SUM(O234:Q234)+IF(Setup!$I$15="No",0,R234))</f>
        <v/>
      </c>
      <c r="T234" s="192"/>
      <c r="U234" s="192"/>
      <c r="V234" s="192"/>
      <c r="W234" s="192"/>
      <c r="X234" s="255" t="str">
        <f>IF(COUNTBLANK(T234:W234)=4,"",SUM(T234:V234)+IF(Setup!$I$15="No",0,W234))</f>
        <v/>
      </c>
      <c r="Y234" s="192"/>
      <c r="Z234" s="192"/>
      <c r="AA234" s="192"/>
      <c r="AB234" s="192"/>
      <c r="AC234" s="255" t="str">
        <f>IF(COUNTBLANK(Y234:AB234)=4,"",SUM(Y234:AA234)+IF(Setup!$I$15="No",0,AB234))</f>
        <v/>
      </c>
      <c r="AD234" s="192"/>
      <c r="AE234" s="192"/>
      <c r="AF234" s="192"/>
      <c r="AG234" s="192"/>
      <c r="AH234" s="255" t="str">
        <f>IF(COUNTBLANK(AD234:AG234)=4,"",SUM(AD234:AF234)+IF(Setup!$I$15="No",0,AG234))</f>
        <v/>
      </c>
      <c r="AI234" s="192"/>
      <c r="AJ234" s="192"/>
      <c r="AK234" s="192"/>
      <c r="AL234" s="192"/>
      <c r="AM234" s="255" t="str">
        <f>IF(COUNTBLANK(AI234:AL234)=4,"",SUM(AI234:AK234)+IF(Setup!$I$15="No",0,AL234))</f>
        <v/>
      </c>
      <c r="AN234" s="192"/>
      <c r="AO234" s="192"/>
      <c r="AP234" s="192"/>
      <c r="AQ234" s="192"/>
      <c r="AR234" s="255" t="str">
        <f>IF(COUNTBLANK(AN234:AQ234)=4,"",SUM(AN234:AP234)+IF(Setup!$I$15="No",0,AQ234))</f>
        <v/>
      </c>
      <c r="AS234" s="192"/>
      <c r="AT234" s="192"/>
      <c r="AU234" s="192"/>
      <c r="AV234" s="192"/>
      <c r="AW234" s="255" t="str">
        <f>IF(COUNTBLANK(AS234:AV234)=4,"",SUM(AS234:AU234)+IF(Setup!$I$15="No",0,AV234))</f>
        <v/>
      </c>
      <c r="AX234" s="192"/>
      <c r="AY234" s="192"/>
      <c r="AZ234" s="192"/>
      <c r="BA234" s="192"/>
      <c r="BB234" s="255" t="str">
        <f>IF(COUNTBLANK(AX234:BA234)=4,"",SUM(AX234:AZ234)+IF(Setup!$I$15="No",0,BA234))</f>
        <v/>
      </c>
      <c r="BC234" s="259" t="str">
        <f ca="1">IF('Demand background (hide)'!A225=Num_Modalities,"",SUM(Demand!I234))</f>
        <v/>
      </c>
      <c r="BD234" s="259" t="str">
        <f ca="1">IF(AND(A234&lt;=MaxRows,BE234&lt;&gt;"Yes"),'Demand background (hide)'!X225+IF(Setup!$I$15="Yes",'Demand background (hide)'!AJ225,0),"")</f>
        <v/>
      </c>
      <c r="BE234" s="209"/>
    </row>
    <row r="235" spans="1:57" x14ac:dyDescent="0.25">
      <c r="A235" t="str">
        <f t="shared" ca="1" si="12"/>
        <v/>
      </c>
      <c r="B235" s="264" t="str">
        <f t="shared" ca="1" si="13"/>
        <v xml:space="preserve"> </v>
      </c>
      <c r="C235" s="265" t="str">
        <f t="shared" ca="1" si="14"/>
        <v/>
      </c>
      <c r="D235" s="350" t="str">
        <f t="shared" ca="1" si="15"/>
        <v/>
      </c>
      <c r="E235" s="192"/>
      <c r="F235" s="192"/>
      <c r="G235" s="192"/>
      <c r="H235" s="192"/>
      <c r="I235" s="251" t="str">
        <f>IF(COUNTBLANK(E235:H235)=4,"",SUM(E235:G235)+IF(Setup!$I$15="No",0,H235))</f>
        <v/>
      </c>
      <c r="J235" s="192"/>
      <c r="K235" s="192"/>
      <c r="L235" s="192"/>
      <c r="M235" s="192"/>
      <c r="N235" s="255" t="str">
        <f>IF(COUNTBLANK(J235:M235)=4,"",SUM(J235:L235)+IF(Setup!$I$15="No",0,M235))</f>
        <v/>
      </c>
      <c r="O235" s="192"/>
      <c r="P235" s="192"/>
      <c r="Q235" s="192"/>
      <c r="R235" s="192"/>
      <c r="S235" s="255" t="str">
        <f>IF(COUNTBLANK(O235:R235)=4,"",SUM(O235:Q235)+IF(Setup!$I$15="No",0,R235))</f>
        <v/>
      </c>
      <c r="T235" s="192"/>
      <c r="U235" s="192"/>
      <c r="V235" s="192"/>
      <c r="W235" s="192"/>
      <c r="X235" s="255" t="str">
        <f>IF(COUNTBLANK(T235:W235)=4,"",SUM(T235:V235)+IF(Setup!$I$15="No",0,W235))</f>
        <v/>
      </c>
      <c r="Y235" s="192"/>
      <c r="Z235" s="192"/>
      <c r="AA235" s="192"/>
      <c r="AB235" s="192"/>
      <c r="AC235" s="255" t="str">
        <f>IF(COUNTBLANK(Y235:AB235)=4,"",SUM(Y235:AA235)+IF(Setup!$I$15="No",0,AB235))</f>
        <v/>
      </c>
      <c r="AD235" s="192"/>
      <c r="AE235" s="192"/>
      <c r="AF235" s="192"/>
      <c r="AG235" s="192"/>
      <c r="AH235" s="255" t="str">
        <f>IF(COUNTBLANK(AD235:AG235)=4,"",SUM(AD235:AF235)+IF(Setup!$I$15="No",0,AG235))</f>
        <v/>
      </c>
      <c r="AI235" s="192"/>
      <c r="AJ235" s="192"/>
      <c r="AK235" s="192"/>
      <c r="AL235" s="192"/>
      <c r="AM235" s="255" t="str">
        <f>IF(COUNTBLANK(AI235:AL235)=4,"",SUM(AI235:AK235)+IF(Setup!$I$15="No",0,AL235))</f>
        <v/>
      </c>
      <c r="AN235" s="192"/>
      <c r="AO235" s="192"/>
      <c r="AP235" s="192"/>
      <c r="AQ235" s="192"/>
      <c r="AR235" s="255" t="str">
        <f>IF(COUNTBLANK(AN235:AQ235)=4,"",SUM(AN235:AP235)+IF(Setup!$I$15="No",0,AQ235))</f>
        <v/>
      </c>
      <c r="AS235" s="192"/>
      <c r="AT235" s="192"/>
      <c r="AU235" s="192"/>
      <c r="AV235" s="192"/>
      <c r="AW235" s="255" t="str">
        <f>IF(COUNTBLANK(AS235:AV235)=4,"",SUM(AS235:AU235)+IF(Setup!$I$15="No",0,AV235))</f>
        <v/>
      </c>
      <c r="AX235" s="192"/>
      <c r="AY235" s="192"/>
      <c r="AZ235" s="192"/>
      <c r="BA235" s="192"/>
      <c r="BB235" s="255" t="str">
        <f>IF(COUNTBLANK(AX235:BA235)=4,"",SUM(AX235:AZ235)+IF(Setup!$I$15="No",0,BA235))</f>
        <v/>
      </c>
      <c r="BC235" s="259" t="str">
        <f ca="1">IF('Demand background (hide)'!A226=Num_Modalities,"",SUM(Demand!I235))</f>
        <v/>
      </c>
      <c r="BD235" s="259" t="str">
        <f ca="1">IF(AND(A235&lt;=MaxRows,BE235&lt;&gt;"Yes"),'Demand background (hide)'!X226+IF(Setup!$I$15="Yes",'Demand background (hide)'!AJ226,0),"")</f>
        <v/>
      </c>
      <c r="BE235" s="209"/>
    </row>
    <row r="236" spans="1:57" x14ac:dyDescent="0.25">
      <c r="A236" t="str">
        <f t="shared" ca="1" si="12"/>
        <v/>
      </c>
      <c r="B236" s="264" t="str">
        <f t="shared" ca="1" si="13"/>
        <v xml:space="preserve"> </v>
      </c>
      <c r="C236" s="265" t="str">
        <f t="shared" ca="1" si="14"/>
        <v/>
      </c>
      <c r="D236" s="350" t="str">
        <f t="shared" ca="1" si="15"/>
        <v/>
      </c>
      <c r="E236" s="192"/>
      <c r="F236" s="192"/>
      <c r="G236" s="192"/>
      <c r="H236" s="192"/>
      <c r="I236" s="251" t="str">
        <f>IF(COUNTBLANK(E236:H236)=4,"",SUM(E236:G236)+IF(Setup!$I$15="No",0,H236))</f>
        <v/>
      </c>
      <c r="J236" s="192"/>
      <c r="K236" s="192"/>
      <c r="L236" s="192"/>
      <c r="M236" s="192"/>
      <c r="N236" s="255" t="str">
        <f>IF(COUNTBLANK(J236:M236)=4,"",SUM(J236:L236)+IF(Setup!$I$15="No",0,M236))</f>
        <v/>
      </c>
      <c r="O236" s="192"/>
      <c r="P236" s="192"/>
      <c r="Q236" s="192"/>
      <c r="R236" s="192"/>
      <c r="S236" s="255" t="str">
        <f>IF(COUNTBLANK(O236:R236)=4,"",SUM(O236:Q236)+IF(Setup!$I$15="No",0,R236))</f>
        <v/>
      </c>
      <c r="T236" s="192"/>
      <c r="U236" s="192"/>
      <c r="V236" s="192"/>
      <c r="W236" s="192"/>
      <c r="X236" s="255" t="str">
        <f>IF(COUNTBLANK(T236:W236)=4,"",SUM(T236:V236)+IF(Setup!$I$15="No",0,W236))</f>
        <v/>
      </c>
      <c r="Y236" s="192"/>
      <c r="Z236" s="192"/>
      <c r="AA236" s="192"/>
      <c r="AB236" s="192"/>
      <c r="AC236" s="255" t="str">
        <f>IF(COUNTBLANK(Y236:AB236)=4,"",SUM(Y236:AA236)+IF(Setup!$I$15="No",0,AB236))</f>
        <v/>
      </c>
      <c r="AD236" s="192"/>
      <c r="AE236" s="192"/>
      <c r="AF236" s="192"/>
      <c r="AG236" s="192"/>
      <c r="AH236" s="255" t="str">
        <f>IF(COUNTBLANK(AD236:AG236)=4,"",SUM(AD236:AF236)+IF(Setup!$I$15="No",0,AG236))</f>
        <v/>
      </c>
      <c r="AI236" s="192"/>
      <c r="AJ236" s="192"/>
      <c r="AK236" s="192"/>
      <c r="AL236" s="192"/>
      <c r="AM236" s="255" t="str">
        <f>IF(COUNTBLANK(AI236:AL236)=4,"",SUM(AI236:AK236)+IF(Setup!$I$15="No",0,AL236))</f>
        <v/>
      </c>
      <c r="AN236" s="192"/>
      <c r="AO236" s="192"/>
      <c r="AP236" s="192"/>
      <c r="AQ236" s="192"/>
      <c r="AR236" s="255" t="str">
        <f>IF(COUNTBLANK(AN236:AQ236)=4,"",SUM(AN236:AP236)+IF(Setup!$I$15="No",0,AQ236))</f>
        <v/>
      </c>
      <c r="AS236" s="192"/>
      <c r="AT236" s="192"/>
      <c r="AU236" s="192"/>
      <c r="AV236" s="192"/>
      <c r="AW236" s="255" t="str">
        <f>IF(COUNTBLANK(AS236:AV236)=4,"",SUM(AS236:AU236)+IF(Setup!$I$15="No",0,AV236))</f>
        <v/>
      </c>
      <c r="AX236" s="192"/>
      <c r="AY236" s="192"/>
      <c r="AZ236" s="192"/>
      <c r="BA236" s="192"/>
      <c r="BB236" s="255" t="str">
        <f>IF(COUNTBLANK(AX236:BA236)=4,"",SUM(AX236:AZ236)+IF(Setup!$I$15="No",0,BA236))</f>
        <v/>
      </c>
      <c r="BC236" s="259" t="str">
        <f ca="1">IF('Demand background (hide)'!A227=Num_Modalities,"",SUM(Demand!I236))</f>
        <v/>
      </c>
      <c r="BD236" s="259" t="str">
        <f ca="1">IF(AND(A236&lt;=MaxRows,BE236&lt;&gt;"Yes"),'Demand background (hide)'!X227+IF(Setup!$I$15="Yes",'Demand background (hide)'!AJ227,0),"")</f>
        <v/>
      </c>
      <c r="BE236" s="209"/>
    </row>
    <row r="237" spans="1:57" x14ac:dyDescent="0.25">
      <c r="A237" t="str">
        <f t="shared" ca="1" si="12"/>
        <v/>
      </c>
      <c r="B237" s="264" t="str">
        <f t="shared" ca="1" si="13"/>
        <v xml:space="preserve"> </v>
      </c>
      <c r="C237" s="265" t="str">
        <f t="shared" ca="1" si="14"/>
        <v/>
      </c>
      <c r="D237" s="350" t="str">
        <f t="shared" ca="1" si="15"/>
        <v/>
      </c>
      <c r="E237" s="192"/>
      <c r="F237" s="192"/>
      <c r="G237" s="192"/>
      <c r="H237" s="192"/>
      <c r="I237" s="251" t="str">
        <f>IF(COUNTBLANK(E237:H237)=4,"",SUM(E237:G237)+IF(Setup!$I$15="No",0,H237))</f>
        <v/>
      </c>
      <c r="J237" s="192"/>
      <c r="K237" s="192"/>
      <c r="L237" s="192"/>
      <c r="M237" s="192"/>
      <c r="N237" s="255" t="str">
        <f>IF(COUNTBLANK(J237:M237)=4,"",SUM(J237:L237)+IF(Setup!$I$15="No",0,M237))</f>
        <v/>
      </c>
      <c r="O237" s="192"/>
      <c r="P237" s="192"/>
      <c r="Q237" s="192"/>
      <c r="R237" s="192"/>
      <c r="S237" s="255" t="str">
        <f>IF(COUNTBLANK(O237:R237)=4,"",SUM(O237:Q237)+IF(Setup!$I$15="No",0,R237))</f>
        <v/>
      </c>
      <c r="T237" s="192"/>
      <c r="U237" s="192"/>
      <c r="V237" s="192"/>
      <c r="W237" s="192"/>
      <c r="X237" s="255" t="str">
        <f>IF(COUNTBLANK(T237:W237)=4,"",SUM(T237:V237)+IF(Setup!$I$15="No",0,W237))</f>
        <v/>
      </c>
      <c r="Y237" s="192"/>
      <c r="Z237" s="192"/>
      <c r="AA237" s="192"/>
      <c r="AB237" s="192"/>
      <c r="AC237" s="255" t="str">
        <f>IF(COUNTBLANK(Y237:AB237)=4,"",SUM(Y237:AA237)+IF(Setup!$I$15="No",0,AB237))</f>
        <v/>
      </c>
      <c r="AD237" s="192"/>
      <c r="AE237" s="192"/>
      <c r="AF237" s="192"/>
      <c r="AG237" s="192"/>
      <c r="AH237" s="255" t="str">
        <f>IF(COUNTBLANK(AD237:AG237)=4,"",SUM(AD237:AF237)+IF(Setup!$I$15="No",0,AG237))</f>
        <v/>
      </c>
      <c r="AI237" s="192"/>
      <c r="AJ237" s="192"/>
      <c r="AK237" s="192"/>
      <c r="AL237" s="192"/>
      <c r="AM237" s="255" t="str">
        <f>IF(COUNTBLANK(AI237:AL237)=4,"",SUM(AI237:AK237)+IF(Setup!$I$15="No",0,AL237))</f>
        <v/>
      </c>
      <c r="AN237" s="192"/>
      <c r="AO237" s="192"/>
      <c r="AP237" s="192"/>
      <c r="AQ237" s="192"/>
      <c r="AR237" s="255" t="str">
        <f>IF(COUNTBLANK(AN237:AQ237)=4,"",SUM(AN237:AP237)+IF(Setup!$I$15="No",0,AQ237))</f>
        <v/>
      </c>
      <c r="AS237" s="192"/>
      <c r="AT237" s="192"/>
      <c r="AU237" s="192"/>
      <c r="AV237" s="192"/>
      <c r="AW237" s="255" t="str">
        <f>IF(COUNTBLANK(AS237:AV237)=4,"",SUM(AS237:AU237)+IF(Setup!$I$15="No",0,AV237))</f>
        <v/>
      </c>
      <c r="AX237" s="192"/>
      <c r="AY237" s="192"/>
      <c r="AZ237" s="192"/>
      <c r="BA237" s="192"/>
      <c r="BB237" s="255" t="str">
        <f>IF(COUNTBLANK(AX237:BA237)=4,"",SUM(AX237:AZ237)+IF(Setup!$I$15="No",0,BA237))</f>
        <v/>
      </c>
      <c r="BC237" s="259" t="str">
        <f ca="1">IF('Demand background (hide)'!A228=Num_Modalities,"",SUM(Demand!I237))</f>
        <v/>
      </c>
      <c r="BD237" s="259" t="str">
        <f ca="1">IF(AND(A237&lt;=MaxRows,BE237&lt;&gt;"Yes"),'Demand background (hide)'!X228+IF(Setup!$I$15="Yes",'Demand background (hide)'!AJ228,0),"")</f>
        <v/>
      </c>
      <c r="BE237" s="209"/>
    </row>
    <row r="238" spans="1:57" x14ac:dyDescent="0.25">
      <c r="A238" t="str">
        <f t="shared" ca="1" si="12"/>
        <v/>
      </c>
      <c r="B238" s="264" t="str">
        <f t="shared" ca="1" si="13"/>
        <v xml:space="preserve"> </v>
      </c>
      <c r="C238" s="265" t="str">
        <f t="shared" ca="1" si="14"/>
        <v/>
      </c>
      <c r="D238" s="350" t="str">
        <f t="shared" ca="1" si="15"/>
        <v/>
      </c>
      <c r="E238" s="192"/>
      <c r="F238" s="192"/>
      <c r="G238" s="192"/>
      <c r="H238" s="192"/>
      <c r="I238" s="251" t="str">
        <f>IF(COUNTBLANK(E238:H238)=4,"",SUM(E238:G238)+IF(Setup!$I$15="No",0,H238))</f>
        <v/>
      </c>
      <c r="J238" s="192"/>
      <c r="K238" s="192"/>
      <c r="L238" s="192"/>
      <c r="M238" s="192"/>
      <c r="N238" s="255" t="str">
        <f>IF(COUNTBLANK(J238:M238)=4,"",SUM(J238:L238)+IF(Setup!$I$15="No",0,M238))</f>
        <v/>
      </c>
      <c r="O238" s="192"/>
      <c r="P238" s="192"/>
      <c r="Q238" s="192"/>
      <c r="R238" s="192"/>
      <c r="S238" s="255" t="str">
        <f>IF(COUNTBLANK(O238:R238)=4,"",SUM(O238:Q238)+IF(Setup!$I$15="No",0,R238))</f>
        <v/>
      </c>
      <c r="T238" s="192"/>
      <c r="U238" s="192"/>
      <c r="V238" s="192"/>
      <c r="W238" s="192"/>
      <c r="X238" s="255" t="str">
        <f>IF(COUNTBLANK(T238:W238)=4,"",SUM(T238:V238)+IF(Setup!$I$15="No",0,W238))</f>
        <v/>
      </c>
      <c r="Y238" s="192"/>
      <c r="Z238" s="192"/>
      <c r="AA238" s="192"/>
      <c r="AB238" s="192"/>
      <c r="AC238" s="255" t="str">
        <f>IF(COUNTBLANK(Y238:AB238)=4,"",SUM(Y238:AA238)+IF(Setup!$I$15="No",0,AB238))</f>
        <v/>
      </c>
      <c r="AD238" s="192"/>
      <c r="AE238" s="192"/>
      <c r="AF238" s="192"/>
      <c r="AG238" s="192"/>
      <c r="AH238" s="255" t="str">
        <f>IF(COUNTBLANK(AD238:AG238)=4,"",SUM(AD238:AF238)+IF(Setup!$I$15="No",0,AG238))</f>
        <v/>
      </c>
      <c r="AI238" s="192"/>
      <c r="AJ238" s="192"/>
      <c r="AK238" s="192"/>
      <c r="AL238" s="192"/>
      <c r="AM238" s="255" t="str">
        <f>IF(COUNTBLANK(AI238:AL238)=4,"",SUM(AI238:AK238)+IF(Setup!$I$15="No",0,AL238))</f>
        <v/>
      </c>
      <c r="AN238" s="192"/>
      <c r="AO238" s="192"/>
      <c r="AP238" s="192"/>
      <c r="AQ238" s="192"/>
      <c r="AR238" s="255" t="str">
        <f>IF(COUNTBLANK(AN238:AQ238)=4,"",SUM(AN238:AP238)+IF(Setup!$I$15="No",0,AQ238))</f>
        <v/>
      </c>
      <c r="AS238" s="192"/>
      <c r="AT238" s="192"/>
      <c r="AU238" s="192"/>
      <c r="AV238" s="192"/>
      <c r="AW238" s="255" t="str">
        <f>IF(COUNTBLANK(AS238:AV238)=4,"",SUM(AS238:AU238)+IF(Setup!$I$15="No",0,AV238))</f>
        <v/>
      </c>
      <c r="AX238" s="192"/>
      <c r="AY238" s="192"/>
      <c r="AZ238" s="192"/>
      <c r="BA238" s="192"/>
      <c r="BB238" s="255" t="str">
        <f>IF(COUNTBLANK(AX238:BA238)=4,"",SUM(AX238:AZ238)+IF(Setup!$I$15="No",0,BA238))</f>
        <v/>
      </c>
      <c r="BC238" s="259" t="str">
        <f ca="1">IF('Demand background (hide)'!A229=Num_Modalities,"",SUM(Demand!I238))</f>
        <v/>
      </c>
      <c r="BD238" s="259" t="str">
        <f ca="1">IF(AND(A238&lt;=MaxRows,BE238&lt;&gt;"Yes"),'Demand background (hide)'!X229+IF(Setup!$I$15="Yes",'Demand background (hide)'!AJ229,0),"")</f>
        <v/>
      </c>
      <c r="BE238" s="209"/>
    </row>
    <row r="239" spans="1:57" x14ac:dyDescent="0.25">
      <c r="A239" t="str">
        <f t="shared" ca="1" si="12"/>
        <v/>
      </c>
      <c r="B239" s="264" t="str">
        <f t="shared" ca="1" si="13"/>
        <v xml:space="preserve"> </v>
      </c>
      <c r="C239" s="265" t="str">
        <f t="shared" ca="1" si="14"/>
        <v/>
      </c>
      <c r="D239" s="350" t="str">
        <f t="shared" ca="1" si="15"/>
        <v/>
      </c>
      <c r="E239" s="192"/>
      <c r="F239" s="192"/>
      <c r="G239" s="192"/>
      <c r="H239" s="192"/>
      <c r="I239" s="251" t="str">
        <f>IF(COUNTBLANK(E239:H239)=4,"",SUM(E239:G239)+IF(Setup!$I$15="No",0,H239))</f>
        <v/>
      </c>
      <c r="J239" s="192"/>
      <c r="K239" s="192"/>
      <c r="L239" s="192"/>
      <c r="M239" s="192"/>
      <c r="N239" s="255" t="str">
        <f>IF(COUNTBLANK(J239:M239)=4,"",SUM(J239:L239)+IF(Setup!$I$15="No",0,M239))</f>
        <v/>
      </c>
      <c r="O239" s="192"/>
      <c r="P239" s="192"/>
      <c r="Q239" s="192"/>
      <c r="R239" s="192"/>
      <c r="S239" s="255" t="str">
        <f>IF(COUNTBLANK(O239:R239)=4,"",SUM(O239:Q239)+IF(Setup!$I$15="No",0,R239))</f>
        <v/>
      </c>
      <c r="T239" s="192"/>
      <c r="U239" s="192"/>
      <c r="V239" s="192"/>
      <c r="W239" s="192"/>
      <c r="X239" s="255" t="str">
        <f>IF(COUNTBLANK(T239:W239)=4,"",SUM(T239:V239)+IF(Setup!$I$15="No",0,W239))</f>
        <v/>
      </c>
      <c r="Y239" s="192"/>
      <c r="Z239" s="192"/>
      <c r="AA239" s="192"/>
      <c r="AB239" s="192"/>
      <c r="AC239" s="255" t="str">
        <f>IF(COUNTBLANK(Y239:AB239)=4,"",SUM(Y239:AA239)+IF(Setup!$I$15="No",0,AB239))</f>
        <v/>
      </c>
      <c r="AD239" s="192"/>
      <c r="AE239" s="192"/>
      <c r="AF239" s="192"/>
      <c r="AG239" s="192"/>
      <c r="AH239" s="255" t="str">
        <f>IF(COUNTBLANK(AD239:AG239)=4,"",SUM(AD239:AF239)+IF(Setup!$I$15="No",0,AG239))</f>
        <v/>
      </c>
      <c r="AI239" s="192"/>
      <c r="AJ239" s="192"/>
      <c r="AK239" s="192"/>
      <c r="AL239" s="192"/>
      <c r="AM239" s="255" t="str">
        <f>IF(COUNTBLANK(AI239:AL239)=4,"",SUM(AI239:AK239)+IF(Setup!$I$15="No",0,AL239))</f>
        <v/>
      </c>
      <c r="AN239" s="192"/>
      <c r="AO239" s="192"/>
      <c r="AP239" s="192"/>
      <c r="AQ239" s="192"/>
      <c r="AR239" s="255" t="str">
        <f>IF(COUNTBLANK(AN239:AQ239)=4,"",SUM(AN239:AP239)+IF(Setup!$I$15="No",0,AQ239))</f>
        <v/>
      </c>
      <c r="AS239" s="192"/>
      <c r="AT239" s="192"/>
      <c r="AU239" s="192"/>
      <c r="AV239" s="192"/>
      <c r="AW239" s="255" t="str">
        <f>IF(COUNTBLANK(AS239:AV239)=4,"",SUM(AS239:AU239)+IF(Setup!$I$15="No",0,AV239))</f>
        <v/>
      </c>
      <c r="AX239" s="192"/>
      <c r="AY239" s="192"/>
      <c r="AZ239" s="192"/>
      <c r="BA239" s="192"/>
      <c r="BB239" s="255" t="str">
        <f>IF(COUNTBLANK(AX239:BA239)=4,"",SUM(AX239:AZ239)+IF(Setup!$I$15="No",0,BA239))</f>
        <v/>
      </c>
      <c r="BC239" s="259" t="str">
        <f ca="1">IF('Demand background (hide)'!A230=Num_Modalities,"",SUM(Demand!I239))</f>
        <v/>
      </c>
      <c r="BD239" s="259" t="str">
        <f ca="1">IF(AND(A239&lt;=MaxRows,BE239&lt;&gt;"Yes"),'Demand background (hide)'!X230+IF(Setup!$I$15="Yes",'Demand background (hide)'!AJ230,0),"")</f>
        <v/>
      </c>
      <c r="BE239" s="209"/>
    </row>
    <row r="240" spans="1:57" x14ac:dyDescent="0.25">
      <c r="A240" t="str">
        <f t="shared" ca="1" si="12"/>
        <v/>
      </c>
      <c r="B240" s="264" t="str">
        <f t="shared" ca="1" si="13"/>
        <v xml:space="preserve"> </v>
      </c>
      <c r="C240" s="265" t="str">
        <f t="shared" ca="1" si="14"/>
        <v/>
      </c>
      <c r="D240" s="350" t="str">
        <f t="shared" ca="1" si="15"/>
        <v/>
      </c>
      <c r="E240" s="192"/>
      <c r="F240" s="192"/>
      <c r="G240" s="192"/>
      <c r="H240" s="192"/>
      <c r="I240" s="251" t="str">
        <f>IF(COUNTBLANK(E240:H240)=4,"",SUM(E240:G240)+IF(Setup!$I$15="No",0,H240))</f>
        <v/>
      </c>
      <c r="J240" s="192"/>
      <c r="K240" s="192"/>
      <c r="L240" s="192"/>
      <c r="M240" s="192"/>
      <c r="N240" s="255" t="str">
        <f>IF(COUNTBLANK(J240:M240)=4,"",SUM(J240:L240)+IF(Setup!$I$15="No",0,M240))</f>
        <v/>
      </c>
      <c r="O240" s="192"/>
      <c r="P240" s="192"/>
      <c r="Q240" s="192"/>
      <c r="R240" s="192"/>
      <c r="S240" s="255" t="str">
        <f>IF(COUNTBLANK(O240:R240)=4,"",SUM(O240:Q240)+IF(Setup!$I$15="No",0,R240))</f>
        <v/>
      </c>
      <c r="T240" s="192"/>
      <c r="U240" s="192"/>
      <c r="V240" s="192"/>
      <c r="W240" s="192"/>
      <c r="X240" s="255" t="str">
        <f>IF(COUNTBLANK(T240:W240)=4,"",SUM(T240:V240)+IF(Setup!$I$15="No",0,W240))</f>
        <v/>
      </c>
      <c r="Y240" s="192"/>
      <c r="Z240" s="192"/>
      <c r="AA240" s="192"/>
      <c r="AB240" s="192"/>
      <c r="AC240" s="255" t="str">
        <f>IF(COUNTBLANK(Y240:AB240)=4,"",SUM(Y240:AA240)+IF(Setup!$I$15="No",0,AB240))</f>
        <v/>
      </c>
      <c r="AD240" s="192"/>
      <c r="AE240" s="192"/>
      <c r="AF240" s="192"/>
      <c r="AG240" s="192"/>
      <c r="AH240" s="255" t="str">
        <f>IF(COUNTBLANK(AD240:AG240)=4,"",SUM(AD240:AF240)+IF(Setup!$I$15="No",0,AG240))</f>
        <v/>
      </c>
      <c r="AI240" s="192"/>
      <c r="AJ240" s="192"/>
      <c r="AK240" s="192"/>
      <c r="AL240" s="192"/>
      <c r="AM240" s="255" t="str">
        <f>IF(COUNTBLANK(AI240:AL240)=4,"",SUM(AI240:AK240)+IF(Setup!$I$15="No",0,AL240))</f>
        <v/>
      </c>
      <c r="AN240" s="192"/>
      <c r="AO240" s="192"/>
      <c r="AP240" s="192"/>
      <c r="AQ240" s="192"/>
      <c r="AR240" s="255" t="str">
        <f>IF(COUNTBLANK(AN240:AQ240)=4,"",SUM(AN240:AP240)+IF(Setup!$I$15="No",0,AQ240))</f>
        <v/>
      </c>
      <c r="AS240" s="192"/>
      <c r="AT240" s="192"/>
      <c r="AU240" s="192"/>
      <c r="AV240" s="192"/>
      <c r="AW240" s="255" t="str">
        <f>IF(COUNTBLANK(AS240:AV240)=4,"",SUM(AS240:AU240)+IF(Setup!$I$15="No",0,AV240))</f>
        <v/>
      </c>
      <c r="AX240" s="192"/>
      <c r="AY240" s="192"/>
      <c r="AZ240" s="192"/>
      <c r="BA240" s="192"/>
      <c r="BB240" s="255" t="str">
        <f>IF(COUNTBLANK(AX240:BA240)=4,"",SUM(AX240:AZ240)+IF(Setup!$I$15="No",0,BA240))</f>
        <v/>
      </c>
      <c r="BC240" s="259" t="str">
        <f ca="1">IF('Demand background (hide)'!A231=Num_Modalities,"",SUM(Demand!I240))</f>
        <v/>
      </c>
      <c r="BD240" s="259" t="str">
        <f ca="1">IF(AND(A240&lt;=MaxRows,BE240&lt;&gt;"Yes"),'Demand background (hide)'!X231+IF(Setup!$I$15="Yes",'Demand background (hide)'!AJ231,0),"")</f>
        <v/>
      </c>
      <c r="BE240" s="209"/>
    </row>
    <row r="241" spans="1:57" x14ac:dyDescent="0.25">
      <c r="A241" t="str">
        <f t="shared" ca="1" si="12"/>
        <v/>
      </c>
      <c r="B241" s="264" t="str">
        <f t="shared" ca="1" si="13"/>
        <v xml:space="preserve"> </v>
      </c>
      <c r="C241" s="265" t="str">
        <f t="shared" ca="1" si="14"/>
        <v/>
      </c>
      <c r="D241" s="350" t="str">
        <f t="shared" ca="1" si="15"/>
        <v/>
      </c>
      <c r="E241" s="192"/>
      <c r="F241" s="192"/>
      <c r="G241" s="192"/>
      <c r="H241" s="192"/>
      <c r="I241" s="251" t="str">
        <f>IF(COUNTBLANK(E241:H241)=4,"",SUM(E241:G241)+IF(Setup!$I$15="No",0,H241))</f>
        <v/>
      </c>
      <c r="J241" s="192"/>
      <c r="K241" s="192"/>
      <c r="L241" s="192"/>
      <c r="M241" s="192"/>
      <c r="N241" s="255" t="str">
        <f>IF(COUNTBLANK(J241:M241)=4,"",SUM(J241:L241)+IF(Setup!$I$15="No",0,M241))</f>
        <v/>
      </c>
      <c r="O241" s="192"/>
      <c r="P241" s="192"/>
      <c r="Q241" s="192"/>
      <c r="R241" s="192"/>
      <c r="S241" s="255" t="str">
        <f>IF(COUNTBLANK(O241:R241)=4,"",SUM(O241:Q241)+IF(Setup!$I$15="No",0,R241))</f>
        <v/>
      </c>
      <c r="T241" s="192"/>
      <c r="U241" s="192"/>
      <c r="V241" s="192"/>
      <c r="W241" s="192"/>
      <c r="X241" s="255" t="str">
        <f>IF(COUNTBLANK(T241:W241)=4,"",SUM(T241:V241)+IF(Setup!$I$15="No",0,W241))</f>
        <v/>
      </c>
      <c r="Y241" s="192"/>
      <c r="Z241" s="192"/>
      <c r="AA241" s="192"/>
      <c r="AB241" s="192"/>
      <c r="AC241" s="255" t="str">
        <f>IF(COUNTBLANK(Y241:AB241)=4,"",SUM(Y241:AA241)+IF(Setup!$I$15="No",0,AB241))</f>
        <v/>
      </c>
      <c r="AD241" s="192"/>
      <c r="AE241" s="192"/>
      <c r="AF241" s="192"/>
      <c r="AG241" s="192"/>
      <c r="AH241" s="255" t="str">
        <f>IF(COUNTBLANK(AD241:AG241)=4,"",SUM(AD241:AF241)+IF(Setup!$I$15="No",0,AG241))</f>
        <v/>
      </c>
      <c r="AI241" s="192"/>
      <c r="AJ241" s="192"/>
      <c r="AK241" s="192"/>
      <c r="AL241" s="192"/>
      <c r="AM241" s="255" t="str">
        <f>IF(COUNTBLANK(AI241:AL241)=4,"",SUM(AI241:AK241)+IF(Setup!$I$15="No",0,AL241))</f>
        <v/>
      </c>
      <c r="AN241" s="192"/>
      <c r="AO241" s="192"/>
      <c r="AP241" s="192"/>
      <c r="AQ241" s="192"/>
      <c r="AR241" s="255" t="str">
        <f>IF(COUNTBLANK(AN241:AQ241)=4,"",SUM(AN241:AP241)+IF(Setup!$I$15="No",0,AQ241))</f>
        <v/>
      </c>
      <c r="AS241" s="192"/>
      <c r="AT241" s="192"/>
      <c r="AU241" s="192"/>
      <c r="AV241" s="192"/>
      <c r="AW241" s="255" t="str">
        <f>IF(COUNTBLANK(AS241:AV241)=4,"",SUM(AS241:AU241)+IF(Setup!$I$15="No",0,AV241))</f>
        <v/>
      </c>
      <c r="AX241" s="192"/>
      <c r="AY241" s="192"/>
      <c r="AZ241" s="192"/>
      <c r="BA241" s="192"/>
      <c r="BB241" s="255" t="str">
        <f>IF(COUNTBLANK(AX241:BA241)=4,"",SUM(AX241:AZ241)+IF(Setup!$I$15="No",0,BA241))</f>
        <v/>
      </c>
      <c r="BC241" s="259" t="str">
        <f ca="1">IF('Demand background (hide)'!A232=Num_Modalities,"",SUM(Demand!I241))</f>
        <v/>
      </c>
      <c r="BD241" s="259" t="str">
        <f ca="1">IF(AND(A241&lt;=MaxRows,BE241&lt;&gt;"Yes"),'Demand background (hide)'!X232+IF(Setup!$I$15="Yes",'Demand background (hide)'!AJ232,0),"")</f>
        <v/>
      </c>
      <c r="BE241" s="209"/>
    </row>
    <row r="242" spans="1:57" x14ac:dyDescent="0.25">
      <c r="A242" t="str">
        <f t="shared" ca="1" si="12"/>
        <v/>
      </c>
      <c r="B242" s="264" t="str">
        <f t="shared" ca="1" si="13"/>
        <v xml:space="preserve"> </v>
      </c>
      <c r="C242" s="265" t="str">
        <f t="shared" ca="1" si="14"/>
        <v/>
      </c>
      <c r="D242" s="350" t="str">
        <f t="shared" ca="1" si="15"/>
        <v/>
      </c>
      <c r="E242" s="192"/>
      <c r="F242" s="192"/>
      <c r="G242" s="192"/>
      <c r="H242" s="192"/>
      <c r="I242" s="251" t="str">
        <f>IF(COUNTBLANK(E242:H242)=4,"",SUM(E242:G242)+IF(Setup!$I$15="No",0,H242))</f>
        <v/>
      </c>
      <c r="J242" s="192"/>
      <c r="K242" s="192"/>
      <c r="L242" s="192"/>
      <c r="M242" s="192"/>
      <c r="N242" s="255" t="str">
        <f>IF(COUNTBLANK(J242:M242)=4,"",SUM(J242:L242)+IF(Setup!$I$15="No",0,M242))</f>
        <v/>
      </c>
      <c r="O242" s="192"/>
      <c r="P242" s="192"/>
      <c r="Q242" s="192"/>
      <c r="R242" s="192"/>
      <c r="S242" s="255" t="str">
        <f>IF(COUNTBLANK(O242:R242)=4,"",SUM(O242:Q242)+IF(Setup!$I$15="No",0,R242))</f>
        <v/>
      </c>
      <c r="T242" s="192"/>
      <c r="U242" s="192"/>
      <c r="V242" s="192"/>
      <c r="W242" s="192"/>
      <c r="X242" s="255" t="str">
        <f>IF(COUNTBLANK(T242:W242)=4,"",SUM(T242:V242)+IF(Setup!$I$15="No",0,W242))</f>
        <v/>
      </c>
      <c r="Y242" s="192"/>
      <c r="Z242" s="192"/>
      <c r="AA242" s="192"/>
      <c r="AB242" s="192"/>
      <c r="AC242" s="255" t="str">
        <f>IF(COUNTBLANK(Y242:AB242)=4,"",SUM(Y242:AA242)+IF(Setup!$I$15="No",0,AB242))</f>
        <v/>
      </c>
      <c r="AD242" s="192"/>
      <c r="AE242" s="192"/>
      <c r="AF242" s="192"/>
      <c r="AG242" s="192"/>
      <c r="AH242" s="255" t="str">
        <f>IF(COUNTBLANK(AD242:AG242)=4,"",SUM(AD242:AF242)+IF(Setup!$I$15="No",0,AG242))</f>
        <v/>
      </c>
      <c r="AI242" s="192"/>
      <c r="AJ242" s="192"/>
      <c r="AK242" s="192"/>
      <c r="AL242" s="192"/>
      <c r="AM242" s="255" t="str">
        <f>IF(COUNTBLANK(AI242:AL242)=4,"",SUM(AI242:AK242)+IF(Setup!$I$15="No",0,AL242))</f>
        <v/>
      </c>
      <c r="AN242" s="192"/>
      <c r="AO242" s="192"/>
      <c r="AP242" s="192"/>
      <c r="AQ242" s="192"/>
      <c r="AR242" s="255" t="str">
        <f>IF(COUNTBLANK(AN242:AQ242)=4,"",SUM(AN242:AP242)+IF(Setup!$I$15="No",0,AQ242))</f>
        <v/>
      </c>
      <c r="AS242" s="192"/>
      <c r="AT242" s="192"/>
      <c r="AU242" s="192"/>
      <c r="AV242" s="192"/>
      <c r="AW242" s="255" t="str">
        <f>IF(COUNTBLANK(AS242:AV242)=4,"",SUM(AS242:AU242)+IF(Setup!$I$15="No",0,AV242))</f>
        <v/>
      </c>
      <c r="AX242" s="192"/>
      <c r="AY242" s="192"/>
      <c r="AZ242" s="192"/>
      <c r="BA242" s="192"/>
      <c r="BB242" s="255" t="str">
        <f>IF(COUNTBLANK(AX242:BA242)=4,"",SUM(AX242:AZ242)+IF(Setup!$I$15="No",0,BA242))</f>
        <v/>
      </c>
      <c r="BC242" s="259" t="str">
        <f ca="1">IF('Demand background (hide)'!A233=Num_Modalities,"",SUM(Demand!I242))</f>
        <v/>
      </c>
      <c r="BD242" s="259" t="str">
        <f ca="1">IF(AND(A242&lt;=MaxRows,BE242&lt;&gt;"Yes"),'Demand background (hide)'!X233+IF(Setup!$I$15="Yes",'Demand background (hide)'!AJ233,0),"")</f>
        <v/>
      </c>
      <c r="BE242" s="209"/>
    </row>
    <row r="243" spans="1:57" x14ac:dyDescent="0.25">
      <c r="A243" t="str">
        <f t="shared" ca="1" si="12"/>
        <v/>
      </c>
      <c r="B243" s="264" t="str">
        <f t="shared" ca="1" si="13"/>
        <v xml:space="preserve"> </v>
      </c>
      <c r="C243" s="265" t="str">
        <f t="shared" ca="1" si="14"/>
        <v/>
      </c>
      <c r="D243" s="350" t="str">
        <f t="shared" ca="1" si="15"/>
        <v/>
      </c>
      <c r="E243" s="192"/>
      <c r="F243" s="192"/>
      <c r="G243" s="192"/>
      <c r="H243" s="192"/>
      <c r="I243" s="251" t="str">
        <f>IF(COUNTBLANK(E243:H243)=4,"",SUM(E243:G243)+IF(Setup!$I$15="No",0,H243))</f>
        <v/>
      </c>
      <c r="J243" s="192"/>
      <c r="K243" s="192"/>
      <c r="L243" s="192"/>
      <c r="M243" s="192"/>
      <c r="N243" s="255" t="str">
        <f>IF(COUNTBLANK(J243:M243)=4,"",SUM(J243:L243)+IF(Setup!$I$15="No",0,M243))</f>
        <v/>
      </c>
      <c r="O243" s="192"/>
      <c r="P243" s="192"/>
      <c r="Q243" s="192"/>
      <c r="R243" s="192"/>
      <c r="S243" s="255" t="str">
        <f>IF(COUNTBLANK(O243:R243)=4,"",SUM(O243:Q243)+IF(Setup!$I$15="No",0,R243))</f>
        <v/>
      </c>
      <c r="T243" s="192"/>
      <c r="U243" s="192"/>
      <c r="V243" s="192"/>
      <c r="W243" s="192"/>
      <c r="X243" s="255" t="str">
        <f>IF(COUNTBLANK(T243:W243)=4,"",SUM(T243:V243)+IF(Setup!$I$15="No",0,W243))</f>
        <v/>
      </c>
      <c r="Y243" s="192"/>
      <c r="Z243" s="192"/>
      <c r="AA243" s="192"/>
      <c r="AB243" s="192"/>
      <c r="AC243" s="255" t="str">
        <f>IF(COUNTBLANK(Y243:AB243)=4,"",SUM(Y243:AA243)+IF(Setup!$I$15="No",0,AB243))</f>
        <v/>
      </c>
      <c r="AD243" s="192"/>
      <c r="AE243" s="192"/>
      <c r="AF243" s="192"/>
      <c r="AG243" s="192"/>
      <c r="AH243" s="255" t="str">
        <f>IF(COUNTBLANK(AD243:AG243)=4,"",SUM(AD243:AF243)+IF(Setup!$I$15="No",0,AG243))</f>
        <v/>
      </c>
      <c r="AI243" s="192"/>
      <c r="AJ243" s="192"/>
      <c r="AK243" s="192"/>
      <c r="AL243" s="192"/>
      <c r="AM243" s="255" t="str">
        <f>IF(COUNTBLANK(AI243:AL243)=4,"",SUM(AI243:AK243)+IF(Setup!$I$15="No",0,AL243))</f>
        <v/>
      </c>
      <c r="AN243" s="192"/>
      <c r="AO243" s="192"/>
      <c r="AP243" s="192"/>
      <c r="AQ243" s="192"/>
      <c r="AR243" s="255" t="str">
        <f>IF(COUNTBLANK(AN243:AQ243)=4,"",SUM(AN243:AP243)+IF(Setup!$I$15="No",0,AQ243))</f>
        <v/>
      </c>
      <c r="AS243" s="192"/>
      <c r="AT243" s="192"/>
      <c r="AU243" s="192"/>
      <c r="AV243" s="192"/>
      <c r="AW243" s="255" t="str">
        <f>IF(COUNTBLANK(AS243:AV243)=4,"",SUM(AS243:AU243)+IF(Setup!$I$15="No",0,AV243))</f>
        <v/>
      </c>
      <c r="AX243" s="192"/>
      <c r="AY243" s="192"/>
      <c r="AZ243" s="192"/>
      <c r="BA243" s="192"/>
      <c r="BB243" s="255" t="str">
        <f>IF(COUNTBLANK(AX243:BA243)=4,"",SUM(AX243:AZ243)+IF(Setup!$I$15="No",0,BA243))</f>
        <v/>
      </c>
      <c r="BC243" s="259" t="str">
        <f ca="1">IF('Demand background (hide)'!A234=Num_Modalities,"",SUM(Demand!I243))</f>
        <v/>
      </c>
      <c r="BD243" s="259" t="str">
        <f ca="1">IF(AND(A243&lt;=MaxRows,BE243&lt;&gt;"Yes"),'Demand background (hide)'!X234+IF(Setup!$I$15="Yes",'Demand background (hide)'!AJ234,0),"")</f>
        <v/>
      </c>
      <c r="BE243" s="209"/>
    </row>
    <row r="244" spans="1:57" x14ac:dyDescent="0.25">
      <c r="A244" t="str">
        <f t="shared" ca="1" si="12"/>
        <v/>
      </c>
      <c r="B244" s="264" t="str">
        <f t="shared" ca="1" si="13"/>
        <v xml:space="preserve"> </v>
      </c>
      <c r="C244" s="265" t="str">
        <f t="shared" ca="1" si="14"/>
        <v/>
      </c>
      <c r="D244" s="350" t="str">
        <f t="shared" ca="1" si="15"/>
        <v/>
      </c>
      <c r="E244" s="192"/>
      <c r="F244" s="192"/>
      <c r="G244" s="192"/>
      <c r="H244" s="192"/>
      <c r="I244" s="251" t="str">
        <f>IF(COUNTBLANK(E244:H244)=4,"",SUM(E244:G244)+IF(Setup!$I$15="No",0,H244))</f>
        <v/>
      </c>
      <c r="J244" s="192"/>
      <c r="K244" s="192"/>
      <c r="L244" s="192"/>
      <c r="M244" s="192"/>
      <c r="N244" s="255" t="str">
        <f>IF(COUNTBLANK(J244:M244)=4,"",SUM(J244:L244)+IF(Setup!$I$15="No",0,M244))</f>
        <v/>
      </c>
      <c r="O244" s="192"/>
      <c r="P244" s="192"/>
      <c r="Q244" s="192"/>
      <c r="R244" s="192"/>
      <c r="S244" s="255" t="str">
        <f>IF(COUNTBLANK(O244:R244)=4,"",SUM(O244:Q244)+IF(Setup!$I$15="No",0,R244))</f>
        <v/>
      </c>
      <c r="T244" s="192"/>
      <c r="U244" s="192"/>
      <c r="V244" s="192"/>
      <c r="W244" s="192"/>
      <c r="X244" s="255" t="str">
        <f>IF(COUNTBLANK(T244:W244)=4,"",SUM(T244:V244)+IF(Setup!$I$15="No",0,W244))</f>
        <v/>
      </c>
      <c r="Y244" s="192"/>
      <c r="Z244" s="192"/>
      <c r="AA244" s="192"/>
      <c r="AB244" s="192"/>
      <c r="AC244" s="255" t="str">
        <f>IF(COUNTBLANK(Y244:AB244)=4,"",SUM(Y244:AA244)+IF(Setup!$I$15="No",0,AB244))</f>
        <v/>
      </c>
      <c r="AD244" s="192"/>
      <c r="AE244" s="192"/>
      <c r="AF244" s="192"/>
      <c r="AG244" s="192"/>
      <c r="AH244" s="255" t="str">
        <f>IF(COUNTBLANK(AD244:AG244)=4,"",SUM(AD244:AF244)+IF(Setup!$I$15="No",0,AG244))</f>
        <v/>
      </c>
      <c r="AI244" s="192"/>
      <c r="AJ244" s="192"/>
      <c r="AK244" s="192"/>
      <c r="AL244" s="192"/>
      <c r="AM244" s="255" t="str">
        <f>IF(COUNTBLANK(AI244:AL244)=4,"",SUM(AI244:AK244)+IF(Setup!$I$15="No",0,AL244))</f>
        <v/>
      </c>
      <c r="AN244" s="192"/>
      <c r="AO244" s="192"/>
      <c r="AP244" s="192"/>
      <c r="AQ244" s="192"/>
      <c r="AR244" s="255" t="str">
        <f>IF(COUNTBLANK(AN244:AQ244)=4,"",SUM(AN244:AP244)+IF(Setup!$I$15="No",0,AQ244))</f>
        <v/>
      </c>
      <c r="AS244" s="192"/>
      <c r="AT244" s="192"/>
      <c r="AU244" s="192"/>
      <c r="AV244" s="192"/>
      <c r="AW244" s="255" t="str">
        <f>IF(COUNTBLANK(AS244:AV244)=4,"",SUM(AS244:AU244)+IF(Setup!$I$15="No",0,AV244))</f>
        <v/>
      </c>
      <c r="AX244" s="192"/>
      <c r="AY244" s="192"/>
      <c r="AZ244" s="192"/>
      <c r="BA244" s="192"/>
      <c r="BB244" s="255" t="str">
        <f>IF(COUNTBLANK(AX244:BA244)=4,"",SUM(AX244:AZ244)+IF(Setup!$I$15="No",0,BA244))</f>
        <v/>
      </c>
      <c r="BC244" s="259" t="str">
        <f ca="1">IF('Demand background (hide)'!A235=Num_Modalities,"",SUM(Demand!I244))</f>
        <v/>
      </c>
      <c r="BD244" s="259" t="str">
        <f ca="1">IF(AND(A244&lt;=MaxRows,BE244&lt;&gt;"Yes"),'Demand background (hide)'!X235+IF(Setup!$I$15="Yes",'Demand background (hide)'!AJ235,0),"")</f>
        <v/>
      </c>
      <c r="BE244" s="209"/>
    </row>
    <row r="245" spans="1:57" x14ac:dyDescent="0.25">
      <c r="A245" t="str">
        <f t="shared" ca="1" si="12"/>
        <v/>
      </c>
      <c r="B245" s="264" t="str">
        <f t="shared" ca="1" si="13"/>
        <v xml:space="preserve"> </v>
      </c>
      <c r="C245" s="265" t="str">
        <f t="shared" ca="1" si="14"/>
        <v/>
      </c>
      <c r="D245" s="350" t="str">
        <f t="shared" ca="1" si="15"/>
        <v/>
      </c>
      <c r="E245" s="192"/>
      <c r="F245" s="192"/>
      <c r="G245" s="192"/>
      <c r="H245" s="192"/>
      <c r="I245" s="251" t="str">
        <f>IF(COUNTBLANK(E245:H245)=4,"",SUM(E245:G245)+IF(Setup!$I$15="No",0,H245))</f>
        <v/>
      </c>
      <c r="J245" s="192"/>
      <c r="K245" s="192"/>
      <c r="L245" s="192"/>
      <c r="M245" s="192"/>
      <c r="N245" s="255" t="str">
        <f>IF(COUNTBLANK(J245:M245)=4,"",SUM(J245:L245)+IF(Setup!$I$15="No",0,M245))</f>
        <v/>
      </c>
      <c r="O245" s="192"/>
      <c r="P245" s="192"/>
      <c r="Q245" s="192"/>
      <c r="R245" s="192"/>
      <c r="S245" s="255" t="str">
        <f>IF(COUNTBLANK(O245:R245)=4,"",SUM(O245:Q245)+IF(Setup!$I$15="No",0,R245))</f>
        <v/>
      </c>
      <c r="T245" s="192"/>
      <c r="U245" s="192"/>
      <c r="V245" s="192"/>
      <c r="W245" s="192"/>
      <c r="X245" s="255" t="str">
        <f>IF(COUNTBLANK(T245:W245)=4,"",SUM(T245:V245)+IF(Setup!$I$15="No",0,W245))</f>
        <v/>
      </c>
      <c r="Y245" s="192"/>
      <c r="Z245" s="192"/>
      <c r="AA245" s="192"/>
      <c r="AB245" s="192"/>
      <c r="AC245" s="255" t="str">
        <f>IF(COUNTBLANK(Y245:AB245)=4,"",SUM(Y245:AA245)+IF(Setup!$I$15="No",0,AB245))</f>
        <v/>
      </c>
      <c r="AD245" s="192"/>
      <c r="AE245" s="192"/>
      <c r="AF245" s="192"/>
      <c r="AG245" s="192"/>
      <c r="AH245" s="255" t="str">
        <f>IF(COUNTBLANK(AD245:AG245)=4,"",SUM(AD245:AF245)+IF(Setup!$I$15="No",0,AG245))</f>
        <v/>
      </c>
      <c r="AI245" s="192"/>
      <c r="AJ245" s="192"/>
      <c r="AK245" s="192"/>
      <c r="AL245" s="192"/>
      <c r="AM245" s="255" t="str">
        <f>IF(COUNTBLANK(AI245:AL245)=4,"",SUM(AI245:AK245)+IF(Setup!$I$15="No",0,AL245))</f>
        <v/>
      </c>
      <c r="AN245" s="192"/>
      <c r="AO245" s="192"/>
      <c r="AP245" s="192"/>
      <c r="AQ245" s="192"/>
      <c r="AR245" s="255" t="str">
        <f>IF(COUNTBLANK(AN245:AQ245)=4,"",SUM(AN245:AP245)+IF(Setup!$I$15="No",0,AQ245))</f>
        <v/>
      </c>
      <c r="AS245" s="192"/>
      <c r="AT245" s="192"/>
      <c r="AU245" s="192"/>
      <c r="AV245" s="192"/>
      <c r="AW245" s="255" t="str">
        <f>IF(COUNTBLANK(AS245:AV245)=4,"",SUM(AS245:AU245)+IF(Setup!$I$15="No",0,AV245))</f>
        <v/>
      </c>
      <c r="AX245" s="192"/>
      <c r="AY245" s="192"/>
      <c r="AZ245" s="192"/>
      <c r="BA245" s="192"/>
      <c r="BB245" s="255" t="str">
        <f>IF(COUNTBLANK(AX245:BA245)=4,"",SUM(AX245:AZ245)+IF(Setup!$I$15="No",0,BA245))</f>
        <v/>
      </c>
      <c r="BC245" s="259" t="str">
        <f ca="1">IF('Demand background (hide)'!A236=Num_Modalities,"",SUM(Demand!I245))</f>
        <v/>
      </c>
      <c r="BD245" s="259" t="str">
        <f ca="1">IF(AND(A245&lt;=MaxRows,BE245&lt;&gt;"Yes"),'Demand background (hide)'!X236+IF(Setup!$I$15="Yes",'Demand background (hide)'!AJ236,0),"")</f>
        <v/>
      </c>
      <c r="BE245" s="209"/>
    </row>
    <row r="246" spans="1:57" x14ac:dyDescent="0.25">
      <c r="A246" t="str">
        <f t="shared" ca="1" si="12"/>
        <v/>
      </c>
      <c r="B246" s="264" t="str">
        <f t="shared" ca="1" si="13"/>
        <v xml:space="preserve"> </v>
      </c>
      <c r="C246" s="265" t="str">
        <f t="shared" ca="1" si="14"/>
        <v/>
      </c>
      <c r="D246" s="350" t="str">
        <f t="shared" ca="1" si="15"/>
        <v/>
      </c>
      <c r="E246" s="192"/>
      <c r="F246" s="192"/>
      <c r="G246" s="192"/>
      <c r="H246" s="192"/>
      <c r="I246" s="251" t="str">
        <f>IF(COUNTBLANK(E246:H246)=4,"",SUM(E246:G246)+IF(Setup!$I$15="No",0,H246))</f>
        <v/>
      </c>
      <c r="J246" s="192"/>
      <c r="K246" s="192"/>
      <c r="L246" s="192"/>
      <c r="M246" s="192"/>
      <c r="N246" s="255" t="str">
        <f>IF(COUNTBLANK(J246:M246)=4,"",SUM(J246:L246)+IF(Setup!$I$15="No",0,M246))</f>
        <v/>
      </c>
      <c r="O246" s="192"/>
      <c r="P246" s="192"/>
      <c r="Q246" s="192"/>
      <c r="R246" s="192"/>
      <c r="S246" s="255" t="str">
        <f>IF(COUNTBLANK(O246:R246)=4,"",SUM(O246:Q246)+IF(Setup!$I$15="No",0,R246))</f>
        <v/>
      </c>
      <c r="T246" s="192"/>
      <c r="U246" s="192"/>
      <c r="V246" s="192"/>
      <c r="W246" s="192"/>
      <c r="X246" s="255" t="str">
        <f>IF(COUNTBLANK(T246:W246)=4,"",SUM(T246:V246)+IF(Setup!$I$15="No",0,W246))</f>
        <v/>
      </c>
      <c r="Y246" s="192"/>
      <c r="Z246" s="192"/>
      <c r="AA246" s="192"/>
      <c r="AB246" s="192"/>
      <c r="AC246" s="255" t="str">
        <f>IF(COUNTBLANK(Y246:AB246)=4,"",SUM(Y246:AA246)+IF(Setup!$I$15="No",0,AB246))</f>
        <v/>
      </c>
      <c r="AD246" s="192"/>
      <c r="AE246" s="192"/>
      <c r="AF246" s="192"/>
      <c r="AG246" s="192"/>
      <c r="AH246" s="255" t="str">
        <f>IF(COUNTBLANK(AD246:AG246)=4,"",SUM(AD246:AF246)+IF(Setup!$I$15="No",0,AG246))</f>
        <v/>
      </c>
      <c r="AI246" s="192"/>
      <c r="AJ246" s="192"/>
      <c r="AK246" s="192"/>
      <c r="AL246" s="192"/>
      <c r="AM246" s="255" t="str">
        <f>IF(COUNTBLANK(AI246:AL246)=4,"",SUM(AI246:AK246)+IF(Setup!$I$15="No",0,AL246))</f>
        <v/>
      </c>
      <c r="AN246" s="192"/>
      <c r="AO246" s="192"/>
      <c r="AP246" s="192"/>
      <c r="AQ246" s="192"/>
      <c r="AR246" s="255" t="str">
        <f>IF(COUNTBLANK(AN246:AQ246)=4,"",SUM(AN246:AP246)+IF(Setup!$I$15="No",0,AQ246))</f>
        <v/>
      </c>
      <c r="AS246" s="192"/>
      <c r="AT246" s="192"/>
      <c r="AU246" s="192"/>
      <c r="AV246" s="192"/>
      <c r="AW246" s="255" t="str">
        <f>IF(COUNTBLANK(AS246:AV246)=4,"",SUM(AS246:AU246)+IF(Setup!$I$15="No",0,AV246))</f>
        <v/>
      </c>
      <c r="AX246" s="192"/>
      <c r="AY246" s="192"/>
      <c r="AZ246" s="192"/>
      <c r="BA246" s="192"/>
      <c r="BB246" s="255" t="str">
        <f>IF(COUNTBLANK(AX246:BA246)=4,"",SUM(AX246:AZ246)+IF(Setup!$I$15="No",0,BA246))</f>
        <v/>
      </c>
      <c r="BC246" s="259" t="str">
        <f ca="1">IF('Demand background (hide)'!A237=Num_Modalities,"",SUM(Demand!I246))</f>
        <v/>
      </c>
      <c r="BD246" s="259" t="str">
        <f ca="1">IF(AND(A246&lt;=MaxRows,BE246&lt;&gt;"Yes"),'Demand background (hide)'!X237+IF(Setup!$I$15="Yes",'Demand background (hide)'!AJ237,0),"")</f>
        <v/>
      </c>
      <c r="BE246" s="209"/>
    </row>
    <row r="247" spans="1:57" x14ac:dyDescent="0.25">
      <c r="A247" t="str">
        <f t="shared" ca="1" si="12"/>
        <v/>
      </c>
      <c r="B247" s="264" t="str">
        <f t="shared" ca="1" si="13"/>
        <v xml:space="preserve"> </v>
      </c>
      <c r="C247" s="265" t="str">
        <f t="shared" ca="1" si="14"/>
        <v/>
      </c>
      <c r="D247" s="350" t="str">
        <f t="shared" ca="1" si="15"/>
        <v/>
      </c>
      <c r="E247" s="192"/>
      <c r="F247" s="192"/>
      <c r="G247" s="192"/>
      <c r="H247" s="192"/>
      <c r="I247" s="251" t="str">
        <f>IF(COUNTBLANK(E247:H247)=4,"",SUM(E247:G247)+IF(Setup!$I$15="No",0,H247))</f>
        <v/>
      </c>
      <c r="J247" s="192"/>
      <c r="K247" s="192"/>
      <c r="L247" s="192"/>
      <c r="M247" s="192"/>
      <c r="N247" s="255" t="str">
        <f>IF(COUNTBLANK(J247:M247)=4,"",SUM(J247:L247)+IF(Setup!$I$15="No",0,M247))</f>
        <v/>
      </c>
      <c r="O247" s="192"/>
      <c r="P247" s="192"/>
      <c r="Q247" s="192"/>
      <c r="R247" s="192"/>
      <c r="S247" s="255" t="str">
        <f>IF(COUNTBLANK(O247:R247)=4,"",SUM(O247:Q247)+IF(Setup!$I$15="No",0,R247))</f>
        <v/>
      </c>
      <c r="T247" s="192"/>
      <c r="U247" s="192"/>
      <c r="V247" s="192"/>
      <c r="W247" s="192"/>
      <c r="X247" s="255" t="str">
        <f>IF(COUNTBLANK(T247:W247)=4,"",SUM(T247:V247)+IF(Setup!$I$15="No",0,W247))</f>
        <v/>
      </c>
      <c r="Y247" s="192"/>
      <c r="Z247" s="192"/>
      <c r="AA247" s="192"/>
      <c r="AB247" s="192"/>
      <c r="AC247" s="255" t="str">
        <f>IF(COUNTBLANK(Y247:AB247)=4,"",SUM(Y247:AA247)+IF(Setup!$I$15="No",0,AB247))</f>
        <v/>
      </c>
      <c r="AD247" s="192"/>
      <c r="AE247" s="192"/>
      <c r="AF247" s="192"/>
      <c r="AG247" s="192"/>
      <c r="AH247" s="255" t="str">
        <f>IF(COUNTBLANK(AD247:AG247)=4,"",SUM(AD247:AF247)+IF(Setup!$I$15="No",0,AG247))</f>
        <v/>
      </c>
      <c r="AI247" s="192"/>
      <c r="AJ247" s="192"/>
      <c r="AK247" s="192"/>
      <c r="AL247" s="192"/>
      <c r="AM247" s="255" t="str">
        <f>IF(COUNTBLANK(AI247:AL247)=4,"",SUM(AI247:AK247)+IF(Setup!$I$15="No",0,AL247))</f>
        <v/>
      </c>
      <c r="AN247" s="192"/>
      <c r="AO247" s="192"/>
      <c r="AP247" s="192"/>
      <c r="AQ247" s="192"/>
      <c r="AR247" s="255" t="str">
        <f>IF(COUNTBLANK(AN247:AQ247)=4,"",SUM(AN247:AP247)+IF(Setup!$I$15="No",0,AQ247))</f>
        <v/>
      </c>
      <c r="AS247" s="192"/>
      <c r="AT247" s="192"/>
      <c r="AU247" s="192"/>
      <c r="AV247" s="192"/>
      <c r="AW247" s="255" t="str">
        <f>IF(COUNTBLANK(AS247:AV247)=4,"",SUM(AS247:AU247)+IF(Setup!$I$15="No",0,AV247))</f>
        <v/>
      </c>
      <c r="AX247" s="192"/>
      <c r="AY247" s="192"/>
      <c r="AZ247" s="192"/>
      <c r="BA247" s="192"/>
      <c r="BB247" s="255" t="str">
        <f>IF(COUNTBLANK(AX247:BA247)=4,"",SUM(AX247:AZ247)+IF(Setup!$I$15="No",0,BA247))</f>
        <v/>
      </c>
      <c r="BC247" s="259" t="str">
        <f ca="1">IF('Demand background (hide)'!A238=Num_Modalities,"",SUM(Demand!I247))</f>
        <v/>
      </c>
      <c r="BD247" s="259" t="str">
        <f ca="1">IF(AND(A247&lt;=MaxRows,BE247&lt;&gt;"Yes"),'Demand background (hide)'!X238+IF(Setup!$I$15="Yes",'Demand background (hide)'!AJ238,0),"")</f>
        <v/>
      </c>
      <c r="BE247" s="209"/>
    </row>
    <row r="248" spans="1:57" x14ac:dyDescent="0.25">
      <c r="A248" t="str">
        <f t="shared" ca="1" si="12"/>
        <v/>
      </c>
      <c r="B248" s="264" t="str">
        <f t="shared" ca="1" si="13"/>
        <v xml:space="preserve"> </v>
      </c>
      <c r="C248" s="265" t="str">
        <f t="shared" ca="1" si="14"/>
        <v/>
      </c>
      <c r="D248" s="350" t="str">
        <f t="shared" ca="1" si="15"/>
        <v/>
      </c>
      <c r="E248" s="192"/>
      <c r="F248" s="192"/>
      <c r="G248" s="192"/>
      <c r="H248" s="192"/>
      <c r="I248" s="251" t="str">
        <f>IF(COUNTBLANK(E248:H248)=4,"",SUM(E248:G248)+IF(Setup!$I$15="No",0,H248))</f>
        <v/>
      </c>
      <c r="J248" s="192"/>
      <c r="K248" s="192"/>
      <c r="L248" s="192"/>
      <c r="M248" s="192"/>
      <c r="N248" s="255" t="str">
        <f>IF(COUNTBLANK(J248:M248)=4,"",SUM(J248:L248)+IF(Setup!$I$15="No",0,M248))</f>
        <v/>
      </c>
      <c r="O248" s="192"/>
      <c r="P248" s="192"/>
      <c r="Q248" s="192"/>
      <c r="R248" s="192"/>
      <c r="S248" s="255" t="str">
        <f>IF(COUNTBLANK(O248:R248)=4,"",SUM(O248:Q248)+IF(Setup!$I$15="No",0,R248))</f>
        <v/>
      </c>
      <c r="T248" s="192"/>
      <c r="U248" s="192"/>
      <c r="V248" s="192"/>
      <c r="W248" s="192"/>
      <c r="X248" s="255" t="str">
        <f>IF(COUNTBLANK(T248:W248)=4,"",SUM(T248:V248)+IF(Setup!$I$15="No",0,W248))</f>
        <v/>
      </c>
      <c r="Y248" s="192"/>
      <c r="Z248" s="192"/>
      <c r="AA248" s="192"/>
      <c r="AB248" s="192"/>
      <c r="AC248" s="255" t="str">
        <f>IF(COUNTBLANK(Y248:AB248)=4,"",SUM(Y248:AA248)+IF(Setup!$I$15="No",0,AB248))</f>
        <v/>
      </c>
      <c r="AD248" s="192"/>
      <c r="AE248" s="192"/>
      <c r="AF248" s="192"/>
      <c r="AG248" s="192"/>
      <c r="AH248" s="255" t="str">
        <f>IF(COUNTBLANK(AD248:AG248)=4,"",SUM(AD248:AF248)+IF(Setup!$I$15="No",0,AG248))</f>
        <v/>
      </c>
      <c r="AI248" s="192"/>
      <c r="AJ248" s="192"/>
      <c r="AK248" s="192"/>
      <c r="AL248" s="192"/>
      <c r="AM248" s="255" t="str">
        <f>IF(COUNTBLANK(AI248:AL248)=4,"",SUM(AI248:AK248)+IF(Setup!$I$15="No",0,AL248))</f>
        <v/>
      </c>
      <c r="AN248" s="192"/>
      <c r="AO248" s="192"/>
      <c r="AP248" s="192"/>
      <c r="AQ248" s="192"/>
      <c r="AR248" s="255" t="str">
        <f>IF(COUNTBLANK(AN248:AQ248)=4,"",SUM(AN248:AP248)+IF(Setup!$I$15="No",0,AQ248))</f>
        <v/>
      </c>
      <c r="AS248" s="192"/>
      <c r="AT248" s="192"/>
      <c r="AU248" s="192"/>
      <c r="AV248" s="192"/>
      <c r="AW248" s="255" t="str">
        <f>IF(COUNTBLANK(AS248:AV248)=4,"",SUM(AS248:AU248)+IF(Setup!$I$15="No",0,AV248))</f>
        <v/>
      </c>
      <c r="AX248" s="192"/>
      <c r="AY248" s="192"/>
      <c r="AZ248" s="192"/>
      <c r="BA248" s="192"/>
      <c r="BB248" s="255" t="str">
        <f>IF(COUNTBLANK(AX248:BA248)=4,"",SUM(AX248:AZ248)+IF(Setup!$I$15="No",0,BA248))</f>
        <v/>
      </c>
      <c r="BC248" s="259" t="str">
        <f ca="1">IF('Demand background (hide)'!A239=Num_Modalities,"",SUM(Demand!I248))</f>
        <v/>
      </c>
      <c r="BD248" s="259" t="str">
        <f ca="1">IF(AND(A248&lt;=MaxRows,BE248&lt;&gt;"Yes"),'Demand background (hide)'!X239+IF(Setup!$I$15="Yes",'Demand background (hide)'!AJ239,0),"")</f>
        <v/>
      </c>
      <c r="BE248" s="209"/>
    </row>
    <row r="249" spans="1:57" x14ac:dyDescent="0.25">
      <c r="A249" t="str">
        <f t="shared" ca="1" si="12"/>
        <v/>
      </c>
      <c r="B249" s="264" t="str">
        <f t="shared" ca="1" si="13"/>
        <v xml:space="preserve"> </v>
      </c>
      <c r="C249" s="265" t="str">
        <f t="shared" ca="1" si="14"/>
        <v/>
      </c>
      <c r="D249" s="350" t="str">
        <f t="shared" ca="1" si="15"/>
        <v/>
      </c>
      <c r="E249" s="192"/>
      <c r="F249" s="192"/>
      <c r="G249" s="192"/>
      <c r="H249" s="192"/>
      <c r="I249" s="251" t="str">
        <f>IF(COUNTBLANK(E249:H249)=4,"",SUM(E249:G249)+IF(Setup!$I$15="No",0,H249))</f>
        <v/>
      </c>
      <c r="J249" s="192"/>
      <c r="K249" s="192"/>
      <c r="L249" s="192"/>
      <c r="M249" s="192"/>
      <c r="N249" s="255" t="str">
        <f>IF(COUNTBLANK(J249:M249)=4,"",SUM(J249:L249)+IF(Setup!$I$15="No",0,M249))</f>
        <v/>
      </c>
      <c r="O249" s="192"/>
      <c r="P249" s="192"/>
      <c r="Q249" s="192"/>
      <c r="R249" s="192"/>
      <c r="S249" s="255" t="str">
        <f>IF(COUNTBLANK(O249:R249)=4,"",SUM(O249:Q249)+IF(Setup!$I$15="No",0,R249))</f>
        <v/>
      </c>
      <c r="T249" s="192"/>
      <c r="U249" s="192"/>
      <c r="V249" s="192"/>
      <c r="W249" s="192"/>
      <c r="X249" s="255" t="str">
        <f>IF(COUNTBLANK(T249:W249)=4,"",SUM(T249:V249)+IF(Setup!$I$15="No",0,W249))</f>
        <v/>
      </c>
      <c r="Y249" s="192"/>
      <c r="Z249" s="192"/>
      <c r="AA249" s="192"/>
      <c r="AB249" s="192"/>
      <c r="AC249" s="255" t="str">
        <f>IF(COUNTBLANK(Y249:AB249)=4,"",SUM(Y249:AA249)+IF(Setup!$I$15="No",0,AB249))</f>
        <v/>
      </c>
      <c r="AD249" s="192"/>
      <c r="AE249" s="192"/>
      <c r="AF249" s="192"/>
      <c r="AG249" s="192"/>
      <c r="AH249" s="255" t="str">
        <f>IF(COUNTBLANK(AD249:AG249)=4,"",SUM(AD249:AF249)+IF(Setup!$I$15="No",0,AG249))</f>
        <v/>
      </c>
      <c r="AI249" s="192"/>
      <c r="AJ249" s="192"/>
      <c r="AK249" s="192"/>
      <c r="AL249" s="192"/>
      <c r="AM249" s="255" t="str">
        <f>IF(COUNTBLANK(AI249:AL249)=4,"",SUM(AI249:AK249)+IF(Setup!$I$15="No",0,AL249))</f>
        <v/>
      </c>
      <c r="AN249" s="192"/>
      <c r="AO249" s="192"/>
      <c r="AP249" s="192"/>
      <c r="AQ249" s="192"/>
      <c r="AR249" s="255" t="str">
        <f>IF(COUNTBLANK(AN249:AQ249)=4,"",SUM(AN249:AP249)+IF(Setup!$I$15="No",0,AQ249))</f>
        <v/>
      </c>
      <c r="AS249" s="192"/>
      <c r="AT249" s="192"/>
      <c r="AU249" s="192"/>
      <c r="AV249" s="192"/>
      <c r="AW249" s="255" t="str">
        <f>IF(COUNTBLANK(AS249:AV249)=4,"",SUM(AS249:AU249)+IF(Setup!$I$15="No",0,AV249))</f>
        <v/>
      </c>
      <c r="AX249" s="192"/>
      <c r="AY249" s="192"/>
      <c r="AZ249" s="192"/>
      <c r="BA249" s="192"/>
      <c r="BB249" s="255" t="str">
        <f>IF(COUNTBLANK(AX249:BA249)=4,"",SUM(AX249:AZ249)+IF(Setup!$I$15="No",0,BA249))</f>
        <v/>
      </c>
      <c r="BC249" s="259" t="str">
        <f ca="1">IF('Demand background (hide)'!A240=Num_Modalities,"",SUM(Demand!I249))</f>
        <v/>
      </c>
      <c r="BD249" s="259" t="str">
        <f ca="1">IF(AND(A249&lt;=MaxRows,BE249&lt;&gt;"Yes"),'Demand background (hide)'!X240+IF(Setup!$I$15="Yes",'Demand background (hide)'!AJ240,0),"")</f>
        <v/>
      </c>
      <c r="BE249" s="209"/>
    </row>
    <row r="250" spans="1:57" x14ac:dyDescent="0.25">
      <c r="A250" t="str">
        <f t="shared" ca="1" si="12"/>
        <v/>
      </c>
      <c r="B250" s="264" t="str">
        <f t="shared" ca="1" si="13"/>
        <v xml:space="preserve"> </v>
      </c>
      <c r="C250" s="265" t="str">
        <f t="shared" ca="1" si="14"/>
        <v/>
      </c>
      <c r="D250" s="350" t="str">
        <f t="shared" ca="1" si="15"/>
        <v/>
      </c>
      <c r="E250" s="192"/>
      <c r="F250" s="192"/>
      <c r="G250" s="192"/>
      <c r="H250" s="192"/>
      <c r="I250" s="251" t="str">
        <f>IF(COUNTBLANK(E250:H250)=4,"",SUM(E250:G250)+IF(Setup!$I$15="No",0,H250))</f>
        <v/>
      </c>
      <c r="J250" s="192"/>
      <c r="K250" s="192"/>
      <c r="L250" s="192"/>
      <c r="M250" s="192"/>
      <c r="N250" s="255" t="str">
        <f>IF(COUNTBLANK(J250:M250)=4,"",SUM(J250:L250)+IF(Setup!$I$15="No",0,M250))</f>
        <v/>
      </c>
      <c r="O250" s="192"/>
      <c r="P250" s="192"/>
      <c r="Q250" s="192"/>
      <c r="R250" s="192"/>
      <c r="S250" s="255" t="str">
        <f>IF(COUNTBLANK(O250:R250)=4,"",SUM(O250:Q250)+IF(Setup!$I$15="No",0,R250))</f>
        <v/>
      </c>
      <c r="T250" s="192"/>
      <c r="U250" s="192"/>
      <c r="V250" s="192"/>
      <c r="W250" s="192"/>
      <c r="X250" s="255" t="str">
        <f>IF(COUNTBLANK(T250:W250)=4,"",SUM(T250:V250)+IF(Setup!$I$15="No",0,W250))</f>
        <v/>
      </c>
      <c r="Y250" s="192"/>
      <c r="Z250" s="192"/>
      <c r="AA250" s="192"/>
      <c r="AB250" s="192"/>
      <c r="AC250" s="255" t="str">
        <f>IF(COUNTBLANK(Y250:AB250)=4,"",SUM(Y250:AA250)+IF(Setup!$I$15="No",0,AB250))</f>
        <v/>
      </c>
      <c r="AD250" s="192"/>
      <c r="AE250" s="192"/>
      <c r="AF250" s="192"/>
      <c r="AG250" s="192"/>
      <c r="AH250" s="255" t="str">
        <f>IF(COUNTBLANK(AD250:AG250)=4,"",SUM(AD250:AF250)+IF(Setup!$I$15="No",0,AG250))</f>
        <v/>
      </c>
      <c r="AI250" s="192"/>
      <c r="AJ250" s="192"/>
      <c r="AK250" s="192"/>
      <c r="AL250" s="192"/>
      <c r="AM250" s="255" t="str">
        <f>IF(COUNTBLANK(AI250:AL250)=4,"",SUM(AI250:AK250)+IF(Setup!$I$15="No",0,AL250))</f>
        <v/>
      </c>
      <c r="AN250" s="192"/>
      <c r="AO250" s="192"/>
      <c r="AP250" s="192"/>
      <c r="AQ250" s="192"/>
      <c r="AR250" s="255" t="str">
        <f>IF(COUNTBLANK(AN250:AQ250)=4,"",SUM(AN250:AP250)+IF(Setup!$I$15="No",0,AQ250))</f>
        <v/>
      </c>
      <c r="AS250" s="192"/>
      <c r="AT250" s="192"/>
      <c r="AU250" s="192"/>
      <c r="AV250" s="192"/>
      <c r="AW250" s="255" t="str">
        <f>IF(COUNTBLANK(AS250:AV250)=4,"",SUM(AS250:AU250)+IF(Setup!$I$15="No",0,AV250))</f>
        <v/>
      </c>
      <c r="AX250" s="192"/>
      <c r="AY250" s="192"/>
      <c r="AZ250" s="192"/>
      <c r="BA250" s="192"/>
      <c r="BB250" s="255" t="str">
        <f>IF(COUNTBLANK(AX250:BA250)=4,"",SUM(AX250:AZ250)+IF(Setup!$I$15="No",0,BA250))</f>
        <v/>
      </c>
      <c r="BC250" s="259" t="str">
        <f ca="1">IF('Demand background (hide)'!A241=Num_Modalities,"",SUM(Demand!I250))</f>
        <v/>
      </c>
      <c r="BD250" s="259" t="str">
        <f ca="1">IF(AND(A250&lt;=MaxRows,BE250&lt;&gt;"Yes"),'Demand background (hide)'!X241+IF(Setup!$I$15="Yes",'Demand background (hide)'!AJ241,0),"")</f>
        <v/>
      </c>
      <c r="BE250" s="209"/>
    </row>
    <row r="251" spans="1:57" x14ac:dyDescent="0.25">
      <c r="A251" t="str">
        <f t="shared" ca="1" si="12"/>
        <v/>
      </c>
      <c r="B251" s="264" t="str">
        <f t="shared" ca="1" si="13"/>
        <v xml:space="preserve"> </v>
      </c>
      <c r="C251" s="265" t="str">
        <f t="shared" ca="1" si="14"/>
        <v/>
      </c>
      <c r="D251" s="350" t="str">
        <f t="shared" ca="1" si="15"/>
        <v/>
      </c>
      <c r="E251" s="192"/>
      <c r="F251" s="192"/>
      <c r="G251" s="192"/>
      <c r="H251" s="192"/>
      <c r="I251" s="251" t="str">
        <f>IF(COUNTBLANK(E251:H251)=4,"",SUM(E251:G251)+IF(Setup!$I$15="No",0,H251))</f>
        <v/>
      </c>
      <c r="J251" s="192"/>
      <c r="K251" s="192"/>
      <c r="L251" s="192"/>
      <c r="M251" s="192"/>
      <c r="N251" s="255" t="str">
        <f>IF(COUNTBLANK(J251:M251)=4,"",SUM(J251:L251)+IF(Setup!$I$15="No",0,M251))</f>
        <v/>
      </c>
      <c r="O251" s="192"/>
      <c r="P251" s="192"/>
      <c r="Q251" s="192"/>
      <c r="R251" s="192"/>
      <c r="S251" s="255" t="str">
        <f>IF(COUNTBLANK(O251:R251)=4,"",SUM(O251:Q251)+IF(Setup!$I$15="No",0,R251))</f>
        <v/>
      </c>
      <c r="T251" s="192"/>
      <c r="U251" s="192"/>
      <c r="V251" s="192"/>
      <c r="W251" s="192"/>
      <c r="X251" s="255" t="str">
        <f>IF(COUNTBLANK(T251:W251)=4,"",SUM(T251:V251)+IF(Setup!$I$15="No",0,W251))</f>
        <v/>
      </c>
      <c r="Y251" s="192"/>
      <c r="Z251" s="192"/>
      <c r="AA251" s="192"/>
      <c r="AB251" s="192"/>
      <c r="AC251" s="255" t="str">
        <f>IF(COUNTBLANK(Y251:AB251)=4,"",SUM(Y251:AA251)+IF(Setup!$I$15="No",0,AB251))</f>
        <v/>
      </c>
      <c r="AD251" s="192"/>
      <c r="AE251" s="192"/>
      <c r="AF251" s="192"/>
      <c r="AG251" s="192"/>
      <c r="AH251" s="255" t="str">
        <f>IF(COUNTBLANK(AD251:AG251)=4,"",SUM(AD251:AF251)+IF(Setup!$I$15="No",0,AG251))</f>
        <v/>
      </c>
      <c r="AI251" s="192"/>
      <c r="AJ251" s="192"/>
      <c r="AK251" s="192"/>
      <c r="AL251" s="192"/>
      <c r="AM251" s="255" t="str">
        <f>IF(COUNTBLANK(AI251:AL251)=4,"",SUM(AI251:AK251)+IF(Setup!$I$15="No",0,AL251))</f>
        <v/>
      </c>
      <c r="AN251" s="192"/>
      <c r="AO251" s="192"/>
      <c r="AP251" s="192"/>
      <c r="AQ251" s="192"/>
      <c r="AR251" s="255" t="str">
        <f>IF(COUNTBLANK(AN251:AQ251)=4,"",SUM(AN251:AP251)+IF(Setup!$I$15="No",0,AQ251))</f>
        <v/>
      </c>
      <c r="AS251" s="192"/>
      <c r="AT251" s="192"/>
      <c r="AU251" s="192"/>
      <c r="AV251" s="192"/>
      <c r="AW251" s="255" t="str">
        <f>IF(COUNTBLANK(AS251:AV251)=4,"",SUM(AS251:AU251)+IF(Setup!$I$15="No",0,AV251))</f>
        <v/>
      </c>
      <c r="AX251" s="192"/>
      <c r="AY251" s="192"/>
      <c r="AZ251" s="192"/>
      <c r="BA251" s="192"/>
      <c r="BB251" s="255" t="str">
        <f>IF(COUNTBLANK(AX251:BA251)=4,"",SUM(AX251:AZ251)+IF(Setup!$I$15="No",0,BA251))</f>
        <v/>
      </c>
      <c r="BC251" s="259" t="str">
        <f ca="1">IF('Demand background (hide)'!A242=Num_Modalities,"",SUM(Demand!I251))</f>
        <v/>
      </c>
      <c r="BD251" s="259" t="str">
        <f ca="1">IF(AND(A251&lt;=MaxRows,BE251&lt;&gt;"Yes"),'Demand background (hide)'!X242+IF(Setup!$I$15="Yes",'Demand background (hide)'!AJ242,0),"")</f>
        <v/>
      </c>
      <c r="BE251" s="209"/>
    </row>
    <row r="252" spans="1:57" x14ac:dyDescent="0.25">
      <c r="A252" t="str">
        <f t="shared" ca="1" si="12"/>
        <v/>
      </c>
      <c r="B252" s="264" t="str">
        <f t="shared" ca="1" si="13"/>
        <v xml:space="preserve"> </v>
      </c>
      <c r="C252" s="265" t="str">
        <f t="shared" ca="1" si="14"/>
        <v/>
      </c>
      <c r="D252" s="350" t="str">
        <f t="shared" ca="1" si="15"/>
        <v/>
      </c>
      <c r="E252" s="192"/>
      <c r="F252" s="192"/>
      <c r="G252" s="192"/>
      <c r="H252" s="192"/>
      <c r="I252" s="251" t="str">
        <f>IF(COUNTBLANK(E252:H252)=4,"",SUM(E252:G252)+IF(Setup!$I$15="No",0,H252))</f>
        <v/>
      </c>
      <c r="J252" s="192"/>
      <c r="K252" s="192"/>
      <c r="L252" s="192"/>
      <c r="M252" s="192"/>
      <c r="N252" s="255" t="str">
        <f>IF(COUNTBLANK(J252:M252)=4,"",SUM(J252:L252)+IF(Setup!$I$15="No",0,M252))</f>
        <v/>
      </c>
      <c r="O252" s="192"/>
      <c r="P252" s="192"/>
      <c r="Q252" s="192"/>
      <c r="R252" s="192"/>
      <c r="S252" s="255" t="str">
        <f>IF(COUNTBLANK(O252:R252)=4,"",SUM(O252:Q252)+IF(Setup!$I$15="No",0,R252))</f>
        <v/>
      </c>
      <c r="T252" s="192"/>
      <c r="U252" s="192"/>
      <c r="V252" s="192"/>
      <c r="W252" s="192"/>
      <c r="X252" s="255" t="str">
        <f>IF(COUNTBLANK(T252:W252)=4,"",SUM(T252:V252)+IF(Setup!$I$15="No",0,W252))</f>
        <v/>
      </c>
      <c r="Y252" s="192"/>
      <c r="Z252" s="192"/>
      <c r="AA252" s="192"/>
      <c r="AB252" s="192"/>
      <c r="AC252" s="255" t="str">
        <f>IF(COUNTBLANK(Y252:AB252)=4,"",SUM(Y252:AA252)+IF(Setup!$I$15="No",0,AB252))</f>
        <v/>
      </c>
      <c r="AD252" s="192"/>
      <c r="AE252" s="192"/>
      <c r="AF252" s="192"/>
      <c r="AG252" s="192"/>
      <c r="AH252" s="255" t="str">
        <f>IF(COUNTBLANK(AD252:AG252)=4,"",SUM(AD252:AF252)+IF(Setup!$I$15="No",0,AG252))</f>
        <v/>
      </c>
      <c r="AI252" s="192"/>
      <c r="AJ252" s="192"/>
      <c r="AK252" s="192"/>
      <c r="AL252" s="192"/>
      <c r="AM252" s="255" t="str">
        <f>IF(COUNTBLANK(AI252:AL252)=4,"",SUM(AI252:AK252)+IF(Setup!$I$15="No",0,AL252))</f>
        <v/>
      </c>
      <c r="AN252" s="192"/>
      <c r="AO252" s="192"/>
      <c r="AP252" s="192"/>
      <c r="AQ252" s="192"/>
      <c r="AR252" s="255" t="str">
        <f>IF(COUNTBLANK(AN252:AQ252)=4,"",SUM(AN252:AP252)+IF(Setup!$I$15="No",0,AQ252))</f>
        <v/>
      </c>
      <c r="AS252" s="192"/>
      <c r="AT252" s="192"/>
      <c r="AU252" s="192"/>
      <c r="AV252" s="192"/>
      <c r="AW252" s="255" t="str">
        <f>IF(COUNTBLANK(AS252:AV252)=4,"",SUM(AS252:AU252)+IF(Setup!$I$15="No",0,AV252))</f>
        <v/>
      </c>
      <c r="AX252" s="192"/>
      <c r="AY252" s="192"/>
      <c r="AZ252" s="192"/>
      <c r="BA252" s="192"/>
      <c r="BB252" s="255" t="str">
        <f>IF(COUNTBLANK(AX252:BA252)=4,"",SUM(AX252:AZ252)+IF(Setup!$I$15="No",0,BA252))</f>
        <v/>
      </c>
      <c r="BC252" s="259" t="str">
        <f ca="1">IF('Demand background (hide)'!A243=Num_Modalities,"",SUM(Demand!I252))</f>
        <v/>
      </c>
      <c r="BD252" s="259" t="str">
        <f ca="1">IF(AND(A252&lt;=MaxRows,BE252&lt;&gt;"Yes"),'Demand background (hide)'!X243+IF(Setup!$I$15="Yes",'Demand background (hide)'!AJ243,0),"")</f>
        <v/>
      </c>
      <c r="BE252" s="209"/>
    </row>
    <row r="253" spans="1:57" x14ac:dyDescent="0.25">
      <c r="A253" t="str">
        <f t="shared" ca="1" si="12"/>
        <v/>
      </c>
      <c r="B253" s="264" t="str">
        <f t="shared" ca="1" si="13"/>
        <v xml:space="preserve"> </v>
      </c>
      <c r="C253" s="265" t="str">
        <f t="shared" ca="1" si="14"/>
        <v/>
      </c>
      <c r="D253" s="350" t="str">
        <f t="shared" ca="1" si="15"/>
        <v/>
      </c>
      <c r="E253" s="192"/>
      <c r="F253" s="192"/>
      <c r="G253" s="192"/>
      <c r="H253" s="192"/>
      <c r="I253" s="251" t="str">
        <f>IF(COUNTBLANK(E253:H253)=4,"",SUM(E253:G253)+IF(Setup!$I$15="No",0,H253))</f>
        <v/>
      </c>
      <c r="J253" s="192"/>
      <c r="K253" s="192"/>
      <c r="L253" s="192"/>
      <c r="M253" s="192"/>
      <c r="N253" s="255" t="str">
        <f>IF(COUNTBLANK(J253:M253)=4,"",SUM(J253:L253)+IF(Setup!$I$15="No",0,M253))</f>
        <v/>
      </c>
      <c r="O253" s="192"/>
      <c r="P253" s="192"/>
      <c r="Q253" s="192"/>
      <c r="R253" s="192"/>
      <c r="S253" s="255" t="str">
        <f>IF(COUNTBLANK(O253:R253)=4,"",SUM(O253:Q253)+IF(Setup!$I$15="No",0,R253))</f>
        <v/>
      </c>
      <c r="T253" s="192"/>
      <c r="U253" s="192"/>
      <c r="V253" s="192"/>
      <c r="W253" s="192"/>
      <c r="X253" s="255" t="str">
        <f>IF(COUNTBLANK(T253:W253)=4,"",SUM(T253:V253)+IF(Setup!$I$15="No",0,W253))</f>
        <v/>
      </c>
      <c r="Y253" s="192"/>
      <c r="Z253" s="192"/>
      <c r="AA253" s="192"/>
      <c r="AB253" s="192"/>
      <c r="AC253" s="255" t="str">
        <f>IF(COUNTBLANK(Y253:AB253)=4,"",SUM(Y253:AA253)+IF(Setup!$I$15="No",0,AB253))</f>
        <v/>
      </c>
      <c r="AD253" s="192"/>
      <c r="AE253" s="192"/>
      <c r="AF253" s="192"/>
      <c r="AG253" s="192"/>
      <c r="AH253" s="255" t="str">
        <f>IF(COUNTBLANK(AD253:AG253)=4,"",SUM(AD253:AF253)+IF(Setup!$I$15="No",0,AG253))</f>
        <v/>
      </c>
      <c r="AI253" s="192"/>
      <c r="AJ253" s="192"/>
      <c r="AK253" s="192"/>
      <c r="AL253" s="192"/>
      <c r="AM253" s="255" t="str">
        <f>IF(COUNTBLANK(AI253:AL253)=4,"",SUM(AI253:AK253)+IF(Setup!$I$15="No",0,AL253))</f>
        <v/>
      </c>
      <c r="AN253" s="192"/>
      <c r="AO253" s="192"/>
      <c r="AP253" s="192"/>
      <c r="AQ253" s="192"/>
      <c r="AR253" s="255" t="str">
        <f>IF(COUNTBLANK(AN253:AQ253)=4,"",SUM(AN253:AP253)+IF(Setup!$I$15="No",0,AQ253))</f>
        <v/>
      </c>
      <c r="AS253" s="192"/>
      <c r="AT253" s="192"/>
      <c r="AU253" s="192"/>
      <c r="AV253" s="192"/>
      <c r="AW253" s="255" t="str">
        <f>IF(COUNTBLANK(AS253:AV253)=4,"",SUM(AS253:AU253)+IF(Setup!$I$15="No",0,AV253))</f>
        <v/>
      </c>
      <c r="AX253" s="192"/>
      <c r="AY253" s="192"/>
      <c r="AZ253" s="192"/>
      <c r="BA253" s="192"/>
      <c r="BB253" s="255" t="str">
        <f>IF(COUNTBLANK(AX253:BA253)=4,"",SUM(AX253:AZ253)+IF(Setup!$I$15="No",0,BA253))</f>
        <v/>
      </c>
      <c r="BC253" s="259" t="str">
        <f ca="1">IF('Demand background (hide)'!A244=Num_Modalities,"",SUM(Demand!I253))</f>
        <v/>
      </c>
      <c r="BD253" s="259" t="str">
        <f ca="1">IF(AND(A253&lt;=MaxRows,BE253&lt;&gt;"Yes"),'Demand background (hide)'!X244+IF(Setup!$I$15="Yes",'Demand background (hide)'!AJ244,0),"")</f>
        <v/>
      </c>
      <c r="BE253" s="209"/>
    </row>
    <row r="254" spans="1:57" x14ac:dyDescent="0.25">
      <c r="A254" t="str">
        <f t="shared" ca="1" si="12"/>
        <v/>
      </c>
      <c r="B254" s="264" t="str">
        <f t="shared" ca="1" si="13"/>
        <v xml:space="preserve"> </v>
      </c>
      <c r="C254" s="265" t="str">
        <f t="shared" ca="1" si="14"/>
        <v/>
      </c>
      <c r="D254" s="350" t="str">
        <f t="shared" ca="1" si="15"/>
        <v/>
      </c>
      <c r="E254" s="192"/>
      <c r="F254" s="192"/>
      <c r="G254" s="192"/>
      <c r="H254" s="192"/>
      <c r="I254" s="251" t="str">
        <f>IF(COUNTBLANK(E254:H254)=4,"",SUM(E254:G254)+IF(Setup!$I$15="No",0,H254))</f>
        <v/>
      </c>
      <c r="J254" s="192"/>
      <c r="K254" s="192"/>
      <c r="L254" s="192"/>
      <c r="M254" s="192"/>
      <c r="N254" s="255" t="str">
        <f>IF(COUNTBLANK(J254:M254)=4,"",SUM(J254:L254)+IF(Setup!$I$15="No",0,M254))</f>
        <v/>
      </c>
      <c r="O254" s="192"/>
      <c r="P254" s="192"/>
      <c r="Q254" s="192"/>
      <c r="R254" s="192"/>
      <c r="S254" s="255" t="str">
        <f>IF(COUNTBLANK(O254:R254)=4,"",SUM(O254:Q254)+IF(Setup!$I$15="No",0,R254))</f>
        <v/>
      </c>
      <c r="T254" s="192"/>
      <c r="U254" s="192"/>
      <c r="V254" s="192"/>
      <c r="W254" s="192"/>
      <c r="X254" s="255" t="str">
        <f>IF(COUNTBLANK(T254:W254)=4,"",SUM(T254:V254)+IF(Setup!$I$15="No",0,W254))</f>
        <v/>
      </c>
      <c r="Y254" s="192"/>
      <c r="Z254" s="192"/>
      <c r="AA254" s="192"/>
      <c r="AB254" s="192"/>
      <c r="AC254" s="255" t="str">
        <f>IF(COUNTBLANK(Y254:AB254)=4,"",SUM(Y254:AA254)+IF(Setup!$I$15="No",0,AB254))</f>
        <v/>
      </c>
      <c r="AD254" s="192"/>
      <c r="AE254" s="192"/>
      <c r="AF254" s="192"/>
      <c r="AG254" s="192"/>
      <c r="AH254" s="255" t="str">
        <f>IF(COUNTBLANK(AD254:AG254)=4,"",SUM(AD254:AF254)+IF(Setup!$I$15="No",0,AG254))</f>
        <v/>
      </c>
      <c r="AI254" s="192"/>
      <c r="AJ254" s="192"/>
      <c r="AK254" s="192"/>
      <c r="AL254" s="192"/>
      <c r="AM254" s="255" t="str">
        <f>IF(COUNTBLANK(AI254:AL254)=4,"",SUM(AI254:AK254)+IF(Setup!$I$15="No",0,AL254))</f>
        <v/>
      </c>
      <c r="AN254" s="192"/>
      <c r="AO254" s="192"/>
      <c r="AP254" s="192"/>
      <c r="AQ254" s="192"/>
      <c r="AR254" s="255" t="str">
        <f>IF(COUNTBLANK(AN254:AQ254)=4,"",SUM(AN254:AP254)+IF(Setup!$I$15="No",0,AQ254))</f>
        <v/>
      </c>
      <c r="AS254" s="192"/>
      <c r="AT254" s="192"/>
      <c r="AU254" s="192"/>
      <c r="AV254" s="192"/>
      <c r="AW254" s="255" t="str">
        <f>IF(COUNTBLANK(AS254:AV254)=4,"",SUM(AS254:AU254)+IF(Setup!$I$15="No",0,AV254))</f>
        <v/>
      </c>
      <c r="AX254" s="192"/>
      <c r="AY254" s="192"/>
      <c r="AZ254" s="192"/>
      <c r="BA254" s="192"/>
      <c r="BB254" s="255" t="str">
        <f>IF(COUNTBLANK(AX254:BA254)=4,"",SUM(AX254:AZ254)+IF(Setup!$I$15="No",0,BA254))</f>
        <v/>
      </c>
      <c r="BC254" s="259" t="str">
        <f ca="1">IF('Demand background (hide)'!A245=Num_Modalities,"",SUM(Demand!I254))</f>
        <v/>
      </c>
      <c r="BD254" s="259" t="str">
        <f ca="1">IF(AND(A254&lt;=MaxRows,BE254&lt;&gt;"Yes"),'Demand background (hide)'!X245+IF(Setup!$I$15="Yes",'Demand background (hide)'!AJ245,0),"")</f>
        <v/>
      </c>
      <c r="BE254" s="209"/>
    </row>
    <row r="255" spans="1:57" x14ac:dyDescent="0.25">
      <c r="A255" t="str">
        <f t="shared" ca="1" si="12"/>
        <v/>
      </c>
      <c r="B255" s="264" t="str">
        <f t="shared" ca="1" si="13"/>
        <v xml:space="preserve"> </v>
      </c>
      <c r="C255" s="265" t="str">
        <f t="shared" ca="1" si="14"/>
        <v/>
      </c>
      <c r="D255" s="350" t="str">
        <f t="shared" ca="1" si="15"/>
        <v/>
      </c>
      <c r="E255" s="192"/>
      <c r="F255" s="192"/>
      <c r="G255" s="192"/>
      <c r="H255" s="192"/>
      <c r="I255" s="251" t="str">
        <f>IF(COUNTBLANK(E255:H255)=4,"",SUM(E255:G255)+IF(Setup!$I$15="No",0,H255))</f>
        <v/>
      </c>
      <c r="J255" s="192"/>
      <c r="K255" s="192"/>
      <c r="L255" s="192"/>
      <c r="M255" s="192"/>
      <c r="N255" s="255" t="str">
        <f>IF(COUNTBLANK(J255:M255)=4,"",SUM(J255:L255)+IF(Setup!$I$15="No",0,M255))</f>
        <v/>
      </c>
      <c r="O255" s="192"/>
      <c r="P255" s="192"/>
      <c r="Q255" s="192"/>
      <c r="R255" s="192"/>
      <c r="S255" s="255" t="str">
        <f>IF(COUNTBLANK(O255:R255)=4,"",SUM(O255:Q255)+IF(Setup!$I$15="No",0,R255))</f>
        <v/>
      </c>
      <c r="T255" s="192"/>
      <c r="U255" s="192"/>
      <c r="V255" s="192"/>
      <c r="W255" s="192"/>
      <c r="X255" s="255" t="str">
        <f>IF(COUNTBLANK(T255:W255)=4,"",SUM(T255:V255)+IF(Setup!$I$15="No",0,W255))</f>
        <v/>
      </c>
      <c r="Y255" s="192"/>
      <c r="Z255" s="192"/>
      <c r="AA255" s="192"/>
      <c r="AB255" s="192"/>
      <c r="AC255" s="255" t="str">
        <f>IF(COUNTBLANK(Y255:AB255)=4,"",SUM(Y255:AA255)+IF(Setup!$I$15="No",0,AB255))</f>
        <v/>
      </c>
      <c r="AD255" s="192"/>
      <c r="AE255" s="192"/>
      <c r="AF255" s="192"/>
      <c r="AG255" s="192"/>
      <c r="AH255" s="255" t="str">
        <f>IF(COUNTBLANK(AD255:AG255)=4,"",SUM(AD255:AF255)+IF(Setup!$I$15="No",0,AG255))</f>
        <v/>
      </c>
      <c r="AI255" s="192"/>
      <c r="AJ255" s="192"/>
      <c r="AK255" s="192"/>
      <c r="AL255" s="192"/>
      <c r="AM255" s="255" t="str">
        <f>IF(COUNTBLANK(AI255:AL255)=4,"",SUM(AI255:AK255)+IF(Setup!$I$15="No",0,AL255))</f>
        <v/>
      </c>
      <c r="AN255" s="192"/>
      <c r="AO255" s="192"/>
      <c r="AP255" s="192"/>
      <c r="AQ255" s="192"/>
      <c r="AR255" s="255" t="str">
        <f>IF(COUNTBLANK(AN255:AQ255)=4,"",SUM(AN255:AP255)+IF(Setup!$I$15="No",0,AQ255))</f>
        <v/>
      </c>
      <c r="AS255" s="192"/>
      <c r="AT255" s="192"/>
      <c r="AU255" s="192"/>
      <c r="AV255" s="192"/>
      <c r="AW255" s="255" t="str">
        <f>IF(COUNTBLANK(AS255:AV255)=4,"",SUM(AS255:AU255)+IF(Setup!$I$15="No",0,AV255))</f>
        <v/>
      </c>
      <c r="AX255" s="192"/>
      <c r="AY255" s="192"/>
      <c r="AZ255" s="192"/>
      <c r="BA255" s="192"/>
      <c r="BB255" s="255" t="str">
        <f>IF(COUNTBLANK(AX255:BA255)=4,"",SUM(AX255:AZ255)+IF(Setup!$I$15="No",0,BA255))</f>
        <v/>
      </c>
      <c r="BC255" s="259" t="str">
        <f ca="1">IF('Demand background (hide)'!A246=Num_Modalities,"",SUM(Demand!I255))</f>
        <v/>
      </c>
      <c r="BD255" s="259" t="str">
        <f ca="1">IF(AND(A255&lt;=MaxRows,BE255&lt;&gt;"Yes"),'Demand background (hide)'!X246+IF(Setup!$I$15="Yes",'Demand background (hide)'!AJ246,0),"")</f>
        <v/>
      </c>
      <c r="BE255" s="209"/>
    </row>
    <row r="256" spans="1:57" x14ac:dyDescent="0.25">
      <c r="A256" t="str">
        <f t="shared" ca="1" si="12"/>
        <v/>
      </c>
      <c r="B256" s="264" t="str">
        <f t="shared" ca="1" si="13"/>
        <v xml:space="preserve"> </v>
      </c>
      <c r="C256" s="265" t="str">
        <f t="shared" ca="1" si="14"/>
        <v/>
      </c>
      <c r="D256" s="350" t="str">
        <f t="shared" ca="1" si="15"/>
        <v/>
      </c>
      <c r="E256" s="192"/>
      <c r="F256" s="192"/>
      <c r="G256" s="192"/>
      <c r="H256" s="192"/>
      <c r="I256" s="251" t="str">
        <f>IF(COUNTBLANK(E256:H256)=4,"",SUM(E256:G256)+IF(Setup!$I$15="No",0,H256))</f>
        <v/>
      </c>
      <c r="J256" s="192"/>
      <c r="K256" s="192"/>
      <c r="L256" s="192"/>
      <c r="M256" s="192"/>
      <c r="N256" s="255" t="str">
        <f>IF(COUNTBLANK(J256:M256)=4,"",SUM(J256:L256)+IF(Setup!$I$15="No",0,M256))</f>
        <v/>
      </c>
      <c r="O256" s="192"/>
      <c r="P256" s="192"/>
      <c r="Q256" s="192"/>
      <c r="R256" s="192"/>
      <c r="S256" s="255" t="str">
        <f>IF(COUNTBLANK(O256:R256)=4,"",SUM(O256:Q256)+IF(Setup!$I$15="No",0,R256))</f>
        <v/>
      </c>
      <c r="T256" s="192"/>
      <c r="U256" s="192"/>
      <c r="V256" s="192"/>
      <c r="W256" s="192"/>
      <c r="X256" s="255" t="str">
        <f>IF(COUNTBLANK(T256:W256)=4,"",SUM(T256:V256)+IF(Setup!$I$15="No",0,W256))</f>
        <v/>
      </c>
      <c r="Y256" s="192"/>
      <c r="Z256" s="192"/>
      <c r="AA256" s="192"/>
      <c r="AB256" s="192"/>
      <c r="AC256" s="255" t="str">
        <f>IF(COUNTBLANK(Y256:AB256)=4,"",SUM(Y256:AA256)+IF(Setup!$I$15="No",0,AB256))</f>
        <v/>
      </c>
      <c r="AD256" s="192"/>
      <c r="AE256" s="192"/>
      <c r="AF256" s="192"/>
      <c r="AG256" s="192"/>
      <c r="AH256" s="255" t="str">
        <f>IF(COUNTBLANK(AD256:AG256)=4,"",SUM(AD256:AF256)+IF(Setup!$I$15="No",0,AG256))</f>
        <v/>
      </c>
      <c r="AI256" s="192"/>
      <c r="AJ256" s="192"/>
      <c r="AK256" s="192"/>
      <c r="AL256" s="192"/>
      <c r="AM256" s="255" t="str">
        <f>IF(COUNTBLANK(AI256:AL256)=4,"",SUM(AI256:AK256)+IF(Setup!$I$15="No",0,AL256))</f>
        <v/>
      </c>
      <c r="AN256" s="192"/>
      <c r="AO256" s="192"/>
      <c r="AP256" s="192"/>
      <c r="AQ256" s="192"/>
      <c r="AR256" s="255" t="str">
        <f>IF(COUNTBLANK(AN256:AQ256)=4,"",SUM(AN256:AP256)+IF(Setup!$I$15="No",0,AQ256))</f>
        <v/>
      </c>
      <c r="AS256" s="192"/>
      <c r="AT256" s="192"/>
      <c r="AU256" s="192"/>
      <c r="AV256" s="192"/>
      <c r="AW256" s="255" t="str">
        <f>IF(COUNTBLANK(AS256:AV256)=4,"",SUM(AS256:AU256)+IF(Setup!$I$15="No",0,AV256))</f>
        <v/>
      </c>
      <c r="AX256" s="192"/>
      <c r="AY256" s="192"/>
      <c r="AZ256" s="192"/>
      <c r="BA256" s="192"/>
      <c r="BB256" s="255" t="str">
        <f>IF(COUNTBLANK(AX256:BA256)=4,"",SUM(AX256:AZ256)+IF(Setup!$I$15="No",0,BA256))</f>
        <v/>
      </c>
      <c r="BC256" s="259" t="str">
        <f ca="1">IF('Demand background (hide)'!A247=Num_Modalities,"",SUM(Demand!I256))</f>
        <v/>
      </c>
      <c r="BD256" s="259" t="str">
        <f ca="1">IF(AND(A256&lt;=MaxRows,BE256&lt;&gt;"Yes"),'Demand background (hide)'!X247+IF(Setup!$I$15="Yes",'Demand background (hide)'!AJ247,0),"")</f>
        <v/>
      </c>
      <c r="BE256" s="209"/>
    </row>
    <row r="257" spans="1:57" x14ac:dyDescent="0.25">
      <c r="A257" t="str">
        <f t="shared" ca="1" si="12"/>
        <v/>
      </c>
      <c r="B257" s="264" t="str">
        <f t="shared" ca="1" si="13"/>
        <v xml:space="preserve"> </v>
      </c>
      <c r="C257" s="265" t="str">
        <f t="shared" ca="1" si="14"/>
        <v/>
      </c>
      <c r="D257" s="350" t="str">
        <f t="shared" ca="1" si="15"/>
        <v/>
      </c>
      <c r="E257" s="192"/>
      <c r="F257" s="192"/>
      <c r="G257" s="192"/>
      <c r="H257" s="192"/>
      <c r="I257" s="251" t="str">
        <f>IF(COUNTBLANK(E257:H257)=4,"",SUM(E257:G257)+IF(Setup!$I$15="No",0,H257))</f>
        <v/>
      </c>
      <c r="J257" s="192"/>
      <c r="K257" s="192"/>
      <c r="L257" s="192"/>
      <c r="M257" s="192"/>
      <c r="N257" s="255" t="str">
        <f>IF(COUNTBLANK(J257:M257)=4,"",SUM(J257:L257)+IF(Setup!$I$15="No",0,M257))</f>
        <v/>
      </c>
      <c r="O257" s="192"/>
      <c r="P257" s="192"/>
      <c r="Q257" s="192"/>
      <c r="R257" s="192"/>
      <c r="S257" s="255" t="str">
        <f>IF(COUNTBLANK(O257:R257)=4,"",SUM(O257:Q257)+IF(Setup!$I$15="No",0,R257))</f>
        <v/>
      </c>
      <c r="T257" s="192"/>
      <c r="U257" s="192"/>
      <c r="V257" s="192"/>
      <c r="W257" s="192"/>
      <c r="X257" s="255" t="str">
        <f>IF(COUNTBLANK(T257:W257)=4,"",SUM(T257:V257)+IF(Setup!$I$15="No",0,W257))</f>
        <v/>
      </c>
      <c r="Y257" s="192"/>
      <c r="Z257" s="192"/>
      <c r="AA257" s="192"/>
      <c r="AB257" s="192"/>
      <c r="AC257" s="255" t="str">
        <f>IF(COUNTBLANK(Y257:AB257)=4,"",SUM(Y257:AA257)+IF(Setup!$I$15="No",0,AB257))</f>
        <v/>
      </c>
      <c r="AD257" s="192"/>
      <c r="AE257" s="192"/>
      <c r="AF257" s="192"/>
      <c r="AG257" s="192"/>
      <c r="AH257" s="255" t="str">
        <f>IF(COUNTBLANK(AD257:AG257)=4,"",SUM(AD257:AF257)+IF(Setup!$I$15="No",0,AG257))</f>
        <v/>
      </c>
      <c r="AI257" s="192"/>
      <c r="AJ257" s="192"/>
      <c r="AK257" s="192"/>
      <c r="AL257" s="192"/>
      <c r="AM257" s="255" t="str">
        <f>IF(COUNTBLANK(AI257:AL257)=4,"",SUM(AI257:AK257)+IF(Setup!$I$15="No",0,AL257))</f>
        <v/>
      </c>
      <c r="AN257" s="192"/>
      <c r="AO257" s="192"/>
      <c r="AP257" s="192"/>
      <c r="AQ257" s="192"/>
      <c r="AR257" s="255" t="str">
        <f>IF(COUNTBLANK(AN257:AQ257)=4,"",SUM(AN257:AP257)+IF(Setup!$I$15="No",0,AQ257))</f>
        <v/>
      </c>
      <c r="AS257" s="192"/>
      <c r="AT257" s="192"/>
      <c r="AU257" s="192"/>
      <c r="AV257" s="192"/>
      <c r="AW257" s="255" t="str">
        <f>IF(COUNTBLANK(AS257:AV257)=4,"",SUM(AS257:AU257)+IF(Setup!$I$15="No",0,AV257))</f>
        <v/>
      </c>
      <c r="AX257" s="192"/>
      <c r="AY257" s="192"/>
      <c r="AZ257" s="192"/>
      <c r="BA257" s="192"/>
      <c r="BB257" s="255" t="str">
        <f>IF(COUNTBLANK(AX257:BA257)=4,"",SUM(AX257:AZ257)+IF(Setup!$I$15="No",0,BA257))</f>
        <v/>
      </c>
      <c r="BC257" s="259" t="str">
        <f ca="1">IF('Demand background (hide)'!A248=Num_Modalities,"",SUM(Demand!I257))</f>
        <v/>
      </c>
      <c r="BD257" s="259" t="str">
        <f ca="1">IF(AND(A257&lt;=MaxRows,BE257&lt;&gt;"Yes"),'Demand background (hide)'!X248+IF(Setup!$I$15="Yes",'Demand background (hide)'!AJ248,0),"")</f>
        <v/>
      </c>
      <c r="BE257" s="209"/>
    </row>
    <row r="258" spans="1:57" x14ac:dyDescent="0.25">
      <c r="A258" t="str">
        <f t="shared" ca="1" si="12"/>
        <v/>
      </c>
      <c r="B258" s="264" t="str">
        <f t="shared" ca="1" si="13"/>
        <v xml:space="preserve"> </v>
      </c>
      <c r="C258" s="265" t="str">
        <f t="shared" ca="1" si="14"/>
        <v/>
      </c>
      <c r="D258" s="350" t="str">
        <f t="shared" ca="1" si="15"/>
        <v/>
      </c>
      <c r="E258" s="192"/>
      <c r="F258" s="192"/>
      <c r="G258" s="192"/>
      <c r="H258" s="192"/>
      <c r="I258" s="251" t="str">
        <f>IF(COUNTBLANK(E258:H258)=4,"",SUM(E258:G258)+IF(Setup!$I$15="No",0,H258))</f>
        <v/>
      </c>
      <c r="J258" s="192"/>
      <c r="K258" s="192"/>
      <c r="L258" s="192"/>
      <c r="M258" s="192"/>
      <c r="N258" s="255" t="str">
        <f>IF(COUNTBLANK(J258:M258)=4,"",SUM(J258:L258)+IF(Setup!$I$15="No",0,M258))</f>
        <v/>
      </c>
      <c r="O258" s="192"/>
      <c r="P258" s="192"/>
      <c r="Q258" s="192"/>
      <c r="R258" s="192"/>
      <c r="S258" s="255" t="str">
        <f>IF(COUNTBLANK(O258:R258)=4,"",SUM(O258:Q258)+IF(Setup!$I$15="No",0,R258))</f>
        <v/>
      </c>
      <c r="T258" s="192"/>
      <c r="U258" s="192"/>
      <c r="V258" s="192"/>
      <c r="W258" s="192"/>
      <c r="X258" s="255" t="str">
        <f>IF(COUNTBLANK(T258:W258)=4,"",SUM(T258:V258)+IF(Setup!$I$15="No",0,W258))</f>
        <v/>
      </c>
      <c r="Y258" s="192"/>
      <c r="Z258" s="192"/>
      <c r="AA258" s="192"/>
      <c r="AB258" s="192"/>
      <c r="AC258" s="255" t="str">
        <f>IF(COUNTBLANK(Y258:AB258)=4,"",SUM(Y258:AA258)+IF(Setup!$I$15="No",0,AB258))</f>
        <v/>
      </c>
      <c r="AD258" s="192"/>
      <c r="AE258" s="192"/>
      <c r="AF258" s="192"/>
      <c r="AG258" s="192"/>
      <c r="AH258" s="255" t="str">
        <f>IF(COUNTBLANK(AD258:AG258)=4,"",SUM(AD258:AF258)+IF(Setup!$I$15="No",0,AG258))</f>
        <v/>
      </c>
      <c r="AI258" s="192"/>
      <c r="AJ258" s="192"/>
      <c r="AK258" s="192"/>
      <c r="AL258" s="192"/>
      <c r="AM258" s="255" t="str">
        <f>IF(COUNTBLANK(AI258:AL258)=4,"",SUM(AI258:AK258)+IF(Setup!$I$15="No",0,AL258))</f>
        <v/>
      </c>
      <c r="AN258" s="192"/>
      <c r="AO258" s="192"/>
      <c r="AP258" s="192"/>
      <c r="AQ258" s="192"/>
      <c r="AR258" s="255" t="str">
        <f>IF(COUNTBLANK(AN258:AQ258)=4,"",SUM(AN258:AP258)+IF(Setup!$I$15="No",0,AQ258))</f>
        <v/>
      </c>
      <c r="AS258" s="192"/>
      <c r="AT258" s="192"/>
      <c r="AU258" s="192"/>
      <c r="AV258" s="192"/>
      <c r="AW258" s="255" t="str">
        <f>IF(COUNTBLANK(AS258:AV258)=4,"",SUM(AS258:AU258)+IF(Setup!$I$15="No",0,AV258))</f>
        <v/>
      </c>
      <c r="AX258" s="192"/>
      <c r="AY258" s="192"/>
      <c r="AZ258" s="192"/>
      <c r="BA258" s="192"/>
      <c r="BB258" s="255" t="str">
        <f>IF(COUNTBLANK(AX258:BA258)=4,"",SUM(AX258:AZ258)+IF(Setup!$I$15="No",0,BA258))</f>
        <v/>
      </c>
      <c r="BC258" s="259" t="str">
        <f ca="1">IF('Demand background (hide)'!A249=Num_Modalities,"",SUM(Demand!I258))</f>
        <v/>
      </c>
      <c r="BD258" s="259" t="str">
        <f ca="1">IF(AND(A258&lt;=MaxRows,BE258&lt;&gt;"Yes"),'Demand background (hide)'!X249+IF(Setup!$I$15="Yes",'Demand background (hide)'!AJ249,0),"")</f>
        <v/>
      </c>
      <c r="BE258" s="209"/>
    </row>
    <row r="259" spans="1:57" x14ac:dyDescent="0.25">
      <c r="A259" t="str">
        <f t="shared" ca="1" si="12"/>
        <v/>
      </c>
      <c r="B259" s="264" t="str">
        <f t="shared" ca="1" si="13"/>
        <v xml:space="preserve"> </v>
      </c>
      <c r="C259" s="265" t="str">
        <f t="shared" ca="1" si="14"/>
        <v/>
      </c>
      <c r="D259" s="350" t="str">
        <f t="shared" ca="1" si="15"/>
        <v/>
      </c>
      <c r="E259" s="192"/>
      <c r="F259" s="192"/>
      <c r="G259" s="192"/>
      <c r="H259" s="192"/>
      <c r="I259" s="251" t="str">
        <f>IF(COUNTBLANK(E259:H259)=4,"",SUM(E259:G259)+IF(Setup!$I$15="No",0,H259))</f>
        <v/>
      </c>
      <c r="J259" s="192"/>
      <c r="K259" s="192"/>
      <c r="L259" s="192"/>
      <c r="M259" s="192"/>
      <c r="N259" s="255" t="str">
        <f>IF(COUNTBLANK(J259:M259)=4,"",SUM(J259:L259)+IF(Setup!$I$15="No",0,M259))</f>
        <v/>
      </c>
      <c r="O259" s="192"/>
      <c r="P259" s="192"/>
      <c r="Q259" s="192"/>
      <c r="R259" s="192"/>
      <c r="S259" s="255" t="str">
        <f>IF(COUNTBLANK(O259:R259)=4,"",SUM(O259:Q259)+IF(Setup!$I$15="No",0,R259))</f>
        <v/>
      </c>
      <c r="T259" s="192"/>
      <c r="U259" s="192"/>
      <c r="V259" s="192"/>
      <c r="W259" s="192"/>
      <c r="X259" s="255" t="str">
        <f>IF(COUNTBLANK(T259:W259)=4,"",SUM(T259:V259)+IF(Setup!$I$15="No",0,W259))</f>
        <v/>
      </c>
      <c r="Y259" s="192"/>
      <c r="Z259" s="192"/>
      <c r="AA259" s="192"/>
      <c r="AB259" s="192"/>
      <c r="AC259" s="255" t="str">
        <f>IF(COUNTBLANK(Y259:AB259)=4,"",SUM(Y259:AA259)+IF(Setup!$I$15="No",0,AB259))</f>
        <v/>
      </c>
      <c r="AD259" s="192"/>
      <c r="AE259" s="192"/>
      <c r="AF259" s="192"/>
      <c r="AG259" s="192"/>
      <c r="AH259" s="255" t="str">
        <f>IF(COUNTBLANK(AD259:AG259)=4,"",SUM(AD259:AF259)+IF(Setup!$I$15="No",0,AG259))</f>
        <v/>
      </c>
      <c r="AI259" s="192"/>
      <c r="AJ259" s="192"/>
      <c r="AK259" s="192"/>
      <c r="AL259" s="192"/>
      <c r="AM259" s="255" t="str">
        <f>IF(COUNTBLANK(AI259:AL259)=4,"",SUM(AI259:AK259)+IF(Setup!$I$15="No",0,AL259))</f>
        <v/>
      </c>
      <c r="AN259" s="192"/>
      <c r="AO259" s="192"/>
      <c r="AP259" s="192"/>
      <c r="AQ259" s="192"/>
      <c r="AR259" s="255" t="str">
        <f>IF(COUNTBLANK(AN259:AQ259)=4,"",SUM(AN259:AP259)+IF(Setup!$I$15="No",0,AQ259))</f>
        <v/>
      </c>
      <c r="AS259" s="192"/>
      <c r="AT259" s="192"/>
      <c r="AU259" s="192"/>
      <c r="AV259" s="192"/>
      <c r="AW259" s="255" t="str">
        <f>IF(COUNTBLANK(AS259:AV259)=4,"",SUM(AS259:AU259)+IF(Setup!$I$15="No",0,AV259))</f>
        <v/>
      </c>
      <c r="AX259" s="192"/>
      <c r="AY259" s="192"/>
      <c r="AZ259" s="192"/>
      <c r="BA259" s="192"/>
      <c r="BB259" s="255" t="str">
        <f>IF(COUNTBLANK(AX259:BA259)=4,"",SUM(AX259:AZ259)+IF(Setup!$I$15="No",0,BA259))</f>
        <v/>
      </c>
      <c r="BC259" s="259" t="str">
        <f ca="1">IF('Demand background (hide)'!A250=Num_Modalities,"",SUM(Demand!I259))</f>
        <v/>
      </c>
      <c r="BD259" s="259" t="str">
        <f ca="1">IF(AND(A259&lt;=MaxRows,BE259&lt;&gt;"Yes"),'Demand background (hide)'!X250+IF(Setup!$I$15="Yes",'Demand background (hide)'!AJ250,0),"")</f>
        <v/>
      </c>
      <c r="BE259" s="209"/>
    </row>
    <row r="260" spans="1:57" x14ac:dyDescent="0.25">
      <c r="A260" t="str">
        <f t="shared" ca="1" si="12"/>
        <v/>
      </c>
      <c r="B260" s="264" t="str">
        <f t="shared" ca="1" si="13"/>
        <v xml:space="preserve"> </v>
      </c>
      <c r="C260" s="265" t="str">
        <f t="shared" ca="1" si="14"/>
        <v/>
      </c>
      <c r="D260" s="350" t="str">
        <f t="shared" ca="1" si="15"/>
        <v/>
      </c>
      <c r="E260" s="192"/>
      <c r="F260" s="192"/>
      <c r="G260" s="192"/>
      <c r="H260" s="192"/>
      <c r="I260" s="251" t="str">
        <f>IF(COUNTBLANK(E260:H260)=4,"",SUM(E260:G260)+IF(Setup!$I$15="No",0,H260))</f>
        <v/>
      </c>
      <c r="J260" s="192"/>
      <c r="K260" s="192"/>
      <c r="L260" s="192"/>
      <c r="M260" s="192"/>
      <c r="N260" s="255" t="str">
        <f>IF(COUNTBLANK(J260:M260)=4,"",SUM(J260:L260)+IF(Setup!$I$15="No",0,M260))</f>
        <v/>
      </c>
      <c r="O260" s="192"/>
      <c r="P260" s="192"/>
      <c r="Q260" s="192"/>
      <c r="R260" s="192"/>
      <c r="S260" s="255" t="str">
        <f>IF(COUNTBLANK(O260:R260)=4,"",SUM(O260:Q260)+IF(Setup!$I$15="No",0,R260))</f>
        <v/>
      </c>
      <c r="T260" s="192"/>
      <c r="U260" s="192"/>
      <c r="V260" s="192"/>
      <c r="W260" s="192"/>
      <c r="X260" s="255" t="str">
        <f>IF(COUNTBLANK(T260:W260)=4,"",SUM(T260:V260)+IF(Setup!$I$15="No",0,W260))</f>
        <v/>
      </c>
      <c r="Y260" s="192"/>
      <c r="Z260" s="192"/>
      <c r="AA260" s="192"/>
      <c r="AB260" s="192"/>
      <c r="AC260" s="255" t="str">
        <f>IF(COUNTBLANK(Y260:AB260)=4,"",SUM(Y260:AA260)+IF(Setup!$I$15="No",0,AB260))</f>
        <v/>
      </c>
      <c r="AD260" s="192"/>
      <c r="AE260" s="192"/>
      <c r="AF260" s="192"/>
      <c r="AG260" s="192"/>
      <c r="AH260" s="255" t="str">
        <f>IF(COUNTBLANK(AD260:AG260)=4,"",SUM(AD260:AF260)+IF(Setup!$I$15="No",0,AG260))</f>
        <v/>
      </c>
      <c r="AI260" s="192"/>
      <c r="AJ260" s="192"/>
      <c r="AK260" s="192"/>
      <c r="AL260" s="192"/>
      <c r="AM260" s="255" t="str">
        <f>IF(COUNTBLANK(AI260:AL260)=4,"",SUM(AI260:AK260)+IF(Setup!$I$15="No",0,AL260))</f>
        <v/>
      </c>
      <c r="AN260" s="192"/>
      <c r="AO260" s="192"/>
      <c r="AP260" s="192"/>
      <c r="AQ260" s="192"/>
      <c r="AR260" s="255" t="str">
        <f>IF(COUNTBLANK(AN260:AQ260)=4,"",SUM(AN260:AP260)+IF(Setup!$I$15="No",0,AQ260))</f>
        <v/>
      </c>
      <c r="AS260" s="192"/>
      <c r="AT260" s="192"/>
      <c r="AU260" s="192"/>
      <c r="AV260" s="192"/>
      <c r="AW260" s="255" t="str">
        <f>IF(COUNTBLANK(AS260:AV260)=4,"",SUM(AS260:AU260)+IF(Setup!$I$15="No",0,AV260))</f>
        <v/>
      </c>
      <c r="AX260" s="192"/>
      <c r="AY260" s="192"/>
      <c r="AZ260" s="192"/>
      <c r="BA260" s="192"/>
      <c r="BB260" s="255" t="str">
        <f>IF(COUNTBLANK(AX260:BA260)=4,"",SUM(AX260:AZ260)+IF(Setup!$I$15="No",0,BA260))</f>
        <v/>
      </c>
      <c r="BC260" s="259" t="str">
        <f ca="1">IF('Demand background (hide)'!A251=Num_Modalities,"",SUM(Demand!I260))</f>
        <v/>
      </c>
      <c r="BD260" s="259" t="str">
        <f ca="1">IF(AND(A260&lt;=MaxRows,BE260&lt;&gt;"Yes"),'Demand background (hide)'!X251+IF(Setup!$I$15="Yes",'Demand background (hide)'!AJ251,0),"")</f>
        <v/>
      </c>
      <c r="BE260" s="209"/>
    </row>
    <row r="261" spans="1:57" x14ac:dyDescent="0.25">
      <c r="A261" t="str">
        <f t="shared" ca="1" si="12"/>
        <v/>
      </c>
      <c r="B261" s="264" t="str">
        <f t="shared" ca="1" si="13"/>
        <v xml:space="preserve"> </v>
      </c>
      <c r="C261" s="265" t="str">
        <f t="shared" ca="1" si="14"/>
        <v/>
      </c>
      <c r="D261" s="350" t="str">
        <f t="shared" ca="1" si="15"/>
        <v/>
      </c>
      <c r="E261" s="192"/>
      <c r="F261" s="192"/>
      <c r="G261" s="192"/>
      <c r="H261" s="192"/>
      <c r="I261" s="251" t="str">
        <f>IF(COUNTBLANK(E261:H261)=4,"",SUM(E261:G261)+IF(Setup!$I$15="No",0,H261))</f>
        <v/>
      </c>
      <c r="J261" s="192"/>
      <c r="K261" s="192"/>
      <c r="L261" s="192"/>
      <c r="M261" s="192"/>
      <c r="N261" s="255" t="str">
        <f>IF(COUNTBLANK(J261:M261)=4,"",SUM(J261:L261)+IF(Setup!$I$15="No",0,M261))</f>
        <v/>
      </c>
      <c r="O261" s="192"/>
      <c r="P261" s="192"/>
      <c r="Q261" s="192"/>
      <c r="R261" s="192"/>
      <c r="S261" s="255" t="str">
        <f>IF(COUNTBLANK(O261:R261)=4,"",SUM(O261:Q261)+IF(Setup!$I$15="No",0,R261))</f>
        <v/>
      </c>
      <c r="T261" s="192"/>
      <c r="U261" s="192"/>
      <c r="V261" s="192"/>
      <c r="W261" s="192"/>
      <c r="X261" s="255" t="str">
        <f>IF(COUNTBLANK(T261:W261)=4,"",SUM(T261:V261)+IF(Setup!$I$15="No",0,W261))</f>
        <v/>
      </c>
      <c r="Y261" s="192"/>
      <c r="Z261" s="192"/>
      <c r="AA261" s="192"/>
      <c r="AB261" s="192"/>
      <c r="AC261" s="255" t="str">
        <f>IF(COUNTBLANK(Y261:AB261)=4,"",SUM(Y261:AA261)+IF(Setup!$I$15="No",0,AB261))</f>
        <v/>
      </c>
      <c r="AD261" s="192"/>
      <c r="AE261" s="192"/>
      <c r="AF261" s="192"/>
      <c r="AG261" s="192"/>
      <c r="AH261" s="255" t="str">
        <f>IF(COUNTBLANK(AD261:AG261)=4,"",SUM(AD261:AF261)+IF(Setup!$I$15="No",0,AG261))</f>
        <v/>
      </c>
      <c r="AI261" s="192"/>
      <c r="AJ261" s="192"/>
      <c r="AK261" s="192"/>
      <c r="AL261" s="192"/>
      <c r="AM261" s="255" t="str">
        <f>IF(COUNTBLANK(AI261:AL261)=4,"",SUM(AI261:AK261)+IF(Setup!$I$15="No",0,AL261))</f>
        <v/>
      </c>
      <c r="AN261" s="192"/>
      <c r="AO261" s="192"/>
      <c r="AP261" s="192"/>
      <c r="AQ261" s="192"/>
      <c r="AR261" s="255" t="str">
        <f>IF(COUNTBLANK(AN261:AQ261)=4,"",SUM(AN261:AP261)+IF(Setup!$I$15="No",0,AQ261))</f>
        <v/>
      </c>
      <c r="AS261" s="192"/>
      <c r="AT261" s="192"/>
      <c r="AU261" s="192"/>
      <c r="AV261" s="192"/>
      <c r="AW261" s="255" t="str">
        <f>IF(COUNTBLANK(AS261:AV261)=4,"",SUM(AS261:AU261)+IF(Setup!$I$15="No",0,AV261))</f>
        <v/>
      </c>
      <c r="AX261" s="192"/>
      <c r="AY261" s="192"/>
      <c r="AZ261" s="192"/>
      <c r="BA261" s="192"/>
      <c r="BB261" s="255" t="str">
        <f>IF(COUNTBLANK(AX261:BA261)=4,"",SUM(AX261:AZ261)+IF(Setup!$I$15="No",0,BA261))</f>
        <v/>
      </c>
      <c r="BC261" s="259" t="str">
        <f ca="1">IF('Demand background (hide)'!A252=Num_Modalities,"",SUM(Demand!I261))</f>
        <v/>
      </c>
      <c r="BD261" s="259" t="str">
        <f ca="1">IF(AND(A261&lt;=MaxRows,BE261&lt;&gt;"Yes"),'Demand background (hide)'!X252+IF(Setup!$I$15="Yes",'Demand background (hide)'!AJ252,0),"")</f>
        <v/>
      </c>
      <c r="BE261" s="209"/>
    </row>
    <row r="262" spans="1:57" x14ac:dyDescent="0.25">
      <c r="A262" t="str">
        <f t="shared" ca="1" si="12"/>
        <v/>
      </c>
      <c r="B262" s="264" t="str">
        <f t="shared" ca="1" si="13"/>
        <v xml:space="preserve"> </v>
      </c>
      <c r="C262" s="265" t="str">
        <f t="shared" ca="1" si="14"/>
        <v/>
      </c>
      <c r="D262" s="350" t="str">
        <f t="shared" ca="1" si="15"/>
        <v/>
      </c>
      <c r="E262" s="192"/>
      <c r="F262" s="192"/>
      <c r="G262" s="192"/>
      <c r="H262" s="192"/>
      <c r="I262" s="251" t="str">
        <f>IF(COUNTBLANK(E262:H262)=4,"",SUM(E262:G262)+IF(Setup!$I$15="No",0,H262))</f>
        <v/>
      </c>
      <c r="J262" s="192"/>
      <c r="K262" s="192"/>
      <c r="L262" s="192"/>
      <c r="M262" s="192"/>
      <c r="N262" s="255" t="str">
        <f>IF(COUNTBLANK(J262:M262)=4,"",SUM(J262:L262)+IF(Setup!$I$15="No",0,M262))</f>
        <v/>
      </c>
      <c r="O262" s="192"/>
      <c r="P262" s="192"/>
      <c r="Q262" s="192"/>
      <c r="R262" s="192"/>
      <c r="S262" s="255" t="str">
        <f>IF(COUNTBLANK(O262:R262)=4,"",SUM(O262:Q262)+IF(Setup!$I$15="No",0,R262))</f>
        <v/>
      </c>
      <c r="T262" s="192"/>
      <c r="U262" s="192"/>
      <c r="V262" s="192"/>
      <c r="W262" s="192"/>
      <c r="X262" s="255" t="str">
        <f>IF(COUNTBLANK(T262:W262)=4,"",SUM(T262:V262)+IF(Setup!$I$15="No",0,W262))</f>
        <v/>
      </c>
      <c r="Y262" s="192"/>
      <c r="Z262" s="192"/>
      <c r="AA262" s="192"/>
      <c r="AB262" s="192"/>
      <c r="AC262" s="255" t="str">
        <f>IF(COUNTBLANK(Y262:AB262)=4,"",SUM(Y262:AA262)+IF(Setup!$I$15="No",0,AB262))</f>
        <v/>
      </c>
      <c r="AD262" s="192"/>
      <c r="AE262" s="192"/>
      <c r="AF262" s="192"/>
      <c r="AG262" s="192"/>
      <c r="AH262" s="255" t="str">
        <f>IF(COUNTBLANK(AD262:AG262)=4,"",SUM(AD262:AF262)+IF(Setup!$I$15="No",0,AG262))</f>
        <v/>
      </c>
      <c r="AI262" s="192"/>
      <c r="AJ262" s="192"/>
      <c r="AK262" s="192"/>
      <c r="AL262" s="192"/>
      <c r="AM262" s="255" t="str">
        <f>IF(COUNTBLANK(AI262:AL262)=4,"",SUM(AI262:AK262)+IF(Setup!$I$15="No",0,AL262))</f>
        <v/>
      </c>
      <c r="AN262" s="192"/>
      <c r="AO262" s="192"/>
      <c r="AP262" s="192"/>
      <c r="AQ262" s="192"/>
      <c r="AR262" s="255" t="str">
        <f>IF(COUNTBLANK(AN262:AQ262)=4,"",SUM(AN262:AP262)+IF(Setup!$I$15="No",0,AQ262))</f>
        <v/>
      </c>
      <c r="AS262" s="192"/>
      <c r="AT262" s="192"/>
      <c r="AU262" s="192"/>
      <c r="AV262" s="192"/>
      <c r="AW262" s="255" t="str">
        <f>IF(COUNTBLANK(AS262:AV262)=4,"",SUM(AS262:AU262)+IF(Setup!$I$15="No",0,AV262))</f>
        <v/>
      </c>
      <c r="AX262" s="192"/>
      <c r="AY262" s="192"/>
      <c r="AZ262" s="192"/>
      <c r="BA262" s="192"/>
      <c r="BB262" s="255" t="str">
        <f>IF(COUNTBLANK(AX262:BA262)=4,"",SUM(AX262:AZ262)+IF(Setup!$I$15="No",0,BA262))</f>
        <v/>
      </c>
      <c r="BC262" s="259" t="str">
        <f ca="1">IF('Demand background (hide)'!A253=Num_Modalities,"",SUM(Demand!I262))</f>
        <v/>
      </c>
      <c r="BD262" s="259" t="str">
        <f ca="1">IF(AND(A262&lt;=MaxRows,BE262&lt;&gt;"Yes"),'Demand background (hide)'!X253+IF(Setup!$I$15="Yes",'Demand background (hide)'!AJ253,0),"")</f>
        <v/>
      </c>
      <c r="BE262" s="209"/>
    </row>
    <row r="263" spans="1:57" x14ac:dyDescent="0.25">
      <c r="A263" t="str">
        <f t="shared" ca="1" si="12"/>
        <v/>
      </c>
      <c r="B263" s="264" t="str">
        <f t="shared" ca="1" si="13"/>
        <v xml:space="preserve"> </v>
      </c>
      <c r="C263" s="265" t="str">
        <f t="shared" ca="1" si="14"/>
        <v/>
      </c>
      <c r="D263" s="350" t="str">
        <f t="shared" ca="1" si="15"/>
        <v/>
      </c>
      <c r="E263" s="192"/>
      <c r="F263" s="192"/>
      <c r="G263" s="192"/>
      <c r="H263" s="192"/>
      <c r="I263" s="251" t="str">
        <f>IF(COUNTBLANK(E263:H263)=4,"",SUM(E263:G263)+IF(Setup!$I$15="No",0,H263))</f>
        <v/>
      </c>
      <c r="J263" s="192"/>
      <c r="K263" s="192"/>
      <c r="L263" s="192"/>
      <c r="M263" s="192"/>
      <c r="N263" s="255" t="str">
        <f>IF(COUNTBLANK(J263:M263)=4,"",SUM(J263:L263)+IF(Setup!$I$15="No",0,M263))</f>
        <v/>
      </c>
      <c r="O263" s="192"/>
      <c r="P263" s="192"/>
      <c r="Q263" s="192"/>
      <c r="R263" s="192"/>
      <c r="S263" s="255" t="str">
        <f>IF(COUNTBLANK(O263:R263)=4,"",SUM(O263:Q263)+IF(Setup!$I$15="No",0,R263))</f>
        <v/>
      </c>
      <c r="T263" s="192"/>
      <c r="U263" s="192"/>
      <c r="V263" s="192"/>
      <c r="W263" s="192"/>
      <c r="X263" s="255" t="str">
        <f>IF(COUNTBLANK(T263:W263)=4,"",SUM(T263:V263)+IF(Setup!$I$15="No",0,W263))</f>
        <v/>
      </c>
      <c r="Y263" s="192"/>
      <c r="Z263" s="192"/>
      <c r="AA263" s="192"/>
      <c r="AB263" s="192"/>
      <c r="AC263" s="255" t="str">
        <f>IF(COUNTBLANK(Y263:AB263)=4,"",SUM(Y263:AA263)+IF(Setup!$I$15="No",0,AB263))</f>
        <v/>
      </c>
      <c r="AD263" s="192"/>
      <c r="AE263" s="192"/>
      <c r="AF263" s="192"/>
      <c r="AG263" s="192"/>
      <c r="AH263" s="255" t="str">
        <f>IF(COUNTBLANK(AD263:AG263)=4,"",SUM(AD263:AF263)+IF(Setup!$I$15="No",0,AG263))</f>
        <v/>
      </c>
      <c r="AI263" s="192"/>
      <c r="AJ263" s="192"/>
      <c r="AK263" s="192"/>
      <c r="AL263" s="192"/>
      <c r="AM263" s="255" t="str">
        <f>IF(COUNTBLANK(AI263:AL263)=4,"",SUM(AI263:AK263)+IF(Setup!$I$15="No",0,AL263))</f>
        <v/>
      </c>
      <c r="AN263" s="192"/>
      <c r="AO263" s="192"/>
      <c r="AP263" s="192"/>
      <c r="AQ263" s="192"/>
      <c r="AR263" s="255" t="str">
        <f>IF(COUNTBLANK(AN263:AQ263)=4,"",SUM(AN263:AP263)+IF(Setup!$I$15="No",0,AQ263))</f>
        <v/>
      </c>
      <c r="AS263" s="192"/>
      <c r="AT263" s="192"/>
      <c r="AU263" s="192"/>
      <c r="AV263" s="192"/>
      <c r="AW263" s="255" t="str">
        <f>IF(COUNTBLANK(AS263:AV263)=4,"",SUM(AS263:AU263)+IF(Setup!$I$15="No",0,AV263))</f>
        <v/>
      </c>
      <c r="AX263" s="192"/>
      <c r="AY263" s="192"/>
      <c r="AZ263" s="192"/>
      <c r="BA263" s="192"/>
      <c r="BB263" s="255" t="str">
        <f>IF(COUNTBLANK(AX263:BA263)=4,"",SUM(AX263:AZ263)+IF(Setup!$I$15="No",0,BA263))</f>
        <v/>
      </c>
      <c r="BC263" s="259" t="str">
        <f ca="1">IF('Demand background (hide)'!A254=Num_Modalities,"",SUM(Demand!I263))</f>
        <v/>
      </c>
      <c r="BD263" s="259" t="str">
        <f ca="1">IF(AND(A263&lt;=MaxRows,BE263&lt;&gt;"Yes"),'Demand background (hide)'!X254+IF(Setup!$I$15="Yes",'Demand background (hide)'!AJ254,0),"")</f>
        <v/>
      </c>
      <c r="BE263" s="209"/>
    </row>
    <row r="264" spans="1:57" x14ac:dyDescent="0.25">
      <c r="A264" t="str">
        <f t="shared" ca="1" si="12"/>
        <v/>
      </c>
      <c r="B264" s="264" t="str">
        <f t="shared" ca="1" si="13"/>
        <v xml:space="preserve"> </v>
      </c>
      <c r="C264" s="265" t="str">
        <f t="shared" ca="1" si="14"/>
        <v/>
      </c>
      <c r="D264" s="350" t="str">
        <f t="shared" ca="1" si="15"/>
        <v/>
      </c>
      <c r="E264" s="192"/>
      <c r="F264" s="192"/>
      <c r="G264" s="192"/>
      <c r="H264" s="192"/>
      <c r="I264" s="251" t="str">
        <f>IF(COUNTBLANK(E264:H264)=4,"",SUM(E264:G264)+IF(Setup!$I$15="No",0,H264))</f>
        <v/>
      </c>
      <c r="J264" s="192"/>
      <c r="K264" s="192"/>
      <c r="L264" s="192"/>
      <c r="M264" s="192"/>
      <c r="N264" s="255" t="str">
        <f>IF(COUNTBLANK(J264:M264)=4,"",SUM(J264:L264)+IF(Setup!$I$15="No",0,M264))</f>
        <v/>
      </c>
      <c r="O264" s="192"/>
      <c r="P264" s="192"/>
      <c r="Q264" s="192"/>
      <c r="R264" s="192"/>
      <c r="S264" s="255" t="str">
        <f>IF(COUNTBLANK(O264:R264)=4,"",SUM(O264:Q264)+IF(Setup!$I$15="No",0,R264))</f>
        <v/>
      </c>
      <c r="T264" s="192"/>
      <c r="U264" s="192"/>
      <c r="V264" s="192"/>
      <c r="W264" s="192"/>
      <c r="X264" s="255" t="str">
        <f>IF(COUNTBLANK(T264:W264)=4,"",SUM(T264:V264)+IF(Setup!$I$15="No",0,W264))</f>
        <v/>
      </c>
      <c r="Y264" s="192"/>
      <c r="Z264" s="192"/>
      <c r="AA264" s="192"/>
      <c r="AB264" s="192"/>
      <c r="AC264" s="255" t="str">
        <f>IF(COUNTBLANK(Y264:AB264)=4,"",SUM(Y264:AA264)+IF(Setup!$I$15="No",0,AB264))</f>
        <v/>
      </c>
      <c r="AD264" s="192"/>
      <c r="AE264" s="192"/>
      <c r="AF264" s="192"/>
      <c r="AG264" s="192"/>
      <c r="AH264" s="255" t="str">
        <f>IF(COUNTBLANK(AD264:AG264)=4,"",SUM(AD264:AF264)+IF(Setup!$I$15="No",0,AG264))</f>
        <v/>
      </c>
      <c r="AI264" s="192"/>
      <c r="AJ264" s="192"/>
      <c r="AK264" s="192"/>
      <c r="AL264" s="192"/>
      <c r="AM264" s="255" t="str">
        <f>IF(COUNTBLANK(AI264:AL264)=4,"",SUM(AI264:AK264)+IF(Setup!$I$15="No",0,AL264))</f>
        <v/>
      </c>
      <c r="AN264" s="192"/>
      <c r="AO264" s="192"/>
      <c r="AP264" s="192"/>
      <c r="AQ264" s="192"/>
      <c r="AR264" s="255" t="str">
        <f>IF(COUNTBLANK(AN264:AQ264)=4,"",SUM(AN264:AP264)+IF(Setup!$I$15="No",0,AQ264))</f>
        <v/>
      </c>
      <c r="AS264" s="192"/>
      <c r="AT264" s="192"/>
      <c r="AU264" s="192"/>
      <c r="AV264" s="192"/>
      <c r="AW264" s="255" t="str">
        <f>IF(COUNTBLANK(AS264:AV264)=4,"",SUM(AS264:AU264)+IF(Setup!$I$15="No",0,AV264))</f>
        <v/>
      </c>
      <c r="AX264" s="192"/>
      <c r="AY264" s="192"/>
      <c r="AZ264" s="192"/>
      <c r="BA264" s="192"/>
      <c r="BB264" s="255" t="str">
        <f>IF(COUNTBLANK(AX264:BA264)=4,"",SUM(AX264:AZ264)+IF(Setup!$I$15="No",0,BA264))</f>
        <v/>
      </c>
      <c r="BC264" s="259" t="str">
        <f ca="1">IF('Demand background (hide)'!A255=Num_Modalities,"",SUM(Demand!I264))</f>
        <v/>
      </c>
      <c r="BD264" s="259" t="str">
        <f ca="1">IF(AND(A264&lt;=MaxRows,BE264&lt;&gt;"Yes"),'Demand background (hide)'!X255+IF(Setup!$I$15="Yes",'Demand background (hide)'!AJ255,0),"")</f>
        <v/>
      </c>
      <c r="BE264" s="209"/>
    </row>
    <row r="265" spans="1:57" x14ac:dyDescent="0.25">
      <c r="A265" t="str">
        <f t="shared" ca="1" si="12"/>
        <v/>
      </c>
      <c r="B265" s="264" t="str">
        <f t="shared" ca="1" si="13"/>
        <v xml:space="preserve"> </v>
      </c>
      <c r="C265" s="265" t="str">
        <f t="shared" ca="1" si="14"/>
        <v/>
      </c>
      <c r="D265" s="350" t="str">
        <f t="shared" ca="1" si="15"/>
        <v/>
      </c>
      <c r="E265" s="192"/>
      <c r="F265" s="192"/>
      <c r="G265" s="192"/>
      <c r="H265" s="192"/>
      <c r="I265" s="251" t="str">
        <f>IF(COUNTBLANK(E265:H265)=4,"",SUM(E265:G265)+IF(Setup!$I$15="No",0,H265))</f>
        <v/>
      </c>
      <c r="J265" s="192"/>
      <c r="K265" s="192"/>
      <c r="L265" s="192"/>
      <c r="M265" s="192"/>
      <c r="N265" s="255" t="str">
        <f>IF(COUNTBLANK(J265:M265)=4,"",SUM(J265:L265)+IF(Setup!$I$15="No",0,M265))</f>
        <v/>
      </c>
      <c r="O265" s="192"/>
      <c r="P265" s="192"/>
      <c r="Q265" s="192"/>
      <c r="R265" s="192"/>
      <c r="S265" s="255" t="str">
        <f>IF(COUNTBLANK(O265:R265)=4,"",SUM(O265:Q265)+IF(Setup!$I$15="No",0,R265))</f>
        <v/>
      </c>
      <c r="T265" s="192"/>
      <c r="U265" s="192"/>
      <c r="V265" s="192"/>
      <c r="W265" s="192"/>
      <c r="X265" s="255" t="str">
        <f>IF(COUNTBLANK(T265:W265)=4,"",SUM(T265:V265)+IF(Setup!$I$15="No",0,W265))</f>
        <v/>
      </c>
      <c r="Y265" s="192"/>
      <c r="Z265" s="192"/>
      <c r="AA265" s="192"/>
      <c r="AB265" s="192"/>
      <c r="AC265" s="255" t="str">
        <f>IF(COUNTBLANK(Y265:AB265)=4,"",SUM(Y265:AA265)+IF(Setup!$I$15="No",0,AB265))</f>
        <v/>
      </c>
      <c r="AD265" s="192"/>
      <c r="AE265" s="192"/>
      <c r="AF265" s="192"/>
      <c r="AG265" s="192"/>
      <c r="AH265" s="255" t="str">
        <f>IF(COUNTBLANK(AD265:AG265)=4,"",SUM(AD265:AF265)+IF(Setup!$I$15="No",0,AG265))</f>
        <v/>
      </c>
      <c r="AI265" s="192"/>
      <c r="AJ265" s="192"/>
      <c r="AK265" s="192"/>
      <c r="AL265" s="192"/>
      <c r="AM265" s="255" t="str">
        <f>IF(COUNTBLANK(AI265:AL265)=4,"",SUM(AI265:AK265)+IF(Setup!$I$15="No",0,AL265))</f>
        <v/>
      </c>
      <c r="AN265" s="192"/>
      <c r="AO265" s="192"/>
      <c r="AP265" s="192"/>
      <c r="AQ265" s="192"/>
      <c r="AR265" s="255" t="str">
        <f>IF(COUNTBLANK(AN265:AQ265)=4,"",SUM(AN265:AP265)+IF(Setup!$I$15="No",0,AQ265))</f>
        <v/>
      </c>
      <c r="AS265" s="192"/>
      <c r="AT265" s="192"/>
      <c r="AU265" s="192"/>
      <c r="AV265" s="192"/>
      <c r="AW265" s="255" t="str">
        <f>IF(COUNTBLANK(AS265:AV265)=4,"",SUM(AS265:AU265)+IF(Setup!$I$15="No",0,AV265))</f>
        <v/>
      </c>
      <c r="AX265" s="192"/>
      <c r="AY265" s="192"/>
      <c r="AZ265" s="192"/>
      <c r="BA265" s="192"/>
      <c r="BB265" s="255" t="str">
        <f>IF(COUNTBLANK(AX265:BA265)=4,"",SUM(AX265:AZ265)+IF(Setup!$I$15="No",0,BA265))</f>
        <v/>
      </c>
      <c r="BC265" s="259" t="str">
        <f ca="1">IF('Demand background (hide)'!A256=Num_Modalities,"",SUM(Demand!I265))</f>
        <v/>
      </c>
      <c r="BD265" s="259" t="str">
        <f ca="1">IF(AND(A265&lt;=MaxRows,BE265&lt;&gt;"Yes"),'Demand background (hide)'!X256+IF(Setup!$I$15="Yes",'Demand background (hide)'!AJ256,0),"")</f>
        <v/>
      </c>
      <c r="BE265" s="209"/>
    </row>
    <row r="266" spans="1:57" x14ac:dyDescent="0.25">
      <c r="A266" t="str">
        <f t="shared" ca="1" si="12"/>
        <v/>
      </c>
      <c r="B266" s="264" t="str">
        <f t="shared" ca="1" si="13"/>
        <v xml:space="preserve"> </v>
      </c>
      <c r="C266" s="265" t="str">
        <f t="shared" ca="1" si="14"/>
        <v/>
      </c>
      <c r="D266" s="350" t="str">
        <f t="shared" ca="1" si="15"/>
        <v/>
      </c>
      <c r="E266" s="192"/>
      <c r="F266" s="192"/>
      <c r="G266" s="192"/>
      <c r="H266" s="192"/>
      <c r="I266" s="251" t="str">
        <f>IF(COUNTBLANK(E266:H266)=4,"",SUM(E266:G266)+IF(Setup!$I$15="No",0,H266))</f>
        <v/>
      </c>
      <c r="J266" s="192"/>
      <c r="K266" s="192"/>
      <c r="L266" s="192"/>
      <c r="M266" s="192"/>
      <c r="N266" s="255" t="str">
        <f>IF(COUNTBLANK(J266:M266)=4,"",SUM(J266:L266)+IF(Setup!$I$15="No",0,M266))</f>
        <v/>
      </c>
      <c r="O266" s="192"/>
      <c r="P266" s="192"/>
      <c r="Q266" s="192"/>
      <c r="R266" s="192"/>
      <c r="S266" s="255" t="str">
        <f>IF(COUNTBLANK(O266:R266)=4,"",SUM(O266:Q266)+IF(Setup!$I$15="No",0,R266))</f>
        <v/>
      </c>
      <c r="T266" s="192"/>
      <c r="U266" s="192"/>
      <c r="V266" s="192"/>
      <c r="W266" s="192"/>
      <c r="X266" s="255" t="str">
        <f>IF(COUNTBLANK(T266:W266)=4,"",SUM(T266:V266)+IF(Setup!$I$15="No",0,W266))</f>
        <v/>
      </c>
      <c r="Y266" s="192"/>
      <c r="Z266" s="192"/>
      <c r="AA266" s="192"/>
      <c r="AB266" s="192"/>
      <c r="AC266" s="255" t="str">
        <f>IF(COUNTBLANK(Y266:AB266)=4,"",SUM(Y266:AA266)+IF(Setup!$I$15="No",0,AB266))</f>
        <v/>
      </c>
      <c r="AD266" s="192"/>
      <c r="AE266" s="192"/>
      <c r="AF266" s="192"/>
      <c r="AG266" s="192"/>
      <c r="AH266" s="255" t="str">
        <f>IF(COUNTBLANK(AD266:AG266)=4,"",SUM(AD266:AF266)+IF(Setup!$I$15="No",0,AG266))</f>
        <v/>
      </c>
      <c r="AI266" s="192"/>
      <c r="AJ266" s="192"/>
      <c r="AK266" s="192"/>
      <c r="AL266" s="192"/>
      <c r="AM266" s="255" t="str">
        <f>IF(COUNTBLANK(AI266:AL266)=4,"",SUM(AI266:AK266)+IF(Setup!$I$15="No",0,AL266))</f>
        <v/>
      </c>
      <c r="AN266" s="192"/>
      <c r="AO266" s="192"/>
      <c r="AP266" s="192"/>
      <c r="AQ266" s="192"/>
      <c r="AR266" s="255" t="str">
        <f>IF(COUNTBLANK(AN266:AQ266)=4,"",SUM(AN266:AP266)+IF(Setup!$I$15="No",0,AQ266))</f>
        <v/>
      </c>
      <c r="AS266" s="192"/>
      <c r="AT266" s="192"/>
      <c r="AU266" s="192"/>
      <c r="AV266" s="192"/>
      <c r="AW266" s="255" t="str">
        <f>IF(COUNTBLANK(AS266:AV266)=4,"",SUM(AS266:AU266)+IF(Setup!$I$15="No",0,AV266))</f>
        <v/>
      </c>
      <c r="AX266" s="192"/>
      <c r="AY266" s="192"/>
      <c r="AZ266" s="192"/>
      <c r="BA266" s="192"/>
      <c r="BB266" s="255" t="str">
        <f>IF(COUNTBLANK(AX266:BA266)=4,"",SUM(AX266:AZ266)+IF(Setup!$I$15="No",0,BA266))</f>
        <v/>
      </c>
      <c r="BC266" s="259" t="str">
        <f ca="1">IF('Demand background (hide)'!A257=Num_Modalities,"",SUM(Demand!I266))</f>
        <v/>
      </c>
      <c r="BD266" s="259" t="str">
        <f ca="1">IF(AND(A266&lt;=MaxRows,BE266&lt;&gt;"Yes"),'Demand background (hide)'!X257+IF(Setup!$I$15="Yes",'Demand background (hide)'!AJ257,0),"")</f>
        <v/>
      </c>
      <c r="BE266" s="209"/>
    </row>
    <row r="267" spans="1:57" x14ac:dyDescent="0.25">
      <c r="A267" t="str">
        <f t="shared" ca="1" si="12"/>
        <v/>
      </c>
      <c r="B267" s="264" t="str">
        <f t="shared" ca="1" si="13"/>
        <v xml:space="preserve"> </v>
      </c>
      <c r="C267" s="265" t="str">
        <f t="shared" ca="1" si="14"/>
        <v/>
      </c>
      <c r="D267" s="350" t="str">
        <f t="shared" ca="1" si="15"/>
        <v/>
      </c>
      <c r="E267" s="192"/>
      <c r="F267" s="192"/>
      <c r="G267" s="192"/>
      <c r="H267" s="192"/>
      <c r="I267" s="251" t="str">
        <f>IF(COUNTBLANK(E267:H267)=4,"",SUM(E267:G267)+IF(Setup!$I$15="No",0,H267))</f>
        <v/>
      </c>
      <c r="J267" s="192"/>
      <c r="K267" s="192"/>
      <c r="L267" s="192"/>
      <c r="M267" s="192"/>
      <c r="N267" s="255" t="str">
        <f>IF(COUNTBLANK(J267:M267)=4,"",SUM(J267:L267)+IF(Setup!$I$15="No",0,M267))</f>
        <v/>
      </c>
      <c r="O267" s="192"/>
      <c r="P267" s="192"/>
      <c r="Q267" s="192"/>
      <c r="R267" s="192"/>
      <c r="S267" s="255" t="str">
        <f>IF(COUNTBLANK(O267:R267)=4,"",SUM(O267:Q267)+IF(Setup!$I$15="No",0,R267))</f>
        <v/>
      </c>
      <c r="T267" s="192"/>
      <c r="U267" s="192"/>
      <c r="V267" s="192"/>
      <c r="W267" s="192"/>
      <c r="X267" s="255" t="str">
        <f>IF(COUNTBLANK(T267:W267)=4,"",SUM(T267:V267)+IF(Setup!$I$15="No",0,W267))</f>
        <v/>
      </c>
      <c r="Y267" s="192"/>
      <c r="Z267" s="192"/>
      <c r="AA267" s="192"/>
      <c r="AB267" s="192"/>
      <c r="AC267" s="255" t="str">
        <f>IF(COUNTBLANK(Y267:AB267)=4,"",SUM(Y267:AA267)+IF(Setup!$I$15="No",0,AB267))</f>
        <v/>
      </c>
      <c r="AD267" s="192"/>
      <c r="AE267" s="192"/>
      <c r="AF267" s="192"/>
      <c r="AG267" s="192"/>
      <c r="AH267" s="255" t="str">
        <f>IF(COUNTBLANK(AD267:AG267)=4,"",SUM(AD267:AF267)+IF(Setup!$I$15="No",0,AG267))</f>
        <v/>
      </c>
      <c r="AI267" s="192"/>
      <c r="AJ267" s="192"/>
      <c r="AK267" s="192"/>
      <c r="AL267" s="192"/>
      <c r="AM267" s="255" t="str">
        <f>IF(COUNTBLANK(AI267:AL267)=4,"",SUM(AI267:AK267)+IF(Setup!$I$15="No",0,AL267))</f>
        <v/>
      </c>
      <c r="AN267" s="192"/>
      <c r="AO267" s="192"/>
      <c r="AP267" s="192"/>
      <c r="AQ267" s="192"/>
      <c r="AR267" s="255" t="str">
        <f>IF(COUNTBLANK(AN267:AQ267)=4,"",SUM(AN267:AP267)+IF(Setup!$I$15="No",0,AQ267))</f>
        <v/>
      </c>
      <c r="AS267" s="192"/>
      <c r="AT267" s="192"/>
      <c r="AU267" s="192"/>
      <c r="AV267" s="192"/>
      <c r="AW267" s="255" t="str">
        <f>IF(COUNTBLANK(AS267:AV267)=4,"",SUM(AS267:AU267)+IF(Setup!$I$15="No",0,AV267))</f>
        <v/>
      </c>
      <c r="AX267" s="192"/>
      <c r="AY267" s="192"/>
      <c r="AZ267" s="192"/>
      <c r="BA267" s="192"/>
      <c r="BB267" s="255" t="str">
        <f>IF(COUNTBLANK(AX267:BA267)=4,"",SUM(AX267:AZ267)+IF(Setup!$I$15="No",0,BA267))</f>
        <v/>
      </c>
      <c r="BC267" s="259" t="str">
        <f ca="1">IF('Demand background (hide)'!A258=Num_Modalities,"",SUM(Demand!I267))</f>
        <v/>
      </c>
      <c r="BD267" s="259" t="str">
        <f ca="1">IF(AND(A267&lt;=MaxRows,BE267&lt;&gt;"Yes"),'Demand background (hide)'!X258+IF(Setup!$I$15="Yes",'Demand background (hide)'!AJ258,0),"")</f>
        <v/>
      </c>
      <c r="BE267" s="209"/>
    </row>
    <row r="268" spans="1:57" x14ac:dyDescent="0.25">
      <c r="A268" t="str">
        <f t="shared" ca="1" si="12"/>
        <v/>
      </c>
      <c r="B268" s="264" t="str">
        <f t="shared" ca="1" si="13"/>
        <v xml:space="preserve"> </v>
      </c>
      <c r="C268" s="265" t="str">
        <f t="shared" ca="1" si="14"/>
        <v/>
      </c>
      <c r="D268" s="350" t="str">
        <f t="shared" ca="1" si="15"/>
        <v/>
      </c>
      <c r="E268" s="192"/>
      <c r="F268" s="192"/>
      <c r="G268" s="192"/>
      <c r="H268" s="192"/>
      <c r="I268" s="251" t="str">
        <f>IF(COUNTBLANK(E268:H268)=4,"",SUM(E268:G268)+IF(Setup!$I$15="No",0,H268))</f>
        <v/>
      </c>
      <c r="J268" s="192"/>
      <c r="K268" s="192"/>
      <c r="L268" s="192"/>
      <c r="M268" s="192"/>
      <c r="N268" s="255" t="str">
        <f>IF(COUNTBLANK(J268:M268)=4,"",SUM(J268:L268)+IF(Setup!$I$15="No",0,M268))</f>
        <v/>
      </c>
      <c r="O268" s="192"/>
      <c r="P268" s="192"/>
      <c r="Q268" s="192"/>
      <c r="R268" s="192"/>
      <c r="S268" s="255" t="str">
        <f>IF(COUNTBLANK(O268:R268)=4,"",SUM(O268:Q268)+IF(Setup!$I$15="No",0,R268))</f>
        <v/>
      </c>
      <c r="T268" s="192"/>
      <c r="U268" s="192"/>
      <c r="V268" s="192"/>
      <c r="W268" s="192"/>
      <c r="X268" s="255" t="str">
        <f>IF(COUNTBLANK(T268:W268)=4,"",SUM(T268:V268)+IF(Setup!$I$15="No",0,W268))</f>
        <v/>
      </c>
      <c r="Y268" s="192"/>
      <c r="Z268" s="192"/>
      <c r="AA268" s="192"/>
      <c r="AB268" s="192"/>
      <c r="AC268" s="255" t="str">
        <f>IF(COUNTBLANK(Y268:AB268)=4,"",SUM(Y268:AA268)+IF(Setup!$I$15="No",0,AB268))</f>
        <v/>
      </c>
      <c r="AD268" s="192"/>
      <c r="AE268" s="192"/>
      <c r="AF268" s="192"/>
      <c r="AG268" s="192"/>
      <c r="AH268" s="255" t="str">
        <f>IF(COUNTBLANK(AD268:AG268)=4,"",SUM(AD268:AF268)+IF(Setup!$I$15="No",0,AG268))</f>
        <v/>
      </c>
      <c r="AI268" s="192"/>
      <c r="AJ268" s="192"/>
      <c r="AK268" s="192"/>
      <c r="AL268" s="192"/>
      <c r="AM268" s="255" t="str">
        <f>IF(COUNTBLANK(AI268:AL268)=4,"",SUM(AI268:AK268)+IF(Setup!$I$15="No",0,AL268))</f>
        <v/>
      </c>
      <c r="AN268" s="192"/>
      <c r="AO268" s="192"/>
      <c r="AP268" s="192"/>
      <c r="AQ268" s="192"/>
      <c r="AR268" s="255" t="str">
        <f>IF(COUNTBLANK(AN268:AQ268)=4,"",SUM(AN268:AP268)+IF(Setup!$I$15="No",0,AQ268))</f>
        <v/>
      </c>
      <c r="AS268" s="192"/>
      <c r="AT268" s="192"/>
      <c r="AU268" s="192"/>
      <c r="AV268" s="192"/>
      <c r="AW268" s="255" t="str">
        <f>IF(COUNTBLANK(AS268:AV268)=4,"",SUM(AS268:AU268)+IF(Setup!$I$15="No",0,AV268))</f>
        <v/>
      </c>
      <c r="AX268" s="192"/>
      <c r="AY268" s="192"/>
      <c r="AZ268" s="192"/>
      <c r="BA268" s="192"/>
      <c r="BB268" s="255" t="str">
        <f>IF(COUNTBLANK(AX268:BA268)=4,"",SUM(AX268:AZ268)+IF(Setup!$I$15="No",0,BA268))</f>
        <v/>
      </c>
      <c r="BC268" s="259" t="str">
        <f ca="1">IF('Demand background (hide)'!A259=Num_Modalities,"",SUM(Demand!I268))</f>
        <v/>
      </c>
      <c r="BD268" s="259" t="str">
        <f ca="1">IF(AND(A268&lt;=MaxRows,BE268&lt;&gt;"Yes"),'Demand background (hide)'!X259+IF(Setup!$I$15="Yes",'Demand background (hide)'!AJ259,0),"")</f>
        <v/>
      </c>
      <c r="BE268" s="209"/>
    </row>
    <row r="269" spans="1:57" x14ac:dyDescent="0.25">
      <c r="A269" t="str">
        <f t="shared" ref="A269:A272" ca="1" si="16">IF(BC269&lt;&gt;"",ROW(A257),"")</f>
        <v/>
      </c>
      <c r="B269" s="264" t="str">
        <f t="shared" ca="1" si="13"/>
        <v xml:space="preserve"> </v>
      </c>
      <c r="C269" s="265" t="str">
        <f t="shared" ca="1" si="14"/>
        <v/>
      </c>
      <c r="D269" s="350" t="str">
        <f t="shared" ca="1" si="15"/>
        <v/>
      </c>
      <c r="E269" s="192"/>
      <c r="F269" s="192"/>
      <c r="G269" s="192"/>
      <c r="H269" s="192"/>
      <c r="I269" s="251" t="str">
        <f>IF(COUNTBLANK(E269:H269)=4,"",SUM(E269:G269)+IF(Setup!$I$15="No",0,H269))</f>
        <v/>
      </c>
      <c r="J269" s="192"/>
      <c r="K269" s="192"/>
      <c r="L269" s="192"/>
      <c r="M269" s="192"/>
      <c r="N269" s="255" t="str">
        <f>IF(COUNTBLANK(J269:M269)=4,"",SUM(J269:L269)+IF(Setup!$I$15="No",0,M269))</f>
        <v/>
      </c>
      <c r="O269" s="192"/>
      <c r="P269" s="192"/>
      <c r="Q269" s="192"/>
      <c r="R269" s="192"/>
      <c r="S269" s="255" t="str">
        <f>IF(COUNTBLANK(O269:R269)=4,"",SUM(O269:Q269)+IF(Setup!$I$15="No",0,R269))</f>
        <v/>
      </c>
      <c r="T269" s="192"/>
      <c r="U269" s="192"/>
      <c r="V269" s="192"/>
      <c r="W269" s="192"/>
      <c r="X269" s="255" t="str">
        <f>IF(COUNTBLANK(T269:W269)=4,"",SUM(T269:V269)+IF(Setup!$I$15="No",0,W269))</f>
        <v/>
      </c>
      <c r="Y269" s="192"/>
      <c r="Z269" s="192"/>
      <c r="AA269" s="192"/>
      <c r="AB269" s="192"/>
      <c r="AC269" s="255" t="str">
        <f>IF(COUNTBLANK(Y269:AB269)=4,"",SUM(Y269:AA269)+IF(Setup!$I$15="No",0,AB269))</f>
        <v/>
      </c>
      <c r="AD269" s="192"/>
      <c r="AE269" s="192"/>
      <c r="AF269" s="192"/>
      <c r="AG269" s="192"/>
      <c r="AH269" s="255" t="str">
        <f>IF(COUNTBLANK(AD269:AG269)=4,"",SUM(AD269:AF269)+IF(Setup!$I$15="No",0,AG269))</f>
        <v/>
      </c>
      <c r="AI269" s="192"/>
      <c r="AJ269" s="192"/>
      <c r="AK269" s="192"/>
      <c r="AL269" s="192"/>
      <c r="AM269" s="255" t="str">
        <f>IF(COUNTBLANK(AI269:AL269)=4,"",SUM(AI269:AK269)+IF(Setup!$I$15="No",0,AL269))</f>
        <v/>
      </c>
      <c r="AN269" s="192"/>
      <c r="AO269" s="192"/>
      <c r="AP269" s="192"/>
      <c r="AQ269" s="192"/>
      <c r="AR269" s="255" t="str">
        <f>IF(COUNTBLANK(AN269:AQ269)=4,"",SUM(AN269:AP269)+IF(Setup!$I$15="No",0,AQ269))</f>
        <v/>
      </c>
      <c r="AS269" s="192"/>
      <c r="AT269" s="192"/>
      <c r="AU269" s="192"/>
      <c r="AV269" s="192"/>
      <c r="AW269" s="255" t="str">
        <f>IF(COUNTBLANK(AS269:AV269)=4,"",SUM(AS269:AU269)+IF(Setup!$I$15="No",0,AV269))</f>
        <v/>
      </c>
      <c r="AX269" s="192"/>
      <c r="AY269" s="192"/>
      <c r="AZ269" s="192"/>
      <c r="BA269" s="192"/>
      <c r="BB269" s="255" t="str">
        <f>IF(COUNTBLANK(AX269:BA269)=4,"",SUM(AX269:AZ269)+IF(Setup!$I$15="No",0,BA269))</f>
        <v/>
      </c>
      <c r="BC269" s="259" t="str">
        <f ca="1">IF('Demand background (hide)'!A260=Num_Modalities,"",SUM(Demand!I269))</f>
        <v/>
      </c>
      <c r="BD269" s="259" t="str">
        <f ca="1">IF(AND(A269&lt;=MaxRows,BE269&lt;&gt;"Yes"),'Demand background (hide)'!X260+IF(Setup!$I$15="Yes",'Demand background (hide)'!AJ260,0),"")</f>
        <v/>
      </c>
      <c r="BE269" s="209"/>
    </row>
    <row r="270" spans="1:57" x14ac:dyDescent="0.25">
      <c r="A270" t="str">
        <f t="shared" ca="1" si="16"/>
        <v/>
      </c>
      <c r="B270" s="264" t="str">
        <f t="shared" ref="B270:B272" ca="1" si="17">IF(A270&lt;=MaxRows,IF($C$6&lt;&gt;"",IF(YEAR(D270)&lt;&gt;YEAR(D269),YEAR(D270)," "),IF(C270&lt;&gt;1,"",OFFSET(B270,-C269,0,1,1)+1))," ")</f>
        <v xml:space="preserve"> </v>
      </c>
      <c r="C270" s="265" t="str">
        <f t="shared" ref="C270:C272" ca="1" si="18">IF(ROW(A258)&lt;=MaxRows,IF($C$6&lt;&gt;"",WEEKNUM(D270,21),IF(MOD((C269+1),52)&gt;0,MOD((C269+1),52),52)),"")</f>
        <v/>
      </c>
      <c r="D270" s="350" t="str">
        <f t="shared" ref="D270:D272" ca="1" si="19">IF(OR(AND(ROW(A258)&lt;=MaxRows,$C$6&lt;&gt;""),AND(ROW(A270)&lt;=64,LEFT($C$8,1)&lt;&gt;"H")),D269+7,"")</f>
        <v/>
      </c>
      <c r="E270" s="192"/>
      <c r="F270" s="192"/>
      <c r="G270" s="192"/>
      <c r="H270" s="192"/>
      <c r="I270" s="251" t="str">
        <f>IF(COUNTBLANK(E270:H270)=4,"",SUM(E270:G270)+IF(Setup!$I$15="No",0,H270))</f>
        <v/>
      </c>
      <c r="J270" s="192"/>
      <c r="K270" s="192"/>
      <c r="L270" s="192"/>
      <c r="M270" s="192"/>
      <c r="N270" s="255" t="str">
        <f>IF(COUNTBLANK(J270:M270)=4,"",SUM(J270:L270)+IF(Setup!$I$15="No",0,M270))</f>
        <v/>
      </c>
      <c r="O270" s="192"/>
      <c r="P270" s="192"/>
      <c r="Q270" s="192"/>
      <c r="R270" s="192"/>
      <c r="S270" s="255" t="str">
        <f>IF(COUNTBLANK(O270:R270)=4,"",SUM(O270:Q270)+IF(Setup!$I$15="No",0,R270))</f>
        <v/>
      </c>
      <c r="T270" s="192"/>
      <c r="U270" s="192"/>
      <c r="V270" s="192"/>
      <c r="W270" s="192"/>
      <c r="X270" s="255" t="str">
        <f>IF(COUNTBLANK(T270:W270)=4,"",SUM(T270:V270)+IF(Setup!$I$15="No",0,W270))</f>
        <v/>
      </c>
      <c r="Y270" s="192"/>
      <c r="Z270" s="192"/>
      <c r="AA270" s="192"/>
      <c r="AB270" s="192"/>
      <c r="AC270" s="255" t="str">
        <f>IF(COUNTBLANK(Y270:AB270)=4,"",SUM(Y270:AA270)+IF(Setup!$I$15="No",0,AB270))</f>
        <v/>
      </c>
      <c r="AD270" s="192"/>
      <c r="AE270" s="192"/>
      <c r="AF270" s="192"/>
      <c r="AG270" s="192"/>
      <c r="AH270" s="255" t="str">
        <f>IF(COUNTBLANK(AD270:AG270)=4,"",SUM(AD270:AF270)+IF(Setup!$I$15="No",0,AG270))</f>
        <v/>
      </c>
      <c r="AI270" s="192"/>
      <c r="AJ270" s="192"/>
      <c r="AK270" s="192"/>
      <c r="AL270" s="192"/>
      <c r="AM270" s="255" t="str">
        <f>IF(COUNTBLANK(AI270:AL270)=4,"",SUM(AI270:AK270)+IF(Setup!$I$15="No",0,AL270))</f>
        <v/>
      </c>
      <c r="AN270" s="192"/>
      <c r="AO270" s="192"/>
      <c r="AP270" s="192"/>
      <c r="AQ270" s="192"/>
      <c r="AR270" s="255" t="str">
        <f>IF(COUNTBLANK(AN270:AQ270)=4,"",SUM(AN270:AP270)+IF(Setup!$I$15="No",0,AQ270))</f>
        <v/>
      </c>
      <c r="AS270" s="192"/>
      <c r="AT270" s="192"/>
      <c r="AU270" s="192"/>
      <c r="AV270" s="192"/>
      <c r="AW270" s="255" t="str">
        <f>IF(COUNTBLANK(AS270:AV270)=4,"",SUM(AS270:AU270)+IF(Setup!$I$15="No",0,AV270))</f>
        <v/>
      </c>
      <c r="AX270" s="192"/>
      <c r="AY270" s="192"/>
      <c r="AZ270" s="192"/>
      <c r="BA270" s="192"/>
      <c r="BB270" s="255" t="str">
        <f>IF(COUNTBLANK(AX270:BA270)=4,"",SUM(AX270:AZ270)+IF(Setup!$I$15="No",0,BA270))</f>
        <v/>
      </c>
      <c r="BC270" s="259" t="str">
        <f ca="1">IF('Demand background (hide)'!A261=Num_Modalities,"",SUM(Demand!I270))</f>
        <v/>
      </c>
      <c r="BD270" s="259" t="str">
        <f ca="1">IF(AND(A270&lt;=MaxRows,BE270&lt;&gt;"Yes"),'Demand background (hide)'!X261+IF(Setup!$I$15="Yes",'Demand background (hide)'!AJ261,0),"")</f>
        <v/>
      </c>
      <c r="BE270" s="209"/>
    </row>
    <row r="271" spans="1:57" x14ac:dyDescent="0.25">
      <c r="A271" t="str">
        <f t="shared" ca="1" si="16"/>
        <v/>
      </c>
      <c r="B271" s="264" t="str">
        <f t="shared" ca="1" si="17"/>
        <v xml:space="preserve"> </v>
      </c>
      <c r="C271" s="265" t="str">
        <f t="shared" ca="1" si="18"/>
        <v/>
      </c>
      <c r="D271" s="350" t="str">
        <f t="shared" ca="1" si="19"/>
        <v/>
      </c>
      <c r="E271" s="192"/>
      <c r="F271" s="192"/>
      <c r="G271" s="192"/>
      <c r="H271" s="192"/>
      <c r="I271" s="251" t="str">
        <f>IF(COUNTBLANK(E271:H271)=4,"",SUM(E271:G271)+IF(Setup!$I$15="No",0,H271))</f>
        <v/>
      </c>
      <c r="J271" s="192"/>
      <c r="K271" s="192"/>
      <c r="L271" s="192"/>
      <c r="M271" s="192"/>
      <c r="N271" s="255" t="str">
        <f>IF(COUNTBLANK(J271:M271)=4,"",SUM(J271:L271)+IF(Setup!$I$15="No",0,M271))</f>
        <v/>
      </c>
      <c r="O271" s="192"/>
      <c r="P271" s="192"/>
      <c r="Q271" s="192"/>
      <c r="R271" s="192"/>
      <c r="S271" s="255" t="str">
        <f>IF(COUNTBLANK(O271:R271)=4,"",SUM(O271:Q271)+IF(Setup!$I$15="No",0,R271))</f>
        <v/>
      </c>
      <c r="T271" s="192"/>
      <c r="U271" s="192"/>
      <c r="V271" s="192"/>
      <c r="W271" s="192"/>
      <c r="X271" s="255" t="str">
        <f>IF(COUNTBLANK(T271:W271)=4,"",SUM(T271:V271)+IF(Setup!$I$15="No",0,W271))</f>
        <v/>
      </c>
      <c r="Y271" s="192"/>
      <c r="Z271" s="192"/>
      <c r="AA271" s="192"/>
      <c r="AB271" s="192"/>
      <c r="AC271" s="255" t="str">
        <f>IF(COUNTBLANK(Y271:AB271)=4,"",SUM(Y271:AA271)+IF(Setup!$I$15="No",0,AB271))</f>
        <v/>
      </c>
      <c r="AD271" s="192"/>
      <c r="AE271" s="192"/>
      <c r="AF271" s="192"/>
      <c r="AG271" s="192"/>
      <c r="AH271" s="255" t="str">
        <f>IF(COUNTBLANK(AD271:AG271)=4,"",SUM(AD271:AF271)+IF(Setup!$I$15="No",0,AG271))</f>
        <v/>
      </c>
      <c r="AI271" s="192"/>
      <c r="AJ271" s="192"/>
      <c r="AK271" s="192"/>
      <c r="AL271" s="192"/>
      <c r="AM271" s="255" t="str">
        <f>IF(COUNTBLANK(AI271:AL271)=4,"",SUM(AI271:AK271)+IF(Setup!$I$15="No",0,AL271))</f>
        <v/>
      </c>
      <c r="AN271" s="192"/>
      <c r="AO271" s="192"/>
      <c r="AP271" s="192"/>
      <c r="AQ271" s="192"/>
      <c r="AR271" s="255" t="str">
        <f>IF(COUNTBLANK(AN271:AQ271)=4,"",SUM(AN271:AP271)+IF(Setup!$I$15="No",0,AQ271))</f>
        <v/>
      </c>
      <c r="AS271" s="192"/>
      <c r="AT271" s="192"/>
      <c r="AU271" s="192"/>
      <c r="AV271" s="192"/>
      <c r="AW271" s="255" t="str">
        <f>IF(COUNTBLANK(AS271:AV271)=4,"",SUM(AS271:AU271)+IF(Setup!$I$15="No",0,AV271))</f>
        <v/>
      </c>
      <c r="AX271" s="192"/>
      <c r="AY271" s="192"/>
      <c r="AZ271" s="192"/>
      <c r="BA271" s="192"/>
      <c r="BB271" s="255" t="str">
        <f>IF(COUNTBLANK(AX271:BA271)=4,"",SUM(AX271:AZ271)+IF(Setup!$I$15="No",0,BA271))</f>
        <v/>
      </c>
      <c r="BC271" s="259" t="str">
        <f ca="1">IF('Demand background (hide)'!A262=Num_Modalities,"",SUM(Demand!I271))</f>
        <v/>
      </c>
      <c r="BD271" s="259" t="str">
        <f ca="1">IF(AND(A271&lt;=MaxRows,BE271&lt;&gt;"Yes"),'Demand background (hide)'!X262+IF(Setup!$I$15="Yes",'Demand background (hide)'!AJ262,0),"")</f>
        <v/>
      </c>
      <c r="BE271" s="209"/>
    </row>
    <row r="272" spans="1:57" x14ac:dyDescent="0.25">
      <c r="A272" t="str">
        <f t="shared" ca="1" si="16"/>
        <v/>
      </c>
      <c r="B272" s="264" t="str">
        <f t="shared" ca="1" si="17"/>
        <v xml:space="preserve"> </v>
      </c>
      <c r="C272" s="265" t="str">
        <f t="shared" ca="1" si="18"/>
        <v/>
      </c>
      <c r="D272" s="350" t="str">
        <f t="shared" ca="1" si="19"/>
        <v/>
      </c>
      <c r="E272" s="192"/>
      <c r="F272" s="192"/>
      <c r="G272" s="192"/>
      <c r="H272" s="192"/>
      <c r="I272" s="251" t="str">
        <f>IF(COUNTBLANK(E272:H272)=4,"",SUM(E272:G272)+IF(Setup!$I$15="No",0,H272))</f>
        <v/>
      </c>
      <c r="J272" s="192"/>
      <c r="K272" s="192"/>
      <c r="L272" s="192"/>
      <c r="M272" s="192"/>
      <c r="N272" s="255" t="str">
        <f>IF(COUNTBLANK(J272:M272)=4,"",SUM(J272:L272)+IF(Setup!$I$15="No",0,M272))</f>
        <v/>
      </c>
      <c r="O272" s="192"/>
      <c r="P272" s="192"/>
      <c r="Q272" s="192"/>
      <c r="R272" s="192"/>
      <c r="S272" s="255" t="str">
        <f>IF(COUNTBLANK(O272:R272)=4,"",SUM(O272:Q272)+IF(Setup!$I$15="No",0,R272))</f>
        <v/>
      </c>
      <c r="T272" s="192"/>
      <c r="U272" s="192"/>
      <c r="V272" s="192"/>
      <c r="W272" s="192"/>
      <c r="X272" s="255" t="str">
        <f>IF(COUNTBLANK(T272:W272)=4,"",SUM(T272:V272)+IF(Setup!$I$15="No",0,W272))</f>
        <v/>
      </c>
      <c r="Y272" s="192"/>
      <c r="Z272" s="192"/>
      <c r="AA272" s="192"/>
      <c r="AB272" s="192"/>
      <c r="AC272" s="255" t="str">
        <f>IF(COUNTBLANK(Y272:AB272)=4,"",SUM(Y272:AA272)+IF(Setup!$I$15="No",0,AB272))</f>
        <v/>
      </c>
      <c r="AD272" s="192"/>
      <c r="AE272" s="192"/>
      <c r="AF272" s="192"/>
      <c r="AG272" s="192"/>
      <c r="AH272" s="255" t="str">
        <f>IF(COUNTBLANK(AD272:AG272)=4,"",SUM(AD272:AF272)+IF(Setup!$I$15="No",0,AG272))</f>
        <v/>
      </c>
      <c r="AI272" s="192"/>
      <c r="AJ272" s="192"/>
      <c r="AK272" s="192"/>
      <c r="AL272" s="192"/>
      <c r="AM272" s="255" t="str">
        <f>IF(COUNTBLANK(AI272:AL272)=4,"",SUM(AI272:AK272)+IF(Setup!$I$15="No",0,AL272))</f>
        <v/>
      </c>
      <c r="AN272" s="192"/>
      <c r="AO272" s="192"/>
      <c r="AP272" s="192"/>
      <c r="AQ272" s="192"/>
      <c r="AR272" s="255" t="str">
        <f>IF(COUNTBLANK(AN272:AQ272)=4,"",SUM(AN272:AP272)+IF(Setup!$I$15="No",0,AQ272))</f>
        <v/>
      </c>
      <c r="AS272" s="192"/>
      <c r="AT272" s="192"/>
      <c r="AU272" s="192"/>
      <c r="AV272" s="192"/>
      <c r="AW272" s="255" t="str">
        <f>IF(COUNTBLANK(AS272:AV272)=4,"",SUM(AS272:AU272)+IF(Setup!$I$15="No",0,AV272))</f>
        <v/>
      </c>
      <c r="AX272" s="192"/>
      <c r="AY272" s="192"/>
      <c r="AZ272" s="192"/>
      <c r="BA272" s="192"/>
      <c r="BB272" s="255" t="str">
        <f>IF(COUNTBLANK(AX272:BA272)=4,"",SUM(AX272:AZ272)+IF(Setup!$I$15="No",0,BA272))</f>
        <v/>
      </c>
      <c r="BC272" s="259" t="str">
        <f ca="1">IF('Demand background (hide)'!A263=Num_Modalities,"",SUM(Demand!I272))</f>
        <v/>
      </c>
      <c r="BD272" s="259" t="str">
        <f ca="1">IF(AND(A272&lt;=MaxRows,BE272&lt;&gt;"Yes"),'Demand background (hide)'!X263+IF(Setup!$I$15="Yes",'Demand background (hide)'!AJ263,0),"")</f>
        <v/>
      </c>
      <c r="BE272" s="209"/>
    </row>
  </sheetData>
  <sheetProtection algorithmName="SHA-512" hashValue="8VyH9fSSVXgZnPKwBg6vuTQ6zjk0OZnTahV3APlH4GqmBTXR4oujAXy2z9ph1xKu9A4o5Vwxhl5dZxPtepZ+zQ==" saltValue="W7Vd4y21+TTkV/4MECdT1g==" spinCount="100000" sheet="1" objects="1" scenarios="1"/>
  <dataConsolidate/>
  <mergeCells count="6">
    <mergeCell ref="BC10:BC12"/>
    <mergeCell ref="BD10:BD12"/>
    <mergeCell ref="D10:D12"/>
    <mergeCell ref="BE10:BE12"/>
    <mergeCell ref="B10:B12"/>
    <mergeCell ref="C10:C12"/>
  </mergeCells>
  <conditionalFormatting sqref="J65:N272 T65:X272 AD65:AH272 AN65:AR272 AX65:BB272">
    <cfRule type="expression" dxfId="36" priority="4">
      <formula>IF(ROW(C65)-12&lt;=$A$6,TRUE,FALSE)</formula>
    </cfRule>
  </conditionalFormatting>
  <conditionalFormatting sqref="BC65:BE272">
    <cfRule type="expression" dxfId="35" priority="3">
      <formula>IF(ROW(A65)-12&lt;=$A$6,TRUE,FALSE)</formula>
    </cfRule>
  </conditionalFormatting>
  <conditionalFormatting sqref="C65:BB272">
    <cfRule type="expression" dxfId="34" priority="8">
      <formula>IF(ROW(XFD65)-12&lt;=$A$6,TRUE,FALSE)</formula>
    </cfRule>
  </conditionalFormatting>
  <dataValidations count="3">
    <dataValidation type="date" allowBlank="1" showInputMessage="1" showErrorMessage="1" sqref="C6" xr:uid="{00000000-0002-0000-0500-000000000000}">
      <formula1>36526</formula1>
      <formula2>401769</formula2>
    </dataValidation>
    <dataValidation type="decimal" allowBlank="1" showInputMessage="1" showErrorMessage="1" sqref="F11 K11 P11 U11 Z11 AE11 AO11 AT11 AY11" xr:uid="{00000000-0002-0000-0500-000001000000}">
      <formula1>0</formula1>
      <formula2>9999</formula2>
    </dataValidation>
    <dataValidation type="list" allowBlank="1" showInputMessage="1" showErrorMessage="1" sqref="C8" xr:uid="{9A5720DD-BA86-4CEB-A6F7-8A5836C676AE}">
      <formula1>"Historic data, My own forecast"</formula1>
    </dataValidation>
  </dataValidations>
  <pageMargins left="0.7" right="0.7" top="0.75" bottom="0.75" header="0.3" footer="0.3"/>
  <pageSetup paperSize="9" orientation="portrait" horizontalDpi="90" verticalDpi="9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2000000}">
          <x14:formula1>
            <xm:f>'Control sheet (hide)'!$C$2:$C$3</xm:f>
          </x14:formula1>
          <xm:sqref>BE13:BE272</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EE264"/>
  <sheetViews>
    <sheetView topLeftCell="DP1" workbookViewId="0">
      <selection activeCell="EA6" sqref="EA6"/>
    </sheetView>
  </sheetViews>
  <sheetFormatPr defaultRowHeight="13.8" x14ac:dyDescent="0.25"/>
  <cols>
    <col min="1" max="11" width="11.19921875" customWidth="1"/>
    <col min="14" max="18" width="9.3984375" bestFit="1" customWidth="1"/>
    <col min="19" max="19" width="9" customWidth="1"/>
    <col min="20" max="24" width="9.3984375" bestFit="1" customWidth="1"/>
    <col min="38" max="38" width="16.59765625" customWidth="1"/>
    <col min="39" max="39" width="10.19921875" bestFit="1" customWidth="1"/>
    <col min="40" max="41" width="10.19921875" customWidth="1"/>
    <col min="42" max="42" width="10.19921875" style="36" customWidth="1"/>
    <col min="43" max="45" width="10.19921875" customWidth="1"/>
    <col min="46" max="46" width="12.3984375" bestFit="1" customWidth="1"/>
    <col min="103" max="103" width="10.09765625" customWidth="1"/>
    <col min="118" max="118" width="9.8984375" bestFit="1" customWidth="1"/>
    <col min="124" max="124" width="8.796875" style="67"/>
    <col min="126" max="130" width="8.796875" style="67"/>
    <col min="131" max="131" width="9.8984375" style="67" bestFit="1" customWidth="1"/>
    <col min="132" max="132" width="8.796875" style="67"/>
  </cols>
  <sheetData>
    <row r="1" spans="1:135" x14ac:dyDescent="0.25">
      <c r="B1" t="s">
        <v>62</v>
      </c>
      <c r="M1" t="s">
        <v>65</v>
      </c>
      <c r="N1" t="str">
        <f>"Modifier: "&amp;Setup!$I$17</f>
        <v>Modifier: Points</v>
      </c>
      <c r="Z1" t="s">
        <v>66</v>
      </c>
      <c r="AL1" t="s">
        <v>285</v>
      </c>
      <c r="AP1" s="36" t="s">
        <v>129</v>
      </c>
      <c r="BQ1" t="s">
        <v>432</v>
      </c>
      <c r="CV1" t="s">
        <v>215</v>
      </c>
      <c r="CW1" t="s">
        <v>216</v>
      </c>
      <c r="DN1" t="s">
        <v>1197</v>
      </c>
    </row>
    <row r="2" spans="1:135" x14ac:dyDescent="0.25">
      <c r="N2">
        <f ca="1">IF(Setup!$I$17="Patients",1,OFFSET(Demand!$F$11,0,(COLUMN(A1)-1)*5,1,1))</f>
        <v>2</v>
      </c>
      <c r="O2">
        <f ca="1">IF(Setup!$I$17="Patients",1,OFFSET(Demand!$F$11,0,(COLUMN(B1)-1)*5,1,1))</f>
        <v>0</v>
      </c>
      <c r="P2">
        <f ca="1">IF(Setup!$I$17="Patients",1,OFFSET(Demand!$F$11,0,(COLUMN(C1)-1)*5,1,1))</f>
        <v>0</v>
      </c>
      <c r="Q2">
        <f ca="1">IF(Setup!$I$17="Patients",1,OFFSET(Demand!$F$11,0,(COLUMN(D1)-1)*5,1,1))</f>
        <v>0</v>
      </c>
      <c r="R2">
        <f ca="1">IF(Setup!$I$17="Patients",1,OFFSET(Demand!$F$11,0,(COLUMN(E1)-1)*5,1,1))</f>
        <v>0</v>
      </c>
      <c r="S2">
        <f ca="1">IF(Setup!$I$17="Patients",1,OFFSET(Demand!$F$11,0,(COLUMN(F1)-1)*5,1,1))</f>
        <v>0</v>
      </c>
      <c r="T2">
        <f ca="1">IF(Setup!$I$17="Patients",1,OFFSET(Demand!$F$11,0,(COLUMN(G1)-1)*5,1,1))</f>
        <v>0</v>
      </c>
      <c r="U2">
        <f ca="1">IF(Setup!$I$17="Patients",1,OFFSET(Demand!$F$11,0,(COLUMN(H1)-1)*5,1,1))</f>
        <v>0</v>
      </c>
      <c r="V2">
        <f ca="1">IF(Setup!$I$17="Patients",1,OFFSET(Demand!$F$11,0,(COLUMN(I1)-1)*5,1,1))</f>
        <v>0</v>
      </c>
      <c r="W2">
        <f ca="1">IF(Setup!$I$17="Patients",1,OFFSET(Demand!$F$11,0,(COLUMN(J1)-1)*5,1,1))</f>
        <v>0</v>
      </c>
      <c r="AW2" t="s">
        <v>283</v>
      </c>
      <c r="AX2" t="s">
        <v>61</v>
      </c>
      <c r="BQ2" t="str">
        <f>"Mod "&amp;QUOTIENT(COLUMN(BQ2)-69,3)+1</f>
        <v>Mod 1</v>
      </c>
      <c r="BT2" t="str">
        <f>"Mod "&amp;QUOTIENT(COLUMN(BT2)-69,3)+1</f>
        <v>Mod 2</v>
      </c>
      <c r="BW2" t="str">
        <f>"Mod "&amp;QUOTIENT(COLUMN(BW2)-69,3)+1</f>
        <v>Mod 3</v>
      </c>
      <c r="BZ2" t="str">
        <f>"Mod "&amp;QUOTIENT(COLUMN(BZ2)-69,3)+1</f>
        <v>Mod 4</v>
      </c>
      <c r="CC2" t="str">
        <f>"Mod "&amp;QUOTIENT(COLUMN(CC2)-69,3)+1</f>
        <v>Mod 5</v>
      </c>
      <c r="CF2" t="str">
        <f>"Mod "&amp;QUOTIENT(COLUMN(CF2)-69,3)+1</f>
        <v>Mod 6</v>
      </c>
      <c r="CI2" t="str">
        <f>"Mod "&amp;QUOTIENT(COLUMN(CI2)-69,3)+1</f>
        <v>Mod 7</v>
      </c>
      <c r="CL2" t="str">
        <f>"Mod "&amp;QUOTIENT(COLUMN(CL2)-69,3)+1</f>
        <v>Mod 8</v>
      </c>
      <c r="CO2" t="str">
        <f>"Mod "&amp;QUOTIENT(COLUMN(CO2)-69,3)+1</f>
        <v>Mod 9</v>
      </c>
      <c r="CR2" t="str">
        <f>"Mod "&amp;QUOTIENT(COLUMN(CR2)-69,3)+1</f>
        <v>Mod 10</v>
      </c>
      <c r="DI2" t="s">
        <v>226</v>
      </c>
      <c r="DO2" t="s">
        <v>1198</v>
      </c>
    </row>
    <row r="3" spans="1:135" x14ac:dyDescent="0.25">
      <c r="A3" t="s">
        <v>63</v>
      </c>
      <c r="B3" t="str">
        <f ca="1">OFFSET('Control sheet (hide)'!$AA$3,COLUMN(A1)-1,0,1,1)</f>
        <v>Modality 1</v>
      </c>
      <c r="C3" t="str">
        <f ca="1">OFFSET('Control sheet (hide)'!$AA$3,COLUMN(B1)-1,0,1,1)</f>
        <v>Modality 2</v>
      </c>
      <c r="D3" t="str">
        <f ca="1">OFFSET('Control sheet (hide)'!$AA$3,COLUMN(C1)-1,0,1,1)</f>
        <v>Modality 3</v>
      </c>
      <c r="E3" t="str">
        <f ca="1">OFFSET('Control sheet (hide)'!$AA$3,COLUMN(D1)-1,0,1,1)</f>
        <v>Modality 4</v>
      </c>
      <c r="F3" t="str">
        <f ca="1">OFFSET('Control sheet (hide)'!$AA$3,COLUMN(E1)-1,0,1,1)</f>
        <v>Modality 5</v>
      </c>
      <c r="G3" t="str">
        <f ca="1">OFFSET('Control sheet (hide)'!$AA$3,COLUMN(F1)-1,0,1,1)</f>
        <v>Modality 6</v>
      </c>
      <c r="H3" t="str">
        <f ca="1">OFFSET('Control sheet (hide)'!$AA$3,COLUMN(G1)-1,0,1,1)</f>
        <v>Modality 7</v>
      </c>
      <c r="I3" t="str">
        <f ca="1">OFFSET('Control sheet (hide)'!$AA$3,COLUMN(H1)-1,0,1,1)</f>
        <v>Modality 8</v>
      </c>
      <c r="J3" t="str">
        <f ca="1">OFFSET('Control sheet (hide)'!$AA$3,COLUMN(I1)-1,0,1,1)</f>
        <v>Modality 9</v>
      </c>
      <c r="K3" t="str">
        <f ca="1">OFFSET('Control sheet (hide)'!$AA$3,COLUMN(J1)-1,0,1,1)</f>
        <v>Modality 10</v>
      </c>
      <c r="N3" t="str">
        <f t="shared" ref="N3:W3" ca="1" si="0">B3</f>
        <v>Modality 1</v>
      </c>
      <c r="O3" t="str">
        <f t="shared" ca="1" si="0"/>
        <v>Modality 2</v>
      </c>
      <c r="P3" t="str">
        <f t="shared" ca="1" si="0"/>
        <v>Modality 3</v>
      </c>
      <c r="Q3" t="str">
        <f t="shared" ca="1" si="0"/>
        <v>Modality 4</v>
      </c>
      <c r="R3" t="str">
        <f t="shared" ca="1" si="0"/>
        <v>Modality 5</v>
      </c>
      <c r="S3" t="str">
        <f t="shared" ca="1" si="0"/>
        <v>Modality 6</v>
      </c>
      <c r="T3" t="str">
        <f t="shared" ca="1" si="0"/>
        <v>Modality 7</v>
      </c>
      <c r="U3" t="str">
        <f t="shared" ca="1" si="0"/>
        <v>Modality 8</v>
      </c>
      <c r="V3" t="str">
        <f t="shared" ca="1" si="0"/>
        <v>Modality 9</v>
      </c>
      <c r="W3" t="str">
        <f t="shared" ca="1" si="0"/>
        <v>Modality 10</v>
      </c>
      <c r="X3" t="s">
        <v>67</v>
      </c>
      <c r="Y3" t="s">
        <v>181</v>
      </c>
      <c r="Z3" t="str">
        <f ca="1">N3</f>
        <v>Modality 1</v>
      </c>
      <c r="AA3" t="str">
        <f t="shared" ref="AA3:AI3" ca="1" si="1">O3</f>
        <v>Modality 2</v>
      </c>
      <c r="AB3" t="str">
        <f t="shared" ca="1" si="1"/>
        <v>Modality 3</v>
      </c>
      <c r="AC3" t="str">
        <f t="shared" ca="1" si="1"/>
        <v>Modality 4</v>
      </c>
      <c r="AD3" t="str">
        <f t="shared" ca="1" si="1"/>
        <v>Modality 5</v>
      </c>
      <c r="AE3" t="str">
        <f t="shared" ca="1" si="1"/>
        <v>Modality 6</v>
      </c>
      <c r="AF3" t="str">
        <f t="shared" ca="1" si="1"/>
        <v>Modality 7</v>
      </c>
      <c r="AG3" t="str">
        <f t="shared" ca="1" si="1"/>
        <v>Modality 8</v>
      </c>
      <c r="AH3" t="str">
        <f t="shared" ca="1" si="1"/>
        <v>Modality 9</v>
      </c>
      <c r="AI3" t="str">
        <f t="shared" ca="1" si="1"/>
        <v>Modality 10</v>
      </c>
      <c r="AJ3" t="s">
        <v>286</v>
      </c>
      <c r="AL3" t="s">
        <v>184</v>
      </c>
      <c r="AM3" t="s">
        <v>61</v>
      </c>
      <c r="AN3" t="s">
        <v>110</v>
      </c>
      <c r="AP3" s="36" t="s">
        <v>128</v>
      </c>
      <c r="AQ3" s="36" t="s">
        <v>130</v>
      </c>
      <c r="AT3" t="s">
        <v>74</v>
      </c>
      <c r="AV3" t="s">
        <v>68</v>
      </c>
      <c r="AW3" s="44">
        <f ca="1">AVERAGE(OFFSET(AL$4,'SPC background (hide)'!$C$4-1,0,'SPC background (hide)'!$H$5,1))</f>
        <v>142</v>
      </c>
      <c r="AX3" s="5">
        <f ca="1">AVERAGE(OFFSET(AM$4,'SPC background (hide)'!$C$4-1,0,'SPC background (hide)'!$H$5,1))</f>
        <v>0</v>
      </c>
      <c r="BB3" t="s">
        <v>204</v>
      </c>
      <c r="BQ3" t="s">
        <v>200</v>
      </c>
      <c r="BR3" t="s">
        <v>201</v>
      </c>
      <c r="BS3" t="s">
        <v>202</v>
      </c>
      <c r="BT3" t="s">
        <v>200</v>
      </c>
      <c r="BU3" t="s">
        <v>201</v>
      </c>
      <c r="BV3" t="s">
        <v>202</v>
      </c>
      <c r="BW3" t="s">
        <v>200</v>
      </c>
      <c r="BX3" t="s">
        <v>201</v>
      </c>
      <c r="BY3" t="s">
        <v>202</v>
      </c>
      <c r="BZ3" t="s">
        <v>200</v>
      </c>
      <c r="CA3" t="s">
        <v>201</v>
      </c>
      <c r="CB3" t="s">
        <v>202</v>
      </c>
      <c r="CC3" t="s">
        <v>200</v>
      </c>
      <c r="CD3" t="s">
        <v>201</v>
      </c>
      <c r="CE3" t="s">
        <v>202</v>
      </c>
      <c r="CF3" t="s">
        <v>200</v>
      </c>
      <c r="CG3" t="s">
        <v>201</v>
      </c>
      <c r="CH3" t="s">
        <v>202</v>
      </c>
      <c r="CI3" t="s">
        <v>200</v>
      </c>
      <c r="CJ3" t="s">
        <v>201</v>
      </c>
      <c r="CK3" t="s">
        <v>202</v>
      </c>
      <c r="CL3" t="s">
        <v>200</v>
      </c>
      <c r="CM3" t="s">
        <v>201</v>
      </c>
      <c r="CN3" t="s">
        <v>202</v>
      </c>
      <c r="CO3" t="s">
        <v>200</v>
      </c>
      <c r="CP3" t="s">
        <v>201</v>
      </c>
      <c r="CQ3" t="s">
        <v>202</v>
      </c>
      <c r="CR3" t="s">
        <v>200</v>
      </c>
      <c r="CS3" t="s">
        <v>201</v>
      </c>
      <c r="CT3" t="s">
        <v>202</v>
      </c>
      <c r="CW3" t="str">
        <f ca="1">B3</f>
        <v>Modality 1</v>
      </c>
      <c r="CX3" t="str">
        <f t="shared" ref="CX3:DF3" ca="1" si="2">C3</f>
        <v>Modality 2</v>
      </c>
      <c r="CY3" t="str">
        <f t="shared" ca="1" si="2"/>
        <v>Modality 3</v>
      </c>
      <c r="CZ3" t="str">
        <f t="shared" ca="1" si="2"/>
        <v>Modality 4</v>
      </c>
      <c r="DA3" t="str">
        <f t="shared" ca="1" si="2"/>
        <v>Modality 5</v>
      </c>
      <c r="DB3" t="str">
        <f t="shared" ca="1" si="2"/>
        <v>Modality 6</v>
      </c>
      <c r="DC3" t="str">
        <f t="shared" ca="1" si="2"/>
        <v>Modality 7</v>
      </c>
      <c r="DD3" t="str">
        <f t="shared" ca="1" si="2"/>
        <v>Modality 8</v>
      </c>
      <c r="DE3" t="str">
        <f t="shared" ca="1" si="2"/>
        <v>Modality 9</v>
      </c>
      <c r="DF3" t="str">
        <f t="shared" ca="1" si="2"/>
        <v>Modality 10</v>
      </c>
      <c r="DG3" t="s">
        <v>57</v>
      </c>
      <c r="DI3" t="s">
        <v>227</v>
      </c>
      <c r="DJ3">
        <f ca="1">AVERAGE(OFFSET('Demand background (hide)'!$DG$4,'SPC background (hide)'!$C$4-1,0,'SPC background (hide)'!$H$5,1))</f>
        <v>0</v>
      </c>
      <c r="DN3" t="s">
        <v>1</v>
      </c>
      <c r="DO3" t="s">
        <v>165</v>
      </c>
      <c r="DP3" t="s">
        <v>166</v>
      </c>
      <c r="DQ3" t="s">
        <v>1206</v>
      </c>
      <c r="DR3" t="s">
        <v>1199</v>
      </c>
      <c r="DS3" t="s">
        <v>1205</v>
      </c>
      <c r="DT3" s="67" t="s">
        <v>1208</v>
      </c>
      <c r="DU3" t="s">
        <v>502</v>
      </c>
      <c r="DV3" s="67" t="s">
        <v>1232</v>
      </c>
      <c r="DW3" s="67" t="s">
        <v>1233</v>
      </c>
      <c r="DX3" s="67" t="s">
        <v>1231</v>
      </c>
      <c r="DZ3" s="67" t="s">
        <v>1230</v>
      </c>
      <c r="EA3" s="5">
        <f ca="1">SUM(DU4:DU29)</f>
        <v>794</v>
      </c>
      <c r="ED3" t="s">
        <v>1234</v>
      </c>
      <c r="EE3" t="s">
        <v>1202</v>
      </c>
    </row>
    <row r="4" spans="1:135" s="5" customFormat="1" x14ac:dyDescent="0.25">
      <c r="A4" s="5">
        <f t="shared" ref="A4:A35" ca="1" si="3">SUM(OFFSET(B4,0,0,1,Num_Modalities))</f>
        <v>0</v>
      </c>
      <c r="B4" s="5">
        <f ca="1">COUNTBLANK(OFFSET(Demand!$I13,0,(COLUMN(A1)-1)*5,1,1))</f>
        <v>0</v>
      </c>
      <c r="C4" s="5">
        <f ca="1">COUNTBLANK(OFFSET(Demand!$I13,0,(COLUMN(B1)-1)*5,1,1))</f>
        <v>1</v>
      </c>
      <c r="D4" s="5">
        <f ca="1">COUNTBLANK(OFFSET(Demand!$I13,0,(COLUMN(C1)-1)*5,1,1))</f>
        <v>1</v>
      </c>
      <c r="E4" s="5">
        <f ca="1">COUNTBLANK(OFFSET(Demand!$I13,0,(COLUMN(D1)-1)*5,1,1))</f>
        <v>1</v>
      </c>
      <c r="F4" s="5">
        <f ca="1">COUNTBLANK(OFFSET(Demand!$I13,0,(COLUMN(E1)-1)*5,1,1))</f>
        <v>1</v>
      </c>
      <c r="G4" s="5">
        <f ca="1">COUNTBLANK(OFFSET(Demand!$I13,0,(COLUMN(F1)-1)*5,1,1))</f>
        <v>1</v>
      </c>
      <c r="H4" s="5">
        <f ca="1">COUNTBLANK(OFFSET(Demand!$I13,0,(COLUMN(G1)-1)*5,1,1))</f>
        <v>1</v>
      </c>
      <c r="I4" s="5">
        <f ca="1">COUNTBLANK(OFFSET(Demand!$I13,0,(COLUMN(H1)-1)*5,1,1))</f>
        <v>1</v>
      </c>
      <c r="J4" s="5">
        <f ca="1">COUNTBLANK(OFFSET(Demand!$I13,0,(COLUMN(I1)-1)*5,1,1))</f>
        <v>1</v>
      </c>
      <c r="K4" s="5">
        <f ca="1">COUNTBLANK(OFFSET(Demand!$I13,0,(COLUMN(J1)-1)*5,1,1))</f>
        <v>1</v>
      </c>
      <c r="N4" s="5">
        <f ca="1">SUM(OFFSET(Demand!$E13,0,(COLUMN(A1)-1)*5,1,3))*N$2</f>
        <v>122</v>
      </c>
      <c r="O4" s="5">
        <f ca="1">SUM(OFFSET(Demand!$E13,0,(COLUMN(B1)-1)*5,1,3))*O$2</f>
        <v>0</v>
      </c>
      <c r="P4" s="5">
        <f ca="1">SUM(OFFSET(Demand!$E13,0,(COLUMN(C1)-1)*5,1,3))*P$2</f>
        <v>0</v>
      </c>
      <c r="Q4" s="5">
        <f ca="1">SUM(OFFSET(Demand!$E13,0,(COLUMN(D1)-1)*5,1,3))*Q$2</f>
        <v>0</v>
      </c>
      <c r="R4" s="5">
        <f ca="1">SUM(OFFSET(Demand!$E13,0,(COLUMN(E1)-1)*5,1,3))*R$2</f>
        <v>0</v>
      </c>
      <c r="S4" s="5">
        <f ca="1">SUM(OFFSET(Demand!$E13,0,(COLUMN(F1)-1)*5,1,3))*S$2</f>
        <v>0</v>
      </c>
      <c r="T4" s="5">
        <f ca="1">SUM(OFFSET(Demand!$E13,0,(COLUMN(G1)-1)*5,1,3))*T$2</f>
        <v>0</v>
      </c>
      <c r="U4" s="5">
        <f ca="1">SUM(OFFSET(Demand!$E13,0,(COLUMN(H1)-1)*5,1,3))*U$2</f>
        <v>0</v>
      </c>
      <c r="V4" s="5">
        <f ca="1">SUM(OFFSET(Demand!$E13,0,(COLUMN(I1)-1)*5,1,3))*V$2</f>
        <v>0</v>
      </c>
      <c r="W4" s="5">
        <f ca="1">SUM(OFFSET(Demand!$E13,0,(COLUMN(J1)-1)*5,1,3))*W$2</f>
        <v>0</v>
      </c>
      <c r="X4" s="5">
        <f t="shared" ref="X4:X67" ca="1" si="4">IF(AN4="",SUM(OFFSET(N4,0,0,1,Num_Modalities)),"")</f>
        <v>122</v>
      </c>
      <c r="Y4" s="5">
        <f t="shared" ref="Y4:Y67" ca="1" si="5">SUM(OFFSET(N4,0,0,1,Num_Modalities))</f>
        <v>122</v>
      </c>
      <c r="Z4" s="5">
        <f ca="1">SUM(OFFSET(Demand!$H13,0,(COLUMN(A1)-1)*5,1,1))*N$2</f>
        <v>0</v>
      </c>
      <c r="AA4" s="5">
        <f ca="1">SUM(OFFSET(Demand!$H13,0,(COLUMN(B1)-1)*5,1,1))*O$2</f>
        <v>0</v>
      </c>
      <c r="AB4" s="5">
        <f ca="1">SUM(OFFSET(Demand!$H13,0,(COLUMN(C1)-1)*5,1,1))*P$2</f>
        <v>0</v>
      </c>
      <c r="AC4" s="5">
        <f ca="1">SUM(OFFSET(Demand!$H13,0,(COLUMN(D1)-1)*5,1,1))*Q$2</f>
        <v>0</v>
      </c>
      <c r="AD4" s="5">
        <f ca="1">SUM(OFFSET(Demand!$H13,0,(COLUMN(E1)-1)*5,1,1))*R$2</f>
        <v>0</v>
      </c>
      <c r="AE4" s="5">
        <f ca="1">SUM(OFFSET(Demand!$H13,0,(COLUMN(F1)-1)*5,1,1))*S$2</f>
        <v>0</v>
      </c>
      <c r="AF4" s="5">
        <f ca="1">SUM(OFFSET(Demand!$H13,0,(COLUMN(G1)-1)*5,1,1))*T$2</f>
        <v>0</v>
      </c>
      <c r="AG4" s="5">
        <f ca="1">SUM(OFFSET(Demand!$H13,0,(COLUMN(H1)-1)*5,1,1))*U$2</f>
        <v>0</v>
      </c>
      <c r="AH4" s="5">
        <f ca="1">SUM(OFFSET(Demand!$H13,0,(COLUMN(I1)-1)*5,1,1))*V$2</f>
        <v>0</v>
      </c>
      <c r="AI4" s="5">
        <f ca="1">SUM(OFFSET(Demand!$H13,0,(COLUMN(J1)-1)*5,1,1))*W$2</f>
        <v>0</v>
      </c>
      <c r="AJ4" s="5">
        <f t="shared" ref="AJ4:AJ67" ca="1" si="6">SUM(OFFSET(Z4,0,0,1,Num_Modalities))</f>
        <v>0</v>
      </c>
      <c r="AL4" s="5">
        <f ca="1">X4</f>
        <v>122</v>
      </c>
      <c r="AM4" s="5">
        <f ca="1">IF(AN4&lt;&gt;"","",AJ4)</f>
        <v>0</v>
      </c>
      <c r="AN4" s="5" t="str">
        <f>IF(Demand!BE13="Yes","Yes","")</f>
        <v/>
      </c>
      <c r="AP4" s="36">
        <f>Demand!B13</f>
        <v>2020</v>
      </c>
      <c r="AQ4" s="5" t="str">
        <f>TEXT(Demand!D13,"MMM")</f>
        <v>Mar</v>
      </c>
      <c r="AV4" s="5" t="s">
        <v>71</v>
      </c>
      <c r="AW4" s="44">
        <f ca="1">AVERAGE(OFFSET($AT$4,'SPC background (hide)'!$C$4-1,0,'SPC background (hide)'!$H$5,1))</f>
        <v>6.4444444444444446</v>
      </c>
      <c r="BB4"/>
      <c r="BC4"/>
      <c r="BD4"/>
      <c r="BE4"/>
      <c r="BF4" t="s">
        <v>199</v>
      </c>
      <c r="BG4"/>
      <c r="BH4"/>
      <c r="BI4"/>
      <c r="BJ4"/>
      <c r="BK4"/>
      <c r="BL4"/>
      <c r="BM4"/>
      <c r="BP4"/>
      <c r="BQ4">
        <f ca="1">IF($AN4="",OFFSET(Demand!$A$13,ROW(A1)-1,4+((QUOTIENT(COLUMN(BQ$2)-69,3))*5)+MOD(COLUMN(BQ$2),3),1,1),"")</f>
        <v>0</v>
      </c>
      <c r="BR4">
        <f ca="1">IF($AN4="",OFFSET(Demand!$A$13,ROW(B1)-1,4+((QUOTIENT(COLUMN(BR$2)-69,3))*5)+MOD(COLUMN(BR$2),3),1,1),"")</f>
        <v>0</v>
      </c>
      <c r="BS4">
        <f ca="1">IF($AN4="",OFFSET(Demand!$A$13,ROW(C1)-1,4+((QUOTIENT(COLUMN(BS$2)-69,3))*5)+MOD(COLUMN(BS$2),3),1,1),"")</f>
        <v>61</v>
      </c>
      <c r="BT4">
        <f ca="1">IF($AN4="",OFFSET(Demand!$A$13,ROW(D1)-1,4+((QUOTIENT(COLUMN(BT$2)-69,3))*5)+MOD(COLUMN(BT$2),3),1,1),"")</f>
        <v>0</v>
      </c>
      <c r="BU4">
        <f ca="1">IF($AN4="",OFFSET(Demand!$A$13,ROW(E1)-1,4+((QUOTIENT(COLUMN(BU$2)-69,3))*5)+MOD(COLUMN(BU$2),3),1,1),"")</f>
        <v>0</v>
      </c>
      <c r="BV4">
        <f ca="1">IF($AN4="",OFFSET(Demand!$A$13,ROW(F1)-1,4+((QUOTIENT(COLUMN(BV$2)-69,3))*5)+MOD(COLUMN(BV$2),3),1,1),"")</f>
        <v>0</v>
      </c>
      <c r="BW4">
        <f ca="1">IF($AN4="",OFFSET(Demand!$A$13,ROW(G1)-1,4+((QUOTIENT(COLUMN(BW$2)-69,3))*5)+MOD(COLUMN(BW$2),3),1,1),"")</f>
        <v>0</v>
      </c>
      <c r="BX4">
        <f ca="1">IF($AN4="",OFFSET(Demand!$A$13,ROW(H1)-1,4+((QUOTIENT(COLUMN(BX$2)-69,3))*5)+MOD(COLUMN(BX$2),3),1,1),"")</f>
        <v>0</v>
      </c>
      <c r="BY4">
        <f ca="1">IF($AN4="",OFFSET(Demand!$A$13,ROW(I1)-1,4+((QUOTIENT(COLUMN(BY$2)-69,3))*5)+MOD(COLUMN(BY$2),3),1,1),"")</f>
        <v>0</v>
      </c>
      <c r="BZ4">
        <f ca="1">IF($AN4="",OFFSET(Demand!$A$13,ROW(J1)-1,4+((QUOTIENT(COLUMN(BZ$2)-69,3))*5)+MOD(COLUMN(BZ$2),3),1,1),"")</f>
        <v>0</v>
      </c>
      <c r="CA4">
        <f ca="1">IF($AN4="",OFFSET(Demand!$A$13,ROW(K1)-1,4+((QUOTIENT(COLUMN(CA$2)-69,3))*5)+MOD(COLUMN(CA$2),3),1,1),"")</f>
        <v>0</v>
      </c>
      <c r="CB4">
        <f ca="1">IF($AN4="",OFFSET(Demand!$A$13,ROW(L1)-1,4+((QUOTIENT(COLUMN(CB$2)-69,3))*5)+MOD(COLUMN(CB$2),3),1,1),"")</f>
        <v>0</v>
      </c>
      <c r="CC4">
        <f ca="1">IF($AN4="",OFFSET(Demand!$A$13,ROW(M1)-1,4+((QUOTIENT(COLUMN(CC$2)-69,3))*5)+MOD(COLUMN(CC$2),3),1,1),"")</f>
        <v>0</v>
      </c>
      <c r="CD4">
        <f ca="1">IF($AN4="",OFFSET(Demand!$A$13,ROW(N1)-1,4+((QUOTIENT(COLUMN(CD$2)-69,3))*5)+MOD(COLUMN(CD$2),3),1,1),"")</f>
        <v>0</v>
      </c>
      <c r="CE4">
        <f ca="1">IF($AN4="",OFFSET(Demand!$A$13,ROW(O1)-1,4+((QUOTIENT(COLUMN(CE$2)-69,3))*5)+MOD(COLUMN(CE$2),3),1,1),"")</f>
        <v>0</v>
      </c>
      <c r="CF4">
        <f ca="1">IF($AN4="",OFFSET(Demand!$A$13,ROW(P1)-1,4+((QUOTIENT(COLUMN(CF$2)-69,3))*5)+MOD(COLUMN(CF$2),3),1,1),"")</f>
        <v>0</v>
      </c>
      <c r="CG4">
        <f ca="1">IF($AN4="",OFFSET(Demand!$A$13,ROW(Q1)-1,4+((QUOTIENT(COLUMN(CG$2)-69,3))*5)+MOD(COLUMN(CG$2),3),1,1),"")</f>
        <v>0</v>
      </c>
      <c r="CH4">
        <f ca="1">IF($AN4="",OFFSET(Demand!$A$13,ROW(R1)-1,4+((QUOTIENT(COLUMN(CH$2)-69,3))*5)+MOD(COLUMN(CH$2),3),1,1),"")</f>
        <v>0</v>
      </c>
      <c r="CI4">
        <f ca="1">IF($AN4="",OFFSET(Demand!$A$13,ROW(S1)-1,4+((QUOTIENT(COLUMN(CI$2)-69,3))*5)+MOD(COLUMN(CI$2),3),1,1),"")</f>
        <v>0</v>
      </c>
      <c r="CJ4">
        <f ca="1">IF($AN4="",OFFSET(Demand!$A$13,ROW(T1)-1,4+((QUOTIENT(COLUMN(CJ$2)-69,3))*5)+MOD(COLUMN(CJ$2),3),1,1),"")</f>
        <v>0</v>
      </c>
      <c r="CK4">
        <f ca="1">IF($AN4="",OFFSET(Demand!$A$13,ROW(U1)-1,4+((QUOTIENT(COLUMN(CK$2)-69,3))*5)+MOD(COLUMN(CK$2),3),1,1),"")</f>
        <v>0</v>
      </c>
      <c r="CL4">
        <f ca="1">IF($AN4="",OFFSET(Demand!$A$13,ROW(V1)-1,4+((QUOTIENT(COLUMN(CL$2)-69,3))*5)+MOD(COLUMN(CL$2),3),1,1),"")</f>
        <v>0</v>
      </c>
      <c r="CM4">
        <f ca="1">IF($AN4="",OFFSET(Demand!$A$13,ROW(W1)-1,4+((QUOTIENT(COLUMN(CM$2)-69,3))*5)+MOD(COLUMN(CM$2),3),1,1),"")</f>
        <v>0</v>
      </c>
      <c r="CN4">
        <f ca="1">IF($AN4="",OFFSET(Demand!$A$13,ROW(X1)-1,4+((QUOTIENT(COLUMN(CN$2)-69,3))*5)+MOD(COLUMN(CN$2),3),1,1),"")</f>
        <v>0</v>
      </c>
      <c r="CO4">
        <f ca="1">IF($AN4="",OFFSET(Demand!$A$13,ROW(Y1)-1,4+((QUOTIENT(COLUMN(CO$2)-69,3))*5)+MOD(COLUMN(CO$2),3),1,1),"")</f>
        <v>0</v>
      </c>
      <c r="CP4">
        <f ca="1">IF($AN4="",OFFSET(Demand!$A$13,ROW(Z1)-1,4+((QUOTIENT(COLUMN(CP$2)-69,3))*5)+MOD(COLUMN(CP$2),3),1,1),"")</f>
        <v>0</v>
      </c>
      <c r="CQ4">
        <f ca="1">IF($AN4="",OFFSET(Demand!$A$13,ROW(AA1)-1,4+((QUOTIENT(COLUMN(CQ$2)-69,3))*5)+MOD(COLUMN(CQ$2),3),1,1),"")</f>
        <v>0</v>
      </c>
      <c r="CR4">
        <f ca="1">IF($AN4="",OFFSET(Demand!$A$13,ROW(AB1)-1,4+((QUOTIENT(COLUMN(CR$2)-69,3))*5)+MOD(COLUMN(CR$2),3),1,1),"")</f>
        <v>0</v>
      </c>
      <c r="CS4">
        <f ca="1">IF($AN4="",OFFSET(Demand!$A$13,ROW(AC1)-1,4+((QUOTIENT(COLUMN(CS$2)-69,3))*5)+MOD(COLUMN(CS$2),3),1,1),"")</f>
        <v>0</v>
      </c>
      <c r="CT4">
        <f ca="1">IF($AN4="",OFFSET(Demand!$A$13,ROW(AD1)-1,4+((QUOTIENT(COLUMN(CT$2)-69,3))*5)+MOD(COLUMN(CT$2),3),1,1),"")</f>
        <v>0</v>
      </c>
      <c r="CW4" s="5">
        <f ca="1">SUM(OFFSET(Demand!$H$43,ROW(A1)-1,(COLUMN(A1)-1)*5,1,1))*N$2</f>
        <v>0</v>
      </c>
      <c r="CX4" s="5">
        <f ca="1">SUM(OFFSET(Demand!$H$43,ROW(B1)-1,(COLUMN(B1)-1)*5,1,1))*O$2</f>
        <v>0</v>
      </c>
      <c r="CY4" s="5">
        <f ca="1">SUM(OFFSET(Demand!$H$43,ROW(C1)-1,(COLUMN(C1)-1)*5,1,1))*P$2</f>
        <v>0</v>
      </c>
      <c r="CZ4" s="5">
        <f ca="1">SUM(OFFSET(Demand!$H$43,ROW(D1)-1,(COLUMN(D1)-1)*5,1,1))*Q$2</f>
        <v>0</v>
      </c>
      <c r="DA4" s="5">
        <f ca="1">SUM(OFFSET(Demand!$H$43,ROW(E1)-1,(COLUMN(E1)-1)*5,1,1))*R$2</f>
        <v>0</v>
      </c>
      <c r="DB4" s="5">
        <f ca="1">SUM(OFFSET(Demand!$H$43,ROW(F1)-1,(COLUMN(F1)-1)*5,1,1))*S$2</f>
        <v>0</v>
      </c>
      <c r="DC4" s="5">
        <f ca="1">SUM(OFFSET(Demand!$H$43,ROW(G1)-1,(COLUMN(G1)-1)*5,1,1))*T$2</f>
        <v>0</v>
      </c>
      <c r="DD4" s="5">
        <f ca="1">SUM(OFFSET(Demand!$H$43,ROW(H1)-1,(COLUMN(H1)-1)*5,1,1))*U$2</f>
        <v>0</v>
      </c>
      <c r="DE4" s="5">
        <f ca="1">SUM(OFFSET(Demand!$H$43,ROW(I1)-1,(COLUMN(I1)-1)*5,1,1))*V$2</f>
        <v>0</v>
      </c>
      <c r="DF4" s="5">
        <f ca="1">SUM(OFFSET(Demand!$H$43,ROW(J1)-1,(COLUMN(J1)-1)*5,1,1))*W$2</f>
        <v>0</v>
      </c>
      <c r="DG4" s="5">
        <f ca="1">IF(OR(AN4&lt;&gt;"",AND('Demand adjustments for Covid'!$F$9="Yes",'Demand adjustments for Covid'!$F$20="Yes")),"",SUM(CW4:DF4))</f>
        <v>0</v>
      </c>
      <c r="DI4" s="5" t="s">
        <v>228</v>
      </c>
      <c r="DJ4" s="5">
        <f ca="1">PERCENTILE((OFFSET('Demand background (hide)'!$DG$4,'SPC background (hide)'!$C$4-1,0,'SPC background (hide)'!$H$5,1)),'Control sheet (hide)'!$I$9)</f>
        <v>0</v>
      </c>
      <c r="DM4" s="5">
        <f>WEEKNUM(DN4,21)</f>
        <v>16</v>
      </c>
      <c r="DN4" s="320">
        <f>'Demand adjustments for Covid'!F12</f>
        <v>43934</v>
      </c>
      <c r="DO4" s="5">
        <f ca="1">VLOOKUP(IF($DM4&lt;53,$DM4,52),'Summary Calculations (hide)'!$D$15:$F$67,2,0)</f>
        <v>122</v>
      </c>
      <c r="DP4" s="5">
        <f ca="1">VLOOKUP(IF($DM4&lt;53,$DM4,52),'Summary Calculations (hide)'!$D$15:$F$67,3,0)</f>
        <v>134.20000000000002</v>
      </c>
      <c r="DQ4" s="5">
        <f>IF(AND(DN4&gt;='Demand adjustments for Covid'!$F$12,DN4&lt;'Demand adjustments for Covid'!$F$17),'Demand adjustments for Covid'!$F$13,DO4)</f>
        <v>10</v>
      </c>
      <c r="DR4" s="5">
        <f t="shared" ref="DR4:DR35" si="7">IF(AND(ROW(A1)&gt;=$EE$4,ROW(A1)&lt;=$EE$5),1,0)</f>
        <v>0</v>
      </c>
      <c r="DS4" s="5">
        <f>IF('Demand adjustments for Covid'!$F$9="Yes",IF(DR4=0,DQ4,((SUM(DR$4:DR4)-1)*$EE$8)+'Demand adjustments for Covid'!F$13),'Demand background (hide)'!DO4)</f>
        <v>10</v>
      </c>
      <c r="DT4" s="5">
        <f>IF('Demand adjustments for Covid'!$F$9="Yes",IF(OR(AND(DN4&gt;='Demand adjustments for Covid'!$F$12,DN4&lt;'Demand adjustments for Covid'!$F$17),DR4=1),DS4+3,DP4),'Demand background (hide)'!DP4)</f>
        <v>13</v>
      </c>
      <c r="DU4" s="5">
        <f ca="1">IF(DS4&lt;='Demand adjustments for Covid'!$F$17,DO4-DS4,0)</f>
        <v>112</v>
      </c>
      <c r="DV4" s="5">
        <f ca="1">IF(AND(ROW(A1)&gt;$EE$5,ROW(A1)&lt;=$EA$5),OFFSET('Demand adjustments for Covid'!$F$35,0,ROW(A1)-'Demand background (hide)'!$EE$5,1,1),0)</f>
        <v>0</v>
      </c>
      <c r="DW4" s="5">
        <f ca="1">IF(AND(ROW(A1)&gt;$EE$5,ROW(A1)&lt;=$EA$5),OFFSET('Demand adjustments for Covid'!$F$36,0,ROW(A1)-'Demand background (hide)'!$EE$5,1,1),0)</f>
        <v>0</v>
      </c>
      <c r="DX4" s="5">
        <f ca="1">SUM(DV4:DW4,DT4)</f>
        <v>13</v>
      </c>
      <c r="ED4" s="5" t="s">
        <v>1200</v>
      </c>
      <c r="EE4" s="5">
        <f>MATCH('Demand adjustments for Covid'!$F$17,$DN$4:$DN$55,0)</f>
        <v>5</v>
      </c>
    </row>
    <row r="5" spans="1:135" s="5" customFormat="1" x14ac:dyDescent="0.25">
      <c r="A5" s="5">
        <f t="shared" ca="1" si="3"/>
        <v>0</v>
      </c>
      <c r="B5" s="5">
        <f ca="1">COUNTBLANK(OFFSET(Demand!$I14,0,(COLUMN(A2)-1)*5,1,1))</f>
        <v>0</v>
      </c>
      <c r="C5" s="5">
        <f ca="1">COUNTBLANK(OFFSET(Demand!$I14,0,(COLUMN(B2)-1)*5,1,1))</f>
        <v>1</v>
      </c>
      <c r="D5" s="5">
        <f ca="1">COUNTBLANK(OFFSET(Demand!$I14,0,(COLUMN(C2)-1)*5,1,1))</f>
        <v>1</v>
      </c>
      <c r="E5" s="5">
        <f ca="1">COUNTBLANK(OFFSET(Demand!$I14,0,(COLUMN(D2)-1)*5,1,1))</f>
        <v>1</v>
      </c>
      <c r="F5" s="5">
        <f ca="1">COUNTBLANK(OFFSET(Demand!$I14,0,(COLUMN(E2)-1)*5,1,1))</f>
        <v>1</v>
      </c>
      <c r="G5" s="5">
        <f ca="1">COUNTBLANK(OFFSET(Demand!$I14,0,(COLUMN(F2)-1)*5,1,1))</f>
        <v>1</v>
      </c>
      <c r="H5" s="5">
        <f ca="1">COUNTBLANK(OFFSET(Demand!$I14,0,(COLUMN(G2)-1)*5,1,1))</f>
        <v>1</v>
      </c>
      <c r="I5" s="5">
        <f ca="1">COUNTBLANK(OFFSET(Demand!$I14,0,(COLUMN(H2)-1)*5,1,1))</f>
        <v>1</v>
      </c>
      <c r="J5" s="5">
        <f ca="1">COUNTBLANK(OFFSET(Demand!$I14,0,(COLUMN(I2)-1)*5,1,1))</f>
        <v>1</v>
      </c>
      <c r="K5" s="5">
        <f ca="1">COUNTBLANK(OFFSET(Demand!$I14,0,(COLUMN(J2)-1)*5,1,1))</f>
        <v>1</v>
      </c>
      <c r="N5" s="5">
        <f ca="1">SUM(OFFSET(Demand!$E14,0,(COLUMN(A2)-1)*5,1,3))*N$2</f>
        <v>124</v>
      </c>
      <c r="O5" s="5">
        <f ca="1">SUM(OFFSET(Demand!$E14,0,(COLUMN(B2)-1)*5,1,3))*O$2</f>
        <v>0</v>
      </c>
      <c r="P5" s="5">
        <f ca="1">SUM(OFFSET(Demand!$E14,0,(COLUMN(C2)-1)*5,1,3))*P$2</f>
        <v>0</v>
      </c>
      <c r="Q5" s="5">
        <f ca="1">SUM(OFFSET(Demand!$E14,0,(COLUMN(D2)-1)*5,1,3))*Q$2</f>
        <v>0</v>
      </c>
      <c r="R5" s="5">
        <f ca="1">SUM(OFFSET(Demand!$E14,0,(COLUMN(E2)-1)*5,1,3))*R$2</f>
        <v>0</v>
      </c>
      <c r="S5" s="5">
        <f ca="1">SUM(OFFSET(Demand!$E14,0,(COLUMN(F2)-1)*5,1,3))*S$2</f>
        <v>0</v>
      </c>
      <c r="T5" s="5">
        <f ca="1">SUM(OFFSET(Demand!$E14,0,(COLUMN(G2)-1)*5,1,3))*T$2</f>
        <v>0</v>
      </c>
      <c r="U5" s="5">
        <f ca="1">SUM(OFFSET(Demand!$E14,0,(COLUMN(H2)-1)*5,1,3))*U$2</f>
        <v>0</v>
      </c>
      <c r="V5" s="5">
        <f ca="1">SUM(OFFSET(Demand!$E14,0,(COLUMN(I2)-1)*5,1,3))*V$2</f>
        <v>0</v>
      </c>
      <c r="W5" s="5">
        <f ca="1">SUM(OFFSET(Demand!$E14,0,(COLUMN(J2)-1)*5,1,3))*W$2</f>
        <v>0</v>
      </c>
      <c r="X5" s="5">
        <f t="shared" ca="1" si="4"/>
        <v>124</v>
      </c>
      <c r="Y5" s="5">
        <f t="shared" ca="1" si="5"/>
        <v>124</v>
      </c>
      <c r="Z5" s="5">
        <f ca="1">SUM(OFFSET(Demand!$H14,0,(COLUMN(A2)-1)*5,1,1))*N$2</f>
        <v>0</v>
      </c>
      <c r="AA5" s="5">
        <f ca="1">SUM(OFFSET(Demand!$H14,0,(COLUMN(B2)-1)*5,1,1))*O$2</f>
        <v>0</v>
      </c>
      <c r="AB5" s="5">
        <f ca="1">SUM(OFFSET(Demand!$H14,0,(COLUMN(C2)-1)*5,1,1))*P$2</f>
        <v>0</v>
      </c>
      <c r="AC5" s="5">
        <f ca="1">SUM(OFFSET(Demand!$H14,0,(COLUMN(D2)-1)*5,1,1))*Q$2</f>
        <v>0</v>
      </c>
      <c r="AD5" s="5">
        <f ca="1">SUM(OFFSET(Demand!$H14,0,(COLUMN(E2)-1)*5,1,1))*R$2</f>
        <v>0</v>
      </c>
      <c r="AE5" s="5">
        <f ca="1">SUM(OFFSET(Demand!$H14,0,(COLUMN(F2)-1)*5,1,1))*S$2</f>
        <v>0</v>
      </c>
      <c r="AF5" s="5">
        <f ca="1">SUM(OFFSET(Demand!$H14,0,(COLUMN(G2)-1)*5,1,1))*T$2</f>
        <v>0</v>
      </c>
      <c r="AG5" s="5">
        <f ca="1">SUM(OFFSET(Demand!$H14,0,(COLUMN(H2)-1)*5,1,1))*U$2</f>
        <v>0</v>
      </c>
      <c r="AH5" s="5">
        <f ca="1">SUM(OFFSET(Demand!$H14,0,(COLUMN(I2)-1)*5,1,1))*V$2</f>
        <v>0</v>
      </c>
      <c r="AI5" s="5">
        <f ca="1">SUM(OFFSET(Demand!$H14,0,(COLUMN(J2)-1)*5,1,1))*W$2</f>
        <v>0</v>
      </c>
      <c r="AJ5" s="5">
        <f t="shared" ca="1" si="6"/>
        <v>0</v>
      </c>
      <c r="AL5" s="5">
        <f t="shared" ref="AL5:AL68" ca="1" si="8">X5</f>
        <v>124</v>
      </c>
      <c r="AM5" s="5">
        <f t="shared" ref="AM5:AM68" ca="1" si="9">IF(AN5&lt;&gt;"","",AJ5)</f>
        <v>0</v>
      </c>
      <c r="AN5" s="5" t="str">
        <f>IF(Demand!BE14="Yes","Yes","")</f>
        <v/>
      </c>
      <c r="AP5" s="36" t="str">
        <f ca="1">Demand!B14</f>
        <v xml:space="preserve"> </v>
      </c>
      <c r="AQ5" s="5" t="str">
        <f ca="1">IF(TEXT(Demand!D14,"MMM")&lt;&gt;TEXT(Demand!D13,"MMM"),TEXT(Demand!D14,"MMM"),"")</f>
        <v/>
      </c>
      <c r="AT5" s="5">
        <f ca="1">IF(OR(AL5="",AL4=""),"",ABS(AL5-AL4))</f>
        <v>2</v>
      </c>
      <c r="AV5" s="5" t="s">
        <v>70</v>
      </c>
      <c r="AW5" s="44">
        <f ca="1">AW4/1.128</f>
        <v>5.7131599684791183</v>
      </c>
      <c r="BB5"/>
      <c r="BC5" t="s">
        <v>76</v>
      </c>
      <c r="BD5" t="s">
        <v>77</v>
      </c>
      <c r="BE5" t="s">
        <v>78</v>
      </c>
      <c r="BF5" t="s">
        <v>80</v>
      </c>
      <c r="BG5" t="s">
        <v>81</v>
      </c>
      <c r="BH5" t="s">
        <v>82</v>
      </c>
      <c r="BI5" t="s">
        <v>86</v>
      </c>
      <c r="BJ5" t="s">
        <v>83</v>
      </c>
      <c r="BK5" t="s">
        <v>84</v>
      </c>
      <c r="BL5" t="s">
        <v>85</v>
      </c>
      <c r="BM5" t="s">
        <v>203</v>
      </c>
      <c r="BN5" s="5" t="s">
        <v>212</v>
      </c>
      <c r="BO5" s="5" t="s">
        <v>213</v>
      </c>
      <c r="BQ5">
        <f ca="1">IF($AN5="",OFFSET(Demand!$A$13,ROW(A2)-1,4+((QUOTIENT(COLUMN(BQ$2)-69,3))*5)+MOD(COLUMN(BQ$2),3),1,1),"")</f>
        <v>0</v>
      </c>
      <c r="BR5">
        <f ca="1">IF($AN5="",OFFSET(Demand!$A$13,ROW(B2)-1,4+((QUOTIENT(COLUMN(BR$2)-69,3))*5)+MOD(COLUMN(BR$2),3),1,1),"")</f>
        <v>0</v>
      </c>
      <c r="BS5">
        <f ca="1">IF($AN5="",OFFSET(Demand!$A$13,ROW(C2)-1,4+((QUOTIENT(COLUMN(BS$2)-69,3))*5)+MOD(COLUMN(BS$2),3),1,1),"")</f>
        <v>62</v>
      </c>
      <c r="BT5">
        <f ca="1">IF($AN5="",OFFSET(Demand!$A$13,ROW(D2)-1,4+((QUOTIENT(COLUMN(BT$2)-69,3))*5)+MOD(COLUMN(BT$2),3),1,1),"")</f>
        <v>0</v>
      </c>
      <c r="BU5">
        <f ca="1">IF($AN5="",OFFSET(Demand!$A$13,ROW(E2)-1,4+((QUOTIENT(COLUMN(BU$2)-69,3))*5)+MOD(COLUMN(BU$2),3),1,1),"")</f>
        <v>0</v>
      </c>
      <c r="BV5">
        <f ca="1">IF($AN5="",OFFSET(Demand!$A$13,ROW(F2)-1,4+((QUOTIENT(COLUMN(BV$2)-69,3))*5)+MOD(COLUMN(BV$2),3),1,1),"")</f>
        <v>0</v>
      </c>
      <c r="BW5">
        <f ca="1">IF($AN5="",OFFSET(Demand!$A$13,ROW(G2)-1,4+((QUOTIENT(COLUMN(BW$2)-69,3))*5)+MOD(COLUMN(BW$2),3),1,1),"")</f>
        <v>0</v>
      </c>
      <c r="BX5">
        <f ca="1">IF($AN5="",OFFSET(Demand!$A$13,ROW(H2)-1,4+((QUOTIENT(COLUMN(BX$2)-69,3))*5)+MOD(COLUMN(BX$2),3),1,1),"")</f>
        <v>0</v>
      </c>
      <c r="BY5">
        <f ca="1">IF($AN5="",OFFSET(Demand!$A$13,ROW(I2)-1,4+((QUOTIENT(COLUMN(BY$2)-69,3))*5)+MOD(COLUMN(BY$2),3),1,1),"")</f>
        <v>0</v>
      </c>
      <c r="BZ5">
        <f ca="1">IF($AN5="",OFFSET(Demand!$A$13,ROW(J2)-1,4+((QUOTIENT(COLUMN(BZ$2)-69,3))*5)+MOD(COLUMN(BZ$2),3),1,1),"")</f>
        <v>0</v>
      </c>
      <c r="CA5">
        <f ca="1">IF($AN5="",OFFSET(Demand!$A$13,ROW(K2)-1,4+((QUOTIENT(COLUMN(CA$2)-69,3))*5)+MOD(COLUMN(CA$2),3),1,1),"")</f>
        <v>0</v>
      </c>
      <c r="CB5">
        <f ca="1">IF($AN5="",OFFSET(Demand!$A$13,ROW(L2)-1,4+((QUOTIENT(COLUMN(CB$2)-69,3))*5)+MOD(COLUMN(CB$2),3),1,1),"")</f>
        <v>0</v>
      </c>
      <c r="CC5">
        <f ca="1">IF($AN5="",OFFSET(Demand!$A$13,ROW(M2)-1,4+((QUOTIENT(COLUMN(CC$2)-69,3))*5)+MOD(COLUMN(CC$2),3),1,1),"")</f>
        <v>0</v>
      </c>
      <c r="CD5">
        <f ca="1">IF($AN5="",OFFSET(Demand!$A$13,ROW(N2)-1,4+((QUOTIENT(COLUMN(CD$2)-69,3))*5)+MOD(COLUMN(CD$2),3),1,1),"")</f>
        <v>0</v>
      </c>
      <c r="CE5">
        <f ca="1">IF($AN5="",OFFSET(Demand!$A$13,ROW(O2)-1,4+((QUOTIENT(COLUMN(CE$2)-69,3))*5)+MOD(COLUMN(CE$2),3),1,1),"")</f>
        <v>0</v>
      </c>
      <c r="CF5">
        <f ca="1">IF($AN5="",OFFSET(Demand!$A$13,ROW(P2)-1,4+((QUOTIENT(COLUMN(CF$2)-69,3))*5)+MOD(COLUMN(CF$2),3),1,1),"")</f>
        <v>0</v>
      </c>
      <c r="CG5">
        <f ca="1">IF($AN5="",OFFSET(Demand!$A$13,ROW(Q2)-1,4+((QUOTIENT(COLUMN(CG$2)-69,3))*5)+MOD(COLUMN(CG$2),3),1,1),"")</f>
        <v>0</v>
      </c>
      <c r="CH5">
        <f ca="1">IF($AN5="",OFFSET(Demand!$A$13,ROW(R2)-1,4+((QUOTIENT(COLUMN(CH$2)-69,3))*5)+MOD(COLUMN(CH$2),3),1,1),"")</f>
        <v>0</v>
      </c>
      <c r="CI5">
        <f ca="1">IF($AN5="",OFFSET(Demand!$A$13,ROW(S2)-1,4+((QUOTIENT(COLUMN(CI$2)-69,3))*5)+MOD(COLUMN(CI$2),3),1,1),"")</f>
        <v>0</v>
      </c>
      <c r="CJ5">
        <f ca="1">IF($AN5="",OFFSET(Demand!$A$13,ROW(T2)-1,4+((QUOTIENT(COLUMN(CJ$2)-69,3))*5)+MOD(COLUMN(CJ$2),3),1,1),"")</f>
        <v>0</v>
      </c>
      <c r="CK5">
        <f ca="1">IF($AN5="",OFFSET(Demand!$A$13,ROW(U2)-1,4+((QUOTIENT(COLUMN(CK$2)-69,3))*5)+MOD(COLUMN(CK$2),3),1,1),"")</f>
        <v>0</v>
      </c>
      <c r="CL5">
        <f ca="1">IF($AN5="",OFFSET(Demand!$A$13,ROW(V2)-1,4+((QUOTIENT(COLUMN(CL$2)-69,3))*5)+MOD(COLUMN(CL$2),3),1,1),"")</f>
        <v>0</v>
      </c>
      <c r="CM5">
        <f ca="1">IF($AN5="",OFFSET(Demand!$A$13,ROW(W2)-1,4+((QUOTIENT(COLUMN(CM$2)-69,3))*5)+MOD(COLUMN(CM$2),3),1,1),"")</f>
        <v>0</v>
      </c>
      <c r="CN5">
        <f ca="1">IF($AN5="",OFFSET(Demand!$A$13,ROW(X2)-1,4+((QUOTIENT(COLUMN(CN$2)-69,3))*5)+MOD(COLUMN(CN$2),3),1,1),"")</f>
        <v>0</v>
      </c>
      <c r="CO5">
        <f ca="1">IF($AN5="",OFFSET(Demand!$A$13,ROW(Y2)-1,4+((QUOTIENT(COLUMN(CO$2)-69,3))*5)+MOD(COLUMN(CO$2),3),1,1),"")</f>
        <v>0</v>
      </c>
      <c r="CP5">
        <f ca="1">IF($AN5="",OFFSET(Demand!$A$13,ROW(Z2)-1,4+((QUOTIENT(COLUMN(CP$2)-69,3))*5)+MOD(COLUMN(CP$2),3),1,1),"")</f>
        <v>0</v>
      </c>
      <c r="CQ5">
        <f ca="1">IF($AN5="",OFFSET(Demand!$A$13,ROW(AA2)-1,4+((QUOTIENT(COLUMN(CQ$2)-69,3))*5)+MOD(COLUMN(CQ$2),3),1,1),"")</f>
        <v>0</v>
      </c>
      <c r="CR5">
        <f ca="1">IF($AN5="",OFFSET(Demand!$A$13,ROW(AB2)-1,4+((QUOTIENT(COLUMN(CR$2)-69,3))*5)+MOD(COLUMN(CR$2),3),1,1),"")</f>
        <v>0</v>
      </c>
      <c r="CS5">
        <f ca="1">IF($AN5="",OFFSET(Demand!$A$13,ROW(AC2)-1,4+((QUOTIENT(COLUMN(CS$2)-69,3))*5)+MOD(COLUMN(CS$2),3),1,1),"")</f>
        <v>0</v>
      </c>
      <c r="CT5">
        <f ca="1">IF($AN5="",OFFSET(Demand!$A$13,ROW(AD2)-1,4+((QUOTIENT(COLUMN(CT$2)-69,3))*5)+MOD(COLUMN(CT$2),3),1,1),"")</f>
        <v>0</v>
      </c>
      <c r="CW5" s="5">
        <f ca="1">SUM(OFFSET(Demand!$H$43,ROW(A2)-1,(COLUMN(A2)-1)*5,1,1))*N$2</f>
        <v>0</v>
      </c>
      <c r="CX5" s="5">
        <f ca="1">SUM(OFFSET(Demand!$H$43,ROW(B2)-1,(COLUMN(B2)-1)*5,1,1))*O$2</f>
        <v>0</v>
      </c>
      <c r="CY5" s="5">
        <f ca="1">SUM(OFFSET(Demand!$H$43,ROW(C2)-1,(COLUMN(C2)-1)*5,1,1))*P$2</f>
        <v>0</v>
      </c>
      <c r="CZ5" s="5">
        <f ca="1">SUM(OFFSET(Demand!$H$43,ROW(D2)-1,(COLUMN(D2)-1)*5,1,1))*Q$2</f>
        <v>0</v>
      </c>
      <c r="DA5" s="5">
        <f ca="1">SUM(OFFSET(Demand!$H$43,ROW(E2)-1,(COLUMN(E2)-1)*5,1,1))*R$2</f>
        <v>0</v>
      </c>
      <c r="DB5" s="5">
        <f ca="1">SUM(OFFSET(Demand!$H$43,ROW(F2)-1,(COLUMN(F2)-1)*5,1,1))*S$2</f>
        <v>0</v>
      </c>
      <c r="DC5" s="5">
        <f ca="1">SUM(OFFSET(Demand!$H$43,ROW(G2)-1,(COLUMN(G2)-1)*5,1,1))*T$2</f>
        <v>0</v>
      </c>
      <c r="DD5" s="5">
        <f ca="1">SUM(OFFSET(Demand!$H$43,ROW(H2)-1,(COLUMN(H2)-1)*5,1,1))*U$2</f>
        <v>0</v>
      </c>
      <c r="DE5" s="5">
        <f ca="1">SUM(OFFSET(Demand!$H$43,ROW(I2)-1,(COLUMN(I2)-1)*5,1,1))*V$2</f>
        <v>0</v>
      </c>
      <c r="DF5" s="5">
        <f ca="1">SUM(OFFSET(Demand!$H$43,ROW(J2)-1,(COLUMN(J2)-1)*5,1,1))*W$2</f>
        <v>0</v>
      </c>
      <c r="DG5" s="5">
        <f ca="1">IF(OR(AN5&lt;&gt;"",AND('Demand adjustments for Covid'!$F$9="Yes",'Demand adjustments for Covid'!$F$20="Yes")),"",SUM(CW5:DF5))</f>
        <v>0</v>
      </c>
      <c r="DI5" s="5" t="s">
        <v>229</v>
      </c>
      <c r="DJ5" s="5">
        <f ca="1">PERCENTILE((OFFSET('Demand background (hide)'!$DG$4,'SPC background (hide)'!$C$4-1,0,'SPC background (hide)'!$H$5,1)),'Control sheet (hide)'!$I$10)</f>
        <v>0</v>
      </c>
      <c r="DM5" s="5">
        <f t="shared" ref="DM5:DM55" si="10">WEEKNUM(DN5,21)</f>
        <v>17</v>
      </c>
      <c r="DN5" s="320">
        <f>DN4+7</f>
        <v>43941</v>
      </c>
      <c r="DO5" s="5">
        <f ca="1">VLOOKUP(IF($DM5&lt;53,$DM5,52),'Summary Calculations (hide)'!$D$15:$F$67,2,0)</f>
        <v>124</v>
      </c>
      <c r="DP5" s="5">
        <f ca="1">VLOOKUP(IF($DM5&lt;53,$DM5,52),'Summary Calculations (hide)'!$D$15:$F$67,3,0)</f>
        <v>136.4</v>
      </c>
      <c r="DQ5" s="5">
        <f>IF(AND(DN5&gt;='Demand adjustments for Covid'!$F$12,DN5&lt;'Demand adjustments for Covid'!$F$17),'Demand adjustments for Covid'!$F$13,DO5)</f>
        <v>10</v>
      </c>
      <c r="DR5" s="5">
        <f t="shared" si="7"/>
        <v>0</v>
      </c>
      <c r="DS5" s="5">
        <f>IF('Demand adjustments for Covid'!$F$9="Yes",IF(DR5=0,DQ5,((SUM(DR$4:DR5)-1)*$EE$8)+'Demand adjustments for Covid'!F$13),'Demand background (hide)'!DO5)</f>
        <v>10</v>
      </c>
      <c r="DT5" s="5">
        <f>IF('Demand adjustments for Covid'!$F$9="Yes",IF(OR(AND(DN5&gt;='Demand adjustments for Covid'!$F$12,DN5&lt;'Demand adjustments for Covid'!$F$17),DR5=1),DS5+3,DP5),'Demand background (hide)'!DP5)</f>
        <v>13</v>
      </c>
      <c r="DU5" s="5">
        <f ca="1">IF(DS5&lt;='Demand adjustments for Covid'!$F$17,DO5-DS5,0)</f>
        <v>114</v>
      </c>
      <c r="DV5" s="5">
        <f ca="1">IF(AND(ROW(A2)&gt;$EE$5,ROW(A2)&lt;=$EA$5),OFFSET('Demand adjustments for Covid'!$F$35,0,ROW(A2)-'Demand background (hide)'!$EE$5,1,1),0)</f>
        <v>0</v>
      </c>
      <c r="DW5" s="5">
        <f ca="1">IF(AND(ROW(A2)&gt;$EE$5,ROW(A2)&lt;=$EA$5),OFFSET('Demand adjustments for Covid'!$F$36,0,ROW(A2)-'Demand background (hide)'!$EE$5,1,1),0)</f>
        <v>0</v>
      </c>
      <c r="DX5" s="5">
        <f t="shared" ref="DX5:DX55" ca="1" si="11">SUM(DV5:DW5,DT5)</f>
        <v>13</v>
      </c>
      <c r="DZ5" s="5" t="s">
        <v>1235</v>
      </c>
      <c r="EA5" s="5">
        <f>MATCH('Demand adjustments for Covid'!F17,'Demand background (hide)'!DN4:DN55,0)+'Demand adjustments for Covid'!F18+12</f>
        <v>20</v>
      </c>
      <c r="ED5" s="5" t="s">
        <v>1201</v>
      </c>
      <c r="EE5" s="5">
        <f>EE4+'Demand adjustments for Covid'!$F$18</f>
        <v>8</v>
      </c>
    </row>
    <row r="6" spans="1:135" s="5" customFormat="1" x14ac:dyDescent="0.25">
      <c r="A6" s="5">
        <f t="shared" ca="1" si="3"/>
        <v>0</v>
      </c>
      <c r="B6" s="5">
        <f ca="1">COUNTBLANK(OFFSET(Demand!$I15,0,(COLUMN(A3)-1)*5,1,1))</f>
        <v>0</v>
      </c>
      <c r="C6" s="5">
        <f ca="1">COUNTBLANK(OFFSET(Demand!$I15,0,(COLUMN(B3)-1)*5,1,1))</f>
        <v>1</v>
      </c>
      <c r="D6" s="5">
        <f ca="1">COUNTBLANK(OFFSET(Demand!$I15,0,(COLUMN(C3)-1)*5,1,1))</f>
        <v>1</v>
      </c>
      <c r="E6" s="5">
        <f ca="1">COUNTBLANK(OFFSET(Demand!$I15,0,(COLUMN(D3)-1)*5,1,1))</f>
        <v>1</v>
      </c>
      <c r="F6" s="5">
        <f ca="1">COUNTBLANK(OFFSET(Demand!$I15,0,(COLUMN(E3)-1)*5,1,1))</f>
        <v>1</v>
      </c>
      <c r="G6" s="5">
        <f ca="1">COUNTBLANK(OFFSET(Demand!$I15,0,(COLUMN(F3)-1)*5,1,1))</f>
        <v>1</v>
      </c>
      <c r="H6" s="5">
        <f ca="1">COUNTBLANK(OFFSET(Demand!$I15,0,(COLUMN(G3)-1)*5,1,1))</f>
        <v>1</v>
      </c>
      <c r="I6" s="5">
        <f ca="1">COUNTBLANK(OFFSET(Demand!$I15,0,(COLUMN(H3)-1)*5,1,1))</f>
        <v>1</v>
      </c>
      <c r="J6" s="5">
        <f ca="1">COUNTBLANK(OFFSET(Demand!$I15,0,(COLUMN(I3)-1)*5,1,1))</f>
        <v>1</v>
      </c>
      <c r="K6" s="5">
        <f ca="1">COUNTBLANK(OFFSET(Demand!$I15,0,(COLUMN(J3)-1)*5,1,1))</f>
        <v>1</v>
      </c>
      <c r="N6" s="5">
        <f ca="1">SUM(OFFSET(Demand!$E15,0,(COLUMN(A3)-1)*5,1,3))*N$2</f>
        <v>138</v>
      </c>
      <c r="O6" s="5">
        <f ca="1">SUM(OFFSET(Demand!$E15,0,(COLUMN(B3)-1)*5,1,3))*O$2</f>
        <v>0</v>
      </c>
      <c r="P6" s="5">
        <f ca="1">SUM(OFFSET(Demand!$E15,0,(COLUMN(C3)-1)*5,1,3))*P$2</f>
        <v>0</v>
      </c>
      <c r="Q6" s="5">
        <f ca="1">SUM(OFFSET(Demand!$E15,0,(COLUMN(D3)-1)*5,1,3))*Q$2</f>
        <v>0</v>
      </c>
      <c r="R6" s="5">
        <f ca="1">SUM(OFFSET(Demand!$E15,0,(COLUMN(E3)-1)*5,1,3))*R$2</f>
        <v>0</v>
      </c>
      <c r="S6" s="5">
        <f ca="1">SUM(OFFSET(Demand!$E15,0,(COLUMN(F3)-1)*5,1,3))*S$2</f>
        <v>0</v>
      </c>
      <c r="T6" s="5">
        <f ca="1">SUM(OFFSET(Demand!$E15,0,(COLUMN(G3)-1)*5,1,3))*T$2</f>
        <v>0</v>
      </c>
      <c r="U6" s="5">
        <f ca="1">SUM(OFFSET(Demand!$E15,0,(COLUMN(H3)-1)*5,1,3))*U$2</f>
        <v>0</v>
      </c>
      <c r="V6" s="5">
        <f ca="1">SUM(OFFSET(Demand!$E15,0,(COLUMN(I3)-1)*5,1,3))*V$2</f>
        <v>0</v>
      </c>
      <c r="W6" s="5">
        <f ca="1">SUM(OFFSET(Demand!$E15,0,(COLUMN(J3)-1)*5,1,3))*W$2</f>
        <v>0</v>
      </c>
      <c r="X6" s="5">
        <f t="shared" ca="1" si="4"/>
        <v>138</v>
      </c>
      <c r="Y6" s="5">
        <f t="shared" ca="1" si="5"/>
        <v>138</v>
      </c>
      <c r="Z6" s="5">
        <f ca="1">SUM(OFFSET(Demand!$H15,0,(COLUMN(A3)-1)*5,1,1))*N$2</f>
        <v>0</v>
      </c>
      <c r="AA6" s="5">
        <f ca="1">SUM(OFFSET(Demand!$H15,0,(COLUMN(B3)-1)*5,1,1))*O$2</f>
        <v>0</v>
      </c>
      <c r="AB6" s="5">
        <f ca="1">SUM(OFFSET(Demand!$H15,0,(COLUMN(C3)-1)*5,1,1))*P$2</f>
        <v>0</v>
      </c>
      <c r="AC6" s="5">
        <f ca="1">SUM(OFFSET(Demand!$H15,0,(COLUMN(D3)-1)*5,1,1))*Q$2</f>
        <v>0</v>
      </c>
      <c r="AD6" s="5">
        <f ca="1">SUM(OFFSET(Demand!$H15,0,(COLUMN(E3)-1)*5,1,1))*R$2</f>
        <v>0</v>
      </c>
      <c r="AE6" s="5">
        <f ca="1">SUM(OFFSET(Demand!$H15,0,(COLUMN(F3)-1)*5,1,1))*S$2</f>
        <v>0</v>
      </c>
      <c r="AF6" s="5">
        <f ca="1">SUM(OFFSET(Demand!$H15,0,(COLUMN(G3)-1)*5,1,1))*T$2</f>
        <v>0</v>
      </c>
      <c r="AG6" s="5">
        <f ca="1">SUM(OFFSET(Demand!$H15,0,(COLUMN(H3)-1)*5,1,1))*U$2</f>
        <v>0</v>
      </c>
      <c r="AH6" s="5">
        <f ca="1">SUM(OFFSET(Demand!$H15,0,(COLUMN(I3)-1)*5,1,1))*V$2</f>
        <v>0</v>
      </c>
      <c r="AI6" s="5">
        <f ca="1">SUM(OFFSET(Demand!$H15,0,(COLUMN(J3)-1)*5,1,1))*W$2</f>
        <v>0</v>
      </c>
      <c r="AJ6" s="5">
        <f t="shared" ca="1" si="6"/>
        <v>0</v>
      </c>
      <c r="AL6" s="5">
        <f t="shared" ca="1" si="8"/>
        <v>138</v>
      </c>
      <c r="AM6" s="5">
        <f t="shared" ca="1" si="9"/>
        <v>0</v>
      </c>
      <c r="AN6" s="5" t="str">
        <f>IF(Demand!BE15="Yes","Yes","")</f>
        <v/>
      </c>
      <c r="AP6" s="36" t="str">
        <f ca="1">Demand!B15</f>
        <v xml:space="preserve"> </v>
      </c>
      <c r="AQ6" s="5" t="str">
        <f ca="1">IF(TEXT(Demand!D15,"MMM")&lt;&gt;TEXT(Demand!D14,"MMM"),TEXT(Demand!D15,"MMM"),"")</f>
        <v/>
      </c>
      <c r="AT6" s="5">
        <f t="shared" ref="AT6:AT69" ca="1" si="12">IF(OR(AL6="",AL5=""),"",ABS(AL6-AL5))</f>
        <v>14</v>
      </c>
      <c r="AV6" s="5" t="s">
        <v>137</v>
      </c>
      <c r="AW6" s="44">
        <f ca="1">PERCENTILE(OFFSET(AL$4,'SPC background (hide)'!$C$4-1,0,'SPC background (hide)'!$H$5,1),'Control sheet (hide)'!$I$9)</f>
        <v>142</v>
      </c>
      <c r="AX6" s="5">
        <f ca="1">PERCENTILE(OFFSET(AM$4,'SPC background (hide)'!$C$4-1,0,'SPC background (hide)'!$H$5,1),'Control sheet (hide)'!$I$9)</f>
        <v>0</v>
      </c>
      <c r="BB6" t="str">
        <f>'Control sheet (hide)'!AA3</f>
        <v>Modality 1</v>
      </c>
      <c r="BC6" s="46">
        <f t="shared" ref="BC6:BC15" ca="1" si="13">IFERROR(IF(ROW(A1)&lt;=Num_Modalities,BJ6/$BM6,""),"")</f>
        <v>0</v>
      </c>
      <c r="BD6" s="46">
        <f t="shared" ref="BD6:BD15" ca="1" si="14">IFERROR(IF(ROW(B1)&lt;=Num_Modalities,BK6/$BM6,""),"")</f>
        <v>0</v>
      </c>
      <c r="BE6" s="46">
        <f t="shared" ref="BE6:BE15" ca="1" si="15">IFERROR(IF(ROW(C1)&lt;=Num_Modalities,BL6/$BM6,""),"")</f>
        <v>1</v>
      </c>
      <c r="BF6" s="5">
        <f ca="1">SUM(OFFSET($BQ$4,'SPC background (hide)'!$C$4-1,((ROW(A1)-1)*3)+MOD(COLUMN(C1),3),'SPC background (hide)'!$I$11,1))</f>
        <v>0</v>
      </c>
      <c r="BG6" s="5">
        <f ca="1">SUM(OFFSET($BQ$4,'SPC background (hide)'!$C$4-1,((ROW(B1)-1)*3)+MOD(COLUMN(D1),3),'SPC background (hide)'!$I$11,1))</f>
        <v>0</v>
      </c>
      <c r="BH6" s="5">
        <f ca="1">SUM(OFFSET($BQ$4,'SPC background (hide)'!$C$4-1,((ROW(C1)-1)*3)+MOD(COLUMN(E1),3),'SPC background (hide)'!$I$11,1))</f>
        <v>710</v>
      </c>
      <c r="BI6" s="5">
        <f ca="1">SUM(BF6:BH6)</f>
        <v>710</v>
      </c>
      <c r="BJ6" s="5">
        <f ca="1">BF6*OFFSET($N$2,0,ROW(A1)-1,1,1)</f>
        <v>0</v>
      </c>
      <c r="BK6" s="5">
        <f t="shared" ref="BK6:BL6" ca="1" si="16">BG6*OFFSET($N$2,0,ROW(B1)-1,1,1)</f>
        <v>0</v>
      </c>
      <c r="BL6" s="5">
        <f t="shared" ca="1" si="16"/>
        <v>1420</v>
      </c>
      <c r="BM6" s="5">
        <f ca="1">SUM(BJ6:BL6)</f>
        <v>1420</v>
      </c>
      <c r="BN6" s="5">
        <f ca="1">OFFSET($N$2,0,ROW(A1)-1,1,1)</f>
        <v>2</v>
      </c>
      <c r="BO6" s="84">
        <f ca="1">BM6/$BM$16</f>
        <v>1</v>
      </c>
      <c r="BQ6">
        <f ca="1">IF($AN6="",OFFSET(Demand!$A$13,ROW(A3)-1,4+((QUOTIENT(COLUMN(BQ$2)-69,3))*5)+MOD(COLUMN(BQ$2),3),1,1),"")</f>
        <v>0</v>
      </c>
      <c r="BR6">
        <f ca="1">IF($AN6="",OFFSET(Demand!$A$13,ROW(B3)-1,4+((QUOTIENT(COLUMN(BR$2)-69,3))*5)+MOD(COLUMN(BR$2),3),1,1),"")</f>
        <v>0</v>
      </c>
      <c r="BS6">
        <f ca="1">IF($AN6="",OFFSET(Demand!$A$13,ROW(C3)-1,4+((QUOTIENT(COLUMN(BS$2)-69,3))*5)+MOD(COLUMN(BS$2),3),1,1),"")</f>
        <v>69</v>
      </c>
      <c r="BT6">
        <f ca="1">IF($AN6="",OFFSET(Demand!$A$13,ROW(D3)-1,4+((QUOTIENT(COLUMN(BT$2)-69,3))*5)+MOD(COLUMN(BT$2),3),1,1),"")</f>
        <v>0</v>
      </c>
      <c r="BU6">
        <f ca="1">IF($AN6="",OFFSET(Demand!$A$13,ROW(E3)-1,4+((QUOTIENT(COLUMN(BU$2)-69,3))*5)+MOD(COLUMN(BU$2),3),1,1),"")</f>
        <v>0</v>
      </c>
      <c r="BV6">
        <f ca="1">IF($AN6="",OFFSET(Demand!$A$13,ROW(F3)-1,4+((QUOTIENT(COLUMN(BV$2)-69,3))*5)+MOD(COLUMN(BV$2),3),1,1),"")</f>
        <v>0</v>
      </c>
      <c r="BW6">
        <f ca="1">IF($AN6="",OFFSET(Demand!$A$13,ROW(G3)-1,4+((QUOTIENT(COLUMN(BW$2)-69,3))*5)+MOD(COLUMN(BW$2),3),1,1),"")</f>
        <v>0</v>
      </c>
      <c r="BX6">
        <f ca="1">IF($AN6="",OFFSET(Demand!$A$13,ROW(H3)-1,4+((QUOTIENT(COLUMN(BX$2)-69,3))*5)+MOD(COLUMN(BX$2),3),1,1),"")</f>
        <v>0</v>
      </c>
      <c r="BY6">
        <f ca="1">IF($AN6="",OFFSET(Demand!$A$13,ROW(I3)-1,4+((QUOTIENT(COLUMN(BY$2)-69,3))*5)+MOD(COLUMN(BY$2),3),1,1),"")</f>
        <v>0</v>
      </c>
      <c r="BZ6">
        <f ca="1">IF($AN6="",OFFSET(Demand!$A$13,ROW(J3)-1,4+((QUOTIENT(COLUMN(BZ$2)-69,3))*5)+MOD(COLUMN(BZ$2),3),1,1),"")</f>
        <v>0</v>
      </c>
      <c r="CA6">
        <f ca="1">IF($AN6="",OFFSET(Demand!$A$13,ROW(K3)-1,4+((QUOTIENT(COLUMN(CA$2)-69,3))*5)+MOD(COLUMN(CA$2),3),1,1),"")</f>
        <v>0</v>
      </c>
      <c r="CB6">
        <f ca="1">IF($AN6="",OFFSET(Demand!$A$13,ROW(L3)-1,4+((QUOTIENT(COLUMN(CB$2)-69,3))*5)+MOD(COLUMN(CB$2),3),1,1),"")</f>
        <v>0</v>
      </c>
      <c r="CC6">
        <f ca="1">IF($AN6="",OFFSET(Demand!$A$13,ROW(M3)-1,4+((QUOTIENT(COLUMN(CC$2)-69,3))*5)+MOD(COLUMN(CC$2),3),1,1),"")</f>
        <v>0</v>
      </c>
      <c r="CD6">
        <f ca="1">IF($AN6="",OFFSET(Demand!$A$13,ROW(N3)-1,4+((QUOTIENT(COLUMN(CD$2)-69,3))*5)+MOD(COLUMN(CD$2),3),1,1),"")</f>
        <v>0</v>
      </c>
      <c r="CE6">
        <f ca="1">IF($AN6="",OFFSET(Demand!$A$13,ROW(O3)-1,4+((QUOTIENT(COLUMN(CE$2)-69,3))*5)+MOD(COLUMN(CE$2),3),1,1),"")</f>
        <v>0</v>
      </c>
      <c r="CF6">
        <f ca="1">IF($AN6="",OFFSET(Demand!$A$13,ROW(P3)-1,4+((QUOTIENT(COLUMN(CF$2)-69,3))*5)+MOD(COLUMN(CF$2),3),1,1),"")</f>
        <v>0</v>
      </c>
      <c r="CG6">
        <f ca="1">IF($AN6="",OFFSET(Demand!$A$13,ROW(Q3)-1,4+((QUOTIENT(COLUMN(CG$2)-69,3))*5)+MOD(COLUMN(CG$2),3),1,1),"")</f>
        <v>0</v>
      </c>
      <c r="CH6">
        <f ca="1">IF($AN6="",OFFSET(Demand!$A$13,ROW(R3)-1,4+((QUOTIENT(COLUMN(CH$2)-69,3))*5)+MOD(COLUMN(CH$2),3),1,1),"")</f>
        <v>0</v>
      </c>
      <c r="CI6">
        <f ca="1">IF($AN6="",OFFSET(Demand!$A$13,ROW(S3)-1,4+((QUOTIENT(COLUMN(CI$2)-69,3))*5)+MOD(COLUMN(CI$2),3),1,1),"")</f>
        <v>0</v>
      </c>
      <c r="CJ6">
        <f ca="1">IF($AN6="",OFFSET(Demand!$A$13,ROW(T3)-1,4+((QUOTIENT(COLUMN(CJ$2)-69,3))*5)+MOD(COLUMN(CJ$2),3),1,1),"")</f>
        <v>0</v>
      </c>
      <c r="CK6">
        <f ca="1">IF($AN6="",OFFSET(Demand!$A$13,ROW(U3)-1,4+((QUOTIENT(COLUMN(CK$2)-69,3))*5)+MOD(COLUMN(CK$2),3),1,1),"")</f>
        <v>0</v>
      </c>
      <c r="CL6">
        <f ca="1">IF($AN6="",OFFSET(Demand!$A$13,ROW(V3)-1,4+((QUOTIENT(COLUMN(CL$2)-69,3))*5)+MOD(COLUMN(CL$2),3),1,1),"")</f>
        <v>0</v>
      </c>
      <c r="CM6">
        <f ca="1">IF($AN6="",OFFSET(Demand!$A$13,ROW(W3)-1,4+((QUOTIENT(COLUMN(CM$2)-69,3))*5)+MOD(COLUMN(CM$2),3),1,1),"")</f>
        <v>0</v>
      </c>
      <c r="CN6">
        <f ca="1">IF($AN6="",OFFSET(Demand!$A$13,ROW(X3)-1,4+((QUOTIENT(COLUMN(CN$2)-69,3))*5)+MOD(COLUMN(CN$2),3),1,1),"")</f>
        <v>0</v>
      </c>
      <c r="CO6">
        <f ca="1">IF($AN6="",OFFSET(Demand!$A$13,ROW(Y3)-1,4+((QUOTIENT(COLUMN(CO$2)-69,3))*5)+MOD(COLUMN(CO$2),3),1,1),"")</f>
        <v>0</v>
      </c>
      <c r="CP6">
        <f ca="1">IF($AN6="",OFFSET(Demand!$A$13,ROW(Z3)-1,4+((QUOTIENT(COLUMN(CP$2)-69,3))*5)+MOD(COLUMN(CP$2),3),1,1),"")</f>
        <v>0</v>
      </c>
      <c r="CQ6">
        <f ca="1">IF($AN6="",OFFSET(Demand!$A$13,ROW(AA3)-1,4+((QUOTIENT(COLUMN(CQ$2)-69,3))*5)+MOD(COLUMN(CQ$2),3),1,1),"")</f>
        <v>0</v>
      </c>
      <c r="CR6">
        <f ca="1">IF($AN6="",OFFSET(Demand!$A$13,ROW(AB3)-1,4+((QUOTIENT(COLUMN(CR$2)-69,3))*5)+MOD(COLUMN(CR$2),3),1,1),"")</f>
        <v>0</v>
      </c>
      <c r="CS6">
        <f ca="1">IF($AN6="",OFFSET(Demand!$A$13,ROW(AC3)-1,4+((QUOTIENT(COLUMN(CS$2)-69,3))*5)+MOD(COLUMN(CS$2),3),1,1),"")</f>
        <v>0</v>
      </c>
      <c r="CT6">
        <f ca="1">IF($AN6="",OFFSET(Demand!$A$13,ROW(AD3)-1,4+((QUOTIENT(COLUMN(CT$2)-69,3))*5)+MOD(COLUMN(CT$2),3),1,1),"")</f>
        <v>0</v>
      </c>
      <c r="CW6" s="5">
        <f ca="1">SUM(OFFSET(Demand!$H$43,ROW(A3)-1,(COLUMN(A3)-1)*5,1,1))*N$2</f>
        <v>0</v>
      </c>
      <c r="CX6" s="5">
        <f ca="1">SUM(OFFSET(Demand!$H$43,ROW(B3)-1,(COLUMN(B3)-1)*5,1,1))*O$2</f>
        <v>0</v>
      </c>
      <c r="CY6" s="5">
        <f ca="1">SUM(OFFSET(Demand!$H$43,ROW(C3)-1,(COLUMN(C3)-1)*5,1,1))*P$2</f>
        <v>0</v>
      </c>
      <c r="CZ6" s="5">
        <f ca="1">SUM(OFFSET(Demand!$H$43,ROW(D3)-1,(COLUMN(D3)-1)*5,1,1))*Q$2</f>
        <v>0</v>
      </c>
      <c r="DA6" s="5">
        <f ca="1">SUM(OFFSET(Demand!$H$43,ROW(E3)-1,(COLUMN(E3)-1)*5,1,1))*R$2</f>
        <v>0</v>
      </c>
      <c r="DB6" s="5">
        <f ca="1">SUM(OFFSET(Demand!$H$43,ROW(F3)-1,(COLUMN(F3)-1)*5,1,1))*S$2</f>
        <v>0</v>
      </c>
      <c r="DC6" s="5">
        <f ca="1">SUM(OFFSET(Demand!$H$43,ROW(G3)-1,(COLUMN(G3)-1)*5,1,1))*T$2</f>
        <v>0</v>
      </c>
      <c r="DD6" s="5">
        <f ca="1">SUM(OFFSET(Demand!$H$43,ROW(H3)-1,(COLUMN(H3)-1)*5,1,1))*U$2</f>
        <v>0</v>
      </c>
      <c r="DE6" s="5">
        <f ca="1">SUM(OFFSET(Demand!$H$43,ROW(I3)-1,(COLUMN(I3)-1)*5,1,1))*V$2</f>
        <v>0</v>
      </c>
      <c r="DF6" s="5">
        <f ca="1">SUM(OFFSET(Demand!$H$43,ROW(J3)-1,(COLUMN(J3)-1)*5,1,1))*W$2</f>
        <v>0</v>
      </c>
      <c r="DG6" s="5">
        <f ca="1">IF(OR(AN6&lt;&gt;"",AND('Demand adjustments for Covid'!$F$9="Yes",'Demand adjustments for Covid'!$F$20="Yes")),"",SUM(CW6:DF6))</f>
        <v>0</v>
      </c>
      <c r="DM6" s="5">
        <f t="shared" si="10"/>
        <v>18</v>
      </c>
      <c r="DN6" s="320">
        <f t="shared" ref="DN6:DN56" si="17">DN5+7</f>
        <v>43948</v>
      </c>
      <c r="DO6" s="5">
        <f ca="1">VLOOKUP(IF($DM6&lt;53,$DM6,52),'Summary Calculations (hide)'!$D$15:$F$67,2,0)</f>
        <v>138</v>
      </c>
      <c r="DP6" s="5">
        <f ca="1">VLOOKUP(IF($DM6&lt;53,$DM6,52),'Summary Calculations (hide)'!$D$15:$F$67,3,0)</f>
        <v>151.80000000000001</v>
      </c>
      <c r="DQ6" s="5">
        <f>IF(AND(DN6&gt;='Demand adjustments for Covid'!$F$12,DN6&lt;'Demand adjustments for Covid'!$F$17),'Demand adjustments for Covid'!$F$13,DO6)</f>
        <v>10</v>
      </c>
      <c r="DR6" s="5">
        <f t="shared" si="7"/>
        <v>0</v>
      </c>
      <c r="DS6" s="5">
        <f>IF('Demand adjustments for Covid'!$F$9="Yes",IF(DR6=0,DQ6,((SUM(DR$4:DR6)-1)*$EE$8)+'Demand adjustments for Covid'!F$13),'Demand background (hide)'!DO6)</f>
        <v>10</v>
      </c>
      <c r="DT6" s="5">
        <f>IF('Demand adjustments for Covid'!$F$9="Yes",IF(OR(AND(DN6&gt;='Demand adjustments for Covid'!$F$12,DN6&lt;'Demand adjustments for Covid'!$F$17),DR6=1),DS6+3,DP6),'Demand background (hide)'!DP6)</f>
        <v>13</v>
      </c>
      <c r="DU6" s="5">
        <f ca="1">IF(DS6&lt;='Demand adjustments for Covid'!$F$17,DO6-DS6,0)</f>
        <v>128</v>
      </c>
      <c r="DV6" s="5">
        <f ca="1">IF(AND(ROW(A3)&gt;$EE$5,ROW(A3)&lt;=$EA$5),OFFSET('Demand adjustments for Covid'!$F$35,0,ROW(A3)-'Demand background (hide)'!$EE$5,1,1),0)</f>
        <v>0</v>
      </c>
      <c r="DW6" s="5">
        <f ca="1">IF(AND(ROW(A3)&gt;$EE$5,ROW(A3)&lt;=$EA$5),OFFSET('Demand adjustments for Covid'!$F$36,0,ROW(A3)-'Demand background (hide)'!$EE$5,1,1),0)</f>
        <v>0</v>
      </c>
      <c r="DX6" s="5">
        <f t="shared" ca="1" si="11"/>
        <v>13</v>
      </c>
      <c r="EA6" s="320"/>
    </row>
    <row r="7" spans="1:135" s="5" customFormat="1" x14ac:dyDescent="0.25">
      <c r="A7" s="5">
        <f t="shared" ca="1" si="3"/>
        <v>0</v>
      </c>
      <c r="B7" s="5">
        <f ca="1">COUNTBLANK(OFFSET(Demand!$I16,0,(COLUMN(A4)-1)*5,1,1))</f>
        <v>0</v>
      </c>
      <c r="C7" s="5">
        <f ca="1">COUNTBLANK(OFFSET(Demand!$I16,0,(COLUMN(B4)-1)*5,1,1))</f>
        <v>1</v>
      </c>
      <c r="D7" s="5">
        <f ca="1">COUNTBLANK(OFFSET(Demand!$I16,0,(COLUMN(C4)-1)*5,1,1))</f>
        <v>1</v>
      </c>
      <c r="E7" s="5">
        <f ca="1">COUNTBLANK(OFFSET(Demand!$I16,0,(COLUMN(D4)-1)*5,1,1))</f>
        <v>1</v>
      </c>
      <c r="F7" s="5">
        <f ca="1">COUNTBLANK(OFFSET(Demand!$I16,0,(COLUMN(E4)-1)*5,1,1))</f>
        <v>1</v>
      </c>
      <c r="G7" s="5">
        <f ca="1">COUNTBLANK(OFFSET(Demand!$I16,0,(COLUMN(F4)-1)*5,1,1))</f>
        <v>1</v>
      </c>
      <c r="H7" s="5">
        <f ca="1">COUNTBLANK(OFFSET(Demand!$I16,0,(COLUMN(G4)-1)*5,1,1))</f>
        <v>1</v>
      </c>
      <c r="I7" s="5">
        <f ca="1">COUNTBLANK(OFFSET(Demand!$I16,0,(COLUMN(H4)-1)*5,1,1))</f>
        <v>1</v>
      </c>
      <c r="J7" s="5">
        <f ca="1">COUNTBLANK(OFFSET(Demand!$I16,0,(COLUMN(I4)-1)*5,1,1))</f>
        <v>1</v>
      </c>
      <c r="K7" s="5">
        <f ca="1">COUNTBLANK(OFFSET(Demand!$I16,0,(COLUMN(J4)-1)*5,1,1))</f>
        <v>1</v>
      </c>
      <c r="N7" s="5">
        <f ca="1">SUM(OFFSET(Demand!$E16,0,(COLUMN(A4)-1)*5,1,3))*N$2</f>
        <v>142</v>
      </c>
      <c r="O7" s="5">
        <f ca="1">SUM(OFFSET(Demand!$E16,0,(COLUMN(B4)-1)*5,1,3))*O$2</f>
        <v>0</v>
      </c>
      <c r="P7" s="5">
        <f ca="1">SUM(OFFSET(Demand!$E16,0,(COLUMN(C4)-1)*5,1,3))*P$2</f>
        <v>0</v>
      </c>
      <c r="Q7" s="5">
        <f ca="1">SUM(OFFSET(Demand!$E16,0,(COLUMN(D4)-1)*5,1,3))*Q$2</f>
        <v>0</v>
      </c>
      <c r="R7" s="5">
        <f ca="1">SUM(OFFSET(Demand!$E16,0,(COLUMN(E4)-1)*5,1,3))*R$2</f>
        <v>0</v>
      </c>
      <c r="S7" s="5">
        <f ca="1">SUM(OFFSET(Demand!$E16,0,(COLUMN(F4)-1)*5,1,3))*S$2</f>
        <v>0</v>
      </c>
      <c r="T7" s="5">
        <f ca="1">SUM(OFFSET(Demand!$E16,0,(COLUMN(G4)-1)*5,1,3))*T$2</f>
        <v>0</v>
      </c>
      <c r="U7" s="5">
        <f ca="1">SUM(OFFSET(Demand!$E16,0,(COLUMN(H4)-1)*5,1,3))*U$2</f>
        <v>0</v>
      </c>
      <c r="V7" s="5">
        <f ca="1">SUM(OFFSET(Demand!$E16,0,(COLUMN(I4)-1)*5,1,3))*V$2</f>
        <v>0</v>
      </c>
      <c r="W7" s="5">
        <f ca="1">SUM(OFFSET(Demand!$E16,0,(COLUMN(J4)-1)*5,1,3))*W$2</f>
        <v>0</v>
      </c>
      <c r="X7" s="5">
        <f t="shared" ca="1" si="4"/>
        <v>142</v>
      </c>
      <c r="Y7" s="5">
        <f t="shared" ca="1" si="5"/>
        <v>142</v>
      </c>
      <c r="Z7" s="5">
        <f ca="1">SUM(OFFSET(Demand!$H16,0,(COLUMN(A4)-1)*5,1,1))*N$2</f>
        <v>0</v>
      </c>
      <c r="AA7" s="5">
        <f ca="1">SUM(OFFSET(Demand!$H16,0,(COLUMN(B4)-1)*5,1,1))*O$2</f>
        <v>0</v>
      </c>
      <c r="AB7" s="5">
        <f ca="1">SUM(OFFSET(Demand!$H16,0,(COLUMN(C4)-1)*5,1,1))*P$2</f>
        <v>0</v>
      </c>
      <c r="AC7" s="5">
        <f ca="1">SUM(OFFSET(Demand!$H16,0,(COLUMN(D4)-1)*5,1,1))*Q$2</f>
        <v>0</v>
      </c>
      <c r="AD7" s="5">
        <f ca="1">SUM(OFFSET(Demand!$H16,0,(COLUMN(E4)-1)*5,1,1))*R$2</f>
        <v>0</v>
      </c>
      <c r="AE7" s="5">
        <f ca="1">SUM(OFFSET(Demand!$H16,0,(COLUMN(F4)-1)*5,1,1))*S$2</f>
        <v>0</v>
      </c>
      <c r="AF7" s="5">
        <f ca="1">SUM(OFFSET(Demand!$H16,0,(COLUMN(G4)-1)*5,1,1))*T$2</f>
        <v>0</v>
      </c>
      <c r="AG7" s="5">
        <f ca="1">SUM(OFFSET(Demand!$H16,0,(COLUMN(H4)-1)*5,1,1))*U$2</f>
        <v>0</v>
      </c>
      <c r="AH7" s="5">
        <f ca="1">SUM(OFFSET(Demand!$H16,0,(COLUMN(I4)-1)*5,1,1))*V$2</f>
        <v>0</v>
      </c>
      <c r="AI7" s="5">
        <f ca="1">SUM(OFFSET(Demand!$H16,0,(COLUMN(J4)-1)*5,1,1))*W$2</f>
        <v>0</v>
      </c>
      <c r="AJ7" s="5">
        <f t="shared" ca="1" si="6"/>
        <v>0</v>
      </c>
      <c r="AL7" s="5">
        <f t="shared" ca="1" si="8"/>
        <v>142</v>
      </c>
      <c r="AM7" s="5">
        <f t="shared" ca="1" si="9"/>
        <v>0</v>
      </c>
      <c r="AN7" s="5" t="str">
        <f>IF(Demand!BE16="Yes","Yes","")</f>
        <v/>
      </c>
      <c r="AP7" s="36" t="str">
        <f ca="1">Demand!B16</f>
        <v xml:space="preserve"> </v>
      </c>
      <c r="AQ7" s="5" t="str">
        <f ca="1">IF(TEXT(Demand!D16,"MMM")&lt;&gt;TEXT(Demand!D15,"MMM"),TEXT(Demand!D16,"MMM"),"")</f>
        <v/>
      </c>
      <c r="AT7" s="5">
        <f t="shared" ca="1" si="12"/>
        <v>4</v>
      </c>
      <c r="AV7" s="5" t="s">
        <v>138</v>
      </c>
      <c r="AW7" s="44">
        <f ca="1">PERCENTILE(OFFSET(AL$4,'SPC background (hide)'!$C$4-1,0,'SPC background (hide)'!$H$5,1),'Control sheet (hide)'!$I$10)</f>
        <v>155.30000000000001</v>
      </c>
      <c r="AX7" s="5">
        <f ca="1">PERCENTILE(OFFSET(AM$4,'SPC background (hide)'!$C$4-1,0,'SPC background (hide)'!$H$5,1),'Control sheet (hide)'!$I$10)</f>
        <v>0</v>
      </c>
      <c r="BB7" t="str">
        <f>'Control sheet (hide)'!AA4</f>
        <v>Modality 2</v>
      </c>
      <c r="BC7" s="46" t="str">
        <f t="shared" si="13"/>
        <v/>
      </c>
      <c r="BD7" s="46" t="str">
        <f t="shared" si="14"/>
        <v/>
      </c>
      <c r="BE7" s="46" t="str">
        <f t="shared" si="15"/>
        <v/>
      </c>
      <c r="BF7" s="5">
        <f ca="1">SUM(OFFSET($BQ$4,'SPC background (hide)'!$C$4-1,((ROW(A2)-1)*3)+MOD(COLUMN(C2),3),'SPC background (hide)'!$I$11,1))</f>
        <v>0</v>
      </c>
      <c r="BG7" s="5">
        <f ca="1">SUM(OFFSET($BQ$4,'SPC background (hide)'!$C$4-1,((ROW(B2)-1)*3)+MOD(COLUMN(D2),3),'SPC background (hide)'!$I$11,1))</f>
        <v>0</v>
      </c>
      <c r="BH7" s="5">
        <f ca="1">SUM(OFFSET($BQ$4,'SPC background (hide)'!$C$4-1,((ROW(C2)-1)*3)+MOD(COLUMN(E2),3),'SPC background (hide)'!$I$11,1))</f>
        <v>0</v>
      </c>
      <c r="BI7" s="5">
        <f t="shared" ref="BI7:BI15" ca="1" si="18">SUM(BF7:BH7)</f>
        <v>0</v>
      </c>
      <c r="BJ7" s="5">
        <f t="shared" ref="BJ7:BL7" ca="1" si="19">BF7*OFFSET($N$2,0,ROW(A2)-1,1,1)</f>
        <v>0</v>
      </c>
      <c r="BK7" s="5">
        <f t="shared" ca="1" si="19"/>
        <v>0</v>
      </c>
      <c r="BL7" s="5">
        <f t="shared" ca="1" si="19"/>
        <v>0</v>
      </c>
      <c r="BM7" s="5">
        <f t="shared" ref="BM7:BM15" ca="1" si="20">SUM(BJ7:BL7)</f>
        <v>0</v>
      </c>
      <c r="BN7" s="5">
        <f t="shared" ref="BN7:BN15" ca="1" si="21">OFFSET($N$2,0,ROW(A2)-1,1,1)</f>
        <v>0</v>
      </c>
      <c r="BO7" s="84">
        <f t="shared" ref="BO7:BO15" ca="1" si="22">BM7/$BM$16</f>
        <v>0</v>
      </c>
      <c r="BQ7">
        <f ca="1">IF($AN7="",OFFSET(Demand!$A$13,ROW(A4)-1,4+((QUOTIENT(COLUMN(BQ$2)-69,3))*5)+MOD(COLUMN(BQ$2),3),1,1),"")</f>
        <v>0</v>
      </c>
      <c r="BR7">
        <f ca="1">IF($AN7="",OFFSET(Demand!$A$13,ROW(B4)-1,4+((QUOTIENT(COLUMN(BR$2)-69,3))*5)+MOD(COLUMN(BR$2),3),1,1),"")</f>
        <v>0</v>
      </c>
      <c r="BS7">
        <f ca="1">IF($AN7="",OFFSET(Demand!$A$13,ROW(C4)-1,4+((QUOTIENT(COLUMN(BS$2)-69,3))*5)+MOD(COLUMN(BS$2),3),1,1),"")</f>
        <v>71</v>
      </c>
      <c r="BT7">
        <f ca="1">IF($AN7="",OFFSET(Demand!$A$13,ROW(D4)-1,4+((QUOTIENT(COLUMN(BT$2)-69,3))*5)+MOD(COLUMN(BT$2),3),1,1),"")</f>
        <v>0</v>
      </c>
      <c r="BU7">
        <f ca="1">IF($AN7="",OFFSET(Demand!$A$13,ROW(E4)-1,4+((QUOTIENT(COLUMN(BU$2)-69,3))*5)+MOD(COLUMN(BU$2),3),1,1),"")</f>
        <v>0</v>
      </c>
      <c r="BV7">
        <f ca="1">IF($AN7="",OFFSET(Demand!$A$13,ROW(F4)-1,4+((QUOTIENT(COLUMN(BV$2)-69,3))*5)+MOD(COLUMN(BV$2),3),1,1),"")</f>
        <v>0</v>
      </c>
      <c r="BW7">
        <f ca="1">IF($AN7="",OFFSET(Demand!$A$13,ROW(G4)-1,4+((QUOTIENT(COLUMN(BW$2)-69,3))*5)+MOD(COLUMN(BW$2),3),1,1),"")</f>
        <v>0</v>
      </c>
      <c r="BX7">
        <f ca="1">IF($AN7="",OFFSET(Demand!$A$13,ROW(H4)-1,4+((QUOTIENT(COLUMN(BX$2)-69,3))*5)+MOD(COLUMN(BX$2),3),1,1),"")</f>
        <v>0</v>
      </c>
      <c r="BY7">
        <f ca="1">IF($AN7="",OFFSET(Demand!$A$13,ROW(I4)-1,4+((QUOTIENT(COLUMN(BY$2)-69,3))*5)+MOD(COLUMN(BY$2),3),1,1),"")</f>
        <v>0</v>
      </c>
      <c r="BZ7">
        <f ca="1">IF($AN7="",OFFSET(Demand!$A$13,ROW(J4)-1,4+((QUOTIENT(COLUMN(BZ$2)-69,3))*5)+MOD(COLUMN(BZ$2),3),1,1),"")</f>
        <v>0</v>
      </c>
      <c r="CA7">
        <f ca="1">IF($AN7="",OFFSET(Demand!$A$13,ROW(K4)-1,4+((QUOTIENT(COLUMN(CA$2)-69,3))*5)+MOD(COLUMN(CA$2),3),1,1),"")</f>
        <v>0</v>
      </c>
      <c r="CB7">
        <f ca="1">IF($AN7="",OFFSET(Demand!$A$13,ROW(L4)-1,4+((QUOTIENT(COLUMN(CB$2)-69,3))*5)+MOD(COLUMN(CB$2),3),1,1),"")</f>
        <v>0</v>
      </c>
      <c r="CC7">
        <f ca="1">IF($AN7="",OFFSET(Demand!$A$13,ROW(M4)-1,4+((QUOTIENT(COLUMN(CC$2)-69,3))*5)+MOD(COLUMN(CC$2),3),1,1),"")</f>
        <v>0</v>
      </c>
      <c r="CD7">
        <f ca="1">IF($AN7="",OFFSET(Demand!$A$13,ROW(N4)-1,4+((QUOTIENT(COLUMN(CD$2)-69,3))*5)+MOD(COLUMN(CD$2),3),1,1),"")</f>
        <v>0</v>
      </c>
      <c r="CE7">
        <f ca="1">IF($AN7="",OFFSET(Demand!$A$13,ROW(O4)-1,4+((QUOTIENT(COLUMN(CE$2)-69,3))*5)+MOD(COLUMN(CE$2),3),1,1),"")</f>
        <v>0</v>
      </c>
      <c r="CF7">
        <f ca="1">IF($AN7="",OFFSET(Demand!$A$13,ROW(P4)-1,4+((QUOTIENT(COLUMN(CF$2)-69,3))*5)+MOD(COLUMN(CF$2),3),1,1),"")</f>
        <v>0</v>
      </c>
      <c r="CG7">
        <f ca="1">IF($AN7="",OFFSET(Demand!$A$13,ROW(Q4)-1,4+((QUOTIENT(COLUMN(CG$2)-69,3))*5)+MOD(COLUMN(CG$2),3),1,1),"")</f>
        <v>0</v>
      </c>
      <c r="CH7">
        <f ca="1">IF($AN7="",OFFSET(Demand!$A$13,ROW(R4)-1,4+((QUOTIENT(COLUMN(CH$2)-69,3))*5)+MOD(COLUMN(CH$2),3),1,1),"")</f>
        <v>0</v>
      </c>
      <c r="CI7">
        <f ca="1">IF($AN7="",OFFSET(Demand!$A$13,ROW(S4)-1,4+((QUOTIENT(COLUMN(CI$2)-69,3))*5)+MOD(COLUMN(CI$2),3),1,1),"")</f>
        <v>0</v>
      </c>
      <c r="CJ7">
        <f ca="1">IF($AN7="",OFFSET(Demand!$A$13,ROW(T4)-1,4+((QUOTIENT(COLUMN(CJ$2)-69,3))*5)+MOD(COLUMN(CJ$2),3),1,1),"")</f>
        <v>0</v>
      </c>
      <c r="CK7">
        <f ca="1">IF($AN7="",OFFSET(Demand!$A$13,ROW(U4)-1,4+((QUOTIENT(COLUMN(CK$2)-69,3))*5)+MOD(COLUMN(CK$2),3),1,1),"")</f>
        <v>0</v>
      </c>
      <c r="CL7">
        <f ca="1">IF($AN7="",OFFSET(Demand!$A$13,ROW(V4)-1,4+((QUOTIENT(COLUMN(CL$2)-69,3))*5)+MOD(COLUMN(CL$2),3),1,1),"")</f>
        <v>0</v>
      </c>
      <c r="CM7">
        <f ca="1">IF($AN7="",OFFSET(Demand!$A$13,ROW(W4)-1,4+((QUOTIENT(COLUMN(CM$2)-69,3))*5)+MOD(COLUMN(CM$2),3),1,1),"")</f>
        <v>0</v>
      </c>
      <c r="CN7">
        <f ca="1">IF($AN7="",OFFSET(Demand!$A$13,ROW(X4)-1,4+((QUOTIENT(COLUMN(CN$2)-69,3))*5)+MOD(COLUMN(CN$2),3),1,1),"")</f>
        <v>0</v>
      </c>
      <c r="CO7">
        <f ca="1">IF($AN7="",OFFSET(Demand!$A$13,ROW(Y4)-1,4+((QUOTIENT(COLUMN(CO$2)-69,3))*5)+MOD(COLUMN(CO$2),3),1,1),"")</f>
        <v>0</v>
      </c>
      <c r="CP7">
        <f ca="1">IF($AN7="",OFFSET(Demand!$A$13,ROW(Z4)-1,4+((QUOTIENT(COLUMN(CP$2)-69,3))*5)+MOD(COLUMN(CP$2),3),1,1),"")</f>
        <v>0</v>
      </c>
      <c r="CQ7">
        <f ca="1">IF($AN7="",OFFSET(Demand!$A$13,ROW(AA4)-1,4+((QUOTIENT(COLUMN(CQ$2)-69,3))*5)+MOD(COLUMN(CQ$2),3),1,1),"")</f>
        <v>0</v>
      </c>
      <c r="CR7">
        <f ca="1">IF($AN7="",OFFSET(Demand!$A$13,ROW(AB4)-1,4+((QUOTIENT(COLUMN(CR$2)-69,3))*5)+MOD(COLUMN(CR$2),3),1,1),"")</f>
        <v>0</v>
      </c>
      <c r="CS7">
        <f ca="1">IF($AN7="",OFFSET(Demand!$A$13,ROW(AC4)-1,4+((QUOTIENT(COLUMN(CS$2)-69,3))*5)+MOD(COLUMN(CS$2),3),1,1),"")</f>
        <v>0</v>
      </c>
      <c r="CT7">
        <f ca="1">IF($AN7="",OFFSET(Demand!$A$13,ROW(AD4)-1,4+((QUOTIENT(COLUMN(CT$2)-69,3))*5)+MOD(COLUMN(CT$2),3),1,1),"")</f>
        <v>0</v>
      </c>
      <c r="CW7" s="5">
        <f ca="1">SUM(OFFSET(Demand!$H$43,ROW(A4)-1,(COLUMN(A4)-1)*5,1,1))*N$2</f>
        <v>0</v>
      </c>
      <c r="CX7" s="5">
        <f ca="1">SUM(OFFSET(Demand!$H$43,ROW(B4)-1,(COLUMN(B4)-1)*5,1,1))*O$2</f>
        <v>0</v>
      </c>
      <c r="CY7" s="5">
        <f ca="1">SUM(OFFSET(Demand!$H$43,ROW(C4)-1,(COLUMN(C4)-1)*5,1,1))*P$2</f>
        <v>0</v>
      </c>
      <c r="CZ7" s="5">
        <f ca="1">SUM(OFFSET(Demand!$H$43,ROW(D4)-1,(COLUMN(D4)-1)*5,1,1))*Q$2</f>
        <v>0</v>
      </c>
      <c r="DA7" s="5">
        <f ca="1">SUM(OFFSET(Demand!$H$43,ROW(E4)-1,(COLUMN(E4)-1)*5,1,1))*R$2</f>
        <v>0</v>
      </c>
      <c r="DB7" s="5">
        <f ca="1">SUM(OFFSET(Demand!$H$43,ROW(F4)-1,(COLUMN(F4)-1)*5,1,1))*S$2</f>
        <v>0</v>
      </c>
      <c r="DC7" s="5">
        <f ca="1">SUM(OFFSET(Demand!$H$43,ROW(G4)-1,(COLUMN(G4)-1)*5,1,1))*T$2</f>
        <v>0</v>
      </c>
      <c r="DD7" s="5">
        <f ca="1">SUM(OFFSET(Demand!$H$43,ROW(H4)-1,(COLUMN(H4)-1)*5,1,1))*U$2</f>
        <v>0</v>
      </c>
      <c r="DE7" s="5">
        <f ca="1">SUM(OFFSET(Demand!$H$43,ROW(I4)-1,(COLUMN(I4)-1)*5,1,1))*V$2</f>
        <v>0</v>
      </c>
      <c r="DF7" s="5">
        <f ca="1">SUM(OFFSET(Demand!$H$43,ROW(J4)-1,(COLUMN(J4)-1)*5,1,1))*W$2</f>
        <v>0</v>
      </c>
      <c r="DG7" s="5">
        <f ca="1">IF(OR(AN7&lt;&gt;"",AND('Demand adjustments for Covid'!$F$9="Yes",'Demand adjustments for Covid'!$F$20="Yes")),"",SUM(CW7:DF7))</f>
        <v>0</v>
      </c>
      <c r="DI7" s="5" t="s">
        <v>230</v>
      </c>
      <c r="DJ7" t="str">
        <f ca="1">IFERROR(AVERAGE(OFFSET('Demand background (hide)'!$DG$4,'SPC background (hide)'!$D$6-1,0,'SPC background (hide)'!$H$7,1)),"")</f>
        <v/>
      </c>
      <c r="DM7" s="5">
        <f t="shared" si="10"/>
        <v>19</v>
      </c>
      <c r="DN7" s="320">
        <f t="shared" si="17"/>
        <v>43955</v>
      </c>
      <c r="DO7" s="5">
        <f ca="1">VLOOKUP(IF($DM7&lt;53,$DM7,52),'Summary Calculations (hide)'!$D$15:$F$67,2,0)</f>
        <v>142</v>
      </c>
      <c r="DP7" s="5">
        <f ca="1">VLOOKUP(IF($DM7&lt;53,$DM7,52),'Summary Calculations (hide)'!$D$15:$F$67,3,0)</f>
        <v>156.20000000000002</v>
      </c>
      <c r="DQ7" s="5">
        <f>IF(AND(DN7&gt;='Demand adjustments for Covid'!$F$12,DN7&lt;'Demand adjustments for Covid'!$F$17),'Demand adjustments for Covid'!$F$13,DO7)</f>
        <v>10</v>
      </c>
      <c r="DR7" s="5">
        <f t="shared" si="7"/>
        <v>0</v>
      </c>
      <c r="DS7" s="5">
        <f>IF('Demand adjustments for Covid'!$F$9="Yes",IF(DR7=0,DQ7,((SUM(DR$4:DR7)-1)*$EE$8)+'Demand adjustments for Covid'!F$13),'Demand background (hide)'!DO7)</f>
        <v>10</v>
      </c>
      <c r="DT7" s="5">
        <f>IF('Demand adjustments for Covid'!$F$9="Yes",IF(OR(AND(DN7&gt;='Demand adjustments for Covid'!$F$12,DN7&lt;'Demand adjustments for Covid'!$F$17),DR7=1),DS7+3,DP7),'Demand background (hide)'!DP7)</f>
        <v>13</v>
      </c>
      <c r="DU7" s="5">
        <f ca="1">IF(DS7&lt;='Demand adjustments for Covid'!$F$17,DO7-DS7,0)</f>
        <v>132</v>
      </c>
      <c r="DV7" s="5">
        <f ca="1">IF(AND(ROW(A4)&gt;$EE$5,ROW(A4)&lt;=$EA$5),OFFSET('Demand adjustments for Covid'!$F$35,0,ROW(A4)-'Demand background (hide)'!$EE$5,1,1),0)</f>
        <v>0</v>
      </c>
      <c r="DW7" s="5">
        <f ca="1">IF(AND(ROW(A4)&gt;$EE$5,ROW(A4)&lt;=$EA$5),OFFSET('Demand adjustments for Covid'!$F$36,0,ROW(A4)-'Demand background (hide)'!$EE$5,1,1),0)</f>
        <v>0</v>
      </c>
      <c r="DX7" s="5">
        <f t="shared" ca="1" si="11"/>
        <v>13</v>
      </c>
      <c r="ED7" s="5" t="s">
        <v>1203</v>
      </c>
      <c r="EE7" s="5">
        <f ca="1">INDEX($DO$4:$DO$55,EE5)</f>
        <v>142</v>
      </c>
    </row>
    <row r="8" spans="1:135" s="5" customFormat="1" x14ac:dyDescent="0.25">
      <c r="A8" s="5">
        <f t="shared" ca="1" si="3"/>
        <v>0</v>
      </c>
      <c r="B8" s="5">
        <f ca="1">COUNTBLANK(OFFSET(Demand!$I17,0,(COLUMN(A5)-1)*5,1,1))</f>
        <v>0</v>
      </c>
      <c r="C8" s="5">
        <f ca="1">COUNTBLANK(OFFSET(Demand!$I17,0,(COLUMN(B5)-1)*5,1,1))</f>
        <v>1</v>
      </c>
      <c r="D8" s="5">
        <f ca="1">COUNTBLANK(OFFSET(Demand!$I17,0,(COLUMN(C5)-1)*5,1,1))</f>
        <v>1</v>
      </c>
      <c r="E8" s="5">
        <f ca="1">COUNTBLANK(OFFSET(Demand!$I17,0,(COLUMN(D5)-1)*5,1,1))</f>
        <v>1</v>
      </c>
      <c r="F8" s="5">
        <f ca="1">COUNTBLANK(OFFSET(Demand!$I17,0,(COLUMN(E5)-1)*5,1,1))</f>
        <v>1</v>
      </c>
      <c r="G8" s="5">
        <f ca="1">COUNTBLANK(OFFSET(Demand!$I17,0,(COLUMN(F5)-1)*5,1,1))</f>
        <v>1</v>
      </c>
      <c r="H8" s="5">
        <f ca="1">COUNTBLANK(OFFSET(Demand!$I17,0,(COLUMN(G5)-1)*5,1,1))</f>
        <v>1</v>
      </c>
      <c r="I8" s="5">
        <f ca="1">COUNTBLANK(OFFSET(Demand!$I17,0,(COLUMN(H5)-1)*5,1,1))</f>
        <v>1</v>
      </c>
      <c r="J8" s="5">
        <f ca="1">COUNTBLANK(OFFSET(Demand!$I17,0,(COLUMN(I5)-1)*5,1,1))</f>
        <v>1</v>
      </c>
      <c r="K8" s="5">
        <f ca="1">COUNTBLANK(OFFSET(Demand!$I17,0,(COLUMN(J5)-1)*5,1,1))</f>
        <v>1</v>
      </c>
      <c r="N8" s="5">
        <f ca="1">SUM(OFFSET(Demand!$E17,0,(COLUMN(A5)-1)*5,1,3))*N$2</f>
        <v>160</v>
      </c>
      <c r="O8" s="5">
        <f ca="1">SUM(OFFSET(Demand!$E17,0,(COLUMN(B5)-1)*5,1,3))*O$2</f>
        <v>0</v>
      </c>
      <c r="P8" s="5">
        <f ca="1">SUM(OFFSET(Demand!$E17,0,(COLUMN(C5)-1)*5,1,3))*P$2</f>
        <v>0</v>
      </c>
      <c r="Q8" s="5">
        <f ca="1">SUM(OFFSET(Demand!$E17,0,(COLUMN(D5)-1)*5,1,3))*Q$2</f>
        <v>0</v>
      </c>
      <c r="R8" s="5">
        <f ca="1">SUM(OFFSET(Demand!$E17,0,(COLUMN(E5)-1)*5,1,3))*R$2</f>
        <v>0</v>
      </c>
      <c r="S8" s="5">
        <f ca="1">SUM(OFFSET(Demand!$E17,0,(COLUMN(F5)-1)*5,1,3))*S$2</f>
        <v>0</v>
      </c>
      <c r="T8" s="5">
        <f ca="1">SUM(OFFSET(Demand!$E17,0,(COLUMN(G5)-1)*5,1,3))*T$2</f>
        <v>0</v>
      </c>
      <c r="U8" s="5">
        <f ca="1">SUM(OFFSET(Demand!$E17,0,(COLUMN(H5)-1)*5,1,3))*U$2</f>
        <v>0</v>
      </c>
      <c r="V8" s="5">
        <f ca="1">SUM(OFFSET(Demand!$E17,0,(COLUMN(I5)-1)*5,1,3))*V$2</f>
        <v>0</v>
      </c>
      <c r="W8" s="5">
        <f ca="1">SUM(OFFSET(Demand!$E17,0,(COLUMN(J5)-1)*5,1,3))*W$2</f>
        <v>0</v>
      </c>
      <c r="X8" s="5">
        <f t="shared" ca="1" si="4"/>
        <v>160</v>
      </c>
      <c r="Y8" s="5">
        <f t="shared" ca="1" si="5"/>
        <v>160</v>
      </c>
      <c r="Z8" s="5">
        <f ca="1">SUM(OFFSET(Demand!$H17,0,(COLUMN(A5)-1)*5,1,1))*N$2</f>
        <v>0</v>
      </c>
      <c r="AA8" s="5">
        <f ca="1">SUM(OFFSET(Demand!$H17,0,(COLUMN(B5)-1)*5,1,1))*O$2</f>
        <v>0</v>
      </c>
      <c r="AB8" s="5">
        <f ca="1">SUM(OFFSET(Demand!$H17,0,(COLUMN(C5)-1)*5,1,1))*P$2</f>
        <v>0</v>
      </c>
      <c r="AC8" s="5">
        <f ca="1">SUM(OFFSET(Demand!$H17,0,(COLUMN(D5)-1)*5,1,1))*Q$2</f>
        <v>0</v>
      </c>
      <c r="AD8" s="5">
        <f ca="1">SUM(OFFSET(Demand!$H17,0,(COLUMN(E5)-1)*5,1,1))*R$2</f>
        <v>0</v>
      </c>
      <c r="AE8" s="5">
        <f ca="1">SUM(OFFSET(Demand!$H17,0,(COLUMN(F5)-1)*5,1,1))*S$2</f>
        <v>0</v>
      </c>
      <c r="AF8" s="5">
        <f ca="1">SUM(OFFSET(Demand!$H17,0,(COLUMN(G5)-1)*5,1,1))*T$2</f>
        <v>0</v>
      </c>
      <c r="AG8" s="5">
        <f ca="1">SUM(OFFSET(Demand!$H17,0,(COLUMN(H5)-1)*5,1,1))*U$2</f>
        <v>0</v>
      </c>
      <c r="AH8" s="5">
        <f ca="1">SUM(OFFSET(Demand!$H17,0,(COLUMN(I5)-1)*5,1,1))*V$2</f>
        <v>0</v>
      </c>
      <c r="AI8" s="5">
        <f ca="1">SUM(OFFSET(Demand!$H17,0,(COLUMN(J5)-1)*5,1,1))*W$2</f>
        <v>0</v>
      </c>
      <c r="AJ8" s="5">
        <f t="shared" ca="1" si="6"/>
        <v>0</v>
      </c>
      <c r="AL8" s="5">
        <f t="shared" ca="1" si="8"/>
        <v>160</v>
      </c>
      <c r="AM8" s="5">
        <f t="shared" ca="1" si="9"/>
        <v>0</v>
      </c>
      <c r="AN8" s="5" t="str">
        <f>IF(Demand!BE17="Yes","Yes","")</f>
        <v/>
      </c>
      <c r="AP8" s="36" t="str">
        <f ca="1">Demand!B17</f>
        <v xml:space="preserve"> </v>
      </c>
      <c r="AQ8" s="5" t="str">
        <f ca="1">IF(TEXT(Demand!D17,"MMM")&lt;&gt;TEXT(Demand!D16,"MMM"),TEXT(Demand!D17,"MMM"),"")</f>
        <v/>
      </c>
      <c r="AT8" s="5">
        <f t="shared" ca="1" si="12"/>
        <v>18</v>
      </c>
      <c r="BB8" t="str">
        <f>'Control sheet (hide)'!AA5</f>
        <v>Modality 3</v>
      </c>
      <c r="BC8" s="46" t="str">
        <f t="shared" si="13"/>
        <v/>
      </c>
      <c r="BD8" s="46" t="str">
        <f t="shared" si="14"/>
        <v/>
      </c>
      <c r="BE8" s="46" t="str">
        <f t="shared" si="15"/>
        <v/>
      </c>
      <c r="BF8" s="5">
        <f ca="1">SUM(OFFSET($BQ$4,'SPC background (hide)'!$C$4-1,((ROW(A3)-1)*3)+MOD(COLUMN(C3),3),'SPC background (hide)'!$I$11,1))</f>
        <v>0</v>
      </c>
      <c r="BG8" s="5">
        <f ca="1">SUM(OFFSET($BQ$4,'SPC background (hide)'!$C$4-1,((ROW(B3)-1)*3)+MOD(COLUMN(D3),3),'SPC background (hide)'!$I$11,1))</f>
        <v>0</v>
      </c>
      <c r="BH8" s="5">
        <f ca="1">SUM(OFFSET($BQ$4,'SPC background (hide)'!$C$4-1,((ROW(C3)-1)*3)+MOD(COLUMN(E3),3),'SPC background (hide)'!$I$11,1))</f>
        <v>0</v>
      </c>
      <c r="BI8" s="5">
        <f t="shared" ca="1" si="18"/>
        <v>0</v>
      </c>
      <c r="BJ8" s="5">
        <f t="shared" ref="BJ8:BL8" ca="1" si="23">BF8*OFFSET($N$2,0,ROW(A3)-1,1,1)</f>
        <v>0</v>
      </c>
      <c r="BK8" s="5">
        <f t="shared" ca="1" si="23"/>
        <v>0</v>
      </c>
      <c r="BL8" s="5">
        <f t="shared" ca="1" si="23"/>
        <v>0</v>
      </c>
      <c r="BM8" s="5">
        <f t="shared" ca="1" si="20"/>
        <v>0</v>
      </c>
      <c r="BN8" s="5">
        <f t="shared" ca="1" si="21"/>
        <v>0</v>
      </c>
      <c r="BO8" s="84">
        <f t="shared" ca="1" si="22"/>
        <v>0</v>
      </c>
      <c r="BQ8">
        <f ca="1">IF($AN8="",OFFSET(Demand!$A$13,ROW(A5)-1,4+((QUOTIENT(COLUMN(BQ$2)-69,3))*5)+MOD(COLUMN(BQ$2),3),1,1),"")</f>
        <v>0</v>
      </c>
      <c r="BR8">
        <f ca="1">IF($AN8="",OFFSET(Demand!$A$13,ROW(B5)-1,4+((QUOTIENT(COLUMN(BR$2)-69,3))*5)+MOD(COLUMN(BR$2),3),1,1),"")</f>
        <v>0</v>
      </c>
      <c r="BS8">
        <f ca="1">IF($AN8="",OFFSET(Demand!$A$13,ROW(C5)-1,4+((QUOTIENT(COLUMN(BS$2)-69,3))*5)+MOD(COLUMN(BS$2),3),1,1),"")</f>
        <v>80</v>
      </c>
      <c r="BT8">
        <f ca="1">IF($AN8="",OFFSET(Demand!$A$13,ROW(D5)-1,4+((QUOTIENT(COLUMN(BT$2)-69,3))*5)+MOD(COLUMN(BT$2),3),1,1),"")</f>
        <v>0</v>
      </c>
      <c r="BU8">
        <f ca="1">IF($AN8="",OFFSET(Demand!$A$13,ROW(E5)-1,4+((QUOTIENT(COLUMN(BU$2)-69,3))*5)+MOD(COLUMN(BU$2),3),1,1),"")</f>
        <v>0</v>
      </c>
      <c r="BV8">
        <f ca="1">IF($AN8="",OFFSET(Demand!$A$13,ROW(F5)-1,4+((QUOTIENT(COLUMN(BV$2)-69,3))*5)+MOD(COLUMN(BV$2),3),1,1),"")</f>
        <v>0</v>
      </c>
      <c r="BW8">
        <f ca="1">IF($AN8="",OFFSET(Demand!$A$13,ROW(G5)-1,4+((QUOTIENT(COLUMN(BW$2)-69,3))*5)+MOD(COLUMN(BW$2),3),1,1),"")</f>
        <v>0</v>
      </c>
      <c r="BX8">
        <f ca="1">IF($AN8="",OFFSET(Demand!$A$13,ROW(H5)-1,4+((QUOTIENT(COLUMN(BX$2)-69,3))*5)+MOD(COLUMN(BX$2),3),1,1),"")</f>
        <v>0</v>
      </c>
      <c r="BY8">
        <f ca="1">IF($AN8="",OFFSET(Demand!$A$13,ROW(I5)-1,4+((QUOTIENT(COLUMN(BY$2)-69,3))*5)+MOD(COLUMN(BY$2),3),1,1),"")</f>
        <v>0</v>
      </c>
      <c r="BZ8">
        <f ca="1">IF($AN8="",OFFSET(Demand!$A$13,ROW(J5)-1,4+((QUOTIENT(COLUMN(BZ$2)-69,3))*5)+MOD(COLUMN(BZ$2),3),1,1),"")</f>
        <v>0</v>
      </c>
      <c r="CA8">
        <f ca="1">IF($AN8="",OFFSET(Demand!$A$13,ROW(K5)-1,4+((QUOTIENT(COLUMN(CA$2)-69,3))*5)+MOD(COLUMN(CA$2),3),1,1),"")</f>
        <v>0</v>
      </c>
      <c r="CB8">
        <f ca="1">IF($AN8="",OFFSET(Demand!$A$13,ROW(L5)-1,4+((QUOTIENT(COLUMN(CB$2)-69,3))*5)+MOD(COLUMN(CB$2),3),1,1),"")</f>
        <v>0</v>
      </c>
      <c r="CC8">
        <f ca="1">IF($AN8="",OFFSET(Demand!$A$13,ROW(M5)-1,4+((QUOTIENT(COLUMN(CC$2)-69,3))*5)+MOD(COLUMN(CC$2),3),1,1),"")</f>
        <v>0</v>
      </c>
      <c r="CD8">
        <f ca="1">IF($AN8="",OFFSET(Demand!$A$13,ROW(N5)-1,4+((QUOTIENT(COLUMN(CD$2)-69,3))*5)+MOD(COLUMN(CD$2),3),1,1),"")</f>
        <v>0</v>
      </c>
      <c r="CE8">
        <f ca="1">IF($AN8="",OFFSET(Demand!$A$13,ROW(O5)-1,4+((QUOTIENT(COLUMN(CE$2)-69,3))*5)+MOD(COLUMN(CE$2),3),1,1),"")</f>
        <v>0</v>
      </c>
      <c r="CF8">
        <f ca="1">IF($AN8="",OFFSET(Demand!$A$13,ROW(P5)-1,4+((QUOTIENT(COLUMN(CF$2)-69,3))*5)+MOD(COLUMN(CF$2),3),1,1),"")</f>
        <v>0</v>
      </c>
      <c r="CG8">
        <f ca="1">IF($AN8="",OFFSET(Demand!$A$13,ROW(Q5)-1,4+((QUOTIENT(COLUMN(CG$2)-69,3))*5)+MOD(COLUMN(CG$2),3),1,1),"")</f>
        <v>0</v>
      </c>
      <c r="CH8">
        <f ca="1">IF($AN8="",OFFSET(Demand!$A$13,ROW(R5)-1,4+((QUOTIENT(COLUMN(CH$2)-69,3))*5)+MOD(COLUMN(CH$2),3),1,1),"")</f>
        <v>0</v>
      </c>
      <c r="CI8">
        <f ca="1">IF($AN8="",OFFSET(Demand!$A$13,ROW(S5)-1,4+((QUOTIENT(COLUMN(CI$2)-69,3))*5)+MOD(COLUMN(CI$2),3),1,1),"")</f>
        <v>0</v>
      </c>
      <c r="CJ8">
        <f ca="1">IF($AN8="",OFFSET(Demand!$A$13,ROW(T5)-1,4+((QUOTIENT(COLUMN(CJ$2)-69,3))*5)+MOD(COLUMN(CJ$2),3),1,1),"")</f>
        <v>0</v>
      </c>
      <c r="CK8">
        <f ca="1">IF($AN8="",OFFSET(Demand!$A$13,ROW(U5)-1,4+((QUOTIENT(COLUMN(CK$2)-69,3))*5)+MOD(COLUMN(CK$2),3),1,1),"")</f>
        <v>0</v>
      </c>
      <c r="CL8">
        <f ca="1">IF($AN8="",OFFSET(Demand!$A$13,ROW(V5)-1,4+((QUOTIENT(COLUMN(CL$2)-69,3))*5)+MOD(COLUMN(CL$2),3),1,1),"")</f>
        <v>0</v>
      </c>
      <c r="CM8">
        <f ca="1">IF($AN8="",OFFSET(Demand!$A$13,ROW(W5)-1,4+((QUOTIENT(COLUMN(CM$2)-69,3))*5)+MOD(COLUMN(CM$2),3),1,1),"")</f>
        <v>0</v>
      </c>
      <c r="CN8">
        <f ca="1">IF($AN8="",OFFSET(Demand!$A$13,ROW(X5)-1,4+((QUOTIENT(COLUMN(CN$2)-69,3))*5)+MOD(COLUMN(CN$2),3),1,1),"")</f>
        <v>0</v>
      </c>
      <c r="CO8">
        <f ca="1">IF($AN8="",OFFSET(Demand!$A$13,ROW(Y5)-1,4+((QUOTIENT(COLUMN(CO$2)-69,3))*5)+MOD(COLUMN(CO$2),3),1,1),"")</f>
        <v>0</v>
      </c>
      <c r="CP8">
        <f ca="1">IF($AN8="",OFFSET(Demand!$A$13,ROW(Z5)-1,4+((QUOTIENT(COLUMN(CP$2)-69,3))*5)+MOD(COLUMN(CP$2),3),1,1),"")</f>
        <v>0</v>
      </c>
      <c r="CQ8">
        <f ca="1">IF($AN8="",OFFSET(Demand!$A$13,ROW(AA5)-1,4+((QUOTIENT(COLUMN(CQ$2)-69,3))*5)+MOD(COLUMN(CQ$2),3),1,1),"")</f>
        <v>0</v>
      </c>
      <c r="CR8">
        <f ca="1">IF($AN8="",OFFSET(Demand!$A$13,ROW(AB5)-1,4+((QUOTIENT(COLUMN(CR$2)-69,3))*5)+MOD(COLUMN(CR$2),3),1,1),"")</f>
        <v>0</v>
      </c>
      <c r="CS8">
        <f ca="1">IF($AN8="",OFFSET(Demand!$A$13,ROW(AC5)-1,4+((QUOTIENT(COLUMN(CS$2)-69,3))*5)+MOD(COLUMN(CS$2),3),1,1),"")</f>
        <v>0</v>
      </c>
      <c r="CT8">
        <f ca="1">IF($AN8="",OFFSET(Demand!$A$13,ROW(AD5)-1,4+((QUOTIENT(COLUMN(CT$2)-69,3))*5)+MOD(COLUMN(CT$2),3),1,1),"")</f>
        <v>0</v>
      </c>
      <c r="CW8" s="5">
        <f ca="1">SUM(OFFSET(Demand!$H$43,ROW(A5)-1,(COLUMN(A5)-1)*5,1,1))*N$2</f>
        <v>0</v>
      </c>
      <c r="CX8" s="5">
        <f ca="1">SUM(OFFSET(Demand!$H$43,ROW(B5)-1,(COLUMN(B5)-1)*5,1,1))*O$2</f>
        <v>0</v>
      </c>
      <c r="CY8" s="5">
        <f ca="1">SUM(OFFSET(Demand!$H$43,ROW(C5)-1,(COLUMN(C5)-1)*5,1,1))*P$2</f>
        <v>0</v>
      </c>
      <c r="CZ8" s="5">
        <f ca="1">SUM(OFFSET(Demand!$H$43,ROW(D5)-1,(COLUMN(D5)-1)*5,1,1))*Q$2</f>
        <v>0</v>
      </c>
      <c r="DA8" s="5">
        <f ca="1">SUM(OFFSET(Demand!$H$43,ROW(E5)-1,(COLUMN(E5)-1)*5,1,1))*R$2</f>
        <v>0</v>
      </c>
      <c r="DB8" s="5">
        <f ca="1">SUM(OFFSET(Demand!$H$43,ROW(F5)-1,(COLUMN(F5)-1)*5,1,1))*S$2</f>
        <v>0</v>
      </c>
      <c r="DC8" s="5">
        <f ca="1">SUM(OFFSET(Demand!$H$43,ROW(G5)-1,(COLUMN(G5)-1)*5,1,1))*T$2</f>
        <v>0</v>
      </c>
      <c r="DD8" s="5">
        <f ca="1">SUM(OFFSET(Demand!$H$43,ROW(H5)-1,(COLUMN(H5)-1)*5,1,1))*U$2</f>
        <v>0</v>
      </c>
      <c r="DE8" s="5">
        <f ca="1">SUM(OFFSET(Demand!$H$43,ROW(I5)-1,(COLUMN(I5)-1)*5,1,1))*V$2</f>
        <v>0</v>
      </c>
      <c r="DF8" s="5">
        <f ca="1">SUM(OFFSET(Demand!$H$43,ROW(J5)-1,(COLUMN(J5)-1)*5,1,1))*W$2</f>
        <v>0</v>
      </c>
      <c r="DG8" s="5">
        <f ca="1">IF(OR(AN8&lt;&gt;"",AND('Demand adjustments for Covid'!$F$9="Yes",'Demand adjustments for Covid'!$F$20="Yes")),"",SUM(CW8:DF8))</f>
        <v>0</v>
      </c>
      <c r="DI8" s="5" t="s">
        <v>231</v>
      </c>
      <c r="DJ8" s="5" t="str">
        <f ca="1">IFERROR(PERCENTILE((OFFSET('Demand background (hide)'!$DG$4,'SPC background (hide)'!$D$6-1,0,'SPC background (hide)'!$H$7,1)),'Control sheet (hide)'!$I$9),"")</f>
        <v/>
      </c>
      <c r="DM8" s="5">
        <f t="shared" si="10"/>
        <v>20</v>
      </c>
      <c r="DN8" s="320">
        <f t="shared" si="17"/>
        <v>43962</v>
      </c>
      <c r="DO8" s="5">
        <f ca="1">VLOOKUP(IF($DM8&lt;53,$DM8,52),'Summary Calculations (hide)'!$D$15:$F$67,2,0)</f>
        <v>160</v>
      </c>
      <c r="DP8" s="5">
        <f ca="1">VLOOKUP(IF($DM8&lt;53,$DM8,52),'Summary Calculations (hide)'!$D$15:$F$67,3,0)</f>
        <v>176</v>
      </c>
      <c r="DQ8" s="5">
        <f ca="1">IF(AND(DN8&gt;='Demand adjustments for Covid'!$F$12,DN8&lt;'Demand adjustments for Covid'!$F$17),'Demand adjustments for Covid'!$F$13,DO8)</f>
        <v>160</v>
      </c>
      <c r="DR8" s="5">
        <f t="shared" si="7"/>
        <v>1</v>
      </c>
      <c r="DS8" s="5">
        <f ca="1">IF('Demand adjustments for Covid'!$F$9="Yes",IF(DR8=0,DQ8,((SUM(DR$4:DR8)-1)*$EE$8)+'Demand adjustments for Covid'!F$13),'Demand background (hide)'!DO8)</f>
        <v>10</v>
      </c>
      <c r="DT8" s="5">
        <f ca="1">IF('Demand adjustments for Covid'!$F$9="Yes",IF(OR(AND(DN8&gt;='Demand adjustments for Covid'!$F$12,DN8&lt;'Demand adjustments for Covid'!$F$17),DR8=1),DS8+3,DP8),'Demand background (hide)'!DP8)</f>
        <v>13</v>
      </c>
      <c r="DU8" s="5">
        <f ca="1">IF(DS8&lt;='Demand adjustments for Covid'!$F$17,DO8-DS8,0)</f>
        <v>150</v>
      </c>
      <c r="DV8" s="5">
        <f ca="1">IF(AND(ROW(A5)&gt;$EE$5,ROW(A5)&lt;=$EA$5),OFFSET('Demand adjustments for Covid'!$F$35,0,ROW(A5)-'Demand background (hide)'!$EE$5,1,1),0)</f>
        <v>0</v>
      </c>
      <c r="DW8" s="5">
        <f ca="1">IF(AND(ROW(A5)&gt;$EE$5,ROW(A5)&lt;=$EA$5),OFFSET('Demand adjustments for Covid'!$F$36,0,ROW(A5)-'Demand background (hide)'!$EE$5,1,1),0)</f>
        <v>0</v>
      </c>
      <c r="DX8" s="5">
        <f t="shared" ca="1" si="11"/>
        <v>13</v>
      </c>
      <c r="ED8" s="5" t="s">
        <v>1204</v>
      </c>
      <c r="EE8" s="5">
        <f ca="1">(EE7-'Demand adjustments for Covid'!F13)/'Demand adjustments for Covid'!F18</f>
        <v>44</v>
      </c>
    </row>
    <row r="9" spans="1:135" s="5" customFormat="1" x14ac:dyDescent="0.25">
      <c r="A9" s="5">
        <f t="shared" ca="1" si="3"/>
        <v>0</v>
      </c>
      <c r="B9" s="5">
        <f ca="1">COUNTBLANK(OFFSET(Demand!$I18,0,(COLUMN(A6)-1)*5,1,1))</f>
        <v>0</v>
      </c>
      <c r="C9" s="5">
        <f ca="1">COUNTBLANK(OFFSET(Demand!$I18,0,(COLUMN(B6)-1)*5,1,1))</f>
        <v>1</v>
      </c>
      <c r="D9" s="5">
        <f ca="1">COUNTBLANK(OFFSET(Demand!$I18,0,(COLUMN(C6)-1)*5,1,1))</f>
        <v>1</v>
      </c>
      <c r="E9" s="5">
        <f ca="1">COUNTBLANK(OFFSET(Demand!$I18,0,(COLUMN(D6)-1)*5,1,1))</f>
        <v>1</v>
      </c>
      <c r="F9" s="5">
        <f ca="1">COUNTBLANK(OFFSET(Demand!$I18,0,(COLUMN(E6)-1)*5,1,1))</f>
        <v>1</v>
      </c>
      <c r="G9" s="5">
        <f ca="1">COUNTBLANK(OFFSET(Demand!$I18,0,(COLUMN(F6)-1)*5,1,1))</f>
        <v>1</v>
      </c>
      <c r="H9" s="5">
        <f ca="1">COUNTBLANK(OFFSET(Demand!$I18,0,(COLUMN(G6)-1)*5,1,1))</f>
        <v>1</v>
      </c>
      <c r="I9" s="5">
        <f ca="1">COUNTBLANK(OFFSET(Demand!$I18,0,(COLUMN(H6)-1)*5,1,1))</f>
        <v>1</v>
      </c>
      <c r="J9" s="5">
        <f ca="1">COUNTBLANK(OFFSET(Demand!$I18,0,(COLUMN(I6)-1)*5,1,1))</f>
        <v>1</v>
      </c>
      <c r="K9" s="5">
        <f ca="1">COUNTBLANK(OFFSET(Demand!$I18,0,(COLUMN(J6)-1)*5,1,1))</f>
        <v>1</v>
      </c>
      <c r="N9" s="5">
        <f ca="1">SUM(OFFSET(Demand!$E18,0,(COLUMN(A6)-1)*5,1,3))*N$2</f>
        <v>156</v>
      </c>
      <c r="O9" s="5">
        <f ca="1">SUM(OFFSET(Demand!$E18,0,(COLUMN(B6)-1)*5,1,3))*O$2</f>
        <v>0</v>
      </c>
      <c r="P9" s="5">
        <f ca="1">SUM(OFFSET(Demand!$E18,0,(COLUMN(C6)-1)*5,1,3))*P$2</f>
        <v>0</v>
      </c>
      <c r="Q9" s="5">
        <f ca="1">SUM(OFFSET(Demand!$E18,0,(COLUMN(D6)-1)*5,1,3))*Q$2</f>
        <v>0</v>
      </c>
      <c r="R9" s="5">
        <f ca="1">SUM(OFFSET(Demand!$E18,0,(COLUMN(E6)-1)*5,1,3))*R$2</f>
        <v>0</v>
      </c>
      <c r="S9" s="5">
        <f ca="1">SUM(OFFSET(Demand!$E18,0,(COLUMN(F6)-1)*5,1,3))*S$2</f>
        <v>0</v>
      </c>
      <c r="T9" s="5">
        <f ca="1">SUM(OFFSET(Demand!$E18,0,(COLUMN(G6)-1)*5,1,3))*T$2</f>
        <v>0</v>
      </c>
      <c r="U9" s="5">
        <f ca="1">SUM(OFFSET(Demand!$E18,0,(COLUMN(H6)-1)*5,1,3))*U$2</f>
        <v>0</v>
      </c>
      <c r="V9" s="5">
        <f ca="1">SUM(OFFSET(Demand!$E18,0,(COLUMN(I6)-1)*5,1,3))*V$2</f>
        <v>0</v>
      </c>
      <c r="W9" s="5">
        <f ca="1">SUM(OFFSET(Demand!$E18,0,(COLUMN(J6)-1)*5,1,3))*W$2</f>
        <v>0</v>
      </c>
      <c r="X9" s="5">
        <f t="shared" ca="1" si="4"/>
        <v>156</v>
      </c>
      <c r="Y9" s="5">
        <f t="shared" ca="1" si="5"/>
        <v>156</v>
      </c>
      <c r="Z9" s="5">
        <f ca="1">SUM(OFFSET(Demand!$H18,0,(COLUMN(A6)-1)*5,1,1))*N$2</f>
        <v>0</v>
      </c>
      <c r="AA9" s="5">
        <f ca="1">SUM(OFFSET(Demand!$H18,0,(COLUMN(B6)-1)*5,1,1))*O$2</f>
        <v>0</v>
      </c>
      <c r="AB9" s="5">
        <f ca="1">SUM(OFFSET(Demand!$H18,0,(COLUMN(C6)-1)*5,1,1))*P$2</f>
        <v>0</v>
      </c>
      <c r="AC9" s="5">
        <f ca="1">SUM(OFFSET(Demand!$H18,0,(COLUMN(D6)-1)*5,1,1))*Q$2</f>
        <v>0</v>
      </c>
      <c r="AD9" s="5">
        <f ca="1">SUM(OFFSET(Demand!$H18,0,(COLUMN(E6)-1)*5,1,1))*R$2</f>
        <v>0</v>
      </c>
      <c r="AE9" s="5">
        <f ca="1">SUM(OFFSET(Demand!$H18,0,(COLUMN(F6)-1)*5,1,1))*S$2</f>
        <v>0</v>
      </c>
      <c r="AF9" s="5">
        <f ca="1">SUM(OFFSET(Demand!$H18,0,(COLUMN(G6)-1)*5,1,1))*T$2</f>
        <v>0</v>
      </c>
      <c r="AG9" s="5">
        <f ca="1">SUM(OFFSET(Demand!$H18,0,(COLUMN(H6)-1)*5,1,1))*U$2</f>
        <v>0</v>
      </c>
      <c r="AH9" s="5">
        <f ca="1">SUM(OFFSET(Demand!$H18,0,(COLUMN(I6)-1)*5,1,1))*V$2</f>
        <v>0</v>
      </c>
      <c r="AI9" s="5">
        <f ca="1">SUM(OFFSET(Demand!$H18,0,(COLUMN(J6)-1)*5,1,1))*W$2</f>
        <v>0</v>
      </c>
      <c r="AJ9" s="5">
        <f t="shared" ca="1" si="6"/>
        <v>0</v>
      </c>
      <c r="AL9" s="5">
        <f t="shared" ca="1" si="8"/>
        <v>156</v>
      </c>
      <c r="AM9" s="5">
        <f t="shared" ca="1" si="9"/>
        <v>0</v>
      </c>
      <c r="AN9" s="5" t="str">
        <f>IF(Demand!BE18="Yes","Yes","")</f>
        <v/>
      </c>
      <c r="AP9" s="36" t="str">
        <f ca="1">Demand!B18</f>
        <v xml:space="preserve"> </v>
      </c>
      <c r="AQ9" s="5" t="str">
        <f ca="1">IF(TEXT(Demand!D18,"MMM")&lt;&gt;TEXT(Demand!D17,"MMM"),TEXT(Demand!D18,"MMM"),"")</f>
        <v>Apr</v>
      </c>
      <c r="AT9" s="5">
        <f t="shared" ca="1" si="12"/>
        <v>4</v>
      </c>
      <c r="BB9" t="str">
        <f>'Control sheet (hide)'!AA6</f>
        <v>Modality 4</v>
      </c>
      <c r="BC9" s="46" t="str">
        <f t="shared" si="13"/>
        <v/>
      </c>
      <c r="BD9" s="46" t="str">
        <f t="shared" si="14"/>
        <v/>
      </c>
      <c r="BE9" s="46" t="str">
        <f t="shared" si="15"/>
        <v/>
      </c>
      <c r="BF9" s="5">
        <f ca="1">SUM(OFFSET($BQ$4,'SPC background (hide)'!$C$4-1,((ROW(A4)-1)*3)+MOD(COLUMN(C4),3),'SPC background (hide)'!$I$11,1))</f>
        <v>0</v>
      </c>
      <c r="BG9" s="5">
        <f ca="1">SUM(OFFSET($BQ$4,'SPC background (hide)'!$C$4-1,((ROW(B4)-1)*3)+MOD(COLUMN(D4),3),'SPC background (hide)'!$I$11,1))</f>
        <v>0</v>
      </c>
      <c r="BH9" s="5">
        <f ca="1">SUM(OFFSET($BQ$4,'SPC background (hide)'!$C$4-1,((ROW(C4)-1)*3)+MOD(COLUMN(E4),3),'SPC background (hide)'!$I$11,1))</f>
        <v>0</v>
      </c>
      <c r="BI9" s="5">
        <f t="shared" ca="1" si="18"/>
        <v>0</v>
      </c>
      <c r="BJ9" s="5">
        <f t="shared" ref="BJ9:BL9" ca="1" si="24">BF9*OFFSET($N$2,0,ROW(A4)-1,1,1)</f>
        <v>0</v>
      </c>
      <c r="BK9" s="5">
        <f t="shared" ca="1" si="24"/>
        <v>0</v>
      </c>
      <c r="BL9" s="5">
        <f t="shared" ca="1" si="24"/>
        <v>0</v>
      </c>
      <c r="BM9" s="5">
        <f t="shared" ca="1" si="20"/>
        <v>0</v>
      </c>
      <c r="BN9" s="5">
        <f t="shared" ca="1" si="21"/>
        <v>0</v>
      </c>
      <c r="BO9" s="84">
        <f t="shared" ca="1" si="22"/>
        <v>0</v>
      </c>
      <c r="BQ9">
        <f ca="1">IF($AN9="",OFFSET(Demand!$A$13,ROW(A6)-1,4+((QUOTIENT(COLUMN(BQ$2)-69,3))*5)+MOD(COLUMN(BQ$2),3),1,1),"")</f>
        <v>0</v>
      </c>
      <c r="BR9">
        <f ca="1">IF($AN9="",OFFSET(Demand!$A$13,ROW(B6)-1,4+((QUOTIENT(COLUMN(BR$2)-69,3))*5)+MOD(COLUMN(BR$2),3),1,1),"")</f>
        <v>0</v>
      </c>
      <c r="BS9">
        <f ca="1">IF($AN9="",OFFSET(Demand!$A$13,ROW(C6)-1,4+((QUOTIENT(COLUMN(BS$2)-69,3))*5)+MOD(COLUMN(BS$2),3),1,1),"")</f>
        <v>78</v>
      </c>
      <c r="BT9">
        <f ca="1">IF($AN9="",OFFSET(Demand!$A$13,ROW(D6)-1,4+((QUOTIENT(COLUMN(BT$2)-69,3))*5)+MOD(COLUMN(BT$2),3),1,1),"")</f>
        <v>0</v>
      </c>
      <c r="BU9">
        <f ca="1">IF($AN9="",OFFSET(Demand!$A$13,ROW(E6)-1,4+((QUOTIENT(COLUMN(BU$2)-69,3))*5)+MOD(COLUMN(BU$2),3),1,1),"")</f>
        <v>0</v>
      </c>
      <c r="BV9">
        <f ca="1">IF($AN9="",OFFSET(Demand!$A$13,ROW(F6)-1,4+((QUOTIENT(COLUMN(BV$2)-69,3))*5)+MOD(COLUMN(BV$2),3),1,1),"")</f>
        <v>0</v>
      </c>
      <c r="BW9">
        <f ca="1">IF($AN9="",OFFSET(Demand!$A$13,ROW(G6)-1,4+((QUOTIENT(COLUMN(BW$2)-69,3))*5)+MOD(COLUMN(BW$2),3),1,1),"")</f>
        <v>0</v>
      </c>
      <c r="BX9">
        <f ca="1">IF($AN9="",OFFSET(Demand!$A$13,ROW(H6)-1,4+((QUOTIENT(COLUMN(BX$2)-69,3))*5)+MOD(COLUMN(BX$2),3),1,1),"")</f>
        <v>0</v>
      </c>
      <c r="BY9">
        <f ca="1">IF($AN9="",OFFSET(Demand!$A$13,ROW(I6)-1,4+((QUOTIENT(COLUMN(BY$2)-69,3))*5)+MOD(COLUMN(BY$2),3),1,1),"")</f>
        <v>0</v>
      </c>
      <c r="BZ9">
        <f ca="1">IF($AN9="",OFFSET(Demand!$A$13,ROW(J6)-1,4+((QUOTIENT(COLUMN(BZ$2)-69,3))*5)+MOD(COLUMN(BZ$2),3),1,1),"")</f>
        <v>0</v>
      </c>
      <c r="CA9">
        <f ca="1">IF($AN9="",OFFSET(Demand!$A$13,ROW(K6)-1,4+((QUOTIENT(COLUMN(CA$2)-69,3))*5)+MOD(COLUMN(CA$2),3),1,1),"")</f>
        <v>0</v>
      </c>
      <c r="CB9">
        <f ca="1">IF($AN9="",OFFSET(Demand!$A$13,ROW(L6)-1,4+((QUOTIENT(COLUMN(CB$2)-69,3))*5)+MOD(COLUMN(CB$2),3),1,1),"")</f>
        <v>0</v>
      </c>
      <c r="CC9">
        <f ca="1">IF($AN9="",OFFSET(Demand!$A$13,ROW(M6)-1,4+((QUOTIENT(COLUMN(CC$2)-69,3))*5)+MOD(COLUMN(CC$2),3),1,1),"")</f>
        <v>0</v>
      </c>
      <c r="CD9">
        <f ca="1">IF($AN9="",OFFSET(Demand!$A$13,ROW(N6)-1,4+((QUOTIENT(COLUMN(CD$2)-69,3))*5)+MOD(COLUMN(CD$2),3),1,1),"")</f>
        <v>0</v>
      </c>
      <c r="CE9">
        <f ca="1">IF($AN9="",OFFSET(Demand!$A$13,ROW(O6)-1,4+((QUOTIENT(COLUMN(CE$2)-69,3))*5)+MOD(COLUMN(CE$2),3),1,1),"")</f>
        <v>0</v>
      </c>
      <c r="CF9">
        <f ca="1">IF($AN9="",OFFSET(Demand!$A$13,ROW(P6)-1,4+((QUOTIENT(COLUMN(CF$2)-69,3))*5)+MOD(COLUMN(CF$2),3),1,1),"")</f>
        <v>0</v>
      </c>
      <c r="CG9">
        <f ca="1">IF($AN9="",OFFSET(Demand!$A$13,ROW(Q6)-1,4+((QUOTIENT(COLUMN(CG$2)-69,3))*5)+MOD(COLUMN(CG$2),3),1,1),"")</f>
        <v>0</v>
      </c>
      <c r="CH9">
        <f ca="1">IF($AN9="",OFFSET(Demand!$A$13,ROW(R6)-1,4+((QUOTIENT(COLUMN(CH$2)-69,3))*5)+MOD(COLUMN(CH$2),3),1,1),"")</f>
        <v>0</v>
      </c>
      <c r="CI9">
        <f ca="1">IF($AN9="",OFFSET(Demand!$A$13,ROW(S6)-1,4+((QUOTIENT(COLUMN(CI$2)-69,3))*5)+MOD(COLUMN(CI$2),3),1,1),"")</f>
        <v>0</v>
      </c>
      <c r="CJ9">
        <f ca="1">IF($AN9="",OFFSET(Demand!$A$13,ROW(T6)-1,4+((QUOTIENT(COLUMN(CJ$2)-69,3))*5)+MOD(COLUMN(CJ$2),3),1,1),"")</f>
        <v>0</v>
      </c>
      <c r="CK9">
        <f ca="1">IF($AN9="",OFFSET(Demand!$A$13,ROW(U6)-1,4+((QUOTIENT(COLUMN(CK$2)-69,3))*5)+MOD(COLUMN(CK$2),3),1,1),"")</f>
        <v>0</v>
      </c>
      <c r="CL9">
        <f ca="1">IF($AN9="",OFFSET(Demand!$A$13,ROW(V6)-1,4+((QUOTIENT(COLUMN(CL$2)-69,3))*5)+MOD(COLUMN(CL$2),3),1,1),"")</f>
        <v>0</v>
      </c>
      <c r="CM9">
        <f ca="1">IF($AN9="",OFFSET(Demand!$A$13,ROW(W6)-1,4+((QUOTIENT(COLUMN(CM$2)-69,3))*5)+MOD(COLUMN(CM$2),3),1,1),"")</f>
        <v>0</v>
      </c>
      <c r="CN9">
        <f ca="1">IF($AN9="",OFFSET(Demand!$A$13,ROW(X6)-1,4+((QUOTIENT(COLUMN(CN$2)-69,3))*5)+MOD(COLUMN(CN$2),3),1,1),"")</f>
        <v>0</v>
      </c>
      <c r="CO9">
        <f ca="1">IF($AN9="",OFFSET(Demand!$A$13,ROW(Y6)-1,4+((QUOTIENT(COLUMN(CO$2)-69,3))*5)+MOD(COLUMN(CO$2),3),1,1),"")</f>
        <v>0</v>
      </c>
      <c r="CP9">
        <f ca="1">IF($AN9="",OFFSET(Demand!$A$13,ROW(Z6)-1,4+((QUOTIENT(COLUMN(CP$2)-69,3))*5)+MOD(COLUMN(CP$2),3),1,1),"")</f>
        <v>0</v>
      </c>
      <c r="CQ9">
        <f ca="1">IF($AN9="",OFFSET(Demand!$A$13,ROW(AA6)-1,4+((QUOTIENT(COLUMN(CQ$2)-69,3))*5)+MOD(COLUMN(CQ$2),3),1,1),"")</f>
        <v>0</v>
      </c>
      <c r="CR9">
        <f ca="1">IF($AN9="",OFFSET(Demand!$A$13,ROW(AB6)-1,4+((QUOTIENT(COLUMN(CR$2)-69,3))*5)+MOD(COLUMN(CR$2),3),1,1),"")</f>
        <v>0</v>
      </c>
      <c r="CS9">
        <f ca="1">IF($AN9="",OFFSET(Demand!$A$13,ROW(AC6)-1,4+((QUOTIENT(COLUMN(CS$2)-69,3))*5)+MOD(COLUMN(CS$2),3),1,1),"")</f>
        <v>0</v>
      </c>
      <c r="CT9">
        <f ca="1">IF($AN9="",OFFSET(Demand!$A$13,ROW(AD6)-1,4+((QUOTIENT(COLUMN(CT$2)-69,3))*5)+MOD(COLUMN(CT$2),3),1,1),"")</f>
        <v>0</v>
      </c>
      <c r="CW9" s="5">
        <f ca="1">SUM(OFFSET(Demand!$H$43,ROW(A6)-1,(COLUMN(A6)-1)*5,1,1))*N$2</f>
        <v>0</v>
      </c>
      <c r="CX9" s="5">
        <f ca="1">SUM(OFFSET(Demand!$H$43,ROW(B6)-1,(COLUMN(B6)-1)*5,1,1))*O$2</f>
        <v>0</v>
      </c>
      <c r="CY9" s="5">
        <f ca="1">SUM(OFFSET(Demand!$H$43,ROW(C6)-1,(COLUMN(C6)-1)*5,1,1))*P$2</f>
        <v>0</v>
      </c>
      <c r="CZ9" s="5">
        <f ca="1">SUM(OFFSET(Demand!$H$43,ROW(D6)-1,(COLUMN(D6)-1)*5,1,1))*Q$2</f>
        <v>0</v>
      </c>
      <c r="DA9" s="5">
        <f ca="1">SUM(OFFSET(Demand!$H$43,ROW(E6)-1,(COLUMN(E6)-1)*5,1,1))*R$2</f>
        <v>0</v>
      </c>
      <c r="DB9" s="5">
        <f ca="1">SUM(OFFSET(Demand!$H$43,ROW(F6)-1,(COLUMN(F6)-1)*5,1,1))*S$2</f>
        <v>0</v>
      </c>
      <c r="DC9" s="5">
        <f ca="1">SUM(OFFSET(Demand!$H$43,ROW(G6)-1,(COLUMN(G6)-1)*5,1,1))*T$2</f>
        <v>0</v>
      </c>
      <c r="DD9" s="5">
        <f ca="1">SUM(OFFSET(Demand!$H$43,ROW(H6)-1,(COLUMN(H6)-1)*5,1,1))*U$2</f>
        <v>0</v>
      </c>
      <c r="DE9" s="5">
        <f ca="1">SUM(OFFSET(Demand!$H$43,ROW(I6)-1,(COLUMN(I6)-1)*5,1,1))*V$2</f>
        <v>0</v>
      </c>
      <c r="DF9" s="5">
        <f ca="1">SUM(OFFSET(Demand!$H$43,ROW(J6)-1,(COLUMN(J6)-1)*5,1,1))*W$2</f>
        <v>0</v>
      </c>
      <c r="DG9" s="5">
        <f ca="1">IF(OR(AN9&lt;&gt;"",AND('Demand adjustments for Covid'!$F$9="Yes",'Demand adjustments for Covid'!$F$20="Yes")),"",SUM(CW9:DF9))</f>
        <v>0</v>
      </c>
      <c r="DI9" s="5" t="s">
        <v>232</v>
      </c>
      <c r="DJ9" s="5" t="str">
        <f ca="1">IFERROR(PERCENTILE((OFFSET('Demand background (hide)'!$DG$4,'SPC background (hide)'!$D$6-1,0,'SPC background (hide)'!$H$7,1)),'Control sheet (hide)'!$I$10),"")</f>
        <v/>
      </c>
      <c r="DM9" s="5">
        <f t="shared" si="10"/>
        <v>21</v>
      </c>
      <c r="DN9" s="320">
        <f t="shared" si="17"/>
        <v>43969</v>
      </c>
      <c r="DO9" s="5">
        <f ca="1">VLOOKUP(IF($DM9&lt;53,$DM9,52),'Summary Calculations (hide)'!$D$15:$F$67,2,0)</f>
        <v>156</v>
      </c>
      <c r="DP9" s="5">
        <f ca="1">VLOOKUP(IF($DM9&lt;53,$DM9,52),'Summary Calculations (hide)'!$D$15:$F$67,3,0)</f>
        <v>171.60000000000002</v>
      </c>
      <c r="DQ9" s="5">
        <f ca="1">IF(AND(DN9&gt;='Demand adjustments for Covid'!$F$12,DN9&lt;'Demand adjustments for Covid'!$F$17),'Demand adjustments for Covid'!$F$13,DO9)</f>
        <v>156</v>
      </c>
      <c r="DR9" s="5">
        <f t="shared" si="7"/>
        <v>1</v>
      </c>
      <c r="DS9" s="5">
        <f ca="1">IF('Demand adjustments for Covid'!$F$9="Yes",IF(DR9=0,DQ9,((SUM(DR$4:DR9)-1)*$EE$8)+'Demand adjustments for Covid'!F$13),'Demand background (hide)'!DO9)</f>
        <v>54</v>
      </c>
      <c r="DT9" s="5">
        <f ca="1">IF('Demand adjustments for Covid'!$F$9="Yes",IF(OR(AND(DN9&gt;='Demand adjustments for Covid'!$F$12,DN9&lt;'Demand adjustments for Covid'!$F$17),DR9=1),DS9+3,DP9),'Demand background (hide)'!DP9)</f>
        <v>57</v>
      </c>
      <c r="DU9" s="5">
        <f ca="1">IF(DS9&lt;='Demand adjustments for Covid'!$F$17,DO9-DS9,0)</f>
        <v>102</v>
      </c>
      <c r="DV9" s="5">
        <f ca="1">IF(AND(ROW(A6)&gt;$EE$5,ROW(A6)&lt;=$EA$5),OFFSET('Demand adjustments for Covid'!$F$35,0,ROW(A6)-'Demand background (hide)'!$EE$5,1,1),0)</f>
        <v>0</v>
      </c>
      <c r="DW9" s="5">
        <f ca="1">IF(AND(ROW(A6)&gt;$EE$5,ROW(A6)&lt;=$EA$5),OFFSET('Demand adjustments for Covid'!$F$36,0,ROW(A6)-'Demand background (hide)'!$EE$5,1,1),0)</f>
        <v>0</v>
      </c>
      <c r="DX9" s="5">
        <f t="shared" ca="1" si="11"/>
        <v>57</v>
      </c>
    </row>
    <row r="10" spans="1:135" s="5" customFormat="1" x14ac:dyDescent="0.25">
      <c r="A10" s="5">
        <f t="shared" ca="1" si="3"/>
        <v>0</v>
      </c>
      <c r="B10" s="5">
        <f ca="1">COUNTBLANK(OFFSET(Demand!$I19,0,(COLUMN(A7)-1)*5,1,1))</f>
        <v>0</v>
      </c>
      <c r="C10" s="5">
        <f ca="1">COUNTBLANK(OFFSET(Demand!$I19,0,(COLUMN(B7)-1)*5,1,1))</f>
        <v>1</v>
      </c>
      <c r="D10" s="5">
        <f ca="1">COUNTBLANK(OFFSET(Demand!$I19,0,(COLUMN(C7)-1)*5,1,1))</f>
        <v>1</v>
      </c>
      <c r="E10" s="5">
        <f ca="1">COUNTBLANK(OFFSET(Demand!$I19,0,(COLUMN(D7)-1)*5,1,1))</f>
        <v>1</v>
      </c>
      <c r="F10" s="5">
        <f ca="1">COUNTBLANK(OFFSET(Demand!$I19,0,(COLUMN(E7)-1)*5,1,1))</f>
        <v>1</v>
      </c>
      <c r="G10" s="5">
        <f ca="1">COUNTBLANK(OFFSET(Demand!$I19,0,(COLUMN(F7)-1)*5,1,1))</f>
        <v>1</v>
      </c>
      <c r="H10" s="5">
        <f ca="1">COUNTBLANK(OFFSET(Demand!$I19,0,(COLUMN(G7)-1)*5,1,1))</f>
        <v>1</v>
      </c>
      <c r="I10" s="5">
        <f ca="1">COUNTBLANK(OFFSET(Demand!$I19,0,(COLUMN(H7)-1)*5,1,1))</f>
        <v>1</v>
      </c>
      <c r="J10" s="5">
        <f ca="1">COUNTBLANK(OFFSET(Demand!$I19,0,(COLUMN(I7)-1)*5,1,1))</f>
        <v>1</v>
      </c>
      <c r="K10" s="5">
        <f ca="1">COUNTBLANK(OFFSET(Demand!$I19,0,(COLUMN(J7)-1)*5,1,1))</f>
        <v>1</v>
      </c>
      <c r="N10" s="5">
        <f ca="1">SUM(OFFSET(Demand!$E19,0,(COLUMN(A7)-1)*5,1,3))*N$2</f>
        <v>154</v>
      </c>
      <c r="O10" s="5">
        <f ca="1">SUM(OFFSET(Demand!$E19,0,(COLUMN(B7)-1)*5,1,3))*O$2</f>
        <v>0</v>
      </c>
      <c r="P10" s="5">
        <f ca="1">SUM(OFFSET(Demand!$E19,0,(COLUMN(C7)-1)*5,1,3))*P$2</f>
        <v>0</v>
      </c>
      <c r="Q10" s="5">
        <f ca="1">SUM(OFFSET(Demand!$E19,0,(COLUMN(D7)-1)*5,1,3))*Q$2</f>
        <v>0</v>
      </c>
      <c r="R10" s="5">
        <f ca="1">SUM(OFFSET(Demand!$E19,0,(COLUMN(E7)-1)*5,1,3))*R$2</f>
        <v>0</v>
      </c>
      <c r="S10" s="5">
        <f ca="1">SUM(OFFSET(Demand!$E19,0,(COLUMN(F7)-1)*5,1,3))*S$2</f>
        <v>0</v>
      </c>
      <c r="T10" s="5">
        <f ca="1">SUM(OFFSET(Demand!$E19,0,(COLUMN(G7)-1)*5,1,3))*T$2</f>
        <v>0</v>
      </c>
      <c r="U10" s="5">
        <f ca="1">SUM(OFFSET(Demand!$E19,0,(COLUMN(H7)-1)*5,1,3))*U$2</f>
        <v>0</v>
      </c>
      <c r="V10" s="5">
        <f ca="1">SUM(OFFSET(Demand!$E19,0,(COLUMN(I7)-1)*5,1,3))*V$2</f>
        <v>0</v>
      </c>
      <c r="W10" s="5">
        <f ca="1">SUM(OFFSET(Demand!$E19,0,(COLUMN(J7)-1)*5,1,3))*W$2</f>
        <v>0</v>
      </c>
      <c r="X10" s="5">
        <f t="shared" ca="1" si="4"/>
        <v>154</v>
      </c>
      <c r="Y10" s="5">
        <f t="shared" ca="1" si="5"/>
        <v>154</v>
      </c>
      <c r="Z10" s="5">
        <f ca="1">SUM(OFFSET(Demand!$H19,0,(COLUMN(A7)-1)*5,1,1))*N$2</f>
        <v>0</v>
      </c>
      <c r="AA10" s="5">
        <f ca="1">SUM(OFFSET(Demand!$H19,0,(COLUMN(B7)-1)*5,1,1))*O$2</f>
        <v>0</v>
      </c>
      <c r="AB10" s="5">
        <f ca="1">SUM(OFFSET(Demand!$H19,0,(COLUMN(C7)-1)*5,1,1))*P$2</f>
        <v>0</v>
      </c>
      <c r="AC10" s="5">
        <f ca="1">SUM(OFFSET(Demand!$H19,0,(COLUMN(D7)-1)*5,1,1))*Q$2</f>
        <v>0</v>
      </c>
      <c r="AD10" s="5">
        <f ca="1">SUM(OFFSET(Demand!$H19,0,(COLUMN(E7)-1)*5,1,1))*R$2</f>
        <v>0</v>
      </c>
      <c r="AE10" s="5">
        <f ca="1">SUM(OFFSET(Demand!$H19,0,(COLUMN(F7)-1)*5,1,1))*S$2</f>
        <v>0</v>
      </c>
      <c r="AF10" s="5">
        <f ca="1">SUM(OFFSET(Demand!$H19,0,(COLUMN(G7)-1)*5,1,1))*T$2</f>
        <v>0</v>
      </c>
      <c r="AG10" s="5">
        <f ca="1">SUM(OFFSET(Demand!$H19,0,(COLUMN(H7)-1)*5,1,1))*U$2</f>
        <v>0</v>
      </c>
      <c r="AH10" s="5">
        <f ca="1">SUM(OFFSET(Demand!$H19,0,(COLUMN(I7)-1)*5,1,1))*V$2</f>
        <v>0</v>
      </c>
      <c r="AI10" s="5">
        <f ca="1">SUM(OFFSET(Demand!$H19,0,(COLUMN(J7)-1)*5,1,1))*W$2</f>
        <v>0</v>
      </c>
      <c r="AJ10" s="5">
        <f t="shared" ca="1" si="6"/>
        <v>0</v>
      </c>
      <c r="AL10" s="5">
        <f t="shared" ca="1" si="8"/>
        <v>154</v>
      </c>
      <c r="AM10" s="5">
        <f t="shared" ca="1" si="9"/>
        <v>0</v>
      </c>
      <c r="AN10" s="5" t="str">
        <f>IF(Demand!BE19="Yes","Yes","")</f>
        <v/>
      </c>
      <c r="AP10" s="36" t="str">
        <f ca="1">Demand!B19</f>
        <v xml:space="preserve"> </v>
      </c>
      <c r="AQ10" s="5" t="str">
        <f ca="1">IF(TEXT(Demand!D19,"MMM")&lt;&gt;TEXT(Demand!D18,"MMM"),TEXT(Demand!D19,"MMM"),"")</f>
        <v/>
      </c>
      <c r="AT10" s="5">
        <f t="shared" ca="1" si="12"/>
        <v>2</v>
      </c>
      <c r="AV10" s="5" t="s">
        <v>69</v>
      </c>
      <c r="AW10" s="44" t="str">
        <f ca="1">IFERROR(AVERAGE(OFFSET(AL$4,'SPC background (hide)'!$D$6-1,0,'SPC background (hide)'!$H$7,1)),"")</f>
        <v/>
      </c>
      <c r="AX10" s="5" t="str">
        <f ca="1">IFERROR(AVERAGE(OFFSET(AM$4,'SPC background (hide)'!$D$6-1,0,'SPC background (hide)'!$H$7,1)),"")</f>
        <v/>
      </c>
      <c r="BB10" t="str">
        <f>'Control sheet (hide)'!AA7</f>
        <v>Modality 5</v>
      </c>
      <c r="BC10" s="46" t="str">
        <f t="shared" si="13"/>
        <v/>
      </c>
      <c r="BD10" s="46" t="str">
        <f t="shared" si="14"/>
        <v/>
      </c>
      <c r="BE10" s="46" t="str">
        <f t="shared" si="15"/>
        <v/>
      </c>
      <c r="BF10" s="5">
        <f ca="1">SUM(OFFSET($BQ$4,'SPC background (hide)'!$C$4-1,((ROW(A5)-1)*3)+MOD(COLUMN(C5),3),'SPC background (hide)'!$I$11,1))</f>
        <v>0</v>
      </c>
      <c r="BG10" s="5">
        <f ca="1">SUM(OFFSET($BQ$4,'SPC background (hide)'!$C$4-1,((ROW(B5)-1)*3)+MOD(COLUMN(D5),3),'SPC background (hide)'!$I$11,1))</f>
        <v>0</v>
      </c>
      <c r="BH10" s="5">
        <f ca="1">SUM(OFFSET($BQ$4,'SPC background (hide)'!$C$4-1,((ROW(C5)-1)*3)+MOD(COLUMN(E5),3),'SPC background (hide)'!$I$11,1))</f>
        <v>0</v>
      </c>
      <c r="BI10" s="5">
        <f t="shared" ca="1" si="18"/>
        <v>0</v>
      </c>
      <c r="BJ10" s="5">
        <f t="shared" ref="BJ10:BL10" ca="1" si="25">BF10*OFFSET($N$2,0,ROW(A5)-1,1,1)</f>
        <v>0</v>
      </c>
      <c r="BK10" s="5">
        <f t="shared" ca="1" si="25"/>
        <v>0</v>
      </c>
      <c r="BL10" s="5">
        <f t="shared" ca="1" si="25"/>
        <v>0</v>
      </c>
      <c r="BM10" s="5">
        <f t="shared" ca="1" si="20"/>
        <v>0</v>
      </c>
      <c r="BN10" s="5">
        <f t="shared" ca="1" si="21"/>
        <v>0</v>
      </c>
      <c r="BO10" s="84">
        <f t="shared" ca="1" si="22"/>
        <v>0</v>
      </c>
      <c r="BQ10">
        <f ca="1">IF($AN10="",OFFSET(Demand!$A$13,ROW(A7)-1,4+((QUOTIENT(COLUMN(BQ$2)-69,3))*5)+MOD(COLUMN(BQ$2),3),1,1),"")</f>
        <v>0</v>
      </c>
      <c r="BR10">
        <f ca="1">IF($AN10="",OFFSET(Demand!$A$13,ROW(B7)-1,4+((QUOTIENT(COLUMN(BR$2)-69,3))*5)+MOD(COLUMN(BR$2),3),1,1),"")</f>
        <v>0</v>
      </c>
      <c r="BS10">
        <f ca="1">IF($AN10="",OFFSET(Demand!$A$13,ROW(C7)-1,4+((QUOTIENT(COLUMN(BS$2)-69,3))*5)+MOD(COLUMN(BS$2),3),1,1),"")</f>
        <v>77</v>
      </c>
      <c r="BT10">
        <f ca="1">IF($AN10="",OFFSET(Demand!$A$13,ROW(D7)-1,4+((QUOTIENT(COLUMN(BT$2)-69,3))*5)+MOD(COLUMN(BT$2),3),1,1),"")</f>
        <v>0</v>
      </c>
      <c r="BU10">
        <f ca="1">IF($AN10="",OFFSET(Demand!$A$13,ROW(E7)-1,4+((QUOTIENT(COLUMN(BU$2)-69,3))*5)+MOD(COLUMN(BU$2),3),1,1),"")</f>
        <v>0</v>
      </c>
      <c r="BV10">
        <f ca="1">IF($AN10="",OFFSET(Demand!$A$13,ROW(F7)-1,4+((QUOTIENT(COLUMN(BV$2)-69,3))*5)+MOD(COLUMN(BV$2),3),1,1),"")</f>
        <v>0</v>
      </c>
      <c r="BW10">
        <f ca="1">IF($AN10="",OFFSET(Demand!$A$13,ROW(G7)-1,4+((QUOTIENT(COLUMN(BW$2)-69,3))*5)+MOD(COLUMN(BW$2),3),1,1),"")</f>
        <v>0</v>
      </c>
      <c r="BX10">
        <f ca="1">IF($AN10="",OFFSET(Demand!$A$13,ROW(H7)-1,4+((QUOTIENT(COLUMN(BX$2)-69,3))*5)+MOD(COLUMN(BX$2),3),1,1),"")</f>
        <v>0</v>
      </c>
      <c r="BY10">
        <f ca="1">IF($AN10="",OFFSET(Demand!$A$13,ROW(I7)-1,4+((QUOTIENT(COLUMN(BY$2)-69,3))*5)+MOD(COLUMN(BY$2),3),1,1),"")</f>
        <v>0</v>
      </c>
      <c r="BZ10">
        <f ca="1">IF($AN10="",OFFSET(Demand!$A$13,ROW(J7)-1,4+((QUOTIENT(COLUMN(BZ$2)-69,3))*5)+MOD(COLUMN(BZ$2),3),1,1),"")</f>
        <v>0</v>
      </c>
      <c r="CA10">
        <f ca="1">IF($AN10="",OFFSET(Demand!$A$13,ROW(K7)-1,4+((QUOTIENT(COLUMN(CA$2)-69,3))*5)+MOD(COLUMN(CA$2),3),1,1),"")</f>
        <v>0</v>
      </c>
      <c r="CB10">
        <f ca="1">IF($AN10="",OFFSET(Demand!$A$13,ROW(L7)-1,4+((QUOTIENT(COLUMN(CB$2)-69,3))*5)+MOD(COLUMN(CB$2),3),1,1),"")</f>
        <v>0</v>
      </c>
      <c r="CC10">
        <f ca="1">IF($AN10="",OFFSET(Demand!$A$13,ROW(M7)-1,4+((QUOTIENT(COLUMN(CC$2)-69,3))*5)+MOD(COLUMN(CC$2),3),1,1),"")</f>
        <v>0</v>
      </c>
      <c r="CD10">
        <f ca="1">IF($AN10="",OFFSET(Demand!$A$13,ROW(N7)-1,4+((QUOTIENT(COLUMN(CD$2)-69,3))*5)+MOD(COLUMN(CD$2),3),1,1),"")</f>
        <v>0</v>
      </c>
      <c r="CE10">
        <f ca="1">IF($AN10="",OFFSET(Demand!$A$13,ROW(O7)-1,4+((QUOTIENT(COLUMN(CE$2)-69,3))*5)+MOD(COLUMN(CE$2),3),1,1),"")</f>
        <v>0</v>
      </c>
      <c r="CF10">
        <f ca="1">IF($AN10="",OFFSET(Demand!$A$13,ROW(P7)-1,4+((QUOTIENT(COLUMN(CF$2)-69,3))*5)+MOD(COLUMN(CF$2),3),1,1),"")</f>
        <v>0</v>
      </c>
      <c r="CG10">
        <f ca="1">IF($AN10="",OFFSET(Demand!$A$13,ROW(Q7)-1,4+((QUOTIENT(COLUMN(CG$2)-69,3))*5)+MOD(COLUMN(CG$2),3),1,1),"")</f>
        <v>0</v>
      </c>
      <c r="CH10">
        <f ca="1">IF($AN10="",OFFSET(Demand!$A$13,ROW(R7)-1,4+((QUOTIENT(COLUMN(CH$2)-69,3))*5)+MOD(COLUMN(CH$2),3),1,1),"")</f>
        <v>0</v>
      </c>
      <c r="CI10">
        <f ca="1">IF($AN10="",OFFSET(Demand!$A$13,ROW(S7)-1,4+((QUOTIENT(COLUMN(CI$2)-69,3))*5)+MOD(COLUMN(CI$2),3),1,1),"")</f>
        <v>0</v>
      </c>
      <c r="CJ10">
        <f ca="1">IF($AN10="",OFFSET(Demand!$A$13,ROW(T7)-1,4+((QUOTIENT(COLUMN(CJ$2)-69,3))*5)+MOD(COLUMN(CJ$2),3),1,1),"")</f>
        <v>0</v>
      </c>
      <c r="CK10">
        <f ca="1">IF($AN10="",OFFSET(Demand!$A$13,ROW(U7)-1,4+((QUOTIENT(COLUMN(CK$2)-69,3))*5)+MOD(COLUMN(CK$2),3),1,1),"")</f>
        <v>0</v>
      </c>
      <c r="CL10">
        <f ca="1">IF($AN10="",OFFSET(Demand!$A$13,ROW(V7)-1,4+((QUOTIENT(COLUMN(CL$2)-69,3))*5)+MOD(COLUMN(CL$2),3),1,1),"")</f>
        <v>0</v>
      </c>
      <c r="CM10">
        <f ca="1">IF($AN10="",OFFSET(Demand!$A$13,ROW(W7)-1,4+((QUOTIENT(COLUMN(CM$2)-69,3))*5)+MOD(COLUMN(CM$2),3),1,1),"")</f>
        <v>0</v>
      </c>
      <c r="CN10">
        <f ca="1">IF($AN10="",OFFSET(Demand!$A$13,ROW(X7)-1,4+((QUOTIENT(COLUMN(CN$2)-69,3))*5)+MOD(COLUMN(CN$2),3),1,1),"")</f>
        <v>0</v>
      </c>
      <c r="CO10">
        <f ca="1">IF($AN10="",OFFSET(Demand!$A$13,ROW(Y7)-1,4+((QUOTIENT(COLUMN(CO$2)-69,3))*5)+MOD(COLUMN(CO$2),3),1,1),"")</f>
        <v>0</v>
      </c>
      <c r="CP10">
        <f ca="1">IF($AN10="",OFFSET(Demand!$A$13,ROW(Z7)-1,4+((QUOTIENT(COLUMN(CP$2)-69,3))*5)+MOD(COLUMN(CP$2),3),1,1),"")</f>
        <v>0</v>
      </c>
      <c r="CQ10">
        <f ca="1">IF($AN10="",OFFSET(Demand!$A$13,ROW(AA7)-1,4+((QUOTIENT(COLUMN(CQ$2)-69,3))*5)+MOD(COLUMN(CQ$2),3),1,1),"")</f>
        <v>0</v>
      </c>
      <c r="CR10">
        <f ca="1">IF($AN10="",OFFSET(Demand!$A$13,ROW(AB7)-1,4+((QUOTIENT(COLUMN(CR$2)-69,3))*5)+MOD(COLUMN(CR$2),3),1,1),"")</f>
        <v>0</v>
      </c>
      <c r="CS10">
        <f ca="1">IF($AN10="",OFFSET(Demand!$A$13,ROW(AC7)-1,4+((QUOTIENT(COLUMN(CS$2)-69,3))*5)+MOD(COLUMN(CS$2),3),1,1),"")</f>
        <v>0</v>
      </c>
      <c r="CT10">
        <f ca="1">IF($AN10="",OFFSET(Demand!$A$13,ROW(AD7)-1,4+((QUOTIENT(COLUMN(CT$2)-69,3))*5)+MOD(COLUMN(CT$2),3),1,1),"")</f>
        <v>0</v>
      </c>
      <c r="CW10" s="5">
        <f ca="1">SUM(OFFSET(Demand!$H$43,ROW(A7)-1,(COLUMN(A7)-1)*5,1,1))*N$2</f>
        <v>0</v>
      </c>
      <c r="CX10" s="5">
        <f ca="1">SUM(OFFSET(Demand!$H$43,ROW(B7)-1,(COLUMN(B7)-1)*5,1,1))*O$2</f>
        <v>0</v>
      </c>
      <c r="CY10" s="5">
        <f ca="1">SUM(OFFSET(Demand!$H$43,ROW(C7)-1,(COLUMN(C7)-1)*5,1,1))*P$2</f>
        <v>0</v>
      </c>
      <c r="CZ10" s="5">
        <f ca="1">SUM(OFFSET(Demand!$H$43,ROW(D7)-1,(COLUMN(D7)-1)*5,1,1))*Q$2</f>
        <v>0</v>
      </c>
      <c r="DA10" s="5">
        <f ca="1">SUM(OFFSET(Demand!$H$43,ROW(E7)-1,(COLUMN(E7)-1)*5,1,1))*R$2</f>
        <v>0</v>
      </c>
      <c r="DB10" s="5">
        <f ca="1">SUM(OFFSET(Demand!$H$43,ROW(F7)-1,(COLUMN(F7)-1)*5,1,1))*S$2</f>
        <v>0</v>
      </c>
      <c r="DC10" s="5">
        <f ca="1">SUM(OFFSET(Demand!$H$43,ROW(G7)-1,(COLUMN(G7)-1)*5,1,1))*T$2</f>
        <v>0</v>
      </c>
      <c r="DD10" s="5">
        <f ca="1">SUM(OFFSET(Demand!$H$43,ROW(H7)-1,(COLUMN(H7)-1)*5,1,1))*U$2</f>
        <v>0</v>
      </c>
      <c r="DE10" s="5">
        <f ca="1">SUM(OFFSET(Demand!$H$43,ROW(I7)-1,(COLUMN(I7)-1)*5,1,1))*V$2</f>
        <v>0</v>
      </c>
      <c r="DF10" s="5">
        <f ca="1">SUM(OFFSET(Demand!$H$43,ROW(J7)-1,(COLUMN(J7)-1)*5,1,1))*W$2</f>
        <v>0</v>
      </c>
      <c r="DG10" s="5">
        <f ca="1">IF(OR(AN10&lt;&gt;"",AND('Demand adjustments for Covid'!$F$9="Yes",'Demand adjustments for Covid'!$F$20="Yes")),"",SUM(CW10:DF10))</f>
        <v>0</v>
      </c>
      <c r="DM10" s="5">
        <f t="shared" si="10"/>
        <v>22</v>
      </c>
      <c r="DN10" s="320">
        <f t="shared" si="17"/>
        <v>43976</v>
      </c>
      <c r="DO10" s="5">
        <f ca="1">VLOOKUP(IF($DM10&lt;53,$DM10,52),'Summary Calculations (hide)'!$D$15:$F$67,2,0)</f>
        <v>154</v>
      </c>
      <c r="DP10" s="5">
        <f ca="1">VLOOKUP(IF($DM10&lt;53,$DM10,52),'Summary Calculations (hide)'!$D$15:$F$67,3,0)</f>
        <v>169.4</v>
      </c>
      <c r="DQ10" s="5">
        <f ca="1">IF(AND(DN10&gt;='Demand adjustments for Covid'!$F$12,DN10&lt;'Demand adjustments for Covid'!$F$17),'Demand adjustments for Covid'!$F$13,DO10)</f>
        <v>154</v>
      </c>
      <c r="DR10" s="5">
        <f t="shared" si="7"/>
        <v>1</v>
      </c>
      <c r="DS10" s="5">
        <f ca="1">IF('Demand adjustments for Covid'!$F$9="Yes",IF(DR10=0,DQ10,((SUM(DR$4:DR10)-1)*$EE$8)+'Demand adjustments for Covid'!F$13),'Demand background (hide)'!DO10)</f>
        <v>98</v>
      </c>
      <c r="DT10" s="5">
        <f ca="1">IF('Demand adjustments for Covid'!$F$9="Yes",IF(OR(AND(DN10&gt;='Demand adjustments for Covid'!$F$12,DN10&lt;'Demand adjustments for Covid'!$F$17),DR10=1),DS10+3,DP10),'Demand background (hide)'!DP10)</f>
        <v>101</v>
      </c>
      <c r="DU10" s="5">
        <f ca="1">IF(DS10&lt;='Demand adjustments for Covid'!$F$17,DO10-DS10,0)</f>
        <v>56</v>
      </c>
      <c r="DV10" s="5">
        <f ca="1">IF(AND(ROW(A7)&gt;$EE$5,ROW(A7)&lt;=$EA$5),OFFSET('Demand adjustments for Covid'!$F$35,0,ROW(A7)-'Demand background (hide)'!$EE$5,1,1),0)</f>
        <v>0</v>
      </c>
      <c r="DW10" s="5">
        <f ca="1">IF(AND(ROW(A7)&gt;$EE$5,ROW(A7)&lt;=$EA$5),OFFSET('Demand adjustments for Covid'!$F$36,0,ROW(A7)-'Demand background (hide)'!$EE$5,1,1),0)</f>
        <v>0</v>
      </c>
      <c r="DX10" s="5">
        <f t="shared" ca="1" si="11"/>
        <v>101</v>
      </c>
      <c r="ED10" s="5" t="s">
        <v>1207</v>
      </c>
      <c r="EE10" s="5">
        <f ca="1">SUM(DU4:DU55)</f>
        <v>794</v>
      </c>
    </row>
    <row r="11" spans="1:135" s="5" customFormat="1" x14ac:dyDescent="0.25">
      <c r="A11" s="5">
        <f t="shared" ca="1" si="3"/>
        <v>0</v>
      </c>
      <c r="B11" s="5">
        <f ca="1">COUNTBLANK(OFFSET(Demand!$I20,0,(COLUMN(A8)-1)*5,1,1))</f>
        <v>0</v>
      </c>
      <c r="C11" s="5">
        <f ca="1">COUNTBLANK(OFFSET(Demand!$I20,0,(COLUMN(B8)-1)*5,1,1))</f>
        <v>1</v>
      </c>
      <c r="D11" s="5">
        <f ca="1">COUNTBLANK(OFFSET(Demand!$I20,0,(COLUMN(C8)-1)*5,1,1))</f>
        <v>1</v>
      </c>
      <c r="E11" s="5">
        <f ca="1">COUNTBLANK(OFFSET(Demand!$I20,0,(COLUMN(D8)-1)*5,1,1))</f>
        <v>1</v>
      </c>
      <c r="F11" s="5">
        <f ca="1">COUNTBLANK(OFFSET(Demand!$I20,0,(COLUMN(E8)-1)*5,1,1))</f>
        <v>1</v>
      </c>
      <c r="G11" s="5">
        <f ca="1">COUNTBLANK(OFFSET(Demand!$I20,0,(COLUMN(F8)-1)*5,1,1))</f>
        <v>1</v>
      </c>
      <c r="H11" s="5">
        <f ca="1">COUNTBLANK(OFFSET(Demand!$I20,0,(COLUMN(G8)-1)*5,1,1))</f>
        <v>1</v>
      </c>
      <c r="I11" s="5">
        <f ca="1">COUNTBLANK(OFFSET(Demand!$I20,0,(COLUMN(H8)-1)*5,1,1))</f>
        <v>1</v>
      </c>
      <c r="J11" s="5">
        <f ca="1">COUNTBLANK(OFFSET(Demand!$I20,0,(COLUMN(I8)-1)*5,1,1))</f>
        <v>1</v>
      </c>
      <c r="K11" s="5">
        <f ca="1">COUNTBLANK(OFFSET(Demand!$I20,0,(COLUMN(J8)-1)*5,1,1))</f>
        <v>1</v>
      </c>
      <c r="N11" s="5">
        <f ca="1">SUM(OFFSET(Demand!$E20,0,(COLUMN(A8)-1)*5,1,3))*N$2</f>
        <v>142</v>
      </c>
      <c r="O11" s="5">
        <f ca="1">SUM(OFFSET(Demand!$E20,0,(COLUMN(B8)-1)*5,1,3))*O$2</f>
        <v>0</v>
      </c>
      <c r="P11" s="5">
        <f ca="1">SUM(OFFSET(Demand!$E20,0,(COLUMN(C8)-1)*5,1,3))*P$2</f>
        <v>0</v>
      </c>
      <c r="Q11" s="5">
        <f ca="1">SUM(OFFSET(Demand!$E20,0,(COLUMN(D8)-1)*5,1,3))*Q$2</f>
        <v>0</v>
      </c>
      <c r="R11" s="5">
        <f ca="1">SUM(OFFSET(Demand!$E20,0,(COLUMN(E8)-1)*5,1,3))*R$2</f>
        <v>0</v>
      </c>
      <c r="S11" s="5">
        <f ca="1">SUM(OFFSET(Demand!$E20,0,(COLUMN(F8)-1)*5,1,3))*S$2</f>
        <v>0</v>
      </c>
      <c r="T11" s="5">
        <f ca="1">SUM(OFFSET(Demand!$E20,0,(COLUMN(G8)-1)*5,1,3))*T$2</f>
        <v>0</v>
      </c>
      <c r="U11" s="5">
        <f ca="1">SUM(OFFSET(Demand!$E20,0,(COLUMN(H8)-1)*5,1,3))*U$2</f>
        <v>0</v>
      </c>
      <c r="V11" s="5">
        <f ca="1">SUM(OFFSET(Demand!$E20,0,(COLUMN(I8)-1)*5,1,3))*V$2</f>
        <v>0</v>
      </c>
      <c r="W11" s="5">
        <f ca="1">SUM(OFFSET(Demand!$E20,0,(COLUMN(J8)-1)*5,1,3))*W$2</f>
        <v>0</v>
      </c>
      <c r="X11" s="5">
        <f t="shared" ca="1" si="4"/>
        <v>142</v>
      </c>
      <c r="Y11" s="5">
        <f t="shared" ca="1" si="5"/>
        <v>142</v>
      </c>
      <c r="Z11" s="5">
        <f ca="1">SUM(OFFSET(Demand!$H20,0,(COLUMN(A8)-1)*5,1,1))*N$2</f>
        <v>0</v>
      </c>
      <c r="AA11" s="5">
        <f ca="1">SUM(OFFSET(Demand!$H20,0,(COLUMN(B8)-1)*5,1,1))*O$2</f>
        <v>0</v>
      </c>
      <c r="AB11" s="5">
        <f ca="1">SUM(OFFSET(Demand!$H20,0,(COLUMN(C8)-1)*5,1,1))*P$2</f>
        <v>0</v>
      </c>
      <c r="AC11" s="5">
        <f ca="1">SUM(OFFSET(Demand!$H20,0,(COLUMN(D8)-1)*5,1,1))*Q$2</f>
        <v>0</v>
      </c>
      <c r="AD11" s="5">
        <f ca="1">SUM(OFFSET(Demand!$H20,0,(COLUMN(E8)-1)*5,1,1))*R$2</f>
        <v>0</v>
      </c>
      <c r="AE11" s="5">
        <f ca="1">SUM(OFFSET(Demand!$H20,0,(COLUMN(F8)-1)*5,1,1))*S$2</f>
        <v>0</v>
      </c>
      <c r="AF11" s="5">
        <f ca="1">SUM(OFFSET(Demand!$H20,0,(COLUMN(G8)-1)*5,1,1))*T$2</f>
        <v>0</v>
      </c>
      <c r="AG11" s="5">
        <f ca="1">SUM(OFFSET(Demand!$H20,0,(COLUMN(H8)-1)*5,1,1))*U$2</f>
        <v>0</v>
      </c>
      <c r="AH11" s="5">
        <f ca="1">SUM(OFFSET(Demand!$H20,0,(COLUMN(I8)-1)*5,1,1))*V$2</f>
        <v>0</v>
      </c>
      <c r="AI11" s="5">
        <f ca="1">SUM(OFFSET(Demand!$H20,0,(COLUMN(J8)-1)*5,1,1))*W$2</f>
        <v>0</v>
      </c>
      <c r="AJ11" s="5">
        <f t="shared" ca="1" si="6"/>
        <v>0</v>
      </c>
      <c r="AL11" s="5">
        <f t="shared" ca="1" si="8"/>
        <v>142</v>
      </c>
      <c r="AM11" s="5">
        <f t="shared" ca="1" si="9"/>
        <v>0</v>
      </c>
      <c r="AN11" s="5" t="str">
        <f>IF(Demand!BE20="Yes","Yes","")</f>
        <v/>
      </c>
      <c r="AP11" s="36" t="str">
        <f ca="1">Demand!B20</f>
        <v xml:space="preserve"> </v>
      </c>
      <c r="AQ11" s="5" t="str">
        <f ca="1">IF(TEXT(Demand!D20,"MMM")&lt;&gt;TEXT(Demand!D19,"MMM"),TEXT(Demand!D20,"MMM"),"")</f>
        <v/>
      </c>
      <c r="AT11" s="5">
        <f t="shared" ca="1" si="12"/>
        <v>12</v>
      </c>
      <c r="AV11" s="5" t="s">
        <v>73</v>
      </c>
      <c r="AW11" s="44" t="str">
        <f ca="1">IFERROR(AVERAGE(OFFSET($AT$4,'SPC background (hide)'!$D$6-1,0,'SPC background (hide)'!$H$7,1)),"")</f>
        <v/>
      </c>
      <c r="BB11" t="str">
        <f>'Control sheet (hide)'!AA8</f>
        <v>Modality 6</v>
      </c>
      <c r="BC11" s="46" t="str">
        <f t="shared" si="13"/>
        <v/>
      </c>
      <c r="BD11" s="46" t="str">
        <f t="shared" si="14"/>
        <v/>
      </c>
      <c r="BE11" s="46" t="str">
        <f t="shared" si="15"/>
        <v/>
      </c>
      <c r="BF11" s="5">
        <f ca="1">SUM(OFFSET($BQ$4,'SPC background (hide)'!$C$4-1,((ROW(A6)-1)*3)+MOD(COLUMN(C6),3),'SPC background (hide)'!$I$11,1))</f>
        <v>0</v>
      </c>
      <c r="BG11" s="5">
        <f ca="1">SUM(OFFSET($BQ$4,'SPC background (hide)'!$C$4-1,((ROW(B6)-1)*3)+MOD(COLUMN(D6),3),'SPC background (hide)'!$I$11,1))</f>
        <v>0</v>
      </c>
      <c r="BH11" s="5">
        <f ca="1">SUM(OFFSET($BQ$4,'SPC background (hide)'!$C$4-1,((ROW(C6)-1)*3)+MOD(COLUMN(E6),3),'SPC background (hide)'!$I$11,1))</f>
        <v>0</v>
      </c>
      <c r="BI11" s="5">
        <f t="shared" ca="1" si="18"/>
        <v>0</v>
      </c>
      <c r="BJ11" s="5">
        <f t="shared" ref="BJ11:BL11" ca="1" si="26">BF11*OFFSET($N$2,0,ROW(A6)-1,1,1)</f>
        <v>0</v>
      </c>
      <c r="BK11" s="5">
        <f t="shared" ca="1" si="26"/>
        <v>0</v>
      </c>
      <c r="BL11" s="5">
        <f t="shared" ca="1" si="26"/>
        <v>0</v>
      </c>
      <c r="BM11" s="5">
        <f t="shared" ca="1" si="20"/>
        <v>0</v>
      </c>
      <c r="BN11" s="5">
        <f t="shared" ca="1" si="21"/>
        <v>0</v>
      </c>
      <c r="BO11" s="84">
        <f t="shared" ca="1" si="22"/>
        <v>0</v>
      </c>
      <c r="BQ11">
        <f ca="1">IF($AN11="",OFFSET(Demand!$A$13,ROW(A8)-1,4+((QUOTIENT(COLUMN(BQ$2)-69,3))*5)+MOD(COLUMN(BQ$2),3),1,1),"")</f>
        <v>0</v>
      </c>
      <c r="BR11">
        <f ca="1">IF($AN11="",OFFSET(Demand!$A$13,ROW(B8)-1,4+((QUOTIENT(COLUMN(BR$2)-69,3))*5)+MOD(COLUMN(BR$2),3),1,1),"")</f>
        <v>0</v>
      </c>
      <c r="BS11">
        <f ca="1">IF($AN11="",OFFSET(Demand!$A$13,ROW(C8)-1,4+((QUOTIENT(COLUMN(BS$2)-69,3))*5)+MOD(COLUMN(BS$2),3),1,1),"")</f>
        <v>71</v>
      </c>
      <c r="BT11">
        <f ca="1">IF($AN11="",OFFSET(Demand!$A$13,ROW(D8)-1,4+((QUOTIENT(COLUMN(BT$2)-69,3))*5)+MOD(COLUMN(BT$2),3),1,1),"")</f>
        <v>0</v>
      </c>
      <c r="BU11">
        <f ca="1">IF($AN11="",OFFSET(Demand!$A$13,ROW(E8)-1,4+((QUOTIENT(COLUMN(BU$2)-69,3))*5)+MOD(COLUMN(BU$2),3),1,1),"")</f>
        <v>0</v>
      </c>
      <c r="BV11">
        <f ca="1">IF($AN11="",OFFSET(Demand!$A$13,ROW(F8)-1,4+((QUOTIENT(COLUMN(BV$2)-69,3))*5)+MOD(COLUMN(BV$2),3),1,1),"")</f>
        <v>0</v>
      </c>
      <c r="BW11">
        <f ca="1">IF($AN11="",OFFSET(Demand!$A$13,ROW(G8)-1,4+((QUOTIENT(COLUMN(BW$2)-69,3))*5)+MOD(COLUMN(BW$2),3),1,1),"")</f>
        <v>0</v>
      </c>
      <c r="BX11">
        <f ca="1">IF($AN11="",OFFSET(Demand!$A$13,ROW(H8)-1,4+((QUOTIENT(COLUMN(BX$2)-69,3))*5)+MOD(COLUMN(BX$2),3),1,1),"")</f>
        <v>0</v>
      </c>
      <c r="BY11">
        <f ca="1">IF($AN11="",OFFSET(Demand!$A$13,ROW(I8)-1,4+((QUOTIENT(COLUMN(BY$2)-69,3))*5)+MOD(COLUMN(BY$2),3),1,1),"")</f>
        <v>0</v>
      </c>
      <c r="BZ11">
        <f ca="1">IF($AN11="",OFFSET(Demand!$A$13,ROW(J8)-1,4+((QUOTIENT(COLUMN(BZ$2)-69,3))*5)+MOD(COLUMN(BZ$2),3),1,1),"")</f>
        <v>0</v>
      </c>
      <c r="CA11">
        <f ca="1">IF($AN11="",OFFSET(Demand!$A$13,ROW(K8)-1,4+((QUOTIENT(COLUMN(CA$2)-69,3))*5)+MOD(COLUMN(CA$2),3),1,1),"")</f>
        <v>0</v>
      </c>
      <c r="CB11">
        <f ca="1">IF($AN11="",OFFSET(Demand!$A$13,ROW(L8)-1,4+((QUOTIENT(COLUMN(CB$2)-69,3))*5)+MOD(COLUMN(CB$2),3),1,1),"")</f>
        <v>0</v>
      </c>
      <c r="CC11">
        <f ca="1">IF($AN11="",OFFSET(Demand!$A$13,ROW(M8)-1,4+((QUOTIENT(COLUMN(CC$2)-69,3))*5)+MOD(COLUMN(CC$2),3),1,1),"")</f>
        <v>0</v>
      </c>
      <c r="CD11">
        <f ca="1">IF($AN11="",OFFSET(Demand!$A$13,ROW(N8)-1,4+((QUOTIENT(COLUMN(CD$2)-69,3))*5)+MOD(COLUMN(CD$2),3),1,1),"")</f>
        <v>0</v>
      </c>
      <c r="CE11">
        <f ca="1">IF($AN11="",OFFSET(Demand!$A$13,ROW(O8)-1,4+((QUOTIENT(COLUMN(CE$2)-69,3))*5)+MOD(COLUMN(CE$2),3),1,1),"")</f>
        <v>0</v>
      </c>
      <c r="CF11">
        <f ca="1">IF($AN11="",OFFSET(Demand!$A$13,ROW(P8)-1,4+((QUOTIENT(COLUMN(CF$2)-69,3))*5)+MOD(COLUMN(CF$2),3),1,1),"")</f>
        <v>0</v>
      </c>
      <c r="CG11">
        <f ca="1">IF($AN11="",OFFSET(Demand!$A$13,ROW(Q8)-1,4+((QUOTIENT(COLUMN(CG$2)-69,3))*5)+MOD(COLUMN(CG$2),3),1,1),"")</f>
        <v>0</v>
      </c>
      <c r="CH11">
        <f ca="1">IF($AN11="",OFFSET(Demand!$A$13,ROW(R8)-1,4+((QUOTIENT(COLUMN(CH$2)-69,3))*5)+MOD(COLUMN(CH$2),3),1,1),"")</f>
        <v>0</v>
      </c>
      <c r="CI11">
        <f ca="1">IF($AN11="",OFFSET(Demand!$A$13,ROW(S8)-1,4+((QUOTIENT(COLUMN(CI$2)-69,3))*5)+MOD(COLUMN(CI$2),3),1,1),"")</f>
        <v>0</v>
      </c>
      <c r="CJ11">
        <f ca="1">IF($AN11="",OFFSET(Demand!$A$13,ROW(T8)-1,4+((QUOTIENT(COLUMN(CJ$2)-69,3))*5)+MOD(COLUMN(CJ$2),3),1,1),"")</f>
        <v>0</v>
      </c>
      <c r="CK11">
        <f ca="1">IF($AN11="",OFFSET(Demand!$A$13,ROW(U8)-1,4+((QUOTIENT(COLUMN(CK$2)-69,3))*5)+MOD(COLUMN(CK$2),3),1,1),"")</f>
        <v>0</v>
      </c>
      <c r="CL11">
        <f ca="1">IF($AN11="",OFFSET(Demand!$A$13,ROW(V8)-1,4+((QUOTIENT(COLUMN(CL$2)-69,3))*5)+MOD(COLUMN(CL$2),3),1,1),"")</f>
        <v>0</v>
      </c>
      <c r="CM11">
        <f ca="1">IF($AN11="",OFFSET(Demand!$A$13,ROW(W8)-1,4+((QUOTIENT(COLUMN(CM$2)-69,3))*5)+MOD(COLUMN(CM$2),3),1,1),"")</f>
        <v>0</v>
      </c>
      <c r="CN11">
        <f ca="1">IF($AN11="",OFFSET(Demand!$A$13,ROW(X8)-1,4+((QUOTIENT(COLUMN(CN$2)-69,3))*5)+MOD(COLUMN(CN$2),3),1,1),"")</f>
        <v>0</v>
      </c>
      <c r="CO11">
        <f ca="1">IF($AN11="",OFFSET(Demand!$A$13,ROW(Y8)-1,4+((QUOTIENT(COLUMN(CO$2)-69,3))*5)+MOD(COLUMN(CO$2),3),1,1),"")</f>
        <v>0</v>
      </c>
      <c r="CP11">
        <f ca="1">IF($AN11="",OFFSET(Demand!$A$13,ROW(Z8)-1,4+((QUOTIENT(COLUMN(CP$2)-69,3))*5)+MOD(COLUMN(CP$2),3),1,1),"")</f>
        <v>0</v>
      </c>
      <c r="CQ11">
        <f ca="1">IF($AN11="",OFFSET(Demand!$A$13,ROW(AA8)-1,4+((QUOTIENT(COLUMN(CQ$2)-69,3))*5)+MOD(COLUMN(CQ$2),3),1,1),"")</f>
        <v>0</v>
      </c>
      <c r="CR11">
        <f ca="1">IF($AN11="",OFFSET(Demand!$A$13,ROW(AB8)-1,4+((QUOTIENT(COLUMN(CR$2)-69,3))*5)+MOD(COLUMN(CR$2),3),1,1),"")</f>
        <v>0</v>
      </c>
      <c r="CS11">
        <f ca="1">IF($AN11="",OFFSET(Demand!$A$13,ROW(AC8)-1,4+((QUOTIENT(COLUMN(CS$2)-69,3))*5)+MOD(COLUMN(CS$2),3),1,1),"")</f>
        <v>0</v>
      </c>
      <c r="CT11">
        <f ca="1">IF($AN11="",OFFSET(Demand!$A$13,ROW(AD8)-1,4+((QUOTIENT(COLUMN(CT$2)-69,3))*5)+MOD(COLUMN(CT$2),3),1,1),"")</f>
        <v>0</v>
      </c>
      <c r="CW11" s="5">
        <f ca="1">SUM(OFFSET(Demand!$H$43,ROW(A8)-1,(COLUMN(A8)-1)*5,1,1))*N$2</f>
        <v>0</v>
      </c>
      <c r="CX11" s="5">
        <f ca="1">SUM(OFFSET(Demand!$H$43,ROW(B8)-1,(COLUMN(B8)-1)*5,1,1))*O$2</f>
        <v>0</v>
      </c>
      <c r="CY11" s="5">
        <f ca="1">SUM(OFFSET(Demand!$H$43,ROW(C8)-1,(COLUMN(C8)-1)*5,1,1))*P$2</f>
        <v>0</v>
      </c>
      <c r="CZ11" s="5">
        <f ca="1">SUM(OFFSET(Demand!$H$43,ROW(D8)-1,(COLUMN(D8)-1)*5,1,1))*Q$2</f>
        <v>0</v>
      </c>
      <c r="DA11" s="5">
        <f ca="1">SUM(OFFSET(Demand!$H$43,ROW(E8)-1,(COLUMN(E8)-1)*5,1,1))*R$2</f>
        <v>0</v>
      </c>
      <c r="DB11" s="5">
        <f ca="1">SUM(OFFSET(Demand!$H$43,ROW(F8)-1,(COLUMN(F8)-1)*5,1,1))*S$2</f>
        <v>0</v>
      </c>
      <c r="DC11" s="5">
        <f ca="1">SUM(OFFSET(Demand!$H$43,ROW(G8)-1,(COLUMN(G8)-1)*5,1,1))*T$2</f>
        <v>0</v>
      </c>
      <c r="DD11" s="5">
        <f ca="1">SUM(OFFSET(Demand!$H$43,ROW(H8)-1,(COLUMN(H8)-1)*5,1,1))*U$2</f>
        <v>0</v>
      </c>
      <c r="DE11" s="5">
        <f ca="1">SUM(OFFSET(Demand!$H$43,ROW(I8)-1,(COLUMN(I8)-1)*5,1,1))*V$2</f>
        <v>0</v>
      </c>
      <c r="DF11" s="5">
        <f ca="1">SUM(OFFSET(Demand!$H$43,ROW(J8)-1,(COLUMN(J8)-1)*5,1,1))*W$2</f>
        <v>0</v>
      </c>
      <c r="DG11" s="5">
        <f ca="1">IF(OR(AN11&lt;&gt;"",AND('Demand adjustments for Covid'!$F$9="Yes",'Demand adjustments for Covid'!$F$20="Yes")),"",SUM(CW11:DF11))</f>
        <v>0</v>
      </c>
      <c r="DI11" s="5" t="s">
        <v>233</v>
      </c>
      <c r="DJ11" s="5" t="str">
        <f ca="1">IFERROR(AVERAGE(OFFSET($DG$4,'SPC background (hide)'!$D$8,0,'SPC background (hide)'!$H$9,1)),"")</f>
        <v/>
      </c>
      <c r="DM11" s="5">
        <f t="shared" si="10"/>
        <v>23</v>
      </c>
      <c r="DN11" s="320">
        <f t="shared" si="17"/>
        <v>43983</v>
      </c>
      <c r="DO11" s="5">
        <f ca="1">VLOOKUP(IF($DM11&lt;53,$DM11,52),'Summary Calculations (hide)'!$D$15:$F$67,2,0)</f>
        <v>142</v>
      </c>
      <c r="DP11" s="5">
        <f ca="1">VLOOKUP(IF($DM11&lt;53,$DM11,52),'Summary Calculations (hide)'!$D$15:$F$67,3,0)</f>
        <v>156.20000000000002</v>
      </c>
      <c r="DQ11" s="5">
        <f ca="1">IF(AND(DN11&gt;='Demand adjustments for Covid'!$F$12,DN11&lt;'Demand adjustments for Covid'!$F$17),'Demand adjustments for Covid'!$F$13,DO11)</f>
        <v>142</v>
      </c>
      <c r="DR11" s="5">
        <f t="shared" si="7"/>
        <v>1</v>
      </c>
      <c r="DS11" s="5">
        <f ca="1">IF('Demand adjustments for Covid'!$F$9="Yes",IF(DR11=0,DQ11,((SUM(DR$4:DR11)-1)*$EE$8)+'Demand adjustments for Covid'!F$13),'Demand background (hide)'!DO11)</f>
        <v>142</v>
      </c>
      <c r="DT11" s="5">
        <f ca="1">IF('Demand adjustments for Covid'!$F$9="Yes",IF(OR(AND(DN11&gt;='Demand adjustments for Covid'!$F$12,DN11&lt;'Demand adjustments for Covid'!$F$17),DR11=1),DS11+3,DP11),'Demand background (hide)'!DP11)</f>
        <v>145</v>
      </c>
      <c r="DU11" s="5">
        <f ca="1">IF(DS11&lt;='Demand adjustments for Covid'!$F$17,DO11-DS11,0)</f>
        <v>0</v>
      </c>
      <c r="DV11" s="5">
        <f ca="1">IF(AND(ROW(A8)&gt;$EE$5,ROW(A8)&lt;=$EA$5),OFFSET('Demand adjustments for Covid'!$F$35,0,ROW(A8)-'Demand background (hide)'!$EE$5,1,1),0)</f>
        <v>0</v>
      </c>
      <c r="DW11" s="5">
        <f ca="1">IF(AND(ROW(A8)&gt;$EE$5,ROW(A8)&lt;=$EA$5),OFFSET('Demand adjustments for Covid'!$F$36,0,ROW(A8)-'Demand background (hide)'!$EE$5,1,1),0)</f>
        <v>0</v>
      </c>
      <c r="DX11" s="5">
        <f t="shared" ca="1" si="11"/>
        <v>145</v>
      </c>
    </row>
    <row r="12" spans="1:135" s="5" customFormat="1" x14ac:dyDescent="0.25">
      <c r="A12" s="5">
        <f t="shared" ca="1" si="3"/>
        <v>0</v>
      </c>
      <c r="B12" s="5">
        <f ca="1">COUNTBLANK(OFFSET(Demand!$I21,0,(COLUMN(A9)-1)*5,1,1))</f>
        <v>0</v>
      </c>
      <c r="C12" s="5">
        <f ca="1">COUNTBLANK(OFFSET(Demand!$I21,0,(COLUMN(B9)-1)*5,1,1))</f>
        <v>1</v>
      </c>
      <c r="D12" s="5">
        <f ca="1">COUNTBLANK(OFFSET(Demand!$I21,0,(COLUMN(C9)-1)*5,1,1))</f>
        <v>1</v>
      </c>
      <c r="E12" s="5">
        <f ca="1">COUNTBLANK(OFFSET(Demand!$I21,0,(COLUMN(D9)-1)*5,1,1))</f>
        <v>1</v>
      </c>
      <c r="F12" s="5">
        <f ca="1">COUNTBLANK(OFFSET(Demand!$I21,0,(COLUMN(E9)-1)*5,1,1))</f>
        <v>1</v>
      </c>
      <c r="G12" s="5">
        <f ca="1">COUNTBLANK(OFFSET(Demand!$I21,0,(COLUMN(F9)-1)*5,1,1))</f>
        <v>1</v>
      </c>
      <c r="H12" s="5">
        <f ca="1">COUNTBLANK(OFFSET(Demand!$I21,0,(COLUMN(G9)-1)*5,1,1))</f>
        <v>1</v>
      </c>
      <c r="I12" s="5">
        <f ca="1">COUNTBLANK(OFFSET(Demand!$I21,0,(COLUMN(H9)-1)*5,1,1))</f>
        <v>1</v>
      </c>
      <c r="J12" s="5">
        <f ca="1">COUNTBLANK(OFFSET(Demand!$I21,0,(COLUMN(I9)-1)*5,1,1))</f>
        <v>1</v>
      </c>
      <c r="K12" s="5">
        <f ca="1">COUNTBLANK(OFFSET(Demand!$I21,0,(COLUMN(J9)-1)*5,1,1))</f>
        <v>1</v>
      </c>
      <c r="N12" s="5">
        <f ca="1">SUM(OFFSET(Demand!$E21,0,(COLUMN(A9)-1)*5,1,3))*N$2</f>
        <v>142</v>
      </c>
      <c r="O12" s="5">
        <f ca="1">SUM(OFFSET(Demand!$E21,0,(COLUMN(B9)-1)*5,1,3))*O$2</f>
        <v>0</v>
      </c>
      <c r="P12" s="5">
        <f ca="1">SUM(OFFSET(Demand!$E21,0,(COLUMN(C9)-1)*5,1,3))*P$2</f>
        <v>0</v>
      </c>
      <c r="Q12" s="5">
        <f ca="1">SUM(OFFSET(Demand!$E21,0,(COLUMN(D9)-1)*5,1,3))*Q$2</f>
        <v>0</v>
      </c>
      <c r="R12" s="5">
        <f ca="1">SUM(OFFSET(Demand!$E21,0,(COLUMN(E9)-1)*5,1,3))*R$2</f>
        <v>0</v>
      </c>
      <c r="S12" s="5">
        <f ca="1">SUM(OFFSET(Demand!$E21,0,(COLUMN(F9)-1)*5,1,3))*S$2</f>
        <v>0</v>
      </c>
      <c r="T12" s="5">
        <f ca="1">SUM(OFFSET(Demand!$E21,0,(COLUMN(G9)-1)*5,1,3))*T$2</f>
        <v>0</v>
      </c>
      <c r="U12" s="5">
        <f ca="1">SUM(OFFSET(Demand!$E21,0,(COLUMN(H9)-1)*5,1,3))*U$2</f>
        <v>0</v>
      </c>
      <c r="V12" s="5">
        <f ca="1">SUM(OFFSET(Demand!$E21,0,(COLUMN(I9)-1)*5,1,3))*V$2</f>
        <v>0</v>
      </c>
      <c r="W12" s="5">
        <f ca="1">SUM(OFFSET(Demand!$E21,0,(COLUMN(J9)-1)*5,1,3))*W$2</f>
        <v>0</v>
      </c>
      <c r="X12" s="5">
        <f t="shared" ca="1" si="4"/>
        <v>142</v>
      </c>
      <c r="Y12" s="5">
        <f t="shared" ca="1" si="5"/>
        <v>142</v>
      </c>
      <c r="Z12" s="5">
        <f ca="1">SUM(OFFSET(Demand!$H21,0,(COLUMN(A9)-1)*5,1,1))*N$2</f>
        <v>0</v>
      </c>
      <c r="AA12" s="5">
        <f ca="1">SUM(OFFSET(Demand!$H21,0,(COLUMN(B9)-1)*5,1,1))*O$2</f>
        <v>0</v>
      </c>
      <c r="AB12" s="5">
        <f ca="1">SUM(OFFSET(Demand!$H21,0,(COLUMN(C9)-1)*5,1,1))*P$2</f>
        <v>0</v>
      </c>
      <c r="AC12" s="5">
        <f ca="1">SUM(OFFSET(Demand!$H21,0,(COLUMN(D9)-1)*5,1,1))*Q$2</f>
        <v>0</v>
      </c>
      <c r="AD12" s="5">
        <f ca="1">SUM(OFFSET(Demand!$H21,0,(COLUMN(E9)-1)*5,1,1))*R$2</f>
        <v>0</v>
      </c>
      <c r="AE12" s="5">
        <f ca="1">SUM(OFFSET(Demand!$H21,0,(COLUMN(F9)-1)*5,1,1))*S$2</f>
        <v>0</v>
      </c>
      <c r="AF12" s="5">
        <f ca="1">SUM(OFFSET(Demand!$H21,0,(COLUMN(G9)-1)*5,1,1))*T$2</f>
        <v>0</v>
      </c>
      <c r="AG12" s="5">
        <f ca="1">SUM(OFFSET(Demand!$H21,0,(COLUMN(H9)-1)*5,1,1))*U$2</f>
        <v>0</v>
      </c>
      <c r="AH12" s="5">
        <f ca="1">SUM(OFFSET(Demand!$H21,0,(COLUMN(I9)-1)*5,1,1))*V$2</f>
        <v>0</v>
      </c>
      <c r="AI12" s="5">
        <f ca="1">SUM(OFFSET(Demand!$H21,0,(COLUMN(J9)-1)*5,1,1))*W$2</f>
        <v>0</v>
      </c>
      <c r="AJ12" s="5">
        <f t="shared" ca="1" si="6"/>
        <v>0</v>
      </c>
      <c r="AL12" s="5">
        <f t="shared" ca="1" si="8"/>
        <v>142</v>
      </c>
      <c r="AM12" s="5">
        <f t="shared" ca="1" si="9"/>
        <v>0</v>
      </c>
      <c r="AN12" s="5" t="str">
        <f>IF(Demand!BE21="Yes","Yes","")</f>
        <v/>
      </c>
      <c r="AP12" s="36" t="str">
        <f ca="1">Demand!B21</f>
        <v xml:space="preserve"> </v>
      </c>
      <c r="AQ12" s="5" t="str">
        <f ca="1">IF(TEXT(Demand!D21,"MMM")&lt;&gt;TEXT(Demand!D20,"MMM"),TEXT(Demand!D21,"MMM"),"")</f>
        <v/>
      </c>
      <c r="AT12" s="5">
        <f t="shared" ca="1" si="12"/>
        <v>0</v>
      </c>
      <c r="AV12" s="5" t="s">
        <v>72</v>
      </c>
      <c r="AW12" s="44" t="str">
        <f ca="1">IFERROR(AW11/1.128,"")</f>
        <v/>
      </c>
      <c r="BB12" t="str">
        <f>'Control sheet (hide)'!AA9</f>
        <v>Modality 7</v>
      </c>
      <c r="BC12" s="46" t="str">
        <f t="shared" si="13"/>
        <v/>
      </c>
      <c r="BD12" s="46" t="str">
        <f t="shared" si="14"/>
        <v/>
      </c>
      <c r="BE12" s="46" t="str">
        <f t="shared" si="15"/>
        <v/>
      </c>
      <c r="BF12" s="5">
        <f ca="1">SUM(OFFSET($BQ$4,'SPC background (hide)'!$C$4-1,((ROW(A7)-1)*3)+MOD(COLUMN(C7),3),'SPC background (hide)'!$I$11,1))</f>
        <v>0</v>
      </c>
      <c r="BG12" s="5">
        <f ca="1">SUM(OFFSET($BQ$4,'SPC background (hide)'!$C$4-1,((ROW(B7)-1)*3)+MOD(COLUMN(D7),3),'SPC background (hide)'!$I$11,1))</f>
        <v>0</v>
      </c>
      <c r="BH12" s="5">
        <f ca="1">SUM(OFFSET($BQ$4,'SPC background (hide)'!$C$4-1,((ROW(C7)-1)*3)+MOD(COLUMN(E7),3),'SPC background (hide)'!$I$11,1))</f>
        <v>0</v>
      </c>
      <c r="BI12" s="5">
        <f t="shared" ca="1" si="18"/>
        <v>0</v>
      </c>
      <c r="BJ12" s="5">
        <f t="shared" ref="BJ12:BL12" ca="1" si="27">BF12*OFFSET($N$2,0,ROW(A7)-1,1,1)</f>
        <v>0</v>
      </c>
      <c r="BK12" s="5">
        <f t="shared" ca="1" si="27"/>
        <v>0</v>
      </c>
      <c r="BL12" s="5">
        <f t="shared" ca="1" si="27"/>
        <v>0</v>
      </c>
      <c r="BM12" s="5">
        <f t="shared" ca="1" si="20"/>
        <v>0</v>
      </c>
      <c r="BN12" s="5">
        <f t="shared" ca="1" si="21"/>
        <v>0</v>
      </c>
      <c r="BO12" s="84">
        <f t="shared" ca="1" si="22"/>
        <v>0</v>
      </c>
      <c r="BQ12">
        <f ca="1">IF($AN12="",OFFSET(Demand!$A$13,ROW(A9)-1,4+((QUOTIENT(COLUMN(BQ$2)-69,3))*5)+MOD(COLUMN(BQ$2),3),1,1),"")</f>
        <v>0</v>
      </c>
      <c r="BR12">
        <f ca="1">IF($AN12="",OFFSET(Demand!$A$13,ROW(B9)-1,4+((QUOTIENT(COLUMN(BR$2)-69,3))*5)+MOD(COLUMN(BR$2),3),1,1),"")</f>
        <v>0</v>
      </c>
      <c r="BS12">
        <f ca="1">IF($AN12="",OFFSET(Demand!$A$13,ROW(C9)-1,4+((QUOTIENT(COLUMN(BS$2)-69,3))*5)+MOD(COLUMN(BS$2),3),1,1),"")</f>
        <v>71</v>
      </c>
      <c r="BT12">
        <f ca="1">IF($AN12="",OFFSET(Demand!$A$13,ROW(D9)-1,4+((QUOTIENT(COLUMN(BT$2)-69,3))*5)+MOD(COLUMN(BT$2),3),1,1),"")</f>
        <v>0</v>
      </c>
      <c r="BU12">
        <f ca="1">IF($AN12="",OFFSET(Demand!$A$13,ROW(E9)-1,4+((QUOTIENT(COLUMN(BU$2)-69,3))*5)+MOD(COLUMN(BU$2),3),1,1),"")</f>
        <v>0</v>
      </c>
      <c r="BV12">
        <f ca="1">IF($AN12="",OFFSET(Demand!$A$13,ROW(F9)-1,4+((QUOTIENT(COLUMN(BV$2)-69,3))*5)+MOD(COLUMN(BV$2),3),1,1),"")</f>
        <v>0</v>
      </c>
      <c r="BW12">
        <f ca="1">IF($AN12="",OFFSET(Demand!$A$13,ROW(G9)-1,4+((QUOTIENT(COLUMN(BW$2)-69,3))*5)+MOD(COLUMN(BW$2),3),1,1),"")</f>
        <v>0</v>
      </c>
      <c r="BX12">
        <f ca="1">IF($AN12="",OFFSET(Demand!$A$13,ROW(H9)-1,4+((QUOTIENT(COLUMN(BX$2)-69,3))*5)+MOD(COLUMN(BX$2),3),1,1),"")</f>
        <v>0</v>
      </c>
      <c r="BY12">
        <f ca="1">IF($AN12="",OFFSET(Demand!$A$13,ROW(I9)-1,4+((QUOTIENT(COLUMN(BY$2)-69,3))*5)+MOD(COLUMN(BY$2),3),1,1),"")</f>
        <v>0</v>
      </c>
      <c r="BZ12">
        <f ca="1">IF($AN12="",OFFSET(Demand!$A$13,ROW(J9)-1,4+((QUOTIENT(COLUMN(BZ$2)-69,3))*5)+MOD(COLUMN(BZ$2),3),1,1),"")</f>
        <v>0</v>
      </c>
      <c r="CA12">
        <f ca="1">IF($AN12="",OFFSET(Demand!$A$13,ROW(K9)-1,4+((QUOTIENT(COLUMN(CA$2)-69,3))*5)+MOD(COLUMN(CA$2),3),1,1),"")</f>
        <v>0</v>
      </c>
      <c r="CB12">
        <f ca="1">IF($AN12="",OFFSET(Demand!$A$13,ROW(L9)-1,4+((QUOTIENT(COLUMN(CB$2)-69,3))*5)+MOD(COLUMN(CB$2),3),1,1),"")</f>
        <v>0</v>
      </c>
      <c r="CC12">
        <f ca="1">IF($AN12="",OFFSET(Demand!$A$13,ROW(M9)-1,4+((QUOTIENT(COLUMN(CC$2)-69,3))*5)+MOD(COLUMN(CC$2),3),1,1),"")</f>
        <v>0</v>
      </c>
      <c r="CD12">
        <f ca="1">IF($AN12="",OFFSET(Demand!$A$13,ROW(N9)-1,4+((QUOTIENT(COLUMN(CD$2)-69,3))*5)+MOD(COLUMN(CD$2),3),1,1),"")</f>
        <v>0</v>
      </c>
      <c r="CE12">
        <f ca="1">IF($AN12="",OFFSET(Demand!$A$13,ROW(O9)-1,4+((QUOTIENT(COLUMN(CE$2)-69,3))*5)+MOD(COLUMN(CE$2),3),1,1),"")</f>
        <v>0</v>
      </c>
      <c r="CF12">
        <f ca="1">IF($AN12="",OFFSET(Demand!$A$13,ROW(P9)-1,4+((QUOTIENT(COLUMN(CF$2)-69,3))*5)+MOD(COLUMN(CF$2),3),1,1),"")</f>
        <v>0</v>
      </c>
      <c r="CG12">
        <f ca="1">IF($AN12="",OFFSET(Demand!$A$13,ROW(Q9)-1,4+((QUOTIENT(COLUMN(CG$2)-69,3))*5)+MOD(COLUMN(CG$2),3),1,1),"")</f>
        <v>0</v>
      </c>
      <c r="CH12">
        <f ca="1">IF($AN12="",OFFSET(Demand!$A$13,ROW(R9)-1,4+((QUOTIENT(COLUMN(CH$2)-69,3))*5)+MOD(COLUMN(CH$2),3),1,1),"")</f>
        <v>0</v>
      </c>
      <c r="CI12">
        <f ca="1">IF($AN12="",OFFSET(Demand!$A$13,ROW(S9)-1,4+((QUOTIENT(COLUMN(CI$2)-69,3))*5)+MOD(COLUMN(CI$2),3),1,1),"")</f>
        <v>0</v>
      </c>
      <c r="CJ12">
        <f ca="1">IF($AN12="",OFFSET(Demand!$A$13,ROW(T9)-1,4+((QUOTIENT(COLUMN(CJ$2)-69,3))*5)+MOD(COLUMN(CJ$2),3),1,1),"")</f>
        <v>0</v>
      </c>
      <c r="CK12">
        <f ca="1">IF($AN12="",OFFSET(Demand!$A$13,ROW(U9)-1,4+((QUOTIENT(COLUMN(CK$2)-69,3))*5)+MOD(COLUMN(CK$2),3),1,1),"")</f>
        <v>0</v>
      </c>
      <c r="CL12">
        <f ca="1">IF($AN12="",OFFSET(Demand!$A$13,ROW(V9)-1,4+((QUOTIENT(COLUMN(CL$2)-69,3))*5)+MOD(COLUMN(CL$2),3),1,1),"")</f>
        <v>0</v>
      </c>
      <c r="CM12">
        <f ca="1">IF($AN12="",OFFSET(Demand!$A$13,ROW(W9)-1,4+((QUOTIENT(COLUMN(CM$2)-69,3))*5)+MOD(COLUMN(CM$2),3),1,1),"")</f>
        <v>0</v>
      </c>
      <c r="CN12">
        <f ca="1">IF($AN12="",OFFSET(Demand!$A$13,ROW(X9)-1,4+((QUOTIENT(COLUMN(CN$2)-69,3))*5)+MOD(COLUMN(CN$2),3),1,1),"")</f>
        <v>0</v>
      </c>
      <c r="CO12">
        <f ca="1">IF($AN12="",OFFSET(Demand!$A$13,ROW(Y9)-1,4+((QUOTIENT(COLUMN(CO$2)-69,3))*5)+MOD(COLUMN(CO$2),3),1,1),"")</f>
        <v>0</v>
      </c>
      <c r="CP12">
        <f ca="1">IF($AN12="",OFFSET(Demand!$A$13,ROW(Z9)-1,4+((QUOTIENT(COLUMN(CP$2)-69,3))*5)+MOD(COLUMN(CP$2),3),1,1),"")</f>
        <v>0</v>
      </c>
      <c r="CQ12">
        <f ca="1">IF($AN12="",OFFSET(Demand!$A$13,ROW(AA9)-1,4+((QUOTIENT(COLUMN(CQ$2)-69,3))*5)+MOD(COLUMN(CQ$2),3),1,1),"")</f>
        <v>0</v>
      </c>
      <c r="CR12">
        <f ca="1">IF($AN12="",OFFSET(Demand!$A$13,ROW(AB9)-1,4+((QUOTIENT(COLUMN(CR$2)-69,3))*5)+MOD(COLUMN(CR$2),3),1,1),"")</f>
        <v>0</v>
      </c>
      <c r="CS12">
        <f ca="1">IF($AN12="",OFFSET(Demand!$A$13,ROW(AC9)-1,4+((QUOTIENT(COLUMN(CS$2)-69,3))*5)+MOD(COLUMN(CS$2),3),1,1),"")</f>
        <v>0</v>
      </c>
      <c r="CT12">
        <f ca="1">IF($AN12="",OFFSET(Demand!$A$13,ROW(AD9)-1,4+((QUOTIENT(COLUMN(CT$2)-69,3))*5)+MOD(COLUMN(CT$2),3),1,1),"")</f>
        <v>0</v>
      </c>
      <c r="CW12" s="5">
        <f ca="1">SUM(OFFSET(Demand!$H$43,ROW(A9)-1,(COLUMN(A9)-1)*5,1,1))*N$2</f>
        <v>0</v>
      </c>
      <c r="CX12" s="5">
        <f ca="1">SUM(OFFSET(Demand!$H$43,ROW(B9)-1,(COLUMN(B9)-1)*5,1,1))*O$2</f>
        <v>0</v>
      </c>
      <c r="CY12" s="5">
        <f ca="1">SUM(OFFSET(Demand!$H$43,ROW(C9)-1,(COLUMN(C9)-1)*5,1,1))*P$2</f>
        <v>0</v>
      </c>
      <c r="CZ12" s="5">
        <f ca="1">SUM(OFFSET(Demand!$H$43,ROW(D9)-1,(COLUMN(D9)-1)*5,1,1))*Q$2</f>
        <v>0</v>
      </c>
      <c r="DA12" s="5">
        <f ca="1">SUM(OFFSET(Demand!$H$43,ROW(E9)-1,(COLUMN(E9)-1)*5,1,1))*R$2</f>
        <v>0</v>
      </c>
      <c r="DB12" s="5">
        <f ca="1">SUM(OFFSET(Demand!$H$43,ROW(F9)-1,(COLUMN(F9)-1)*5,1,1))*S$2</f>
        <v>0</v>
      </c>
      <c r="DC12" s="5">
        <f ca="1">SUM(OFFSET(Demand!$H$43,ROW(G9)-1,(COLUMN(G9)-1)*5,1,1))*T$2</f>
        <v>0</v>
      </c>
      <c r="DD12" s="5">
        <f ca="1">SUM(OFFSET(Demand!$H$43,ROW(H9)-1,(COLUMN(H9)-1)*5,1,1))*U$2</f>
        <v>0</v>
      </c>
      <c r="DE12" s="5">
        <f ca="1">SUM(OFFSET(Demand!$H$43,ROW(I9)-1,(COLUMN(I9)-1)*5,1,1))*V$2</f>
        <v>0</v>
      </c>
      <c r="DF12" s="5">
        <f ca="1">SUM(OFFSET(Demand!$H$43,ROW(J9)-1,(COLUMN(J9)-1)*5,1,1))*W$2</f>
        <v>0</v>
      </c>
      <c r="DG12" s="5">
        <f ca="1">IF(OR(AN12&lt;&gt;"",AND('Demand adjustments for Covid'!$F$9="Yes",'Demand adjustments for Covid'!$F$20="Yes")),"",SUM(CW12:DF12))</f>
        <v>0</v>
      </c>
      <c r="DI12" s="5" t="s">
        <v>234</v>
      </c>
      <c r="DJ12" s="5" t="str">
        <f ca="1">IFERROR(PERCENTILE(OFFSET($DG$4,'SPC background (hide)'!$D$8,0,'SPC background (hide)'!$H$9,1),'Control sheet (hide)'!$I$9),"")</f>
        <v/>
      </c>
      <c r="DM12" s="5">
        <f t="shared" si="10"/>
        <v>24</v>
      </c>
      <c r="DN12" s="320">
        <f t="shared" si="17"/>
        <v>43990</v>
      </c>
      <c r="DO12" s="5">
        <f ca="1">VLOOKUP(IF($DM12&lt;53,$DM12,52),'Summary Calculations (hide)'!$D$15:$F$67,2,0)</f>
        <v>142</v>
      </c>
      <c r="DP12" s="5">
        <f ca="1">VLOOKUP(IF($DM12&lt;53,$DM12,52),'Summary Calculations (hide)'!$D$15:$F$67,3,0)</f>
        <v>156.20000000000002</v>
      </c>
      <c r="DQ12" s="5">
        <f ca="1">IF(AND(DN12&gt;='Demand adjustments for Covid'!$F$12,DN12&lt;'Demand adjustments for Covid'!$F$17),'Demand adjustments for Covid'!$F$13,DO12)</f>
        <v>142</v>
      </c>
      <c r="DR12" s="5">
        <f t="shared" si="7"/>
        <v>0</v>
      </c>
      <c r="DS12" s="5">
        <f ca="1">IF('Demand adjustments for Covid'!$F$9="Yes",IF(DR12=0,DQ12,((SUM(DR$4:DR12)-1)*$EE$8)+'Demand adjustments for Covid'!F$13),'Demand background (hide)'!DO12)</f>
        <v>142</v>
      </c>
      <c r="DT12" s="5">
        <f ca="1">IF('Demand adjustments for Covid'!$F$9="Yes",IF(OR(AND(DN12&gt;='Demand adjustments for Covid'!$F$12,DN12&lt;'Demand adjustments for Covid'!$F$17),DR12=1),DS12+3,DP12),'Demand background (hide)'!DP12)</f>
        <v>156.20000000000002</v>
      </c>
      <c r="DU12" s="5">
        <f ca="1">IF(DS12&lt;='Demand adjustments for Covid'!$F$17,DO12-DS12,0)</f>
        <v>0</v>
      </c>
      <c r="DV12" s="5">
        <f ca="1">IF(AND(ROW(A9)&gt;$EE$5,ROW(A9)&lt;=$EA$5),OFFSET('Demand adjustments for Covid'!$F$35,0,ROW(A9)-'Demand background (hide)'!$EE$5,1,1),0)</f>
        <v>10</v>
      </c>
      <c r="DW12" s="5">
        <f ca="1">IF(AND(ROW(A9)&gt;$EE$5,ROW(A9)&lt;=$EA$5),OFFSET('Demand adjustments for Covid'!$F$36,0,ROW(A9)-'Demand background (hide)'!$EE$5,1,1),0)</f>
        <v>40</v>
      </c>
      <c r="DX12" s="5">
        <f t="shared" ca="1" si="11"/>
        <v>206.20000000000002</v>
      </c>
    </row>
    <row r="13" spans="1:135" s="5" customFormat="1" x14ac:dyDescent="0.25">
      <c r="A13" s="5">
        <f t="shared" ca="1" si="3"/>
        <v>0</v>
      </c>
      <c r="B13" s="5">
        <f ca="1">COUNTBLANK(OFFSET(Demand!$I22,0,(COLUMN(A10)-1)*5,1,1))</f>
        <v>0</v>
      </c>
      <c r="C13" s="5">
        <f ca="1">COUNTBLANK(OFFSET(Demand!$I22,0,(COLUMN(B10)-1)*5,1,1))</f>
        <v>1</v>
      </c>
      <c r="D13" s="5">
        <f ca="1">COUNTBLANK(OFFSET(Demand!$I22,0,(COLUMN(C10)-1)*5,1,1))</f>
        <v>1</v>
      </c>
      <c r="E13" s="5">
        <f ca="1">COUNTBLANK(OFFSET(Demand!$I22,0,(COLUMN(D10)-1)*5,1,1))</f>
        <v>1</v>
      </c>
      <c r="F13" s="5">
        <f ca="1">COUNTBLANK(OFFSET(Demand!$I22,0,(COLUMN(E10)-1)*5,1,1))</f>
        <v>1</v>
      </c>
      <c r="G13" s="5">
        <f ca="1">COUNTBLANK(OFFSET(Demand!$I22,0,(COLUMN(F10)-1)*5,1,1))</f>
        <v>1</v>
      </c>
      <c r="H13" s="5">
        <f ca="1">COUNTBLANK(OFFSET(Demand!$I22,0,(COLUMN(G10)-1)*5,1,1))</f>
        <v>1</v>
      </c>
      <c r="I13" s="5">
        <f ca="1">COUNTBLANK(OFFSET(Demand!$I22,0,(COLUMN(H10)-1)*5,1,1))</f>
        <v>1</v>
      </c>
      <c r="J13" s="5">
        <f ca="1">COUNTBLANK(OFFSET(Demand!$I22,0,(COLUMN(I10)-1)*5,1,1))</f>
        <v>1</v>
      </c>
      <c r="K13" s="5">
        <f ca="1">COUNTBLANK(OFFSET(Demand!$I22,0,(COLUMN(J10)-1)*5,1,1))</f>
        <v>1</v>
      </c>
      <c r="N13" s="5">
        <f ca="1">SUM(OFFSET(Demand!$E22,0,(COLUMN(A10)-1)*5,1,3))*N$2</f>
        <v>140</v>
      </c>
      <c r="O13" s="5">
        <f ca="1">SUM(OFFSET(Demand!$E22,0,(COLUMN(B10)-1)*5,1,3))*O$2</f>
        <v>0</v>
      </c>
      <c r="P13" s="5">
        <f ca="1">SUM(OFFSET(Demand!$E22,0,(COLUMN(C10)-1)*5,1,3))*P$2</f>
        <v>0</v>
      </c>
      <c r="Q13" s="5">
        <f ca="1">SUM(OFFSET(Demand!$E22,0,(COLUMN(D10)-1)*5,1,3))*Q$2</f>
        <v>0</v>
      </c>
      <c r="R13" s="5">
        <f ca="1">SUM(OFFSET(Demand!$E22,0,(COLUMN(E10)-1)*5,1,3))*R$2</f>
        <v>0</v>
      </c>
      <c r="S13" s="5">
        <f ca="1">SUM(OFFSET(Demand!$E22,0,(COLUMN(F10)-1)*5,1,3))*S$2</f>
        <v>0</v>
      </c>
      <c r="T13" s="5">
        <f ca="1">SUM(OFFSET(Demand!$E22,0,(COLUMN(G10)-1)*5,1,3))*T$2</f>
        <v>0</v>
      </c>
      <c r="U13" s="5">
        <f ca="1">SUM(OFFSET(Demand!$E22,0,(COLUMN(H10)-1)*5,1,3))*U$2</f>
        <v>0</v>
      </c>
      <c r="V13" s="5">
        <f ca="1">SUM(OFFSET(Demand!$E22,0,(COLUMN(I10)-1)*5,1,3))*V$2</f>
        <v>0</v>
      </c>
      <c r="W13" s="5">
        <f ca="1">SUM(OFFSET(Demand!$E22,0,(COLUMN(J10)-1)*5,1,3))*W$2</f>
        <v>0</v>
      </c>
      <c r="X13" s="5">
        <f t="shared" ca="1" si="4"/>
        <v>140</v>
      </c>
      <c r="Y13" s="5">
        <f t="shared" ca="1" si="5"/>
        <v>140</v>
      </c>
      <c r="Z13" s="5">
        <f ca="1">SUM(OFFSET(Demand!$H22,0,(COLUMN(A10)-1)*5,1,1))*N$2</f>
        <v>0</v>
      </c>
      <c r="AA13" s="5">
        <f ca="1">SUM(OFFSET(Demand!$H22,0,(COLUMN(B10)-1)*5,1,1))*O$2</f>
        <v>0</v>
      </c>
      <c r="AB13" s="5">
        <f ca="1">SUM(OFFSET(Demand!$H22,0,(COLUMN(C10)-1)*5,1,1))*P$2</f>
        <v>0</v>
      </c>
      <c r="AC13" s="5">
        <f ca="1">SUM(OFFSET(Demand!$H22,0,(COLUMN(D10)-1)*5,1,1))*Q$2</f>
        <v>0</v>
      </c>
      <c r="AD13" s="5">
        <f ca="1">SUM(OFFSET(Demand!$H22,0,(COLUMN(E10)-1)*5,1,1))*R$2</f>
        <v>0</v>
      </c>
      <c r="AE13" s="5">
        <f ca="1">SUM(OFFSET(Demand!$H22,0,(COLUMN(F10)-1)*5,1,1))*S$2</f>
        <v>0</v>
      </c>
      <c r="AF13" s="5">
        <f ca="1">SUM(OFFSET(Demand!$H22,0,(COLUMN(G10)-1)*5,1,1))*T$2</f>
        <v>0</v>
      </c>
      <c r="AG13" s="5">
        <f ca="1">SUM(OFFSET(Demand!$H22,0,(COLUMN(H10)-1)*5,1,1))*U$2</f>
        <v>0</v>
      </c>
      <c r="AH13" s="5">
        <f ca="1">SUM(OFFSET(Demand!$H22,0,(COLUMN(I10)-1)*5,1,1))*V$2</f>
        <v>0</v>
      </c>
      <c r="AI13" s="5">
        <f ca="1">SUM(OFFSET(Demand!$H22,0,(COLUMN(J10)-1)*5,1,1))*W$2</f>
        <v>0</v>
      </c>
      <c r="AJ13" s="5">
        <f t="shared" ca="1" si="6"/>
        <v>0</v>
      </c>
      <c r="AL13" s="5">
        <f t="shared" ca="1" si="8"/>
        <v>140</v>
      </c>
      <c r="AM13" s="5">
        <f t="shared" ca="1" si="9"/>
        <v>0</v>
      </c>
      <c r="AN13" s="5" t="str">
        <f>IF(Demand!BE22="Yes","Yes","")</f>
        <v/>
      </c>
      <c r="AP13" s="36" t="str">
        <f ca="1">Demand!B22</f>
        <v xml:space="preserve"> </v>
      </c>
      <c r="AQ13" s="5" t="str">
        <f ca="1">IF(TEXT(Demand!D22,"MMM")&lt;&gt;TEXT(Demand!D21,"MMM"),TEXT(Demand!D22,"MMM"),"")</f>
        <v>May</v>
      </c>
      <c r="AT13" s="5">
        <f t="shared" ca="1" si="12"/>
        <v>2</v>
      </c>
      <c r="AV13" s="5" t="s">
        <v>137</v>
      </c>
      <c r="AW13" s="44" t="str">
        <f ca="1">IFERROR(PERCENTILE(OFFSET(AL$4,'SPC background (hide)'!$D$6-1,0,'SPC background (hide)'!$H$7,1),'Control sheet (hide)'!$I$9),"")</f>
        <v/>
      </c>
      <c r="AX13" s="5" t="str">
        <f ca="1">IFERROR(PERCENTILE(OFFSET(AM$4,'SPC background (hide)'!$C$6-1,0,'SPC background (hide)'!$H$7,1),'Control sheet (hide)'!$I$9),"")</f>
        <v/>
      </c>
      <c r="BB13" t="str">
        <f>'Control sheet (hide)'!AA10</f>
        <v>Modality 8</v>
      </c>
      <c r="BC13" s="46" t="str">
        <f t="shared" si="13"/>
        <v/>
      </c>
      <c r="BD13" s="46" t="str">
        <f t="shared" si="14"/>
        <v/>
      </c>
      <c r="BE13" s="46" t="str">
        <f t="shared" si="15"/>
        <v/>
      </c>
      <c r="BF13" s="5">
        <f ca="1">SUM(OFFSET($BQ$4,'SPC background (hide)'!$C$4-1,((ROW(A8)-1)*3)+MOD(COLUMN(C8),3),'SPC background (hide)'!$I$11,1))</f>
        <v>0</v>
      </c>
      <c r="BG13" s="5">
        <f ca="1">SUM(OFFSET($BQ$4,'SPC background (hide)'!$C$4-1,((ROW(B8)-1)*3)+MOD(COLUMN(D8),3),'SPC background (hide)'!$I$11,1))</f>
        <v>0</v>
      </c>
      <c r="BH13" s="5">
        <f ca="1">SUM(OFFSET($BQ$4,'SPC background (hide)'!$C$4-1,((ROW(C8)-1)*3)+MOD(COLUMN(E8),3),'SPC background (hide)'!$I$11,1))</f>
        <v>0</v>
      </c>
      <c r="BI13" s="5">
        <f t="shared" ca="1" si="18"/>
        <v>0</v>
      </c>
      <c r="BJ13" s="5">
        <f t="shared" ref="BJ13:BL13" ca="1" si="28">BF13*OFFSET($N$2,0,ROW(A8)-1,1,1)</f>
        <v>0</v>
      </c>
      <c r="BK13" s="5">
        <f t="shared" ca="1" si="28"/>
        <v>0</v>
      </c>
      <c r="BL13" s="5">
        <f t="shared" ca="1" si="28"/>
        <v>0</v>
      </c>
      <c r="BM13" s="5">
        <f t="shared" ca="1" si="20"/>
        <v>0</v>
      </c>
      <c r="BN13" s="5">
        <f t="shared" ca="1" si="21"/>
        <v>0</v>
      </c>
      <c r="BO13" s="84">
        <f t="shared" ca="1" si="22"/>
        <v>0</v>
      </c>
      <c r="BQ13">
        <f ca="1">IF($AN13="",OFFSET(Demand!$A$13,ROW(A10)-1,4+((QUOTIENT(COLUMN(BQ$2)-69,3))*5)+MOD(COLUMN(BQ$2),3),1,1),"")</f>
        <v>0</v>
      </c>
      <c r="BR13">
        <f ca="1">IF($AN13="",OFFSET(Demand!$A$13,ROW(B10)-1,4+((QUOTIENT(COLUMN(BR$2)-69,3))*5)+MOD(COLUMN(BR$2),3),1,1),"")</f>
        <v>0</v>
      </c>
      <c r="BS13">
        <f ca="1">IF($AN13="",OFFSET(Demand!$A$13,ROW(C10)-1,4+((QUOTIENT(COLUMN(BS$2)-69,3))*5)+MOD(COLUMN(BS$2),3),1,1),"")</f>
        <v>70</v>
      </c>
      <c r="BT13">
        <f ca="1">IF($AN13="",OFFSET(Demand!$A$13,ROW(D10)-1,4+((QUOTIENT(COLUMN(BT$2)-69,3))*5)+MOD(COLUMN(BT$2),3),1,1),"")</f>
        <v>0</v>
      </c>
      <c r="BU13">
        <f ca="1">IF($AN13="",OFFSET(Demand!$A$13,ROW(E10)-1,4+((QUOTIENT(COLUMN(BU$2)-69,3))*5)+MOD(COLUMN(BU$2),3),1,1),"")</f>
        <v>0</v>
      </c>
      <c r="BV13">
        <f ca="1">IF($AN13="",OFFSET(Demand!$A$13,ROW(F10)-1,4+((QUOTIENT(COLUMN(BV$2)-69,3))*5)+MOD(COLUMN(BV$2),3),1,1),"")</f>
        <v>0</v>
      </c>
      <c r="BW13">
        <f ca="1">IF($AN13="",OFFSET(Demand!$A$13,ROW(G10)-1,4+((QUOTIENT(COLUMN(BW$2)-69,3))*5)+MOD(COLUMN(BW$2),3),1,1),"")</f>
        <v>0</v>
      </c>
      <c r="BX13">
        <f ca="1">IF($AN13="",OFFSET(Demand!$A$13,ROW(H10)-1,4+((QUOTIENT(COLUMN(BX$2)-69,3))*5)+MOD(COLUMN(BX$2),3),1,1),"")</f>
        <v>0</v>
      </c>
      <c r="BY13">
        <f ca="1">IF($AN13="",OFFSET(Demand!$A$13,ROW(I10)-1,4+((QUOTIENT(COLUMN(BY$2)-69,3))*5)+MOD(COLUMN(BY$2),3),1,1),"")</f>
        <v>0</v>
      </c>
      <c r="BZ13">
        <f ca="1">IF($AN13="",OFFSET(Demand!$A$13,ROW(J10)-1,4+((QUOTIENT(COLUMN(BZ$2)-69,3))*5)+MOD(COLUMN(BZ$2),3),1,1),"")</f>
        <v>0</v>
      </c>
      <c r="CA13">
        <f ca="1">IF($AN13="",OFFSET(Demand!$A$13,ROW(K10)-1,4+((QUOTIENT(COLUMN(CA$2)-69,3))*5)+MOD(COLUMN(CA$2),3),1,1),"")</f>
        <v>0</v>
      </c>
      <c r="CB13">
        <f ca="1">IF($AN13="",OFFSET(Demand!$A$13,ROW(L10)-1,4+((QUOTIENT(COLUMN(CB$2)-69,3))*5)+MOD(COLUMN(CB$2),3),1,1),"")</f>
        <v>0</v>
      </c>
      <c r="CC13">
        <f ca="1">IF($AN13="",OFFSET(Demand!$A$13,ROW(M10)-1,4+((QUOTIENT(COLUMN(CC$2)-69,3))*5)+MOD(COLUMN(CC$2),3),1,1),"")</f>
        <v>0</v>
      </c>
      <c r="CD13">
        <f ca="1">IF($AN13="",OFFSET(Demand!$A$13,ROW(N10)-1,4+((QUOTIENT(COLUMN(CD$2)-69,3))*5)+MOD(COLUMN(CD$2),3),1,1),"")</f>
        <v>0</v>
      </c>
      <c r="CE13">
        <f ca="1">IF($AN13="",OFFSET(Demand!$A$13,ROW(O10)-1,4+((QUOTIENT(COLUMN(CE$2)-69,3))*5)+MOD(COLUMN(CE$2),3),1,1),"")</f>
        <v>0</v>
      </c>
      <c r="CF13">
        <f ca="1">IF($AN13="",OFFSET(Demand!$A$13,ROW(P10)-1,4+((QUOTIENT(COLUMN(CF$2)-69,3))*5)+MOD(COLUMN(CF$2),3),1,1),"")</f>
        <v>0</v>
      </c>
      <c r="CG13">
        <f ca="1">IF($AN13="",OFFSET(Demand!$A$13,ROW(Q10)-1,4+((QUOTIENT(COLUMN(CG$2)-69,3))*5)+MOD(COLUMN(CG$2),3),1,1),"")</f>
        <v>0</v>
      </c>
      <c r="CH13">
        <f ca="1">IF($AN13="",OFFSET(Demand!$A$13,ROW(R10)-1,4+((QUOTIENT(COLUMN(CH$2)-69,3))*5)+MOD(COLUMN(CH$2),3),1,1),"")</f>
        <v>0</v>
      </c>
      <c r="CI13">
        <f ca="1">IF($AN13="",OFFSET(Demand!$A$13,ROW(S10)-1,4+((QUOTIENT(COLUMN(CI$2)-69,3))*5)+MOD(COLUMN(CI$2),3),1,1),"")</f>
        <v>0</v>
      </c>
      <c r="CJ13">
        <f ca="1">IF($AN13="",OFFSET(Demand!$A$13,ROW(T10)-1,4+((QUOTIENT(COLUMN(CJ$2)-69,3))*5)+MOD(COLUMN(CJ$2),3),1,1),"")</f>
        <v>0</v>
      </c>
      <c r="CK13">
        <f ca="1">IF($AN13="",OFFSET(Demand!$A$13,ROW(U10)-1,4+((QUOTIENT(COLUMN(CK$2)-69,3))*5)+MOD(COLUMN(CK$2),3),1,1),"")</f>
        <v>0</v>
      </c>
      <c r="CL13">
        <f ca="1">IF($AN13="",OFFSET(Demand!$A$13,ROW(V10)-1,4+((QUOTIENT(COLUMN(CL$2)-69,3))*5)+MOD(COLUMN(CL$2),3),1,1),"")</f>
        <v>0</v>
      </c>
      <c r="CM13">
        <f ca="1">IF($AN13="",OFFSET(Demand!$A$13,ROW(W10)-1,4+((QUOTIENT(COLUMN(CM$2)-69,3))*5)+MOD(COLUMN(CM$2),3),1,1),"")</f>
        <v>0</v>
      </c>
      <c r="CN13">
        <f ca="1">IF($AN13="",OFFSET(Demand!$A$13,ROW(X10)-1,4+((QUOTIENT(COLUMN(CN$2)-69,3))*5)+MOD(COLUMN(CN$2),3),1,1),"")</f>
        <v>0</v>
      </c>
      <c r="CO13">
        <f ca="1">IF($AN13="",OFFSET(Demand!$A$13,ROW(Y10)-1,4+((QUOTIENT(COLUMN(CO$2)-69,3))*5)+MOD(COLUMN(CO$2),3),1,1),"")</f>
        <v>0</v>
      </c>
      <c r="CP13">
        <f ca="1">IF($AN13="",OFFSET(Demand!$A$13,ROW(Z10)-1,4+((QUOTIENT(COLUMN(CP$2)-69,3))*5)+MOD(COLUMN(CP$2),3),1,1),"")</f>
        <v>0</v>
      </c>
      <c r="CQ13">
        <f ca="1">IF($AN13="",OFFSET(Demand!$A$13,ROW(AA10)-1,4+((QUOTIENT(COLUMN(CQ$2)-69,3))*5)+MOD(COLUMN(CQ$2),3),1,1),"")</f>
        <v>0</v>
      </c>
      <c r="CR13">
        <f ca="1">IF($AN13="",OFFSET(Demand!$A$13,ROW(AB10)-1,4+((QUOTIENT(COLUMN(CR$2)-69,3))*5)+MOD(COLUMN(CR$2),3),1,1),"")</f>
        <v>0</v>
      </c>
      <c r="CS13">
        <f ca="1">IF($AN13="",OFFSET(Demand!$A$13,ROW(AC10)-1,4+((QUOTIENT(COLUMN(CS$2)-69,3))*5)+MOD(COLUMN(CS$2),3),1,1),"")</f>
        <v>0</v>
      </c>
      <c r="CT13">
        <f ca="1">IF($AN13="",OFFSET(Demand!$A$13,ROW(AD10)-1,4+((QUOTIENT(COLUMN(CT$2)-69,3))*5)+MOD(COLUMN(CT$2),3),1,1),"")</f>
        <v>0</v>
      </c>
      <c r="CW13" s="5">
        <f ca="1">SUM(OFFSET(Demand!$H$43,ROW(A10)-1,(COLUMN(A10)-1)*5,1,1))*N$2</f>
        <v>0</v>
      </c>
      <c r="CX13" s="5">
        <f ca="1">SUM(OFFSET(Demand!$H$43,ROW(B10)-1,(COLUMN(B10)-1)*5,1,1))*O$2</f>
        <v>0</v>
      </c>
      <c r="CY13" s="5">
        <f ca="1">SUM(OFFSET(Demand!$H$43,ROW(C10)-1,(COLUMN(C10)-1)*5,1,1))*P$2</f>
        <v>0</v>
      </c>
      <c r="CZ13" s="5">
        <f ca="1">SUM(OFFSET(Demand!$H$43,ROW(D10)-1,(COLUMN(D10)-1)*5,1,1))*Q$2</f>
        <v>0</v>
      </c>
      <c r="DA13" s="5">
        <f ca="1">SUM(OFFSET(Demand!$H$43,ROW(E10)-1,(COLUMN(E10)-1)*5,1,1))*R$2</f>
        <v>0</v>
      </c>
      <c r="DB13" s="5">
        <f ca="1">SUM(OFFSET(Demand!$H$43,ROW(F10)-1,(COLUMN(F10)-1)*5,1,1))*S$2</f>
        <v>0</v>
      </c>
      <c r="DC13" s="5">
        <f ca="1">SUM(OFFSET(Demand!$H$43,ROW(G10)-1,(COLUMN(G10)-1)*5,1,1))*T$2</f>
        <v>0</v>
      </c>
      <c r="DD13" s="5">
        <f ca="1">SUM(OFFSET(Demand!$H$43,ROW(H10)-1,(COLUMN(H10)-1)*5,1,1))*U$2</f>
        <v>0</v>
      </c>
      <c r="DE13" s="5">
        <f ca="1">SUM(OFFSET(Demand!$H$43,ROW(I10)-1,(COLUMN(I10)-1)*5,1,1))*V$2</f>
        <v>0</v>
      </c>
      <c r="DF13" s="5">
        <f ca="1">SUM(OFFSET(Demand!$H$43,ROW(J10)-1,(COLUMN(J10)-1)*5,1,1))*W$2</f>
        <v>0</v>
      </c>
      <c r="DG13" s="5">
        <f ca="1">IF(OR(AN13&lt;&gt;"",AND('Demand adjustments for Covid'!$F$9="Yes",'Demand adjustments for Covid'!$F$20="Yes")),"",SUM(CW13:DF13))</f>
        <v>0</v>
      </c>
      <c r="DI13" s="5" t="s">
        <v>235</v>
      </c>
      <c r="DJ13" s="5" t="str">
        <f ca="1">IFERROR(PERCENTILE(OFFSET($DG$4,'SPC background (hide)'!$D$8,0,'SPC background (hide)'!$H$9,1),'Control sheet (hide)'!$I$10),"")</f>
        <v/>
      </c>
      <c r="DM13" s="5">
        <f t="shared" si="10"/>
        <v>25</v>
      </c>
      <c r="DN13" s="320">
        <f t="shared" si="17"/>
        <v>43997</v>
      </c>
      <c r="DO13" s="5">
        <f ca="1">VLOOKUP(IF($DM13&lt;53,$DM13,52),'Summary Calculations (hide)'!$D$15:$F$67,2,0)</f>
        <v>140</v>
      </c>
      <c r="DP13" s="5">
        <f ca="1">VLOOKUP(IF($DM13&lt;53,$DM13,52),'Summary Calculations (hide)'!$D$15:$F$67,3,0)</f>
        <v>154</v>
      </c>
      <c r="DQ13" s="5">
        <f ca="1">IF(AND(DN13&gt;='Demand adjustments for Covid'!$F$12,DN13&lt;'Demand adjustments for Covid'!$F$17),'Demand adjustments for Covid'!$F$13,DO13)</f>
        <v>140</v>
      </c>
      <c r="DR13" s="5">
        <f t="shared" si="7"/>
        <v>0</v>
      </c>
      <c r="DS13" s="5">
        <f ca="1">IF('Demand adjustments for Covid'!$F$9="Yes",IF(DR13=0,DQ13,((SUM(DR$4:DR13)-1)*$EE$8)+'Demand adjustments for Covid'!F$13),'Demand background (hide)'!DO13)</f>
        <v>140</v>
      </c>
      <c r="DT13" s="5">
        <f ca="1">IF('Demand adjustments for Covid'!$F$9="Yes",IF(OR(AND(DN13&gt;='Demand adjustments for Covid'!$F$12,DN13&lt;'Demand adjustments for Covid'!$F$17),DR13=1),DS13+3,DP13),'Demand background (hide)'!DP13)</f>
        <v>154</v>
      </c>
      <c r="DU13" s="5">
        <f ca="1">IF(DS13&lt;='Demand adjustments for Covid'!$F$17,DO13-DS13,0)</f>
        <v>0</v>
      </c>
      <c r="DV13" s="5">
        <f ca="1">IF(AND(ROW(A10)&gt;$EE$5,ROW(A10)&lt;=$EA$5),OFFSET('Demand adjustments for Covid'!$F$35,0,ROW(A10)-'Demand background (hide)'!$EE$5,1,1),0)</f>
        <v>10</v>
      </c>
      <c r="DW13" s="5">
        <f ca="1">IF(AND(ROW(A10)&gt;$EE$5,ROW(A10)&lt;=$EA$5),OFFSET('Demand adjustments for Covid'!$F$36,0,ROW(A10)-'Demand background (hide)'!$EE$5,1,1),0)</f>
        <v>40</v>
      </c>
      <c r="DX13" s="5">
        <f t="shared" ca="1" si="11"/>
        <v>204</v>
      </c>
    </row>
    <row r="14" spans="1:135" s="5" customFormat="1" x14ac:dyDescent="0.25">
      <c r="A14" s="5">
        <f t="shared" ca="1" si="3"/>
        <v>0</v>
      </c>
      <c r="B14" s="5">
        <f ca="1">COUNTBLANK(OFFSET(Demand!$I23,0,(COLUMN(A11)-1)*5,1,1))</f>
        <v>0</v>
      </c>
      <c r="C14" s="5">
        <f ca="1">COUNTBLANK(OFFSET(Demand!$I23,0,(COLUMN(B11)-1)*5,1,1))</f>
        <v>1</v>
      </c>
      <c r="D14" s="5">
        <f ca="1">COUNTBLANK(OFFSET(Demand!$I23,0,(COLUMN(C11)-1)*5,1,1))</f>
        <v>1</v>
      </c>
      <c r="E14" s="5">
        <f ca="1">COUNTBLANK(OFFSET(Demand!$I23,0,(COLUMN(D11)-1)*5,1,1))</f>
        <v>1</v>
      </c>
      <c r="F14" s="5">
        <f ca="1">COUNTBLANK(OFFSET(Demand!$I23,0,(COLUMN(E11)-1)*5,1,1))</f>
        <v>1</v>
      </c>
      <c r="G14" s="5">
        <f ca="1">COUNTBLANK(OFFSET(Demand!$I23,0,(COLUMN(F11)-1)*5,1,1))</f>
        <v>1</v>
      </c>
      <c r="H14" s="5">
        <f ca="1">COUNTBLANK(OFFSET(Demand!$I23,0,(COLUMN(G11)-1)*5,1,1))</f>
        <v>1</v>
      </c>
      <c r="I14" s="5">
        <f ca="1">COUNTBLANK(OFFSET(Demand!$I23,0,(COLUMN(H11)-1)*5,1,1))</f>
        <v>1</v>
      </c>
      <c r="J14" s="5">
        <f ca="1">COUNTBLANK(OFFSET(Demand!$I23,0,(COLUMN(I11)-1)*5,1,1))</f>
        <v>1</v>
      </c>
      <c r="K14" s="5">
        <f ca="1">COUNTBLANK(OFFSET(Demand!$I23,0,(COLUMN(J11)-1)*5,1,1))</f>
        <v>1</v>
      </c>
      <c r="N14" s="5">
        <f ca="1">SUM(OFFSET(Demand!$E23,0,(COLUMN(A11)-1)*5,1,3))*N$2</f>
        <v>152</v>
      </c>
      <c r="O14" s="5">
        <f ca="1">SUM(OFFSET(Demand!$E23,0,(COLUMN(B11)-1)*5,1,3))*O$2</f>
        <v>0</v>
      </c>
      <c r="P14" s="5">
        <f ca="1">SUM(OFFSET(Demand!$E23,0,(COLUMN(C11)-1)*5,1,3))*P$2</f>
        <v>0</v>
      </c>
      <c r="Q14" s="5">
        <f ca="1">SUM(OFFSET(Demand!$E23,0,(COLUMN(D11)-1)*5,1,3))*Q$2</f>
        <v>0</v>
      </c>
      <c r="R14" s="5">
        <f ca="1">SUM(OFFSET(Demand!$E23,0,(COLUMN(E11)-1)*5,1,3))*R$2</f>
        <v>0</v>
      </c>
      <c r="S14" s="5">
        <f ca="1">SUM(OFFSET(Demand!$E23,0,(COLUMN(F11)-1)*5,1,3))*S$2</f>
        <v>0</v>
      </c>
      <c r="T14" s="5">
        <f ca="1">SUM(OFFSET(Demand!$E23,0,(COLUMN(G11)-1)*5,1,3))*T$2</f>
        <v>0</v>
      </c>
      <c r="U14" s="5">
        <f ca="1">SUM(OFFSET(Demand!$E23,0,(COLUMN(H11)-1)*5,1,3))*U$2</f>
        <v>0</v>
      </c>
      <c r="V14" s="5">
        <f ca="1">SUM(OFFSET(Demand!$E23,0,(COLUMN(I11)-1)*5,1,3))*V$2</f>
        <v>0</v>
      </c>
      <c r="W14" s="5">
        <f ca="1">SUM(OFFSET(Demand!$E23,0,(COLUMN(J11)-1)*5,1,3))*W$2</f>
        <v>0</v>
      </c>
      <c r="X14" s="5">
        <f t="shared" ca="1" si="4"/>
        <v>152</v>
      </c>
      <c r="Y14" s="5">
        <f t="shared" ca="1" si="5"/>
        <v>152</v>
      </c>
      <c r="Z14" s="5">
        <f ca="1">SUM(OFFSET(Demand!$H23,0,(COLUMN(A11)-1)*5,1,1))*N$2</f>
        <v>0</v>
      </c>
      <c r="AA14" s="5">
        <f ca="1">SUM(OFFSET(Demand!$H23,0,(COLUMN(B11)-1)*5,1,1))*O$2</f>
        <v>0</v>
      </c>
      <c r="AB14" s="5">
        <f ca="1">SUM(OFFSET(Demand!$H23,0,(COLUMN(C11)-1)*5,1,1))*P$2</f>
        <v>0</v>
      </c>
      <c r="AC14" s="5">
        <f ca="1">SUM(OFFSET(Demand!$H23,0,(COLUMN(D11)-1)*5,1,1))*Q$2</f>
        <v>0</v>
      </c>
      <c r="AD14" s="5">
        <f ca="1">SUM(OFFSET(Demand!$H23,0,(COLUMN(E11)-1)*5,1,1))*R$2</f>
        <v>0</v>
      </c>
      <c r="AE14" s="5">
        <f ca="1">SUM(OFFSET(Demand!$H23,0,(COLUMN(F11)-1)*5,1,1))*S$2</f>
        <v>0</v>
      </c>
      <c r="AF14" s="5">
        <f ca="1">SUM(OFFSET(Demand!$H23,0,(COLUMN(G11)-1)*5,1,1))*T$2</f>
        <v>0</v>
      </c>
      <c r="AG14" s="5">
        <f ca="1">SUM(OFFSET(Demand!$H23,0,(COLUMN(H11)-1)*5,1,1))*U$2</f>
        <v>0</v>
      </c>
      <c r="AH14" s="5">
        <f ca="1">SUM(OFFSET(Demand!$H23,0,(COLUMN(I11)-1)*5,1,1))*V$2</f>
        <v>0</v>
      </c>
      <c r="AI14" s="5">
        <f ca="1">SUM(OFFSET(Demand!$H23,0,(COLUMN(J11)-1)*5,1,1))*W$2</f>
        <v>0</v>
      </c>
      <c r="AJ14" s="5">
        <f t="shared" ca="1" si="6"/>
        <v>0</v>
      </c>
      <c r="AL14" s="5">
        <f t="shared" ca="1" si="8"/>
        <v>152</v>
      </c>
      <c r="AM14" s="5">
        <f t="shared" ca="1" si="9"/>
        <v>0</v>
      </c>
      <c r="AN14" s="5" t="str">
        <f>IF(Demand!BE23="Yes","Yes","")</f>
        <v/>
      </c>
      <c r="AP14" s="36" t="str">
        <f ca="1">Demand!B23</f>
        <v xml:space="preserve"> </v>
      </c>
      <c r="AQ14" s="5" t="str">
        <f ca="1">IF(TEXT(Demand!D23,"MMM")&lt;&gt;TEXT(Demand!D22,"MMM"),TEXT(Demand!D23,"MMM"),"")</f>
        <v/>
      </c>
      <c r="AT14" s="5">
        <f t="shared" ca="1" si="12"/>
        <v>12</v>
      </c>
      <c r="AV14" s="5" t="s">
        <v>138</v>
      </c>
      <c r="AW14" s="44" t="str">
        <f ca="1">IFERROR(PERCENTILE(OFFSET(AL$4,'SPC background (hide)'!$D$6-1,0,'SPC background (hide)'!$H$7,1),'Control sheet (hide)'!$I$10),"")</f>
        <v/>
      </c>
      <c r="AX14" s="5" t="str">
        <f ca="1">IFERROR(PERCENTILE(OFFSET(AM$4,'SPC background (hide)'!$C$6-1,0,'SPC background (hide)'!$H$7,1),'Control sheet (hide)'!$I$10),"")</f>
        <v/>
      </c>
      <c r="BB14" t="str">
        <f>'Control sheet (hide)'!AA11</f>
        <v>Modality 9</v>
      </c>
      <c r="BC14" s="46" t="str">
        <f t="shared" si="13"/>
        <v/>
      </c>
      <c r="BD14" s="46" t="str">
        <f t="shared" si="14"/>
        <v/>
      </c>
      <c r="BE14" s="46" t="str">
        <f t="shared" si="15"/>
        <v/>
      </c>
      <c r="BF14" s="5">
        <f ca="1">SUM(OFFSET($BQ$4,'SPC background (hide)'!$C$4-1,((ROW(A9)-1)*3)+MOD(COLUMN(C9),3),'SPC background (hide)'!$I$11,1))</f>
        <v>0</v>
      </c>
      <c r="BG14" s="5">
        <f ca="1">SUM(OFFSET($BQ$4,'SPC background (hide)'!$C$4-1,((ROW(B9)-1)*3)+MOD(COLUMN(D9),3),'SPC background (hide)'!$I$11,1))</f>
        <v>0</v>
      </c>
      <c r="BH14" s="5">
        <f ca="1">SUM(OFFSET($BQ$4,'SPC background (hide)'!$C$4-1,((ROW(C9)-1)*3)+MOD(COLUMN(E9),3),'SPC background (hide)'!$I$11,1))</f>
        <v>0</v>
      </c>
      <c r="BI14" s="5">
        <f t="shared" ca="1" si="18"/>
        <v>0</v>
      </c>
      <c r="BJ14" s="5">
        <f t="shared" ref="BJ14:BL14" ca="1" si="29">BF14*OFFSET($N$2,0,ROW(A9)-1,1,1)</f>
        <v>0</v>
      </c>
      <c r="BK14" s="5">
        <f t="shared" ca="1" si="29"/>
        <v>0</v>
      </c>
      <c r="BL14" s="5">
        <f t="shared" ca="1" si="29"/>
        <v>0</v>
      </c>
      <c r="BM14" s="5">
        <f t="shared" ca="1" si="20"/>
        <v>0</v>
      </c>
      <c r="BN14" s="5">
        <f t="shared" ca="1" si="21"/>
        <v>0</v>
      </c>
      <c r="BO14" s="84">
        <f t="shared" ca="1" si="22"/>
        <v>0</v>
      </c>
      <c r="BQ14">
        <f ca="1">IF($AN14="",OFFSET(Demand!$A$13,ROW(A11)-1,4+((QUOTIENT(COLUMN(BQ$2)-69,3))*5)+MOD(COLUMN(BQ$2),3),1,1),"")</f>
        <v>0</v>
      </c>
      <c r="BR14">
        <f ca="1">IF($AN14="",OFFSET(Demand!$A$13,ROW(B11)-1,4+((QUOTIENT(COLUMN(BR$2)-69,3))*5)+MOD(COLUMN(BR$2),3),1,1),"")</f>
        <v>0</v>
      </c>
      <c r="BS14">
        <f ca="1">IF($AN14="",OFFSET(Demand!$A$13,ROW(C11)-1,4+((QUOTIENT(COLUMN(BS$2)-69,3))*5)+MOD(COLUMN(BS$2),3),1,1),"")</f>
        <v>76</v>
      </c>
      <c r="BT14">
        <f ca="1">IF($AN14="",OFFSET(Demand!$A$13,ROW(D11)-1,4+((QUOTIENT(COLUMN(BT$2)-69,3))*5)+MOD(COLUMN(BT$2),3),1,1),"")</f>
        <v>0</v>
      </c>
      <c r="BU14">
        <f ca="1">IF($AN14="",OFFSET(Demand!$A$13,ROW(E11)-1,4+((QUOTIENT(COLUMN(BU$2)-69,3))*5)+MOD(COLUMN(BU$2),3),1,1),"")</f>
        <v>0</v>
      </c>
      <c r="BV14">
        <f ca="1">IF($AN14="",OFFSET(Demand!$A$13,ROW(F11)-1,4+((QUOTIENT(COLUMN(BV$2)-69,3))*5)+MOD(COLUMN(BV$2),3),1,1),"")</f>
        <v>0</v>
      </c>
      <c r="BW14">
        <f ca="1">IF($AN14="",OFFSET(Demand!$A$13,ROW(G11)-1,4+((QUOTIENT(COLUMN(BW$2)-69,3))*5)+MOD(COLUMN(BW$2),3),1,1),"")</f>
        <v>0</v>
      </c>
      <c r="BX14">
        <f ca="1">IF($AN14="",OFFSET(Demand!$A$13,ROW(H11)-1,4+((QUOTIENT(COLUMN(BX$2)-69,3))*5)+MOD(COLUMN(BX$2),3),1,1),"")</f>
        <v>0</v>
      </c>
      <c r="BY14">
        <f ca="1">IF($AN14="",OFFSET(Demand!$A$13,ROW(I11)-1,4+((QUOTIENT(COLUMN(BY$2)-69,3))*5)+MOD(COLUMN(BY$2),3),1,1),"")</f>
        <v>0</v>
      </c>
      <c r="BZ14">
        <f ca="1">IF($AN14="",OFFSET(Demand!$A$13,ROW(J11)-1,4+((QUOTIENT(COLUMN(BZ$2)-69,3))*5)+MOD(COLUMN(BZ$2),3),1,1),"")</f>
        <v>0</v>
      </c>
      <c r="CA14">
        <f ca="1">IF($AN14="",OFFSET(Demand!$A$13,ROW(K11)-1,4+((QUOTIENT(COLUMN(CA$2)-69,3))*5)+MOD(COLUMN(CA$2),3),1,1),"")</f>
        <v>0</v>
      </c>
      <c r="CB14">
        <f ca="1">IF($AN14="",OFFSET(Demand!$A$13,ROW(L11)-1,4+((QUOTIENT(COLUMN(CB$2)-69,3))*5)+MOD(COLUMN(CB$2),3),1,1),"")</f>
        <v>0</v>
      </c>
      <c r="CC14">
        <f ca="1">IF($AN14="",OFFSET(Demand!$A$13,ROW(M11)-1,4+((QUOTIENT(COLUMN(CC$2)-69,3))*5)+MOD(COLUMN(CC$2),3),1,1),"")</f>
        <v>0</v>
      </c>
      <c r="CD14">
        <f ca="1">IF($AN14="",OFFSET(Demand!$A$13,ROW(N11)-1,4+((QUOTIENT(COLUMN(CD$2)-69,3))*5)+MOD(COLUMN(CD$2),3),1,1),"")</f>
        <v>0</v>
      </c>
      <c r="CE14">
        <f ca="1">IF($AN14="",OFFSET(Demand!$A$13,ROW(O11)-1,4+((QUOTIENT(COLUMN(CE$2)-69,3))*5)+MOD(COLUMN(CE$2),3),1,1),"")</f>
        <v>0</v>
      </c>
      <c r="CF14">
        <f ca="1">IF($AN14="",OFFSET(Demand!$A$13,ROW(P11)-1,4+((QUOTIENT(COLUMN(CF$2)-69,3))*5)+MOD(COLUMN(CF$2),3),1,1),"")</f>
        <v>0</v>
      </c>
      <c r="CG14">
        <f ca="1">IF($AN14="",OFFSET(Demand!$A$13,ROW(Q11)-1,4+((QUOTIENT(COLUMN(CG$2)-69,3))*5)+MOD(COLUMN(CG$2),3),1,1),"")</f>
        <v>0</v>
      </c>
      <c r="CH14">
        <f ca="1">IF($AN14="",OFFSET(Demand!$A$13,ROW(R11)-1,4+((QUOTIENT(COLUMN(CH$2)-69,3))*5)+MOD(COLUMN(CH$2),3),1,1),"")</f>
        <v>0</v>
      </c>
      <c r="CI14">
        <f ca="1">IF($AN14="",OFFSET(Demand!$A$13,ROW(S11)-1,4+((QUOTIENT(COLUMN(CI$2)-69,3))*5)+MOD(COLUMN(CI$2),3),1,1),"")</f>
        <v>0</v>
      </c>
      <c r="CJ14">
        <f ca="1">IF($AN14="",OFFSET(Demand!$A$13,ROW(T11)-1,4+((QUOTIENT(COLUMN(CJ$2)-69,3))*5)+MOD(COLUMN(CJ$2),3),1,1),"")</f>
        <v>0</v>
      </c>
      <c r="CK14">
        <f ca="1">IF($AN14="",OFFSET(Demand!$A$13,ROW(U11)-1,4+((QUOTIENT(COLUMN(CK$2)-69,3))*5)+MOD(COLUMN(CK$2),3),1,1),"")</f>
        <v>0</v>
      </c>
      <c r="CL14">
        <f ca="1">IF($AN14="",OFFSET(Demand!$A$13,ROW(V11)-1,4+((QUOTIENT(COLUMN(CL$2)-69,3))*5)+MOD(COLUMN(CL$2),3),1,1),"")</f>
        <v>0</v>
      </c>
      <c r="CM14">
        <f ca="1">IF($AN14="",OFFSET(Demand!$A$13,ROW(W11)-1,4+((QUOTIENT(COLUMN(CM$2)-69,3))*5)+MOD(COLUMN(CM$2),3),1,1),"")</f>
        <v>0</v>
      </c>
      <c r="CN14">
        <f ca="1">IF($AN14="",OFFSET(Demand!$A$13,ROW(X11)-1,4+((QUOTIENT(COLUMN(CN$2)-69,3))*5)+MOD(COLUMN(CN$2),3),1,1),"")</f>
        <v>0</v>
      </c>
      <c r="CO14">
        <f ca="1">IF($AN14="",OFFSET(Demand!$A$13,ROW(Y11)-1,4+((QUOTIENT(COLUMN(CO$2)-69,3))*5)+MOD(COLUMN(CO$2),3),1,1),"")</f>
        <v>0</v>
      </c>
      <c r="CP14">
        <f ca="1">IF($AN14="",OFFSET(Demand!$A$13,ROW(Z11)-1,4+((QUOTIENT(COLUMN(CP$2)-69,3))*5)+MOD(COLUMN(CP$2),3),1,1),"")</f>
        <v>0</v>
      </c>
      <c r="CQ14">
        <f ca="1">IF($AN14="",OFFSET(Demand!$A$13,ROW(AA11)-1,4+((QUOTIENT(COLUMN(CQ$2)-69,3))*5)+MOD(COLUMN(CQ$2),3),1,1),"")</f>
        <v>0</v>
      </c>
      <c r="CR14">
        <f ca="1">IF($AN14="",OFFSET(Demand!$A$13,ROW(AB11)-1,4+((QUOTIENT(COLUMN(CR$2)-69,3))*5)+MOD(COLUMN(CR$2),3),1,1),"")</f>
        <v>0</v>
      </c>
      <c r="CS14">
        <f ca="1">IF($AN14="",OFFSET(Demand!$A$13,ROW(AC11)-1,4+((QUOTIENT(COLUMN(CS$2)-69,3))*5)+MOD(COLUMN(CS$2),3),1,1),"")</f>
        <v>0</v>
      </c>
      <c r="CT14">
        <f ca="1">IF($AN14="",OFFSET(Demand!$A$13,ROW(AD11)-1,4+((QUOTIENT(COLUMN(CT$2)-69,3))*5)+MOD(COLUMN(CT$2),3),1,1),"")</f>
        <v>0</v>
      </c>
      <c r="CW14" s="5">
        <f ca="1">SUM(OFFSET(Demand!$H$43,ROW(A11)-1,(COLUMN(A11)-1)*5,1,1))*N$2</f>
        <v>0</v>
      </c>
      <c r="CX14" s="5">
        <f ca="1">SUM(OFFSET(Demand!$H$43,ROW(B11)-1,(COLUMN(B11)-1)*5,1,1))*O$2</f>
        <v>0</v>
      </c>
      <c r="CY14" s="5">
        <f ca="1">SUM(OFFSET(Demand!$H$43,ROW(C11)-1,(COLUMN(C11)-1)*5,1,1))*P$2</f>
        <v>0</v>
      </c>
      <c r="CZ14" s="5">
        <f ca="1">SUM(OFFSET(Demand!$H$43,ROW(D11)-1,(COLUMN(D11)-1)*5,1,1))*Q$2</f>
        <v>0</v>
      </c>
      <c r="DA14" s="5">
        <f ca="1">SUM(OFFSET(Demand!$H$43,ROW(E11)-1,(COLUMN(E11)-1)*5,1,1))*R$2</f>
        <v>0</v>
      </c>
      <c r="DB14" s="5">
        <f ca="1">SUM(OFFSET(Demand!$H$43,ROW(F11)-1,(COLUMN(F11)-1)*5,1,1))*S$2</f>
        <v>0</v>
      </c>
      <c r="DC14" s="5">
        <f ca="1">SUM(OFFSET(Demand!$H$43,ROW(G11)-1,(COLUMN(G11)-1)*5,1,1))*T$2</f>
        <v>0</v>
      </c>
      <c r="DD14" s="5">
        <f ca="1">SUM(OFFSET(Demand!$H$43,ROW(H11)-1,(COLUMN(H11)-1)*5,1,1))*U$2</f>
        <v>0</v>
      </c>
      <c r="DE14" s="5">
        <f ca="1">SUM(OFFSET(Demand!$H$43,ROW(I11)-1,(COLUMN(I11)-1)*5,1,1))*V$2</f>
        <v>0</v>
      </c>
      <c r="DF14" s="5">
        <f ca="1">SUM(OFFSET(Demand!$H$43,ROW(J11)-1,(COLUMN(J11)-1)*5,1,1))*W$2</f>
        <v>0</v>
      </c>
      <c r="DG14" s="5">
        <f ca="1">IF(OR(AN14&lt;&gt;"",AND('Demand adjustments for Covid'!$F$9="Yes",'Demand adjustments for Covid'!$F$20="Yes")),"",SUM(CW14:DF14))</f>
        <v>0</v>
      </c>
      <c r="DM14" s="5">
        <f t="shared" si="10"/>
        <v>26</v>
      </c>
      <c r="DN14" s="320">
        <f t="shared" si="17"/>
        <v>44004</v>
      </c>
      <c r="DO14" s="5">
        <f ca="1">VLOOKUP(IF($DM14&lt;53,$DM14,52),'Summary Calculations (hide)'!$D$15:$F$67,2,0)</f>
        <v>152</v>
      </c>
      <c r="DP14" s="5">
        <f ca="1">VLOOKUP(IF($DM14&lt;53,$DM14,52),'Summary Calculations (hide)'!$D$15:$F$67,3,0)</f>
        <v>167.20000000000002</v>
      </c>
      <c r="DQ14" s="5">
        <f ca="1">IF(AND(DN14&gt;='Demand adjustments for Covid'!$F$12,DN14&lt;'Demand adjustments for Covid'!$F$17),'Demand adjustments for Covid'!$F$13,DO14)</f>
        <v>152</v>
      </c>
      <c r="DR14" s="5">
        <f t="shared" si="7"/>
        <v>0</v>
      </c>
      <c r="DS14" s="5">
        <f ca="1">IF('Demand adjustments for Covid'!$F$9="Yes",IF(DR14=0,DQ14,((SUM(DR$4:DR14)-1)*$EE$8)+'Demand adjustments for Covid'!F$13),'Demand background (hide)'!DO14)</f>
        <v>152</v>
      </c>
      <c r="DT14" s="5">
        <f ca="1">IF('Demand adjustments for Covid'!$F$9="Yes",IF(OR(AND(DN14&gt;='Demand adjustments for Covid'!$F$12,DN14&lt;'Demand adjustments for Covid'!$F$17),DR14=1),DS14+3,DP14),'Demand background (hide)'!DP14)</f>
        <v>167.20000000000002</v>
      </c>
      <c r="DU14" s="5">
        <f ca="1">IF(DS14&lt;='Demand adjustments for Covid'!$F$17,DO14-DS14,0)</f>
        <v>0</v>
      </c>
      <c r="DV14" s="5">
        <f ca="1">IF(AND(ROW(A11)&gt;$EE$5,ROW(A11)&lt;=$EA$5),OFFSET('Demand adjustments for Covid'!$F$35,0,ROW(A11)-'Demand background (hide)'!$EE$5,1,1),0)</f>
        <v>10</v>
      </c>
      <c r="DW14" s="5">
        <f ca="1">IF(AND(ROW(A11)&gt;$EE$5,ROW(A11)&lt;=$EA$5),OFFSET('Demand adjustments for Covid'!$F$36,0,ROW(A11)-'Demand background (hide)'!$EE$5,1,1),0)</f>
        <v>30</v>
      </c>
      <c r="DX14" s="5">
        <f t="shared" ca="1" si="11"/>
        <v>207.20000000000002</v>
      </c>
    </row>
    <row r="15" spans="1:135" s="5" customFormat="1" x14ac:dyDescent="0.25">
      <c r="A15" s="5">
        <f t="shared" ca="1" si="3"/>
        <v>0</v>
      </c>
      <c r="B15" s="5">
        <f ca="1">COUNTBLANK(OFFSET(Demand!$I24,0,(COLUMN(A12)-1)*5,1,1))</f>
        <v>0</v>
      </c>
      <c r="C15" s="5">
        <f ca="1">COUNTBLANK(OFFSET(Demand!$I24,0,(COLUMN(B12)-1)*5,1,1))</f>
        <v>1</v>
      </c>
      <c r="D15" s="5">
        <f ca="1">COUNTBLANK(OFFSET(Demand!$I24,0,(COLUMN(C12)-1)*5,1,1))</f>
        <v>1</v>
      </c>
      <c r="E15" s="5">
        <f ca="1">COUNTBLANK(OFFSET(Demand!$I24,0,(COLUMN(D12)-1)*5,1,1))</f>
        <v>1</v>
      </c>
      <c r="F15" s="5">
        <f ca="1">COUNTBLANK(OFFSET(Demand!$I24,0,(COLUMN(E12)-1)*5,1,1))</f>
        <v>1</v>
      </c>
      <c r="G15" s="5">
        <f ca="1">COUNTBLANK(OFFSET(Demand!$I24,0,(COLUMN(F12)-1)*5,1,1))</f>
        <v>1</v>
      </c>
      <c r="H15" s="5">
        <f ca="1">COUNTBLANK(OFFSET(Demand!$I24,0,(COLUMN(G12)-1)*5,1,1))</f>
        <v>1</v>
      </c>
      <c r="I15" s="5">
        <f ca="1">COUNTBLANK(OFFSET(Demand!$I24,0,(COLUMN(H12)-1)*5,1,1))</f>
        <v>1</v>
      </c>
      <c r="J15" s="5">
        <f ca="1">COUNTBLANK(OFFSET(Demand!$I24,0,(COLUMN(I12)-1)*5,1,1))</f>
        <v>1</v>
      </c>
      <c r="K15" s="5">
        <f ca="1">COUNTBLANK(OFFSET(Demand!$I24,0,(COLUMN(J12)-1)*5,1,1))</f>
        <v>1</v>
      </c>
      <c r="N15" s="5">
        <f ca="1">SUM(OFFSET(Demand!$E24,0,(COLUMN(A12)-1)*5,1,3))*N$2</f>
        <v>138</v>
      </c>
      <c r="O15" s="5">
        <f ca="1">SUM(OFFSET(Demand!$E24,0,(COLUMN(B12)-1)*5,1,3))*O$2</f>
        <v>0</v>
      </c>
      <c r="P15" s="5">
        <f ca="1">SUM(OFFSET(Demand!$E24,0,(COLUMN(C12)-1)*5,1,3))*P$2</f>
        <v>0</v>
      </c>
      <c r="Q15" s="5">
        <f ca="1">SUM(OFFSET(Demand!$E24,0,(COLUMN(D12)-1)*5,1,3))*Q$2</f>
        <v>0</v>
      </c>
      <c r="R15" s="5">
        <f ca="1">SUM(OFFSET(Demand!$E24,0,(COLUMN(E12)-1)*5,1,3))*R$2</f>
        <v>0</v>
      </c>
      <c r="S15" s="5">
        <f ca="1">SUM(OFFSET(Demand!$E24,0,(COLUMN(F12)-1)*5,1,3))*S$2</f>
        <v>0</v>
      </c>
      <c r="T15" s="5">
        <f ca="1">SUM(OFFSET(Demand!$E24,0,(COLUMN(G12)-1)*5,1,3))*T$2</f>
        <v>0</v>
      </c>
      <c r="U15" s="5">
        <f ca="1">SUM(OFFSET(Demand!$E24,0,(COLUMN(H12)-1)*5,1,3))*U$2</f>
        <v>0</v>
      </c>
      <c r="V15" s="5">
        <f ca="1">SUM(OFFSET(Demand!$E24,0,(COLUMN(I12)-1)*5,1,3))*V$2</f>
        <v>0</v>
      </c>
      <c r="W15" s="5">
        <f ca="1">SUM(OFFSET(Demand!$E24,0,(COLUMN(J12)-1)*5,1,3))*W$2</f>
        <v>0</v>
      </c>
      <c r="X15" s="5">
        <f t="shared" ca="1" si="4"/>
        <v>138</v>
      </c>
      <c r="Y15" s="5">
        <f t="shared" ca="1" si="5"/>
        <v>138</v>
      </c>
      <c r="Z15" s="5">
        <f ca="1">SUM(OFFSET(Demand!$H24,0,(COLUMN(A12)-1)*5,1,1))*N$2</f>
        <v>0</v>
      </c>
      <c r="AA15" s="5">
        <f ca="1">SUM(OFFSET(Demand!$H24,0,(COLUMN(B12)-1)*5,1,1))*O$2</f>
        <v>0</v>
      </c>
      <c r="AB15" s="5">
        <f ca="1">SUM(OFFSET(Demand!$H24,0,(COLUMN(C12)-1)*5,1,1))*P$2</f>
        <v>0</v>
      </c>
      <c r="AC15" s="5">
        <f ca="1">SUM(OFFSET(Demand!$H24,0,(COLUMN(D12)-1)*5,1,1))*Q$2</f>
        <v>0</v>
      </c>
      <c r="AD15" s="5">
        <f ca="1">SUM(OFFSET(Demand!$H24,0,(COLUMN(E12)-1)*5,1,1))*R$2</f>
        <v>0</v>
      </c>
      <c r="AE15" s="5">
        <f ca="1">SUM(OFFSET(Demand!$H24,0,(COLUMN(F12)-1)*5,1,1))*S$2</f>
        <v>0</v>
      </c>
      <c r="AF15" s="5">
        <f ca="1">SUM(OFFSET(Demand!$H24,0,(COLUMN(G12)-1)*5,1,1))*T$2</f>
        <v>0</v>
      </c>
      <c r="AG15" s="5">
        <f ca="1">SUM(OFFSET(Demand!$H24,0,(COLUMN(H12)-1)*5,1,1))*U$2</f>
        <v>0</v>
      </c>
      <c r="AH15" s="5">
        <f ca="1">SUM(OFFSET(Demand!$H24,0,(COLUMN(I12)-1)*5,1,1))*V$2</f>
        <v>0</v>
      </c>
      <c r="AI15" s="5">
        <f ca="1">SUM(OFFSET(Demand!$H24,0,(COLUMN(J12)-1)*5,1,1))*W$2</f>
        <v>0</v>
      </c>
      <c r="AJ15" s="5">
        <f t="shared" ca="1" si="6"/>
        <v>0</v>
      </c>
      <c r="AL15" s="5">
        <f t="shared" ca="1" si="8"/>
        <v>138</v>
      </c>
      <c r="AM15" s="5">
        <f t="shared" ca="1" si="9"/>
        <v>0</v>
      </c>
      <c r="AN15" s="5" t="str">
        <f>IF(Demand!BE24="Yes","Yes","")</f>
        <v/>
      </c>
      <c r="AP15" s="36" t="str">
        <f ca="1">Demand!B24</f>
        <v xml:space="preserve"> </v>
      </c>
      <c r="AQ15" s="5" t="str">
        <f ca="1">IF(TEXT(Demand!D24,"MMM")&lt;&gt;TEXT(Demand!D23,"MMM"),TEXT(Demand!D24,"MMM"),"")</f>
        <v/>
      </c>
      <c r="AT15" s="5">
        <f t="shared" ca="1" si="12"/>
        <v>14</v>
      </c>
      <c r="BB15" t="str">
        <f>'Control sheet (hide)'!AA12</f>
        <v>Modality 10</v>
      </c>
      <c r="BC15" s="46" t="str">
        <f t="shared" si="13"/>
        <v/>
      </c>
      <c r="BD15" s="46" t="str">
        <f t="shared" si="14"/>
        <v/>
      </c>
      <c r="BE15" s="46" t="str">
        <f t="shared" si="15"/>
        <v/>
      </c>
      <c r="BF15" s="5">
        <f ca="1">SUM(OFFSET($BQ$4,'SPC background (hide)'!$C$4-1,((ROW(A10)-1)*3)+MOD(COLUMN(C10),3),'SPC background (hide)'!$I$11,1))</f>
        <v>0</v>
      </c>
      <c r="BG15" s="5">
        <f ca="1">SUM(OFFSET($BQ$4,'SPC background (hide)'!$C$4-1,((ROW(B10)-1)*3)+MOD(COLUMN(D10),3),'SPC background (hide)'!$I$11,1))</f>
        <v>0</v>
      </c>
      <c r="BH15" s="5">
        <f ca="1">SUM(OFFSET($BQ$4,'SPC background (hide)'!$C$4-1,((ROW(C10)-1)*3)+MOD(COLUMN(E10),3),'SPC background (hide)'!$I$11,1))</f>
        <v>0</v>
      </c>
      <c r="BI15" s="5">
        <f t="shared" ca="1" si="18"/>
        <v>0</v>
      </c>
      <c r="BJ15" s="5">
        <f t="shared" ref="BJ15:BL15" ca="1" si="30">BF15*OFFSET($N$2,0,ROW(A10)-1,1,1)</f>
        <v>0</v>
      </c>
      <c r="BK15" s="5">
        <f t="shared" ca="1" si="30"/>
        <v>0</v>
      </c>
      <c r="BL15" s="5">
        <f t="shared" ca="1" si="30"/>
        <v>0</v>
      </c>
      <c r="BM15" s="5">
        <f t="shared" ca="1" si="20"/>
        <v>0</v>
      </c>
      <c r="BN15" s="5">
        <f t="shared" ca="1" si="21"/>
        <v>0</v>
      </c>
      <c r="BO15" s="84">
        <f t="shared" ca="1" si="22"/>
        <v>0</v>
      </c>
      <c r="BQ15">
        <f ca="1">IF($AN15="",OFFSET(Demand!$A$13,ROW(A12)-1,4+((QUOTIENT(COLUMN(BQ$2)-69,3))*5)+MOD(COLUMN(BQ$2),3),1,1),"")</f>
        <v>0</v>
      </c>
      <c r="BR15">
        <f ca="1">IF($AN15="",OFFSET(Demand!$A$13,ROW(B12)-1,4+((QUOTIENT(COLUMN(BR$2)-69,3))*5)+MOD(COLUMN(BR$2),3),1,1),"")</f>
        <v>0</v>
      </c>
      <c r="BS15">
        <f ca="1">IF($AN15="",OFFSET(Demand!$A$13,ROW(C12)-1,4+((QUOTIENT(COLUMN(BS$2)-69,3))*5)+MOD(COLUMN(BS$2),3),1,1),"")</f>
        <v>69</v>
      </c>
      <c r="BT15">
        <f ca="1">IF($AN15="",OFFSET(Demand!$A$13,ROW(D12)-1,4+((QUOTIENT(COLUMN(BT$2)-69,3))*5)+MOD(COLUMN(BT$2),3),1,1),"")</f>
        <v>0</v>
      </c>
      <c r="BU15">
        <f ca="1">IF($AN15="",OFFSET(Demand!$A$13,ROW(E12)-1,4+((QUOTIENT(COLUMN(BU$2)-69,3))*5)+MOD(COLUMN(BU$2),3),1,1),"")</f>
        <v>0</v>
      </c>
      <c r="BV15">
        <f ca="1">IF($AN15="",OFFSET(Demand!$A$13,ROW(F12)-1,4+((QUOTIENT(COLUMN(BV$2)-69,3))*5)+MOD(COLUMN(BV$2),3),1,1),"")</f>
        <v>0</v>
      </c>
      <c r="BW15">
        <f ca="1">IF($AN15="",OFFSET(Demand!$A$13,ROW(G12)-1,4+((QUOTIENT(COLUMN(BW$2)-69,3))*5)+MOD(COLUMN(BW$2),3),1,1),"")</f>
        <v>0</v>
      </c>
      <c r="BX15">
        <f ca="1">IF($AN15="",OFFSET(Demand!$A$13,ROW(H12)-1,4+((QUOTIENT(COLUMN(BX$2)-69,3))*5)+MOD(COLUMN(BX$2),3),1,1),"")</f>
        <v>0</v>
      </c>
      <c r="BY15">
        <f ca="1">IF($AN15="",OFFSET(Demand!$A$13,ROW(I12)-1,4+((QUOTIENT(COLUMN(BY$2)-69,3))*5)+MOD(COLUMN(BY$2),3),1,1),"")</f>
        <v>0</v>
      </c>
      <c r="BZ15">
        <f ca="1">IF($AN15="",OFFSET(Demand!$A$13,ROW(J12)-1,4+((QUOTIENT(COLUMN(BZ$2)-69,3))*5)+MOD(COLUMN(BZ$2),3),1,1),"")</f>
        <v>0</v>
      </c>
      <c r="CA15">
        <f ca="1">IF($AN15="",OFFSET(Demand!$A$13,ROW(K12)-1,4+((QUOTIENT(COLUMN(CA$2)-69,3))*5)+MOD(COLUMN(CA$2),3),1,1),"")</f>
        <v>0</v>
      </c>
      <c r="CB15">
        <f ca="1">IF($AN15="",OFFSET(Demand!$A$13,ROW(L12)-1,4+((QUOTIENT(COLUMN(CB$2)-69,3))*5)+MOD(COLUMN(CB$2),3),1,1),"")</f>
        <v>0</v>
      </c>
      <c r="CC15">
        <f ca="1">IF($AN15="",OFFSET(Demand!$A$13,ROW(M12)-1,4+((QUOTIENT(COLUMN(CC$2)-69,3))*5)+MOD(COLUMN(CC$2),3),1,1),"")</f>
        <v>0</v>
      </c>
      <c r="CD15">
        <f ca="1">IF($AN15="",OFFSET(Demand!$A$13,ROW(N12)-1,4+((QUOTIENT(COLUMN(CD$2)-69,3))*5)+MOD(COLUMN(CD$2),3),1,1),"")</f>
        <v>0</v>
      </c>
      <c r="CE15">
        <f ca="1">IF($AN15="",OFFSET(Demand!$A$13,ROW(O12)-1,4+((QUOTIENT(COLUMN(CE$2)-69,3))*5)+MOD(COLUMN(CE$2),3),1,1),"")</f>
        <v>0</v>
      </c>
      <c r="CF15">
        <f ca="1">IF($AN15="",OFFSET(Demand!$A$13,ROW(P12)-1,4+((QUOTIENT(COLUMN(CF$2)-69,3))*5)+MOD(COLUMN(CF$2),3),1,1),"")</f>
        <v>0</v>
      </c>
      <c r="CG15">
        <f ca="1">IF($AN15="",OFFSET(Demand!$A$13,ROW(Q12)-1,4+((QUOTIENT(COLUMN(CG$2)-69,3))*5)+MOD(COLUMN(CG$2),3),1,1),"")</f>
        <v>0</v>
      </c>
      <c r="CH15">
        <f ca="1">IF($AN15="",OFFSET(Demand!$A$13,ROW(R12)-1,4+((QUOTIENT(COLUMN(CH$2)-69,3))*5)+MOD(COLUMN(CH$2),3),1,1),"")</f>
        <v>0</v>
      </c>
      <c r="CI15">
        <f ca="1">IF($AN15="",OFFSET(Demand!$A$13,ROW(S12)-1,4+((QUOTIENT(COLUMN(CI$2)-69,3))*5)+MOD(COLUMN(CI$2),3),1,1),"")</f>
        <v>0</v>
      </c>
      <c r="CJ15">
        <f ca="1">IF($AN15="",OFFSET(Demand!$A$13,ROW(T12)-1,4+((QUOTIENT(COLUMN(CJ$2)-69,3))*5)+MOD(COLUMN(CJ$2),3),1,1),"")</f>
        <v>0</v>
      </c>
      <c r="CK15">
        <f ca="1">IF($AN15="",OFFSET(Demand!$A$13,ROW(U12)-1,4+((QUOTIENT(COLUMN(CK$2)-69,3))*5)+MOD(COLUMN(CK$2),3),1,1),"")</f>
        <v>0</v>
      </c>
      <c r="CL15">
        <f ca="1">IF($AN15="",OFFSET(Demand!$A$13,ROW(V12)-1,4+((QUOTIENT(COLUMN(CL$2)-69,3))*5)+MOD(COLUMN(CL$2),3),1,1),"")</f>
        <v>0</v>
      </c>
      <c r="CM15">
        <f ca="1">IF($AN15="",OFFSET(Demand!$A$13,ROW(W12)-1,4+((QUOTIENT(COLUMN(CM$2)-69,3))*5)+MOD(COLUMN(CM$2),3),1,1),"")</f>
        <v>0</v>
      </c>
      <c r="CN15">
        <f ca="1">IF($AN15="",OFFSET(Demand!$A$13,ROW(X12)-1,4+((QUOTIENT(COLUMN(CN$2)-69,3))*5)+MOD(COLUMN(CN$2),3),1,1),"")</f>
        <v>0</v>
      </c>
      <c r="CO15">
        <f ca="1">IF($AN15="",OFFSET(Demand!$A$13,ROW(Y12)-1,4+((QUOTIENT(COLUMN(CO$2)-69,3))*5)+MOD(COLUMN(CO$2),3),1,1),"")</f>
        <v>0</v>
      </c>
      <c r="CP15">
        <f ca="1">IF($AN15="",OFFSET(Demand!$A$13,ROW(Z12)-1,4+((QUOTIENT(COLUMN(CP$2)-69,3))*5)+MOD(COLUMN(CP$2),3),1,1),"")</f>
        <v>0</v>
      </c>
      <c r="CQ15">
        <f ca="1">IF($AN15="",OFFSET(Demand!$A$13,ROW(AA12)-1,4+((QUOTIENT(COLUMN(CQ$2)-69,3))*5)+MOD(COLUMN(CQ$2),3),1,1),"")</f>
        <v>0</v>
      </c>
      <c r="CR15">
        <f ca="1">IF($AN15="",OFFSET(Demand!$A$13,ROW(AB12)-1,4+((QUOTIENT(COLUMN(CR$2)-69,3))*5)+MOD(COLUMN(CR$2),3),1,1),"")</f>
        <v>0</v>
      </c>
      <c r="CS15">
        <f ca="1">IF($AN15="",OFFSET(Demand!$A$13,ROW(AC12)-1,4+((QUOTIENT(COLUMN(CS$2)-69,3))*5)+MOD(COLUMN(CS$2),3),1,1),"")</f>
        <v>0</v>
      </c>
      <c r="CT15">
        <f ca="1">IF($AN15="",OFFSET(Demand!$A$13,ROW(AD12)-1,4+((QUOTIENT(COLUMN(CT$2)-69,3))*5)+MOD(COLUMN(CT$2),3),1,1),"")</f>
        <v>0</v>
      </c>
      <c r="CW15" s="5">
        <f ca="1">SUM(OFFSET(Demand!$H$43,ROW(A12)-1,(COLUMN(A12)-1)*5,1,1))*N$2</f>
        <v>0</v>
      </c>
      <c r="CX15" s="5">
        <f ca="1">SUM(OFFSET(Demand!$H$43,ROW(B12)-1,(COLUMN(B12)-1)*5,1,1))*O$2</f>
        <v>0</v>
      </c>
      <c r="CY15" s="5">
        <f ca="1">SUM(OFFSET(Demand!$H$43,ROW(C12)-1,(COLUMN(C12)-1)*5,1,1))*P$2</f>
        <v>0</v>
      </c>
      <c r="CZ15" s="5">
        <f ca="1">SUM(OFFSET(Demand!$H$43,ROW(D12)-1,(COLUMN(D12)-1)*5,1,1))*Q$2</f>
        <v>0</v>
      </c>
      <c r="DA15" s="5">
        <f ca="1">SUM(OFFSET(Demand!$H$43,ROW(E12)-1,(COLUMN(E12)-1)*5,1,1))*R$2</f>
        <v>0</v>
      </c>
      <c r="DB15" s="5">
        <f ca="1">SUM(OFFSET(Demand!$H$43,ROW(F12)-1,(COLUMN(F12)-1)*5,1,1))*S$2</f>
        <v>0</v>
      </c>
      <c r="DC15" s="5">
        <f ca="1">SUM(OFFSET(Demand!$H$43,ROW(G12)-1,(COLUMN(G12)-1)*5,1,1))*T$2</f>
        <v>0</v>
      </c>
      <c r="DD15" s="5">
        <f ca="1">SUM(OFFSET(Demand!$H$43,ROW(H12)-1,(COLUMN(H12)-1)*5,1,1))*U$2</f>
        <v>0</v>
      </c>
      <c r="DE15" s="5">
        <f ca="1">SUM(OFFSET(Demand!$H$43,ROW(I12)-1,(COLUMN(I12)-1)*5,1,1))*V$2</f>
        <v>0</v>
      </c>
      <c r="DF15" s="5">
        <f ca="1">SUM(OFFSET(Demand!$H$43,ROW(J12)-1,(COLUMN(J12)-1)*5,1,1))*W$2</f>
        <v>0</v>
      </c>
      <c r="DG15" s="5">
        <f ca="1">IF(OR(AN15&lt;&gt;"",AND('Demand adjustments for Covid'!$F$9="Yes",'Demand adjustments for Covid'!$F$20="Yes")),"",SUM(CW15:DF15))</f>
        <v>0</v>
      </c>
      <c r="DI15" s="5" t="s">
        <v>236</v>
      </c>
      <c r="DJ15" s="5" t="str">
        <f ca="1">IFERROR(AVERAGE(OFFSET($DG$4,'SPC background (hide)'!$D$10,0,'SPC background (hide)'!$H$11,1)),"")</f>
        <v/>
      </c>
      <c r="DM15" s="5">
        <f t="shared" si="10"/>
        <v>27</v>
      </c>
      <c r="DN15" s="320">
        <f t="shared" si="17"/>
        <v>44011</v>
      </c>
      <c r="DO15" s="5">
        <f ca="1">VLOOKUP(IF($DM15&lt;53,$DM15,52),'Summary Calculations (hide)'!$D$15:$F$67,2,0)</f>
        <v>138</v>
      </c>
      <c r="DP15" s="5">
        <f ca="1">VLOOKUP(IF($DM15&lt;53,$DM15,52),'Summary Calculations (hide)'!$D$15:$F$67,3,0)</f>
        <v>151.80000000000001</v>
      </c>
      <c r="DQ15" s="5">
        <f ca="1">IF(AND(DN15&gt;='Demand adjustments for Covid'!$F$12,DN15&lt;'Demand adjustments for Covid'!$F$17),'Demand adjustments for Covid'!$F$13,DO15)</f>
        <v>138</v>
      </c>
      <c r="DR15" s="5">
        <f t="shared" si="7"/>
        <v>0</v>
      </c>
      <c r="DS15" s="5">
        <f ca="1">IF('Demand adjustments for Covid'!$F$9="Yes",IF(DR15=0,DQ15,((SUM(DR$4:DR15)-1)*$EE$8)+'Demand adjustments for Covid'!F$13),'Demand background (hide)'!DO15)</f>
        <v>138</v>
      </c>
      <c r="DT15" s="5">
        <f ca="1">IF('Demand adjustments for Covid'!$F$9="Yes",IF(OR(AND(DN15&gt;='Demand adjustments for Covid'!$F$12,DN15&lt;'Demand adjustments for Covid'!$F$17),DR15=1),DS15+3,DP15),'Demand background (hide)'!DP15)</f>
        <v>151.80000000000001</v>
      </c>
      <c r="DU15" s="5">
        <f ca="1">IF(DS15&lt;='Demand adjustments for Covid'!$F$17,DO15-DS15,0)</f>
        <v>0</v>
      </c>
      <c r="DV15" s="5">
        <f ca="1">IF(AND(ROW(A12)&gt;$EE$5,ROW(A12)&lt;=$EA$5),OFFSET('Demand adjustments for Covid'!$F$35,0,ROW(A12)-'Demand background (hide)'!$EE$5,1,1),0)</f>
        <v>10</v>
      </c>
      <c r="DW15" s="5">
        <f ca="1">IF(AND(ROW(A12)&gt;$EE$5,ROW(A12)&lt;=$EA$5),OFFSET('Demand adjustments for Covid'!$F$36,0,ROW(A12)-'Demand background (hide)'!$EE$5,1,1),0)</f>
        <v>0</v>
      </c>
      <c r="DX15" s="5">
        <f t="shared" ca="1" si="11"/>
        <v>161.80000000000001</v>
      </c>
    </row>
    <row r="16" spans="1:135" s="5" customFormat="1" x14ac:dyDescent="0.25">
      <c r="A16" s="5">
        <f t="shared" ca="1" si="3"/>
        <v>0</v>
      </c>
      <c r="B16" s="5">
        <f ca="1">COUNTBLANK(OFFSET(Demand!$I25,0,(COLUMN(A13)-1)*5,1,1))</f>
        <v>0</v>
      </c>
      <c r="C16" s="5">
        <f ca="1">COUNTBLANK(OFFSET(Demand!$I25,0,(COLUMN(B13)-1)*5,1,1))</f>
        <v>1</v>
      </c>
      <c r="D16" s="5">
        <f ca="1">COUNTBLANK(OFFSET(Demand!$I25,0,(COLUMN(C13)-1)*5,1,1))</f>
        <v>1</v>
      </c>
      <c r="E16" s="5">
        <f ca="1">COUNTBLANK(OFFSET(Demand!$I25,0,(COLUMN(D13)-1)*5,1,1))</f>
        <v>1</v>
      </c>
      <c r="F16" s="5">
        <f ca="1">COUNTBLANK(OFFSET(Demand!$I25,0,(COLUMN(E13)-1)*5,1,1))</f>
        <v>1</v>
      </c>
      <c r="G16" s="5">
        <f ca="1">COUNTBLANK(OFFSET(Demand!$I25,0,(COLUMN(F13)-1)*5,1,1))</f>
        <v>1</v>
      </c>
      <c r="H16" s="5">
        <f ca="1">COUNTBLANK(OFFSET(Demand!$I25,0,(COLUMN(G13)-1)*5,1,1))</f>
        <v>1</v>
      </c>
      <c r="I16" s="5">
        <f ca="1">COUNTBLANK(OFFSET(Demand!$I25,0,(COLUMN(H13)-1)*5,1,1))</f>
        <v>1</v>
      </c>
      <c r="J16" s="5">
        <f ca="1">COUNTBLANK(OFFSET(Demand!$I25,0,(COLUMN(I13)-1)*5,1,1))</f>
        <v>1</v>
      </c>
      <c r="K16" s="5">
        <f ca="1">COUNTBLANK(OFFSET(Demand!$I25,0,(COLUMN(J13)-1)*5,1,1))</f>
        <v>1</v>
      </c>
      <c r="N16" s="5">
        <f ca="1">SUM(OFFSET(Demand!$E25,0,(COLUMN(A13)-1)*5,1,3))*N$2</f>
        <v>120</v>
      </c>
      <c r="O16" s="5">
        <f ca="1">SUM(OFFSET(Demand!$E25,0,(COLUMN(B13)-1)*5,1,3))*O$2</f>
        <v>0</v>
      </c>
      <c r="P16" s="5">
        <f ca="1">SUM(OFFSET(Demand!$E25,0,(COLUMN(C13)-1)*5,1,3))*P$2</f>
        <v>0</v>
      </c>
      <c r="Q16" s="5">
        <f ca="1">SUM(OFFSET(Demand!$E25,0,(COLUMN(D13)-1)*5,1,3))*Q$2</f>
        <v>0</v>
      </c>
      <c r="R16" s="5">
        <f ca="1">SUM(OFFSET(Demand!$E25,0,(COLUMN(E13)-1)*5,1,3))*R$2</f>
        <v>0</v>
      </c>
      <c r="S16" s="5">
        <f ca="1">SUM(OFFSET(Demand!$E25,0,(COLUMN(F13)-1)*5,1,3))*S$2</f>
        <v>0</v>
      </c>
      <c r="T16" s="5">
        <f ca="1">SUM(OFFSET(Demand!$E25,0,(COLUMN(G13)-1)*5,1,3))*T$2</f>
        <v>0</v>
      </c>
      <c r="U16" s="5">
        <f ca="1">SUM(OFFSET(Demand!$E25,0,(COLUMN(H13)-1)*5,1,3))*U$2</f>
        <v>0</v>
      </c>
      <c r="V16" s="5">
        <f ca="1">SUM(OFFSET(Demand!$E25,0,(COLUMN(I13)-1)*5,1,3))*V$2</f>
        <v>0</v>
      </c>
      <c r="W16" s="5">
        <f ca="1">SUM(OFFSET(Demand!$E25,0,(COLUMN(J13)-1)*5,1,3))*W$2</f>
        <v>0</v>
      </c>
      <c r="X16" s="5">
        <f t="shared" ca="1" si="4"/>
        <v>120</v>
      </c>
      <c r="Y16" s="5">
        <f t="shared" ca="1" si="5"/>
        <v>120</v>
      </c>
      <c r="Z16" s="5">
        <f ca="1">SUM(OFFSET(Demand!$H25,0,(COLUMN(A13)-1)*5,1,1))*N$2</f>
        <v>0</v>
      </c>
      <c r="AA16" s="5">
        <f ca="1">SUM(OFFSET(Demand!$H25,0,(COLUMN(B13)-1)*5,1,1))*O$2</f>
        <v>0</v>
      </c>
      <c r="AB16" s="5">
        <f ca="1">SUM(OFFSET(Demand!$H25,0,(COLUMN(C13)-1)*5,1,1))*P$2</f>
        <v>0</v>
      </c>
      <c r="AC16" s="5">
        <f ca="1">SUM(OFFSET(Demand!$H25,0,(COLUMN(D13)-1)*5,1,1))*Q$2</f>
        <v>0</v>
      </c>
      <c r="AD16" s="5">
        <f ca="1">SUM(OFFSET(Demand!$H25,0,(COLUMN(E13)-1)*5,1,1))*R$2</f>
        <v>0</v>
      </c>
      <c r="AE16" s="5">
        <f ca="1">SUM(OFFSET(Demand!$H25,0,(COLUMN(F13)-1)*5,1,1))*S$2</f>
        <v>0</v>
      </c>
      <c r="AF16" s="5">
        <f ca="1">SUM(OFFSET(Demand!$H25,0,(COLUMN(G13)-1)*5,1,1))*T$2</f>
        <v>0</v>
      </c>
      <c r="AG16" s="5">
        <f ca="1">SUM(OFFSET(Demand!$H25,0,(COLUMN(H13)-1)*5,1,1))*U$2</f>
        <v>0</v>
      </c>
      <c r="AH16" s="5">
        <f ca="1">SUM(OFFSET(Demand!$H25,0,(COLUMN(I13)-1)*5,1,1))*V$2</f>
        <v>0</v>
      </c>
      <c r="AI16" s="5">
        <f ca="1">SUM(OFFSET(Demand!$H25,0,(COLUMN(J13)-1)*5,1,1))*W$2</f>
        <v>0</v>
      </c>
      <c r="AJ16" s="5">
        <f t="shared" ca="1" si="6"/>
        <v>0</v>
      </c>
      <c r="AL16" s="5">
        <f t="shared" ca="1" si="8"/>
        <v>120</v>
      </c>
      <c r="AM16" s="5">
        <f t="shared" ca="1" si="9"/>
        <v>0</v>
      </c>
      <c r="AN16" s="5" t="str">
        <f>IF(Demand!BE25="Yes","Yes","")</f>
        <v/>
      </c>
      <c r="AP16" s="36" t="str">
        <f ca="1">Demand!B25</f>
        <v xml:space="preserve"> </v>
      </c>
      <c r="AQ16" s="5" t="str">
        <f ca="1">IF(TEXT(Demand!D25,"MMM")&lt;&gt;TEXT(Demand!D24,"MMM"),TEXT(Demand!D25,"MMM"),"")</f>
        <v/>
      </c>
      <c r="AT16" s="5">
        <f t="shared" ca="1" si="12"/>
        <v>18</v>
      </c>
      <c r="BB16" s="5" t="s">
        <v>24</v>
      </c>
      <c r="BC16" s="46">
        <f ca="1">BJ16/$BM16</f>
        <v>0</v>
      </c>
      <c r="BD16" s="46">
        <f ca="1">BK16/$BM16</f>
        <v>0</v>
      </c>
      <c r="BE16" s="46">
        <f ca="1">BL16/$BM16</f>
        <v>1</v>
      </c>
      <c r="BF16" s="5">
        <f t="shared" ref="BF16:BM16" ca="1" si="31">SUM(OFFSET(BF$6,0,0,Num_Modalities,1))</f>
        <v>0</v>
      </c>
      <c r="BG16" s="5">
        <f t="shared" ca="1" si="31"/>
        <v>0</v>
      </c>
      <c r="BH16" s="5">
        <f t="shared" ca="1" si="31"/>
        <v>710</v>
      </c>
      <c r="BI16" s="5">
        <f t="shared" ca="1" si="31"/>
        <v>710</v>
      </c>
      <c r="BJ16" s="5">
        <f t="shared" ca="1" si="31"/>
        <v>0</v>
      </c>
      <c r="BK16" s="5">
        <f t="shared" ca="1" si="31"/>
        <v>0</v>
      </c>
      <c r="BL16" s="5">
        <f t="shared" ca="1" si="31"/>
        <v>1420</v>
      </c>
      <c r="BM16" s="5">
        <f t="shared" ca="1" si="31"/>
        <v>1420</v>
      </c>
      <c r="BN16" s="5">
        <f ca="1">IF(BI16=0,1,BM16/BI16)</f>
        <v>2</v>
      </c>
      <c r="BQ16">
        <f ca="1">IF($AN16="",OFFSET(Demand!$A$13,ROW(A13)-1,4+((QUOTIENT(COLUMN(BQ$2)-69,3))*5)+MOD(COLUMN(BQ$2),3),1,1),"")</f>
        <v>0</v>
      </c>
      <c r="BR16">
        <f ca="1">IF($AN16="",OFFSET(Demand!$A$13,ROW(B13)-1,4+((QUOTIENT(COLUMN(BR$2)-69,3))*5)+MOD(COLUMN(BR$2),3),1,1),"")</f>
        <v>0</v>
      </c>
      <c r="BS16">
        <f ca="1">IF($AN16="",OFFSET(Demand!$A$13,ROW(C13)-1,4+((QUOTIENT(COLUMN(BS$2)-69,3))*5)+MOD(COLUMN(BS$2),3),1,1),"")</f>
        <v>60</v>
      </c>
      <c r="BT16">
        <f ca="1">IF($AN16="",OFFSET(Demand!$A$13,ROW(D13)-1,4+((QUOTIENT(COLUMN(BT$2)-69,3))*5)+MOD(COLUMN(BT$2),3),1,1),"")</f>
        <v>0</v>
      </c>
      <c r="BU16">
        <f ca="1">IF($AN16="",OFFSET(Demand!$A$13,ROW(E13)-1,4+((QUOTIENT(COLUMN(BU$2)-69,3))*5)+MOD(COLUMN(BU$2),3),1,1),"")</f>
        <v>0</v>
      </c>
      <c r="BV16">
        <f ca="1">IF($AN16="",OFFSET(Demand!$A$13,ROW(F13)-1,4+((QUOTIENT(COLUMN(BV$2)-69,3))*5)+MOD(COLUMN(BV$2),3),1,1),"")</f>
        <v>0</v>
      </c>
      <c r="BW16">
        <f ca="1">IF($AN16="",OFFSET(Demand!$A$13,ROW(G13)-1,4+((QUOTIENT(COLUMN(BW$2)-69,3))*5)+MOD(COLUMN(BW$2),3),1,1),"")</f>
        <v>0</v>
      </c>
      <c r="BX16">
        <f ca="1">IF($AN16="",OFFSET(Demand!$A$13,ROW(H13)-1,4+((QUOTIENT(COLUMN(BX$2)-69,3))*5)+MOD(COLUMN(BX$2),3),1,1),"")</f>
        <v>0</v>
      </c>
      <c r="BY16">
        <f ca="1">IF($AN16="",OFFSET(Demand!$A$13,ROW(I13)-1,4+((QUOTIENT(COLUMN(BY$2)-69,3))*5)+MOD(COLUMN(BY$2),3),1,1),"")</f>
        <v>0</v>
      </c>
      <c r="BZ16">
        <f ca="1">IF($AN16="",OFFSET(Demand!$A$13,ROW(J13)-1,4+((QUOTIENT(COLUMN(BZ$2)-69,3))*5)+MOD(COLUMN(BZ$2),3),1,1),"")</f>
        <v>0</v>
      </c>
      <c r="CA16">
        <f ca="1">IF($AN16="",OFFSET(Demand!$A$13,ROW(K13)-1,4+((QUOTIENT(COLUMN(CA$2)-69,3))*5)+MOD(COLUMN(CA$2),3),1,1),"")</f>
        <v>0</v>
      </c>
      <c r="CB16">
        <f ca="1">IF($AN16="",OFFSET(Demand!$A$13,ROW(L13)-1,4+((QUOTIENT(COLUMN(CB$2)-69,3))*5)+MOD(COLUMN(CB$2),3),1,1),"")</f>
        <v>0</v>
      </c>
      <c r="CC16">
        <f ca="1">IF($AN16="",OFFSET(Demand!$A$13,ROW(M13)-1,4+((QUOTIENT(COLUMN(CC$2)-69,3))*5)+MOD(COLUMN(CC$2),3),1,1),"")</f>
        <v>0</v>
      </c>
      <c r="CD16">
        <f ca="1">IF($AN16="",OFFSET(Demand!$A$13,ROW(N13)-1,4+((QUOTIENT(COLUMN(CD$2)-69,3))*5)+MOD(COLUMN(CD$2),3),1,1),"")</f>
        <v>0</v>
      </c>
      <c r="CE16">
        <f ca="1">IF($AN16="",OFFSET(Demand!$A$13,ROW(O13)-1,4+((QUOTIENT(COLUMN(CE$2)-69,3))*5)+MOD(COLUMN(CE$2),3),1,1),"")</f>
        <v>0</v>
      </c>
      <c r="CF16">
        <f ca="1">IF($AN16="",OFFSET(Demand!$A$13,ROW(P13)-1,4+((QUOTIENT(COLUMN(CF$2)-69,3))*5)+MOD(COLUMN(CF$2),3),1,1),"")</f>
        <v>0</v>
      </c>
      <c r="CG16">
        <f ca="1">IF($AN16="",OFFSET(Demand!$A$13,ROW(Q13)-1,4+((QUOTIENT(COLUMN(CG$2)-69,3))*5)+MOD(COLUMN(CG$2),3),1,1),"")</f>
        <v>0</v>
      </c>
      <c r="CH16">
        <f ca="1">IF($AN16="",OFFSET(Demand!$A$13,ROW(R13)-1,4+((QUOTIENT(COLUMN(CH$2)-69,3))*5)+MOD(COLUMN(CH$2),3),1,1),"")</f>
        <v>0</v>
      </c>
      <c r="CI16">
        <f ca="1">IF($AN16="",OFFSET(Demand!$A$13,ROW(S13)-1,4+((QUOTIENT(COLUMN(CI$2)-69,3))*5)+MOD(COLUMN(CI$2),3),1,1),"")</f>
        <v>0</v>
      </c>
      <c r="CJ16">
        <f ca="1">IF($AN16="",OFFSET(Demand!$A$13,ROW(T13)-1,4+((QUOTIENT(COLUMN(CJ$2)-69,3))*5)+MOD(COLUMN(CJ$2),3),1,1),"")</f>
        <v>0</v>
      </c>
      <c r="CK16">
        <f ca="1">IF($AN16="",OFFSET(Demand!$A$13,ROW(U13)-1,4+((QUOTIENT(COLUMN(CK$2)-69,3))*5)+MOD(COLUMN(CK$2),3),1,1),"")</f>
        <v>0</v>
      </c>
      <c r="CL16">
        <f ca="1">IF($AN16="",OFFSET(Demand!$A$13,ROW(V13)-1,4+((QUOTIENT(COLUMN(CL$2)-69,3))*5)+MOD(COLUMN(CL$2),3),1,1),"")</f>
        <v>0</v>
      </c>
      <c r="CM16">
        <f ca="1">IF($AN16="",OFFSET(Demand!$A$13,ROW(W13)-1,4+((QUOTIENT(COLUMN(CM$2)-69,3))*5)+MOD(COLUMN(CM$2),3),1,1),"")</f>
        <v>0</v>
      </c>
      <c r="CN16">
        <f ca="1">IF($AN16="",OFFSET(Demand!$A$13,ROW(X13)-1,4+((QUOTIENT(COLUMN(CN$2)-69,3))*5)+MOD(COLUMN(CN$2),3),1,1),"")</f>
        <v>0</v>
      </c>
      <c r="CO16">
        <f ca="1">IF($AN16="",OFFSET(Demand!$A$13,ROW(Y13)-1,4+((QUOTIENT(COLUMN(CO$2)-69,3))*5)+MOD(COLUMN(CO$2),3),1,1),"")</f>
        <v>0</v>
      </c>
      <c r="CP16">
        <f ca="1">IF($AN16="",OFFSET(Demand!$A$13,ROW(Z13)-1,4+((QUOTIENT(COLUMN(CP$2)-69,3))*5)+MOD(COLUMN(CP$2),3),1,1),"")</f>
        <v>0</v>
      </c>
      <c r="CQ16">
        <f ca="1">IF($AN16="",OFFSET(Demand!$A$13,ROW(AA13)-1,4+((QUOTIENT(COLUMN(CQ$2)-69,3))*5)+MOD(COLUMN(CQ$2),3),1,1),"")</f>
        <v>0</v>
      </c>
      <c r="CR16">
        <f ca="1">IF($AN16="",OFFSET(Demand!$A$13,ROW(AB13)-1,4+((QUOTIENT(COLUMN(CR$2)-69,3))*5)+MOD(COLUMN(CR$2),3),1,1),"")</f>
        <v>0</v>
      </c>
      <c r="CS16">
        <f ca="1">IF($AN16="",OFFSET(Demand!$A$13,ROW(AC13)-1,4+((QUOTIENT(COLUMN(CS$2)-69,3))*5)+MOD(COLUMN(CS$2),3),1,1),"")</f>
        <v>0</v>
      </c>
      <c r="CT16">
        <f ca="1">IF($AN16="",OFFSET(Demand!$A$13,ROW(AD13)-1,4+((QUOTIENT(COLUMN(CT$2)-69,3))*5)+MOD(COLUMN(CT$2),3),1,1),"")</f>
        <v>0</v>
      </c>
      <c r="CW16" s="5">
        <f ca="1">SUM(OFFSET(Demand!$H$43,ROW(A13)-1,(COLUMN(A13)-1)*5,1,1))*N$2</f>
        <v>0</v>
      </c>
      <c r="CX16" s="5">
        <f ca="1">SUM(OFFSET(Demand!$H$43,ROW(B13)-1,(COLUMN(B13)-1)*5,1,1))*O$2</f>
        <v>0</v>
      </c>
      <c r="CY16" s="5">
        <f ca="1">SUM(OFFSET(Demand!$H$43,ROW(C13)-1,(COLUMN(C13)-1)*5,1,1))*P$2</f>
        <v>0</v>
      </c>
      <c r="CZ16" s="5">
        <f ca="1">SUM(OFFSET(Demand!$H$43,ROW(D13)-1,(COLUMN(D13)-1)*5,1,1))*Q$2</f>
        <v>0</v>
      </c>
      <c r="DA16" s="5">
        <f ca="1">SUM(OFFSET(Demand!$H$43,ROW(E13)-1,(COLUMN(E13)-1)*5,1,1))*R$2</f>
        <v>0</v>
      </c>
      <c r="DB16" s="5">
        <f ca="1">SUM(OFFSET(Demand!$H$43,ROW(F13)-1,(COLUMN(F13)-1)*5,1,1))*S$2</f>
        <v>0</v>
      </c>
      <c r="DC16" s="5">
        <f ca="1">SUM(OFFSET(Demand!$H$43,ROW(G13)-1,(COLUMN(G13)-1)*5,1,1))*T$2</f>
        <v>0</v>
      </c>
      <c r="DD16" s="5">
        <f ca="1">SUM(OFFSET(Demand!$H$43,ROW(H13)-1,(COLUMN(H13)-1)*5,1,1))*U$2</f>
        <v>0</v>
      </c>
      <c r="DE16" s="5">
        <f ca="1">SUM(OFFSET(Demand!$H$43,ROW(I13)-1,(COLUMN(I13)-1)*5,1,1))*V$2</f>
        <v>0</v>
      </c>
      <c r="DF16" s="5">
        <f ca="1">SUM(OFFSET(Demand!$H$43,ROW(J13)-1,(COLUMN(J13)-1)*5,1,1))*W$2</f>
        <v>0</v>
      </c>
      <c r="DG16" s="5">
        <f ca="1">IF(OR(AN16&lt;&gt;"",AND('Demand adjustments for Covid'!$F$9="Yes",'Demand adjustments for Covid'!$F$20="Yes")),"",SUM(CW16:DF16))</f>
        <v>0</v>
      </c>
      <c r="DI16" s="5" t="s">
        <v>237</v>
      </c>
      <c r="DJ16" s="5" t="str">
        <f ca="1">IFERROR(PERCENTILE(OFFSET($DG$4,'SPC background (hide)'!$D$10,0,'SPC background (hide)'!$H$11,1),'Control sheet (hide)'!$I$11),"")</f>
        <v/>
      </c>
      <c r="DM16" s="5">
        <f t="shared" si="10"/>
        <v>28</v>
      </c>
      <c r="DN16" s="320">
        <f t="shared" si="17"/>
        <v>44018</v>
      </c>
      <c r="DO16" s="5">
        <f ca="1">VLOOKUP(IF($DM16&lt;53,$DM16,52),'Summary Calculations (hide)'!$D$15:$F$67,2,0)</f>
        <v>120</v>
      </c>
      <c r="DP16" s="5">
        <f ca="1">VLOOKUP(IF($DM16&lt;53,$DM16,52),'Summary Calculations (hide)'!$D$15:$F$67,3,0)</f>
        <v>132</v>
      </c>
      <c r="DQ16" s="5">
        <f ca="1">IF(AND(DN16&gt;='Demand adjustments for Covid'!$F$12,DN16&lt;'Demand adjustments for Covid'!$F$17),'Demand adjustments for Covid'!$F$13,DO16)</f>
        <v>120</v>
      </c>
      <c r="DR16" s="5">
        <f t="shared" si="7"/>
        <v>0</v>
      </c>
      <c r="DS16" s="5">
        <f ca="1">IF('Demand adjustments for Covid'!$F$9="Yes",IF(DR16=0,DQ16,((SUM(DR$4:DR16)-1)*$EE$8)+'Demand adjustments for Covid'!F$13),'Demand background (hide)'!DO16)</f>
        <v>120</v>
      </c>
      <c r="DT16" s="5">
        <f ca="1">IF('Demand adjustments for Covid'!$F$9="Yes",IF(OR(AND(DN16&gt;='Demand adjustments for Covid'!$F$12,DN16&lt;'Demand adjustments for Covid'!$F$17),DR16=1),DS16+3,DP16),'Demand background (hide)'!DP16)</f>
        <v>132</v>
      </c>
      <c r="DU16" s="5">
        <f ca="1">IF(DS16&lt;='Demand adjustments for Covid'!$F$17,DO16-DS16,0)</f>
        <v>0</v>
      </c>
      <c r="DV16" s="5">
        <f ca="1">IF(AND(ROW(A13)&gt;$EE$5,ROW(A13)&lt;=$EA$5),OFFSET('Demand adjustments for Covid'!$F$35,0,ROW(A13)-'Demand background (hide)'!$EE$5,1,1),0)</f>
        <v>10</v>
      </c>
      <c r="DW16" s="5">
        <f ca="1">IF(AND(ROW(A13)&gt;$EE$5,ROW(A13)&lt;=$EA$5),OFFSET('Demand adjustments for Covid'!$F$36,0,ROW(A13)-'Demand background (hide)'!$EE$5,1,1),0)</f>
        <v>0</v>
      </c>
      <c r="DX16" s="5">
        <f t="shared" ca="1" si="11"/>
        <v>142</v>
      </c>
    </row>
    <row r="17" spans="1:128" s="5" customFormat="1" x14ac:dyDescent="0.25">
      <c r="A17" s="5">
        <f t="shared" ca="1" si="3"/>
        <v>0</v>
      </c>
      <c r="B17" s="5">
        <f ca="1">COUNTBLANK(OFFSET(Demand!$I26,0,(COLUMN(A14)-1)*5,1,1))</f>
        <v>0</v>
      </c>
      <c r="C17" s="5">
        <f ca="1">COUNTBLANK(OFFSET(Demand!$I26,0,(COLUMN(B14)-1)*5,1,1))</f>
        <v>1</v>
      </c>
      <c r="D17" s="5">
        <f ca="1">COUNTBLANK(OFFSET(Demand!$I26,0,(COLUMN(C14)-1)*5,1,1))</f>
        <v>1</v>
      </c>
      <c r="E17" s="5">
        <f ca="1">COUNTBLANK(OFFSET(Demand!$I26,0,(COLUMN(D14)-1)*5,1,1))</f>
        <v>1</v>
      </c>
      <c r="F17" s="5">
        <f ca="1">COUNTBLANK(OFFSET(Demand!$I26,0,(COLUMN(E14)-1)*5,1,1))</f>
        <v>1</v>
      </c>
      <c r="G17" s="5">
        <f ca="1">COUNTBLANK(OFFSET(Demand!$I26,0,(COLUMN(F14)-1)*5,1,1))</f>
        <v>1</v>
      </c>
      <c r="H17" s="5">
        <f ca="1">COUNTBLANK(OFFSET(Demand!$I26,0,(COLUMN(G14)-1)*5,1,1))</f>
        <v>1</v>
      </c>
      <c r="I17" s="5">
        <f ca="1">COUNTBLANK(OFFSET(Demand!$I26,0,(COLUMN(H14)-1)*5,1,1))</f>
        <v>1</v>
      </c>
      <c r="J17" s="5">
        <f ca="1">COUNTBLANK(OFFSET(Demand!$I26,0,(COLUMN(I14)-1)*5,1,1))</f>
        <v>1</v>
      </c>
      <c r="K17" s="5">
        <f ca="1">COUNTBLANK(OFFSET(Demand!$I26,0,(COLUMN(J14)-1)*5,1,1))</f>
        <v>1</v>
      </c>
      <c r="N17" s="5">
        <f ca="1">SUM(OFFSET(Demand!$E26,0,(COLUMN(A14)-1)*5,1,3))*N$2</f>
        <v>136</v>
      </c>
      <c r="O17" s="5">
        <f ca="1">SUM(OFFSET(Demand!$E26,0,(COLUMN(B14)-1)*5,1,3))*O$2</f>
        <v>0</v>
      </c>
      <c r="P17" s="5">
        <f ca="1">SUM(OFFSET(Demand!$E26,0,(COLUMN(C14)-1)*5,1,3))*P$2</f>
        <v>0</v>
      </c>
      <c r="Q17" s="5">
        <f ca="1">SUM(OFFSET(Demand!$E26,0,(COLUMN(D14)-1)*5,1,3))*Q$2</f>
        <v>0</v>
      </c>
      <c r="R17" s="5">
        <f ca="1">SUM(OFFSET(Demand!$E26,0,(COLUMN(E14)-1)*5,1,3))*R$2</f>
        <v>0</v>
      </c>
      <c r="S17" s="5">
        <f ca="1">SUM(OFFSET(Demand!$E26,0,(COLUMN(F14)-1)*5,1,3))*S$2</f>
        <v>0</v>
      </c>
      <c r="T17" s="5">
        <f ca="1">SUM(OFFSET(Demand!$E26,0,(COLUMN(G14)-1)*5,1,3))*T$2</f>
        <v>0</v>
      </c>
      <c r="U17" s="5">
        <f ca="1">SUM(OFFSET(Demand!$E26,0,(COLUMN(H14)-1)*5,1,3))*U$2</f>
        <v>0</v>
      </c>
      <c r="V17" s="5">
        <f ca="1">SUM(OFFSET(Demand!$E26,0,(COLUMN(I14)-1)*5,1,3))*V$2</f>
        <v>0</v>
      </c>
      <c r="W17" s="5">
        <f ca="1">SUM(OFFSET(Demand!$E26,0,(COLUMN(J14)-1)*5,1,3))*W$2</f>
        <v>0</v>
      </c>
      <c r="X17" s="5">
        <f t="shared" ca="1" si="4"/>
        <v>136</v>
      </c>
      <c r="Y17" s="5">
        <f t="shared" ca="1" si="5"/>
        <v>136</v>
      </c>
      <c r="Z17" s="5">
        <f ca="1">SUM(OFFSET(Demand!$H26,0,(COLUMN(A14)-1)*5,1,1))*N$2</f>
        <v>0</v>
      </c>
      <c r="AA17" s="5">
        <f ca="1">SUM(OFFSET(Demand!$H26,0,(COLUMN(B14)-1)*5,1,1))*O$2</f>
        <v>0</v>
      </c>
      <c r="AB17" s="5">
        <f ca="1">SUM(OFFSET(Demand!$H26,0,(COLUMN(C14)-1)*5,1,1))*P$2</f>
        <v>0</v>
      </c>
      <c r="AC17" s="5">
        <f ca="1">SUM(OFFSET(Demand!$H26,0,(COLUMN(D14)-1)*5,1,1))*Q$2</f>
        <v>0</v>
      </c>
      <c r="AD17" s="5">
        <f ca="1">SUM(OFFSET(Demand!$H26,0,(COLUMN(E14)-1)*5,1,1))*R$2</f>
        <v>0</v>
      </c>
      <c r="AE17" s="5">
        <f ca="1">SUM(OFFSET(Demand!$H26,0,(COLUMN(F14)-1)*5,1,1))*S$2</f>
        <v>0</v>
      </c>
      <c r="AF17" s="5">
        <f ca="1">SUM(OFFSET(Demand!$H26,0,(COLUMN(G14)-1)*5,1,1))*T$2</f>
        <v>0</v>
      </c>
      <c r="AG17" s="5">
        <f ca="1">SUM(OFFSET(Demand!$H26,0,(COLUMN(H14)-1)*5,1,1))*U$2</f>
        <v>0</v>
      </c>
      <c r="AH17" s="5">
        <f ca="1">SUM(OFFSET(Demand!$H26,0,(COLUMN(I14)-1)*5,1,1))*V$2</f>
        <v>0</v>
      </c>
      <c r="AI17" s="5">
        <f ca="1">SUM(OFFSET(Demand!$H26,0,(COLUMN(J14)-1)*5,1,1))*W$2</f>
        <v>0</v>
      </c>
      <c r="AJ17" s="5">
        <f t="shared" ca="1" si="6"/>
        <v>0</v>
      </c>
      <c r="AL17" s="5">
        <f t="shared" ca="1" si="8"/>
        <v>136</v>
      </c>
      <c r="AM17" s="5">
        <f t="shared" ca="1" si="9"/>
        <v>0</v>
      </c>
      <c r="AN17" s="5" t="str">
        <f>IF(Demand!BE26="Yes","Yes","")</f>
        <v/>
      </c>
      <c r="AP17" s="36" t="str">
        <f ca="1">Demand!B26</f>
        <v xml:space="preserve"> </v>
      </c>
      <c r="AQ17" s="5" t="str">
        <f ca="1">IF(TEXT(Demand!D26,"MMM")&lt;&gt;TEXT(Demand!D25,"MMM"),TEXT(Demand!D26,"MMM"),"")</f>
        <v>Jun</v>
      </c>
      <c r="AT17" s="5">
        <f t="shared" ca="1" si="12"/>
        <v>16</v>
      </c>
      <c r="AV17" s="5" t="s">
        <v>106</v>
      </c>
      <c r="AW17" s="44" t="str">
        <f ca="1">IFERROR(AVERAGE(OFFSET(AL$4,'SPC background (hide)'!$D$8-1,0,'SPC background (hide)'!$H$9,1)),"")</f>
        <v/>
      </c>
      <c r="AX17" s="5" t="str">
        <f ca="1">IFERROR(AVERAGE(OFFSET(AM$4,'SPC background (hide)'!$D$8-1,0,'SPC background (hide)'!$H$9,1)),"")</f>
        <v/>
      </c>
      <c r="BQ17">
        <f ca="1">IF($AN17="",OFFSET(Demand!$A$13,ROW(A14)-1,4+((QUOTIENT(COLUMN(BQ$2)-69,3))*5)+MOD(COLUMN(BQ$2),3),1,1),"")</f>
        <v>0</v>
      </c>
      <c r="BR17">
        <f ca="1">IF($AN17="",OFFSET(Demand!$A$13,ROW(B14)-1,4+((QUOTIENT(COLUMN(BR$2)-69,3))*5)+MOD(COLUMN(BR$2),3),1,1),"")</f>
        <v>0</v>
      </c>
      <c r="BS17">
        <f ca="1">IF($AN17="",OFFSET(Demand!$A$13,ROW(C14)-1,4+((QUOTIENT(COLUMN(BS$2)-69,3))*5)+MOD(COLUMN(BS$2),3),1,1),"")</f>
        <v>68</v>
      </c>
      <c r="BT17">
        <f ca="1">IF($AN17="",OFFSET(Demand!$A$13,ROW(D14)-1,4+((QUOTIENT(COLUMN(BT$2)-69,3))*5)+MOD(COLUMN(BT$2),3),1,1),"")</f>
        <v>0</v>
      </c>
      <c r="BU17">
        <f ca="1">IF($AN17="",OFFSET(Demand!$A$13,ROW(E14)-1,4+((QUOTIENT(COLUMN(BU$2)-69,3))*5)+MOD(COLUMN(BU$2),3),1,1),"")</f>
        <v>0</v>
      </c>
      <c r="BV17">
        <f ca="1">IF($AN17="",OFFSET(Demand!$A$13,ROW(F14)-1,4+((QUOTIENT(COLUMN(BV$2)-69,3))*5)+MOD(COLUMN(BV$2),3),1,1),"")</f>
        <v>0</v>
      </c>
      <c r="BW17">
        <f ca="1">IF($AN17="",OFFSET(Demand!$A$13,ROW(G14)-1,4+((QUOTIENT(COLUMN(BW$2)-69,3))*5)+MOD(COLUMN(BW$2),3),1,1),"")</f>
        <v>0</v>
      </c>
      <c r="BX17">
        <f ca="1">IF($AN17="",OFFSET(Demand!$A$13,ROW(H14)-1,4+((QUOTIENT(COLUMN(BX$2)-69,3))*5)+MOD(COLUMN(BX$2),3),1,1),"")</f>
        <v>0</v>
      </c>
      <c r="BY17">
        <f ca="1">IF($AN17="",OFFSET(Demand!$A$13,ROW(I14)-1,4+((QUOTIENT(COLUMN(BY$2)-69,3))*5)+MOD(COLUMN(BY$2),3),1,1),"")</f>
        <v>0</v>
      </c>
      <c r="BZ17">
        <f ca="1">IF($AN17="",OFFSET(Demand!$A$13,ROW(J14)-1,4+((QUOTIENT(COLUMN(BZ$2)-69,3))*5)+MOD(COLUMN(BZ$2),3),1,1),"")</f>
        <v>0</v>
      </c>
      <c r="CA17">
        <f ca="1">IF($AN17="",OFFSET(Demand!$A$13,ROW(K14)-1,4+((QUOTIENT(COLUMN(CA$2)-69,3))*5)+MOD(COLUMN(CA$2),3),1,1),"")</f>
        <v>0</v>
      </c>
      <c r="CB17">
        <f ca="1">IF($AN17="",OFFSET(Demand!$A$13,ROW(L14)-1,4+((QUOTIENT(COLUMN(CB$2)-69,3))*5)+MOD(COLUMN(CB$2),3),1,1),"")</f>
        <v>0</v>
      </c>
      <c r="CC17">
        <f ca="1">IF($AN17="",OFFSET(Demand!$A$13,ROW(M14)-1,4+((QUOTIENT(COLUMN(CC$2)-69,3))*5)+MOD(COLUMN(CC$2),3),1,1),"")</f>
        <v>0</v>
      </c>
      <c r="CD17">
        <f ca="1">IF($AN17="",OFFSET(Demand!$A$13,ROW(N14)-1,4+((QUOTIENT(COLUMN(CD$2)-69,3))*5)+MOD(COLUMN(CD$2),3),1,1),"")</f>
        <v>0</v>
      </c>
      <c r="CE17">
        <f ca="1">IF($AN17="",OFFSET(Demand!$A$13,ROW(O14)-1,4+((QUOTIENT(COLUMN(CE$2)-69,3))*5)+MOD(COLUMN(CE$2),3),1,1),"")</f>
        <v>0</v>
      </c>
      <c r="CF17">
        <f ca="1">IF($AN17="",OFFSET(Demand!$A$13,ROW(P14)-1,4+((QUOTIENT(COLUMN(CF$2)-69,3))*5)+MOD(COLUMN(CF$2),3),1,1),"")</f>
        <v>0</v>
      </c>
      <c r="CG17">
        <f ca="1">IF($AN17="",OFFSET(Demand!$A$13,ROW(Q14)-1,4+((QUOTIENT(COLUMN(CG$2)-69,3))*5)+MOD(COLUMN(CG$2),3),1,1),"")</f>
        <v>0</v>
      </c>
      <c r="CH17">
        <f ca="1">IF($AN17="",OFFSET(Demand!$A$13,ROW(R14)-1,4+((QUOTIENT(COLUMN(CH$2)-69,3))*5)+MOD(COLUMN(CH$2),3),1,1),"")</f>
        <v>0</v>
      </c>
      <c r="CI17">
        <f ca="1">IF($AN17="",OFFSET(Demand!$A$13,ROW(S14)-1,4+((QUOTIENT(COLUMN(CI$2)-69,3))*5)+MOD(COLUMN(CI$2),3),1,1),"")</f>
        <v>0</v>
      </c>
      <c r="CJ17">
        <f ca="1">IF($AN17="",OFFSET(Demand!$A$13,ROW(T14)-1,4+((QUOTIENT(COLUMN(CJ$2)-69,3))*5)+MOD(COLUMN(CJ$2),3),1,1),"")</f>
        <v>0</v>
      </c>
      <c r="CK17">
        <f ca="1">IF($AN17="",OFFSET(Demand!$A$13,ROW(U14)-1,4+((QUOTIENT(COLUMN(CK$2)-69,3))*5)+MOD(COLUMN(CK$2),3),1,1),"")</f>
        <v>0</v>
      </c>
      <c r="CL17">
        <f ca="1">IF($AN17="",OFFSET(Demand!$A$13,ROW(V14)-1,4+((QUOTIENT(COLUMN(CL$2)-69,3))*5)+MOD(COLUMN(CL$2),3),1,1),"")</f>
        <v>0</v>
      </c>
      <c r="CM17">
        <f ca="1">IF($AN17="",OFFSET(Demand!$A$13,ROW(W14)-1,4+((QUOTIENT(COLUMN(CM$2)-69,3))*5)+MOD(COLUMN(CM$2),3),1,1),"")</f>
        <v>0</v>
      </c>
      <c r="CN17">
        <f ca="1">IF($AN17="",OFFSET(Demand!$A$13,ROW(X14)-1,4+((QUOTIENT(COLUMN(CN$2)-69,3))*5)+MOD(COLUMN(CN$2),3),1,1),"")</f>
        <v>0</v>
      </c>
      <c r="CO17">
        <f ca="1">IF($AN17="",OFFSET(Demand!$A$13,ROW(Y14)-1,4+((QUOTIENT(COLUMN(CO$2)-69,3))*5)+MOD(COLUMN(CO$2),3),1,1),"")</f>
        <v>0</v>
      </c>
      <c r="CP17">
        <f ca="1">IF($AN17="",OFFSET(Demand!$A$13,ROW(Z14)-1,4+((QUOTIENT(COLUMN(CP$2)-69,3))*5)+MOD(COLUMN(CP$2),3),1,1),"")</f>
        <v>0</v>
      </c>
      <c r="CQ17">
        <f ca="1">IF($AN17="",OFFSET(Demand!$A$13,ROW(AA14)-1,4+((QUOTIENT(COLUMN(CQ$2)-69,3))*5)+MOD(COLUMN(CQ$2),3),1,1),"")</f>
        <v>0</v>
      </c>
      <c r="CR17">
        <f ca="1">IF($AN17="",OFFSET(Demand!$A$13,ROW(AB14)-1,4+((QUOTIENT(COLUMN(CR$2)-69,3))*5)+MOD(COLUMN(CR$2),3),1,1),"")</f>
        <v>0</v>
      </c>
      <c r="CS17">
        <f ca="1">IF($AN17="",OFFSET(Demand!$A$13,ROW(AC14)-1,4+((QUOTIENT(COLUMN(CS$2)-69,3))*5)+MOD(COLUMN(CS$2),3),1,1),"")</f>
        <v>0</v>
      </c>
      <c r="CT17">
        <f ca="1">IF($AN17="",OFFSET(Demand!$A$13,ROW(AD14)-1,4+((QUOTIENT(COLUMN(CT$2)-69,3))*5)+MOD(COLUMN(CT$2),3),1,1),"")</f>
        <v>0</v>
      </c>
      <c r="CW17" s="5">
        <f ca="1">SUM(OFFSET(Demand!$H$43,ROW(A14)-1,(COLUMN(A14)-1)*5,1,1))*N$2</f>
        <v>0</v>
      </c>
      <c r="CX17" s="5">
        <f ca="1">SUM(OFFSET(Demand!$H$43,ROW(B14)-1,(COLUMN(B14)-1)*5,1,1))*O$2</f>
        <v>0</v>
      </c>
      <c r="CY17" s="5">
        <f ca="1">SUM(OFFSET(Demand!$H$43,ROW(C14)-1,(COLUMN(C14)-1)*5,1,1))*P$2</f>
        <v>0</v>
      </c>
      <c r="CZ17" s="5">
        <f ca="1">SUM(OFFSET(Demand!$H$43,ROW(D14)-1,(COLUMN(D14)-1)*5,1,1))*Q$2</f>
        <v>0</v>
      </c>
      <c r="DA17" s="5">
        <f ca="1">SUM(OFFSET(Demand!$H$43,ROW(E14)-1,(COLUMN(E14)-1)*5,1,1))*R$2</f>
        <v>0</v>
      </c>
      <c r="DB17" s="5">
        <f ca="1">SUM(OFFSET(Demand!$H$43,ROW(F14)-1,(COLUMN(F14)-1)*5,1,1))*S$2</f>
        <v>0</v>
      </c>
      <c r="DC17" s="5">
        <f ca="1">SUM(OFFSET(Demand!$H$43,ROW(G14)-1,(COLUMN(G14)-1)*5,1,1))*T$2</f>
        <v>0</v>
      </c>
      <c r="DD17" s="5">
        <f ca="1">SUM(OFFSET(Demand!$H$43,ROW(H14)-1,(COLUMN(H14)-1)*5,1,1))*U$2</f>
        <v>0</v>
      </c>
      <c r="DE17" s="5">
        <f ca="1">SUM(OFFSET(Demand!$H$43,ROW(I14)-1,(COLUMN(I14)-1)*5,1,1))*V$2</f>
        <v>0</v>
      </c>
      <c r="DF17" s="5">
        <f ca="1">SUM(OFFSET(Demand!$H$43,ROW(J14)-1,(COLUMN(J14)-1)*5,1,1))*W$2</f>
        <v>0</v>
      </c>
      <c r="DG17" s="5">
        <f ca="1">IF(OR(AN17&lt;&gt;"",AND('Demand adjustments for Covid'!$F$9="Yes",'Demand adjustments for Covid'!$F$20="Yes")),"",SUM(CW17:DF17))</f>
        <v>0</v>
      </c>
      <c r="DI17" s="5" t="s">
        <v>238</v>
      </c>
      <c r="DJ17" s="5" t="str">
        <f ca="1">IFERROR(PERCENTILE(OFFSET($DG$4,'SPC background (hide)'!$D$10,0,'SPC background (hide)'!$H$11,1),'Control sheet (hide)'!$I$10),"")</f>
        <v/>
      </c>
      <c r="DM17" s="5">
        <f t="shared" si="10"/>
        <v>29</v>
      </c>
      <c r="DN17" s="320">
        <f t="shared" si="17"/>
        <v>44025</v>
      </c>
      <c r="DO17" s="5">
        <f ca="1">VLOOKUP(IF($DM17&lt;53,$DM17,52),'Summary Calculations (hide)'!$D$15:$F$67,2,0)</f>
        <v>136</v>
      </c>
      <c r="DP17" s="5">
        <f ca="1">VLOOKUP(IF($DM17&lt;53,$DM17,52),'Summary Calculations (hide)'!$D$15:$F$67,3,0)</f>
        <v>149.60000000000002</v>
      </c>
      <c r="DQ17" s="5">
        <f ca="1">IF(AND(DN17&gt;='Demand adjustments for Covid'!$F$12,DN17&lt;'Demand adjustments for Covid'!$F$17),'Demand adjustments for Covid'!$F$13,DO17)</f>
        <v>136</v>
      </c>
      <c r="DR17" s="5">
        <f t="shared" si="7"/>
        <v>0</v>
      </c>
      <c r="DS17" s="5">
        <f ca="1">IF('Demand adjustments for Covid'!$F$9="Yes",IF(DR17=0,DQ17,((SUM(DR$4:DR17)-1)*$EE$8)+'Demand adjustments for Covid'!F$13),'Demand background (hide)'!DO17)</f>
        <v>136</v>
      </c>
      <c r="DT17" s="5">
        <f ca="1">IF('Demand adjustments for Covid'!$F$9="Yes",IF(OR(AND(DN17&gt;='Demand adjustments for Covid'!$F$12,DN17&lt;'Demand adjustments for Covid'!$F$17),DR17=1),DS17+3,DP17),'Demand background (hide)'!DP17)</f>
        <v>149.60000000000002</v>
      </c>
      <c r="DU17" s="5">
        <f ca="1">IF(DS17&lt;='Demand adjustments for Covid'!$F$17,DO17-DS17,0)</f>
        <v>0</v>
      </c>
      <c r="DV17" s="5">
        <f ca="1">IF(AND(ROW(A14)&gt;$EE$5,ROW(A14)&lt;=$EA$5),OFFSET('Demand adjustments for Covid'!$F$35,0,ROW(A14)-'Demand background (hide)'!$EE$5,1,1),0)</f>
        <v>0</v>
      </c>
      <c r="DW17" s="5">
        <f ca="1">IF(AND(ROW(A14)&gt;$EE$5,ROW(A14)&lt;=$EA$5),OFFSET('Demand adjustments for Covid'!$F$36,0,ROW(A14)-'Demand background (hide)'!$EE$5,1,1),0)</f>
        <v>0</v>
      </c>
      <c r="DX17" s="5">
        <f t="shared" ca="1" si="11"/>
        <v>149.60000000000002</v>
      </c>
    </row>
    <row r="18" spans="1:128" s="5" customFormat="1" x14ac:dyDescent="0.25">
      <c r="A18" s="5">
        <f t="shared" ca="1" si="3"/>
        <v>0</v>
      </c>
      <c r="B18" s="5">
        <f ca="1">COUNTBLANK(OFFSET(Demand!$I27,0,(COLUMN(A15)-1)*5,1,1))</f>
        <v>0</v>
      </c>
      <c r="C18" s="5">
        <f ca="1">COUNTBLANK(OFFSET(Demand!$I27,0,(COLUMN(B15)-1)*5,1,1))</f>
        <v>1</v>
      </c>
      <c r="D18" s="5">
        <f ca="1">COUNTBLANK(OFFSET(Demand!$I27,0,(COLUMN(C15)-1)*5,1,1))</f>
        <v>1</v>
      </c>
      <c r="E18" s="5">
        <f ca="1">COUNTBLANK(OFFSET(Demand!$I27,0,(COLUMN(D15)-1)*5,1,1))</f>
        <v>1</v>
      </c>
      <c r="F18" s="5">
        <f ca="1">COUNTBLANK(OFFSET(Demand!$I27,0,(COLUMN(E15)-1)*5,1,1))</f>
        <v>1</v>
      </c>
      <c r="G18" s="5">
        <f ca="1">COUNTBLANK(OFFSET(Demand!$I27,0,(COLUMN(F15)-1)*5,1,1))</f>
        <v>1</v>
      </c>
      <c r="H18" s="5">
        <f ca="1">COUNTBLANK(OFFSET(Demand!$I27,0,(COLUMN(G15)-1)*5,1,1))</f>
        <v>1</v>
      </c>
      <c r="I18" s="5">
        <f ca="1">COUNTBLANK(OFFSET(Demand!$I27,0,(COLUMN(H15)-1)*5,1,1))</f>
        <v>1</v>
      </c>
      <c r="J18" s="5">
        <f ca="1">COUNTBLANK(OFFSET(Demand!$I27,0,(COLUMN(I15)-1)*5,1,1))</f>
        <v>1</v>
      </c>
      <c r="K18" s="5">
        <f ca="1">COUNTBLANK(OFFSET(Demand!$I27,0,(COLUMN(J15)-1)*5,1,1))</f>
        <v>1</v>
      </c>
      <c r="N18" s="5">
        <f ca="1">SUM(OFFSET(Demand!$E27,0,(COLUMN(A15)-1)*5,1,3))*N$2</f>
        <v>138</v>
      </c>
      <c r="O18" s="5">
        <f ca="1">SUM(OFFSET(Demand!$E27,0,(COLUMN(B15)-1)*5,1,3))*O$2</f>
        <v>0</v>
      </c>
      <c r="P18" s="5">
        <f ca="1">SUM(OFFSET(Demand!$E27,0,(COLUMN(C15)-1)*5,1,3))*P$2</f>
        <v>0</v>
      </c>
      <c r="Q18" s="5">
        <f ca="1">SUM(OFFSET(Demand!$E27,0,(COLUMN(D15)-1)*5,1,3))*Q$2</f>
        <v>0</v>
      </c>
      <c r="R18" s="5">
        <f ca="1">SUM(OFFSET(Demand!$E27,0,(COLUMN(E15)-1)*5,1,3))*R$2</f>
        <v>0</v>
      </c>
      <c r="S18" s="5">
        <f ca="1">SUM(OFFSET(Demand!$E27,0,(COLUMN(F15)-1)*5,1,3))*S$2</f>
        <v>0</v>
      </c>
      <c r="T18" s="5">
        <f ca="1">SUM(OFFSET(Demand!$E27,0,(COLUMN(G15)-1)*5,1,3))*T$2</f>
        <v>0</v>
      </c>
      <c r="U18" s="5">
        <f ca="1">SUM(OFFSET(Demand!$E27,0,(COLUMN(H15)-1)*5,1,3))*U$2</f>
        <v>0</v>
      </c>
      <c r="V18" s="5">
        <f ca="1">SUM(OFFSET(Demand!$E27,0,(COLUMN(I15)-1)*5,1,3))*V$2</f>
        <v>0</v>
      </c>
      <c r="W18" s="5">
        <f ca="1">SUM(OFFSET(Demand!$E27,0,(COLUMN(J15)-1)*5,1,3))*W$2</f>
        <v>0</v>
      </c>
      <c r="X18" s="5">
        <f t="shared" ca="1" si="4"/>
        <v>138</v>
      </c>
      <c r="Y18" s="5">
        <f t="shared" ca="1" si="5"/>
        <v>138</v>
      </c>
      <c r="Z18" s="5">
        <f ca="1">SUM(OFFSET(Demand!$H27,0,(COLUMN(A15)-1)*5,1,1))*N$2</f>
        <v>0</v>
      </c>
      <c r="AA18" s="5">
        <f ca="1">SUM(OFFSET(Demand!$H27,0,(COLUMN(B15)-1)*5,1,1))*O$2</f>
        <v>0</v>
      </c>
      <c r="AB18" s="5">
        <f ca="1">SUM(OFFSET(Demand!$H27,0,(COLUMN(C15)-1)*5,1,1))*P$2</f>
        <v>0</v>
      </c>
      <c r="AC18" s="5">
        <f ca="1">SUM(OFFSET(Demand!$H27,0,(COLUMN(D15)-1)*5,1,1))*Q$2</f>
        <v>0</v>
      </c>
      <c r="AD18" s="5">
        <f ca="1">SUM(OFFSET(Demand!$H27,0,(COLUMN(E15)-1)*5,1,1))*R$2</f>
        <v>0</v>
      </c>
      <c r="AE18" s="5">
        <f ca="1">SUM(OFFSET(Demand!$H27,0,(COLUMN(F15)-1)*5,1,1))*S$2</f>
        <v>0</v>
      </c>
      <c r="AF18" s="5">
        <f ca="1">SUM(OFFSET(Demand!$H27,0,(COLUMN(G15)-1)*5,1,1))*T$2</f>
        <v>0</v>
      </c>
      <c r="AG18" s="5">
        <f ca="1">SUM(OFFSET(Demand!$H27,0,(COLUMN(H15)-1)*5,1,1))*U$2</f>
        <v>0</v>
      </c>
      <c r="AH18" s="5">
        <f ca="1">SUM(OFFSET(Demand!$H27,0,(COLUMN(I15)-1)*5,1,1))*V$2</f>
        <v>0</v>
      </c>
      <c r="AI18" s="5">
        <f ca="1">SUM(OFFSET(Demand!$H27,0,(COLUMN(J15)-1)*5,1,1))*W$2</f>
        <v>0</v>
      </c>
      <c r="AJ18" s="5">
        <f t="shared" ca="1" si="6"/>
        <v>0</v>
      </c>
      <c r="AL18" s="5">
        <f t="shared" ca="1" si="8"/>
        <v>138</v>
      </c>
      <c r="AM18" s="5">
        <f t="shared" ca="1" si="9"/>
        <v>0</v>
      </c>
      <c r="AN18" s="5" t="str">
        <f>IF(Demand!BE27="Yes","Yes","")</f>
        <v/>
      </c>
      <c r="AP18" s="36" t="str">
        <f ca="1">Demand!B27</f>
        <v xml:space="preserve"> </v>
      </c>
      <c r="AQ18" s="5" t="str">
        <f ca="1">IF(TEXT(Demand!D27,"MMM")&lt;&gt;TEXT(Demand!D26,"MMM"),TEXT(Demand!D27,"MMM"),"")</f>
        <v/>
      </c>
      <c r="AT18" s="5">
        <f t="shared" ca="1" si="12"/>
        <v>2</v>
      </c>
      <c r="AV18" s="5" t="s">
        <v>105</v>
      </c>
      <c r="AW18" s="44" t="str">
        <f ca="1">IFERROR(AVERAGE(OFFSET($AT$4,'SPC background (hide)'!$D$8-1,0,'SPC background (hide)'!$H$9,1)),"")</f>
        <v/>
      </c>
      <c r="AX18" s="5" t="str">
        <f ca="1">IFERROR(AVERAGE(OFFSET($AT$4,'SPC background (hide)'!$D$8-1,0,'SPC background (hide)'!$H$9,1)),"")</f>
        <v/>
      </c>
      <c r="BB18" s="5" t="s">
        <v>330</v>
      </c>
      <c r="BF18" s="5">
        <f ca="1">BF16/MAX('SPC background (hide)'!$I$5:$I$11)</f>
        <v>0</v>
      </c>
      <c r="BG18" s="5">
        <f ca="1">BG16/MAX('SPC background (hide)'!$I$5:$I$11)</f>
        <v>0</v>
      </c>
      <c r="BH18" s="5">
        <f ca="1">BH16/MAX('SPC background (hide)'!$I$5:$I$11)</f>
        <v>71</v>
      </c>
      <c r="BI18" s="5">
        <f ca="1">BI16/MAX('SPC background (hide)'!$I$5:$I$11)</f>
        <v>71</v>
      </c>
      <c r="BJ18" s="5">
        <f ca="1">BJ16/MAX('SPC background (hide)'!$I$5:$I$11)</f>
        <v>0</v>
      </c>
      <c r="BK18" s="5">
        <f ca="1">BK16/MAX('SPC background (hide)'!$I$5:$I$11)</f>
        <v>0</v>
      </c>
      <c r="BL18" s="5">
        <f ca="1">BL16/MAX('SPC background (hide)'!$I$5:$I$11)</f>
        <v>142</v>
      </c>
      <c r="BM18" s="5">
        <f ca="1">BM16/MAX('SPC background (hide)'!$I$5:$I$11)</f>
        <v>142</v>
      </c>
      <c r="BQ18">
        <f ca="1">IF($AN18="",OFFSET(Demand!$A$13,ROW(A15)-1,4+((QUOTIENT(COLUMN(BQ$2)-69,3))*5)+MOD(COLUMN(BQ$2),3),1,1),"")</f>
        <v>0</v>
      </c>
      <c r="BR18">
        <f ca="1">IF($AN18="",OFFSET(Demand!$A$13,ROW(B15)-1,4+((QUOTIENT(COLUMN(BR$2)-69,3))*5)+MOD(COLUMN(BR$2),3),1,1),"")</f>
        <v>0</v>
      </c>
      <c r="BS18">
        <f ca="1">IF($AN18="",OFFSET(Demand!$A$13,ROW(C15)-1,4+((QUOTIENT(COLUMN(BS$2)-69,3))*5)+MOD(COLUMN(BS$2),3),1,1),"")</f>
        <v>69</v>
      </c>
      <c r="BT18">
        <f ca="1">IF($AN18="",OFFSET(Demand!$A$13,ROW(D15)-1,4+((QUOTIENT(COLUMN(BT$2)-69,3))*5)+MOD(COLUMN(BT$2),3),1,1),"")</f>
        <v>0</v>
      </c>
      <c r="BU18">
        <f ca="1">IF($AN18="",OFFSET(Demand!$A$13,ROW(E15)-1,4+((QUOTIENT(COLUMN(BU$2)-69,3))*5)+MOD(COLUMN(BU$2),3),1,1),"")</f>
        <v>0</v>
      </c>
      <c r="BV18">
        <f ca="1">IF($AN18="",OFFSET(Demand!$A$13,ROW(F15)-1,4+((QUOTIENT(COLUMN(BV$2)-69,3))*5)+MOD(COLUMN(BV$2),3),1,1),"")</f>
        <v>0</v>
      </c>
      <c r="BW18">
        <f ca="1">IF($AN18="",OFFSET(Demand!$A$13,ROW(G15)-1,4+((QUOTIENT(COLUMN(BW$2)-69,3))*5)+MOD(COLUMN(BW$2),3),1,1),"")</f>
        <v>0</v>
      </c>
      <c r="BX18">
        <f ca="1">IF($AN18="",OFFSET(Demand!$A$13,ROW(H15)-1,4+((QUOTIENT(COLUMN(BX$2)-69,3))*5)+MOD(COLUMN(BX$2),3),1,1),"")</f>
        <v>0</v>
      </c>
      <c r="BY18">
        <f ca="1">IF($AN18="",OFFSET(Demand!$A$13,ROW(I15)-1,4+((QUOTIENT(COLUMN(BY$2)-69,3))*5)+MOD(COLUMN(BY$2),3),1,1),"")</f>
        <v>0</v>
      </c>
      <c r="BZ18">
        <f ca="1">IF($AN18="",OFFSET(Demand!$A$13,ROW(J15)-1,4+((QUOTIENT(COLUMN(BZ$2)-69,3))*5)+MOD(COLUMN(BZ$2),3),1,1),"")</f>
        <v>0</v>
      </c>
      <c r="CA18">
        <f ca="1">IF($AN18="",OFFSET(Demand!$A$13,ROW(K15)-1,4+((QUOTIENT(COLUMN(CA$2)-69,3))*5)+MOD(COLUMN(CA$2),3),1,1),"")</f>
        <v>0</v>
      </c>
      <c r="CB18">
        <f ca="1">IF($AN18="",OFFSET(Demand!$A$13,ROW(L15)-1,4+((QUOTIENT(COLUMN(CB$2)-69,3))*5)+MOD(COLUMN(CB$2),3),1,1),"")</f>
        <v>0</v>
      </c>
      <c r="CC18">
        <f ca="1">IF($AN18="",OFFSET(Demand!$A$13,ROW(M15)-1,4+((QUOTIENT(COLUMN(CC$2)-69,3))*5)+MOD(COLUMN(CC$2),3),1,1),"")</f>
        <v>0</v>
      </c>
      <c r="CD18">
        <f ca="1">IF($AN18="",OFFSET(Demand!$A$13,ROW(N15)-1,4+((QUOTIENT(COLUMN(CD$2)-69,3))*5)+MOD(COLUMN(CD$2),3),1,1),"")</f>
        <v>0</v>
      </c>
      <c r="CE18">
        <f ca="1">IF($AN18="",OFFSET(Demand!$A$13,ROW(O15)-1,4+((QUOTIENT(COLUMN(CE$2)-69,3))*5)+MOD(COLUMN(CE$2),3),1,1),"")</f>
        <v>0</v>
      </c>
      <c r="CF18">
        <f ca="1">IF($AN18="",OFFSET(Demand!$A$13,ROW(P15)-1,4+((QUOTIENT(COLUMN(CF$2)-69,3))*5)+MOD(COLUMN(CF$2),3),1,1),"")</f>
        <v>0</v>
      </c>
      <c r="CG18">
        <f ca="1">IF($AN18="",OFFSET(Demand!$A$13,ROW(Q15)-1,4+((QUOTIENT(COLUMN(CG$2)-69,3))*5)+MOD(COLUMN(CG$2),3),1,1),"")</f>
        <v>0</v>
      </c>
      <c r="CH18">
        <f ca="1">IF($AN18="",OFFSET(Demand!$A$13,ROW(R15)-1,4+((QUOTIENT(COLUMN(CH$2)-69,3))*5)+MOD(COLUMN(CH$2),3),1,1),"")</f>
        <v>0</v>
      </c>
      <c r="CI18">
        <f ca="1">IF($AN18="",OFFSET(Demand!$A$13,ROW(S15)-1,4+((QUOTIENT(COLUMN(CI$2)-69,3))*5)+MOD(COLUMN(CI$2),3),1,1),"")</f>
        <v>0</v>
      </c>
      <c r="CJ18">
        <f ca="1">IF($AN18="",OFFSET(Demand!$A$13,ROW(T15)-1,4+((QUOTIENT(COLUMN(CJ$2)-69,3))*5)+MOD(COLUMN(CJ$2),3),1,1),"")</f>
        <v>0</v>
      </c>
      <c r="CK18">
        <f ca="1">IF($AN18="",OFFSET(Demand!$A$13,ROW(U15)-1,4+((QUOTIENT(COLUMN(CK$2)-69,3))*5)+MOD(COLUMN(CK$2),3),1,1),"")</f>
        <v>0</v>
      </c>
      <c r="CL18">
        <f ca="1">IF($AN18="",OFFSET(Demand!$A$13,ROW(V15)-1,4+((QUOTIENT(COLUMN(CL$2)-69,3))*5)+MOD(COLUMN(CL$2),3),1,1),"")</f>
        <v>0</v>
      </c>
      <c r="CM18">
        <f ca="1">IF($AN18="",OFFSET(Demand!$A$13,ROW(W15)-1,4+((QUOTIENT(COLUMN(CM$2)-69,3))*5)+MOD(COLUMN(CM$2),3),1,1),"")</f>
        <v>0</v>
      </c>
      <c r="CN18">
        <f ca="1">IF($AN18="",OFFSET(Demand!$A$13,ROW(X15)-1,4+((QUOTIENT(COLUMN(CN$2)-69,3))*5)+MOD(COLUMN(CN$2),3),1,1),"")</f>
        <v>0</v>
      </c>
      <c r="CO18">
        <f ca="1">IF($AN18="",OFFSET(Demand!$A$13,ROW(Y15)-1,4+((QUOTIENT(COLUMN(CO$2)-69,3))*5)+MOD(COLUMN(CO$2),3),1,1),"")</f>
        <v>0</v>
      </c>
      <c r="CP18">
        <f ca="1">IF($AN18="",OFFSET(Demand!$A$13,ROW(Z15)-1,4+((QUOTIENT(COLUMN(CP$2)-69,3))*5)+MOD(COLUMN(CP$2),3),1,1),"")</f>
        <v>0</v>
      </c>
      <c r="CQ18">
        <f ca="1">IF($AN18="",OFFSET(Demand!$A$13,ROW(AA15)-1,4+((QUOTIENT(COLUMN(CQ$2)-69,3))*5)+MOD(COLUMN(CQ$2),3),1,1),"")</f>
        <v>0</v>
      </c>
      <c r="CR18">
        <f ca="1">IF($AN18="",OFFSET(Demand!$A$13,ROW(AB15)-1,4+((QUOTIENT(COLUMN(CR$2)-69,3))*5)+MOD(COLUMN(CR$2),3),1,1),"")</f>
        <v>0</v>
      </c>
      <c r="CS18">
        <f ca="1">IF($AN18="",OFFSET(Demand!$A$13,ROW(AC15)-1,4+((QUOTIENT(COLUMN(CS$2)-69,3))*5)+MOD(COLUMN(CS$2),3),1,1),"")</f>
        <v>0</v>
      </c>
      <c r="CT18">
        <f ca="1">IF($AN18="",OFFSET(Demand!$A$13,ROW(AD15)-1,4+((QUOTIENT(COLUMN(CT$2)-69,3))*5)+MOD(COLUMN(CT$2),3),1,1),"")</f>
        <v>0</v>
      </c>
      <c r="CW18" s="5">
        <f ca="1">SUM(OFFSET(Demand!$H$43,ROW(A15)-1,(COLUMN(A15)-1)*5,1,1))*N$2</f>
        <v>0</v>
      </c>
      <c r="CX18" s="5">
        <f ca="1">SUM(OFFSET(Demand!$H$43,ROW(B15)-1,(COLUMN(B15)-1)*5,1,1))*O$2</f>
        <v>0</v>
      </c>
      <c r="CY18" s="5">
        <f ca="1">SUM(OFFSET(Demand!$H$43,ROW(C15)-1,(COLUMN(C15)-1)*5,1,1))*P$2</f>
        <v>0</v>
      </c>
      <c r="CZ18" s="5">
        <f ca="1">SUM(OFFSET(Demand!$H$43,ROW(D15)-1,(COLUMN(D15)-1)*5,1,1))*Q$2</f>
        <v>0</v>
      </c>
      <c r="DA18" s="5">
        <f ca="1">SUM(OFFSET(Demand!$H$43,ROW(E15)-1,(COLUMN(E15)-1)*5,1,1))*R$2</f>
        <v>0</v>
      </c>
      <c r="DB18" s="5">
        <f ca="1">SUM(OFFSET(Demand!$H$43,ROW(F15)-1,(COLUMN(F15)-1)*5,1,1))*S$2</f>
        <v>0</v>
      </c>
      <c r="DC18" s="5">
        <f ca="1">SUM(OFFSET(Demand!$H$43,ROW(G15)-1,(COLUMN(G15)-1)*5,1,1))*T$2</f>
        <v>0</v>
      </c>
      <c r="DD18" s="5">
        <f ca="1">SUM(OFFSET(Demand!$H$43,ROW(H15)-1,(COLUMN(H15)-1)*5,1,1))*U$2</f>
        <v>0</v>
      </c>
      <c r="DE18" s="5">
        <f ca="1">SUM(OFFSET(Demand!$H$43,ROW(I15)-1,(COLUMN(I15)-1)*5,1,1))*V$2</f>
        <v>0</v>
      </c>
      <c r="DF18" s="5">
        <f ca="1">SUM(OFFSET(Demand!$H$43,ROW(J15)-1,(COLUMN(J15)-1)*5,1,1))*W$2</f>
        <v>0</v>
      </c>
      <c r="DG18" s="5">
        <f ca="1">IF(OR(AN18&lt;&gt;"",AND('Demand adjustments for Covid'!$F$9="Yes",'Demand adjustments for Covid'!$F$20="Yes")),"",SUM(CW18:DF18))</f>
        <v>0</v>
      </c>
      <c r="DM18" s="5">
        <f t="shared" si="10"/>
        <v>30</v>
      </c>
      <c r="DN18" s="320">
        <f t="shared" si="17"/>
        <v>44032</v>
      </c>
      <c r="DO18" s="5">
        <f ca="1">VLOOKUP(IF($DM18&lt;53,$DM18,52),'Summary Calculations (hide)'!$D$15:$F$67,2,0)</f>
        <v>138</v>
      </c>
      <c r="DP18" s="5">
        <f ca="1">VLOOKUP(IF($DM18&lt;53,$DM18,52),'Summary Calculations (hide)'!$D$15:$F$67,3,0)</f>
        <v>151.80000000000001</v>
      </c>
      <c r="DQ18" s="5">
        <f ca="1">IF(AND(DN18&gt;='Demand adjustments for Covid'!$F$12,DN18&lt;'Demand adjustments for Covid'!$F$17),'Demand adjustments for Covid'!$F$13,DO18)</f>
        <v>138</v>
      </c>
      <c r="DR18" s="5">
        <f t="shared" si="7"/>
        <v>0</v>
      </c>
      <c r="DS18" s="5">
        <f ca="1">IF('Demand adjustments for Covid'!$F$9="Yes",IF(DR18=0,DQ18,((SUM(DR$4:DR18)-1)*$EE$8)+'Demand adjustments for Covid'!F$13),'Demand background (hide)'!DO18)</f>
        <v>138</v>
      </c>
      <c r="DT18" s="5">
        <f ca="1">IF('Demand adjustments for Covid'!$F$9="Yes",IF(OR(AND(DN18&gt;='Demand adjustments for Covid'!$F$12,DN18&lt;'Demand adjustments for Covid'!$F$17),DR18=1),DS18+3,DP18),'Demand background (hide)'!DP18)</f>
        <v>151.80000000000001</v>
      </c>
      <c r="DU18" s="5">
        <f ca="1">IF(DS18&lt;='Demand adjustments for Covid'!$F$17,DO18-DS18,0)</f>
        <v>0</v>
      </c>
      <c r="DV18" s="5">
        <f ca="1">IF(AND(ROW(A15)&gt;$EE$5,ROW(A15)&lt;=$EA$5),OFFSET('Demand adjustments for Covid'!$F$35,0,ROW(A15)-'Demand background (hide)'!$EE$5,1,1),0)</f>
        <v>0</v>
      </c>
      <c r="DW18" s="5">
        <f ca="1">IF(AND(ROW(A15)&gt;$EE$5,ROW(A15)&lt;=$EA$5),OFFSET('Demand adjustments for Covid'!$F$36,0,ROW(A15)-'Demand background (hide)'!$EE$5,1,1),0)</f>
        <v>0</v>
      </c>
      <c r="DX18" s="5">
        <f t="shared" ca="1" si="11"/>
        <v>151.80000000000001</v>
      </c>
    </row>
    <row r="19" spans="1:128" s="5" customFormat="1" x14ac:dyDescent="0.25">
      <c r="A19" s="5">
        <f t="shared" ca="1" si="3"/>
        <v>0</v>
      </c>
      <c r="B19" s="5">
        <f ca="1">COUNTBLANK(OFFSET(Demand!$I28,0,(COLUMN(A16)-1)*5,1,1))</f>
        <v>0</v>
      </c>
      <c r="C19" s="5">
        <f ca="1">COUNTBLANK(OFFSET(Demand!$I28,0,(COLUMN(B16)-1)*5,1,1))</f>
        <v>1</v>
      </c>
      <c r="D19" s="5">
        <f ca="1">COUNTBLANK(OFFSET(Demand!$I28,0,(COLUMN(C16)-1)*5,1,1))</f>
        <v>1</v>
      </c>
      <c r="E19" s="5">
        <f ca="1">COUNTBLANK(OFFSET(Demand!$I28,0,(COLUMN(D16)-1)*5,1,1))</f>
        <v>1</v>
      </c>
      <c r="F19" s="5">
        <f ca="1">COUNTBLANK(OFFSET(Demand!$I28,0,(COLUMN(E16)-1)*5,1,1))</f>
        <v>1</v>
      </c>
      <c r="G19" s="5">
        <f ca="1">COUNTBLANK(OFFSET(Demand!$I28,0,(COLUMN(F16)-1)*5,1,1))</f>
        <v>1</v>
      </c>
      <c r="H19" s="5">
        <f ca="1">COUNTBLANK(OFFSET(Demand!$I28,0,(COLUMN(G16)-1)*5,1,1))</f>
        <v>1</v>
      </c>
      <c r="I19" s="5">
        <f ca="1">COUNTBLANK(OFFSET(Demand!$I28,0,(COLUMN(H16)-1)*5,1,1))</f>
        <v>1</v>
      </c>
      <c r="J19" s="5">
        <f ca="1">COUNTBLANK(OFFSET(Demand!$I28,0,(COLUMN(I16)-1)*5,1,1))</f>
        <v>1</v>
      </c>
      <c r="K19" s="5">
        <f ca="1">COUNTBLANK(OFFSET(Demand!$I28,0,(COLUMN(J16)-1)*5,1,1))</f>
        <v>1</v>
      </c>
      <c r="N19" s="5">
        <f ca="1">SUM(OFFSET(Demand!$E28,0,(COLUMN(A16)-1)*5,1,3))*N$2</f>
        <v>126</v>
      </c>
      <c r="O19" s="5">
        <f ca="1">SUM(OFFSET(Demand!$E28,0,(COLUMN(B16)-1)*5,1,3))*O$2</f>
        <v>0</v>
      </c>
      <c r="P19" s="5">
        <f ca="1">SUM(OFFSET(Demand!$E28,0,(COLUMN(C16)-1)*5,1,3))*P$2</f>
        <v>0</v>
      </c>
      <c r="Q19" s="5">
        <f ca="1">SUM(OFFSET(Demand!$E28,0,(COLUMN(D16)-1)*5,1,3))*Q$2</f>
        <v>0</v>
      </c>
      <c r="R19" s="5">
        <f ca="1">SUM(OFFSET(Demand!$E28,0,(COLUMN(E16)-1)*5,1,3))*R$2</f>
        <v>0</v>
      </c>
      <c r="S19" s="5">
        <f ca="1">SUM(OFFSET(Demand!$E28,0,(COLUMN(F16)-1)*5,1,3))*S$2</f>
        <v>0</v>
      </c>
      <c r="T19" s="5">
        <f ca="1">SUM(OFFSET(Demand!$E28,0,(COLUMN(G16)-1)*5,1,3))*T$2</f>
        <v>0</v>
      </c>
      <c r="U19" s="5">
        <f ca="1">SUM(OFFSET(Demand!$E28,0,(COLUMN(H16)-1)*5,1,3))*U$2</f>
        <v>0</v>
      </c>
      <c r="V19" s="5">
        <f ca="1">SUM(OFFSET(Demand!$E28,0,(COLUMN(I16)-1)*5,1,3))*V$2</f>
        <v>0</v>
      </c>
      <c r="W19" s="5">
        <f ca="1">SUM(OFFSET(Demand!$E28,0,(COLUMN(J16)-1)*5,1,3))*W$2</f>
        <v>0</v>
      </c>
      <c r="X19" s="5">
        <f t="shared" ca="1" si="4"/>
        <v>126</v>
      </c>
      <c r="Y19" s="5">
        <f t="shared" ca="1" si="5"/>
        <v>126</v>
      </c>
      <c r="Z19" s="5">
        <f ca="1">SUM(OFFSET(Demand!$H28,0,(COLUMN(A16)-1)*5,1,1))*N$2</f>
        <v>0</v>
      </c>
      <c r="AA19" s="5">
        <f ca="1">SUM(OFFSET(Demand!$H28,0,(COLUMN(B16)-1)*5,1,1))*O$2</f>
        <v>0</v>
      </c>
      <c r="AB19" s="5">
        <f ca="1">SUM(OFFSET(Demand!$H28,0,(COLUMN(C16)-1)*5,1,1))*P$2</f>
        <v>0</v>
      </c>
      <c r="AC19" s="5">
        <f ca="1">SUM(OFFSET(Demand!$H28,0,(COLUMN(D16)-1)*5,1,1))*Q$2</f>
        <v>0</v>
      </c>
      <c r="AD19" s="5">
        <f ca="1">SUM(OFFSET(Demand!$H28,0,(COLUMN(E16)-1)*5,1,1))*R$2</f>
        <v>0</v>
      </c>
      <c r="AE19" s="5">
        <f ca="1">SUM(OFFSET(Demand!$H28,0,(COLUMN(F16)-1)*5,1,1))*S$2</f>
        <v>0</v>
      </c>
      <c r="AF19" s="5">
        <f ca="1">SUM(OFFSET(Demand!$H28,0,(COLUMN(G16)-1)*5,1,1))*T$2</f>
        <v>0</v>
      </c>
      <c r="AG19" s="5">
        <f ca="1">SUM(OFFSET(Demand!$H28,0,(COLUMN(H16)-1)*5,1,1))*U$2</f>
        <v>0</v>
      </c>
      <c r="AH19" s="5">
        <f ca="1">SUM(OFFSET(Demand!$H28,0,(COLUMN(I16)-1)*5,1,1))*V$2</f>
        <v>0</v>
      </c>
      <c r="AI19" s="5">
        <f ca="1">SUM(OFFSET(Demand!$H28,0,(COLUMN(J16)-1)*5,1,1))*W$2</f>
        <v>0</v>
      </c>
      <c r="AJ19" s="5">
        <f t="shared" ca="1" si="6"/>
        <v>0</v>
      </c>
      <c r="AL19" s="5">
        <f t="shared" ca="1" si="8"/>
        <v>126</v>
      </c>
      <c r="AM19" s="5">
        <f t="shared" ca="1" si="9"/>
        <v>0</v>
      </c>
      <c r="AN19" s="5" t="str">
        <f>IF(Demand!BE28="Yes","Yes","")</f>
        <v/>
      </c>
      <c r="AP19" s="36" t="str">
        <f ca="1">Demand!B28</f>
        <v xml:space="preserve"> </v>
      </c>
      <c r="AQ19" s="5" t="str">
        <f ca="1">IF(TEXT(Demand!D28,"MMM")&lt;&gt;TEXT(Demand!D27,"MMM"),TEXT(Demand!D28,"MMM"),"")</f>
        <v/>
      </c>
      <c r="AT19" s="5">
        <f t="shared" ca="1" si="12"/>
        <v>12</v>
      </c>
      <c r="AV19" s="5" t="s">
        <v>107</v>
      </c>
      <c r="AW19" s="44" t="str">
        <f ca="1">IFERROR(AW18/1.128,"")</f>
        <v/>
      </c>
      <c r="AX19" s="5" t="str">
        <f ca="1">IFERROR(AX18/1.128,"")</f>
        <v/>
      </c>
      <c r="BQ19">
        <f ca="1">IF($AN19="",OFFSET(Demand!$A$13,ROW(A16)-1,4+((QUOTIENT(COLUMN(BQ$2)-69,3))*5)+MOD(COLUMN(BQ$2),3),1,1),"")</f>
        <v>0</v>
      </c>
      <c r="BR19">
        <f ca="1">IF($AN19="",OFFSET(Demand!$A$13,ROW(B16)-1,4+((QUOTIENT(COLUMN(BR$2)-69,3))*5)+MOD(COLUMN(BR$2),3),1,1),"")</f>
        <v>0</v>
      </c>
      <c r="BS19">
        <f ca="1">IF($AN19="",OFFSET(Demand!$A$13,ROW(C16)-1,4+((QUOTIENT(COLUMN(BS$2)-69,3))*5)+MOD(COLUMN(BS$2),3),1,1),"")</f>
        <v>63</v>
      </c>
      <c r="BT19">
        <f ca="1">IF($AN19="",OFFSET(Demand!$A$13,ROW(D16)-1,4+((QUOTIENT(COLUMN(BT$2)-69,3))*5)+MOD(COLUMN(BT$2),3),1,1),"")</f>
        <v>0</v>
      </c>
      <c r="BU19">
        <f ca="1">IF($AN19="",OFFSET(Demand!$A$13,ROW(E16)-1,4+((QUOTIENT(COLUMN(BU$2)-69,3))*5)+MOD(COLUMN(BU$2),3),1,1),"")</f>
        <v>0</v>
      </c>
      <c r="BV19">
        <f ca="1">IF($AN19="",OFFSET(Demand!$A$13,ROW(F16)-1,4+((QUOTIENT(COLUMN(BV$2)-69,3))*5)+MOD(COLUMN(BV$2),3),1,1),"")</f>
        <v>0</v>
      </c>
      <c r="BW19">
        <f ca="1">IF($AN19="",OFFSET(Demand!$A$13,ROW(G16)-1,4+((QUOTIENT(COLUMN(BW$2)-69,3))*5)+MOD(COLUMN(BW$2),3),1,1),"")</f>
        <v>0</v>
      </c>
      <c r="BX19">
        <f ca="1">IF($AN19="",OFFSET(Demand!$A$13,ROW(H16)-1,4+((QUOTIENT(COLUMN(BX$2)-69,3))*5)+MOD(COLUMN(BX$2),3),1,1),"")</f>
        <v>0</v>
      </c>
      <c r="BY19">
        <f ca="1">IF($AN19="",OFFSET(Demand!$A$13,ROW(I16)-1,4+((QUOTIENT(COLUMN(BY$2)-69,3))*5)+MOD(COLUMN(BY$2),3),1,1),"")</f>
        <v>0</v>
      </c>
      <c r="BZ19">
        <f ca="1">IF($AN19="",OFFSET(Demand!$A$13,ROW(J16)-1,4+((QUOTIENT(COLUMN(BZ$2)-69,3))*5)+MOD(COLUMN(BZ$2),3),1,1),"")</f>
        <v>0</v>
      </c>
      <c r="CA19">
        <f ca="1">IF($AN19="",OFFSET(Demand!$A$13,ROW(K16)-1,4+((QUOTIENT(COLUMN(CA$2)-69,3))*5)+MOD(COLUMN(CA$2),3),1,1),"")</f>
        <v>0</v>
      </c>
      <c r="CB19">
        <f ca="1">IF($AN19="",OFFSET(Demand!$A$13,ROW(L16)-1,4+((QUOTIENT(COLUMN(CB$2)-69,3))*5)+MOD(COLUMN(CB$2),3),1,1),"")</f>
        <v>0</v>
      </c>
      <c r="CC19">
        <f ca="1">IF($AN19="",OFFSET(Demand!$A$13,ROW(M16)-1,4+((QUOTIENT(COLUMN(CC$2)-69,3))*5)+MOD(COLUMN(CC$2),3),1,1),"")</f>
        <v>0</v>
      </c>
      <c r="CD19">
        <f ca="1">IF($AN19="",OFFSET(Demand!$A$13,ROW(N16)-1,4+((QUOTIENT(COLUMN(CD$2)-69,3))*5)+MOD(COLUMN(CD$2),3),1,1),"")</f>
        <v>0</v>
      </c>
      <c r="CE19">
        <f ca="1">IF($AN19="",OFFSET(Demand!$A$13,ROW(O16)-1,4+((QUOTIENT(COLUMN(CE$2)-69,3))*5)+MOD(COLUMN(CE$2),3),1,1),"")</f>
        <v>0</v>
      </c>
      <c r="CF19">
        <f ca="1">IF($AN19="",OFFSET(Demand!$A$13,ROW(P16)-1,4+((QUOTIENT(COLUMN(CF$2)-69,3))*5)+MOD(COLUMN(CF$2),3),1,1),"")</f>
        <v>0</v>
      </c>
      <c r="CG19">
        <f ca="1">IF($AN19="",OFFSET(Demand!$A$13,ROW(Q16)-1,4+((QUOTIENT(COLUMN(CG$2)-69,3))*5)+MOD(COLUMN(CG$2),3),1,1),"")</f>
        <v>0</v>
      </c>
      <c r="CH19">
        <f ca="1">IF($AN19="",OFFSET(Demand!$A$13,ROW(R16)-1,4+((QUOTIENT(COLUMN(CH$2)-69,3))*5)+MOD(COLUMN(CH$2),3),1,1),"")</f>
        <v>0</v>
      </c>
      <c r="CI19">
        <f ca="1">IF($AN19="",OFFSET(Demand!$A$13,ROW(S16)-1,4+((QUOTIENT(COLUMN(CI$2)-69,3))*5)+MOD(COLUMN(CI$2),3),1,1),"")</f>
        <v>0</v>
      </c>
      <c r="CJ19">
        <f ca="1">IF($AN19="",OFFSET(Demand!$A$13,ROW(T16)-1,4+((QUOTIENT(COLUMN(CJ$2)-69,3))*5)+MOD(COLUMN(CJ$2),3),1,1),"")</f>
        <v>0</v>
      </c>
      <c r="CK19">
        <f ca="1">IF($AN19="",OFFSET(Demand!$A$13,ROW(U16)-1,4+((QUOTIENT(COLUMN(CK$2)-69,3))*5)+MOD(COLUMN(CK$2),3),1,1),"")</f>
        <v>0</v>
      </c>
      <c r="CL19">
        <f ca="1">IF($AN19="",OFFSET(Demand!$A$13,ROW(V16)-1,4+((QUOTIENT(COLUMN(CL$2)-69,3))*5)+MOD(COLUMN(CL$2),3),1,1),"")</f>
        <v>0</v>
      </c>
      <c r="CM19">
        <f ca="1">IF($AN19="",OFFSET(Demand!$A$13,ROW(W16)-1,4+((QUOTIENT(COLUMN(CM$2)-69,3))*5)+MOD(COLUMN(CM$2),3),1,1),"")</f>
        <v>0</v>
      </c>
      <c r="CN19">
        <f ca="1">IF($AN19="",OFFSET(Demand!$A$13,ROW(X16)-1,4+((QUOTIENT(COLUMN(CN$2)-69,3))*5)+MOD(COLUMN(CN$2),3),1,1),"")</f>
        <v>0</v>
      </c>
      <c r="CO19">
        <f ca="1">IF($AN19="",OFFSET(Demand!$A$13,ROW(Y16)-1,4+((QUOTIENT(COLUMN(CO$2)-69,3))*5)+MOD(COLUMN(CO$2),3),1,1),"")</f>
        <v>0</v>
      </c>
      <c r="CP19">
        <f ca="1">IF($AN19="",OFFSET(Demand!$A$13,ROW(Z16)-1,4+((QUOTIENT(COLUMN(CP$2)-69,3))*5)+MOD(COLUMN(CP$2),3),1,1),"")</f>
        <v>0</v>
      </c>
      <c r="CQ19">
        <f ca="1">IF($AN19="",OFFSET(Demand!$A$13,ROW(AA16)-1,4+((QUOTIENT(COLUMN(CQ$2)-69,3))*5)+MOD(COLUMN(CQ$2),3),1,1),"")</f>
        <v>0</v>
      </c>
      <c r="CR19">
        <f ca="1">IF($AN19="",OFFSET(Demand!$A$13,ROW(AB16)-1,4+((QUOTIENT(COLUMN(CR$2)-69,3))*5)+MOD(COLUMN(CR$2),3),1,1),"")</f>
        <v>0</v>
      </c>
      <c r="CS19">
        <f ca="1">IF($AN19="",OFFSET(Demand!$A$13,ROW(AC16)-1,4+((QUOTIENT(COLUMN(CS$2)-69,3))*5)+MOD(COLUMN(CS$2),3),1,1),"")</f>
        <v>0</v>
      </c>
      <c r="CT19">
        <f ca="1">IF($AN19="",OFFSET(Demand!$A$13,ROW(AD16)-1,4+((QUOTIENT(COLUMN(CT$2)-69,3))*5)+MOD(COLUMN(CT$2),3),1,1),"")</f>
        <v>0</v>
      </c>
      <c r="CW19" s="5">
        <f ca="1">SUM(OFFSET(Demand!$H$43,ROW(A16)-1,(COLUMN(A16)-1)*5,1,1))*N$2</f>
        <v>0</v>
      </c>
      <c r="CX19" s="5">
        <f ca="1">SUM(OFFSET(Demand!$H$43,ROW(B16)-1,(COLUMN(B16)-1)*5,1,1))*O$2</f>
        <v>0</v>
      </c>
      <c r="CY19" s="5">
        <f ca="1">SUM(OFFSET(Demand!$H$43,ROW(C16)-1,(COLUMN(C16)-1)*5,1,1))*P$2</f>
        <v>0</v>
      </c>
      <c r="CZ19" s="5">
        <f ca="1">SUM(OFFSET(Demand!$H$43,ROW(D16)-1,(COLUMN(D16)-1)*5,1,1))*Q$2</f>
        <v>0</v>
      </c>
      <c r="DA19" s="5">
        <f ca="1">SUM(OFFSET(Demand!$H$43,ROW(E16)-1,(COLUMN(E16)-1)*5,1,1))*R$2</f>
        <v>0</v>
      </c>
      <c r="DB19" s="5">
        <f ca="1">SUM(OFFSET(Demand!$H$43,ROW(F16)-1,(COLUMN(F16)-1)*5,1,1))*S$2</f>
        <v>0</v>
      </c>
      <c r="DC19" s="5">
        <f ca="1">SUM(OFFSET(Demand!$H$43,ROW(G16)-1,(COLUMN(G16)-1)*5,1,1))*T$2</f>
        <v>0</v>
      </c>
      <c r="DD19" s="5">
        <f ca="1">SUM(OFFSET(Demand!$H$43,ROW(H16)-1,(COLUMN(H16)-1)*5,1,1))*U$2</f>
        <v>0</v>
      </c>
      <c r="DE19" s="5">
        <f ca="1">SUM(OFFSET(Demand!$H$43,ROW(I16)-1,(COLUMN(I16)-1)*5,1,1))*V$2</f>
        <v>0</v>
      </c>
      <c r="DF19" s="5">
        <f ca="1">SUM(OFFSET(Demand!$H$43,ROW(J16)-1,(COLUMN(J16)-1)*5,1,1))*W$2</f>
        <v>0</v>
      </c>
      <c r="DG19" s="5">
        <f ca="1">IF(OR(AN19&lt;&gt;"",AND('Demand adjustments for Covid'!$F$9="Yes",'Demand adjustments for Covid'!$F$20="Yes")),"",SUM(CW19:DF19))</f>
        <v>0</v>
      </c>
      <c r="DM19" s="5">
        <f t="shared" si="10"/>
        <v>31</v>
      </c>
      <c r="DN19" s="320">
        <f t="shared" si="17"/>
        <v>44039</v>
      </c>
      <c r="DO19" s="5">
        <f ca="1">VLOOKUP(IF($DM19&lt;53,$DM19,52),'Summary Calculations (hide)'!$D$15:$F$67,2,0)</f>
        <v>126</v>
      </c>
      <c r="DP19" s="5">
        <f ca="1">VLOOKUP(IF($DM19&lt;53,$DM19,52),'Summary Calculations (hide)'!$D$15:$F$67,3,0)</f>
        <v>138.60000000000002</v>
      </c>
      <c r="DQ19" s="5">
        <f ca="1">IF(AND(DN19&gt;='Demand adjustments for Covid'!$F$12,DN19&lt;'Demand adjustments for Covid'!$F$17),'Demand adjustments for Covid'!$F$13,DO19)</f>
        <v>126</v>
      </c>
      <c r="DR19" s="5">
        <f t="shared" si="7"/>
        <v>0</v>
      </c>
      <c r="DS19" s="5">
        <f ca="1">IF('Demand adjustments for Covid'!$F$9="Yes",IF(DR19=0,DQ19,((SUM(DR$4:DR19)-1)*$EE$8)+'Demand adjustments for Covid'!F$13),'Demand background (hide)'!DO19)</f>
        <v>126</v>
      </c>
      <c r="DT19" s="5">
        <f ca="1">IF('Demand adjustments for Covid'!$F$9="Yes",IF(OR(AND(DN19&gt;='Demand adjustments for Covid'!$F$12,DN19&lt;'Demand adjustments for Covid'!$F$17),DR19=1),DS19+3,DP19),'Demand background (hide)'!DP19)</f>
        <v>138.60000000000002</v>
      </c>
      <c r="DU19" s="5">
        <f ca="1">IF(DS19&lt;='Demand adjustments for Covid'!$F$17,DO19-DS19,0)</f>
        <v>0</v>
      </c>
      <c r="DV19" s="5">
        <f ca="1">IF(AND(ROW(A16)&gt;$EE$5,ROW(A16)&lt;=$EA$5),OFFSET('Demand adjustments for Covid'!$F$35,0,ROW(A16)-'Demand background (hide)'!$EE$5,1,1),0)</f>
        <v>0</v>
      </c>
      <c r="DW19" s="5">
        <f ca="1">IF(AND(ROW(A16)&gt;$EE$5,ROW(A16)&lt;=$EA$5),OFFSET('Demand adjustments for Covid'!$F$36,0,ROW(A16)-'Demand background (hide)'!$EE$5,1,1),0)</f>
        <v>0</v>
      </c>
      <c r="DX19" s="5">
        <f t="shared" ca="1" si="11"/>
        <v>138.60000000000002</v>
      </c>
    </row>
    <row r="20" spans="1:128" s="5" customFormat="1" x14ac:dyDescent="0.25">
      <c r="A20" s="5">
        <f t="shared" ca="1" si="3"/>
        <v>0</v>
      </c>
      <c r="B20" s="5">
        <f ca="1">COUNTBLANK(OFFSET(Demand!$I29,0,(COLUMN(A17)-1)*5,1,1))</f>
        <v>0</v>
      </c>
      <c r="C20" s="5">
        <f ca="1">COUNTBLANK(OFFSET(Demand!$I29,0,(COLUMN(B17)-1)*5,1,1))</f>
        <v>1</v>
      </c>
      <c r="D20" s="5">
        <f ca="1">COUNTBLANK(OFFSET(Demand!$I29,0,(COLUMN(C17)-1)*5,1,1))</f>
        <v>1</v>
      </c>
      <c r="E20" s="5">
        <f ca="1">COUNTBLANK(OFFSET(Demand!$I29,0,(COLUMN(D17)-1)*5,1,1))</f>
        <v>1</v>
      </c>
      <c r="F20" s="5">
        <f ca="1">COUNTBLANK(OFFSET(Demand!$I29,0,(COLUMN(E17)-1)*5,1,1))</f>
        <v>1</v>
      </c>
      <c r="G20" s="5">
        <f ca="1">COUNTBLANK(OFFSET(Demand!$I29,0,(COLUMN(F17)-1)*5,1,1))</f>
        <v>1</v>
      </c>
      <c r="H20" s="5">
        <f ca="1">COUNTBLANK(OFFSET(Demand!$I29,0,(COLUMN(G17)-1)*5,1,1))</f>
        <v>1</v>
      </c>
      <c r="I20" s="5">
        <f ca="1">COUNTBLANK(OFFSET(Demand!$I29,0,(COLUMN(H17)-1)*5,1,1))</f>
        <v>1</v>
      </c>
      <c r="J20" s="5">
        <f ca="1">COUNTBLANK(OFFSET(Demand!$I29,0,(COLUMN(I17)-1)*5,1,1))</f>
        <v>1</v>
      </c>
      <c r="K20" s="5">
        <f ca="1">COUNTBLANK(OFFSET(Demand!$I29,0,(COLUMN(J17)-1)*5,1,1))</f>
        <v>1</v>
      </c>
      <c r="N20" s="5">
        <f ca="1">SUM(OFFSET(Demand!$E29,0,(COLUMN(A17)-1)*5,1,3))*N$2</f>
        <v>152</v>
      </c>
      <c r="O20" s="5">
        <f ca="1">SUM(OFFSET(Demand!$E29,0,(COLUMN(B17)-1)*5,1,3))*O$2</f>
        <v>0</v>
      </c>
      <c r="P20" s="5">
        <f ca="1">SUM(OFFSET(Demand!$E29,0,(COLUMN(C17)-1)*5,1,3))*P$2</f>
        <v>0</v>
      </c>
      <c r="Q20" s="5">
        <f ca="1">SUM(OFFSET(Demand!$E29,0,(COLUMN(D17)-1)*5,1,3))*Q$2</f>
        <v>0</v>
      </c>
      <c r="R20" s="5">
        <f ca="1">SUM(OFFSET(Demand!$E29,0,(COLUMN(E17)-1)*5,1,3))*R$2</f>
        <v>0</v>
      </c>
      <c r="S20" s="5">
        <f ca="1">SUM(OFFSET(Demand!$E29,0,(COLUMN(F17)-1)*5,1,3))*S$2</f>
        <v>0</v>
      </c>
      <c r="T20" s="5">
        <f ca="1">SUM(OFFSET(Demand!$E29,0,(COLUMN(G17)-1)*5,1,3))*T$2</f>
        <v>0</v>
      </c>
      <c r="U20" s="5">
        <f ca="1">SUM(OFFSET(Demand!$E29,0,(COLUMN(H17)-1)*5,1,3))*U$2</f>
        <v>0</v>
      </c>
      <c r="V20" s="5">
        <f ca="1">SUM(OFFSET(Demand!$E29,0,(COLUMN(I17)-1)*5,1,3))*V$2</f>
        <v>0</v>
      </c>
      <c r="W20" s="5">
        <f ca="1">SUM(OFFSET(Demand!$E29,0,(COLUMN(J17)-1)*5,1,3))*W$2</f>
        <v>0</v>
      </c>
      <c r="X20" s="5">
        <f t="shared" ca="1" si="4"/>
        <v>152</v>
      </c>
      <c r="Y20" s="5">
        <f t="shared" ca="1" si="5"/>
        <v>152</v>
      </c>
      <c r="Z20" s="5">
        <f ca="1">SUM(OFFSET(Demand!$H29,0,(COLUMN(A17)-1)*5,1,1))*N$2</f>
        <v>0</v>
      </c>
      <c r="AA20" s="5">
        <f ca="1">SUM(OFFSET(Demand!$H29,0,(COLUMN(B17)-1)*5,1,1))*O$2</f>
        <v>0</v>
      </c>
      <c r="AB20" s="5">
        <f ca="1">SUM(OFFSET(Demand!$H29,0,(COLUMN(C17)-1)*5,1,1))*P$2</f>
        <v>0</v>
      </c>
      <c r="AC20" s="5">
        <f ca="1">SUM(OFFSET(Demand!$H29,0,(COLUMN(D17)-1)*5,1,1))*Q$2</f>
        <v>0</v>
      </c>
      <c r="AD20" s="5">
        <f ca="1">SUM(OFFSET(Demand!$H29,0,(COLUMN(E17)-1)*5,1,1))*R$2</f>
        <v>0</v>
      </c>
      <c r="AE20" s="5">
        <f ca="1">SUM(OFFSET(Demand!$H29,0,(COLUMN(F17)-1)*5,1,1))*S$2</f>
        <v>0</v>
      </c>
      <c r="AF20" s="5">
        <f ca="1">SUM(OFFSET(Demand!$H29,0,(COLUMN(G17)-1)*5,1,1))*T$2</f>
        <v>0</v>
      </c>
      <c r="AG20" s="5">
        <f ca="1">SUM(OFFSET(Demand!$H29,0,(COLUMN(H17)-1)*5,1,1))*U$2</f>
        <v>0</v>
      </c>
      <c r="AH20" s="5">
        <f ca="1">SUM(OFFSET(Demand!$H29,0,(COLUMN(I17)-1)*5,1,1))*V$2</f>
        <v>0</v>
      </c>
      <c r="AI20" s="5">
        <f ca="1">SUM(OFFSET(Demand!$H29,0,(COLUMN(J17)-1)*5,1,1))*W$2</f>
        <v>0</v>
      </c>
      <c r="AJ20" s="5">
        <f t="shared" ca="1" si="6"/>
        <v>0</v>
      </c>
      <c r="AL20" s="5">
        <f t="shared" ca="1" si="8"/>
        <v>152</v>
      </c>
      <c r="AM20" s="5">
        <f t="shared" ca="1" si="9"/>
        <v>0</v>
      </c>
      <c r="AN20" s="5" t="str">
        <f>IF(Demand!BE29="Yes","Yes","")</f>
        <v/>
      </c>
      <c r="AP20" s="36" t="str">
        <f ca="1">Demand!B29</f>
        <v xml:space="preserve"> </v>
      </c>
      <c r="AQ20" s="5" t="str">
        <f ca="1">IF(TEXT(Demand!D29,"MMM")&lt;&gt;TEXT(Demand!D28,"MMM"),TEXT(Demand!D29,"MMM"),"")</f>
        <v/>
      </c>
      <c r="AT20" s="5">
        <f t="shared" ca="1" si="12"/>
        <v>26</v>
      </c>
      <c r="AV20" s="5" t="s">
        <v>137</v>
      </c>
      <c r="AW20" s="44" t="str">
        <f ca="1">IFERROR(PERCENTILE(OFFSET(AL$4,'SPC background (hide)'!$D$8-1,0,'SPC background (hide)'!$H$9,1),'Control sheet (hide)'!$I$9),"")</f>
        <v/>
      </c>
      <c r="AX20" s="5" t="str">
        <f ca="1">IFERROR(PERCENTILE(OFFSET(AM$4,'SPC background (hide)'!$C$8-1,0,'SPC background (hide)'!$H$9,1),'Control sheet (hide)'!$I$9),"")</f>
        <v/>
      </c>
      <c r="BI20" s="5" t="s">
        <v>412</v>
      </c>
      <c r="BJ20" s="46">
        <f ca="1">BJ18/BM18</f>
        <v>0</v>
      </c>
      <c r="BK20" s="46">
        <f ca="1">BK18/BM18</f>
        <v>0</v>
      </c>
      <c r="BL20" s="46">
        <f ca="1">BL18/BM18</f>
        <v>1</v>
      </c>
      <c r="BQ20">
        <f ca="1">IF($AN20="",OFFSET(Demand!$A$13,ROW(A17)-1,4+((QUOTIENT(COLUMN(BQ$2)-69,3))*5)+MOD(COLUMN(BQ$2),3),1,1),"")</f>
        <v>0</v>
      </c>
      <c r="BR20">
        <f ca="1">IF($AN20="",OFFSET(Demand!$A$13,ROW(B17)-1,4+((QUOTIENT(COLUMN(BR$2)-69,3))*5)+MOD(COLUMN(BR$2),3),1,1),"")</f>
        <v>0</v>
      </c>
      <c r="BS20">
        <f ca="1">IF($AN20="",OFFSET(Demand!$A$13,ROW(C17)-1,4+((QUOTIENT(COLUMN(BS$2)-69,3))*5)+MOD(COLUMN(BS$2),3),1,1),"")</f>
        <v>76</v>
      </c>
      <c r="BT20">
        <f ca="1">IF($AN20="",OFFSET(Demand!$A$13,ROW(D17)-1,4+((QUOTIENT(COLUMN(BT$2)-69,3))*5)+MOD(COLUMN(BT$2),3),1,1),"")</f>
        <v>0</v>
      </c>
      <c r="BU20">
        <f ca="1">IF($AN20="",OFFSET(Demand!$A$13,ROW(E17)-1,4+((QUOTIENT(COLUMN(BU$2)-69,3))*5)+MOD(COLUMN(BU$2),3),1,1),"")</f>
        <v>0</v>
      </c>
      <c r="BV20">
        <f ca="1">IF($AN20="",OFFSET(Demand!$A$13,ROW(F17)-1,4+((QUOTIENT(COLUMN(BV$2)-69,3))*5)+MOD(COLUMN(BV$2),3),1,1),"")</f>
        <v>0</v>
      </c>
      <c r="BW20">
        <f ca="1">IF($AN20="",OFFSET(Demand!$A$13,ROW(G17)-1,4+((QUOTIENT(COLUMN(BW$2)-69,3))*5)+MOD(COLUMN(BW$2),3),1,1),"")</f>
        <v>0</v>
      </c>
      <c r="BX20">
        <f ca="1">IF($AN20="",OFFSET(Demand!$A$13,ROW(H17)-1,4+((QUOTIENT(COLUMN(BX$2)-69,3))*5)+MOD(COLUMN(BX$2),3),1,1),"")</f>
        <v>0</v>
      </c>
      <c r="BY20">
        <f ca="1">IF($AN20="",OFFSET(Demand!$A$13,ROW(I17)-1,4+((QUOTIENT(COLUMN(BY$2)-69,3))*5)+MOD(COLUMN(BY$2),3),1,1),"")</f>
        <v>0</v>
      </c>
      <c r="BZ20">
        <f ca="1">IF($AN20="",OFFSET(Demand!$A$13,ROW(J17)-1,4+((QUOTIENT(COLUMN(BZ$2)-69,3))*5)+MOD(COLUMN(BZ$2),3),1,1),"")</f>
        <v>0</v>
      </c>
      <c r="CA20">
        <f ca="1">IF($AN20="",OFFSET(Demand!$A$13,ROW(K17)-1,4+((QUOTIENT(COLUMN(CA$2)-69,3))*5)+MOD(COLUMN(CA$2),3),1,1),"")</f>
        <v>0</v>
      </c>
      <c r="CB20">
        <f ca="1">IF($AN20="",OFFSET(Demand!$A$13,ROW(L17)-1,4+((QUOTIENT(COLUMN(CB$2)-69,3))*5)+MOD(COLUMN(CB$2),3),1,1),"")</f>
        <v>0</v>
      </c>
      <c r="CC20">
        <f ca="1">IF($AN20="",OFFSET(Demand!$A$13,ROW(M17)-1,4+((QUOTIENT(COLUMN(CC$2)-69,3))*5)+MOD(COLUMN(CC$2),3),1,1),"")</f>
        <v>0</v>
      </c>
      <c r="CD20">
        <f ca="1">IF($AN20="",OFFSET(Demand!$A$13,ROW(N17)-1,4+((QUOTIENT(COLUMN(CD$2)-69,3))*5)+MOD(COLUMN(CD$2),3),1,1),"")</f>
        <v>0</v>
      </c>
      <c r="CE20">
        <f ca="1">IF($AN20="",OFFSET(Demand!$A$13,ROW(O17)-1,4+((QUOTIENT(COLUMN(CE$2)-69,3))*5)+MOD(COLUMN(CE$2),3),1,1),"")</f>
        <v>0</v>
      </c>
      <c r="CF20">
        <f ca="1">IF($AN20="",OFFSET(Demand!$A$13,ROW(P17)-1,4+((QUOTIENT(COLUMN(CF$2)-69,3))*5)+MOD(COLUMN(CF$2),3),1,1),"")</f>
        <v>0</v>
      </c>
      <c r="CG20">
        <f ca="1">IF($AN20="",OFFSET(Demand!$A$13,ROW(Q17)-1,4+((QUOTIENT(COLUMN(CG$2)-69,3))*5)+MOD(COLUMN(CG$2),3),1,1),"")</f>
        <v>0</v>
      </c>
      <c r="CH20">
        <f ca="1">IF($AN20="",OFFSET(Demand!$A$13,ROW(R17)-1,4+((QUOTIENT(COLUMN(CH$2)-69,3))*5)+MOD(COLUMN(CH$2),3),1,1),"")</f>
        <v>0</v>
      </c>
      <c r="CI20">
        <f ca="1">IF($AN20="",OFFSET(Demand!$A$13,ROW(S17)-1,4+((QUOTIENT(COLUMN(CI$2)-69,3))*5)+MOD(COLUMN(CI$2),3),1,1),"")</f>
        <v>0</v>
      </c>
      <c r="CJ20">
        <f ca="1">IF($AN20="",OFFSET(Demand!$A$13,ROW(T17)-1,4+((QUOTIENT(COLUMN(CJ$2)-69,3))*5)+MOD(COLUMN(CJ$2),3),1,1),"")</f>
        <v>0</v>
      </c>
      <c r="CK20">
        <f ca="1">IF($AN20="",OFFSET(Demand!$A$13,ROW(U17)-1,4+((QUOTIENT(COLUMN(CK$2)-69,3))*5)+MOD(COLUMN(CK$2),3),1,1),"")</f>
        <v>0</v>
      </c>
      <c r="CL20">
        <f ca="1">IF($AN20="",OFFSET(Demand!$A$13,ROW(V17)-1,4+((QUOTIENT(COLUMN(CL$2)-69,3))*5)+MOD(COLUMN(CL$2),3),1,1),"")</f>
        <v>0</v>
      </c>
      <c r="CM20">
        <f ca="1">IF($AN20="",OFFSET(Demand!$A$13,ROW(W17)-1,4+((QUOTIENT(COLUMN(CM$2)-69,3))*5)+MOD(COLUMN(CM$2),3),1,1),"")</f>
        <v>0</v>
      </c>
      <c r="CN20">
        <f ca="1">IF($AN20="",OFFSET(Demand!$A$13,ROW(X17)-1,4+((QUOTIENT(COLUMN(CN$2)-69,3))*5)+MOD(COLUMN(CN$2),3),1,1),"")</f>
        <v>0</v>
      </c>
      <c r="CO20">
        <f ca="1">IF($AN20="",OFFSET(Demand!$A$13,ROW(Y17)-1,4+((QUOTIENT(COLUMN(CO$2)-69,3))*5)+MOD(COLUMN(CO$2),3),1,1),"")</f>
        <v>0</v>
      </c>
      <c r="CP20">
        <f ca="1">IF($AN20="",OFFSET(Demand!$A$13,ROW(Z17)-1,4+((QUOTIENT(COLUMN(CP$2)-69,3))*5)+MOD(COLUMN(CP$2),3),1,1),"")</f>
        <v>0</v>
      </c>
      <c r="CQ20">
        <f ca="1">IF($AN20="",OFFSET(Demand!$A$13,ROW(AA17)-1,4+((QUOTIENT(COLUMN(CQ$2)-69,3))*5)+MOD(COLUMN(CQ$2),3),1,1),"")</f>
        <v>0</v>
      </c>
      <c r="CR20">
        <f ca="1">IF($AN20="",OFFSET(Demand!$A$13,ROW(AB17)-1,4+((QUOTIENT(COLUMN(CR$2)-69,3))*5)+MOD(COLUMN(CR$2),3),1,1),"")</f>
        <v>0</v>
      </c>
      <c r="CS20">
        <f ca="1">IF($AN20="",OFFSET(Demand!$A$13,ROW(AC17)-1,4+((QUOTIENT(COLUMN(CS$2)-69,3))*5)+MOD(COLUMN(CS$2),3),1,1),"")</f>
        <v>0</v>
      </c>
      <c r="CT20">
        <f ca="1">IF($AN20="",OFFSET(Demand!$A$13,ROW(AD17)-1,4+((QUOTIENT(COLUMN(CT$2)-69,3))*5)+MOD(COLUMN(CT$2),3),1,1),"")</f>
        <v>0</v>
      </c>
      <c r="CW20" s="5">
        <f ca="1">SUM(OFFSET(Demand!$H$43,ROW(A17)-1,(COLUMN(A17)-1)*5,1,1))*N$2</f>
        <v>0</v>
      </c>
      <c r="CX20" s="5">
        <f ca="1">SUM(OFFSET(Demand!$H$43,ROW(B17)-1,(COLUMN(B17)-1)*5,1,1))*O$2</f>
        <v>0</v>
      </c>
      <c r="CY20" s="5">
        <f ca="1">SUM(OFFSET(Demand!$H$43,ROW(C17)-1,(COLUMN(C17)-1)*5,1,1))*P$2</f>
        <v>0</v>
      </c>
      <c r="CZ20" s="5">
        <f ca="1">SUM(OFFSET(Demand!$H$43,ROW(D17)-1,(COLUMN(D17)-1)*5,1,1))*Q$2</f>
        <v>0</v>
      </c>
      <c r="DA20" s="5">
        <f ca="1">SUM(OFFSET(Demand!$H$43,ROW(E17)-1,(COLUMN(E17)-1)*5,1,1))*R$2</f>
        <v>0</v>
      </c>
      <c r="DB20" s="5">
        <f ca="1">SUM(OFFSET(Demand!$H$43,ROW(F17)-1,(COLUMN(F17)-1)*5,1,1))*S$2</f>
        <v>0</v>
      </c>
      <c r="DC20" s="5">
        <f ca="1">SUM(OFFSET(Demand!$H$43,ROW(G17)-1,(COLUMN(G17)-1)*5,1,1))*T$2</f>
        <v>0</v>
      </c>
      <c r="DD20" s="5">
        <f ca="1">SUM(OFFSET(Demand!$H$43,ROW(H17)-1,(COLUMN(H17)-1)*5,1,1))*U$2</f>
        <v>0</v>
      </c>
      <c r="DE20" s="5">
        <f ca="1">SUM(OFFSET(Demand!$H$43,ROW(I17)-1,(COLUMN(I17)-1)*5,1,1))*V$2</f>
        <v>0</v>
      </c>
      <c r="DF20" s="5">
        <f ca="1">SUM(OFFSET(Demand!$H$43,ROW(J17)-1,(COLUMN(J17)-1)*5,1,1))*W$2</f>
        <v>0</v>
      </c>
      <c r="DG20" s="5">
        <f ca="1">IF(OR(AN20&lt;&gt;"",AND('Demand adjustments for Covid'!$F$9="Yes",'Demand adjustments for Covid'!$F$20="Yes")),"",SUM(CW20:DF20))</f>
        <v>0</v>
      </c>
      <c r="DM20" s="5">
        <f t="shared" si="10"/>
        <v>32</v>
      </c>
      <c r="DN20" s="320">
        <f t="shared" si="17"/>
        <v>44046</v>
      </c>
      <c r="DO20" s="5">
        <f ca="1">VLOOKUP(IF($DM20&lt;53,$DM20,52),'Summary Calculations (hide)'!$D$15:$F$67,2,0)</f>
        <v>152</v>
      </c>
      <c r="DP20" s="5">
        <f ca="1">VLOOKUP(IF($DM20&lt;53,$DM20,52),'Summary Calculations (hide)'!$D$15:$F$67,3,0)</f>
        <v>167.20000000000002</v>
      </c>
      <c r="DQ20" s="5">
        <f ca="1">IF(AND(DN20&gt;='Demand adjustments for Covid'!$F$12,DN20&lt;'Demand adjustments for Covid'!$F$17),'Demand adjustments for Covid'!$F$13,DO20)</f>
        <v>152</v>
      </c>
      <c r="DR20" s="5">
        <f t="shared" si="7"/>
        <v>0</v>
      </c>
      <c r="DS20" s="5">
        <f ca="1">IF('Demand adjustments for Covid'!$F$9="Yes",IF(DR20=0,DQ20,((SUM(DR$4:DR20)-1)*$EE$8)+'Demand adjustments for Covid'!F$13),'Demand background (hide)'!DO20)</f>
        <v>152</v>
      </c>
      <c r="DT20" s="5">
        <f ca="1">IF('Demand adjustments for Covid'!$F$9="Yes",IF(OR(AND(DN20&gt;='Demand adjustments for Covid'!$F$12,DN20&lt;'Demand adjustments for Covid'!$F$17),DR20=1),DS20+3,DP20),'Demand background (hide)'!DP20)</f>
        <v>167.20000000000002</v>
      </c>
      <c r="DU20" s="5">
        <f ca="1">IF(DS20&lt;='Demand adjustments for Covid'!$F$17,DO20-DS20,0)</f>
        <v>0</v>
      </c>
      <c r="DV20" s="5">
        <f ca="1">IF(AND(ROW(A17)&gt;$EE$5,ROW(A17)&lt;=$EA$5),OFFSET('Demand adjustments for Covid'!$F$35,0,ROW(A17)-'Demand background (hide)'!$EE$5,1,1),0)</f>
        <v>0</v>
      </c>
      <c r="DW20" s="5">
        <f ca="1">IF(AND(ROW(A17)&gt;$EE$5,ROW(A17)&lt;=$EA$5),OFFSET('Demand adjustments for Covid'!$F$36,0,ROW(A17)-'Demand background (hide)'!$EE$5,1,1),0)</f>
        <v>0</v>
      </c>
      <c r="DX20" s="5">
        <f t="shared" ca="1" si="11"/>
        <v>167.20000000000002</v>
      </c>
    </row>
    <row r="21" spans="1:128" s="5" customFormat="1" x14ac:dyDescent="0.25">
      <c r="A21" s="5">
        <f t="shared" ca="1" si="3"/>
        <v>0</v>
      </c>
      <c r="B21" s="5">
        <f ca="1">COUNTBLANK(OFFSET(Demand!$I30,0,(COLUMN(A18)-1)*5,1,1))</f>
        <v>0</v>
      </c>
      <c r="C21" s="5">
        <f ca="1">COUNTBLANK(OFFSET(Demand!$I30,0,(COLUMN(B18)-1)*5,1,1))</f>
        <v>1</v>
      </c>
      <c r="D21" s="5">
        <f ca="1">COUNTBLANK(OFFSET(Demand!$I30,0,(COLUMN(C18)-1)*5,1,1))</f>
        <v>1</v>
      </c>
      <c r="E21" s="5">
        <f ca="1">COUNTBLANK(OFFSET(Demand!$I30,0,(COLUMN(D18)-1)*5,1,1))</f>
        <v>1</v>
      </c>
      <c r="F21" s="5">
        <f ca="1">COUNTBLANK(OFFSET(Demand!$I30,0,(COLUMN(E18)-1)*5,1,1))</f>
        <v>1</v>
      </c>
      <c r="G21" s="5">
        <f ca="1">COUNTBLANK(OFFSET(Demand!$I30,0,(COLUMN(F18)-1)*5,1,1))</f>
        <v>1</v>
      </c>
      <c r="H21" s="5">
        <f ca="1">COUNTBLANK(OFFSET(Demand!$I30,0,(COLUMN(G18)-1)*5,1,1))</f>
        <v>1</v>
      </c>
      <c r="I21" s="5">
        <f ca="1">COUNTBLANK(OFFSET(Demand!$I30,0,(COLUMN(H18)-1)*5,1,1))</f>
        <v>1</v>
      </c>
      <c r="J21" s="5">
        <f ca="1">COUNTBLANK(OFFSET(Demand!$I30,0,(COLUMN(I18)-1)*5,1,1))</f>
        <v>1</v>
      </c>
      <c r="K21" s="5">
        <f ca="1">COUNTBLANK(OFFSET(Demand!$I30,0,(COLUMN(J18)-1)*5,1,1))</f>
        <v>1</v>
      </c>
      <c r="N21" s="5">
        <f ca="1">SUM(OFFSET(Demand!$E30,0,(COLUMN(A18)-1)*5,1,3))*N$2</f>
        <v>128</v>
      </c>
      <c r="O21" s="5">
        <f ca="1">SUM(OFFSET(Demand!$E30,0,(COLUMN(B18)-1)*5,1,3))*O$2</f>
        <v>0</v>
      </c>
      <c r="P21" s="5">
        <f ca="1">SUM(OFFSET(Demand!$E30,0,(COLUMN(C18)-1)*5,1,3))*P$2</f>
        <v>0</v>
      </c>
      <c r="Q21" s="5">
        <f ca="1">SUM(OFFSET(Demand!$E30,0,(COLUMN(D18)-1)*5,1,3))*Q$2</f>
        <v>0</v>
      </c>
      <c r="R21" s="5">
        <f ca="1">SUM(OFFSET(Demand!$E30,0,(COLUMN(E18)-1)*5,1,3))*R$2</f>
        <v>0</v>
      </c>
      <c r="S21" s="5">
        <f ca="1">SUM(OFFSET(Demand!$E30,0,(COLUMN(F18)-1)*5,1,3))*S$2</f>
        <v>0</v>
      </c>
      <c r="T21" s="5">
        <f ca="1">SUM(OFFSET(Demand!$E30,0,(COLUMN(G18)-1)*5,1,3))*T$2</f>
        <v>0</v>
      </c>
      <c r="U21" s="5">
        <f ca="1">SUM(OFFSET(Demand!$E30,0,(COLUMN(H18)-1)*5,1,3))*U$2</f>
        <v>0</v>
      </c>
      <c r="V21" s="5">
        <f ca="1">SUM(OFFSET(Demand!$E30,0,(COLUMN(I18)-1)*5,1,3))*V$2</f>
        <v>0</v>
      </c>
      <c r="W21" s="5">
        <f ca="1">SUM(OFFSET(Demand!$E30,0,(COLUMN(J18)-1)*5,1,3))*W$2</f>
        <v>0</v>
      </c>
      <c r="X21" s="5">
        <f t="shared" ca="1" si="4"/>
        <v>128</v>
      </c>
      <c r="Y21" s="5">
        <f t="shared" ca="1" si="5"/>
        <v>128</v>
      </c>
      <c r="Z21" s="5">
        <f ca="1">SUM(OFFSET(Demand!$H30,0,(COLUMN(A18)-1)*5,1,1))*N$2</f>
        <v>0</v>
      </c>
      <c r="AA21" s="5">
        <f ca="1">SUM(OFFSET(Demand!$H30,0,(COLUMN(B18)-1)*5,1,1))*O$2</f>
        <v>0</v>
      </c>
      <c r="AB21" s="5">
        <f ca="1">SUM(OFFSET(Demand!$H30,0,(COLUMN(C18)-1)*5,1,1))*P$2</f>
        <v>0</v>
      </c>
      <c r="AC21" s="5">
        <f ca="1">SUM(OFFSET(Demand!$H30,0,(COLUMN(D18)-1)*5,1,1))*Q$2</f>
        <v>0</v>
      </c>
      <c r="AD21" s="5">
        <f ca="1">SUM(OFFSET(Demand!$H30,0,(COLUMN(E18)-1)*5,1,1))*R$2</f>
        <v>0</v>
      </c>
      <c r="AE21" s="5">
        <f ca="1">SUM(OFFSET(Demand!$H30,0,(COLUMN(F18)-1)*5,1,1))*S$2</f>
        <v>0</v>
      </c>
      <c r="AF21" s="5">
        <f ca="1">SUM(OFFSET(Demand!$H30,0,(COLUMN(G18)-1)*5,1,1))*T$2</f>
        <v>0</v>
      </c>
      <c r="AG21" s="5">
        <f ca="1">SUM(OFFSET(Demand!$H30,0,(COLUMN(H18)-1)*5,1,1))*U$2</f>
        <v>0</v>
      </c>
      <c r="AH21" s="5">
        <f ca="1">SUM(OFFSET(Demand!$H30,0,(COLUMN(I18)-1)*5,1,1))*V$2</f>
        <v>0</v>
      </c>
      <c r="AI21" s="5">
        <f ca="1">SUM(OFFSET(Demand!$H30,0,(COLUMN(J18)-1)*5,1,1))*W$2</f>
        <v>0</v>
      </c>
      <c r="AJ21" s="5">
        <f t="shared" ca="1" si="6"/>
        <v>0</v>
      </c>
      <c r="AL21" s="5">
        <f t="shared" ca="1" si="8"/>
        <v>128</v>
      </c>
      <c r="AM21" s="5">
        <f t="shared" ca="1" si="9"/>
        <v>0</v>
      </c>
      <c r="AN21" s="5" t="str">
        <f>IF(Demand!BE30="Yes","Yes","")</f>
        <v/>
      </c>
      <c r="AP21" s="36" t="str">
        <f ca="1">Demand!B30</f>
        <v xml:space="preserve"> </v>
      </c>
      <c r="AQ21" s="5" t="str">
        <f ca="1">IF(TEXT(Demand!D30,"MMM")&lt;&gt;TEXT(Demand!D29,"MMM"),TEXT(Demand!D30,"MMM"),"")</f>
        <v/>
      </c>
      <c r="AT21" s="5">
        <f t="shared" ca="1" si="12"/>
        <v>24</v>
      </c>
      <c r="AV21" s="5" t="s">
        <v>138</v>
      </c>
      <c r="AW21" s="44" t="str">
        <f ca="1">IFERROR(PERCENTILE(OFFSET(AL$4,'SPC background (hide)'!$D$8-1,0,'SPC background (hide)'!$H$9,1),'Control sheet (hide)'!$I$10),"")</f>
        <v/>
      </c>
      <c r="AX21" s="5" t="str">
        <f ca="1">IFERROR(PERCENTILE(OFFSET(AM$4,'SPC background (hide)'!$C$8-1,0,'SPC background (hide)'!$H$9,1),'Control sheet (hide)'!$I$10),"")</f>
        <v/>
      </c>
      <c r="BQ21">
        <f ca="1">IF($AN21="",OFFSET(Demand!$A$13,ROW(A18)-1,4+((QUOTIENT(COLUMN(BQ$2)-69,3))*5)+MOD(COLUMN(BQ$2),3),1,1),"")</f>
        <v>0</v>
      </c>
      <c r="BR21">
        <f ca="1">IF($AN21="",OFFSET(Demand!$A$13,ROW(B18)-1,4+((QUOTIENT(COLUMN(BR$2)-69,3))*5)+MOD(COLUMN(BR$2),3),1,1),"")</f>
        <v>0</v>
      </c>
      <c r="BS21">
        <f ca="1">IF($AN21="",OFFSET(Demand!$A$13,ROW(C18)-1,4+((QUOTIENT(COLUMN(BS$2)-69,3))*5)+MOD(COLUMN(BS$2),3),1,1),"")</f>
        <v>64</v>
      </c>
      <c r="BT21">
        <f ca="1">IF($AN21="",OFFSET(Demand!$A$13,ROW(D18)-1,4+((QUOTIENT(COLUMN(BT$2)-69,3))*5)+MOD(COLUMN(BT$2),3),1,1),"")</f>
        <v>0</v>
      </c>
      <c r="BU21">
        <f ca="1">IF($AN21="",OFFSET(Demand!$A$13,ROW(E18)-1,4+((QUOTIENT(COLUMN(BU$2)-69,3))*5)+MOD(COLUMN(BU$2),3),1,1),"")</f>
        <v>0</v>
      </c>
      <c r="BV21">
        <f ca="1">IF($AN21="",OFFSET(Demand!$A$13,ROW(F18)-1,4+((QUOTIENT(COLUMN(BV$2)-69,3))*5)+MOD(COLUMN(BV$2),3),1,1),"")</f>
        <v>0</v>
      </c>
      <c r="BW21">
        <f ca="1">IF($AN21="",OFFSET(Demand!$A$13,ROW(G18)-1,4+((QUOTIENT(COLUMN(BW$2)-69,3))*5)+MOD(COLUMN(BW$2),3),1,1),"")</f>
        <v>0</v>
      </c>
      <c r="BX21">
        <f ca="1">IF($AN21="",OFFSET(Demand!$A$13,ROW(H18)-1,4+((QUOTIENT(COLUMN(BX$2)-69,3))*5)+MOD(COLUMN(BX$2),3),1,1),"")</f>
        <v>0</v>
      </c>
      <c r="BY21">
        <f ca="1">IF($AN21="",OFFSET(Demand!$A$13,ROW(I18)-1,4+((QUOTIENT(COLUMN(BY$2)-69,3))*5)+MOD(COLUMN(BY$2),3),1,1),"")</f>
        <v>0</v>
      </c>
      <c r="BZ21">
        <f ca="1">IF($AN21="",OFFSET(Demand!$A$13,ROW(J18)-1,4+((QUOTIENT(COLUMN(BZ$2)-69,3))*5)+MOD(COLUMN(BZ$2),3),1,1),"")</f>
        <v>0</v>
      </c>
      <c r="CA21">
        <f ca="1">IF($AN21="",OFFSET(Demand!$A$13,ROW(K18)-1,4+((QUOTIENT(COLUMN(CA$2)-69,3))*5)+MOD(COLUMN(CA$2),3),1,1),"")</f>
        <v>0</v>
      </c>
      <c r="CB21">
        <f ca="1">IF($AN21="",OFFSET(Demand!$A$13,ROW(L18)-1,4+((QUOTIENT(COLUMN(CB$2)-69,3))*5)+MOD(COLUMN(CB$2),3),1,1),"")</f>
        <v>0</v>
      </c>
      <c r="CC21">
        <f ca="1">IF($AN21="",OFFSET(Demand!$A$13,ROW(M18)-1,4+((QUOTIENT(COLUMN(CC$2)-69,3))*5)+MOD(COLUMN(CC$2),3),1,1),"")</f>
        <v>0</v>
      </c>
      <c r="CD21">
        <f ca="1">IF($AN21="",OFFSET(Demand!$A$13,ROW(N18)-1,4+((QUOTIENT(COLUMN(CD$2)-69,3))*5)+MOD(COLUMN(CD$2),3),1,1),"")</f>
        <v>0</v>
      </c>
      <c r="CE21">
        <f ca="1">IF($AN21="",OFFSET(Demand!$A$13,ROW(O18)-1,4+((QUOTIENT(COLUMN(CE$2)-69,3))*5)+MOD(COLUMN(CE$2),3),1,1),"")</f>
        <v>0</v>
      </c>
      <c r="CF21">
        <f ca="1">IF($AN21="",OFFSET(Demand!$A$13,ROW(P18)-1,4+((QUOTIENT(COLUMN(CF$2)-69,3))*5)+MOD(COLUMN(CF$2),3),1,1),"")</f>
        <v>0</v>
      </c>
      <c r="CG21">
        <f ca="1">IF($AN21="",OFFSET(Demand!$A$13,ROW(Q18)-1,4+((QUOTIENT(COLUMN(CG$2)-69,3))*5)+MOD(COLUMN(CG$2),3),1,1),"")</f>
        <v>0</v>
      </c>
      <c r="CH21">
        <f ca="1">IF($AN21="",OFFSET(Demand!$A$13,ROW(R18)-1,4+((QUOTIENT(COLUMN(CH$2)-69,3))*5)+MOD(COLUMN(CH$2),3),1,1),"")</f>
        <v>0</v>
      </c>
      <c r="CI21">
        <f ca="1">IF($AN21="",OFFSET(Demand!$A$13,ROW(S18)-1,4+((QUOTIENT(COLUMN(CI$2)-69,3))*5)+MOD(COLUMN(CI$2),3),1,1),"")</f>
        <v>0</v>
      </c>
      <c r="CJ21">
        <f ca="1">IF($AN21="",OFFSET(Demand!$A$13,ROW(T18)-1,4+((QUOTIENT(COLUMN(CJ$2)-69,3))*5)+MOD(COLUMN(CJ$2),3),1,1),"")</f>
        <v>0</v>
      </c>
      <c r="CK21">
        <f ca="1">IF($AN21="",OFFSET(Demand!$A$13,ROW(U18)-1,4+((QUOTIENT(COLUMN(CK$2)-69,3))*5)+MOD(COLUMN(CK$2),3),1,1),"")</f>
        <v>0</v>
      </c>
      <c r="CL21">
        <f ca="1">IF($AN21="",OFFSET(Demand!$A$13,ROW(V18)-1,4+((QUOTIENT(COLUMN(CL$2)-69,3))*5)+MOD(COLUMN(CL$2),3),1,1),"")</f>
        <v>0</v>
      </c>
      <c r="CM21">
        <f ca="1">IF($AN21="",OFFSET(Demand!$A$13,ROW(W18)-1,4+((QUOTIENT(COLUMN(CM$2)-69,3))*5)+MOD(COLUMN(CM$2),3),1,1),"")</f>
        <v>0</v>
      </c>
      <c r="CN21">
        <f ca="1">IF($AN21="",OFFSET(Demand!$A$13,ROW(X18)-1,4+((QUOTIENT(COLUMN(CN$2)-69,3))*5)+MOD(COLUMN(CN$2),3),1,1),"")</f>
        <v>0</v>
      </c>
      <c r="CO21">
        <f ca="1">IF($AN21="",OFFSET(Demand!$A$13,ROW(Y18)-1,4+((QUOTIENT(COLUMN(CO$2)-69,3))*5)+MOD(COLUMN(CO$2),3),1,1),"")</f>
        <v>0</v>
      </c>
      <c r="CP21">
        <f ca="1">IF($AN21="",OFFSET(Demand!$A$13,ROW(Z18)-1,4+((QUOTIENT(COLUMN(CP$2)-69,3))*5)+MOD(COLUMN(CP$2),3),1,1),"")</f>
        <v>0</v>
      </c>
      <c r="CQ21">
        <f ca="1">IF($AN21="",OFFSET(Demand!$A$13,ROW(AA18)-1,4+((QUOTIENT(COLUMN(CQ$2)-69,3))*5)+MOD(COLUMN(CQ$2),3),1,1),"")</f>
        <v>0</v>
      </c>
      <c r="CR21">
        <f ca="1">IF($AN21="",OFFSET(Demand!$A$13,ROW(AB18)-1,4+((QUOTIENT(COLUMN(CR$2)-69,3))*5)+MOD(COLUMN(CR$2),3),1,1),"")</f>
        <v>0</v>
      </c>
      <c r="CS21">
        <f ca="1">IF($AN21="",OFFSET(Demand!$A$13,ROW(AC18)-1,4+((QUOTIENT(COLUMN(CS$2)-69,3))*5)+MOD(COLUMN(CS$2),3),1,1),"")</f>
        <v>0</v>
      </c>
      <c r="CT21">
        <f ca="1">IF($AN21="",OFFSET(Demand!$A$13,ROW(AD18)-1,4+((QUOTIENT(COLUMN(CT$2)-69,3))*5)+MOD(COLUMN(CT$2),3),1,1),"")</f>
        <v>0</v>
      </c>
      <c r="CW21" s="5">
        <f ca="1">SUM(OFFSET(Demand!$H$43,ROW(A18)-1,(COLUMN(A18)-1)*5,1,1))*N$2</f>
        <v>0</v>
      </c>
      <c r="CX21" s="5">
        <f ca="1">SUM(OFFSET(Demand!$H$43,ROW(B18)-1,(COLUMN(B18)-1)*5,1,1))*O$2</f>
        <v>0</v>
      </c>
      <c r="CY21" s="5">
        <f ca="1">SUM(OFFSET(Demand!$H$43,ROW(C18)-1,(COLUMN(C18)-1)*5,1,1))*P$2</f>
        <v>0</v>
      </c>
      <c r="CZ21" s="5">
        <f ca="1">SUM(OFFSET(Demand!$H$43,ROW(D18)-1,(COLUMN(D18)-1)*5,1,1))*Q$2</f>
        <v>0</v>
      </c>
      <c r="DA21" s="5">
        <f ca="1">SUM(OFFSET(Demand!$H$43,ROW(E18)-1,(COLUMN(E18)-1)*5,1,1))*R$2</f>
        <v>0</v>
      </c>
      <c r="DB21" s="5">
        <f ca="1">SUM(OFFSET(Demand!$H$43,ROW(F18)-1,(COLUMN(F18)-1)*5,1,1))*S$2</f>
        <v>0</v>
      </c>
      <c r="DC21" s="5">
        <f ca="1">SUM(OFFSET(Demand!$H$43,ROW(G18)-1,(COLUMN(G18)-1)*5,1,1))*T$2</f>
        <v>0</v>
      </c>
      <c r="DD21" s="5">
        <f ca="1">SUM(OFFSET(Demand!$H$43,ROW(H18)-1,(COLUMN(H18)-1)*5,1,1))*U$2</f>
        <v>0</v>
      </c>
      <c r="DE21" s="5">
        <f ca="1">SUM(OFFSET(Demand!$H$43,ROW(I18)-1,(COLUMN(I18)-1)*5,1,1))*V$2</f>
        <v>0</v>
      </c>
      <c r="DF21" s="5">
        <f ca="1">SUM(OFFSET(Demand!$H$43,ROW(J18)-1,(COLUMN(J18)-1)*5,1,1))*W$2</f>
        <v>0</v>
      </c>
      <c r="DG21" s="5">
        <f ca="1">IF(OR(AN21&lt;&gt;"",AND('Demand adjustments for Covid'!$F$9="Yes",'Demand adjustments for Covid'!$F$20="Yes")),"",SUM(CW21:DF21))</f>
        <v>0</v>
      </c>
      <c r="DM21" s="5">
        <f t="shared" si="10"/>
        <v>33</v>
      </c>
      <c r="DN21" s="320">
        <f t="shared" si="17"/>
        <v>44053</v>
      </c>
      <c r="DO21" s="5">
        <f ca="1">VLOOKUP(IF($DM21&lt;53,$DM21,52),'Summary Calculations (hide)'!$D$15:$F$67,2,0)</f>
        <v>128</v>
      </c>
      <c r="DP21" s="5">
        <f ca="1">VLOOKUP(IF($DM21&lt;53,$DM21,52),'Summary Calculations (hide)'!$D$15:$F$67,3,0)</f>
        <v>140.80000000000001</v>
      </c>
      <c r="DQ21" s="5">
        <f ca="1">IF(AND(DN21&gt;='Demand adjustments for Covid'!$F$12,DN21&lt;'Demand adjustments for Covid'!$F$17),'Demand adjustments for Covid'!$F$13,DO21)</f>
        <v>128</v>
      </c>
      <c r="DR21" s="5">
        <f t="shared" si="7"/>
        <v>0</v>
      </c>
      <c r="DS21" s="5">
        <f ca="1">IF('Demand adjustments for Covid'!$F$9="Yes",IF(DR21=0,DQ21,((SUM(DR$4:DR21)-1)*$EE$8)+'Demand adjustments for Covid'!F$13),'Demand background (hide)'!DO21)</f>
        <v>128</v>
      </c>
      <c r="DT21" s="5">
        <f ca="1">IF('Demand adjustments for Covid'!$F$9="Yes",IF(OR(AND(DN21&gt;='Demand adjustments for Covid'!$F$12,DN21&lt;'Demand adjustments for Covid'!$F$17),DR21=1),DS21+3,DP21),'Demand background (hide)'!DP21)</f>
        <v>140.80000000000001</v>
      </c>
      <c r="DU21" s="5">
        <f ca="1">IF(DS21&lt;='Demand adjustments for Covid'!$F$17,DO21-DS21,0)</f>
        <v>0</v>
      </c>
      <c r="DV21" s="5">
        <f ca="1">IF(AND(ROW(A18)&gt;$EE$5,ROW(A18)&lt;=$EA$5),OFFSET('Demand adjustments for Covid'!$F$35,0,ROW(A18)-'Demand background (hide)'!$EE$5,1,1),0)</f>
        <v>0</v>
      </c>
      <c r="DW21" s="5">
        <f ca="1">IF(AND(ROW(A18)&gt;$EE$5,ROW(A18)&lt;=$EA$5),OFFSET('Demand adjustments for Covid'!$F$36,0,ROW(A18)-'Demand background (hide)'!$EE$5,1,1),0)</f>
        <v>0</v>
      </c>
      <c r="DX21" s="5">
        <f t="shared" ca="1" si="11"/>
        <v>140.80000000000001</v>
      </c>
    </row>
    <row r="22" spans="1:128" s="5" customFormat="1" x14ac:dyDescent="0.25">
      <c r="A22" s="5">
        <f t="shared" ca="1" si="3"/>
        <v>0</v>
      </c>
      <c r="B22" s="5">
        <f ca="1">COUNTBLANK(OFFSET(Demand!$I31,0,(COLUMN(A19)-1)*5,1,1))</f>
        <v>0</v>
      </c>
      <c r="C22" s="5">
        <f ca="1">COUNTBLANK(OFFSET(Demand!$I31,0,(COLUMN(B19)-1)*5,1,1))</f>
        <v>1</v>
      </c>
      <c r="D22" s="5">
        <f ca="1">COUNTBLANK(OFFSET(Demand!$I31,0,(COLUMN(C19)-1)*5,1,1))</f>
        <v>1</v>
      </c>
      <c r="E22" s="5">
        <f ca="1">COUNTBLANK(OFFSET(Demand!$I31,0,(COLUMN(D19)-1)*5,1,1))</f>
        <v>1</v>
      </c>
      <c r="F22" s="5">
        <f ca="1">COUNTBLANK(OFFSET(Demand!$I31,0,(COLUMN(E19)-1)*5,1,1))</f>
        <v>1</v>
      </c>
      <c r="G22" s="5">
        <f ca="1">COUNTBLANK(OFFSET(Demand!$I31,0,(COLUMN(F19)-1)*5,1,1))</f>
        <v>1</v>
      </c>
      <c r="H22" s="5">
        <f ca="1">COUNTBLANK(OFFSET(Demand!$I31,0,(COLUMN(G19)-1)*5,1,1))</f>
        <v>1</v>
      </c>
      <c r="I22" s="5">
        <f ca="1">COUNTBLANK(OFFSET(Demand!$I31,0,(COLUMN(H19)-1)*5,1,1))</f>
        <v>1</v>
      </c>
      <c r="J22" s="5">
        <f ca="1">COUNTBLANK(OFFSET(Demand!$I31,0,(COLUMN(I19)-1)*5,1,1))</f>
        <v>1</v>
      </c>
      <c r="K22" s="5">
        <f ca="1">COUNTBLANK(OFFSET(Demand!$I31,0,(COLUMN(J19)-1)*5,1,1))</f>
        <v>1</v>
      </c>
      <c r="N22" s="5">
        <f ca="1">SUM(OFFSET(Demand!$E31,0,(COLUMN(A19)-1)*5,1,3))*N$2</f>
        <v>152</v>
      </c>
      <c r="O22" s="5">
        <f ca="1">SUM(OFFSET(Demand!$E31,0,(COLUMN(B19)-1)*5,1,3))*O$2</f>
        <v>0</v>
      </c>
      <c r="P22" s="5">
        <f ca="1">SUM(OFFSET(Demand!$E31,0,(COLUMN(C19)-1)*5,1,3))*P$2</f>
        <v>0</v>
      </c>
      <c r="Q22" s="5">
        <f ca="1">SUM(OFFSET(Demand!$E31,0,(COLUMN(D19)-1)*5,1,3))*Q$2</f>
        <v>0</v>
      </c>
      <c r="R22" s="5">
        <f ca="1">SUM(OFFSET(Demand!$E31,0,(COLUMN(E19)-1)*5,1,3))*R$2</f>
        <v>0</v>
      </c>
      <c r="S22" s="5">
        <f ca="1">SUM(OFFSET(Demand!$E31,0,(COLUMN(F19)-1)*5,1,3))*S$2</f>
        <v>0</v>
      </c>
      <c r="T22" s="5">
        <f ca="1">SUM(OFFSET(Demand!$E31,0,(COLUMN(G19)-1)*5,1,3))*T$2</f>
        <v>0</v>
      </c>
      <c r="U22" s="5">
        <f ca="1">SUM(OFFSET(Demand!$E31,0,(COLUMN(H19)-1)*5,1,3))*U$2</f>
        <v>0</v>
      </c>
      <c r="V22" s="5">
        <f ca="1">SUM(OFFSET(Demand!$E31,0,(COLUMN(I19)-1)*5,1,3))*V$2</f>
        <v>0</v>
      </c>
      <c r="W22" s="5">
        <f ca="1">SUM(OFFSET(Demand!$E31,0,(COLUMN(J19)-1)*5,1,3))*W$2</f>
        <v>0</v>
      </c>
      <c r="X22" s="5">
        <f t="shared" ca="1" si="4"/>
        <v>152</v>
      </c>
      <c r="Y22" s="5">
        <f t="shared" ca="1" si="5"/>
        <v>152</v>
      </c>
      <c r="Z22" s="5">
        <f ca="1">SUM(OFFSET(Demand!$H31,0,(COLUMN(A19)-1)*5,1,1))*N$2</f>
        <v>0</v>
      </c>
      <c r="AA22" s="5">
        <f ca="1">SUM(OFFSET(Demand!$H31,0,(COLUMN(B19)-1)*5,1,1))*O$2</f>
        <v>0</v>
      </c>
      <c r="AB22" s="5">
        <f ca="1">SUM(OFFSET(Demand!$H31,0,(COLUMN(C19)-1)*5,1,1))*P$2</f>
        <v>0</v>
      </c>
      <c r="AC22" s="5">
        <f ca="1">SUM(OFFSET(Demand!$H31,0,(COLUMN(D19)-1)*5,1,1))*Q$2</f>
        <v>0</v>
      </c>
      <c r="AD22" s="5">
        <f ca="1">SUM(OFFSET(Demand!$H31,0,(COLUMN(E19)-1)*5,1,1))*R$2</f>
        <v>0</v>
      </c>
      <c r="AE22" s="5">
        <f ca="1">SUM(OFFSET(Demand!$H31,0,(COLUMN(F19)-1)*5,1,1))*S$2</f>
        <v>0</v>
      </c>
      <c r="AF22" s="5">
        <f ca="1">SUM(OFFSET(Demand!$H31,0,(COLUMN(G19)-1)*5,1,1))*T$2</f>
        <v>0</v>
      </c>
      <c r="AG22" s="5">
        <f ca="1">SUM(OFFSET(Demand!$H31,0,(COLUMN(H19)-1)*5,1,1))*U$2</f>
        <v>0</v>
      </c>
      <c r="AH22" s="5">
        <f ca="1">SUM(OFFSET(Demand!$H31,0,(COLUMN(I19)-1)*5,1,1))*V$2</f>
        <v>0</v>
      </c>
      <c r="AI22" s="5">
        <f ca="1">SUM(OFFSET(Demand!$H31,0,(COLUMN(J19)-1)*5,1,1))*W$2</f>
        <v>0</v>
      </c>
      <c r="AJ22" s="5">
        <f t="shared" ca="1" si="6"/>
        <v>0</v>
      </c>
      <c r="AL22" s="5">
        <f t="shared" ca="1" si="8"/>
        <v>152</v>
      </c>
      <c r="AM22" s="5">
        <f t="shared" ca="1" si="9"/>
        <v>0</v>
      </c>
      <c r="AN22" s="5" t="str">
        <f>IF(Demand!BE31="Yes","Yes","")</f>
        <v/>
      </c>
      <c r="AP22" s="36" t="str">
        <f ca="1">Demand!B31</f>
        <v xml:space="preserve"> </v>
      </c>
      <c r="AQ22" s="5" t="str">
        <f ca="1">IF(TEXT(Demand!D31,"MMM")&lt;&gt;TEXT(Demand!D30,"MMM"),TEXT(Demand!D31,"MMM"),"")</f>
        <v>Jul</v>
      </c>
      <c r="AT22" s="5">
        <f t="shared" ca="1" si="12"/>
        <v>24</v>
      </c>
      <c r="BQ22">
        <f ca="1">IF($AN22="",OFFSET(Demand!$A$13,ROW(A19)-1,4+((QUOTIENT(COLUMN(BQ$2)-69,3))*5)+MOD(COLUMN(BQ$2),3),1,1),"")</f>
        <v>0</v>
      </c>
      <c r="BR22">
        <f ca="1">IF($AN22="",OFFSET(Demand!$A$13,ROW(B19)-1,4+((QUOTIENT(COLUMN(BR$2)-69,3))*5)+MOD(COLUMN(BR$2),3),1,1),"")</f>
        <v>0</v>
      </c>
      <c r="BS22">
        <f ca="1">IF($AN22="",OFFSET(Demand!$A$13,ROW(C19)-1,4+((QUOTIENT(COLUMN(BS$2)-69,3))*5)+MOD(COLUMN(BS$2),3),1,1),"")</f>
        <v>76</v>
      </c>
      <c r="BT22">
        <f ca="1">IF($AN22="",OFFSET(Demand!$A$13,ROW(D19)-1,4+((QUOTIENT(COLUMN(BT$2)-69,3))*5)+MOD(COLUMN(BT$2),3),1,1),"")</f>
        <v>0</v>
      </c>
      <c r="BU22">
        <f ca="1">IF($AN22="",OFFSET(Demand!$A$13,ROW(E19)-1,4+((QUOTIENT(COLUMN(BU$2)-69,3))*5)+MOD(COLUMN(BU$2),3),1,1),"")</f>
        <v>0</v>
      </c>
      <c r="BV22">
        <f ca="1">IF($AN22="",OFFSET(Demand!$A$13,ROW(F19)-1,4+((QUOTIENT(COLUMN(BV$2)-69,3))*5)+MOD(COLUMN(BV$2),3),1,1),"")</f>
        <v>0</v>
      </c>
      <c r="BW22">
        <f ca="1">IF($AN22="",OFFSET(Demand!$A$13,ROW(G19)-1,4+((QUOTIENT(COLUMN(BW$2)-69,3))*5)+MOD(COLUMN(BW$2),3),1,1),"")</f>
        <v>0</v>
      </c>
      <c r="BX22">
        <f ca="1">IF($AN22="",OFFSET(Demand!$A$13,ROW(H19)-1,4+((QUOTIENT(COLUMN(BX$2)-69,3))*5)+MOD(COLUMN(BX$2),3),1,1),"")</f>
        <v>0</v>
      </c>
      <c r="BY22">
        <f ca="1">IF($AN22="",OFFSET(Demand!$A$13,ROW(I19)-1,4+((QUOTIENT(COLUMN(BY$2)-69,3))*5)+MOD(COLUMN(BY$2),3),1,1),"")</f>
        <v>0</v>
      </c>
      <c r="BZ22">
        <f ca="1">IF($AN22="",OFFSET(Demand!$A$13,ROW(J19)-1,4+((QUOTIENT(COLUMN(BZ$2)-69,3))*5)+MOD(COLUMN(BZ$2),3),1,1),"")</f>
        <v>0</v>
      </c>
      <c r="CA22">
        <f ca="1">IF($AN22="",OFFSET(Demand!$A$13,ROW(K19)-1,4+((QUOTIENT(COLUMN(CA$2)-69,3))*5)+MOD(COLUMN(CA$2),3),1,1),"")</f>
        <v>0</v>
      </c>
      <c r="CB22">
        <f ca="1">IF($AN22="",OFFSET(Demand!$A$13,ROW(L19)-1,4+((QUOTIENT(COLUMN(CB$2)-69,3))*5)+MOD(COLUMN(CB$2),3),1,1),"")</f>
        <v>0</v>
      </c>
      <c r="CC22">
        <f ca="1">IF($AN22="",OFFSET(Demand!$A$13,ROW(M19)-1,4+((QUOTIENT(COLUMN(CC$2)-69,3))*5)+MOD(COLUMN(CC$2),3),1,1),"")</f>
        <v>0</v>
      </c>
      <c r="CD22">
        <f ca="1">IF($AN22="",OFFSET(Demand!$A$13,ROW(N19)-1,4+((QUOTIENT(COLUMN(CD$2)-69,3))*5)+MOD(COLUMN(CD$2),3),1,1),"")</f>
        <v>0</v>
      </c>
      <c r="CE22">
        <f ca="1">IF($AN22="",OFFSET(Demand!$A$13,ROW(O19)-1,4+((QUOTIENT(COLUMN(CE$2)-69,3))*5)+MOD(COLUMN(CE$2),3),1,1),"")</f>
        <v>0</v>
      </c>
      <c r="CF22">
        <f ca="1">IF($AN22="",OFFSET(Demand!$A$13,ROW(P19)-1,4+((QUOTIENT(COLUMN(CF$2)-69,3))*5)+MOD(COLUMN(CF$2),3),1,1),"")</f>
        <v>0</v>
      </c>
      <c r="CG22">
        <f ca="1">IF($AN22="",OFFSET(Demand!$A$13,ROW(Q19)-1,4+((QUOTIENT(COLUMN(CG$2)-69,3))*5)+MOD(COLUMN(CG$2),3),1,1),"")</f>
        <v>0</v>
      </c>
      <c r="CH22">
        <f ca="1">IF($AN22="",OFFSET(Demand!$A$13,ROW(R19)-1,4+((QUOTIENT(COLUMN(CH$2)-69,3))*5)+MOD(COLUMN(CH$2),3),1,1),"")</f>
        <v>0</v>
      </c>
      <c r="CI22">
        <f ca="1">IF($AN22="",OFFSET(Demand!$A$13,ROW(S19)-1,4+((QUOTIENT(COLUMN(CI$2)-69,3))*5)+MOD(COLUMN(CI$2),3),1,1),"")</f>
        <v>0</v>
      </c>
      <c r="CJ22">
        <f ca="1">IF($AN22="",OFFSET(Demand!$A$13,ROW(T19)-1,4+((QUOTIENT(COLUMN(CJ$2)-69,3))*5)+MOD(COLUMN(CJ$2),3),1,1),"")</f>
        <v>0</v>
      </c>
      <c r="CK22">
        <f ca="1">IF($AN22="",OFFSET(Demand!$A$13,ROW(U19)-1,4+((QUOTIENT(COLUMN(CK$2)-69,3))*5)+MOD(COLUMN(CK$2),3),1,1),"")</f>
        <v>0</v>
      </c>
      <c r="CL22">
        <f ca="1">IF($AN22="",OFFSET(Demand!$A$13,ROW(V19)-1,4+((QUOTIENT(COLUMN(CL$2)-69,3))*5)+MOD(COLUMN(CL$2),3),1,1),"")</f>
        <v>0</v>
      </c>
      <c r="CM22">
        <f ca="1">IF($AN22="",OFFSET(Demand!$A$13,ROW(W19)-1,4+((QUOTIENT(COLUMN(CM$2)-69,3))*5)+MOD(COLUMN(CM$2),3),1,1),"")</f>
        <v>0</v>
      </c>
      <c r="CN22">
        <f ca="1">IF($AN22="",OFFSET(Demand!$A$13,ROW(X19)-1,4+((QUOTIENT(COLUMN(CN$2)-69,3))*5)+MOD(COLUMN(CN$2),3),1,1),"")</f>
        <v>0</v>
      </c>
      <c r="CO22">
        <f ca="1">IF($AN22="",OFFSET(Demand!$A$13,ROW(Y19)-1,4+((QUOTIENT(COLUMN(CO$2)-69,3))*5)+MOD(COLUMN(CO$2),3),1,1),"")</f>
        <v>0</v>
      </c>
      <c r="CP22">
        <f ca="1">IF($AN22="",OFFSET(Demand!$A$13,ROW(Z19)-1,4+((QUOTIENT(COLUMN(CP$2)-69,3))*5)+MOD(COLUMN(CP$2),3),1,1),"")</f>
        <v>0</v>
      </c>
      <c r="CQ22">
        <f ca="1">IF($AN22="",OFFSET(Demand!$A$13,ROW(AA19)-1,4+((QUOTIENT(COLUMN(CQ$2)-69,3))*5)+MOD(COLUMN(CQ$2),3),1,1),"")</f>
        <v>0</v>
      </c>
      <c r="CR22">
        <f ca="1">IF($AN22="",OFFSET(Demand!$A$13,ROW(AB19)-1,4+((QUOTIENT(COLUMN(CR$2)-69,3))*5)+MOD(COLUMN(CR$2),3),1,1),"")</f>
        <v>0</v>
      </c>
      <c r="CS22">
        <f ca="1">IF($AN22="",OFFSET(Demand!$A$13,ROW(AC19)-1,4+((QUOTIENT(COLUMN(CS$2)-69,3))*5)+MOD(COLUMN(CS$2),3),1,1),"")</f>
        <v>0</v>
      </c>
      <c r="CT22">
        <f ca="1">IF($AN22="",OFFSET(Demand!$A$13,ROW(AD19)-1,4+((QUOTIENT(COLUMN(CT$2)-69,3))*5)+MOD(COLUMN(CT$2),3),1,1),"")</f>
        <v>0</v>
      </c>
      <c r="CW22" s="5">
        <f ca="1">SUM(OFFSET(Demand!$H$43,ROW(A19)-1,(COLUMN(A19)-1)*5,1,1))*N$2</f>
        <v>0</v>
      </c>
      <c r="CX22" s="5">
        <f ca="1">SUM(OFFSET(Demand!$H$43,ROW(B19)-1,(COLUMN(B19)-1)*5,1,1))*O$2</f>
        <v>0</v>
      </c>
      <c r="CY22" s="5">
        <f ca="1">SUM(OFFSET(Demand!$H$43,ROW(C19)-1,(COLUMN(C19)-1)*5,1,1))*P$2</f>
        <v>0</v>
      </c>
      <c r="CZ22" s="5">
        <f ca="1">SUM(OFFSET(Demand!$H$43,ROW(D19)-1,(COLUMN(D19)-1)*5,1,1))*Q$2</f>
        <v>0</v>
      </c>
      <c r="DA22" s="5">
        <f ca="1">SUM(OFFSET(Demand!$H$43,ROW(E19)-1,(COLUMN(E19)-1)*5,1,1))*R$2</f>
        <v>0</v>
      </c>
      <c r="DB22" s="5">
        <f ca="1">SUM(OFFSET(Demand!$H$43,ROW(F19)-1,(COLUMN(F19)-1)*5,1,1))*S$2</f>
        <v>0</v>
      </c>
      <c r="DC22" s="5">
        <f ca="1">SUM(OFFSET(Demand!$H$43,ROW(G19)-1,(COLUMN(G19)-1)*5,1,1))*T$2</f>
        <v>0</v>
      </c>
      <c r="DD22" s="5">
        <f ca="1">SUM(OFFSET(Demand!$H$43,ROW(H19)-1,(COLUMN(H19)-1)*5,1,1))*U$2</f>
        <v>0</v>
      </c>
      <c r="DE22" s="5">
        <f ca="1">SUM(OFFSET(Demand!$H$43,ROW(I19)-1,(COLUMN(I19)-1)*5,1,1))*V$2</f>
        <v>0</v>
      </c>
      <c r="DF22" s="5">
        <f ca="1">SUM(OFFSET(Demand!$H$43,ROW(J19)-1,(COLUMN(J19)-1)*5,1,1))*W$2</f>
        <v>0</v>
      </c>
      <c r="DG22" s="5">
        <f ca="1">IF(OR(AN22&lt;&gt;"",AND('Demand adjustments for Covid'!$F$9="Yes",'Demand adjustments for Covid'!$F$20="Yes")),"",SUM(CW22:DF22))</f>
        <v>0</v>
      </c>
      <c r="DM22" s="5">
        <f t="shared" si="10"/>
        <v>34</v>
      </c>
      <c r="DN22" s="320">
        <f t="shared" si="17"/>
        <v>44060</v>
      </c>
      <c r="DO22" s="5">
        <f ca="1">VLOOKUP(IF($DM22&lt;53,$DM22,52),'Summary Calculations (hide)'!$D$15:$F$67,2,0)</f>
        <v>152</v>
      </c>
      <c r="DP22" s="5">
        <f ca="1">VLOOKUP(IF($DM22&lt;53,$DM22,52),'Summary Calculations (hide)'!$D$15:$F$67,3,0)</f>
        <v>167.20000000000002</v>
      </c>
      <c r="DQ22" s="5">
        <f ca="1">IF(AND(DN22&gt;='Demand adjustments for Covid'!$F$12,DN22&lt;'Demand adjustments for Covid'!$F$17),'Demand adjustments for Covid'!$F$13,DO22)</f>
        <v>152</v>
      </c>
      <c r="DR22" s="5">
        <f t="shared" si="7"/>
        <v>0</v>
      </c>
      <c r="DS22" s="5">
        <f ca="1">IF('Demand adjustments for Covid'!$F$9="Yes",IF(DR22=0,DQ22,((SUM(DR$4:DR22)-1)*$EE$8)+'Demand adjustments for Covid'!F$13),'Demand background (hide)'!DO22)</f>
        <v>152</v>
      </c>
      <c r="DT22" s="5">
        <f ca="1">IF('Demand adjustments for Covid'!$F$9="Yes",IF(OR(AND(DN22&gt;='Demand adjustments for Covid'!$F$12,DN22&lt;'Demand adjustments for Covid'!$F$17),DR22=1),DS22+3,DP22),'Demand background (hide)'!DP22)</f>
        <v>167.20000000000002</v>
      </c>
      <c r="DU22" s="5">
        <f ca="1">IF(DS22&lt;='Demand adjustments for Covid'!$F$17,DO22-DS22,0)</f>
        <v>0</v>
      </c>
      <c r="DV22" s="5">
        <f ca="1">IF(AND(ROW(A19)&gt;$EE$5,ROW(A19)&lt;=$EA$5),OFFSET('Demand adjustments for Covid'!$F$35,0,ROW(A19)-'Demand background (hide)'!$EE$5,1,1),0)</f>
        <v>0</v>
      </c>
      <c r="DW22" s="5">
        <f ca="1">IF(AND(ROW(A19)&gt;$EE$5,ROW(A19)&lt;=$EA$5),OFFSET('Demand adjustments for Covid'!$F$36,0,ROW(A19)-'Demand background (hide)'!$EE$5,1,1),0)</f>
        <v>0</v>
      </c>
      <c r="DX22" s="5">
        <f t="shared" ca="1" si="11"/>
        <v>167.20000000000002</v>
      </c>
    </row>
    <row r="23" spans="1:128" s="5" customFormat="1" x14ac:dyDescent="0.25">
      <c r="A23" s="5">
        <f t="shared" ca="1" si="3"/>
        <v>0</v>
      </c>
      <c r="B23" s="5">
        <f ca="1">COUNTBLANK(OFFSET(Demand!$I32,0,(COLUMN(A20)-1)*5,1,1))</f>
        <v>0</v>
      </c>
      <c r="C23" s="5">
        <f ca="1">COUNTBLANK(OFFSET(Demand!$I32,0,(COLUMN(B20)-1)*5,1,1))</f>
        <v>1</v>
      </c>
      <c r="D23" s="5">
        <f ca="1">COUNTBLANK(OFFSET(Demand!$I32,0,(COLUMN(C20)-1)*5,1,1))</f>
        <v>1</v>
      </c>
      <c r="E23" s="5">
        <f ca="1">COUNTBLANK(OFFSET(Demand!$I32,0,(COLUMN(D20)-1)*5,1,1))</f>
        <v>1</v>
      </c>
      <c r="F23" s="5">
        <f ca="1">COUNTBLANK(OFFSET(Demand!$I32,0,(COLUMN(E20)-1)*5,1,1))</f>
        <v>1</v>
      </c>
      <c r="G23" s="5">
        <f ca="1">COUNTBLANK(OFFSET(Demand!$I32,0,(COLUMN(F20)-1)*5,1,1))</f>
        <v>1</v>
      </c>
      <c r="H23" s="5">
        <f ca="1">COUNTBLANK(OFFSET(Demand!$I32,0,(COLUMN(G20)-1)*5,1,1))</f>
        <v>1</v>
      </c>
      <c r="I23" s="5">
        <f ca="1">COUNTBLANK(OFFSET(Demand!$I32,0,(COLUMN(H20)-1)*5,1,1))</f>
        <v>1</v>
      </c>
      <c r="J23" s="5">
        <f ca="1">COUNTBLANK(OFFSET(Demand!$I32,0,(COLUMN(I20)-1)*5,1,1))</f>
        <v>1</v>
      </c>
      <c r="K23" s="5">
        <f ca="1">COUNTBLANK(OFFSET(Demand!$I32,0,(COLUMN(J20)-1)*5,1,1))</f>
        <v>1</v>
      </c>
      <c r="N23" s="5">
        <f ca="1">SUM(OFFSET(Demand!$E32,0,(COLUMN(A20)-1)*5,1,3))*N$2</f>
        <v>138</v>
      </c>
      <c r="O23" s="5">
        <f ca="1">SUM(OFFSET(Demand!$E32,0,(COLUMN(B20)-1)*5,1,3))*O$2</f>
        <v>0</v>
      </c>
      <c r="P23" s="5">
        <f ca="1">SUM(OFFSET(Demand!$E32,0,(COLUMN(C20)-1)*5,1,3))*P$2</f>
        <v>0</v>
      </c>
      <c r="Q23" s="5">
        <f ca="1">SUM(OFFSET(Demand!$E32,0,(COLUMN(D20)-1)*5,1,3))*Q$2</f>
        <v>0</v>
      </c>
      <c r="R23" s="5">
        <f ca="1">SUM(OFFSET(Demand!$E32,0,(COLUMN(E20)-1)*5,1,3))*R$2</f>
        <v>0</v>
      </c>
      <c r="S23" s="5">
        <f ca="1">SUM(OFFSET(Demand!$E32,0,(COLUMN(F20)-1)*5,1,3))*S$2</f>
        <v>0</v>
      </c>
      <c r="T23" s="5">
        <f ca="1">SUM(OFFSET(Demand!$E32,0,(COLUMN(G20)-1)*5,1,3))*T$2</f>
        <v>0</v>
      </c>
      <c r="U23" s="5">
        <f ca="1">SUM(OFFSET(Demand!$E32,0,(COLUMN(H20)-1)*5,1,3))*U$2</f>
        <v>0</v>
      </c>
      <c r="V23" s="5">
        <f ca="1">SUM(OFFSET(Demand!$E32,0,(COLUMN(I20)-1)*5,1,3))*V$2</f>
        <v>0</v>
      </c>
      <c r="W23" s="5">
        <f ca="1">SUM(OFFSET(Demand!$E32,0,(COLUMN(J20)-1)*5,1,3))*W$2</f>
        <v>0</v>
      </c>
      <c r="X23" s="5">
        <f t="shared" ca="1" si="4"/>
        <v>138</v>
      </c>
      <c r="Y23" s="5">
        <f t="shared" ca="1" si="5"/>
        <v>138</v>
      </c>
      <c r="Z23" s="5">
        <f ca="1">SUM(OFFSET(Demand!$H32,0,(COLUMN(A20)-1)*5,1,1))*N$2</f>
        <v>0</v>
      </c>
      <c r="AA23" s="5">
        <f ca="1">SUM(OFFSET(Demand!$H32,0,(COLUMN(B20)-1)*5,1,1))*O$2</f>
        <v>0</v>
      </c>
      <c r="AB23" s="5">
        <f ca="1">SUM(OFFSET(Demand!$H32,0,(COLUMN(C20)-1)*5,1,1))*P$2</f>
        <v>0</v>
      </c>
      <c r="AC23" s="5">
        <f ca="1">SUM(OFFSET(Demand!$H32,0,(COLUMN(D20)-1)*5,1,1))*Q$2</f>
        <v>0</v>
      </c>
      <c r="AD23" s="5">
        <f ca="1">SUM(OFFSET(Demand!$H32,0,(COLUMN(E20)-1)*5,1,1))*R$2</f>
        <v>0</v>
      </c>
      <c r="AE23" s="5">
        <f ca="1">SUM(OFFSET(Demand!$H32,0,(COLUMN(F20)-1)*5,1,1))*S$2</f>
        <v>0</v>
      </c>
      <c r="AF23" s="5">
        <f ca="1">SUM(OFFSET(Demand!$H32,0,(COLUMN(G20)-1)*5,1,1))*T$2</f>
        <v>0</v>
      </c>
      <c r="AG23" s="5">
        <f ca="1">SUM(OFFSET(Demand!$H32,0,(COLUMN(H20)-1)*5,1,1))*U$2</f>
        <v>0</v>
      </c>
      <c r="AH23" s="5">
        <f ca="1">SUM(OFFSET(Demand!$H32,0,(COLUMN(I20)-1)*5,1,1))*V$2</f>
        <v>0</v>
      </c>
      <c r="AI23" s="5">
        <f ca="1">SUM(OFFSET(Demand!$H32,0,(COLUMN(J20)-1)*5,1,1))*W$2</f>
        <v>0</v>
      </c>
      <c r="AJ23" s="5">
        <f t="shared" ca="1" si="6"/>
        <v>0</v>
      </c>
      <c r="AL23" s="5">
        <f t="shared" ca="1" si="8"/>
        <v>138</v>
      </c>
      <c r="AM23" s="5">
        <f t="shared" ca="1" si="9"/>
        <v>0</v>
      </c>
      <c r="AN23" s="5" t="str">
        <f>IF(Demand!BE32="Yes","Yes","")</f>
        <v/>
      </c>
      <c r="AP23" s="36" t="str">
        <f ca="1">Demand!B32</f>
        <v xml:space="preserve"> </v>
      </c>
      <c r="AQ23" s="5" t="str">
        <f ca="1">IF(TEXT(Demand!D32,"MMM")&lt;&gt;TEXT(Demand!D31,"MMM"),TEXT(Demand!D32,"MMM"),"")</f>
        <v/>
      </c>
      <c r="AT23" s="5">
        <f t="shared" ca="1" si="12"/>
        <v>14</v>
      </c>
      <c r="BQ23">
        <f ca="1">IF($AN23="",OFFSET(Demand!$A$13,ROW(A20)-1,4+((QUOTIENT(COLUMN(BQ$2)-69,3))*5)+MOD(COLUMN(BQ$2),3),1,1),"")</f>
        <v>0</v>
      </c>
      <c r="BR23">
        <f ca="1">IF($AN23="",OFFSET(Demand!$A$13,ROW(B20)-1,4+((QUOTIENT(COLUMN(BR$2)-69,3))*5)+MOD(COLUMN(BR$2),3),1,1),"")</f>
        <v>0</v>
      </c>
      <c r="BS23">
        <f ca="1">IF($AN23="",OFFSET(Demand!$A$13,ROW(C20)-1,4+((QUOTIENT(COLUMN(BS$2)-69,3))*5)+MOD(COLUMN(BS$2),3),1,1),"")</f>
        <v>69</v>
      </c>
      <c r="BT23">
        <f ca="1">IF($AN23="",OFFSET(Demand!$A$13,ROW(D20)-1,4+((QUOTIENT(COLUMN(BT$2)-69,3))*5)+MOD(COLUMN(BT$2),3),1,1),"")</f>
        <v>0</v>
      </c>
      <c r="BU23">
        <f ca="1">IF($AN23="",OFFSET(Demand!$A$13,ROW(E20)-1,4+((QUOTIENT(COLUMN(BU$2)-69,3))*5)+MOD(COLUMN(BU$2),3),1,1),"")</f>
        <v>0</v>
      </c>
      <c r="BV23">
        <f ca="1">IF($AN23="",OFFSET(Demand!$A$13,ROW(F20)-1,4+((QUOTIENT(COLUMN(BV$2)-69,3))*5)+MOD(COLUMN(BV$2),3),1,1),"")</f>
        <v>0</v>
      </c>
      <c r="BW23">
        <f ca="1">IF($AN23="",OFFSET(Demand!$A$13,ROW(G20)-1,4+((QUOTIENT(COLUMN(BW$2)-69,3))*5)+MOD(COLUMN(BW$2),3),1,1),"")</f>
        <v>0</v>
      </c>
      <c r="BX23">
        <f ca="1">IF($AN23="",OFFSET(Demand!$A$13,ROW(H20)-1,4+((QUOTIENT(COLUMN(BX$2)-69,3))*5)+MOD(COLUMN(BX$2),3),1,1),"")</f>
        <v>0</v>
      </c>
      <c r="BY23">
        <f ca="1">IF($AN23="",OFFSET(Demand!$A$13,ROW(I20)-1,4+((QUOTIENT(COLUMN(BY$2)-69,3))*5)+MOD(COLUMN(BY$2),3),1,1),"")</f>
        <v>0</v>
      </c>
      <c r="BZ23">
        <f ca="1">IF($AN23="",OFFSET(Demand!$A$13,ROW(J20)-1,4+((QUOTIENT(COLUMN(BZ$2)-69,3))*5)+MOD(COLUMN(BZ$2),3),1,1),"")</f>
        <v>0</v>
      </c>
      <c r="CA23">
        <f ca="1">IF($AN23="",OFFSET(Demand!$A$13,ROW(K20)-1,4+((QUOTIENT(COLUMN(CA$2)-69,3))*5)+MOD(COLUMN(CA$2),3),1,1),"")</f>
        <v>0</v>
      </c>
      <c r="CB23">
        <f ca="1">IF($AN23="",OFFSET(Demand!$A$13,ROW(L20)-1,4+((QUOTIENT(COLUMN(CB$2)-69,3))*5)+MOD(COLUMN(CB$2),3),1,1),"")</f>
        <v>0</v>
      </c>
      <c r="CC23">
        <f ca="1">IF($AN23="",OFFSET(Demand!$A$13,ROW(M20)-1,4+((QUOTIENT(COLUMN(CC$2)-69,3))*5)+MOD(COLUMN(CC$2),3),1,1),"")</f>
        <v>0</v>
      </c>
      <c r="CD23">
        <f ca="1">IF($AN23="",OFFSET(Demand!$A$13,ROW(N20)-1,4+((QUOTIENT(COLUMN(CD$2)-69,3))*5)+MOD(COLUMN(CD$2),3),1,1),"")</f>
        <v>0</v>
      </c>
      <c r="CE23">
        <f ca="1">IF($AN23="",OFFSET(Demand!$A$13,ROW(O20)-1,4+((QUOTIENT(COLUMN(CE$2)-69,3))*5)+MOD(COLUMN(CE$2),3),1,1),"")</f>
        <v>0</v>
      </c>
      <c r="CF23">
        <f ca="1">IF($AN23="",OFFSET(Demand!$A$13,ROW(P20)-1,4+((QUOTIENT(COLUMN(CF$2)-69,3))*5)+MOD(COLUMN(CF$2),3),1,1),"")</f>
        <v>0</v>
      </c>
      <c r="CG23">
        <f ca="1">IF($AN23="",OFFSET(Demand!$A$13,ROW(Q20)-1,4+((QUOTIENT(COLUMN(CG$2)-69,3))*5)+MOD(COLUMN(CG$2),3),1,1),"")</f>
        <v>0</v>
      </c>
      <c r="CH23">
        <f ca="1">IF($AN23="",OFFSET(Demand!$A$13,ROW(R20)-1,4+((QUOTIENT(COLUMN(CH$2)-69,3))*5)+MOD(COLUMN(CH$2),3),1,1),"")</f>
        <v>0</v>
      </c>
      <c r="CI23">
        <f ca="1">IF($AN23="",OFFSET(Demand!$A$13,ROW(S20)-1,4+((QUOTIENT(COLUMN(CI$2)-69,3))*5)+MOD(COLUMN(CI$2),3),1,1),"")</f>
        <v>0</v>
      </c>
      <c r="CJ23">
        <f ca="1">IF($AN23="",OFFSET(Demand!$A$13,ROW(T20)-1,4+((QUOTIENT(COLUMN(CJ$2)-69,3))*5)+MOD(COLUMN(CJ$2),3),1,1),"")</f>
        <v>0</v>
      </c>
      <c r="CK23">
        <f ca="1">IF($AN23="",OFFSET(Demand!$A$13,ROW(U20)-1,4+((QUOTIENT(COLUMN(CK$2)-69,3))*5)+MOD(COLUMN(CK$2),3),1,1),"")</f>
        <v>0</v>
      </c>
      <c r="CL23">
        <f ca="1">IF($AN23="",OFFSET(Demand!$A$13,ROW(V20)-1,4+((QUOTIENT(COLUMN(CL$2)-69,3))*5)+MOD(COLUMN(CL$2),3),1,1),"")</f>
        <v>0</v>
      </c>
      <c r="CM23">
        <f ca="1">IF($AN23="",OFFSET(Demand!$A$13,ROW(W20)-1,4+((QUOTIENT(COLUMN(CM$2)-69,3))*5)+MOD(COLUMN(CM$2),3),1,1),"")</f>
        <v>0</v>
      </c>
      <c r="CN23">
        <f ca="1">IF($AN23="",OFFSET(Demand!$A$13,ROW(X20)-1,4+((QUOTIENT(COLUMN(CN$2)-69,3))*5)+MOD(COLUMN(CN$2),3),1,1),"")</f>
        <v>0</v>
      </c>
      <c r="CO23">
        <f ca="1">IF($AN23="",OFFSET(Demand!$A$13,ROW(Y20)-1,4+((QUOTIENT(COLUMN(CO$2)-69,3))*5)+MOD(COLUMN(CO$2),3),1,1),"")</f>
        <v>0</v>
      </c>
      <c r="CP23">
        <f ca="1">IF($AN23="",OFFSET(Demand!$A$13,ROW(Z20)-1,4+((QUOTIENT(COLUMN(CP$2)-69,3))*5)+MOD(COLUMN(CP$2),3),1,1),"")</f>
        <v>0</v>
      </c>
      <c r="CQ23">
        <f ca="1">IF($AN23="",OFFSET(Demand!$A$13,ROW(AA20)-1,4+((QUOTIENT(COLUMN(CQ$2)-69,3))*5)+MOD(COLUMN(CQ$2),3),1,1),"")</f>
        <v>0</v>
      </c>
      <c r="CR23">
        <f ca="1">IF($AN23="",OFFSET(Demand!$A$13,ROW(AB20)-1,4+((QUOTIENT(COLUMN(CR$2)-69,3))*5)+MOD(COLUMN(CR$2),3),1,1),"")</f>
        <v>0</v>
      </c>
      <c r="CS23">
        <f ca="1">IF($AN23="",OFFSET(Demand!$A$13,ROW(AC20)-1,4+((QUOTIENT(COLUMN(CS$2)-69,3))*5)+MOD(COLUMN(CS$2),3),1,1),"")</f>
        <v>0</v>
      </c>
      <c r="CT23">
        <f ca="1">IF($AN23="",OFFSET(Demand!$A$13,ROW(AD20)-1,4+((QUOTIENT(COLUMN(CT$2)-69,3))*5)+MOD(COLUMN(CT$2),3),1,1),"")</f>
        <v>0</v>
      </c>
      <c r="CW23" s="5">
        <f ca="1">SUM(OFFSET(Demand!$H$43,ROW(A20)-1,(COLUMN(A20)-1)*5,1,1))*N$2</f>
        <v>0</v>
      </c>
      <c r="CX23" s="5">
        <f ca="1">SUM(OFFSET(Demand!$H$43,ROW(B20)-1,(COLUMN(B20)-1)*5,1,1))*O$2</f>
        <v>0</v>
      </c>
      <c r="CY23" s="5">
        <f ca="1">SUM(OFFSET(Demand!$H$43,ROW(C20)-1,(COLUMN(C20)-1)*5,1,1))*P$2</f>
        <v>0</v>
      </c>
      <c r="CZ23" s="5">
        <f ca="1">SUM(OFFSET(Demand!$H$43,ROW(D20)-1,(COLUMN(D20)-1)*5,1,1))*Q$2</f>
        <v>0</v>
      </c>
      <c r="DA23" s="5">
        <f ca="1">SUM(OFFSET(Demand!$H$43,ROW(E20)-1,(COLUMN(E20)-1)*5,1,1))*R$2</f>
        <v>0</v>
      </c>
      <c r="DB23" s="5">
        <f ca="1">SUM(OFFSET(Demand!$H$43,ROW(F20)-1,(COLUMN(F20)-1)*5,1,1))*S$2</f>
        <v>0</v>
      </c>
      <c r="DC23" s="5">
        <f ca="1">SUM(OFFSET(Demand!$H$43,ROW(G20)-1,(COLUMN(G20)-1)*5,1,1))*T$2</f>
        <v>0</v>
      </c>
      <c r="DD23" s="5">
        <f ca="1">SUM(OFFSET(Demand!$H$43,ROW(H20)-1,(COLUMN(H20)-1)*5,1,1))*U$2</f>
        <v>0</v>
      </c>
      <c r="DE23" s="5">
        <f ca="1">SUM(OFFSET(Demand!$H$43,ROW(I20)-1,(COLUMN(I20)-1)*5,1,1))*V$2</f>
        <v>0</v>
      </c>
      <c r="DF23" s="5">
        <f ca="1">SUM(OFFSET(Demand!$H$43,ROW(J20)-1,(COLUMN(J20)-1)*5,1,1))*W$2</f>
        <v>0</v>
      </c>
      <c r="DG23" s="5">
        <f ca="1">IF(OR(AN23&lt;&gt;"",AND('Demand adjustments for Covid'!$F$9="Yes",'Demand adjustments for Covid'!$F$20="Yes")),"",SUM(CW23:DF23))</f>
        <v>0</v>
      </c>
      <c r="DM23" s="5">
        <f t="shared" si="10"/>
        <v>35</v>
      </c>
      <c r="DN23" s="320">
        <f t="shared" si="17"/>
        <v>44067</v>
      </c>
      <c r="DO23" s="5">
        <f ca="1">VLOOKUP(IF($DM23&lt;53,$DM23,52),'Summary Calculations (hide)'!$D$15:$F$67,2,0)</f>
        <v>138</v>
      </c>
      <c r="DP23" s="5">
        <f ca="1">VLOOKUP(IF($DM23&lt;53,$DM23,52),'Summary Calculations (hide)'!$D$15:$F$67,3,0)</f>
        <v>151.80000000000001</v>
      </c>
      <c r="DQ23" s="5">
        <f ca="1">IF(AND(DN23&gt;='Demand adjustments for Covid'!$F$12,DN23&lt;'Demand adjustments for Covid'!$F$17),'Demand adjustments for Covid'!$F$13,DO23)</f>
        <v>138</v>
      </c>
      <c r="DR23" s="5">
        <f t="shared" si="7"/>
        <v>0</v>
      </c>
      <c r="DS23" s="5">
        <f ca="1">IF('Demand adjustments for Covid'!$F$9="Yes",IF(DR23=0,DQ23,((SUM(DR$4:DR23)-1)*$EE$8)+'Demand adjustments for Covid'!F$13),'Demand background (hide)'!DO23)</f>
        <v>138</v>
      </c>
      <c r="DT23" s="5">
        <f ca="1">IF('Demand adjustments for Covid'!$F$9="Yes",IF(OR(AND(DN23&gt;='Demand adjustments for Covid'!$F$12,DN23&lt;'Demand adjustments for Covid'!$F$17),DR23=1),DS23+3,DP23),'Demand background (hide)'!DP23)</f>
        <v>151.80000000000001</v>
      </c>
      <c r="DU23" s="5">
        <f ca="1">IF(DS23&lt;='Demand adjustments for Covid'!$F$17,DO23-DS23,0)</f>
        <v>0</v>
      </c>
      <c r="DV23" s="5">
        <f ca="1">IF(AND(ROW(A20)&gt;$EE$5,ROW(A20)&lt;=$EA$5),OFFSET('Demand adjustments for Covid'!$F$35,0,ROW(A20)-'Demand background (hide)'!$EE$5,1,1),0)</f>
        <v>0</v>
      </c>
      <c r="DW23" s="5">
        <f ca="1">IF(AND(ROW(A20)&gt;$EE$5,ROW(A20)&lt;=$EA$5),OFFSET('Demand adjustments for Covid'!$F$36,0,ROW(A20)-'Demand background (hide)'!$EE$5,1,1),0)</f>
        <v>0</v>
      </c>
      <c r="DX23" s="5">
        <f t="shared" ca="1" si="11"/>
        <v>151.80000000000001</v>
      </c>
    </row>
    <row r="24" spans="1:128" s="5" customFormat="1" x14ac:dyDescent="0.25">
      <c r="A24" s="5">
        <f t="shared" ca="1" si="3"/>
        <v>0</v>
      </c>
      <c r="B24" s="5">
        <f ca="1">COUNTBLANK(OFFSET(Demand!$I33,0,(COLUMN(A21)-1)*5,1,1))</f>
        <v>0</v>
      </c>
      <c r="C24" s="5">
        <f ca="1">COUNTBLANK(OFFSET(Demand!$I33,0,(COLUMN(B21)-1)*5,1,1))</f>
        <v>1</v>
      </c>
      <c r="D24" s="5">
        <f ca="1">COUNTBLANK(OFFSET(Demand!$I33,0,(COLUMN(C21)-1)*5,1,1))</f>
        <v>1</v>
      </c>
      <c r="E24" s="5">
        <f ca="1">COUNTBLANK(OFFSET(Demand!$I33,0,(COLUMN(D21)-1)*5,1,1))</f>
        <v>1</v>
      </c>
      <c r="F24" s="5">
        <f ca="1">COUNTBLANK(OFFSET(Demand!$I33,0,(COLUMN(E21)-1)*5,1,1))</f>
        <v>1</v>
      </c>
      <c r="G24" s="5">
        <f ca="1">COUNTBLANK(OFFSET(Demand!$I33,0,(COLUMN(F21)-1)*5,1,1))</f>
        <v>1</v>
      </c>
      <c r="H24" s="5">
        <f ca="1">COUNTBLANK(OFFSET(Demand!$I33,0,(COLUMN(G21)-1)*5,1,1))</f>
        <v>1</v>
      </c>
      <c r="I24" s="5">
        <f ca="1">COUNTBLANK(OFFSET(Demand!$I33,0,(COLUMN(H21)-1)*5,1,1))</f>
        <v>1</v>
      </c>
      <c r="J24" s="5">
        <f ca="1">COUNTBLANK(OFFSET(Demand!$I33,0,(COLUMN(I21)-1)*5,1,1))</f>
        <v>1</v>
      </c>
      <c r="K24" s="5">
        <f ca="1">COUNTBLANK(OFFSET(Demand!$I33,0,(COLUMN(J21)-1)*5,1,1))</f>
        <v>1</v>
      </c>
      <c r="N24" s="5">
        <f ca="1">SUM(OFFSET(Demand!$E33,0,(COLUMN(A21)-1)*5,1,3))*N$2</f>
        <v>160</v>
      </c>
      <c r="O24" s="5">
        <f ca="1">SUM(OFFSET(Demand!$E33,0,(COLUMN(B21)-1)*5,1,3))*O$2</f>
        <v>0</v>
      </c>
      <c r="P24" s="5">
        <f ca="1">SUM(OFFSET(Demand!$E33,0,(COLUMN(C21)-1)*5,1,3))*P$2</f>
        <v>0</v>
      </c>
      <c r="Q24" s="5">
        <f ca="1">SUM(OFFSET(Demand!$E33,0,(COLUMN(D21)-1)*5,1,3))*Q$2</f>
        <v>0</v>
      </c>
      <c r="R24" s="5">
        <f ca="1">SUM(OFFSET(Demand!$E33,0,(COLUMN(E21)-1)*5,1,3))*R$2</f>
        <v>0</v>
      </c>
      <c r="S24" s="5">
        <f ca="1">SUM(OFFSET(Demand!$E33,0,(COLUMN(F21)-1)*5,1,3))*S$2</f>
        <v>0</v>
      </c>
      <c r="T24" s="5">
        <f ca="1">SUM(OFFSET(Demand!$E33,0,(COLUMN(G21)-1)*5,1,3))*T$2</f>
        <v>0</v>
      </c>
      <c r="U24" s="5">
        <f ca="1">SUM(OFFSET(Demand!$E33,0,(COLUMN(H21)-1)*5,1,3))*U$2</f>
        <v>0</v>
      </c>
      <c r="V24" s="5">
        <f ca="1">SUM(OFFSET(Demand!$E33,0,(COLUMN(I21)-1)*5,1,3))*V$2</f>
        <v>0</v>
      </c>
      <c r="W24" s="5">
        <f ca="1">SUM(OFFSET(Demand!$E33,0,(COLUMN(J21)-1)*5,1,3))*W$2</f>
        <v>0</v>
      </c>
      <c r="X24" s="5">
        <f t="shared" ca="1" si="4"/>
        <v>160</v>
      </c>
      <c r="Y24" s="5">
        <f t="shared" ca="1" si="5"/>
        <v>160</v>
      </c>
      <c r="Z24" s="5">
        <f ca="1">SUM(OFFSET(Demand!$H33,0,(COLUMN(A21)-1)*5,1,1))*N$2</f>
        <v>0</v>
      </c>
      <c r="AA24" s="5">
        <f ca="1">SUM(OFFSET(Demand!$H33,0,(COLUMN(B21)-1)*5,1,1))*O$2</f>
        <v>0</v>
      </c>
      <c r="AB24" s="5">
        <f ca="1">SUM(OFFSET(Demand!$H33,0,(COLUMN(C21)-1)*5,1,1))*P$2</f>
        <v>0</v>
      </c>
      <c r="AC24" s="5">
        <f ca="1">SUM(OFFSET(Demand!$H33,0,(COLUMN(D21)-1)*5,1,1))*Q$2</f>
        <v>0</v>
      </c>
      <c r="AD24" s="5">
        <f ca="1">SUM(OFFSET(Demand!$H33,0,(COLUMN(E21)-1)*5,1,1))*R$2</f>
        <v>0</v>
      </c>
      <c r="AE24" s="5">
        <f ca="1">SUM(OFFSET(Demand!$H33,0,(COLUMN(F21)-1)*5,1,1))*S$2</f>
        <v>0</v>
      </c>
      <c r="AF24" s="5">
        <f ca="1">SUM(OFFSET(Demand!$H33,0,(COLUMN(G21)-1)*5,1,1))*T$2</f>
        <v>0</v>
      </c>
      <c r="AG24" s="5">
        <f ca="1">SUM(OFFSET(Demand!$H33,0,(COLUMN(H21)-1)*5,1,1))*U$2</f>
        <v>0</v>
      </c>
      <c r="AH24" s="5">
        <f ca="1">SUM(OFFSET(Demand!$H33,0,(COLUMN(I21)-1)*5,1,1))*V$2</f>
        <v>0</v>
      </c>
      <c r="AI24" s="5">
        <f ca="1">SUM(OFFSET(Demand!$H33,0,(COLUMN(J21)-1)*5,1,1))*W$2</f>
        <v>0</v>
      </c>
      <c r="AJ24" s="5">
        <f t="shared" ca="1" si="6"/>
        <v>0</v>
      </c>
      <c r="AL24" s="5">
        <f t="shared" ca="1" si="8"/>
        <v>160</v>
      </c>
      <c r="AM24" s="5">
        <f t="shared" ca="1" si="9"/>
        <v>0</v>
      </c>
      <c r="AN24" s="5" t="str">
        <f>IF(Demand!BE33="Yes","Yes","")</f>
        <v/>
      </c>
      <c r="AP24" s="36" t="str">
        <f ca="1">Demand!B33</f>
        <v xml:space="preserve"> </v>
      </c>
      <c r="AQ24" s="5" t="str">
        <f ca="1">IF(TEXT(Demand!D33,"MMM")&lt;&gt;TEXT(Demand!D32,"MMM"),TEXT(Demand!D33,"MMM"),"")</f>
        <v/>
      </c>
      <c r="AT24" s="5">
        <f t="shared" ca="1" si="12"/>
        <v>22</v>
      </c>
      <c r="BQ24">
        <f ca="1">IF($AN24="",OFFSET(Demand!$A$13,ROW(A21)-1,4+((QUOTIENT(COLUMN(BQ$2)-69,3))*5)+MOD(COLUMN(BQ$2),3),1,1),"")</f>
        <v>0</v>
      </c>
      <c r="BR24">
        <f ca="1">IF($AN24="",OFFSET(Demand!$A$13,ROW(B21)-1,4+((QUOTIENT(COLUMN(BR$2)-69,3))*5)+MOD(COLUMN(BR$2),3),1,1),"")</f>
        <v>0</v>
      </c>
      <c r="BS24">
        <f ca="1">IF($AN24="",OFFSET(Demand!$A$13,ROW(C21)-1,4+((QUOTIENT(COLUMN(BS$2)-69,3))*5)+MOD(COLUMN(BS$2),3),1,1),"")</f>
        <v>80</v>
      </c>
      <c r="BT24">
        <f ca="1">IF($AN24="",OFFSET(Demand!$A$13,ROW(D21)-1,4+((QUOTIENT(COLUMN(BT$2)-69,3))*5)+MOD(COLUMN(BT$2),3),1,1),"")</f>
        <v>0</v>
      </c>
      <c r="BU24">
        <f ca="1">IF($AN24="",OFFSET(Demand!$A$13,ROW(E21)-1,4+((QUOTIENT(COLUMN(BU$2)-69,3))*5)+MOD(COLUMN(BU$2),3),1,1),"")</f>
        <v>0</v>
      </c>
      <c r="BV24">
        <f ca="1">IF($AN24="",OFFSET(Demand!$A$13,ROW(F21)-1,4+((QUOTIENT(COLUMN(BV$2)-69,3))*5)+MOD(COLUMN(BV$2),3),1,1),"")</f>
        <v>0</v>
      </c>
      <c r="BW24">
        <f ca="1">IF($AN24="",OFFSET(Demand!$A$13,ROW(G21)-1,4+((QUOTIENT(COLUMN(BW$2)-69,3))*5)+MOD(COLUMN(BW$2),3),1,1),"")</f>
        <v>0</v>
      </c>
      <c r="BX24">
        <f ca="1">IF($AN24="",OFFSET(Demand!$A$13,ROW(H21)-1,4+((QUOTIENT(COLUMN(BX$2)-69,3))*5)+MOD(COLUMN(BX$2),3),1,1),"")</f>
        <v>0</v>
      </c>
      <c r="BY24">
        <f ca="1">IF($AN24="",OFFSET(Demand!$A$13,ROW(I21)-1,4+((QUOTIENT(COLUMN(BY$2)-69,3))*5)+MOD(COLUMN(BY$2),3),1,1),"")</f>
        <v>0</v>
      </c>
      <c r="BZ24">
        <f ca="1">IF($AN24="",OFFSET(Demand!$A$13,ROW(J21)-1,4+((QUOTIENT(COLUMN(BZ$2)-69,3))*5)+MOD(COLUMN(BZ$2),3),1,1),"")</f>
        <v>0</v>
      </c>
      <c r="CA24">
        <f ca="1">IF($AN24="",OFFSET(Demand!$A$13,ROW(K21)-1,4+((QUOTIENT(COLUMN(CA$2)-69,3))*5)+MOD(COLUMN(CA$2),3),1,1),"")</f>
        <v>0</v>
      </c>
      <c r="CB24">
        <f ca="1">IF($AN24="",OFFSET(Demand!$A$13,ROW(L21)-1,4+((QUOTIENT(COLUMN(CB$2)-69,3))*5)+MOD(COLUMN(CB$2),3),1,1),"")</f>
        <v>0</v>
      </c>
      <c r="CC24">
        <f ca="1">IF($AN24="",OFFSET(Demand!$A$13,ROW(M21)-1,4+((QUOTIENT(COLUMN(CC$2)-69,3))*5)+MOD(COLUMN(CC$2),3),1,1),"")</f>
        <v>0</v>
      </c>
      <c r="CD24">
        <f ca="1">IF($AN24="",OFFSET(Demand!$A$13,ROW(N21)-1,4+((QUOTIENT(COLUMN(CD$2)-69,3))*5)+MOD(COLUMN(CD$2),3),1,1),"")</f>
        <v>0</v>
      </c>
      <c r="CE24">
        <f ca="1">IF($AN24="",OFFSET(Demand!$A$13,ROW(O21)-1,4+((QUOTIENT(COLUMN(CE$2)-69,3))*5)+MOD(COLUMN(CE$2),3),1,1),"")</f>
        <v>0</v>
      </c>
      <c r="CF24">
        <f ca="1">IF($AN24="",OFFSET(Demand!$A$13,ROW(P21)-1,4+((QUOTIENT(COLUMN(CF$2)-69,3))*5)+MOD(COLUMN(CF$2),3),1,1),"")</f>
        <v>0</v>
      </c>
      <c r="CG24">
        <f ca="1">IF($AN24="",OFFSET(Demand!$A$13,ROW(Q21)-1,4+((QUOTIENT(COLUMN(CG$2)-69,3))*5)+MOD(COLUMN(CG$2),3),1,1),"")</f>
        <v>0</v>
      </c>
      <c r="CH24">
        <f ca="1">IF($AN24="",OFFSET(Demand!$A$13,ROW(R21)-1,4+((QUOTIENT(COLUMN(CH$2)-69,3))*5)+MOD(COLUMN(CH$2),3),1,1),"")</f>
        <v>0</v>
      </c>
      <c r="CI24">
        <f ca="1">IF($AN24="",OFFSET(Demand!$A$13,ROW(S21)-1,4+((QUOTIENT(COLUMN(CI$2)-69,3))*5)+MOD(COLUMN(CI$2),3),1,1),"")</f>
        <v>0</v>
      </c>
      <c r="CJ24">
        <f ca="1">IF($AN24="",OFFSET(Demand!$A$13,ROW(T21)-1,4+((QUOTIENT(COLUMN(CJ$2)-69,3))*5)+MOD(COLUMN(CJ$2),3),1,1),"")</f>
        <v>0</v>
      </c>
      <c r="CK24">
        <f ca="1">IF($AN24="",OFFSET(Demand!$A$13,ROW(U21)-1,4+((QUOTIENT(COLUMN(CK$2)-69,3))*5)+MOD(COLUMN(CK$2),3),1,1),"")</f>
        <v>0</v>
      </c>
      <c r="CL24">
        <f ca="1">IF($AN24="",OFFSET(Demand!$A$13,ROW(V21)-1,4+((QUOTIENT(COLUMN(CL$2)-69,3))*5)+MOD(COLUMN(CL$2),3),1,1),"")</f>
        <v>0</v>
      </c>
      <c r="CM24">
        <f ca="1">IF($AN24="",OFFSET(Demand!$A$13,ROW(W21)-1,4+((QUOTIENT(COLUMN(CM$2)-69,3))*5)+MOD(COLUMN(CM$2),3),1,1),"")</f>
        <v>0</v>
      </c>
      <c r="CN24">
        <f ca="1">IF($AN24="",OFFSET(Demand!$A$13,ROW(X21)-1,4+((QUOTIENT(COLUMN(CN$2)-69,3))*5)+MOD(COLUMN(CN$2),3),1,1),"")</f>
        <v>0</v>
      </c>
      <c r="CO24">
        <f ca="1">IF($AN24="",OFFSET(Demand!$A$13,ROW(Y21)-1,4+((QUOTIENT(COLUMN(CO$2)-69,3))*5)+MOD(COLUMN(CO$2),3),1,1),"")</f>
        <v>0</v>
      </c>
      <c r="CP24">
        <f ca="1">IF($AN24="",OFFSET(Demand!$A$13,ROW(Z21)-1,4+((QUOTIENT(COLUMN(CP$2)-69,3))*5)+MOD(COLUMN(CP$2),3),1,1),"")</f>
        <v>0</v>
      </c>
      <c r="CQ24">
        <f ca="1">IF($AN24="",OFFSET(Demand!$A$13,ROW(AA21)-1,4+((QUOTIENT(COLUMN(CQ$2)-69,3))*5)+MOD(COLUMN(CQ$2),3),1,1),"")</f>
        <v>0</v>
      </c>
      <c r="CR24">
        <f ca="1">IF($AN24="",OFFSET(Demand!$A$13,ROW(AB21)-1,4+((QUOTIENT(COLUMN(CR$2)-69,3))*5)+MOD(COLUMN(CR$2),3),1,1),"")</f>
        <v>0</v>
      </c>
      <c r="CS24">
        <f ca="1">IF($AN24="",OFFSET(Demand!$A$13,ROW(AC21)-1,4+((QUOTIENT(COLUMN(CS$2)-69,3))*5)+MOD(COLUMN(CS$2),3),1,1),"")</f>
        <v>0</v>
      </c>
      <c r="CT24">
        <f ca="1">IF($AN24="",OFFSET(Demand!$A$13,ROW(AD21)-1,4+((QUOTIENT(COLUMN(CT$2)-69,3))*5)+MOD(COLUMN(CT$2),3),1,1),"")</f>
        <v>0</v>
      </c>
      <c r="CW24" s="5">
        <f ca="1">SUM(OFFSET(Demand!$H$43,ROW(A21)-1,(COLUMN(A21)-1)*5,1,1))*N$2</f>
        <v>0</v>
      </c>
      <c r="CX24" s="5">
        <f ca="1">SUM(OFFSET(Demand!$H$43,ROW(B21)-1,(COLUMN(B21)-1)*5,1,1))*O$2</f>
        <v>0</v>
      </c>
      <c r="CY24" s="5">
        <f ca="1">SUM(OFFSET(Demand!$H$43,ROW(C21)-1,(COLUMN(C21)-1)*5,1,1))*P$2</f>
        <v>0</v>
      </c>
      <c r="CZ24" s="5">
        <f ca="1">SUM(OFFSET(Demand!$H$43,ROW(D21)-1,(COLUMN(D21)-1)*5,1,1))*Q$2</f>
        <v>0</v>
      </c>
      <c r="DA24" s="5">
        <f ca="1">SUM(OFFSET(Demand!$H$43,ROW(E21)-1,(COLUMN(E21)-1)*5,1,1))*R$2</f>
        <v>0</v>
      </c>
      <c r="DB24" s="5">
        <f ca="1">SUM(OFFSET(Demand!$H$43,ROW(F21)-1,(COLUMN(F21)-1)*5,1,1))*S$2</f>
        <v>0</v>
      </c>
      <c r="DC24" s="5">
        <f ca="1">SUM(OFFSET(Demand!$H$43,ROW(G21)-1,(COLUMN(G21)-1)*5,1,1))*T$2</f>
        <v>0</v>
      </c>
      <c r="DD24" s="5">
        <f ca="1">SUM(OFFSET(Demand!$H$43,ROW(H21)-1,(COLUMN(H21)-1)*5,1,1))*U$2</f>
        <v>0</v>
      </c>
      <c r="DE24" s="5">
        <f ca="1">SUM(OFFSET(Demand!$H$43,ROW(I21)-1,(COLUMN(I21)-1)*5,1,1))*V$2</f>
        <v>0</v>
      </c>
      <c r="DF24" s="5">
        <f ca="1">SUM(OFFSET(Demand!$H$43,ROW(J21)-1,(COLUMN(J21)-1)*5,1,1))*W$2</f>
        <v>0</v>
      </c>
      <c r="DG24" s="5">
        <f ca="1">IF(OR(AN24&lt;&gt;"",AND('Demand adjustments for Covid'!$F$9="Yes",'Demand adjustments for Covid'!$F$20="Yes")),"",SUM(CW24:DF24))</f>
        <v>0</v>
      </c>
      <c r="DM24" s="5">
        <f t="shared" si="10"/>
        <v>36</v>
      </c>
      <c r="DN24" s="320">
        <f t="shared" si="17"/>
        <v>44074</v>
      </c>
      <c r="DO24" s="5">
        <f ca="1">VLOOKUP(IF($DM24&lt;53,$DM24,52),'Summary Calculations (hide)'!$D$15:$F$67,2,0)</f>
        <v>160</v>
      </c>
      <c r="DP24" s="5">
        <f ca="1">VLOOKUP(IF($DM24&lt;53,$DM24,52),'Summary Calculations (hide)'!$D$15:$F$67,3,0)</f>
        <v>176</v>
      </c>
      <c r="DQ24" s="5">
        <f ca="1">IF(AND(DN24&gt;='Demand adjustments for Covid'!$F$12,DN24&lt;'Demand adjustments for Covid'!$F$17),'Demand adjustments for Covid'!$F$13,DO24)</f>
        <v>160</v>
      </c>
      <c r="DR24" s="5">
        <f t="shared" si="7"/>
        <v>0</v>
      </c>
      <c r="DS24" s="5">
        <f ca="1">IF('Demand adjustments for Covid'!$F$9="Yes",IF(DR24=0,DQ24,((SUM(DR$4:DR24)-1)*$EE$8)+'Demand adjustments for Covid'!F$13),'Demand background (hide)'!DO24)</f>
        <v>160</v>
      </c>
      <c r="DT24" s="5">
        <f ca="1">IF('Demand adjustments for Covid'!$F$9="Yes",IF(OR(AND(DN24&gt;='Demand adjustments for Covid'!$F$12,DN24&lt;'Demand adjustments for Covid'!$F$17),DR24=1),DS24+3,DP24),'Demand background (hide)'!DP24)</f>
        <v>176</v>
      </c>
      <c r="DU24" s="5">
        <f ca="1">IF(DS24&lt;='Demand adjustments for Covid'!$F$17,DO24-DS24,0)</f>
        <v>0</v>
      </c>
      <c r="DV24" s="5">
        <f ca="1">IF(AND(ROW(A21)&gt;$EE$5,ROW(A21)&lt;=$EA$5),OFFSET('Demand adjustments for Covid'!$F$35,0,ROW(A21)-'Demand background (hide)'!$EE$5,1,1),0)</f>
        <v>0</v>
      </c>
      <c r="DW24" s="5">
        <f ca="1">IF(AND(ROW(A21)&gt;$EE$5,ROW(A21)&lt;=$EA$5),OFFSET('Demand adjustments for Covid'!$F$36,0,ROW(A21)-'Demand background (hide)'!$EE$5,1,1),0)</f>
        <v>0</v>
      </c>
      <c r="DX24" s="5">
        <f t="shared" ca="1" si="11"/>
        <v>176</v>
      </c>
    </row>
    <row r="25" spans="1:128" s="5" customFormat="1" x14ac:dyDescent="0.25">
      <c r="A25" s="5">
        <f t="shared" ca="1" si="3"/>
        <v>0</v>
      </c>
      <c r="B25" s="5">
        <f ca="1">COUNTBLANK(OFFSET(Demand!$I34,0,(COLUMN(A22)-1)*5,1,1))</f>
        <v>0</v>
      </c>
      <c r="C25" s="5">
        <f ca="1">COUNTBLANK(OFFSET(Demand!$I34,0,(COLUMN(B22)-1)*5,1,1))</f>
        <v>1</v>
      </c>
      <c r="D25" s="5">
        <f ca="1">COUNTBLANK(OFFSET(Demand!$I34,0,(COLUMN(C22)-1)*5,1,1))</f>
        <v>1</v>
      </c>
      <c r="E25" s="5">
        <f ca="1">COUNTBLANK(OFFSET(Demand!$I34,0,(COLUMN(D22)-1)*5,1,1))</f>
        <v>1</v>
      </c>
      <c r="F25" s="5">
        <f ca="1">COUNTBLANK(OFFSET(Demand!$I34,0,(COLUMN(E22)-1)*5,1,1))</f>
        <v>1</v>
      </c>
      <c r="G25" s="5">
        <f ca="1">COUNTBLANK(OFFSET(Demand!$I34,0,(COLUMN(F22)-1)*5,1,1))</f>
        <v>1</v>
      </c>
      <c r="H25" s="5">
        <f ca="1">COUNTBLANK(OFFSET(Demand!$I34,0,(COLUMN(G22)-1)*5,1,1))</f>
        <v>1</v>
      </c>
      <c r="I25" s="5">
        <f ca="1">COUNTBLANK(OFFSET(Demand!$I34,0,(COLUMN(H22)-1)*5,1,1))</f>
        <v>1</v>
      </c>
      <c r="J25" s="5">
        <f ca="1">COUNTBLANK(OFFSET(Demand!$I34,0,(COLUMN(I22)-1)*5,1,1))</f>
        <v>1</v>
      </c>
      <c r="K25" s="5">
        <f ca="1">COUNTBLANK(OFFSET(Demand!$I34,0,(COLUMN(J22)-1)*5,1,1))</f>
        <v>1</v>
      </c>
      <c r="N25" s="5">
        <f ca="1">SUM(OFFSET(Demand!$E34,0,(COLUMN(A22)-1)*5,1,3))*N$2</f>
        <v>146</v>
      </c>
      <c r="O25" s="5">
        <f ca="1">SUM(OFFSET(Demand!$E34,0,(COLUMN(B22)-1)*5,1,3))*O$2</f>
        <v>0</v>
      </c>
      <c r="P25" s="5">
        <f ca="1">SUM(OFFSET(Demand!$E34,0,(COLUMN(C22)-1)*5,1,3))*P$2</f>
        <v>0</v>
      </c>
      <c r="Q25" s="5">
        <f ca="1">SUM(OFFSET(Demand!$E34,0,(COLUMN(D22)-1)*5,1,3))*Q$2</f>
        <v>0</v>
      </c>
      <c r="R25" s="5">
        <f ca="1">SUM(OFFSET(Demand!$E34,0,(COLUMN(E22)-1)*5,1,3))*R$2</f>
        <v>0</v>
      </c>
      <c r="S25" s="5">
        <f ca="1">SUM(OFFSET(Demand!$E34,0,(COLUMN(F22)-1)*5,1,3))*S$2</f>
        <v>0</v>
      </c>
      <c r="T25" s="5">
        <f ca="1">SUM(OFFSET(Demand!$E34,0,(COLUMN(G22)-1)*5,1,3))*T$2</f>
        <v>0</v>
      </c>
      <c r="U25" s="5">
        <f ca="1">SUM(OFFSET(Demand!$E34,0,(COLUMN(H22)-1)*5,1,3))*U$2</f>
        <v>0</v>
      </c>
      <c r="V25" s="5">
        <f ca="1">SUM(OFFSET(Demand!$E34,0,(COLUMN(I22)-1)*5,1,3))*V$2</f>
        <v>0</v>
      </c>
      <c r="W25" s="5">
        <f ca="1">SUM(OFFSET(Demand!$E34,0,(COLUMN(J22)-1)*5,1,3))*W$2</f>
        <v>0</v>
      </c>
      <c r="X25" s="5">
        <f t="shared" ca="1" si="4"/>
        <v>146</v>
      </c>
      <c r="Y25" s="5">
        <f t="shared" ca="1" si="5"/>
        <v>146</v>
      </c>
      <c r="Z25" s="5">
        <f ca="1">SUM(OFFSET(Demand!$H34,0,(COLUMN(A22)-1)*5,1,1))*N$2</f>
        <v>0</v>
      </c>
      <c r="AA25" s="5">
        <f ca="1">SUM(OFFSET(Demand!$H34,0,(COLUMN(B22)-1)*5,1,1))*O$2</f>
        <v>0</v>
      </c>
      <c r="AB25" s="5">
        <f ca="1">SUM(OFFSET(Demand!$H34,0,(COLUMN(C22)-1)*5,1,1))*P$2</f>
        <v>0</v>
      </c>
      <c r="AC25" s="5">
        <f ca="1">SUM(OFFSET(Demand!$H34,0,(COLUMN(D22)-1)*5,1,1))*Q$2</f>
        <v>0</v>
      </c>
      <c r="AD25" s="5">
        <f ca="1">SUM(OFFSET(Demand!$H34,0,(COLUMN(E22)-1)*5,1,1))*R$2</f>
        <v>0</v>
      </c>
      <c r="AE25" s="5">
        <f ca="1">SUM(OFFSET(Demand!$H34,0,(COLUMN(F22)-1)*5,1,1))*S$2</f>
        <v>0</v>
      </c>
      <c r="AF25" s="5">
        <f ca="1">SUM(OFFSET(Demand!$H34,0,(COLUMN(G22)-1)*5,1,1))*T$2</f>
        <v>0</v>
      </c>
      <c r="AG25" s="5">
        <f ca="1">SUM(OFFSET(Demand!$H34,0,(COLUMN(H22)-1)*5,1,1))*U$2</f>
        <v>0</v>
      </c>
      <c r="AH25" s="5">
        <f ca="1">SUM(OFFSET(Demand!$H34,0,(COLUMN(I22)-1)*5,1,1))*V$2</f>
        <v>0</v>
      </c>
      <c r="AI25" s="5">
        <f ca="1">SUM(OFFSET(Demand!$H34,0,(COLUMN(J22)-1)*5,1,1))*W$2</f>
        <v>0</v>
      </c>
      <c r="AJ25" s="5">
        <f t="shared" ca="1" si="6"/>
        <v>0</v>
      </c>
      <c r="AL25" s="5">
        <f t="shared" ca="1" si="8"/>
        <v>146</v>
      </c>
      <c r="AM25" s="5">
        <f t="shared" ca="1" si="9"/>
        <v>0</v>
      </c>
      <c r="AN25" s="5" t="str">
        <f>IF(Demand!BE34="Yes","Yes","")</f>
        <v/>
      </c>
      <c r="AP25" s="36" t="str">
        <f ca="1">Demand!B34</f>
        <v xml:space="preserve"> </v>
      </c>
      <c r="AQ25" s="5" t="str">
        <f ca="1">IF(TEXT(Demand!D34,"MMM")&lt;&gt;TEXT(Demand!D33,"MMM"),TEXT(Demand!D34,"MMM"),"")</f>
        <v/>
      </c>
      <c r="AT25" s="5">
        <f t="shared" ca="1" si="12"/>
        <v>14</v>
      </c>
      <c r="AV25" s="5" t="s">
        <v>104</v>
      </c>
      <c r="AW25" s="44" t="str">
        <f ca="1">IFERROR(AVERAGE(OFFSET(AL$4,'SPC background (hide)'!$D$10-1,0,'SPC background (hide)'!$H$11,1)),"")</f>
        <v/>
      </c>
      <c r="AX25" s="5" t="str">
        <f ca="1">IFERROR(AVERAGE(OFFSET(AM$4,'SPC background (hide)'!$D$10-1,0,'SPC background (hide)'!$H$11,1)),"")</f>
        <v/>
      </c>
      <c r="AY25" s="5" t="str">
        <f ca="1">'SPC background (hide)'!$H$11</f>
        <v/>
      </c>
      <c r="BQ25">
        <f ca="1">IF($AN25="",OFFSET(Demand!$A$13,ROW(A22)-1,4+((QUOTIENT(COLUMN(BQ$2)-69,3))*5)+MOD(COLUMN(BQ$2),3),1,1),"")</f>
        <v>0</v>
      </c>
      <c r="BR25">
        <f ca="1">IF($AN25="",OFFSET(Demand!$A$13,ROW(B22)-1,4+((QUOTIENT(COLUMN(BR$2)-69,3))*5)+MOD(COLUMN(BR$2),3),1,1),"")</f>
        <v>0</v>
      </c>
      <c r="BS25">
        <f ca="1">IF($AN25="",OFFSET(Demand!$A$13,ROW(C22)-1,4+((QUOTIENT(COLUMN(BS$2)-69,3))*5)+MOD(COLUMN(BS$2),3),1,1),"")</f>
        <v>73</v>
      </c>
      <c r="BT25">
        <f ca="1">IF($AN25="",OFFSET(Demand!$A$13,ROW(D22)-1,4+((QUOTIENT(COLUMN(BT$2)-69,3))*5)+MOD(COLUMN(BT$2),3),1,1),"")</f>
        <v>0</v>
      </c>
      <c r="BU25">
        <f ca="1">IF($AN25="",OFFSET(Demand!$A$13,ROW(E22)-1,4+((QUOTIENT(COLUMN(BU$2)-69,3))*5)+MOD(COLUMN(BU$2),3),1,1),"")</f>
        <v>0</v>
      </c>
      <c r="BV25">
        <f ca="1">IF($AN25="",OFFSET(Demand!$A$13,ROW(F22)-1,4+((QUOTIENT(COLUMN(BV$2)-69,3))*5)+MOD(COLUMN(BV$2),3),1,1),"")</f>
        <v>0</v>
      </c>
      <c r="BW25">
        <f ca="1">IF($AN25="",OFFSET(Demand!$A$13,ROW(G22)-1,4+((QUOTIENT(COLUMN(BW$2)-69,3))*5)+MOD(COLUMN(BW$2),3),1,1),"")</f>
        <v>0</v>
      </c>
      <c r="BX25">
        <f ca="1">IF($AN25="",OFFSET(Demand!$A$13,ROW(H22)-1,4+((QUOTIENT(COLUMN(BX$2)-69,3))*5)+MOD(COLUMN(BX$2),3),1,1),"")</f>
        <v>0</v>
      </c>
      <c r="BY25">
        <f ca="1">IF($AN25="",OFFSET(Demand!$A$13,ROW(I22)-1,4+((QUOTIENT(COLUMN(BY$2)-69,3))*5)+MOD(COLUMN(BY$2),3),1,1),"")</f>
        <v>0</v>
      </c>
      <c r="BZ25">
        <f ca="1">IF($AN25="",OFFSET(Demand!$A$13,ROW(J22)-1,4+((QUOTIENT(COLUMN(BZ$2)-69,3))*5)+MOD(COLUMN(BZ$2),3),1,1),"")</f>
        <v>0</v>
      </c>
      <c r="CA25">
        <f ca="1">IF($AN25="",OFFSET(Demand!$A$13,ROW(K22)-1,4+((QUOTIENT(COLUMN(CA$2)-69,3))*5)+MOD(COLUMN(CA$2),3),1,1),"")</f>
        <v>0</v>
      </c>
      <c r="CB25">
        <f ca="1">IF($AN25="",OFFSET(Demand!$A$13,ROW(L22)-1,4+((QUOTIENT(COLUMN(CB$2)-69,3))*5)+MOD(COLUMN(CB$2),3),1,1),"")</f>
        <v>0</v>
      </c>
      <c r="CC25">
        <f ca="1">IF($AN25="",OFFSET(Demand!$A$13,ROW(M22)-1,4+((QUOTIENT(COLUMN(CC$2)-69,3))*5)+MOD(COLUMN(CC$2),3),1,1),"")</f>
        <v>0</v>
      </c>
      <c r="CD25">
        <f ca="1">IF($AN25="",OFFSET(Demand!$A$13,ROW(N22)-1,4+((QUOTIENT(COLUMN(CD$2)-69,3))*5)+MOD(COLUMN(CD$2),3),1,1),"")</f>
        <v>0</v>
      </c>
      <c r="CE25">
        <f ca="1">IF($AN25="",OFFSET(Demand!$A$13,ROW(O22)-1,4+((QUOTIENT(COLUMN(CE$2)-69,3))*5)+MOD(COLUMN(CE$2),3),1,1),"")</f>
        <v>0</v>
      </c>
      <c r="CF25">
        <f ca="1">IF($AN25="",OFFSET(Demand!$A$13,ROW(P22)-1,4+((QUOTIENT(COLUMN(CF$2)-69,3))*5)+MOD(COLUMN(CF$2),3),1,1),"")</f>
        <v>0</v>
      </c>
      <c r="CG25">
        <f ca="1">IF($AN25="",OFFSET(Demand!$A$13,ROW(Q22)-1,4+((QUOTIENT(COLUMN(CG$2)-69,3))*5)+MOD(COLUMN(CG$2),3),1,1),"")</f>
        <v>0</v>
      </c>
      <c r="CH25">
        <f ca="1">IF($AN25="",OFFSET(Demand!$A$13,ROW(R22)-1,4+((QUOTIENT(COLUMN(CH$2)-69,3))*5)+MOD(COLUMN(CH$2),3),1,1),"")</f>
        <v>0</v>
      </c>
      <c r="CI25">
        <f ca="1">IF($AN25="",OFFSET(Demand!$A$13,ROW(S22)-1,4+((QUOTIENT(COLUMN(CI$2)-69,3))*5)+MOD(COLUMN(CI$2),3),1,1),"")</f>
        <v>0</v>
      </c>
      <c r="CJ25">
        <f ca="1">IF($AN25="",OFFSET(Demand!$A$13,ROW(T22)-1,4+((QUOTIENT(COLUMN(CJ$2)-69,3))*5)+MOD(COLUMN(CJ$2),3),1,1),"")</f>
        <v>0</v>
      </c>
      <c r="CK25">
        <f ca="1">IF($AN25="",OFFSET(Demand!$A$13,ROW(U22)-1,4+((QUOTIENT(COLUMN(CK$2)-69,3))*5)+MOD(COLUMN(CK$2),3),1,1),"")</f>
        <v>0</v>
      </c>
      <c r="CL25">
        <f ca="1">IF($AN25="",OFFSET(Demand!$A$13,ROW(V22)-1,4+((QUOTIENT(COLUMN(CL$2)-69,3))*5)+MOD(COLUMN(CL$2),3),1,1),"")</f>
        <v>0</v>
      </c>
      <c r="CM25">
        <f ca="1">IF($AN25="",OFFSET(Demand!$A$13,ROW(W22)-1,4+((QUOTIENT(COLUMN(CM$2)-69,3))*5)+MOD(COLUMN(CM$2),3),1,1),"")</f>
        <v>0</v>
      </c>
      <c r="CN25">
        <f ca="1">IF($AN25="",OFFSET(Demand!$A$13,ROW(X22)-1,4+((QUOTIENT(COLUMN(CN$2)-69,3))*5)+MOD(COLUMN(CN$2),3),1,1),"")</f>
        <v>0</v>
      </c>
      <c r="CO25">
        <f ca="1">IF($AN25="",OFFSET(Demand!$A$13,ROW(Y22)-1,4+((QUOTIENT(COLUMN(CO$2)-69,3))*5)+MOD(COLUMN(CO$2),3),1,1),"")</f>
        <v>0</v>
      </c>
      <c r="CP25">
        <f ca="1">IF($AN25="",OFFSET(Demand!$A$13,ROW(Z22)-1,4+((QUOTIENT(COLUMN(CP$2)-69,3))*5)+MOD(COLUMN(CP$2),3),1,1),"")</f>
        <v>0</v>
      </c>
      <c r="CQ25">
        <f ca="1">IF($AN25="",OFFSET(Demand!$A$13,ROW(AA22)-1,4+((QUOTIENT(COLUMN(CQ$2)-69,3))*5)+MOD(COLUMN(CQ$2),3),1,1),"")</f>
        <v>0</v>
      </c>
      <c r="CR25">
        <f ca="1">IF($AN25="",OFFSET(Demand!$A$13,ROW(AB22)-1,4+((QUOTIENT(COLUMN(CR$2)-69,3))*5)+MOD(COLUMN(CR$2),3),1,1),"")</f>
        <v>0</v>
      </c>
      <c r="CS25">
        <f ca="1">IF($AN25="",OFFSET(Demand!$A$13,ROW(AC22)-1,4+((QUOTIENT(COLUMN(CS$2)-69,3))*5)+MOD(COLUMN(CS$2),3),1,1),"")</f>
        <v>0</v>
      </c>
      <c r="CT25">
        <f ca="1">IF($AN25="",OFFSET(Demand!$A$13,ROW(AD22)-1,4+((QUOTIENT(COLUMN(CT$2)-69,3))*5)+MOD(COLUMN(CT$2),3),1,1),"")</f>
        <v>0</v>
      </c>
      <c r="CW25" s="5">
        <f ca="1">SUM(OFFSET(Demand!$H$43,ROW(A22)-1,(COLUMN(A22)-1)*5,1,1))*N$2</f>
        <v>0</v>
      </c>
      <c r="CX25" s="5">
        <f ca="1">SUM(OFFSET(Demand!$H$43,ROW(B22)-1,(COLUMN(B22)-1)*5,1,1))*O$2</f>
        <v>0</v>
      </c>
      <c r="CY25" s="5">
        <f ca="1">SUM(OFFSET(Demand!$H$43,ROW(C22)-1,(COLUMN(C22)-1)*5,1,1))*P$2</f>
        <v>0</v>
      </c>
      <c r="CZ25" s="5">
        <f ca="1">SUM(OFFSET(Demand!$H$43,ROW(D22)-1,(COLUMN(D22)-1)*5,1,1))*Q$2</f>
        <v>0</v>
      </c>
      <c r="DA25" s="5">
        <f ca="1">SUM(OFFSET(Demand!$H$43,ROW(E22)-1,(COLUMN(E22)-1)*5,1,1))*R$2</f>
        <v>0</v>
      </c>
      <c r="DB25" s="5">
        <f ca="1">SUM(OFFSET(Demand!$H$43,ROW(F22)-1,(COLUMN(F22)-1)*5,1,1))*S$2</f>
        <v>0</v>
      </c>
      <c r="DC25" s="5">
        <f ca="1">SUM(OFFSET(Demand!$H$43,ROW(G22)-1,(COLUMN(G22)-1)*5,1,1))*T$2</f>
        <v>0</v>
      </c>
      <c r="DD25" s="5">
        <f ca="1">SUM(OFFSET(Demand!$H$43,ROW(H22)-1,(COLUMN(H22)-1)*5,1,1))*U$2</f>
        <v>0</v>
      </c>
      <c r="DE25" s="5">
        <f ca="1">SUM(OFFSET(Demand!$H$43,ROW(I22)-1,(COLUMN(I22)-1)*5,1,1))*V$2</f>
        <v>0</v>
      </c>
      <c r="DF25" s="5">
        <f ca="1">SUM(OFFSET(Demand!$H$43,ROW(J22)-1,(COLUMN(J22)-1)*5,1,1))*W$2</f>
        <v>0</v>
      </c>
      <c r="DG25" s="5">
        <f ca="1">IF(OR(AN25&lt;&gt;"",AND('Demand adjustments for Covid'!$F$9="Yes",'Demand adjustments for Covid'!$F$20="Yes")),"",SUM(CW25:DF25))</f>
        <v>0</v>
      </c>
      <c r="DM25" s="5">
        <f t="shared" si="10"/>
        <v>37</v>
      </c>
      <c r="DN25" s="320">
        <f t="shared" si="17"/>
        <v>44081</v>
      </c>
      <c r="DO25" s="5">
        <f ca="1">VLOOKUP(IF($DM25&lt;53,$DM25,52),'Summary Calculations (hide)'!$D$15:$F$67,2,0)</f>
        <v>146</v>
      </c>
      <c r="DP25" s="5">
        <f ca="1">VLOOKUP(IF($DM25&lt;53,$DM25,52),'Summary Calculations (hide)'!$D$15:$F$67,3,0)</f>
        <v>160.60000000000002</v>
      </c>
      <c r="DQ25" s="5">
        <f ca="1">IF(AND(DN25&gt;='Demand adjustments for Covid'!$F$12,DN25&lt;'Demand adjustments for Covid'!$F$17),'Demand adjustments for Covid'!$F$13,DO25)</f>
        <v>146</v>
      </c>
      <c r="DR25" s="5">
        <f t="shared" si="7"/>
        <v>0</v>
      </c>
      <c r="DS25" s="5">
        <f ca="1">IF('Demand adjustments for Covid'!$F$9="Yes",IF(DR25=0,DQ25,((SUM(DR$4:DR25)-1)*$EE$8)+'Demand adjustments for Covid'!F$13),'Demand background (hide)'!DO25)</f>
        <v>146</v>
      </c>
      <c r="DT25" s="5">
        <f ca="1">IF('Demand adjustments for Covid'!$F$9="Yes",IF(OR(AND(DN25&gt;='Demand adjustments for Covid'!$F$12,DN25&lt;'Demand adjustments for Covid'!$F$17),DR25=1),DS25+3,DP25),'Demand background (hide)'!DP25)</f>
        <v>160.60000000000002</v>
      </c>
      <c r="DU25" s="5">
        <f ca="1">IF(DS25&lt;='Demand adjustments for Covid'!$F$17,DO25-DS25,0)</f>
        <v>0</v>
      </c>
      <c r="DV25" s="5">
        <f ca="1">IF(AND(ROW(A22)&gt;$EE$5,ROW(A22)&lt;=$EA$5),OFFSET('Demand adjustments for Covid'!$F$35,0,ROW(A22)-'Demand background (hide)'!$EE$5,1,1),0)</f>
        <v>0</v>
      </c>
      <c r="DW25" s="5">
        <f ca="1">IF(AND(ROW(A22)&gt;$EE$5,ROW(A22)&lt;=$EA$5),OFFSET('Demand adjustments for Covid'!$F$36,0,ROW(A22)-'Demand background (hide)'!$EE$5,1,1),0)</f>
        <v>0</v>
      </c>
      <c r="DX25" s="5">
        <f t="shared" ca="1" si="11"/>
        <v>160.60000000000002</v>
      </c>
    </row>
    <row r="26" spans="1:128" s="5" customFormat="1" x14ac:dyDescent="0.25">
      <c r="A26" s="5">
        <f t="shared" ca="1" si="3"/>
        <v>0</v>
      </c>
      <c r="B26" s="5">
        <f ca="1">COUNTBLANK(OFFSET(Demand!$I35,0,(COLUMN(A23)-1)*5,1,1))</f>
        <v>0</v>
      </c>
      <c r="C26" s="5">
        <f ca="1">COUNTBLANK(OFFSET(Demand!$I35,0,(COLUMN(B23)-1)*5,1,1))</f>
        <v>1</v>
      </c>
      <c r="D26" s="5">
        <f ca="1">COUNTBLANK(OFFSET(Demand!$I35,0,(COLUMN(C23)-1)*5,1,1))</f>
        <v>1</v>
      </c>
      <c r="E26" s="5">
        <f ca="1">COUNTBLANK(OFFSET(Demand!$I35,0,(COLUMN(D23)-1)*5,1,1))</f>
        <v>1</v>
      </c>
      <c r="F26" s="5">
        <f ca="1">COUNTBLANK(OFFSET(Demand!$I35,0,(COLUMN(E23)-1)*5,1,1))</f>
        <v>1</v>
      </c>
      <c r="G26" s="5">
        <f ca="1">COUNTBLANK(OFFSET(Demand!$I35,0,(COLUMN(F23)-1)*5,1,1))</f>
        <v>1</v>
      </c>
      <c r="H26" s="5">
        <f ca="1">COUNTBLANK(OFFSET(Demand!$I35,0,(COLUMN(G23)-1)*5,1,1))</f>
        <v>1</v>
      </c>
      <c r="I26" s="5">
        <f ca="1">COUNTBLANK(OFFSET(Demand!$I35,0,(COLUMN(H23)-1)*5,1,1))</f>
        <v>1</v>
      </c>
      <c r="J26" s="5">
        <f ca="1">COUNTBLANK(OFFSET(Demand!$I35,0,(COLUMN(I23)-1)*5,1,1))</f>
        <v>1</v>
      </c>
      <c r="K26" s="5">
        <f ca="1">COUNTBLANK(OFFSET(Demand!$I35,0,(COLUMN(J23)-1)*5,1,1))</f>
        <v>1</v>
      </c>
      <c r="N26" s="5">
        <f ca="1">SUM(OFFSET(Demand!$E35,0,(COLUMN(A23)-1)*5,1,3))*N$2</f>
        <v>148</v>
      </c>
      <c r="O26" s="5">
        <f ca="1">SUM(OFFSET(Demand!$E35,0,(COLUMN(B23)-1)*5,1,3))*O$2</f>
        <v>0</v>
      </c>
      <c r="P26" s="5">
        <f ca="1">SUM(OFFSET(Demand!$E35,0,(COLUMN(C23)-1)*5,1,3))*P$2</f>
        <v>0</v>
      </c>
      <c r="Q26" s="5">
        <f ca="1">SUM(OFFSET(Demand!$E35,0,(COLUMN(D23)-1)*5,1,3))*Q$2</f>
        <v>0</v>
      </c>
      <c r="R26" s="5">
        <f ca="1">SUM(OFFSET(Demand!$E35,0,(COLUMN(E23)-1)*5,1,3))*R$2</f>
        <v>0</v>
      </c>
      <c r="S26" s="5">
        <f ca="1">SUM(OFFSET(Demand!$E35,0,(COLUMN(F23)-1)*5,1,3))*S$2</f>
        <v>0</v>
      </c>
      <c r="T26" s="5">
        <f ca="1">SUM(OFFSET(Demand!$E35,0,(COLUMN(G23)-1)*5,1,3))*T$2</f>
        <v>0</v>
      </c>
      <c r="U26" s="5">
        <f ca="1">SUM(OFFSET(Demand!$E35,0,(COLUMN(H23)-1)*5,1,3))*U$2</f>
        <v>0</v>
      </c>
      <c r="V26" s="5">
        <f ca="1">SUM(OFFSET(Demand!$E35,0,(COLUMN(I23)-1)*5,1,3))*V$2</f>
        <v>0</v>
      </c>
      <c r="W26" s="5">
        <f ca="1">SUM(OFFSET(Demand!$E35,0,(COLUMN(J23)-1)*5,1,3))*W$2</f>
        <v>0</v>
      </c>
      <c r="X26" s="5">
        <f t="shared" ca="1" si="4"/>
        <v>148</v>
      </c>
      <c r="Y26" s="5">
        <f t="shared" ca="1" si="5"/>
        <v>148</v>
      </c>
      <c r="Z26" s="5">
        <f ca="1">SUM(OFFSET(Demand!$H35,0,(COLUMN(A23)-1)*5,1,1))*N$2</f>
        <v>0</v>
      </c>
      <c r="AA26" s="5">
        <f ca="1">SUM(OFFSET(Demand!$H35,0,(COLUMN(B23)-1)*5,1,1))*O$2</f>
        <v>0</v>
      </c>
      <c r="AB26" s="5">
        <f ca="1">SUM(OFFSET(Demand!$H35,0,(COLUMN(C23)-1)*5,1,1))*P$2</f>
        <v>0</v>
      </c>
      <c r="AC26" s="5">
        <f ca="1">SUM(OFFSET(Demand!$H35,0,(COLUMN(D23)-1)*5,1,1))*Q$2</f>
        <v>0</v>
      </c>
      <c r="AD26" s="5">
        <f ca="1">SUM(OFFSET(Demand!$H35,0,(COLUMN(E23)-1)*5,1,1))*R$2</f>
        <v>0</v>
      </c>
      <c r="AE26" s="5">
        <f ca="1">SUM(OFFSET(Demand!$H35,0,(COLUMN(F23)-1)*5,1,1))*S$2</f>
        <v>0</v>
      </c>
      <c r="AF26" s="5">
        <f ca="1">SUM(OFFSET(Demand!$H35,0,(COLUMN(G23)-1)*5,1,1))*T$2</f>
        <v>0</v>
      </c>
      <c r="AG26" s="5">
        <f ca="1">SUM(OFFSET(Demand!$H35,0,(COLUMN(H23)-1)*5,1,1))*U$2</f>
        <v>0</v>
      </c>
      <c r="AH26" s="5">
        <f ca="1">SUM(OFFSET(Demand!$H35,0,(COLUMN(I23)-1)*5,1,1))*V$2</f>
        <v>0</v>
      </c>
      <c r="AI26" s="5">
        <f ca="1">SUM(OFFSET(Demand!$H35,0,(COLUMN(J23)-1)*5,1,1))*W$2</f>
        <v>0</v>
      </c>
      <c r="AJ26" s="5">
        <f t="shared" ca="1" si="6"/>
        <v>0</v>
      </c>
      <c r="AL26" s="5">
        <f t="shared" ca="1" si="8"/>
        <v>148</v>
      </c>
      <c r="AM26" s="5">
        <f t="shared" ca="1" si="9"/>
        <v>0</v>
      </c>
      <c r="AN26" s="5" t="str">
        <f>IF(Demand!BE35="Yes","Yes","")</f>
        <v/>
      </c>
      <c r="AP26" s="36" t="str">
        <f ca="1">Demand!B35</f>
        <v xml:space="preserve"> </v>
      </c>
      <c r="AQ26" s="5" t="str">
        <f ca="1">IF(TEXT(Demand!D35,"MMM")&lt;&gt;TEXT(Demand!D34,"MMM"),TEXT(Demand!D35,"MMM"),"")</f>
        <v>Aug</v>
      </c>
      <c r="AT26" s="5">
        <f t="shared" ca="1" si="12"/>
        <v>2</v>
      </c>
      <c r="AV26" s="5" t="s">
        <v>108</v>
      </c>
      <c r="AW26" s="44" t="str">
        <f ca="1">IFERROR(AVERAGE(OFFSET($AT$4,'SPC background (hide)'!$D$10-1,0,'SPC background (hide)'!$H$11,1)),"")</f>
        <v/>
      </c>
      <c r="AX26" s="5" t="str">
        <f ca="1">IFERROR(AVERAGE(OFFSET($AT$4,'SPC background (hide)'!$D$10-1,0,'SPC background (hide)'!$H$11,1)),"")</f>
        <v/>
      </c>
      <c r="BQ26">
        <f ca="1">IF($AN26="",OFFSET(Demand!$A$13,ROW(A23)-1,4+((QUOTIENT(COLUMN(BQ$2)-69,3))*5)+MOD(COLUMN(BQ$2),3),1,1),"")</f>
        <v>0</v>
      </c>
      <c r="BR26">
        <f ca="1">IF($AN26="",OFFSET(Demand!$A$13,ROW(B23)-1,4+((QUOTIENT(COLUMN(BR$2)-69,3))*5)+MOD(COLUMN(BR$2),3),1,1),"")</f>
        <v>0</v>
      </c>
      <c r="BS26">
        <f ca="1">IF($AN26="",OFFSET(Demand!$A$13,ROW(C23)-1,4+((QUOTIENT(COLUMN(BS$2)-69,3))*5)+MOD(COLUMN(BS$2),3),1,1),"")</f>
        <v>74</v>
      </c>
      <c r="BT26">
        <f ca="1">IF($AN26="",OFFSET(Demand!$A$13,ROW(D23)-1,4+((QUOTIENT(COLUMN(BT$2)-69,3))*5)+MOD(COLUMN(BT$2),3),1,1),"")</f>
        <v>0</v>
      </c>
      <c r="BU26">
        <f ca="1">IF($AN26="",OFFSET(Demand!$A$13,ROW(E23)-1,4+((QUOTIENT(COLUMN(BU$2)-69,3))*5)+MOD(COLUMN(BU$2),3),1,1),"")</f>
        <v>0</v>
      </c>
      <c r="BV26">
        <f ca="1">IF($AN26="",OFFSET(Demand!$A$13,ROW(F23)-1,4+((QUOTIENT(COLUMN(BV$2)-69,3))*5)+MOD(COLUMN(BV$2),3),1,1),"")</f>
        <v>0</v>
      </c>
      <c r="BW26">
        <f ca="1">IF($AN26="",OFFSET(Demand!$A$13,ROW(G23)-1,4+((QUOTIENT(COLUMN(BW$2)-69,3))*5)+MOD(COLUMN(BW$2),3),1,1),"")</f>
        <v>0</v>
      </c>
      <c r="BX26">
        <f ca="1">IF($AN26="",OFFSET(Demand!$A$13,ROW(H23)-1,4+((QUOTIENT(COLUMN(BX$2)-69,3))*5)+MOD(COLUMN(BX$2),3),1,1),"")</f>
        <v>0</v>
      </c>
      <c r="BY26">
        <f ca="1">IF($AN26="",OFFSET(Demand!$A$13,ROW(I23)-1,4+((QUOTIENT(COLUMN(BY$2)-69,3))*5)+MOD(COLUMN(BY$2),3),1,1),"")</f>
        <v>0</v>
      </c>
      <c r="BZ26">
        <f ca="1">IF($AN26="",OFFSET(Demand!$A$13,ROW(J23)-1,4+((QUOTIENT(COLUMN(BZ$2)-69,3))*5)+MOD(COLUMN(BZ$2),3),1,1),"")</f>
        <v>0</v>
      </c>
      <c r="CA26">
        <f ca="1">IF($AN26="",OFFSET(Demand!$A$13,ROW(K23)-1,4+((QUOTIENT(COLUMN(CA$2)-69,3))*5)+MOD(COLUMN(CA$2),3),1,1),"")</f>
        <v>0</v>
      </c>
      <c r="CB26">
        <f ca="1">IF($AN26="",OFFSET(Demand!$A$13,ROW(L23)-1,4+((QUOTIENT(COLUMN(CB$2)-69,3))*5)+MOD(COLUMN(CB$2),3),1,1),"")</f>
        <v>0</v>
      </c>
      <c r="CC26">
        <f ca="1">IF($AN26="",OFFSET(Demand!$A$13,ROW(M23)-1,4+((QUOTIENT(COLUMN(CC$2)-69,3))*5)+MOD(COLUMN(CC$2),3),1,1),"")</f>
        <v>0</v>
      </c>
      <c r="CD26">
        <f ca="1">IF($AN26="",OFFSET(Demand!$A$13,ROW(N23)-1,4+((QUOTIENT(COLUMN(CD$2)-69,3))*5)+MOD(COLUMN(CD$2),3),1,1),"")</f>
        <v>0</v>
      </c>
      <c r="CE26">
        <f ca="1">IF($AN26="",OFFSET(Demand!$A$13,ROW(O23)-1,4+((QUOTIENT(COLUMN(CE$2)-69,3))*5)+MOD(COLUMN(CE$2),3),1,1),"")</f>
        <v>0</v>
      </c>
      <c r="CF26">
        <f ca="1">IF($AN26="",OFFSET(Demand!$A$13,ROW(P23)-1,4+((QUOTIENT(COLUMN(CF$2)-69,3))*5)+MOD(COLUMN(CF$2),3),1,1),"")</f>
        <v>0</v>
      </c>
      <c r="CG26">
        <f ca="1">IF($AN26="",OFFSET(Demand!$A$13,ROW(Q23)-1,4+((QUOTIENT(COLUMN(CG$2)-69,3))*5)+MOD(COLUMN(CG$2),3),1,1),"")</f>
        <v>0</v>
      </c>
      <c r="CH26">
        <f ca="1">IF($AN26="",OFFSET(Demand!$A$13,ROW(R23)-1,4+((QUOTIENT(COLUMN(CH$2)-69,3))*5)+MOD(COLUMN(CH$2),3),1,1),"")</f>
        <v>0</v>
      </c>
      <c r="CI26">
        <f ca="1">IF($AN26="",OFFSET(Demand!$A$13,ROW(S23)-1,4+((QUOTIENT(COLUMN(CI$2)-69,3))*5)+MOD(COLUMN(CI$2),3),1,1),"")</f>
        <v>0</v>
      </c>
      <c r="CJ26">
        <f ca="1">IF($AN26="",OFFSET(Demand!$A$13,ROW(T23)-1,4+((QUOTIENT(COLUMN(CJ$2)-69,3))*5)+MOD(COLUMN(CJ$2),3),1,1),"")</f>
        <v>0</v>
      </c>
      <c r="CK26">
        <f ca="1">IF($AN26="",OFFSET(Demand!$A$13,ROW(U23)-1,4+((QUOTIENT(COLUMN(CK$2)-69,3))*5)+MOD(COLUMN(CK$2),3),1,1),"")</f>
        <v>0</v>
      </c>
      <c r="CL26">
        <f ca="1">IF($AN26="",OFFSET(Demand!$A$13,ROW(V23)-1,4+((QUOTIENT(COLUMN(CL$2)-69,3))*5)+MOD(COLUMN(CL$2),3),1,1),"")</f>
        <v>0</v>
      </c>
      <c r="CM26">
        <f ca="1">IF($AN26="",OFFSET(Demand!$A$13,ROW(W23)-1,4+((QUOTIENT(COLUMN(CM$2)-69,3))*5)+MOD(COLUMN(CM$2),3),1,1),"")</f>
        <v>0</v>
      </c>
      <c r="CN26">
        <f ca="1">IF($AN26="",OFFSET(Demand!$A$13,ROW(X23)-1,4+((QUOTIENT(COLUMN(CN$2)-69,3))*5)+MOD(COLUMN(CN$2),3),1,1),"")</f>
        <v>0</v>
      </c>
      <c r="CO26">
        <f ca="1">IF($AN26="",OFFSET(Demand!$A$13,ROW(Y23)-1,4+((QUOTIENT(COLUMN(CO$2)-69,3))*5)+MOD(COLUMN(CO$2),3),1,1),"")</f>
        <v>0</v>
      </c>
      <c r="CP26">
        <f ca="1">IF($AN26="",OFFSET(Demand!$A$13,ROW(Z23)-1,4+((QUOTIENT(COLUMN(CP$2)-69,3))*5)+MOD(COLUMN(CP$2),3),1,1),"")</f>
        <v>0</v>
      </c>
      <c r="CQ26">
        <f ca="1">IF($AN26="",OFFSET(Demand!$A$13,ROW(AA23)-1,4+((QUOTIENT(COLUMN(CQ$2)-69,3))*5)+MOD(COLUMN(CQ$2),3),1,1),"")</f>
        <v>0</v>
      </c>
      <c r="CR26">
        <f ca="1">IF($AN26="",OFFSET(Demand!$A$13,ROW(AB23)-1,4+((QUOTIENT(COLUMN(CR$2)-69,3))*5)+MOD(COLUMN(CR$2),3),1,1),"")</f>
        <v>0</v>
      </c>
      <c r="CS26">
        <f ca="1">IF($AN26="",OFFSET(Demand!$A$13,ROW(AC23)-1,4+((QUOTIENT(COLUMN(CS$2)-69,3))*5)+MOD(COLUMN(CS$2),3),1,1),"")</f>
        <v>0</v>
      </c>
      <c r="CT26">
        <f ca="1">IF($AN26="",OFFSET(Demand!$A$13,ROW(AD23)-1,4+((QUOTIENT(COLUMN(CT$2)-69,3))*5)+MOD(COLUMN(CT$2),3),1,1),"")</f>
        <v>0</v>
      </c>
      <c r="CW26" s="5">
        <f ca="1">SUM(OFFSET(Demand!$H$43,ROW(A23)-1,(COLUMN(A23)-1)*5,1,1))*N$2</f>
        <v>0</v>
      </c>
      <c r="CX26" s="5">
        <f ca="1">SUM(OFFSET(Demand!$H$43,ROW(B23)-1,(COLUMN(B23)-1)*5,1,1))*O$2</f>
        <v>0</v>
      </c>
      <c r="CY26" s="5">
        <f ca="1">SUM(OFFSET(Demand!$H$43,ROW(C23)-1,(COLUMN(C23)-1)*5,1,1))*P$2</f>
        <v>0</v>
      </c>
      <c r="CZ26" s="5">
        <f ca="1">SUM(OFFSET(Demand!$H$43,ROW(D23)-1,(COLUMN(D23)-1)*5,1,1))*Q$2</f>
        <v>0</v>
      </c>
      <c r="DA26" s="5">
        <f ca="1">SUM(OFFSET(Demand!$H$43,ROW(E23)-1,(COLUMN(E23)-1)*5,1,1))*R$2</f>
        <v>0</v>
      </c>
      <c r="DB26" s="5">
        <f ca="1">SUM(OFFSET(Demand!$H$43,ROW(F23)-1,(COLUMN(F23)-1)*5,1,1))*S$2</f>
        <v>0</v>
      </c>
      <c r="DC26" s="5">
        <f ca="1">SUM(OFFSET(Demand!$H$43,ROW(G23)-1,(COLUMN(G23)-1)*5,1,1))*T$2</f>
        <v>0</v>
      </c>
      <c r="DD26" s="5">
        <f ca="1">SUM(OFFSET(Demand!$H$43,ROW(H23)-1,(COLUMN(H23)-1)*5,1,1))*U$2</f>
        <v>0</v>
      </c>
      <c r="DE26" s="5">
        <f ca="1">SUM(OFFSET(Demand!$H$43,ROW(I23)-1,(COLUMN(I23)-1)*5,1,1))*V$2</f>
        <v>0</v>
      </c>
      <c r="DF26" s="5">
        <f ca="1">SUM(OFFSET(Demand!$H$43,ROW(J23)-1,(COLUMN(J23)-1)*5,1,1))*W$2</f>
        <v>0</v>
      </c>
      <c r="DG26" s="5">
        <f ca="1">IF(OR(AN26&lt;&gt;"",AND('Demand adjustments for Covid'!$F$9="Yes",'Demand adjustments for Covid'!$F$20="Yes")),"",SUM(CW26:DF26))</f>
        <v>0</v>
      </c>
      <c r="DM26" s="5">
        <f t="shared" si="10"/>
        <v>38</v>
      </c>
      <c r="DN26" s="320">
        <f t="shared" si="17"/>
        <v>44088</v>
      </c>
      <c r="DO26" s="5">
        <f ca="1">VLOOKUP(IF($DM26&lt;53,$DM26,52),'Summary Calculations (hide)'!$D$15:$F$67,2,0)</f>
        <v>148</v>
      </c>
      <c r="DP26" s="5">
        <f ca="1">VLOOKUP(IF($DM26&lt;53,$DM26,52),'Summary Calculations (hide)'!$D$15:$F$67,3,0)</f>
        <v>162.80000000000001</v>
      </c>
      <c r="DQ26" s="5">
        <f ca="1">IF(AND(DN26&gt;='Demand adjustments for Covid'!$F$12,DN26&lt;'Demand adjustments for Covid'!$F$17),'Demand adjustments for Covid'!$F$13,DO26)</f>
        <v>148</v>
      </c>
      <c r="DR26" s="5">
        <f t="shared" si="7"/>
        <v>0</v>
      </c>
      <c r="DS26" s="5">
        <f ca="1">IF('Demand adjustments for Covid'!$F$9="Yes",IF(DR26=0,DQ26,((SUM(DR$4:DR26)-1)*$EE$8)+'Demand adjustments for Covid'!F$13),'Demand background (hide)'!DO26)</f>
        <v>148</v>
      </c>
      <c r="DT26" s="5">
        <f ca="1">IF('Demand adjustments for Covid'!$F$9="Yes",IF(OR(AND(DN26&gt;='Demand adjustments for Covid'!$F$12,DN26&lt;'Demand adjustments for Covid'!$F$17),DR26=1),DS26+3,DP26),'Demand background (hide)'!DP26)</f>
        <v>162.80000000000001</v>
      </c>
      <c r="DU26" s="5">
        <f ca="1">IF(DS26&lt;='Demand adjustments for Covid'!$F$17,DO26-DS26,0)</f>
        <v>0</v>
      </c>
      <c r="DV26" s="5">
        <f ca="1">IF(AND(ROW(A23)&gt;$EE$5,ROW(A23)&lt;=$EA$5),OFFSET('Demand adjustments for Covid'!$F$35,0,ROW(A23)-'Demand background (hide)'!$EE$5,1,1),0)</f>
        <v>0</v>
      </c>
      <c r="DW26" s="5">
        <f ca="1">IF(AND(ROW(A23)&gt;$EE$5,ROW(A23)&lt;=$EA$5),OFFSET('Demand adjustments for Covid'!$F$36,0,ROW(A23)-'Demand background (hide)'!$EE$5,1,1),0)</f>
        <v>0</v>
      </c>
      <c r="DX26" s="5">
        <f t="shared" ca="1" si="11"/>
        <v>162.80000000000001</v>
      </c>
    </row>
    <row r="27" spans="1:128" s="5" customFormat="1" x14ac:dyDescent="0.25">
      <c r="A27" s="5">
        <f t="shared" ca="1" si="3"/>
        <v>0</v>
      </c>
      <c r="B27" s="5">
        <f ca="1">COUNTBLANK(OFFSET(Demand!$I36,0,(COLUMN(A24)-1)*5,1,1))</f>
        <v>0</v>
      </c>
      <c r="C27" s="5">
        <f ca="1">COUNTBLANK(OFFSET(Demand!$I36,0,(COLUMN(B24)-1)*5,1,1))</f>
        <v>1</v>
      </c>
      <c r="D27" s="5">
        <f ca="1">COUNTBLANK(OFFSET(Demand!$I36,0,(COLUMN(C24)-1)*5,1,1))</f>
        <v>1</v>
      </c>
      <c r="E27" s="5">
        <f ca="1">COUNTBLANK(OFFSET(Demand!$I36,0,(COLUMN(D24)-1)*5,1,1))</f>
        <v>1</v>
      </c>
      <c r="F27" s="5">
        <f ca="1">COUNTBLANK(OFFSET(Demand!$I36,0,(COLUMN(E24)-1)*5,1,1))</f>
        <v>1</v>
      </c>
      <c r="G27" s="5">
        <f ca="1">COUNTBLANK(OFFSET(Demand!$I36,0,(COLUMN(F24)-1)*5,1,1))</f>
        <v>1</v>
      </c>
      <c r="H27" s="5">
        <f ca="1">COUNTBLANK(OFFSET(Demand!$I36,0,(COLUMN(G24)-1)*5,1,1))</f>
        <v>1</v>
      </c>
      <c r="I27" s="5">
        <f ca="1">COUNTBLANK(OFFSET(Demand!$I36,0,(COLUMN(H24)-1)*5,1,1))</f>
        <v>1</v>
      </c>
      <c r="J27" s="5">
        <f ca="1">COUNTBLANK(OFFSET(Demand!$I36,0,(COLUMN(I24)-1)*5,1,1))</f>
        <v>1</v>
      </c>
      <c r="K27" s="5">
        <f ca="1">COUNTBLANK(OFFSET(Demand!$I36,0,(COLUMN(J24)-1)*5,1,1))</f>
        <v>1</v>
      </c>
      <c r="N27" s="5">
        <f ca="1">SUM(OFFSET(Demand!$E36,0,(COLUMN(A24)-1)*5,1,3))*N$2</f>
        <v>130</v>
      </c>
      <c r="O27" s="5">
        <f ca="1">SUM(OFFSET(Demand!$E36,0,(COLUMN(B24)-1)*5,1,3))*O$2</f>
        <v>0</v>
      </c>
      <c r="P27" s="5">
        <f ca="1">SUM(OFFSET(Demand!$E36,0,(COLUMN(C24)-1)*5,1,3))*P$2</f>
        <v>0</v>
      </c>
      <c r="Q27" s="5">
        <f ca="1">SUM(OFFSET(Demand!$E36,0,(COLUMN(D24)-1)*5,1,3))*Q$2</f>
        <v>0</v>
      </c>
      <c r="R27" s="5">
        <f ca="1">SUM(OFFSET(Demand!$E36,0,(COLUMN(E24)-1)*5,1,3))*R$2</f>
        <v>0</v>
      </c>
      <c r="S27" s="5">
        <f ca="1">SUM(OFFSET(Demand!$E36,0,(COLUMN(F24)-1)*5,1,3))*S$2</f>
        <v>0</v>
      </c>
      <c r="T27" s="5">
        <f ca="1">SUM(OFFSET(Demand!$E36,0,(COLUMN(G24)-1)*5,1,3))*T$2</f>
        <v>0</v>
      </c>
      <c r="U27" s="5">
        <f ca="1">SUM(OFFSET(Demand!$E36,0,(COLUMN(H24)-1)*5,1,3))*U$2</f>
        <v>0</v>
      </c>
      <c r="V27" s="5">
        <f ca="1">SUM(OFFSET(Demand!$E36,0,(COLUMN(I24)-1)*5,1,3))*V$2</f>
        <v>0</v>
      </c>
      <c r="W27" s="5">
        <f ca="1">SUM(OFFSET(Demand!$E36,0,(COLUMN(J24)-1)*5,1,3))*W$2</f>
        <v>0</v>
      </c>
      <c r="X27" s="5">
        <f t="shared" ca="1" si="4"/>
        <v>130</v>
      </c>
      <c r="Y27" s="5">
        <f t="shared" ca="1" si="5"/>
        <v>130</v>
      </c>
      <c r="Z27" s="5">
        <f ca="1">SUM(OFFSET(Demand!$H36,0,(COLUMN(A24)-1)*5,1,1))*N$2</f>
        <v>0</v>
      </c>
      <c r="AA27" s="5">
        <f ca="1">SUM(OFFSET(Demand!$H36,0,(COLUMN(B24)-1)*5,1,1))*O$2</f>
        <v>0</v>
      </c>
      <c r="AB27" s="5">
        <f ca="1">SUM(OFFSET(Demand!$H36,0,(COLUMN(C24)-1)*5,1,1))*P$2</f>
        <v>0</v>
      </c>
      <c r="AC27" s="5">
        <f ca="1">SUM(OFFSET(Demand!$H36,0,(COLUMN(D24)-1)*5,1,1))*Q$2</f>
        <v>0</v>
      </c>
      <c r="AD27" s="5">
        <f ca="1">SUM(OFFSET(Demand!$H36,0,(COLUMN(E24)-1)*5,1,1))*R$2</f>
        <v>0</v>
      </c>
      <c r="AE27" s="5">
        <f ca="1">SUM(OFFSET(Demand!$H36,0,(COLUMN(F24)-1)*5,1,1))*S$2</f>
        <v>0</v>
      </c>
      <c r="AF27" s="5">
        <f ca="1">SUM(OFFSET(Demand!$H36,0,(COLUMN(G24)-1)*5,1,1))*T$2</f>
        <v>0</v>
      </c>
      <c r="AG27" s="5">
        <f ca="1">SUM(OFFSET(Demand!$H36,0,(COLUMN(H24)-1)*5,1,1))*U$2</f>
        <v>0</v>
      </c>
      <c r="AH27" s="5">
        <f ca="1">SUM(OFFSET(Demand!$H36,0,(COLUMN(I24)-1)*5,1,1))*V$2</f>
        <v>0</v>
      </c>
      <c r="AI27" s="5">
        <f ca="1">SUM(OFFSET(Demand!$H36,0,(COLUMN(J24)-1)*5,1,1))*W$2</f>
        <v>0</v>
      </c>
      <c r="AJ27" s="5">
        <f t="shared" ca="1" si="6"/>
        <v>0</v>
      </c>
      <c r="AL27" s="5">
        <f t="shared" ca="1" si="8"/>
        <v>130</v>
      </c>
      <c r="AM27" s="5">
        <f t="shared" ca="1" si="9"/>
        <v>0</v>
      </c>
      <c r="AN27" s="5" t="str">
        <f>IF(Demand!BE36="Yes","Yes","")</f>
        <v/>
      </c>
      <c r="AP27" s="36" t="str">
        <f ca="1">Demand!B36</f>
        <v xml:space="preserve"> </v>
      </c>
      <c r="AQ27" s="5" t="str">
        <f ca="1">IF(TEXT(Demand!D36,"MMM")&lt;&gt;TEXT(Demand!D35,"MMM"),TEXT(Demand!D36,"MMM"),"")</f>
        <v/>
      </c>
      <c r="AT27" s="5">
        <f t="shared" ca="1" si="12"/>
        <v>18</v>
      </c>
      <c r="AV27" s="5" t="s">
        <v>109</v>
      </c>
      <c r="AW27" s="44" t="str">
        <f ca="1">IFERROR(AW26/1.128,"")</f>
        <v/>
      </c>
      <c r="AX27" s="5" t="str">
        <f ca="1">IFERROR(AX26/1.128,"")</f>
        <v/>
      </c>
      <c r="BQ27">
        <f ca="1">IF($AN27="",OFFSET(Demand!$A$13,ROW(A24)-1,4+((QUOTIENT(COLUMN(BQ$2)-69,3))*5)+MOD(COLUMN(BQ$2),3),1,1),"")</f>
        <v>0</v>
      </c>
      <c r="BR27">
        <f ca="1">IF($AN27="",OFFSET(Demand!$A$13,ROW(B24)-1,4+((QUOTIENT(COLUMN(BR$2)-69,3))*5)+MOD(COLUMN(BR$2),3),1,1),"")</f>
        <v>0</v>
      </c>
      <c r="BS27">
        <f ca="1">IF($AN27="",OFFSET(Demand!$A$13,ROW(C24)-1,4+((QUOTIENT(COLUMN(BS$2)-69,3))*5)+MOD(COLUMN(BS$2),3),1,1),"")</f>
        <v>65</v>
      </c>
      <c r="BT27">
        <f ca="1">IF($AN27="",OFFSET(Demand!$A$13,ROW(D24)-1,4+((QUOTIENT(COLUMN(BT$2)-69,3))*5)+MOD(COLUMN(BT$2),3),1,1),"")</f>
        <v>0</v>
      </c>
      <c r="BU27">
        <f ca="1">IF($AN27="",OFFSET(Demand!$A$13,ROW(E24)-1,4+((QUOTIENT(COLUMN(BU$2)-69,3))*5)+MOD(COLUMN(BU$2),3),1,1),"")</f>
        <v>0</v>
      </c>
      <c r="BV27">
        <f ca="1">IF($AN27="",OFFSET(Demand!$A$13,ROW(F24)-1,4+((QUOTIENT(COLUMN(BV$2)-69,3))*5)+MOD(COLUMN(BV$2),3),1,1),"")</f>
        <v>0</v>
      </c>
      <c r="BW27">
        <f ca="1">IF($AN27="",OFFSET(Demand!$A$13,ROW(G24)-1,4+((QUOTIENT(COLUMN(BW$2)-69,3))*5)+MOD(COLUMN(BW$2),3),1,1),"")</f>
        <v>0</v>
      </c>
      <c r="BX27">
        <f ca="1">IF($AN27="",OFFSET(Demand!$A$13,ROW(H24)-1,4+((QUOTIENT(COLUMN(BX$2)-69,3))*5)+MOD(COLUMN(BX$2),3),1,1),"")</f>
        <v>0</v>
      </c>
      <c r="BY27">
        <f ca="1">IF($AN27="",OFFSET(Demand!$A$13,ROW(I24)-1,4+((QUOTIENT(COLUMN(BY$2)-69,3))*5)+MOD(COLUMN(BY$2),3),1,1),"")</f>
        <v>0</v>
      </c>
      <c r="BZ27">
        <f ca="1">IF($AN27="",OFFSET(Demand!$A$13,ROW(J24)-1,4+((QUOTIENT(COLUMN(BZ$2)-69,3))*5)+MOD(COLUMN(BZ$2),3),1,1),"")</f>
        <v>0</v>
      </c>
      <c r="CA27">
        <f ca="1">IF($AN27="",OFFSET(Demand!$A$13,ROW(K24)-1,4+((QUOTIENT(COLUMN(CA$2)-69,3))*5)+MOD(COLUMN(CA$2),3),1,1),"")</f>
        <v>0</v>
      </c>
      <c r="CB27">
        <f ca="1">IF($AN27="",OFFSET(Demand!$A$13,ROW(L24)-1,4+((QUOTIENT(COLUMN(CB$2)-69,3))*5)+MOD(COLUMN(CB$2),3),1,1),"")</f>
        <v>0</v>
      </c>
      <c r="CC27">
        <f ca="1">IF($AN27="",OFFSET(Demand!$A$13,ROW(M24)-1,4+((QUOTIENT(COLUMN(CC$2)-69,3))*5)+MOD(COLUMN(CC$2),3),1,1),"")</f>
        <v>0</v>
      </c>
      <c r="CD27">
        <f ca="1">IF($AN27="",OFFSET(Demand!$A$13,ROW(N24)-1,4+((QUOTIENT(COLUMN(CD$2)-69,3))*5)+MOD(COLUMN(CD$2),3),1,1),"")</f>
        <v>0</v>
      </c>
      <c r="CE27">
        <f ca="1">IF($AN27="",OFFSET(Demand!$A$13,ROW(O24)-1,4+((QUOTIENT(COLUMN(CE$2)-69,3))*5)+MOD(COLUMN(CE$2),3),1,1),"")</f>
        <v>0</v>
      </c>
      <c r="CF27">
        <f ca="1">IF($AN27="",OFFSET(Demand!$A$13,ROW(P24)-1,4+((QUOTIENT(COLUMN(CF$2)-69,3))*5)+MOD(COLUMN(CF$2),3),1,1),"")</f>
        <v>0</v>
      </c>
      <c r="CG27">
        <f ca="1">IF($AN27="",OFFSET(Demand!$A$13,ROW(Q24)-1,4+((QUOTIENT(COLUMN(CG$2)-69,3))*5)+MOD(COLUMN(CG$2),3),1,1),"")</f>
        <v>0</v>
      </c>
      <c r="CH27">
        <f ca="1">IF($AN27="",OFFSET(Demand!$A$13,ROW(R24)-1,4+((QUOTIENT(COLUMN(CH$2)-69,3))*5)+MOD(COLUMN(CH$2),3),1,1),"")</f>
        <v>0</v>
      </c>
      <c r="CI27">
        <f ca="1">IF($AN27="",OFFSET(Demand!$A$13,ROW(S24)-1,4+((QUOTIENT(COLUMN(CI$2)-69,3))*5)+MOD(COLUMN(CI$2),3),1,1),"")</f>
        <v>0</v>
      </c>
      <c r="CJ27">
        <f ca="1">IF($AN27="",OFFSET(Demand!$A$13,ROW(T24)-1,4+((QUOTIENT(COLUMN(CJ$2)-69,3))*5)+MOD(COLUMN(CJ$2),3),1,1),"")</f>
        <v>0</v>
      </c>
      <c r="CK27">
        <f ca="1">IF($AN27="",OFFSET(Demand!$A$13,ROW(U24)-1,4+((QUOTIENT(COLUMN(CK$2)-69,3))*5)+MOD(COLUMN(CK$2),3),1,1),"")</f>
        <v>0</v>
      </c>
      <c r="CL27">
        <f ca="1">IF($AN27="",OFFSET(Demand!$A$13,ROW(V24)-1,4+((QUOTIENT(COLUMN(CL$2)-69,3))*5)+MOD(COLUMN(CL$2),3),1,1),"")</f>
        <v>0</v>
      </c>
      <c r="CM27">
        <f ca="1">IF($AN27="",OFFSET(Demand!$A$13,ROW(W24)-1,4+((QUOTIENT(COLUMN(CM$2)-69,3))*5)+MOD(COLUMN(CM$2),3),1,1),"")</f>
        <v>0</v>
      </c>
      <c r="CN27">
        <f ca="1">IF($AN27="",OFFSET(Demand!$A$13,ROW(X24)-1,4+((QUOTIENT(COLUMN(CN$2)-69,3))*5)+MOD(COLUMN(CN$2),3),1,1),"")</f>
        <v>0</v>
      </c>
      <c r="CO27">
        <f ca="1">IF($AN27="",OFFSET(Demand!$A$13,ROW(Y24)-1,4+((QUOTIENT(COLUMN(CO$2)-69,3))*5)+MOD(COLUMN(CO$2),3),1,1),"")</f>
        <v>0</v>
      </c>
      <c r="CP27">
        <f ca="1">IF($AN27="",OFFSET(Demand!$A$13,ROW(Z24)-1,4+((QUOTIENT(COLUMN(CP$2)-69,3))*5)+MOD(COLUMN(CP$2),3),1,1),"")</f>
        <v>0</v>
      </c>
      <c r="CQ27">
        <f ca="1">IF($AN27="",OFFSET(Demand!$A$13,ROW(AA24)-1,4+((QUOTIENT(COLUMN(CQ$2)-69,3))*5)+MOD(COLUMN(CQ$2),3),1,1),"")</f>
        <v>0</v>
      </c>
      <c r="CR27">
        <f ca="1">IF($AN27="",OFFSET(Demand!$A$13,ROW(AB24)-1,4+((QUOTIENT(COLUMN(CR$2)-69,3))*5)+MOD(COLUMN(CR$2),3),1,1),"")</f>
        <v>0</v>
      </c>
      <c r="CS27">
        <f ca="1">IF($AN27="",OFFSET(Demand!$A$13,ROW(AC24)-1,4+((QUOTIENT(COLUMN(CS$2)-69,3))*5)+MOD(COLUMN(CS$2),3),1,1),"")</f>
        <v>0</v>
      </c>
      <c r="CT27">
        <f ca="1">IF($AN27="",OFFSET(Demand!$A$13,ROW(AD24)-1,4+((QUOTIENT(COLUMN(CT$2)-69,3))*5)+MOD(COLUMN(CT$2),3),1,1),"")</f>
        <v>0</v>
      </c>
      <c r="CW27" s="5">
        <f ca="1">SUM(OFFSET(Demand!$H$43,ROW(A24)-1,(COLUMN(A24)-1)*5,1,1))*N$2</f>
        <v>0</v>
      </c>
      <c r="CX27" s="5">
        <f ca="1">SUM(OFFSET(Demand!$H$43,ROW(B24)-1,(COLUMN(B24)-1)*5,1,1))*O$2</f>
        <v>0</v>
      </c>
      <c r="CY27" s="5">
        <f ca="1">SUM(OFFSET(Demand!$H$43,ROW(C24)-1,(COLUMN(C24)-1)*5,1,1))*P$2</f>
        <v>0</v>
      </c>
      <c r="CZ27" s="5">
        <f ca="1">SUM(OFFSET(Demand!$H$43,ROW(D24)-1,(COLUMN(D24)-1)*5,1,1))*Q$2</f>
        <v>0</v>
      </c>
      <c r="DA27" s="5">
        <f ca="1">SUM(OFFSET(Demand!$H$43,ROW(E24)-1,(COLUMN(E24)-1)*5,1,1))*R$2</f>
        <v>0</v>
      </c>
      <c r="DB27" s="5">
        <f ca="1">SUM(OFFSET(Demand!$H$43,ROW(F24)-1,(COLUMN(F24)-1)*5,1,1))*S$2</f>
        <v>0</v>
      </c>
      <c r="DC27" s="5">
        <f ca="1">SUM(OFFSET(Demand!$H$43,ROW(G24)-1,(COLUMN(G24)-1)*5,1,1))*T$2</f>
        <v>0</v>
      </c>
      <c r="DD27" s="5">
        <f ca="1">SUM(OFFSET(Demand!$H$43,ROW(H24)-1,(COLUMN(H24)-1)*5,1,1))*U$2</f>
        <v>0</v>
      </c>
      <c r="DE27" s="5">
        <f ca="1">SUM(OFFSET(Demand!$H$43,ROW(I24)-1,(COLUMN(I24)-1)*5,1,1))*V$2</f>
        <v>0</v>
      </c>
      <c r="DF27" s="5">
        <f ca="1">SUM(OFFSET(Demand!$H$43,ROW(J24)-1,(COLUMN(J24)-1)*5,1,1))*W$2</f>
        <v>0</v>
      </c>
      <c r="DG27" s="5">
        <f ca="1">IF(OR(AN27&lt;&gt;"",AND('Demand adjustments for Covid'!$F$9="Yes",'Demand adjustments for Covid'!$F$20="Yes")),"",SUM(CW27:DF27))</f>
        <v>0</v>
      </c>
      <c r="DM27" s="5">
        <f t="shared" si="10"/>
        <v>39</v>
      </c>
      <c r="DN27" s="320">
        <f t="shared" si="17"/>
        <v>44095</v>
      </c>
      <c r="DO27" s="5">
        <f ca="1">VLOOKUP(IF($DM27&lt;53,$DM27,52),'Summary Calculations (hide)'!$D$15:$F$67,2,0)</f>
        <v>130</v>
      </c>
      <c r="DP27" s="5">
        <f ca="1">VLOOKUP(IF($DM27&lt;53,$DM27,52),'Summary Calculations (hide)'!$D$15:$F$67,3,0)</f>
        <v>143</v>
      </c>
      <c r="DQ27" s="5">
        <f ca="1">IF(AND(DN27&gt;='Demand adjustments for Covid'!$F$12,DN27&lt;'Demand adjustments for Covid'!$F$17),'Demand adjustments for Covid'!$F$13,DO27)</f>
        <v>130</v>
      </c>
      <c r="DR27" s="5">
        <f t="shared" si="7"/>
        <v>0</v>
      </c>
      <c r="DS27" s="5">
        <f ca="1">IF('Demand adjustments for Covid'!$F$9="Yes",IF(DR27=0,DQ27,((SUM(DR$4:DR27)-1)*$EE$8)+'Demand adjustments for Covid'!F$13),'Demand background (hide)'!DO27)</f>
        <v>130</v>
      </c>
      <c r="DT27" s="5">
        <f ca="1">IF('Demand adjustments for Covid'!$F$9="Yes",IF(OR(AND(DN27&gt;='Demand adjustments for Covid'!$F$12,DN27&lt;'Demand adjustments for Covid'!$F$17),DR27=1),DS27+3,DP27),'Demand background (hide)'!DP27)</f>
        <v>143</v>
      </c>
      <c r="DU27" s="5">
        <f ca="1">IF(DS27&lt;='Demand adjustments for Covid'!$F$17,DO27-DS27,0)</f>
        <v>0</v>
      </c>
      <c r="DV27" s="5">
        <f ca="1">IF(AND(ROW(A24)&gt;$EE$5,ROW(A24)&lt;=$EA$5),OFFSET('Demand adjustments for Covid'!$F$35,0,ROW(A24)-'Demand background (hide)'!$EE$5,1,1),0)</f>
        <v>0</v>
      </c>
      <c r="DW27" s="5">
        <f ca="1">IF(AND(ROW(A24)&gt;$EE$5,ROW(A24)&lt;=$EA$5),OFFSET('Demand adjustments for Covid'!$F$36,0,ROW(A24)-'Demand background (hide)'!$EE$5,1,1),0)</f>
        <v>0</v>
      </c>
      <c r="DX27" s="5">
        <f t="shared" ca="1" si="11"/>
        <v>143</v>
      </c>
    </row>
    <row r="28" spans="1:128" s="5" customFormat="1" x14ac:dyDescent="0.25">
      <c r="A28" s="5">
        <f t="shared" ca="1" si="3"/>
        <v>0</v>
      </c>
      <c r="B28" s="5">
        <f ca="1">COUNTBLANK(OFFSET(Demand!$I37,0,(COLUMN(A25)-1)*5,1,1))</f>
        <v>0</v>
      </c>
      <c r="C28" s="5">
        <f ca="1">COUNTBLANK(OFFSET(Demand!$I37,0,(COLUMN(B25)-1)*5,1,1))</f>
        <v>1</v>
      </c>
      <c r="D28" s="5">
        <f ca="1">COUNTBLANK(OFFSET(Demand!$I37,0,(COLUMN(C25)-1)*5,1,1))</f>
        <v>1</v>
      </c>
      <c r="E28" s="5">
        <f ca="1">COUNTBLANK(OFFSET(Demand!$I37,0,(COLUMN(D25)-1)*5,1,1))</f>
        <v>1</v>
      </c>
      <c r="F28" s="5">
        <f ca="1">COUNTBLANK(OFFSET(Demand!$I37,0,(COLUMN(E25)-1)*5,1,1))</f>
        <v>1</v>
      </c>
      <c r="G28" s="5">
        <f ca="1">COUNTBLANK(OFFSET(Demand!$I37,0,(COLUMN(F25)-1)*5,1,1))</f>
        <v>1</v>
      </c>
      <c r="H28" s="5">
        <f ca="1">COUNTBLANK(OFFSET(Demand!$I37,0,(COLUMN(G25)-1)*5,1,1))</f>
        <v>1</v>
      </c>
      <c r="I28" s="5">
        <f ca="1">COUNTBLANK(OFFSET(Demand!$I37,0,(COLUMN(H25)-1)*5,1,1))</f>
        <v>1</v>
      </c>
      <c r="J28" s="5">
        <f ca="1">COUNTBLANK(OFFSET(Demand!$I37,0,(COLUMN(I25)-1)*5,1,1))</f>
        <v>1</v>
      </c>
      <c r="K28" s="5">
        <f ca="1">COUNTBLANK(OFFSET(Demand!$I37,0,(COLUMN(J25)-1)*5,1,1))</f>
        <v>1</v>
      </c>
      <c r="N28" s="5">
        <f ca="1">SUM(OFFSET(Demand!$E37,0,(COLUMN(A25)-1)*5,1,3))*N$2</f>
        <v>130</v>
      </c>
      <c r="O28" s="5">
        <f ca="1">SUM(OFFSET(Demand!$E37,0,(COLUMN(B25)-1)*5,1,3))*O$2</f>
        <v>0</v>
      </c>
      <c r="P28" s="5">
        <f ca="1">SUM(OFFSET(Demand!$E37,0,(COLUMN(C25)-1)*5,1,3))*P$2</f>
        <v>0</v>
      </c>
      <c r="Q28" s="5">
        <f ca="1">SUM(OFFSET(Demand!$E37,0,(COLUMN(D25)-1)*5,1,3))*Q$2</f>
        <v>0</v>
      </c>
      <c r="R28" s="5">
        <f ca="1">SUM(OFFSET(Demand!$E37,0,(COLUMN(E25)-1)*5,1,3))*R$2</f>
        <v>0</v>
      </c>
      <c r="S28" s="5">
        <f ca="1">SUM(OFFSET(Demand!$E37,0,(COLUMN(F25)-1)*5,1,3))*S$2</f>
        <v>0</v>
      </c>
      <c r="T28" s="5">
        <f ca="1">SUM(OFFSET(Demand!$E37,0,(COLUMN(G25)-1)*5,1,3))*T$2</f>
        <v>0</v>
      </c>
      <c r="U28" s="5">
        <f ca="1">SUM(OFFSET(Demand!$E37,0,(COLUMN(H25)-1)*5,1,3))*U$2</f>
        <v>0</v>
      </c>
      <c r="V28" s="5">
        <f ca="1">SUM(OFFSET(Demand!$E37,0,(COLUMN(I25)-1)*5,1,3))*V$2</f>
        <v>0</v>
      </c>
      <c r="W28" s="5">
        <f ca="1">SUM(OFFSET(Demand!$E37,0,(COLUMN(J25)-1)*5,1,3))*W$2</f>
        <v>0</v>
      </c>
      <c r="X28" s="5">
        <f t="shared" ca="1" si="4"/>
        <v>130</v>
      </c>
      <c r="Y28" s="5">
        <f t="shared" ca="1" si="5"/>
        <v>130</v>
      </c>
      <c r="Z28" s="5">
        <f ca="1">SUM(OFFSET(Demand!$H37,0,(COLUMN(A25)-1)*5,1,1))*N$2</f>
        <v>0</v>
      </c>
      <c r="AA28" s="5">
        <f ca="1">SUM(OFFSET(Demand!$H37,0,(COLUMN(B25)-1)*5,1,1))*O$2</f>
        <v>0</v>
      </c>
      <c r="AB28" s="5">
        <f ca="1">SUM(OFFSET(Demand!$H37,0,(COLUMN(C25)-1)*5,1,1))*P$2</f>
        <v>0</v>
      </c>
      <c r="AC28" s="5">
        <f ca="1">SUM(OFFSET(Demand!$H37,0,(COLUMN(D25)-1)*5,1,1))*Q$2</f>
        <v>0</v>
      </c>
      <c r="AD28" s="5">
        <f ca="1">SUM(OFFSET(Demand!$H37,0,(COLUMN(E25)-1)*5,1,1))*R$2</f>
        <v>0</v>
      </c>
      <c r="AE28" s="5">
        <f ca="1">SUM(OFFSET(Demand!$H37,0,(COLUMN(F25)-1)*5,1,1))*S$2</f>
        <v>0</v>
      </c>
      <c r="AF28" s="5">
        <f ca="1">SUM(OFFSET(Demand!$H37,0,(COLUMN(G25)-1)*5,1,1))*T$2</f>
        <v>0</v>
      </c>
      <c r="AG28" s="5">
        <f ca="1">SUM(OFFSET(Demand!$H37,0,(COLUMN(H25)-1)*5,1,1))*U$2</f>
        <v>0</v>
      </c>
      <c r="AH28" s="5">
        <f ca="1">SUM(OFFSET(Demand!$H37,0,(COLUMN(I25)-1)*5,1,1))*V$2</f>
        <v>0</v>
      </c>
      <c r="AI28" s="5">
        <f ca="1">SUM(OFFSET(Demand!$H37,0,(COLUMN(J25)-1)*5,1,1))*W$2</f>
        <v>0</v>
      </c>
      <c r="AJ28" s="5">
        <f t="shared" ca="1" si="6"/>
        <v>0</v>
      </c>
      <c r="AL28" s="5">
        <f t="shared" ca="1" si="8"/>
        <v>130</v>
      </c>
      <c r="AM28" s="5">
        <f t="shared" ca="1" si="9"/>
        <v>0</v>
      </c>
      <c r="AN28" s="5" t="str">
        <f>IF(Demand!BE37="Yes","Yes","")</f>
        <v/>
      </c>
      <c r="AP28" s="36" t="str">
        <f ca="1">Demand!B37</f>
        <v xml:space="preserve"> </v>
      </c>
      <c r="AQ28" s="5" t="str">
        <f ca="1">IF(TEXT(Demand!D37,"MMM")&lt;&gt;TEXT(Demand!D36,"MMM"),TEXT(Demand!D37,"MMM"),"")</f>
        <v/>
      </c>
      <c r="AT28" s="5">
        <f t="shared" ca="1" si="12"/>
        <v>0</v>
      </c>
      <c r="AV28" s="5" t="s">
        <v>137</v>
      </c>
      <c r="AW28" s="44" t="str">
        <f ca="1">IFERROR(PERCENTILE(OFFSET(AL$4,'SPC background (hide)'!$D$10-1,0,'SPC background (hide)'!$H$11,1),'Control sheet (hide)'!$I$9),"")</f>
        <v/>
      </c>
      <c r="AX28" s="5" t="str">
        <f ca="1">IFERROR(PERCENTILE(OFFSET(AM$4,'SPC background (hide)'!$C$10-1,0,'SPC background (hide)'!$H$11,1),'Control sheet (hide)'!$I$9),"")</f>
        <v/>
      </c>
      <c r="BQ28">
        <f ca="1">IF($AN28="",OFFSET(Demand!$A$13,ROW(A25)-1,4+((QUOTIENT(COLUMN(BQ$2)-69,3))*5)+MOD(COLUMN(BQ$2),3),1,1),"")</f>
        <v>0</v>
      </c>
      <c r="BR28">
        <f ca="1">IF($AN28="",OFFSET(Demand!$A$13,ROW(B25)-1,4+((QUOTIENT(COLUMN(BR$2)-69,3))*5)+MOD(COLUMN(BR$2),3),1,1),"")</f>
        <v>0</v>
      </c>
      <c r="BS28">
        <f ca="1">IF($AN28="",OFFSET(Demand!$A$13,ROW(C25)-1,4+((QUOTIENT(COLUMN(BS$2)-69,3))*5)+MOD(COLUMN(BS$2),3),1,1),"")</f>
        <v>65</v>
      </c>
      <c r="BT28">
        <f ca="1">IF($AN28="",OFFSET(Demand!$A$13,ROW(D25)-1,4+((QUOTIENT(COLUMN(BT$2)-69,3))*5)+MOD(COLUMN(BT$2),3),1,1),"")</f>
        <v>0</v>
      </c>
      <c r="BU28">
        <f ca="1">IF($AN28="",OFFSET(Demand!$A$13,ROW(E25)-1,4+((QUOTIENT(COLUMN(BU$2)-69,3))*5)+MOD(COLUMN(BU$2),3),1,1),"")</f>
        <v>0</v>
      </c>
      <c r="BV28">
        <f ca="1">IF($AN28="",OFFSET(Demand!$A$13,ROW(F25)-1,4+((QUOTIENT(COLUMN(BV$2)-69,3))*5)+MOD(COLUMN(BV$2),3),1,1),"")</f>
        <v>0</v>
      </c>
      <c r="BW28">
        <f ca="1">IF($AN28="",OFFSET(Demand!$A$13,ROW(G25)-1,4+((QUOTIENT(COLUMN(BW$2)-69,3))*5)+MOD(COLUMN(BW$2),3),1,1),"")</f>
        <v>0</v>
      </c>
      <c r="BX28">
        <f ca="1">IF($AN28="",OFFSET(Demand!$A$13,ROW(H25)-1,4+((QUOTIENT(COLUMN(BX$2)-69,3))*5)+MOD(COLUMN(BX$2),3),1,1),"")</f>
        <v>0</v>
      </c>
      <c r="BY28">
        <f ca="1">IF($AN28="",OFFSET(Demand!$A$13,ROW(I25)-1,4+((QUOTIENT(COLUMN(BY$2)-69,3))*5)+MOD(COLUMN(BY$2),3),1,1),"")</f>
        <v>0</v>
      </c>
      <c r="BZ28">
        <f ca="1">IF($AN28="",OFFSET(Demand!$A$13,ROW(J25)-1,4+((QUOTIENT(COLUMN(BZ$2)-69,3))*5)+MOD(COLUMN(BZ$2),3),1,1),"")</f>
        <v>0</v>
      </c>
      <c r="CA28">
        <f ca="1">IF($AN28="",OFFSET(Demand!$A$13,ROW(K25)-1,4+((QUOTIENT(COLUMN(CA$2)-69,3))*5)+MOD(COLUMN(CA$2),3),1,1),"")</f>
        <v>0</v>
      </c>
      <c r="CB28">
        <f ca="1">IF($AN28="",OFFSET(Demand!$A$13,ROW(L25)-1,4+((QUOTIENT(COLUMN(CB$2)-69,3))*5)+MOD(COLUMN(CB$2),3),1,1),"")</f>
        <v>0</v>
      </c>
      <c r="CC28">
        <f ca="1">IF($AN28="",OFFSET(Demand!$A$13,ROW(M25)-1,4+((QUOTIENT(COLUMN(CC$2)-69,3))*5)+MOD(COLUMN(CC$2),3),1,1),"")</f>
        <v>0</v>
      </c>
      <c r="CD28">
        <f ca="1">IF($AN28="",OFFSET(Demand!$A$13,ROW(N25)-1,4+((QUOTIENT(COLUMN(CD$2)-69,3))*5)+MOD(COLUMN(CD$2),3),1,1),"")</f>
        <v>0</v>
      </c>
      <c r="CE28">
        <f ca="1">IF($AN28="",OFFSET(Demand!$A$13,ROW(O25)-1,4+((QUOTIENT(COLUMN(CE$2)-69,3))*5)+MOD(COLUMN(CE$2),3),1,1),"")</f>
        <v>0</v>
      </c>
      <c r="CF28">
        <f ca="1">IF($AN28="",OFFSET(Demand!$A$13,ROW(P25)-1,4+((QUOTIENT(COLUMN(CF$2)-69,3))*5)+MOD(COLUMN(CF$2),3),1,1),"")</f>
        <v>0</v>
      </c>
      <c r="CG28">
        <f ca="1">IF($AN28="",OFFSET(Demand!$A$13,ROW(Q25)-1,4+((QUOTIENT(COLUMN(CG$2)-69,3))*5)+MOD(COLUMN(CG$2),3),1,1),"")</f>
        <v>0</v>
      </c>
      <c r="CH28">
        <f ca="1">IF($AN28="",OFFSET(Demand!$A$13,ROW(R25)-1,4+((QUOTIENT(COLUMN(CH$2)-69,3))*5)+MOD(COLUMN(CH$2),3),1,1),"")</f>
        <v>0</v>
      </c>
      <c r="CI28">
        <f ca="1">IF($AN28="",OFFSET(Demand!$A$13,ROW(S25)-1,4+((QUOTIENT(COLUMN(CI$2)-69,3))*5)+MOD(COLUMN(CI$2),3),1,1),"")</f>
        <v>0</v>
      </c>
      <c r="CJ28">
        <f ca="1">IF($AN28="",OFFSET(Demand!$A$13,ROW(T25)-1,4+((QUOTIENT(COLUMN(CJ$2)-69,3))*5)+MOD(COLUMN(CJ$2),3),1,1),"")</f>
        <v>0</v>
      </c>
      <c r="CK28">
        <f ca="1">IF($AN28="",OFFSET(Demand!$A$13,ROW(U25)-1,4+((QUOTIENT(COLUMN(CK$2)-69,3))*5)+MOD(COLUMN(CK$2),3),1,1),"")</f>
        <v>0</v>
      </c>
      <c r="CL28">
        <f ca="1">IF($AN28="",OFFSET(Demand!$A$13,ROW(V25)-1,4+((QUOTIENT(COLUMN(CL$2)-69,3))*5)+MOD(COLUMN(CL$2),3),1,1),"")</f>
        <v>0</v>
      </c>
      <c r="CM28">
        <f ca="1">IF($AN28="",OFFSET(Demand!$A$13,ROW(W25)-1,4+((QUOTIENT(COLUMN(CM$2)-69,3))*5)+MOD(COLUMN(CM$2),3),1,1),"")</f>
        <v>0</v>
      </c>
      <c r="CN28">
        <f ca="1">IF($AN28="",OFFSET(Demand!$A$13,ROW(X25)-1,4+((QUOTIENT(COLUMN(CN$2)-69,3))*5)+MOD(COLUMN(CN$2),3),1,1),"")</f>
        <v>0</v>
      </c>
      <c r="CO28">
        <f ca="1">IF($AN28="",OFFSET(Demand!$A$13,ROW(Y25)-1,4+((QUOTIENT(COLUMN(CO$2)-69,3))*5)+MOD(COLUMN(CO$2),3),1,1),"")</f>
        <v>0</v>
      </c>
      <c r="CP28">
        <f ca="1">IF($AN28="",OFFSET(Demand!$A$13,ROW(Z25)-1,4+((QUOTIENT(COLUMN(CP$2)-69,3))*5)+MOD(COLUMN(CP$2),3),1,1),"")</f>
        <v>0</v>
      </c>
      <c r="CQ28">
        <f ca="1">IF($AN28="",OFFSET(Demand!$A$13,ROW(AA25)-1,4+((QUOTIENT(COLUMN(CQ$2)-69,3))*5)+MOD(COLUMN(CQ$2),3),1,1),"")</f>
        <v>0</v>
      </c>
      <c r="CR28">
        <f ca="1">IF($AN28="",OFFSET(Demand!$A$13,ROW(AB25)-1,4+((QUOTIENT(COLUMN(CR$2)-69,3))*5)+MOD(COLUMN(CR$2),3),1,1),"")</f>
        <v>0</v>
      </c>
      <c r="CS28">
        <f ca="1">IF($AN28="",OFFSET(Demand!$A$13,ROW(AC25)-1,4+((QUOTIENT(COLUMN(CS$2)-69,3))*5)+MOD(COLUMN(CS$2),3),1,1),"")</f>
        <v>0</v>
      </c>
      <c r="CT28">
        <f ca="1">IF($AN28="",OFFSET(Demand!$A$13,ROW(AD25)-1,4+((QUOTIENT(COLUMN(CT$2)-69,3))*5)+MOD(COLUMN(CT$2),3),1,1),"")</f>
        <v>0</v>
      </c>
      <c r="CW28" s="5">
        <f ca="1">SUM(OFFSET(Demand!$H$43,ROW(A25)-1,(COLUMN(A25)-1)*5,1,1))*N$2</f>
        <v>0</v>
      </c>
      <c r="CX28" s="5">
        <f ca="1">SUM(OFFSET(Demand!$H$43,ROW(B25)-1,(COLUMN(B25)-1)*5,1,1))*O$2</f>
        <v>0</v>
      </c>
      <c r="CY28" s="5">
        <f ca="1">SUM(OFFSET(Demand!$H$43,ROW(C25)-1,(COLUMN(C25)-1)*5,1,1))*P$2</f>
        <v>0</v>
      </c>
      <c r="CZ28" s="5">
        <f ca="1">SUM(OFFSET(Demand!$H$43,ROW(D25)-1,(COLUMN(D25)-1)*5,1,1))*Q$2</f>
        <v>0</v>
      </c>
      <c r="DA28" s="5">
        <f ca="1">SUM(OFFSET(Demand!$H$43,ROW(E25)-1,(COLUMN(E25)-1)*5,1,1))*R$2</f>
        <v>0</v>
      </c>
      <c r="DB28" s="5">
        <f ca="1">SUM(OFFSET(Demand!$H$43,ROW(F25)-1,(COLUMN(F25)-1)*5,1,1))*S$2</f>
        <v>0</v>
      </c>
      <c r="DC28" s="5">
        <f ca="1">SUM(OFFSET(Demand!$H$43,ROW(G25)-1,(COLUMN(G25)-1)*5,1,1))*T$2</f>
        <v>0</v>
      </c>
      <c r="DD28" s="5">
        <f ca="1">SUM(OFFSET(Demand!$H$43,ROW(H25)-1,(COLUMN(H25)-1)*5,1,1))*U$2</f>
        <v>0</v>
      </c>
      <c r="DE28" s="5">
        <f ca="1">SUM(OFFSET(Demand!$H$43,ROW(I25)-1,(COLUMN(I25)-1)*5,1,1))*V$2</f>
        <v>0</v>
      </c>
      <c r="DF28" s="5">
        <f ca="1">SUM(OFFSET(Demand!$H$43,ROW(J25)-1,(COLUMN(J25)-1)*5,1,1))*W$2</f>
        <v>0</v>
      </c>
      <c r="DG28" s="5">
        <f ca="1">IF(OR(AN28&lt;&gt;"",AND('Demand adjustments for Covid'!$F$9="Yes",'Demand adjustments for Covid'!$F$20="Yes")),"",SUM(CW28:DF28))</f>
        <v>0</v>
      </c>
      <c r="DM28" s="5">
        <f t="shared" si="10"/>
        <v>40</v>
      </c>
      <c r="DN28" s="320">
        <f t="shared" si="17"/>
        <v>44102</v>
      </c>
      <c r="DO28" s="5">
        <f ca="1">VLOOKUP(IF($DM28&lt;53,$DM28,52),'Summary Calculations (hide)'!$D$15:$F$67,2,0)</f>
        <v>130</v>
      </c>
      <c r="DP28" s="5">
        <f ca="1">VLOOKUP(IF($DM28&lt;53,$DM28,52),'Summary Calculations (hide)'!$D$15:$F$67,3,0)</f>
        <v>143</v>
      </c>
      <c r="DQ28" s="5">
        <f ca="1">IF(AND(DN28&gt;='Demand adjustments for Covid'!$F$12,DN28&lt;'Demand adjustments for Covid'!$F$17),'Demand adjustments for Covid'!$F$13,DO28)</f>
        <v>130</v>
      </c>
      <c r="DR28" s="5">
        <f t="shared" si="7"/>
        <v>0</v>
      </c>
      <c r="DS28" s="5">
        <f ca="1">IF('Demand adjustments for Covid'!$F$9="Yes",IF(DR28=0,DQ28,((SUM(DR$4:DR28)-1)*$EE$8)+'Demand adjustments for Covid'!F$13),'Demand background (hide)'!DO28)</f>
        <v>130</v>
      </c>
      <c r="DT28" s="5">
        <f ca="1">IF('Demand adjustments for Covid'!$F$9="Yes",IF(OR(AND(DN28&gt;='Demand adjustments for Covid'!$F$12,DN28&lt;'Demand adjustments for Covid'!$F$17),DR28=1),DS28+3,DP28),'Demand background (hide)'!DP28)</f>
        <v>143</v>
      </c>
      <c r="DU28" s="5">
        <f ca="1">IF(DS28&lt;='Demand adjustments for Covid'!$F$17,DO28-DS28,0)</f>
        <v>0</v>
      </c>
      <c r="DV28" s="5">
        <f ca="1">IF(AND(ROW(A25)&gt;$EE$5,ROW(A25)&lt;=$EA$5),OFFSET('Demand adjustments for Covid'!$F$35,0,ROW(A25)-'Demand background (hide)'!$EE$5,1,1),0)</f>
        <v>0</v>
      </c>
      <c r="DW28" s="5">
        <f ca="1">IF(AND(ROW(A25)&gt;$EE$5,ROW(A25)&lt;=$EA$5),OFFSET('Demand adjustments for Covid'!$F$36,0,ROW(A25)-'Demand background (hide)'!$EE$5,1,1),0)</f>
        <v>0</v>
      </c>
      <c r="DX28" s="5">
        <f t="shared" ca="1" si="11"/>
        <v>143</v>
      </c>
    </row>
    <row r="29" spans="1:128" s="5" customFormat="1" x14ac:dyDescent="0.25">
      <c r="A29" s="5">
        <f t="shared" ca="1" si="3"/>
        <v>0</v>
      </c>
      <c r="B29" s="5">
        <f ca="1">COUNTBLANK(OFFSET(Demand!$I38,0,(COLUMN(A26)-1)*5,1,1))</f>
        <v>0</v>
      </c>
      <c r="C29" s="5">
        <f ca="1">COUNTBLANK(OFFSET(Demand!$I38,0,(COLUMN(B26)-1)*5,1,1))</f>
        <v>1</v>
      </c>
      <c r="D29" s="5">
        <f ca="1">COUNTBLANK(OFFSET(Demand!$I38,0,(COLUMN(C26)-1)*5,1,1))</f>
        <v>1</v>
      </c>
      <c r="E29" s="5">
        <f ca="1">COUNTBLANK(OFFSET(Demand!$I38,0,(COLUMN(D26)-1)*5,1,1))</f>
        <v>1</v>
      </c>
      <c r="F29" s="5">
        <f ca="1">COUNTBLANK(OFFSET(Demand!$I38,0,(COLUMN(E26)-1)*5,1,1))</f>
        <v>1</v>
      </c>
      <c r="G29" s="5">
        <f ca="1">COUNTBLANK(OFFSET(Demand!$I38,0,(COLUMN(F26)-1)*5,1,1))</f>
        <v>1</v>
      </c>
      <c r="H29" s="5">
        <f ca="1">COUNTBLANK(OFFSET(Demand!$I38,0,(COLUMN(G26)-1)*5,1,1))</f>
        <v>1</v>
      </c>
      <c r="I29" s="5">
        <f ca="1">COUNTBLANK(OFFSET(Demand!$I38,0,(COLUMN(H26)-1)*5,1,1))</f>
        <v>1</v>
      </c>
      <c r="J29" s="5">
        <f ca="1">COUNTBLANK(OFFSET(Demand!$I38,0,(COLUMN(I26)-1)*5,1,1))</f>
        <v>1</v>
      </c>
      <c r="K29" s="5">
        <f ca="1">COUNTBLANK(OFFSET(Demand!$I38,0,(COLUMN(J26)-1)*5,1,1))</f>
        <v>1</v>
      </c>
      <c r="N29" s="5">
        <f ca="1">SUM(OFFSET(Demand!$E38,0,(COLUMN(A26)-1)*5,1,3))*N$2</f>
        <v>120</v>
      </c>
      <c r="O29" s="5">
        <f ca="1">SUM(OFFSET(Demand!$E38,0,(COLUMN(B26)-1)*5,1,3))*O$2</f>
        <v>0</v>
      </c>
      <c r="P29" s="5">
        <f ca="1">SUM(OFFSET(Demand!$E38,0,(COLUMN(C26)-1)*5,1,3))*P$2</f>
        <v>0</v>
      </c>
      <c r="Q29" s="5">
        <f ca="1">SUM(OFFSET(Demand!$E38,0,(COLUMN(D26)-1)*5,1,3))*Q$2</f>
        <v>0</v>
      </c>
      <c r="R29" s="5">
        <f ca="1">SUM(OFFSET(Demand!$E38,0,(COLUMN(E26)-1)*5,1,3))*R$2</f>
        <v>0</v>
      </c>
      <c r="S29" s="5">
        <f ca="1">SUM(OFFSET(Demand!$E38,0,(COLUMN(F26)-1)*5,1,3))*S$2</f>
        <v>0</v>
      </c>
      <c r="T29" s="5">
        <f ca="1">SUM(OFFSET(Demand!$E38,0,(COLUMN(G26)-1)*5,1,3))*T$2</f>
        <v>0</v>
      </c>
      <c r="U29" s="5">
        <f ca="1">SUM(OFFSET(Demand!$E38,0,(COLUMN(H26)-1)*5,1,3))*U$2</f>
        <v>0</v>
      </c>
      <c r="V29" s="5">
        <f ca="1">SUM(OFFSET(Demand!$E38,0,(COLUMN(I26)-1)*5,1,3))*V$2</f>
        <v>0</v>
      </c>
      <c r="W29" s="5">
        <f ca="1">SUM(OFFSET(Demand!$E38,0,(COLUMN(J26)-1)*5,1,3))*W$2</f>
        <v>0</v>
      </c>
      <c r="X29" s="5">
        <f t="shared" ca="1" si="4"/>
        <v>120</v>
      </c>
      <c r="Y29" s="5">
        <f t="shared" ca="1" si="5"/>
        <v>120</v>
      </c>
      <c r="Z29" s="5">
        <f ca="1">SUM(OFFSET(Demand!$H38,0,(COLUMN(A26)-1)*5,1,1))*N$2</f>
        <v>0</v>
      </c>
      <c r="AA29" s="5">
        <f ca="1">SUM(OFFSET(Demand!$H38,0,(COLUMN(B26)-1)*5,1,1))*O$2</f>
        <v>0</v>
      </c>
      <c r="AB29" s="5">
        <f ca="1">SUM(OFFSET(Demand!$H38,0,(COLUMN(C26)-1)*5,1,1))*P$2</f>
        <v>0</v>
      </c>
      <c r="AC29" s="5">
        <f ca="1">SUM(OFFSET(Demand!$H38,0,(COLUMN(D26)-1)*5,1,1))*Q$2</f>
        <v>0</v>
      </c>
      <c r="AD29" s="5">
        <f ca="1">SUM(OFFSET(Demand!$H38,0,(COLUMN(E26)-1)*5,1,1))*R$2</f>
        <v>0</v>
      </c>
      <c r="AE29" s="5">
        <f ca="1">SUM(OFFSET(Demand!$H38,0,(COLUMN(F26)-1)*5,1,1))*S$2</f>
        <v>0</v>
      </c>
      <c r="AF29" s="5">
        <f ca="1">SUM(OFFSET(Demand!$H38,0,(COLUMN(G26)-1)*5,1,1))*T$2</f>
        <v>0</v>
      </c>
      <c r="AG29" s="5">
        <f ca="1">SUM(OFFSET(Demand!$H38,0,(COLUMN(H26)-1)*5,1,1))*U$2</f>
        <v>0</v>
      </c>
      <c r="AH29" s="5">
        <f ca="1">SUM(OFFSET(Demand!$H38,0,(COLUMN(I26)-1)*5,1,1))*V$2</f>
        <v>0</v>
      </c>
      <c r="AI29" s="5">
        <f ca="1">SUM(OFFSET(Demand!$H38,0,(COLUMN(J26)-1)*5,1,1))*W$2</f>
        <v>0</v>
      </c>
      <c r="AJ29" s="5">
        <f t="shared" ca="1" si="6"/>
        <v>0</v>
      </c>
      <c r="AL29" s="5">
        <f t="shared" ca="1" si="8"/>
        <v>120</v>
      </c>
      <c r="AM29" s="5">
        <f t="shared" ca="1" si="9"/>
        <v>0</v>
      </c>
      <c r="AN29" s="5" t="str">
        <f>IF(Demand!BE38="Yes","Yes","")</f>
        <v/>
      </c>
      <c r="AP29" s="36" t="str">
        <f ca="1">Demand!B38</f>
        <v xml:space="preserve"> </v>
      </c>
      <c r="AQ29" s="5" t="str">
        <f ca="1">IF(TEXT(Demand!D38,"MMM")&lt;&gt;TEXT(Demand!D37,"MMM"),TEXT(Demand!D38,"MMM"),"")</f>
        <v/>
      </c>
      <c r="AT29" s="5">
        <f t="shared" ca="1" si="12"/>
        <v>10</v>
      </c>
      <c r="AV29" s="5" t="s">
        <v>138</v>
      </c>
      <c r="AW29" s="44" t="str">
        <f ca="1">IFERROR(PERCENTILE(OFFSET(AL$4,'SPC background (hide)'!$D$10-1,0,'SPC background (hide)'!$H$11,1),'Control sheet (hide)'!$I$10),"")</f>
        <v/>
      </c>
      <c r="AX29" s="5" t="str">
        <f ca="1">IFERROR(PERCENTILE(OFFSET(AM$4,'SPC background (hide)'!$C$10-1,0,'SPC background (hide)'!$H$11,1),'Control sheet (hide)'!$I$10),"")</f>
        <v/>
      </c>
      <c r="BQ29">
        <f ca="1">IF($AN29="",OFFSET(Demand!$A$13,ROW(A26)-1,4+((QUOTIENT(COLUMN(BQ$2)-69,3))*5)+MOD(COLUMN(BQ$2),3),1,1),"")</f>
        <v>0</v>
      </c>
      <c r="BR29">
        <f ca="1">IF($AN29="",OFFSET(Demand!$A$13,ROW(B26)-1,4+((QUOTIENT(COLUMN(BR$2)-69,3))*5)+MOD(COLUMN(BR$2),3),1,1),"")</f>
        <v>0</v>
      </c>
      <c r="BS29">
        <f ca="1">IF($AN29="",OFFSET(Demand!$A$13,ROW(C26)-1,4+((QUOTIENT(COLUMN(BS$2)-69,3))*5)+MOD(COLUMN(BS$2),3),1,1),"")</f>
        <v>60</v>
      </c>
      <c r="BT29">
        <f ca="1">IF($AN29="",OFFSET(Demand!$A$13,ROW(D26)-1,4+((QUOTIENT(COLUMN(BT$2)-69,3))*5)+MOD(COLUMN(BT$2),3),1,1),"")</f>
        <v>0</v>
      </c>
      <c r="BU29">
        <f ca="1">IF($AN29="",OFFSET(Demand!$A$13,ROW(E26)-1,4+((QUOTIENT(COLUMN(BU$2)-69,3))*5)+MOD(COLUMN(BU$2),3),1,1),"")</f>
        <v>0</v>
      </c>
      <c r="BV29">
        <f ca="1">IF($AN29="",OFFSET(Demand!$A$13,ROW(F26)-1,4+((QUOTIENT(COLUMN(BV$2)-69,3))*5)+MOD(COLUMN(BV$2),3),1,1),"")</f>
        <v>0</v>
      </c>
      <c r="BW29">
        <f ca="1">IF($AN29="",OFFSET(Demand!$A$13,ROW(G26)-1,4+((QUOTIENT(COLUMN(BW$2)-69,3))*5)+MOD(COLUMN(BW$2),3),1,1),"")</f>
        <v>0</v>
      </c>
      <c r="BX29">
        <f ca="1">IF($AN29="",OFFSET(Demand!$A$13,ROW(H26)-1,4+((QUOTIENT(COLUMN(BX$2)-69,3))*5)+MOD(COLUMN(BX$2),3),1,1),"")</f>
        <v>0</v>
      </c>
      <c r="BY29">
        <f ca="1">IF($AN29="",OFFSET(Demand!$A$13,ROW(I26)-1,4+((QUOTIENT(COLUMN(BY$2)-69,3))*5)+MOD(COLUMN(BY$2),3),1,1),"")</f>
        <v>0</v>
      </c>
      <c r="BZ29">
        <f ca="1">IF($AN29="",OFFSET(Demand!$A$13,ROW(J26)-1,4+((QUOTIENT(COLUMN(BZ$2)-69,3))*5)+MOD(COLUMN(BZ$2),3),1,1),"")</f>
        <v>0</v>
      </c>
      <c r="CA29">
        <f ca="1">IF($AN29="",OFFSET(Demand!$A$13,ROW(K26)-1,4+((QUOTIENT(COLUMN(CA$2)-69,3))*5)+MOD(COLUMN(CA$2),3),1,1),"")</f>
        <v>0</v>
      </c>
      <c r="CB29">
        <f ca="1">IF($AN29="",OFFSET(Demand!$A$13,ROW(L26)-1,4+((QUOTIENT(COLUMN(CB$2)-69,3))*5)+MOD(COLUMN(CB$2),3),1,1),"")</f>
        <v>0</v>
      </c>
      <c r="CC29">
        <f ca="1">IF($AN29="",OFFSET(Demand!$A$13,ROW(M26)-1,4+((QUOTIENT(COLUMN(CC$2)-69,3))*5)+MOD(COLUMN(CC$2),3),1,1),"")</f>
        <v>0</v>
      </c>
      <c r="CD29">
        <f ca="1">IF($AN29="",OFFSET(Demand!$A$13,ROW(N26)-1,4+((QUOTIENT(COLUMN(CD$2)-69,3))*5)+MOD(COLUMN(CD$2),3),1,1),"")</f>
        <v>0</v>
      </c>
      <c r="CE29">
        <f ca="1">IF($AN29="",OFFSET(Demand!$A$13,ROW(O26)-1,4+((QUOTIENT(COLUMN(CE$2)-69,3))*5)+MOD(COLUMN(CE$2),3),1,1),"")</f>
        <v>0</v>
      </c>
      <c r="CF29">
        <f ca="1">IF($AN29="",OFFSET(Demand!$A$13,ROW(P26)-1,4+((QUOTIENT(COLUMN(CF$2)-69,3))*5)+MOD(COLUMN(CF$2),3),1,1),"")</f>
        <v>0</v>
      </c>
      <c r="CG29">
        <f ca="1">IF($AN29="",OFFSET(Demand!$A$13,ROW(Q26)-1,4+((QUOTIENT(COLUMN(CG$2)-69,3))*5)+MOD(COLUMN(CG$2),3),1,1),"")</f>
        <v>0</v>
      </c>
      <c r="CH29">
        <f ca="1">IF($AN29="",OFFSET(Demand!$A$13,ROW(R26)-1,4+((QUOTIENT(COLUMN(CH$2)-69,3))*5)+MOD(COLUMN(CH$2),3),1,1),"")</f>
        <v>0</v>
      </c>
      <c r="CI29">
        <f ca="1">IF($AN29="",OFFSET(Demand!$A$13,ROW(S26)-1,4+((QUOTIENT(COLUMN(CI$2)-69,3))*5)+MOD(COLUMN(CI$2),3),1,1),"")</f>
        <v>0</v>
      </c>
      <c r="CJ29">
        <f ca="1">IF($AN29="",OFFSET(Demand!$A$13,ROW(T26)-1,4+((QUOTIENT(COLUMN(CJ$2)-69,3))*5)+MOD(COLUMN(CJ$2),3),1,1),"")</f>
        <v>0</v>
      </c>
      <c r="CK29">
        <f ca="1">IF($AN29="",OFFSET(Demand!$A$13,ROW(U26)-1,4+((QUOTIENT(COLUMN(CK$2)-69,3))*5)+MOD(COLUMN(CK$2),3),1,1),"")</f>
        <v>0</v>
      </c>
      <c r="CL29">
        <f ca="1">IF($AN29="",OFFSET(Demand!$A$13,ROW(V26)-1,4+((QUOTIENT(COLUMN(CL$2)-69,3))*5)+MOD(COLUMN(CL$2),3),1,1),"")</f>
        <v>0</v>
      </c>
      <c r="CM29">
        <f ca="1">IF($AN29="",OFFSET(Demand!$A$13,ROW(W26)-1,4+((QUOTIENT(COLUMN(CM$2)-69,3))*5)+MOD(COLUMN(CM$2),3),1,1),"")</f>
        <v>0</v>
      </c>
      <c r="CN29">
        <f ca="1">IF($AN29="",OFFSET(Demand!$A$13,ROW(X26)-1,4+((QUOTIENT(COLUMN(CN$2)-69,3))*5)+MOD(COLUMN(CN$2),3),1,1),"")</f>
        <v>0</v>
      </c>
      <c r="CO29">
        <f ca="1">IF($AN29="",OFFSET(Demand!$A$13,ROW(Y26)-1,4+((QUOTIENT(COLUMN(CO$2)-69,3))*5)+MOD(COLUMN(CO$2),3),1,1),"")</f>
        <v>0</v>
      </c>
      <c r="CP29">
        <f ca="1">IF($AN29="",OFFSET(Demand!$A$13,ROW(Z26)-1,4+((QUOTIENT(COLUMN(CP$2)-69,3))*5)+MOD(COLUMN(CP$2),3),1,1),"")</f>
        <v>0</v>
      </c>
      <c r="CQ29">
        <f ca="1">IF($AN29="",OFFSET(Demand!$A$13,ROW(AA26)-1,4+((QUOTIENT(COLUMN(CQ$2)-69,3))*5)+MOD(COLUMN(CQ$2),3),1,1),"")</f>
        <v>0</v>
      </c>
      <c r="CR29">
        <f ca="1">IF($AN29="",OFFSET(Demand!$A$13,ROW(AB26)-1,4+((QUOTIENT(COLUMN(CR$2)-69,3))*5)+MOD(COLUMN(CR$2),3),1,1),"")</f>
        <v>0</v>
      </c>
      <c r="CS29">
        <f ca="1">IF($AN29="",OFFSET(Demand!$A$13,ROW(AC26)-1,4+((QUOTIENT(COLUMN(CS$2)-69,3))*5)+MOD(COLUMN(CS$2),3),1,1),"")</f>
        <v>0</v>
      </c>
      <c r="CT29">
        <f ca="1">IF($AN29="",OFFSET(Demand!$A$13,ROW(AD26)-1,4+((QUOTIENT(COLUMN(CT$2)-69,3))*5)+MOD(COLUMN(CT$2),3),1,1),"")</f>
        <v>0</v>
      </c>
      <c r="CW29" s="5">
        <f ca="1">SUM(OFFSET(Demand!$H$43,ROW(A26)-1,(COLUMN(A26)-1)*5,1,1))*N$2</f>
        <v>0</v>
      </c>
      <c r="CX29" s="5">
        <f ca="1">SUM(OFFSET(Demand!$H$43,ROW(B26)-1,(COLUMN(B26)-1)*5,1,1))*O$2</f>
        <v>0</v>
      </c>
      <c r="CY29" s="5">
        <f ca="1">SUM(OFFSET(Demand!$H$43,ROW(C26)-1,(COLUMN(C26)-1)*5,1,1))*P$2</f>
        <v>0</v>
      </c>
      <c r="CZ29" s="5">
        <f ca="1">SUM(OFFSET(Demand!$H$43,ROW(D26)-1,(COLUMN(D26)-1)*5,1,1))*Q$2</f>
        <v>0</v>
      </c>
      <c r="DA29" s="5">
        <f ca="1">SUM(OFFSET(Demand!$H$43,ROW(E26)-1,(COLUMN(E26)-1)*5,1,1))*R$2</f>
        <v>0</v>
      </c>
      <c r="DB29" s="5">
        <f ca="1">SUM(OFFSET(Demand!$H$43,ROW(F26)-1,(COLUMN(F26)-1)*5,1,1))*S$2</f>
        <v>0</v>
      </c>
      <c r="DC29" s="5">
        <f ca="1">SUM(OFFSET(Demand!$H$43,ROW(G26)-1,(COLUMN(G26)-1)*5,1,1))*T$2</f>
        <v>0</v>
      </c>
      <c r="DD29" s="5">
        <f ca="1">SUM(OFFSET(Demand!$H$43,ROW(H26)-1,(COLUMN(H26)-1)*5,1,1))*U$2</f>
        <v>0</v>
      </c>
      <c r="DE29" s="5">
        <f ca="1">SUM(OFFSET(Demand!$H$43,ROW(I26)-1,(COLUMN(I26)-1)*5,1,1))*V$2</f>
        <v>0</v>
      </c>
      <c r="DF29" s="5">
        <f ca="1">SUM(OFFSET(Demand!$H$43,ROW(J26)-1,(COLUMN(J26)-1)*5,1,1))*W$2</f>
        <v>0</v>
      </c>
      <c r="DG29" s="5">
        <f ca="1">IF(OR(AN29&lt;&gt;"",AND('Demand adjustments for Covid'!$F$9="Yes",'Demand adjustments for Covid'!$F$20="Yes")),"",SUM(CW29:DF29))</f>
        <v>0</v>
      </c>
      <c r="DM29" s="5">
        <f t="shared" si="10"/>
        <v>41</v>
      </c>
      <c r="DN29" s="320">
        <f t="shared" si="17"/>
        <v>44109</v>
      </c>
      <c r="DO29" s="5">
        <f ca="1">VLOOKUP(IF($DM29&lt;53,$DM29,52),'Summary Calculations (hide)'!$D$15:$F$67,2,0)</f>
        <v>120</v>
      </c>
      <c r="DP29" s="5">
        <f ca="1">VLOOKUP(IF($DM29&lt;53,$DM29,52),'Summary Calculations (hide)'!$D$15:$F$67,3,0)</f>
        <v>132</v>
      </c>
      <c r="DQ29" s="5">
        <f ca="1">IF(AND(DN29&gt;='Demand adjustments for Covid'!$F$12,DN29&lt;'Demand adjustments for Covid'!$F$17),'Demand adjustments for Covid'!$F$13,DO29)</f>
        <v>120</v>
      </c>
      <c r="DR29" s="5">
        <f t="shared" si="7"/>
        <v>0</v>
      </c>
      <c r="DS29" s="5">
        <f ca="1">IF('Demand adjustments for Covid'!$F$9="Yes",IF(DR29=0,DQ29,((SUM(DR$4:DR29)-1)*$EE$8)+'Demand adjustments for Covid'!F$13),'Demand background (hide)'!DO29)</f>
        <v>120</v>
      </c>
      <c r="DT29" s="5">
        <f ca="1">IF('Demand adjustments for Covid'!$F$9="Yes",IF(OR(AND(DN29&gt;='Demand adjustments for Covid'!$F$12,DN29&lt;'Demand adjustments for Covid'!$F$17),DR29=1),DS29+3,DP29),'Demand background (hide)'!DP29)</f>
        <v>132</v>
      </c>
      <c r="DU29" s="5">
        <f ca="1">IF(DS29&lt;='Demand adjustments for Covid'!$F$17,DO29-DS29,0)</f>
        <v>0</v>
      </c>
      <c r="DV29" s="5">
        <f ca="1">IF(AND(ROW(A26)&gt;$EE$5,ROW(A26)&lt;=$EA$5),OFFSET('Demand adjustments for Covid'!$F$35,0,ROW(A26)-'Demand background (hide)'!$EE$5,1,1),0)</f>
        <v>0</v>
      </c>
      <c r="DW29" s="5">
        <f ca="1">IF(AND(ROW(A26)&gt;$EE$5,ROW(A26)&lt;=$EA$5),OFFSET('Demand adjustments for Covid'!$F$36,0,ROW(A26)-'Demand background (hide)'!$EE$5,1,1),0)</f>
        <v>0</v>
      </c>
      <c r="DX29" s="5">
        <f t="shared" ca="1" si="11"/>
        <v>132</v>
      </c>
    </row>
    <row r="30" spans="1:128" s="5" customFormat="1" x14ac:dyDescent="0.25">
      <c r="A30" s="5">
        <f t="shared" ca="1" si="3"/>
        <v>0</v>
      </c>
      <c r="B30" s="5">
        <f ca="1">COUNTBLANK(OFFSET(Demand!$I39,0,(COLUMN(A27)-1)*5,1,1))</f>
        <v>0</v>
      </c>
      <c r="C30" s="5">
        <f ca="1">COUNTBLANK(OFFSET(Demand!$I39,0,(COLUMN(B27)-1)*5,1,1))</f>
        <v>1</v>
      </c>
      <c r="D30" s="5">
        <f ca="1">COUNTBLANK(OFFSET(Demand!$I39,0,(COLUMN(C27)-1)*5,1,1))</f>
        <v>1</v>
      </c>
      <c r="E30" s="5">
        <f ca="1">COUNTBLANK(OFFSET(Demand!$I39,0,(COLUMN(D27)-1)*5,1,1))</f>
        <v>1</v>
      </c>
      <c r="F30" s="5">
        <f ca="1">COUNTBLANK(OFFSET(Demand!$I39,0,(COLUMN(E27)-1)*5,1,1))</f>
        <v>1</v>
      </c>
      <c r="G30" s="5">
        <f ca="1">COUNTBLANK(OFFSET(Demand!$I39,0,(COLUMN(F27)-1)*5,1,1))</f>
        <v>1</v>
      </c>
      <c r="H30" s="5">
        <f ca="1">COUNTBLANK(OFFSET(Demand!$I39,0,(COLUMN(G27)-1)*5,1,1))</f>
        <v>1</v>
      </c>
      <c r="I30" s="5">
        <f ca="1">COUNTBLANK(OFFSET(Demand!$I39,0,(COLUMN(H27)-1)*5,1,1))</f>
        <v>1</v>
      </c>
      <c r="J30" s="5">
        <f ca="1">COUNTBLANK(OFFSET(Demand!$I39,0,(COLUMN(I27)-1)*5,1,1))</f>
        <v>1</v>
      </c>
      <c r="K30" s="5">
        <f ca="1">COUNTBLANK(OFFSET(Demand!$I39,0,(COLUMN(J27)-1)*5,1,1))</f>
        <v>1</v>
      </c>
      <c r="N30" s="5">
        <f ca="1">SUM(OFFSET(Demand!$E39,0,(COLUMN(A27)-1)*5,1,3))*N$2</f>
        <v>124</v>
      </c>
      <c r="O30" s="5">
        <f ca="1">SUM(OFFSET(Demand!$E39,0,(COLUMN(B27)-1)*5,1,3))*O$2</f>
        <v>0</v>
      </c>
      <c r="P30" s="5">
        <f ca="1">SUM(OFFSET(Demand!$E39,0,(COLUMN(C27)-1)*5,1,3))*P$2</f>
        <v>0</v>
      </c>
      <c r="Q30" s="5">
        <f ca="1">SUM(OFFSET(Demand!$E39,0,(COLUMN(D27)-1)*5,1,3))*Q$2</f>
        <v>0</v>
      </c>
      <c r="R30" s="5">
        <f ca="1">SUM(OFFSET(Demand!$E39,0,(COLUMN(E27)-1)*5,1,3))*R$2</f>
        <v>0</v>
      </c>
      <c r="S30" s="5">
        <f ca="1">SUM(OFFSET(Demand!$E39,0,(COLUMN(F27)-1)*5,1,3))*S$2</f>
        <v>0</v>
      </c>
      <c r="T30" s="5">
        <f ca="1">SUM(OFFSET(Demand!$E39,0,(COLUMN(G27)-1)*5,1,3))*T$2</f>
        <v>0</v>
      </c>
      <c r="U30" s="5">
        <f ca="1">SUM(OFFSET(Demand!$E39,0,(COLUMN(H27)-1)*5,1,3))*U$2</f>
        <v>0</v>
      </c>
      <c r="V30" s="5">
        <f ca="1">SUM(OFFSET(Demand!$E39,0,(COLUMN(I27)-1)*5,1,3))*V$2</f>
        <v>0</v>
      </c>
      <c r="W30" s="5">
        <f ca="1">SUM(OFFSET(Demand!$E39,0,(COLUMN(J27)-1)*5,1,3))*W$2</f>
        <v>0</v>
      </c>
      <c r="X30" s="5">
        <f t="shared" ca="1" si="4"/>
        <v>124</v>
      </c>
      <c r="Y30" s="5">
        <f t="shared" ca="1" si="5"/>
        <v>124</v>
      </c>
      <c r="Z30" s="5">
        <f ca="1">SUM(OFFSET(Demand!$H39,0,(COLUMN(A27)-1)*5,1,1))*N$2</f>
        <v>0</v>
      </c>
      <c r="AA30" s="5">
        <f ca="1">SUM(OFFSET(Demand!$H39,0,(COLUMN(B27)-1)*5,1,1))*O$2</f>
        <v>0</v>
      </c>
      <c r="AB30" s="5">
        <f ca="1">SUM(OFFSET(Demand!$H39,0,(COLUMN(C27)-1)*5,1,1))*P$2</f>
        <v>0</v>
      </c>
      <c r="AC30" s="5">
        <f ca="1">SUM(OFFSET(Demand!$H39,0,(COLUMN(D27)-1)*5,1,1))*Q$2</f>
        <v>0</v>
      </c>
      <c r="AD30" s="5">
        <f ca="1">SUM(OFFSET(Demand!$H39,0,(COLUMN(E27)-1)*5,1,1))*R$2</f>
        <v>0</v>
      </c>
      <c r="AE30" s="5">
        <f ca="1">SUM(OFFSET(Demand!$H39,0,(COLUMN(F27)-1)*5,1,1))*S$2</f>
        <v>0</v>
      </c>
      <c r="AF30" s="5">
        <f ca="1">SUM(OFFSET(Demand!$H39,0,(COLUMN(G27)-1)*5,1,1))*T$2</f>
        <v>0</v>
      </c>
      <c r="AG30" s="5">
        <f ca="1">SUM(OFFSET(Demand!$H39,0,(COLUMN(H27)-1)*5,1,1))*U$2</f>
        <v>0</v>
      </c>
      <c r="AH30" s="5">
        <f ca="1">SUM(OFFSET(Demand!$H39,0,(COLUMN(I27)-1)*5,1,1))*V$2</f>
        <v>0</v>
      </c>
      <c r="AI30" s="5">
        <f ca="1">SUM(OFFSET(Demand!$H39,0,(COLUMN(J27)-1)*5,1,1))*W$2</f>
        <v>0</v>
      </c>
      <c r="AJ30" s="5">
        <f t="shared" ca="1" si="6"/>
        <v>0</v>
      </c>
      <c r="AL30" s="5">
        <f t="shared" ca="1" si="8"/>
        <v>124</v>
      </c>
      <c r="AM30" s="5">
        <f t="shared" ca="1" si="9"/>
        <v>0</v>
      </c>
      <c r="AN30" s="5" t="str">
        <f>IF(Demand!BE39="Yes","Yes","")</f>
        <v/>
      </c>
      <c r="AP30" s="36" t="str">
        <f ca="1">Demand!B39</f>
        <v xml:space="preserve"> </v>
      </c>
      <c r="AQ30" s="5" t="str">
        <f ca="1">IF(TEXT(Demand!D39,"MMM")&lt;&gt;TEXT(Demand!D38,"MMM"),TEXT(Demand!D39,"MMM"),"")</f>
        <v/>
      </c>
      <c r="AT30" s="5">
        <f t="shared" ca="1" si="12"/>
        <v>4</v>
      </c>
      <c r="BQ30">
        <f ca="1">IF($AN30="",OFFSET(Demand!$A$13,ROW(A27)-1,4+((QUOTIENT(COLUMN(BQ$2)-69,3))*5)+MOD(COLUMN(BQ$2),3),1,1),"")</f>
        <v>0</v>
      </c>
      <c r="BR30">
        <f ca="1">IF($AN30="",OFFSET(Demand!$A$13,ROW(B27)-1,4+((QUOTIENT(COLUMN(BR$2)-69,3))*5)+MOD(COLUMN(BR$2),3),1,1),"")</f>
        <v>0</v>
      </c>
      <c r="BS30">
        <f ca="1">IF($AN30="",OFFSET(Demand!$A$13,ROW(C27)-1,4+((QUOTIENT(COLUMN(BS$2)-69,3))*5)+MOD(COLUMN(BS$2),3),1,1),"")</f>
        <v>62</v>
      </c>
      <c r="BT30">
        <f ca="1">IF($AN30="",OFFSET(Demand!$A$13,ROW(D27)-1,4+((QUOTIENT(COLUMN(BT$2)-69,3))*5)+MOD(COLUMN(BT$2),3),1,1),"")</f>
        <v>0</v>
      </c>
      <c r="BU30">
        <f ca="1">IF($AN30="",OFFSET(Demand!$A$13,ROW(E27)-1,4+((QUOTIENT(COLUMN(BU$2)-69,3))*5)+MOD(COLUMN(BU$2),3),1,1),"")</f>
        <v>0</v>
      </c>
      <c r="BV30">
        <f ca="1">IF($AN30="",OFFSET(Demand!$A$13,ROW(F27)-1,4+((QUOTIENT(COLUMN(BV$2)-69,3))*5)+MOD(COLUMN(BV$2),3),1,1),"")</f>
        <v>0</v>
      </c>
      <c r="BW30">
        <f ca="1">IF($AN30="",OFFSET(Demand!$A$13,ROW(G27)-1,4+((QUOTIENT(COLUMN(BW$2)-69,3))*5)+MOD(COLUMN(BW$2),3),1,1),"")</f>
        <v>0</v>
      </c>
      <c r="BX30">
        <f ca="1">IF($AN30="",OFFSET(Demand!$A$13,ROW(H27)-1,4+((QUOTIENT(COLUMN(BX$2)-69,3))*5)+MOD(COLUMN(BX$2),3),1,1),"")</f>
        <v>0</v>
      </c>
      <c r="BY30">
        <f ca="1">IF($AN30="",OFFSET(Demand!$A$13,ROW(I27)-1,4+((QUOTIENT(COLUMN(BY$2)-69,3))*5)+MOD(COLUMN(BY$2),3),1,1),"")</f>
        <v>0</v>
      </c>
      <c r="BZ30">
        <f ca="1">IF($AN30="",OFFSET(Demand!$A$13,ROW(J27)-1,4+((QUOTIENT(COLUMN(BZ$2)-69,3))*5)+MOD(COLUMN(BZ$2),3),1,1),"")</f>
        <v>0</v>
      </c>
      <c r="CA30">
        <f ca="1">IF($AN30="",OFFSET(Demand!$A$13,ROW(K27)-1,4+((QUOTIENT(COLUMN(CA$2)-69,3))*5)+MOD(COLUMN(CA$2),3),1,1),"")</f>
        <v>0</v>
      </c>
      <c r="CB30">
        <f ca="1">IF($AN30="",OFFSET(Demand!$A$13,ROW(L27)-1,4+((QUOTIENT(COLUMN(CB$2)-69,3))*5)+MOD(COLUMN(CB$2),3),1,1),"")</f>
        <v>0</v>
      </c>
      <c r="CC30">
        <f ca="1">IF($AN30="",OFFSET(Demand!$A$13,ROW(M27)-1,4+((QUOTIENT(COLUMN(CC$2)-69,3))*5)+MOD(COLUMN(CC$2),3),1,1),"")</f>
        <v>0</v>
      </c>
      <c r="CD30">
        <f ca="1">IF($AN30="",OFFSET(Demand!$A$13,ROW(N27)-1,4+((QUOTIENT(COLUMN(CD$2)-69,3))*5)+MOD(COLUMN(CD$2),3),1,1),"")</f>
        <v>0</v>
      </c>
      <c r="CE30">
        <f ca="1">IF($AN30="",OFFSET(Demand!$A$13,ROW(O27)-1,4+((QUOTIENT(COLUMN(CE$2)-69,3))*5)+MOD(COLUMN(CE$2),3),1,1),"")</f>
        <v>0</v>
      </c>
      <c r="CF30">
        <f ca="1">IF($AN30="",OFFSET(Demand!$A$13,ROW(P27)-1,4+((QUOTIENT(COLUMN(CF$2)-69,3))*5)+MOD(COLUMN(CF$2),3),1,1),"")</f>
        <v>0</v>
      </c>
      <c r="CG30">
        <f ca="1">IF($AN30="",OFFSET(Demand!$A$13,ROW(Q27)-1,4+((QUOTIENT(COLUMN(CG$2)-69,3))*5)+MOD(COLUMN(CG$2),3),1,1),"")</f>
        <v>0</v>
      </c>
      <c r="CH30">
        <f ca="1">IF($AN30="",OFFSET(Demand!$A$13,ROW(R27)-1,4+((QUOTIENT(COLUMN(CH$2)-69,3))*5)+MOD(COLUMN(CH$2),3),1,1),"")</f>
        <v>0</v>
      </c>
      <c r="CI30">
        <f ca="1">IF($AN30="",OFFSET(Demand!$A$13,ROW(S27)-1,4+((QUOTIENT(COLUMN(CI$2)-69,3))*5)+MOD(COLUMN(CI$2),3),1,1),"")</f>
        <v>0</v>
      </c>
      <c r="CJ30">
        <f ca="1">IF($AN30="",OFFSET(Demand!$A$13,ROW(T27)-1,4+((QUOTIENT(COLUMN(CJ$2)-69,3))*5)+MOD(COLUMN(CJ$2),3),1,1),"")</f>
        <v>0</v>
      </c>
      <c r="CK30">
        <f ca="1">IF($AN30="",OFFSET(Demand!$A$13,ROW(U27)-1,4+((QUOTIENT(COLUMN(CK$2)-69,3))*5)+MOD(COLUMN(CK$2),3),1,1),"")</f>
        <v>0</v>
      </c>
      <c r="CL30">
        <f ca="1">IF($AN30="",OFFSET(Demand!$A$13,ROW(V27)-1,4+((QUOTIENT(COLUMN(CL$2)-69,3))*5)+MOD(COLUMN(CL$2),3),1,1),"")</f>
        <v>0</v>
      </c>
      <c r="CM30">
        <f ca="1">IF($AN30="",OFFSET(Demand!$A$13,ROW(W27)-1,4+((QUOTIENT(COLUMN(CM$2)-69,3))*5)+MOD(COLUMN(CM$2),3),1,1),"")</f>
        <v>0</v>
      </c>
      <c r="CN30">
        <f ca="1">IF($AN30="",OFFSET(Demand!$A$13,ROW(X27)-1,4+((QUOTIENT(COLUMN(CN$2)-69,3))*5)+MOD(COLUMN(CN$2),3),1,1),"")</f>
        <v>0</v>
      </c>
      <c r="CO30">
        <f ca="1">IF($AN30="",OFFSET(Demand!$A$13,ROW(Y27)-1,4+((QUOTIENT(COLUMN(CO$2)-69,3))*5)+MOD(COLUMN(CO$2),3),1,1),"")</f>
        <v>0</v>
      </c>
      <c r="CP30">
        <f ca="1">IF($AN30="",OFFSET(Demand!$A$13,ROW(Z27)-1,4+((QUOTIENT(COLUMN(CP$2)-69,3))*5)+MOD(COLUMN(CP$2),3),1,1),"")</f>
        <v>0</v>
      </c>
      <c r="CQ30">
        <f ca="1">IF($AN30="",OFFSET(Demand!$A$13,ROW(AA27)-1,4+((QUOTIENT(COLUMN(CQ$2)-69,3))*5)+MOD(COLUMN(CQ$2),3),1,1),"")</f>
        <v>0</v>
      </c>
      <c r="CR30">
        <f ca="1">IF($AN30="",OFFSET(Demand!$A$13,ROW(AB27)-1,4+((QUOTIENT(COLUMN(CR$2)-69,3))*5)+MOD(COLUMN(CR$2),3),1,1),"")</f>
        <v>0</v>
      </c>
      <c r="CS30">
        <f ca="1">IF($AN30="",OFFSET(Demand!$A$13,ROW(AC27)-1,4+((QUOTIENT(COLUMN(CS$2)-69,3))*5)+MOD(COLUMN(CS$2),3),1,1),"")</f>
        <v>0</v>
      </c>
      <c r="CT30">
        <f ca="1">IF($AN30="",OFFSET(Demand!$A$13,ROW(AD27)-1,4+((QUOTIENT(COLUMN(CT$2)-69,3))*5)+MOD(COLUMN(CT$2),3),1,1),"")</f>
        <v>0</v>
      </c>
      <c r="CW30" s="5">
        <f ca="1">SUM(OFFSET(Demand!$H$43,ROW(A27)-1,(COLUMN(A27)-1)*5,1,1))*N$2</f>
        <v>0</v>
      </c>
      <c r="CX30" s="5">
        <f ca="1">SUM(OFFSET(Demand!$H$43,ROW(B27)-1,(COLUMN(B27)-1)*5,1,1))*O$2</f>
        <v>0</v>
      </c>
      <c r="CY30" s="5">
        <f ca="1">SUM(OFFSET(Demand!$H$43,ROW(C27)-1,(COLUMN(C27)-1)*5,1,1))*P$2</f>
        <v>0</v>
      </c>
      <c r="CZ30" s="5">
        <f ca="1">SUM(OFFSET(Demand!$H$43,ROW(D27)-1,(COLUMN(D27)-1)*5,1,1))*Q$2</f>
        <v>0</v>
      </c>
      <c r="DA30" s="5">
        <f ca="1">SUM(OFFSET(Demand!$H$43,ROW(E27)-1,(COLUMN(E27)-1)*5,1,1))*R$2</f>
        <v>0</v>
      </c>
      <c r="DB30" s="5">
        <f ca="1">SUM(OFFSET(Demand!$H$43,ROW(F27)-1,(COLUMN(F27)-1)*5,1,1))*S$2</f>
        <v>0</v>
      </c>
      <c r="DC30" s="5">
        <f ca="1">SUM(OFFSET(Demand!$H$43,ROW(G27)-1,(COLUMN(G27)-1)*5,1,1))*T$2</f>
        <v>0</v>
      </c>
      <c r="DD30" s="5">
        <f ca="1">SUM(OFFSET(Demand!$H$43,ROW(H27)-1,(COLUMN(H27)-1)*5,1,1))*U$2</f>
        <v>0</v>
      </c>
      <c r="DE30" s="5">
        <f ca="1">SUM(OFFSET(Demand!$H$43,ROW(I27)-1,(COLUMN(I27)-1)*5,1,1))*V$2</f>
        <v>0</v>
      </c>
      <c r="DF30" s="5">
        <f ca="1">SUM(OFFSET(Demand!$H$43,ROW(J27)-1,(COLUMN(J27)-1)*5,1,1))*W$2</f>
        <v>0</v>
      </c>
      <c r="DG30" s="5">
        <f ca="1">IF(OR(AN30&lt;&gt;"",AND('Demand adjustments for Covid'!$F$9="Yes",'Demand adjustments for Covid'!$F$20="Yes")),"",SUM(CW30:DF30))</f>
        <v>0</v>
      </c>
      <c r="DM30" s="5">
        <f t="shared" si="10"/>
        <v>42</v>
      </c>
      <c r="DN30" s="320">
        <f t="shared" si="17"/>
        <v>44116</v>
      </c>
      <c r="DO30" s="5">
        <f ca="1">VLOOKUP(IF($DM30&lt;53,$DM30,52),'Summary Calculations (hide)'!$D$15:$F$67,2,0)</f>
        <v>124</v>
      </c>
      <c r="DP30" s="5">
        <f ca="1">VLOOKUP(IF($DM30&lt;53,$DM30,52),'Summary Calculations (hide)'!$D$15:$F$67,3,0)</f>
        <v>136.4</v>
      </c>
      <c r="DQ30" s="5">
        <f ca="1">IF(AND(DN30&gt;='Demand adjustments for Covid'!$F$12,DN30&lt;'Demand adjustments for Covid'!$F$17),'Demand adjustments for Covid'!$F$13,DO30)</f>
        <v>124</v>
      </c>
      <c r="DR30" s="5">
        <f t="shared" si="7"/>
        <v>0</v>
      </c>
      <c r="DS30" s="5">
        <f ca="1">IF('Demand adjustments for Covid'!$F$9="Yes",IF(DR30=0,DQ30,((SUM(DR$4:DR30)-1)*$EE$8)+'Demand adjustments for Covid'!F$13),'Demand background (hide)'!DO30)</f>
        <v>124</v>
      </c>
      <c r="DT30" s="5">
        <f ca="1">IF('Demand adjustments for Covid'!$F$9="Yes",IF(OR(AND(DN30&gt;='Demand adjustments for Covid'!$F$12,DN30&lt;'Demand adjustments for Covid'!$F$17),DR30=1),DS30+3,DP30),'Demand background (hide)'!DP30)</f>
        <v>136.4</v>
      </c>
      <c r="DU30" s="5">
        <f ca="1">IF(DS30&lt;='Demand adjustments for Covid'!$F$17,DO30-DS30,0)</f>
        <v>0</v>
      </c>
      <c r="DV30" s="5">
        <f ca="1">IF(AND(ROW(A27)&gt;$EE$5,ROW(A27)&lt;=$EA$5),OFFSET('Demand adjustments for Covid'!$F$35,0,ROW(A27)-'Demand background (hide)'!$EE$5,1,1),0)</f>
        <v>0</v>
      </c>
      <c r="DW30" s="5">
        <f ca="1">IF(AND(ROW(A27)&gt;$EE$5,ROW(A27)&lt;=$EA$5),OFFSET('Demand adjustments for Covid'!$F$36,0,ROW(A27)-'Demand background (hide)'!$EE$5,1,1),0)</f>
        <v>0</v>
      </c>
      <c r="DX30" s="5">
        <f t="shared" ca="1" si="11"/>
        <v>136.4</v>
      </c>
    </row>
    <row r="31" spans="1:128" s="5" customFormat="1" x14ac:dyDescent="0.25">
      <c r="A31" s="5">
        <f t="shared" ca="1" si="3"/>
        <v>0</v>
      </c>
      <c r="B31" s="5">
        <f ca="1">COUNTBLANK(OFFSET(Demand!$I40,0,(COLUMN(A28)-1)*5,1,1))</f>
        <v>0</v>
      </c>
      <c r="C31" s="5">
        <f ca="1">COUNTBLANK(OFFSET(Demand!$I40,0,(COLUMN(B28)-1)*5,1,1))</f>
        <v>1</v>
      </c>
      <c r="D31" s="5">
        <f ca="1">COUNTBLANK(OFFSET(Demand!$I40,0,(COLUMN(C28)-1)*5,1,1))</f>
        <v>1</v>
      </c>
      <c r="E31" s="5">
        <f ca="1">COUNTBLANK(OFFSET(Demand!$I40,0,(COLUMN(D28)-1)*5,1,1))</f>
        <v>1</v>
      </c>
      <c r="F31" s="5">
        <f ca="1">COUNTBLANK(OFFSET(Demand!$I40,0,(COLUMN(E28)-1)*5,1,1))</f>
        <v>1</v>
      </c>
      <c r="G31" s="5">
        <f ca="1">COUNTBLANK(OFFSET(Demand!$I40,0,(COLUMN(F28)-1)*5,1,1))</f>
        <v>1</v>
      </c>
      <c r="H31" s="5">
        <f ca="1">COUNTBLANK(OFFSET(Demand!$I40,0,(COLUMN(G28)-1)*5,1,1))</f>
        <v>1</v>
      </c>
      <c r="I31" s="5">
        <f ca="1">COUNTBLANK(OFFSET(Demand!$I40,0,(COLUMN(H28)-1)*5,1,1))</f>
        <v>1</v>
      </c>
      <c r="J31" s="5">
        <f ca="1">COUNTBLANK(OFFSET(Demand!$I40,0,(COLUMN(I28)-1)*5,1,1))</f>
        <v>1</v>
      </c>
      <c r="K31" s="5">
        <f ca="1">COUNTBLANK(OFFSET(Demand!$I40,0,(COLUMN(J28)-1)*5,1,1))</f>
        <v>1</v>
      </c>
      <c r="N31" s="5">
        <f ca="1">SUM(OFFSET(Demand!$E40,0,(COLUMN(A28)-1)*5,1,3))*N$2</f>
        <v>140</v>
      </c>
      <c r="O31" s="5">
        <f ca="1">SUM(OFFSET(Demand!$E40,0,(COLUMN(B28)-1)*5,1,3))*O$2</f>
        <v>0</v>
      </c>
      <c r="P31" s="5">
        <f ca="1">SUM(OFFSET(Demand!$E40,0,(COLUMN(C28)-1)*5,1,3))*P$2</f>
        <v>0</v>
      </c>
      <c r="Q31" s="5">
        <f ca="1">SUM(OFFSET(Demand!$E40,0,(COLUMN(D28)-1)*5,1,3))*Q$2</f>
        <v>0</v>
      </c>
      <c r="R31" s="5">
        <f ca="1">SUM(OFFSET(Demand!$E40,0,(COLUMN(E28)-1)*5,1,3))*R$2</f>
        <v>0</v>
      </c>
      <c r="S31" s="5">
        <f ca="1">SUM(OFFSET(Demand!$E40,0,(COLUMN(F28)-1)*5,1,3))*S$2</f>
        <v>0</v>
      </c>
      <c r="T31" s="5">
        <f ca="1">SUM(OFFSET(Demand!$E40,0,(COLUMN(G28)-1)*5,1,3))*T$2</f>
        <v>0</v>
      </c>
      <c r="U31" s="5">
        <f ca="1">SUM(OFFSET(Demand!$E40,0,(COLUMN(H28)-1)*5,1,3))*U$2</f>
        <v>0</v>
      </c>
      <c r="V31" s="5">
        <f ca="1">SUM(OFFSET(Demand!$E40,0,(COLUMN(I28)-1)*5,1,3))*V$2</f>
        <v>0</v>
      </c>
      <c r="W31" s="5">
        <f ca="1">SUM(OFFSET(Demand!$E40,0,(COLUMN(J28)-1)*5,1,3))*W$2</f>
        <v>0</v>
      </c>
      <c r="X31" s="5">
        <f t="shared" ca="1" si="4"/>
        <v>140</v>
      </c>
      <c r="Y31" s="5">
        <f t="shared" ca="1" si="5"/>
        <v>140</v>
      </c>
      <c r="Z31" s="5">
        <f ca="1">SUM(OFFSET(Demand!$H40,0,(COLUMN(A28)-1)*5,1,1))*N$2</f>
        <v>0</v>
      </c>
      <c r="AA31" s="5">
        <f ca="1">SUM(OFFSET(Demand!$H40,0,(COLUMN(B28)-1)*5,1,1))*O$2</f>
        <v>0</v>
      </c>
      <c r="AB31" s="5">
        <f ca="1">SUM(OFFSET(Demand!$H40,0,(COLUMN(C28)-1)*5,1,1))*P$2</f>
        <v>0</v>
      </c>
      <c r="AC31" s="5">
        <f ca="1">SUM(OFFSET(Demand!$H40,0,(COLUMN(D28)-1)*5,1,1))*Q$2</f>
        <v>0</v>
      </c>
      <c r="AD31" s="5">
        <f ca="1">SUM(OFFSET(Demand!$H40,0,(COLUMN(E28)-1)*5,1,1))*R$2</f>
        <v>0</v>
      </c>
      <c r="AE31" s="5">
        <f ca="1">SUM(OFFSET(Demand!$H40,0,(COLUMN(F28)-1)*5,1,1))*S$2</f>
        <v>0</v>
      </c>
      <c r="AF31" s="5">
        <f ca="1">SUM(OFFSET(Demand!$H40,0,(COLUMN(G28)-1)*5,1,1))*T$2</f>
        <v>0</v>
      </c>
      <c r="AG31" s="5">
        <f ca="1">SUM(OFFSET(Demand!$H40,0,(COLUMN(H28)-1)*5,1,1))*U$2</f>
        <v>0</v>
      </c>
      <c r="AH31" s="5">
        <f ca="1">SUM(OFFSET(Demand!$H40,0,(COLUMN(I28)-1)*5,1,1))*V$2</f>
        <v>0</v>
      </c>
      <c r="AI31" s="5">
        <f ca="1">SUM(OFFSET(Demand!$H40,0,(COLUMN(J28)-1)*5,1,1))*W$2</f>
        <v>0</v>
      </c>
      <c r="AJ31" s="5">
        <f t="shared" ca="1" si="6"/>
        <v>0</v>
      </c>
      <c r="AL31" s="5">
        <f t="shared" ca="1" si="8"/>
        <v>140</v>
      </c>
      <c r="AM31" s="5">
        <f t="shared" ca="1" si="9"/>
        <v>0</v>
      </c>
      <c r="AN31" s="5" t="str">
        <f>IF(Demand!BE40="Yes","Yes","")</f>
        <v/>
      </c>
      <c r="AP31" s="36" t="str">
        <f ca="1">Demand!B40</f>
        <v xml:space="preserve"> </v>
      </c>
      <c r="AQ31" s="5" t="str">
        <f ca="1">IF(TEXT(Demand!D40,"MMM")&lt;&gt;TEXT(Demand!D39,"MMM"),TEXT(Demand!D40,"MMM"),"")</f>
        <v>Sep</v>
      </c>
      <c r="AT31" s="5">
        <f t="shared" ca="1" si="12"/>
        <v>16</v>
      </c>
      <c r="BQ31">
        <f ca="1">IF($AN31="",OFFSET(Demand!$A$13,ROW(A28)-1,4+((QUOTIENT(COLUMN(BQ$2)-69,3))*5)+MOD(COLUMN(BQ$2),3),1,1),"")</f>
        <v>0</v>
      </c>
      <c r="BR31">
        <f ca="1">IF($AN31="",OFFSET(Demand!$A$13,ROW(B28)-1,4+((QUOTIENT(COLUMN(BR$2)-69,3))*5)+MOD(COLUMN(BR$2),3),1,1),"")</f>
        <v>0</v>
      </c>
      <c r="BS31">
        <f ca="1">IF($AN31="",OFFSET(Demand!$A$13,ROW(C28)-1,4+((QUOTIENT(COLUMN(BS$2)-69,3))*5)+MOD(COLUMN(BS$2),3),1,1),"")</f>
        <v>70</v>
      </c>
      <c r="BT31">
        <f ca="1">IF($AN31="",OFFSET(Demand!$A$13,ROW(D28)-1,4+((QUOTIENT(COLUMN(BT$2)-69,3))*5)+MOD(COLUMN(BT$2),3),1,1),"")</f>
        <v>0</v>
      </c>
      <c r="BU31">
        <f ca="1">IF($AN31="",OFFSET(Demand!$A$13,ROW(E28)-1,4+((QUOTIENT(COLUMN(BU$2)-69,3))*5)+MOD(COLUMN(BU$2),3),1,1),"")</f>
        <v>0</v>
      </c>
      <c r="BV31">
        <f ca="1">IF($AN31="",OFFSET(Demand!$A$13,ROW(F28)-1,4+((QUOTIENT(COLUMN(BV$2)-69,3))*5)+MOD(COLUMN(BV$2),3),1,1),"")</f>
        <v>0</v>
      </c>
      <c r="BW31">
        <f ca="1">IF($AN31="",OFFSET(Demand!$A$13,ROW(G28)-1,4+((QUOTIENT(COLUMN(BW$2)-69,3))*5)+MOD(COLUMN(BW$2),3),1,1),"")</f>
        <v>0</v>
      </c>
      <c r="BX31">
        <f ca="1">IF($AN31="",OFFSET(Demand!$A$13,ROW(H28)-1,4+((QUOTIENT(COLUMN(BX$2)-69,3))*5)+MOD(COLUMN(BX$2),3),1,1),"")</f>
        <v>0</v>
      </c>
      <c r="BY31">
        <f ca="1">IF($AN31="",OFFSET(Demand!$A$13,ROW(I28)-1,4+((QUOTIENT(COLUMN(BY$2)-69,3))*5)+MOD(COLUMN(BY$2),3),1,1),"")</f>
        <v>0</v>
      </c>
      <c r="BZ31">
        <f ca="1">IF($AN31="",OFFSET(Demand!$A$13,ROW(J28)-1,4+((QUOTIENT(COLUMN(BZ$2)-69,3))*5)+MOD(COLUMN(BZ$2),3),1,1),"")</f>
        <v>0</v>
      </c>
      <c r="CA31">
        <f ca="1">IF($AN31="",OFFSET(Demand!$A$13,ROW(K28)-1,4+((QUOTIENT(COLUMN(CA$2)-69,3))*5)+MOD(COLUMN(CA$2),3),1,1),"")</f>
        <v>0</v>
      </c>
      <c r="CB31">
        <f ca="1">IF($AN31="",OFFSET(Demand!$A$13,ROW(L28)-1,4+((QUOTIENT(COLUMN(CB$2)-69,3))*5)+MOD(COLUMN(CB$2),3),1,1),"")</f>
        <v>0</v>
      </c>
      <c r="CC31">
        <f ca="1">IF($AN31="",OFFSET(Demand!$A$13,ROW(M28)-1,4+((QUOTIENT(COLUMN(CC$2)-69,3))*5)+MOD(COLUMN(CC$2),3),1,1),"")</f>
        <v>0</v>
      </c>
      <c r="CD31">
        <f ca="1">IF($AN31="",OFFSET(Demand!$A$13,ROW(N28)-1,4+((QUOTIENT(COLUMN(CD$2)-69,3))*5)+MOD(COLUMN(CD$2),3),1,1),"")</f>
        <v>0</v>
      </c>
      <c r="CE31">
        <f ca="1">IF($AN31="",OFFSET(Demand!$A$13,ROW(O28)-1,4+((QUOTIENT(COLUMN(CE$2)-69,3))*5)+MOD(COLUMN(CE$2),3),1,1),"")</f>
        <v>0</v>
      </c>
      <c r="CF31">
        <f ca="1">IF($AN31="",OFFSET(Demand!$A$13,ROW(P28)-1,4+((QUOTIENT(COLUMN(CF$2)-69,3))*5)+MOD(COLUMN(CF$2),3),1,1),"")</f>
        <v>0</v>
      </c>
      <c r="CG31">
        <f ca="1">IF($AN31="",OFFSET(Demand!$A$13,ROW(Q28)-1,4+((QUOTIENT(COLUMN(CG$2)-69,3))*5)+MOD(COLUMN(CG$2),3),1,1),"")</f>
        <v>0</v>
      </c>
      <c r="CH31">
        <f ca="1">IF($AN31="",OFFSET(Demand!$A$13,ROW(R28)-1,4+((QUOTIENT(COLUMN(CH$2)-69,3))*5)+MOD(COLUMN(CH$2),3),1,1),"")</f>
        <v>0</v>
      </c>
      <c r="CI31">
        <f ca="1">IF($AN31="",OFFSET(Demand!$A$13,ROW(S28)-1,4+((QUOTIENT(COLUMN(CI$2)-69,3))*5)+MOD(COLUMN(CI$2),3),1,1),"")</f>
        <v>0</v>
      </c>
      <c r="CJ31">
        <f ca="1">IF($AN31="",OFFSET(Demand!$A$13,ROW(T28)-1,4+((QUOTIENT(COLUMN(CJ$2)-69,3))*5)+MOD(COLUMN(CJ$2),3),1,1),"")</f>
        <v>0</v>
      </c>
      <c r="CK31">
        <f ca="1">IF($AN31="",OFFSET(Demand!$A$13,ROW(U28)-1,4+((QUOTIENT(COLUMN(CK$2)-69,3))*5)+MOD(COLUMN(CK$2),3),1,1),"")</f>
        <v>0</v>
      </c>
      <c r="CL31">
        <f ca="1">IF($AN31="",OFFSET(Demand!$A$13,ROW(V28)-1,4+((QUOTIENT(COLUMN(CL$2)-69,3))*5)+MOD(COLUMN(CL$2),3),1,1),"")</f>
        <v>0</v>
      </c>
      <c r="CM31">
        <f ca="1">IF($AN31="",OFFSET(Demand!$A$13,ROW(W28)-1,4+((QUOTIENT(COLUMN(CM$2)-69,3))*5)+MOD(COLUMN(CM$2),3),1,1),"")</f>
        <v>0</v>
      </c>
      <c r="CN31">
        <f ca="1">IF($AN31="",OFFSET(Demand!$A$13,ROW(X28)-1,4+((QUOTIENT(COLUMN(CN$2)-69,3))*5)+MOD(COLUMN(CN$2),3),1,1),"")</f>
        <v>0</v>
      </c>
      <c r="CO31">
        <f ca="1">IF($AN31="",OFFSET(Demand!$A$13,ROW(Y28)-1,4+((QUOTIENT(COLUMN(CO$2)-69,3))*5)+MOD(COLUMN(CO$2),3),1,1),"")</f>
        <v>0</v>
      </c>
      <c r="CP31">
        <f ca="1">IF($AN31="",OFFSET(Demand!$A$13,ROW(Z28)-1,4+((QUOTIENT(COLUMN(CP$2)-69,3))*5)+MOD(COLUMN(CP$2),3),1,1),"")</f>
        <v>0</v>
      </c>
      <c r="CQ31">
        <f ca="1">IF($AN31="",OFFSET(Demand!$A$13,ROW(AA28)-1,4+((QUOTIENT(COLUMN(CQ$2)-69,3))*5)+MOD(COLUMN(CQ$2),3),1,1),"")</f>
        <v>0</v>
      </c>
      <c r="CR31">
        <f ca="1">IF($AN31="",OFFSET(Demand!$A$13,ROW(AB28)-1,4+((QUOTIENT(COLUMN(CR$2)-69,3))*5)+MOD(COLUMN(CR$2),3),1,1),"")</f>
        <v>0</v>
      </c>
      <c r="CS31">
        <f ca="1">IF($AN31="",OFFSET(Demand!$A$13,ROW(AC28)-1,4+((QUOTIENT(COLUMN(CS$2)-69,3))*5)+MOD(COLUMN(CS$2),3),1,1),"")</f>
        <v>0</v>
      </c>
      <c r="CT31">
        <f ca="1">IF($AN31="",OFFSET(Demand!$A$13,ROW(AD28)-1,4+((QUOTIENT(COLUMN(CT$2)-69,3))*5)+MOD(COLUMN(CT$2),3),1,1),"")</f>
        <v>0</v>
      </c>
      <c r="CW31" s="5">
        <f ca="1">SUM(OFFSET(Demand!$H$43,ROW(A28)-1,(COLUMN(A28)-1)*5,1,1))*N$2</f>
        <v>0</v>
      </c>
      <c r="CX31" s="5">
        <f ca="1">SUM(OFFSET(Demand!$H$43,ROW(B28)-1,(COLUMN(B28)-1)*5,1,1))*O$2</f>
        <v>0</v>
      </c>
      <c r="CY31" s="5">
        <f ca="1">SUM(OFFSET(Demand!$H$43,ROW(C28)-1,(COLUMN(C28)-1)*5,1,1))*P$2</f>
        <v>0</v>
      </c>
      <c r="CZ31" s="5">
        <f ca="1">SUM(OFFSET(Demand!$H$43,ROW(D28)-1,(COLUMN(D28)-1)*5,1,1))*Q$2</f>
        <v>0</v>
      </c>
      <c r="DA31" s="5">
        <f ca="1">SUM(OFFSET(Demand!$H$43,ROW(E28)-1,(COLUMN(E28)-1)*5,1,1))*R$2</f>
        <v>0</v>
      </c>
      <c r="DB31" s="5">
        <f ca="1">SUM(OFFSET(Demand!$H$43,ROW(F28)-1,(COLUMN(F28)-1)*5,1,1))*S$2</f>
        <v>0</v>
      </c>
      <c r="DC31" s="5">
        <f ca="1">SUM(OFFSET(Demand!$H$43,ROW(G28)-1,(COLUMN(G28)-1)*5,1,1))*T$2</f>
        <v>0</v>
      </c>
      <c r="DD31" s="5">
        <f ca="1">SUM(OFFSET(Demand!$H$43,ROW(H28)-1,(COLUMN(H28)-1)*5,1,1))*U$2</f>
        <v>0</v>
      </c>
      <c r="DE31" s="5">
        <f ca="1">SUM(OFFSET(Demand!$H$43,ROW(I28)-1,(COLUMN(I28)-1)*5,1,1))*V$2</f>
        <v>0</v>
      </c>
      <c r="DF31" s="5">
        <f ca="1">SUM(OFFSET(Demand!$H$43,ROW(J28)-1,(COLUMN(J28)-1)*5,1,1))*W$2</f>
        <v>0</v>
      </c>
      <c r="DG31" s="5">
        <f ca="1">IF(OR(AN31&lt;&gt;"",AND('Demand adjustments for Covid'!$F$9="Yes",'Demand adjustments for Covid'!$F$20="Yes")),"",SUM(CW31:DF31))</f>
        <v>0</v>
      </c>
      <c r="DM31" s="5">
        <f t="shared" si="10"/>
        <v>43</v>
      </c>
      <c r="DN31" s="320">
        <f t="shared" si="17"/>
        <v>44123</v>
      </c>
      <c r="DO31" s="5">
        <f ca="1">VLOOKUP(IF($DM31&lt;53,$DM31,52),'Summary Calculations (hide)'!$D$15:$F$67,2,0)</f>
        <v>140</v>
      </c>
      <c r="DP31" s="5">
        <f ca="1">VLOOKUP(IF($DM31&lt;53,$DM31,52),'Summary Calculations (hide)'!$D$15:$F$67,3,0)</f>
        <v>154</v>
      </c>
      <c r="DQ31" s="5">
        <f ca="1">IF(AND(DN31&gt;='Demand adjustments for Covid'!$F$12,DN31&lt;'Demand adjustments for Covid'!$F$17),'Demand adjustments for Covid'!$F$13,DO31)</f>
        <v>140</v>
      </c>
      <c r="DR31" s="5">
        <f t="shared" si="7"/>
        <v>0</v>
      </c>
      <c r="DS31" s="5">
        <f ca="1">IF('Demand adjustments for Covid'!$F$9="Yes",IF(DR31=0,DQ31,((SUM(DR$4:DR31)-1)*$EE$8)+'Demand adjustments for Covid'!F$13),'Demand background (hide)'!DO31)</f>
        <v>140</v>
      </c>
      <c r="DT31" s="5">
        <f ca="1">IF('Demand adjustments for Covid'!$F$9="Yes",IF(OR(AND(DN31&gt;='Demand adjustments for Covid'!$F$12,DN31&lt;'Demand adjustments for Covid'!$F$17),DR31=1),DS31+3,DP31),'Demand background (hide)'!DP31)</f>
        <v>154</v>
      </c>
      <c r="DU31" s="5">
        <f ca="1">IF(DS31&lt;='Demand adjustments for Covid'!$F$17,DO31-DS31,0)</f>
        <v>0</v>
      </c>
      <c r="DV31" s="5">
        <f ca="1">IF(AND(ROW(A28)&gt;$EE$5,ROW(A28)&lt;=$EA$5),OFFSET('Demand adjustments for Covid'!$F$35,0,ROW(A28)-'Demand background (hide)'!$EE$5,1,1),0)</f>
        <v>0</v>
      </c>
      <c r="DW31" s="5">
        <f ca="1">IF(AND(ROW(A28)&gt;$EE$5,ROW(A28)&lt;=$EA$5),OFFSET('Demand adjustments for Covid'!$F$36,0,ROW(A28)-'Demand background (hide)'!$EE$5,1,1),0)</f>
        <v>0</v>
      </c>
      <c r="DX31" s="5">
        <f t="shared" ca="1" si="11"/>
        <v>154</v>
      </c>
    </row>
    <row r="32" spans="1:128" s="5" customFormat="1" x14ac:dyDescent="0.25">
      <c r="A32" s="5">
        <f t="shared" ca="1" si="3"/>
        <v>0</v>
      </c>
      <c r="B32" s="5">
        <f ca="1">COUNTBLANK(OFFSET(Demand!$I41,0,(COLUMN(A29)-1)*5,1,1))</f>
        <v>0</v>
      </c>
      <c r="C32" s="5">
        <f ca="1">COUNTBLANK(OFFSET(Demand!$I41,0,(COLUMN(B29)-1)*5,1,1))</f>
        <v>1</v>
      </c>
      <c r="D32" s="5">
        <f ca="1">COUNTBLANK(OFFSET(Demand!$I41,0,(COLUMN(C29)-1)*5,1,1))</f>
        <v>1</v>
      </c>
      <c r="E32" s="5">
        <f ca="1">COUNTBLANK(OFFSET(Demand!$I41,0,(COLUMN(D29)-1)*5,1,1))</f>
        <v>1</v>
      </c>
      <c r="F32" s="5">
        <f ca="1">COUNTBLANK(OFFSET(Demand!$I41,0,(COLUMN(E29)-1)*5,1,1))</f>
        <v>1</v>
      </c>
      <c r="G32" s="5">
        <f ca="1">COUNTBLANK(OFFSET(Demand!$I41,0,(COLUMN(F29)-1)*5,1,1))</f>
        <v>1</v>
      </c>
      <c r="H32" s="5">
        <f ca="1">COUNTBLANK(OFFSET(Demand!$I41,0,(COLUMN(G29)-1)*5,1,1))</f>
        <v>1</v>
      </c>
      <c r="I32" s="5">
        <f ca="1">COUNTBLANK(OFFSET(Demand!$I41,0,(COLUMN(H29)-1)*5,1,1))</f>
        <v>1</v>
      </c>
      <c r="J32" s="5">
        <f ca="1">COUNTBLANK(OFFSET(Demand!$I41,0,(COLUMN(I29)-1)*5,1,1))</f>
        <v>1</v>
      </c>
      <c r="K32" s="5">
        <f ca="1">COUNTBLANK(OFFSET(Demand!$I41,0,(COLUMN(J29)-1)*5,1,1))</f>
        <v>1</v>
      </c>
      <c r="N32" s="5">
        <f ca="1">SUM(OFFSET(Demand!$E41,0,(COLUMN(A29)-1)*5,1,3))*N$2</f>
        <v>148</v>
      </c>
      <c r="O32" s="5">
        <f ca="1">SUM(OFFSET(Demand!$E41,0,(COLUMN(B29)-1)*5,1,3))*O$2</f>
        <v>0</v>
      </c>
      <c r="P32" s="5">
        <f ca="1">SUM(OFFSET(Demand!$E41,0,(COLUMN(C29)-1)*5,1,3))*P$2</f>
        <v>0</v>
      </c>
      <c r="Q32" s="5">
        <f ca="1">SUM(OFFSET(Demand!$E41,0,(COLUMN(D29)-1)*5,1,3))*Q$2</f>
        <v>0</v>
      </c>
      <c r="R32" s="5">
        <f ca="1">SUM(OFFSET(Demand!$E41,0,(COLUMN(E29)-1)*5,1,3))*R$2</f>
        <v>0</v>
      </c>
      <c r="S32" s="5">
        <f ca="1">SUM(OFFSET(Demand!$E41,0,(COLUMN(F29)-1)*5,1,3))*S$2</f>
        <v>0</v>
      </c>
      <c r="T32" s="5">
        <f ca="1">SUM(OFFSET(Demand!$E41,0,(COLUMN(G29)-1)*5,1,3))*T$2</f>
        <v>0</v>
      </c>
      <c r="U32" s="5">
        <f ca="1">SUM(OFFSET(Demand!$E41,0,(COLUMN(H29)-1)*5,1,3))*U$2</f>
        <v>0</v>
      </c>
      <c r="V32" s="5">
        <f ca="1">SUM(OFFSET(Demand!$E41,0,(COLUMN(I29)-1)*5,1,3))*V$2</f>
        <v>0</v>
      </c>
      <c r="W32" s="5">
        <f ca="1">SUM(OFFSET(Demand!$E41,0,(COLUMN(J29)-1)*5,1,3))*W$2</f>
        <v>0</v>
      </c>
      <c r="X32" s="5">
        <f t="shared" ca="1" si="4"/>
        <v>148</v>
      </c>
      <c r="Y32" s="5">
        <f t="shared" ca="1" si="5"/>
        <v>148</v>
      </c>
      <c r="Z32" s="5">
        <f ca="1">SUM(OFFSET(Demand!$H41,0,(COLUMN(A29)-1)*5,1,1))*N$2</f>
        <v>0</v>
      </c>
      <c r="AA32" s="5">
        <f ca="1">SUM(OFFSET(Demand!$H41,0,(COLUMN(B29)-1)*5,1,1))*O$2</f>
        <v>0</v>
      </c>
      <c r="AB32" s="5">
        <f ca="1">SUM(OFFSET(Demand!$H41,0,(COLUMN(C29)-1)*5,1,1))*P$2</f>
        <v>0</v>
      </c>
      <c r="AC32" s="5">
        <f ca="1">SUM(OFFSET(Demand!$H41,0,(COLUMN(D29)-1)*5,1,1))*Q$2</f>
        <v>0</v>
      </c>
      <c r="AD32" s="5">
        <f ca="1">SUM(OFFSET(Demand!$H41,0,(COLUMN(E29)-1)*5,1,1))*R$2</f>
        <v>0</v>
      </c>
      <c r="AE32" s="5">
        <f ca="1">SUM(OFFSET(Demand!$H41,0,(COLUMN(F29)-1)*5,1,1))*S$2</f>
        <v>0</v>
      </c>
      <c r="AF32" s="5">
        <f ca="1">SUM(OFFSET(Demand!$H41,0,(COLUMN(G29)-1)*5,1,1))*T$2</f>
        <v>0</v>
      </c>
      <c r="AG32" s="5">
        <f ca="1">SUM(OFFSET(Demand!$H41,0,(COLUMN(H29)-1)*5,1,1))*U$2</f>
        <v>0</v>
      </c>
      <c r="AH32" s="5">
        <f ca="1">SUM(OFFSET(Demand!$H41,0,(COLUMN(I29)-1)*5,1,1))*V$2</f>
        <v>0</v>
      </c>
      <c r="AI32" s="5">
        <f ca="1">SUM(OFFSET(Demand!$H41,0,(COLUMN(J29)-1)*5,1,1))*W$2</f>
        <v>0</v>
      </c>
      <c r="AJ32" s="5">
        <f t="shared" ca="1" si="6"/>
        <v>0</v>
      </c>
      <c r="AL32" s="5">
        <f t="shared" ca="1" si="8"/>
        <v>148</v>
      </c>
      <c r="AM32" s="5">
        <f t="shared" ca="1" si="9"/>
        <v>0</v>
      </c>
      <c r="AN32" s="5" t="str">
        <f>IF(Demand!BE41="Yes","Yes","")</f>
        <v/>
      </c>
      <c r="AP32" s="36" t="str">
        <f ca="1">Demand!B41</f>
        <v xml:space="preserve"> </v>
      </c>
      <c r="AQ32" s="5" t="str">
        <f ca="1">IF(TEXT(Demand!D41,"MMM")&lt;&gt;TEXT(Demand!D40,"MMM"),TEXT(Demand!D41,"MMM"),"")</f>
        <v/>
      </c>
      <c r="AT32" s="5">
        <f t="shared" ca="1" si="12"/>
        <v>8</v>
      </c>
      <c r="BQ32">
        <f ca="1">IF($AN32="",OFFSET(Demand!$A$13,ROW(A29)-1,4+((QUOTIENT(COLUMN(BQ$2)-69,3))*5)+MOD(COLUMN(BQ$2),3),1,1),"")</f>
        <v>0</v>
      </c>
      <c r="BR32">
        <f ca="1">IF($AN32="",OFFSET(Demand!$A$13,ROW(B29)-1,4+((QUOTIENT(COLUMN(BR$2)-69,3))*5)+MOD(COLUMN(BR$2),3),1,1),"")</f>
        <v>0</v>
      </c>
      <c r="BS32">
        <f ca="1">IF($AN32="",OFFSET(Demand!$A$13,ROW(C29)-1,4+((QUOTIENT(COLUMN(BS$2)-69,3))*5)+MOD(COLUMN(BS$2),3),1,1),"")</f>
        <v>74</v>
      </c>
      <c r="BT32">
        <f ca="1">IF($AN32="",OFFSET(Demand!$A$13,ROW(D29)-1,4+((QUOTIENT(COLUMN(BT$2)-69,3))*5)+MOD(COLUMN(BT$2),3),1,1),"")</f>
        <v>0</v>
      </c>
      <c r="BU32">
        <f ca="1">IF($AN32="",OFFSET(Demand!$A$13,ROW(E29)-1,4+((QUOTIENT(COLUMN(BU$2)-69,3))*5)+MOD(COLUMN(BU$2),3),1,1),"")</f>
        <v>0</v>
      </c>
      <c r="BV32">
        <f ca="1">IF($AN32="",OFFSET(Demand!$A$13,ROW(F29)-1,4+((QUOTIENT(COLUMN(BV$2)-69,3))*5)+MOD(COLUMN(BV$2),3),1,1),"")</f>
        <v>0</v>
      </c>
      <c r="BW32">
        <f ca="1">IF($AN32="",OFFSET(Demand!$A$13,ROW(G29)-1,4+((QUOTIENT(COLUMN(BW$2)-69,3))*5)+MOD(COLUMN(BW$2),3),1,1),"")</f>
        <v>0</v>
      </c>
      <c r="BX32">
        <f ca="1">IF($AN32="",OFFSET(Demand!$A$13,ROW(H29)-1,4+((QUOTIENT(COLUMN(BX$2)-69,3))*5)+MOD(COLUMN(BX$2),3),1,1),"")</f>
        <v>0</v>
      </c>
      <c r="BY32">
        <f ca="1">IF($AN32="",OFFSET(Demand!$A$13,ROW(I29)-1,4+((QUOTIENT(COLUMN(BY$2)-69,3))*5)+MOD(COLUMN(BY$2),3),1,1),"")</f>
        <v>0</v>
      </c>
      <c r="BZ32">
        <f ca="1">IF($AN32="",OFFSET(Demand!$A$13,ROW(J29)-1,4+((QUOTIENT(COLUMN(BZ$2)-69,3))*5)+MOD(COLUMN(BZ$2),3),1,1),"")</f>
        <v>0</v>
      </c>
      <c r="CA32">
        <f ca="1">IF($AN32="",OFFSET(Demand!$A$13,ROW(K29)-1,4+((QUOTIENT(COLUMN(CA$2)-69,3))*5)+MOD(COLUMN(CA$2),3),1,1),"")</f>
        <v>0</v>
      </c>
      <c r="CB32">
        <f ca="1">IF($AN32="",OFFSET(Demand!$A$13,ROW(L29)-1,4+((QUOTIENT(COLUMN(CB$2)-69,3))*5)+MOD(COLUMN(CB$2),3),1,1),"")</f>
        <v>0</v>
      </c>
      <c r="CC32">
        <f ca="1">IF($AN32="",OFFSET(Demand!$A$13,ROW(M29)-1,4+((QUOTIENT(COLUMN(CC$2)-69,3))*5)+MOD(COLUMN(CC$2),3),1,1),"")</f>
        <v>0</v>
      </c>
      <c r="CD32">
        <f ca="1">IF($AN32="",OFFSET(Demand!$A$13,ROW(N29)-1,4+((QUOTIENT(COLUMN(CD$2)-69,3))*5)+MOD(COLUMN(CD$2),3),1,1),"")</f>
        <v>0</v>
      </c>
      <c r="CE32">
        <f ca="1">IF($AN32="",OFFSET(Demand!$A$13,ROW(O29)-1,4+((QUOTIENT(COLUMN(CE$2)-69,3))*5)+MOD(COLUMN(CE$2),3),1,1),"")</f>
        <v>0</v>
      </c>
      <c r="CF32">
        <f ca="1">IF($AN32="",OFFSET(Demand!$A$13,ROW(P29)-1,4+((QUOTIENT(COLUMN(CF$2)-69,3))*5)+MOD(COLUMN(CF$2),3),1,1),"")</f>
        <v>0</v>
      </c>
      <c r="CG32">
        <f ca="1">IF($AN32="",OFFSET(Demand!$A$13,ROW(Q29)-1,4+((QUOTIENT(COLUMN(CG$2)-69,3))*5)+MOD(COLUMN(CG$2),3),1,1),"")</f>
        <v>0</v>
      </c>
      <c r="CH32">
        <f ca="1">IF($AN32="",OFFSET(Demand!$A$13,ROW(R29)-1,4+((QUOTIENT(COLUMN(CH$2)-69,3))*5)+MOD(COLUMN(CH$2),3),1,1),"")</f>
        <v>0</v>
      </c>
      <c r="CI32">
        <f ca="1">IF($AN32="",OFFSET(Demand!$A$13,ROW(S29)-1,4+((QUOTIENT(COLUMN(CI$2)-69,3))*5)+MOD(COLUMN(CI$2),3),1,1),"")</f>
        <v>0</v>
      </c>
      <c r="CJ32">
        <f ca="1">IF($AN32="",OFFSET(Demand!$A$13,ROW(T29)-1,4+((QUOTIENT(COLUMN(CJ$2)-69,3))*5)+MOD(COLUMN(CJ$2),3),1,1),"")</f>
        <v>0</v>
      </c>
      <c r="CK32">
        <f ca="1">IF($AN32="",OFFSET(Demand!$A$13,ROW(U29)-1,4+((QUOTIENT(COLUMN(CK$2)-69,3))*5)+MOD(COLUMN(CK$2),3),1,1),"")</f>
        <v>0</v>
      </c>
      <c r="CL32">
        <f ca="1">IF($AN32="",OFFSET(Demand!$A$13,ROW(V29)-1,4+((QUOTIENT(COLUMN(CL$2)-69,3))*5)+MOD(COLUMN(CL$2),3),1,1),"")</f>
        <v>0</v>
      </c>
      <c r="CM32">
        <f ca="1">IF($AN32="",OFFSET(Demand!$A$13,ROW(W29)-1,4+((QUOTIENT(COLUMN(CM$2)-69,3))*5)+MOD(COLUMN(CM$2),3),1,1),"")</f>
        <v>0</v>
      </c>
      <c r="CN32">
        <f ca="1">IF($AN32="",OFFSET(Demand!$A$13,ROW(X29)-1,4+((QUOTIENT(COLUMN(CN$2)-69,3))*5)+MOD(COLUMN(CN$2),3),1,1),"")</f>
        <v>0</v>
      </c>
      <c r="CO32">
        <f ca="1">IF($AN32="",OFFSET(Demand!$A$13,ROW(Y29)-1,4+((QUOTIENT(COLUMN(CO$2)-69,3))*5)+MOD(COLUMN(CO$2),3),1,1),"")</f>
        <v>0</v>
      </c>
      <c r="CP32">
        <f ca="1">IF($AN32="",OFFSET(Demand!$A$13,ROW(Z29)-1,4+((QUOTIENT(COLUMN(CP$2)-69,3))*5)+MOD(COLUMN(CP$2),3),1,1),"")</f>
        <v>0</v>
      </c>
      <c r="CQ32">
        <f ca="1">IF($AN32="",OFFSET(Demand!$A$13,ROW(AA29)-1,4+((QUOTIENT(COLUMN(CQ$2)-69,3))*5)+MOD(COLUMN(CQ$2),3),1,1),"")</f>
        <v>0</v>
      </c>
      <c r="CR32">
        <f ca="1">IF($AN32="",OFFSET(Demand!$A$13,ROW(AB29)-1,4+((QUOTIENT(COLUMN(CR$2)-69,3))*5)+MOD(COLUMN(CR$2),3),1,1),"")</f>
        <v>0</v>
      </c>
      <c r="CS32">
        <f ca="1">IF($AN32="",OFFSET(Demand!$A$13,ROW(AC29)-1,4+((QUOTIENT(COLUMN(CS$2)-69,3))*5)+MOD(COLUMN(CS$2),3),1,1),"")</f>
        <v>0</v>
      </c>
      <c r="CT32">
        <f ca="1">IF($AN32="",OFFSET(Demand!$A$13,ROW(AD29)-1,4+((QUOTIENT(COLUMN(CT$2)-69,3))*5)+MOD(COLUMN(CT$2),3),1,1),"")</f>
        <v>0</v>
      </c>
      <c r="CW32" s="5">
        <f ca="1">SUM(OFFSET(Demand!$H$43,ROW(A29)-1,(COLUMN(A29)-1)*5,1,1))*N$2</f>
        <v>0</v>
      </c>
      <c r="CX32" s="5">
        <f ca="1">SUM(OFFSET(Demand!$H$43,ROW(B29)-1,(COLUMN(B29)-1)*5,1,1))*O$2</f>
        <v>0</v>
      </c>
      <c r="CY32" s="5">
        <f ca="1">SUM(OFFSET(Demand!$H$43,ROW(C29)-1,(COLUMN(C29)-1)*5,1,1))*P$2</f>
        <v>0</v>
      </c>
      <c r="CZ32" s="5">
        <f ca="1">SUM(OFFSET(Demand!$H$43,ROW(D29)-1,(COLUMN(D29)-1)*5,1,1))*Q$2</f>
        <v>0</v>
      </c>
      <c r="DA32" s="5">
        <f ca="1">SUM(OFFSET(Demand!$H$43,ROW(E29)-1,(COLUMN(E29)-1)*5,1,1))*R$2</f>
        <v>0</v>
      </c>
      <c r="DB32" s="5">
        <f ca="1">SUM(OFFSET(Demand!$H$43,ROW(F29)-1,(COLUMN(F29)-1)*5,1,1))*S$2</f>
        <v>0</v>
      </c>
      <c r="DC32" s="5">
        <f ca="1">SUM(OFFSET(Demand!$H$43,ROW(G29)-1,(COLUMN(G29)-1)*5,1,1))*T$2</f>
        <v>0</v>
      </c>
      <c r="DD32" s="5">
        <f ca="1">SUM(OFFSET(Demand!$H$43,ROW(H29)-1,(COLUMN(H29)-1)*5,1,1))*U$2</f>
        <v>0</v>
      </c>
      <c r="DE32" s="5">
        <f ca="1">SUM(OFFSET(Demand!$H$43,ROW(I29)-1,(COLUMN(I29)-1)*5,1,1))*V$2</f>
        <v>0</v>
      </c>
      <c r="DF32" s="5">
        <f ca="1">SUM(OFFSET(Demand!$H$43,ROW(J29)-1,(COLUMN(J29)-1)*5,1,1))*W$2</f>
        <v>0</v>
      </c>
      <c r="DG32" s="5">
        <f ca="1">IF(OR(AN32&lt;&gt;"",AND('Demand adjustments for Covid'!$F$9="Yes",'Demand adjustments for Covid'!$F$20="Yes")),"",SUM(CW32:DF32))</f>
        <v>0</v>
      </c>
      <c r="DM32" s="5">
        <f t="shared" si="10"/>
        <v>44</v>
      </c>
      <c r="DN32" s="320">
        <f t="shared" si="17"/>
        <v>44130</v>
      </c>
      <c r="DO32" s="5">
        <f ca="1">VLOOKUP(IF($DM32&lt;53,$DM32,52),'Summary Calculations (hide)'!$D$15:$F$67,2,0)</f>
        <v>148</v>
      </c>
      <c r="DP32" s="5">
        <f ca="1">VLOOKUP(IF($DM32&lt;53,$DM32,52),'Summary Calculations (hide)'!$D$15:$F$67,3,0)</f>
        <v>162.80000000000001</v>
      </c>
      <c r="DQ32" s="5">
        <f ca="1">IF(AND(DN32&gt;='Demand adjustments for Covid'!$F$12,DN32&lt;'Demand adjustments for Covid'!$F$17),'Demand adjustments for Covid'!$F$13,DO32)</f>
        <v>148</v>
      </c>
      <c r="DR32" s="5">
        <f t="shared" si="7"/>
        <v>0</v>
      </c>
      <c r="DS32" s="5">
        <f ca="1">IF('Demand adjustments for Covid'!$F$9="Yes",IF(DR32=0,DQ32,((SUM(DR$4:DR32)-1)*$EE$8)+'Demand adjustments for Covid'!F$13),'Demand background (hide)'!DO32)</f>
        <v>148</v>
      </c>
      <c r="DT32" s="5">
        <f ca="1">IF('Demand adjustments for Covid'!$F$9="Yes",IF(OR(AND(DN32&gt;='Demand adjustments for Covid'!$F$12,DN32&lt;'Demand adjustments for Covid'!$F$17),DR32=1),DS32+3,DP32),'Demand background (hide)'!DP32)</f>
        <v>162.80000000000001</v>
      </c>
      <c r="DU32" s="5">
        <f ca="1">IF(DS32&lt;='Demand adjustments for Covid'!$F$17,DO32-DS32,0)</f>
        <v>0</v>
      </c>
      <c r="DV32" s="5">
        <f ca="1">IF(AND(ROW(A29)&gt;$EE$5,ROW(A29)&lt;=$EA$5),OFFSET('Demand adjustments for Covid'!$F$35,0,ROW(A29)-'Demand background (hide)'!$EE$5,1,1),0)</f>
        <v>0</v>
      </c>
      <c r="DW32" s="5">
        <f ca="1">IF(AND(ROW(A29)&gt;$EE$5,ROW(A29)&lt;=$EA$5),OFFSET('Demand adjustments for Covid'!$F$36,0,ROW(A29)-'Demand background (hide)'!$EE$5,1,1),0)</f>
        <v>0</v>
      </c>
      <c r="DX32" s="5">
        <f t="shared" ca="1" si="11"/>
        <v>162.80000000000001</v>
      </c>
    </row>
    <row r="33" spans="1:128" s="5" customFormat="1" x14ac:dyDescent="0.25">
      <c r="A33" s="5">
        <f t="shared" ca="1" si="3"/>
        <v>0</v>
      </c>
      <c r="B33" s="5">
        <f ca="1">COUNTBLANK(OFFSET(Demand!$I42,0,(COLUMN(A30)-1)*5,1,1))</f>
        <v>0</v>
      </c>
      <c r="C33" s="5">
        <f ca="1">COUNTBLANK(OFFSET(Demand!$I42,0,(COLUMN(B30)-1)*5,1,1))</f>
        <v>1</v>
      </c>
      <c r="D33" s="5">
        <f ca="1">COUNTBLANK(OFFSET(Demand!$I42,0,(COLUMN(C30)-1)*5,1,1))</f>
        <v>1</v>
      </c>
      <c r="E33" s="5">
        <f ca="1">COUNTBLANK(OFFSET(Demand!$I42,0,(COLUMN(D30)-1)*5,1,1))</f>
        <v>1</v>
      </c>
      <c r="F33" s="5">
        <f ca="1">COUNTBLANK(OFFSET(Demand!$I42,0,(COLUMN(E30)-1)*5,1,1))</f>
        <v>1</v>
      </c>
      <c r="G33" s="5">
        <f ca="1">COUNTBLANK(OFFSET(Demand!$I42,0,(COLUMN(F30)-1)*5,1,1))</f>
        <v>1</v>
      </c>
      <c r="H33" s="5">
        <f ca="1">COUNTBLANK(OFFSET(Demand!$I42,0,(COLUMN(G30)-1)*5,1,1))</f>
        <v>1</v>
      </c>
      <c r="I33" s="5">
        <f ca="1">COUNTBLANK(OFFSET(Demand!$I42,0,(COLUMN(H30)-1)*5,1,1))</f>
        <v>1</v>
      </c>
      <c r="J33" s="5">
        <f ca="1">COUNTBLANK(OFFSET(Demand!$I42,0,(COLUMN(I30)-1)*5,1,1))</f>
        <v>1</v>
      </c>
      <c r="K33" s="5">
        <f ca="1">COUNTBLANK(OFFSET(Demand!$I42,0,(COLUMN(J30)-1)*5,1,1))</f>
        <v>1</v>
      </c>
      <c r="N33" s="5">
        <f ca="1">SUM(OFFSET(Demand!$E42,0,(COLUMN(A30)-1)*5,1,3))*N$2</f>
        <v>150</v>
      </c>
      <c r="O33" s="5">
        <f ca="1">SUM(OFFSET(Demand!$E42,0,(COLUMN(B30)-1)*5,1,3))*O$2</f>
        <v>0</v>
      </c>
      <c r="P33" s="5">
        <f ca="1">SUM(OFFSET(Demand!$E42,0,(COLUMN(C30)-1)*5,1,3))*P$2</f>
        <v>0</v>
      </c>
      <c r="Q33" s="5">
        <f ca="1">SUM(OFFSET(Demand!$E42,0,(COLUMN(D30)-1)*5,1,3))*Q$2</f>
        <v>0</v>
      </c>
      <c r="R33" s="5">
        <f ca="1">SUM(OFFSET(Demand!$E42,0,(COLUMN(E30)-1)*5,1,3))*R$2</f>
        <v>0</v>
      </c>
      <c r="S33" s="5">
        <f ca="1">SUM(OFFSET(Demand!$E42,0,(COLUMN(F30)-1)*5,1,3))*S$2</f>
        <v>0</v>
      </c>
      <c r="T33" s="5">
        <f ca="1">SUM(OFFSET(Demand!$E42,0,(COLUMN(G30)-1)*5,1,3))*T$2</f>
        <v>0</v>
      </c>
      <c r="U33" s="5">
        <f ca="1">SUM(OFFSET(Demand!$E42,0,(COLUMN(H30)-1)*5,1,3))*U$2</f>
        <v>0</v>
      </c>
      <c r="V33" s="5">
        <f ca="1">SUM(OFFSET(Demand!$E42,0,(COLUMN(I30)-1)*5,1,3))*V$2</f>
        <v>0</v>
      </c>
      <c r="W33" s="5">
        <f ca="1">SUM(OFFSET(Demand!$E42,0,(COLUMN(J30)-1)*5,1,3))*W$2</f>
        <v>0</v>
      </c>
      <c r="X33" s="5">
        <f t="shared" ca="1" si="4"/>
        <v>150</v>
      </c>
      <c r="Y33" s="5">
        <f t="shared" ca="1" si="5"/>
        <v>150</v>
      </c>
      <c r="Z33" s="5">
        <f ca="1">SUM(OFFSET(Demand!$H42,0,(COLUMN(A30)-1)*5,1,1))*N$2</f>
        <v>0</v>
      </c>
      <c r="AA33" s="5">
        <f ca="1">SUM(OFFSET(Demand!$H42,0,(COLUMN(B30)-1)*5,1,1))*O$2</f>
        <v>0</v>
      </c>
      <c r="AB33" s="5">
        <f ca="1">SUM(OFFSET(Demand!$H42,0,(COLUMN(C30)-1)*5,1,1))*P$2</f>
        <v>0</v>
      </c>
      <c r="AC33" s="5">
        <f ca="1">SUM(OFFSET(Demand!$H42,0,(COLUMN(D30)-1)*5,1,1))*Q$2</f>
        <v>0</v>
      </c>
      <c r="AD33" s="5">
        <f ca="1">SUM(OFFSET(Demand!$H42,0,(COLUMN(E30)-1)*5,1,1))*R$2</f>
        <v>0</v>
      </c>
      <c r="AE33" s="5">
        <f ca="1">SUM(OFFSET(Demand!$H42,0,(COLUMN(F30)-1)*5,1,1))*S$2</f>
        <v>0</v>
      </c>
      <c r="AF33" s="5">
        <f ca="1">SUM(OFFSET(Demand!$H42,0,(COLUMN(G30)-1)*5,1,1))*T$2</f>
        <v>0</v>
      </c>
      <c r="AG33" s="5">
        <f ca="1">SUM(OFFSET(Demand!$H42,0,(COLUMN(H30)-1)*5,1,1))*U$2</f>
        <v>0</v>
      </c>
      <c r="AH33" s="5">
        <f ca="1">SUM(OFFSET(Demand!$H42,0,(COLUMN(I30)-1)*5,1,1))*V$2</f>
        <v>0</v>
      </c>
      <c r="AI33" s="5">
        <f ca="1">SUM(OFFSET(Demand!$H42,0,(COLUMN(J30)-1)*5,1,1))*W$2</f>
        <v>0</v>
      </c>
      <c r="AJ33" s="5">
        <f t="shared" ca="1" si="6"/>
        <v>0</v>
      </c>
      <c r="AL33" s="5">
        <f t="shared" ca="1" si="8"/>
        <v>150</v>
      </c>
      <c r="AM33" s="5">
        <f t="shared" ca="1" si="9"/>
        <v>0</v>
      </c>
      <c r="AN33" s="5" t="str">
        <f>IF(Demand!BE42="Yes","Yes","")</f>
        <v/>
      </c>
      <c r="AP33" s="36" t="str">
        <f ca="1">Demand!B42</f>
        <v xml:space="preserve"> </v>
      </c>
      <c r="AQ33" s="5" t="str">
        <f ca="1">IF(TEXT(Demand!D42,"MMM")&lt;&gt;TEXT(Demand!D41,"MMM"),TEXT(Demand!D42,"MMM"),"")</f>
        <v/>
      </c>
      <c r="AT33" s="5">
        <f t="shared" ca="1" si="12"/>
        <v>2</v>
      </c>
      <c r="BQ33">
        <f ca="1">IF($AN33="",OFFSET(Demand!$A$13,ROW(A30)-1,4+((QUOTIENT(COLUMN(BQ$2)-69,3))*5)+MOD(COLUMN(BQ$2),3),1,1),"")</f>
        <v>0</v>
      </c>
      <c r="BR33">
        <f ca="1">IF($AN33="",OFFSET(Demand!$A$13,ROW(B30)-1,4+((QUOTIENT(COLUMN(BR$2)-69,3))*5)+MOD(COLUMN(BR$2),3),1,1),"")</f>
        <v>0</v>
      </c>
      <c r="BS33">
        <f ca="1">IF($AN33="",OFFSET(Demand!$A$13,ROW(C30)-1,4+((QUOTIENT(COLUMN(BS$2)-69,3))*5)+MOD(COLUMN(BS$2),3),1,1),"")</f>
        <v>75</v>
      </c>
      <c r="BT33">
        <f ca="1">IF($AN33="",OFFSET(Demand!$A$13,ROW(D30)-1,4+((QUOTIENT(COLUMN(BT$2)-69,3))*5)+MOD(COLUMN(BT$2),3),1,1),"")</f>
        <v>0</v>
      </c>
      <c r="BU33">
        <f ca="1">IF($AN33="",OFFSET(Demand!$A$13,ROW(E30)-1,4+((QUOTIENT(COLUMN(BU$2)-69,3))*5)+MOD(COLUMN(BU$2),3),1,1),"")</f>
        <v>0</v>
      </c>
      <c r="BV33">
        <f ca="1">IF($AN33="",OFFSET(Demand!$A$13,ROW(F30)-1,4+((QUOTIENT(COLUMN(BV$2)-69,3))*5)+MOD(COLUMN(BV$2),3),1,1),"")</f>
        <v>0</v>
      </c>
      <c r="BW33">
        <f ca="1">IF($AN33="",OFFSET(Demand!$A$13,ROW(G30)-1,4+((QUOTIENT(COLUMN(BW$2)-69,3))*5)+MOD(COLUMN(BW$2),3),1,1),"")</f>
        <v>0</v>
      </c>
      <c r="BX33">
        <f ca="1">IF($AN33="",OFFSET(Demand!$A$13,ROW(H30)-1,4+((QUOTIENT(COLUMN(BX$2)-69,3))*5)+MOD(COLUMN(BX$2),3),1,1),"")</f>
        <v>0</v>
      </c>
      <c r="BY33">
        <f ca="1">IF($AN33="",OFFSET(Demand!$A$13,ROW(I30)-1,4+((QUOTIENT(COLUMN(BY$2)-69,3))*5)+MOD(COLUMN(BY$2),3),1,1),"")</f>
        <v>0</v>
      </c>
      <c r="BZ33">
        <f ca="1">IF($AN33="",OFFSET(Demand!$A$13,ROW(J30)-1,4+((QUOTIENT(COLUMN(BZ$2)-69,3))*5)+MOD(COLUMN(BZ$2),3),1,1),"")</f>
        <v>0</v>
      </c>
      <c r="CA33">
        <f ca="1">IF($AN33="",OFFSET(Demand!$A$13,ROW(K30)-1,4+((QUOTIENT(COLUMN(CA$2)-69,3))*5)+MOD(COLUMN(CA$2),3),1,1),"")</f>
        <v>0</v>
      </c>
      <c r="CB33">
        <f ca="1">IF($AN33="",OFFSET(Demand!$A$13,ROW(L30)-1,4+((QUOTIENT(COLUMN(CB$2)-69,3))*5)+MOD(COLUMN(CB$2),3),1,1),"")</f>
        <v>0</v>
      </c>
      <c r="CC33">
        <f ca="1">IF($AN33="",OFFSET(Demand!$A$13,ROW(M30)-1,4+((QUOTIENT(COLUMN(CC$2)-69,3))*5)+MOD(COLUMN(CC$2),3),1,1),"")</f>
        <v>0</v>
      </c>
      <c r="CD33">
        <f ca="1">IF($AN33="",OFFSET(Demand!$A$13,ROW(N30)-1,4+((QUOTIENT(COLUMN(CD$2)-69,3))*5)+MOD(COLUMN(CD$2),3),1,1),"")</f>
        <v>0</v>
      </c>
      <c r="CE33">
        <f ca="1">IF($AN33="",OFFSET(Demand!$A$13,ROW(O30)-1,4+((QUOTIENT(COLUMN(CE$2)-69,3))*5)+MOD(COLUMN(CE$2),3),1,1),"")</f>
        <v>0</v>
      </c>
      <c r="CF33">
        <f ca="1">IF($AN33="",OFFSET(Demand!$A$13,ROW(P30)-1,4+((QUOTIENT(COLUMN(CF$2)-69,3))*5)+MOD(COLUMN(CF$2),3),1,1),"")</f>
        <v>0</v>
      </c>
      <c r="CG33">
        <f ca="1">IF($AN33="",OFFSET(Demand!$A$13,ROW(Q30)-1,4+((QUOTIENT(COLUMN(CG$2)-69,3))*5)+MOD(COLUMN(CG$2),3),1,1),"")</f>
        <v>0</v>
      </c>
      <c r="CH33">
        <f ca="1">IF($AN33="",OFFSET(Demand!$A$13,ROW(R30)-1,4+((QUOTIENT(COLUMN(CH$2)-69,3))*5)+MOD(COLUMN(CH$2),3),1,1),"")</f>
        <v>0</v>
      </c>
      <c r="CI33">
        <f ca="1">IF($AN33="",OFFSET(Demand!$A$13,ROW(S30)-1,4+((QUOTIENT(COLUMN(CI$2)-69,3))*5)+MOD(COLUMN(CI$2),3),1,1),"")</f>
        <v>0</v>
      </c>
      <c r="CJ33">
        <f ca="1">IF($AN33="",OFFSET(Demand!$A$13,ROW(T30)-1,4+((QUOTIENT(COLUMN(CJ$2)-69,3))*5)+MOD(COLUMN(CJ$2),3),1,1),"")</f>
        <v>0</v>
      </c>
      <c r="CK33">
        <f ca="1">IF($AN33="",OFFSET(Demand!$A$13,ROW(U30)-1,4+((QUOTIENT(COLUMN(CK$2)-69,3))*5)+MOD(COLUMN(CK$2),3),1,1),"")</f>
        <v>0</v>
      </c>
      <c r="CL33">
        <f ca="1">IF($AN33="",OFFSET(Demand!$A$13,ROW(V30)-1,4+((QUOTIENT(COLUMN(CL$2)-69,3))*5)+MOD(COLUMN(CL$2),3),1,1),"")</f>
        <v>0</v>
      </c>
      <c r="CM33">
        <f ca="1">IF($AN33="",OFFSET(Demand!$A$13,ROW(W30)-1,4+((QUOTIENT(COLUMN(CM$2)-69,3))*5)+MOD(COLUMN(CM$2),3),1,1),"")</f>
        <v>0</v>
      </c>
      <c r="CN33">
        <f ca="1">IF($AN33="",OFFSET(Demand!$A$13,ROW(X30)-1,4+((QUOTIENT(COLUMN(CN$2)-69,3))*5)+MOD(COLUMN(CN$2),3),1,1),"")</f>
        <v>0</v>
      </c>
      <c r="CO33">
        <f ca="1">IF($AN33="",OFFSET(Demand!$A$13,ROW(Y30)-1,4+((QUOTIENT(COLUMN(CO$2)-69,3))*5)+MOD(COLUMN(CO$2),3),1,1),"")</f>
        <v>0</v>
      </c>
      <c r="CP33">
        <f ca="1">IF($AN33="",OFFSET(Demand!$A$13,ROW(Z30)-1,4+((QUOTIENT(COLUMN(CP$2)-69,3))*5)+MOD(COLUMN(CP$2),3),1,1),"")</f>
        <v>0</v>
      </c>
      <c r="CQ33">
        <f ca="1">IF($AN33="",OFFSET(Demand!$A$13,ROW(AA30)-1,4+((QUOTIENT(COLUMN(CQ$2)-69,3))*5)+MOD(COLUMN(CQ$2),3),1,1),"")</f>
        <v>0</v>
      </c>
      <c r="CR33">
        <f ca="1">IF($AN33="",OFFSET(Demand!$A$13,ROW(AB30)-1,4+((QUOTIENT(COLUMN(CR$2)-69,3))*5)+MOD(COLUMN(CR$2),3),1,1),"")</f>
        <v>0</v>
      </c>
      <c r="CS33">
        <f ca="1">IF($AN33="",OFFSET(Demand!$A$13,ROW(AC30)-1,4+((QUOTIENT(COLUMN(CS$2)-69,3))*5)+MOD(COLUMN(CS$2),3),1,1),"")</f>
        <v>0</v>
      </c>
      <c r="CT33">
        <f ca="1">IF($AN33="",OFFSET(Demand!$A$13,ROW(AD30)-1,4+((QUOTIENT(COLUMN(CT$2)-69,3))*5)+MOD(COLUMN(CT$2),3),1,1),"")</f>
        <v>0</v>
      </c>
      <c r="CW33" s="5">
        <f ca="1">SUM(OFFSET(Demand!$H$43,ROW(A30)-1,(COLUMN(A30)-1)*5,1,1))*N$2</f>
        <v>0</v>
      </c>
      <c r="CX33" s="5">
        <f ca="1">SUM(OFFSET(Demand!$H$43,ROW(B30)-1,(COLUMN(B30)-1)*5,1,1))*O$2</f>
        <v>0</v>
      </c>
      <c r="CY33" s="5">
        <f ca="1">SUM(OFFSET(Demand!$H$43,ROW(C30)-1,(COLUMN(C30)-1)*5,1,1))*P$2</f>
        <v>0</v>
      </c>
      <c r="CZ33" s="5">
        <f ca="1">SUM(OFFSET(Demand!$H$43,ROW(D30)-1,(COLUMN(D30)-1)*5,1,1))*Q$2</f>
        <v>0</v>
      </c>
      <c r="DA33" s="5">
        <f ca="1">SUM(OFFSET(Demand!$H$43,ROW(E30)-1,(COLUMN(E30)-1)*5,1,1))*R$2</f>
        <v>0</v>
      </c>
      <c r="DB33" s="5">
        <f ca="1">SUM(OFFSET(Demand!$H$43,ROW(F30)-1,(COLUMN(F30)-1)*5,1,1))*S$2</f>
        <v>0</v>
      </c>
      <c r="DC33" s="5">
        <f ca="1">SUM(OFFSET(Demand!$H$43,ROW(G30)-1,(COLUMN(G30)-1)*5,1,1))*T$2</f>
        <v>0</v>
      </c>
      <c r="DD33" s="5">
        <f ca="1">SUM(OFFSET(Demand!$H$43,ROW(H30)-1,(COLUMN(H30)-1)*5,1,1))*U$2</f>
        <v>0</v>
      </c>
      <c r="DE33" s="5">
        <f ca="1">SUM(OFFSET(Demand!$H$43,ROW(I30)-1,(COLUMN(I30)-1)*5,1,1))*V$2</f>
        <v>0</v>
      </c>
      <c r="DF33" s="5">
        <f ca="1">SUM(OFFSET(Demand!$H$43,ROW(J30)-1,(COLUMN(J30)-1)*5,1,1))*W$2</f>
        <v>0</v>
      </c>
      <c r="DG33" s="5">
        <f ca="1">IF(OR(AN33&lt;&gt;"",AND('Demand adjustments for Covid'!$F$9="Yes",'Demand adjustments for Covid'!$F$20="Yes")),"",SUM(CW33:DF33))</f>
        <v>0</v>
      </c>
      <c r="DM33" s="5">
        <f t="shared" si="10"/>
        <v>45</v>
      </c>
      <c r="DN33" s="320">
        <f t="shared" si="17"/>
        <v>44137</v>
      </c>
      <c r="DO33" s="5">
        <f ca="1">VLOOKUP(IF($DM33&lt;53,$DM33,52),'Summary Calculations (hide)'!$D$15:$F$67,2,0)</f>
        <v>150</v>
      </c>
      <c r="DP33" s="5">
        <f ca="1">VLOOKUP(IF($DM33&lt;53,$DM33,52),'Summary Calculations (hide)'!$D$15:$F$67,3,0)</f>
        <v>165</v>
      </c>
      <c r="DQ33" s="5">
        <f ca="1">IF(AND(DN33&gt;='Demand adjustments for Covid'!$F$12,DN33&lt;'Demand adjustments for Covid'!$F$17),'Demand adjustments for Covid'!$F$13,DO33)</f>
        <v>150</v>
      </c>
      <c r="DR33" s="5">
        <f t="shared" si="7"/>
        <v>0</v>
      </c>
      <c r="DS33" s="5">
        <f ca="1">IF('Demand adjustments for Covid'!$F$9="Yes",IF(DR33=0,DQ33,((SUM(DR$4:DR33)-1)*$EE$8)+'Demand adjustments for Covid'!F$13),'Demand background (hide)'!DO33)</f>
        <v>150</v>
      </c>
      <c r="DT33" s="5">
        <f ca="1">IF('Demand adjustments for Covid'!$F$9="Yes",IF(OR(AND(DN33&gt;='Demand adjustments for Covid'!$F$12,DN33&lt;'Demand adjustments for Covid'!$F$17),DR33=1),DS33+3,DP33),'Demand background (hide)'!DP33)</f>
        <v>165</v>
      </c>
      <c r="DU33" s="5">
        <f ca="1">IF(DS33&lt;='Demand adjustments for Covid'!$F$17,DO33-DS33,0)</f>
        <v>0</v>
      </c>
      <c r="DV33" s="5">
        <f ca="1">IF(AND(ROW(A30)&gt;$EE$5,ROW(A30)&lt;=$EA$5),OFFSET('Demand adjustments for Covid'!$F$35,0,ROW(A30)-'Demand background (hide)'!$EE$5,1,1),0)</f>
        <v>0</v>
      </c>
      <c r="DW33" s="5">
        <f ca="1">IF(AND(ROW(A30)&gt;$EE$5,ROW(A30)&lt;=$EA$5),OFFSET('Demand adjustments for Covid'!$F$36,0,ROW(A30)-'Demand background (hide)'!$EE$5,1,1),0)</f>
        <v>0</v>
      </c>
      <c r="DX33" s="5">
        <f t="shared" ca="1" si="11"/>
        <v>165</v>
      </c>
    </row>
    <row r="34" spans="1:128" s="5" customFormat="1" x14ac:dyDescent="0.25">
      <c r="A34" s="5">
        <f t="shared" ca="1" si="3"/>
        <v>0</v>
      </c>
      <c r="B34" s="5">
        <f ca="1">COUNTBLANK(OFFSET(Demand!$I43,0,(COLUMN(A31)-1)*5,1,1))</f>
        <v>0</v>
      </c>
      <c r="C34" s="5">
        <f ca="1">COUNTBLANK(OFFSET(Demand!$I43,0,(COLUMN(B31)-1)*5,1,1))</f>
        <v>1</v>
      </c>
      <c r="D34" s="5">
        <f ca="1">COUNTBLANK(OFFSET(Demand!$I43,0,(COLUMN(C31)-1)*5,1,1))</f>
        <v>1</v>
      </c>
      <c r="E34" s="5">
        <f ca="1">COUNTBLANK(OFFSET(Demand!$I43,0,(COLUMN(D31)-1)*5,1,1))</f>
        <v>1</v>
      </c>
      <c r="F34" s="5">
        <f ca="1">COUNTBLANK(OFFSET(Demand!$I43,0,(COLUMN(E31)-1)*5,1,1))</f>
        <v>1</v>
      </c>
      <c r="G34" s="5">
        <f ca="1">COUNTBLANK(OFFSET(Demand!$I43,0,(COLUMN(F31)-1)*5,1,1))</f>
        <v>1</v>
      </c>
      <c r="H34" s="5">
        <f ca="1">COUNTBLANK(OFFSET(Demand!$I43,0,(COLUMN(G31)-1)*5,1,1))</f>
        <v>1</v>
      </c>
      <c r="I34" s="5">
        <f ca="1">COUNTBLANK(OFFSET(Demand!$I43,0,(COLUMN(H31)-1)*5,1,1))</f>
        <v>1</v>
      </c>
      <c r="J34" s="5">
        <f ca="1">COUNTBLANK(OFFSET(Demand!$I43,0,(COLUMN(I31)-1)*5,1,1))</f>
        <v>1</v>
      </c>
      <c r="K34" s="5">
        <f ca="1">COUNTBLANK(OFFSET(Demand!$I43,0,(COLUMN(J31)-1)*5,1,1))</f>
        <v>1</v>
      </c>
      <c r="N34" s="5">
        <f ca="1">SUM(OFFSET(Demand!$E43,0,(COLUMN(A31)-1)*5,1,3))*N$2</f>
        <v>142</v>
      </c>
      <c r="O34" s="5">
        <f ca="1">SUM(OFFSET(Demand!$E43,0,(COLUMN(B31)-1)*5,1,3))*O$2</f>
        <v>0</v>
      </c>
      <c r="P34" s="5">
        <f ca="1">SUM(OFFSET(Demand!$E43,0,(COLUMN(C31)-1)*5,1,3))*P$2</f>
        <v>0</v>
      </c>
      <c r="Q34" s="5">
        <f ca="1">SUM(OFFSET(Demand!$E43,0,(COLUMN(D31)-1)*5,1,3))*Q$2</f>
        <v>0</v>
      </c>
      <c r="R34" s="5">
        <f ca="1">SUM(OFFSET(Demand!$E43,0,(COLUMN(E31)-1)*5,1,3))*R$2</f>
        <v>0</v>
      </c>
      <c r="S34" s="5">
        <f ca="1">SUM(OFFSET(Demand!$E43,0,(COLUMN(F31)-1)*5,1,3))*S$2</f>
        <v>0</v>
      </c>
      <c r="T34" s="5">
        <f ca="1">SUM(OFFSET(Demand!$E43,0,(COLUMN(G31)-1)*5,1,3))*T$2</f>
        <v>0</v>
      </c>
      <c r="U34" s="5">
        <f ca="1">SUM(OFFSET(Demand!$E43,0,(COLUMN(H31)-1)*5,1,3))*U$2</f>
        <v>0</v>
      </c>
      <c r="V34" s="5">
        <f ca="1">SUM(OFFSET(Demand!$E43,0,(COLUMN(I31)-1)*5,1,3))*V$2</f>
        <v>0</v>
      </c>
      <c r="W34" s="5">
        <f ca="1">SUM(OFFSET(Demand!$E43,0,(COLUMN(J31)-1)*5,1,3))*W$2</f>
        <v>0</v>
      </c>
      <c r="X34" s="5">
        <f t="shared" ca="1" si="4"/>
        <v>142</v>
      </c>
      <c r="Y34" s="5">
        <f t="shared" ca="1" si="5"/>
        <v>142</v>
      </c>
      <c r="Z34" s="5">
        <f ca="1">SUM(OFFSET(Demand!$H43,0,(COLUMN(A31)-1)*5,1,1))*N$2</f>
        <v>0</v>
      </c>
      <c r="AA34" s="5">
        <f ca="1">SUM(OFFSET(Demand!$H43,0,(COLUMN(B31)-1)*5,1,1))*O$2</f>
        <v>0</v>
      </c>
      <c r="AB34" s="5">
        <f ca="1">SUM(OFFSET(Demand!$H43,0,(COLUMN(C31)-1)*5,1,1))*P$2</f>
        <v>0</v>
      </c>
      <c r="AC34" s="5">
        <f ca="1">SUM(OFFSET(Demand!$H43,0,(COLUMN(D31)-1)*5,1,1))*Q$2</f>
        <v>0</v>
      </c>
      <c r="AD34" s="5">
        <f ca="1">SUM(OFFSET(Demand!$H43,0,(COLUMN(E31)-1)*5,1,1))*R$2</f>
        <v>0</v>
      </c>
      <c r="AE34" s="5">
        <f ca="1">SUM(OFFSET(Demand!$H43,0,(COLUMN(F31)-1)*5,1,1))*S$2</f>
        <v>0</v>
      </c>
      <c r="AF34" s="5">
        <f ca="1">SUM(OFFSET(Demand!$H43,0,(COLUMN(G31)-1)*5,1,1))*T$2</f>
        <v>0</v>
      </c>
      <c r="AG34" s="5">
        <f ca="1">SUM(OFFSET(Demand!$H43,0,(COLUMN(H31)-1)*5,1,1))*U$2</f>
        <v>0</v>
      </c>
      <c r="AH34" s="5">
        <f ca="1">SUM(OFFSET(Demand!$H43,0,(COLUMN(I31)-1)*5,1,1))*V$2</f>
        <v>0</v>
      </c>
      <c r="AI34" s="5">
        <f ca="1">SUM(OFFSET(Demand!$H43,0,(COLUMN(J31)-1)*5,1,1))*W$2</f>
        <v>0</v>
      </c>
      <c r="AJ34" s="5">
        <f t="shared" ca="1" si="6"/>
        <v>0</v>
      </c>
      <c r="AL34" s="5">
        <f t="shared" ca="1" si="8"/>
        <v>142</v>
      </c>
      <c r="AM34" s="5">
        <f t="shared" ca="1" si="9"/>
        <v>0</v>
      </c>
      <c r="AN34" s="5" t="str">
        <f>IF(Demand!BE43="Yes","Yes","")</f>
        <v/>
      </c>
      <c r="AP34" s="36" t="str">
        <f ca="1">Demand!B43</f>
        <v xml:space="preserve"> </v>
      </c>
      <c r="AQ34" s="5" t="str">
        <f ca="1">IF(TEXT(Demand!D43,"MMM")&lt;&gt;TEXT(Demand!D42,"MMM"),TEXT(Demand!D43,"MMM"),"")</f>
        <v/>
      </c>
      <c r="AT34" s="5">
        <f t="shared" ca="1" si="12"/>
        <v>8</v>
      </c>
      <c r="BQ34">
        <f ca="1">IF($AN34="",OFFSET(Demand!$A$13,ROW(A31)-1,4+((QUOTIENT(COLUMN(BQ$2)-69,3))*5)+MOD(COLUMN(BQ$2),3),1,1),"")</f>
        <v>0</v>
      </c>
      <c r="BR34">
        <f ca="1">IF($AN34="",OFFSET(Demand!$A$13,ROW(B31)-1,4+((QUOTIENT(COLUMN(BR$2)-69,3))*5)+MOD(COLUMN(BR$2),3),1,1),"")</f>
        <v>0</v>
      </c>
      <c r="BS34">
        <f ca="1">IF($AN34="",OFFSET(Demand!$A$13,ROW(C31)-1,4+((QUOTIENT(COLUMN(BS$2)-69,3))*5)+MOD(COLUMN(BS$2),3),1,1),"")</f>
        <v>71</v>
      </c>
      <c r="BT34">
        <f ca="1">IF($AN34="",OFFSET(Demand!$A$13,ROW(D31)-1,4+((QUOTIENT(COLUMN(BT$2)-69,3))*5)+MOD(COLUMN(BT$2),3),1,1),"")</f>
        <v>0</v>
      </c>
      <c r="BU34">
        <f ca="1">IF($AN34="",OFFSET(Demand!$A$13,ROW(E31)-1,4+((QUOTIENT(COLUMN(BU$2)-69,3))*5)+MOD(COLUMN(BU$2),3),1,1),"")</f>
        <v>0</v>
      </c>
      <c r="BV34">
        <f ca="1">IF($AN34="",OFFSET(Demand!$A$13,ROW(F31)-1,4+((QUOTIENT(COLUMN(BV$2)-69,3))*5)+MOD(COLUMN(BV$2),3),1,1),"")</f>
        <v>0</v>
      </c>
      <c r="BW34">
        <f ca="1">IF($AN34="",OFFSET(Demand!$A$13,ROW(G31)-1,4+((QUOTIENT(COLUMN(BW$2)-69,3))*5)+MOD(COLUMN(BW$2),3),1,1),"")</f>
        <v>0</v>
      </c>
      <c r="BX34">
        <f ca="1">IF($AN34="",OFFSET(Demand!$A$13,ROW(H31)-1,4+((QUOTIENT(COLUMN(BX$2)-69,3))*5)+MOD(COLUMN(BX$2),3),1,1),"")</f>
        <v>0</v>
      </c>
      <c r="BY34">
        <f ca="1">IF($AN34="",OFFSET(Demand!$A$13,ROW(I31)-1,4+((QUOTIENT(COLUMN(BY$2)-69,3))*5)+MOD(COLUMN(BY$2),3),1,1),"")</f>
        <v>0</v>
      </c>
      <c r="BZ34">
        <f ca="1">IF($AN34="",OFFSET(Demand!$A$13,ROW(J31)-1,4+((QUOTIENT(COLUMN(BZ$2)-69,3))*5)+MOD(COLUMN(BZ$2),3),1,1),"")</f>
        <v>0</v>
      </c>
      <c r="CA34">
        <f ca="1">IF($AN34="",OFFSET(Demand!$A$13,ROW(K31)-1,4+((QUOTIENT(COLUMN(CA$2)-69,3))*5)+MOD(COLUMN(CA$2),3),1,1),"")</f>
        <v>0</v>
      </c>
      <c r="CB34">
        <f ca="1">IF($AN34="",OFFSET(Demand!$A$13,ROW(L31)-1,4+((QUOTIENT(COLUMN(CB$2)-69,3))*5)+MOD(COLUMN(CB$2),3),1,1),"")</f>
        <v>0</v>
      </c>
      <c r="CC34">
        <f ca="1">IF($AN34="",OFFSET(Demand!$A$13,ROW(M31)-1,4+((QUOTIENT(COLUMN(CC$2)-69,3))*5)+MOD(COLUMN(CC$2),3),1,1),"")</f>
        <v>0</v>
      </c>
      <c r="CD34">
        <f ca="1">IF($AN34="",OFFSET(Demand!$A$13,ROW(N31)-1,4+((QUOTIENT(COLUMN(CD$2)-69,3))*5)+MOD(COLUMN(CD$2),3),1,1),"")</f>
        <v>0</v>
      </c>
      <c r="CE34">
        <f ca="1">IF($AN34="",OFFSET(Demand!$A$13,ROW(O31)-1,4+((QUOTIENT(COLUMN(CE$2)-69,3))*5)+MOD(COLUMN(CE$2),3),1,1),"")</f>
        <v>0</v>
      </c>
      <c r="CF34">
        <f ca="1">IF($AN34="",OFFSET(Demand!$A$13,ROW(P31)-1,4+((QUOTIENT(COLUMN(CF$2)-69,3))*5)+MOD(COLUMN(CF$2),3),1,1),"")</f>
        <v>0</v>
      </c>
      <c r="CG34">
        <f ca="1">IF($AN34="",OFFSET(Demand!$A$13,ROW(Q31)-1,4+((QUOTIENT(COLUMN(CG$2)-69,3))*5)+MOD(COLUMN(CG$2),3),1,1),"")</f>
        <v>0</v>
      </c>
      <c r="CH34">
        <f ca="1">IF($AN34="",OFFSET(Demand!$A$13,ROW(R31)-1,4+((QUOTIENT(COLUMN(CH$2)-69,3))*5)+MOD(COLUMN(CH$2),3),1,1),"")</f>
        <v>0</v>
      </c>
      <c r="CI34">
        <f ca="1">IF($AN34="",OFFSET(Demand!$A$13,ROW(S31)-1,4+((QUOTIENT(COLUMN(CI$2)-69,3))*5)+MOD(COLUMN(CI$2),3),1,1),"")</f>
        <v>0</v>
      </c>
      <c r="CJ34">
        <f ca="1">IF($AN34="",OFFSET(Demand!$A$13,ROW(T31)-1,4+((QUOTIENT(COLUMN(CJ$2)-69,3))*5)+MOD(COLUMN(CJ$2),3),1,1),"")</f>
        <v>0</v>
      </c>
      <c r="CK34">
        <f ca="1">IF($AN34="",OFFSET(Demand!$A$13,ROW(U31)-1,4+((QUOTIENT(COLUMN(CK$2)-69,3))*5)+MOD(COLUMN(CK$2),3),1,1),"")</f>
        <v>0</v>
      </c>
      <c r="CL34">
        <f ca="1">IF($AN34="",OFFSET(Demand!$A$13,ROW(V31)-1,4+((QUOTIENT(COLUMN(CL$2)-69,3))*5)+MOD(COLUMN(CL$2),3),1,1),"")</f>
        <v>0</v>
      </c>
      <c r="CM34">
        <f ca="1">IF($AN34="",OFFSET(Demand!$A$13,ROW(W31)-1,4+((QUOTIENT(COLUMN(CM$2)-69,3))*5)+MOD(COLUMN(CM$2),3),1,1),"")</f>
        <v>0</v>
      </c>
      <c r="CN34">
        <f ca="1">IF($AN34="",OFFSET(Demand!$A$13,ROW(X31)-1,4+((QUOTIENT(COLUMN(CN$2)-69,3))*5)+MOD(COLUMN(CN$2),3),1,1),"")</f>
        <v>0</v>
      </c>
      <c r="CO34">
        <f ca="1">IF($AN34="",OFFSET(Demand!$A$13,ROW(Y31)-1,4+((QUOTIENT(COLUMN(CO$2)-69,3))*5)+MOD(COLUMN(CO$2),3),1,1),"")</f>
        <v>0</v>
      </c>
      <c r="CP34">
        <f ca="1">IF($AN34="",OFFSET(Demand!$A$13,ROW(Z31)-1,4+((QUOTIENT(COLUMN(CP$2)-69,3))*5)+MOD(COLUMN(CP$2),3),1,1),"")</f>
        <v>0</v>
      </c>
      <c r="CQ34">
        <f ca="1">IF($AN34="",OFFSET(Demand!$A$13,ROW(AA31)-1,4+((QUOTIENT(COLUMN(CQ$2)-69,3))*5)+MOD(COLUMN(CQ$2),3),1,1),"")</f>
        <v>0</v>
      </c>
      <c r="CR34">
        <f ca="1">IF($AN34="",OFFSET(Demand!$A$13,ROW(AB31)-1,4+((QUOTIENT(COLUMN(CR$2)-69,3))*5)+MOD(COLUMN(CR$2),3),1,1),"")</f>
        <v>0</v>
      </c>
      <c r="CS34">
        <f ca="1">IF($AN34="",OFFSET(Demand!$A$13,ROW(AC31)-1,4+((QUOTIENT(COLUMN(CS$2)-69,3))*5)+MOD(COLUMN(CS$2),3),1,1),"")</f>
        <v>0</v>
      </c>
      <c r="CT34">
        <f ca="1">IF($AN34="",OFFSET(Demand!$A$13,ROW(AD31)-1,4+((QUOTIENT(COLUMN(CT$2)-69,3))*5)+MOD(COLUMN(CT$2),3),1,1),"")</f>
        <v>0</v>
      </c>
      <c r="CW34" s="5">
        <f ca="1">SUM(OFFSET(Demand!$H$43,ROW(A31)-1,(COLUMN(A31)-1)*5,1,1))*N$2</f>
        <v>0</v>
      </c>
      <c r="CX34" s="5">
        <f ca="1">SUM(OFFSET(Demand!$H$43,ROW(B31)-1,(COLUMN(B31)-1)*5,1,1))*O$2</f>
        <v>0</v>
      </c>
      <c r="CY34" s="5">
        <f ca="1">SUM(OFFSET(Demand!$H$43,ROW(C31)-1,(COLUMN(C31)-1)*5,1,1))*P$2</f>
        <v>0</v>
      </c>
      <c r="CZ34" s="5">
        <f ca="1">SUM(OFFSET(Demand!$H$43,ROW(D31)-1,(COLUMN(D31)-1)*5,1,1))*Q$2</f>
        <v>0</v>
      </c>
      <c r="DA34" s="5">
        <f ca="1">SUM(OFFSET(Demand!$H$43,ROW(E31)-1,(COLUMN(E31)-1)*5,1,1))*R$2</f>
        <v>0</v>
      </c>
      <c r="DB34" s="5">
        <f ca="1">SUM(OFFSET(Demand!$H$43,ROW(F31)-1,(COLUMN(F31)-1)*5,1,1))*S$2</f>
        <v>0</v>
      </c>
      <c r="DC34" s="5">
        <f ca="1">SUM(OFFSET(Demand!$H$43,ROW(G31)-1,(COLUMN(G31)-1)*5,1,1))*T$2</f>
        <v>0</v>
      </c>
      <c r="DD34" s="5">
        <f ca="1">SUM(OFFSET(Demand!$H$43,ROW(H31)-1,(COLUMN(H31)-1)*5,1,1))*U$2</f>
        <v>0</v>
      </c>
      <c r="DE34" s="5">
        <f ca="1">SUM(OFFSET(Demand!$H$43,ROW(I31)-1,(COLUMN(I31)-1)*5,1,1))*V$2</f>
        <v>0</v>
      </c>
      <c r="DF34" s="5">
        <f ca="1">SUM(OFFSET(Demand!$H$43,ROW(J31)-1,(COLUMN(J31)-1)*5,1,1))*W$2</f>
        <v>0</v>
      </c>
      <c r="DG34" s="5">
        <f ca="1">IF(OR(AN34&lt;&gt;"",AND('Demand adjustments for Covid'!$F$9="Yes",'Demand adjustments for Covid'!$F$20="Yes")),"",SUM(CW34:DF34))</f>
        <v>0</v>
      </c>
      <c r="DM34" s="5">
        <f t="shared" si="10"/>
        <v>46</v>
      </c>
      <c r="DN34" s="320">
        <f t="shared" si="17"/>
        <v>44144</v>
      </c>
      <c r="DO34" s="5">
        <f ca="1">VLOOKUP(IF($DM34&lt;53,$DM34,52),'Summary Calculations (hide)'!$D$15:$F$67,2,0)</f>
        <v>142</v>
      </c>
      <c r="DP34" s="5">
        <f ca="1">VLOOKUP(IF($DM34&lt;53,$DM34,52),'Summary Calculations (hide)'!$D$15:$F$67,3,0)</f>
        <v>156.20000000000002</v>
      </c>
      <c r="DQ34" s="5">
        <f ca="1">IF(AND(DN34&gt;='Demand adjustments for Covid'!$F$12,DN34&lt;'Demand adjustments for Covid'!$F$17),'Demand adjustments for Covid'!$F$13,DO34)</f>
        <v>142</v>
      </c>
      <c r="DR34" s="5">
        <f t="shared" si="7"/>
        <v>0</v>
      </c>
      <c r="DS34" s="5">
        <f ca="1">IF('Demand adjustments for Covid'!$F$9="Yes",IF(DR34=0,DQ34,((SUM(DR$4:DR34)-1)*$EE$8)+'Demand adjustments for Covid'!F$13),'Demand background (hide)'!DO34)</f>
        <v>142</v>
      </c>
      <c r="DT34" s="5">
        <f ca="1">IF('Demand adjustments for Covid'!$F$9="Yes",IF(OR(AND(DN34&gt;='Demand adjustments for Covid'!$F$12,DN34&lt;'Demand adjustments for Covid'!$F$17),DR34=1),DS34+3,DP34),'Demand background (hide)'!DP34)</f>
        <v>156.20000000000002</v>
      </c>
      <c r="DU34" s="5">
        <f ca="1">IF(DS34&lt;='Demand adjustments for Covid'!$F$17,DO34-DS34,0)</f>
        <v>0</v>
      </c>
      <c r="DV34" s="5">
        <f ca="1">IF(AND(ROW(A31)&gt;$EE$5,ROW(A31)&lt;=$EA$5),OFFSET('Demand adjustments for Covid'!$F$35,0,ROW(A31)-'Demand background (hide)'!$EE$5,1,1),0)</f>
        <v>0</v>
      </c>
      <c r="DW34" s="5">
        <f ca="1">IF(AND(ROW(A31)&gt;$EE$5,ROW(A31)&lt;=$EA$5),OFFSET('Demand adjustments for Covid'!$F$36,0,ROW(A31)-'Demand background (hide)'!$EE$5,1,1),0)</f>
        <v>0</v>
      </c>
      <c r="DX34" s="5">
        <f t="shared" ca="1" si="11"/>
        <v>156.20000000000002</v>
      </c>
    </row>
    <row r="35" spans="1:128" s="5" customFormat="1" x14ac:dyDescent="0.25">
      <c r="A35" s="5">
        <f t="shared" ca="1" si="3"/>
        <v>0</v>
      </c>
      <c r="B35" s="5">
        <f ca="1">COUNTBLANK(OFFSET(Demand!$I44,0,(COLUMN(A32)-1)*5,1,1))</f>
        <v>0</v>
      </c>
      <c r="C35" s="5">
        <f ca="1">COUNTBLANK(OFFSET(Demand!$I44,0,(COLUMN(B32)-1)*5,1,1))</f>
        <v>1</v>
      </c>
      <c r="D35" s="5">
        <f ca="1">COUNTBLANK(OFFSET(Demand!$I44,0,(COLUMN(C32)-1)*5,1,1))</f>
        <v>1</v>
      </c>
      <c r="E35" s="5">
        <f ca="1">COUNTBLANK(OFFSET(Demand!$I44,0,(COLUMN(D32)-1)*5,1,1))</f>
        <v>1</v>
      </c>
      <c r="F35" s="5">
        <f ca="1">COUNTBLANK(OFFSET(Demand!$I44,0,(COLUMN(E32)-1)*5,1,1))</f>
        <v>1</v>
      </c>
      <c r="G35" s="5">
        <f ca="1">COUNTBLANK(OFFSET(Demand!$I44,0,(COLUMN(F32)-1)*5,1,1))</f>
        <v>1</v>
      </c>
      <c r="H35" s="5">
        <f ca="1">COUNTBLANK(OFFSET(Demand!$I44,0,(COLUMN(G32)-1)*5,1,1))</f>
        <v>1</v>
      </c>
      <c r="I35" s="5">
        <f ca="1">COUNTBLANK(OFFSET(Demand!$I44,0,(COLUMN(H32)-1)*5,1,1))</f>
        <v>1</v>
      </c>
      <c r="J35" s="5">
        <f ca="1">COUNTBLANK(OFFSET(Demand!$I44,0,(COLUMN(I32)-1)*5,1,1))</f>
        <v>1</v>
      </c>
      <c r="K35" s="5">
        <f ca="1">COUNTBLANK(OFFSET(Demand!$I44,0,(COLUMN(J32)-1)*5,1,1))</f>
        <v>1</v>
      </c>
      <c r="N35" s="5">
        <f ca="1">SUM(OFFSET(Demand!$E44,0,(COLUMN(A32)-1)*5,1,3))*N$2</f>
        <v>132</v>
      </c>
      <c r="O35" s="5">
        <f ca="1">SUM(OFFSET(Demand!$E44,0,(COLUMN(B32)-1)*5,1,3))*O$2</f>
        <v>0</v>
      </c>
      <c r="P35" s="5">
        <f ca="1">SUM(OFFSET(Demand!$E44,0,(COLUMN(C32)-1)*5,1,3))*P$2</f>
        <v>0</v>
      </c>
      <c r="Q35" s="5">
        <f ca="1">SUM(OFFSET(Demand!$E44,0,(COLUMN(D32)-1)*5,1,3))*Q$2</f>
        <v>0</v>
      </c>
      <c r="R35" s="5">
        <f ca="1">SUM(OFFSET(Demand!$E44,0,(COLUMN(E32)-1)*5,1,3))*R$2</f>
        <v>0</v>
      </c>
      <c r="S35" s="5">
        <f ca="1">SUM(OFFSET(Demand!$E44,0,(COLUMN(F32)-1)*5,1,3))*S$2</f>
        <v>0</v>
      </c>
      <c r="T35" s="5">
        <f ca="1">SUM(OFFSET(Demand!$E44,0,(COLUMN(G32)-1)*5,1,3))*T$2</f>
        <v>0</v>
      </c>
      <c r="U35" s="5">
        <f ca="1">SUM(OFFSET(Demand!$E44,0,(COLUMN(H32)-1)*5,1,3))*U$2</f>
        <v>0</v>
      </c>
      <c r="V35" s="5">
        <f ca="1">SUM(OFFSET(Demand!$E44,0,(COLUMN(I32)-1)*5,1,3))*V$2</f>
        <v>0</v>
      </c>
      <c r="W35" s="5">
        <f ca="1">SUM(OFFSET(Demand!$E44,0,(COLUMN(J32)-1)*5,1,3))*W$2</f>
        <v>0</v>
      </c>
      <c r="X35" s="5">
        <f t="shared" ca="1" si="4"/>
        <v>132</v>
      </c>
      <c r="Y35" s="5">
        <f t="shared" ca="1" si="5"/>
        <v>132</v>
      </c>
      <c r="Z35" s="5">
        <f ca="1">SUM(OFFSET(Demand!$H44,0,(COLUMN(A32)-1)*5,1,1))*N$2</f>
        <v>0</v>
      </c>
      <c r="AA35" s="5">
        <f ca="1">SUM(OFFSET(Demand!$H44,0,(COLUMN(B32)-1)*5,1,1))*O$2</f>
        <v>0</v>
      </c>
      <c r="AB35" s="5">
        <f ca="1">SUM(OFFSET(Demand!$H44,0,(COLUMN(C32)-1)*5,1,1))*P$2</f>
        <v>0</v>
      </c>
      <c r="AC35" s="5">
        <f ca="1">SUM(OFFSET(Demand!$H44,0,(COLUMN(D32)-1)*5,1,1))*Q$2</f>
        <v>0</v>
      </c>
      <c r="AD35" s="5">
        <f ca="1">SUM(OFFSET(Demand!$H44,0,(COLUMN(E32)-1)*5,1,1))*R$2</f>
        <v>0</v>
      </c>
      <c r="AE35" s="5">
        <f ca="1">SUM(OFFSET(Demand!$H44,0,(COLUMN(F32)-1)*5,1,1))*S$2</f>
        <v>0</v>
      </c>
      <c r="AF35" s="5">
        <f ca="1">SUM(OFFSET(Demand!$H44,0,(COLUMN(G32)-1)*5,1,1))*T$2</f>
        <v>0</v>
      </c>
      <c r="AG35" s="5">
        <f ca="1">SUM(OFFSET(Demand!$H44,0,(COLUMN(H32)-1)*5,1,1))*U$2</f>
        <v>0</v>
      </c>
      <c r="AH35" s="5">
        <f ca="1">SUM(OFFSET(Demand!$H44,0,(COLUMN(I32)-1)*5,1,1))*V$2</f>
        <v>0</v>
      </c>
      <c r="AI35" s="5">
        <f ca="1">SUM(OFFSET(Demand!$H44,0,(COLUMN(J32)-1)*5,1,1))*W$2</f>
        <v>0</v>
      </c>
      <c r="AJ35" s="5">
        <f t="shared" ca="1" si="6"/>
        <v>0</v>
      </c>
      <c r="AL35" s="5">
        <f t="shared" ca="1" si="8"/>
        <v>132</v>
      </c>
      <c r="AM35" s="5">
        <f t="shared" ca="1" si="9"/>
        <v>0</v>
      </c>
      <c r="AN35" s="5" t="str">
        <f>IF(Demand!BE44="Yes","Yes","")</f>
        <v/>
      </c>
      <c r="AP35" s="36" t="str">
        <f ca="1">Demand!B44</f>
        <v xml:space="preserve"> </v>
      </c>
      <c r="AQ35" s="5" t="str">
        <f ca="1">IF(TEXT(Demand!D44,"MMM")&lt;&gt;TEXT(Demand!D43,"MMM"),TEXT(Demand!D44,"MMM"),"")</f>
        <v>Oct</v>
      </c>
      <c r="AT35" s="5">
        <f t="shared" ca="1" si="12"/>
        <v>10</v>
      </c>
      <c r="BQ35">
        <f ca="1">IF($AN35="",OFFSET(Demand!$A$13,ROW(A32)-1,4+((QUOTIENT(COLUMN(BQ$2)-69,3))*5)+MOD(COLUMN(BQ$2),3),1,1),"")</f>
        <v>0</v>
      </c>
      <c r="BR35">
        <f ca="1">IF($AN35="",OFFSET(Demand!$A$13,ROW(B32)-1,4+((QUOTIENT(COLUMN(BR$2)-69,3))*5)+MOD(COLUMN(BR$2),3),1,1),"")</f>
        <v>0</v>
      </c>
      <c r="BS35">
        <f ca="1">IF($AN35="",OFFSET(Demand!$A$13,ROW(C32)-1,4+((QUOTIENT(COLUMN(BS$2)-69,3))*5)+MOD(COLUMN(BS$2),3),1,1),"")</f>
        <v>66</v>
      </c>
      <c r="BT35">
        <f ca="1">IF($AN35="",OFFSET(Demand!$A$13,ROW(D32)-1,4+((QUOTIENT(COLUMN(BT$2)-69,3))*5)+MOD(COLUMN(BT$2),3),1,1),"")</f>
        <v>0</v>
      </c>
      <c r="BU35">
        <f ca="1">IF($AN35="",OFFSET(Demand!$A$13,ROW(E32)-1,4+((QUOTIENT(COLUMN(BU$2)-69,3))*5)+MOD(COLUMN(BU$2),3),1,1),"")</f>
        <v>0</v>
      </c>
      <c r="BV35">
        <f ca="1">IF($AN35="",OFFSET(Demand!$A$13,ROW(F32)-1,4+((QUOTIENT(COLUMN(BV$2)-69,3))*5)+MOD(COLUMN(BV$2),3),1,1),"")</f>
        <v>0</v>
      </c>
      <c r="BW35">
        <f ca="1">IF($AN35="",OFFSET(Demand!$A$13,ROW(G32)-1,4+((QUOTIENT(COLUMN(BW$2)-69,3))*5)+MOD(COLUMN(BW$2),3),1,1),"")</f>
        <v>0</v>
      </c>
      <c r="BX35">
        <f ca="1">IF($AN35="",OFFSET(Demand!$A$13,ROW(H32)-1,4+((QUOTIENT(COLUMN(BX$2)-69,3))*5)+MOD(COLUMN(BX$2),3),1,1),"")</f>
        <v>0</v>
      </c>
      <c r="BY35">
        <f ca="1">IF($AN35="",OFFSET(Demand!$A$13,ROW(I32)-1,4+((QUOTIENT(COLUMN(BY$2)-69,3))*5)+MOD(COLUMN(BY$2),3),1,1),"")</f>
        <v>0</v>
      </c>
      <c r="BZ35">
        <f ca="1">IF($AN35="",OFFSET(Demand!$A$13,ROW(J32)-1,4+((QUOTIENT(COLUMN(BZ$2)-69,3))*5)+MOD(COLUMN(BZ$2),3),1,1),"")</f>
        <v>0</v>
      </c>
      <c r="CA35">
        <f ca="1">IF($AN35="",OFFSET(Demand!$A$13,ROW(K32)-1,4+((QUOTIENT(COLUMN(CA$2)-69,3))*5)+MOD(COLUMN(CA$2),3),1,1),"")</f>
        <v>0</v>
      </c>
      <c r="CB35">
        <f ca="1">IF($AN35="",OFFSET(Demand!$A$13,ROW(L32)-1,4+((QUOTIENT(COLUMN(CB$2)-69,3))*5)+MOD(COLUMN(CB$2),3),1,1),"")</f>
        <v>0</v>
      </c>
      <c r="CC35">
        <f ca="1">IF($AN35="",OFFSET(Demand!$A$13,ROW(M32)-1,4+((QUOTIENT(COLUMN(CC$2)-69,3))*5)+MOD(COLUMN(CC$2),3),1,1),"")</f>
        <v>0</v>
      </c>
      <c r="CD35">
        <f ca="1">IF($AN35="",OFFSET(Demand!$A$13,ROW(N32)-1,4+((QUOTIENT(COLUMN(CD$2)-69,3))*5)+MOD(COLUMN(CD$2),3),1,1),"")</f>
        <v>0</v>
      </c>
      <c r="CE35">
        <f ca="1">IF($AN35="",OFFSET(Demand!$A$13,ROW(O32)-1,4+((QUOTIENT(COLUMN(CE$2)-69,3))*5)+MOD(COLUMN(CE$2),3),1,1),"")</f>
        <v>0</v>
      </c>
      <c r="CF35">
        <f ca="1">IF($AN35="",OFFSET(Demand!$A$13,ROW(P32)-1,4+((QUOTIENT(COLUMN(CF$2)-69,3))*5)+MOD(COLUMN(CF$2),3),1,1),"")</f>
        <v>0</v>
      </c>
      <c r="CG35">
        <f ca="1">IF($AN35="",OFFSET(Demand!$A$13,ROW(Q32)-1,4+((QUOTIENT(COLUMN(CG$2)-69,3))*5)+MOD(COLUMN(CG$2),3),1,1),"")</f>
        <v>0</v>
      </c>
      <c r="CH35">
        <f ca="1">IF($AN35="",OFFSET(Demand!$A$13,ROW(R32)-1,4+((QUOTIENT(COLUMN(CH$2)-69,3))*5)+MOD(COLUMN(CH$2),3),1,1),"")</f>
        <v>0</v>
      </c>
      <c r="CI35">
        <f ca="1">IF($AN35="",OFFSET(Demand!$A$13,ROW(S32)-1,4+((QUOTIENT(COLUMN(CI$2)-69,3))*5)+MOD(COLUMN(CI$2),3),1,1),"")</f>
        <v>0</v>
      </c>
      <c r="CJ35">
        <f ca="1">IF($AN35="",OFFSET(Demand!$A$13,ROW(T32)-1,4+((QUOTIENT(COLUMN(CJ$2)-69,3))*5)+MOD(COLUMN(CJ$2),3),1,1),"")</f>
        <v>0</v>
      </c>
      <c r="CK35">
        <f ca="1">IF($AN35="",OFFSET(Demand!$A$13,ROW(U32)-1,4+((QUOTIENT(COLUMN(CK$2)-69,3))*5)+MOD(COLUMN(CK$2),3),1,1),"")</f>
        <v>0</v>
      </c>
      <c r="CL35">
        <f ca="1">IF($AN35="",OFFSET(Demand!$A$13,ROW(V32)-1,4+((QUOTIENT(COLUMN(CL$2)-69,3))*5)+MOD(COLUMN(CL$2),3),1,1),"")</f>
        <v>0</v>
      </c>
      <c r="CM35">
        <f ca="1">IF($AN35="",OFFSET(Demand!$A$13,ROW(W32)-1,4+((QUOTIENT(COLUMN(CM$2)-69,3))*5)+MOD(COLUMN(CM$2),3),1,1),"")</f>
        <v>0</v>
      </c>
      <c r="CN35">
        <f ca="1">IF($AN35="",OFFSET(Demand!$A$13,ROW(X32)-1,4+((QUOTIENT(COLUMN(CN$2)-69,3))*5)+MOD(COLUMN(CN$2),3),1,1),"")</f>
        <v>0</v>
      </c>
      <c r="CO35">
        <f ca="1">IF($AN35="",OFFSET(Demand!$A$13,ROW(Y32)-1,4+((QUOTIENT(COLUMN(CO$2)-69,3))*5)+MOD(COLUMN(CO$2),3),1,1),"")</f>
        <v>0</v>
      </c>
      <c r="CP35">
        <f ca="1">IF($AN35="",OFFSET(Demand!$A$13,ROW(Z32)-1,4+((QUOTIENT(COLUMN(CP$2)-69,3))*5)+MOD(COLUMN(CP$2),3),1,1),"")</f>
        <v>0</v>
      </c>
      <c r="CQ35">
        <f ca="1">IF($AN35="",OFFSET(Demand!$A$13,ROW(AA32)-1,4+((QUOTIENT(COLUMN(CQ$2)-69,3))*5)+MOD(COLUMN(CQ$2),3),1,1),"")</f>
        <v>0</v>
      </c>
      <c r="CR35">
        <f ca="1">IF($AN35="",OFFSET(Demand!$A$13,ROW(AB32)-1,4+((QUOTIENT(COLUMN(CR$2)-69,3))*5)+MOD(COLUMN(CR$2),3),1,1),"")</f>
        <v>0</v>
      </c>
      <c r="CS35">
        <f ca="1">IF($AN35="",OFFSET(Demand!$A$13,ROW(AC32)-1,4+((QUOTIENT(COLUMN(CS$2)-69,3))*5)+MOD(COLUMN(CS$2),3),1,1),"")</f>
        <v>0</v>
      </c>
      <c r="CT35">
        <f ca="1">IF($AN35="",OFFSET(Demand!$A$13,ROW(AD32)-1,4+((QUOTIENT(COLUMN(CT$2)-69,3))*5)+MOD(COLUMN(CT$2),3),1,1),"")</f>
        <v>0</v>
      </c>
      <c r="CW35" s="5">
        <f ca="1">SUM(OFFSET(Demand!$H$43,ROW(A32)-1,(COLUMN(A32)-1)*5,1,1))*N$2</f>
        <v>0</v>
      </c>
      <c r="CX35" s="5">
        <f ca="1">SUM(OFFSET(Demand!$H$43,ROW(B32)-1,(COLUMN(B32)-1)*5,1,1))*O$2</f>
        <v>0</v>
      </c>
      <c r="CY35" s="5">
        <f ca="1">SUM(OFFSET(Demand!$H$43,ROW(C32)-1,(COLUMN(C32)-1)*5,1,1))*P$2</f>
        <v>0</v>
      </c>
      <c r="CZ35" s="5">
        <f ca="1">SUM(OFFSET(Demand!$H$43,ROW(D32)-1,(COLUMN(D32)-1)*5,1,1))*Q$2</f>
        <v>0</v>
      </c>
      <c r="DA35" s="5">
        <f ca="1">SUM(OFFSET(Demand!$H$43,ROW(E32)-1,(COLUMN(E32)-1)*5,1,1))*R$2</f>
        <v>0</v>
      </c>
      <c r="DB35" s="5">
        <f ca="1">SUM(OFFSET(Demand!$H$43,ROW(F32)-1,(COLUMN(F32)-1)*5,1,1))*S$2</f>
        <v>0</v>
      </c>
      <c r="DC35" s="5">
        <f ca="1">SUM(OFFSET(Demand!$H$43,ROW(G32)-1,(COLUMN(G32)-1)*5,1,1))*T$2</f>
        <v>0</v>
      </c>
      <c r="DD35" s="5">
        <f ca="1">SUM(OFFSET(Demand!$H$43,ROW(H32)-1,(COLUMN(H32)-1)*5,1,1))*U$2</f>
        <v>0</v>
      </c>
      <c r="DE35" s="5">
        <f ca="1">SUM(OFFSET(Demand!$H$43,ROW(I32)-1,(COLUMN(I32)-1)*5,1,1))*V$2</f>
        <v>0</v>
      </c>
      <c r="DF35" s="5">
        <f ca="1">SUM(OFFSET(Demand!$H$43,ROW(J32)-1,(COLUMN(J32)-1)*5,1,1))*W$2</f>
        <v>0</v>
      </c>
      <c r="DG35" s="5">
        <f ca="1">IF(OR(AN35&lt;&gt;"",AND('Demand adjustments for Covid'!$F$9="Yes",'Demand adjustments for Covid'!$F$20="Yes")),"",SUM(CW35:DF35))</f>
        <v>0</v>
      </c>
      <c r="DM35" s="5">
        <f t="shared" si="10"/>
        <v>47</v>
      </c>
      <c r="DN35" s="320">
        <f t="shared" si="17"/>
        <v>44151</v>
      </c>
      <c r="DO35" s="5">
        <f ca="1">VLOOKUP(IF($DM35&lt;53,$DM35,52),'Summary Calculations (hide)'!$D$15:$F$67,2,0)</f>
        <v>132</v>
      </c>
      <c r="DP35" s="5">
        <f ca="1">VLOOKUP(IF($DM35&lt;53,$DM35,52),'Summary Calculations (hide)'!$D$15:$F$67,3,0)</f>
        <v>145.20000000000002</v>
      </c>
      <c r="DQ35" s="5">
        <f ca="1">IF(AND(DN35&gt;='Demand adjustments for Covid'!$F$12,DN35&lt;'Demand adjustments for Covid'!$F$17),'Demand adjustments for Covid'!$F$13,DO35)</f>
        <v>132</v>
      </c>
      <c r="DR35" s="5">
        <f t="shared" si="7"/>
        <v>0</v>
      </c>
      <c r="DS35" s="5">
        <f ca="1">IF('Demand adjustments for Covid'!$F$9="Yes",IF(DR35=0,DQ35,((SUM(DR$4:DR35)-1)*$EE$8)+'Demand adjustments for Covid'!F$13),'Demand background (hide)'!DO35)</f>
        <v>132</v>
      </c>
      <c r="DT35" s="5">
        <f ca="1">IF('Demand adjustments for Covid'!$F$9="Yes",IF(OR(AND(DN35&gt;='Demand adjustments for Covid'!$F$12,DN35&lt;'Demand adjustments for Covid'!$F$17),DR35=1),DS35+3,DP35),'Demand background (hide)'!DP35)</f>
        <v>145.20000000000002</v>
      </c>
      <c r="DU35" s="5">
        <f ca="1">IF(DS35&lt;='Demand adjustments for Covid'!$F$17,DO35-DS35,0)</f>
        <v>0</v>
      </c>
      <c r="DV35" s="5">
        <f ca="1">IF(AND(ROW(A32)&gt;$EE$5,ROW(A32)&lt;=$EA$5),OFFSET('Demand adjustments for Covid'!$F$35,0,ROW(A32)-'Demand background (hide)'!$EE$5,1,1),0)</f>
        <v>0</v>
      </c>
      <c r="DW35" s="5">
        <f ca="1">IF(AND(ROW(A32)&gt;$EE$5,ROW(A32)&lt;=$EA$5),OFFSET('Demand adjustments for Covid'!$F$36,0,ROW(A32)-'Demand background (hide)'!$EE$5,1,1),0)</f>
        <v>0</v>
      </c>
      <c r="DX35" s="5">
        <f t="shared" ca="1" si="11"/>
        <v>145.20000000000002</v>
      </c>
    </row>
    <row r="36" spans="1:128" s="5" customFormat="1" x14ac:dyDescent="0.25">
      <c r="A36" s="5">
        <f t="shared" ref="A36:A55" ca="1" si="32">SUM(OFFSET(B36,0,0,1,Num_Modalities))</f>
        <v>0</v>
      </c>
      <c r="B36" s="5">
        <f ca="1">COUNTBLANK(OFFSET(Demand!$I45,0,(COLUMN(A33)-1)*5,1,1))</f>
        <v>0</v>
      </c>
      <c r="C36" s="5">
        <f ca="1">COUNTBLANK(OFFSET(Demand!$I45,0,(COLUMN(B33)-1)*5,1,1))</f>
        <v>1</v>
      </c>
      <c r="D36" s="5">
        <f ca="1">COUNTBLANK(OFFSET(Demand!$I45,0,(COLUMN(C33)-1)*5,1,1))</f>
        <v>1</v>
      </c>
      <c r="E36" s="5">
        <f ca="1">COUNTBLANK(OFFSET(Demand!$I45,0,(COLUMN(D33)-1)*5,1,1))</f>
        <v>1</v>
      </c>
      <c r="F36" s="5">
        <f ca="1">COUNTBLANK(OFFSET(Demand!$I45,0,(COLUMN(E33)-1)*5,1,1))</f>
        <v>1</v>
      </c>
      <c r="G36" s="5">
        <f ca="1">COUNTBLANK(OFFSET(Demand!$I45,0,(COLUMN(F33)-1)*5,1,1))</f>
        <v>1</v>
      </c>
      <c r="H36" s="5">
        <f ca="1">COUNTBLANK(OFFSET(Demand!$I45,0,(COLUMN(G33)-1)*5,1,1))</f>
        <v>1</v>
      </c>
      <c r="I36" s="5">
        <f ca="1">COUNTBLANK(OFFSET(Demand!$I45,0,(COLUMN(H33)-1)*5,1,1))</f>
        <v>1</v>
      </c>
      <c r="J36" s="5">
        <f ca="1">COUNTBLANK(OFFSET(Demand!$I45,0,(COLUMN(I33)-1)*5,1,1))</f>
        <v>1</v>
      </c>
      <c r="K36" s="5">
        <f ca="1">COUNTBLANK(OFFSET(Demand!$I45,0,(COLUMN(J33)-1)*5,1,1))</f>
        <v>1</v>
      </c>
      <c r="N36" s="5">
        <f ca="1">SUM(OFFSET(Demand!$E45,0,(COLUMN(A33)-1)*5,1,3))*N$2</f>
        <v>136</v>
      </c>
      <c r="O36" s="5">
        <f ca="1">SUM(OFFSET(Demand!$E45,0,(COLUMN(B33)-1)*5,1,3))*O$2</f>
        <v>0</v>
      </c>
      <c r="P36" s="5">
        <f ca="1">SUM(OFFSET(Demand!$E45,0,(COLUMN(C33)-1)*5,1,3))*P$2</f>
        <v>0</v>
      </c>
      <c r="Q36" s="5">
        <f ca="1">SUM(OFFSET(Demand!$E45,0,(COLUMN(D33)-1)*5,1,3))*Q$2</f>
        <v>0</v>
      </c>
      <c r="R36" s="5">
        <f ca="1">SUM(OFFSET(Demand!$E45,0,(COLUMN(E33)-1)*5,1,3))*R$2</f>
        <v>0</v>
      </c>
      <c r="S36" s="5">
        <f ca="1">SUM(OFFSET(Demand!$E45,0,(COLUMN(F33)-1)*5,1,3))*S$2</f>
        <v>0</v>
      </c>
      <c r="T36" s="5">
        <f ca="1">SUM(OFFSET(Demand!$E45,0,(COLUMN(G33)-1)*5,1,3))*T$2</f>
        <v>0</v>
      </c>
      <c r="U36" s="5">
        <f ca="1">SUM(OFFSET(Demand!$E45,0,(COLUMN(H33)-1)*5,1,3))*U$2</f>
        <v>0</v>
      </c>
      <c r="V36" s="5">
        <f ca="1">SUM(OFFSET(Demand!$E45,0,(COLUMN(I33)-1)*5,1,3))*V$2</f>
        <v>0</v>
      </c>
      <c r="W36" s="5">
        <f ca="1">SUM(OFFSET(Demand!$E45,0,(COLUMN(J33)-1)*5,1,3))*W$2</f>
        <v>0</v>
      </c>
      <c r="X36" s="5">
        <f t="shared" ca="1" si="4"/>
        <v>136</v>
      </c>
      <c r="Y36" s="5">
        <f t="shared" ca="1" si="5"/>
        <v>136</v>
      </c>
      <c r="Z36" s="5">
        <f ca="1">SUM(OFFSET(Demand!$H45,0,(COLUMN(A33)-1)*5,1,1))*N$2</f>
        <v>0</v>
      </c>
      <c r="AA36" s="5">
        <f ca="1">SUM(OFFSET(Demand!$H45,0,(COLUMN(B33)-1)*5,1,1))*O$2</f>
        <v>0</v>
      </c>
      <c r="AB36" s="5">
        <f ca="1">SUM(OFFSET(Demand!$H45,0,(COLUMN(C33)-1)*5,1,1))*P$2</f>
        <v>0</v>
      </c>
      <c r="AC36" s="5">
        <f ca="1">SUM(OFFSET(Demand!$H45,0,(COLUMN(D33)-1)*5,1,1))*Q$2</f>
        <v>0</v>
      </c>
      <c r="AD36" s="5">
        <f ca="1">SUM(OFFSET(Demand!$H45,0,(COLUMN(E33)-1)*5,1,1))*R$2</f>
        <v>0</v>
      </c>
      <c r="AE36" s="5">
        <f ca="1">SUM(OFFSET(Demand!$H45,0,(COLUMN(F33)-1)*5,1,1))*S$2</f>
        <v>0</v>
      </c>
      <c r="AF36" s="5">
        <f ca="1">SUM(OFFSET(Demand!$H45,0,(COLUMN(G33)-1)*5,1,1))*T$2</f>
        <v>0</v>
      </c>
      <c r="AG36" s="5">
        <f ca="1">SUM(OFFSET(Demand!$H45,0,(COLUMN(H33)-1)*5,1,1))*U$2</f>
        <v>0</v>
      </c>
      <c r="AH36" s="5">
        <f ca="1">SUM(OFFSET(Demand!$H45,0,(COLUMN(I33)-1)*5,1,1))*V$2</f>
        <v>0</v>
      </c>
      <c r="AI36" s="5">
        <f ca="1">SUM(OFFSET(Demand!$H45,0,(COLUMN(J33)-1)*5,1,1))*W$2</f>
        <v>0</v>
      </c>
      <c r="AJ36" s="5">
        <f t="shared" ca="1" si="6"/>
        <v>0</v>
      </c>
      <c r="AL36" s="5">
        <f t="shared" ca="1" si="8"/>
        <v>136</v>
      </c>
      <c r="AM36" s="5">
        <f t="shared" ca="1" si="9"/>
        <v>0</v>
      </c>
      <c r="AN36" s="5" t="str">
        <f>IF(Demand!BE45="Yes","Yes","")</f>
        <v/>
      </c>
      <c r="AP36" s="36" t="str">
        <f ca="1">Demand!B45</f>
        <v xml:space="preserve"> </v>
      </c>
      <c r="AQ36" s="5" t="str">
        <f ca="1">IF(TEXT(Demand!D45,"MMM")&lt;&gt;TEXT(Demand!D44,"MMM"),TEXT(Demand!D45,"MMM"),"")</f>
        <v/>
      </c>
      <c r="AT36" s="5">
        <f t="shared" ca="1" si="12"/>
        <v>4</v>
      </c>
      <c r="BQ36">
        <f ca="1">IF($AN36="",OFFSET(Demand!$A$13,ROW(A33)-1,4+((QUOTIENT(COLUMN(BQ$2)-69,3))*5)+MOD(COLUMN(BQ$2),3),1,1),"")</f>
        <v>0</v>
      </c>
      <c r="BR36">
        <f ca="1">IF($AN36="",OFFSET(Demand!$A$13,ROW(B33)-1,4+((QUOTIENT(COLUMN(BR$2)-69,3))*5)+MOD(COLUMN(BR$2),3),1,1),"")</f>
        <v>0</v>
      </c>
      <c r="BS36">
        <f ca="1">IF($AN36="",OFFSET(Demand!$A$13,ROW(C33)-1,4+((QUOTIENT(COLUMN(BS$2)-69,3))*5)+MOD(COLUMN(BS$2),3),1,1),"")</f>
        <v>68</v>
      </c>
      <c r="BT36">
        <f ca="1">IF($AN36="",OFFSET(Demand!$A$13,ROW(D33)-1,4+((QUOTIENT(COLUMN(BT$2)-69,3))*5)+MOD(COLUMN(BT$2),3),1,1),"")</f>
        <v>0</v>
      </c>
      <c r="BU36">
        <f ca="1">IF($AN36="",OFFSET(Demand!$A$13,ROW(E33)-1,4+((QUOTIENT(COLUMN(BU$2)-69,3))*5)+MOD(COLUMN(BU$2),3),1,1),"")</f>
        <v>0</v>
      </c>
      <c r="BV36">
        <f ca="1">IF($AN36="",OFFSET(Demand!$A$13,ROW(F33)-1,4+((QUOTIENT(COLUMN(BV$2)-69,3))*5)+MOD(COLUMN(BV$2),3),1,1),"")</f>
        <v>0</v>
      </c>
      <c r="BW36">
        <f ca="1">IF($AN36="",OFFSET(Demand!$A$13,ROW(G33)-1,4+((QUOTIENT(COLUMN(BW$2)-69,3))*5)+MOD(COLUMN(BW$2),3),1,1),"")</f>
        <v>0</v>
      </c>
      <c r="BX36">
        <f ca="1">IF($AN36="",OFFSET(Demand!$A$13,ROW(H33)-1,4+((QUOTIENT(COLUMN(BX$2)-69,3))*5)+MOD(COLUMN(BX$2),3),1,1),"")</f>
        <v>0</v>
      </c>
      <c r="BY36">
        <f ca="1">IF($AN36="",OFFSET(Demand!$A$13,ROW(I33)-1,4+((QUOTIENT(COLUMN(BY$2)-69,3))*5)+MOD(COLUMN(BY$2),3),1,1),"")</f>
        <v>0</v>
      </c>
      <c r="BZ36">
        <f ca="1">IF($AN36="",OFFSET(Demand!$A$13,ROW(J33)-1,4+((QUOTIENT(COLUMN(BZ$2)-69,3))*5)+MOD(COLUMN(BZ$2),3),1,1),"")</f>
        <v>0</v>
      </c>
      <c r="CA36">
        <f ca="1">IF($AN36="",OFFSET(Demand!$A$13,ROW(K33)-1,4+((QUOTIENT(COLUMN(CA$2)-69,3))*5)+MOD(COLUMN(CA$2),3),1,1),"")</f>
        <v>0</v>
      </c>
      <c r="CB36">
        <f ca="1">IF($AN36="",OFFSET(Demand!$A$13,ROW(L33)-1,4+((QUOTIENT(COLUMN(CB$2)-69,3))*5)+MOD(COLUMN(CB$2),3),1,1),"")</f>
        <v>0</v>
      </c>
      <c r="CC36">
        <f ca="1">IF($AN36="",OFFSET(Demand!$A$13,ROW(M33)-1,4+((QUOTIENT(COLUMN(CC$2)-69,3))*5)+MOD(COLUMN(CC$2),3),1,1),"")</f>
        <v>0</v>
      </c>
      <c r="CD36">
        <f ca="1">IF($AN36="",OFFSET(Demand!$A$13,ROW(N33)-1,4+((QUOTIENT(COLUMN(CD$2)-69,3))*5)+MOD(COLUMN(CD$2),3),1,1),"")</f>
        <v>0</v>
      </c>
      <c r="CE36">
        <f ca="1">IF($AN36="",OFFSET(Demand!$A$13,ROW(O33)-1,4+((QUOTIENT(COLUMN(CE$2)-69,3))*5)+MOD(COLUMN(CE$2),3),1,1),"")</f>
        <v>0</v>
      </c>
      <c r="CF36">
        <f ca="1">IF($AN36="",OFFSET(Demand!$A$13,ROW(P33)-1,4+((QUOTIENT(COLUMN(CF$2)-69,3))*5)+MOD(COLUMN(CF$2),3),1,1),"")</f>
        <v>0</v>
      </c>
      <c r="CG36">
        <f ca="1">IF($AN36="",OFFSET(Demand!$A$13,ROW(Q33)-1,4+((QUOTIENT(COLUMN(CG$2)-69,3))*5)+MOD(COLUMN(CG$2),3),1,1),"")</f>
        <v>0</v>
      </c>
      <c r="CH36">
        <f ca="1">IF($AN36="",OFFSET(Demand!$A$13,ROW(R33)-1,4+((QUOTIENT(COLUMN(CH$2)-69,3))*5)+MOD(COLUMN(CH$2),3),1,1),"")</f>
        <v>0</v>
      </c>
      <c r="CI36">
        <f ca="1">IF($AN36="",OFFSET(Demand!$A$13,ROW(S33)-1,4+((QUOTIENT(COLUMN(CI$2)-69,3))*5)+MOD(COLUMN(CI$2),3),1,1),"")</f>
        <v>0</v>
      </c>
      <c r="CJ36">
        <f ca="1">IF($AN36="",OFFSET(Demand!$A$13,ROW(T33)-1,4+((QUOTIENT(COLUMN(CJ$2)-69,3))*5)+MOD(COLUMN(CJ$2),3),1,1),"")</f>
        <v>0</v>
      </c>
      <c r="CK36">
        <f ca="1">IF($AN36="",OFFSET(Demand!$A$13,ROW(U33)-1,4+((QUOTIENT(COLUMN(CK$2)-69,3))*5)+MOD(COLUMN(CK$2),3),1,1),"")</f>
        <v>0</v>
      </c>
      <c r="CL36">
        <f ca="1">IF($AN36="",OFFSET(Demand!$A$13,ROW(V33)-1,4+((QUOTIENT(COLUMN(CL$2)-69,3))*5)+MOD(COLUMN(CL$2),3),1,1),"")</f>
        <v>0</v>
      </c>
      <c r="CM36">
        <f ca="1">IF($AN36="",OFFSET(Demand!$A$13,ROW(W33)-1,4+((QUOTIENT(COLUMN(CM$2)-69,3))*5)+MOD(COLUMN(CM$2),3),1,1),"")</f>
        <v>0</v>
      </c>
      <c r="CN36">
        <f ca="1">IF($AN36="",OFFSET(Demand!$A$13,ROW(X33)-1,4+((QUOTIENT(COLUMN(CN$2)-69,3))*5)+MOD(COLUMN(CN$2),3),1,1),"")</f>
        <v>0</v>
      </c>
      <c r="CO36">
        <f ca="1">IF($AN36="",OFFSET(Demand!$A$13,ROW(Y33)-1,4+((QUOTIENT(COLUMN(CO$2)-69,3))*5)+MOD(COLUMN(CO$2),3),1,1),"")</f>
        <v>0</v>
      </c>
      <c r="CP36">
        <f ca="1">IF($AN36="",OFFSET(Demand!$A$13,ROW(Z33)-1,4+((QUOTIENT(COLUMN(CP$2)-69,3))*5)+MOD(COLUMN(CP$2),3),1,1),"")</f>
        <v>0</v>
      </c>
      <c r="CQ36">
        <f ca="1">IF($AN36="",OFFSET(Demand!$A$13,ROW(AA33)-1,4+((QUOTIENT(COLUMN(CQ$2)-69,3))*5)+MOD(COLUMN(CQ$2),3),1,1),"")</f>
        <v>0</v>
      </c>
      <c r="CR36">
        <f ca="1">IF($AN36="",OFFSET(Demand!$A$13,ROW(AB33)-1,4+((QUOTIENT(COLUMN(CR$2)-69,3))*5)+MOD(COLUMN(CR$2),3),1,1),"")</f>
        <v>0</v>
      </c>
      <c r="CS36">
        <f ca="1">IF($AN36="",OFFSET(Demand!$A$13,ROW(AC33)-1,4+((QUOTIENT(COLUMN(CS$2)-69,3))*5)+MOD(COLUMN(CS$2),3),1,1),"")</f>
        <v>0</v>
      </c>
      <c r="CT36">
        <f ca="1">IF($AN36="",OFFSET(Demand!$A$13,ROW(AD33)-1,4+((QUOTIENT(COLUMN(CT$2)-69,3))*5)+MOD(COLUMN(CT$2),3),1,1),"")</f>
        <v>0</v>
      </c>
      <c r="CW36" s="5">
        <f ca="1">SUM(OFFSET(Demand!$H$43,ROW(A33)-1,(COLUMN(A33)-1)*5,1,1))*N$2</f>
        <v>0</v>
      </c>
      <c r="CX36" s="5">
        <f ca="1">SUM(OFFSET(Demand!$H$43,ROW(B33)-1,(COLUMN(B33)-1)*5,1,1))*O$2</f>
        <v>0</v>
      </c>
      <c r="CY36" s="5">
        <f ca="1">SUM(OFFSET(Demand!$H$43,ROW(C33)-1,(COLUMN(C33)-1)*5,1,1))*P$2</f>
        <v>0</v>
      </c>
      <c r="CZ36" s="5">
        <f ca="1">SUM(OFFSET(Demand!$H$43,ROW(D33)-1,(COLUMN(D33)-1)*5,1,1))*Q$2</f>
        <v>0</v>
      </c>
      <c r="DA36" s="5">
        <f ca="1">SUM(OFFSET(Demand!$H$43,ROW(E33)-1,(COLUMN(E33)-1)*5,1,1))*R$2</f>
        <v>0</v>
      </c>
      <c r="DB36" s="5">
        <f ca="1">SUM(OFFSET(Demand!$H$43,ROW(F33)-1,(COLUMN(F33)-1)*5,1,1))*S$2</f>
        <v>0</v>
      </c>
      <c r="DC36" s="5">
        <f ca="1">SUM(OFFSET(Demand!$H$43,ROW(G33)-1,(COLUMN(G33)-1)*5,1,1))*T$2</f>
        <v>0</v>
      </c>
      <c r="DD36" s="5">
        <f ca="1">SUM(OFFSET(Demand!$H$43,ROW(H33)-1,(COLUMN(H33)-1)*5,1,1))*U$2</f>
        <v>0</v>
      </c>
      <c r="DE36" s="5">
        <f ca="1">SUM(OFFSET(Demand!$H$43,ROW(I33)-1,(COLUMN(I33)-1)*5,1,1))*V$2</f>
        <v>0</v>
      </c>
      <c r="DF36" s="5">
        <f ca="1">SUM(OFFSET(Demand!$H$43,ROW(J33)-1,(COLUMN(J33)-1)*5,1,1))*W$2</f>
        <v>0</v>
      </c>
      <c r="DG36" s="5">
        <f ca="1">IF(OR(AN36&lt;&gt;"",AND('Demand adjustments for Covid'!$F$9="Yes",'Demand adjustments for Covid'!$F$20="Yes")),"",SUM(CW36:DF36))</f>
        <v>0</v>
      </c>
      <c r="DM36" s="5">
        <f t="shared" si="10"/>
        <v>48</v>
      </c>
      <c r="DN36" s="320">
        <f t="shared" si="17"/>
        <v>44158</v>
      </c>
      <c r="DO36" s="5">
        <f ca="1">VLOOKUP(IF($DM36&lt;53,$DM36,52),'Summary Calculations (hide)'!$D$15:$F$67,2,0)</f>
        <v>136</v>
      </c>
      <c r="DP36" s="5">
        <f ca="1">VLOOKUP(IF($DM36&lt;53,$DM36,52),'Summary Calculations (hide)'!$D$15:$F$67,3,0)</f>
        <v>149.60000000000002</v>
      </c>
      <c r="DQ36" s="5">
        <f ca="1">IF(AND(DN36&gt;='Demand adjustments for Covid'!$F$12,DN36&lt;'Demand adjustments for Covid'!$F$17),'Demand adjustments for Covid'!$F$13,DO36)</f>
        <v>136</v>
      </c>
      <c r="DR36" s="5">
        <f t="shared" ref="DR36:DR55" si="33">IF(AND(ROW(A33)&gt;=$EE$4,ROW(A33)&lt;=$EE$5),1,0)</f>
        <v>0</v>
      </c>
      <c r="DS36" s="5">
        <f ca="1">IF('Demand adjustments for Covid'!$F$9="Yes",IF(DR36=0,DQ36,((SUM(DR$4:DR36)-1)*$EE$8)+'Demand adjustments for Covid'!F$13),'Demand background (hide)'!DO36)</f>
        <v>136</v>
      </c>
      <c r="DT36" s="5">
        <f ca="1">IF('Demand adjustments for Covid'!$F$9="Yes",IF(OR(AND(DN36&gt;='Demand adjustments for Covid'!$F$12,DN36&lt;'Demand adjustments for Covid'!$F$17),DR36=1),DS36+3,DP36),'Demand background (hide)'!DP36)</f>
        <v>149.60000000000002</v>
      </c>
      <c r="DU36" s="5">
        <f ca="1">IF(DS36&lt;='Demand adjustments for Covid'!$F$17,DO36-DS36,0)</f>
        <v>0</v>
      </c>
      <c r="DV36" s="5">
        <f ca="1">IF(AND(ROW(A33)&gt;$EE$5,ROW(A33)&lt;=$EA$5),OFFSET('Demand adjustments for Covid'!$F$35,0,ROW(A33)-'Demand background (hide)'!$EE$5,1,1),0)</f>
        <v>0</v>
      </c>
      <c r="DW36" s="5">
        <f ca="1">IF(AND(ROW(A33)&gt;$EE$5,ROW(A33)&lt;=$EA$5),OFFSET('Demand adjustments for Covid'!$F$36,0,ROW(A33)-'Demand background (hide)'!$EE$5,1,1),0)</f>
        <v>0</v>
      </c>
      <c r="DX36" s="5">
        <f t="shared" ca="1" si="11"/>
        <v>149.60000000000002</v>
      </c>
    </row>
    <row r="37" spans="1:128" s="5" customFormat="1" x14ac:dyDescent="0.25">
      <c r="A37" s="5">
        <f t="shared" ca="1" si="32"/>
        <v>0</v>
      </c>
      <c r="B37" s="5">
        <f ca="1">COUNTBLANK(OFFSET(Demand!$I46,0,(COLUMN(A34)-1)*5,1,1))</f>
        <v>0</v>
      </c>
      <c r="C37" s="5">
        <f ca="1">COUNTBLANK(OFFSET(Demand!$I46,0,(COLUMN(B34)-1)*5,1,1))</f>
        <v>1</v>
      </c>
      <c r="D37" s="5">
        <f ca="1">COUNTBLANK(OFFSET(Demand!$I46,0,(COLUMN(C34)-1)*5,1,1))</f>
        <v>1</v>
      </c>
      <c r="E37" s="5">
        <f ca="1">COUNTBLANK(OFFSET(Demand!$I46,0,(COLUMN(D34)-1)*5,1,1))</f>
        <v>1</v>
      </c>
      <c r="F37" s="5">
        <f ca="1">COUNTBLANK(OFFSET(Demand!$I46,0,(COLUMN(E34)-1)*5,1,1))</f>
        <v>1</v>
      </c>
      <c r="G37" s="5">
        <f ca="1">COUNTBLANK(OFFSET(Demand!$I46,0,(COLUMN(F34)-1)*5,1,1))</f>
        <v>1</v>
      </c>
      <c r="H37" s="5">
        <f ca="1">COUNTBLANK(OFFSET(Demand!$I46,0,(COLUMN(G34)-1)*5,1,1))</f>
        <v>1</v>
      </c>
      <c r="I37" s="5">
        <f ca="1">COUNTBLANK(OFFSET(Demand!$I46,0,(COLUMN(H34)-1)*5,1,1))</f>
        <v>1</v>
      </c>
      <c r="J37" s="5">
        <f ca="1">COUNTBLANK(OFFSET(Demand!$I46,0,(COLUMN(I34)-1)*5,1,1))</f>
        <v>1</v>
      </c>
      <c r="K37" s="5">
        <f ca="1">COUNTBLANK(OFFSET(Demand!$I46,0,(COLUMN(J34)-1)*5,1,1))</f>
        <v>1</v>
      </c>
      <c r="N37" s="5">
        <f ca="1">SUM(OFFSET(Demand!$E46,0,(COLUMN(A34)-1)*5,1,3))*N$2</f>
        <v>140</v>
      </c>
      <c r="O37" s="5">
        <f ca="1">SUM(OFFSET(Demand!$E46,0,(COLUMN(B34)-1)*5,1,3))*O$2</f>
        <v>0</v>
      </c>
      <c r="P37" s="5">
        <f ca="1">SUM(OFFSET(Demand!$E46,0,(COLUMN(C34)-1)*5,1,3))*P$2</f>
        <v>0</v>
      </c>
      <c r="Q37" s="5">
        <f ca="1">SUM(OFFSET(Demand!$E46,0,(COLUMN(D34)-1)*5,1,3))*Q$2</f>
        <v>0</v>
      </c>
      <c r="R37" s="5">
        <f ca="1">SUM(OFFSET(Demand!$E46,0,(COLUMN(E34)-1)*5,1,3))*R$2</f>
        <v>0</v>
      </c>
      <c r="S37" s="5">
        <f ca="1">SUM(OFFSET(Demand!$E46,0,(COLUMN(F34)-1)*5,1,3))*S$2</f>
        <v>0</v>
      </c>
      <c r="T37" s="5">
        <f ca="1">SUM(OFFSET(Demand!$E46,0,(COLUMN(G34)-1)*5,1,3))*T$2</f>
        <v>0</v>
      </c>
      <c r="U37" s="5">
        <f ca="1">SUM(OFFSET(Demand!$E46,0,(COLUMN(H34)-1)*5,1,3))*U$2</f>
        <v>0</v>
      </c>
      <c r="V37" s="5">
        <f ca="1">SUM(OFFSET(Demand!$E46,0,(COLUMN(I34)-1)*5,1,3))*V$2</f>
        <v>0</v>
      </c>
      <c r="W37" s="5">
        <f ca="1">SUM(OFFSET(Demand!$E46,0,(COLUMN(J34)-1)*5,1,3))*W$2</f>
        <v>0</v>
      </c>
      <c r="X37" s="5">
        <f t="shared" ca="1" si="4"/>
        <v>140</v>
      </c>
      <c r="Y37" s="5">
        <f t="shared" ca="1" si="5"/>
        <v>140</v>
      </c>
      <c r="Z37" s="5">
        <f ca="1">SUM(OFFSET(Demand!$H46,0,(COLUMN(A34)-1)*5,1,1))*N$2</f>
        <v>0</v>
      </c>
      <c r="AA37" s="5">
        <f ca="1">SUM(OFFSET(Demand!$H46,0,(COLUMN(B34)-1)*5,1,1))*O$2</f>
        <v>0</v>
      </c>
      <c r="AB37" s="5">
        <f ca="1">SUM(OFFSET(Demand!$H46,0,(COLUMN(C34)-1)*5,1,1))*P$2</f>
        <v>0</v>
      </c>
      <c r="AC37" s="5">
        <f ca="1">SUM(OFFSET(Demand!$H46,0,(COLUMN(D34)-1)*5,1,1))*Q$2</f>
        <v>0</v>
      </c>
      <c r="AD37" s="5">
        <f ca="1">SUM(OFFSET(Demand!$H46,0,(COLUMN(E34)-1)*5,1,1))*R$2</f>
        <v>0</v>
      </c>
      <c r="AE37" s="5">
        <f ca="1">SUM(OFFSET(Demand!$H46,0,(COLUMN(F34)-1)*5,1,1))*S$2</f>
        <v>0</v>
      </c>
      <c r="AF37" s="5">
        <f ca="1">SUM(OFFSET(Demand!$H46,0,(COLUMN(G34)-1)*5,1,1))*T$2</f>
        <v>0</v>
      </c>
      <c r="AG37" s="5">
        <f ca="1">SUM(OFFSET(Demand!$H46,0,(COLUMN(H34)-1)*5,1,1))*U$2</f>
        <v>0</v>
      </c>
      <c r="AH37" s="5">
        <f ca="1">SUM(OFFSET(Demand!$H46,0,(COLUMN(I34)-1)*5,1,1))*V$2</f>
        <v>0</v>
      </c>
      <c r="AI37" s="5">
        <f ca="1">SUM(OFFSET(Demand!$H46,0,(COLUMN(J34)-1)*5,1,1))*W$2</f>
        <v>0</v>
      </c>
      <c r="AJ37" s="5">
        <f t="shared" ca="1" si="6"/>
        <v>0</v>
      </c>
      <c r="AL37" s="5">
        <f t="shared" ca="1" si="8"/>
        <v>140</v>
      </c>
      <c r="AM37" s="5">
        <f t="shared" ca="1" si="9"/>
        <v>0</v>
      </c>
      <c r="AN37" s="5" t="str">
        <f>IF(Demand!BE46="Yes","Yes","")</f>
        <v/>
      </c>
      <c r="AP37" s="36" t="str">
        <f ca="1">Demand!B46</f>
        <v xml:space="preserve"> </v>
      </c>
      <c r="AQ37" s="5" t="str">
        <f ca="1">IF(TEXT(Demand!D46,"MMM")&lt;&gt;TEXT(Demand!D45,"MMM"),TEXT(Demand!D46,"MMM"),"")</f>
        <v/>
      </c>
      <c r="AT37" s="5">
        <f t="shared" ca="1" si="12"/>
        <v>4</v>
      </c>
      <c r="BQ37">
        <f ca="1">IF($AN37="",OFFSET(Demand!$A$13,ROW(A34)-1,4+((QUOTIENT(COLUMN(BQ$2)-69,3))*5)+MOD(COLUMN(BQ$2),3),1,1),"")</f>
        <v>0</v>
      </c>
      <c r="BR37">
        <f ca="1">IF($AN37="",OFFSET(Demand!$A$13,ROW(B34)-1,4+((QUOTIENT(COLUMN(BR$2)-69,3))*5)+MOD(COLUMN(BR$2),3),1,1),"")</f>
        <v>0</v>
      </c>
      <c r="BS37">
        <f ca="1">IF($AN37="",OFFSET(Demand!$A$13,ROW(C34)-1,4+((QUOTIENT(COLUMN(BS$2)-69,3))*5)+MOD(COLUMN(BS$2),3),1,1),"")</f>
        <v>70</v>
      </c>
      <c r="BT37">
        <f ca="1">IF($AN37="",OFFSET(Demand!$A$13,ROW(D34)-1,4+((QUOTIENT(COLUMN(BT$2)-69,3))*5)+MOD(COLUMN(BT$2),3),1,1),"")</f>
        <v>0</v>
      </c>
      <c r="BU37">
        <f ca="1">IF($AN37="",OFFSET(Demand!$A$13,ROW(E34)-1,4+((QUOTIENT(COLUMN(BU$2)-69,3))*5)+MOD(COLUMN(BU$2),3),1,1),"")</f>
        <v>0</v>
      </c>
      <c r="BV37">
        <f ca="1">IF($AN37="",OFFSET(Demand!$A$13,ROW(F34)-1,4+((QUOTIENT(COLUMN(BV$2)-69,3))*5)+MOD(COLUMN(BV$2),3),1,1),"")</f>
        <v>0</v>
      </c>
      <c r="BW37">
        <f ca="1">IF($AN37="",OFFSET(Demand!$A$13,ROW(G34)-1,4+((QUOTIENT(COLUMN(BW$2)-69,3))*5)+MOD(COLUMN(BW$2),3),1,1),"")</f>
        <v>0</v>
      </c>
      <c r="BX37">
        <f ca="1">IF($AN37="",OFFSET(Demand!$A$13,ROW(H34)-1,4+((QUOTIENT(COLUMN(BX$2)-69,3))*5)+MOD(COLUMN(BX$2),3),1,1),"")</f>
        <v>0</v>
      </c>
      <c r="BY37">
        <f ca="1">IF($AN37="",OFFSET(Demand!$A$13,ROW(I34)-1,4+((QUOTIENT(COLUMN(BY$2)-69,3))*5)+MOD(COLUMN(BY$2),3),1,1),"")</f>
        <v>0</v>
      </c>
      <c r="BZ37">
        <f ca="1">IF($AN37="",OFFSET(Demand!$A$13,ROW(J34)-1,4+((QUOTIENT(COLUMN(BZ$2)-69,3))*5)+MOD(COLUMN(BZ$2),3),1,1),"")</f>
        <v>0</v>
      </c>
      <c r="CA37">
        <f ca="1">IF($AN37="",OFFSET(Demand!$A$13,ROW(K34)-1,4+((QUOTIENT(COLUMN(CA$2)-69,3))*5)+MOD(COLUMN(CA$2),3),1,1),"")</f>
        <v>0</v>
      </c>
      <c r="CB37">
        <f ca="1">IF($AN37="",OFFSET(Demand!$A$13,ROW(L34)-1,4+((QUOTIENT(COLUMN(CB$2)-69,3))*5)+MOD(COLUMN(CB$2),3),1,1),"")</f>
        <v>0</v>
      </c>
      <c r="CC37">
        <f ca="1">IF($AN37="",OFFSET(Demand!$A$13,ROW(M34)-1,4+((QUOTIENT(COLUMN(CC$2)-69,3))*5)+MOD(COLUMN(CC$2),3),1,1),"")</f>
        <v>0</v>
      </c>
      <c r="CD37">
        <f ca="1">IF($AN37="",OFFSET(Demand!$A$13,ROW(N34)-1,4+((QUOTIENT(COLUMN(CD$2)-69,3))*5)+MOD(COLUMN(CD$2),3),1,1),"")</f>
        <v>0</v>
      </c>
      <c r="CE37">
        <f ca="1">IF($AN37="",OFFSET(Demand!$A$13,ROW(O34)-1,4+((QUOTIENT(COLUMN(CE$2)-69,3))*5)+MOD(COLUMN(CE$2),3),1,1),"")</f>
        <v>0</v>
      </c>
      <c r="CF37">
        <f ca="1">IF($AN37="",OFFSET(Demand!$A$13,ROW(P34)-1,4+((QUOTIENT(COLUMN(CF$2)-69,3))*5)+MOD(COLUMN(CF$2),3),1,1),"")</f>
        <v>0</v>
      </c>
      <c r="CG37">
        <f ca="1">IF($AN37="",OFFSET(Demand!$A$13,ROW(Q34)-1,4+((QUOTIENT(COLUMN(CG$2)-69,3))*5)+MOD(COLUMN(CG$2),3),1,1),"")</f>
        <v>0</v>
      </c>
      <c r="CH37">
        <f ca="1">IF($AN37="",OFFSET(Demand!$A$13,ROW(R34)-1,4+((QUOTIENT(COLUMN(CH$2)-69,3))*5)+MOD(COLUMN(CH$2),3),1,1),"")</f>
        <v>0</v>
      </c>
      <c r="CI37">
        <f ca="1">IF($AN37="",OFFSET(Demand!$A$13,ROW(S34)-1,4+((QUOTIENT(COLUMN(CI$2)-69,3))*5)+MOD(COLUMN(CI$2),3),1,1),"")</f>
        <v>0</v>
      </c>
      <c r="CJ37">
        <f ca="1">IF($AN37="",OFFSET(Demand!$A$13,ROW(T34)-1,4+((QUOTIENT(COLUMN(CJ$2)-69,3))*5)+MOD(COLUMN(CJ$2),3),1,1),"")</f>
        <v>0</v>
      </c>
      <c r="CK37">
        <f ca="1">IF($AN37="",OFFSET(Demand!$A$13,ROW(U34)-1,4+((QUOTIENT(COLUMN(CK$2)-69,3))*5)+MOD(COLUMN(CK$2),3),1,1),"")</f>
        <v>0</v>
      </c>
      <c r="CL37">
        <f ca="1">IF($AN37="",OFFSET(Demand!$A$13,ROW(V34)-1,4+((QUOTIENT(COLUMN(CL$2)-69,3))*5)+MOD(COLUMN(CL$2),3),1,1),"")</f>
        <v>0</v>
      </c>
      <c r="CM37">
        <f ca="1">IF($AN37="",OFFSET(Demand!$A$13,ROW(W34)-1,4+((QUOTIENT(COLUMN(CM$2)-69,3))*5)+MOD(COLUMN(CM$2),3),1,1),"")</f>
        <v>0</v>
      </c>
      <c r="CN37">
        <f ca="1">IF($AN37="",OFFSET(Demand!$A$13,ROW(X34)-1,4+((QUOTIENT(COLUMN(CN$2)-69,3))*5)+MOD(COLUMN(CN$2),3),1,1),"")</f>
        <v>0</v>
      </c>
      <c r="CO37">
        <f ca="1">IF($AN37="",OFFSET(Demand!$A$13,ROW(Y34)-1,4+((QUOTIENT(COLUMN(CO$2)-69,3))*5)+MOD(COLUMN(CO$2),3),1,1),"")</f>
        <v>0</v>
      </c>
      <c r="CP37">
        <f ca="1">IF($AN37="",OFFSET(Demand!$A$13,ROW(Z34)-1,4+((QUOTIENT(COLUMN(CP$2)-69,3))*5)+MOD(COLUMN(CP$2),3),1,1),"")</f>
        <v>0</v>
      </c>
      <c r="CQ37">
        <f ca="1">IF($AN37="",OFFSET(Demand!$A$13,ROW(AA34)-1,4+((QUOTIENT(COLUMN(CQ$2)-69,3))*5)+MOD(COLUMN(CQ$2),3),1,1),"")</f>
        <v>0</v>
      </c>
      <c r="CR37">
        <f ca="1">IF($AN37="",OFFSET(Demand!$A$13,ROW(AB34)-1,4+((QUOTIENT(COLUMN(CR$2)-69,3))*5)+MOD(COLUMN(CR$2),3),1,1),"")</f>
        <v>0</v>
      </c>
      <c r="CS37">
        <f ca="1">IF($AN37="",OFFSET(Demand!$A$13,ROW(AC34)-1,4+((QUOTIENT(COLUMN(CS$2)-69,3))*5)+MOD(COLUMN(CS$2),3),1,1),"")</f>
        <v>0</v>
      </c>
      <c r="CT37">
        <f ca="1">IF($AN37="",OFFSET(Demand!$A$13,ROW(AD34)-1,4+((QUOTIENT(COLUMN(CT$2)-69,3))*5)+MOD(COLUMN(CT$2),3),1,1),"")</f>
        <v>0</v>
      </c>
      <c r="CW37" s="5">
        <f ca="1">SUM(OFFSET(Demand!$H$43,ROW(A34)-1,(COLUMN(A34)-1)*5,1,1))*N$2</f>
        <v>0</v>
      </c>
      <c r="CX37" s="5">
        <f ca="1">SUM(OFFSET(Demand!$H$43,ROW(B34)-1,(COLUMN(B34)-1)*5,1,1))*O$2</f>
        <v>0</v>
      </c>
      <c r="CY37" s="5">
        <f ca="1">SUM(OFFSET(Demand!$H$43,ROW(C34)-1,(COLUMN(C34)-1)*5,1,1))*P$2</f>
        <v>0</v>
      </c>
      <c r="CZ37" s="5">
        <f ca="1">SUM(OFFSET(Demand!$H$43,ROW(D34)-1,(COLUMN(D34)-1)*5,1,1))*Q$2</f>
        <v>0</v>
      </c>
      <c r="DA37" s="5">
        <f ca="1">SUM(OFFSET(Demand!$H$43,ROW(E34)-1,(COLUMN(E34)-1)*5,1,1))*R$2</f>
        <v>0</v>
      </c>
      <c r="DB37" s="5">
        <f ca="1">SUM(OFFSET(Demand!$H$43,ROW(F34)-1,(COLUMN(F34)-1)*5,1,1))*S$2</f>
        <v>0</v>
      </c>
      <c r="DC37" s="5">
        <f ca="1">SUM(OFFSET(Demand!$H$43,ROW(G34)-1,(COLUMN(G34)-1)*5,1,1))*T$2</f>
        <v>0</v>
      </c>
      <c r="DD37" s="5">
        <f ca="1">SUM(OFFSET(Demand!$H$43,ROW(H34)-1,(COLUMN(H34)-1)*5,1,1))*U$2</f>
        <v>0</v>
      </c>
      <c r="DE37" s="5">
        <f ca="1">SUM(OFFSET(Demand!$H$43,ROW(I34)-1,(COLUMN(I34)-1)*5,1,1))*V$2</f>
        <v>0</v>
      </c>
      <c r="DF37" s="5">
        <f ca="1">SUM(OFFSET(Demand!$H$43,ROW(J34)-1,(COLUMN(J34)-1)*5,1,1))*W$2</f>
        <v>0</v>
      </c>
      <c r="DG37" s="5">
        <f ca="1">IF(OR(AN37&lt;&gt;"",AND('Demand adjustments for Covid'!$F$9="Yes",'Demand adjustments for Covid'!$F$20="Yes")),"",SUM(CW37:DF37))</f>
        <v>0</v>
      </c>
      <c r="DM37" s="5">
        <f t="shared" si="10"/>
        <v>49</v>
      </c>
      <c r="DN37" s="320">
        <f t="shared" si="17"/>
        <v>44165</v>
      </c>
      <c r="DO37" s="5">
        <f ca="1">VLOOKUP(IF($DM37&lt;53,$DM37,52),'Summary Calculations (hide)'!$D$15:$F$67,2,0)</f>
        <v>140</v>
      </c>
      <c r="DP37" s="5">
        <f ca="1">VLOOKUP(IF($DM37&lt;53,$DM37,52),'Summary Calculations (hide)'!$D$15:$F$67,3,0)</f>
        <v>154</v>
      </c>
      <c r="DQ37" s="5">
        <f ca="1">IF(AND(DN37&gt;='Demand adjustments for Covid'!$F$12,DN37&lt;'Demand adjustments for Covid'!$F$17),'Demand adjustments for Covid'!$F$13,DO37)</f>
        <v>140</v>
      </c>
      <c r="DR37" s="5">
        <f t="shared" si="33"/>
        <v>0</v>
      </c>
      <c r="DS37" s="5">
        <f ca="1">IF('Demand adjustments for Covid'!$F$9="Yes",IF(DR37=0,DQ37,((SUM(DR$4:DR37)-1)*$EE$8)+'Demand adjustments for Covid'!F$13),'Demand background (hide)'!DO37)</f>
        <v>140</v>
      </c>
      <c r="DT37" s="5">
        <f ca="1">IF('Demand adjustments for Covid'!$F$9="Yes",IF(OR(AND(DN37&gt;='Demand adjustments for Covid'!$F$12,DN37&lt;'Demand adjustments for Covid'!$F$17),DR37=1),DS37+3,DP37),'Demand background (hide)'!DP37)</f>
        <v>154</v>
      </c>
      <c r="DU37" s="5">
        <f ca="1">IF(DS37&lt;='Demand adjustments for Covid'!$F$17,DO37-DS37,0)</f>
        <v>0</v>
      </c>
      <c r="DV37" s="5">
        <f ca="1">IF(AND(ROW(A34)&gt;$EE$5,ROW(A34)&lt;=$EA$5),OFFSET('Demand adjustments for Covid'!$F$35,0,ROW(A34)-'Demand background (hide)'!$EE$5,1,1),0)</f>
        <v>0</v>
      </c>
      <c r="DW37" s="5">
        <f ca="1">IF(AND(ROW(A34)&gt;$EE$5,ROW(A34)&lt;=$EA$5),OFFSET('Demand adjustments for Covid'!$F$36,0,ROW(A34)-'Demand background (hide)'!$EE$5,1,1),0)</f>
        <v>0</v>
      </c>
      <c r="DX37" s="5">
        <f t="shared" ca="1" si="11"/>
        <v>154</v>
      </c>
    </row>
    <row r="38" spans="1:128" s="5" customFormat="1" x14ac:dyDescent="0.25">
      <c r="A38" s="5">
        <f t="shared" ca="1" si="32"/>
        <v>0</v>
      </c>
      <c r="B38" s="5">
        <f ca="1">COUNTBLANK(OFFSET(Demand!$I47,0,(COLUMN(A35)-1)*5,1,1))</f>
        <v>0</v>
      </c>
      <c r="C38" s="5">
        <f ca="1">COUNTBLANK(OFFSET(Demand!$I47,0,(COLUMN(B35)-1)*5,1,1))</f>
        <v>1</v>
      </c>
      <c r="D38" s="5">
        <f ca="1">COUNTBLANK(OFFSET(Demand!$I47,0,(COLUMN(C35)-1)*5,1,1))</f>
        <v>1</v>
      </c>
      <c r="E38" s="5">
        <f ca="1">COUNTBLANK(OFFSET(Demand!$I47,0,(COLUMN(D35)-1)*5,1,1))</f>
        <v>1</v>
      </c>
      <c r="F38" s="5">
        <f ca="1">COUNTBLANK(OFFSET(Demand!$I47,0,(COLUMN(E35)-1)*5,1,1))</f>
        <v>1</v>
      </c>
      <c r="G38" s="5">
        <f ca="1">COUNTBLANK(OFFSET(Demand!$I47,0,(COLUMN(F35)-1)*5,1,1))</f>
        <v>1</v>
      </c>
      <c r="H38" s="5">
        <f ca="1">COUNTBLANK(OFFSET(Demand!$I47,0,(COLUMN(G35)-1)*5,1,1))</f>
        <v>1</v>
      </c>
      <c r="I38" s="5">
        <f ca="1">COUNTBLANK(OFFSET(Demand!$I47,0,(COLUMN(H35)-1)*5,1,1))</f>
        <v>1</v>
      </c>
      <c r="J38" s="5">
        <f ca="1">COUNTBLANK(OFFSET(Demand!$I47,0,(COLUMN(I35)-1)*5,1,1))</f>
        <v>1</v>
      </c>
      <c r="K38" s="5">
        <f ca="1">COUNTBLANK(OFFSET(Demand!$I47,0,(COLUMN(J35)-1)*5,1,1))</f>
        <v>1</v>
      </c>
      <c r="N38" s="5">
        <f ca="1">SUM(OFFSET(Demand!$E47,0,(COLUMN(A35)-1)*5,1,3))*N$2</f>
        <v>144</v>
      </c>
      <c r="O38" s="5">
        <f ca="1">SUM(OFFSET(Demand!$E47,0,(COLUMN(B35)-1)*5,1,3))*O$2</f>
        <v>0</v>
      </c>
      <c r="P38" s="5">
        <f ca="1">SUM(OFFSET(Demand!$E47,0,(COLUMN(C35)-1)*5,1,3))*P$2</f>
        <v>0</v>
      </c>
      <c r="Q38" s="5">
        <f ca="1">SUM(OFFSET(Demand!$E47,0,(COLUMN(D35)-1)*5,1,3))*Q$2</f>
        <v>0</v>
      </c>
      <c r="R38" s="5">
        <f ca="1">SUM(OFFSET(Demand!$E47,0,(COLUMN(E35)-1)*5,1,3))*R$2</f>
        <v>0</v>
      </c>
      <c r="S38" s="5">
        <f ca="1">SUM(OFFSET(Demand!$E47,0,(COLUMN(F35)-1)*5,1,3))*S$2</f>
        <v>0</v>
      </c>
      <c r="T38" s="5">
        <f ca="1">SUM(OFFSET(Demand!$E47,0,(COLUMN(G35)-1)*5,1,3))*T$2</f>
        <v>0</v>
      </c>
      <c r="U38" s="5">
        <f ca="1">SUM(OFFSET(Demand!$E47,0,(COLUMN(H35)-1)*5,1,3))*U$2</f>
        <v>0</v>
      </c>
      <c r="V38" s="5">
        <f ca="1">SUM(OFFSET(Demand!$E47,0,(COLUMN(I35)-1)*5,1,3))*V$2</f>
        <v>0</v>
      </c>
      <c r="W38" s="5">
        <f ca="1">SUM(OFFSET(Demand!$E47,0,(COLUMN(J35)-1)*5,1,3))*W$2</f>
        <v>0</v>
      </c>
      <c r="X38" s="5">
        <f t="shared" ca="1" si="4"/>
        <v>144</v>
      </c>
      <c r="Y38" s="5">
        <f t="shared" ca="1" si="5"/>
        <v>144</v>
      </c>
      <c r="Z38" s="5">
        <f ca="1">SUM(OFFSET(Demand!$H47,0,(COLUMN(A35)-1)*5,1,1))*N$2</f>
        <v>0</v>
      </c>
      <c r="AA38" s="5">
        <f ca="1">SUM(OFFSET(Demand!$H47,0,(COLUMN(B35)-1)*5,1,1))*O$2</f>
        <v>0</v>
      </c>
      <c r="AB38" s="5">
        <f ca="1">SUM(OFFSET(Demand!$H47,0,(COLUMN(C35)-1)*5,1,1))*P$2</f>
        <v>0</v>
      </c>
      <c r="AC38" s="5">
        <f ca="1">SUM(OFFSET(Demand!$H47,0,(COLUMN(D35)-1)*5,1,1))*Q$2</f>
        <v>0</v>
      </c>
      <c r="AD38" s="5">
        <f ca="1">SUM(OFFSET(Demand!$H47,0,(COLUMN(E35)-1)*5,1,1))*R$2</f>
        <v>0</v>
      </c>
      <c r="AE38" s="5">
        <f ca="1">SUM(OFFSET(Demand!$H47,0,(COLUMN(F35)-1)*5,1,1))*S$2</f>
        <v>0</v>
      </c>
      <c r="AF38" s="5">
        <f ca="1">SUM(OFFSET(Demand!$H47,0,(COLUMN(G35)-1)*5,1,1))*T$2</f>
        <v>0</v>
      </c>
      <c r="AG38" s="5">
        <f ca="1">SUM(OFFSET(Demand!$H47,0,(COLUMN(H35)-1)*5,1,1))*U$2</f>
        <v>0</v>
      </c>
      <c r="AH38" s="5">
        <f ca="1">SUM(OFFSET(Demand!$H47,0,(COLUMN(I35)-1)*5,1,1))*V$2</f>
        <v>0</v>
      </c>
      <c r="AI38" s="5">
        <f ca="1">SUM(OFFSET(Demand!$H47,0,(COLUMN(J35)-1)*5,1,1))*W$2</f>
        <v>0</v>
      </c>
      <c r="AJ38" s="5">
        <f t="shared" ca="1" si="6"/>
        <v>0</v>
      </c>
      <c r="AL38" s="5">
        <f t="shared" ca="1" si="8"/>
        <v>144</v>
      </c>
      <c r="AM38" s="5">
        <f t="shared" ca="1" si="9"/>
        <v>0</v>
      </c>
      <c r="AN38" s="5" t="str">
        <f>IF(Demand!BE47="Yes","Yes","")</f>
        <v/>
      </c>
      <c r="AP38" s="36" t="str">
        <f ca="1">Demand!B47</f>
        <v xml:space="preserve"> </v>
      </c>
      <c r="AQ38" s="5" t="str">
        <f ca="1">IF(TEXT(Demand!D47,"MMM")&lt;&gt;TEXT(Demand!D46,"MMM"),TEXT(Demand!D47,"MMM"),"")</f>
        <v/>
      </c>
      <c r="AT38" s="5">
        <f t="shared" ca="1" si="12"/>
        <v>4</v>
      </c>
      <c r="BQ38">
        <f ca="1">IF($AN38="",OFFSET(Demand!$A$13,ROW(A35)-1,4+((QUOTIENT(COLUMN(BQ$2)-69,3))*5)+MOD(COLUMN(BQ$2),3),1,1),"")</f>
        <v>0</v>
      </c>
      <c r="BR38">
        <f ca="1">IF($AN38="",OFFSET(Demand!$A$13,ROW(B35)-1,4+((QUOTIENT(COLUMN(BR$2)-69,3))*5)+MOD(COLUMN(BR$2),3),1,1),"")</f>
        <v>0</v>
      </c>
      <c r="BS38">
        <f ca="1">IF($AN38="",OFFSET(Demand!$A$13,ROW(C35)-1,4+((QUOTIENT(COLUMN(BS$2)-69,3))*5)+MOD(COLUMN(BS$2),3),1,1),"")</f>
        <v>72</v>
      </c>
      <c r="BT38">
        <f ca="1">IF($AN38="",OFFSET(Demand!$A$13,ROW(D35)-1,4+((QUOTIENT(COLUMN(BT$2)-69,3))*5)+MOD(COLUMN(BT$2),3),1,1),"")</f>
        <v>0</v>
      </c>
      <c r="BU38">
        <f ca="1">IF($AN38="",OFFSET(Demand!$A$13,ROW(E35)-1,4+((QUOTIENT(COLUMN(BU$2)-69,3))*5)+MOD(COLUMN(BU$2),3),1,1),"")</f>
        <v>0</v>
      </c>
      <c r="BV38">
        <f ca="1">IF($AN38="",OFFSET(Demand!$A$13,ROW(F35)-1,4+((QUOTIENT(COLUMN(BV$2)-69,3))*5)+MOD(COLUMN(BV$2),3),1,1),"")</f>
        <v>0</v>
      </c>
      <c r="BW38">
        <f ca="1">IF($AN38="",OFFSET(Demand!$A$13,ROW(G35)-1,4+((QUOTIENT(COLUMN(BW$2)-69,3))*5)+MOD(COLUMN(BW$2),3),1,1),"")</f>
        <v>0</v>
      </c>
      <c r="BX38">
        <f ca="1">IF($AN38="",OFFSET(Demand!$A$13,ROW(H35)-1,4+((QUOTIENT(COLUMN(BX$2)-69,3))*5)+MOD(COLUMN(BX$2),3),1,1),"")</f>
        <v>0</v>
      </c>
      <c r="BY38">
        <f ca="1">IF($AN38="",OFFSET(Demand!$A$13,ROW(I35)-1,4+((QUOTIENT(COLUMN(BY$2)-69,3))*5)+MOD(COLUMN(BY$2),3),1,1),"")</f>
        <v>0</v>
      </c>
      <c r="BZ38">
        <f ca="1">IF($AN38="",OFFSET(Demand!$A$13,ROW(J35)-1,4+((QUOTIENT(COLUMN(BZ$2)-69,3))*5)+MOD(COLUMN(BZ$2),3),1,1),"")</f>
        <v>0</v>
      </c>
      <c r="CA38">
        <f ca="1">IF($AN38="",OFFSET(Demand!$A$13,ROW(K35)-1,4+((QUOTIENT(COLUMN(CA$2)-69,3))*5)+MOD(COLUMN(CA$2),3),1,1),"")</f>
        <v>0</v>
      </c>
      <c r="CB38">
        <f ca="1">IF($AN38="",OFFSET(Demand!$A$13,ROW(L35)-1,4+((QUOTIENT(COLUMN(CB$2)-69,3))*5)+MOD(COLUMN(CB$2),3),1,1),"")</f>
        <v>0</v>
      </c>
      <c r="CC38">
        <f ca="1">IF($AN38="",OFFSET(Demand!$A$13,ROW(M35)-1,4+((QUOTIENT(COLUMN(CC$2)-69,3))*5)+MOD(COLUMN(CC$2),3),1,1),"")</f>
        <v>0</v>
      </c>
      <c r="CD38">
        <f ca="1">IF($AN38="",OFFSET(Demand!$A$13,ROW(N35)-1,4+((QUOTIENT(COLUMN(CD$2)-69,3))*5)+MOD(COLUMN(CD$2),3),1,1),"")</f>
        <v>0</v>
      </c>
      <c r="CE38">
        <f ca="1">IF($AN38="",OFFSET(Demand!$A$13,ROW(O35)-1,4+((QUOTIENT(COLUMN(CE$2)-69,3))*5)+MOD(COLUMN(CE$2),3),1,1),"")</f>
        <v>0</v>
      </c>
      <c r="CF38">
        <f ca="1">IF($AN38="",OFFSET(Demand!$A$13,ROW(P35)-1,4+((QUOTIENT(COLUMN(CF$2)-69,3))*5)+MOD(COLUMN(CF$2),3),1,1),"")</f>
        <v>0</v>
      </c>
      <c r="CG38">
        <f ca="1">IF($AN38="",OFFSET(Demand!$A$13,ROW(Q35)-1,4+((QUOTIENT(COLUMN(CG$2)-69,3))*5)+MOD(COLUMN(CG$2),3),1,1),"")</f>
        <v>0</v>
      </c>
      <c r="CH38">
        <f ca="1">IF($AN38="",OFFSET(Demand!$A$13,ROW(R35)-1,4+((QUOTIENT(COLUMN(CH$2)-69,3))*5)+MOD(COLUMN(CH$2),3),1,1),"")</f>
        <v>0</v>
      </c>
      <c r="CI38">
        <f ca="1">IF($AN38="",OFFSET(Demand!$A$13,ROW(S35)-1,4+((QUOTIENT(COLUMN(CI$2)-69,3))*5)+MOD(COLUMN(CI$2),3),1,1),"")</f>
        <v>0</v>
      </c>
      <c r="CJ38">
        <f ca="1">IF($AN38="",OFFSET(Demand!$A$13,ROW(T35)-1,4+((QUOTIENT(COLUMN(CJ$2)-69,3))*5)+MOD(COLUMN(CJ$2),3),1,1),"")</f>
        <v>0</v>
      </c>
      <c r="CK38">
        <f ca="1">IF($AN38="",OFFSET(Demand!$A$13,ROW(U35)-1,4+((QUOTIENT(COLUMN(CK$2)-69,3))*5)+MOD(COLUMN(CK$2),3),1,1),"")</f>
        <v>0</v>
      </c>
      <c r="CL38">
        <f ca="1">IF($AN38="",OFFSET(Demand!$A$13,ROW(V35)-1,4+((QUOTIENT(COLUMN(CL$2)-69,3))*5)+MOD(COLUMN(CL$2),3),1,1),"")</f>
        <v>0</v>
      </c>
      <c r="CM38">
        <f ca="1">IF($AN38="",OFFSET(Demand!$A$13,ROW(W35)-1,4+((QUOTIENT(COLUMN(CM$2)-69,3))*5)+MOD(COLUMN(CM$2),3),1,1),"")</f>
        <v>0</v>
      </c>
      <c r="CN38">
        <f ca="1">IF($AN38="",OFFSET(Demand!$A$13,ROW(X35)-1,4+((QUOTIENT(COLUMN(CN$2)-69,3))*5)+MOD(COLUMN(CN$2),3),1,1),"")</f>
        <v>0</v>
      </c>
      <c r="CO38">
        <f ca="1">IF($AN38="",OFFSET(Demand!$A$13,ROW(Y35)-1,4+((QUOTIENT(COLUMN(CO$2)-69,3))*5)+MOD(COLUMN(CO$2),3),1,1),"")</f>
        <v>0</v>
      </c>
      <c r="CP38">
        <f ca="1">IF($AN38="",OFFSET(Demand!$A$13,ROW(Z35)-1,4+((QUOTIENT(COLUMN(CP$2)-69,3))*5)+MOD(COLUMN(CP$2),3),1,1),"")</f>
        <v>0</v>
      </c>
      <c r="CQ38">
        <f ca="1">IF($AN38="",OFFSET(Demand!$A$13,ROW(AA35)-1,4+((QUOTIENT(COLUMN(CQ$2)-69,3))*5)+MOD(COLUMN(CQ$2),3),1,1),"")</f>
        <v>0</v>
      </c>
      <c r="CR38">
        <f ca="1">IF($AN38="",OFFSET(Demand!$A$13,ROW(AB35)-1,4+((QUOTIENT(COLUMN(CR$2)-69,3))*5)+MOD(COLUMN(CR$2),3),1,1),"")</f>
        <v>0</v>
      </c>
      <c r="CS38">
        <f ca="1">IF($AN38="",OFFSET(Demand!$A$13,ROW(AC35)-1,4+((QUOTIENT(COLUMN(CS$2)-69,3))*5)+MOD(COLUMN(CS$2),3),1,1),"")</f>
        <v>0</v>
      </c>
      <c r="CT38">
        <f ca="1">IF($AN38="",OFFSET(Demand!$A$13,ROW(AD35)-1,4+((QUOTIENT(COLUMN(CT$2)-69,3))*5)+MOD(COLUMN(CT$2),3),1,1),"")</f>
        <v>0</v>
      </c>
      <c r="CW38" s="5">
        <f ca="1">SUM(OFFSET(Demand!$H$43,ROW(A35)-1,(COLUMN(A35)-1)*5,1,1))*N$2</f>
        <v>0</v>
      </c>
      <c r="CX38" s="5">
        <f ca="1">SUM(OFFSET(Demand!$H$43,ROW(B35)-1,(COLUMN(B35)-1)*5,1,1))*O$2</f>
        <v>0</v>
      </c>
      <c r="CY38" s="5">
        <f ca="1">SUM(OFFSET(Demand!$H$43,ROW(C35)-1,(COLUMN(C35)-1)*5,1,1))*P$2</f>
        <v>0</v>
      </c>
      <c r="CZ38" s="5">
        <f ca="1">SUM(OFFSET(Demand!$H$43,ROW(D35)-1,(COLUMN(D35)-1)*5,1,1))*Q$2</f>
        <v>0</v>
      </c>
      <c r="DA38" s="5">
        <f ca="1">SUM(OFFSET(Demand!$H$43,ROW(E35)-1,(COLUMN(E35)-1)*5,1,1))*R$2</f>
        <v>0</v>
      </c>
      <c r="DB38" s="5">
        <f ca="1">SUM(OFFSET(Demand!$H$43,ROW(F35)-1,(COLUMN(F35)-1)*5,1,1))*S$2</f>
        <v>0</v>
      </c>
      <c r="DC38" s="5">
        <f ca="1">SUM(OFFSET(Demand!$H$43,ROW(G35)-1,(COLUMN(G35)-1)*5,1,1))*T$2</f>
        <v>0</v>
      </c>
      <c r="DD38" s="5">
        <f ca="1">SUM(OFFSET(Demand!$H$43,ROW(H35)-1,(COLUMN(H35)-1)*5,1,1))*U$2</f>
        <v>0</v>
      </c>
      <c r="DE38" s="5">
        <f ca="1">SUM(OFFSET(Demand!$H$43,ROW(I35)-1,(COLUMN(I35)-1)*5,1,1))*V$2</f>
        <v>0</v>
      </c>
      <c r="DF38" s="5">
        <f ca="1">SUM(OFFSET(Demand!$H$43,ROW(J35)-1,(COLUMN(J35)-1)*5,1,1))*W$2</f>
        <v>0</v>
      </c>
      <c r="DG38" s="5">
        <f ca="1">IF(OR(AN38&lt;&gt;"",AND('Demand adjustments for Covid'!$F$9="Yes",'Demand adjustments for Covid'!$F$20="Yes")),"",SUM(CW38:DF38))</f>
        <v>0</v>
      </c>
      <c r="DM38" s="5">
        <f t="shared" si="10"/>
        <v>50</v>
      </c>
      <c r="DN38" s="320">
        <f t="shared" si="17"/>
        <v>44172</v>
      </c>
      <c r="DO38" s="5">
        <f ca="1">VLOOKUP(IF($DM38&lt;53,$DM38,52),'Summary Calculations (hide)'!$D$15:$F$67,2,0)</f>
        <v>144</v>
      </c>
      <c r="DP38" s="5">
        <f ca="1">VLOOKUP(IF($DM38&lt;53,$DM38,52),'Summary Calculations (hide)'!$D$15:$F$67,3,0)</f>
        <v>158.4</v>
      </c>
      <c r="DQ38" s="5">
        <f ca="1">IF(AND(DN38&gt;='Demand adjustments for Covid'!$F$12,DN38&lt;'Demand adjustments for Covid'!$F$17),'Demand adjustments for Covid'!$F$13,DO38)</f>
        <v>144</v>
      </c>
      <c r="DR38" s="5">
        <f t="shared" si="33"/>
        <v>0</v>
      </c>
      <c r="DS38" s="5">
        <f ca="1">IF('Demand adjustments for Covid'!$F$9="Yes",IF(DR38=0,DQ38,((SUM(DR$4:DR38)-1)*$EE$8)+'Demand adjustments for Covid'!F$13),'Demand background (hide)'!DO38)</f>
        <v>144</v>
      </c>
      <c r="DT38" s="5">
        <f ca="1">IF('Demand adjustments for Covid'!$F$9="Yes",IF(OR(AND(DN38&gt;='Demand adjustments for Covid'!$F$12,DN38&lt;'Demand adjustments for Covid'!$F$17),DR38=1),DS38+3,DP38),'Demand background (hide)'!DP38)</f>
        <v>158.4</v>
      </c>
      <c r="DU38" s="5">
        <f ca="1">IF(DS38&lt;='Demand adjustments for Covid'!$F$17,DO38-DS38,0)</f>
        <v>0</v>
      </c>
      <c r="DV38" s="5">
        <f ca="1">IF(AND(ROW(A35)&gt;$EE$5,ROW(A35)&lt;=$EA$5),OFFSET('Demand adjustments for Covid'!$F$35,0,ROW(A35)-'Demand background (hide)'!$EE$5,1,1),0)</f>
        <v>0</v>
      </c>
      <c r="DW38" s="5">
        <f ca="1">IF(AND(ROW(A35)&gt;$EE$5,ROW(A35)&lt;=$EA$5),OFFSET('Demand adjustments for Covid'!$F$36,0,ROW(A35)-'Demand background (hide)'!$EE$5,1,1),0)</f>
        <v>0</v>
      </c>
      <c r="DX38" s="5">
        <f t="shared" ca="1" si="11"/>
        <v>158.4</v>
      </c>
    </row>
    <row r="39" spans="1:128" s="5" customFormat="1" x14ac:dyDescent="0.25">
      <c r="A39" s="5">
        <f t="shared" ca="1" si="32"/>
        <v>0</v>
      </c>
      <c r="B39" s="5">
        <f ca="1">COUNTBLANK(OFFSET(Demand!$I48,0,(COLUMN(A36)-1)*5,1,1))</f>
        <v>0</v>
      </c>
      <c r="C39" s="5">
        <f ca="1">COUNTBLANK(OFFSET(Demand!$I48,0,(COLUMN(B36)-1)*5,1,1))</f>
        <v>1</v>
      </c>
      <c r="D39" s="5">
        <f ca="1">COUNTBLANK(OFFSET(Demand!$I48,0,(COLUMN(C36)-1)*5,1,1))</f>
        <v>1</v>
      </c>
      <c r="E39" s="5">
        <f ca="1">COUNTBLANK(OFFSET(Demand!$I48,0,(COLUMN(D36)-1)*5,1,1))</f>
        <v>1</v>
      </c>
      <c r="F39" s="5">
        <f ca="1">COUNTBLANK(OFFSET(Demand!$I48,0,(COLUMN(E36)-1)*5,1,1))</f>
        <v>1</v>
      </c>
      <c r="G39" s="5">
        <f ca="1">COUNTBLANK(OFFSET(Demand!$I48,0,(COLUMN(F36)-1)*5,1,1))</f>
        <v>1</v>
      </c>
      <c r="H39" s="5">
        <f ca="1">COUNTBLANK(OFFSET(Demand!$I48,0,(COLUMN(G36)-1)*5,1,1))</f>
        <v>1</v>
      </c>
      <c r="I39" s="5">
        <f ca="1">COUNTBLANK(OFFSET(Demand!$I48,0,(COLUMN(H36)-1)*5,1,1))</f>
        <v>1</v>
      </c>
      <c r="J39" s="5">
        <f ca="1">COUNTBLANK(OFFSET(Demand!$I48,0,(COLUMN(I36)-1)*5,1,1))</f>
        <v>1</v>
      </c>
      <c r="K39" s="5">
        <f ca="1">COUNTBLANK(OFFSET(Demand!$I48,0,(COLUMN(J36)-1)*5,1,1))</f>
        <v>1</v>
      </c>
      <c r="N39" s="5">
        <f ca="1">SUM(OFFSET(Demand!$E48,0,(COLUMN(A36)-1)*5,1,3))*N$2</f>
        <v>124</v>
      </c>
      <c r="O39" s="5">
        <f ca="1">SUM(OFFSET(Demand!$E48,0,(COLUMN(B36)-1)*5,1,3))*O$2</f>
        <v>0</v>
      </c>
      <c r="P39" s="5">
        <f ca="1">SUM(OFFSET(Demand!$E48,0,(COLUMN(C36)-1)*5,1,3))*P$2</f>
        <v>0</v>
      </c>
      <c r="Q39" s="5">
        <f ca="1">SUM(OFFSET(Demand!$E48,0,(COLUMN(D36)-1)*5,1,3))*Q$2</f>
        <v>0</v>
      </c>
      <c r="R39" s="5">
        <f ca="1">SUM(OFFSET(Demand!$E48,0,(COLUMN(E36)-1)*5,1,3))*R$2</f>
        <v>0</v>
      </c>
      <c r="S39" s="5">
        <f ca="1">SUM(OFFSET(Demand!$E48,0,(COLUMN(F36)-1)*5,1,3))*S$2</f>
        <v>0</v>
      </c>
      <c r="T39" s="5">
        <f ca="1">SUM(OFFSET(Demand!$E48,0,(COLUMN(G36)-1)*5,1,3))*T$2</f>
        <v>0</v>
      </c>
      <c r="U39" s="5">
        <f ca="1">SUM(OFFSET(Demand!$E48,0,(COLUMN(H36)-1)*5,1,3))*U$2</f>
        <v>0</v>
      </c>
      <c r="V39" s="5">
        <f ca="1">SUM(OFFSET(Demand!$E48,0,(COLUMN(I36)-1)*5,1,3))*V$2</f>
        <v>0</v>
      </c>
      <c r="W39" s="5">
        <f ca="1">SUM(OFFSET(Demand!$E48,0,(COLUMN(J36)-1)*5,1,3))*W$2</f>
        <v>0</v>
      </c>
      <c r="X39" s="5">
        <f t="shared" ca="1" si="4"/>
        <v>124</v>
      </c>
      <c r="Y39" s="5">
        <f t="shared" ca="1" si="5"/>
        <v>124</v>
      </c>
      <c r="Z39" s="5">
        <f ca="1">SUM(OFFSET(Demand!$H48,0,(COLUMN(A36)-1)*5,1,1))*N$2</f>
        <v>0</v>
      </c>
      <c r="AA39" s="5">
        <f ca="1">SUM(OFFSET(Demand!$H48,0,(COLUMN(B36)-1)*5,1,1))*O$2</f>
        <v>0</v>
      </c>
      <c r="AB39" s="5">
        <f ca="1">SUM(OFFSET(Demand!$H48,0,(COLUMN(C36)-1)*5,1,1))*P$2</f>
        <v>0</v>
      </c>
      <c r="AC39" s="5">
        <f ca="1">SUM(OFFSET(Demand!$H48,0,(COLUMN(D36)-1)*5,1,1))*Q$2</f>
        <v>0</v>
      </c>
      <c r="AD39" s="5">
        <f ca="1">SUM(OFFSET(Demand!$H48,0,(COLUMN(E36)-1)*5,1,1))*R$2</f>
        <v>0</v>
      </c>
      <c r="AE39" s="5">
        <f ca="1">SUM(OFFSET(Demand!$H48,0,(COLUMN(F36)-1)*5,1,1))*S$2</f>
        <v>0</v>
      </c>
      <c r="AF39" s="5">
        <f ca="1">SUM(OFFSET(Demand!$H48,0,(COLUMN(G36)-1)*5,1,1))*T$2</f>
        <v>0</v>
      </c>
      <c r="AG39" s="5">
        <f ca="1">SUM(OFFSET(Demand!$H48,0,(COLUMN(H36)-1)*5,1,1))*U$2</f>
        <v>0</v>
      </c>
      <c r="AH39" s="5">
        <f ca="1">SUM(OFFSET(Demand!$H48,0,(COLUMN(I36)-1)*5,1,1))*V$2</f>
        <v>0</v>
      </c>
      <c r="AI39" s="5">
        <f ca="1">SUM(OFFSET(Demand!$H48,0,(COLUMN(J36)-1)*5,1,1))*W$2</f>
        <v>0</v>
      </c>
      <c r="AJ39" s="5">
        <f t="shared" ca="1" si="6"/>
        <v>0</v>
      </c>
      <c r="AL39" s="5">
        <f t="shared" ca="1" si="8"/>
        <v>124</v>
      </c>
      <c r="AM39" s="5">
        <f t="shared" ca="1" si="9"/>
        <v>0</v>
      </c>
      <c r="AN39" s="5" t="str">
        <f>IF(Demand!BE48="Yes","Yes","")</f>
        <v/>
      </c>
      <c r="AP39" s="36" t="str">
        <f ca="1">Demand!B48</f>
        <v xml:space="preserve"> </v>
      </c>
      <c r="AQ39" s="5" t="str">
        <f ca="1">IF(TEXT(Demand!D48,"MMM")&lt;&gt;TEXT(Demand!D47,"MMM"),TEXT(Demand!D48,"MMM"),"")</f>
        <v>Nov</v>
      </c>
      <c r="AT39" s="5">
        <f t="shared" ca="1" si="12"/>
        <v>20</v>
      </c>
      <c r="BQ39">
        <f ca="1">IF($AN39="",OFFSET(Demand!$A$13,ROW(A36)-1,4+((QUOTIENT(COLUMN(BQ$2)-69,3))*5)+MOD(COLUMN(BQ$2),3),1,1),"")</f>
        <v>0</v>
      </c>
      <c r="BR39">
        <f ca="1">IF($AN39="",OFFSET(Demand!$A$13,ROW(B36)-1,4+((QUOTIENT(COLUMN(BR$2)-69,3))*5)+MOD(COLUMN(BR$2),3),1,1),"")</f>
        <v>0</v>
      </c>
      <c r="BS39">
        <f ca="1">IF($AN39="",OFFSET(Demand!$A$13,ROW(C36)-1,4+((QUOTIENT(COLUMN(BS$2)-69,3))*5)+MOD(COLUMN(BS$2),3),1,1),"")</f>
        <v>62</v>
      </c>
      <c r="BT39">
        <f ca="1">IF($AN39="",OFFSET(Demand!$A$13,ROW(D36)-1,4+((QUOTIENT(COLUMN(BT$2)-69,3))*5)+MOD(COLUMN(BT$2),3),1,1),"")</f>
        <v>0</v>
      </c>
      <c r="BU39">
        <f ca="1">IF($AN39="",OFFSET(Demand!$A$13,ROW(E36)-1,4+((QUOTIENT(COLUMN(BU$2)-69,3))*5)+MOD(COLUMN(BU$2),3),1,1),"")</f>
        <v>0</v>
      </c>
      <c r="BV39">
        <f ca="1">IF($AN39="",OFFSET(Demand!$A$13,ROW(F36)-1,4+((QUOTIENT(COLUMN(BV$2)-69,3))*5)+MOD(COLUMN(BV$2),3),1,1),"")</f>
        <v>0</v>
      </c>
      <c r="BW39">
        <f ca="1">IF($AN39="",OFFSET(Demand!$A$13,ROW(G36)-1,4+((QUOTIENT(COLUMN(BW$2)-69,3))*5)+MOD(COLUMN(BW$2),3),1,1),"")</f>
        <v>0</v>
      </c>
      <c r="BX39">
        <f ca="1">IF($AN39="",OFFSET(Demand!$A$13,ROW(H36)-1,4+((QUOTIENT(COLUMN(BX$2)-69,3))*5)+MOD(COLUMN(BX$2),3),1,1),"")</f>
        <v>0</v>
      </c>
      <c r="BY39">
        <f ca="1">IF($AN39="",OFFSET(Demand!$A$13,ROW(I36)-1,4+((QUOTIENT(COLUMN(BY$2)-69,3))*5)+MOD(COLUMN(BY$2),3),1,1),"")</f>
        <v>0</v>
      </c>
      <c r="BZ39">
        <f ca="1">IF($AN39="",OFFSET(Demand!$A$13,ROW(J36)-1,4+((QUOTIENT(COLUMN(BZ$2)-69,3))*5)+MOD(COLUMN(BZ$2),3),1,1),"")</f>
        <v>0</v>
      </c>
      <c r="CA39">
        <f ca="1">IF($AN39="",OFFSET(Demand!$A$13,ROW(K36)-1,4+((QUOTIENT(COLUMN(CA$2)-69,3))*5)+MOD(COLUMN(CA$2),3),1,1),"")</f>
        <v>0</v>
      </c>
      <c r="CB39">
        <f ca="1">IF($AN39="",OFFSET(Demand!$A$13,ROW(L36)-1,4+((QUOTIENT(COLUMN(CB$2)-69,3))*5)+MOD(COLUMN(CB$2),3),1,1),"")</f>
        <v>0</v>
      </c>
      <c r="CC39">
        <f ca="1">IF($AN39="",OFFSET(Demand!$A$13,ROW(M36)-1,4+((QUOTIENT(COLUMN(CC$2)-69,3))*5)+MOD(COLUMN(CC$2),3),1,1),"")</f>
        <v>0</v>
      </c>
      <c r="CD39">
        <f ca="1">IF($AN39="",OFFSET(Demand!$A$13,ROW(N36)-1,4+((QUOTIENT(COLUMN(CD$2)-69,3))*5)+MOD(COLUMN(CD$2),3),1,1),"")</f>
        <v>0</v>
      </c>
      <c r="CE39">
        <f ca="1">IF($AN39="",OFFSET(Demand!$A$13,ROW(O36)-1,4+((QUOTIENT(COLUMN(CE$2)-69,3))*5)+MOD(COLUMN(CE$2),3),1,1),"")</f>
        <v>0</v>
      </c>
      <c r="CF39">
        <f ca="1">IF($AN39="",OFFSET(Demand!$A$13,ROW(P36)-1,4+((QUOTIENT(COLUMN(CF$2)-69,3))*5)+MOD(COLUMN(CF$2),3),1,1),"")</f>
        <v>0</v>
      </c>
      <c r="CG39">
        <f ca="1">IF($AN39="",OFFSET(Demand!$A$13,ROW(Q36)-1,4+((QUOTIENT(COLUMN(CG$2)-69,3))*5)+MOD(COLUMN(CG$2),3),1,1),"")</f>
        <v>0</v>
      </c>
      <c r="CH39">
        <f ca="1">IF($AN39="",OFFSET(Demand!$A$13,ROW(R36)-1,4+((QUOTIENT(COLUMN(CH$2)-69,3))*5)+MOD(COLUMN(CH$2),3),1,1),"")</f>
        <v>0</v>
      </c>
      <c r="CI39">
        <f ca="1">IF($AN39="",OFFSET(Demand!$A$13,ROW(S36)-1,4+((QUOTIENT(COLUMN(CI$2)-69,3))*5)+MOD(COLUMN(CI$2),3),1,1),"")</f>
        <v>0</v>
      </c>
      <c r="CJ39">
        <f ca="1">IF($AN39="",OFFSET(Demand!$A$13,ROW(T36)-1,4+((QUOTIENT(COLUMN(CJ$2)-69,3))*5)+MOD(COLUMN(CJ$2),3),1,1),"")</f>
        <v>0</v>
      </c>
      <c r="CK39">
        <f ca="1">IF($AN39="",OFFSET(Demand!$A$13,ROW(U36)-1,4+((QUOTIENT(COLUMN(CK$2)-69,3))*5)+MOD(COLUMN(CK$2),3),1,1),"")</f>
        <v>0</v>
      </c>
      <c r="CL39">
        <f ca="1">IF($AN39="",OFFSET(Demand!$A$13,ROW(V36)-1,4+((QUOTIENT(COLUMN(CL$2)-69,3))*5)+MOD(COLUMN(CL$2),3),1,1),"")</f>
        <v>0</v>
      </c>
      <c r="CM39">
        <f ca="1">IF($AN39="",OFFSET(Demand!$A$13,ROW(W36)-1,4+((QUOTIENT(COLUMN(CM$2)-69,3))*5)+MOD(COLUMN(CM$2),3),1,1),"")</f>
        <v>0</v>
      </c>
      <c r="CN39">
        <f ca="1">IF($AN39="",OFFSET(Demand!$A$13,ROW(X36)-1,4+((QUOTIENT(COLUMN(CN$2)-69,3))*5)+MOD(COLUMN(CN$2),3),1,1),"")</f>
        <v>0</v>
      </c>
      <c r="CO39">
        <f ca="1">IF($AN39="",OFFSET(Demand!$A$13,ROW(Y36)-1,4+((QUOTIENT(COLUMN(CO$2)-69,3))*5)+MOD(COLUMN(CO$2),3),1,1),"")</f>
        <v>0</v>
      </c>
      <c r="CP39">
        <f ca="1">IF($AN39="",OFFSET(Demand!$A$13,ROW(Z36)-1,4+((QUOTIENT(COLUMN(CP$2)-69,3))*5)+MOD(COLUMN(CP$2),3),1,1),"")</f>
        <v>0</v>
      </c>
      <c r="CQ39">
        <f ca="1">IF($AN39="",OFFSET(Demand!$A$13,ROW(AA36)-1,4+((QUOTIENT(COLUMN(CQ$2)-69,3))*5)+MOD(COLUMN(CQ$2),3),1,1),"")</f>
        <v>0</v>
      </c>
      <c r="CR39">
        <f ca="1">IF($AN39="",OFFSET(Demand!$A$13,ROW(AB36)-1,4+((QUOTIENT(COLUMN(CR$2)-69,3))*5)+MOD(COLUMN(CR$2),3),1,1),"")</f>
        <v>0</v>
      </c>
      <c r="CS39">
        <f ca="1">IF($AN39="",OFFSET(Demand!$A$13,ROW(AC36)-1,4+((QUOTIENT(COLUMN(CS$2)-69,3))*5)+MOD(COLUMN(CS$2),3),1,1),"")</f>
        <v>0</v>
      </c>
      <c r="CT39">
        <f ca="1">IF($AN39="",OFFSET(Demand!$A$13,ROW(AD36)-1,4+((QUOTIENT(COLUMN(CT$2)-69,3))*5)+MOD(COLUMN(CT$2),3),1,1),"")</f>
        <v>0</v>
      </c>
      <c r="CW39" s="5">
        <f ca="1">SUM(OFFSET(Demand!$H$43,ROW(A36)-1,(COLUMN(A36)-1)*5,1,1))*N$2</f>
        <v>0</v>
      </c>
      <c r="CX39" s="5">
        <f ca="1">SUM(OFFSET(Demand!$H$43,ROW(B36)-1,(COLUMN(B36)-1)*5,1,1))*O$2</f>
        <v>0</v>
      </c>
      <c r="CY39" s="5">
        <f ca="1">SUM(OFFSET(Demand!$H$43,ROW(C36)-1,(COLUMN(C36)-1)*5,1,1))*P$2</f>
        <v>0</v>
      </c>
      <c r="CZ39" s="5">
        <f ca="1">SUM(OFFSET(Demand!$H$43,ROW(D36)-1,(COLUMN(D36)-1)*5,1,1))*Q$2</f>
        <v>0</v>
      </c>
      <c r="DA39" s="5">
        <f ca="1">SUM(OFFSET(Demand!$H$43,ROW(E36)-1,(COLUMN(E36)-1)*5,1,1))*R$2</f>
        <v>0</v>
      </c>
      <c r="DB39" s="5">
        <f ca="1">SUM(OFFSET(Demand!$H$43,ROW(F36)-1,(COLUMN(F36)-1)*5,1,1))*S$2</f>
        <v>0</v>
      </c>
      <c r="DC39" s="5">
        <f ca="1">SUM(OFFSET(Demand!$H$43,ROW(G36)-1,(COLUMN(G36)-1)*5,1,1))*T$2</f>
        <v>0</v>
      </c>
      <c r="DD39" s="5">
        <f ca="1">SUM(OFFSET(Demand!$H$43,ROW(H36)-1,(COLUMN(H36)-1)*5,1,1))*U$2</f>
        <v>0</v>
      </c>
      <c r="DE39" s="5">
        <f ca="1">SUM(OFFSET(Demand!$H$43,ROW(I36)-1,(COLUMN(I36)-1)*5,1,1))*V$2</f>
        <v>0</v>
      </c>
      <c r="DF39" s="5">
        <f ca="1">SUM(OFFSET(Demand!$H$43,ROW(J36)-1,(COLUMN(J36)-1)*5,1,1))*W$2</f>
        <v>0</v>
      </c>
      <c r="DG39" s="5">
        <f ca="1">IF(OR(AN39&lt;&gt;"",AND('Demand adjustments for Covid'!$F$9="Yes",'Demand adjustments for Covid'!$F$20="Yes")),"",SUM(CW39:DF39))</f>
        <v>0</v>
      </c>
      <c r="DM39" s="5">
        <f t="shared" si="10"/>
        <v>51</v>
      </c>
      <c r="DN39" s="320">
        <f t="shared" si="17"/>
        <v>44179</v>
      </c>
      <c r="DO39" s="5">
        <f ca="1">VLOOKUP(IF($DM39&lt;53,$DM39,52),'Summary Calculations (hide)'!$D$15:$F$67,2,0)</f>
        <v>124</v>
      </c>
      <c r="DP39" s="5">
        <f ca="1">VLOOKUP(IF($DM39&lt;53,$DM39,52),'Summary Calculations (hide)'!$D$15:$F$67,3,0)</f>
        <v>136.4</v>
      </c>
      <c r="DQ39" s="5">
        <f ca="1">IF(AND(DN39&gt;='Demand adjustments for Covid'!$F$12,DN39&lt;'Demand adjustments for Covid'!$F$17),'Demand adjustments for Covid'!$F$13,DO39)</f>
        <v>124</v>
      </c>
      <c r="DR39" s="5">
        <f t="shared" si="33"/>
        <v>0</v>
      </c>
      <c r="DS39" s="5">
        <f ca="1">IF('Demand adjustments for Covid'!$F$9="Yes",IF(DR39=0,DQ39,((SUM(DR$4:DR39)-1)*$EE$8)+'Demand adjustments for Covid'!F$13),'Demand background (hide)'!DO39)</f>
        <v>124</v>
      </c>
      <c r="DT39" s="5">
        <f ca="1">IF('Demand adjustments for Covid'!$F$9="Yes",IF(OR(AND(DN39&gt;='Demand adjustments for Covid'!$F$12,DN39&lt;'Demand adjustments for Covid'!$F$17),DR39=1),DS39+3,DP39),'Demand background (hide)'!DP39)</f>
        <v>136.4</v>
      </c>
      <c r="DU39" s="5">
        <f ca="1">IF(DS39&lt;='Demand adjustments for Covid'!$F$17,DO39-DS39,0)</f>
        <v>0</v>
      </c>
      <c r="DV39" s="5">
        <f ca="1">IF(AND(ROW(A36)&gt;$EE$5,ROW(A36)&lt;=$EA$5),OFFSET('Demand adjustments for Covid'!$F$35,0,ROW(A36)-'Demand background (hide)'!$EE$5,1,1),0)</f>
        <v>0</v>
      </c>
      <c r="DW39" s="5">
        <f ca="1">IF(AND(ROW(A36)&gt;$EE$5,ROW(A36)&lt;=$EA$5),OFFSET('Demand adjustments for Covid'!$F$36,0,ROW(A36)-'Demand background (hide)'!$EE$5,1,1),0)</f>
        <v>0</v>
      </c>
      <c r="DX39" s="5">
        <f t="shared" ca="1" si="11"/>
        <v>136.4</v>
      </c>
    </row>
    <row r="40" spans="1:128" s="5" customFormat="1" x14ac:dyDescent="0.25">
      <c r="A40" s="5">
        <f t="shared" ca="1" si="32"/>
        <v>0</v>
      </c>
      <c r="B40" s="5">
        <f ca="1">COUNTBLANK(OFFSET(Demand!$I49,0,(COLUMN(A37)-1)*5,1,1))</f>
        <v>0</v>
      </c>
      <c r="C40" s="5">
        <f ca="1">COUNTBLANK(OFFSET(Demand!$I49,0,(COLUMN(B37)-1)*5,1,1))</f>
        <v>1</v>
      </c>
      <c r="D40" s="5">
        <f ca="1">COUNTBLANK(OFFSET(Demand!$I49,0,(COLUMN(C37)-1)*5,1,1))</f>
        <v>1</v>
      </c>
      <c r="E40" s="5">
        <f ca="1">COUNTBLANK(OFFSET(Demand!$I49,0,(COLUMN(D37)-1)*5,1,1))</f>
        <v>1</v>
      </c>
      <c r="F40" s="5">
        <f ca="1">COUNTBLANK(OFFSET(Demand!$I49,0,(COLUMN(E37)-1)*5,1,1))</f>
        <v>1</v>
      </c>
      <c r="G40" s="5">
        <f ca="1">COUNTBLANK(OFFSET(Demand!$I49,0,(COLUMN(F37)-1)*5,1,1))</f>
        <v>1</v>
      </c>
      <c r="H40" s="5">
        <f ca="1">COUNTBLANK(OFFSET(Demand!$I49,0,(COLUMN(G37)-1)*5,1,1))</f>
        <v>1</v>
      </c>
      <c r="I40" s="5">
        <f ca="1">COUNTBLANK(OFFSET(Demand!$I49,0,(COLUMN(H37)-1)*5,1,1))</f>
        <v>1</v>
      </c>
      <c r="J40" s="5">
        <f ca="1">COUNTBLANK(OFFSET(Demand!$I49,0,(COLUMN(I37)-1)*5,1,1))</f>
        <v>1</v>
      </c>
      <c r="K40" s="5">
        <f ca="1">COUNTBLANK(OFFSET(Demand!$I49,0,(COLUMN(J37)-1)*5,1,1))</f>
        <v>1</v>
      </c>
      <c r="N40" s="5">
        <f ca="1">SUM(OFFSET(Demand!$E49,0,(COLUMN(A37)-1)*5,1,3))*N$2</f>
        <v>142</v>
      </c>
      <c r="O40" s="5">
        <f ca="1">SUM(OFFSET(Demand!$E49,0,(COLUMN(B37)-1)*5,1,3))*O$2</f>
        <v>0</v>
      </c>
      <c r="P40" s="5">
        <f ca="1">SUM(OFFSET(Demand!$E49,0,(COLUMN(C37)-1)*5,1,3))*P$2</f>
        <v>0</v>
      </c>
      <c r="Q40" s="5">
        <f ca="1">SUM(OFFSET(Demand!$E49,0,(COLUMN(D37)-1)*5,1,3))*Q$2</f>
        <v>0</v>
      </c>
      <c r="R40" s="5">
        <f ca="1">SUM(OFFSET(Demand!$E49,0,(COLUMN(E37)-1)*5,1,3))*R$2</f>
        <v>0</v>
      </c>
      <c r="S40" s="5">
        <f ca="1">SUM(OFFSET(Demand!$E49,0,(COLUMN(F37)-1)*5,1,3))*S$2</f>
        <v>0</v>
      </c>
      <c r="T40" s="5">
        <f ca="1">SUM(OFFSET(Demand!$E49,0,(COLUMN(G37)-1)*5,1,3))*T$2</f>
        <v>0</v>
      </c>
      <c r="U40" s="5">
        <f ca="1">SUM(OFFSET(Demand!$E49,0,(COLUMN(H37)-1)*5,1,3))*U$2</f>
        <v>0</v>
      </c>
      <c r="V40" s="5">
        <f ca="1">SUM(OFFSET(Demand!$E49,0,(COLUMN(I37)-1)*5,1,3))*V$2</f>
        <v>0</v>
      </c>
      <c r="W40" s="5">
        <f ca="1">SUM(OFFSET(Demand!$E49,0,(COLUMN(J37)-1)*5,1,3))*W$2</f>
        <v>0</v>
      </c>
      <c r="X40" s="5">
        <f t="shared" ca="1" si="4"/>
        <v>142</v>
      </c>
      <c r="Y40" s="5">
        <f t="shared" ca="1" si="5"/>
        <v>142</v>
      </c>
      <c r="Z40" s="5">
        <f ca="1">SUM(OFFSET(Demand!$H49,0,(COLUMN(A37)-1)*5,1,1))*N$2</f>
        <v>0</v>
      </c>
      <c r="AA40" s="5">
        <f ca="1">SUM(OFFSET(Demand!$H49,0,(COLUMN(B37)-1)*5,1,1))*O$2</f>
        <v>0</v>
      </c>
      <c r="AB40" s="5">
        <f ca="1">SUM(OFFSET(Demand!$H49,0,(COLUMN(C37)-1)*5,1,1))*P$2</f>
        <v>0</v>
      </c>
      <c r="AC40" s="5">
        <f ca="1">SUM(OFFSET(Demand!$H49,0,(COLUMN(D37)-1)*5,1,1))*Q$2</f>
        <v>0</v>
      </c>
      <c r="AD40" s="5">
        <f ca="1">SUM(OFFSET(Demand!$H49,0,(COLUMN(E37)-1)*5,1,1))*R$2</f>
        <v>0</v>
      </c>
      <c r="AE40" s="5">
        <f ca="1">SUM(OFFSET(Demand!$H49,0,(COLUMN(F37)-1)*5,1,1))*S$2</f>
        <v>0</v>
      </c>
      <c r="AF40" s="5">
        <f ca="1">SUM(OFFSET(Demand!$H49,0,(COLUMN(G37)-1)*5,1,1))*T$2</f>
        <v>0</v>
      </c>
      <c r="AG40" s="5">
        <f ca="1">SUM(OFFSET(Demand!$H49,0,(COLUMN(H37)-1)*5,1,1))*U$2</f>
        <v>0</v>
      </c>
      <c r="AH40" s="5">
        <f ca="1">SUM(OFFSET(Demand!$H49,0,(COLUMN(I37)-1)*5,1,1))*V$2</f>
        <v>0</v>
      </c>
      <c r="AI40" s="5">
        <f ca="1">SUM(OFFSET(Demand!$H49,0,(COLUMN(J37)-1)*5,1,1))*W$2</f>
        <v>0</v>
      </c>
      <c r="AJ40" s="5">
        <f t="shared" ca="1" si="6"/>
        <v>0</v>
      </c>
      <c r="AL40" s="5">
        <f t="shared" ca="1" si="8"/>
        <v>142</v>
      </c>
      <c r="AM40" s="5">
        <f t="shared" ca="1" si="9"/>
        <v>0</v>
      </c>
      <c r="AN40" s="5" t="str">
        <f>IF(Demand!BE49="Yes","Yes","")</f>
        <v/>
      </c>
      <c r="AP40" s="36" t="str">
        <f ca="1">Demand!B49</f>
        <v xml:space="preserve"> </v>
      </c>
      <c r="AQ40" s="5" t="str">
        <f ca="1">IF(TEXT(Demand!D49,"MMM")&lt;&gt;TEXT(Demand!D48,"MMM"),TEXT(Demand!D49,"MMM"),"")</f>
        <v/>
      </c>
      <c r="AT40" s="5">
        <f t="shared" ca="1" si="12"/>
        <v>18</v>
      </c>
      <c r="BQ40">
        <f ca="1">IF($AN40="",OFFSET(Demand!$A$13,ROW(A37)-1,4+((QUOTIENT(COLUMN(BQ$2)-69,3))*5)+MOD(COLUMN(BQ$2),3),1,1),"")</f>
        <v>0</v>
      </c>
      <c r="BR40">
        <f ca="1">IF($AN40="",OFFSET(Demand!$A$13,ROW(B37)-1,4+((QUOTIENT(COLUMN(BR$2)-69,3))*5)+MOD(COLUMN(BR$2),3),1,1),"")</f>
        <v>0</v>
      </c>
      <c r="BS40">
        <f ca="1">IF($AN40="",OFFSET(Demand!$A$13,ROW(C37)-1,4+((QUOTIENT(COLUMN(BS$2)-69,3))*5)+MOD(COLUMN(BS$2),3),1,1),"")</f>
        <v>71</v>
      </c>
      <c r="BT40">
        <f ca="1">IF($AN40="",OFFSET(Demand!$A$13,ROW(D37)-1,4+((QUOTIENT(COLUMN(BT$2)-69,3))*5)+MOD(COLUMN(BT$2),3),1,1),"")</f>
        <v>0</v>
      </c>
      <c r="BU40">
        <f ca="1">IF($AN40="",OFFSET(Demand!$A$13,ROW(E37)-1,4+((QUOTIENT(COLUMN(BU$2)-69,3))*5)+MOD(COLUMN(BU$2),3),1,1),"")</f>
        <v>0</v>
      </c>
      <c r="BV40">
        <f ca="1">IF($AN40="",OFFSET(Demand!$A$13,ROW(F37)-1,4+((QUOTIENT(COLUMN(BV$2)-69,3))*5)+MOD(COLUMN(BV$2),3),1,1),"")</f>
        <v>0</v>
      </c>
      <c r="BW40">
        <f ca="1">IF($AN40="",OFFSET(Demand!$A$13,ROW(G37)-1,4+((QUOTIENT(COLUMN(BW$2)-69,3))*5)+MOD(COLUMN(BW$2),3),1,1),"")</f>
        <v>0</v>
      </c>
      <c r="BX40">
        <f ca="1">IF($AN40="",OFFSET(Demand!$A$13,ROW(H37)-1,4+((QUOTIENT(COLUMN(BX$2)-69,3))*5)+MOD(COLUMN(BX$2),3),1,1),"")</f>
        <v>0</v>
      </c>
      <c r="BY40">
        <f ca="1">IF($AN40="",OFFSET(Demand!$A$13,ROW(I37)-1,4+((QUOTIENT(COLUMN(BY$2)-69,3))*5)+MOD(COLUMN(BY$2),3),1,1),"")</f>
        <v>0</v>
      </c>
      <c r="BZ40">
        <f ca="1">IF($AN40="",OFFSET(Demand!$A$13,ROW(J37)-1,4+((QUOTIENT(COLUMN(BZ$2)-69,3))*5)+MOD(COLUMN(BZ$2),3),1,1),"")</f>
        <v>0</v>
      </c>
      <c r="CA40">
        <f ca="1">IF($AN40="",OFFSET(Demand!$A$13,ROW(K37)-1,4+((QUOTIENT(COLUMN(CA$2)-69,3))*5)+MOD(COLUMN(CA$2),3),1,1),"")</f>
        <v>0</v>
      </c>
      <c r="CB40">
        <f ca="1">IF($AN40="",OFFSET(Demand!$A$13,ROW(L37)-1,4+((QUOTIENT(COLUMN(CB$2)-69,3))*5)+MOD(COLUMN(CB$2),3),1,1),"")</f>
        <v>0</v>
      </c>
      <c r="CC40">
        <f ca="1">IF($AN40="",OFFSET(Demand!$A$13,ROW(M37)-1,4+((QUOTIENT(COLUMN(CC$2)-69,3))*5)+MOD(COLUMN(CC$2),3),1,1),"")</f>
        <v>0</v>
      </c>
      <c r="CD40">
        <f ca="1">IF($AN40="",OFFSET(Demand!$A$13,ROW(N37)-1,4+((QUOTIENT(COLUMN(CD$2)-69,3))*5)+MOD(COLUMN(CD$2),3),1,1),"")</f>
        <v>0</v>
      </c>
      <c r="CE40">
        <f ca="1">IF($AN40="",OFFSET(Demand!$A$13,ROW(O37)-1,4+((QUOTIENT(COLUMN(CE$2)-69,3))*5)+MOD(COLUMN(CE$2),3),1,1),"")</f>
        <v>0</v>
      </c>
      <c r="CF40">
        <f ca="1">IF($AN40="",OFFSET(Demand!$A$13,ROW(P37)-1,4+((QUOTIENT(COLUMN(CF$2)-69,3))*5)+MOD(COLUMN(CF$2),3),1,1),"")</f>
        <v>0</v>
      </c>
      <c r="CG40">
        <f ca="1">IF($AN40="",OFFSET(Demand!$A$13,ROW(Q37)-1,4+((QUOTIENT(COLUMN(CG$2)-69,3))*5)+MOD(COLUMN(CG$2),3),1,1),"")</f>
        <v>0</v>
      </c>
      <c r="CH40">
        <f ca="1">IF($AN40="",OFFSET(Demand!$A$13,ROW(R37)-1,4+((QUOTIENT(COLUMN(CH$2)-69,3))*5)+MOD(COLUMN(CH$2),3),1,1),"")</f>
        <v>0</v>
      </c>
      <c r="CI40">
        <f ca="1">IF($AN40="",OFFSET(Demand!$A$13,ROW(S37)-1,4+((QUOTIENT(COLUMN(CI$2)-69,3))*5)+MOD(COLUMN(CI$2),3),1,1),"")</f>
        <v>0</v>
      </c>
      <c r="CJ40">
        <f ca="1">IF($AN40="",OFFSET(Demand!$A$13,ROW(T37)-1,4+((QUOTIENT(COLUMN(CJ$2)-69,3))*5)+MOD(COLUMN(CJ$2),3),1,1),"")</f>
        <v>0</v>
      </c>
      <c r="CK40">
        <f ca="1">IF($AN40="",OFFSET(Demand!$A$13,ROW(U37)-1,4+((QUOTIENT(COLUMN(CK$2)-69,3))*5)+MOD(COLUMN(CK$2),3),1,1),"")</f>
        <v>0</v>
      </c>
      <c r="CL40">
        <f ca="1">IF($AN40="",OFFSET(Demand!$A$13,ROW(V37)-1,4+((QUOTIENT(COLUMN(CL$2)-69,3))*5)+MOD(COLUMN(CL$2),3),1,1),"")</f>
        <v>0</v>
      </c>
      <c r="CM40">
        <f ca="1">IF($AN40="",OFFSET(Demand!$A$13,ROW(W37)-1,4+((QUOTIENT(COLUMN(CM$2)-69,3))*5)+MOD(COLUMN(CM$2),3),1,1),"")</f>
        <v>0</v>
      </c>
      <c r="CN40">
        <f ca="1">IF($AN40="",OFFSET(Demand!$A$13,ROW(X37)-1,4+((QUOTIENT(COLUMN(CN$2)-69,3))*5)+MOD(COLUMN(CN$2),3),1,1),"")</f>
        <v>0</v>
      </c>
      <c r="CO40">
        <f ca="1">IF($AN40="",OFFSET(Demand!$A$13,ROW(Y37)-1,4+((QUOTIENT(COLUMN(CO$2)-69,3))*5)+MOD(COLUMN(CO$2),3),1,1),"")</f>
        <v>0</v>
      </c>
      <c r="CP40">
        <f ca="1">IF($AN40="",OFFSET(Demand!$A$13,ROW(Z37)-1,4+((QUOTIENT(COLUMN(CP$2)-69,3))*5)+MOD(COLUMN(CP$2),3),1,1),"")</f>
        <v>0</v>
      </c>
      <c r="CQ40">
        <f ca="1">IF($AN40="",OFFSET(Demand!$A$13,ROW(AA37)-1,4+((QUOTIENT(COLUMN(CQ$2)-69,3))*5)+MOD(COLUMN(CQ$2),3),1,1),"")</f>
        <v>0</v>
      </c>
      <c r="CR40">
        <f ca="1">IF($AN40="",OFFSET(Demand!$A$13,ROW(AB37)-1,4+((QUOTIENT(COLUMN(CR$2)-69,3))*5)+MOD(COLUMN(CR$2),3),1,1),"")</f>
        <v>0</v>
      </c>
      <c r="CS40">
        <f ca="1">IF($AN40="",OFFSET(Demand!$A$13,ROW(AC37)-1,4+((QUOTIENT(COLUMN(CS$2)-69,3))*5)+MOD(COLUMN(CS$2),3),1,1),"")</f>
        <v>0</v>
      </c>
      <c r="CT40">
        <f ca="1">IF($AN40="",OFFSET(Demand!$A$13,ROW(AD37)-1,4+((QUOTIENT(COLUMN(CT$2)-69,3))*5)+MOD(COLUMN(CT$2),3),1,1),"")</f>
        <v>0</v>
      </c>
      <c r="CW40" s="5">
        <f ca="1">SUM(OFFSET(Demand!$H$43,ROW(A37)-1,(COLUMN(A37)-1)*5,1,1))*N$2</f>
        <v>0</v>
      </c>
      <c r="CX40" s="5">
        <f ca="1">SUM(OFFSET(Demand!$H$43,ROW(B37)-1,(COLUMN(B37)-1)*5,1,1))*O$2</f>
        <v>0</v>
      </c>
      <c r="CY40" s="5">
        <f ca="1">SUM(OFFSET(Demand!$H$43,ROW(C37)-1,(COLUMN(C37)-1)*5,1,1))*P$2</f>
        <v>0</v>
      </c>
      <c r="CZ40" s="5">
        <f ca="1">SUM(OFFSET(Demand!$H$43,ROW(D37)-1,(COLUMN(D37)-1)*5,1,1))*Q$2</f>
        <v>0</v>
      </c>
      <c r="DA40" s="5">
        <f ca="1">SUM(OFFSET(Demand!$H$43,ROW(E37)-1,(COLUMN(E37)-1)*5,1,1))*R$2</f>
        <v>0</v>
      </c>
      <c r="DB40" s="5">
        <f ca="1">SUM(OFFSET(Demand!$H$43,ROW(F37)-1,(COLUMN(F37)-1)*5,1,1))*S$2</f>
        <v>0</v>
      </c>
      <c r="DC40" s="5">
        <f ca="1">SUM(OFFSET(Demand!$H$43,ROW(G37)-1,(COLUMN(G37)-1)*5,1,1))*T$2</f>
        <v>0</v>
      </c>
      <c r="DD40" s="5">
        <f ca="1">SUM(OFFSET(Demand!$H$43,ROW(H37)-1,(COLUMN(H37)-1)*5,1,1))*U$2</f>
        <v>0</v>
      </c>
      <c r="DE40" s="5">
        <f ca="1">SUM(OFFSET(Demand!$H$43,ROW(I37)-1,(COLUMN(I37)-1)*5,1,1))*V$2</f>
        <v>0</v>
      </c>
      <c r="DF40" s="5">
        <f ca="1">SUM(OFFSET(Demand!$H$43,ROW(J37)-1,(COLUMN(J37)-1)*5,1,1))*W$2</f>
        <v>0</v>
      </c>
      <c r="DG40" s="5">
        <f ca="1">IF(OR(AN40&lt;&gt;"",AND('Demand adjustments for Covid'!$F$9="Yes",'Demand adjustments for Covid'!$F$20="Yes")),"",SUM(CW40:DF40))</f>
        <v>0</v>
      </c>
      <c r="DM40" s="5">
        <f t="shared" si="10"/>
        <v>52</v>
      </c>
      <c r="DN40" s="320">
        <f t="shared" si="17"/>
        <v>44186</v>
      </c>
      <c r="DO40" s="5">
        <f ca="1">VLOOKUP(IF($DM40&lt;53,$DM40,52),'Summary Calculations (hide)'!$D$15:$F$67,2,0)</f>
        <v>142</v>
      </c>
      <c r="DP40" s="5">
        <f ca="1">VLOOKUP(IF($DM40&lt;53,$DM40,52),'Summary Calculations (hide)'!$D$15:$F$67,3,0)</f>
        <v>156.20000000000002</v>
      </c>
      <c r="DQ40" s="5">
        <f ca="1">IF(AND(DN40&gt;='Demand adjustments for Covid'!$F$12,DN40&lt;'Demand adjustments for Covid'!$F$17),'Demand adjustments for Covid'!$F$13,DO40)</f>
        <v>142</v>
      </c>
      <c r="DR40" s="5">
        <f t="shared" si="33"/>
        <v>0</v>
      </c>
      <c r="DS40" s="5">
        <f ca="1">IF('Demand adjustments for Covid'!$F$9="Yes",IF(DR40=0,DQ40,((SUM(DR$4:DR40)-1)*$EE$8)+'Demand adjustments for Covid'!F$13),'Demand background (hide)'!DO40)</f>
        <v>142</v>
      </c>
      <c r="DT40" s="5">
        <f ca="1">IF('Demand adjustments for Covid'!$F$9="Yes",IF(OR(AND(DN40&gt;='Demand adjustments for Covid'!$F$12,DN40&lt;'Demand adjustments for Covid'!$F$17),DR40=1),DS40+3,DP40),'Demand background (hide)'!DP40)</f>
        <v>156.20000000000002</v>
      </c>
      <c r="DU40" s="5">
        <f ca="1">IF(DS40&lt;='Demand adjustments for Covid'!$F$17,DO40-DS40,0)</f>
        <v>0</v>
      </c>
      <c r="DV40" s="5">
        <f ca="1">IF(AND(ROW(A37)&gt;$EE$5,ROW(A37)&lt;=$EA$5),OFFSET('Demand adjustments for Covid'!$F$35,0,ROW(A37)-'Demand background (hide)'!$EE$5,1,1),0)</f>
        <v>0</v>
      </c>
      <c r="DW40" s="5">
        <f ca="1">IF(AND(ROW(A37)&gt;$EE$5,ROW(A37)&lt;=$EA$5),OFFSET('Demand adjustments for Covid'!$F$36,0,ROW(A37)-'Demand background (hide)'!$EE$5,1,1),0)</f>
        <v>0</v>
      </c>
      <c r="DX40" s="5">
        <f t="shared" ca="1" si="11"/>
        <v>156.20000000000002</v>
      </c>
    </row>
    <row r="41" spans="1:128" s="5" customFormat="1" x14ac:dyDescent="0.25">
      <c r="A41" s="5">
        <f t="shared" ca="1" si="32"/>
        <v>0</v>
      </c>
      <c r="B41" s="5">
        <f ca="1">COUNTBLANK(OFFSET(Demand!$I50,0,(COLUMN(A38)-1)*5,1,1))</f>
        <v>0</v>
      </c>
      <c r="C41" s="5">
        <f ca="1">COUNTBLANK(OFFSET(Demand!$I50,0,(COLUMN(B38)-1)*5,1,1))</f>
        <v>1</v>
      </c>
      <c r="D41" s="5">
        <f ca="1">COUNTBLANK(OFFSET(Demand!$I50,0,(COLUMN(C38)-1)*5,1,1))</f>
        <v>1</v>
      </c>
      <c r="E41" s="5">
        <f ca="1">COUNTBLANK(OFFSET(Demand!$I50,0,(COLUMN(D38)-1)*5,1,1))</f>
        <v>1</v>
      </c>
      <c r="F41" s="5">
        <f ca="1">COUNTBLANK(OFFSET(Demand!$I50,0,(COLUMN(E38)-1)*5,1,1))</f>
        <v>1</v>
      </c>
      <c r="G41" s="5">
        <f ca="1">COUNTBLANK(OFFSET(Demand!$I50,0,(COLUMN(F38)-1)*5,1,1))</f>
        <v>1</v>
      </c>
      <c r="H41" s="5">
        <f ca="1">COUNTBLANK(OFFSET(Demand!$I50,0,(COLUMN(G38)-1)*5,1,1))</f>
        <v>1</v>
      </c>
      <c r="I41" s="5">
        <f ca="1">COUNTBLANK(OFFSET(Demand!$I50,0,(COLUMN(H38)-1)*5,1,1))</f>
        <v>1</v>
      </c>
      <c r="J41" s="5">
        <f ca="1">COUNTBLANK(OFFSET(Demand!$I50,0,(COLUMN(I38)-1)*5,1,1))</f>
        <v>1</v>
      </c>
      <c r="K41" s="5">
        <f ca="1">COUNTBLANK(OFFSET(Demand!$I50,0,(COLUMN(J38)-1)*5,1,1))</f>
        <v>1</v>
      </c>
      <c r="N41" s="5">
        <f ca="1">SUM(OFFSET(Demand!$E50,0,(COLUMN(A38)-1)*5,1,3))*N$2</f>
        <v>156</v>
      </c>
      <c r="O41" s="5">
        <f ca="1">SUM(OFFSET(Demand!$E50,0,(COLUMN(B38)-1)*5,1,3))*O$2</f>
        <v>0</v>
      </c>
      <c r="P41" s="5">
        <f ca="1">SUM(OFFSET(Demand!$E50,0,(COLUMN(C38)-1)*5,1,3))*P$2</f>
        <v>0</v>
      </c>
      <c r="Q41" s="5">
        <f ca="1">SUM(OFFSET(Demand!$E50,0,(COLUMN(D38)-1)*5,1,3))*Q$2</f>
        <v>0</v>
      </c>
      <c r="R41" s="5">
        <f ca="1">SUM(OFFSET(Demand!$E50,0,(COLUMN(E38)-1)*5,1,3))*R$2</f>
        <v>0</v>
      </c>
      <c r="S41" s="5">
        <f ca="1">SUM(OFFSET(Demand!$E50,0,(COLUMN(F38)-1)*5,1,3))*S$2</f>
        <v>0</v>
      </c>
      <c r="T41" s="5">
        <f ca="1">SUM(OFFSET(Demand!$E50,0,(COLUMN(G38)-1)*5,1,3))*T$2</f>
        <v>0</v>
      </c>
      <c r="U41" s="5">
        <f ca="1">SUM(OFFSET(Demand!$E50,0,(COLUMN(H38)-1)*5,1,3))*U$2</f>
        <v>0</v>
      </c>
      <c r="V41" s="5">
        <f ca="1">SUM(OFFSET(Demand!$E50,0,(COLUMN(I38)-1)*5,1,3))*V$2</f>
        <v>0</v>
      </c>
      <c r="W41" s="5">
        <f ca="1">SUM(OFFSET(Demand!$E50,0,(COLUMN(J38)-1)*5,1,3))*W$2</f>
        <v>0</v>
      </c>
      <c r="X41" s="5">
        <f t="shared" ca="1" si="4"/>
        <v>156</v>
      </c>
      <c r="Y41" s="5">
        <f t="shared" ca="1" si="5"/>
        <v>156</v>
      </c>
      <c r="Z41" s="5">
        <f ca="1">SUM(OFFSET(Demand!$H50,0,(COLUMN(A38)-1)*5,1,1))*N$2</f>
        <v>0</v>
      </c>
      <c r="AA41" s="5">
        <f ca="1">SUM(OFFSET(Demand!$H50,0,(COLUMN(B38)-1)*5,1,1))*O$2</f>
        <v>0</v>
      </c>
      <c r="AB41" s="5">
        <f ca="1">SUM(OFFSET(Demand!$H50,0,(COLUMN(C38)-1)*5,1,1))*P$2</f>
        <v>0</v>
      </c>
      <c r="AC41" s="5">
        <f ca="1">SUM(OFFSET(Demand!$H50,0,(COLUMN(D38)-1)*5,1,1))*Q$2</f>
        <v>0</v>
      </c>
      <c r="AD41" s="5">
        <f ca="1">SUM(OFFSET(Demand!$H50,0,(COLUMN(E38)-1)*5,1,1))*R$2</f>
        <v>0</v>
      </c>
      <c r="AE41" s="5">
        <f ca="1">SUM(OFFSET(Demand!$H50,0,(COLUMN(F38)-1)*5,1,1))*S$2</f>
        <v>0</v>
      </c>
      <c r="AF41" s="5">
        <f ca="1">SUM(OFFSET(Demand!$H50,0,(COLUMN(G38)-1)*5,1,1))*T$2</f>
        <v>0</v>
      </c>
      <c r="AG41" s="5">
        <f ca="1">SUM(OFFSET(Demand!$H50,0,(COLUMN(H38)-1)*5,1,1))*U$2</f>
        <v>0</v>
      </c>
      <c r="AH41" s="5">
        <f ca="1">SUM(OFFSET(Demand!$H50,0,(COLUMN(I38)-1)*5,1,1))*V$2</f>
        <v>0</v>
      </c>
      <c r="AI41" s="5">
        <f ca="1">SUM(OFFSET(Demand!$H50,0,(COLUMN(J38)-1)*5,1,1))*W$2</f>
        <v>0</v>
      </c>
      <c r="AJ41" s="5">
        <f t="shared" ca="1" si="6"/>
        <v>0</v>
      </c>
      <c r="AL41" s="5">
        <f t="shared" ca="1" si="8"/>
        <v>156</v>
      </c>
      <c r="AM41" s="5">
        <f t="shared" ca="1" si="9"/>
        <v>0</v>
      </c>
      <c r="AN41" s="5" t="str">
        <f>IF(Demand!BE50="Yes","Yes","")</f>
        <v/>
      </c>
      <c r="AP41" s="36" t="str">
        <f ca="1">Demand!B50</f>
        <v xml:space="preserve"> </v>
      </c>
      <c r="AQ41" s="5" t="str">
        <f ca="1">IF(TEXT(Demand!D50,"MMM")&lt;&gt;TEXT(Demand!D49,"MMM"),TEXT(Demand!D50,"MMM"),"")</f>
        <v/>
      </c>
      <c r="AT41" s="5">
        <f t="shared" ca="1" si="12"/>
        <v>14</v>
      </c>
      <c r="BQ41">
        <f ca="1">IF($AN41="",OFFSET(Demand!$A$13,ROW(A38)-1,4+((QUOTIENT(COLUMN(BQ$2)-69,3))*5)+MOD(COLUMN(BQ$2),3),1,1),"")</f>
        <v>0</v>
      </c>
      <c r="BR41">
        <f ca="1">IF($AN41="",OFFSET(Demand!$A$13,ROW(B38)-1,4+((QUOTIENT(COLUMN(BR$2)-69,3))*5)+MOD(COLUMN(BR$2),3),1,1),"")</f>
        <v>0</v>
      </c>
      <c r="BS41">
        <f ca="1">IF($AN41="",OFFSET(Demand!$A$13,ROW(C38)-1,4+((QUOTIENT(COLUMN(BS$2)-69,3))*5)+MOD(COLUMN(BS$2),3),1,1),"")</f>
        <v>78</v>
      </c>
      <c r="BT41">
        <f ca="1">IF($AN41="",OFFSET(Demand!$A$13,ROW(D38)-1,4+((QUOTIENT(COLUMN(BT$2)-69,3))*5)+MOD(COLUMN(BT$2),3),1,1),"")</f>
        <v>0</v>
      </c>
      <c r="BU41">
        <f ca="1">IF($AN41="",OFFSET(Demand!$A$13,ROW(E38)-1,4+((QUOTIENT(COLUMN(BU$2)-69,3))*5)+MOD(COLUMN(BU$2),3),1,1),"")</f>
        <v>0</v>
      </c>
      <c r="BV41">
        <f ca="1">IF($AN41="",OFFSET(Demand!$A$13,ROW(F38)-1,4+((QUOTIENT(COLUMN(BV$2)-69,3))*5)+MOD(COLUMN(BV$2),3),1,1),"")</f>
        <v>0</v>
      </c>
      <c r="BW41">
        <f ca="1">IF($AN41="",OFFSET(Demand!$A$13,ROW(G38)-1,4+((QUOTIENT(COLUMN(BW$2)-69,3))*5)+MOD(COLUMN(BW$2),3),1,1),"")</f>
        <v>0</v>
      </c>
      <c r="BX41">
        <f ca="1">IF($AN41="",OFFSET(Demand!$A$13,ROW(H38)-1,4+((QUOTIENT(COLUMN(BX$2)-69,3))*5)+MOD(COLUMN(BX$2),3),1,1),"")</f>
        <v>0</v>
      </c>
      <c r="BY41">
        <f ca="1">IF($AN41="",OFFSET(Demand!$A$13,ROW(I38)-1,4+((QUOTIENT(COLUMN(BY$2)-69,3))*5)+MOD(COLUMN(BY$2),3),1,1),"")</f>
        <v>0</v>
      </c>
      <c r="BZ41">
        <f ca="1">IF($AN41="",OFFSET(Demand!$A$13,ROW(J38)-1,4+((QUOTIENT(COLUMN(BZ$2)-69,3))*5)+MOD(COLUMN(BZ$2),3),1,1),"")</f>
        <v>0</v>
      </c>
      <c r="CA41">
        <f ca="1">IF($AN41="",OFFSET(Demand!$A$13,ROW(K38)-1,4+((QUOTIENT(COLUMN(CA$2)-69,3))*5)+MOD(COLUMN(CA$2),3),1,1),"")</f>
        <v>0</v>
      </c>
      <c r="CB41">
        <f ca="1">IF($AN41="",OFFSET(Demand!$A$13,ROW(L38)-1,4+((QUOTIENT(COLUMN(CB$2)-69,3))*5)+MOD(COLUMN(CB$2),3),1,1),"")</f>
        <v>0</v>
      </c>
      <c r="CC41">
        <f ca="1">IF($AN41="",OFFSET(Demand!$A$13,ROW(M38)-1,4+((QUOTIENT(COLUMN(CC$2)-69,3))*5)+MOD(COLUMN(CC$2),3),1,1),"")</f>
        <v>0</v>
      </c>
      <c r="CD41">
        <f ca="1">IF($AN41="",OFFSET(Demand!$A$13,ROW(N38)-1,4+((QUOTIENT(COLUMN(CD$2)-69,3))*5)+MOD(COLUMN(CD$2),3),1,1),"")</f>
        <v>0</v>
      </c>
      <c r="CE41">
        <f ca="1">IF($AN41="",OFFSET(Demand!$A$13,ROW(O38)-1,4+((QUOTIENT(COLUMN(CE$2)-69,3))*5)+MOD(COLUMN(CE$2),3),1,1),"")</f>
        <v>0</v>
      </c>
      <c r="CF41">
        <f ca="1">IF($AN41="",OFFSET(Demand!$A$13,ROW(P38)-1,4+((QUOTIENT(COLUMN(CF$2)-69,3))*5)+MOD(COLUMN(CF$2),3),1,1),"")</f>
        <v>0</v>
      </c>
      <c r="CG41">
        <f ca="1">IF($AN41="",OFFSET(Demand!$A$13,ROW(Q38)-1,4+((QUOTIENT(COLUMN(CG$2)-69,3))*5)+MOD(COLUMN(CG$2),3),1,1),"")</f>
        <v>0</v>
      </c>
      <c r="CH41">
        <f ca="1">IF($AN41="",OFFSET(Demand!$A$13,ROW(R38)-1,4+((QUOTIENT(COLUMN(CH$2)-69,3))*5)+MOD(COLUMN(CH$2),3),1,1),"")</f>
        <v>0</v>
      </c>
      <c r="CI41">
        <f ca="1">IF($AN41="",OFFSET(Demand!$A$13,ROW(S38)-1,4+((QUOTIENT(COLUMN(CI$2)-69,3))*5)+MOD(COLUMN(CI$2),3),1,1),"")</f>
        <v>0</v>
      </c>
      <c r="CJ41">
        <f ca="1">IF($AN41="",OFFSET(Demand!$A$13,ROW(T38)-1,4+((QUOTIENT(COLUMN(CJ$2)-69,3))*5)+MOD(COLUMN(CJ$2),3),1,1),"")</f>
        <v>0</v>
      </c>
      <c r="CK41">
        <f ca="1">IF($AN41="",OFFSET(Demand!$A$13,ROW(U38)-1,4+((QUOTIENT(COLUMN(CK$2)-69,3))*5)+MOD(COLUMN(CK$2),3),1,1),"")</f>
        <v>0</v>
      </c>
      <c r="CL41">
        <f ca="1">IF($AN41="",OFFSET(Demand!$A$13,ROW(V38)-1,4+((QUOTIENT(COLUMN(CL$2)-69,3))*5)+MOD(COLUMN(CL$2),3),1,1),"")</f>
        <v>0</v>
      </c>
      <c r="CM41">
        <f ca="1">IF($AN41="",OFFSET(Demand!$A$13,ROW(W38)-1,4+((QUOTIENT(COLUMN(CM$2)-69,3))*5)+MOD(COLUMN(CM$2),3),1,1),"")</f>
        <v>0</v>
      </c>
      <c r="CN41">
        <f ca="1">IF($AN41="",OFFSET(Demand!$A$13,ROW(X38)-1,4+((QUOTIENT(COLUMN(CN$2)-69,3))*5)+MOD(COLUMN(CN$2),3),1,1),"")</f>
        <v>0</v>
      </c>
      <c r="CO41">
        <f ca="1">IF($AN41="",OFFSET(Demand!$A$13,ROW(Y38)-1,4+((QUOTIENT(COLUMN(CO$2)-69,3))*5)+MOD(COLUMN(CO$2),3),1,1),"")</f>
        <v>0</v>
      </c>
      <c r="CP41">
        <f ca="1">IF($AN41="",OFFSET(Demand!$A$13,ROW(Z38)-1,4+((QUOTIENT(COLUMN(CP$2)-69,3))*5)+MOD(COLUMN(CP$2),3),1,1),"")</f>
        <v>0</v>
      </c>
      <c r="CQ41">
        <f ca="1">IF($AN41="",OFFSET(Demand!$A$13,ROW(AA38)-1,4+((QUOTIENT(COLUMN(CQ$2)-69,3))*5)+MOD(COLUMN(CQ$2),3),1,1),"")</f>
        <v>0</v>
      </c>
      <c r="CR41">
        <f ca="1">IF($AN41="",OFFSET(Demand!$A$13,ROW(AB38)-1,4+((QUOTIENT(COLUMN(CR$2)-69,3))*5)+MOD(COLUMN(CR$2),3),1,1),"")</f>
        <v>0</v>
      </c>
      <c r="CS41">
        <f ca="1">IF($AN41="",OFFSET(Demand!$A$13,ROW(AC38)-1,4+((QUOTIENT(COLUMN(CS$2)-69,3))*5)+MOD(COLUMN(CS$2),3),1,1),"")</f>
        <v>0</v>
      </c>
      <c r="CT41">
        <f ca="1">IF($AN41="",OFFSET(Demand!$A$13,ROW(AD38)-1,4+((QUOTIENT(COLUMN(CT$2)-69,3))*5)+MOD(COLUMN(CT$2),3),1,1),"")</f>
        <v>0</v>
      </c>
      <c r="CW41" s="5">
        <f ca="1">SUM(OFFSET(Demand!$H$43,ROW(A38)-1,(COLUMN(A38)-1)*5,1,1))*N$2</f>
        <v>0</v>
      </c>
      <c r="CX41" s="5">
        <f ca="1">SUM(OFFSET(Demand!$H$43,ROW(B38)-1,(COLUMN(B38)-1)*5,1,1))*O$2</f>
        <v>0</v>
      </c>
      <c r="CY41" s="5">
        <f ca="1">SUM(OFFSET(Demand!$H$43,ROW(C38)-1,(COLUMN(C38)-1)*5,1,1))*P$2</f>
        <v>0</v>
      </c>
      <c r="CZ41" s="5">
        <f ca="1">SUM(OFFSET(Demand!$H$43,ROW(D38)-1,(COLUMN(D38)-1)*5,1,1))*Q$2</f>
        <v>0</v>
      </c>
      <c r="DA41" s="5">
        <f ca="1">SUM(OFFSET(Demand!$H$43,ROW(E38)-1,(COLUMN(E38)-1)*5,1,1))*R$2</f>
        <v>0</v>
      </c>
      <c r="DB41" s="5">
        <f ca="1">SUM(OFFSET(Demand!$H$43,ROW(F38)-1,(COLUMN(F38)-1)*5,1,1))*S$2</f>
        <v>0</v>
      </c>
      <c r="DC41" s="5">
        <f ca="1">SUM(OFFSET(Demand!$H$43,ROW(G38)-1,(COLUMN(G38)-1)*5,1,1))*T$2</f>
        <v>0</v>
      </c>
      <c r="DD41" s="5">
        <f ca="1">SUM(OFFSET(Demand!$H$43,ROW(H38)-1,(COLUMN(H38)-1)*5,1,1))*U$2</f>
        <v>0</v>
      </c>
      <c r="DE41" s="5">
        <f ca="1">SUM(OFFSET(Demand!$H$43,ROW(I38)-1,(COLUMN(I38)-1)*5,1,1))*V$2</f>
        <v>0</v>
      </c>
      <c r="DF41" s="5">
        <f ca="1">SUM(OFFSET(Demand!$H$43,ROW(J38)-1,(COLUMN(J38)-1)*5,1,1))*W$2</f>
        <v>0</v>
      </c>
      <c r="DG41" s="5">
        <f ca="1">IF(OR(AN41&lt;&gt;"",AND('Demand adjustments for Covid'!$F$9="Yes",'Demand adjustments for Covid'!$F$20="Yes")),"",SUM(CW41:DF41))</f>
        <v>0</v>
      </c>
      <c r="DM41" s="5">
        <f t="shared" si="10"/>
        <v>53</v>
      </c>
      <c r="DN41" s="320">
        <f t="shared" si="17"/>
        <v>44193</v>
      </c>
      <c r="DO41" s="5">
        <f ca="1">VLOOKUP(IF($DM41&lt;53,$DM41,52),'Summary Calculations (hide)'!$D$15:$F$67,2,0)</f>
        <v>142</v>
      </c>
      <c r="DP41" s="5">
        <f ca="1">VLOOKUP(IF($DM41&lt;53,$DM41,52),'Summary Calculations (hide)'!$D$15:$F$67,3,0)</f>
        <v>156.20000000000002</v>
      </c>
      <c r="DQ41" s="5">
        <f ca="1">IF(AND(DN41&gt;='Demand adjustments for Covid'!$F$12,DN41&lt;'Demand adjustments for Covid'!$F$17),'Demand adjustments for Covid'!$F$13,DO41)</f>
        <v>142</v>
      </c>
      <c r="DR41" s="5">
        <f t="shared" si="33"/>
        <v>0</v>
      </c>
      <c r="DS41" s="5">
        <f ca="1">IF('Demand adjustments for Covid'!$F$9="Yes",IF(DR41=0,DQ41,((SUM(DR$4:DR41)-1)*$EE$8)+'Demand adjustments for Covid'!F$13),'Demand background (hide)'!DO41)</f>
        <v>142</v>
      </c>
      <c r="DT41" s="5">
        <f ca="1">IF('Demand adjustments for Covid'!$F$9="Yes",IF(OR(AND(DN41&gt;='Demand adjustments for Covid'!$F$12,DN41&lt;'Demand adjustments for Covid'!$F$17),DR41=1),DS41+3,DP41),'Demand background (hide)'!DP41)</f>
        <v>156.20000000000002</v>
      </c>
      <c r="DU41" s="5">
        <f ca="1">IF(DS41&lt;='Demand adjustments for Covid'!$F$17,DO41-DS41,0)</f>
        <v>0</v>
      </c>
      <c r="DV41" s="5">
        <f ca="1">IF(AND(ROW(A38)&gt;$EE$5,ROW(A38)&lt;=$EA$5),OFFSET('Demand adjustments for Covid'!$F$35,0,ROW(A38)-'Demand background (hide)'!$EE$5,1,1),0)</f>
        <v>0</v>
      </c>
      <c r="DW41" s="5">
        <f ca="1">IF(AND(ROW(A38)&gt;$EE$5,ROW(A38)&lt;=$EA$5),OFFSET('Demand adjustments for Covid'!$F$36,0,ROW(A38)-'Demand background (hide)'!$EE$5,1,1),0)</f>
        <v>0</v>
      </c>
      <c r="DX41" s="5">
        <f t="shared" ca="1" si="11"/>
        <v>156.20000000000002</v>
      </c>
    </row>
    <row r="42" spans="1:128" s="5" customFormat="1" x14ac:dyDescent="0.25">
      <c r="A42" s="5">
        <f t="shared" ca="1" si="32"/>
        <v>0</v>
      </c>
      <c r="B42" s="5">
        <f ca="1">COUNTBLANK(OFFSET(Demand!$I51,0,(COLUMN(A39)-1)*5,1,1))</f>
        <v>0</v>
      </c>
      <c r="C42" s="5">
        <f ca="1">COUNTBLANK(OFFSET(Demand!$I51,0,(COLUMN(B39)-1)*5,1,1))</f>
        <v>1</v>
      </c>
      <c r="D42" s="5">
        <f ca="1">COUNTBLANK(OFFSET(Demand!$I51,0,(COLUMN(C39)-1)*5,1,1))</f>
        <v>1</v>
      </c>
      <c r="E42" s="5">
        <f ca="1">COUNTBLANK(OFFSET(Demand!$I51,0,(COLUMN(D39)-1)*5,1,1))</f>
        <v>1</v>
      </c>
      <c r="F42" s="5">
        <f ca="1">COUNTBLANK(OFFSET(Demand!$I51,0,(COLUMN(E39)-1)*5,1,1))</f>
        <v>1</v>
      </c>
      <c r="G42" s="5">
        <f ca="1">COUNTBLANK(OFFSET(Demand!$I51,0,(COLUMN(F39)-1)*5,1,1))</f>
        <v>1</v>
      </c>
      <c r="H42" s="5">
        <f ca="1">COUNTBLANK(OFFSET(Demand!$I51,0,(COLUMN(G39)-1)*5,1,1))</f>
        <v>1</v>
      </c>
      <c r="I42" s="5">
        <f ca="1">COUNTBLANK(OFFSET(Demand!$I51,0,(COLUMN(H39)-1)*5,1,1))</f>
        <v>1</v>
      </c>
      <c r="J42" s="5">
        <f ca="1">COUNTBLANK(OFFSET(Demand!$I51,0,(COLUMN(I39)-1)*5,1,1))</f>
        <v>1</v>
      </c>
      <c r="K42" s="5">
        <f ca="1">COUNTBLANK(OFFSET(Demand!$I51,0,(COLUMN(J39)-1)*5,1,1))</f>
        <v>1</v>
      </c>
      <c r="N42" s="5">
        <f ca="1">SUM(OFFSET(Demand!$E51,0,(COLUMN(A39)-1)*5,1,3))*N$2</f>
        <v>140</v>
      </c>
      <c r="O42" s="5">
        <f ca="1">SUM(OFFSET(Demand!$E51,0,(COLUMN(B39)-1)*5,1,3))*O$2</f>
        <v>0</v>
      </c>
      <c r="P42" s="5">
        <f ca="1">SUM(OFFSET(Demand!$E51,0,(COLUMN(C39)-1)*5,1,3))*P$2</f>
        <v>0</v>
      </c>
      <c r="Q42" s="5">
        <f ca="1">SUM(OFFSET(Demand!$E51,0,(COLUMN(D39)-1)*5,1,3))*Q$2</f>
        <v>0</v>
      </c>
      <c r="R42" s="5">
        <f ca="1">SUM(OFFSET(Demand!$E51,0,(COLUMN(E39)-1)*5,1,3))*R$2</f>
        <v>0</v>
      </c>
      <c r="S42" s="5">
        <f ca="1">SUM(OFFSET(Demand!$E51,0,(COLUMN(F39)-1)*5,1,3))*S$2</f>
        <v>0</v>
      </c>
      <c r="T42" s="5">
        <f ca="1">SUM(OFFSET(Demand!$E51,0,(COLUMN(G39)-1)*5,1,3))*T$2</f>
        <v>0</v>
      </c>
      <c r="U42" s="5">
        <f ca="1">SUM(OFFSET(Demand!$E51,0,(COLUMN(H39)-1)*5,1,3))*U$2</f>
        <v>0</v>
      </c>
      <c r="V42" s="5">
        <f ca="1">SUM(OFFSET(Demand!$E51,0,(COLUMN(I39)-1)*5,1,3))*V$2</f>
        <v>0</v>
      </c>
      <c r="W42" s="5">
        <f ca="1">SUM(OFFSET(Demand!$E51,0,(COLUMN(J39)-1)*5,1,3))*W$2</f>
        <v>0</v>
      </c>
      <c r="X42" s="5">
        <f t="shared" ca="1" si="4"/>
        <v>140</v>
      </c>
      <c r="Y42" s="5">
        <f t="shared" ca="1" si="5"/>
        <v>140</v>
      </c>
      <c r="Z42" s="5">
        <f ca="1">SUM(OFFSET(Demand!$H51,0,(COLUMN(A39)-1)*5,1,1))*N$2</f>
        <v>0</v>
      </c>
      <c r="AA42" s="5">
        <f ca="1">SUM(OFFSET(Demand!$H51,0,(COLUMN(B39)-1)*5,1,1))*O$2</f>
        <v>0</v>
      </c>
      <c r="AB42" s="5">
        <f ca="1">SUM(OFFSET(Demand!$H51,0,(COLUMN(C39)-1)*5,1,1))*P$2</f>
        <v>0</v>
      </c>
      <c r="AC42" s="5">
        <f ca="1">SUM(OFFSET(Demand!$H51,0,(COLUMN(D39)-1)*5,1,1))*Q$2</f>
        <v>0</v>
      </c>
      <c r="AD42" s="5">
        <f ca="1">SUM(OFFSET(Demand!$H51,0,(COLUMN(E39)-1)*5,1,1))*R$2</f>
        <v>0</v>
      </c>
      <c r="AE42" s="5">
        <f ca="1">SUM(OFFSET(Demand!$H51,0,(COLUMN(F39)-1)*5,1,1))*S$2</f>
        <v>0</v>
      </c>
      <c r="AF42" s="5">
        <f ca="1">SUM(OFFSET(Demand!$H51,0,(COLUMN(G39)-1)*5,1,1))*T$2</f>
        <v>0</v>
      </c>
      <c r="AG42" s="5">
        <f ca="1">SUM(OFFSET(Demand!$H51,0,(COLUMN(H39)-1)*5,1,1))*U$2</f>
        <v>0</v>
      </c>
      <c r="AH42" s="5">
        <f ca="1">SUM(OFFSET(Demand!$H51,0,(COLUMN(I39)-1)*5,1,1))*V$2</f>
        <v>0</v>
      </c>
      <c r="AI42" s="5">
        <f ca="1">SUM(OFFSET(Demand!$H51,0,(COLUMN(J39)-1)*5,1,1))*W$2</f>
        <v>0</v>
      </c>
      <c r="AJ42" s="5">
        <f t="shared" ca="1" si="6"/>
        <v>0</v>
      </c>
      <c r="AL42" s="5">
        <f t="shared" ca="1" si="8"/>
        <v>140</v>
      </c>
      <c r="AM42" s="5">
        <f t="shared" ca="1" si="9"/>
        <v>0</v>
      </c>
      <c r="AN42" s="5" t="str">
        <f>IF(Demand!BE51="Yes","Yes","")</f>
        <v/>
      </c>
      <c r="AP42" s="36" t="str">
        <f ca="1">Demand!B51</f>
        <v xml:space="preserve"> </v>
      </c>
      <c r="AQ42" s="5" t="str">
        <f ca="1">IF(TEXT(Demand!D51,"MMM")&lt;&gt;TEXT(Demand!D50,"MMM"),TEXT(Demand!D51,"MMM"),"")</f>
        <v/>
      </c>
      <c r="AT42" s="5">
        <f t="shared" ca="1" si="12"/>
        <v>16</v>
      </c>
      <c r="BQ42">
        <f ca="1">IF($AN42="",OFFSET(Demand!$A$13,ROW(A39)-1,4+((QUOTIENT(COLUMN(BQ$2)-69,3))*5)+MOD(COLUMN(BQ$2),3),1,1),"")</f>
        <v>0</v>
      </c>
      <c r="BR42">
        <f ca="1">IF($AN42="",OFFSET(Demand!$A$13,ROW(B39)-1,4+((QUOTIENT(COLUMN(BR$2)-69,3))*5)+MOD(COLUMN(BR$2),3),1,1),"")</f>
        <v>0</v>
      </c>
      <c r="BS42">
        <f ca="1">IF($AN42="",OFFSET(Demand!$A$13,ROW(C39)-1,4+((QUOTIENT(COLUMN(BS$2)-69,3))*5)+MOD(COLUMN(BS$2),3),1,1),"")</f>
        <v>70</v>
      </c>
      <c r="BT42">
        <f ca="1">IF($AN42="",OFFSET(Demand!$A$13,ROW(D39)-1,4+((QUOTIENT(COLUMN(BT$2)-69,3))*5)+MOD(COLUMN(BT$2),3),1,1),"")</f>
        <v>0</v>
      </c>
      <c r="BU42">
        <f ca="1">IF($AN42="",OFFSET(Demand!$A$13,ROW(E39)-1,4+((QUOTIENT(COLUMN(BU$2)-69,3))*5)+MOD(COLUMN(BU$2),3),1,1),"")</f>
        <v>0</v>
      </c>
      <c r="BV42">
        <f ca="1">IF($AN42="",OFFSET(Demand!$A$13,ROW(F39)-1,4+((QUOTIENT(COLUMN(BV$2)-69,3))*5)+MOD(COLUMN(BV$2),3),1,1),"")</f>
        <v>0</v>
      </c>
      <c r="BW42">
        <f ca="1">IF($AN42="",OFFSET(Demand!$A$13,ROW(G39)-1,4+((QUOTIENT(COLUMN(BW$2)-69,3))*5)+MOD(COLUMN(BW$2),3),1,1),"")</f>
        <v>0</v>
      </c>
      <c r="BX42">
        <f ca="1">IF($AN42="",OFFSET(Demand!$A$13,ROW(H39)-1,4+((QUOTIENT(COLUMN(BX$2)-69,3))*5)+MOD(COLUMN(BX$2),3),1,1),"")</f>
        <v>0</v>
      </c>
      <c r="BY42">
        <f ca="1">IF($AN42="",OFFSET(Demand!$A$13,ROW(I39)-1,4+((QUOTIENT(COLUMN(BY$2)-69,3))*5)+MOD(COLUMN(BY$2),3),1,1),"")</f>
        <v>0</v>
      </c>
      <c r="BZ42">
        <f ca="1">IF($AN42="",OFFSET(Demand!$A$13,ROW(J39)-1,4+((QUOTIENT(COLUMN(BZ$2)-69,3))*5)+MOD(COLUMN(BZ$2),3),1,1),"")</f>
        <v>0</v>
      </c>
      <c r="CA42">
        <f ca="1">IF($AN42="",OFFSET(Demand!$A$13,ROW(K39)-1,4+((QUOTIENT(COLUMN(CA$2)-69,3))*5)+MOD(COLUMN(CA$2),3),1,1),"")</f>
        <v>0</v>
      </c>
      <c r="CB42">
        <f ca="1">IF($AN42="",OFFSET(Demand!$A$13,ROW(L39)-1,4+((QUOTIENT(COLUMN(CB$2)-69,3))*5)+MOD(COLUMN(CB$2),3),1,1),"")</f>
        <v>0</v>
      </c>
      <c r="CC42">
        <f ca="1">IF($AN42="",OFFSET(Demand!$A$13,ROW(M39)-1,4+((QUOTIENT(COLUMN(CC$2)-69,3))*5)+MOD(COLUMN(CC$2),3),1,1),"")</f>
        <v>0</v>
      </c>
      <c r="CD42">
        <f ca="1">IF($AN42="",OFFSET(Demand!$A$13,ROW(N39)-1,4+((QUOTIENT(COLUMN(CD$2)-69,3))*5)+MOD(COLUMN(CD$2),3),1,1),"")</f>
        <v>0</v>
      </c>
      <c r="CE42">
        <f ca="1">IF($AN42="",OFFSET(Demand!$A$13,ROW(O39)-1,4+((QUOTIENT(COLUMN(CE$2)-69,3))*5)+MOD(COLUMN(CE$2),3),1,1),"")</f>
        <v>0</v>
      </c>
      <c r="CF42">
        <f ca="1">IF($AN42="",OFFSET(Demand!$A$13,ROW(P39)-1,4+((QUOTIENT(COLUMN(CF$2)-69,3))*5)+MOD(COLUMN(CF$2),3),1,1),"")</f>
        <v>0</v>
      </c>
      <c r="CG42">
        <f ca="1">IF($AN42="",OFFSET(Demand!$A$13,ROW(Q39)-1,4+((QUOTIENT(COLUMN(CG$2)-69,3))*5)+MOD(COLUMN(CG$2),3),1,1),"")</f>
        <v>0</v>
      </c>
      <c r="CH42">
        <f ca="1">IF($AN42="",OFFSET(Demand!$A$13,ROW(R39)-1,4+((QUOTIENT(COLUMN(CH$2)-69,3))*5)+MOD(COLUMN(CH$2),3),1,1),"")</f>
        <v>0</v>
      </c>
      <c r="CI42">
        <f ca="1">IF($AN42="",OFFSET(Demand!$A$13,ROW(S39)-1,4+((QUOTIENT(COLUMN(CI$2)-69,3))*5)+MOD(COLUMN(CI$2),3),1,1),"")</f>
        <v>0</v>
      </c>
      <c r="CJ42">
        <f ca="1">IF($AN42="",OFFSET(Demand!$A$13,ROW(T39)-1,4+((QUOTIENT(COLUMN(CJ$2)-69,3))*5)+MOD(COLUMN(CJ$2),3),1,1),"")</f>
        <v>0</v>
      </c>
      <c r="CK42">
        <f ca="1">IF($AN42="",OFFSET(Demand!$A$13,ROW(U39)-1,4+((QUOTIENT(COLUMN(CK$2)-69,3))*5)+MOD(COLUMN(CK$2),3),1,1),"")</f>
        <v>0</v>
      </c>
      <c r="CL42">
        <f ca="1">IF($AN42="",OFFSET(Demand!$A$13,ROW(V39)-1,4+((QUOTIENT(COLUMN(CL$2)-69,3))*5)+MOD(COLUMN(CL$2),3),1,1),"")</f>
        <v>0</v>
      </c>
      <c r="CM42">
        <f ca="1">IF($AN42="",OFFSET(Demand!$A$13,ROW(W39)-1,4+((QUOTIENT(COLUMN(CM$2)-69,3))*5)+MOD(COLUMN(CM$2),3),1,1),"")</f>
        <v>0</v>
      </c>
      <c r="CN42">
        <f ca="1">IF($AN42="",OFFSET(Demand!$A$13,ROW(X39)-1,4+((QUOTIENT(COLUMN(CN$2)-69,3))*5)+MOD(COLUMN(CN$2),3),1,1),"")</f>
        <v>0</v>
      </c>
      <c r="CO42">
        <f ca="1">IF($AN42="",OFFSET(Demand!$A$13,ROW(Y39)-1,4+((QUOTIENT(COLUMN(CO$2)-69,3))*5)+MOD(COLUMN(CO$2),3),1,1),"")</f>
        <v>0</v>
      </c>
      <c r="CP42">
        <f ca="1">IF($AN42="",OFFSET(Demand!$A$13,ROW(Z39)-1,4+((QUOTIENT(COLUMN(CP$2)-69,3))*5)+MOD(COLUMN(CP$2),3),1,1),"")</f>
        <v>0</v>
      </c>
      <c r="CQ42">
        <f ca="1">IF($AN42="",OFFSET(Demand!$A$13,ROW(AA39)-1,4+((QUOTIENT(COLUMN(CQ$2)-69,3))*5)+MOD(COLUMN(CQ$2),3),1,1),"")</f>
        <v>0</v>
      </c>
      <c r="CR42">
        <f ca="1">IF($AN42="",OFFSET(Demand!$A$13,ROW(AB39)-1,4+((QUOTIENT(COLUMN(CR$2)-69,3))*5)+MOD(COLUMN(CR$2),3),1,1),"")</f>
        <v>0</v>
      </c>
      <c r="CS42">
        <f ca="1">IF($AN42="",OFFSET(Demand!$A$13,ROW(AC39)-1,4+((QUOTIENT(COLUMN(CS$2)-69,3))*5)+MOD(COLUMN(CS$2),3),1,1),"")</f>
        <v>0</v>
      </c>
      <c r="CT42">
        <f ca="1">IF($AN42="",OFFSET(Demand!$A$13,ROW(AD39)-1,4+((QUOTIENT(COLUMN(CT$2)-69,3))*5)+MOD(COLUMN(CT$2),3),1,1),"")</f>
        <v>0</v>
      </c>
      <c r="CW42" s="5">
        <f ca="1">SUM(OFFSET(Demand!$H$43,ROW(A39)-1,(COLUMN(A39)-1)*5,1,1))*N$2</f>
        <v>0</v>
      </c>
      <c r="CX42" s="5">
        <f ca="1">SUM(OFFSET(Demand!$H$43,ROW(B39)-1,(COLUMN(B39)-1)*5,1,1))*O$2</f>
        <v>0</v>
      </c>
      <c r="CY42" s="5">
        <f ca="1">SUM(OFFSET(Demand!$H$43,ROW(C39)-1,(COLUMN(C39)-1)*5,1,1))*P$2</f>
        <v>0</v>
      </c>
      <c r="CZ42" s="5">
        <f ca="1">SUM(OFFSET(Demand!$H$43,ROW(D39)-1,(COLUMN(D39)-1)*5,1,1))*Q$2</f>
        <v>0</v>
      </c>
      <c r="DA42" s="5">
        <f ca="1">SUM(OFFSET(Demand!$H$43,ROW(E39)-1,(COLUMN(E39)-1)*5,1,1))*R$2</f>
        <v>0</v>
      </c>
      <c r="DB42" s="5">
        <f ca="1">SUM(OFFSET(Demand!$H$43,ROW(F39)-1,(COLUMN(F39)-1)*5,1,1))*S$2</f>
        <v>0</v>
      </c>
      <c r="DC42" s="5">
        <f ca="1">SUM(OFFSET(Demand!$H$43,ROW(G39)-1,(COLUMN(G39)-1)*5,1,1))*T$2</f>
        <v>0</v>
      </c>
      <c r="DD42" s="5">
        <f ca="1">SUM(OFFSET(Demand!$H$43,ROW(H39)-1,(COLUMN(H39)-1)*5,1,1))*U$2</f>
        <v>0</v>
      </c>
      <c r="DE42" s="5">
        <f ca="1">SUM(OFFSET(Demand!$H$43,ROW(I39)-1,(COLUMN(I39)-1)*5,1,1))*V$2</f>
        <v>0</v>
      </c>
      <c r="DF42" s="5">
        <f ca="1">SUM(OFFSET(Demand!$H$43,ROW(J39)-1,(COLUMN(J39)-1)*5,1,1))*W$2</f>
        <v>0</v>
      </c>
      <c r="DG42" s="5">
        <f ca="1">IF(OR(AN42&lt;&gt;"",AND('Demand adjustments for Covid'!$F$9="Yes",'Demand adjustments for Covid'!$F$20="Yes")),"",SUM(CW42:DF42))</f>
        <v>0</v>
      </c>
      <c r="DM42" s="5">
        <f t="shared" si="10"/>
        <v>1</v>
      </c>
      <c r="DN42" s="320">
        <f t="shared" si="17"/>
        <v>44200</v>
      </c>
      <c r="DO42" s="5">
        <f ca="1">VLOOKUP(IF($DM42&lt;53,$DM42,52),'Summary Calculations (hide)'!$D$15:$F$67,2,0)</f>
        <v>140</v>
      </c>
      <c r="DP42" s="5">
        <f ca="1">VLOOKUP(IF($DM42&lt;53,$DM42,52),'Summary Calculations (hide)'!$D$15:$F$67,3,0)</f>
        <v>154</v>
      </c>
      <c r="DQ42" s="5">
        <f ca="1">IF(AND(DN42&gt;='Demand adjustments for Covid'!$F$12,DN42&lt;'Demand adjustments for Covid'!$F$17),'Demand adjustments for Covid'!$F$13,DO42)</f>
        <v>140</v>
      </c>
      <c r="DR42" s="5">
        <f t="shared" si="33"/>
        <v>0</v>
      </c>
      <c r="DS42" s="5">
        <f ca="1">IF('Demand adjustments for Covid'!$F$9="Yes",IF(DR42=0,DQ42,((SUM(DR$4:DR42)-1)*$EE$8)+'Demand adjustments for Covid'!F$13),'Demand background (hide)'!DO42)</f>
        <v>140</v>
      </c>
      <c r="DT42" s="5">
        <f ca="1">IF('Demand adjustments for Covid'!$F$9="Yes",IF(OR(AND(DN42&gt;='Demand adjustments for Covid'!$F$12,DN42&lt;'Demand adjustments for Covid'!$F$17),DR42=1),DS42+3,DP42),'Demand background (hide)'!DP42)</f>
        <v>154</v>
      </c>
      <c r="DU42" s="5">
        <f ca="1">IF(DS42&lt;='Demand adjustments for Covid'!$F$17,DO42-DS42,0)</f>
        <v>0</v>
      </c>
      <c r="DV42" s="5">
        <f ca="1">IF(AND(ROW(A39)&gt;$EE$5,ROW(A39)&lt;=$EA$5),OFFSET('Demand adjustments for Covid'!$F$35,0,ROW(A39)-'Demand background (hide)'!$EE$5,1,1),0)</f>
        <v>0</v>
      </c>
      <c r="DW42" s="5">
        <f ca="1">IF(AND(ROW(A39)&gt;$EE$5,ROW(A39)&lt;=$EA$5),OFFSET('Demand adjustments for Covid'!$F$36,0,ROW(A39)-'Demand background (hide)'!$EE$5,1,1),0)</f>
        <v>0</v>
      </c>
      <c r="DX42" s="5">
        <f t="shared" ca="1" si="11"/>
        <v>154</v>
      </c>
    </row>
    <row r="43" spans="1:128" s="5" customFormat="1" x14ac:dyDescent="0.25">
      <c r="A43" s="5">
        <f t="shared" ca="1" si="32"/>
        <v>0</v>
      </c>
      <c r="B43" s="5">
        <f ca="1">COUNTBLANK(OFFSET(Demand!$I52,0,(COLUMN(A40)-1)*5,1,1))</f>
        <v>0</v>
      </c>
      <c r="C43" s="5">
        <f ca="1">COUNTBLANK(OFFSET(Demand!$I52,0,(COLUMN(B40)-1)*5,1,1))</f>
        <v>1</v>
      </c>
      <c r="D43" s="5">
        <f ca="1">COUNTBLANK(OFFSET(Demand!$I52,0,(COLUMN(C40)-1)*5,1,1))</f>
        <v>1</v>
      </c>
      <c r="E43" s="5">
        <f ca="1">COUNTBLANK(OFFSET(Demand!$I52,0,(COLUMN(D40)-1)*5,1,1))</f>
        <v>1</v>
      </c>
      <c r="F43" s="5">
        <f ca="1">COUNTBLANK(OFFSET(Demand!$I52,0,(COLUMN(E40)-1)*5,1,1))</f>
        <v>1</v>
      </c>
      <c r="G43" s="5">
        <f ca="1">COUNTBLANK(OFFSET(Demand!$I52,0,(COLUMN(F40)-1)*5,1,1))</f>
        <v>1</v>
      </c>
      <c r="H43" s="5">
        <f ca="1">COUNTBLANK(OFFSET(Demand!$I52,0,(COLUMN(G40)-1)*5,1,1))</f>
        <v>1</v>
      </c>
      <c r="I43" s="5">
        <f ca="1">COUNTBLANK(OFFSET(Demand!$I52,0,(COLUMN(H40)-1)*5,1,1))</f>
        <v>1</v>
      </c>
      <c r="J43" s="5">
        <f ca="1">COUNTBLANK(OFFSET(Demand!$I52,0,(COLUMN(I40)-1)*5,1,1))</f>
        <v>1</v>
      </c>
      <c r="K43" s="5">
        <f ca="1">COUNTBLANK(OFFSET(Demand!$I52,0,(COLUMN(J40)-1)*5,1,1))</f>
        <v>1</v>
      </c>
      <c r="N43" s="5">
        <f ca="1">SUM(OFFSET(Demand!$E52,0,(COLUMN(A40)-1)*5,1,3))*N$2</f>
        <v>130</v>
      </c>
      <c r="O43" s="5">
        <f ca="1">SUM(OFFSET(Demand!$E52,0,(COLUMN(B40)-1)*5,1,3))*O$2</f>
        <v>0</v>
      </c>
      <c r="P43" s="5">
        <f ca="1">SUM(OFFSET(Demand!$E52,0,(COLUMN(C40)-1)*5,1,3))*P$2</f>
        <v>0</v>
      </c>
      <c r="Q43" s="5">
        <f ca="1">SUM(OFFSET(Demand!$E52,0,(COLUMN(D40)-1)*5,1,3))*Q$2</f>
        <v>0</v>
      </c>
      <c r="R43" s="5">
        <f ca="1">SUM(OFFSET(Demand!$E52,0,(COLUMN(E40)-1)*5,1,3))*R$2</f>
        <v>0</v>
      </c>
      <c r="S43" s="5">
        <f ca="1">SUM(OFFSET(Demand!$E52,0,(COLUMN(F40)-1)*5,1,3))*S$2</f>
        <v>0</v>
      </c>
      <c r="T43" s="5">
        <f ca="1">SUM(OFFSET(Demand!$E52,0,(COLUMN(G40)-1)*5,1,3))*T$2</f>
        <v>0</v>
      </c>
      <c r="U43" s="5">
        <f ca="1">SUM(OFFSET(Demand!$E52,0,(COLUMN(H40)-1)*5,1,3))*U$2</f>
        <v>0</v>
      </c>
      <c r="V43" s="5">
        <f ca="1">SUM(OFFSET(Demand!$E52,0,(COLUMN(I40)-1)*5,1,3))*V$2</f>
        <v>0</v>
      </c>
      <c r="W43" s="5">
        <f ca="1">SUM(OFFSET(Demand!$E52,0,(COLUMN(J40)-1)*5,1,3))*W$2</f>
        <v>0</v>
      </c>
      <c r="X43" s="5">
        <f t="shared" ca="1" si="4"/>
        <v>130</v>
      </c>
      <c r="Y43" s="5">
        <f t="shared" ca="1" si="5"/>
        <v>130</v>
      </c>
      <c r="Z43" s="5">
        <f ca="1">SUM(OFFSET(Demand!$H52,0,(COLUMN(A40)-1)*5,1,1))*N$2</f>
        <v>0</v>
      </c>
      <c r="AA43" s="5">
        <f ca="1">SUM(OFFSET(Demand!$H52,0,(COLUMN(B40)-1)*5,1,1))*O$2</f>
        <v>0</v>
      </c>
      <c r="AB43" s="5">
        <f ca="1">SUM(OFFSET(Demand!$H52,0,(COLUMN(C40)-1)*5,1,1))*P$2</f>
        <v>0</v>
      </c>
      <c r="AC43" s="5">
        <f ca="1">SUM(OFFSET(Demand!$H52,0,(COLUMN(D40)-1)*5,1,1))*Q$2</f>
        <v>0</v>
      </c>
      <c r="AD43" s="5">
        <f ca="1">SUM(OFFSET(Demand!$H52,0,(COLUMN(E40)-1)*5,1,1))*R$2</f>
        <v>0</v>
      </c>
      <c r="AE43" s="5">
        <f ca="1">SUM(OFFSET(Demand!$H52,0,(COLUMN(F40)-1)*5,1,1))*S$2</f>
        <v>0</v>
      </c>
      <c r="AF43" s="5">
        <f ca="1">SUM(OFFSET(Demand!$H52,0,(COLUMN(G40)-1)*5,1,1))*T$2</f>
        <v>0</v>
      </c>
      <c r="AG43" s="5">
        <f ca="1">SUM(OFFSET(Demand!$H52,0,(COLUMN(H40)-1)*5,1,1))*U$2</f>
        <v>0</v>
      </c>
      <c r="AH43" s="5">
        <f ca="1">SUM(OFFSET(Demand!$H52,0,(COLUMN(I40)-1)*5,1,1))*V$2</f>
        <v>0</v>
      </c>
      <c r="AI43" s="5">
        <f ca="1">SUM(OFFSET(Demand!$H52,0,(COLUMN(J40)-1)*5,1,1))*W$2</f>
        <v>0</v>
      </c>
      <c r="AJ43" s="5">
        <f t="shared" ca="1" si="6"/>
        <v>0</v>
      </c>
      <c r="AL43" s="5">
        <f t="shared" ca="1" si="8"/>
        <v>130</v>
      </c>
      <c r="AM43" s="5">
        <f t="shared" ca="1" si="9"/>
        <v>0</v>
      </c>
      <c r="AN43" s="5" t="str">
        <f>IF(Demand!BE52="Yes","Yes","")</f>
        <v/>
      </c>
      <c r="AP43" s="36" t="str">
        <f ca="1">Demand!B52</f>
        <v xml:space="preserve"> </v>
      </c>
      <c r="AQ43" s="5" t="str">
        <f ca="1">IF(TEXT(Demand!D52,"MMM")&lt;&gt;TEXT(Demand!D51,"MMM"),TEXT(Demand!D52,"MMM"),"")</f>
        <v/>
      </c>
      <c r="AT43" s="5">
        <f t="shared" ca="1" si="12"/>
        <v>10</v>
      </c>
      <c r="BQ43">
        <f ca="1">IF($AN43="",OFFSET(Demand!$A$13,ROW(A40)-1,4+((QUOTIENT(COLUMN(BQ$2)-69,3))*5)+MOD(COLUMN(BQ$2),3),1,1),"")</f>
        <v>0</v>
      </c>
      <c r="BR43">
        <f ca="1">IF($AN43="",OFFSET(Demand!$A$13,ROW(B40)-1,4+((QUOTIENT(COLUMN(BR$2)-69,3))*5)+MOD(COLUMN(BR$2),3),1,1),"")</f>
        <v>0</v>
      </c>
      <c r="BS43">
        <f ca="1">IF($AN43="",OFFSET(Demand!$A$13,ROW(C40)-1,4+((QUOTIENT(COLUMN(BS$2)-69,3))*5)+MOD(COLUMN(BS$2),3),1,1),"")</f>
        <v>65</v>
      </c>
      <c r="BT43">
        <f ca="1">IF($AN43="",OFFSET(Demand!$A$13,ROW(D40)-1,4+((QUOTIENT(COLUMN(BT$2)-69,3))*5)+MOD(COLUMN(BT$2),3),1,1),"")</f>
        <v>0</v>
      </c>
      <c r="BU43">
        <f ca="1">IF($AN43="",OFFSET(Demand!$A$13,ROW(E40)-1,4+((QUOTIENT(COLUMN(BU$2)-69,3))*5)+MOD(COLUMN(BU$2),3),1,1),"")</f>
        <v>0</v>
      </c>
      <c r="BV43">
        <f ca="1">IF($AN43="",OFFSET(Demand!$A$13,ROW(F40)-1,4+((QUOTIENT(COLUMN(BV$2)-69,3))*5)+MOD(COLUMN(BV$2),3),1,1),"")</f>
        <v>0</v>
      </c>
      <c r="BW43">
        <f ca="1">IF($AN43="",OFFSET(Demand!$A$13,ROW(G40)-1,4+((QUOTIENT(COLUMN(BW$2)-69,3))*5)+MOD(COLUMN(BW$2),3),1,1),"")</f>
        <v>0</v>
      </c>
      <c r="BX43">
        <f ca="1">IF($AN43="",OFFSET(Demand!$A$13,ROW(H40)-1,4+((QUOTIENT(COLUMN(BX$2)-69,3))*5)+MOD(COLUMN(BX$2),3),1,1),"")</f>
        <v>0</v>
      </c>
      <c r="BY43">
        <f ca="1">IF($AN43="",OFFSET(Demand!$A$13,ROW(I40)-1,4+((QUOTIENT(COLUMN(BY$2)-69,3))*5)+MOD(COLUMN(BY$2),3),1,1),"")</f>
        <v>0</v>
      </c>
      <c r="BZ43">
        <f ca="1">IF($AN43="",OFFSET(Demand!$A$13,ROW(J40)-1,4+((QUOTIENT(COLUMN(BZ$2)-69,3))*5)+MOD(COLUMN(BZ$2),3),1,1),"")</f>
        <v>0</v>
      </c>
      <c r="CA43">
        <f ca="1">IF($AN43="",OFFSET(Demand!$A$13,ROW(K40)-1,4+((QUOTIENT(COLUMN(CA$2)-69,3))*5)+MOD(COLUMN(CA$2),3),1,1),"")</f>
        <v>0</v>
      </c>
      <c r="CB43">
        <f ca="1">IF($AN43="",OFFSET(Demand!$A$13,ROW(L40)-1,4+((QUOTIENT(COLUMN(CB$2)-69,3))*5)+MOD(COLUMN(CB$2),3),1,1),"")</f>
        <v>0</v>
      </c>
      <c r="CC43">
        <f ca="1">IF($AN43="",OFFSET(Demand!$A$13,ROW(M40)-1,4+((QUOTIENT(COLUMN(CC$2)-69,3))*5)+MOD(COLUMN(CC$2),3),1,1),"")</f>
        <v>0</v>
      </c>
      <c r="CD43">
        <f ca="1">IF($AN43="",OFFSET(Demand!$A$13,ROW(N40)-1,4+((QUOTIENT(COLUMN(CD$2)-69,3))*5)+MOD(COLUMN(CD$2),3),1,1),"")</f>
        <v>0</v>
      </c>
      <c r="CE43">
        <f ca="1">IF($AN43="",OFFSET(Demand!$A$13,ROW(O40)-1,4+((QUOTIENT(COLUMN(CE$2)-69,3))*5)+MOD(COLUMN(CE$2),3),1,1),"")</f>
        <v>0</v>
      </c>
      <c r="CF43">
        <f ca="1">IF($AN43="",OFFSET(Demand!$A$13,ROW(P40)-1,4+((QUOTIENT(COLUMN(CF$2)-69,3))*5)+MOD(COLUMN(CF$2),3),1,1),"")</f>
        <v>0</v>
      </c>
      <c r="CG43">
        <f ca="1">IF($AN43="",OFFSET(Demand!$A$13,ROW(Q40)-1,4+((QUOTIENT(COLUMN(CG$2)-69,3))*5)+MOD(COLUMN(CG$2),3),1,1),"")</f>
        <v>0</v>
      </c>
      <c r="CH43">
        <f ca="1">IF($AN43="",OFFSET(Demand!$A$13,ROW(R40)-1,4+((QUOTIENT(COLUMN(CH$2)-69,3))*5)+MOD(COLUMN(CH$2),3),1,1),"")</f>
        <v>0</v>
      </c>
      <c r="CI43">
        <f ca="1">IF($AN43="",OFFSET(Demand!$A$13,ROW(S40)-1,4+((QUOTIENT(COLUMN(CI$2)-69,3))*5)+MOD(COLUMN(CI$2),3),1,1),"")</f>
        <v>0</v>
      </c>
      <c r="CJ43">
        <f ca="1">IF($AN43="",OFFSET(Demand!$A$13,ROW(T40)-1,4+((QUOTIENT(COLUMN(CJ$2)-69,3))*5)+MOD(COLUMN(CJ$2),3),1,1),"")</f>
        <v>0</v>
      </c>
      <c r="CK43">
        <f ca="1">IF($AN43="",OFFSET(Demand!$A$13,ROW(U40)-1,4+((QUOTIENT(COLUMN(CK$2)-69,3))*5)+MOD(COLUMN(CK$2),3),1,1),"")</f>
        <v>0</v>
      </c>
      <c r="CL43">
        <f ca="1">IF($AN43="",OFFSET(Demand!$A$13,ROW(V40)-1,4+((QUOTIENT(COLUMN(CL$2)-69,3))*5)+MOD(COLUMN(CL$2),3),1,1),"")</f>
        <v>0</v>
      </c>
      <c r="CM43">
        <f ca="1">IF($AN43="",OFFSET(Demand!$A$13,ROW(W40)-1,4+((QUOTIENT(COLUMN(CM$2)-69,3))*5)+MOD(COLUMN(CM$2),3),1,1),"")</f>
        <v>0</v>
      </c>
      <c r="CN43">
        <f ca="1">IF($AN43="",OFFSET(Demand!$A$13,ROW(X40)-1,4+((QUOTIENT(COLUMN(CN$2)-69,3))*5)+MOD(COLUMN(CN$2),3),1,1),"")</f>
        <v>0</v>
      </c>
      <c r="CO43">
        <f ca="1">IF($AN43="",OFFSET(Demand!$A$13,ROW(Y40)-1,4+((QUOTIENT(COLUMN(CO$2)-69,3))*5)+MOD(COLUMN(CO$2),3),1,1),"")</f>
        <v>0</v>
      </c>
      <c r="CP43">
        <f ca="1">IF($AN43="",OFFSET(Demand!$A$13,ROW(Z40)-1,4+((QUOTIENT(COLUMN(CP$2)-69,3))*5)+MOD(COLUMN(CP$2),3),1,1),"")</f>
        <v>0</v>
      </c>
      <c r="CQ43">
        <f ca="1">IF($AN43="",OFFSET(Demand!$A$13,ROW(AA40)-1,4+((QUOTIENT(COLUMN(CQ$2)-69,3))*5)+MOD(COLUMN(CQ$2),3),1,1),"")</f>
        <v>0</v>
      </c>
      <c r="CR43">
        <f ca="1">IF($AN43="",OFFSET(Demand!$A$13,ROW(AB40)-1,4+((QUOTIENT(COLUMN(CR$2)-69,3))*5)+MOD(COLUMN(CR$2),3),1,1),"")</f>
        <v>0</v>
      </c>
      <c r="CS43">
        <f ca="1">IF($AN43="",OFFSET(Demand!$A$13,ROW(AC40)-1,4+((QUOTIENT(COLUMN(CS$2)-69,3))*5)+MOD(COLUMN(CS$2),3),1,1),"")</f>
        <v>0</v>
      </c>
      <c r="CT43">
        <f ca="1">IF($AN43="",OFFSET(Demand!$A$13,ROW(AD40)-1,4+((QUOTIENT(COLUMN(CT$2)-69,3))*5)+MOD(COLUMN(CT$2),3),1,1),"")</f>
        <v>0</v>
      </c>
      <c r="CW43" s="5">
        <f ca="1">SUM(OFFSET(Demand!$H$43,ROW(A40)-1,(COLUMN(A40)-1)*5,1,1))*N$2</f>
        <v>0</v>
      </c>
      <c r="CX43" s="5">
        <f ca="1">SUM(OFFSET(Demand!$H$43,ROW(B40)-1,(COLUMN(B40)-1)*5,1,1))*O$2</f>
        <v>0</v>
      </c>
      <c r="CY43" s="5">
        <f ca="1">SUM(OFFSET(Demand!$H$43,ROW(C40)-1,(COLUMN(C40)-1)*5,1,1))*P$2</f>
        <v>0</v>
      </c>
      <c r="CZ43" s="5">
        <f ca="1">SUM(OFFSET(Demand!$H$43,ROW(D40)-1,(COLUMN(D40)-1)*5,1,1))*Q$2</f>
        <v>0</v>
      </c>
      <c r="DA43" s="5">
        <f ca="1">SUM(OFFSET(Demand!$H$43,ROW(E40)-1,(COLUMN(E40)-1)*5,1,1))*R$2</f>
        <v>0</v>
      </c>
      <c r="DB43" s="5">
        <f ca="1">SUM(OFFSET(Demand!$H$43,ROW(F40)-1,(COLUMN(F40)-1)*5,1,1))*S$2</f>
        <v>0</v>
      </c>
      <c r="DC43" s="5">
        <f ca="1">SUM(OFFSET(Demand!$H$43,ROW(G40)-1,(COLUMN(G40)-1)*5,1,1))*T$2</f>
        <v>0</v>
      </c>
      <c r="DD43" s="5">
        <f ca="1">SUM(OFFSET(Demand!$H$43,ROW(H40)-1,(COLUMN(H40)-1)*5,1,1))*U$2</f>
        <v>0</v>
      </c>
      <c r="DE43" s="5">
        <f ca="1">SUM(OFFSET(Demand!$H$43,ROW(I40)-1,(COLUMN(I40)-1)*5,1,1))*V$2</f>
        <v>0</v>
      </c>
      <c r="DF43" s="5">
        <f ca="1">SUM(OFFSET(Demand!$H$43,ROW(J40)-1,(COLUMN(J40)-1)*5,1,1))*W$2</f>
        <v>0</v>
      </c>
      <c r="DG43" s="5">
        <f ca="1">IF(OR(AN43&lt;&gt;"",AND('Demand adjustments for Covid'!$F$9="Yes",'Demand adjustments for Covid'!$F$20="Yes")),"",SUM(CW43:DF43))</f>
        <v>0</v>
      </c>
      <c r="DM43" s="5">
        <f t="shared" si="10"/>
        <v>2</v>
      </c>
      <c r="DN43" s="320">
        <f t="shared" si="17"/>
        <v>44207</v>
      </c>
      <c r="DO43" s="5">
        <f ca="1">VLOOKUP(IF($DM43&lt;53,$DM43,52),'Summary Calculations (hide)'!$D$15:$F$67,2,0)</f>
        <v>130</v>
      </c>
      <c r="DP43" s="5">
        <f ca="1">VLOOKUP(IF($DM43&lt;53,$DM43,52),'Summary Calculations (hide)'!$D$15:$F$67,3,0)</f>
        <v>143</v>
      </c>
      <c r="DQ43" s="5">
        <f ca="1">IF(AND(DN43&gt;='Demand adjustments for Covid'!$F$12,DN43&lt;'Demand adjustments for Covid'!$F$17),'Demand adjustments for Covid'!$F$13,DO43)</f>
        <v>130</v>
      </c>
      <c r="DR43" s="5">
        <f t="shared" si="33"/>
        <v>0</v>
      </c>
      <c r="DS43" s="5">
        <f ca="1">IF('Demand adjustments for Covid'!$F$9="Yes",IF(DR43=0,DQ43,((SUM(DR$4:DR43)-1)*$EE$8)+'Demand adjustments for Covid'!F$13),'Demand background (hide)'!DO43)</f>
        <v>130</v>
      </c>
      <c r="DT43" s="5">
        <f ca="1">IF('Demand adjustments for Covid'!$F$9="Yes",IF(OR(AND(DN43&gt;='Demand adjustments for Covid'!$F$12,DN43&lt;'Demand adjustments for Covid'!$F$17),DR43=1),DS43+3,DP43),'Demand background (hide)'!DP43)</f>
        <v>143</v>
      </c>
      <c r="DU43" s="5">
        <f ca="1">IF(DS43&lt;='Demand adjustments for Covid'!$F$17,DO43-DS43,0)</f>
        <v>0</v>
      </c>
      <c r="DV43" s="5">
        <f ca="1">IF(AND(ROW(A40)&gt;$EE$5,ROW(A40)&lt;=$EA$5),OFFSET('Demand adjustments for Covid'!$F$35,0,ROW(A40)-'Demand background (hide)'!$EE$5,1,1),0)</f>
        <v>0</v>
      </c>
      <c r="DW43" s="5">
        <f ca="1">IF(AND(ROW(A40)&gt;$EE$5,ROW(A40)&lt;=$EA$5),OFFSET('Demand adjustments for Covid'!$F$36,0,ROW(A40)-'Demand background (hide)'!$EE$5,1,1),0)</f>
        <v>0</v>
      </c>
      <c r="DX43" s="5">
        <f t="shared" ca="1" si="11"/>
        <v>143</v>
      </c>
    </row>
    <row r="44" spans="1:128" s="5" customFormat="1" x14ac:dyDescent="0.25">
      <c r="A44" s="5">
        <f t="shared" ca="1" si="32"/>
        <v>0</v>
      </c>
      <c r="B44" s="5">
        <f ca="1">COUNTBLANK(OFFSET(Demand!$I53,0,(COLUMN(A41)-1)*5,1,1))</f>
        <v>0</v>
      </c>
      <c r="C44" s="5">
        <f ca="1">COUNTBLANK(OFFSET(Demand!$I53,0,(COLUMN(B41)-1)*5,1,1))</f>
        <v>1</v>
      </c>
      <c r="D44" s="5">
        <f ca="1">COUNTBLANK(OFFSET(Demand!$I53,0,(COLUMN(C41)-1)*5,1,1))</f>
        <v>1</v>
      </c>
      <c r="E44" s="5">
        <f ca="1">COUNTBLANK(OFFSET(Demand!$I53,0,(COLUMN(D41)-1)*5,1,1))</f>
        <v>1</v>
      </c>
      <c r="F44" s="5">
        <f ca="1">COUNTBLANK(OFFSET(Demand!$I53,0,(COLUMN(E41)-1)*5,1,1))</f>
        <v>1</v>
      </c>
      <c r="G44" s="5">
        <f ca="1">COUNTBLANK(OFFSET(Demand!$I53,0,(COLUMN(F41)-1)*5,1,1))</f>
        <v>1</v>
      </c>
      <c r="H44" s="5">
        <f ca="1">COUNTBLANK(OFFSET(Demand!$I53,0,(COLUMN(G41)-1)*5,1,1))</f>
        <v>1</v>
      </c>
      <c r="I44" s="5">
        <f ca="1">COUNTBLANK(OFFSET(Demand!$I53,0,(COLUMN(H41)-1)*5,1,1))</f>
        <v>1</v>
      </c>
      <c r="J44" s="5">
        <f ca="1">COUNTBLANK(OFFSET(Demand!$I53,0,(COLUMN(I41)-1)*5,1,1))</f>
        <v>1</v>
      </c>
      <c r="K44" s="5">
        <f ca="1">COUNTBLANK(OFFSET(Demand!$I53,0,(COLUMN(J41)-1)*5,1,1))</f>
        <v>1</v>
      </c>
      <c r="N44" s="5">
        <f ca="1">SUM(OFFSET(Demand!$E53,0,(COLUMN(A41)-1)*5,1,3))*N$2</f>
        <v>120</v>
      </c>
      <c r="O44" s="5">
        <f ca="1">SUM(OFFSET(Demand!$E53,0,(COLUMN(B41)-1)*5,1,3))*O$2</f>
        <v>0</v>
      </c>
      <c r="P44" s="5">
        <f ca="1">SUM(OFFSET(Demand!$E53,0,(COLUMN(C41)-1)*5,1,3))*P$2</f>
        <v>0</v>
      </c>
      <c r="Q44" s="5">
        <f ca="1">SUM(OFFSET(Demand!$E53,0,(COLUMN(D41)-1)*5,1,3))*Q$2</f>
        <v>0</v>
      </c>
      <c r="R44" s="5">
        <f ca="1">SUM(OFFSET(Demand!$E53,0,(COLUMN(E41)-1)*5,1,3))*R$2</f>
        <v>0</v>
      </c>
      <c r="S44" s="5">
        <f ca="1">SUM(OFFSET(Demand!$E53,0,(COLUMN(F41)-1)*5,1,3))*S$2</f>
        <v>0</v>
      </c>
      <c r="T44" s="5">
        <f ca="1">SUM(OFFSET(Demand!$E53,0,(COLUMN(G41)-1)*5,1,3))*T$2</f>
        <v>0</v>
      </c>
      <c r="U44" s="5">
        <f ca="1">SUM(OFFSET(Demand!$E53,0,(COLUMN(H41)-1)*5,1,3))*U$2</f>
        <v>0</v>
      </c>
      <c r="V44" s="5">
        <f ca="1">SUM(OFFSET(Demand!$E53,0,(COLUMN(I41)-1)*5,1,3))*V$2</f>
        <v>0</v>
      </c>
      <c r="W44" s="5">
        <f ca="1">SUM(OFFSET(Demand!$E53,0,(COLUMN(J41)-1)*5,1,3))*W$2</f>
        <v>0</v>
      </c>
      <c r="X44" s="5">
        <f t="shared" ca="1" si="4"/>
        <v>120</v>
      </c>
      <c r="Y44" s="5">
        <f t="shared" ca="1" si="5"/>
        <v>120</v>
      </c>
      <c r="Z44" s="5">
        <f ca="1">SUM(OFFSET(Demand!$H53,0,(COLUMN(A41)-1)*5,1,1))*N$2</f>
        <v>0</v>
      </c>
      <c r="AA44" s="5">
        <f ca="1">SUM(OFFSET(Demand!$H53,0,(COLUMN(B41)-1)*5,1,1))*O$2</f>
        <v>0</v>
      </c>
      <c r="AB44" s="5">
        <f ca="1">SUM(OFFSET(Demand!$H53,0,(COLUMN(C41)-1)*5,1,1))*P$2</f>
        <v>0</v>
      </c>
      <c r="AC44" s="5">
        <f ca="1">SUM(OFFSET(Demand!$H53,0,(COLUMN(D41)-1)*5,1,1))*Q$2</f>
        <v>0</v>
      </c>
      <c r="AD44" s="5">
        <f ca="1">SUM(OFFSET(Demand!$H53,0,(COLUMN(E41)-1)*5,1,1))*R$2</f>
        <v>0</v>
      </c>
      <c r="AE44" s="5">
        <f ca="1">SUM(OFFSET(Demand!$H53,0,(COLUMN(F41)-1)*5,1,1))*S$2</f>
        <v>0</v>
      </c>
      <c r="AF44" s="5">
        <f ca="1">SUM(OFFSET(Demand!$H53,0,(COLUMN(G41)-1)*5,1,1))*T$2</f>
        <v>0</v>
      </c>
      <c r="AG44" s="5">
        <f ca="1">SUM(OFFSET(Demand!$H53,0,(COLUMN(H41)-1)*5,1,1))*U$2</f>
        <v>0</v>
      </c>
      <c r="AH44" s="5">
        <f ca="1">SUM(OFFSET(Demand!$H53,0,(COLUMN(I41)-1)*5,1,1))*V$2</f>
        <v>0</v>
      </c>
      <c r="AI44" s="5">
        <f ca="1">SUM(OFFSET(Demand!$H53,0,(COLUMN(J41)-1)*5,1,1))*W$2</f>
        <v>0</v>
      </c>
      <c r="AJ44" s="5">
        <f t="shared" ca="1" si="6"/>
        <v>0</v>
      </c>
      <c r="AL44" s="5">
        <f t="shared" ca="1" si="8"/>
        <v>120</v>
      </c>
      <c r="AM44" s="5">
        <f t="shared" ca="1" si="9"/>
        <v>0</v>
      </c>
      <c r="AN44" s="5" t="str">
        <f>IF(Demand!BE53="Yes","Yes","")</f>
        <v/>
      </c>
      <c r="AP44" s="36" t="str">
        <f ca="1">Demand!B53</f>
        <v xml:space="preserve"> </v>
      </c>
      <c r="AQ44" s="5" t="str">
        <f ca="1">IF(TEXT(Demand!D53,"MMM")&lt;&gt;TEXT(Demand!D52,"MMM"),TEXT(Demand!D53,"MMM"),"")</f>
        <v>Dec</v>
      </c>
      <c r="AT44" s="5">
        <f t="shared" ca="1" si="12"/>
        <v>10</v>
      </c>
      <c r="BQ44">
        <f ca="1">IF($AN44="",OFFSET(Demand!$A$13,ROW(A41)-1,4+((QUOTIENT(COLUMN(BQ$2)-69,3))*5)+MOD(COLUMN(BQ$2),3),1,1),"")</f>
        <v>0</v>
      </c>
      <c r="BR44">
        <f ca="1">IF($AN44="",OFFSET(Demand!$A$13,ROW(B41)-1,4+((QUOTIENT(COLUMN(BR$2)-69,3))*5)+MOD(COLUMN(BR$2),3),1,1),"")</f>
        <v>0</v>
      </c>
      <c r="BS44">
        <f ca="1">IF($AN44="",OFFSET(Demand!$A$13,ROW(C41)-1,4+((QUOTIENT(COLUMN(BS$2)-69,3))*5)+MOD(COLUMN(BS$2),3),1,1),"")</f>
        <v>60</v>
      </c>
      <c r="BT44">
        <f ca="1">IF($AN44="",OFFSET(Demand!$A$13,ROW(D41)-1,4+((QUOTIENT(COLUMN(BT$2)-69,3))*5)+MOD(COLUMN(BT$2),3),1,1),"")</f>
        <v>0</v>
      </c>
      <c r="BU44">
        <f ca="1">IF($AN44="",OFFSET(Demand!$A$13,ROW(E41)-1,4+((QUOTIENT(COLUMN(BU$2)-69,3))*5)+MOD(COLUMN(BU$2),3),1,1),"")</f>
        <v>0</v>
      </c>
      <c r="BV44">
        <f ca="1">IF($AN44="",OFFSET(Demand!$A$13,ROW(F41)-1,4+((QUOTIENT(COLUMN(BV$2)-69,3))*5)+MOD(COLUMN(BV$2),3),1,1),"")</f>
        <v>0</v>
      </c>
      <c r="BW44">
        <f ca="1">IF($AN44="",OFFSET(Demand!$A$13,ROW(G41)-1,4+((QUOTIENT(COLUMN(BW$2)-69,3))*5)+MOD(COLUMN(BW$2),3),1,1),"")</f>
        <v>0</v>
      </c>
      <c r="BX44">
        <f ca="1">IF($AN44="",OFFSET(Demand!$A$13,ROW(H41)-1,4+((QUOTIENT(COLUMN(BX$2)-69,3))*5)+MOD(COLUMN(BX$2),3),1,1),"")</f>
        <v>0</v>
      </c>
      <c r="BY44">
        <f ca="1">IF($AN44="",OFFSET(Demand!$A$13,ROW(I41)-1,4+((QUOTIENT(COLUMN(BY$2)-69,3))*5)+MOD(COLUMN(BY$2),3),1,1),"")</f>
        <v>0</v>
      </c>
      <c r="BZ44">
        <f ca="1">IF($AN44="",OFFSET(Demand!$A$13,ROW(J41)-1,4+((QUOTIENT(COLUMN(BZ$2)-69,3))*5)+MOD(COLUMN(BZ$2),3),1,1),"")</f>
        <v>0</v>
      </c>
      <c r="CA44">
        <f ca="1">IF($AN44="",OFFSET(Demand!$A$13,ROW(K41)-1,4+((QUOTIENT(COLUMN(CA$2)-69,3))*5)+MOD(COLUMN(CA$2),3),1,1),"")</f>
        <v>0</v>
      </c>
      <c r="CB44">
        <f ca="1">IF($AN44="",OFFSET(Demand!$A$13,ROW(L41)-1,4+((QUOTIENT(COLUMN(CB$2)-69,3))*5)+MOD(COLUMN(CB$2),3),1,1),"")</f>
        <v>0</v>
      </c>
      <c r="CC44">
        <f ca="1">IF($AN44="",OFFSET(Demand!$A$13,ROW(M41)-1,4+((QUOTIENT(COLUMN(CC$2)-69,3))*5)+MOD(COLUMN(CC$2),3),1,1),"")</f>
        <v>0</v>
      </c>
      <c r="CD44">
        <f ca="1">IF($AN44="",OFFSET(Demand!$A$13,ROW(N41)-1,4+((QUOTIENT(COLUMN(CD$2)-69,3))*5)+MOD(COLUMN(CD$2),3),1,1),"")</f>
        <v>0</v>
      </c>
      <c r="CE44">
        <f ca="1">IF($AN44="",OFFSET(Demand!$A$13,ROW(O41)-1,4+((QUOTIENT(COLUMN(CE$2)-69,3))*5)+MOD(COLUMN(CE$2),3),1,1),"")</f>
        <v>0</v>
      </c>
      <c r="CF44">
        <f ca="1">IF($AN44="",OFFSET(Demand!$A$13,ROW(P41)-1,4+((QUOTIENT(COLUMN(CF$2)-69,3))*5)+MOD(COLUMN(CF$2),3),1,1),"")</f>
        <v>0</v>
      </c>
      <c r="CG44">
        <f ca="1">IF($AN44="",OFFSET(Demand!$A$13,ROW(Q41)-1,4+((QUOTIENT(COLUMN(CG$2)-69,3))*5)+MOD(COLUMN(CG$2),3),1,1),"")</f>
        <v>0</v>
      </c>
      <c r="CH44">
        <f ca="1">IF($AN44="",OFFSET(Demand!$A$13,ROW(R41)-1,4+((QUOTIENT(COLUMN(CH$2)-69,3))*5)+MOD(COLUMN(CH$2),3),1,1),"")</f>
        <v>0</v>
      </c>
      <c r="CI44">
        <f ca="1">IF($AN44="",OFFSET(Demand!$A$13,ROW(S41)-1,4+((QUOTIENT(COLUMN(CI$2)-69,3))*5)+MOD(COLUMN(CI$2),3),1,1),"")</f>
        <v>0</v>
      </c>
      <c r="CJ44">
        <f ca="1">IF($AN44="",OFFSET(Demand!$A$13,ROW(T41)-1,4+((QUOTIENT(COLUMN(CJ$2)-69,3))*5)+MOD(COLUMN(CJ$2),3),1,1),"")</f>
        <v>0</v>
      </c>
      <c r="CK44">
        <f ca="1">IF($AN44="",OFFSET(Demand!$A$13,ROW(U41)-1,4+((QUOTIENT(COLUMN(CK$2)-69,3))*5)+MOD(COLUMN(CK$2),3),1,1),"")</f>
        <v>0</v>
      </c>
      <c r="CL44">
        <f ca="1">IF($AN44="",OFFSET(Demand!$A$13,ROW(V41)-1,4+((QUOTIENT(COLUMN(CL$2)-69,3))*5)+MOD(COLUMN(CL$2),3),1,1),"")</f>
        <v>0</v>
      </c>
      <c r="CM44">
        <f ca="1">IF($AN44="",OFFSET(Demand!$A$13,ROW(W41)-1,4+((QUOTIENT(COLUMN(CM$2)-69,3))*5)+MOD(COLUMN(CM$2),3),1,1),"")</f>
        <v>0</v>
      </c>
      <c r="CN44">
        <f ca="1">IF($AN44="",OFFSET(Demand!$A$13,ROW(X41)-1,4+((QUOTIENT(COLUMN(CN$2)-69,3))*5)+MOD(COLUMN(CN$2),3),1,1),"")</f>
        <v>0</v>
      </c>
      <c r="CO44">
        <f ca="1">IF($AN44="",OFFSET(Demand!$A$13,ROW(Y41)-1,4+((QUOTIENT(COLUMN(CO$2)-69,3))*5)+MOD(COLUMN(CO$2),3),1,1),"")</f>
        <v>0</v>
      </c>
      <c r="CP44">
        <f ca="1">IF($AN44="",OFFSET(Demand!$A$13,ROW(Z41)-1,4+((QUOTIENT(COLUMN(CP$2)-69,3))*5)+MOD(COLUMN(CP$2),3),1,1),"")</f>
        <v>0</v>
      </c>
      <c r="CQ44">
        <f ca="1">IF($AN44="",OFFSET(Demand!$A$13,ROW(AA41)-1,4+((QUOTIENT(COLUMN(CQ$2)-69,3))*5)+MOD(COLUMN(CQ$2),3),1,1),"")</f>
        <v>0</v>
      </c>
      <c r="CR44">
        <f ca="1">IF($AN44="",OFFSET(Demand!$A$13,ROW(AB41)-1,4+((QUOTIENT(COLUMN(CR$2)-69,3))*5)+MOD(COLUMN(CR$2),3),1,1),"")</f>
        <v>0</v>
      </c>
      <c r="CS44">
        <f ca="1">IF($AN44="",OFFSET(Demand!$A$13,ROW(AC41)-1,4+((QUOTIENT(COLUMN(CS$2)-69,3))*5)+MOD(COLUMN(CS$2),3),1,1),"")</f>
        <v>0</v>
      </c>
      <c r="CT44">
        <f ca="1">IF($AN44="",OFFSET(Demand!$A$13,ROW(AD41)-1,4+((QUOTIENT(COLUMN(CT$2)-69,3))*5)+MOD(COLUMN(CT$2),3),1,1),"")</f>
        <v>0</v>
      </c>
      <c r="CW44" s="5">
        <f ca="1">SUM(OFFSET(Demand!$H$43,ROW(A41)-1,(COLUMN(A41)-1)*5,1,1))*N$2</f>
        <v>0</v>
      </c>
      <c r="CX44" s="5">
        <f ca="1">SUM(OFFSET(Demand!$H$43,ROW(B41)-1,(COLUMN(B41)-1)*5,1,1))*O$2</f>
        <v>0</v>
      </c>
      <c r="CY44" s="5">
        <f ca="1">SUM(OFFSET(Demand!$H$43,ROW(C41)-1,(COLUMN(C41)-1)*5,1,1))*P$2</f>
        <v>0</v>
      </c>
      <c r="CZ44" s="5">
        <f ca="1">SUM(OFFSET(Demand!$H$43,ROW(D41)-1,(COLUMN(D41)-1)*5,1,1))*Q$2</f>
        <v>0</v>
      </c>
      <c r="DA44" s="5">
        <f ca="1">SUM(OFFSET(Demand!$H$43,ROW(E41)-1,(COLUMN(E41)-1)*5,1,1))*R$2</f>
        <v>0</v>
      </c>
      <c r="DB44" s="5">
        <f ca="1">SUM(OFFSET(Demand!$H$43,ROW(F41)-1,(COLUMN(F41)-1)*5,1,1))*S$2</f>
        <v>0</v>
      </c>
      <c r="DC44" s="5">
        <f ca="1">SUM(OFFSET(Demand!$H$43,ROW(G41)-1,(COLUMN(G41)-1)*5,1,1))*T$2</f>
        <v>0</v>
      </c>
      <c r="DD44" s="5">
        <f ca="1">SUM(OFFSET(Demand!$H$43,ROW(H41)-1,(COLUMN(H41)-1)*5,1,1))*U$2</f>
        <v>0</v>
      </c>
      <c r="DE44" s="5">
        <f ca="1">SUM(OFFSET(Demand!$H$43,ROW(I41)-1,(COLUMN(I41)-1)*5,1,1))*V$2</f>
        <v>0</v>
      </c>
      <c r="DF44" s="5">
        <f ca="1">SUM(OFFSET(Demand!$H$43,ROW(J41)-1,(COLUMN(J41)-1)*5,1,1))*W$2</f>
        <v>0</v>
      </c>
      <c r="DG44" s="5">
        <f ca="1">IF(OR(AN44&lt;&gt;"",AND('Demand adjustments for Covid'!$F$9="Yes",'Demand adjustments for Covid'!$F$20="Yes")),"",SUM(CW44:DF44))</f>
        <v>0</v>
      </c>
      <c r="DM44" s="5">
        <f t="shared" si="10"/>
        <v>3</v>
      </c>
      <c r="DN44" s="320">
        <f t="shared" si="17"/>
        <v>44214</v>
      </c>
      <c r="DO44" s="5">
        <f ca="1">VLOOKUP(IF($DM44&lt;53,$DM44,52),'Summary Calculations (hide)'!$D$15:$F$67,2,0)</f>
        <v>120</v>
      </c>
      <c r="DP44" s="5">
        <f ca="1">VLOOKUP(IF($DM44&lt;53,$DM44,52),'Summary Calculations (hide)'!$D$15:$F$67,3,0)</f>
        <v>132</v>
      </c>
      <c r="DQ44" s="5">
        <f ca="1">IF(AND(DN44&gt;='Demand adjustments for Covid'!$F$12,DN44&lt;'Demand adjustments for Covid'!$F$17),'Demand adjustments for Covid'!$F$13,DO44)</f>
        <v>120</v>
      </c>
      <c r="DR44" s="5">
        <f t="shared" si="33"/>
        <v>0</v>
      </c>
      <c r="DS44" s="5">
        <f ca="1">IF('Demand adjustments for Covid'!$F$9="Yes",IF(DR44=0,DQ44,((SUM(DR$4:DR44)-1)*$EE$8)+'Demand adjustments for Covid'!F$13),'Demand background (hide)'!DO44)</f>
        <v>120</v>
      </c>
      <c r="DT44" s="5">
        <f ca="1">IF('Demand adjustments for Covid'!$F$9="Yes",IF(OR(AND(DN44&gt;='Demand adjustments for Covid'!$F$12,DN44&lt;'Demand adjustments for Covid'!$F$17),DR44=1),DS44+3,DP44),'Demand background (hide)'!DP44)</f>
        <v>132</v>
      </c>
      <c r="DU44" s="5">
        <f ca="1">IF(DS44&lt;='Demand adjustments for Covid'!$F$17,DO44-DS44,0)</f>
        <v>0</v>
      </c>
      <c r="DV44" s="5">
        <f ca="1">IF(AND(ROW(A41)&gt;$EE$5,ROW(A41)&lt;=$EA$5),OFFSET('Demand adjustments for Covid'!$F$35,0,ROW(A41)-'Demand background (hide)'!$EE$5,1,1),0)</f>
        <v>0</v>
      </c>
      <c r="DW44" s="5">
        <f ca="1">IF(AND(ROW(A41)&gt;$EE$5,ROW(A41)&lt;=$EA$5),OFFSET('Demand adjustments for Covid'!$F$36,0,ROW(A41)-'Demand background (hide)'!$EE$5,1,1),0)</f>
        <v>0</v>
      </c>
      <c r="DX44" s="5">
        <f t="shared" ca="1" si="11"/>
        <v>132</v>
      </c>
    </row>
    <row r="45" spans="1:128" s="5" customFormat="1" x14ac:dyDescent="0.25">
      <c r="A45" s="5">
        <f t="shared" ca="1" si="32"/>
        <v>0</v>
      </c>
      <c r="B45" s="5">
        <f ca="1">COUNTBLANK(OFFSET(Demand!$I54,0,(COLUMN(A42)-1)*5,1,1))</f>
        <v>0</v>
      </c>
      <c r="C45" s="5">
        <f ca="1">COUNTBLANK(OFFSET(Demand!$I54,0,(COLUMN(B42)-1)*5,1,1))</f>
        <v>1</v>
      </c>
      <c r="D45" s="5">
        <f ca="1">COUNTBLANK(OFFSET(Demand!$I54,0,(COLUMN(C42)-1)*5,1,1))</f>
        <v>1</v>
      </c>
      <c r="E45" s="5">
        <f ca="1">COUNTBLANK(OFFSET(Demand!$I54,0,(COLUMN(D42)-1)*5,1,1))</f>
        <v>1</v>
      </c>
      <c r="F45" s="5">
        <f ca="1">COUNTBLANK(OFFSET(Demand!$I54,0,(COLUMN(E42)-1)*5,1,1))</f>
        <v>1</v>
      </c>
      <c r="G45" s="5">
        <f ca="1">COUNTBLANK(OFFSET(Demand!$I54,0,(COLUMN(F42)-1)*5,1,1))</f>
        <v>1</v>
      </c>
      <c r="H45" s="5">
        <f ca="1">COUNTBLANK(OFFSET(Demand!$I54,0,(COLUMN(G42)-1)*5,1,1))</f>
        <v>1</v>
      </c>
      <c r="I45" s="5">
        <f ca="1">COUNTBLANK(OFFSET(Demand!$I54,0,(COLUMN(H42)-1)*5,1,1))</f>
        <v>1</v>
      </c>
      <c r="J45" s="5">
        <f ca="1">COUNTBLANK(OFFSET(Demand!$I54,0,(COLUMN(I42)-1)*5,1,1))</f>
        <v>1</v>
      </c>
      <c r="K45" s="5">
        <f ca="1">COUNTBLANK(OFFSET(Demand!$I54,0,(COLUMN(J42)-1)*5,1,1))</f>
        <v>1</v>
      </c>
      <c r="N45" s="5">
        <f ca="1">SUM(OFFSET(Demand!$E54,0,(COLUMN(A42)-1)*5,1,3))*N$2</f>
        <v>150</v>
      </c>
      <c r="O45" s="5">
        <f ca="1">SUM(OFFSET(Demand!$E54,0,(COLUMN(B42)-1)*5,1,3))*O$2</f>
        <v>0</v>
      </c>
      <c r="P45" s="5">
        <f ca="1">SUM(OFFSET(Demand!$E54,0,(COLUMN(C42)-1)*5,1,3))*P$2</f>
        <v>0</v>
      </c>
      <c r="Q45" s="5">
        <f ca="1">SUM(OFFSET(Demand!$E54,0,(COLUMN(D42)-1)*5,1,3))*Q$2</f>
        <v>0</v>
      </c>
      <c r="R45" s="5">
        <f ca="1">SUM(OFFSET(Demand!$E54,0,(COLUMN(E42)-1)*5,1,3))*R$2</f>
        <v>0</v>
      </c>
      <c r="S45" s="5">
        <f ca="1">SUM(OFFSET(Demand!$E54,0,(COLUMN(F42)-1)*5,1,3))*S$2</f>
        <v>0</v>
      </c>
      <c r="T45" s="5">
        <f ca="1">SUM(OFFSET(Demand!$E54,0,(COLUMN(G42)-1)*5,1,3))*T$2</f>
        <v>0</v>
      </c>
      <c r="U45" s="5">
        <f ca="1">SUM(OFFSET(Demand!$E54,0,(COLUMN(H42)-1)*5,1,3))*U$2</f>
        <v>0</v>
      </c>
      <c r="V45" s="5">
        <f ca="1">SUM(OFFSET(Demand!$E54,0,(COLUMN(I42)-1)*5,1,3))*V$2</f>
        <v>0</v>
      </c>
      <c r="W45" s="5">
        <f ca="1">SUM(OFFSET(Demand!$E54,0,(COLUMN(J42)-1)*5,1,3))*W$2</f>
        <v>0</v>
      </c>
      <c r="X45" s="5">
        <f t="shared" ca="1" si="4"/>
        <v>150</v>
      </c>
      <c r="Y45" s="5">
        <f t="shared" ca="1" si="5"/>
        <v>150</v>
      </c>
      <c r="Z45" s="5">
        <f ca="1">SUM(OFFSET(Demand!$H54,0,(COLUMN(A42)-1)*5,1,1))*N$2</f>
        <v>0</v>
      </c>
      <c r="AA45" s="5">
        <f ca="1">SUM(OFFSET(Demand!$H54,0,(COLUMN(B42)-1)*5,1,1))*O$2</f>
        <v>0</v>
      </c>
      <c r="AB45" s="5">
        <f ca="1">SUM(OFFSET(Demand!$H54,0,(COLUMN(C42)-1)*5,1,1))*P$2</f>
        <v>0</v>
      </c>
      <c r="AC45" s="5">
        <f ca="1">SUM(OFFSET(Demand!$H54,0,(COLUMN(D42)-1)*5,1,1))*Q$2</f>
        <v>0</v>
      </c>
      <c r="AD45" s="5">
        <f ca="1">SUM(OFFSET(Demand!$H54,0,(COLUMN(E42)-1)*5,1,1))*R$2</f>
        <v>0</v>
      </c>
      <c r="AE45" s="5">
        <f ca="1">SUM(OFFSET(Demand!$H54,0,(COLUMN(F42)-1)*5,1,1))*S$2</f>
        <v>0</v>
      </c>
      <c r="AF45" s="5">
        <f ca="1">SUM(OFFSET(Demand!$H54,0,(COLUMN(G42)-1)*5,1,1))*T$2</f>
        <v>0</v>
      </c>
      <c r="AG45" s="5">
        <f ca="1">SUM(OFFSET(Demand!$H54,0,(COLUMN(H42)-1)*5,1,1))*U$2</f>
        <v>0</v>
      </c>
      <c r="AH45" s="5">
        <f ca="1">SUM(OFFSET(Demand!$H54,0,(COLUMN(I42)-1)*5,1,1))*V$2</f>
        <v>0</v>
      </c>
      <c r="AI45" s="5">
        <f ca="1">SUM(OFFSET(Demand!$H54,0,(COLUMN(J42)-1)*5,1,1))*W$2</f>
        <v>0</v>
      </c>
      <c r="AJ45" s="5">
        <f t="shared" ca="1" si="6"/>
        <v>0</v>
      </c>
      <c r="AL45" s="5">
        <f t="shared" ca="1" si="8"/>
        <v>150</v>
      </c>
      <c r="AM45" s="5">
        <f t="shared" ca="1" si="9"/>
        <v>0</v>
      </c>
      <c r="AN45" s="5" t="str">
        <f>IF(Demand!BE54="Yes","Yes","")</f>
        <v/>
      </c>
      <c r="AP45" s="36" t="str">
        <f ca="1">Demand!B54</f>
        <v xml:space="preserve"> </v>
      </c>
      <c r="AQ45" s="5" t="str">
        <f ca="1">IF(TEXT(Demand!D54,"MMM")&lt;&gt;TEXT(Demand!D53,"MMM"),TEXT(Demand!D54,"MMM"),"")</f>
        <v/>
      </c>
      <c r="AT45" s="5">
        <f t="shared" ca="1" si="12"/>
        <v>30</v>
      </c>
      <c r="BQ45">
        <f ca="1">IF($AN45="",OFFSET(Demand!$A$13,ROW(A42)-1,4+((QUOTIENT(COLUMN(BQ$2)-69,3))*5)+MOD(COLUMN(BQ$2),3),1,1),"")</f>
        <v>0</v>
      </c>
      <c r="BR45">
        <f ca="1">IF($AN45="",OFFSET(Demand!$A$13,ROW(B42)-1,4+((QUOTIENT(COLUMN(BR$2)-69,3))*5)+MOD(COLUMN(BR$2),3),1,1),"")</f>
        <v>0</v>
      </c>
      <c r="BS45">
        <f ca="1">IF($AN45="",OFFSET(Demand!$A$13,ROW(C42)-1,4+((QUOTIENT(COLUMN(BS$2)-69,3))*5)+MOD(COLUMN(BS$2),3),1,1),"")</f>
        <v>75</v>
      </c>
      <c r="BT45">
        <f ca="1">IF($AN45="",OFFSET(Demand!$A$13,ROW(D42)-1,4+((QUOTIENT(COLUMN(BT$2)-69,3))*5)+MOD(COLUMN(BT$2),3),1,1),"")</f>
        <v>0</v>
      </c>
      <c r="BU45">
        <f ca="1">IF($AN45="",OFFSET(Demand!$A$13,ROW(E42)-1,4+((QUOTIENT(COLUMN(BU$2)-69,3))*5)+MOD(COLUMN(BU$2),3),1,1),"")</f>
        <v>0</v>
      </c>
      <c r="BV45">
        <f ca="1">IF($AN45="",OFFSET(Demand!$A$13,ROW(F42)-1,4+((QUOTIENT(COLUMN(BV$2)-69,3))*5)+MOD(COLUMN(BV$2),3),1,1),"")</f>
        <v>0</v>
      </c>
      <c r="BW45">
        <f ca="1">IF($AN45="",OFFSET(Demand!$A$13,ROW(G42)-1,4+((QUOTIENT(COLUMN(BW$2)-69,3))*5)+MOD(COLUMN(BW$2),3),1,1),"")</f>
        <v>0</v>
      </c>
      <c r="BX45">
        <f ca="1">IF($AN45="",OFFSET(Demand!$A$13,ROW(H42)-1,4+((QUOTIENT(COLUMN(BX$2)-69,3))*5)+MOD(COLUMN(BX$2),3),1,1),"")</f>
        <v>0</v>
      </c>
      <c r="BY45">
        <f ca="1">IF($AN45="",OFFSET(Demand!$A$13,ROW(I42)-1,4+((QUOTIENT(COLUMN(BY$2)-69,3))*5)+MOD(COLUMN(BY$2),3),1,1),"")</f>
        <v>0</v>
      </c>
      <c r="BZ45">
        <f ca="1">IF($AN45="",OFFSET(Demand!$A$13,ROW(J42)-1,4+((QUOTIENT(COLUMN(BZ$2)-69,3))*5)+MOD(COLUMN(BZ$2),3),1,1),"")</f>
        <v>0</v>
      </c>
      <c r="CA45">
        <f ca="1">IF($AN45="",OFFSET(Demand!$A$13,ROW(K42)-1,4+((QUOTIENT(COLUMN(CA$2)-69,3))*5)+MOD(COLUMN(CA$2),3),1,1),"")</f>
        <v>0</v>
      </c>
      <c r="CB45">
        <f ca="1">IF($AN45="",OFFSET(Demand!$A$13,ROW(L42)-1,4+((QUOTIENT(COLUMN(CB$2)-69,3))*5)+MOD(COLUMN(CB$2),3),1,1),"")</f>
        <v>0</v>
      </c>
      <c r="CC45">
        <f ca="1">IF($AN45="",OFFSET(Demand!$A$13,ROW(M42)-1,4+((QUOTIENT(COLUMN(CC$2)-69,3))*5)+MOD(COLUMN(CC$2),3),1,1),"")</f>
        <v>0</v>
      </c>
      <c r="CD45">
        <f ca="1">IF($AN45="",OFFSET(Demand!$A$13,ROW(N42)-1,4+((QUOTIENT(COLUMN(CD$2)-69,3))*5)+MOD(COLUMN(CD$2),3),1,1),"")</f>
        <v>0</v>
      </c>
      <c r="CE45">
        <f ca="1">IF($AN45="",OFFSET(Demand!$A$13,ROW(O42)-1,4+((QUOTIENT(COLUMN(CE$2)-69,3))*5)+MOD(COLUMN(CE$2),3),1,1),"")</f>
        <v>0</v>
      </c>
      <c r="CF45">
        <f ca="1">IF($AN45="",OFFSET(Demand!$A$13,ROW(P42)-1,4+((QUOTIENT(COLUMN(CF$2)-69,3))*5)+MOD(COLUMN(CF$2),3),1,1),"")</f>
        <v>0</v>
      </c>
      <c r="CG45">
        <f ca="1">IF($AN45="",OFFSET(Demand!$A$13,ROW(Q42)-1,4+((QUOTIENT(COLUMN(CG$2)-69,3))*5)+MOD(COLUMN(CG$2),3),1,1),"")</f>
        <v>0</v>
      </c>
      <c r="CH45">
        <f ca="1">IF($AN45="",OFFSET(Demand!$A$13,ROW(R42)-1,4+((QUOTIENT(COLUMN(CH$2)-69,3))*5)+MOD(COLUMN(CH$2),3),1,1),"")</f>
        <v>0</v>
      </c>
      <c r="CI45">
        <f ca="1">IF($AN45="",OFFSET(Demand!$A$13,ROW(S42)-1,4+((QUOTIENT(COLUMN(CI$2)-69,3))*5)+MOD(COLUMN(CI$2),3),1,1),"")</f>
        <v>0</v>
      </c>
      <c r="CJ45">
        <f ca="1">IF($AN45="",OFFSET(Demand!$A$13,ROW(T42)-1,4+((QUOTIENT(COLUMN(CJ$2)-69,3))*5)+MOD(COLUMN(CJ$2),3),1,1),"")</f>
        <v>0</v>
      </c>
      <c r="CK45">
        <f ca="1">IF($AN45="",OFFSET(Demand!$A$13,ROW(U42)-1,4+((QUOTIENT(COLUMN(CK$2)-69,3))*5)+MOD(COLUMN(CK$2),3),1,1),"")</f>
        <v>0</v>
      </c>
      <c r="CL45">
        <f ca="1">IF($AN45="",OFFSET(Demand!$A$13,ROW(V42)-1,4+((QUOTIENT(COLUMN(CL$2)-69,3))*5)+MOD(COLUMN(CL$2),3),1,1),"")</f>
        <v>0</v>
      </c>
      <c r="CM45">
        <f ca="1">IF($AN45="",OFFSET(Demand!$A$13,ROW(W42)-1,4+((QUOTIENT(COLUMN(CM$2)-69,3))*5)+MOD(COLUMN(CM$2),3),1,1),"")</f>
        <v>0</v>
      </c>
      <c r="CN45">
        <f ca="1">IF($AN45="",OFFSET(Demand!$A$13,ROW(X42)-1,4+((QUOTIENT(COLUMN(CN$2)-69,3))*5)+MOD(COLUMN(CN$2),3),1,1),"")</f>
        <v>0</v>
      </c>
      <c r="CO45">
        <f ca="1">IF($AN45="",OFFSET(Demand!$A$13,ROW(Y42)-1,4+((QUOTIENT(COLUMN(CO$2)-69,3))*5)+MOD(COLUMN(CO$2),3),1,1),"")</f>
        <v>0</v>
      </c>
      <c r="CP45">
        <f ca="1">IF($AN45="",OFFSET(Demand!$A$13,ROW(Z42)-1,4+((QUOTIENT(COLUMN(CP$2)-69,3))*5)+MOD(COLUMN(CP$2),3),1,1),"")</f>
        <v>0</v>
      </c>
      <c r="CQ45">
        <f ca="1">IF($AN45="",OFFSET(Demand!$A$13,ROW(AA42)-1,4+((QUOTIENT(COLUMN(CQ$2)-69,3))*5)+MOD(COLUMN(CQ$2),3),1,1),"")</f>
        <v>0</v>
      </c>
      <c r="CR45">
        <f ca="1">IF($AN45="",OFFSET(Demand!$A$13,ROW(AB42)-1,4+((QUOTIENT(COLUMN(CR$2)-69,3))*5)+MOD(COLUMN(CR$2),3),1,1),"")</f>
        <v>0</v>
      </c>
      <c r="CS45">
        <f ca="1">IF($AN45="",OFFSET(Demand!$A$13,ROW(AC42)-1,4+((QUOTIENT(COLUMN(CS$2)-69,3))*5)+MOD(COLUMN(CS$2),3),1,1),"")</f>
        <v>0</v>
      </c>
      <c r="CT45">
        <f ca="1">IF($AN45="",OFFSET(Demand!$A$13,ROW(AD42)-1,4+((QUOTIENT(COLUMN(CT$2)-69,3))*5)+MOD(COLUMN(CT$2),3),1,1),"")</f>
        <v>0</v>
      </c>
      <c r="CW45" s="5">
        <f ca="1">SUM(OFFSET(Demand!$H$43,ROW(A42)-1,(COLUMN(A42)-1)*5,1,1))*N$2</f>
        <v>0</v>
      </c>
      <c r="CX45" s="5">
        <f ca="1">SUM(OFFSET(Demand!$H$43,ROW(B42)-1,(COLUMN(B42)-1)*5,1,1))*O$2</f>
        <v>0</v>
      </c>
      <c r="CY45" s="5">
        <f ca="1">SUM(OFFSET(Demand!$H$43,ROW(C42)-1,(COLUMN(C42)-1)*5,1,1))*P$2</f>
        <v>0</v>
      </c>
      <c r="CZ45" s="5">
        <f ca="1">SUM(OFFSET(Demand!$H$43,ROW(D42)-1,(COLUMN(D42)-1)*5,1,1))*Q$2</f>
        <v>0</v>
      </c>
      <c r="DA45" s="5">
        <f ca="1">SUM(OFFSET(Demand!$H$43,ROW(E42)-1,(COLUMN(E42)-1)*5,1,1))*R$2</f>
        <v>0</v>
      </c>
      <c r="DB45" s="5">
        <f ca="1">SUM(OFFSET(Demand!$H$43,ROW(F42)-1,(COLUMN(F42)-1)*5,1,1))*S$2</f>
        <v>0</v>
      </c>
      <c r="DC45" s="5">
        <f ca="1">SUM(OFFSET(Demand!$H$43,ROW(G42)-1,(COLUMN(G42)-1)*5,1,1))*T$2</f>
        <v>0</v>
      </c>
      <c r="DD45" s="5">
        <f ca="1">SUM(OFFSET(Demand!$H$43,ROW(H42)-1,(COLUMN(H42)-1)*5,1,1))*U$2</f>
        <v>0</v>
      </c>
      <c r="DE45" s="5">
        <f ca="1">SUM(OFFSET(Demand!$H$43,ROW(I42)-1,(COLUMN(I42)-1)*5,1,1))*V$2</f>
        <v>0</v>
      </c>
      <c r="DF45" s="5">
        <f ca="1">SUM(OFFSET(Demand!$H$43,ROW(J42)-1,(COLUMN(J42)-1)*5,1,1))*W$2</f>
        <v>0</v>
      </c>
      <c r="DG45" s="5">
        <f ca="1">IF(OR(AN45&lt;&gt;"",AND('Demand adjustments for Covid'!$F$9="Yes",'Demand adjustments for Covid'!$F$20="Yes")),"",SUM(CW45:DF45))</f>
        <v>0</v>
      </c>
      <c r="DM45" s="5">
        <f t="shared" si="10"/>
        <v>4</v>
      </c>
      <c r="DN45" s="320">
        <f t="shared" si="17"/>
        <v>44221</v>
      </c>
      <c r="DO45" s="5">
        <f ca="1">VLOOKUP(IF($DM45&lt;53,$DM45,52),'Summary Calculations (hide)'!$D$15:$F$67,2,0)</f>
        <v>150</v>
      </c>
      <c r="DP45" s="5">
        <f ca="1">VLOOKUP(IF($DM45&lt;53,$DM45,52),'Summary Calculations (hide)'!$D$15:$F$67,3,0)</f>
        <v>165</v>
      </c>
      <c r="DQ45" s="5">
        <f ca="1">IF(AND(DN45&gt;='Demand adjustments for Covid'!$F$12,DN45&lt;'Demand adjustments for Covid'!$F$17),'Demand adjustments for Covid'!$F$13,DO45)</f>
        <v>150</v>
      </c>
      <c r="DR45" s="5">
        <f t="shared" si="33"/>
        <v>0</v>
      </c>
      <c r="DS45" s="5">
        <f ca="1">IF('Demand adjustments for Covid'!$F$9="Yes",IF(DR45=0,DQ45,((SUM(DR$4:DR45)-1)*$EE$8)+'Demand adjustments for Covid'!F$13),'Demand background (hide)'!DO45)</f>
        <v>150</v>
      </c>
      <c r="DT45" s="5">
        <f ca="1">IF('Demand adjustments for Covid'!$F$9="Yes",IF(OR(AND(DN45&gt;='Demand adjustments for Covid'!$F$12,DN45&lt;'Demand adjustments for Covid'!$F$17),DR45=1),DS45+3,DP45),'Demand background (hide)'!DP45)</f>
        <v>165</v>
      </c>
      <c r="DU45" s="5">
        <f ca="1">IF(DS45&lt;='Demand adjustments for Covid'!$F$17,DO45-DS45,0)</f>
        <v>0</v>
      </c>
      <c r="DV45" s="5">
        <f ca="1">IF(AND(ROW(A42)&gt;$EE$5,ROW(A42)&lt;=$EA$5),OFFSET('Demand adjustments for Covid'!$F$35,0,ROW(A42)-'Demand background (hide)'!$EE$5,1,1),0)</f>
        <v>0</v>
      </c>
      <c r="DW45" s="5">
        <f ca="1">IF(AND(ROW(A42)&gt;$EE$5,ROW(A42)&lt;=$EA$5),OFFSET('Demand adjustments for Covid'!$F$36,0,ROW(A42)-'Demand background (hide)'!$EE$5,1,1),0)</f>
        <v>0</v>
      </c>
      <c r="DX45" s="5">
        <f t="shared" ca="1" si="11"/>
        <v>165</v>
      </c>
    </row>
    <row r="46" spans="1:128" s="5" customFormat="1" x14ac:dyDescent="0.25">
      <c r="A46" s="5">
        <f t="shared" ca="1" si="32"/>
        <v>0</v>
      </c>
      <c r="B46" s="5">
        <f ca="1">COUNTBLANK(OFFSET(Demand!$I55,0,(COLUMN(A43)-1)*5,1,1))</f>
        <v>0</v>
      </c>
      <c r="C46" s="5">
        <f ca="1">COUNTBLANK(OFFSET(Demand!$I55,0,(COLUMN(B43)-1)*5,1,1))</f>
        <v>1</v>
      </c>
      <c r="D46" s="5">
        <f ca="1">COUNTBLANK(OFFSET(Demand!$I55,0,(COLUMN(C43)-1)*5,1,1))</f>
        <v>1</v>
      </c>
      <c r="E46" s="5">
        <f ca="1">COUNTBLANK(OFFSET(Demand!$I55,0,(COLUMN(D43)-1)*5,1,1))</f>
        <v>1</v>
      </c>
      <c r="F46" s="5">
        <f ca="1">COUNTBLANK(OFFSET(Demand!$I55,0,(COLUMN(E43)-1)*5,1,1))</f>
        <v>1</v>
      </c>
      <c r="G46" s="5">
        <f ca="1">COUNTBLANK(OFFSET(Demand!$I55,0,(COLUMN(F43)-1)*5,1,1))</f>
        <v>1</v>
      </c>
      <c r="H46" s="5">
        <f ca="1">COUNTBLANK(OFFSET(Demand!$I55,0,(COLUMN(G43)-1)*5,1,1))</f>
        <v>1</v>
      </c>
      <c r="I46" s="5">
        <f ca="1">COUNTBLANK(OFFSET(Demand!$I55,0,(COLUMN(H43)-1)*5,1,1))</f>
        <v>1</v>
      </c>
      <c r="J46" s="5">
        <f ca="1">COUNTBLANK(OFFSET(Demand!$I55,0,(COLUMN(I43)-1)*5,1,1))</f>
        <v>1</v>
      </c>
      <c r="K46" s="5">
        <f ca="1">COUNTBLANK(OFFSET(Demand!$I55,0,(COLUMN(J43)-1)*5,1,1))</f>
        <v>1</v>
      </c>
      <c r="N46" s="5">
        <f ca="1">SUM(OFFSET(Demand!$E55,0,(COLUMN(A43)-1)*5,1,3))*N$2</f>
        <v>154</v>
      </c>
      <c r="O46" s="5">
        <f ca="1">SUM(OFFSET(Demand!$E55,0,(COLUMN(B43)-1)*5,1,3))*O$2</f>
        <v>0</v>
      </c>
      <c r="P46" s="5">
        <f ca="1">SUM(OFFSET(Demand!$E55,0,(COLUMN(C43)-1)*5,1,3))*P$2</f>
        <v>0</v>
      </c>
      <c r="Q46" s="5">
        <f ca="1">SUM(OFFSET(Demand!$E55,0,(COLUMN(D43)-1)*5,1,3))*Q$2</f>
        <v>0</v>
      </c>
      <c r="R46" s="5">
        <f ca="1">SUM(OFFSET(Demand!$E55,0,(COLUMN(E43)-1)*5,1,3))*R$2</f>
        <v>0</v>
      </c>
      <c r="S46" s="5">
        <f ca="1">SUM(OFFSET(Demand!$E55,0,(COLUMN(F43)-1)*5,1,3))*S$2</f>
        <v>0</v>
      </c>
      <c r="T46" s="5">
        <f ca="1">SUM(OFFSET(Demand!$E55,0,(COLUMN(G43)-1)*5,1,3))*T$2</f>
        <v>0</v>
      </c>
      <c r="U46" s="5">
        <f ca="1">SUM(OFFSET(Demand!$E55,0,(COLUMN(H43)-1)*5,1,3))*U$2</f>
        <v>0</v>
      </c>
      <c r="V46" s="5">
        <f ca="1">SUM(OFFSET(Demand!$E55,0,(COLUMN(I43)-1)*5,1,3))*V$2</f>
        <v>0</v>
      </c>
      <c r="W46" s="5">
        <f ca="1">SUM(OFFSET(Demand!$E55,0,(COLUMN(J43)-1)*5,1,3))*W$2</f>
        <v>0</v>
      </c>
      <c r="X46" s="5">
        <f t="shared" ca="1" si="4"/>
        <v>154</v>
      </c>
      <c r="Y46" s="5">
        <f t="shared" ca="1" si="5"/>
        <v>154</v>
      </c>
      <c r="Z46" s="5">
        <f ca="1">SUM(OFFSET(Demand!$H55,0,(COLUMN(A43)-1)*5,1,1))*N$2</f>
        <v>0</v>
      </c>
      <c r="AA46" s="5">
        <f ca="1">SUM(OFFSET(Demand!$H55,0,(COLUMN(B43)-1)*5,1,1))*O$2</f>
        <v>0</v>
      </c>
      <c r="AB46" s="5">
        <f ca="1">SUM(OFFSET(Demand!$H55,0,(COLUMN(C43)-1)*5,1,1))*P$2</f>
        <v>0</v>
      </c>
      <c r="AC46" s="5">
        <f ca="1">SUM(OFFSET(Demand!$H55,0,(COLUMN(D43)-1)*5,1,1))*Q$2</f>
        <v>0</v>
      </c>
      <c r="AD46" s="5">
        <f ca="1">SUM(OFFSET(Demand!$H55,0,(COLUMN(E43)-1)*5,1,1))*R$2</f>
        <v>0</v>
      </c>
      <c r="AE46" s="5">
        <f ca="1">SUM(OFFSET(Demand!$H55,0,(COLUMN(F43)-1)*5,1,1))*S$2</f>
        <v>0</v>
      </c>
      <c r="AF46" s="5">
        <f ca="1">SUM(OFFSET(Demand!$H55,0,(COLUMN(G43)-1)*5,1,1))*T$2</f>
        <v>0</v>
      </c>
      <c r="AG46" s="5">
        <f ca="1">SUM(OFFSET(Demand!$H55,0,(COLUMN(H43)-1)*5,1,1))*U$2</f>
        <v>0</v>
      </c>
      <c r="AH46" s="5">
        <f ca="1">SUM(OFFSET(Demand!$H55,0,(COLUMN(I43)-1)*5,1,1))*V$2</f>
        <v>0</v>
      </c>
      <c r="AI46" s="5">
        <f ca="1">SUM(OFFSET(Demand!$H55,0,(COLUMN(J43)-1)*5,1,1))*W$2</f>
        <v>0</v>
      </c>
      <c r="AJ46" s="5">
        <f t="shared" ca="1" si="6"/>
        <v>0</v>
      </c>
      <c r="AL46" s="5">
        <f t="shared" ca="1" si="8"/>
        <v>154</v>
      </c>
      <c r="AM46" s="5">
        <f t="shared" ca="1" si="9"/>
        <v>0</v>
      </c>
      <c r="AN46" s="5" t="str">
        <f>IF(Demand!BE55="Yes","Yes","")</f>
        <v/>
      </c>
      <c r="AP46" s="36" t="str">
        <f ca="1">Demand!B55</f>
        <v xml:space="preserve"> </v>
      </c>
      <c r="AQ46" s="5" t="str">
        <f ca="1">IF(TEXT(Demand!D55,"MMM")&lt;&gt;TEXT(Demand!D54,"MMM"),TEXT(Demand!D55,"MMM"),"")</f>
        <v/>
      </c>
      <c r="AT46" s="5">
        <f t="shared" ca="1" si="12"/>
        <v>4</v>
      </c>
      <c r="BQ46">
        <f ca="1">IF($AN46="",OFFSET(Demand!$A$13,ROW(A43)-1,4+((QUOTIENT(COLUMN(BQ$2)-69,3))*5)+MOD(COLUMN(BQ$2),3),1,1),"")</f>
        <v>0</v>
      </c>
      <c r="BR46">
        <f ca="1">IF($AN46="",OFFSET(Demand!$A$13,ROW(B43)-1,4+((QUOTIENT(COLUMN(BR$2)-69,3))*5)+MOD(COLUMN(BR$2),3),1,1),"")</f>
        <v>0</v>
      </c>
      <c r="BS46">
        <f ca="1">IF($AN46="",OFFSET(Demand!$A$13,ROW(C43)-1,4+((QUOTIENT(COLUMN(BS$2)-69,3))*5)+MOD(COLUMN(BS$2),3),1,1),"")</f>
        <v>77</v>
      </c>
      <c r="BT46">
        <f ca="1">IF($AN46="",OFFSET(Demand!$A$13,ROW(D43)-1,4+((QUOTIENT(COLUMN(BT$2)-69,3))*5)+MOD(COLUMN(BT$2),3),1,1),"")</f>
        <v>0</v>
      </c>
      <c r="BU46">
        <f ca="1">IF($AN46="",OFFSET(Demand!$A$13,ROW(E43)-1,4+((QUOTIENT(COLUMN(BU$2)-69,3))*5)+MOD(COLUMN(BU$2),3),1,1),"")</f>
        <v>0</v>
      </c>
      <c r="BV46">
        <f ca="1">IF($AN46="",OFFSET(Demand!$A$13,ROW(F43)-1,4+((QUOTIENT(COLUMN(BV$2)-69,3))*5)+MOD(COLUMN(BV$2),3),1,1),"")</f>
        <v>0</v>
      </c>
      <c r="BW46">
        <f ca="1">IF($AN46="",OFFSET(Demand!$A$13,ROW(G43)-1,4+((QUOTIENT(COLUMN(BW$2)-69,3))*5)+MOD(COLUMN(BW$2),3),1,1),"")</f>
        <v>0</v>
      </c>
      <c r="BX46">
        <f ca="1">IF($AN46="",OFFSET(Demand!$A$13,ROW(H43)-1,4+((QUOTIENT(COLUMN(BX$2)-69,3))*5)+MOD(COLUMN(BX$2),3),1,1),"")</f>
        <v>0</v>
      </c>
      <c r="BY46">
        <f ca="1">IF($AN46="",OFFSET(Demand!$A$13,ROW(I43)-1,4+((QUOTIENT(COLUMN(BY$2)-69,3))*5)+MOD(COLUMN(BY$2),3),1,1),"")</f>
        <v>0</v>
      </c>
      <c r="BZ46">
        <f ca="1">IF($AN46="",OFFSET(Demand!$A$13,ROW(J43)-1,4+((QUOTIENT(COLUMN(BZ$2)-69,3))*5)+MOD(COLUMN(BZ$2),3),1,1),"")</f>
        <v>0</v>
      </c>
      <c r="CA46">
        <f ca="1">IF($AN46="",OFFSET(Demand!$A$13,ROW(K43)-1,4+((QUOTIENT(COLUMN(CA$2)-69,3))*5)+MOD(COLUMN(CA$2),3),1,1),"")</f>
        <v>0</v>
      </c>
      <c r="CB46">
        <f ca="1">IF($AN46="",OFFSET(Demand!$A$13,ROW(L43)-1,4+((QUOTIENT(COLUMN(CB$2)-69,3))*5)+MOD(COLUMN(CB$2),3),1,1),"")</f>
        <v>0</v>
      </c>
      <c r="CC46">
        <f ca="1">IF($AN46="",OFFSET(Demand!$A$13,ROW(M43)-1,4+((QUOTIENT(COLUMN(CC$2)-69,3))*5)+MOD(COLUMN(CC$2),3),1,1),"")</f>
        <v>0</v>
      </c>
      <c r="CD46">
        <f ca="1">IF($AN46="",OFFSET(Demand!$A$13,ROW(N43)-1,4+((QUOTIENT(COLUMN(CD$2)-69,3))*5)+MOD(COLUMN(CD$2),3),1,1),"")</f>
        <v>0</v>
      </c>
      <c r="CE46">
        <f ca="1">IF($AN46="",OFFSET(Demand!$A$13,ROW(O43)-1,4+((QUOTIENT(COLUMN(CE$2)-69,3))*5)+MOD(COLUMN(CE$2),3),1,1),"")</f>
        <v>0</v>
      </c>
      <c r="CF46">
        <f ca="1">IF($AN46="",OFFSET(Demand!$A$13,ROW(P43)-1,4+((QUOTIENT(COLUMN(CF$2)-69,3))*5)+MOD(COLUMN(CF$2),3),1,1),"")</f>
        <v>0</v>
      </c>
      <c r="CG46">
        <f ca="1">IF($AN46="",OFFSET(Demand!$A$13,ROW(Q43)-1,4+((QUOTIENT(COLUMN(CG$2)-69,3))*5)+MOD(COLUMN(CG$2),3),1,1),"")</f>
        <v>0</v>
      </c>
      <c r="CH46">
        <f ca="1">IF($AN46="",OFFSET(Demand!$A$13,ROW(R43)-1,4+((QUOTIENT(COLUMN(CH$2)-69,3))*5)+MOD(COLUMN(CH$2),3),1,1),"")</f>
        <v>0</v>
      </c>
      <c r="CI46">
        <f ca="1">IF($AN46="",OFFSET(Demand!$A$13,ROW(S43)-1,4+((QUOTIENT(COLUMN(CI$2)-69,3))*5)+MOD(COLUMN(CI$2),3),1,1),"")</f>
        <v>0</v>
      </c>
      <c r="CJ46">
        <f ca="1">IF($AN46="",OFFSET(Demand!$A$13,ROW(T43)-1,4+((QUOTIENT(COLUMN(CJ$2)-69,3))*5)+MOD(COLUMN(CJ$2),3),1,1),"")</f>
        <v>0</v>
      </c>
      <c r="CK46">
        <f ca="1">IF($AN46="",OFFSET(Demand!$A$13,ROW(U43)-1,4+((QUOTIENT(COLUMN(CK$2)-69,3))*5)+MOD(COLUMN(CK$2),3),1,1),"")</f>
        <v>0</v>
      </c>
      <c r="CL46">
        <f ca="1">IF($AN46="",OFFSET(Demand!$A$13,ROW(V43)-1,4+((QUOTIENT(COLUMN(CL$2)-69,3))*5)+MOD(COLUMN(CL$2),3),1,1),"")</f>
        <v>0</v>
      </c>
      <c r="CM46">
        <f ca="1">IF($AN46="",OFFSET(Demand!$A$13,ROW(W43)-1,4+((QUOTIENT(COLUMN(CM$2)-69,3))*5)+MOD(COLUMN(CM$2),3),1,1),"")</f>
        <v>0</v>
      </c>
      <c r="CN46">
        <f ca="1">IF($AN46="",OFFSET(Demand!$A$13,ROW(X43)-1,4+((QUOTIENT(COLUMN(CN$2)-69,3))*5)+MOD(COLUMN(CN$2),3),1,1),"")</f>
        <v>0</v>
      </c>
      <c r="CO46">
        <f ca="1">IF($AN46="",OFFSET(Demand!$A$13,ROW(Y43)-1,4+((QUOTIENT(COLUMN(CO$2)-69,3))*5)+MOD(COLUMN(CO$2),3),1,1),"")</f>
        <v>0</v>
      </c>
      <c r="CP46">
        <f ca="1">IF($AN46="",OFFSET(Demand!$A$13,ROW(Z43)-1,4+((QUOTIENT(COLUMN(CP$2)-69,3))*5)+MOD(COLUMN(CP$2),3),1,1),"")</f>
        <v>0</v>
      </c>
      <c r="CQ46">
        <f ca="1">IF($AN46="",OFFSET(Demand!$A$13,ROW(AA43)-1,4+((QUOTIENT(COLUMN(CQ$2)-69,3))*5)+MOD(COLUMN(CQ$2),3),1,1),"")</f>
        <v>0</v>
      </c>
      <c r="CR46">
        <f ca="1">IF($AN46="",OFFSET(Demand!$A$13,ROW(AB43)-1,4+((QUOTIENT(COLUMN(CR$2)-69,3))*5)+MOD(COLUMN(CR$2),3),1,1),"")</f>
        <v>0</v>
      </c>
      <c r="CS46">
        <f ca="1">IF($AN46="",OFFSET(Demand!$A$13,ROW(AC43)-1,4+((QUOTIENT(COLUMN(CS$2)-69,3))*5)+MOD(COLUMN(CS$2),3),1,1),"")</f>
        <v>0</v>
      </c>
      <c r="CT46">
        <f ca="1">IF($AN46="",OFFSET(Demand!$A$13,ROW(AD43)-1,4+((QUOTIENT(COLUMN(CT$2)-69,3))*5)+MOD(COLUMN(CT$2),3),1,1),"")</f>
        <v>0</v>
      </c>
      <c r="CW46" s="5">
        <f ca="1">SUM(OFFSET(Demand!$H$43,ROW(A43)-1,(COLUMN(A43)-1)*5,1,1))*N$2</f>
        <v>0</v>
      </c>
      <c r="CX46" s="5">
        <f ca="1">SUM(OFFSET(Demand!$H$43,ROW(B43)-1,(COLUMN(B43)-1)*5,1,1))*O$2</f>
        <v>0</v>
      </c>
      <c r="CY46" s="5">
        <f ca="1">SUM(OFFSET(Demand!$H$43,ROW(C43)-1,(COLUMN(C43)-1)*5,1,1))*P$2</f>
        <v>0</v>
      </c>
      <c r="CZ46" s="5">
        <f ca="1">SUM(OFFSET(Demand!$H$43,ROW(D43)-1,(COLUMN(D43)-1)*5,1,1))*Q$2</f>
        <v>0</v>
      </c>
      <c r="DA46" s="5">
        <f ca="1">SUM(OFFSET(Demand!$H$43,ROW(E43)-1,(COLUMN(E43)-1)*5,1,1))*R$2</f>
        <v>0</v>
      </c>
      <c r="DB46" s="5">
        <f ca="1">SUM(OFFSET(Demand!$H$43,ROW(F43)-1,(COLUMN(F43)-1)*5,1,1))*S$2</f>
        <v>0</v>
      </c>
      <c r="DC46" s="5">
        <f ca="1">SUM(OFFSET(Demand!$H$43,ROW(G43)-1,(COLUMN(G43)-1)*5,1,1))*T$2</f>
        <v>0</v>
      </c>
      <c r="DD46" s="5">
        <f ca="1">SUM(OFFSET(Demand!$H$43,ROW(H43)-1,(COLUMN(H43)-1)*5,1,1))*U$2</f>
        <v>0</v>
      </c>
      <c r="DE46" s="5">
        <f ca="1">SUM(OFFSET(Demand!$H$43,ROW(I43)-1,(COLUMN(I43)-1)*5,1,1))*V$2</f>
        <v>0</v>
      </c>
      <c r="DF46" s="5">
        <f ca="1">SUM(OFFSET(Demand!$H$43,ROW(J43)-1,(COLUMN(J43)-1)*5,1,1))*W$2</f>
        <v>0</v>
      </c>
      <c r="DG46" s="5">
        <f ca="1">IF(OR(AN46&lt;&gt;"",AND('Demand adjustments for Covid'!$F$9="Yes",'Demand adjustments for Covid'!$F$20="Yes")),"",SUM(CW46:DF46))</f>
        <v>0</v>
      </c>
      <c r="DM46" s="5">
        <f t="shared" si="10"/>
        <v>5</v>
      </c>
      <c r="DN46" s="320">
        <f t="shared" si="17"/>
        <v>44228</v>
      </c>
      <c r="DO46" s="5">
        <f ca="1">VLOOKUP(IF($DM46&lt;53,$DM46,52),'Summary Calculations (hide)'!$D$15:$F$67,2,0)</f>
        <v>154</v>
      </c>
      <c r="DP46" s="5">
        <f ca="1">VLOOKUP(IF($DM46&lt;53,$DM46,52),'Summary Calculations (hide)'!$D$15:$F$67,3,0)</f>
        <v>169.4</v>
      </c>
      <c r="DQ46" s="5">
        <f ca="1">IF(AND(DN46&gt;='Demand adjustments for Covid'!$F$12,DN46&lt;'Demand adjustments for Covid'!$F$17),'Demand adjustments for Covid'!$F$13,DO46)</f>
        <v>154</v>
      </c>
      <c r="DR46" s="5">
        <f t="shared" si="33"/>
        <v>0</v>
      </c>
      <c r="DS46" s="5">
        <f ca="1">IF('Demand adjustments for Covid'!$F$9="Yes",IF(DR46=0,DQ46,((SUM(DR$4:DR46)-1)*$EE$8)+'Demand adjustments for Covid'!F$13),'Demand background (hide)'!DO46)</f>
        <v>154</v>
      </c>
      <c r="DT46" s="5">
        <f ca="1">IF('Demand adjustments for Covid'!$F$9="Yes",IF(OR(AND(DN46&gt;='Demand adjustments for Covid'!$F$12,DN46&lt;'Demand adjustments for Covid'!$F$17),DR46=1),DS46+3,DP46),'Demand background (hide)'!DP46)</f>
        <v>169.4</v>
      </c>
      <c r="DU46" s="5">
        <f ca="1">IF(DS46&lt;='Demand adjustments for Covid'!$F$17,DO46-DS46,0)</f>
        <v>0</v>
      </c>
      <c r="DV46" s="5">
        <f ca="1">IF(AND(ROW(A43)&gt;$EE$5,ROW(A43)&lt;=$EA$5),OFFSET('Demand adjustments for Covid'!$F$35,0,ROW(A43)-'Demand background (hide)'!$EE$5,1,1),0)</f>
        <v>0</v>
      </c>
      <c r="DW46" s="5">
        <f ca="1">IF(AND(ROW(A43)&gt;$EE$5,ROW(A43)&lt;=$EA$5),OFFSET('Demand adjustments for Covid'!$F$36,0,ROW(A43)-'Demand background (hide)'!$EE$5,1,1),0)</f>
        <v>0</v>
      </c>
      <c r="DX46" s="5">
        <f t="shared" ca="1" si="11"/>
        <v>169.4</v>
      </c>
    </row>
    <row r="47" spans="1:128" s="5" customFormat="1" x14ac:dyDescent="0.25">
      <c r="A47" s="5">
        <f t="shared" ca="1" si="32"/>
        <v>0</v>
      </c>
      <c r="B47" s="5">
        <f ca="1">COUNTBLANK(OFFSET(Demand!$I56,0,(COLUMN(A44)-1)*5,1,1))</f>
        <v>0</v>
      </c>
      <c r="C47" s="5">
        <f ca="1">COUNTBLANK(OFFSET(Demand!$I56,0,(COLUMN(B44)-1)*5,1,1))</f>
        <v>1</v>
      </c>
      <c r="D47" s="5">
        <f ca="1">COUNTBLANK(OFFSET(Demand!$I56,0,(COLUMN(C44)-1)*5,1,1))</f>
        <v>1</v>
      </c>
      <c r="E47" s="5">
        <f ca="1">COUNTBLANK(OFFSET(Demand!$I56,0,(COLUMN(D44)-1)*5,1,1))</f>
        <v>1</v>
      </c>
      <c r="F47" s="5">
        <f ca="1">COUNTBLANK(OFFSET(Demand!$I56,0,(COLUMN(E44)-1)*5,1,1))</f>
        <v>1</v>
      </c>
      <c r="G47" s="5">
        <f ca="1">COUNTBLANK(OFFSET(Demand!$I56,0,(COLUMN(F44)-1)*5,1,1))</f>
        <v>1</v>
      </c>
      <c r="H47" s="5">
        <f ca="1">COUNTBLANK(OFFSET(Demand!$I56,0,(COLUMN(G44)-1)*5,1,1))</f>
        <v>1</v>
      </c>
      <c r="I47" s="5">
        <f ca="1">COUNTBLANK(OFFSET(Demand!$I56,0,(COLUMN(H44)-1)*5,1,1))</f>
        <v>1</v>
      </c>
      <c r="J47" s="5">
        <f ca="1">COUNTBLANK(OFFSET(Demand!$I56,0,(COLUMN(I44)-1)*5,1,1))</f>
        <v>1</v>
      </c>
      <c r="K47" s="5">
        <f ca="1">COUNTBLANK(OFFSET(Demand!$I56,0,(COLUMN(J44)-1)*5,1,1))</f>
        <v>1</v>
      </c>
      <c r="N47" s="5">
        <f ca="1">SUM(OFFSET(Demand!$E56,0,(COLUMN(A44)-1)*5,1,3))*N$2</f>
        <v>140</v>
      </c>
      <c r="O47" s="5">
        <f ca="1">SUM(OFFSET(Demand!$E56,0,(COLUMN(B44)-1)*5,1,3))*O$2</f>
        <v>0</v>
      </c>
      <c r="P47" s="5">
        <f ca="1">SUM(OFFSET(Demand!$E56,0,(COLUMN(C44)-1)*5,1,3))*P$2</f>
        <v>0</v>
      </c>
      <c r="Q47" s="5">
        <f ca="1">SUM(OFFSET(Demand!$E56,0,(COLUMN(D44)-1)*5,1,3))*Q$2</f>
        <v>0</v>
      </c>
      <c r="R47" s="5">
        <f ca="1">SUM(OFFSET(Demand!$E56,0,(COLUMN(E44)-1)*5,1,3))*R$2</f>
        <v>0</v>
      </c>
      <c r="S47" s="5">
        <f ca="1">SUM(OFFSET(Demand!$E56,0,(COLUMN(F44)-1)*5,1,3))*S$2</f>
        <v>0</v>
      </c>
      <c r="T47" s="5">
        <f ca="1">SUM(OFFSET(Demand!$E56,0,(COLUMN(G44)-1)*5,1,3))*T$2</f>
        <v>0</v>
      </c>
      <c r="U47" s="5">
        <f ca="1">SUM(OFFSET(Demand!$E56,0,(COLUMN(H44)-1)*5,1,3))*U$2</f>
        <v>0</v>
      </c>
      <c r="V47" s="5">
        <f ca="1">SUM(OFFSET(Demand!$E56,0,(COLUMN(I44)-1)*5,1,3))*V$2</f>
        <v>0</v>
      </c>
      <c r="W47" s="5">
        <f ca="1">SUM(OFFSET(Demand!$E56,0,(COLUMN(J44)-1)*5,1,3))*W$2</f>
        <v>0</v>
      </c>
      <c r="X47" s="5">
        <f t="shared" ca="1" si="4"/>
        <v>140</v>
      </c>
      <c r="Y47" s="5">
        <f t="shared" ca="1" si="5"/>
        <v>140</v>
      </c>
      <c r="Z47" s="5">
        <f ca="1">SUM(OFFSET(Demand!$H56,0,(COLUMN(A44)-1)*5,1,1))*N$2</f>
        <v>0</v>
      </c>
      <c r="AA47" s="5">
        <f ca="1">SUM(OFFSET(Demand!$H56,0,(COLUMN(B44)-1)*5,1,1))*O$2</f>
        <v>0</v>
      </c>
      <c r="AB47" s="5">
        <f ca="1">SUM(OFFSET(Demand!$H56,0,(COLUMN(C44)-1)*5,1,1))*P$2</f>
        <v>0</v>
      </c>
      <c r="AC47" s="5">
        <f ca="1">SUM(OFFSET(Demand!$H56,0,(COLUMN(D44)-1)*5,1,1))*Q$2</f>
        <v>0</v>
      </c>
      <c r="AD47" s="5">
        <f ca="1">SUM(OFFSET(Demand!$H56,0,(COLUMN(E44)-1)*5,1,1))*R$2</f>
        <v>0</v>
      </c>
      <c r="AE47" s="5">
        <f ca="1">SUM(OFFSET(Demand!$H56,0,(COLUMN(F44)-1)*5,1,1))*S$2</f>
        <v>0</v>
      </c>
      <c r="AF47" s="5">
        <f ca="1">SUM(OFFSET(Demand!$H56,0,(COLUMN(G44)-1)*5,1,1))*T$2</f>
        <v>0</v>
      </c>
      <c r="AG47" s="5">
        <f ca="1">SUM(OFFSET(Demand!$H56,0,(COLUMN(H44)-1)*5,1,1))*U$2</f>
        <v>0</v>
      </c>
      <c r="AH47" s="5">
        <f ca="1">SUM(OFFSET(Demand!$H56,0,(COLUMN(I44)-1)*5,1,1))*V$2</f>
        <v>0</v>
      </c>
      <c r="AI47" s="5">
        <f ca="1">SUM(OFFSET(Demand!$H56,0,(COLUMN(J44)-1)*5,1,1))*W$2</f>
        <v>0</v>
      </c>
      <c r="AJ47" s="5">
        <f t="shared" ca="1" si="6"/>
        <v>0</v>
      </c>
      <c r="AL47" s="5">
        <f t="shared" ca="1" si="8"/>
        <v>140</v>
      </c>
      <c r="AM47" s="5">
        <f t="shared" ca="1" si="9"/>
        <v>0</v>
      </c>
      <c r="AN47" s="5" t="str">
        <f>IF(Demand!BE56="Yes","Yes","")</f>
        <v/>
      </c>
      <c r="AP47" s="36" t="str">
        <f ca="1">Demand!B56</f>
        <v xml:space="preserve"> </v>
      </c>
      <c r="AQ47" s="5" t="str">
        <f ca="1">IF(TEXT(Demand!D56,"MMM")&lt;&gt;TEXT(Demand!D55,"MMM"),TEXT(Demand!D56,"MMM"),"")</f>
        <v/>
      </c>
      <c r="AT47" s="5">
        <f t="shared" ca="1" si="12"/>
        <v>14</v>
      </c>
      <c r="BQ47">
        <f ca="1">IF($AN47="",OFFSET(Demand!$A$13,ROW(A44)-1,4+((QUOTIENT(COLUMN(BQ$2)-69,3))*5)+MOD(COLUMN(BQ$2),3),1,1),"")</f>
        <v>0</v>
      </c>
      <c r="BR47">
        <f ca="1">IF($AN47="",OFFSET(Demand!$A$13,ROW(B44)-1,4+((QUOTIENT(COLUMN(BR$2)-69,3))*5)+MOD(COLUMN(BR$2),3),1,1),"")</f>
        <v>0</v>
      </c>
      <c r="BS47">
        <f ca="1">IF($AN47="",OFFSET(Demand!$A$13,ROW(C44)-1,4+((QUOTIENT(COLUMN(BS$2)-69,3))*5)+MOD(COLUMN(BS$2),3),1,1),"")</f>
        <v>70</v>
      </c>
      <c r="BT47">
        <f ca="1">IF($AN47="",OFFSET(Demand!$A$13,ROW(D44)-1,4+((QUOTIENT(COLUMN(BT$2)-69,3))*5)+MOD(COLUMN(BT$2),3),1,1),"")</f>
        <v>0</v>
      </c>
      <c r="BU47">
        <f ca="1">IF($AN47="",OFFSET(Demand!$A$13,ROW(E44)-1,4+((QUOTIENT(COLUMN(BU$2)-69,3))*5)+MOD(COLUMN(BU$2),3),1,1),"")</f>
        <v>0</v>
      </c>
      <c r="BV47">
        <f ca="1">IF($AN47="",OFFSET(Demand!$A$13,ROW(F44)-1,4+((QUOTIENT(COLUMN(BV$2)-69,3))*5)+MOD(COLUMN(BV$2),3),1,1),"")</f>
        <v>0</v>
      </c>
      <c r="BW47">
        <f ca="1">IF($AN47="",OFFSET(Demand!$A$13,ROW(G44)-1,4+((QUOTIENT(COLUMN(BW$2)-69,3))*5)+MOD(COLUMN(BW$2),3),1,1),"")</f>
        <v>0</v>
      </c>
      <c r="BX47">
        <f ca="1">IF($AN47="",OFFSET(Demand!$A$13,ROW(H44)-1,4+((QUOTIENT(COLUMN(BX$2)-69,3))*5)+MOD(COLUMN(BX$2),3),1,1),"")</f>
        <v>0</v>
      </c>
      <c r="BY47">
        <f ca="1">IF($AN47="",OFFSET(Demand!$A$13,ROW(I44)-1,4+((QUOTIENT(COLUMN(BY$2)-69,3))*5)+MOD(COLUMN(BY$2),3),1,1),"")</f>
        <v>0</v>
      </c>
      <c r="BZ47">
        <f ca="1">IF($AN47="",OFFSET(Demand!$A$13,ROW(J44)-1,4+((QUOTIENT(COLUMN(BZ$2)-69,3))*5)+MOD(COLUMN(BZ$2),3),1,1),"")</f>
        <v>0</v>
      </c>
      <c r="CA47">
        <f ca="1">IF($AN47="",OFFSET(Demand!$A$13,ROW(K44)-1,4+((QUOTIENT(COLUMN(CA$2)-69,3))*5)+MOD(COLUMN(CA$2),3),1,1),"")</f>
        <v>0</v>
      </c>
      <c r="CB47">
        <f ca="1">IF($AN47="",OFFSET(Demand!$A$13,ROW(L44)-1,4+((QUOTIENT(COLUMN(CB$2)-69,3))*5)+MOD(COLUMN(CB$2),3),1,1),"")</f>
        <v>0</v>
      </c>
      <c r="CC47">
        <f ca="1">IF($AN47="",OFFSET(Demand!$A$13,ROW(M44)-1,4+((QUOTIENT(COLUMN(CC$2)-69,3))*5)+MOD(COLUMN(CC$2),3),1,1),"")</f>
        <v>0</v>
      </c>
      <c r="CD47">
        <f ca="1">IF($AN47="",OFFSET(Demand!$A$13,ROW(N44)-1,4+((QUOTIENT(COLUMN(CD$2)-69,3))*5)+MOD(COLUMN(CD$2),3),1,1),"")</f>
        <v>0</v>
      </c>
      <c r="CE47">
        <f ca="1">IF($AN47="",OFFSET(Demand!$A$13,ROW(O44)-1,4+((QUOTIENT(COLUMN(CE$2)-69,3))*5)+MOD(COLUMN(CE$2),3),1,1),"")</f>
        <v>0</v>
      </c>
      <c r="CF47">
        <f ca="1">IF($AN47="",OFFSET(Demand!$A$13,ROW(P44)-1,4+((QUOTIENT(COLUMN(CF$2)-69,3))*5)+MOD(COLUMN(CF$2),3),1,1),"")</f>
        <v>0</v>
      </c>
      <c r="CG47">
        <f ca="1">IF($AN47="",OFFSET(Demand!$A$13,ROW(Q44)-1,4+((QUOTIENT(COLUMN(CG$2)-69,3))*5)+MOD(COLUMN(CG$2),3),1,1),"")</f>
        <v>0</v>
      </c>
      <c r="CH47">
        <f ca="1">IF($AN47="",OFFSET(Demand!$A$13,ROW(R44)-1,4+((QUOTIENT(COLUMN(CH$2)-69,3))*5)+MOD(COLUMN(CH$2),3),1,1),"")</f>
        <v>0</v>
      </c>
      <c r="CI47">
        <f ca="1">IF($AN47="",OFFSET(Demand!$A$13,ROW(S44)-1,4+((QUOTIENT(COLUMN(CI$2)-69,3))*5)+MOD(COLUMN(CI$2),3),1,1),"")</f>
        <v>0</v>
      </c>
      <c r="CJ47">
        <f ca="1">IF($AN47="",OFFSET(Demand!$A$13,ROW(T44)-1,4+((QUOTIENT(COLUMN(CJ$2)-69,3))*5)+MOD(COLUMN(CJ$2),3),1,1),"")</f>
        <v>0</v>
      </c>
      <c r="CK47">
        <f ca="1">IF($AN47="",OFFSET(Demand!$A$13,ROW(U44)-1,4+((QUOTIENT(COLUMN(CK$2)-69,3))*5)+MOD(COLUMN(CK$2),3),1,1),"")</f>
        <v>0</v>
      </c>
      <c r="CL47">
        <f ca="1">IF($AN47="",OFFSET(Demand!$A$13,ROW(V44)-1,4+((QUOTIENT(COLUMN(CL$2)-69,3))*5)+MOD(COLUMN(CL$2),3),1,1),"")</f>
        <v>0</v>
      </c>
      <c r="CM47">
        <f ca="1">IF($AN47="",OFFSET(Demand!$A$13,ROW(W44)-1,4+((QUOTIENT(COLUMN(CM$2)-69,3))*5)+MOD(COLUMN(CM$2),3),1,1),"")</f>
        <v>0</v>
      </c>
      <c r="CN47">
        <f ca="1">IF($AN47="",OFFSET(Demand!$A$13,ROW(X44)-1,4+((QUOTIENT(COLUMN(CN$2)-69,3))*5)+MOD(COLUMN(CN$2),3),1,1),"")</f>
        <v>0</v>
      </c>
      <c r="CO47">
        <f ca="1">IF($AN47="",OFFSET(Demand!$A$13,ROW(Y44)-1,4+((QUOTIENT(COLUMN(CO$2)-69,3))*5)+MOD(COLUMN(CO$2),3),1,1),"")</f>
        <v>0</v>
      </c>
      <c r="CP47">
        <f ca="1">IF($AN47="",OFFSET(Demand!$A$13,ROW(Z44)-1,4+((QUOTIENT(COLUMN(CP$2)-69,3))*5)+MOD(COLUMN(CP$2),3),1,1),"")</f>
        <v>0</v>
      </c>
      <c r="CQ47">
        <f ca="1">IF($AN47="",OFFSET(Demand!$A$13,ROW(AA44)-1,4+((QUOTIENT(COLUMN(CQ$2)-69,3))*5)+MOD(COLUMN(CQ$2),3),1,1),"")</f>
        <v>0</v>
      </c>
      <c r="CR47">
        <f ca="1">IF($AN47="",OFFSET(Demand!$A$13,ROW(AB44)-1,4+((QUOTIENT(COLUMN(CR$2)-69,3))*5)+MOD(COLUMN(CR$2),3),1,1),"")</f>
        <v>0</v>
      </c>
      <c r="CS47">
        <f ca="1">IF($AN47="",OFFSET(Demand!$A$13,ROW(AC44)-1,4+((QUOTIENT(COLUMN(CS$2)-69,3))*5)+MOD(COLUMN(CS$2),3),1,1),"")</f>
        <v>0</v>
      </c>
      <c r="CT47">
        <f ca="1">IF($AN47="",OFFSET(Demand!$A$13,ROW(AD44)-1,4+((QUOTIENT(COLUMN(CT$2)-69,3))*5)+MOD(COLUMN(CT$2),3),1,1),"")</f>
        <v>0</v>
      </c>
      <c r="CW47" s="5">
        <f ca="1">SUM(OFFSET(Demand!$H$43,ROW(A44)-1,(COLUMN(A44)-1)*5,1,1))*N$2</f>
        <v>0</v>
      </c>
      <c r="CX47" s="5">
        <f ca="1">SUM(OFFSET(Demand!$H$43,ROW(B44)-1,(COLUMN(B44)-1)*5,1,1))*O$2</f>
        <v>0</v>
      </c>
      <c r="CY47" s="5">
        <f ca="1">SUM(OFFSET(Demand!$H$43,ROW(C44)-1,(COLUMN(C44)-1)*5,1,1))*P$2</f>
        <v>0</v>
      </c>
      <c r="CZ47" s="5">
        <f ca="1">SUM(OFFSET(Demand!$H$43,ROW(D44)-1,(COLUMN(D44)-1)*5,1,1))*Q$2</f>
        <v>0</v>
      </c>
      <c r="DA47" s="5">
        <f ca="1">SUM(OFFSET(Demand!$H$43,ROW(E44)-1,(COLUMN(E44)-1)*5,1,1))*R$2</f>
        <v>0</v>
      </c>
      <c r="DB47" s="5">
        <f ca="1">SUM(OFFSET(Demand!$H$43,ROW(F44)-1,(COLUMN(F44)-1)*5,1,1))*S$2</f>
        <v>0</v>
      </c>
      <c r="DC47" s="5">
        <f ca="1">SUM(OFFSET(Demand!$H$43,ROW(G44)-1,(COLUMN(G44)-1)*5,1,1))*T$2</f>
        <v>0</v>
      </c>
      <c r="DD47" s="5">
        <f ca="1">SUM(OFFSET(Demand!$H$43,ROW(H44)-1,(COLUMN(H44)-1)*5,1,1))*U$2</f>
        <v>0</v>
      </c>
      <c r="DE47" s="5">
        <f ca="1">SUM(OFFSET(Demand!$H$43,ROW(I44)-1,(COLUMN(I44)-1)*5,1,1))*V$2</f>
        <v>0</v>
      </c>
      <c r="DF47" s="5">
        <f ca="1">SUM(OFFSET(Demand!$H$43,ROW(J44)-1,(COLUMN(J44)-1)*5,1,1))*W$2</f>
        <v>0</v>
      </c>
      <c r="DG47" s="5">
        <f ca="1">IF(OR(AN47&lt;&gt;"",AND('Demand adjustments for Covid'!$F$9="Yes",'Demand adjustments for Covid'!$F$20="Yes")),"",SUM(CW47:DF47))</f>
        <v>0</v>
      </c>
      <c r="DM47" s="5">
        <f t="shared" si="10"/>
        <v>6</v>
      </c>
      <c r="DN47" s="320">
        <f t="shared" si="17"/>
        <v>44235</v>
      </c>
      <c r="DO47" s="5">
        <f ca="1">VLOOKUP(IF($DM47&lt;53,$DM47,52),'Summary Calculations (hide)'!$D$15:$F$67,2,0)</f>
        <v>140</v>
      </c>
      <c r="DP47" s="5">
        <f ca="1">VLOOKUP(IF($DM47&lt;53,$DM47,52),'Summary Calculations (hide)'!$D$15:$F$67,3,0)</f>
        <v>154</v>
      </c>
      <c r="DQ47" s="5">
        <f ca="1">IF(AND(DN47&gt;='Demand adjustments for Covid'!$F$12,DN47&lt;'Demand adjustments for Covid'!$F$17),'Demand adjustments for Covid'!$F$13,DO47)</f>
        <v>140</v>
      </c>
      <c r="DR47" s="5">
        <f t="shared" si="33"/>
        <v>0</v>
      </c>
      <c r="DS47" s="5">
        <f ca="1">IF('Demand adjustments for Covid'!$F$9="Yes",IF(DR47=0,DQ47,((SUM(DR$4:DR47)-1)*$EE$8)+'Demand adjustments for Covid'!F$13),'Demand background (hide)'!DO47)</f>
        <v>140</v>
      </c>
      <c r="DT47" s="5">
        <f ca="1">IF('Demand adjustments for Covid'!$F$9="Yes",IF(OR(AND(DN47&gt;='Demand adjustments for Covid'!$F$12,DN47&lt;'Demand adjustments for Covid'!$F$17),DR47=1),DS47+3,DP47),'Demand background (hide)'!DP47)</f>
        <v>154</v>
      </c>
      <c r="DU47" s="5">
        <f ca="1">IF(DS47&lt;='Demand adjustments for Covid'!$F$17,DO47-DS47,0)</f>
        <v>0</v>
      </c>
      <c r="DV47" s="5">
        <f ca="1">IF(AND(ROW(A44)&gt;$EE$5,ROW(A44)&lt;=$EA$5),OFFSET('Demand adjustments for Covid'!$F$35,0,ROW(A44)-'Demand background (hide)'!$EE$5,1,1),0)</f>
        <v>0</v>
      </c>
      <c r="DW47" s="5">
        <f ca="1">IF(AND(ROW(A44)&gt;$EE$5,ROW(A44)&lt;=$EA$5),OFFSET('Demand adjustments for Covid'!$F$36,0,ROW(A44)-'Demand background (hide)'!$EE$5,1,1),0)</f>
        <v>0</v>
      </c>
      <c r="DX47" s="5">
        <f t="shared" ca="1" si="11"/>
        <v>154</v>
      </c>
    </row>
    <row r="48" spans="1:128" s="5" customFormat="1" x14ac:dyDescent="0.25">
      <c r="A48" s="5">
        <f t="shared" ca="1" si="32"/>
        <v>0</v>
      </c>
      <c r="B48" s="5">
        <f ca="1">COUNTBLANK(OFFSET(Demand!$I57,0,(COLUMN(A45)-1)*5,1,1))</f>
        <v>0</v>
      </c>
      <c r="C48" s="5">
        <f ca="1">COUNTBLANK(OFFSET(Demand!$I57,0,(COLUMN(B45)-1)*5,1,1))</f>
        <v>1</v>
      </c>
      <c r="D48" s="5">
        <f ca="1">COUNTBLANK(OFFSET(Demand!$I57,0,(COLUMN(C45)-1)*5,1,1))</f>
        <v>1</v>
      </c>
      <c r="E48" s="5">
        <f ca="1">COUNTBLANK(OFFSET(Demand!$I57,0,(COLUMN(D45)-1)*5,1,1))</f>
        <v>1</v>
      </c>
      <c r="F48" s="5">
        <f ca="1">COUNTBLANK(OFFSET(Demand!$I57,0,(COLUMN(E45)-1)*5,1,1))</f>
        <v>1</v>
      </c>
      <c r="G48" s="5">
        <f ca="1">COUNTBLANK(OFFSET(Demand!$I57,0,(COLUMN(F45)-1)*5,1,1))</f>
        <v>1</v>
      </c>
      <c r="H48" s="5">
        <f ca="1">COUNTBLANK(OFFSET(Demand!$I57,0,(COLUMN(G45)-1)*5,1,1))</f>
        <v>1</v>
      </c>
      <c r="I48" s="5">
        <f ca="1">COUNTBLANK(OFFSET(Demand!$I57,0,(COLUMN(H45)-1)*5,1,1))</f>
        <v>1</v>
      </c>
      <c r="J48" s="5">
        <f ca="1">COUNTBLANK(OFFSET(Demand!$I57,0,(COLUMN(I45)-1)*5,1,1))</f>
        <v>1</v>
      </c>
      <c r="K48" s="5">
        <f ca="1">COUNTBLANK(OFFSET(Demand!$I57,0,(COLUMN(J45)-1)*5,1,1))</f>
        <v>1</v>
      </c>
      <c r="N48" s="5">
        <f ca="1">SUM(OFFSET(Demand!$E57,0,(COLUMN(A45)-1)*5,1,3))*N$2</f>
        <v>136</v>
      </c>
      <c r="O48" s="5">
        <f ca="1">SUM(OFFSET(Demand!$E57,0,(COLUMN(B45)-1)*5,1,3))*O$2</f>
        <v>0</v>
      </c>
      <c r="P48" s="5">
        <f ca="1">SUM(OFFSET(Demand!$E57,0,(COLUMN(C45)-1)*5,1,3))*P$2</f>
        <v>0</v>
      </c>
      <c r="Q48" s="5">
        <f ca="1">SUM(OFFSET(Demand!$E57,0,(COLUMN(D45)-1)*5,1,3))*Q$2</f>
        <v>0</v>
      </c>
      <c r="R48" s="5">
        <f ca="1">SUM(OFFSET(Demand!$E57,0,(COLUMN(E45)-1)*5,1,3))*R$2</f>
        <v>0</v>
      </c>
      <c r="S48" s="5">
        <f ca="1">SUM(OFFSET(Demand!$E57,0,(COLUMN(F45)-1)*5,1,3))*S$2</f>
        <v>0</v>
      </c>
      <c r="T48" s="5">
        <f ca="1">SUM(OFFSET(Demand!$E57,0,(COLUMN(G45)-1)*5,1,3))*T$2</f>
        <v>0</v>
      </c>
      <c r="U48" s="5">
        <f ca="1">SUM(OFFSET(Demand!$E57,0,(COLUMN(H45)-1)*5,1,3))*U$2</f>
        <v>0</v>
      </c>
      <c r="V48" s="5">
        <f ca="1">SUM(OFFSET(Demand!$E57,0,(COLUMN(I45)-1)*5,1,3))*V$2</f>
        <v>0</v>
      </c>
      <c r="W48" s="5">
        <f ca="1">SUM(OFFSET(Demand!$E57,0,(COLUMN(J45)-1)*5,1,3))*W$2</f>
        <v>0</v>
      </c>
      <c r="X48" s="5">
        <f t="shared" ca="1" si="4"/>
        <v>136</v>
      </c>
      <c r="Y48" s="5">
        <f t="shared" ca="1" si="5"/>
        <v>136</v>
      </c>
      <c r="Z48" s="5">
        <f ca="1">SUM(OFFSET(Demand!$H57,0,(COLUMN(A45)-1)*5,1,1))*N$2</f>
        <v>0</v>
      </c>
      <c r="AA48" s="5">
        <f ca="1">SUM(OFFSET(Demand!$H57,0,(COLUMN(B45)-1)*5,1,1))*O$2</f>
        <v>0</v>
      </c>
      <c r="AB48" s="5">
        <f ca="1">SUM(OFFSET(Demand!$H57,0,(COLUMN(C45)-1)*5,1,1))*P$2</f>
        <v>0</v>
      </c>
      <c r="AC48" s="5">
        <f ca="1">SUM(OFFSET(Demand!$H57,0,(COLUMN(D45)-1)*5,1,1))*Q$2</f>
        <v>0</v>
      </c>
      <c r="AD48" s="5">
        <f ca="1">SUM(OFFSET(Demand!$H57,0,(COLUMN(E45)-1)*5,1,1))*R$2</f>
        <v>0</v>
      </c>
      <c r="AE48" s="5">
        <f ca="1">SUM(OFFSET(Demand!$H57,0,(COLUMN(F45)-1)*5,1,1))*S$2</f>
        <v>0</v>
      </c>
      <c r="AF48" s="5">
        <f ca="1">SUM(OFFSET(Demand!$H57,0,(COLUMN(G45)-1)*5,1,1))*T$2</f>
        <v>0</v>
      </c>
      <c r="AG48" s="5">
        <f ca="1">SUM(OFFSET(Demand!$H57,0,(COLUMN(H45)-1)*5,1,1))*U$2</f>
        <v>0</v>
      </c>
      <c r="AH48" s="5">
        <f ca="1">SUM(OFFSET(Demand!$H57,0,(COLUMN(I45)-1)*5,1,1))*V$2</f>
        <v>0</v>
      </c>
      <c r="AI48" s="5">
        <f ca="1">SUM(OFFSET(Demand!$H57,0,(COLUMN(J45)-1)*5,1,1))*W$2</f>
        <v>0</v>
      </c>
      <c r="AJ48" s="5">
        <f t="shared" ca="1" si="6"/>
        <v>0</v>
      </c>
      <c r="AL48" s="5">
        <f t="shared" ca="1" si="8"/>
        <v>136</v>
      </c>
      <c r="AM48" s="5">
        <f t="shared" ca="1" si="9"/>
        <v>0</v>
      </c>
      <c r="AN48" s="5" t="str">
        <f>IF(Demand!BE57="Yes","Yes","")</f>
        <v/>
      </c>
      <c r="AP48" s="36">
        <f ca="1">Demand!B57</f>
        <v>2021</v>
      </c>
      <c r="AQ48" s="5" t="str">
        <f ca="1">IF(TEXT(Demand!D57,"MMM")&lt;&gt;TEXT(Demand!D56,"MMM"),TEXT(Demand!D57,"MMM"),"")</f>
        <v>Jan</v>
      </c>
      <c r="AT48" s="5">
        <f t="shared" ca="1" si="12"/>
        <v>4</v>
      </c>
      <c r="BQ48">
        <f ca="1">IF($AN48="",OFFSET(Demand!$A$13,ROW(A45)-1,4+((QUOTIENT(COLUMN(BQ$2)-69,3))*5)+MOD(COLUMN(BQ$2),3),1,1),"")</f>
        <v>0</v>
      </c>
      <c r="BR48">
        <f ca="1">IF($AN48="",OFFSET(Demand!$A$13,ROW(B45)-1,4+((QUOTIENT(COLUMN(BR$2)-69,3))*5)+MOD(COLUMN(BR$2),3),1,1),"")</f>
        <v>0</v>
      </c>
      <c r="BS48">
        <f ca="1">IF($AN48="",OFFSET(Demand!$A$13,ROW(C45)-1,4+((QUOTIENT(COLUMN(BS$2)-69,3))*5)+MOD(COLUMN(BS$2),3),1,1),"")</f>
        <v>68</v>
      </c>
      <c r="BT48">
        <f ca="1">IF($AN48="",OFFSET(Demand!$A$13,ROW(D45)-1,4+((QUOTIENT(COLUMN(BT$2)-69,3))*5)+MOD(COLUMN(BT$2),3),1,1),"")</f>
        <v>0</v>
      </c>
      <c r="BU48">
        <f ca="1">IF($AN48="",OFFSET(Demand!$A$13,ROW(E45)-1,4+((QUOTIENT(COLUMN(BU$2)-69,3))*5)+MOD(COLUMN(BU$2),3),1,1),"")</f>
        <v>0</v>
      </c>
      <c r="BV48">
        <f ca="1">IF($AN48="",OFFSET(Demand!$A$13,ROW(F45)-1,4+((QUOTIENT(COLUMN(BV$2)-69,3))*5)+MOD(COLUMN(BV$2),3),1,1),"")</f>
        <v>0</v>
      </c>
      <c r="BW48">
        <f ca="1">IF($AN48="",OFFSET(Demand!$A$13,ROW(G45)-1,4+((QUOTIENT(COLUMN(BW$2)-69,3))*5)+MOD(COLUMN(BW$2),3),1,1),"")</f>
        <v>0</v>
      </c>
      <c r="BX48">
        <f ca="1">IF($AN48="",OFFSET(Demand!$A$13,ROW(H45)-1,4+((QUOTIENT(COLUMN(BX$2)-69,3))*5)+MOD(COLUMN(BX$2),3),1,1),"")</f>
        <v>0</v>
      </c>
      <c r="BY48">
        <f ca="1">IF($AN48="",OFFSET(Demand!$A$13,ROW(I45)-1,4+((QUOTIENT(COLUMN(BY$2)-69,3))*5)+MOD(COLUMN(BY$2),3),1,1),"")</f>
        <v>0</v>
      </c>
      <c r="BZ48">
        <f ca="1">IF($AN48="",OFFSET(Demand!$A$13,ROW(J45)-1,4+((QUOTIENT(COLUMN(BZ$2)-69,3))*5)+MOD(COLUMN(BZ$2),3),1,1),"")</f>
        <v>0</v>
      </c>
      <c r="CA48">
        <f ca="1">IF($AN48="",OFFSET(Demand!$A$13,ROW(K45)-1,4+((QUOTIENT(COLUMN(CA$2)-69,3))*5)+MOD(COLUMN(CA$2),3),1,1),"")</f>
        <v>0</v>
      </c>
      <c r="CB48">
        <f ca="1">IF($AN48="",OFFSET(Demand!$A$13,ROW(L45)-1,4+((QUOTIENT(COLUMN(CB$2)-69,3))*5)+MOD(COLUMN(CB$2),3),1,1),"")</f>
        <v>0</v>
      </c>
      <c r="CC48">
        <f ca="1">IF($AN48="",OFFSET(Demand!$A$13,ROW(M45)-1,4+((QUOTIENT(COLUMN(CC$2)-69,3))*5)+MOD(COLUMN(CC$2),3),1,1),"")</f>
        <v>0</v>
      </c>
      <c r="CD48">
        <f ca="1">IF($AN48="",OFFSET(Demand!$A$13,ROW(N45)-1,4+((QUOTIENT(COLUMN(CD$2)-69,3))*5)+MOD(COLUMN(CD$2),3),1,1),"")</f>
        <v>0</v>
      </c>
      <c r="CE48">
        <f ca="1">IF($AN48="",OFFSET(Demand!$A$13,ROW(O45)-1,4+((QUOTIENT(COLUMN(CE$2)-69,3))*5)+MOD(COLUMN(CE$2),3),1,1),"")</f>
        <v>0</v>
      </c>
      <c r="CF48">
        <f ca="1">IF($AN48="",OFFSET(Demand!$A$13,ROW(P45)-1,4+((QUOTIENT(COLUMN(CF$2)-69,3))*5)+MOD(COLUMN(CF$2),3),1,1),"")</f>
        <v>0</v>
      </c>
      <c r="CG48">
        <f ca="1">IF($AN48="",OFFSET(Demand!$A$13,ROW(Q45)-1,4+((QUOTIENT(COLUMN(CG$2)-69,3))*5)+MOD(COLUMN(CG$2),3),1,1),"")</f>
        <v>0</v>
      </c>
      <c r="CH48">
        <f ca="1">IF($AN48="",OFFSET(Demand!$A$13,ROW(R45)-1,4+((QUOTIENT(COLUMN(CH$2)-69,3))*5)+MOD(COLUMN(CH$2),3),1,1),"")</f>
        <v>0</v>
      </c>
      <c r="CI48">
        <f ca="1">IF($AN48="",OFFSET(Demand!$A$13,ROW(S45)-1,4+((QUOTIENT(COLUMN(CI$2)-69,3))*5)+MOD(COLUMN(CI$2),3),1,1),"")</f>
        <v>0</v>
      </c>
      <c r="CJ48">
        <f ca="1">IF($AN48="",OFFSET(Demand!$A$13,ROW(T45)-1,4+((QUOTIENT(COLUMN(CJ$2)-69,3))*5)+MOD(COLUMN(CJ$2),3),1,1),"")</f>
        <v>0</v>
      </c>
      <c r="CK48">
        <f ca="1">IF($AN48="",OFFSET(Demand!$A$13,ROW(U45)-1,4+((QUOTIENT(COLUMN(CK$2)-69,3))*5)+MOD(COLUMN(CK$2),3),1,1),"")</f>
        <v>0</v>
      </c>
      <c r="CL48">
        <f ca="1">IF($AN48="",OFFSET(Demand!$A$13,ROW(V45)-1,4+((QUOTIENT(COLUMN(CL$2)-69,3))*5)+MOD(COLUMN(CL$2),3),1,1),"")</f>
        <v>0</v>
      </c>
      <c r="CM48">
        <f ca="1">IF($AN48="",OFFSET(Demand!$A$13,ROW(W45)-1,4+((QUOTIENT(COLUMN(CM$2)-69,3))*5)+MOD(COLUMN(CM$2),3),1,1),"")</f>
        <v>0</v>
      </c>
      <c r="CN48">
        <f ca="1">IF($AN48="",OFFSET(Demand!$A$13,ROW(X45)-1,4+((QUOTIENT(COLUMN(CN$2)-69,3))*5)+MOD(COLUMN(CN$2),3),1,1),"")</f>
        <v>0</v>
      </c>
      <c r="CO48">
        <f ca="1">IF($AN48="",OFFSET(Demand!$A$13,ROW(Y45)-1,4+((QUOTIENT(COLUMN(CO$2)-69,3))*5)+MOD(COLUMN(CO$2),3),1,1),"")</f>
        <v>0</v>
      </c>
      <c r="CP48">
        <f ca="1">IF($AN48="",OFFSET(Demand!$A$13,ROW(Z45)-1,4+((QUOTIENT(COLUMN(CP$2)-69,3))*5)+MOD(COLUMN(CP$2),3),1,1),"")</f>
        <v>0</v>
      </c>
      <c r="CQ48">
        <f ca="1">IF($AN48="",OFFSET(Demand!$A$13,ROW(AA45)-1,4+((QUOTIENT(COLUMN(CQ$2)-69,3))*5)+MOD(COLUMN(CQ$2),3),1,1),"")</f>
        <v>0</v>
      </c>
      <c r="CR48">
        <f ca="1">IF($AN48="",OFFSET(Demand!$A$13,ROW(AB45)-1,4+((QUOTIENT(COLUMN(CR$2)-69,3))*5)+MOD(COLUMN(CR$2),3),1,1),"")</f>
        <v>0</v>
      </c>
      <c r="CS48">
        <f ca="1">IF($AN48="",OFFSET(Demand!$A$13,ROW(AC45)-1,4+((QUOTIENT(COLUMN(CS$2)-69,3))*5)+MOD(COLUMN(CS$2),3),1,1),"")</f>
        <v>0</v>
      </c>
      <c r="CT48">
        <f ca="1">IF($AN48="",OFFSET(Demand!$A$13,ROW(AD45)-1,4+((QUOTIENT(COLUMN(CT$2)-69,3))*5)+MOD(COLUMN(CT$2),3),1,1),"")</f>
        <v>0</v>
      </c>
      <c r="CW48" s="5">
        <f ca="1">SUM(OFFSET(Demand!$H$43,ROW(A45)-1,(COLUMN(A45)-1)*5,1,1))*N$2</f>
        <v>0</v>
      </c>
      <c r="CX48" s="5">
        <f ca="1">SUM(OFFSET(Demand!$H$43,ROW(B45)-1,(COLUMN(B45)-1)*5,1,1))*O$2</f>
        <v>0</v>
      </c>
      <c r="CY48" s="5">
        <f ca="1">SUM(OFFSET(Demand!$H$43,ROW(C45)-1,(COLUMN(C45)-1)*5,1,1))*P$2</f>
        <v>0</v>
      </c>
      <c r="CZ48" s="5">
        <f ca="1">SUM(OFFSET(Demand!$H$43,ROW(D45)-1,(COLUMN(D45)-1)*5,1,1))*Q$2</f>
        <v>0</v>
      </c>
      <c r="DA48" s="5">
        <f ca="1">SUM(OFFSET(Demand!$H$43,ROW(E45)-1,(COLUMN(E45)-1)*5,1,1))*R$2</f>
        <v>0</v>
      </c>
      <c r="DB48" s="5">
        <f ca="1">SUM(OFFSET(Demand!$H$43,ROW(F45)-1,(COLUMN(F45)-1)*5,1,1))*S$2</f>
        <v>0</v>
      </c>
      <c r="DC48" s="5">
        <f ca="1">SUM(OFFSET(Demand!$H$43,ROW(G45)-1,(COLUMN(G45)-1)*5,1,1))*T$2</f>
        <v>0</v>
      </c>
      <c r="DD48" s="5">
        <f ca="1">SUM(OFFSET(Demand!$H$43,ROW(H45)-1,(COLUMN(H45)-1)*5,1,1))*U$2</f>
        <v>0</v>
      </c>
      <c r="DE48" s="5">
        <f ca="1">SUM(OFFSET(Demand!$H$43,ROW(I45)-1,(COLUMN(I45)-1)*5,1,1))*V$2</f>
        <v>0</v>
      </c>
      <c r="DF48" s="5">
        <f ca="1">SUM(OFFSET(Demand!$H$43,ROW(J45)-1,(COLUMN(J45)-1)*5,1,1))*W$2</f>
        <v>0</v>
      </c>
      <c r="DG48" s="5">
        <f ca="1">IF(OR(AN48&lt;&gt;"",AND('Demand adjustments for Covid'!$F$9="Yes",'Demand adjustments for Covid'!$F$20="Yes")),"",SUM(CW48:DF48))</f>
        <v>0</v>
      </c>
      <c r="DM48" s="5">
        <f t="shared" si="10"/>
        <v>7</v>
      </c>
      <c r="DN48" s="320">
        <f t="shared" si="17"/>
        <v>44242</v>
      </c>
      <c r="DO48" s="5">
        <f ca="1">VLOOKUP(IF($DM48&lt;53,$DM48,52),'Summary Calculations (hide)'!$D$15:$F$67,2,0)</f>
        <v>136</v>
      </c>
      <c r="DP48" s="5">
        <f ca="1">VLOOKUP(IF($DM48&lt;53,$DM48,52),'Summary Calculations (hide)'!$D$15:$F$67,3,0)</f>
        <v>149.60000000000002</v>
      </c>
      <c r="DQ48" s="5">
        <f ca="1">IF(AND(DN48&gt;='Demand adjustments for Covid'!$F$12,DN48&lt;'Demand adjustments for Covid'!$F$17),'Demand adjustments for Covid'!$F$13,DO48)</f>
        <v>136</v>
      </c>
      <c r="DR48" s="5">
        <f t="shared" si="33"/>
        <v>0</v>
      </c>
      <c r="DS48" s="5">
        <f ca="1">IF('Demand adjustments for Covid'!$F$9="Yes",IF(DR48=0,DQ48,((SUM(DR$4:DR48)-1)*$EE$8)+'Demand adjustments for Covid'!F$13),'Demand background (hide)'!DO48)</f>
        <v>136</v>
      </c>
      <c r="DT48" s="5">
        <f ca="1">IF('Demand adjustments for Covid'!$F$9="Yes",IF(OR(AND(DN48&gt;='Demand adjustments for Covid'!$F$12,DN48&lt;'Demand adjustments for Covid'!$F$17),DR48=1),DS48+3,DP48),'Demand background (hide)'!DP48)</f>
        <v>149.60000000000002</v>
      </c>
      <c r="DU48" s="5">
        <f ca="1">IF(DS48&lt;='Demand adjustments for Covid'!$F$17,DO48-DS48,0)</f>
        <v>0</v>
      </c>
      <c r="DV48" s="5">
        <f ca="1">IF(AND(ROW(A45)&gt;$EE$5,ROW(A45)&lt;=$EA$5),OFFSET('Demand adjustments for Covid'!$F$35,0,ROW(A45)-'Demand background (hide)'!$EE$5,1,1),0)</f>
        <v>0</v>
      </c>
      <c r="DW48" s="5">
        <f ca="1">IF(AND(ROW(A45)&gt;$EE$5,ROW(A45)&lt;=$EA$5),OFFSET('Demand adjustments for Covid'!$F$36,0,ROW(A45)-'Demand background (hide)'!$EE$5,1,1),0)</f>
        <v>0</v>
      </c>
      <c r="DX48" s="5">
        <f t="shared" ca="1" si="11"/>
        <v>149.60000000000002</v>
      </c>
    </row>
    <row r="49" spans="1:132" s="5" customFormat="1" x14ac:dyDescent="0.25">
      <c r="A49" s="5">
        <f t="shared" ca="1" si="32"/>
        <v>0</v>
      </c>
      <c r="B49" s="5">
        <f ca="1">COUNTBLANK(OFFSET(Demand!$I58,0,(COLUMN(A46)-1)*5,1,1))</f>
        <v>0</v>
      </c>
      <c r="C49" s="5">
        <f ca="1">COUNTBLANK(OFFSET(Demand!$I58,0,(COLUMN(B46)-1)*5,1,1))</f>
        <v>1</v>
      </c>
      <c r="D49" s="5">
        <f ca="1">COUNTBLANK(OFFSET(Demand!$I58,0,(COLUMN(C46)-1)*5,1,1))</f>
        <v>1</v>
      </c>
      <c r="E49" s="5">
        <f ca="1">COUNTBLANK(OFFSET(Demand!$I58,0,(COLUMN(D46)-1)*5,1,1))</f>
        <v>1</v>
      </c>
      <c r="F49" s="5">
        <f ca="1">COUNTBLANK(OFFSET(Demand!$I58,0,(COLUMN(E46)-1)*5,1,1))</f>
        <v>1</v>
      </c>
      <c r="G49" s="5">
        <f ca="1">COUNTBLANK(OFFSET(Demand!$I58,0,(COLUMN(F46)-1)*5,1,1))</f>
        <v>1</v>
      </c>
      <c r="H49" s="5">
        <f ca="1">COUNTBLANK(OFFSET(Demand!$I58,0,(COLUMN(G46)-1)*5,1,1))</f>
        <v>1</v>
      </c>
      <c r="I49" s="5">
        <f ca="1">COUNTBLANK(OFFSET(Demand!$I58,0,(COLUMN(H46)-1)*5,1,1))</f>
        <v>1</v>
      </c>
      <c r="J49" s="5">
        <f ca="1">COUNTBLANK(OFFSET(Demand!$I58,0,(COLUMN(I46)-1)*5,1,1))</f>
        <v>1</v>
      </c>
      <c r="K49" s="5">
        <f ca="1">COUNTBLANK(OFFSET(Demand!$I58,0,(COLUMN(J46)-1)*5,1,1))</f>
        <v>1</v>
      </c>
      <c r="N49" s="5">
        <f ca="1">SUM(OFFSET(Demand!$E58,0,(COLUMN(A46)-1)*5,1,3))*N$2</f>
        <v>152</v>
      </c>
      <c r="O49" s="5">
        <f ca="1">SUM(OFFSET(Demand!$E58,0,(COLUMN(B46)-1)*5,1,3))*O$2</f>
        <v>0</v>
      </c>
      <c r="P49" s="5">
        <f ca="1">SUM(OFFSET(Demand!$E58,0,(COLUMN(C46)-1)*5,1,3))*P$2</f>
        <v>0</v>
      </c>
      <c r="Q49" s="5">
        <f ca="1">SUM(OFFSET(Demand!$E58,0,(COLUMN(D46)-1)*5,1,3))*Q$2</f>
        <v>0</v>
      </c>
      <c r="R49" s="5">
        <f ca="1">SUM(OFFSET(Demand!$E58,0,(COLUMN(E46)-1)*5,1,3))*R$2</f>
        <v>0</v>
      </c>
      <c r="S49" s="5">
        <f ca="1">SUM(OFFSET(Demand!$E58,0,(COLUMN(F46)-1)*5,1,3))*S$2</f>
        <v>0</v>
      </c>
      <c r="T49" s="5">
        <f ca="1">SUM(OFFSET(Demand!$E58,0,(COLUMN(G46)-1)*5,1,3))*T$2</f>
        <v>0</v>
      </c>
      <c r="U49" s="5">
        <f ca="1">SUM(OFFSET(Demand!$E58,0,(COLUMN(H46)-1)*5,1,3))*U$2</f>
        <v>0</v>
      </c>
      <c r="V49" s="5">
        <f ca="1">SUM(OFFSET(Demand!$E58,0,(COLUMN(I46)-1)*5,1,3))*V$2</f>
        <v>0</v>
      </c>
      <c r="W49" s="5">
        <f ca="1">SUM(OFFSET(Demand!$E58,0,(COLUMN(J46)-1)*5,1,3))*W$2</f>
        <v>0</v>
      </c>
      <c r="X49" s="5">
        <f t="shared" ca="1" si="4"/>
        <v>152</v>
      </c>
      <c r="Y49" s="5">
        <f t="shared" ca="1" si="5"/>
        <v>152</v>
      </c>
      <c r="Z49" s="5">
        <f ca="1">SUM(OFFSET(Demand!$H58,0,(COLUMN(A46)-1)*5,1,1))*N$2</f>
        <v>0</v>
      </c>
      <c r="AA49" s="5">
        <f ca="1">SUM(OFFSET(Demand!$H58,0,(COLUMN(B46)-1)*5,1,1))*O$2</f>
        <v>0</v>
      </c>
      <c r="AB49" s="5">
        <f ca="1">SUM(OFFSET(Demand!$H58,0,(COLUMN(C46)-1)*5,1,1))*P$2</f>
        <v>0</v>
      </c>
      <c r="AC49" s="5">
        <f ca="1">SUM(OFFSET(Demand!$H58,0,(COLUMN(D46)-1)*5,1,1))*Q$2</f>
        <v>0</v>
      </c>
      <c r="AD49" s="5">
        <f ca="1">SUM(OFFSET(Demand!$H58,0,(COLUMN(E46)-1)*5,1,1))*R$2</f>
        <v>0</v>
      </c>
      <c r="AE49" s="5">
        <f ca="1">SUM(OFFSET(Demand!$H58,0,(COLUMN(F46)-1)*5,1,1))*S$2</f>
        <v>0</v>
      </c>
      <c r="AF49" s="5">
        <f ca="1">SUM(OFFSET(Demand!$H58,0,(COLUMN(G46)-1)*5,1,1))*T$2</f>
        <v>0</v>
      </c>
      <c r="AG49" s="5">
        <f ca="1">SUM(OFFSET(Demand!$H58,0,(COLUMN(H46)-1)*5,1,1))*U$2</f>
        <v>0</v>
      </c>
      <c r="AH49" s="5">
        <f ca="1">SUM(OFFSET(Demand!$H58,0,(COLUMN(I46)-1)*5,1,1))*V$2</f>
        <v>0</v>
      </c>
      <c r="AI49" s="5">
        <f ca="1">SUM(OFFSET(Demand!$H58,0,(COLUMN(J46)-1)*5,1,1))*W$2</f>
        <v>0</v>
      </c>
      <c r="AJ49" s="5">
        <f t="shared" ca="1" si="6"/>
        <v>0</v>
      </c>
      <c r="AL49" s="5">
        <f t="shared" ca="1" si="8"/>
        <v>152</v>
      </c>
      <c r="AM49" s="5">
        <f t="shared" ca="1" si="9"/>
        <v>0</v>
      </c>
      <c r="AN49" s="5" t="str">
        <f>IF(Demand!BE58="Yes","Yes","")</f>
        <v/>
      </c>
      <c r="AP49" s="36" t="str">
        <f ca="1">Demand!B58</f>
        <v xml:space="preserve"> </v>
      </c>
      <c r="AQ49" s="5" t="str">
        <f ca="1">IF(TEXT(Demand!D58,"MMM")&lt;&gt;TEXT(Demand!D57,"MMM"),TEXT(Demand!D58,"MMM"),"")</f>
        <v/>
      </c>
      <c r="AT49" s="5">
        <f t="shared" ca="1" si="12"/>
        <v>16</v>
      </c>
      <c r="BQ49">
        <f ca="1">IF($AN49="",OFFSET(Demand!$A$13,ROW(A46)-1,4+((QUOTIENT(COLUMN(BQ$2)-69,3))*5)+MOD(COLUMN(BQ$2),3),1,1),"")</f>
        <v>0</v>
      </c>
      <c r="BR49">
        <f ca="1">IF($AN49="",OFFSET(Demand!$A$13,ROW(B46)-1,4+((QUOTIENT(COLUMN(BR$2)-69,3))*5)+MOD(COLUMN(BR$2),3),1,1),"")</f>
        <v>0</v>
      </c>
      <c r="BS49">
        <f ca="1">IF($AN49="",OFFSET(Demand!$A$13,ROW(C46)-1,4+((QUOTIENT(COLUMN(BS$2)-69,3))*5)+MOD(COLUMN(BS$2),3),1,1),"")</f>
        <v>76</v>
      </c>
      <c r="BT49">
        <f ca="1">IF($AN49="",OFFSET(Demand!$A$13,ROW(D46)-1,4+((QUOTIENT(COLUMN(BT$2)-69,3))*5)+MOD(COLUMN(BT$2),3),1,1),"")</f>
        <v>0</v>
      </c>
      <c r="BU49">
        <f ca="1">IF($AN49="",OFFSET(Demand!$A$13,ROW(E46)-1,4+((QUOTIENT(COLUMN(BU$2)-69,3))*5)+MOD(COLUMN(BU$2),3),1,1),"")</f>
        <v>0</v>
      </c>
      <c r="BV49">
        <f ca="1">IF($AN49="",OFFSET(Demand!$A$13,ROW(F46)-1,4+((QUOTIENT(COLUMN(BV$2)-69,3))*5)+MOD(COLUMN(BV$2),3),1,1),"")</f>
        <v>0</v>
      </c>
      <c r="BW49">
        <f ca="1">IF($AN49="",OFFSET(Demand!$A$13,ROW(G46)-1,4+((QUOTIENT(COLUMN(BW$2)-69,3))*5)+MOD(COLUMN(BW$2),3),1,1),"")</f>
        <v>0</v>
      </c>
      <c r="BX49">
        <f ca="1">IF($AN49="",OFFSET(Demand!$A$13,ROW(H46)-1,4+((QUOTIENT(COLUMN(BX$2)-69,3))*5)+MOD(COLUMN(BX$2),3),1,1),"")</f>
        <v>0</v>
      </c>
      <c r="BY49">
        <f ca="1">IF($AN49="",OFFSET(Demand!$A$13,ROW(I46)-1,4+((QUOTIENT(COLUMN(BY$2)-69,3))*5)+MOD(COLUMN(BY$2),3),1,1),"")</f>
        <v>0</v>
      </c>
      <c r="BZ49">
        <f ca="1">IF($AN49="",OFFSET(Demand!$A$13,ROW(J46)-1,4+((QUOTIENT(COLUMN(BZ$2)-69,3))*5)+MOD(COLUMN(BZ$2),3),1,1),"")</f>
        <v>0</v>
      </c>
      <c r="CA49">
        <f ca="1">IF($AN49="",OFFSET(Demand!$A$13,ROW(K46)-1,4+((QUOTIENT(COLUMN(CA$2)-69,3))*5)+MOD(COLUMN(CA$2),3),1,1),"")</f>
        <v>0</v>
      </c>
      <c r="CB49">
        <f ca="1">IF($AN49="",OFFSET(Demand!$A$13,ROW(L46)-1,4+((QUOTIENT(COLUMN(CB$2)-69,3))*5)+MOD(COLUMN(CB$2),3),1,1),"")</f>
        <v>0</v>
      </c>
      <c r="CC49">
        <f ca="1">IF($AN49="",OFFSET(Demand!$A$13,ROW(M46)-1,4+((QUOTIENT(COLUMN(CC$2)-69,3))*5)+MOD(COLUMN(CC$2),3),1,1),"")</f>
        <v>0</v>
      </c>
      <c r="CD49">
        <f ca="1">IF($AN49="",OFFSET(Demand!$A$13,ROW(N46)-1,4+((QUOTIENT(COLUMN(CD$2)-69,3))*5)+MOD(COLUMN(CD$2),3),1,1),"")</f>
        <v>0</v>
      </c>
      <c r="CE49">
        <f ca="1">IF($AN49="",OFFSET(Demand!$A$13,ROW(O46)-1,4+((QUOTIENT(COLUMN(CE$2)-69,3))*5)+MOD(COLUMN(CE$2),3),1,1),"")</f>
        <v>0</v>
      </c>
      <c r="CF49">
        <f ca="1">IF($AN49="",OFFSET(Demand!$A$13,ROW(P46)-1,4+((QUOTIENT(COLUMN(CF$2)-69,3))*5)+MOD(COLUMN(CF$2),3),1,1),"")</f>
        <v>0</v>
      </c>
      <c r="CG49">
        <f ca="1">IF($AN49="",OFFSET(Demand!$A$13,ROW(Q46)-1,4+((QUOTIENT(COLUMN(CG$2)-69,3))*5)+MOD(COLUMN(CG$2),3),1,1),"")</f>
        <v>0</v>
      </c>
      <c r="CH49">
        <f ca="1">IF($AN49="",OFFSET(Demand!$A$13,ROW(R46)-1,4+((QUOTIENT(COLUMN(CH$2)-69,3))*5)+MOD(COLUMN(CH$2),3),1,1),"")</f>
        <v>0</v>
      </c>
      <c r="CI49">
        <f ca="1">IF($AN49="",OFFSET(Demand!$A$13,ROW(S46)-1,4+((QUOTIENT(COLUMN(CI$2)-69,3))*5)+MOD(COLUMN(CI$2),3),1,1),"")</f>
        <v>0</v>
      </c>
      <c r="CJ49">
        <f ca="1">IF($AN49="",OFFSET(Demand!$A$13,ROW(T46)-1,4+((QUOTIENT(COLUMN(CJ$2)-69,3))*5)+MOD(COLUMN(CJ$2),3),1,1),"")</f>
        <v>0</v>
      </c>
      <c r="CK49">
        <f ca="1">IF($AN49="",OFFSET(Demand!$A$13,ROW(U46)-1,4+((QUOTIENT(COLUMN(CK$2)-69,3))*5)+MOD(COLUMN(CK$2),3),1,1),"")</f>
        <v>0</v>
      </c>
      <c r="CL49">
        <f ca="1">IF($AN49="",OFFSET(Demand!$A$13,ROW(V46)-1,4+((QUOTIENT(COLUMN(CL$2)-69,3))*5)+MOD(COLUMN(CL$2),3),1,1),"")</f>
        <v>0</v>
      </c>
      <c r="CM49">
        <f ca="1">IF($AN49="",OFFSET(Demand!$A$13,ROW(W46)-1,4+((QUOTIENT(COLUMN(CM$2)-69,3))*5)+MOD(COLUMN(CM$2),3),1,1),"")</f>
        <v>0</v>
      </c>
      <c r="CN49">
        <f ca="1">IF($AN49="",OFFSET(Demand!$A$13,ROW(X46)-1,4+((QUOTIENT(COLUMN(CN$2)-69,3))*5)+MOD(COLUMN(CN$2),3),1,1),"")</f>
        <v>0</v>
      </c>
      <c r="CO49">
        <f ca="1">IF($AN49="",OFFSET(Demand!$A$13,ROW(Y46)-1,4+((QUOTIENT(COLUMN(CO$2)-69,3))*5)+MOD(COLUMN(CO$2),3),1,1),"")</f>
        <v>0</v>
      </c>
      <c r="CP49">
        <f ca="1">IF($AN49="",OFFSET(Demand!$A$13,ROW(Z46)-1,4+((QUOTIENT(COLUMN(CP$2)-69,3))*5)+MOD(COLUMN(CP$2),3),1,1),"")</f>
        <v>0</v>
      </c>
      <c r="CQ49">
        <f ca="1">IF($AN49="",OFFSET(Demand!$A$13,ROW(AA46)-1,4+((QUOTIENT(COLUMN(CQ$2)-69,3))*5)+MOD(COLUMN(CQ$2),3),1,1),"")</f>
        <v>0</v>
      </c>
      <c r="CR49">
        <f ca="1">IF($AN49="",OFFSET(Demand!$A$13,ROW(AB46)-1,4+((QUOTIENT(COLUMN(CR$2)-69,3))*5)+MOD(COLUMN(CR$2),3),1,1),"")</f>
        <v>0</v>
      </c>
      <c r="CS49">
        <f ca="1">IF($AN49="",OFFSET(Demand!$A$13,ROW(AC46)-1,4+((QUOTIENT(COLUMN(CS$2)-69,3))*5)+MOD(COLUMN(CS$2),3),1,1),"")</f>
        <v>0</v>
      </c>
      <c r="CT49">
        <f ca="1">IF($AN49="",OFFSET(Demand!$A$13,ROW(AD46)-1,4+((QUOTIENT(COLUMN(CT$2)-69,3))*5)+MOD(COLUMN(CT$2),3),1,1),"")</f>
        <v>0</v>
      </c>
      <c r="CW49" s="5">
        <f ca="1">SUM(OFFSET(Demand!$H$43,ROW(A46)-1,(COLUMN(A46)-1)*5,1,1))*N$2</f>
        <v>0</v>
      </c>
      <c r="CX49" s="5">
        <f ca="1">SUM(OFFSET(Demand!$H$43,ROW(B46)-1,(COLUMN(B46)-1)*5,1,1))*O$2</f>
        <v>0</v>
      </c>
      <c r="CY49" s="5">
        <f ca="1">SUM(OFFSET(Demand!$H$43,ROW(C46)-1,(COLUMN(C46)-1)*5,1,1))*P$2</f>
        <v>0</v>
      </c>
      <c r="CZ49" s="5">
        <f ca="1">SUM(OFFSET(Demand!$H$43,ROW(D46)-1,(COLUMN(D46)-1)*5,1,1))*Q$2</f>
        <v>0</v>
      </c>
      <c r="DA49" s="5">
        <f ca="1">SUM(OFFSET(Demand!$H$43,ROW(E46)-1,(COLUMN(E46)-1)*5,1,1))*R$2</f>
        <v>0</v>
      </c>
      <c r="DB49" s="5">
        <f ca="1">SUM(OFFSET(Demand!$H$43,ROW(F46)-1,(COLUMN(F46)-1)*5,1,1))*S$2</f>
        <v>0</v>
      </c>
      <c r="DC49" s="5">
        <f ca="1">SUM(OFFSET(Demand!$H$43,ROW(G46)-1,(COLUMN(G46)-1)*5,1,1))*T$2</f>
        <v>0</v>
      </c>
      <c r="DD49" s="5">
        <f ca="1">SUM(OFFSET(Demand!$H$43,ROW(H46)-1,(COLUMN(H46)-1)*5,1,1))*U$2</f>
        <v>0</v>
      </c>
      <c r="DE49" s="5">
        <f ca="1">SUM(OFFSET(Demand!$H$43,ROW(I46)-1,(COLUMN(I46)-1)*5,1,1))*V$2</f>
        <v>0</v>
      </c>
      <c r="DF49" s="5">
        <f ca="1">SUM(OFFSET(Demand!$H$43,ROW(J46)-1,(COLUMN(J46)-1)*5,1,1))*W$2</f>
        <v>0</v>
      </c>
      <c r="DG49" s="5">
        <f ca="1">IF(OR(AN49&lt;&gt;"",AND('Demand adjustments for Covid'!$F$9="Yes",'Demand adjustments for Covid'!$F$20="Yes")),"",SUM(CW49:DF49))</f>
        <v>0</v>
      </c>
      <c r="DM49" s="5">
        <f t="shared" si="10"/>
        <v>8</v>
      </c>
      <c r="DN49" s="320">
        <f t="shared" si="17"/>
        <v>44249</v>
      </c>
      <c r="DO49" s="5">
        <f ca="1">VLOOKUP(IF($DM49&lt;53,$DM49,52),'Summary Calculations (hide)'!$D$15:$F$67,2,0)</f>
        <v>152</v>
      </c>
      <c r="DP49" s="5">
        <f ca="1">VLOOKUP(IF($DM49&lt;53,$DM49,52),'Summary Calculations (hide)'!$D$15:$F$67,3,0)</f>
        <v>167.20000000000002</v>
      </c>
      <c r="DQ49" s="5">
        <f ca="1">IF(AND(DN49&gt;='Demand adjustments for Covid'!$F$12,DN49&lt;'Demand adjustments for Covid'!$F$17),'Demand adjustments for Covid'!$F$13,DO49)</f>
        <v>152</v>
      </c>
      <c r="DR49" s="5">
        <f t="shared" si="33"/>
        <v>0</v>
      </c>
      <c r="DS49" s="5">
        <f ca="1">IF('Demand adjustments for Covid'!$F$9="Yes",IF(DR49=0,DQ49,((SUM(DR$4:DR49)-1)*$EE$8)+'Demand adjustments for Covid'!F$13),'Demand background (hide)'!DO49)</f>
        <v>152</v>
      </c>
      <c r="DT49" s="5">
        <f ca="1">IF('Demand adjustments for Covid'!$F$9="Yes",IF(OR(AND(DN49&gt;='Demand adjustments for Covid'!$F$12,DN49&lt;'Demand adjustments for Covid'!$F$17),DR49=1),DS49+3,DP49),'Demand background (hide)'!DP49)</f>
        <v>167.20000000000002</v>
      </c>
      <c r="DU49" s="5">
        <f ca="1">IF(DS49&lt;='Demand adjustments for Covid'!$F$17,DO49-DS49,0)</f>
        <v>0</v>
      </c>
      <c r="DV49" s="5">
        <f ca="1">IF(AND(ROW(A46)&gt;$EE$5,ROW(A46)&lt;=$EA$5),OFFSET('Demand adjustments for Covid'!$F$35,0,ROW(A46)-'Demand background (hide)'!$EE$5,1,1),0)</f>
        <v>0</v>
      </c>
      <c r="DW49" s="5">
        <f ca="1">IF(AND(ROW(A46)&gt;$EE$5,ROW(A46)&lt;=$EA$5),OFFSET('Demand adjustments for Covid'!$F$36,0,ROW(A46)-'Demand background (hide)'!$EE$5,1,1),0)</f>
        <v>0</v>
      </c>
      <c r="DX49" s="5">
        <f t="shared" ca="1" si="11"/>
        <v>167.20000000000002</v>
      </c>
    </row>
    <row r="50" spans="1:132" s="5" customFormat="1" x14ac:dyDescent="0.25">
      <c r="A50" s="5">
        <f t="shared" ca="1" si="32"/>
        <v>0</v>
      </c>
      <c r="B50" s="5">
        <f ca="1">COUNTBLANK(OFFSET(Demand!$I59,0,(COLUMN(A47)-1)*5,1,1))</f>
        <v>0</v>
      </c>
      <c r="C50" s="5">
        <f ca="1">COUNTBLANK(OFFSET(Demand!$I59,0,(COLUMN(B47)-1)*5,1,1))</f>
        <v>1</v>
      </c>
      <c r="D50" s="5">
        <f ca="1">COUNTBLANK(OFFSET(Demand!$I59,0,(COLUMN(C47)-1)*5,1,1))</f>
        <v>1</v>
      </c>
      <c r="E50" s="5">
        <f ca="1">COUNTBLANK(OFFSET(Demand!$I59,0,(COLUMN(D47)-1)*5,1,1))</f>
        <v>1</v>
      </c>
      <c r="F50" s="5">
        <f ca="1">COUNTBLANK(OFFSET(Demand!$I59,0,(COLUMN(E47)-1)*5,1,1))</f>
        <v>1</v>
      </c>
      <c r="G50" s="5">
        <f ca="1">COUNTBLANK(OFFSET(Demand!$I59,0,(COLUMN(F47)-1)*5,1,1))</f>
        <v>1</v>
      </c>
      <c r="H50" s="5">
        <f ca="1">COUNTBLANK(OFFSET(Demand!$I59,0,(COLUMN(G47)-1)*5,1,1))</f>
        <v>1</v>
      </c>
      <c r="I50" s="5">
        <f ca="1">COUNTBLANK(OFFSET(Demand!$I59,0,(COLUMN(H47)-1)*5,1,1))</f>
        <v>1</v>
      </c>
      <c r="J50" s="5">
        <f ca="1">COUNTBLANK(OFFSET(Demand!$I59,0,(COLUMN(I47)-1)*5,1,1))</f>
        <v>1</v>
      </c>
      <c r="K50" s="5">
        <f ca="1">COUNTBLANK(OFFSET(Demand!$I59,0,(COLUMN(J47)-1)*5,1,1))</f>
        <v>1</v>
      </c>
      <c r="N50" s="5">
        <f ca="1">SUM(OFFSET(Demand!$E59,0,(COLUMN(A47)-1)*5,1,3))*N$2</f>
        <v>148</v>
      </c>
      <c r="O50" s="5">
        <f ca="1">SUM(OFFSET(Demand!$E59,0,(COLUMN(B47)-1)*5,1,3))*O$2</f>
        <v>0</v>
      </c>
      <c r="P50" s="5">
        <f ca="1">SUM(OFFSET(Demand!$E59,0,(COLUMN(C47)-1)*5,1,3))*P$2</f>
        <v>0</v>
      </c>
      <c r="Q50" s="5">
        <f ca="1">SUM(OFFSET(Demand!$E59,0,(COLUMN(D47)-1)*5,1,3))*Q$2</f>
        <v>0</v>
      </c>
      <c r="R50" s="5">
        <f ca="1">SUM(OFFSET(Demand!$E59,0,(COLUMN(E47)-1)*5,1,3))*R$2</f>
        <v>0</v>
      </c>
      <c r="S50" s="5">
        <f ca="1">SUM(OFFSET(Demand!$E59,0,(COLUMN(F47)-1)*5,1,3))*S$2</f>
        <v>0</v>
      </c>
      <c r="T50" s="5">
        <f ca="1">SUM(OFFSET(Demand!$E59,0,(COLUMN(G47)-1)*5,1,3))*T$2</f>
        <v>0</v>
      </c>
      <c r="U50" s="5">
        <f ca="1">SUM(OFFSET(Demand!$E59,0,(COLUMN(H47)-1)*5,1,3))*U$2</f>
        <v>0</v>
      </c>
      <c r="V50" s="5">
        <f ca="1">SUM(OFFSET(Demand!$E59,0,(COLUMN(I47)-1)*5,1,3))*V$2</f>
        <v>0</v>
      </c>
      <c r="W50" s="5">
        <f ca="1">SUM(OFFSET(Demand!$E59,0,(COLUMN(J47)-1)*5,1,3))*W$2</f>
        <v>0</v>
      </c>
      <c r="X50" s="5">
        <f t="shared" ca="1" si="4"/>
        <v>148</v>
      </c>
      <c r="Y50" s="5">
        <f t="shared" ca="1" si="5"/>
        <v>148</v>
      </c>
      <c r="Z50" s="5">
        <f ca="1">SUM(OFFSET(Demand!$H59,0,(COLUMN(A47)-1)*5,1,1))*N$2</f>
        <v>0</v>
      </c>
      <c r="AA50" s="5">
        <f ca="1">SUM(OFFSET(Demand!$H59,0,(COLUMN(B47)-1)*5,1,1))*O$2</f>
        <v>0</v>
      </c>
      <c r="AB50" s="5">
        <f ca="1">SUM(OFFSET(Demand!$H59,0,(COLUMN(C47)-1)*5,1,1))*P$2</f>
        <v>0</v>
      </c>
      <c r="AC50" s="5">
        <f ca="1">SUM(OFFSET(Demand!$H59,0,(COLUMN(D47)-1)*5,1,1))*Q$2</f>
        <v>0</v>
      </c>
      <c r="AD50" s="5">
        <f ca="1">SUM(OFFSET(Demand!$H59,0,(COLUMN(E47)-1)*5,1,1))*R$2</f>
        <v>0</v>
      </c>
      <c r="AE50" s="5">
        <f ca="1">SUM(OFFSET(Demand!$H59,0,(COLUMN(F47)-1)*5,1,1))*S$2</f>
        <v>0</v>
      </c>
      <c r="AF50" s="5">
        <f ca="1">SUM(OFFSET(Demand!$H59,0,(COLUMN(G47)-1)*5,1,1))*T$2</f>
        <v>0</v>
      </c>
      <c r="AG50" s="5">
        <f ca="1">SUM(OFFSET(Demand!$H59,0,(COLUMN(H47)-1)*5,1,1))*U$2</f>
        <v>0</v>
      </c>
      <c r="AH50" s="5">
        <f ca="1">SUM(OFFSET(Demand!$H59,0,(COLUMN(I47)-1)*5,1,1))*V$2</f>
        <v>0</v>
      </c>
      <c r="AI50" s="5">
        <f ca="1">SUM(OFFSET(Demand!$H59,0,(COLUMN(J47)-1)*5,1,1))*W$2</f>
        <v>0</v>
      </c>
      <c r="AJ50" s="5">
        <f t="shared" ca="1" si="6"/>
        <v>0</v>
      </c>
      <c r="AL50" s="5">
        <f t="shared" ca="1" si="8"/>
        <v>148</v>
      </c>
      <c r="AM50" s="5">
        <f t="shared" ca="1" si="9"/>
        <v>0</v>
      </c>
      <c r="AN50" s="5" t="str">
        <f>IF(Demand!BE59="Yes","Yes","")</f>
        <v/>
      </c>
      <c r="AP50" s="36" t="str">
        <f ca="1">Demand!B59</f>
        <v xml:space="preserve"> </v>
      </c>
      <c r="AQ50" s="5" t="str">
        <f ca="1">IF(TEXT(Demand!D59,"MMM")&lt;&gt;TEXT(Demand!D58,"MMM"),TEXT(Demand!D59,"MMM"),"")</f>
        <v/>
      </c>
      <c r="AT50" s="5">
        <f t="shared" ca="1" si="12"/>
        <v>4</v>
      </c>
      <c r="BQ50">
        <f ca="1">IF($AN50="",OFFSET(Demand!$A$13,ROW(A47)-1,4+((QUOTIENT(COLUMN(BQ$2)-69,3))*5)+MOD(COLUMN(BQ$2),3),1,1),"")</f>
        <v>0</v>
      </c>
      <c r="BR50">
        <f ca="1">IF($AN50="",OFFSET(Demand!$A$13,ROW(B47)-1,4+((QUOTIENT(COLUMN(BR$2)-69,3))*5)+MOD(COLUMN(BR$2),3),1,1),"")</f>
        <v>0</v>
      </c>
      <c r="BS50">
        <f ca="1">IF($AN50="",OFFSET(Demand!$A$13,ROW(C47)-1,4+((QUOTIENT(COLUMN(BS$2)-69,3))*5)+MOD(COLUMN(BS$2),3),1,1),"")</f>
        <v>74</v>
      </c>
      <c r="BT50">
        <f ca="1">IF($AN50="",OFFSET(Demand!$A$13,ROW(D47)-1,4+((QUOTIENT(COLUMN(BT$2)-69,3))*5)+MOD(COLUMN(BT$2),3),1,1),"")</f>
        <v>0</v>
      </c>
      <c r="BU50">
        <f ca="1">IF($AN50="",OFFSET(Demand!$A$13,ROW(E47)-1,4+((QUOTIENT(COLUMN(BU$2)-69,3))*5)+MOD(COLUMN(BU$2),3),1,1),"")</f>
        <v>0</v>
      </c>
      <c r="BV50">
        <f ca="1">IF($AN50="",OFFSET(Demand!$A$13,ROW(F47)-1,4+((QUOTIENT(COLUMN(BV$2)-69,3))*5)+MOD(COLUMN(BV$2),3),1,1),"")</f>
        <v>0</v>
      </c>
      <c r="BW50">
        <f ca="1">IF($AN50="",OFFSET(Demand!$A$13,ROW(G47)-1,4+((QUOTIENT(COLUMN(BW$2)-69,3))*5)+MOD(COLUMN(BW$2),3),1,1),"")</f>
        <v>0</v>
      </c>
      <c r="BX50">
        <f ca="1">IF($AN50="",OFFSET(Demand!$A$13,ROW(H47)-1,4+((QUOTIENT(COLUMN(BX$2)-69,3))*5)+MOD(COLUMN(BX$2),3),1,1),"")</f>
        <v>0</v>
      </c>
      <c r="BY50">
        <f ca="1">IF($AN50="",OFFSET(Demand!$A$13,ROW(I47)-1,4+((QUOTIENT(COLUMN(BY$2)-69,3))*5)+MOD(COLUMN(BY$2),3),1,1),"")</f>
        <v>0</v>
      </c>
      <c r="BZ50">
        <f ca="1">IF($AN50="",OFFSET(Demand!$A$13,ROW(J47)-1,4+((QUOTIENT(COLUMN(BZ$2)-69,3))*5)+MOD(COLUMN(BZ$2),3),1,1),"")</f>
        <v>0</v>
      </c>
      <c r="CA50">
        <f ca="1">IF($AN50="",OFFSET(Demand!$A$13,ROW(K47)-1,4+((QUOTIENT(COLUMN(CA$2)-69,3))*5)+MOD(COLUMN(CA$2),3),1,1),"")</f>
        <v>0</v>
      </c>
      <c r="CB50">
        <f ca="1">IF($AN50="",OFFSET(Demand!$A$13,ROW(L47)-1,4+((QUOTIENT(COLUMN(CB$2)-69,3))*5)+MOD(COLUMN(CB$2),3),1,1),"")</f>
        <v>0</v>
      </c>
      <c r="CC50">
        <f ca="1">IF($AN50="",OFFSET(Demand!$A$13,ROW(M47)-1,4+((QUOTIENT(COLUMN(CC$2)-69,3))*5)+MOD(COLUMN(CC$2),3),1,1),"")</f>
        <v>0</v>
      </c>
      <c r="CD50">
        <f ca="1">IF($AN50="",OFFSET(Demand!$A$13,ROW(N47)-1,4+((QUOTIENT(COLUMN(CD$2)-69,3))*5)+MOD(COLUMN(CD$2),3),1,1),"")</f>
        <v>0</v>
      </c>
      <c r="CE50">
        <f ca="1">IF($AN50="",OFFSET(Demand!$A$13,ROW(O47)-1,4+((QUOTIENT(COLUMN(CE$2)-69,3))*5)+MOD(COLUMN(CE$2),3),1,1),"")</f>
        <v>0</v>
      </c>
      <c r="CF50">
        <f ca="1">IF($AN50="",OFFSET(Demand!$A$13,ROW(P47)-1,4+((QUOTIENT(COLUMN(CF$2)-69,3))*5)+MOD(COLUMN(CF$2),3),1,1),"")</f>
        <v>0</v>
      </c>
      <c r="CG50">
        <f ca="1">IF($AN50="",OFFSET(Demand!$A$13,ROW(Q47)-1,4+((QUOTIENT(COLUMN(CG$2)-69,3))*5)+MOD(COLUMN(CG$2),3),1,1),"")</f>
        <v>0</v>
      </c>
      <c r="CH50">
        <f ca="1">IF($AN50="",OFFSET(Demand!$A$13,ROW(R47)-1,4+((QUOTIENT(COLUMN(CH$2)-69,3))*5)+MOD(COLUMN(CH$2),3),1,1),"")</f>
        <v>0</v>
      </c>
      <c r="CI50">
        <f ca="1">IF($AN50="",OFFSET(Demand!$A$13,ROW(S47)-1,4+((QUOTIENT(COLUMN(CI$2)-69,3))*5)+MOD(COLUMN(CI$2),3),1,1),"")</f>
        <v>0</v>
      </c>
      <c r="CJ50">
        <f ca="1">IF($AN50="",OFFSET(Demand!$A$13,ROW(T47)-1,4+((QUOTIENT(COLUMN(CJ$2)-69,3))*5)+MOD(COLUMN(CJ$2),3),1,1),"")</f>
        <v>0</v>
      </c>
      <c r="CK50">
        <f ca="1">IF($AN50="",OFFSET(Demand!$A$13,ROW(U47)-1,4+((QUOTIENT(COLUMN(CK$2)-69,3))*5)+MOD(COLUMN(CK$2),3),1,1),"")</f>
        <v>0</v>
      </c>
      <c r="CL50">
        <f ca="1">IF($AN50="",OFFSET(Demand!$A$13,ROW(V47)-1,4+((QUOTIENT(COLUMN(CL$2)-69,3))*5)+MOD(COLUMN(CL$2),3),1,1),"")</f>
        <v>0</v>
      </c>
      <c r="CM50">
        <f ca="1">IF($AN50="",OFFSET(Demand!$A$13,ROW(W47)-1,4+((QUOTIENT(COLUMN(CM$2)-69,3))*5)+MOD(COLUMN(CM$2),3),1,1),"")</f>
        <v>0</v>
      </c>
      <c r="CN50">
        <f ca="1">IF($AN50="",OFFSET(Demand!$A$13,ROW(X47)-1,4+((QUOTIENT(COLUMN(CN$2)-69,3))*5)+MOD(COLUMN(CN$2),3),1,1),"")</f>
        <v>0</v>
      </c>
      <c r="CO50">
        <f ca="1">IF($AN50="",OFFSET(Demand!$A$13,ROW(Y47)-1,4+((QUOTIENT(COLUMN(CO$2)-69,3))*5)+MOD(COLUMN(CO$2),3),1,1),"")</f>
        <v>0</v>
      </c>
      <c r="CP50">
        <f ca="1">IF($AN50="",OFFSET(Demand!$A$13,ROW(Z47)-1,4+((QUOTIENT(COLUMN(CP$2)-69,3))*5)+MOD(COLUMN(CP$2),3),1,1),"")</f>
        <v>0</v>
      </c>
      <c r="CQ50">
        <f ca="1">IF($AN50="",OFFSET(Demand!$A$13,ROW(AA47)-1,4+((QUOTIENT(COLUMN(CQ$2)-69,3))*5)+MOD(COLUMN(CQ$2),3),1,1),"")</f>
        <v>0</v>
      </c>
      <c r="CR50">
        <f ca="1">IF($AN50="",OFFSET(Demand!$A$13,ROW(AB47)-1,4+((QUOTIENT(COLUMN(CR$2)-69,3))*5)+MOD(COLUMN(CR$2),3),1,1),"")</f>
        <v>0</v>
      </c>
      <c r="CS50">
        <f ca="1">IF($AN50="",OFFSET(Demand!$A$13,ROW(AC47)-1,4+((QUOTIENT(COLUMN(CS$2)-69,3))*5)+MOD(COLUMN(CS$2),3),1,1),"")</f>
        <v>0</v>
      </c>
      <c r="CT50">
        <f ca="1">IF($AN50="",OFFSET(Demand!$A$13,ROW(AD47)-1,4+((QUOTIENT(COLUMN(CT$2)-69,3))*5)+MOD(COLUMN(CT$2),3),1,1),"")</f>
        <v>0</v>
      </c>
      <c r="CW50" s="5">
        <f ca="1">SUM(OFFSET(Demand!$H$43,ROW(A47)-1,(COLUMN(A47)-1)*5,1,1))*N$2</f>
        <v>0</v>
      </c>
      <c r="CX50" s="5">
        <f ca="1">SUM(OFFSET(Demand!$H$43,ROW(B47)-1,(COLUMN(B47)-1)*5,1,1))*O$2</f>
        <v>0</v>
      </c>
      <c r="CY50" s="5">
        <f ca="1">SUM(OFFSET(Demand!$H$43,ROW(C47)-1,(COLUMN(C47)-1)*5,1,1))*P$2</f>
        <v>0</v>
      </c>
      <c r="CZ50" s="5">
        <f ca="1">SUM(OFFSET(Demand!$H$43,ROW(D47)-1,(COLUMN(D47)-1)*5,1,1))*Q$2</f>
        <v>0</v>
      </c>
      <c r="DA50" s="5">
        <f ca="1">SUM(OFFSET(Demand!$H$43,ROW(E47)-1,(COLUMN(E47)-1)*5,1,1))*R$2</f>
        <v>0</v>
      </c>
      <c r="DB50" s="5">
        <f ca="1">SUM(OFFSET(Demand!$H$43,ROW(F47)-1,(COLUMN(F47)-1)*5,1,1))*S$2</f>
        <v>0</v>
      </c>
      <c r="DC50" s="5">
        <f ca="1">SUM(OFFSET(Demand!$H$43,ROW(G47)-1,(COLUMN(G47)-1)*5,1,1))*T$2</f>
        <v>0</v>
      </c>
      <c r="DD50" s="5">
        <f ca="1">SUM(OFFSET(Demand!$H$43,ROW(H47)-1,(COLUMN(H47)-1)*5,1,1))*U$2</f>
        <v>0</v>
      </c>
      <c r="DE50" s="5">
        <f ca="1">SUM(OFFSET(Demand!$H$43,ROW(I47)-1,(COLUMN(I47)-1)*5,1,1))*V$2</f>
        <v>0</v>
      </c>
      <c r="DF50" s="5">
        <f ca="1">SUM(OFFSET(Demand!$H$43,ROW(J47)-1,(COLUMN(J47)-1)*5,1,1))*W$2</f>
        <v>0</v>
      </c>
      <c r="DG50" s="5">
        <f ca="1">IF(OR(AN50&lt;&gt;"",AND('Demand adjustments for Covid'!$F$9="Yes",'Demand adjustments for Covid'!$F$20="Yes")),"",SUM(CW50:DF50))</f>
        <v>0</v>
      </c>
      <c r="DM50" s="5">
        <f t="shared" si="10"/>
        <v>9</v>
      </c>
      <c r="DN50" s="320">
        <f t="shared" si="17"/>
        <v>44256</v>
      </c>
      <c r="DO50" s="5">
        <f ca="1">VLOOKUP(IF($DM50&lt;53,$DM50,52),'Summary Calculations (hide)'!$D$15:$F$67,2,0)</f>
        <v>148</v>
      </c>
      <c r="DP50" s="5">
        <f ca="1">VLOOKUP(IF($DM50&lt;53,$DM50,52),'Summary Calculations (hide)'!$D$15:$F$67,3,0)</f>
        <v>162.80000000000001</v>
      </c>
      <c r="DQ50" s="5">
        <f ca="1">IF(AND(DN50&gt;='Demand adjustments for Covid'!$F$12,DN50&lt;'Demand adjustments for Covid'!$F$17),'Demand adjustments for Covid'!$F$13,DO50)</f>
        <v>148</v>
      </c>
      <c r="DR50" s="5">
        <f t="shared" si="33"/>
        <v>0</v>
      </c>
      <c r="DS50" s="5">
        <f ca="1">IF('Demand adjustments for Covid'!$F$9="Yes",IF(DR50=0,DQ50,((SUM(DR$4:DR50)-1)*$EE$8)+'Demand adjustments for Covid'!F$13),'Demand background (hide)'!DO50)</f>
        <v>148</v>
      </c>
      <c r="DT50" s="5">
        <f ca="1">IF('Demand adjustments for Covid'!$F$9="Yes",IF(OR(AND(DN50&gt;='Demand adjustments for Covid'!$F$12,DN50&lt;'Demand adjustments for Covid'!$F$17),DR50=1),DS50+3,DP50),'Demand background (hide)'!DP50)</f>
        <v>162.80000000000001</v>
      </c>
      <c r="DU50" s="5">
        <f ca="1">IF(DS50&lt;='Demand adjustments for Covid'!$F$17,DO50-DS50,0)</f>
        <v>0</v>
      </c>
      <c r="DV50" s="5">
        <f ca="1">IF(AND(ROW(A47)&gt;$EE$5,ROW(A47)&lt;=$EA$5),OFFSET('Demand adjustments for Covid'!$F$35,0,ROW(A47)-'Demand background (hide)'!$EE$5,1,1),0)</f>
        <v>0</v>
      </c>
      <c r="DW50" s="5">
        <f ca="1">IF(AND(ROW(A47)&gt;$EE$5,ROW(A47)&lt;=$EA$5),OFFSET('Demand adjustments for Covid'!$F$36,0,ROW(A47)-'Demand background (hide)'!$EE$5,1,1),0)</f>
        <v>0</v>
      </c>
      <c r="DX50" s="5">
        <f t="shared" ca="1" si="11"/>
        <v>162.80000000000001</v>
      </c>
    </row>
    <row r="51" spans="1:132" s="5" customFormat="1" x14ac:dyDescent="0.25">
      <c r="A51" s="5">
        <f t="shared" ca="1" si="32"/>
        <v>0</v>
      </c>
      <c r="B51" s="5">
        <f ca="1">COUNTBLANK(OFFSET(Demand!$I60,0,(COLUMN(A48)-1)*5,1,1))</f>
        <v>0</v>
      </c>
      <c r="C51" s="5">
        <f ca="1">COUNTBLANK(OFFSET(Demand!$I60,0,(COLUMN(B48)-1)*5,1,1))</f>
        <v>1</v>
      </c>
      <c r="D51" s="5">
        <f ca="1">COUNTBLANK(OFFSET(Demand!$I60,0,(COLUMN(C48)-1)*5,1,1))</f>
        <v>1</v>
      </c>
      <c r="E51" s="5">
        <f ca="1">COUNTBLANK(OFFSET(Demand!$I60,0,(COLUMN(D48)-1)*5,1,1))</f>
        <v>1</v>
      </c>
      <c r="F51" s="5">
        <f ca="1">COUNTBLANK(OFFSET(Demand!$I60,0,(COLUMN(E48)-1)*5,1,1))</f>
        <v>1</v>
      </c>
      <c r="G51" s="5">
        <f ca="1">COUNTBLANK(OFFSET(Demand!$I60,0,(COLUMN(F48)-1)*5,1,1))</f>
        <v>1</v>
      </c>
      <c r="H51" s="5">
        <f ca="1">COUNTBLANK(OFFSET(Demand!$I60,0,(COLUMN(G48)-1)*5,1,1))</f>
        <v>1</v>
      </c>
      <c r="I51" s="5">
        <f ca="1">COUNTBLANK(OFFSET(Demand!$I60,0,(COLUMN(H48)-1)*5,1,1))</f>
        <v>1</v>
      </c>
      <c r="J51" s="5">
        <f ca="1">COUNTBLANK(OFFSET(Demand!$I60,0,(COLUMN(I48)-1)*5,1,1))</f>
        <v>1</v>
      </c>
      <c r="K51" s="5">
        <f ca="1">COUNTBLANK(OFFSET(Demand!$I60,0,(COLUMN(J48)-1)*5,1,1))</f>
        <v>1</v>
      </c>
      <c r="N51" s="5">
        <f ca="1">SUM(OFFSET(Demand!$E60,0,(COLUMN(A48)-1)*5,1,3))*N$2</f>
        <v>148</v>
      </c>
      <c r="O51" s="5">
        <f ca="1">SUM(OFFSET(Demand!$E60,0,(COLUMN(B48)-1)*5,1,3))*O$2</f>
        <v>0</v>
      </c>
      <c r="P51" s="5">
        <f ca="1">SUM(OFFSET(Demand!$E60,0,(COLUMN(C48)-1)*5,1,3))*P$2</f>
        <v>0</v>
      </c>
      <c r="Q51" s="5">
        <f ca="1">SUM(OFFSET(Demand!$E60,0,(COLUMN(D48)-1)*5,1,3))*Q$2</f>
        <v>0</v>
      </c>
      <c r="R51" s="5">
        <f ca="1">SUM(OFFSET(Demand!$E60,0,(COLUMN(E48)-1)*5,1,3))*R$2</f>
        <v>0</v>
      </c>
      <c r="S51" s="5">
        <f ca="1">SUM(OFFSET(Demand!$E60,0,(COLUMN(F48)-1)*5,1,3))*S$2</f>
        <v>0</v>
      </c>
      <c r="T51" s="5">
        <f ca="1">SUM(OFFSET(Demand!$E60,0,(COLUMN(G48)-1)*5,1,3))*T$2</f>
        <v>0</v>
      </c>
      <c r="U51" s="5">
        <f ca="1">SUM(OFFSET(Demand!$E60,0,(COLUMN(H48)-1)*5,1,3))*U$2</f>
        <v>0</v>
      </c>
      <c r="V51" s="5">
        <f ca="1">SUM(OFFSET(Demand!$E60,0,(COLUMN(I48)-1)*5,1,3))*V$2</f>
        <v>0</v>
      </c>
      <c r="W51" s="5">
        <f ca="1">SUM(OFFSET(Demand!$E60,0,(COLUMN(J48)-1)*5,1,3))*W$2</f>
        <v>0</v>
      </c>
      <c r="X51" s="5">
        <f t="shared" ca="1" si="4"/>
        <v>148</v>
      </c>
      <c r="Y51" s="5">
        <f t="shared" ca="1" si="5"/>
        <v>148</v>
      </c>
      <c r="Z51" s="5">
        <f ca="1">SUM(OFFSET(Demand!$H60,0,(COLUMN(A48)-1)*5,1,1))*N$2</f>
        <v>0</v>
      </c>
      <c r="AA51" s="5">
        <f ca="1">SUM(OFFSET(Demand!$H60,0,(COLUMN(B48)-1)*5,1,1))*O$2</f>
        <v>0</v>
      </c>
      <c r="AB51" s="5">
        <f ca="1">SUM(OFFSET(Demand!$H60,0,(COLUMN(C48)-1)*5,1,1))*P$2</f>
        <v>0</v>
      </c>
      <c r="AC51" s="5">
        <f ca="1">SUM(OFFSET(Demand!$H60,0,(COLUMN(D48)-1)*5,1,1))*Q$2</f>
        <v>0</v>
      </c>
      <c r="AD51" s="5">
        <f ca="1">SUM(OFFSET(Demand!$H60,0,(COLUMN(E48)-1)*5,1,1))*R$2</f>
        <v>0</v>
      </c>
      <c r="AE51" s="5">
        <f ca="1">SUM(OFFSET(Demand!$H60,0,(COLUMN(F48)-1)*5,1,1))*S$2</f>
        <v>0</v>
      </c>
      <c r="AF51" s="5">
        <f ca="1">SUM(OFFSET(Demand!$H60,0,(COLUMN(G48)-1)*5,1,1))*T$2</f>
        <v>0</v>
      </c>
      <c r="AG51" s="5">
        <f ca="1">SUM(OFFSET(Demand!$H60,0,(COLUMN(H48)-1)*5,1,1))*U$2</f>
        <v>0</v>
      </c>
      <c r="AH51" s="5">
        <f ca="1">SUM(OFFSET(Demand!$H60,0,(COLUMN(I48)-1)*5,1,1))*V$2</f>
        <v>0</v>
      </c>
      <c r="AI51" s="5">
        <f ca="1">SUM(OFFSET(Demand!$H60,0,(COLUMN(J48)-1)*5,1,1))*W$2</f>
        <v>0</v>
      </c>
      <c r="AJ51" s="5">
        <f t="shared" ca="1" si="6"/>
        <v>0</v>
      </c>
      <c r="AL51" s="5">
        <f t="shared" ca="1" si="8"/>
        <v>148</v>
      </c>
      <c r="AM51" s="5">
        <f t="shared" ca="1" si="9"/>
        <v>0</v>
      </c>
      <c r="AN51" s="5" t="str">
        <f>IF(Demand!BE60="Yes","Yes","")</f>
        <v/>
      </c>
      <c r="AP51" s="36" t="str">
        <f ca="1">Demand!B60</f>
        <v xml:space="preserve"> </v>
      </c>
      <c r="AQ51" s="5" t="str">
        <f ca="1">IF(TEXT(Demand!D60,"MMM")&lt;&gt;TEXT(Demand!D59,"MMM"),TEXT(Demand!D60,"MMM"),"")</f>
        <v/>
      </c>
      <c r="AT51" s="5">
        <f t="shared" ca="1" si="12"/>
        <v>0</v>
      </c>
      <c r="BQ51">
        <f ca="1">IF($AN51="",OFFSET(Demand!$A$13,ROW(A48)-1,4+((QUOTIENT(COLUMN(BQ$2)-69,3))*5)+MOD(COLUMN(BQ$2),3),1,1),"")</f>
        <v>0</v>
      </c>
      <c r="BR51">
        <f ca="1">IF($AN51="",OFFSET(Demand!$A$13,ROW(B48)-1,4+((QUOTIENT(COLUMN(BR$2)-69,3))*5)+MOD(COLUMN(BR$2),3),1,1),"")</f>
        <v>0</v>
      </c>
      <c r="BS51">
        <f ca="1">IF($AN51="",OFFSET(Demand!$A$13,ROW(C48)-1,4+((QUOTIENT(COLUMN(BS$2)-69,3))*5)+MOD(COLUMN(BS$2),3),1,1),"")</f>
        <v>74</v>
      </c>
      <c r="BT51">
        <f ca="1">IF($AN51="",OFFSET(Demand!$A$13,ROW(D48)-1,4+((QUOTIENT(COLUMN(BT$2)-69,3))*5)+MOD(COLUMN(BT$2),3),1,1),"")</f>
        <v>0</v>
      </c>
      <c r="BU51">
        <f ca="1">IF($AN51="",OFFSET(Demand!$A$13,ROW(E48)-1,4+((QUOTIENT(COLUMN(BU$2)-69,3))*5)+MOD(COLUMN(BU$2),3),1,1),"")</f>
        <v>0</v>
      </c>
      <c r="BV51">
        <f ca="1">IF($AN51="",OFFSET(Demand!$A$13,ROW(F48)-1,4+((QUOTIENT(COLUMN(BV$2)-69,3))*5)+MOD(COLUMN(BV$2),3),1,1),"")</f>
        <v>0</v>
      </c>
      <c r="BW51">
        <f ca="1">IF($AN51="",OFFSET(Demand!$A$13,ROW(G48)-1,4+((QUOTIENT(COLUMN(BW$2)-69,3))*5)+MOD(COLUMN(BW$2),3),1,1),"")</f>
        <v>0</v>
      </c>
      <c r="BX51">
        <f ca="1">IF($AN51="",OFFSET(Demand!$A$13,ROW(H48)-1,4+((QUOTIENT(COLUMN(BX$2)-69,3))*5)+MOD(COLUMN(BX$2),3),1,1),"")</f>
        <v>0</v>
      </c>
      <c r="BY51">
        <f ca="1">IF($AN51="",OFFSET(Demand!$A$13,ROW(I48)-1,4+((QUOTIENT(COLUMN(BY$2)-69,3))*5)+MOD(COLUMN(BY$2),3),1,1),"")</f>
        <v>0</v>
      </c>
      <c r="BZ51">
        <f ca="1">IF($AN51="",OFFSET(Demand!$A$13,ROW(J48)-1,4+((QUOTIENT(COLUMN(BZ$2)-69,3))*5)+MOD(COLUMN(BZ$2),3),1,1),"")</f>
        <v>0</v>
      </c>
      <c r="CA51">
        <f ca="1">IF($AN51="",OFFSET(Demand!$A$13,ROW(K48)-1,4+((QUOTIENT(COLUMN(CA$2)-69,3))*5)+MOD(COLUMN(CA$2),3),1,1),"")</f>
        <v>0</v>
      </c>
      <c r="CB51">
        <f ca="1">IF($AN51="",OFFSET(Demand!$A$13,ROW(L48)-1,4+((QUOTIENT(COLUMN(CB$2)-69,3))*5)+MOD(COLUMN(CB$2),3),1,1),"")</f>
        <v>0</v>
      </c>
      <c r="CC51">
        <f ca="1">IF($AN51="",OFFSET(Demand!$A$13,ROW(M48)-1,4+((QUOTIENT(COLUMN(CC$2)-69,3))*5)+MOD(COLUMN(CC$2),3),1,1),"")</f>
        <v>0</v>
      </c>
      <c r="CD51">
        <f ca="1">IF($AN51="",OFFSET(Demand!$A$13,ROW(N48)-1,4+((QUOTIENT(COLUMN(CD$2)-69,3))*5)+MOD(COLUMN(CD$2),3),1,1),"")</f>
        <v>0</v>
      </c>
      <c r="CE51">
        <f ca="1">IF($AN51="",OFFSET(Demand!$A$13,ROW(O48)-1,4+((QUOTIENT(COLUMN(CE$2)-69,3))*5)+MOD(COLUMN(CE$2),3),1,1),"")</f>
        <v>0</v>
      </c>
      <c r="CF51">
        <f ca="1">IF($AN51="",OFFSET(Demand!$A$13,ROW(P48)-1,4+((QUOTIENT(COLUMN(CF$2)-69,3))*5)+MOD(COLUMN(CF$2),3),1,1),"")</f>
        <v>0</v>
      </c>
      <c r="CG51">
        <f ca="1">IF($AN51="",OFFSET(Demand!$A$13,ROW(Q48)-1,4+((QUOTIENT(COLUMN(CG$2)-69,3))*5)+MOD(COLUMN(CG$2),3),1,1),"")</f>
        <v>0</v>
      </c>
      <c r="CH51">
        <f ca="1">IF($AN51="",OFFSET(Demand!$A$13,ROW(R48)-1,4+((QUOTIENT(COLUMN(CH$2)-69,3))*5)+MOD(COLUMN(CH$2),3),1,1),"")</f>
        <v>0</v>
      </c>
      <c r="CI51">
        <f ca="1">IF($AN51="",OFFSET(Demand!$A$13,ROW(S48)-1,4+((QUOTIENT(COLUMN(CI$2)-69,3))*5)+MOD(COLUMN(CI$2),3),1,1),"")</f>
        <v>0</v>
      </c>
      <c r="CJ51">
        <f ca="1">IF($AN51="",OFFSET(Demand!$A$13,ROW(T48)-1,4+((QUOTIENT(COLUMN(CJ$2)-69,3))*5)+MOD(COLUMN(CJ$2),3),1,1),"")</f>
        <v>0</v>
      </c>
      <c r="CK51">
        <f ca="1">IF($AN51="",OFFSET(Demand!$A$13,ROW(U48)-1,4+((QUOTIENT(COLUMN(CK$2)-69,3))*5)+MOD(COLUMN(CK$2),3),1,1),"")</f>
        <v>0</v>
      </c>
      <c r="CL51">
        <f ca="1">IF($AN51="",OFFSET(Demand!$A$13,ROW(V48)-1,4+((QUOTIENT(COLUMN(CL$2)-69,3))*5)+MOD(COLUMN(CL$2),3),1,1),"")</f>
        <v>0</v>
      </c>
      <c r="CM51">
        <f ca="1">IF($AN51="",OFFSET(Demand!$A$13,ROW(W48)-1,4+((QUOTIENT(COLUMN(CM$2)-69,3))*5)+MOD(COLUMN(CM$2),3),1,1),"")</f>
        <v>0</v>
      </c>
      <c r="CN51">
        <f ca="1">IF($AN51="",OFFSET(Demand!$A$13,ROW(X48)-1,4+((QUOTIENT(COLUMN(CN$2)-69,3))*5)+MOD(COLUMN(CN$2),3),1,1),"")</f>
        <v>0</v>
      </c>
      <c r="CO51">
        <f ca="1">IF($AN51="",OFFSET(Demand!$A$13,ROW(Y48)-1,4+((QUOTIENT(COLUMN(CO$2)-69,3))*5)+MOD(COLUMN(CO$2),3),1,1),"")</f>
        <v>0</v>
      </c>
      <c r="CP51">
        <f ca="1">IF($AN51="",OFFSET(Demand!$A$13,ROW(Z48)-1,4+((QUOTIENT(COLUMN(CP$2)-69,3))*5)+MOD(COLUMN(CP$2),3),1,1),"")</f>
        <v>0</v>
      </c>
      <c r="CQ51">
        <f ca="1">IF($AN51="",OFFSET(Demand!$A$13,ROW(AA48)-1,4+((QUOTIENT(COLUMN(CQ$2)-69,3))*5)+MOD(COLUMN(CQ$2),3),1,1),"")</f>
        <v>0</v>
      </c>
      <c r="CR51">
        <f ca="1">IF($AN51="",OFFSET(Demand!$A$13,ROW(AB48)-1,4+((QUOTIENT(COLUMN(CR$2)-69,3))*5)+MOD(COLUMN(CR$2),3),1,1),"")</f>
        <v>0</v>
      </c>
      <c r="CS51">
        <f ca="1">IF($AN51="",OFFSET(Demand!$A$13,ROW(AC48)-1,4+((QUOTIENT(COLUMN(CS$2)-69,3))*5)+MOD(COLUMN(CS$2),3),1,1),"")</f>
        <v>0</v>
      </c>
      <c r="CT51">
        <f ca="1">IF($AN51="",OFFSET(Demand!$A$13,ROW(AD48)-1,4+((QUOTIENT(COLUMN(CT$2)-69,3))*5)+MOD(COLUMN(CT$2),3),1,1),"")</f>
        <v>0</v>
      </c>
      <c r="CW51" s="5">
        <f ca="1">SUM(OFFSET(Demand!$H$43,ROW(A48)-1,(COLUMN(A48)-1)*5,1,1))*N$2</f>
        <v>0</v>
      </c>
      <c r="CX51" s="5">
        <f ca="1">SUM(OFFSET(Demand!$H$43,ROW(B48)-1,(COLUMN(B48)-1)*5,1,1))*O$2</f>
        <v>0</v>
      </c>
      <c r="CY51" s="5">
        <f ca="1">SUM(OFFSET(Demand!$H$43,ROW(C48)-1,(COLUMN(C48)-1)*5,1,1))*P$2</f>
        <v>0</v>
      </c>
      <c r="CZ51" s="5">
        <f ca="1">SUM(OFFSET(Demand!$H$43,ROW(D48)-1,(COLUMN(D48)-1)*5,1,1))*Q$2</f>
        <v>0</v>
      </c>
      <c r="DA51" s="5">
        <f ca="1">SUM(OFFSET(Demand!$H$43,ROW(E48)-1,(COLUMN(E48)-1)*5,1,1))*R$2</f>
        <v>0</v>
      </c>
      <c r="DB51" s="5">
        <f ca="1">SUM(OFFSET(Demand!$H$43,ROW(F48)-1,(COLUMN(F48)-1)*5,1,1))*S$2</f>
        <v>0</v>
      </c>
      <c r="DC51" s="5">
        <f ca="1">SUM(OFFSET(Demand!$H$43,ROW(G48)-1,(COLUMN(G48)-1)*5,1,1))*T$2</f>
        <v>0</v>
      </c>
      <c r="DD51" s="5">
        <f ca="1">SUM(OFFSET(Demand!$H$43,ROW(H48)-1,(COLUMN(H48)-1)*5,1,1))*U$2</f>
        <v>0</v>
      </c>
      <c r="DE51" s="5">
        <f ca="1">SUM(OFFSET(Demand!$H$43,ROW(I48)-1,(COLUMN(I48)-1)*5,1,1))*V$2</f>
        <v>0</v>
      </c>
      <c r="DF51" s="5">
        <f ca="1">SUM(OFFSET(Demand!$H$43,ROW(J48)-1,(COLUMN(J48)-1)*5,1,1))*W$2</f>
        <v>0</v>
      </c>
      <c r="DG51" s="5">
        <f ca="1">IF(OR(AN51&lt;&gt;"",AND('Demand adjustments for Covid'!$F$9="Yes",'Demand adjustments for Covid'!$F$20="Yes")),"",SUM(CW51:DF51))</f>
        <v>0</v>
      </c>
      <c r="DM51" s="5">
        <f t="shared" si="10"/>
        <v>10</v>
      </c>
      <c r="DN51" s="320">
        <f t="shared" si="17"/>
        <v>44263</v>
      </c>
      <c r="DO51" s="5">
        <f ca="1">VLOOKUP(IF($DM51&lt;53,$DM51,52),'Summary Calculations (hide)'!$D$15:$F$67,2,0)</f>
        <v>148</v>
      </c>
      <c r="DP51" s="5">
        <f ca="1">VLOOKUP(IF($DM51&lt;53,$DM51,52),'Summary Calculations (hide)'!$D$15:$F$67,3,0)</f>
        <v>162.80000000000001</v>
      </c>
      <c r="DQ51" s="5">
        <f ca="1">IF(AND(DN51&gt;='Demand adjustments for Covid'!$F$12,DN51&lt;'Demand adjustments for Covid'!$F$17),'Demand adjustments for Covid'!$F$13,DO51)</f>
        <v>148</v>
      </c>
      <c r="DR51" s="5">
        <f t="shared" si="33"/>
        <v>0</v>
      </c>
      <c r="DS51" s="5">
        <f ca="1">IF('Demand adjustments for Covid'!$F$9="Yes",IF(DR51=0,DQ51,((SUM(DR$4:DR51)-1)*$EE$8)+'Demand adjustments for Covid'!F$13),'Demand background (hide)'!DO51)</f>
        <v>148</v>
      </c>
      <c r="DT51" s="5">
        <f ca="1">IF('Demand adjustments for Covid'!$F$9="Yes",IF(OR(AND(DN51&gt;='Demand adjustments for Covid'!$F$12,DN51&lt;'Demand adjustments for Covid'!$F$17),DR51=1),DS51+3,DP51),'Demand background (hide)'!DP51)</f>
        <v>162.80000000000001</v>
      </c>
      <c r="DU51" s="5">
        <f ca="1">IF(DS51&lt;='Demand adjustments for Covid'!$F$17,DO51-DS51,0)</f>
        <v>0</v>
      </c>
      <c r="DV51" s="5">
        <f ca="1">IF(AND(ROW(A48)&gt;$EE$5,ROW(A48)&lt;=$EA$5),OFFSET('Demand adjustments for Covid'!$F$35,0,ROW(A48)-'Demand background (hide)'!$EE$5,1,1),0)</f>
        <v>0</v>
      </c>
      <c r="DW51" s="5">
        <f ca="1">IF(AND(ROW(A48)&gt;$EE$5,ROW(A48)&lt;=$EA$5),OFFSET('Demand adjustments for Covid'!$F$36,0,ROW(A48)-'Demand background (hide)'!$EE$5,1,1),0)</f>
        <v>0</v>
      </c>
      <c r="DX51" s="5">
        <f t="shared" ca="1" si="11"/>
        <v>162.80000000000001</v>
      </c>
    </row>
    <row r="52" spans="1:132" s="5" customFormat="1" x14ac:dyDescent="0.25">
      <c r="A52" s="5">
        <f t="shared" ca="1" si="32"/>
        <v>0</v>
      </c>
      <c r="B52" s="5">
        <f ca="1">COUNTBLANK(OFFSET(Demand!$I61,0,(COLUMN(A49)-1)*5,1,1))</f>
        <v>0</v>
      </c>
      <c r="C52" s="5">
        <f ca="1">COUNTBLANK(OFFSET(Demand!$I61,0,(COLUMN(B49)-1)*5,1,1))</f>
        <v>1</v>
      </c>
      <c r="D52" s="5">
        <f ca="1">COUNTBLANK(OFFSET(Demand!$I61,0,(COLUMN(C49)-1)*5,1,1))</f>
        <v>1</v>
      </c>
      <c r="E52" s="5">
        <f ca="1">COUNTBLANK(OFFSET(Demand!$I61,0,(COLUMN(D49)-1)*5,1,1))</f>
        <v>1</v>
      </c>
      <c r="F52" s="5">
        <f ca="1">COUNTBLANK(OFFSET(Demand!$I61,0,(COLUMN(E49)-1)*5,1,1))</f>
        <v>1</v>
      </c>
      <c r="G52" s="5">
        <f ca="1">COUNTBLANK(OFFSET(Demand!$I61,0,(COLUMN(F49)-1)*5,1,1))</f>
        <v>1</v>
      </c>
      <c r="H52" s="5">
        <f ca="1">COUNTBLANK(OFFSET(Demand!$I61,0,(COLUMN(G49)-1)*5,1,1))</f>
        <v>1</v>
      </c>
      <c r="I52" s="5">
        <f ca="1">COUNTBLANK(OFFSET(Demand!$I61,0,(COLUMN(H49)-1)*5,1,1))</f>
        <v>1</v>
      </c>
      <c r="J52" s="5">
        <f ca="1">COUNTBLANK(OFFSET(Demand!$I61,0,(COLUMN(I49)-1)*5,1,1))</f>
        <v>1</v>
      </c>
      <c r="K52" s="5">
        <f ca="1">COUNTBLANK(OFFSET(Demand!$I61,0,(COLUMN(J49)-1)*5,1,1))</f>
        <v>1</v>
      </c>
      <c r="N52" s="5">
        <f ca="1">SUM(OFFSET(Demand!$E61,0,(COLUMN(A49)-1)*5,1,3))*N$2</f>
        <v>140</v>
      </c>
      <c r="O52" s="5">
        <f ca="1">SUM(OFFSET(Demand!$E61,0,(COLUMN(B49)-1)*5,1,3))*O$2</f>
        <v>0</v>
      </c>
      <c r="P52" s="5">
        <f ca="1">SUM(OFFSET(Demand!$E61,0,(COLUMN(C49)-1)*5,1,3))*P$2</f>
        <v>0</v>
      </c>
      <c r="Q52" s="5">
        <f ca="1">SUM(OFFSET(Demand!$E61,0,(COLUMN(D49)-1)*5,1,3))*Q$2</f>
        <v>0</v>
      </c>
      <c r="R52" s="5">
        <f ca="1">SUM(OFFSET(Demand!$E61,0,(COLUMN(E49)-1)*5,1,3))*R$2</f>
        <v>0</v>
      </c>
      <c r="S52" s="5">
        <f ca="1">SUM(OFFSET(Demand!$E61,0,(COLUMN(F49)-1)*5,1,3))*S$2</f>
        <v>0</v>
      </c>
      <c r="T52" s="5">
        <f ca="1">SUM(OFFSET(Demand!$E61,0,(COLUMN(G49)-1)*5,1,3))*T$2</f>
        <v>0</v>
      </c>
      <c r="U52" s="5">
        <f ca="1">SUM(OFFSET(Demand!$E61,0,(COLUMN(H49)-1)*5,1,3))*U$2</f>
        <v>0</v>
      </c>
      <c r="V52" s="5">
        <f ca="1">SUM(OFFSET(Demand!$E61,0,(COLUMN(I49)-1)*5,1,3))*V$2</f>
        <v>0</v>
      </c>
      <c r="W52" s="5">
        <f ca="1">SUM(OFFSET(Demand!$E61,0,(COLUMN(J49)-1)*5,1,3))*W$2</f>
        <v>0</v>
      </c>
      <c r="X52" s="5">
        <f t="shared" ca="1" si="4"/>
        <v>140</v>
      </c>
      <c r="Y52" s="5">
        <f t="shared" ca="1" si="5"/>
        <v>140</v>
      </c>
      <c r="Z52" s="5">
        <f ca="1">SUM(OFFSET(Demand!$H61,0,(COLUMN(A49)-1)*5,1,1))*N$2</f>
        <v>0</v>
      </c>
      <c r="AA52" s="5">
        <f ca="1">SUM(OFFSET(Demand!$H61,0,(COLUMN(B49)-1)*5,1,1))*O$2</f>
        <v>0</v>
      </c>
      <c r="AB52" s="5">
        <f ca="1">SUM(OFFSET(Demand!$H61,0,(COLUMN(C49)-1)*5,1,1))*P$2</f>
        <v>0</v>
      </c>
      <c r="AC52" s="5">
        <f ca="1">SUM(OFFSET(Demand!$H61,0,(COLUMN(D49)-1)*5,1,1))*Q$2</f>
        <v>0</v>
      </c>
      <c r="AD52" s="5">
        <f ca="1">SUM(OFFSET(Demand!$H61,0,(COLUMN(E49)-1)*5,1,1))*R$2</f>
        <v>0</v>
      </c>
      <c r="AE52" s="5">
        <f ca="1">SUM(OFFSET(Demand!$H61,0,(COLUMN(F49)-1)*5,1,1))*S$2</f>
        <v>0</v>
      </c>
      <c r="AF52" s="5">
        <f ca="1">SUM(OFFSET(Demand!$H61,0,(COLUMN(G49)-1)*5,1,1))*T$2</f>
        <v>0</v>
      </c>
      <c r="AG52" s="5">
        <f ca="1">SUM(OFFSET(Demand!$H61,0,(COLUMN(H49)-1)*5,1,1))*U$2</f>
        <v>0</v>
      </c>
      <c r="AH52" s="5">
        <f ca="1">SUM(OFFSET(Demand!$H61,0,(COLUMN(I49)-1)*5,1,1))*V$2</f>
        <v>0</v>
      </c>
      <c r="AI52" s="5">
        <f ca="1">SUM(OFFSET(Demand!$H61,0,(COLUMN(J49)-1)*5,1,1))*W$2</f>
        <v>0</v>
      </c>
      <c r="AJ52" s="5">
        <f t="shared" ca="1" si="6"/>
        <v>0</v>
      </c>
      <c r="AL52" s="5">
        <f t="shared" ca="1" si="8"/>
        <v>140</v>
      </c>
      <c r="AM52" s="5">
        <f t="shared" ca="1" si="9"/>
        <v>0</v>
      </c>
      <c r="AN52" s="5" t="str">
        <f>IF(Demand!BE61="Yes","Yes","")</f>
        <v/>
      </c>
      <c r="AP52" s="36" t="str">
        <f ca="1">Demand!B61</f>
        <v xml:space="preserve"> </v>
      </c>
      <c r="AQ52" s="5" t="str">
        <f ca="1">IF(TEXT(Demand!D61,"MMM")&lt;&gt;TEXT(Demand!D60,"MMM"),TEXT(Demand!D61,"MMM"),"")</f>
        <v>Feb</v>
      </c>
      <c r="AT52" s="5">
        <f t="shared" ca="1" si="12"/>
        <v>8</v>
      </c>
      <c r="BQ52">
        <f ca="1">IF($AN52="",OFFSET(Demand!$A$13,ROW(A49)-1,4+((QUOTIENT(COLUMN(BQ$2)-69,3))*5)+MOD(COLUMN(BQ$2),3),1,1),"")</f>
        <v>0</v>
      </c>
      <c r="BR52">
        <f ca="1">IF($AN52="",OFFSET(Demand!$A$13,ROW(B49)-1,4+((QUOTIENT(COLUMN(BR$2)-69,3))*5)+MOD(COLUMN(BR$2),3),1,1),"")</f>
        <v>0</v>
      </c>
      <c r="BS52">
        <f ca="1">IF($AN52="",OFFSET(Demand!$A$13,ROW(C49)-1,4+((QUOTIENT(COLUMN(BS$2)-69,3))*5)+MOD(COLUMN(BS$2),3),1,1),"")</f>
        <v>70</v>
      </c>
      <c r="BT52">
        <f ca="1">IF($AN52="",OFFSET(Demand!$A$13,ROW(D49)-1,4+((QUOTIENT(COLUMN(BT$2)-69,3))*5)+MOD(COLUMN(BT$2),3),1,1),"")</f>
        <v>0</v>
      </c>
      <c r="BU52">
        <f ca="1">IF($AN52="",OFFSET(Demand!$A$13,ROW(E49)-1,4+((QUOTIENT(COLUMN(BU$2)-69,3))*5)+MOD(COLUMN(BU$2),3),1,1),"")</f>
        <v>0</v>
      </c>
      <c r="BV52">
        <f ca="1">IF($AN52="",OFFSET(Demand!$A$13,ROW(F49)-1,4+((QUOTIENT(COLUMN(BV$2)-69,3))*5)+MOD(COLUMN(BV$2),3),1,1),"")</f>
        <v>0</v>
      </c>
      <c r="BW52">
        <f ca="1">IF($AN52="",OFFSET(Demand!$A$13,ROW(G49)-1,4+((QUOTIENT(COLUMN(BW$2)-69,3))*5)+MOD(COLUMN(BW$2),3),1,1),"")</f>
        <v>0</v>
      </c>
      <c r="BX52">
        <f ca="1">IF($AN52="",OFFSET(Demand!$A$13,ROW(H49)-1,4+((QUOTIENT(COLUMN(BX$2)-69,3))*5)+MOD(COLUMN(BX$2),3),1,1),"")</f>
        <v>0</v>
      </c>
      <c r="BY52">
        <f ca="1">IF($AN52="",OFFSET(Demand!$A$13,ROW(I49)-1,4+((QUOTIENT(COLUMN(BY$2)-69,3))*5)+MOD(COLUMN(BY$2),3),1,1),"")</f>
        <v>0</v>
      </c>
      <c r="BZ52">
        <f ca="1">IF($AN52="",OFFSET(Demand!$A$13,ROW(J49)-1,4+((QUOTIENT(COLUMN(BZ$2)-69,3))*5)+MOD(COLUMN(BZ$2),3),1,1),"")</f>
        <v>0</v>
      </c>
      <c r="CA52">
        <f ca="1">IF($AN52="",OFFSET(Demand!$A$13,ROW(K49)-1,4+((QUOTIENT(COLUMN(CA$2)-69,3))*5)+MOD(COLUMN(CA$2),3),1,1),"")</f>
        <v>0</v>
      </c>
      <c r="CB52">
        <f ca="1">IF($AN52="",OFFSET(Demand!$A$13,ROW(L49)-1,4+((QUOTIENT(COLUMN(CB$2)-69,3))*5)+MOD(COLUMN(CB$2),3),1,1),"")</f>
        <v>0</v>
      </c>
      <c r="CC52">
        <f ca="1">IF($AN52="",OFFSET(Demand!$A$13,ROW(M49)-1,4+((QUOTIENT(COLUMN(CC$2)-69,3))*5)+MOD(COLUMN(CC$2),3),1,1),"")</f>
        <v>0</v>
      </c>
      <c r="CD52">
        <f ca="1">IF($AN52="",OFFSET(Demand!$A$13,ROW(N49)-1,4+((QUOTIENT(COLUMN(CD$2)-69,3))*5)+MOD(COLUMN(CD$2),3),1,1),"")</f>
        <v>0</v>
      </c>
      <c r="CE52">
        <f ca="1">IF($AN52="",OFFSET(Demand!$A$13,ROW(O49)-1,4+((QUOTIENT(COLUMN(CE$2)-69,3))*5)+MOD(COLUMN(CE$2),3),1,1),"")</f>
        <v>0</v>
      </c>
      <c r="CF52">
        <f ca="1">IF($AN52="",OFFSET(Demand!$A$13,ROW(P49)-1,4+((QUOTIENT(COLUMN(CF$2)-69,3))*5)+MOD(COLUMN(CF$2),3),1,1),"")</f>
        <v>0</v>
      </c>
      <c r="CG52">
        <f ca="1">IF($AN52="",OFFSET(Demand!$A$13,ROW(Q49)-1,4+((QUOTIENT(COLUMN(CG$2)-69,3))*5)+MOD(COLUMN(CG$2),3),1,1),"")</f>
        <v>0</v>
      </c>
      <c r="CH52">
        <f ca="1">IF($AN52="",OFFSET(Demand!$A$13,ROW(R49)-1,4+((QUOTIENT(COLUMN(CH$2)-69,3))*5)+MOD(COLUMN(CH$2),3),1,1),"")</f>
        <v>0</v>
      </c>
      <c r="CI52">
        <f ca="1">IF($AN52="",OFFSET(Demand!$A$13,ROW(S49)-1,4+((QUOTIENT(COLUMN(CI$2)-69,3))*5)+MOD(COLUMN(CI$2),3),1,1),"")</f>
        <v>0</v>
      </c>
      <c r="CJ52">
        <f ca="1">IF($AN52="",OFFSET(Demand!$A$13,ROW(T49)-1,4+((QUOTIENT(COLUMN(CJ$2)-69,3))*5)+MOD(COLUMN(CJ$2),3),1,1),"")</f>
        <v>0</v>
      </c>
      <c r="CK52">
        <f ca="1">IF($AN52="",OFFSET(Demand!$A$13,ROW(U49)-1,4+((QUOTIENT(COLUMN(CK$2)-69,3))*5)+MOD(COLUMN(CK$2),3),1,1),"")</f>
        <v>0</v>
      </c>
      <c r="CL52">
        <f ca="1">IF($AN52="",OFFSET(Demand!$A$13,ROW(V49)-1,4+((QUOTIENT(COLUMN(CL$2)-69,3))*5)+MOD(COLUMN(CL$2),3),1,1),"")</f>
        <v>0</v>
      </c>
      <c r="CM52">
        <f ca="1">IF($AN52="",OFFSET(Demand!$A$13,ROW(W49)-1,4+((QUOTIENT(COLUMN(CM$2)-69,3))*5)+MOD(COLUMN(CM$2),3),1,1),"")</f>
        <v>0</v>
      </c>
      <c r="CN52">
        <f ca="1">IF($AN52="",OFFSET(Demand!$A$13,ROW(X49)-1,4+((QUOTIENT(COLUMN(CN$2)-69,3))*5)+MOD(COLUMN(CN$2),3),1,1),"")</f>
        <v>0</v>
      </c>
      <c r="CO52">
        <f ca="1">IF($AN52="",OFFSET(Demand!$A$13,ROW(Y49)-1,4+((QUOTIENT(COLUMN(CO$2)-69,3))*5)+MOD(COLUMN(CO$2),3),1,1),"")</f>
        <v>0</v>
      </c>
      <c r="CP52">
        <f ca="1">IF($AN52="",OFFSET(Demand!$A$13,ROW(Z49)-1,4+((QUOTIENT(COLUMN(CP$2)-69,3))*5)+MOD(COLUMN(CP$2),3),1,1),"")</f>
        <v>0</v>
      </c>
      <c r="CQ52">
        <f ca="1">IF($AN52="",OFFSET(Demand!$A$13,ROW(AA49)-1,4+((QUOTIENT(COLUMN(CQ$2)-69,3))*5)+MOD(COLUMN(CQ$2),3),1,1),"")</f>
        <v>0</v>
      </c>
      <c r="CR52">
        <f ca="1">IF($AN52="",OFFSET(Demand!$A$13,ROW(AB49)-1,4+((QUOTIENT(COLUMN(CR$2)-69,3))*5)+MOD(COLUMN(CR$2),3),1,1),"")</f>
        <v>0</v>
      </c>
      <c r="CS52">
        <f ca="1">IF($AN52="",OFFSET(Demand!$A$13,ROW(AC49)-1,4+((QUOTIENT(COLUMN(CS$2)-69,3))*5)+MOD(COLUMN(CS$2),3),1,1),"")</f>
        <v>0</v>
      </c>
      <c r="CT52">
        <f ca="1">IF($AN52="",OFFSET(Demand!$A$13,ROW(AD49)-1,4+((QUOTIENT(COLUMN(CT$2)-69,3))*5)+MOD(COLUMN(CT$2),3),1,1),"")</f>
        <v>0</v>
      </c>
      <c r="CW52" s="5">
        <f ca="1">SUM(OFFSET(Demand!$H$43,ROW(A49)-1,(COLUMN(A49)-1)*5,1,1))*N$2</f>
        <v>0</v>
      </c>
      <c r="CX52" s="5">
        <f ca="1">SUM(OFFSET(Demand!$H$43,ROW(B49)-1,(COLUMN(B49)-1)*5,1,1))*O$2</f>
        <v>0</v>
      </c>
      <c r="CY52" s="5">
        <f ca="1">SUM(OFFSET(Demand!$H$43,ROW(C49)-1,(COLUMN(C49)-1)*5,1,1))*P$2</f>
        <v>0</v>
      </c>
      <c r="CZ52" s="5">
        <f ca="1">SUM(OFFSET(Demand!$H$43,ROW(D49)-1,(COLUMN(D49)-1)*5,1,1))*Q$2</f>
        <v>0</v>
      </c>
      <c r="DA52" s="5">
        <f ca="1">SUM(OFFSET(Demand!$H$43,ROW(E49)-1,(COLUMN(E49)-1)*5,1,1))*R$2</f>
        <v>0</v>
      </c>
      <c r="DB52" s="5">
        <f ca="1">SUM(OFFSET(Demand!$H$43,ROW(F49)-1,(COLUMN(F49)-1)*5,1,1))*S$2</f>
        <v>0</v>
      </c>
      <c r="DC52" s="5">
        <f ca="1">SUM(OFFSET(Demand!$H$43,ROW(G49)-1,(COLUMN(G49)-1)*5,1,1))*T$2</f>
        <v>0</v>
      </c>
      <c r="DD52" s="5">
        <f ca="1">SUM(OFFSET(Demand!$H$43,ROW(H49)-1,(COLUMN(H49)-1)*5,1,1))*U$2</f>
        <v>0</v>
      </c>
      <c r="DE52" s="5">
        <f ca="1">SUM(OFFSET(Demand!$H$43,ROW(I49)-1,(COLUMN(I49)-1)*5,1,1))*V$2</f>
        <v>0</v>
      </c>
      <c r="DF52" s="5">
        <f ca="1">SUM(OFFSET(Demand!$H$43,ROW(J49)-1,(COLUMN(J49)-1)*5,1,1))*W$2</f>
        <v>0</v>
      </c>
      <c r="DG52" s="5">
        <f ca="1">IF(OR(AN52&lt;&gt;"",AND('Demand adjustments for Covid'!$F$9="Yes",'Demand adjustments for Covid'!$F$20="Yes")),"",SUM(CW52:DF52))</f>
        <v>0</v>
      </c>
      <c r="DM52" s="5">
        <f t="shared" si="10"/>
        <v>11</v>
      </c>
      <c r="DN52" s="320">
        <f t="shared" si="17"/>
        <v>44270</v>
      </c>
      <c r="DO52" s="5">
        <f ca="1">VLOOKUP(IF($DM52&lt;53,$DM52,52),'Summary Calculations (hide)'!$D$15:$F$67,2,0)</f>
        <v>140</v>
      </c>
      <c r="DP52" s="5">
        <f ca="1">VLOOKUP(IF($DM52&lt;53,$DM52,52),'Summary Calculations (hide)'!$D$15:$F$67,3,0)</f>
        <v>154</v>
      </c>
      <c r="DQ52" s="5">
        <f ca="1">IF(AND(DN52&gt;='Demand adjustments for Covid'!$F$12,DN52&lt;'Demand adjustments for Covid'!$F$17),'Demand adjustments for Covid'!$F$13,DO52)</f>
        <v>140</v>
      </c>
      <c r="DR52" s="5">
        <f t="shared" si="33"/>
        <v>0</v>
      </c>
      <c r="DS52" s="5">
        <f ca="1">IF('Demand adjustments for Covid'!$F$9="Yes",IF(DR52=0,DQ52,((SUM(DR$4:DR52)-1)*$EE$8)+'Demand adjustments for Covid'!F$13),'Demand background (hide)'!DO52)</f>
        <v>140</v>
      </c>
      <c r="DT52" s="5">
        <f ca="1">IF('Demand adjustments for Covid'!$F$9="Yes",IF(OR(AND(DN52&gt;='Demand adjustments for Covid'!$F$12,DN52&lt;'Demand adjustments for Covid'!$F$17),DR52=1),DS52+3,DP52),'Demand background (hide)'!DP52)</f>
        <v>154</v>
      </c>
      <c r="DU52" s="5">
        <f ca="1">IF(DS52&lt;='Demand adjustments for Covid'!$F$17,DO52-DS52,0)</f>
        <v>0</v>
      </c>
      <c r="DV52" s="5">
        <f ca="1">IF(AND(ROW(A49)&gt;$EE$5,ROW(A49)&lt;=$EA$5),OFFSET('Demand adjustments for Covid'!$F$35,0,ROW(A49)-'Demand background (hide)'!$EE$5,1,1),0)</f>
        <v>0</v>
      </c>
      <c r="DW52" s="5">
        <f ca="1">IF(AND(ROW(A49)&gt;$EE$5,ROW(A49)&lt;=$EA$5),OFFSET('Demand adjustments for Covid'!$F$36,0,ROW(A49)-'Demand background (hide)'!$EE$5,1,1),0)</f>
        <v>0</v>
      </c>
      <c r="DX52" s="5">
        <f t="shared" ca="1" si="11"/>
        <v>154</v>
      </c>
    </row>
    <row r="53" spans="1:132" s="5" customFormat="1" x14ac:dyDescent="0.25">
      <c r="A53" s="5">
        <f t="shared" ca="1" si="32"/>
        <v>0</v>
      </c>
      <c r="B53" s="5">
        <f ca="1">COUNTBLANK(OFFSET(Demand!$I62,0,(COLUMN(A50)-1)*5,1,1))</f>
        <v>0</v>
      </c>
      <c r="C53" s="5">
        <f ca="1">COUNTBLANK(OFFSET(Demand!$I62,0,(COLUMN(B50)-1)*5,1,1))</f>
        <v>1</v>
      </c>
      <c r="D53" s="5">
        <f ca="1">COUNTBLANK(OFFSET(Demand!$I62,0,(COLUMN(C50)-1)*5,1,1))</f>
        <v>1</v>
      </c>
      <c r="E53" s="5">
        <f ca="1">COUNTBLANK(OFFSET(Demand!$I62,0,(COLUMN(D50)-1)*5,1,1))</f>
        <v>1</v>
      </c>
      <c r="F53" s="5">
        <f ca="1">COUNTBLANK(OFFSET(Demand!$I62,0,(COLUMN(E50)-1)*5,1,1))</f>
        <v>1</v>
      </c>
      <c r="G53" s="5">
        <f ca="1">COUNTBLANK(OFFSET(Demand!$I62,0,(COLUMN(F50)-1)*5,1,1))</f>
        <v>1</v>
      </c>
      <c r="H53" s="5">
        <f ca="1">COUNTBLANK(OFFSET(Demand!$I62,0,(COLUMN(G50)-1)*5,1,1))</f>
        <v>1</v>
      </c>
      <c r="I53" s="5">
        <f ca="1">COUNTBLANK(OFFSET(Demand!$I62,0,(COLUMN(H50)-1)*5,1,1))</f>
        <v>1</v>
      </c>
      <c r="J53" s="5">
        <f ca="1">COUNTBLANK(OFFSET(Demand!$I62,0,(COLUMN(I50)-1)*5,1,1))</f>
        <v>1</v>
      </c>
      <c r="K53" s="5">
        <f ca="1">COUNTBLANK(OFFSET(Demand!$I62,0,(COLUMN(J50)-1)*5,1,1))</f>
        <v>1</v>
      </c>
      <c r="N53" s="5">
        <f ca="1">SUM(OFFSET(Demand!$E62,0,(COLUMN(A50)-1)*5,1,3))*N$2</f>
        <v>152</v>
      </c>
      <c r="O53" s="5">
        <f ca="1">SUM(OFFSET(Demand!$E62,0,(COLUMN(B50)-1)*5,1,3))*O$2</f>
        <v>0</v>
      </c>
      <c r="P53" s="5">
        <f ca="1">SUM(OFFSET(Demand!$E62,0,(COLUMN(C50)-1)*5,1,3))*P$2</f>
        <v>0</v>
      </c>
      <c r="Q53" s="5">
        <f ca="1">SUM(OFFSET(Demand!$E62,0,(COLUMN(D50)-1)*5,1,3))*Q$2</f>
        <v>0</v>
      </c>
      <c r="R53" s="5">
        <f ca="1">SUM(OFFSET(Demand!$E62,0,(COLUMN(E50)-1)*5,1,3))*R$2</f>
        <v>0</v>
      </c>
      <c r="S53" s="5">
        <f ca="1">SUM(OFFSET(Demand!$E62,0,(COLUMN(F50)-1)*5,1,3))*S$2</f>
        <v>0</v>
      </c>
      <c r="T53" s="5">
        <f ca="1">SUM(OFFSET(Demand!$E62,0,(COLUMN(G50)-1)*5,1,3))*T$2</f>
        <v>0</v>
      </c>
      <c r="U53" s="5">
        <f ca="1">SUM(OFFSET(Demand!$E62,0,(COLUMN(H50)-1)*5,1,3))*U$2</f>
        <v>0</v>
      </c>
      <c r="V53" s="5">
        <f ca="1">SUM(OFFSET(Demand!$E62,0,(COLUMN(I50)-1)*5,1,3))*V$2</f>
        <v>0</v>
      </c>
      <c r="W53" s="5">
        <f ca="1">SUM(OFFSET(Demand!$E62,0,(COLUMN(J50)-1)*5,1,3))*W$2</f>
        <v>0</v>
      </c>
      <c r="X53" s="5">
        <f t="shared" ca="1" si="4"/>
        <v>152</v>
      </c>
      <c r="Y53" s="5">
        <f t="shared" ca="1" si="5"/>
        <v>152</v>
      </c>
      <c r="Z53" s="5">
        <f ca="1">SUM(OFFSET(Demand!$H62,0,(COLUMN(A50)-1)*5,1,1))*N$2</f>
        <v>0</v>
      </c>
      <c r="AA53" s="5">
        <f ca="1">SUM(OFFSET(Demand!$H62,0,(COLUMN(B50)-1)*5,1,1))*O$2</f>
        <v>0</v>
      </c>
      <c r="AB53" s="5">
        <f ca="1">SUM(OFFSET(Demand!$H62,0,(COLUMN(C50)-1)*5,1,1))*P$2</f>
        <v>0</v>
      </c>
      <c r="AC53" s="5">
        <f ca="1">SUM(OFFSET(Demand!$H62,0,(COLUMN(D50)-1)*5,1,1))*Q$2</f>
        <v>0</v>
      </c>
      <c r="AD53" s="5">
        <f ca="1">SUM(OFFSET(Demand!$H62,0,(COLUMN(E50)-1)*5,1,1))*R$2</f>
        <v>0</v>
      </c>
      <c r="AE53" s="5">
        <f ca="1">SUM(OFFSET(Demand!$H62,0,(COLUMN(F50)-1)*5,1,1))*S$2</f>
        <v>0</v>
      </c>
      <c r="AF53" s="5">
        <f ca="1">SUM(OFFSET(Demand!$H62,0,(COLUMN(G50)-1)*5,1,1))*T$2</f>
        <v>0</v>
      </c>
      <c r="AG53" s="5">
        <f ca="1">SUM(OFFSET(Demand!$H62,0,(COLUMN(H50)-1)*5,1,1))*U$2</f>
        <v>0</v>
      </c>
      <c r="AH53" s="5">
        <f ca="1">SUM(OFFSET(Demand!$H62,0,(COLUMN(I50)-1)*5,1,1))*V$2</f>
        <v>0</v>
      </c>
      <c r="AI53" s="5">
        <f ca="1">SUM(OFFSET(Demand!$H62,0,(COLUMN(J50)-1)*5,1,1))*W$2</f>
        <v>0</v>
      </c>
      <c r="AJ53" s="5">
        <f t="shared" ca="1" si="6"/>
        <v>0</v>
      </c>
      <c r="AL53" s="5">
        <f t="shared" ca="1" si="8"/>
        <v>152</v>
      </c>
      <c r="AM53" s="5">
        <f t="shared" ca="1" si="9"/>
        <v>0</v>
      </c>
      <c r="AN53" s="5" t="str">
        <f>IF(Demand!BE62="Yes","Yes","")</f>
        <v/>
      </c>
      <c r="AP53" s="36" t="str">
        <f ca="1">Demand!B62</f>
        <v xml:space="preserve"> </v>
      </c>
      <c r="AQ53" s="5" t="str">
        <f ca="1">IF(TEXT(Demand!D62,"MMM")&lt;&gt;TEXT(Demand!D61,"MMM"),TEXT(Demand!D62,"MMM"),"")</f>
        <v/>
      </c>
      <c r="AT53" s="5">
        <f t="shared" ca="1" si="12"/>
        <v>12</v>
      </c>
      <c r="BQ53">
        <f ca="1">IF($AN53="",OFFSET(Demand!$A$13,ROW(A50)-1,4+((QUOTIENT(COLUMN(BQ$2)-69,3))*5)+MOD(COLUMN(BQ$2),3),1,1),"")</f>
        <v>0</v>
      </c>
      <c r="BR53">
        <f ca="1">IF($AN53="",OFFSET(Demand!$A$13,ROW(B50)-1,4+((QUOTIENT(COLUMN(BR$2)-69,3))*5)+MOD(COLUMN(BR$2),3),1,1),"")</f>
        <v>0</v>
      </c>
      <c r="BS53">
        <f ca="1">IF($AN53="",OFFSET(Demand!$A$13,ROW(C50)-1,4+((QUOTIENT(COLUMN(BS$2)-69,3))*5)+MOD(COLUMN(BS$2),3),1,1),"")</f>
        <v>76</v>
      </c>
      <c r="BT53">
        <f ca="1">IF($AN53="",OFFSET(Demand!$A$13,ROW(D50)-1,4+((QUOTIENT(COLUMN(BT$2)-69,3))*5)+MOD(COLUMN(BT$2),3),1,1),"")</f>
        <v>0</v>
      </c>
      <c r="BU53">
        <f ca="1">IF($AN53="",OFFSET(Demand!$A$13,ROW(E50)-1,4+((QUOTIENT(COLUMN(BU$2)-69,3))*5)+MOD(COLUMN(BU$2),3),1,1),"")</f>
        <v>0</v>
      </c>
      <c r="BV53">
        <f ca="1">IF($AN53="",OFFSET(Demand!$A$13,ROW(F50)-1,4+((QUOTIENT(COLUMN(BV$2)-69,3))*5)+MOD(COLUMN(BV$2),3),1,1),"")</f>
        <v>0</v>
      </c>
      <c r="BW53">
        <f ca="1">IF($AN53="",OFFSET(Demand!$A$13,ROW(G50)-1,4+((QUOTIENT(COLUMN(BW$2)-69,3))*5)+MOD(COLUMN(BW$2),3),1,1),"")</f>
        <v>0</v>
      </c>
      <c r="BX53">
        <f ca="1">IF($AN53="",OFFSET(Demand!$A$13,ROW(H50)-1,4+((QUOTIENT(COLUMN(BX$2)-69,3))*5)+MOD(COLUMN(BX$2),3),1,1),"")</f>
        <v>0</v>
      </c>
      <c r="BY53">
        <f ca="1">IF($AN53="",OFFSET(Demand!$A$13,ROW(I50)-1,4+((QUOTIENT(COLUMN(BY$2)-69,3))*5)+MOD(COLUMN(BY$2),3),1,1),"")</f>
        <v>0</v>
      </c>
      <c r="BZ53">
        <f ca="1">IF($AN53="",OFFSET(Demand!$A$13,ROW(J50)-1,4+((QUOTIENT(COLUMN(BZ$2)-69,3))*5)+MOD(COLUMN(BZ$2),3),1,1),"")</f>
        <v>0</v>
      </c>
      <c r="CA53">
        <f ca="1">IF($AN53="",OFFSET(Demand!$A$13,ROW(K50)-1,4+((QUOTIENT(COLUMN(CA$2)-69,3))*5)+MOD(COLUMN(CA$2),3),1,1),"")</f>
        <v>0</v>
      </c>
      <c r="CB53">
        <f ca="1">IF($AN53="",OFFSET(Demand!$A$13,ROW(L50)-1,4+((QUOTIENT(COLUMN(CB$2)-69,3))*5)+MOD(COLUMN(CB$2),3),1,1),"")</f>
        <v>0</v>
      </c>
      <c r="CC53">
        <f ca="1">IF($AN53="",OFFSET(Demand!$A$13,ROW(M50)-1,4+((QUOTIENT(COLUMN(CC$2)-69,3))*5)+MOD(COLUMN(CC$2),3),1,1),"")</f>
        <v>0</v>
      </c>
      <c r="CD53">
        <f ca="1">IF($AN53="",OFFSET(Demand!$A$13,ROW(N50)-1,4+((QUOTIENT(COLUMN(CD$2)-69,3))*5)+MOD(COLUMN(CD$2),3),1,1),"")</f>
        <v>0</v>
      </c>
      <c r="CE53">
        <f ca="1">IF($AN53="",OFFSET(Demand!$A$13,ROW(O50)-1,4+((QUOTIENT(COLUMN(CE$2)-69,3))*5)+MOD(COLUMN(CE$2),3),1,1),"")</f>
        <v>0</v>
      </c>
      <c r="CF53">
        <f ca="1">IF($AN53="",OFFSET(Demand!$A$13,ROW(P50)-1,4+((QUOTIENT(COLUMN(CF$2)-69,3))*5)+MOD(COLUMN(CF$2),3),1,1),"")</f>
        <v>0</v>
      </c>
      <c r="CG53">
        <f ca="1">IF($AN53="",OFFSET(Demand!$A$13,ROW(Q50)-1,4+((QUOTIENT(COLUMN(CG$2)-69,3))*5)+MOD(COLUMN(CG$2),3),1,1),"")</f>
        <v>0</v>
      </c>
      <c r="CH53">
        <f ca="1">IF($AN53="",OFFSET(Demand!$A$13,ROW(R50)-1,4+((QUOTIENT(COLUMN(CH$2)-69,3))*5)+MOD(COLUMN(CH$2),3),1,1),"")</f>
        <v>0</v>
      </c>
      <c r="CI53">
        <f ca="1">IF($AN53="",OFFSET(Demand!$A$13,ROW(S50)-1,4+((QUOTIENT(COLUMN(CI$2)-69,3))*5)+MOD(COLUMN(CI$2),3),1,1),"")</f>
        <v>0</v>
      </c>
      <c r="CJ53">
        <f ca="1">IF($AN53="",OFFSET(Demand!$A$13,ROW(T50)-1,4+((QUOTIENT(COLUMN(CJ$2)-69,3))*5)+MOD(COLUMN(CJ$2),3),1,1),"")</f>
        <v>0</v>
      </c>
      <c r="CK53">
        <f ca="1">IF($AN53="",OFFSET(Demand!$A$13,ROW(U50)-1,4+((QUOTIENT(COLUMN(CK$2)-69,3))*5)+MOD(COLUMN(CK$2),3),1,1),"")</f>
        <v>0</v>
      </c>
      <c r="CL53">
        <f ca="1">IF($AN53="",OFFSET(Demand!$A$13,ROW(V50)-1,4+((QUOTIENT(COLUMN(CL$2)-69,3))*5)+MOD(COLUMN(CL$2),3),1,1),"")</f>
        <v>0</v>
      </c>
      <c r="CM53">
        <f ca="1">IF($AN53="",OFFSET(Demand!$A$13,ROW(W50)-1,4+((QUOTIENT(COLUMN(CM$2)-69,3))*5)+MOD(COLUMN(CM$2),3),1,1),"")</f>
        <v>0</v>
      </c>
      <c r="CN53">
        <f ca="1">IF($AN53="",OFFSET(Demand!$A$13,ROW(X50)-1,4+((QUOTIENT(COLUMN(CN$2)-69,3))*5)+MOD(COLUMN(CN$2),3),1,1),"")</f>
        <v>0</v>
      </c>
      <c r="CO53">
        <f ca="1">IF($AN53="",OFFSET(Demand!$A$13,ROW(Y50)-1,4+((QUOTIENT(COLUMN(CO$2)-69,3))*5)+MOD(COLUMN(CO$2),3),1,1),"")</f>
        <v>0</v>
      </c>
      <c r="CP53">
        <f ca="1">IF($AN53="",OFFSET(Demand!$A$13,ROW(Z50)-1,4+((QUOTIENT(COLUMN(CP$2)-69,3))*5)+MOD(COLUMN(CP$2),3),1,1),"")</f>
        <v>0</v>
      </c>
      <c r="CQ53">
        <f ca="1">IF($AN53="",OFFSET(Demand!$A$13,ROW(AA50)-1,4+((QUOTIENT(COLUMN(CQ$2)-69,3))*5)+MOD(COLUMN(CQ$2),3),1,1),"")</f>
        <v>0</v>
      </c>
      <c r="CR53">
        <f ca="1">IF($AN53="",OFFSET(Demand!$A$13,ROW(AB50)-1,4+((QUOTIENT(COLUMN(CR$2)-69,3))*5)+MOD(COLUMN(CR$2),3),1,1),"")</f>
        <v>0</v>
      </c>
      <c r="CS53">
        <f ca="1">IF($AN53="",OFFSET(Demand!$A$13,ROW(AC50)-1,4+((QUOTIENT(COLUMN(CS$2)-69,3))*5)+MOD(COLUMN(CS$2),3),1,1),"")</f>
        <v>0</v>
      </c>
      <c r="CT53">
        <f ca="1">IF($AN53="",OFFSET(Demand!$A$13,ROW(AD50)-1,4+((QUOTIENT(COLUMN(CT$2)-69,3))*5)+MOD(COLUMN(CT$2),3),1,1),"")</f>
        <v>0</v>
      </c>
      <c r="CW53" s="5">
        <f ca="1">SUM(OFFSET(Demand!$H$43,ROW(A50)-1,(COLUMN(A50)-1)*5,1,1))*N$2</f>
        <v>0</v>
      </c>
      <c r="CX53" s="5">
        <f ca="1">SUM(OFFSET(Demand!$H$43,ROW(B50)-1,(COLUMN(B50)-1)*5,1,1))*O$2</f>
        <v>0</v>
      </c>
      <c r="CY53" s="5">
        <f ca="1">SUM(OFFSET(Demand!$H$43,ROW(C50)-1,(COLUMN(C50)-1)*5,1,1))*P$2</f>
        <v>0</v>
      </c>
      <c r="CZ53" s="5">
        <f ca="1">SUM(OFFSET(Demand!$H$43,ROW(D50)-1,(COLUMN(D50)-1)*5,1,1))*Q$2</f>
        <v>0</v>
      </c>
      <c r="DA53" s="5">
        <f ca="1">SUM(OFFSET(Demand!$H$43,ROW(E50)-1,(COLUMN(E50)-1)*5,1,1))*R$2</f>
        <v>0</v>
      </c>
      <c r="DB53" s="5">
        <f ca="1">SUM(OFFSET(Demand!$H$43,ROW(F50)-1,(COLUMN(F50)-1)*5,1,1))*S$2</f>
        <v>0</v>
      </c>
      <c r="DC53" s="5">
        <f ca="1">SUM(OFFSET(Demand!$H$43,ROW(G50)-1,(COLUMN(G50)-1)*5,1,1))*T$2</f>
        <v>0</v>
      </c>
      <c r="DD53" s="5">
        <f ca="1">SUM(OFFSET(Demand!$H$43,ROW(H50)-1,(COLUMN(H50)-1)*5,1,1))*U$2</f>
        <v>0</v>
      </c>
      <c r="DE53" s="5">
        <f ca="1">SUM(OFFSET(Demand!$H$43,ROW(I50)-1,(COLUMN(I50)-1)*5,1,1))*V$2</f>
        <v>0</v>
      </c>
      <c r="DF53" s="5">
        <f ca="1">SUM(OFFSET(Demand!$H$43,ROW(J50)-1,(COLUMN(J50)-1)*5,1,1))*W$2</f>
        <v>0</v>
      </c>
      <c r="DG53" s="5">
        <f ca="1">IF(OR(AN53&lt;&gt;"",AND('Demand adjustments for Covid'!$F$9="Yes",'Demand adjustments for Covid'!$F$20="Yes")),"",SUM(CW53:DF53))</f>
        <v>0</v>
      </c>
      <c r="DM53" s="5">
        <f t="shared" si="10"/>
        <v>12</v>
      </c>
      <c r="DN53" s="320">
        <f t="shared" si="17"/>
        <v>44277</v>
      </c>
      <c r="DO53" s="5">
        <f ca="1">VLOOKUP(IF($DM53&lt;53,$DM53,52),'Summary Calculations (hide)'!$D$15:$F$67,2,0)</f>
        <v>152</v>
      </c>
      <c r="DP53" s="5">
        <f ca="1">VLOOKUP(IF($DM53&lt;53,$DM53,52),'Summary Calculations (hide)'!$D$15:$F$67,3,0)</f>
        <v>167.20000000000002</v>
      </c>
      <c r="DQ53" s="5">
        <f ca="1">IF(AND(DN53&gt;='Demand adjustments for Covid'!$F$12,DN53&lt;'Demand adjustments for Covid'!$F$17),'Demand adjustments for Covid'!$F$13,DO53)</f>
        <v>152</v>
      </c>
      <c r="DR53" s="5">
        <f t="shared" si="33"/>
        <v>0</v>
      </c>
      <c r="DS53" s="5">
        <f ca="1">IF('Demand adjustments for Covid'!$F$9="Yes",IF(DR53=0,DQ53,((SUM(DR$4:DR53)-1)*$EE$8)+'Demand adjustments for Covid'!F$13),'Demand background (hide)'!DO53)</f>
        <v>152</v>
      </c>
      <c r="DT53" s="5">
        <f ca="1">IF('Demand adjustments for Covid'!$F$9="Yes",IF(OR(AND(DN53&gt;='Demand adjustments for Covid'!$F$12,DN53&lt;'Demand adjustments for Covid'!$F$17),DR53=1),DS53+3,DP53),'Demand background (hide)'!DP53)</f>
        <v>167.20000000000002</v>
      </c>
      <c r="DU53" s="5">
        <f ca="1">IF(DS53&lt;='Demand adjustments for Covid'!$F$17,DO53-DS53,0)</f>
        <v>0</v>
      </c>
      <c r="DV53" s="5">
        <f ca="1">IF(AND(ROW(A50)&gt;$EE$5,ROW(A50)&lt;=$EA$5),OFFSET('Demand adjustments for Covid'!$F$35,0,ROW(A50)-'Demand background (hide)'!$EE$5,1,1),0)</f>
        <v>0</v>
      </c>
      <c r="DW53" s="5">
        <f ca="1">IF(AND(ROW(A50)&gt;$EE$5,ROW(A50)&lt;=$EA$5),OFFSET('Demand adjustments for Covid'!$F$36,0,ROW(A50)-'Demand background (hide)'!$EE$5,1,1),0)</f>
        <v>0</v>
      </c>
      <c r="DX53" s="5">
        <f t="shared" ca="1" si="11"/>
        <v>167.20000000000002</v>
      </c>
    </row>
    <row r="54" spans="1:132" s="5" customFormat="1" x14ac:dyDescent="0.25">
      <c r="A54" s="5">
        <f t="shared" ca="1" si="32"/>
        <v>0</v>
      </c>
      <c r="B54" s="5">
        <f ca="1">COUNTBLANK(OFFSET(Demand!$I63,0,(COLUMN(A51)-1)*5,1,1))</f>
        <v>0</v>
      </c>
      <c r="C54" s="5">
        <f ca="1">COUNTBLANK(OFFSET(Demand!$I63,0,(COLUMN(B51)-1)*5,1,1))</f>
        <v>1</v>
      </c>
      <c r="D54" s="5">
        <f ca="1">COUNTBLANK(OFFSET(Demand!$I63,0,(COLUMN(C51)-1)*5,1,1))</f>
        <v>1</v>
      </c>
      <c r="E54" s="5">
        <f ca="1">COUNTBLANK(OFFSET(Demand!$I63,0,(COLUMN(D51)-1)*5,1,1))</f>
        <v>1</v>
      </c>
      <c r="F54" s="5">
        <f ca="1">COUNTBLANK(OFFSET(Demand!$I63,0,(COLUMN(E51)-1)*5,1,1))</f>
        <v>1</v>
      </c>
      <c r="G54" s="5">
        <f ca="1">COUNTBLANK(OFFSET(Demand!$I63,0,(COLUMN(F51)-1)*5,1,1))</f>
        <v>1</v>
      </c>
      <c r="H54" s="5">
        <f ca="1">COUNTBLANK(OFFSET(Demand!$I63,0,(COLUMN(G51)-1)*5,1,1))</f>
        <v>1</v>
      </c>
      <c r="I54" s="5">
        <f ca="1">COUNTBLANK(OFFSET(Demand!$I63,0,(COLUMN(H51)-1)*5,1,1))</f>
        <v>1</v>
      </c>
      <c r="J54" s="5">
        <f ca="1">COUNTBLANK(OFFSET(Demand!$I63,0,(COLUMN(I51)-1)*5,1,1))</f>
        <v>1</v>
      </c>
      <c r="K54" s="5">
        <f ca="1">COUNTBLANK(OFFSET(Demand!$I63,0,(COLUMN(J51)-1)*5,1,1))</f>
        <v>1</v>
      </c>
      <c r="N54" s="5">
        <f ca="1">SUM(OFFSET(Demand!$E63,0,(COLUMN(A51)-1)*5,1,3))*N$2</f>
        <v>146</v>
      </c>
      <c r="O54" s="5">
        <f ca="1">SUM(OFFSET(Demand!$E63,0,(COLUMN(B51)-1)*5,1,3))*O$2</f>
        <v>0</v>
      </c>
      <c r="P54" s="5">
        <f ca="1">SUM(OFFSET(Demand!$E63,0,(COLUMN(C51)-1)*5,1,3))*P$2</f>
        <v>0</v>
      </c>
      <c r="Q54" s="5">
        <f ca="1">SUM(OFFSET(Demand!$E63,0,(COLUMN(D51)-1)*5,1,3))*Q$2</f>
        <v>0</v>
      </c>
      <c r="R54" s="5">
        <f ca="1">SUM(OFFSET(Demand!$E63,0,(COLUMN(E51)-1)*5,1,3))*R$2</f>
        <v>0</v>
      </c>
      <c r="S54" s="5">
        <f ca="1">SUM(OFFSET(Demand!$E63,0,(COLUMN(F51)-1)*5,1,3))*S$2</f>
        <v>0</v>
      </c>
      <c r="T54" s="5">
        <f ca="1">SUM(OFFSET(Demand!$E63,0,(COLUMN(G51)-1)*5,1,3))*T$2</f>
        <v>0</v>
      </c>
      <c r="U54" s="5">
        <f ca="1">SUM(OFFSET(Demand!$E63,0,(COLUMN(H51)-1)*5,1,3))*U$2</f>
        <v>0</v>
      </c>
      <c r="V54" s="5">
        <f ca="1">SUM(OFFSET(Demand!$E63,0,(COLUMN(I51)-1)*5,1,3))*V$2</f>
        <v>0</v>
      </c>
      <c r="W54" s="5">
        <f ca="1">SUM(OFFSET(Demand!$E63,0,(COLUMN(J51)-1)*5,1,3))*W$2</f>
        <v>0</v>
      </c>
      <c r="X54" s="5">
        <f t="shared" ca="1" si="4"/>
        <v>146</v>
      </c>
      <c r="Y54" s="5">
        <f t="shared" ca="1" si="5"/>
        <v>146</v>
      </c>
      <c r="Z54" s="5">
        <f ca="1">SUM(OFFSET(Demand!$H63,0,(COLUMN(A51)-1)*5,1,1))*N$2</f>
        <v>0</v>
      </c>
      <c r="AA54" s="5">
        <f ca="1">SUM(OFFSET(Demand!$H63,0,(COLUMN(B51)-1)*5,1,1))*O$2</f>
        <v>0</v>
      </c>
      <c r="AB54" s="5">
        <f ca="1">SUM(OFFSET(Demand!$H63,0,(COLUMN(C51)-1)*5,1,1))*P$2</f>
        <v>0</v>
      </c>
      <c r="AC54" s="5">
        <f ca="1">SUM(OFFSET(Demand!$H63,0,(COLUMN(D51)-1)*5,1,1))*Q$2</f>
        <v>0</v>
      </c>
      <c r="AD54" s="5">
        <f ca="1">SUM(OFFSET(Demand!$H63,0,(COLUMN(E51)-1)*5,1,1))*R$2</f>
        <v>0</v>
      </c>
      <c r="AE54" s="5">
        <f ca="1">SUM(OFFSET(Demand!$H63,0,(COLUMN(F51)-1)*5,1,1))*S$2</f>
        <v>0</v>
      </c>
      <c r="AF54" s="5">
        <f ca="1">SUM(OFFSET(Demand!$H63,0,(COLUMN(G51)-1)*5,1,1))*T$2</f>
        <v>0</v>
      </c>
      <c r="AG54" s="5">
        <f ca="1">SUM(OFFSET(Demand!$H63,0,(COLUMN(H51)-1)*5,1,1))*U$2</f>
        <v>0</v>
      </c>
      <c r="AH54" s="5">
        <f ca="1">SUM(OFFSET(Demand!$H63,0,(COLUMN(I51)-1)*5,1,1))*V$2</f>
        <v>0</v>
      </c>
      <c r="AI54" s="5">
        <f ca="1">SUM(OFFSET(Demand!$H63,0,(COLUMN(J51)-1)*5,1,1))*W$2</f>
        <v>0</v>
      </c>
      <c r="AJ54" s="5">
        <f t="shared" ca="1" si="6"/>
        <v>0</v>
      </c>
      <c r="AL54" s="5">
        <f t="shared" ca="1" si="8"/>
        <v>146</v>
      </c>
      <c r="AM54" s="5">
        <f t="shared" ca="1" si="9"/>
        <v>0</v>
      </c>
      <c r="AN54" s="5" t="str">
        <f>IF(Demand!BE63="Yes","Yes","")</f>
        <v/>
      </c>
      <c r="AP54" s="36" t="str">
        <f ca="1">Demand!B63</f>
        <v xml:space="preserve"> </v>
      </c>
      <c r="AQ54" s="5" t="str">
        <f ca="1">IF(TEXT(Demand!D63,"MMM")&lt;&gt;TEXT(Demand!D62,"MMM"),TEXT(Demand!D63,"MMM"),"")</f>
        <v/>
      </c>
      <c r="AT54" s="5">
        <f t="shared" ca="1" si="12"/>
        <v>6</v>
      </c>
      <c r="BQ54">
        <f ca="1">IF($AN54="",OFFSET(Demand!$A$13,ROW(A51)-1,4+((QUOTIENT(COLUMN(BQ$2)-69,3))*5)+MOD(COLUMN(BQ$2),3),1,1),"")</f>
        <v>0</v>
      </c>
      <c r="BR54">
        <f ca="1">IF($AN54="",OFFSET(Demand!$A$13,ROW(B51)-1,4+((QUOTIENT(COLUMN(BR$2)-69,3))*5)+MOD(COLUMN(BR$2),3),1,1),"")</f>
        <v>0</v>
      </c>
      <c r="BS54">
        <f ca="1">IF($AN54="",OFFSET(Demand!$A$13,ROW(C51)-1,4+((QUOTIENT(COLUMN(BS$2)-69,3))*5)+MOD(COLUMN(BS$2),3),1,1),"")</f>
        <v>73</v>
      </c>
      <c r="BT54">
        <f ca="1">IF($AN54="",OFFSET(Demand!$A$13,ROW(D51)-1,4+((QUOTIENT(COLUMN(BT$2)-69,3))*5)+MOD(COLUMN(BT$2),3),1,1),"")</f>
        <v>0</v>
      </c>
      <c r="BU54">
        <f ca="1">IF($AN54="",OFFSET(Demand!$A$13,ROW(E51)-1,4+((QUOTIENT(COLUMN(BU$2)-69,3))*5)+MOD(COLUMN(BU$2),3),1,1),"")</f>
        <v>0</v>
      </c>
      <c r="BV54">
        <f ca="1">IF($AN54="",OFFSET(Demand!$A$13,ROW(F51)-1,4+((QUOTIENT(COLUMN(BV$2)-69,3))*5)+MOD(COLUMN(BV$2),3),1,1),"")</f>
        <v>0</v>
      </c>
      <c r="BW54">
        <f ca="1">IF($AN54="",OFFSET(Demand!$A$13,ROW(G51)-1,4+((QUOTIENT(COLUMN(BW$2)-69,3))*5)+MOD(COLUMN(BW$2),3),1,1),"")</f>
        <v>0</v>
      </c>
      <c r="BX54">
        <f ca="1">IF($AN54="",OFFSET(Demand!$A$13,ROW(H51)-1,4+((QUOTIENT(COLUMN(BX$2)-69,3))*5)+MOD(COLUMN(BX$2),3),1,1),"")</f>
        <v>0</v>
      </c>
      <c r="BY54">
        <f ca="1">IF($AN54="",OFFSET(Demand!$A$13,ROW(I51)-1,4+((QUOTIENT(COLUMN(BY$2)-69,3))*5)+MOD(COLUMN(BY$2),3),1,1),"")</f>
        <v>0</v>
      </c>
      <c r="BZ54">
        <f ca="1">IF($AN54="",OFFSET(Demand!$A$13,ROW(J51)-1,4+((QUOTIENT(COLUMN(BZ$2)-69,3))*5)+MOD(COLUMN(BZ$2),3),1,1),"")</f>
        <v>0</v>
      </c>
      <c r="CA54">
        <f ca="1">IF($AN54="",OFFSET(Demand!$A$13,ROW(K51)-1,4+((QUOTIENT(COLUMN(CA$2)-69,3))*5)+MOD(COLUMN(CA$2),3),1,1),"")</f>
        <v>0</v>
      </c>
      <c r="CB54">
        <f ca="1">IF($AN54="",OFFSET(Demand!$A$13,ROW(L51)-1,4+((QUOTIENT(COLUMN(CB$2)-69,3))*5)+MOD(COLUMN(CB$2),3),1,1),"")</f>
        <v>0</v>
      </c>
      <c r="CC54">
        <f ca="1">IF($AN54="",OFFSET(Demand!$A$13,ROW(M51)-1,4+((QUOTIENT(COLUMN(CC$2)-69,3))*5)+MOD(COLUMN(CC$2),3),1,1),"")</f>
        <v>0</v>
      </c>
      <c r="CD54">
        <f ca="1">IF($AN54="",OFFSET(Demand!$A$13,ROW(N51)-1,4+((QUOTIENT(COLUMN(CD$2)-69,3))*5)+MOD(COLUMN(CD$2),3),1,1),"")</f>
        <v>0</v>
      </c>
      <c r="CE54">
        <f ca="1">IF($AN54="",OFFSET(Demand!$A$13,ROW(O51)-1,4+((QUOTIENT(COLUMN(CE$2)-69,3))*5)+MOD(COLUMN(CE$2),3),1,1),"")</f>
        <v>0</v>
      </c>
      <c r="CF54">
        <f ca="1">IF($AN54="",OFFSET(Demand!$A$13,ROW(P51)-1,4+((QUOTIENT(COLUMN(CF$2)-69,3))*5)+MOD(COLUMN(CF$2),3),1,1),"")</f>
        <v>0</v>
      </c>
      <c r="CG54">
        <f ca="1">IF($AN54="",OFFSET(Demand!$A$13,ROW(Q51)-1,4+((QUOTIENT(COLUMN(CG$2)-69,3))*5)+MOD(COLUMN(CG$2),3),1,1),"")</f>
        <v>0</v>
      </c>
      <c r="CH54">
        <f ca="1">IF($AN54="",OFFSET(Demand!$A$13,ROW(R51)-1,4+((QUOTIENT(COLUMN(CH$2)-69,3))*5)+MOD(COLUMN(CH$2),3),1,1),"")</f>
        <v>0</v>
      </c>
      <c r="CI54">
        <f ca="1">IF($AN54="",OFFSET(Demand!$A$13,ROW(S51)-1,4+((QUOTIENT(COLUMN(CI$2)-69,3))*5)+MOD(COLUMN(CI$2),3),1,1),"")</f>
        <v>0</v>
      </c>
      <c r="CJ54">
        <f ca="1">IF($AN54="",OFFSET(Demand!$A$13,ROW(T51)-1,4+((QUOTIENT(COLUMN(CJ$2)-69,3))*5)+MOD(COLUMN(CJ$2),3),1,1),"")</f>
        <v>0</v>
      </c>
      <c r="CK54">
        <f ca="1">IF($AN54="",OFFSET(Demand!$A$13,ROW(U51)-1,4+((QUOTIENT(COLUMN(CK$2)-69,3))*5)+MOD(COLUMN(CK$2),3),1,1),"")</f>
        <v>0</v>
      </c>
      <c r="CL54">
        <f ca="1">IF($AN54="",OFFSET(Demand!$A$13,ROW(V51)-1,4+((QUOTIENT(COLUMN(CL$2)-69,3))*5)+MOD(COLUMN(CL$2),3),1,1),"")</f>
        <v>0</v>
      </c>
      <c r="CM54">
        <f ca="1">IF($AN54="",OFFSET(Demand!$A$13,ROW(W51)-1,4+((QUOTIENT(COLUMN(CM$2)-69,3))*5)+MOD(COLUMN(CM$2),3),1,1),"")</f>
        <v>0</v>
      </c>
      <c r="CN54">
        <f ca="1">IF($AN54="",OFFSET(Demand!$A$13,ROW(X51)-1,4+((QUOTIENT(COLUMN(CN$2)-69,3))*5)+MOD(COLUMN(CN$2),3),1,1),"")</f>
        <v>0</v>
      </c>
      <c r="CO54">
        <f ca="1">IF($AN54="",OFFSET(Demand!$A$13,ROW(Y51)-1,4+((QUOTIENT(COLUMN(CO$2)-69,3))*5)+MOD(COLUMN(CO$2),3),1,1),"")</f>
        <v>0</v>
      </c>
      <c r="CP54">
        <f ca="1">IF($AN54="",OFFSET(Demand!$A$13,ROW(Z51)-1,4+((QUOTIENT(COLUMN(CP$2)-69,3))*5)+MOD(COLUMN(CP$2),3),1,1),"")</f>
        <v>0</v>
      </c>
      <c r="CQ54">
        <f ca="1">IF($AN54="",OFFSET(Demand!$A$13,ROW(AA51)-1,4+((QUOTIENT(COLUMN(CQ$2)-69,3))*5)+MOD(COLUMN(CQ$2),3),1,1),"")</f>
        <v>0</v>
      </c>
      <c r="CR54">
        <f ca="1">IF($AN54="",OFFSET(Demand!$A$13,ROW(AB51)-1,4+((QUOTIENT(COLUMN(CR$2)-69,3))*5)+MOD(COLUMN(CR$2),3),1,1),"")</f>
        <v>0</v>
      </c>
      <c r="CS54">
        <f ca="1">IF($AN54="",OFFSET(Demand!$A$13,ROW(AC51)-1,4+((QUOTIENT(COLUMN(CS$2)-69,3))*5)+MOD(COLUMN(CS$2),3),1,1),"")</f>
        <v>0</v>
      </c>
      <c r="CT54">
        <f ca="1">IF($AN54="",OFFSET(Demand!$A$13,ROW(AD51)-1,4+((QUOTIENT(COLUMN(CT$2)-69,3))*5)+MOD(COLUMN(CT$2),3),1,1),"")</f>
        <v>0</v>
      </c>
      <c r="CW54" s="5">
        <f ca="1">SUM(OFFSET(Demand!$H$43,ROW(A51)-1,(COLUMN(A51)-1)*5,1,1))*N$2</f>
        <v>0</v>
      </c>
      <c r="CX54" s="5">
        <f ca="1">SUM(OFFSET(Demand!$H$43,ROW(B51)-1,(COLUMN(B51)-1)*5,1,1))*O$2</f>
        <v>0</v>
      </c>
      <c r="CY54" s="5">
        <f ca="1">SUM(OFFSET(Demand!$H$43,ROW(C51)-1,(COLUMN(C51)-1)*5,1,1))*P$2</f>
        <v>0</v>
      </c>
      <c r="CZ54" s="5">
        <f ca="1">SUM(OFFSET(Demand!$H$43,ROW(D51)-1,(COLUMN(D51)-1)*5,1,1))*Q$2</f>
        <v>0</v>
      </c>
      <c r="DA54" s="5">
        <f ca="1">SUM(OFFSET(Demand!$H$43,ROW(E51)-1,(COLUMN(E51)-1)*5,1,1))*R$2</f>
        <v>0</v>
      </c>
      <c r="DB54" s="5">
        <f ca="1">SUM(OFFSET(Demand!$H$43,ROW(F51)-1,(COLUMN(F51)-1)*5,1,1))*S$2</f>
        <v>0</v>
      </c>
      <c r="DC54" s="5">
        <f ca="1">SUM(OFFSET(Demand!$H$43,ROW(G51)-1,(COLUMN(G51)-1)*5,1,1))*T$2</f>
        <v>0</v>
      </c>
      <c r="DD54" s="5">
        <f ca="1">SUM(OFFSET(Demand!$H$43,ROW(H51)-1,(COLUMN(H51)-1)*5,1,1))*U$2</f>
        <v>0</v>
      </c>
      <c r="DE54" s="5">
        <f ca="1">SUM(OFFSET(Demand!$H$43,ROW(I51)-1,(COLUMN(I51)-1)*5,1,1))*V$2</f>
        <v>0</v>
      </c>
      <c r="DF54" s="5">
        <f ca="1">SUM(OFFSET(Demand!$H$43,ROW(J51)-1,(COLUMN(J51)-1)*5,1,1))*W$2</f>
        <v>0</v>
      </c>
      <c r="DG54" s="5">
        <f ca="1">IF(OR(AN54&lt;&gt;"",AND('Demand adjustments for Covid'!$F$9="Yes",'Demand adjustments for Covid'!$F$20="Yes")),"",SUM(CW54:DF54))</f>
        <v>0</v>
      </c>
      <c r="DM54" s="5">
        <f t="shared" si="10"/>
        <v>13</v>
      </c>
      <c r="DN54" s="320">
        <f t="shared" si="17"/>
        <v>44284</v>
      </c>
      <c r="DO54" s="5">
        <f ca="1">VLOOKUP(IF($DM54&lt;53,$DM54,52),'Summary Calculations (hide)'!$D$15:$F$67,2,0)</f>
        <v>146</v>
      </c>
      <c r="DP54" s="5">
        <f ca="1">VLOOKUP(IF($DM54&lt;53,$DM54,52),'Summary Calculations (hide)'!$D$15:$F$67,3,0)</f>
        <v>160.60000000000002</v>
      </c>
      <c r="DQ54" s="5">
        <f ca="1">IF(AND(DN54&gt;='Demand adjustments for Covid'!$F$12,DN54&lt;'Demand adjustments for Covid'!$F$17),'Demand adjustments for Covid'!$F$13,DO54)</f>
        <v>146</v>
      </c>
      <c r="DR54" s="5">
        <f t="shared" si="33"/>
        <v>0</v>
      </c>
      <c r="DS54" s="5">
        <f ca="1">IF('Demand adjustments for Covid'!$F$9="Yes",IF(DR54=0,DQ54,((SUM(DR$4:DR54)-1)*$EE$8)+'Demand adjustments for Covid'!F$13),'Demand background (hide)'!DO54)</f>
        <v>146</v>
      </c>
      <c r="DT54" s="5">
        <f ca="1">IF('Demand adjustments for Covid'!$F$9="Yes",IF(OR(AND(DN54&gt;='Demand adjustments for Covid'!$F$12,DN54&lt;'Demand adjustments for Covid'!$F$17),DR54=1),DS54+3,DP54),'Demand background (hide)'!DP54)</f>
        <v>160.60000000000002</v>
      </c>
      <c r="DU54" s="5">
        <f ca="1">IF(DS54&lt;='Demand adjustments for Covid'!$F$17,DO54-DS54,0)</f>
        <v>0</v>
      </c>
      <c r="DV54" s="5">
        <f ca="1">IF(AND(ROW(A51)&gt;$EE$5,ROW(A51)&lt;=$EA$5),OFFSET('Demand adjustments for Covid'!$F$35,0,ROW(A51)-'Demand background (hide)'!$EE$5,1,1),0)</f>
        <v>0</v>
      </c>
      <c r="DW54" s="5">
        <f ca="1">IF(AND(ROW(A51)&gt;$EE$5,ROW(A51)&lt;=$EA$5),OFFSET('Demand adjustments for Covid'!$F$36,0,ROW(A51)-'Demand background (hide)'!$EE$5,1,1),0)</f>
        <v>0</v>
      </c>
      <c r="DX54" s="5">
        <f t="shared" ca="1" si="11"/>
        <v>160.60000000000002</v>
      </c>
    </row>
    <row r="55" spans="1:132" s="5" customFormat="1" x14ac:dyDescent="0.25">
      <c r="A55" s="5">
        <f t="shared" ca="1" si="32"/>
        <v>0</v>
      </c>
      <c r="B55" s="5">
        <f ca="1">COUNTBLANK(OFFSET(Demand!$I64,0,(COLUMN(A52)-1)*5,1,1))</f>
        <v>0</v>
      </c>
      <c r="C55" s="5">
        <f ca="1">COUNTBLANK(OFFSET(Demand!$I64,0,(COLUMN(B52)-1)*5,1,1))</f>
        <v>1</v>
      </c>
      <c r="D55" s="5">
        <f ca="1">COUNTBLANK(OFFSET(Demand!$I64,0,(COLUMN(C52)-1)*5,1,1))</f>
        <v>1</v>
      </c>
      <c r="E55" s="5">
        <f ca="1">COUNTBLANK(OFFSET(Demand!$I64,0,(COLUMN(D52)-1)*5,1,1))</f>
        <v>1</v>
      </c>
      <c r="F55" s="5">
        <f ca="1">COUNTBLANK(OFFSET(Demand!$I64,0,(COLUMN(E52)-1)*5,1,1))</f>
        <v>1</v>
      </c>
      <c r="G55" s="5">
        <f ca="1">COUNTBLANK(OFFSET(Demand!$I64,0,(COLUMN(F52)-1)*5,1,1))</f>
        <v>1</v>
      </c>
      <c r="H55" s="5">
        <f ca="1">COUNTBLANK(OFFSET(Demand!$I64,0,(COLUMN(G52)-1)*5,1,1))</f>
        <v>1</v>
      </c>
      <c r="I55" s="5">
        <f ca="1">COUNTBLANK(OFFSET(Demand!$I64,0,(COLUMN(H52)-1)*5,1,1))</f>
        <v>1</v>
      </c>
      <c r="J55" s="5">
        <f ca="1">COUNTBLANK(OFFSET(Demand!$I64,0,(COLUMN(I52)-1)*5,1,1))</f>
        <v>1</v>
      </c>
      <c r="K55" s="5">
        <f ca="1">COUNTBLANK(OFFSET(Demand!$I64,0,(COLUMN(J52)-1)*5,1,1))</f>
        <v>1</v>
      </c>
      <c r="N55" s="5">
        <f ca="1">SUM(OFFSET(Demand!$E64,0,(COLUMN(A52)-1)*5,1,3))*N$2</f>
        <v>130</v>
      </c>
      <c r="O55" s="5">
        <f ca="1">SUM(OFFSET(Demand!$E64,0,(COLUMN(B52)-1)*5,1,3))*O$2</f>
        <v>0</v>
      </c>
      <c r="P55" s="5">
        <f ca="1">SUM(OFFSET(Demand!$E64,0,(COLUMN(C52)-1)*5,1,3))*P$2</f>
        <v>0</v>
      </c>
      <c r="Q55" s="5">
        <f ca="1">SUM(OFFSET(Demand!$E64,0,(COLUMN(D52)-1)*5,1,3))*Q$2</f>
        <v>0</v>
      </c>
      <c r="R55" s="5">
        <f ca="1">SUM(OFFSET(Demand!$E64,0,(COLUMN(E52)-1)*5,1,3))*R$2</f>
        <v>0</v>
      </c>
      <c r="S55" s="5">
        <f ca="1">SUM(OFFSET(Demand!$E64,0,(COLUMN(F52)-1)*5,1,3))*S$2</f>
        <v>0</v>
      </c>
      <c r="T55" s="5">
        <f ca="1">SUM(OFFSET(Demand!$E64,0,(COLUMN(G52)-1)*5,1,3))*T$2</f>
        <v>0</v>
      </c>
      <c r="U55" s="5">
        <f ca="1">SUM(OFFSET(Demand!$E64,0,(COLUMN(H52)-1)*5,1,3))*U$2</f>
        <v>0</v>
      </c>
      <c r="V55" s="5">
        <f ca="1">SUM(OFFSET(Demand!$E64,0,(COLUMN(I52)-1)*5,1,3))*V$2</f>
        <v>0</v>
      </c>
      <c r="W55" s="5">
        <f ca="1">SUM(OFFSET(Demand!$E64,0,(COLUMN(J52)-1)*5,1,3))*W$2</f>
        <v>0</v>
      </c>
      <c r="X55" s="5">
        <f t="shared" ca="1" si="4"/>
        <v>130</v>
      </c>
      <c r="Y55" s="5">
        <f t="shared" ca="1" si="5"/>
        <v>130</v>
      </c>
      <c r="Z55" s="5">
        <f ca="1">SUM(OFFSET(Demand!$H64,0,(COLUMN(A52)-1)*5,1,1))*N$2</f>
        <v>0</v>
      </c>
      <c r="AA55" s="5">
        <f ca="1">SUM(OFFSET(Demand!$H64,0,(COLUMN(B52)-1)*5,1,1))*O$2</f>
        <v>0</v>
      </c>
      <c r="AB55" s="5">
        <f ca="1">SUM(OFFSET(Demand!$H64,0,(COLUMN(C52)-1)*5,1,1))*P$2</f>
        <v>0</v>
      </c>
      <c r="AC55" s="5">
        <f ca="1">SUM(OFFSET(Demand!$H64,0,(COLUMN(D52)-1)*5,1,1))*Q$2</f>
        <v>0</v>
      </c>
      <c r="AD55" s="5">
        <f ca="1">SUM(OFFSET(Demand!$H64,0,(COLUMN(E52)-1)*5,1,1))*R$2</f>
        <v>0</v>
      </c>
      <c r="AE55" s="5">
        <f ca="1">SUM(OFFSET(Demand!$H64,0,(COLUMN(F52)-1)*5,1,1))*S$2</f>
        <v>0</v>
      </c>
      <c r="AF55" s="5">
        <f ca="1">SUM(OFFSET(Demand!$H64,0,(COLUMN(G52)-1)*5,1,1))*T$2</f>
        <v>0</v>
      </c>
      <c r="AG55" s="5">
        <f ca="1">SUM(OFFSET(Demand!$H64,0,(COLUMN(H52)-1)*5,1,1))*U$2</f>
        <v>0</v>
      </c>
      <c r="AH55" s="5">
        <f ca="1">SUM(OFFSET(Demand!$H64,0,(COLUMN(I52)-1)*5,1,1))*V$2</f>
        <v>0</v>
      </c>
      <c r="AI55" s="5">
        <f ca="1">SUM(OFFSET(Demand!$H64,0,(COLUMN(J52)-1)*5,1,1))*W$2</f>
        <v>0</v>
      </c>
      <c r="AJ55" s="5">
        <f t="shared" ca="1" si="6"/>
        <v>0</v>
      </c>
      <c r="AL55" s="5">
        <f t="shared" ca="1" si="8"/>
        <v>130</v>
      </c>
      <c r="AM55" s="5">
        <f t="shared" ca="1" si="9"/>
        <v>0</v>
      </c>
      <c r="AN55" s="5" t="str">
        <f>IF(Demand!BE64="Yes","Yes","")</f>
        <v/>
      </c>
      <c r="AP55" s="36" t="str">
        <f ca="1">Demand!B64</f>
        <v xml:space="preserve"> </v>
      </c>
      <c r="AQ55" s="5" t="str">
        <f ca="1">IF(TEXT(Demand!D64,"MMM")&lt;&gt;TEXT(Demand!D63,"MMM"),TEXT(Demand!D64,"MMM"),"")</f>
        <v/>
      </c>
      <c r="AT55" s="5">
        <f t="shared" ca="1" si="12"/>
        <v>16</v>
      </c>
      <c r="BQ55">
        <f ca="1">IF($AN55="",OFFSET(Demand!$A$13,ROW(A52)-1,4+((QUOTIENT(COLUMN(BQ$2)-69,3))*5)+MOD(COLUMN(BQ$2),3),1,1),"")</f>
        <v>0</v>
      </c>
      <c r="BR55">
        <f ca="1">IF($AN55="",OFFSET(Demand!$A$13,ROW(B52)-1,4+((QUOTIENT(COLUMN(BR$2)-69,3))*5)+MOD(COLUMN(BR$2),3),1,1),"")</f>
        <v>0</v>
      </c>
      <c r="BS55">
        <f ca="1">IF($AN55="",OFFSET(Demand!$A$13,ROW(C52)-1,4+((QUOTIENT(COLUMN(BS$2)-69,3))*5)+MOD(COLUMN(BS$2),3),1,1),"")</f>
        <v>65</v>
      </c>
      <c r="BT55">
        <f ca="1">IF($AN55="",OFFSET(Demand!$A$13,ROW(D52)-1,4+((QUOTIENT(COLUMN(BT$2)-69,3))*5)+MOD(COLUMN(BT$2),3),1,1),"")</f>
        <v>0</v>
      </c>
      <c r="BU55">
        <f ca="1">IF($AN55="",OFFSET(Demand!$A$13,ROW(E52)-1,4+((QUOTIENT(COLUMN(BU$2)-69,3))*5)+MOD(COLUMN(BU$2),3),1,1),"")</f>
        <v>0</v>
      </c>
      <c r="BV55">
        <f ca="1">IF($AN55="",OFFSET(Demand!$A$13,ROW(F52)-1,4+((QUOTIENT(COLUMN(BV$2)-69,3))*5)+MOD(COLUMN(BV$2),3),1,1),"")</f>
        <v>0</v>
      </c>
      <c r="BW55">
        <f ca="1">IF($AN55="",OFFSET(Demand!$A$13,ROW(G52)-1,4+((QUOTIENT(COLUMN(BW$2)-69,3))*5)+MOD(COLUMN(BW$2),3),1,1),"")</f>
        <v>0</v>
      </c>
      <c r="BX55">
        <f ca="1">IF($AN55="",OFFSET(Demand!$A$13,ROW(H52)-1,4+((QUOTIENT(COLUMN(BX$2)-69,3))*5)+MOD(COLUMN(BX$2),3),1,1),"")</f>
        <v>0</v>
      </c>
      <c r="BY55">
        <f ca="1">IF($AN55="",OFFSET(Demand!$A$13,ROW(I52)-1,4+((QUOTIENT(COLUMN(BY$2)-69,3))*5)+MOD(COLUMN(BY$2),3),1,1),"")</f>
        <v>0</v>
      </c>
      <c r="BZ55">
        <f ca="1">IF($AN55="",OFFSET(Demand!$A$13,ROW(J52)-1,4+((QUOTIENT(COLUMN(BZ$2)-69,3))*5)+MOD(COLUMN(BZ$2),3),1,1),"")</f>
        <v>0</v>
      </c>
      <c r="CA55">
        <f ca="1">IF($AN55="",OFFSET(Demand!$A$13,ROW(K52)-1,4+((QUOTIENT(COLUMN(CA$2)-69,3))*5)+MOD(COLUMN(CA$2),3),1,1),"")</f>
        <v>0</v>
      </c>
      <c r="CB55">
        <f ca="1">IF($AN55="",OFFSET(Demand!$A$13,ROW(L52)-1,4+((QUOTIENT(COLUMN(CB$2)-69,3))*5)+MOD(COLUMN(CB$2),3),1,1),"")</f>
        <v>0</v>
      </c>
      <c r="CC55">
        <f ca="1">IF($AN55="",OFFSET(Demand!$A$13,ROW(M52)-1,4+((QUOTIENT(COLUMN(CC$2)-69,3))*5)+MOD(COLUMN(CC$2),3),1,1),"")</f>
        <v>0</v>
      </c>
      <c r="CD55">
        <f ca="1">IF($AN55="",OFFSET(Demand!$A$13,ROW(N52)-1,4+((QUOTIENT(COLUMN(CD$2)-69,3))*5)+MOD(COLUMN(CD$2),3),1,1),"")</f>
        <v>0</v>
      </c>
      <c r="CE55">
        <f ca="1">IF($AN55="",OFFSET(Demand!$A$13,ROW(O52)-1,4+((QUOTIENT(COLUMN(CE$2)-69,3))*5)+MOD(COLUMN(CE$2),3),1,1),"")</f>
        <v>0</v>
      </c>
      <c r="CF55">
        <f ca="1">IF($AN55="",OFFSET(Demand!$A$13,ROW(P52)-1,4+((QUOTIENT(COLUMN(CF$2)-69,3))*5)+MOD(COLUMN(CF$2),3),1,1),"")</f>
        <v>0</v>
      </c>
      <c r="CG55">
        <f ca="1">IF($AN55="",OFFSET(Demand!$A$13,ROW(Q52)-1,4+((QUOTIENT(COLUMN(CG$2)-69,3))*5)+MOD(COLUMN(CG$2),3),1,1),"")</f>
        <v>0</v>
      </c>
      <c r="CH55">
        <f ca="1">IF($AN55="",OFFSET(Demand!$A$13,ROW(R52)-1,4+((QUOTIENT(COLUMN(CH$2)-69,3))*5)+MOD(COLUMN(CH$2),3),1,1),"")</f>
        <v>0</v>
      </c>
      <c r="CI55">
        <f ca="1">IF($AN55="",OFFSET(Demand!$A$13,ROW(S52)-1,4+((QUOTIENT(COLUMN(CI$2)-69,3))*5)+MOD(COLUMN(CI$2),3),1,1),"")</f>
        <v>0</v>
      </c>
      <c r="CJ55">
        <f ca="1">IF($AN55="",OFFSET(Demand!$A$13,ROW(T52)-1,4+((QUOTIENT(COLUMN(CJ$2)-69,3))*5)+MOD(COLUMN(CJ$2),3),1,1),"")</f>
        <v>0</v>
      </c>
      <c r="CK55">
        <f ca="1">IF($AN55="",OFFSET(Demand!$A$13,ROW(U52)-1,4+((QUOTIENT(COLUMN(CK$2)-69,3))*5)+MOD(COLUMN(CK$2),3),1,1),"")</f>
        <v>0</v>
      </c>
      <c r="CL55">
        <f ca="1">IF($AN55="",OFFSET(Demand!$A$13,ROW(V52)-1,4+((QUOTIENT(COLUMN(CL$2)-69,3))*5)+MOD(COLUMN(CL$2),3),1,1),"")</f>
        <v>0</v>
      </c>
      <c r="CM55">
        <f ca="1">IF($AN55="",OFFSET(Demand!$A$13,ROW(W52)-1,4+((QUOTIENT(COLUMN(CM$2)-69,3))*5)+MOD(COLUMN(CM$2),3),1,1),"")</f>
        <v>0</v>
      </c>
      <c r="CN55">
        <f ca="1">IF($AN55="",OFFSET(Demand!$A$13,ROW(X52)-1,4+((QUOTIENT(COLUMN(CN$2)-69,3))*5)+MOD(COLUMN(CN$2),3),1,1),"")</f>
        <v>0</v>
      </c>
      <c r="CO55">
        <f ca="1">IF($AN55="",OFFSET(Demand!$A$13,ROW(Y52)-1,4+((QUOTIENT(COLUMN(CO$2)-69,3))*5)+MOD(COLUMN(CO$2),3),1,1),"")</f>
        <v>0</v>
      </c>
      <c r="CP55">
        <f ca="1">IF($AN55="",OFFSET(Demand!$A$13,ROW(Z52)-1,4+((QUOTIENT(COLUMN(CP$2)-69,3))*5)+MOD(COLUMN(CP$2),3),1,1),"")</f>
        <v>0</v>
      </c>
      <c r="CQ55">
        <f ca="1">IF($AN55="",OFFSET(Demand!$A$13,ROW(AA52)-1,4+((QUOTIENT(COLUMN(CQ$2)-69,3))*5)+MOD(COLUMN(CQ$2),3),1,1),"")</f>
        <v>0</v>
      </c>
      <c r="CR55">
        <f ca="1">IF($AN55="",OFFSET(Demand!$A$13,ROW(AB52)-1,4+((QUOTIENT(COLUMN(CR$2)-69,3))*5)+MOD(COLUMN(CR$2),3),1,1),"")</f>
        <v>0</v>
      </c>
      <c r="CS55">
        <f ca="1">IF($AN55="",OFFSET(Demand!$A$13,ROW(AC52)-1,4+((QUOTIENT(COLUMN(CS$2)-69,3))*5)+MOD(COLUMN(CS$2),3),1,1),"")</f>
        <v>0</v>
      </c>
      <c r="CT55">
        <f ca="1">IF($AN55="",OFFSET(Demand!$A$13,ROW(AD52)-1,4+((QUOTIENT(COLUMN(CT$2)-69,3))*5)+MOD(COLUMN(CT$2),3),1,1),"")</f>
        <v>0</v>
      </c>
      <c r="CW55" s="5">
        <f ca="1">SUM(OFFSET(Demand!$H$43,ROW(A52)-1,(COLUMN(A52)-1)*5,1,1))*N$2</f>
        <v>0</v>
      </c>
      <c r="CX55" s="5">
        <f ca="1">SUM(OFFSET(Demand!$H$43,ROW(B52)-1,(COLUMN(B52)-1)*5,1,1))*O$2</f>
        <v>0</v>
      </c>
      <c r="CY55" s="5">
        <f ca="1">SUM(OFFSET(Demand!$H$43,ROW(C52)-1,(COLUMN(C52)-1)*5,1,1))*P$2</f>
        <v>0</v>
      </c>
      <c r="CZ55" s="5">
        <f ca="1">SUM(OFFSET(Demand!$H$43,ROW(D52)-1,(COLUMN(D52)-1)*5,1,1))*Q$2</f>
        <v>0</v>
      </c>
      <c r="DA55" s="5">
        <f ca="1">SUM(OFFSET(Demand!$H$43,ROW(E52)-1,(COLUMN(E52)-1)*5,1,1))*R$2</f>
        <v>0</v>
      </c>
      <c r="DB55" s="5">
        <f ca="1">SUM(OFFSET(Demand!$H$43,ROW(F52)-1,(COLUMN(F52)-1)*5,1,1))*S$2</f>
        <v>0</v>
      </c>
      <c r="DC55" s="5">
        <f ca="1">SUM(OFFSET(Demand!$H$43,ROW(G52)-1,(COLUMN(G52)-1)*5,1,1))*T$2</f>
        <v>0</v>
      </c>
      <c r="DD55" s="5">
        <f ca="1">SUM(OFFSET(Demand!$H$43,ROW(H52)-1,(COLUMN(H52)-1)*5,1,1))*U$2</f>
        <v>0</v>
      </c>
      <c r="DE55" s="5">
        <f ca="1">SUM(OFFSET(Demand!$H$43,ROW(I52)-1,(COLUMN(I52)-1)*5,1,1))*V$2</f>
        <v>0</v>
      </c>
      <c r="DF55" s="5">
        <f ca="1">SUM(OFFSET(Demand!$H$43,ROW(J52)-1,(COLUMN(J52)-1)*5,1,1))*W$2</f>
        <v>0</v>
      </c>
      <c r="DG55" s="5">
        <f ca="1">IF(OR(AN55&lt;&gt;"",AND('Demand adjustments for Covid'!$F$9="Yes",'Demand adjustments for Covid'!$F$20="Yes")),"",SUM(CW55:DF55))</f>
        <v>0</v>
      </c>
      <c r="DM55" s="5">
        <f t="shared" si="10"/>
        <v>14</v>
      </c>
      <c r="DN55" s="320">
        <f t="shared" si="17"/>
        <v>44291</v>
      </c>
      <c r="DO55" s="5">
        <f ca="1">VLOOKUP(IF($DM55&lt;53,$DM55,52),'Summary Calculations (hide)'!$D$15:$F$67,2,0)</f>
        <v>130</v>
      </c>
      <c r="DP55" s="5">
        <f ca="1">VLOOKUP(IF($DM55&lt;53,$DM55,52),'Summary Calculations (hide)'!$D$15:$F$67,3,0)</f>
        <v>143</v>
      </c>
      <c r="DQ55" s="5">
        <f ca="1">IF(AND(DN55&gt;='Demand adjustments for Covid'!$F$12,DN55&lt;'Demand adjustments for Covid'!$F$17),'Demand adjustments for Covid'!$F$13,DO55)</f>
        <v>130</v>
      </c>
      <c r="DR55" s="5">
        <f t="shared" si="33"/>
        <v>0</v>
      </c>
      <c r="DS55" s="5">
        <f ca="1">IF('Demand adjustments for Covid'!$F$9="Yes",IF(DR55=0,DQ55,((SUM(DR$4:DR55)-1)*$EE$8)+'Demand adjustments for Covid'!F$13),'Demand background (hide)'!DO55)</f>
        <v>130</v>
      </c>
      <c r="DT55" s="5">
        <f ca="1">IF('Demand adjustments for Covid'!$F$9="Yes",IF(OR(AND(DN55&gt;='Demand adjustments for Covid'!$F$12,DN55&lt;'Demand adjustments for Covid'!$F$17),DR55=1),DS55+3,DP55),'Demand background (hide)'!DP55)</f>
        <v>143</v>
      </c>
      <c r="DU55" s="5">
        <f ca="1">IF(DS55&lt;='Demand adjustments for Covid'!$F$17,DO55-DS55,0)</f>
        <v>0</v>
      </c>
      <c r="DV55" s="5">
        <f ca="1">IF(AND(ROW(A52)&gt;$EE$5,ROW(A52)&lt;=$EA$5),OFFSET('Demand adjustments for Covid'!$F$35,0,ROW(A52)-'Demand background (hide)'!$EE$5,1,1),0)</f>
        <v>0</v>
      </c>
      <c r="DW55" s="5">
        <f ca="1">IF(AND(ROW(A52)&gt;$EE$5,ROW(A52)&lt;=$EA$5),OFFSET('Demand adjustments for Covid'!$F$36,0,ROW(A52)-'Demand background (hide)'!$EE$5,1,1),0)</f>
        <v>0</v>
      </c>
      <c r="DX55" s="5">
        <f t="shared" ca="1" si="11"/>
        <v>143</v>
      </c>
    </row>
    <row r="56" spans="1:132" x14ac:dyDescent="0.25">
      <c r="A56" s="5">
        <f t="shared" ref="A56:A119" ca="1" si="34">SUM(OFFSET(B56,0,0,1,Num_Modalities))</f>
        <v>1</v>
      </c>
      <c r="B56" s="5">
        <f ca="1">COUNTBLANK(OFFSET(Demand!$I65,0,(COLUMN(A53)-1)*5,1,1))</f>
        <v>1</v>
      </c>
      <c r="C56" s="5">
        <f ca="1">COUNTBLANK(OFFSET(Demand!$I65,0,(COLUMN(B53)-1)*5,1,1))</f>
        <v>1</v>
      </c>
      <c r="D56" s="5">
        <f ca="1">COUNTBLANK(OFFSET(Demand!$I65,0,(COLUMN(C53)-1)*5,1,1))</f>
        <v>1</v>
      </c>
      <c r="E56" s="5">
        <f ca="1">COUNTBLANK(OFFSET(Demand!$I65,0,(COLUMN(D53)-1)*5,1,1))</f>
        <v>1</v>
      </c>
      <c r="F56" s="5">
        <f ca="1">COUNTBLANK(OFFSET(Demand!$I65,0,(COLUMN(E53)-1)*5,1,1))</f>
        <v>1</v>
      </c>
      <c r="G56" s="5">
        <f ca="1">COUNTBLANK(OFFSET(Demand!$I65,0,(COLUMN(F53)-1)*5,1,1))</f>
        <v>1</v>
      </c>
      <c r="H56" s="5">
        <f ca="1">COUNTBLANK(OFFSET(Demand!$I65,0,(COLUMN(G53)-1)*5,1,1))</f>
        <v>1</v>
      </c>
      <c r="I56" s="5">
        <f ca="1">COUNTBLANK(OFFSET(Demand!$I65,0,(COLUMN(H53)-1)*5,1,1))</f>
        <v>1</v>
      </c>
      <c r="J56" s="5">
        <f ca="1">COUNTBLANK(OFFSET(Demand!$I65,0,(COLUMN(I53)-1)*5,1,1))</f>
        <v>1</v>
      </c>
      <c r="K56" s="5">
        <f ca="1">COUNTBLANK(OFFSET(Demand!$I65,0,(COLUMN(J53)-1)*5,1,1))</f>
        <v>1</v>
      </c>
      <c r="N56" s="5">
        <f ca="1">SUM(OFFSET(Demand!$E65,0,(COLUMN(A53)-1)*5,1,3))*N$2</f>
        <v>0</v>
      </c>
      <c r="O56" s="5">
        <f ca="1">SUM(OFFSET(Demand!$E65,0,(COLUMN(B53)-1)*5,1,3))*O$2</f>
        <v>0</v>
      </c>
      <c r="P56" s="5">
        <f ca="1">SUM(OFFSET(Demand!$E65,0,(COLUMN(C53)-1)*5,1,3))*P$2</f>
        <v>0</v>
      </c>
      <c r="Q56" s="5">
        <f ca="1">SUM(OFFSET(Demand!$E65,0,(COLUMN(D53)-1)*5,1,3))*Q$2</f>
        <v>0</v>
      </c>
      <c r="R56" s="5">
        <f ca="1">SUM(OFFSET(Demand!$E65,0,(COLUMN(E53)-1)*5,1,3))*R$2</f>
        <v>0</v>
      </c>
      <c r="S56" s="5">
        <f ca="1">SUM(OFFSET(Demand!$E65,0,(COLUMN(F53)-1)*5,1,3))*S$2</f>
        <v>0</v>
      </c>
      <c r="T56" s="5">
        <f ca="1">SUM(OFFSET(Demand!$E65,0,(COLUMN(G53)-1)*5,1,3))*T$2</f>
        <v>0</v>
      </c>
      <c r="U56" s="5">
        <f ca="1">SUM(OFFSET(Demand!$E65,0,(COLUMN(H53)-1)*5,1,3))*U$2</f>
        <v>0</v>
      </c>
      <c r="V56" s="5">
        <f ca="1">SUM(OFFSET(Demand!$E65,0,(COLUMN(I53)-1)*5,1,3))*V$2</f>
        <v>0</v>
      </c>
      <c r="W56" s="5">
        <f ca="1">SUM(OFFSET(Demand!$E65,0,(COLUMN(J53)-1)*5,1,3))*W$2</f>
        <v>0</v>
      </c>
      <c r="X56" s="5">
        <f t="shared" ca="1" si="4"/>
        <v>0</v>
      </c>
      <c r="Y56">
        <f t="shared" ca="1" si="5"/>
        <v>0</v>
      </c>
      <c r="Z56" s="5">
        <f ca="1">SUM(OFFSET(Demand!$H65,0,(COLUMN(A53)-1)*5,1,1))*N$2</f>
        <v>0</v>
      </c>
      <c r="AA56" s="5">
        <f ca="1">SUM(OFFSET(Demand!$H65,0,(COLUMN(B53)-1)*5,1,1))*O$2</f>
        <v>0</v>
      </c>
      <c r="AB56" s="5">
        <f ca="1">SUM(OFFSET(Demand!$H65,0,(COLUMN(C53)-1)*5,1,1))*P$2</f>
        <v>0</v>
      </c>
      <c r="AC56" s="5">
        <f ca="1">SUM(OFFSET(Demand!$H65,0,(COLUMN(D53)-1)*5,1,1))*Q$2</f>
        <v>0</v>
      </c>
      <c r="AD56" s="5">
        <f ca="1">SUM(OFFSET(Demand!$H65,0,(COLUMN(E53)-1)*5,1,1))*R$2</f>
        <v>0</v>
      </c>
      <c r="AE56" s="5">
        <f ca="1">SUM(OFFSET(Demand!$H65,0,(COLUMN(F53)-1)*5,1,1))*S$2</f>
        <v>0</v>
      </c>
      <c r="AF56" s="5">
        <f ca="1">SUM(OFFSET(Demand!$H65,0,(COLUMN(G53)-1)*5,1,1))*T$2</f>
        <v>0</v>
      </c>
      <c r="AG56" s="5">
        <f ca="1">SUM(OFFSET(Demand!$H65,0,(COLUMN(H53)-1)*5,1,1))*U$2</f>
        <v>0</v>
      </c>
      <c r="AH56" s="5">
        <f ca="1">SUM(OFFSET(Demand!$H65,0,(COLUMN(I53)-1)*5,1,1))*V$2</f>
        <v>0</v>
      </c>
      <c r="AI56" s="5">
        <f ca="1">SUM(OFFSET(Demand!$H65,0,(COLUMN(J53)-1)*5,1,1))*W$2</f>
        <v>0</v>
      </c>
      <c r="AJ56" s="5">
        <f t="shared" ca="1" si="6"/>
        <v>0</v>
      </c>
      <c r="AL56" s="5">
        <f t="shared" ca="1" si="8"/>
        <v>0</v>
      </c>
      <c r="AM56" s="5">
        <f t="shared" ca="1" si="9"/>
        <v>0</v>
      </c>
      <c r="AN56" s="5" t="str">
        <f>IF(Demand!BE65="Yes","Yes","")</f>
        <v/>
      </c>
      <c r="AP56" s="36" t="str">
        <f ca="1">Demand!B65</f>
        <v xml:space="preserve"> </v>
      </c>
      <c r="AQ56" t="str">
        <f ca="1">IF(TEXT(Demand!D65,"MMM")&lt;&gt;TEXT(Demand!D64,"MMM"),TEXT(Demand!D65,"MMM"),"")</f>
        <v/>
      </c>
      <c r="AT56" s="5">
        <f t="shared" ca="1" si="12"/>
        <v>130</v>
      </c>
      <c r="BQ56">
        <f ca="1">IF($AN56="",OFFSET(Demand!$A$13,ROW(A53)-1,4+((QUOTIENT(COLUMN(BQ$2)-69,3))*5)+MOD(COLUMN(BQ$2),3),1,1),"")</f>
        <v>0</v>
      </c>
      <c r="BR56">
        <f ca="1">IF($AN56="",OFFSET(Demand!$A$13,ROW(B53)-1,4+((QUOTIENT(COLUMN(BR$2)-69,3))*5)+MOD(COLUMN(BR$2),3),1,1),"")</f>
        <v>0</v>
      </c>
      <c r="BS56">
        <f ca="1">IF($AN56="",OFFSET(Demand!$A$13,ROW(C53)-1,4+((QUOTIENT(COLUMN(BS$2)-69,3))*5)+MOD(COLUMN(BS$2),3),1,1),"")</f>
        <v>0</v>
      </c>
      <c r="BT56">
        <f ca="1">IF($AN56="",OFFSET(Demand!$A$13,ROW(D53)-1,4+((QUOTIENT(COLUMN(BT$2)-69,3))*5)+MOD(COLUMN(BT$2),3),1,1),"")</f>
        <v>0</v>
      </c>
      <c r="BU56">
        <f ca="1">IF($AN56="",OFFSET(Demand!$A$13,ROW(E53)-1,4+((QUOTIENT(COLUMN(BU$2)-69,3))*5)+MOD(COLUMN(BU$2),3),1,1),"")</f>
        <v>0</v>
      </c>
      <c r="BV56">
        <f ca="1">IF($AN56="",OFFSET(Demand!$A$13,ROW(F53)-1,4+((QUOTIENT(COLUMN(BV$2)-69,3))*5)+MOD(COLUMN(BV$2),3),1,1),"")</f>
        <v>0</v>
      </c>
      <c r="BW56">
        <f ca="1">IF($AN56="",OFFSET(Demand!$A$13,ROW(G53)-1,4+((QUOTIENT(COLUMN(BW$2)-69,3))*5)+MOD(COLUMN(BW$2),3),1,1),"")</f>
        <v>0</v>
      </c>
      <c r="BX56">
        <f ca="1">IF($AN56="",OFFSET(Demand!$A$13,ROW(H53)-1,4+((QUOTIENT(COLUMN(BX$2)-69,3))*5)+MOD(COLUMN(BX$2),3),1,1),"")</f>
        <v>0</v>
      </c>
      <c r="BY56">
        <f ca="1">IF($AN56="",OFFSET(Demand!$A$13,ROW(I53)-1,4+((QUOTIENT(COLUMN(BY$2)-69,3))*5)+MOD(COLUMN(BY$2),3),1,1),"")</f>
        <v>0</v>
      </c>
      <c r="BZ56">
        <f ca="1">IF($AN56="",OFFSET(Demand!$A$13,ROW(J53)-1,4+((QUOTIENT(COLUMN(BZ$2)-69,3))*5)+MOD(COLUMN(BZ$2),3),1,1),"")</f>
        <v>0</v>
      </c>
      <c r="CA56">
        <f ca="1">IF($AN56="",OFFSET(Demand!$A$13,ROW(K53)-1,4+((QUOTIENT(COLUMN(CA$2)-69,3))*5)+MOD(COLUMN(CA$2),3),1,1),"")</f>
        <v>0</v>
      </c>
      <c r="CB56">
        <f ca="1">IF($AN56="",OFFSET(Demand!$A$13,ROW(L53)-1,4+((QUOTIENT(COLUMN(CB$2)-69,3))*5)+MOD(COLUMN(CB$2),3),1,1),"")</f>
        <v>0</v>
      </c>
      <c r="CC56">
        <f ca="1">IF($AN56="",OFFSET(Demand!$A$13,ROW(M53)-1,4+((QUOTIENT(COLUMN(CC$2)-69,3))*5)+MOD(COLUMN(CC$2),3),1,1),"")</f>
        <v>0</v>
      </c>
      <c r="CD56">
        <f ca="1">IF($AN56="",OFFSET(Demand!$A$13,ROW(N53)-1,4+((QUOTIENT(COLUMN(CD$2)-69,3))*5)+MOD(COLUMN(CD$2),3),1,1),"")</f>
        <v>0</v>
      </c>
      <c r="CE56">
        <f ca="1">IF($AN56="",OFFSET(Demand!$A$13,ROW(O53)-1,4+((QUOTIENT(COLUMN(CE$2)-69,3))*5)+MOD(COLUMN(CE$2),3),1,1),"")</f>
        <v>0</v>
      </c>
      <c r="CF56">
        <f ca="1">IF($AN56="",OFFSET(Demand!$A$13,ROW(P53)-1,4+((QUOTIENT(COLUMN(CF$2)-69,3))*5)+MOD(COLUMN(CF$2),3),1,1),"")</f>
        <v>0</v>
      </c>
      <c r="CG56">
        <f ca="1">IF($AN56="",OFFSET(Demand!$A$13,ROW(Q53)-1,4+((QUOTIENT(COLUMN(CG$2)-69,3))*5)+MOD(COLUMN(CG$2),3),1,1),"")</f>
        <v>0</v>
      </c>
      <c r="CH56">
        <f ca="1">IF($AN56="",OFFSET(Demand!$A$13,ROW(R53)-1,4+((QUOTIENT(COLUMN(CH$2)-69,3))*5)+MOD(COLUMN(CH$2),3),1,1),"")</f>
        <v>0</v>
      </c>
      <c r="CI56">
        <f ca="1">IF($AN56="",OFFSET(Demand!$A$13,ROW(S53)-1,4+((QUOTIENT(COLUMN(CI$2)-69,3))*5)+MOD(COLUMN(CI$2),3),1,1),"")</f>
        <v>0</v>
      </c>
      <c r="CJ56">
        <f ca="1">IF($AN56="",OFFSET(Demand!$A$13,ROW(T53)-1,4+((QUOTIENT(COLUMN(CJ$2)-69,3))*5)+MOD(COLUMN(CJ$2),3),1,1),"")</f>
        <v>0</v>
      </c>
      <c r="CK56">
        <f ca="1">IF($AN56="",OFFSET(Demand!$A$13,ROW(U53)-1,4+((QUOTIENT(COLUMN(CK$2)-69,3))*5)+MOD(COLUMN(CK$2),3),1,1),"")</f>
        <v>0</v>
      </c>
      <c r="CL56">
        <f ca="1">IF($AN56="",OFFSET(Demand!$A$13,ROW(V53)-1,4+((QUOTIENT(COLUMN(CL$2)-69,3))*5)+MOD(COLUMN(CL$2),3),1,1),"")</f>
        <v>0</v>
      </c>
      <c r="CM56">
        <f ca="1">IF($AN56="",OFFSET(Demand!$A$13,ROW(W53)-1,4+((QUOTIENT(COLUMN(CM$2)-69,3))*5)+MOD(COLUMN(CM$2),3),1,1),"")</f>
        <v>0</v>
      </c>
      <c r="CN56">
        <f ca="1">IF($AN56="",OFFSET(Demand!$A$13,ROW(X53)-1,4+((QUOTIENT(COLUMN(CN$2)-69,3))*5)+MOD(COLUMN(CN$2),3),1,1),"")</f>
        <v>0</v>
      </c>
      <c r="CO56">
        <f ca="1">IF($AN56="",OFFSET(Demand!$A$13,ROW(Y53)-1,4+((QUOTIENT(COLUMN(CO$2)-69,3))*5)+MOD(COLUMN(CO$2),3),1,1),"")</f>
        <v>0</v>
      </c>
      <c r="CP56">
        <f ca="1">IF($AN56="",OFFSET(Demand!$A$13,ROW(Z53)-1,4+((QUOTIENT(COLUMN(CP$2)-69,3))*5)+MOD(COLUMN(CP$2),3),1,1),"")</f>
        <v>0</v>
      </c>
      <c r="CQ56">
        <f ca="1">IF($AN56="",OFFSET(Demand!$A$13,ROW(AA53)-1,4+((QUOTIENT(COLUMN(CQ$2)-69,3))*5)+MOD(COLUMN(CQ$2),3),1,1),"")</f>
        <v>0</v>
      </c>
      <c r="CR56">
        <f ca="1">IF($AN56="",OFFSET(Demand!$A$13,ROW(AB53)-1,4+((QUOTIENT(COLUMN(CR$2)-69,3))*5)+MOD(COLUMN(CR$2),3),1,1),"")</f>
        <v>0</v>
      </c>
      <c r="CS56">
        <f ca="1">IF($AN56="",OFFSET(Demand!$A$13,ROW(AC53)-1,4+((QUOTIENT(COLUMN(CS$2)-69,3))*5)+MOD(COLUMN(CS$2),3),1,1),"")</f>
        <v>0</v>
      </c>
      <c r="CT56">
        <f ca="1">IF($AN56="",OFFSET(Demand!$A$13,ROW(AD53)-1,4+((QUOTIENT(COLUMN(CT$2)-69,3))*5)+MOD(COLUMN(CT$2),3),1,1),"")</f>
        <v>0</v>
      </c>
      <c r="CW56" s="5">
        <f ca="1">SUM(OFFSET(Demand!$H$43,ROW(A53)-1,(COLUMN(A53)-1)*5,1,1))*N$2</f>
        <v>0</v>
      </c>
      <c r="CX56" s="5">
        <f ca="1">SUM(OFFSET(Demand!$H$43,ROW(B53)-1,(COLUMN(B53)-1)*5,1,1))*O$2</f>
        <v>0</v>
      </c>
      <c r="CY56" s="5">
        <f ca="1">SUM(OFFSET(Demand!$H$43,ROW(C53)-1,(COLUMN(C53)-1)*5,1,1))*P$2</f>
        <v>0</v>
      </c>
      <c r="CZ56" s="5">
        <f ca="1">SUM(OFFSET(Demand!$H$43,ROW(D53)-1,(COLUMN(D53)-1)*5,1,1))*Q$2</f>
        <v>0</v>
      </c>
      <c r="DA56" s="5">
        <f ca="1">SUM(OFFSET(Demand!$H$43,ROW(E53)-1,(COLUMN(E53)-1)*5,1,1))*R$2</f>
        <v>0</v>
      </c>
      <c r="DB56" s="5">
        <f ca="1">SUM(OFFSET(Demand!$H$43,ROW(F53)-1,(COLUMN(F53)-1)*5,1,1))*S$2</f>
        <v>0</v>
      </c>
      <c r="DC56" s="5">
        <f ca="1">SUM(OFFSET(Demand!$H$43,ROW(G53)-1,(COLUMN(G53)-1)*5,1,1))*T$2</f>
        <v>0</v>
      </c>
      <c r="DD56" s="5">
        <f ca="1">SUM(OFFSET(Demand!$H$43,ROW(H53)-1,(COLUMN(H53)-1)*5,1,1))*U$2</f>
        <v>0</v>
      </c>
      <c r="DE56" s="5">
        <f ca="1">SUM(OFFSET(Demand!$H$43,ROW(I53)-1,(COLUMN(I53)-1)*5,1,1))*V$2</f>
        <v>0</v>
      </c>
      <c r="DF56" s="5">
        <f ca="1">SUM(OFFSET(Demand!$H$43,ROW(J53)-1,(COLUMN(J53)-1)*5,1,1))*W$2</f>
        <v>0</v>
      </c>
      <c r="DG56" s="5">
        <f ca="1">IF(OR(AN56&lt;&gt;"",AND('Demand adjustments for Covid'!$F$9="Yes",'Demand adjustments for Covid'!$F$20="Yes")),"",SUM(CW56:DF56))</f>
        <v>0</v>
      </c>
      <c r="DM56" s="5">
        <f>IF(MAX(DM4:DM55)=53, WEEKNUM(DN56,21),53)</f>
        <v>15</v>
      </c>
      <c r="DN56" s="320">
        <f t="shared" si="17"/>
        <v>44298</v>
      </c>
      <c r="DO56" s="5">
        <f ca="1">VLOOKUP(IF($DM56&lt;53,$DM56,52),'Summary Calculations (hide)'!$D$15:$F$67,2,0)</f>
        <v>142</v>
      </c>
      <c r="DP56" s="5">
        <f ca="1">VLOOKUP(IF($DM56&lt;53,$DM56,52),'Summary Calculations (hide)'!$D$15:$F$67,3,0)</f>
        <v>155.30000000000001</v>
      </c>
      <c r="DQ56" s="5">
        <f ca="1">IF(AND(DN56&gt;='Demand adjustments for Covid'!$F$12,DN56&lt;'Demand adjustments for Covid'!$F$17),'Demand adjustments for Covid'!$F$13,DO56)</f>
        <v>142</v>
      </c>
      <c r="DR56" s="5">
        <f t="shared" ref="DR56" si="35">IF(AND(ROW(A53)&gt;=$EE$4,ROW(A53)&lt;=$EE$5),1,0)</f>
        <v>0</v>
      </c>
      <c r="DS56" s="5">
        <f ca="1">IF('Demand adjustments for Covid'!$F$9="Yes",IF(DR56=0,DQ56,((SUM(DR$4:DR56)-1)*$EE$8)+'Demand adjustments for Covid'!F$13),'Demand background (hide)'!DO56)</f>
        <v>142</v>
      </c>
      <c r="DT56" s="5">
        <f ca="1">IF('Demand adjustments for Covid'!$F$9="Yes",IF(OR(AND(DN56&gt;='Demand adjustments for Covid'!$F$12,DN56&lt;'Demand adjustments for Covid'!$F$17),DR56=1),DS56+3,DP56),'Demand background (hide)'!DP56)</f>
        <v>155.30000000000001</v>
      </c>
      <c r="DU56" s="5">
        <f ca="1">IF(DS56&lt;='Demand adjustments for Covid'!$F$17,DO56-DS56,0)</f>
        <v>0</v>
      </c>
      <c r="DV56" s="5">
        <f ca="1">IF(AND(ROW(A53)&gt;$EE$5,ROW(A53)&lt;=$EA$5),OFFSET('Demand adjustments for Covid'!$F$35,0,ROW(A53)-'Demand background (hide)'!$EE$5,1,1),0)</f>
        <v>0</v>
      </c>
      <c r="DW56" s="5">
        <f ca="1">IF(AND(ROW(A53)&gt;$EE$5,ROW(A53)&lt;=$EA$5),OFFSET('Demand adjustments for Covid'!$F$36,0,ROW(A53)-'Demand background (hide)'!$EE$5,1,1),0)</f>
        <v>0</v>
      </c>
      <c r="DX56" s="5">
        <f t="shared" ref="DX56" ca="1" si="36">SUM(DV56:DW56,DT56)</f>
        <v>155.30000000000001</v>
      </c>
      <c r="DY56" s="5"/>
      <c r="DZ56" s="5"/>
      <c r="EA56" s="5"/>
      <c r="EB56" s="5"/>
    </row>
    <row r="57" spans="1:132" x14ac:dyDescent="0.25">
      <c r="A57" s="5">
        <f t="shared" ca="1" si="34"/>
        <v>1</v>
      </c>
      <c r="B57" s="5">
        <f ca="1">COUNTBLANK(OFFSET(Demand!$I66,0,(COLUMN(A54)-1)*5,1,1))</f>
        <v>1</v>
      </c>
      <c r="C57" s="5">
        <f ca="1">COUNTBLANK(OFFSET(Demand!$I66,0,(COLUMN(B54)-1)*5,1,1))</f>
        <v>1</v>
      </c>
      <c r="D57" s="5">
        <f ca="1">COUNTBLANK(OFFSET(Demand!$I66,0,(COLUMN(C54)-1)*5,1,1))</f>
        <v>1</v>
      </c>
      <c r="E57" s="5">
        <f ca="1">COUNTBLANK(OFFSET(Demand!$I66,0,(COLUMN(D54)-1)*5,1,1))</f>
        <v>1</v>
      </c>
      <c r="F57" s="5">
        <f ca="1">COUNTBLANK(OFFSET(Demand!$I66,0,(COLUMN(E54)-1)*5,1,1))</f>
        <v>1</v>
      </c>
      <c r="G57" s="5">
        <f ca="1">COUNTBLANK(OFFSET(Demand!$I66,0,(COLUMN(F54)-1)*5,1,1))</f>
        <v>1</v>
      </c>
      <c r="H57" s="5">
        <f ca="1">COUNTBLANK(OFFSET(Demand!$I66,0,(COLUMN(G54)-1)*5,1,1))</f>
        <v>1</v>
      </c>
      <c r="I57" s="5">
        <f ca="1">COUNTBLANK(OFFSET(Demand!$I66,0,(COLUMN(H54)-1)*5,1,1))</f>
        <v>1</v>
      </c>
      <c r="J57" s="5">
        <f ca="1">COUNTBLANK(OFFSET(Demand!$I66,0,(COLUMN(I54)-1)*5,1,1))</f>
        <v>1</v>
      </c>
      <c r="K57" s="5">
        <f ca="1">COUNTBLANK(OFFSET(Demand!$I66,0,(COLUMN(J54)-1)*5,1,1))</f>
        <v>1</v>
      </c>
      <c r="N57" s="5">
        <f ca="1">SUM(OFFSET(Demand!$E66,0,(COLUMN(A54)-1)*5,1,3))*N$2</f>
        <v>0</v>
      </c>
      <c r="O57" s="5">
        <f ca="1">SUM(OFFSET(Demand!$E66,0,(COLUMN(B54)-1)*5,1,3))*O$2</f>
        <v>0</v>
      </c>
      <c r="P57" s="5">
        <f ca="1">SUM(OFFSET(Demand!$E66,0,(COLUMN(C54)-1)*5,1,3))*P$2</f>
        <v>0</v>
      </c>
      <c r="Q57" s="5">
        <f ca="1">SUM(OFFSET(Demand!$E66,0,(COLUMN(D54)-1)*5,1,3))*Q$2</f>
        <v>0</v>
      </c>
      <c r="R57" s="5">
        <f ca="1">SUM(OFFSET(Demand!$E66,0,(COLUMN(E54)-1)*5,1,3))*R$2</f>
        <v>0</v>
      </c>
      <c r="S57" s="5">
        <f ca="1">SUM(OFFSET(Demand!$E66,0,(COLUMN(F54)-1)*5,1,3))*S$2</f>
        <v>0</v>
      </c>
      <c r="T57" s="5">
        <f ca="1">SUM(OFFSET(Demand!$E66,0,(COLUMN(G54)-1)*5,1,3))*T$2</f>
        <v>0</v>
      </c>
      <c r="U57" s="5">
        <f ca="1">SUM(OFFSET(Demand!$E66,0,(COLUMN(H54)-1)*5,1,3))*U$2</f>
        <v>0</v>
      </c>
      <c r="V57" s="5">
        <f ca="1">SUM(OFFSET(Demand!$E66,0,(COLUMN(I54)-1)*5,1,3))*V$2</f>
        <v>0</v>
      </c>
      <c r="W57" s="5">
        <f ca="1">SUM(OFFSET(Demand!$E66,0,(COLUMN(J54)-1)*5,1,3))*W$2</f>
        <v>0</v>
      </c>
      <c r="X57" s="5">
        <f t="shared" ca="1" si="4"/>
        <v>0</v>
      </c>
      <c r="Y57">
        <f t="shared" ca="1" si="5"/>
        <v>0</v>
      </c>
      <c r="Z57" s="5">
        <f ca="1">SUM(OFFSET(Demand!$H66,0,(COLUMN(A54)-1)*5,1,1))*N$2</f>
        <v>0</v>
      </c>
      <c r="AA57" s="5">
        <f ca="1">SUM(OFFSET(Demand!$H66,0,(COLUMN(B54)-1)*5,1,1))*O$2</f>
        <v>0</v>
      </c>
      <c r="AB57" s="5">
        <f ca="1">SUM(OFFSET(Demand!$H66,0,(COLUMN(C54)-1)*5,1,1))*P$2</f>
        <v>0</v>
      </c>
      <c r="AC57" s="5">
        <f ca="1">SUM(OFFSET(Demand!$H66,0,(COLUMN(D54)-1)*5,1,1))*Q$2</f>
        <v>0</v>
      </c>
      <c r="AD57" s="5">
        <f ca="1">SUM(OFFSET(Demand!$H66,0,(COLUMN(E54)-1)*5,1,1))*R$2</f>
        <v>0</v>
      </c>
      <c r="AE57" s="5">
        <f ca="1">SUM(OFFSET(Demand!$H66,0,(COLUMN(F54)-1)*5,1,1))*S$2</f>
        <v>0</v>
      </c>
      <c r="AF57" s="5">
        <f ca="1">SUM(OFFSET(Demand!$H66,0,(COLUMN(G54)-1)*5,1,1))*T$2</f>
        <v>0</v>
      </c>
      <c r="AG57" s="5">
        <f ca="1">SUM(OFFSET(Demand!$H66,0,(COLUMN(H54)-1)*5,1,1))*U$2</f>
        <v>0</v>
      </c>
      <c r="AH57" s="5">
        <f ca="1">SUM(OFFSET(Demand!$H66,0,(COLUMN(I54)-1)*5,1,1))*V$2</f>
        <v>0</v>
      </c>
      <c r="AI57" s="5">
        <f ca="1">SUM(OFFSET(Demand!$H66,0,(COLUMN(J54)-1)*5,1,1))*W$2</f>
        <v>0</v>
      </c>
      <c r="AJ57" s="5">
        <f t="shared" ca="1" si="6"/>
        <v>0</v>
      </c>
      <c r="AL57" s="5">
        <f t="shared" ca="1" si="8"/>
        <v>0</v>
      </c>
      <c r="AM57" s="5">
        <f t="shared" ca="1" si="9"/>
        <v>0</v>
      </c>
      <c r="AN57" s="5" t="str">
        <f>IF(Demand!BE66="Yes","Yes","")</f>
        <v/>
      </c>
      <c r="AP57" s="36" t="str">
        <f ca="1">Demand!B66</f>
        <v xml:space="preserve"> </v>
      </c>
      <c r="AQ57" t="str">
        <f ca="1">IF(TEXT(Demand!D66,"MMM")&lt;&gt;TEXT(Demand!D65,"MMM"),TEXT(Demand!D66,"MMM"),"")</f>
        <v/>
      </c>
      <c r="AT57" s="5">
        <f t="shared" ca="1" si="12"/>
        <v>0</v>
      </c>
      <c r="BQ57">
        <f ca="1">IF($AN57="",OFFSET(Demand!$A$13,ROW(A54)-1,4+((QUOTIENT(COLUMN(BQ$2)-69,3))*5)+MOD(COLUMN(BQ$2),3),1,1),"")</f>
        <v>0</v>
      </c>
      <c r="BR57">
        <f ca="1">IF($AN57="",OFFSET(Demand!$A$13,ROW(B54)-1,4+((QUOTIENT(COLUMN(BR$2)-69,3))*5)+MOD(COLUMN(BR$2),3),1,1),"")</f>
        <v>0</v>
      </c>
      <c r="BS57">
        <f ca="1">IF($AN57="",OFFSET(Demand!$A$13,ROW(C54)-1,4+((QUOTIENT(COLUMN(BS$2)-69,3))*5)+MOD(COLUMN(BS$2),3),1,1),"")</f>
        <v>0</v>
      </c>
      <c r="BT57">
        <f ca="1">IF($AN57="",OFFSET(Demand!$A$13,ROW(D54)-1,4+((QUOTIENT(COLUMN(BT$2)-69,3))*5)+MOD(COLUMN(BT$2),3),1,1),"")</f>
        <v>0</v>
      </c>
      <c r="BU57">
        <f ca="1">IF($AN57="",OFFSET(Demand!$A$13,ROW(E54)-1,4+((QUOTIENT(COLUMN(BU$2)-69,3))*5)+MOD(COLUMN(BU$2),3),1,1),"")</f>
        <v>0</v>
      </c>
      <c r="BV57">
        <f ca="1">IF($AN57="",OFFSET(Demand!$A$13,ROW(F54)-1,4+((QUOTIENT(COLUMN(BV$2)-69,3))*5)+MOD(COLUMN(BV$2),3),1,1),"")</f>
        <v>0</v>
      </c>
      <c r="BW57">
        <f ca="1">IF($AN57="",OFFSET(Demand!$A$13,ROW(G54)-1,4+((QUOTIENT(COLUMN(BW$2)-69,3))*5)+MOD(COLUMN(BW$2),3),1,1),"")</f>
        <v>0</v>
      </c>
      <c r="BX57">
        <f ca="1">IF($AN57="",OFFSET(Demand!$A$13,ROW(H54)-1,4+((QUOTIENT(COLUMN(BX$2)-69,3))*5)+MOD(COLUMN(BX$2),3),1,1),"")</f>
        <v>0</v>
      </c>
      <c r="BY57">
        <f ca="1">IF($AN57="",OFFSET(Demand!$A$13,ROW(I54)-1,4+((QUOTIENT(COLUMN(BY$2)-69,3))*5)+MOD(COLUMN(BY$2),3),1,1),"")</f>
        <v>0</v>
      </c>
      <c r="BZ57">
        <f ca="1">IF($AN57="",OFFSET(Demand!$A$13,ROW(J54)-1,4+((QUOTIENT(COLUMN(BZ$2)-69,3))*5)+MOD(COLUMN(BZ$2),3),1,1),"")</f>
        <v>0</v>
      </c>
      <c r="CA57">
        <f ca="1">IF($AN57="",OFFSET(Demand!$A$13,ROW(K54)-1,4+((QUOTIENT(COLUMN(CA$2)-69,3))*5)+MOD(COLUMN(CA$2),3),1,1),"")</f>
        <v>0</v>
      </c>
      <c r="CB57">
        <f ca="1">IF($AN57="",OFFSET(Demand!$A$13,ROW(L54)-1,4+((QUOTIENT(COLUMN(CB$2)-69,3))*5)+MOD(COLUMN(CB$2),3),1,1),"")</f>
        <v>0</v>
      </c>
      <c r="CC57">
        <f ca="1">IF($AN57="",OFFSET(Demand!$A$13,ROW(M54)-1,4+((QUOTIENT(COLUMN(CC$2)-69,3))*5)+MOD(COLUMN(CC$2),3),1,1),"")</f>
        <v>0</v>
      </c>
      <c r="CD57">
        <f ca="1">IF($AN57="",OFFSET(Demand!$A$13,ROW(N54)-1,4+((QUOTIENT(COLUMN(CD$2)-69,3))*5)+MOD(COLUMN(CD$2),3),1,1),"")</f>
        <v>0</v>
      </c>
      <c r="CE57">
        <f ca="1">IF($AN57="",OFFSET(Demand!$A$13,ROW(O54)-1,4+((QUOTIENT(COLUMN(CE$2)-69,3))*5)+MOD(COLUMN(CE$2),3),1,1),"")</f>
        <v>0</v>
      </c>
      <c r="CF57">
        <f ca="1">IF($AN57="",OFFSET(Demand!$A$13,ROW(P54)-1,4+((QUOTIENT(COLUMN(CF$2)-69,3))*5)+MOD(COLUMN(CF$2),3),1,1),"")</f>
        <v>0</v>
      </c>
      <c r="CG57">
        <f ca="1">IF($AN57="",OFFSET(Demand!$A$13,ROW(Q54)-1,4+((QUOTIENT(COLUMN(CG$2)-69,3))*5)+MOD(COLUMN(CG$2),3),1,1),"")</f>
        <v>0</v>
      </c>
      <c r="CH57">
        <f ca="1">IF($AN57="",OFFSET(Demand!$A$13,ROW(R54)-1,4+((QUOTIENT(COLUMN(CH$2)-69,3))*5)+MOD(COLUMN(CH$2),3),1,1),"")</f>
        <v>0</v>
      </c>
      <c r="CI57">
        <f ca="1">IF($AN57="",OFFSET(Demand!$A$13,ROW(S54)-1,4+((QUOTIENT(COLUMN(CI$2)-69,3))*5)+MOD(COLUMN(CI$2),3),1,1),"")</f>
        <v>0</v>
      </c>
      <c r="CJ57">
        <f ca="1">IF($AN57="",OFFSET(Demand!$A$13,ROW(T54)-1,4+((QUOTIENT(COLUMN(CJ$2)-69,3))*5)+MOD(COLUMN(CJ$2),3),1,1),"")</f>
        <v>0</v>
      </c>
      <c r="CK57">
        <f ca="1">IF($AN57="",OFFSET(Demand!$A$13,ROW(U54)-1,4+((QUOTIENT(COLUMN(CK$2)-69,3))*5)+MOD(COLUMN(CK$2),3),1,1),"")</f>
        <v>0</v>
      </c>
      <c r="CL57">
        <f ca="1">IF($AN57="",OFFSET(Demand!$A$13,ROW(V54)-1,4+((QUOTIENT(COLUMN(CL$2)-69,3))*5)+MOD(COLUMN(CL$2),3),1,1),"")</f>
        <v>0</v>
      </c>
      <c r="CM57">
        <f ca="1">IF($AN57="",OFFSET(Demand!$A$13,ROW(W54)-1,4+((QUOTIENT(COLUMN(CM$2)-69,3))*5)+MOD(COLUMN(CM$2),3),1,1),"")</f>
        <v>0</v>
      </c>
      <c r="CN57">
        <f ca="1">IF($AN57="",OFFSET(Demand!$A$13,ROW(X54)-1,4+((QUOTIENT(COLUMN(CN$2)-69,3))*5)+MOD(COLUMN(CN$2),3),1,1),"")</f>
        <v>0</v>
      </c>
      <c r="CO57">
        <f ca="1">IF($AN57="",OFFSET(Demand!$A$13,ROW(Y54)-1,4+((QUOTIENT(COLUMN(CO$2)-69,3))*5)+MOD(COLUMN(CO$2),3),1,1),"")</f>
        <v>0</v>
      </c>
      <c r="CP57">
        <f ca="1">IF($AN57="",OFFSET(Demand!$A$13,ROW(Z54)-1,4+((QUOTIENT(COLUMN(CP$2)-69,3))*5)+MOD(COLUMN(CP$2),3),1,1),"")</f>
        <v>0</v>
      </c>
      <c r="CQ57">
        <f ca="1">IF($AN57="",OFFSET(Demand!$A$13,ROW(AA54)-1,4+((QUOTIENT(COLUMN(CQ$2)-69,3))*5)+MOD(COLUMN(CQ$2),3),1,1),"")</f>
        <v>0</v>
      </c>
      <c r="CR57">
        <f ca="1">IF($AN57="",OFFSET(Demand!$A$13,ROW(AB54)-1,4+((QUOTIENT(COLUMN(CR$2)-69,3))*5)+MOD(COLUMN(CR$2),3),1,1),"")</f>
        <v>0</v>
      </c>
      <c r="CS57">
        <f ca="1">IF($AN57="",OFFSET(Demand!$A$13,ROW(AC54)-1,4+((QUOTIENT(COLUMN(CS$2)-69,3))*5)+MOD(COLUMN(CS$2),3),1,1),"")</f>
        <v>0</v>
      </c>
      <c r="CT57">
        <f ca="1">IF($AN57="",OFFSET(Demand!$A$13,ROW(AD54)-1,4+((QUOTIENT(COLUMN(CT$2)-69,3))*5)+MOD(COLUMN(CT$2),3),1,1),"")</f>
        <v>0</v>
      </c>
      <c r="CW57" s="5">
        <f ca="1">SUM(OFFSET(Demand!$H$43,ROW(A54)-1,(COLUMN(A54)-1)*5,1,1))*N$2</f>
        <v>0</v>
      </c>
      <c r="CX57" s="5">
        <f ca="1">SUM(OFFSET(Demand!$H$43,ROW(B54)-1,(COLUMN(B54)-1)*5,1,1))*O$2</f>
        <v>0</v>
      </c>
      <c r="CY57" s="5">
        <f ca="1">SUM(OFFSET(Demand!$H$43,ROW(C54)-1,(COLUMN(C54)-1)*5,1,1))*P$2</f>
        <v>0</v>
      </c>
      <c r="CZ57" s="5">
        <f ca="1">SUM(OFFSET(Demand!$H$43,ROW(D54)-1,(COLUMN(D54)-1)*5,1,1))*Q$2</f>
        <v>0</v>
      </c>
      <c r="DA57" s="5">
        <f ca="1">SUM(OFFSET(Demand!$H$43,ROW(E54)-1,(COLUMN(E54)-1)*5,1,1))*R$2</f>
        <v>0</v>
      </c>
      <c r="DB57" s="5">
        <f ca="1">SUM(OFFSET(Demand!$H$43,ROW(F54)-1,(COLUMN(F54)-1)*5,1,1))*S$2</f>
        <v>0</v>
      </c>
      <c r="DC57" s="5">
        <f ca="1">SUM(OFFSET(Demand!$H$43,ROW(G54)-1,(COLUMN(G54)-1)*5,1,1))*T$2</f>
        <v>0</v>
      </c>
      <c r="DD57" s="5">
        <f ca="1">SUM(OFFSET(Demand!$H$43,ROW(H54)-1,(COLUMN(H54)-1)*5,1,1))*U$2</f>
        <v>0</v>
      </c>
      <c r="DE57" s="5">
        <f ca="1">SUM(OFFSET(Demand!$H$43,ROW(I54)-1,(COLUMN(I54)-1)*5,1,1))*V$2</f>
        <v>0</v>
      </c>
      <c r="DF57" s="5">
        <f ca="1">SUM(OFFSET(Demand!$H$43,ROW(J54)-1,(COLUMN(J54)-1)*5,1,1))*W$2</f>
        <v>0</v>
      </c>
      <c r="DG57" s="5">
        <f ca="1">IF(OR(AN57&lt;&gt;"",AND('Demand adjustments for Covid'!$F$9="Yes",'Demand adjustments for Covid'!$F$20="Yes")),"",SUM(CW57:DF57))</f>
        <v>0</v>
      </c>
    </row>
    <row r="58" spans="1:132" x14ac:dyDescent="0.25">
      <c r="A58" s="5">
        <f t="shared" ca="1" si="34"/>
        <v>1</v>
      </c>
      <c r="B58" s="5">
        <f ca="1">COUNTBLANK(OFFSET(Demand!$I67,0,(COLUMN(A55)-1)*5,1,1))</f>
        <v>1</v>
      </c>
      <c r="C58" s="5">
        <f ca="1">COUNTBLANK(OFFSET(Demand!$I67,0,(COLUMN(B55)-1)*5,1,1))</f>
        <v>1</v>
      </c>
      <c r="D58" s="5">
        <f ca="1">COUNTBLANK(OFFSET(Demand!$I67,0,(COLUMN(C55)-1)*5,1,1))</f>
        <v>1</v>
      </c>
      <c r="E58" s="5">
        <f ca="1">COUNTBLANK(OFFSET(Demand!$I67,0,(COLUMN(D55)-1)*5,1,1))</f>
        <v>1</v>
      </c>
      <c r="F58" s="5">
        <f ca="1">COUNTBLANK(OFFSET(Demand!$I67,0,(COLUMN(E55)-1)*5,1,1))</f>
        <v>1</v>
      </c>
      <c r="G58" s="5">
        <f ca="1">COUNTBLANK(OFFSET(Demand!$I67,0,(COLUMN(F55)-1)*5,1,1))</f>
        <v>1</v>
      </c>
      <c r="H58" s="5">
        <f ca="1">COUNTBLANK(OFFSET(Demand!$I67,0,(COLUMN(G55)-1)*5,1,1))</f>
        <v>1</v>
      </c>
      <c r="I58" s="5">
        <f ca="1">COUNTBLANK(OFFSET(Demand!$I67,0,(COLUMN(H55)-1)*5,1,1))</f>
        <v>1</v>
      </c>
      <c r="J58" s="5">
        <f ca="1">COUNTBLANK(OFFSET(Demand!$I67,0,(COLUMN(I55)-1)*5,1,1))</f>
        <v>1</v>
      </c>
      <c r="K58" s="5">
        <f ca="1">COUNTBLANK(OFFSET(Demand!$I67,0,(COLUMN(J55)-1)*5,1,1))</f>
        <v>1</v>
      </c>
      <c r="N58" s="5">
        <f ca="1">SUM(OFFSET(Demand!$E67,0,(COLUMN(A55)-1)*5,1,3))*N$2</f>
        <v>0</v>
      </c>
      <c r="O58" s="5">
        <f ca="1">SUM(OFFSET(Demand!$E67,0,(COLUMN(B55)-1)*5,1,3))*O$2</f>
        <v>0</v>
      </c>
      <c r="P58" s="5">
        <f ca="1">SUM(OFFSET(Demand!$E67,0,(COLUMN(C55)-1)*5,1,3))*P$2</f>
        <v>0</v>
      </c>
      <c r="Q58" s="5">
        <f ca="1">SUM(OFFSET(Demand!$E67,0,(COLUMN(D55)-1)*5,1,3))*Q$2</f>
        <v>0</v>
      </c>
      <c r="R58" s="5">
        <f ca="1">SUM(OFFSET(Demand!$E67,0,(COLUMN(E55)-1)*5,1,3))*R$2</f>
        <v>0</v>
      </c>
      <c r="S58" s="5">
        <f ca="1">SUM(OFFSET(Demand!$E67,0,(COLUMN(F55)-1)*5,1,3))*S$2</f>
        <v>0</v>
      </c>
      <c r="T58" s="5">
        <f ca="1">SUM(OFFSET(Demand!$E67,0,(COLUMN(G55)-1)*5,1,3))*T$2</f>
        <v>0</v>
      </c>
      <c r="U58" s="5">
        <f ca="1">SUM(OFFSET(Demand!$E67,0,(COLUMN(H55)-1)*5,1,3))*U$2</f>
        <v>0</v>
      </c>
      <c r="V58" s="5">
        <f ca="1">SUM(OFFSET(Demand!$E67,0,(COLUMN(I55)-1)*5,1,3))*V$2</f>
        <v>0</v>
      </c>
      <c r="W58" s="5">
        <f ca="1">SUM(OFFSET(Demand!$E67,0,(COLUMN(J55)-1)*5,1,3))*W$2</f>
        <v>0</v>
      </c>
      <c r="X58" s="5">
        <f t="shared" ca="1" si="4"/>
        <v>0</v>
      </c>
      <c r="Y58">
        <f t="shared" ca="1" si="5"/>
        <v>0</v>
      </c>
      <c r="Z58" s="5">
        <f ca="1">SUM(OFFSET(Demand!$H67,0,(COLUMN(A55)-1)*5,1,1))*N$2</f>
        <v>0</v>
      </c>
      <c r="AA58" s="5">
        <f ca="1">SUM(OFFSET(Demand!$H67,0,(COLUMN(B55)-1)*5,1,1))*O$2</f>
        <v>0</v>
      </c>
      <c r="AB58" s="5">
        <f ca="1">SUM(OFFSET(Demand!$H67,0,(COLUMN(C55)-1)*5,1,1))*P$2</f>
        <v>0</v>
      </c>
      <c r="AC58" s="5">
        <f ca="1">SUM(OFFSET(Demand!$H67,0,(COLUMN(D55)-1)*5,1,1))*Q$2</f>
        <v>0</v>
      </c>
      <c r="AD58" s="5">
        <f ca="1">SUM(OFFSET(Demand!$H67,0,(COLUMN(E55)-1)*5,1,1))*R$2</f>
        <v>0</v>
      </c>
      <c r="AE58" s="5">
        <f ca="1">SUM(OFFSET(Demand!$H67,0,(COLUMN(F55)-1)*5,1,1))*S$2</f>
        <v>0</v>
      </c>
      <c r="AF58" s="5">
        <f ca="1">SUM(OFFSET(Demand!$H67,0,(COLUMN(G55)-1)*5,1,1))*T$2</f>
        <v>0</v>
      </c>
      <c r="AG58" s="5">
        <f ca="1">SUM(OFFSET(Demand!$H67,0,(COLUMN(H55)-1)*5,1,1))*U$2</f>
        <v>0</v>
      </c>
      <c r="AH58" s="5">
        <f ca="1">SUM(OFFSET(Demand!$H67,0,(COLUMN(I55)-1)*5,1,1))*V$2</f>
        <v>0</v>
      </c>
      <c r="AI58" s="5">
        <f ca="1">SUM(OFFSET(Demand!$H67,0,(COLUMN(J55)-1)*5,1,1))*W$2</f>
        <v>0</v>
      </c>
      <c r="AJ58" s="5">
        <f t="shared" ca="1" si="6"/>
        <v>0</v>
      </c>
      <c r="AL58" s="5">
        <f t="shared" ca="1" si="8"/>
        <v>0</v>
      </c>
      <c r="AM58" s="5">
        <f t="shared" ca="1" si="9"/>
        <v>0</v>
      </c>
      <c r="AN58" s="5" t="str">
        <f>IF(Demand!BE67="Yes","Yes","")</f>
        <v/>
      </c>
      <c r="AP58" s="36" t="str">
        <f ca="1">Demand!B67</f>
        <v xml:space="preserve"> </v>
      </c>
      <c r="AQ58" t="str">
        <f ca="1">IF(TEXT(Demand!D67,"MMM")&lt;&gt;TEXT(Demand!D66,"MMM"),TEXT(Demand!D67,"MMM"),"")</f>
        <v/>
      </c>
      <c r="AT58" s="5">
        <f t="shared" ca="1" si="12"/>
        <v>0</v>
      </c>
      <c r="BQ58">
        <f ca="1">IF($AN58="",OFFSET(Demand!$A$13,ROW(A55)-1,4+((QUOTIENT(COLUMN(BQ$2)-69,3))*5)+MOD(COLUMN(BQ$2),3),1,1),"")</f>
        <v>0</v>
      </c>
      <c r="BR58">
        <f ca="1">IF($AN58="",OFFSET(Demand!$A$13,ROW(B55)-1,4+((QUOTIENT(COLUMN(BR$2)-69,3))*5)+MOD(COLUMN(BR$2),3),1,1),"")</f>
        <v>0</v>
      </c>
      <c r="BS58">
        <f ca="1">IF($AN58="",OFFSET(Demand!$A$13,ROW(C55)-1,4+((QUOTIENT(COLUMN(BS$2)-69,3))*5)+MOD(COLUMN(BS$2),3),1,1),"")</f>
        <v>0</v>
      </c>
      <c r="BT58">
        <f ca="1">IF($AN58="",OFFSET(Demand!$A$13,ROW(D55)-1,4+((QUOTIENT(COLUMN(BT$2)-69,3))*5)+MOD(COLUMN(BT$2),3),1,1),"")</f>
        <v>0</v>
      </c>
      <c r="BU58">
        <f ca="1">IF($AN58="",OFFSET(Demand!$A$13,ROW(E55)-1,4+((QUOTIENT(COLUMN(BU$2)-69,3))*5)+MOD(COLUMN(BU$2),3),1,1),"")</f>
        <v>0</v>
      </c>
      <c r="BV58">
        <f ca="1">IF($AN58="",OFFSET(Demand!$A$13,ROW(F55)-1,4+((QUOTIENT(COLUMN(BV$2)-69,3))*5)+MOD(COLUMN(BV$2),3),1,1),"")</f>
        <v>0</v>
      </c>
      <c r="BW58">
        <f ca="1">IF($AN58="",OFFSET(Demand!$A$13,ROW(G55)-1,4+((QUOTIENT(COLUMN(BW$2)-69,3))*5)+MOD(COLUMN(BW$2),3),1,1),"")</f>
        <v>0</v>
      </c>
      <c r="BX58">
        <f ca="1">IF($AN58="",OFFSET(Demand!$A$13,ROW(H55)-1,4+((QUOTIENT(COLUMN(BX$2)-69,3))*5)+MOD(COLUMN(BX$2),3),1,1),"")</f>
        <v>0</v>
      </c>
      <c r="BY58">
        <f ca="1">IF($AN58="",OFFSET(Demand!$A$13,ROW(I55)-1,4+((QUOTIENT(COLUMN(BY$2)-69,3))*5)+MOD(COLUMN(BY$2),3),1,1),"")</f>
        <v>0</v>
      </c>
      <c r="BZ58">
        <f ca="1">IF($AN58="",OFFSET(Demand!$A$13,ROW(J55)-1,4+((QUOTIENT(COLUMN(BZ$2)-69,3))*5)+MOD(COLUMN(BZ$2),3),1,1),"")</f>
        <v>0</v>
      </c>
      <c r="CA58">
        <f ca="1">IF($AN58="",OFFSET(Demand!$A$13,ROW(K55)-1,4+((QUOTIENT(COLUMN(CA$2)-69,3))*5)+MOD(COLUMN(CA$2),3),1,1),"")</f>
        <v>0</v>
      </c>
      <c r="CB58">
        <f ca="1">IF($AN58="",OFFSET(Demand!$A$13,ROW(L55)-1,4+((QUOTIENT(COLUMN(CB$2)-69,3))*5)+MOD(COLUMN(CB$2),3),1,1),"")</f>
        <v>0</v>
      </c>
      <c r="CC58">
        <f ca="1">IF($AN58="",OFFSET(Demand!$A$13,ROW(M55)-1,4+((QUOTIENT(COLUMN(CC$2)-69,3))*5)+MOD(COLUMN(CC$2),3),1,1),"")</f>
        <v>0</v>
      </c>
      <c r="CD58">
        <f ca="1">IF($AN58="",OFFSET(Demand!$A$13,ROW(N55)-1,4+((QUOTIENT(COLUMN(CD$2)-69,3))*5)+MOD(COLUMN(CD$2),3),1,1),"")</f>
        <v>0</v>
      </c>
      <c r="CE58">
        <f ca="1">IF($AN58="",OFFSET(Demand!$A$13,ROW(O55)-1,4+((QUOTIENT(COLUMN(CE$2)-69,3))*5)+MOD(COLUMN(CE$2),3),1,1),"")</f>
        <v>0</v>
      </c>
      <c r="CF58">
        <f ca="1">IF($AN58="",OFFSET(Demand!$A$13,ROW(P55)-1,4+((QUOTIENT(COLUMN(CF$2)-69,3))*5)+MOD(COLUMN(CF$2),3),1,1),"")</f>
        <v>0</v>
      </c>
      <c r="CG58">
        <f ca="1">IF($AN58="",OFFSET(Demand!$A$13,ROW(Q55)-1,4+((QUOTIENT(COLUMN(CG$2)-69,3))*5)+MOD(COLUMN(CG$2),3),1,1),"")</f>
        <v>0</v>
      </c>
      <c r="CH58">
        <f ca="1">IF($AN58="",OFFSET(Demand!$A$13,ROW(R55)-1,4+((QUOTIENT(COLUMN(CH$2)-69,3))*5)+MOD(COLUMN(CH$2),3),1,1),"")</f>
        <v>0</v>
      </c>
      <c r="CI58">
        <f ca="1">IF($AN58="",OFFSET(Demand!$A$13,ROW(S55)-1,4+((QUOTIENT(COLUMN(CI$2)-69,3))*5)+MOD(COLUMN(CI$2),3),1,1),"")</f>
        <v>0</v>
      </c>
      <c r="CJ58">
        <f ca="1">IF($AN58="",OFFSET(Demand!$A$13,ROW(T55)-1,4+((QUOTIENT(COLUMN(CJ$2)-69,3))*5)+MOD(COLUMN(CJ$2),3),1,1),"")</f>
        <v>0</v>
      </c>
      <c r="CK58">
        <f ca="1">IF($AN58="",OFFSET(Demand!$A$13,ROW(U55)-1,4+((QUOTIENT(COLUMN(CK$2)-69,3))*5)+MOD(COLUMN(CK$2),3),1,1),"")</f>
        <v>0</v>
      </c>
      <c r="CL58">
        <f ca="1">IF($AN58="",OFFSET(Demand!$A$13,ROW(V55)-1,4+((QUOTIENT(COLUMN(CL$2)-69,3))*5)+MOD(COLUMN(CL$2),3),1,1),"")</f>
        <v>0</v>
      </c>
      <c r="CM58">
        <f ca="1">IF($AN58="",OFFSET(Demand!$A$13,ROW(W55)-1,4+((QUOTIENT(COLUMN(CM$2)-69,3))*5)+MOD(COLUMN(CM$2),3),1,1),"")</f>
        <v>0</v>
      </c>
      <c r="CN58">
        <f ca="1">IF($AN58="",OFFSET(Demand!$A$13,ROW(X55)-1,4+((QUOTIENT(COLUMN(CN$2)-69,3))*5)+MOD(COLUMN(CN$2),3),1,1),"")</f>
        <v>0</v>
      </c>
      <c r="CO58">
        <f ca="1">IF($AN58="",OFFSET(Demand!$A$13,ROW(Y55)-1,4+((QUOTIENT(COLUMN(CO$2)-69,3))*5)+MOD(COLUMN(CO$2),3),1,1),"")</f>
        <v>0</v>
      </c>
      <c r="CP58">
        <f ca="1">IF($AN58="",OFFSET(Demand!$A$13,ROW(Z55)-1,4+((QUOTIENT(COLUMN(CP$2)-69,3))*5)+MOD(COLUMN(CP$2),3),1,1),"")</f>
        <v>0</v>
      </c>
      <c r="CQ58">
        <f ca="1">IF($AN58="",OFFSET(Demand!$A$13,ROW(AA55)-1,4+((QUOTIENT(COLUMN(CQ$2)-69,3))*5)+MOD(COLUMN(CQ$2),3),1,1),"")</f>
        <v>0</v>
      </c>
      <c r="CR58">
        <f ca="1">IF($AN58="",OFFSET(Demand!$A$13,ROW(AB55)-1,4+((QUOTIENT(COLUMN(CR$2)-69,3))*5)+MOD(COLUMN(CR$2),3),1,1),"")</f>
        <v>0</v>
      </c>
      <c r="CS58">
        <f ca="1">IF($AN58="",OFFSET(Demand!$A$13,ROW(AC55)-1,4+((QUOTIENT(COLUMN(CS$2)-69,3))*5)+MOD(COLUMN(CS$2),3),1,1),"")</f>
        <v>0</v>
      </c>
      <c r="CT58">
        <f ca="1">IF($AN58="",OFFSET(Demand!$A$13,ROW(AD55)-1,4+((QUOTIENT(COLUMN(CT$2)-69,3))*5)+MOD(COLUMN(CT$2),3),1,1),"")</f>
        <v>0</v>
      </c>
      <c r="CW58" s="5">
        <f ca="1">SUM(OFFSET(Demand!$H$43,ROW(A55)-1,(COLUMN(A55)-1)*5,1,1))*N$2</f>
        <v>0</v>
      </c>
      <c r="CX58" s="5">
        <f ca="1">SUM(OFFSET(Demand!$H$43,ROW(B55)-1,(COLUMN(B55)-1)*5,1,1))*O$2</f>
        <v>0</v>
      </c>
      <c r="CY58" s="5">
        <f ca="1">SUM(OFFSET(Demand!$H$43,ROW(C55)-1,(COLUMN(C55)-1)*5,1,1))*P$2</f>
        <v>0</v>
      </c>
      <c r="CZ58" s="5">
        <f ca="1">SUM(OFFSET(Demand!$H$43,ROW(D55)-1,(COLUMN(D55)-1)*5,1,1))*Q$2</f>
        <v>0</v>
      </c>
      <c r="DA58" s="5">
        <f ca="1">SUM(OFFSET(Demand!$H$43,ROW(E55)-1,(COLUMN(E55)-1)*5,1,1))*R$2</f>
        <v>0</v>
      </c>
      <c r="DB58" s="5">
        <f ca="1">SUM(OFFSET(Demand!$H$43,ROW(F55)-1,(COLUMN(F55)-1)*5,1,1))*S$2</f>
        <v>0</v>
      </c>
      <c r="DC58" s="5">
        <f ca="1">SUM(OFFSET(Demand!$H$43,ROW(G55)-1,(COLUMN(G55)-1)*5,1,1))*T$2</f>
        <v>0</v>
      </c>
      <c r="DD58" s="5">
        <f ca="1">SUM(OFFSET(Demand!$H$43,ROW(H55)-1,(COLUMN(H55)-1)*5,1,1))*U$2</f>
        <v>0</v>
      </c>
      <c r="DE58" s="5">
        <f ca="1">SUM(OFFSET(Demand!$H$43,ROW(I55)-1,(COLUMN(I55)-1)*5,1,1))*V$2</f>
        <v>0</v>
      </c>
      <c r="DF58" s="5">
        <f ca="1">SUM(OFFSET(Demand!$H$43,ROW(J55)-1,(COLUMN(J55)-1)*5,1,1))*W$2</f>
        <v>0</v>
      </c>
      <c r="DG58" s="5">
        <f ca="1">IF(OR(AN58&lt;&gt;"",AND('Demand adjustments for Covid'!$F$9="Yes",'Demand adjustments for Covid'!$F$20="Yes")),"",SUM(CW58:DF58))</f>
        <v>0</v>
      </c>
    </row>
    <row r="59" spans="1:132" x14ac:dyDescent="0.25">
      <c r="A59" s="5">
        <f t="shared" ca="1" si="34"/>
        <v>1</v>
      </c>
      <c r="B59" s="5">
        <f ca="1">COUNTBLANK(OFFSET(Demand!$I68,0,(COLUMN(A56)-1)*5,1,1))</f>
        <v>1</v>
      </c>
      <c r="C59" s="5">
        <f ca="1">COUNTBLANK(OFFSET(Demand!$I68,0,(COLUMN(B56)-1)*5,1,1))</f>
        <v>1</v>
      </c>
      <c r="D59" s="5">
        <f ca="1">COUNTBLANK(OFFSET(Demand!$I68,0,(COLUMN(C56)-1)*5,1,1))</f>
        <v>1</v>
      </c>
      <c r="E59" s="5">
        <f ca="1">COUNTBLANK(OFFSET(Demand!$I68,0,(COLUMN(D56)-1)*5,1,1))</f>
        <v>1</v>
      </c>
      <c r="F59" s="5">
        <f ca="1">COUNTBLANK(OFFSET(Demand!$I68,0,(COLUMN(E56)-1)*5,1,1))</f>
        <v>1</v>
      </c>
      <c r="G59" s="5">
        <f ca="1">COUNTBLANK(OFFSET(Demand!$I68,0,(COLUMN(F56)-1)*5,1,1))</f>
        <v>1</v>
      </c>
      <c r="H59" s="5">
        <f ca="1">COUNTBLANK(OFFSET(Demand!$I68,0,(COLUMN(G56)-1)*5,1,1))</f>
        <v>1</v>
      </c>
      <c r="I59" s="5">
        <f ca="1">COUNTBLANK(OFFSET(Demand!$I68,0,(COLUMN(H56)-1)*5,1,1))</f>
        <v>1</v>
      </c>
      <c r="J59" s="5">
        <f ca="1">COUNTBLANK(OFFSET(Demand!$I68,0,(COLUMN(I56)-1)*5,1,1))</f>
        <v>1</v>
      </c>
      <c r="K59" s="5">
        <f ca="1">COUNTBLANK(OFFSET(Demand!$I68,0,(COLUMN(J56)-1)*5,1,1))</f>
        <v>1</v>
      </c>
      <c r="N59" s="5">
        <f ca="1">SUM(OFFSET(Demand!$E68,0,(COLUMN(A56)-1)*5,1,3))*N$2</f>
        <v>0</v>
      </c>
      <c r="O59" s="5">
        <f ca="1">SUM(OFFSET(Demand!$E68,0,(COLUMN(B56)-1)*5,1,3))*O$2</f>
        <v>0</v>
      </c>
      <c r="P59" s="5">
        <f ca="1">SUM(OFFSET(Demand!$E68,0,(COLUMN(C56)-1)*5,1,3))*P$2</f>
        <v>0</v>
      </c>
      <c r="Q59" s="5">
        <f ca="1">SUM(OFFSET(Demand!$E68,0,(COLUMN(D56)-1)*5,1,3))*Q$2</f>
        <v>0</v>
      </c>
      <c r="R59" s="5">
        <f ca="1">SUM(OFFSET(Demand!$E68,0,(COLUMN(E56)-1)*5,1,3))*R$2</f>
        <v>0</v>
      </c>
      <c r="S59" s="5">
        <f ca="1">SUM(OFFSET(Demand!$E68,0,(COLUMN(F56)-1)*5,1,3))*S$2</f>
        <v>0</v>
      </c>
      <c r="T59" s="5">
        <f ca="1">SUM(OFFSET(Demand!$E68,0,(COLUMN(G56)-1)*5,1,3))*T$2</f>
        <v>0</v>
      </c>
      <c r="U59" s="5">
        <f ca="1">SUM(OFFSET(Demand!$E68,0,(COLUMN(H56)-1)*5,1,3))*U$2</f>
        <v>0</v>
      </c>
      <c r="V59" s="5">
        <f ca="1">SUM(OFFSET(Demand!$E68,0,(COLUMN(I56)-1)*5,1,3))*V$2</f>
        <v>0</v>
      </c>
      <c r="W59" s="5">
        <f ca="1">SUM(OFFSET(Demand!$E68,0,(COLUMN(J56)-1)*5,1,3))*W$2</f>
        <v>0</v>
      </c>
      <c r="X59" s="5">
        <f t="shared" ca="1" si="4"/>
        <v>0</v>
      </c>
      <c r="Y59">
        <f t="shared" ca="1" si="5"/>
        <v>0</v>
      </c>
      <c r="Z59" s="5">
        <f ca="1">SUM(OFFSET(Demand!$H68,0,(COLUMN(A56)-1)*5,1,1))*N$2</f>
        <v>0</v>
      </c>
      <c r="AA59" s="5">
        <f ca="1">SUM(OFFSET(Demand!$H68,0,(COLUMN(B56)-1)*5,1,1))*O$2</f>
        <v>0</v>
      </c>
      <c r="AB59" s="5">
        <f ca="1">SUM(OFFSET(Demand!$H68,0,(COLUMN(C56)-1)*5,1,1))*P$2</f>
        <v>0</v>
      </c>
      <c r="AC59" s="5">
        <f ca="1">SUM(OFFSET(Demand!$H68,0,(COLUMN(D56)-1)*5,1,1))*Q$2</f>
        <v>0</v>
      </c>
      <c r="AD59" s="5">
        <f ca="1">SUM(OFFSET(Demand!$H68,0,(COLUMN(E56)-1)*5,1,1))*R$2</f>
        <v>0</v>
      </c>
      <c r="AE59" s="5">
        <f ca="1">SUM(OFFSET(Demand!$H68,0,(COLUMN(F56)-1)*5,1,1))*S$2</f>
        <v>0</v>
      </c>
      <c r="AF59" s="5">
        <f ca="1">SUM(OFFSET(Demand!$H68,0,(COLUMN(G56)-1)*5,1,1))*T$2</f>
        <v>0</v>
      </c>
      <c r="AG59" s="5">
        <f ca="1">SUM(OFFSET(Demand!$H68,0,(COLUMN(H56)-1)*5,1,1))*U$2</f>
        <v>0</v>
      </c>
      <c r="AH59" s="5">
        <f ca="1">SUM(OFFSET(Demand!$H68,0,(COLUMN(I56)-1)*5,1,1))*V$2</f>
        <v>0</v>
      </c>
      <c r="AI59" s="5">
        <f ca="1">SUM(OFFSET(Demand!$H68,0,(COLUMN(J56)-1)*5,1,1))*W$2</f>
        <v>0</v>
      </c>
      <c r="AJ59" s="5">
        <f t="shared" ca="1" si="6"/>
        <v>0</v>
      </c>
      <c r="AL59" s="5">
        <f t="shared" ca="1" si="8"/>
        <v>0</v>
      </c>
      <c r="AM59" s="5">
        <f t="shared" ca="1" si="9"/>
        <v>0</v>
      </c>
      <c r="AN59" s="5" t="str">
        <f>IF(Demand!BE68="Yes","Yes","")</f>
        <v/>
      </c>
      <c r="AP59" s="36" t="str">
        <f ca="1">Demand!B68</f>
        <v xml:space="preserve"> </v>
      </c>
      <c r="AQ59" t="str">
        <f ca="1">IF(TEXT(Demand!D68,"MMM")&lt;&gt;TEXT(Demand!D67,"MMM"),TEXT(Demand!D68,"MMM"),"")</f>
        <v/>
      </c>
      <c r="AT59" s="5">
        <f t="shared" ca="1" si="12"/>
        <v>0</v>
      </c>
      <c r="BQ59">
        <f ca="1">IF($AN59="",OFFSET(Demand!$A$13,ROW(A56)-1,4+((QUOTIENT(COLUMN(BQ$2)-69,3))*5)+MOD(COLUMN(BQ$2),3),1,1),"")</f>
        <v>0</v>
      </c>
      <c r="BR59">
        <f ca="1">IF($AN59="",OFFSET(Demand!$A$13,ROW(B56)-1,4+((QUOTIENT(COLUMN(BR$2)-69,3))*5)+MOD(COLUMN(BR$2),3),1,1),"")</f>
        <v>0</v>
      </c>
      <c r="BS59">
        <f ca="1">IF($AN59="",OFFSET(Demand!$A$13,ROW(C56)-1,4+((QUOTIENT(COLUMN(BS$2)-69,3))*5)+MOD(COLUMN(BS$2),3),1,1),"")</f>
        <v>0</v>
      </c>
      <c r="BT59">
        <f ca="1">IF($AN59="",OFFSET(Demand!$A$13,ROW(D56)-1,4+((QUOTIENT(COLUMN(BT$2)-69,3))*5)+MOD(COLUMN(BT$2),3),1,1),"")</f>
        <v>0</v>
      </c>
      <c r="BU59">
        <f ca="1">IF($AN59="",OFFSET(Demand!$A$13,ROW(E56)-1,4+((QUOTIENT(COLUMN(BU$2)-69,3))*5)+MOD(COLUMN(BU$2),3),1,1),"")</f>
        <v>0</v>
      </c>
      <c r="BV59">
        <f ca="1">IF($AN59="",OFFSET(Demand!$A$13,ROW(F56)-1,4+((QUOTIENT(COLUMN(BV$2)-69,3))*5)+MOD(COLUMN(BV$2),3),1,1),"")</f>
        <v>0</v>
      </c>
      <c r="BW59">
        <f ca="1">IF($AN59="",OFFSET(Demand!$A$13,ROW(G56)-1,4+((QUOTIENT(COLUMN(BW$2)-69,3))*5)+MOD(COLUMN(BW$2),3),1,1),"")</f>
        <v>0</v>
      </c>
      <c r="BX59">
        <f ca="1">IF($AN59="",OFFSET(Demand!$A$13,ROW(H56)-1,4+((QUOTIENT(COLUMN(BX$2)-69,3))*5)+MOD(COLUMN(BX$2),3),1,1),"")</f>
        <v>0</v>
      </c>
      <c r="BY59">
        <f ca="1">IF($AN59="",OFFSET(Demand!$A$13,ROW(I56)-1,4+((QUOTIENT(COLUMN(BY$2)-69,3))*5)+MOD(COLUMN(BY$2),3),1,1),"")</f>
        <v>0</v>
      </c>
      <c r="BZ59">
        <f ca="1">IF($AN59="",OFFSET(Demand!$A$13,ROW(J56)-1,4+((QUOTIENT(COLUMN(BZ$2)-69,3))*5)+MOD(COLUMN(BZ$2),3),1,1),"")</f>
        <v>0</v>
      </c>
      <c r="CA59">
        <f ca="1">IF($AN59="",OFFSET(Demand!$A$13,ROW(K56)-1,4+((QUOTIENT(COLUMN(CA$2)-69,3))*5)+MOD(COLUMN(CA$2),3),1,1),"")</f>
        <v>0</v>
      </c>
      <c r="CB59">
        <f ca="1">IF($AN59="",OFFSET(Demand!$A$13,ROW(L56)-1,4+((QUOTIENT(COLUMN(CB$2)-69,3))*5)+MOD(COLUMN(CB$2),3),1,1),"")</f>
        <v>0</v>
      </c>
      <c r="CC59">
        <f ca="1">IF($AN59="",OFFSET(Demand!$A$13,ROW(M56)-1,4+((QUOTIENT(COLUMN(CC$2)-69,3))*5)+MOD(COLUMN(CC$2),3),1,1),"")</f>
        <v>0</v>
      </c>
      <c r="CD59">
        <f ca="1">IF($AN59="",OFFSET(Demand!$A$13,ROW(N56)-1,4+((QUOTIENT(COLUMN(CD$2)-69,3))*5)+MOD(COLUMN(CD$2),3),1,1),"")</f>
        <v>0</v>
      </c>
      <c r="CE59">
        <f ca="1">IF($AN59="",OFFSET(Demand!$A$13,ROW(O56)-1,4+((QUOTIENT(COLUMN(CE$2)-69,3))*5)+MOD(COLUMN(CE$2),3),1,1),"")</f>
        <v>0</v>
      </c>
      <c r="CF59">
        <f ca="1">IF($AN59="",OFFSET(Demand!$A$13,ROW(P56)-1,4+((QUOTIENT(COLUMN(CF$2)-69,3))*5)+MOD(COLUMN(CF$2),3),1,1),"")</f>
        <v>0</v>
      </c>
      <c r="CG59">
        <f ca="1">IF($AN59="",OFFSET(Demand!$A$13,ROW(Q56)-1,4+((QUOTIENT(COLUMN(CG$2)-69,3))*5)+MOD(COLUMN(CG$2),3),1,1),"")</f>
        <v>0</v>
      </c>
      <c r="CH59">
        <f ca="1">IF($AN59="",OFFSET(Demand!$A$13,ROW(R56)-1,4+((QUOTIENT(COLUMN(CH$2)-69,3))*5)+MOD(COLUMN(CH$2),3),1,1),"")</f>
        <v>0</v>
      </c>
      <c r="CI59">
        <f ca="1">IF($AN59="",OFFSET(Demand!$A$13,ROW(S56)-1,4+((QUOTIENT(COLUMN(CI$2)-69,3))*5)+MOD(COLUMN(CI$2),3),1,1),"")</f>
        <v>0</v>
      </c>
      <c r="CJ59">
        <f ca="1">IF($AN59="",OFFSET(Demand!$A$13,ROW(T56)-1,4+((QUOTIENT(COLUMN(CJ$2)-69,3))*5)+MOD(COLUMN(CJ$2),3),1,1),"")</f>
        <v>0</v>
      </c>
      <c r="CK59">
        <f ca="1">IF($AN59="",OFFSET(Demand!$A$13,ROW(U56)-1,4+((QUOTIENT(COLUMN(CK$2)-69,3))*5)+MOD(COLUMN(CK$2),3),1,1),"")</f>
        <v>0</v>
      </c>
      <c r="CL59">
        <f ca="1">IF($AN59="",OFFSET(Demand!$A$13,ROW(V56)-1,4+((QUOTIENT(COLUMN(CL$2)-69,3))*5)+MOD(COLUMN(CL$2),3),1,1),"")</f>
        <v>0</v>
      </c>
      <c r="CM59">
        <f ca="1">IF($AN59="",OFFSET(Demand!$A$13,ROW(W56)-1,4+((QUOTIENT(COLUMN(CM$2)-69,3))*5)+MOD(COLUMN(CM$2),3),1,1),"")</f>
        <v>0</v>
      </c>
      <c r="CN59">
        <f ca="1">IF($AN59="",OFFSET(Demand!$A$13,ROW(X56)-1,4+((QUOTIENT(COLUMN(CN$2)-69,3))*5)+MOD(COLUMN(CN$2),3),1,1),"")</f>
        <v>0</v>
      </c>
      <c r="CO59">
        <f ca="1">IF($AN59="",OFFSET(Demand!$A$13,ROW(Y56)-1,4+((QUOTIENT(COLUMN(CO$2)-69,3))*5)+MOD(COLUMN(CO$2),3),1,1),"")</f>
        <v>0</v>
      </c>
      <c r="CP59">
        <f ca="1">IF($AN59="",OFFSET(Demand!$A$13,ROW(Z56)-1,4+((QUOTIENT(COLUMN(CP$2)-69,3))*5)+MOD(COLUMN(CP$2),3),1,1),"")</f>
        <v>0</v>
      </c>
      <c r="CQ59">
        <f ca="1">IF($AN59="",OFFSET(Demand!$A$13,ROW(AA56)-1,4+((QUOTIENT(COLUMN(CQ$2)-69,3))*5)+MOD(COLUMN(CQ$2),3),1,1),"")</f>
        <v>0</v>
      </c>
      <c r="CR59">
        <f ca="1">IF($AN59="",OFFSET(Demand!$A$13,ROW(AB56)-1,4+((QUOTIENT(COLUMN(CR$2)-69,3))*5)+MOD(COLUMN(CR$2),3),1,1),"")</f>
        <v>0</v>
      </c>
      <c r="CS59">
        <f ca="1">IF($AN59="",OFFSET(Demand!$A$13,ROW(AC56)-1,4+((QUOTIENT(COLUMN(CS$2)-69,3))*5)+MOD(COLUMN(CS$2),3),1,1),"")</f>
        <v>0</v>
      </c>
      <c r="CT59">
        <f ca="1">IF($AN59="",OFFSET(Demand!$A$13,ROW(AD56)-1,4+((QUOTIENT(COLUMN(CT$2)-69,3))*5)+MOD(COLUMN(CT$2),3),1,1),"")</f>
        <v>0</v>
      </c>
      <c r="CW59" s="5">
        <f ca="1">SUM(OFFSET(Demand!$H$43,ROW(A56)-1,(COLUMN(A56)-1)*5,1,1))*N$2</f>
        <v>0</v>
      </c>
      <c r="CX59" s="5">
        <f ca="1">SUM(OFFSET(Demand!$H$43,ROW(B56)-1,(COLUMN(B56)-1)*5,1,1))*O$2</f>
        <v>0</v>
      </c>
      <c r="CY59" s="5">
        <f ca="1">SUM(OFFSET(Demand!$H$43,ROW(C56)-1,(COLUMN(C56)-1)*5,1,1))*P$2</f>
        <v>0</v>
      </c>
      <c r="CZ59" s="5">
        <f ca="1">SUM(OFFSET(Demand!$H$43,ROW(D56)-1,(COLUMN(D56)-1)*5,1,1))*Q$2</f>
        <v>0</v>
      </c>
      <c r="DA59" s="5">
        <f ca="1">SUM(OFFSET(Demand!$H$43,ROW(E56)-1,(COLUMN(E56)-1)*5,1,1))*R$2</f>
        <v>0</v>
      </c>
      <c r="DB59" s="5">
        <f ca="1">SUM(OFFSET(Demand!$H$43,ROW(F56)-1,(COLUMN(F56)-1)*5,1,1))*S$2</f>
        <v>0</v>
      </c>
      <c r="DC59" s="5">
        <f ca="1">SUM(OFFSET(Demand!$H$43,ROW(G56)-1,(COLUMN(G56)-1)*5,1,1))*T$2</f>
        <v>0</v>
      </c>
      <c r="DD59" s="5">
        <f ca="1">SUM(OFFSET(Demand!$H$43,ROW(H56)-1,(COLUMN(H56)-1)*5,1,1))*U$2</f>
        <v>0</v>
      </c>
      <c r="DE59" s="5">
        <f ca="1">SUM(OFFSET(Demand!$H$43,ROW(I56)-1,(COLUMN(I56)-1)*5,1,1))*V$2</f>
        <v>0</v>
      </c>
      <c r="DF59" s="5">
        <f ca="1">SUM(OFFSET(Demand!$H$43,ROW(J56)-1,(COLUMN(J56)-1)*5,1,1))*W$2</f>
        <v>0</v>
      </c>
      <c r="DG59" s="5">
        <f ca="1">IF(OR(AN59&lt;&gt;"",AND('Demand adjustments for Covid'!$F$9="Yes",'Demand adjustments for Covid'!$F$20="Yes")),"",SUM(CW59:DF59))</f>
        <v>0</v>
      </c>
    </row>
    <row r="60" spans="1:132" x14ac:dyDescent="0.25">
      <c r="A60" s="5">
        <f t="shared" ca="1" si="34"/>
        <v>1</v>
      </c>
      <c r="B60" s="5">
        <f ca="1">COUNTBLANK(OFFSET(Demand!$I69,0,(COLUMN(A57)-1)*5,1,1))</f>
        <v>1</v>
      </c>
      <c r="C60" s="5">
        <f ca="1">COUNTBLANK(OFFSET(Demand!$I69,0,(COLUMN(B57)-1)*5,1,1))</f>
        <v>1</v>
      </c>
      <c r="D60" s="5">
        <f ca="1">COUNTBLANK(OFFSET(Demand!$I69,0,(COLUMN(C57)-1)*5,1,1))</f>
        <v>1</v>
      </c>
      <c r="E60" s="5">
        <f ca="1">COUNTBLANK(OFFSET(Demand!$I69,0,(COLUMN(D57)-1)*5,1,1))</f>
        <v>1</v>
      </c>
      <c r="F60" s="5">
        <f ca="1">COUNTBLANK(OFFSET(Demand!$I69,0,(COLUMN(E57)-1)*5,1,1))</f>
        <v>1</v>
      </c>
      <c r="G60" s="5">
        <f ca="1">COUNTBLANK(OFFSET(Demand!$I69,0,(COLUMN(F57)-1)*5,1,1))</f>
        <v>1</v>
      </c>
      <c r="H60" s="5">
        <f ca="1">COUNTBLANK(OFFSET(Demand!$I69,0,(COLUMN(G57)-1)*5,1,1))</f>
        <v>1</v>
      </c>
      <c r="I60" s="5">
        <f ca="1">COUNTBLANK(OFFSET(Demand!$I69,0,(COLUMN(H57)-1)*5,1,1))</f>
        <v>1</v>
      </c>
      <c r="J60" s="5">
        <f ca="1">COUNTBLANK(OFFSET(Demand!$I69,0,(COLUMN(I57)-1)*5,1,1))</f>
        <v>1</v>
      </c>
      <c r="K60" s="5">
        <f ca="1">COUNTBLANK(OFFSET(Demand!$I69,0,(COLUMN(J57)-1)*5,1,1))</f>
        <v>1</v>
      </c>
      <c r="N60" s="5">
        <f ca="1">SUM(OFFSET(Demand!$E69,0,(COLUMN(A57)-1)*5,1,3))*N$2</f>
        <v>0</v>
      </c>
      <c r="O60" s="5">
        <f ca="1">SUM(OFFSET(Demand!$E69,0,(COLUMN(B57)-1)*5,1,3))*O$2</f>
        <v>0</v>
      </c>
      <c r="P60" s="5">
        <f ca="1">SUM(OFFSET(Demand!$E69,0,(COLUMN(C57)-1)*5,1,3))*P$2</f>
        <v>0</v>
      </c>
      <c r="Q60" s="5">
        <f ca="1">SUM(OFFSET(Demand!$E69,0,(COLUMN(D57)-1)*5,1,3))*Q$2</f>
        <v>0</v>
      </c>
      <c r="R60" s="5">
        <f ca="1">SUM(OFFSET(Demand!$E69,0,(COLUMN(E57)-1)*5,1,3))*R$2</f>
        <v>0</v>
      </c>
      <c r="S60" s="5">
        <f ca="1">SUM(OFFSET(Demand!$E69,0,(COLUMN(F57)-1)*5,1,3))*S$2</f>
        <v>0</v>
      </c>
      <c r="T60" s="5">
        <f ca="1">SUM(OFFSET(Demand!$E69,0,(COLUMN(G57)-1)*5,1,3))*T$2</f>
        <v>0</v>
      </c>
      <c r="U60" s="5">
        <f ca="1">SUM(OFFSET(Demand!$E69,0,(COLUMN(H57)-1)*5,1,3))*U$2</f>
        <v>0</v>
      </c>
      <c r="V60" s="5">
        <f ca="1">SUM(OFFSET(Demand!$E69,0,(COLUMN(I57)-1)*5,1,3))*V$2</f>
        <v>0</v>
      </c>
      <c r="W60" s="5">
        <f ca="1">SUM(OFFSET(Demand!$E69,0,(COLUMN(J57)-1)*5,1,3))*W$2</f>
        <v>0</v>
      </c>
      <c r="X60" s="5">
        <f t="shared" ca="1" si="4"/>
        <v>0</v>
      </c>
      <c r="Y60">
        <f t="shared" ca="1" si="5"/>
        <v>0</v>
      </c>
      <c r="Z60" s="5">
        <f ca="1">SUM(OFFSET(Demand!$H69,0,(COLUMN(A57)-1)*5,1,1))*N$2</f>
        <v>0</v>
      </c>
      <c r="AA60" s="5">
        <f ca="1">SUM(OFFSET(Demand!$H69,0,(COLUMN(B57)-1)*5,1,1))*O$2</f>
        <v>0</v>
      </c>
      <c r="AB60" s="5">
        <f ca="1">SUM(OFFSET(Demand!$H69,0,(COLUMN(C57)-1)*5,1,1))*P$2</f>
        <v>0</v>
      </c>
      <c r="AC60" s="5">
        <f ca="1">SUM(OFFSET(Demand!$H69,0,(COLUMN(D57)-1)*5,1,1))*Q$2</f>
        <v>0</v>
      </c>
      <c r="AD60" s="5">
        <f ca="1">SUM(OFFSET(Demand!$H69,0,(COLUMN(E57)-1)*5,1,1))*R$2</f>
        <v>0</v>
      </c>
      <c r="AE60" s="5">
        <f ca="1">SUM(OFFSET(Demand!$H69,0,(COLUMN(F57)-1)*5,1,1))*S$2</f>
        <v>0</v>
      </c>
      <c r="AF60" s="5">
        <f ca="1">SUM(OFFSET(Demand!$H69,0,(COLUMN(G57)-1)*5,1,1))*T$2</f>
        <v>0</v>
      </c>
      <c r="AG60" s="5">
        <f ca="1">SUM(OFFSET(Demand!$H69,0,(COLUMN(H57)-1)*5,1,1))*U$2</f>
        <v>0</v>
      </c>
      <c r="AH60" s="5">
        <f ca="1">SUM(OFFSET(Demand!$H69,0,(COLUMN(I57)-1)*5,1,1))*V$2</f>
        <v>0</v>
      </c>
      <c r="AI60" s="5">
        <f ca="1">SUM(OFFSET(Demand!$H69,0,(COLUMN(J57)-1)*5,1,1))*W$2</f>
        <v>0</v>
      </c>
      <c r="AJ60" s="5">
        <f t="shared" ca="1" si="6"/>
        <v>0</v>
      </c>
      <c r="AL60" s="5">
        <f t="shared" ca="1" si="8"/>
        <v>0</v>
      </c>
      <c r="AM60" s="5">
        <f t="shared" ca="1" si="9"/>
        <v>0</v>
      </c>
      <c r="AN60" s="5" t="str">
        <f>IF(Demand!BE69="Yes","Yes","")</f>
        <v/>
      </c>
      <c r="AP60" s="36" t="str">
        <f ca="1">Demand!B69</f>
        <v xml:space="preserve"> </v>
      </c>
      <c r="AQ60" t="str">
        <f ca="1">IF(TEXT(Demand!D69,"MMM")&lt;&gt;TEXT(Demand!D68,"MMM"),TEXT(Demand!D69,"MMM"),"")</f>
        <v/>
      </c>
      <c r="AT60" s="5">
        <f t="shared" ca="1" si="12"/>
        <v>0</v>
      </c>
      <c r="BQ60">
        <f ca="1">IF($AN60="",OFFSET(Demand!$A$13,ROW(A57)-1,4+((QUOTIENT(COLUMN(BQ$2)-69,3))*5)+MOD(COLUMN(BQ$2),3),1,1),"")</f>
        <v>0</v>
      </c>
      <c r="BR60">
        <f ca="1">IF($AN60="",OFFSET(Demand!$A$13,ROW(B57)-1,4+((QUOTIENT(COLUMN(BR$2)-69,3))*5)+MOD(COLUMN(BR$2),3),1,1),"")</f>
        <v>0</v>
      </c>
      <c r="BS60">
        <f ca="1">IF($AN60="",OFFSET(Demand!$A$13,ROW(C57)-1,4+((QUOTIENT(COLUMN(BS$2)-69,3))*5)+MOD(COLUMN(BS$2),3),1,1),"")</f>
        <v>0</v>
      </c>
      <c r="BT60">
        <f ca="1">IF($AN60="",OFFSET(Demand!$A$13,ROW(D57)-1,4+((QUOTIENT(COLUMN(BT$2)-69,3))*5)+MOD(COLUMN(BT$2),3),1,1),"")</f>
        <v>0</v>
      </c>
      <c r="BU60">
        <f ca="1">IF($AN60="",OFFSET(Demand!$A$13,ROW(E57)-1,4+((QUOTIENT(COLUMN(BU$2)-69,3))*5)+MOD(COLUMN(BU$2),3),1,1),"")</f>
        <v>0</v>
      </c>
      <c r="BV60">
        <f ca="1">IF($AN60="",OFFSET(Demand!$A$13,ROW(F57)-1,4+((QUOTIENT(COLUMN(BV$2)-69,3))*5)+MOD(COLUMN(BV$2),3),1,1),"")</f>
        <v>0</v>
      </c>
      <c r="BW60">
        <f ca="1">IF($AN60="",OFFSET(Demand!$A$13,ROW(G57)-1,4+((QUOTIENT(COLUMN(BW$2)-69,3))*5)+MOD(COLUMN(BW$2),3),1,1),"")</f>
        <v>0</v>
      </c>
      <c r="BX60">
        <f ca="1">IF($AN60="",OFFSET(Demand!$A$13,ROW(H57)-1,4+((QUOTIENT(COLUMN(BX$2)-69,3))*5)+MOD(COLUMN(BX$2),3),1,1),"")</f>
        <v>0</v>
      </c>
      <c r="BY60">
        <f ca="1">IF($AN60="",OFFSET(Demand!$A$13,ROW(I57)-1,4+((QUOTIENT(COLUMN(BY$2)-69,3))*5)+MOD(COLUMN(BY$2),3),1,1),"")</f>
        <v>0</v>
      </c>
      <c r="BZ60">
        <f ca="1">IF($AN60="",OFFSET(Demand!$A$13,ROW(J57)-1,4+((QUOTIENT(COLUMN(BZ$2)-69,3))*5)+MOD(COLUMN(BZ$2),3),1,1),"")</f>
        <v>0</v>
      </c>
      <c r="CA60">
        <f ca="1">IF($AN60="",OFFSET(Demand!$A$13,ROW(K57)-1,4+((QUOTIENT(COLUMN(CA$2)-69,3))*5)+MOD(COLUMN(CA$2),3),1,1),"")</f>
        <v>0</v>
      </c>
      <c r="CB60">
        <f ca="1">IF($AN60="",OFFSET(Demand!$A$13,ROW(L57)-1,4+((QUOTIENT(COLUMN(CB$2)-69,3))*5)+MOD(COLUMN(CB$2),3),1,1),"")</f>
        <v>0</v>
      </c>
      <c r="CC60">
        <f ca="1">IF($AN60="",OFFSET(Demand!$A$13,ROW(M57)-1,4+((QUOTIENT(COLUMN(CC$2)-69,3))*5)+MOD(COLUMN(CC$2),3),1,1),"")</f>
        <v>0</v>
      </c>
      <c r="CD60">
        <f ca="1">IF($AN60="",OFFSET(Demand!$A$13,ROW(N57)-1,4+((QUOTIENT(COLUMN(CD$2)-69,3))*5)+MOD(COLUMN(CD$2),3),1,1),"")</f>
        <v>0</v>
      </c>
      <c r="CE60">
        <f ca="1">IF($AN60="",OFFSET(Demand!$A$13,ROW(O57)-1,4+((QUOTIENT(COLUMN(CE$2)-69,3))*5)+MOD(COLUMN(CE$2),3),1,1),"")</f>
        <v>0</v>
      </c>
      <c r="CF60">
        <f ca="1">IF($AN60="",OFFSET(Demand!$A$13,ROW(P57)-1,4+((QUOTIENT(COLUMN(CF$2)-69,3))*5)+MOD(COLUMN(CF$2),3),1,1),"")</f>
        <v>0</v>
      </c>
      <c r="CG60">
        <f ca="1">IF($AN60="",OFFSET(Demand!$A$13,ROW(Q57)-1,4+((QUOTIENT(COLUMN(CG$2)-69,3))*5)+MOD(COLUMN(CG$2),3),1,1),"")</f>
        <v>0</v>
      </c>
      <c r="CH60">
        <f ca="1">IF($AN60="",OFFSET(Demand!$A$13,ROW(R57)-1,4+((QUOTIENT(COLUMN(CH$2)-69,3))*5)+MOD(COLUMN(CH$2),3),1,1),"")</f>
        <v>0</v>
      </c>
      <c r="CI60">
        <f ca="1">IF($AN60="",OFFSET(Demand!$A$13,ROW(S57)-1,4+((QUOTIENT(COLUMN(CI$2)-69,3))*5)+MOD(COLUMN(CI$2),3),1,1),"")</f>
        <v>0</v>
      </c>
      <c r="CJ60">
        <f ca="1">IF($AN60="",OFFSET(Demand!$A$13,ROW(T57)-1,4+((QUOTIENT(COLUMN(CJ$2)-69,3))*5)+MOD(COLUMN(CJ$2),3),1,1),"")</f>
        <v>0</v>
      </c>
      <c r="CK60">
        <f ca="1">IF($AN60="",OFFSET(Demand!$A$13,ROW(U57)-1,4+((QUOTIENT(COLUMN(CK$2)-69,3))*5)+MOD(COLUMN(CK$2),3),1,1),"")</f>
        <v>0</v>
      </c>
      <c r="CL60">
        <f ca="1">IF($AN60="",OFFSET(Demand!$A$13,ROW(V57)-1,4+((QUOTIENT(COLUMN(CL$2)-69,3))*5)+MOD(COLUMN(CL$2),3),1,1),"")</f>
        <v>0</v>
      </c>
      <c r="CM60">
        <f ca="1">IF($AN60="",OFFSET(Demand!$A$13,ROW(W57)-1,4+((QUOTIENT(COLUMN(CM$2)-69,3))*5)+MOD(COLUMN(CM$2),3),1,1),"")</f>
        <v>0</v>
      </c>
      <c r="CN60">
        <f ca="1">IF($AN60="",OFFSET(Demand!$A$13,ROW(X57)-1,4+((QUOTIENT(COLUMN(CN$2)-69,3))*5)+MOD(COLUMN(CN$2),3),1,1),"")</f>
        <v>0</v>
      </c>
      <c r="CO60">
        <f ca="1">IF($AN60="",OFFSET(Demand!$A$13,ROW(Y57)-1,4+((QUOTIENT(COLUMN(CO$2)-69,3))*5)+MOD(COLUMN(CO$2),3),1,1),"")</f>
        <v>0</v>
      </c>
      <c r="CP60">
        <f ca="1">IF($AN60="",OFFSET(Demand!$A$13,ROW(Z57)-1,4+((QUOTIENT(COLUMN(CP$2)-69,3))*5)+MOD(COLUMN(CP$2),3),1,1),"")</f>
        <v>0</v>
      </c>
      <c r="CQ60">
        <f ca="1">IF($AN60="",OFFSET(Demand!$A$13,ROW(AA57)-1,4+((QUOTIENT(COLUMN(CQ$2)-69,3))*5)+MOD(COLUMN(CQ$2),3),1,1),"")</f>
        <v>0</v>
      </c>
      <c r="CR60">
        <f ca="1">IF($AN60="",OFFSET(Demand!$A$13,ROW(AB57)-1,4+((QUOTIENT(COLUMN(CR$2)-69,3))*5)+MOD(COLUMN(CR$2),3),1,1),"")</f>
        <v>0</v>
      </c>
      <c r="CS60">
        <f ca="1">IF($AN60="",OFFSET(Demand!$A$13,ROW(AC57)-1,4+((QUOTIENT(COLUMN(CS$2)-69,3))*5)+MOD(COLUMN(CS$2),3),1,1),"")</f>
        <v>0</v>
      </c>
      <c r="CT60">
        <f ca="1">IF($AN60="",OFFSET(Demand!$A$13,ROW(AD57)-1,4+((QUOTIENT(COLUMN(CT$2)-69,3))*5)+MOD(COLUMN(CT$2),3),1,1),"")</f>
        <v>0</v>
      </c>
      <c r="CW60" s="5">
        <f ca="1">SUM(OFFSET(Demand!$H$43,ROW(A57)-1,(COLUMN(A57)-1)*5,1,1))*N$2</f>
        <v>0</v>
      </c>
      <c r="CX60" s="5">
        <f ca="1">SUM(OFFSET(Demand!$H$43,ROW(B57)-1,(COLUMN(B57)-1)*5,1,1))*O$2</f>
        <v>0</v>
      </c>
      <c r="CY60" s="5">
        <f ca="1">SUM(OFFSET(Demand!$H$43,ROW(C57)-1,(COLUMN(C57)-1)*5,1,1))*P$2</f>
        <v>0</v>
      </c>
      <c r="CZ60" s="5">
        <f ca="1">SUM(OFFSET(Demand!$H$43,ROW(D57)-1,(COLUMN(D57)-1)*5,1,1))*Q$2</f>
        <v>0</v>
      </c>
      <c r="DA60" s="5">
        <f ca="1">SUM(OFFSET(Demand!$H$43,ROW(E57)-1,(COLUMN(E57)-1)*5,1,1))*R$2</f>
        <v>0</v>
      </c>
      <c r="DB60" s="5">
        <f ca="1">SUM(OFFSET(Demand!$H$43,ROW(F57)-1,(COLUMN(F57)-1)*5,1,1))*S$2</f>
        <v>0</v>
      </c>
      <c r="DC60" s="5">
        <f ca="1">SUM(OFFSET(Demand!$H$43,ROW(G57)-1,(COLUMN(G57)-1)*5,1,1))*T$2</f>
        <v>0</v>
      </c>
      <c r="DD60" s="5">
        <f ca="1">SUM(OFFSET(Demand!$H$43,ROW(H57)-1,(COLUMN(H57)-1)*5,1,1))*U$2</f>
        <v>0</v>
      </c>
      <c r="DE60" s="5">
        <f ca="1">SUM(OFFSET(Demand!$H$43,ROW(I57)-1,(COLUMN(I57)-1)*5,1,1))*V$2</f>
        <v>0</v>
      </c>
      <c r="DF60" s="5">
        <f ca="1">SUM(OFFSET(Demand!$H$43,ROW(J57)-1,(COLUMN(J57)-1)*5,1,1))*W$2</f>
        <v>0</v>
      </c>
      <c r="DG60" s="5">
        <f ca="1">IF(OR(AN60&lt;&gt;"",AND('Demand adjustments for Covid'!$F$9="Yes",'Demand adjustments for Covid'!$F$20="Yes")),"",SUM(CW60:DF60))</f>
        <v>0</v>
      </c>
    </row>
    <row r="61" spans="1:132" x14ac:dyDescent="0.25">
      <c r="A61" s="5">
        <f t="shared" ca="1" si="34"/>
        <v>1</v>
      </c>
      <c r="B61" s="5">
        <f ca="1">COUNTBLANK(OFFSET(Demand!$I70,0,(COLUMN(A58)-1)*5,1,1))</f>
        <v>1</v>
      </c>
      <c r="C61" s="5">
        <f ca="1">COUNTBLANK(OFFSET(Demand!$I70,0,(COLUMN(B58)-1)*5,1,1))</f>
        <v>1</v>
      </c>
      <c r="D61" s="5">
        <f ca="1">COUNTBLANK(OFFSET(Demand!$I70,0,(COLUMN(C58)-1)*5,1,1))</f>
        <v>1</v>
      </c>
      <c r="E61" s="5">
        <f ca="1">COUNTBLANK(OFFSET(Demand!$I70,0,(COLUMN(D58)-1)*5,1,1))</f>
        <v>1</v>
      </c>
      <c r="F61" s="5">
        <f ca="1">COUNTBLANK(OFFSET(Demand!$I70,0,(COLUMN(E58)-1)*5,1,1))</f>
        <v>1</v>
      </c>
      <c r="G61" s="5">
        <f ca="1">COUNTBLANK(OFFSET(Demand!$I70,0,(COLUMN(F58)-1)*5,1,1))</f>
        <v>1</v>
      </c>
      <c r="H61" s="5">
        <f ca="1">COUNTBLANK(OFFSET(Demand!$I70,0,(COLUMN(G58)-1)*5,1,1))</f>
        <v>1</v>
      </c>
      <c r="I61" s="5">
        <f ca="1">COUNTBLANK(OFFSET(Demand!$I70,0,(COLUMN(H58)-1)*5,1,1))</f>
        <v>1</v>
      </c>
      <c r="J61" s="5">
        <f ca="1">COUNTBLANK(OFFSET(Demand!$I70,0,(COLUMN(I58)-1)*5,1,1))</f>
        <v>1</v>
      </c>
      <c r="K61" s="5">
        <f ca="1">COUNTBLANK(OFFSET(Demand!$I70,0,(COLUMN(J58)-1)*5,1,1))</f>
        <v>1</v>
      </c>
      <c r="N61" s="5">
        <f ca="1">SUM(OFFSET(Demand!$E70,0,(COLUMN(A58)-1)*5,1,3))*N$2</f>
        <v>0</v>
      </c>
      <c r="O61" s="5">
        <f ca="1">SUM(OFFSET(Demand!$E70,0,(COLUMN(B58)-1)*5,1,3))*O$2</f>
        <v>0</v>
      </c>
      <c r="P61" s="5">
        <f ca="1">SUM(OFFSET(Demand!$E70,0,(COLUMN(C58)-1)*5,1,3))*P$2</f>
        <v>0</v>
      </c>
      <c r="Q61" s="5">
        <f ca="1">SUM(OFFSET(Demand!$E70,0,(COLUMN(D58)-1)*5,1,3))*Q$2</f>
        <v>0</v>
      </c>
      <c r="R61" s="5">
        <f ca="1">SUM(OFFSET(Demand!$E70,0,(COLUMN(E58)-1)*5,1,3))*R$2</f>
        <v>0</v>
      </c>
      <c r="S61" s="5">
        <f ca="1">SUM(OFFSET(Demand!$E70,0,(COLUMN(F58)-1)*5,1,3))*S$2</f>
        <v>0</v>
      </c>
      <c r="T61" s="5">
        <f ca="1">SUM(OFFSET(Demand!$E70,0,(COLUMN(G58)-1)*5,1,3))*T$2</f>
        <v>0</v>
      </c>
      <c r="U61" s="5">
        <f ca="1">SUM(OFFSET(Demand!$E70,0,(COLUMN(H58)-1)*5,1,3))*U$2</f>
        <v>0</v>
      </c>
      <c r="V61" s="5">
        <f ca="1">SUM(OFFSET(Demand!$E70,0,(COLUMN(I58)-1)*5,1,3))*V$2</f>
        <v>0</v>
      </c>
      <c r="W61" s="5">
        <f ca="1">SUM(OFFSET(Demand!$E70,0,(COLUMN(J58)-1)*5,1,3))*W$2</f>
        <v>0</v>
      </c>
      <c r="X61" s="5">
        <f t="shared" ca="1" si="4"/>
        <v>0</v>
      </c>
      <c r="Y61">
        <f t="shared" ca="1" si="5"/>
        <v>0</v>
      </c>
      <c r="Z61" s="5">
        <f ca="1">SUM(OFFSET(Demand!$H70,0,(COLUMN(A58)-1)*5,1,1))*N$2</f>
        <v>0</v>
      </c>
      <c r="AA61" s="5">
        <f ca="1">SUM(OFFSET(Demand!$H70,0,(COLUMN(B58)-1)*5,1,1))*O$2</f>
        <v>0</v>
      </c>
      <c r="AB61" s="5">
        <f ca="1">SUM(OFFSET(Demand!$H70,0,(COLUMN(C58)-1)*5,1,1))*P$2</f>
        <v>0</v>
      </c>
      <c r="AC61" s="5">
        <f ca="1">SUM(OFFSET(Demand!$H70,0,(COLUMN(D58)-1)*5,1,1))*Q$2</f>
        <v>0</v>
      </c>
      <c r="AD61" s="5">
        <f ca="1">SUM(OFFSET(Demand!$H70,0,(COLUMN(E58)-1)*5,1,1))*R$2</f>
        <v>0</v>
      </c>
      <c r="AE61" s="5">
        <f ca="1">SUM(OFFSET(Demand!$H70,0,(COLUMN(F58)-1)*5,1,1))*S$2</f>
        <v>0</v>
      </c>
      <c r="AF61" s="5">
        <f ca="1">SUM(OFFSET(Demand!$H70,0,(COLUMN(G58)-1)*5,1,1))*T$2</f>
        <v>0</v>
      </c>
      <c r="AG61" s="5">
        <f ca="1">SUM(OFFSET(Demand!$H70,0,(COLUMN(H58)-1)*5,1,1))*U$2</f>
        <v>0</v>
      </c>
      <c r="AH61" s="5">
        <f ca="1">SUM(OFFSET(Demand!$H70,0,(COLUMN(I58)-1)*5,1,1))*V$2</f>
        <v>0</v>
      </c>
      <c r="AI61" s="5">
        <f ca="1">SUM(OFFSET(Demand!$H70,0,(COLUMN(J58)-1)*5,1,1))*W$2</f>
        <v>0</v>
      </c>
      <c r="AJ61" s="5">
        <f t="shared" ca="1" si="6"/>
        <v>0</v>
      </c>
      <c r="AL61" s="5">
        <f t="shared" ca="1" si="8"/>
        <v>0</v>
      </c>
      <c r="AM61" s="5">
        <f t="shared" ca="1" si="9"/>
        <v>0</v>
      </c>
      <c r="AN61" s="5" t="str">
        <f>IF(Demand!BE70="Yes","Yes","")</f>
        <v/>
      </c>
      <c r="AP61" s="36" t="str">
        <f ca="1">Demand!B70</f>
        <v xml:space="preserve"> </v>
      </c>
      <c r="AQ61" t="str">
        <f ca="1">IF(TEXT(Demand!D70,"MMM")&lt;&gt;TEXT(Demand!D69,"MMM"),TEXT(Demand!D70,"MMM"),"")</f>
        <v/>
      </c>
      <c r="AT61" s="5">
        <f t="shared" ca="1" si="12"/>
        <v>0</v>
      </c>
      <c r="BQ61">
        <f ca="1">IF($AN61="",OFFSET(Demand!$A$13,ROW(A58)-1,4+((QUOTIENT(COLUMN(BQ$2)-69,3))*5)+MOD(COLUMN(BQ$2),3),1,1),"")</f>
        <v>0</v>
      </c>
      <c r="BR61">
        <f ca="1">IF($AN61="",OFFSET(Demand!$A$13,ROW(B58)-1,4+((QUOTIENT(COLUMN(BR$2)-69,3))*5)+MOD(COLUMN(BR$2),3),1,1),"")</f>
        <v>0</v>
      </c>
      <c r="BS61">
        <f ca="1">IF($AN61="",OFFSET(Demand!$A$13,ROW(C58)-1,4+((QUOTIENT(COLUMN(BS$2)-69,3))*5)+MOD(COLUMN(BS$2),3),1,1),"")</f>
        <v>0</v>
      </c>
      <c r="BT61">
        <f ca="1">IF($AN61="",OFFSET(Demand!$A$13,ROW(D58)-1,4+((QUOTIENT(COLUMN(BT$2)-69,3))*5)+MOD(COLUMN(BT$2),3),1,1),"")</f>
        <v>0</v>
      </c>
      <c r="BU61">
        <f ca="1">IF($AN61="",OFFSET(Demand!$A$13,ROW(E58)-1,4+((QUOTIENT(COLUMN(BU$2)-69,3))*5)+MOD(COLUMN(BU$2),3),1,1),"")</f>
        <v>0</v>
      </c>
      <c r="BV61">
        <f ca="1">IF($AN61="",OFFSET(Demand!$A$13,ROW(F58)-1,4+((QUOTIENT(COLUMN(BV$2)-69,3))*5)+MOD(COLUMN(BV$2),3),1,1),"")</f>
        <v>0</v>
      </c>
      <c r="BW61">
        <f ca="1">IF($AN61="",OFFSET(Demand!$A$13,ROW(G58)-1,4+((QUOTIENT(COLUMN(BW$2)-69,3))*5)+MOD(COLUMN(BW$2),3),1,1),"")</f>
        <v>0</v>
      </c>
      <c r="BX61">
        <f ca="1">IF($AN61="",OFFSET(Demand!$A$13,ROW(H58)-1,4+((QUOTIENT(COLUMN(BX$2)-69,3))*5)+MOD(COLUMN(BX$2),3),1,1),"")</f>
        <v>0</v>
      </c>
      <c r="BY61">
        <f ca="1">IF($AN61="",OFFSET(Demand!$A$13,ROW(I58)-1,4+((QUOTIENT(COLUMN(BY$2)-69,3))*5)+MOD(COLUMN(BY$2),3),1,1),"")</f>
        <v>0</v>
      </c>
      <c r="BZ61">
        <f ca="1">IF($AN61="",OFFSET(Demand!$A$13,ROW(J58)-1,4+((QUOTIENT(COLUMN(BZ$2)-69,3))*5)+MOD(COLUMN(BZ$2),3),1,1),"")</f>
        <v>0</v>
      </c>
      <c r="CA61">
        <f ca="1">IF($AN61="",OFFSET(Demand!$A$13,ROW(K58)-1,4+((QUOTIENT(COLUMN(CA$2)-69,3))*5)+MOD(COLUMN(CA$2),3),1,1),"")</f>
        <v>0</v>
      </c>
      <c r="CB61">
        <f ca="1">IF($AN61="",OFFSET(Demand!$A$13,ROW(L58)-1,4+((QUOTIENT(COLUMN(CB$2)-69,3))*5)+MOD(COLUMN(CB$2),3),1,1),"")</f>
        <v>0</v>
      </c>
      <c r="CC61">
        <f ca="1">IF($AN61="",OFFSET(Demand!$A$13,ROW(M58)-1,4+((QUOTIENT(COLUMN(CC$2)-69,3))*5)+MOD(COLUMN(CC$2),3),1,1),"")</f>
        <v>0</v>
      </c>
      <c r="CD61">
        <f ca="1">IF($AN61="",OFFSET(Demand!$A$13,ROW(N58)-1,4+((QUOTIENT(COLUMN(CD$2)-69,3))*5)+MOD(COLUMN(CD$2),3),1,1),"")</f>
        <v>0</v>
      </c>
      <c r="CE61">
        <f ca="1">IF($AN61="",OFFSET(Demand!$A$13,ROW(O58)-1,4+((QUOTIENT(COLUMN(CE$2)-69,3))*5)+MOD(COLUMN(CE$2),3),1,1),"")</f>
        <v>0</v>
      </c>
      <c r="CF61">
        <f ca="1">IF($AN61="",OFFSET(Demand!$A$13,ROW(P58)-1,4+((QUOTIENT(COLUMN(CF$2)-69,3))*5)+MOD(COLUMN(CF$2),3),1,1),"")</f>
        <v>0</v>
      </c>
      <c r="CG61">
        <f ca="1">IF($AN61="",OFFSET(Demand!$A$13,ROW(Q58)-1,4+((QUOTIENT(COLUMN(CG$2)-69,3))*5)+MOD(COLUMN(CG$2),3),1,1),"")</f>
        <v>0</v>
      </c>
      <c r="CH61">
        <f ca="1">IF($AN61="",OFFSET(Demand!$A$13,ROW(R58)-1,4+((QUOTIENT(COLUMN(CH$2)-69,3))*5)+MOD(COLUMN(CH$2),3),1,1),"")</f>
        <v>0</v>
      </c>
      <c r="CI61">
        <f ca="1">IF($AN61="",OFFSET(Demand!$A$13,ROW(S58)-1,4+((QUOTIENT(COLUMN(CI$2)-69,3))*5)+MOD(COLUMN(CI$2),3),1,1),"")</f>
        <v>0</v>
      </c>
      <c r="CJ61">
        <f ca="1">IF($AN61="",OFFSET(Demand!$A$13,ROW(T58)-1,4+((QUOTIENT(COLUMN(CJ$2)-69,3))*5)+MOD(COLUMN(CJ$2),3),1,1),"")</f>
        <v>0</v>
      </c>
      <c r="CK61">
        <f ca="1">IF($AN61="",OFFSET(Demand!$A$13,ROW(U58)-1,4+((QUOTIENT(COLUMN(CK$2)-69,3))*5)+MOD(COLUMN(CK$2),3),1,1),"")</f>
        <v>0</v>
      </c>
      <c r="CL61">
        <f ca="1">IF($AN61="",OFFSET(Demand!$A$13,ROW(V58)-1,4+((QUOTIENT(COLUMN(CL$2)-69,3))*5)+MOD(COLUMN(CL$2),3),1,1),"")</f>
        <v>0</v>
      </c>
      <c r="CM61">
        <f ca="1">IF($AN61="",OFFSET(Demand!$A$13,ROW(W58)-1,4+((QUOTIENT(COLUMN(CM$2)-69,3))*5)+MOD(COLUMN(CM$2),3),1,1),"")</f>
        <v>0</v>
      </c>
      <c r="CN61">
        <f ca="1">IF($AN61="",OFFSET(Demand!$A$13,ROW(X58)-1,4+((QUOTIENT(COLUMN(CN$2)-69,3))*5)+MOD(COLUMN(CN$2),3),1,1),"")</f>
        <v>0</v>
      </c>
      <c r="CO61">
        <f ca="1">IF($AN61="",OFFSET(Demand!$A$13,ROW(Y58)-1,4+((QUOTIENT(COLUMN(CO$2)-69,3))*5)+MOD(COLUMN(CO$2),3),1,1),"")</f>
        <v>0</v>
      </c>
      <c r="CP61">
        <f ca="1">IF($AN61="",OFFSET(Demand!$A$13,ROW(Z58)-1,4+((QUOTIENT(COLUMN(CP$2)-69,3))*5)+MOD(COLUMN(CP$2),3),1,1),"")</f>
        <v>0</v>
      </c>
      <c r="CQ61">
        <f ca="1">IF($AN61="",OFFSET(Demand!$A$13,ROW(AA58)-1,4+((QUOTIENT(COLUMN(CQ$2)-69,3))*5)+MOD(COLUMN(CQ$2),3),1,1),"")</f>
        <v>0</v>
      </c>
      <c r="CR61">
        <f ca="1">IF($AN61="",OFFSET(Demand!$A$13,ROW(AB58)-1,4+((QUOTIENT(COLUMN(CR$2)-69,3))*5)+MOD(COLUMN(CR$2),3),1,1),"")</f>
        <v>0</v>
      </c>
      <c r="CS61">
        <f ca="1">IF($AN61="",OFFSET(Demand!$A$13,ROW(AC58)-1,4+((QUOTIENT(COLUMN(CS$2)-69,3))*5)+MOD(COLUMN(CS$2),3),1,1),"")</f>
        <v>0</v>
      </c>
      <c r="CT61">
        <f ca="1">IF($AN61="",OFFSET(Demand!$A$13,ROW(AD58)-1,4+((QUOTIENT(COLUMN(CT$2)-69,3))*5)+MOD(COLUMN(CT$2),3),1,1),"")</f>
        <v>0</v>
      </c>
      <c r="CW61" s="5">
        <f ca="1">SUM(OFFSET(Demand!$H$43,ROW(A58)-1,(COLUMN(A58)-1)*5,1,1))*N$2</f>
        <v>0</v>
      </c>
      <c r="CX61" s="5">
        <f ca="1">SUM(OFFSET(Demand!$H$43,ROW(B58)-1,(COLUMN(B58)-1)*5,1,1))*O$2</f>
        <v>0</v>
      </c>
      <c r="CY61" s="5">
        <f ca="1">SUM(OFFSET(Demand!$H$43,ROW(C58)-1,(COLUMN(C58)-1)*5,1,1))*P$2</f>
        <v>0</v>
      </c>
      <c r="CZ61" s="5">
        <f ca="1">SUM(OFFSET(Demand!$H$43,ROW(D58)-1,(COLUMN(D58)-1)*5,1,1))*Q$2</f>
        <v>0</v>
      </c>
      <c r="DA61" s="5">
        <f ca="1">SUM(OFFSET(Demand!$H$43,ROW(E58)-1,(COLUMN(E58)-1)*5,1,1))*R$2</f>
        <v>0</v>
      </c>
      <c r="DB61" s="5">
        <f ca="1">SUM(OFFSET(Demand!$H$43,ROW(F58)-1,(COLUMN(F58)-1)*5,1,1))*S$2</f>
        <v>0</v>
      </c>
      <c r="DC61" s="5">
        <f ca="1">SUM(OFFSET(Demand!$H$43,ROW(G58)-1,(COLUMN(G58)-1)*5,1,1))*T$2</f>
        <v>0</v>
      </c>
      <c r="DD61" s="5">
        <f ca="1">SUM(OFFSET(Demand!$H$43,ROW(H58)-1,(COLUMN(H58)-1)*5,1,1))*U$2</f>
        <v>0</v>
      </c>
      <c r="DE61" s="5">
        <f ca="1">SUM(OFFSET(Demand!$H$43,ROW(I58)-1,(COLUMN(I58)-1)*5,1,1))*V$2</f>
        <v>0</v>
      </c>
      <c r="DF61" s="5">
        <f ca="1">SUM(OFFSET(Demand!$H$43,ROW(J58)-1,(COLUMN(J58)-1)*5,1,1))*W$2</f>
        <v>0</v>
      </c>
      <c r="DG61" s="5">
        <f ca="1">IF(OR(AN61&lt;&gt;"",AND('Demand adjustments for Covid'!$F$9="Yes",'Demand adjustments for Covid'!$F$20="Yes")),"",SUM(CW61:DF61))</f>
        <v>0</v>
      </c>
    </row>
    <row r="62" spans="1:132" x14ac:dyDescent="0.25">
      <c r="A62" s="5">
        <f t="shared" ca="1" si="34"/>
        <v>1</v>
      </c>
      <c r="B62" s="5">
        <f ca="1">COUNTBLANK(OFFSET(Demand!$I71,0,(COLUMN(A59)-1)*5,1,1))</f>
        <v>1</v>
      </c>
      <c r="C62" s="5">
        <f ca="1">COUNTBLANK(OFFSET(Demand!$I71,0,(COLUMN(B59)-1)*5,1,1))</f>
        <v>1</v>
      </c>
      <c r="D62" s="5">
        <f ca="1">COUNTBLANK(OFFSET(Demand!$I71,0,(COLUMN(C59)-1)*5,1,1))</f>
        <v>1</v>
      </c>
      <c r="E62" s="5">
        <f ca="1">COUNTBLANK(OFFSET(Demand!$I71,0,(COLUMN(D59)-1)*5,1,1))</f>
        <v>1</v>
      </c>
      <c r="F62" s="5">
        <f ca="1">COUNTBLANK(OFFSET(Demand!$I71,0,(COLUMN(E59)-1)*5,1,1))</f>
        <v>1</v>
      </c>
      <c r="G62" s="5">
        <f ca="1">COUNTBLANK(OFFSET(Demand!$I71,0,(COLUMN(F59)-1)*5,1,1))</f>
        <v>1</v>
      </c>
      <c r="H62" s="5">
        <f ca="1">COUNTBLANK(OFFSET(Demand!$I71,0,(COLUMN(G59)-1)*5,1,1))</f>
        <v>1</v>
      </c>
      <c r="I62" s="5">
        <f ca="1">COUNTBLANK(OFFSET(Demand!$I71,0,(COLUMN(H59)-1)*5,1,1))</f>
        <v>1</v>
      </c>
      <c r="J62" s="5">
        <f ca="1">COUNTBLANK(OFFSET(Demand!$I71,0,(COLUMN(I59)-1)*5,1,1))</f>
        <v>1</v>
      </c>
      <c r="K62" s="5">
        <f ca="1">COUNTBLANK(OFFSET(Demand!$I71,0,(COLUMN(J59)-1)*5,1,1))</f>
        <v>1</v>
      </c>
      <c r="N62" s="5">
        <f ca="1">SUM(OFFSET(Demand!$E71,0,(COLUMN(A59)-1)*5,1,3))*N$2</f>
        <v>0</v>
      </c>
      <c r="O62" s="5">
        <f ca="1">SUM(OFFSET(Demand!$E71,0,(COLUMN(B59)-1)*5,1,3))*O$2</f>
        <v>0</v>
      </c>
      <c r="P62" s="5">
        <f ca="1">SUM(OFFSET(Demand!$E71,0,(COLUMN(C59)-1)*5,1,3))*P$2</f>
        <v>0</v>
      </c>
      <c r="Q62" s="5">
        <f ca="1">SUM(OFFSET(Demand!$E71,0,(COLUMN(D59)-1)*5,1,3))*Q$2</f>
        <v>0</v>
      </c>
      <c r="R62" s="5">
        <f ca="1">SUM(OFFSET(Demand!$E71,0,(COLUMN(E59)-1)*5,1,3))*R$2</f>
        <v>0</v>
      </c>
      <c r="S62" s="5">
        <f ca="1">SUM(OFFSET(Demand!$E71,0,(COLUMN(F59)-1)*5,1,3))*S$2</f>
        <v>0</v>
      </c>
      <c r="T62" s="5">
        <f ca="1">SUM(OFFSET(Demand!$E71,0,(COLUMN(G59)-1)*5,1,3))*T$2</f>
        <v>0</v>
      </c>
      <c r="U62" s="5">
        <f ca="1">SUM(OFFSET(Demand!$E71,0,(COLUMN(H59)-1)*5,1,3))*U$2</f>
        <v>0</v>
      </c>
      <c r="V62" s="5">
        <f ca="1">SUM(OFFSET(Demand!$E71,0,(COLUMN(I59)-1)*5,1,3))*V$2</f>
        <v>0</v>
      </c>
      <c r="W62" s="5">
        <f ca="1">SUM(OFFSET(Demand!$E71,0,(COLUMN(J59)-1)*5,1,3))*W$2</f>
        <v>0</v>
      </c>
      <c r="X62" s="5">
        <f t="shared" ca="1" si="4"/>
        <v>0</v>
      </c>
      <c r="Y62">
        <f t="shared" ca="1" si="5"/>
        <v>0</v>
      </c>
      <c r="Z62" s="5">
        <f ca="1">SUM(OFFSET(Demand!$H71,0,(COLUMN(A59)-1)*5,1,1))*N$2</f>
        <v>0</v>
      </c>
      <c r="AA62" s="5">
        <f ca="1">SUM(OFFSET(Demand!$H71,0,(COLUMN(B59)-1)*5,1,1))*O$2</f>
        <v>0</v>
      </c>
      <c r="AB62" s="5">
        <f ca="1">SUM(OFFSET(Demand!$H71,0,(COLUMN(C59)-1)*5,1,1))*P$2</f>
        <v>0</v>
      </c>
      <c r="AC62" s="5">
        <f ca="1">SUM(OFFSET(Demand!$H71,0,(COLUMN(D59)-1)*5,1,1))*Q$2</f>
        <v>0</v>
      </c>
      <c r="AD62" s="5">
        <f ca="1">SUM(OFFSET(Demand!$H71,0,(COLUMN(E59)-1)*5,1,1))*R$2</f>
        <v>0</v>
      </c>
      <c r="AE62" s="5">
        <f ca="1">SUM(OFFSET(Demand!$H71,0,(COLUMN(F59)-1)*5,1,1))*S$2</f>
        <v>0</v>
      </c>
      <c r="AF62" s="5">
        <f ca="1">SUM(OFFSET(Demand!$H71,0,(COLUMN(G59)-1)*5,1,1))*T$2</f>
        <v>0</v>
      </c>
      <c r="AG62" s="5">
        <f ca="1">SUM(OFFSET(Demand!$H71,0,(COLUMN(H59)-1)*5,1,1))*U$2</f>
        <v>0</v>
      </c>
      <c r="AH62" s="5">
        <f ca="1">SUM(OFFSET(Demand!$H71,0,(COLUMN(I59)-1)*5,1,1))*V$2</f>
        <v>0</v>
      </c>
      <c r="AI62" s="5">
        <f ca="1">SUM(OFFSET(Demand!$H71,0,(COLUMN(J59)-1)*5,1,1))*W$2</f>
        <v>0</v>
      </c>
      <c r="AJ62" s="5">
        <f t="shared" ca="1" si="6"/>
        <v>0</v>
      </c>
      <c r="AL62" s="5">
        <f t="shared" ca="1" si="8"/>
        <v>0</v>
      </c>
      <c r="AM62" s="5">
        <f t="shared" ca="1" si="9"/>
        <v>0</v>
      </c>
      <c r="AN62" s="5" t="str">
        <f>IF(Demand!BE71="Yes","Yes","")</f>
        <v/>
      </c>
      <c r="AP62" s="36" t="str">
        <f ca="1">Demand!B71</f>
        <v xml:space="preserve"> </v>
      </c>
      <c r="AQ62" t="str">
        <f ca="1">IF(TEXT(Demand!D71,"MMM")&lt;&gt;TEXT(Demand!D70,"MMM"),TEXT(Demand!D71,"MMM"),"")</f>
        <v/>
      </c>
      <c r="AT62" s="5">
        <f t="shared" ca="1" si="12"/>
        <v>0</v>
      </c>
      <c r="BQ62">
        <f ca="1">IF($AN62="",OFFSET(Demand!$A$13,ROW(A59)-1,4+((QUOTIENT(COLUMN(BQ$2)-69,3))*5)+MOD(COLUMN(BQ$2),3),1,1),"")</f>
        <v>0</v>
      </c>
      <c r="BR62">
        <f ca="1">IF($AN62="",OFFSET(Demand!$A$13,ROW(B59)-1,4+((QUOTIENT(COLUMN(BR$2)-69,3))*5)+MOD(COLUMN(BR$2),3),1,1),"")</f>
        <v>0</v>
      </c>
      <c r="BS62">
        <f ca="1">IF($AN62="",OFFSET(Demand!$A$13,ROW(C59)-1,4+((QUOTIENT(COLUMN(BS$2)-69,3))*5)+MOD(COLUMN(BS$2),3),1,1),"")</f>
        <v>0</v>
      </c>
      <c r="BT62">
        <f ca="1">IF($AN62="",OFFSET(Demand!$A$13,ROW(D59)-1,4+((QUOTIENT(COLUMN(BT$2)-69,3))*5)+MOD(COLUMN(BT$2),3),1,1),"")</f>
        <v>0</v>
      </c>
      <c r="BU62">
        <f ca="1">IF($AN62="",OFFSET(Demand!$A$13,ROW(E59)-1,4+((QUOTIENT(COLUMN(BU$2)-69,3))*5)+MOD(COLUMN(BU$2),3),1,1),"")</f>
        <v>0</v>
      </c>
      <c r="BV62">
        <f ca="1">IF($AN62="",OFFSET(Demand!$A$13,ROW(F59)-1,4+((QUOTIENT(COLUMN(BV$2)-69,3))*5)+MOD(COLUMN(BV$2),3),1,1),"")</f>
        <v>0</v>
      </c>
      <c r="BW62">
        <f ca="1">IF($AN62="",OFFSET(Demand!$A$13,ROW(G59)-1,4+((QUOTIENT(COLUMN(BW$2)-69,3))*5)+MOD(COLUMN(BW$2),3),1,1),"")</f>
        <v>0</v>
      </c>
      <c r="BX62">
        <f ca="1">IF($AN62="",OFFSET(Demand!$A$13,ROW(H59)-1,4+((QUOTIENT(COLUMN(BX$2)-69,3))*5)+MOD(COLUMN(BX$2),3),1,1),"")</f>
        <v>0</v>
      </c>
      <c r="BY62">
        <f ca="1">IF($AN62="",OFFSET(Demand!$A$13,ROW(I59)-1,4+((QUOTIENT(COLUMN(BY$2)-69,3))*5)+MOD(COLUMN(BY$2),3),1,1),"")</f>
        <v>0</v>
      </c>
      <c r="BZ62">
        <f ca="1">IF($AN62="",OFFSET(Demand!$A$13,ROW(J59)-1,4+((QUOTIENT(COLUMN(BZ$2)-69,3))*5)+MOD(COLUMN(BZ$2),3),1,1),"")</f>
        <v>0</v>
      </c>
      <c r="CA62">
        <f ca="1">IF($AN62="",OFFSET(Demand!$A$13,ROW(K59)-1,4+((QUOTIENT(COLUMN(CA$2)-69,3))*5)+MOD(COLUMN(CA$2),3),1,1),"")</f>
        <v>0</v>
      </c>
      <c r="CB62">
        <f ca="1">IF($AN62="",OFFSET(Demand!$A$13,ROW(L59)-1,4+((QUOTIENT(COLUMN(CB$2)-69,3))*5)+MOD(COLUMN(CB$2),3),1,1),"")</f>
        <v>0</v>
      </c>
      <c r="CC62">
        <f ca="1">IF($AN62="",OFFSET(Demand!$A$13,ROW(M59)-1,4+((QUOTIENT(COLUMN(CC$2)-69,3))*5)+MOD(COLUMN(CC$2),3),1,1),"")</f>
        <v>0</v>
      </c>
      <c r="CD62">
        <f ca="1">IF($AN62="",OFFSET(Demand!$A$13,ROW(N59)-1,4+((QUOTIENT(COLUMN(CD$2)-69,3))*5)+MOD(COLUMN(CD$2),3),1,1),"")</f>
        <v>0</v>
      </c>
      <c r="CE62">
        <f ca="1">IF($AN62="",OFFSET(Demand!$A$13,ROW(O59)-1,4+((QUOTIENT(COLUMN(CE$2)-69,3))*5)+MOD(COLUMN(CE$2),3),1,1),"")</f>
        <v>0</v>
      </c>
      <c r="CF62">
        <f ca="1">IF($AN62="",OFFSET(Demand!$A$13,ROW(P59)-1,4+((QUOTIENT(COLUMN(CF$2)-69,3))*5)+MOD(COLUMN(CF$2),3),1,1),"")</f>
        <v>0</v>
      </c>
      <c r="CG62">
        <f ca="1">IF($AN62="",OFFSET(Demand!$A$13,ROW(Q59)-1,4+((QUOTIENT(COLUMN(CG$2)-69,3))*5)+MOD(COLUMN(CG$2),3),1,1),"")</f>
        <v>0</v>
      </c>
      <c r="CH62">
        <f ca="1">IF($AN62="",OFFSET(Demand!$A$13,ROW(R59)-1,4+((QUOTIENT(COLUMN(CH$2)-69,3))*5)+MOD(COLUMN(CH$2),3),1,1),"")</f>
        <v>0</v>
      </c>
      <c r="CI62">
        <f ca="1">IF($AN62="",OFFSET(Demand!$A$13,ROW(S59)-1,4+((QUOTIENT(COLUMN(CI$2)-69,3))*5)+MOD(COLUMN(CI$2),3),1,1),"")</f>
        <v>0</v>
      </c>
      <c r="CJ62">
        <f ca="1">IF($AN62="",OFFSET(Demand!$A$13,ROW(T59)-1,4+((QUOTIENT(COLUMN(CJ$2)-69,3))*5)+MOD(COLUMN(CJ$2),3),1,1),"")</f>
        <v>0</v>
      </c>
      <c r="CK62">
        <f ca="1">IF($AN62="",OFFSET(Demand!$A$13,ROW(U59)-1,4+((QUOTIENT(COLUMN(CK$2)-69,3))*5)+MOD(COLUMN(CK$2),3),1,1),"")</f>
        <v>0</v>
      </c>
      <c r="CL62">
        <f ca="1">IF($AN62="",OFFSET(Demand!$A$13,ROW(V59)-1,4+((QUOTIENT(COLUMN(CL$2)-69,3))*5)+MOD(COLUMN(CL$2),3),1,1),"")</f>
        <v>0</v>
      </c>
      <c r="CM62">
        <f ca="1">IF($AN62="",OFFSET(Demand!$A$13,ROW(W59)-1,4+((QUOTIENT(COLUMN(CM$2)-69,3))*5)+MOD(COLUMN(CM$2),3),1,1),"")</f>
        <v>0</v>
      </c>
      <c r="CN62">
        <f ca="1">IF($AN62="",OFFSET(Demand!$A$13,ROW(X59)-1,4+((QUOTIENT(COLUMN(CN$2)-69,3))*5)+MOD(COLUMN(CN$2),3),1,1),"")</f>
        <v>0</v>
      </c>
      <c r="CO62">
        <f ca="1">IF($AN62="",OFFSET(Demand!$A$13,ROW(Y59)-1,4+((QUOTIENT(COLUMN(CO$2)-69,3))*5)+MOD(COLUMN(CO$2),3),1,1),"")</f>
        <v>0</v>
      </c>
      <c r="CP62">
        <f ca="1">IF($AN62="",OFFSET(Demand!$A$13,ROW(Z59)-1,4+((QUOTIENT(COLUMN(CP$2)-69,3))*5)+MOD(COLUMN(CP$2),3),1,1),"")</f>
        <v>0</v>
      </c>
      <c r="CQ62">
        <f ca="1">IF($AN62="",OFFSET(Demand!$A$13,ROW(AA59)-1,4+((QUOTIENT(COLUMN(CQ$2)-69,3))*5)+MOD(COLUMN(CQ$2),3),1,1),"")</f>
        <v>0</v>
      </c>
      <c r="CR62">
        <f ca="1">IF($AN62="",OFFSET(Demand!$A$13,ROW(AB59)-1,4+((QUOTIENT(COLUMN(CR$2)-69,3))*5)+MOD(COLUMN(CR$2),3),1,1),"")</f>
        <v>0</v>
      </c>
      <c r="CS62">
        <f ca="1">IF($AN62="",OFFSET(Demand!$A$13,ROW(AC59)-1,4+((QUOTIENT(COLUMN(CS$2)-69,3))*5)+MOD(COLUMN(CS$2),3),1,1),"")</f>
        <v>0</v>
      </c>
      <c r="CT62">
        <f ca="1">IF($AN62="",OFFSET(Demand!$A$13,ROW(AD59)-1,4+((QUOTIENT(COLUMN(CT$2)-69,3))*5)+MOD(COLUMN(CT$2),3),1,1),"")</f>
        <v>0</v>
      </c>
      <c r="CW62" s="5">
        <f ca="1">SUM(OFFSET(Demand!$H$43,ROW(A59)-1,(COLUMN(A59)-1)*5,1,1))*N$2</f>
        <v>0</v>
      </c>
      <c r="CX62" s="5">
        <f ca="1">SUM(OFFSET(Demand!$H$43,ROW(B59)-1,(COLUMN(B59)-1)*5,1,1))*O$2</f>
        <v>0</v>
      </c>
      <c r="CY62" s="5">
        <f ca="1">SUM(OFFSET(Demand!$H$43,ROW(C59)-1,(COLUMN(C59)-1)*5,1,1))*P$2</f>
        <v>0</v>
      </c>
      <c r="CZ62" s="5">
        <f ca="1">SUM(OFFSET(Demand!$H$43,ROW(D59)-1,(COLUMN(D59)-1)*5,1,1))*Q$2</f>
        <v>0</v>
      </c>
      <c r="DA62" s="5">
        <f ca="1">SUM(OFFSET(Demand!$H$43,ROW(E59)-1,(COLUMN(E59)-1)*5,1,1))*R$2</f>
        <v>0</v>
      </c>
      <c r="DB62" s="5">
        <f ca="1">SUM(OFFSET(Demand!$H$43,ROW(F59)-1,(COLUMN(F59)-1)*5,1,1))*S$2</f>
        <v>0</v>
      </c>
      <c r="DC62" s="5">
        <f ca="1">SUM(OFFSET(Demand!$H$43,ROW(G59)-1,(COLUMN(G59)-1)*5,1,1))*T$2</f>
        <v>0</v>
      </c>
      <c r="DD62" s="5">
        <f ca="1">SUM(OFFSET(Demand!$H$43,ROW(H59)-1,(COLUMN(H59)-1)*5,1,1))*U$2</f>
        <v>0</v>
      </c>
      <c r="DE62" s="5">
        <f ca="1">SUM(OFFSET(Demand!$H$43,ROW(I59)-1,(COLUMN(I59)-1)*5,1,1))*V$2</f>
        <v>0</v>
      </c>
      <c r="DF62" s="5">
        <f ca="1">SUM(OFFSET(Demand!$H$43,ROW(J59)-1,(COLUMN(J59)-1)*5,1,1))*W$2</f>
        <v>0</v>
      </c>
      <c r="DG62" s="5">
        <f ca="1">IF(OR(AN62&lt;&gt;"",AND('Demand adjustments for Covid'!$F$9="Yes",'Demand adjustments for Covid'!$F$20="Yes")),"",SUM(CW62:DF62))</f>
        <v>0</v>
      </c>
    </row>
    <row r="63" spans="1:132" x14ac:dyDescent="0.25">
      <c r="A63" s="5">
        <f t="shared" ca="1" si="34"/>
        <v>1</v>
      </c>
      <c r="B63" s="5">
        <f ca="1">COUNTBLANK(OFFSET(Demand!$I72,0,(COLUMN(A60)-1)*5,1,1))</f>
        <v>1</v>
      </c>
      <c r="C63" s="5">
        <f ca="1">COUNTBLANK(OFFSET(Demand!$I72,0,(COLUMN(B60)-1)*5,1,1))</f>
        <v>1</v>
      </c>
      <c r="D63" s="5">
        <f ca="1">COUNTBLANK(OFFSET(Demand!$I72,0,(COLUMN(C60)-1)*5,1,1))</f>
        <v>1</v>
      </c>
      <c r="E63" s="5">
        <f ca="1">COUNTBLANK(OFFSET(Demand!$I72,0,(COLUMN(D60)-1)*5,1,1))</f>
        <v>1</v>
      </c>
      <c r="F63" s="5">
        <f ca="1">COUNTBLANK(OFFSET(Demand!$I72,0,(COLUMN(E60)-1)*5,1,1))</f>
        <v>1</v>
      </c>
      <c r="G63" s="5">
        <f ca="1">COUNTBLANK(OFFSET(Demand!$I72,0,(COLUMN(F60)-1)*5,1,1))</f>
        <v>1</v>
      </c>
      <c r="H63" s="5">
        <f ca="1">COUNTBLANK(OFFSET(Demand!$I72,0,(COLUMN(G60)-1)*5,1,1))</f>
        <v>1</v>
      </c>
      <c r="I63" s="5">
        <f ca="1">COUNTBLANK(OFFSET(Demand!$I72,0,(COLUMN(H60)-1)*5,1,1))</f>
        <v>1</v>
      </c>
      <c r="J63" s="5">
        <f ca="1">COUNTBLANK(OFFSET(Demand!$I72,0,(COLUMN(I60)-1)*5,1,1))</f>
        <v>1</v>
      </c>
      <c r="K63" s="5">
        <f ca="1">COUNTBLANK(OFFSET(Demand!$I72,0,(COLUMN(J60)-1)*5,1,1))</f>
        <v>1</v>
      </c>
      <c r="N63" s="5">
        <f ca="1">SUM(OFFSET(Demand!$E72,0,(COLUMN(A60)-1)*5,1,3))*N$2</f>
        <v>0</v>
      </c>
      <c r="O63" s="5">
        <f ca="1">SUM(OFFSET(Demand!$E72,0,(COLUMN(B60)-1)*5,1,3))*O$2</f>
        <v>0</v>
      </c>
      <c r="P63" s="5">
        <f ca="1">SUM(OFFSET(Demand!$E72,0,(COLUMN(C60)-1)*5,1,3))*P$2</f>
        <v>0</v>
      </c>
      <c r="Q63" s="5">
        <f ca="1">SUM(OFFSET(Demand!$E72,0,(COLUMN(D60)-1)*5,1,3))*Q$2</f>
        <v>0</v>
      </c>
      <c r="R63" s="5">
        <f ca="1">SUM(OFFSET(Demand!$E72,0,(COLUMN(E60)-1)*5,1,3))*R$2</f>
        <v>0</v>
      </c>
      <c r="S63" s="5">
        <f ca="1">SUM(OFFSET(Demand!$E72,0,(COLUMN(F60)-1)*5,1,3))*S$2</f>
        <v>0</v>
      </c>
      <c r="T63" s="5">
        <f ca="1">SUM(OFFSET(Demand!$E72,0,(COLUMN(G60)-1)*5,1,3))*T$2</f>
        <v>0</v>
      </c>
      <c r="U63" s="5">
        <f ca="1">SUM(OFFSET(Demand!$E72,0,(COLUMN(H60)-1)*5,1,3))*U$2</f>
        <v>0</v>
      </c>
      <c r="V63" s="5">
        <f ca="1">SUM(OFFSET(Demand!$E72,0,(COLUMN(I60)-1)*5,1,3))*V$2</f>
        <v>0</v>
      </c>
      <c r="W63" s="5">
        <f ca="1">SUM(OFFSET(Demand!$E72,0,(COLUMN(J60)-1)*5,1,3))*W$2</f>
        <v>0</v>
      </c>
      <c r="X63" s="5">
        <f t="shared" ca="1" si="4"/>
        <v>0</v>
      </c>
      <c r="Y63">
        <f t="shared" ca="1" si="5"/>
        <v>0</v>
      </c>
      <c r="Z63" s="5">
        <f ca="1">SUM(OFFSET(Demand!$H72,0,(COLUMN(A60)-1)*5,1,1))*N$2</f>
        <v>0</v>
      </c>
      <c r="AA63" s="5">
        <f ca="1">SUM(OFFSET(Demand!$H72,0,(COLUMN(B60)-1)*5,1,1))*O$2</f>
        <v>0</v>
      </c>
      <c r="AB63" s="5">
        <f ca="1">SUM(OFFSET(Demand!$H72,0,(COLUMN(C60)-1)*5,1,1))*P$2</f>
        <v>0</v>
      </c>
      <c r="AC63" s="5">
        <f ca="1">SUM(OFFSET(Demand!$H72,0,(COLUMN(D60)-1)*5,1,1))*Q$2</f>
        <v>0</v>
      </c>
      <c r="AD63" s="5">
        <f ca="1">SUM(OFFSET(Demand!$H72,0,(COLUMN(E60)-1)*5,1,1))*R$2</f>
        <v>0</v>
      </c>
      <c r="AE63" s="5">
        <f ca="1">SUM(OFFSET(Demand!$H72,0,(COLUMN(F60)-1)*5,1,1))*S$2</f>
        <v>0</v>
      </c>
      <c r="AF63" s="5">
        <f ca="1">SUM(OFFSET(Demand!$H72,0,(COLUMN(G60)-1)*5,1,1))*T$2</f>
        <v>0</v>
      </c>
      <c r="AG63" s="5">
        <f ca="1">SUM(OFFSET(Demand!$H72,0,(COLUMN(H60)-1)*5,1,1))*U$2</f>
        <v>0</v>
      </c>
      <c r="AH63" s="5">
        <f ca="1">SUM(OFFSET(Demand!$H72,0,(COLUMN(I60)-1)*5,1,1))*V$2</f>
        <v>0</v>
      </c>
      <c r="AI63" s="5">
        <f ca="1">SUM(OFFSET(Demand!$H72,0,(COLUMN(J60)-1)*5,1,1))*W$2</f>
        <v>0</v>
      </c>
      <c r="AJ63" s="5">
        <f t="shared" ca="1" si="6"/>
        <v>0</v>
      </c>
      <c r="AL63" s="5">
        <f t="shared" ca="1" si="8"/>
        <v>0</v>
      </c>
      <c r="AM63" s="5">
        <f t="shared" ca="1" si="9"/>
        <v>0</v>
      </c>
      <c r="AN63" s="5" t="str">
        <f>IF(Demand!BE72="Yes","Yes","")</f>
        <v/>
      </c>
      <c r="AP63" s="36" t="str">
        <f ca="1">Demand!B72</f>
        <v xml:space="preserve"> </v>
      </c>
      <c r="AQ63" t="str">
        <f ca="1">IF(TEXT(Demand!D72,"MMM")&lt;&gt;TEXT(Demand!D71,"MMM"),TEXT(Demand!D72,"MMM"),"")</f>
        <v/>
      </c>
      <c r="AT63" s="5">
        <f t="shared" ca="1" si="12"/>
        <v>0</v>
      </c>
      <c r="BQ63">
        <f ca="1">IF($AN63="",OFFSET(Demand!$A$13,ROW(A60)-1,4+((QUOTIENT(COLUMN(BQ$2)-69,3))*5)+MOD(COLUMN(BQ$2),3),1,1),"")</f>
        <v>0</v>
      </c>
      <c r="BR63">
        <f ca="1">IF($AN63="",OFFSET(Demand!$A$13,ROW(B60)-1,4+((QUOTIENT(COLUMN(BR$2)-69,3))*5)+MOD(COLUMN(BR$2),3),1,1),"")</f>
        <v>0</v>
      </c>
      <c r="BS63">
        <f ca="1">IF($AN63="",OFFSET(Demand!$A$13,ROW(C60)-1,4+((QUOTIENT(COLUMN(BS$2)-69,3))*5)+MOD(COLUMN(BS$2),3),1,1),"")</f>
        <v>0</v>
      </c>
      <c r="BT63">
        <f ca="1">IF($AN63="",OFFSET(Demand!$A$13,ROW(D60)-1,4+((QUOTIENT(COLUMN(BT$2)-69,3))*5)+MOD(COLUMN(BT$2),3),1,1),"")</f>
        <v>0</v>
      </c>
      <c r="BU63">
        <f ca="1">IF($AN63="",OFFSET(Demand!$A$13,ROW(E60)-1,4+((QUOTIENT(COLUMN(BU$2)-69,3))*5)+MOD(COLUMN(BU$2),3),1,1),"")</f>
        <v>0</v>
      </c>
      <c r="BV63">
        <f ca="1">IF($AN63="",OFFSET(Demand!$A$13,ROW(F60)-1,4+((QUOTIENT(COLUMN(BV$2)-69,3))*5)+MOD(COLUMN(BV$2),3),1,1),"")</f>
        <v>0</v>
      </c>
      <c r="BW63">
        <f ca="1">IF($AN63="",OFFSET(Demand!$A$13,ROW(G60)-1,4+((QUOTIENT(COLUMN(BW$2)-69,3))*5)+MOD(COLUMN(BW$2),3),1,1),"")</f>
        <v>0</v>
      </c>
      <c r="BX63">
        <f ca="1">IF($AN63="",OFFSET(Demand!$A$13,ROW(H60)-1,4+((QUOTIENT(COLUMN(BX$2)-69,3))*5)+MOD(COLUMN(BX$2),3),1,1),"")</f>
        <v>0</v>
      </c>
      <c r="BY63">
        <f ca="1">IF($AN63="",OFFSET(Demand!$A$13,ROW(I60)-1,4+((QUOTIENT(COLUMN(BY$2)-69,3))*5)+MOD(COLUMN(BY$2),3),1,1),"")</f>
        <v>0</v>
      </c>
      <c r="BZ63">
        <f ca="1">IF($AN63="",OFFSET(Demand!$A$13,ROW(J60)-1,4+((QUOTIENT(COLUMN(BZ$2)-69,3))*5)+MOD(COLUMN(BZ$2),3),1,1),"")</f>
        <v>0</v>
      </c>
      <c r="CA63">
        <f ca="1">IF($AN63="",OFFSET(Demand!$A$13,ROW(K60)-1,4+((QUOTIENT(COLUMN(CA$2)-69,3))*5)+MOD(COLUMN(CA$2),3),1,1),"")</f>
        <v>0</v>
      </c>
      <c r="CB63">
        <f ca="1">IF($AN63="",OFFSET(Demand!$A$13,ROW(L60)-1,4+((QUOTIENT(COLUMN(CB$2)-69,3))*5)+MOD(COLUMN(CB$2),3),1,1),"")</f>
        <v>0</v>
      </c>
      <c r="CC63">
        <f ca="1">IF($AN63="",OFFSET(Demand!$A$13,ROW(M60)-1,4+((QUOTIENT(COLUMN(CC$2)-69,3))*5)+MOD(COLUMN(CC$2),3),1,1),"")</f>
        <v>0</v>
      </c>
      <c r="CD63">
        <f ca="1">IF($AN63="",OFFSET(Demand!$A$13,ROW(N60)-1,4+((QUOTIENT(COLUMN(CD$2)-69,3))*5)+MOD(COLUMN(CD$2),3),1,1),"")</f>
        <v>0</v>
      </c>
      <c r="CE63">
        <f ca="1">IF($AN63="",OFFSET(Demand!$A$13,ROW(O60)-1,4+((QUOTIENT(COLUMN(CE$2)-69,3))*5)+MOD(COLUMN(CE$2),3),1,1),"")</f>
        <v>0</v>
      </c>
      <c r="CF63">
        <f ca="1">IF($AN63="",OFFSET(Demand!$A$13,ROW(P60)-1,4+((QUOTIENT(COLUMN(CF$2)-69,3))*5)+MOD(COLUMN(CF$2),3),1,1),"")</f>
        <v>0</v>
      </c>
      <c r="CG63">
        <f ca="1">IF($AN63="",OFFSET(Demand!$A$13,ROW(Q60)-1,4+((QUOTIENT(COLUMN(CG$2)-69,3))*5)+MOD(COLUMN(CG$2),3),1,1),"")</f>
        <v>0</v>
      </c>
      <c r="CH63">
        <f ca="1">IF($AN63="",OFFSET(Demand!$A$13,ROW(R60)-1,4+((QUOTIENT(COLUMN(CH$2)-69,3))*5)+MOD(COLUMN(CH$2),3),1,1),"")</f>
        <v>0</v>
      </c>
      <c r="CI63">
        <f ca="1">IF($AN63="",OFFSET(Demand!$A$13,ROW(S60)-1,4+((QUOTIENT(COLUMN(CI$2)-69,3))*5)+MOD(COLUMN(CI$2),3),1,1),"")</f>
        <v>0</v>
      </c>
      <c r="CJ63">
        <f ca="1">IF($AN63="",OFFSET(Demand!$A$13,ROW(T60)-1,4+((QUOTIENT(COLUMN(CJ$2)-69,3))*5)+MOD(COLUMN(CJ$2),3),1,1),"")</f>
        <v>0</v>
      </c>
      <c r="CK63">
        <f ca="1">IF($AN63="",OFFSET(Demand!$A$13,ROW(U60)-1,4+((QUOTIENT(COLUMN(CK$2)-69,3))*5)+MOD(COLUMN(CK$2),3),1,1),"")</f>
        <v>0</v>
      </c>
      <c r="CL63">
        <f ca="1">IF($AN63="",OFFSET(Demand!$A$13,ROW(V60)-1,4+((QUOTIENT(COLUMN(CL$2)-69,3))*5)+MOD(COLUMN(CL$2),3),1,1),"")</f>
        <v>0</v>
      </c>
      <c r="CM63">
        <f ca="1">IF($AN63="",OFFSET(Demand!$A$13,ROW(W60)-1,4+((QUOTIENT(COLUMN(CM$2)-69,3))*5)+MOD(COLUMN(CM$2),3),1,1),"")</f>
        <v>0</v>
      </c>
      <c r="CN63">
        <f ca="1">IF($AN63="",OFFSET(Demand!$A$13,ROW(X60)-1,4+((QUOTIENT(COLUMN(CN$2)-69,3))*5)+MOD(COLUMN(CN$2),3),1,1),"")</f>
        <v>0</v>
      </c>
      <c r="CO63">
        <f ca="1">IF($AN63="",OFFSET(Demand!$A$13,ROW(Y60)-1,4+((QUOTIENT(COLUMN(CO$2)-69,3))*5)+MOD(COLUMN(CO$2),3),1,1),"")</f>
        <v>0</v>
      </c>
      <c r="CP63">
        <f ca="1">IF($AN63="",OFFSET(Demand!$A$13,ROW(Z60)-1,4+((QUOTIENT(COLUMN(CP$2)-69,3))*5)+MOD(COLUMN(CP$2),3),1,1),"")</f>
        <v>0</v>
      </c>
      <c r="CQ63">
        <f ca="1">IF($AN63="",OFFSET(Demand!$A$13,ROW(AA60)-1,4+((QUOTIENT(COLUMN(CQ$2)-69,3))*5)+MOD(COLUMN(CQ$2),3),1,1),"")</f>
        <v>0</v>
      </c>
      <c r="CR63">
        <f ca="1">IF($AN63="",OFFSET(Demand!$A$13,ROW(AB60)-1,4+((QUOTIENT(COLUMN(CR$2)-69,3))*5)+MOD(COLUMN(CR$2),3),1,1),"")</f>
        <v>0</v>
      </c>
      <c r="CS63">
        <f ca="1">IF($AN63="",OFFSET(Demand!$A$13,ROW(AC60)-1,4+((QUOTIENT(COLUMN(CS$2)-69,3))*5)+MOD(COLUMN(CS$2),3),1,1),"")</f>
        <v>0</v>
      </c>
      <c r="CT63">
        <f ca="1">IF($AN63="",OFFSET(Demand!$A$13,ROW(AD60)-1,4+((QUOTIENT(COLUMN(CT$2)-69,3))*5)+MOD(COLUMN(CT$2),3),1,1),"")</f>
        <v>0</v>
      </c>
      <c r="CW63" s="5">
        <f ca="1">SUM(OFFSET(Demand!$H$43,ROW(A60)-1,(COLUMN(A60)-1)*5,1,1))*N$2</f>
        <v>0</v>
      </c>
      <c r="CX63" s="5">
        <f ca="1">SUM(OFFSET(Demand!$H$43,ROW(B60)-1,(COLUMN(B60)-1)*5,1,1))*O$2</f>
        <v>0</v>
      </c>
      <c r="CY63" s="5">
        <f ca="1">SUM(OFFSET(Demand!$H$43,ROW(C60)-1,(COLUMN(C60)-1)*5,1,1))*P$2</f>
        <v>0</v>
      </c>
      <c r="CZ63" s="5">
        <f ca="1">SUM(OFFSET(Demand!$H$43,ROW(D60)-1,(COLUMN(D60)-1)*5,1,1))*Q$2</f>
        <v>0</v>
      </c>
      <c r="DA63" s="5">
        <f ca="1">SUM(OFFSET(Demand!$H$43,ROW(E60)-1,(COLUMN(E60)-1)*5,1,1))*R$2</f>
        <v>0</v>
      </c>
      <c r="DB63" s="5">
        <f ca="1">SUM(OFFSET(Demand!$H$43,ROW(F60)-1,(COLUMN(F60)-1)*5,1,1))*S$2</f>
        <v>0</v>
      </c>
      <c r="DC63" s="5">
        <f ca="1">SUM(OFFSET(Demand!$H$43,ROW(G60)-1,(COLUMN(G60)-1)*5,1,1))*T$2</f>
        <v>0</v>
      </c>
      <c r="DD63" s="5">
        <f ca="1">SUM(OFFSET(Demand!$H$43,ROW(H60)-1,(COLUMN(H60)-1)*5,1,1))*U$2</f>
        <v>0</v>
      </c>
      <c r="DE63" s="5">
        <f ca="1">SUM(OFFSET(Demand!$H$43,ROW(I60)-1,(COLUMN(I60)-1)*5,1,1))*V$2</f>
        <v>0</v>
      </c>
      <c r="DF63" s="5">
        <f ca="1">SUM(OFFSET(Demand!$H$43,ROW(J60)-1,(COLUMN(J60)-1)*5,1,1))*W$2</f>
        <v>0</v>
      </c>
      <c r="DG63" s="5">
        <f ca="1">IF(OR(AN63&lt;&gt;"",AND('Demand adjustments for Covid'!$F$9="Yes",'Demand adjustments for Covid'!$F$20="Yes")),"",SUM(CW63:DF63))</f>
        <v>0</v>
      </c>
    </row>
    <row r="64" spans="1:132" x14ac:dyDescent="0.25">
      <c r="A64" s="5">
        <f t="shared" ca="1" si="34"/>
        <v>1</v>
      </c>
      <c r="B64" s="5">
        <f ca="1">COUNTBLANK(OFFSET(Demand!$I73,0,(COLUMN(A61)-1)*5,1,1))</f>
        <v>1</v>
      </c>
      <c r="C64" s="5">
        <f ca="1">COUNTBLANK(OFFSET(Demand!$I73,0,(COLUMN(B61)-1)*5,1,1))</f>
        <v>1</v>
      </c>
      <c r="D64" s="5">
        <f ca="1">COUNTBLANK(OFFSET(Demand!$I73,0,(COLUMN(C61)-1)*5,1,1))</f>
        <v>1</v>
      </c>
      <c r="E64" s="5">
        <f ca="1">COUNTBLANK(OFFSET(Demand!$I73,0,(COLUMN(D61)-1)*5,1,1))</f>
        <v>1</v>
      </c>
      <c r="F64" s="5">
        <f ca="1">COUNTBLANK(OFFSET(Demand!$I73,0,(COLUMN(E61)-1)*5,1,1))</f>
        <v>1</v>
      </c>
      <c r="G64" s="5">
        <f ca="1">COUNTBLANK(OFFSET(Demand!$I73,0,(COLUMN(F61)-1)*5,1,1))</f>
        <v>1</v>
      </c>
      <c r="H64" s="5">
        <f ca="1">COUNTBLANK(OFFSET(Demand!$I73,0,(COLUMN(G61)-1)*5,1,1))</f>
        <v>1</v>
      </c>
      <c r="I64" s="5">
        <f ca="1">COUNTBLANK(OFFSET(Demand!$I73,0,(COLUMN(H61)-1)*5,1,1))</f>
        <v>1</v>
      </c>
      <c r="J64" s="5">
        <f ca="1">COUNTBLANK(OFFSET(Demand!$I73,0,(COLUMN(I61)-1)*5,1,1))</f>
        <v>1</v>
      </c>
      <c r="K64" s="5">
        <f ca="1">COUNTBLANK(OFFSET(Demand!$I73,0,(COLUMN(J61)-1)*5,1,1))</f>
        <v>1</v>
      </c>
      <c r="N64" s="5">
        <f ca="1">SUM(OFFSET(Demand!$E73,0,(COLUMN(A61)-1)*5,1,3))*N$2</f>
        <v>0</v>
      </c>
      <c r="O64" s="5">
        <f ca="1">SUM(OFFSET(Demand!$E73,0,(COLUMN(B61)-1)*5,1,3))*O$2</f>
        <v>0</v>
      </c>
      <c r="P64" s="5">
        <f ca="1">SUM(OFFSET(Demand!$E73,0,(COLUMN(C61)-1)*5,1,3))*P$2</f>
        <v>0</v>
      </c>
      <c r="Q64" s="5">
        <f ca="1">SUM(OFFSET(Demand!$E73,0,(COLUMN(D61)-1)*5,1,3))*Q$2</f>
        <v>0</v>
      </c>
      <c r="R64" s="5">
        <f ca="1">SUM(OFFSET(Demand!$E73,0,(COLUMN(E61)-1)*5,1,3))*R$2</f>
        <v>0</v>
      </c>
      <c r="S64" s="5">
        <f ca="1">SUM(OFFSET(Demand!$E73,0,(COLUMN(F61)-1)*5,1,3))*S$2</f>
        <v>0</v>
      </c>
      <c r="T64" s="5">
        <f ca="1">SUM(OFFSET(Demand!$E73,0,(COLUMN(G61)-1)*5,1,3))*T$2</f>
        <v>0</v>
      </c>
      <c r="U64" s="5">
        <f ca="1">SUM(OFFSET(Demand!$E73,0,(COLUMN(H61)-1)*5,1,3))*U$2</f>
        <v>0</v>
      </c>
      <c r="V64" s="5">
        <f ca="1">SUM(OFFSET(Demand!$E73,0,(COLUMN(I61)-1)*5,1,3))*V$2</f>
        <v>0</v>
      </c>
      <c r="W64" s="5">
        <f ca="1">SUM(OFFSET(Demand!$E73,0,(COLUMN(J61)-1)*5,1,3))*W$2</f>
        <v>0</v>
      </c>
      <c r="X64" s="5">
        <f t="shared" ca="1" si="4"/>
        <v>0</v>
      </c>
      <c r="Y64">
        <f t="shared" ca="1" si="5"/>
        <v>0</v>
      </c>
      <c r="Z64" s="5">
        <f ca="1">SUM(OFFSET(Demand!$H73,0,(COLUMN(A61)-1)*5,1,1))*N$2</f>
        <v>0</v>
      </c>
      <c r="AA64" s="5">
        <f ca="1">SUM(OFFSET(Demand!$H73,0,(COLUMN(B61)-1)*5,1,1))*O$2</f>
        <v>0</v>
      </c>
      <c r="AB64" s="5">
        <f ca="1">SUM(OFFSET(Demand!$H73,0,(COLUMN(C61)-1)*5,1,1))*P$2</f>
        <v>0</v>
      </c>
      <c r="AC64" s="5">
        <f ca="1">SUM(OFFSET(Demand!$H73,0,(COLUMN(D61)-1)*5,1,1))*Q$2</f>
        <v>0</v>
      </c>
      <c r="AD64" s="5">
        <f ca="1">SUM(OFFSET(Demand!$H73,0,(COLUMN(E61)-1)*5,1,1))*R$2</f>
        <v>0</v>
      </c>
      <c r="AE64" s="5">
        <f ca="1">SUM(OFFSET(Demand!$H73,0,(COLUMN(F61)-1)*5,1,1))*S$2</f>
        <v>0</v>
      </c>
      <c r="AF64" s="5">
        <f ca="1">SUM(OFFSET(Demand!$H73,0,(COLUMN(G61)-1)*5,1,1))*T$2</f>
        <v>0</v>
      </c>
      <c r="AG64" s="5">
        <f ca="1">SUM(OFFSET(Demand!$H73,0,(COLUMN(H61)-1)*5,1,1))*U$2</f>
        <v>0</v>
      </c>
      <c r="AH64" s="5">
        <f ca="1">SUM(OFFSET(Demand!$H73,0,(COLUMN(I61)-1)*5,1,1))*V$2</f>
        <v>0</v>
      </c>
      <c r="AI64" s="5">
        <f ca="1">SUM(OFFSET(Demand!$H73,0,(COLUMN(J61)-1)*5,1,1))*W$2</f>
        <v>0</v>
      </c>
      <c r="AJ64" s="5">
        <f t="shared" ca="1" si="6"/>
        <v>0</v>
      </c>
      <c r="AL64" s="5">
        <f t="shared" ca="1" si="8"/>
        <v>0</v>
      </c>
      <c r="AM64" s="5">
        <f t="shared" ca="1" si="9"/>
        <v>0</v>
      </c>
      <c r="AN64" s="5" t="str">
        <f>IF(Demand!BE73="Yes","Yes","")</f>
        <v/>
      </c>
      <c r="AP64" s="36" t="str">
        <f ca="1">Demand!B73</f>
        <v xml:space="preserve"> </v>
      </c>
      <c r="AQ64" t="str">
        <f ca="1">IF(TEXT(Demand!D73,"MMM")&lt;&gt;TEXT(Demand!D72,"MMM"),TEXT(Demand!D73,"MMM"),"")</f>
        <v/>
      </c>
      <c r="AT64" s="5">
        <f t="shared" ca="1" si="12"/>
        <v>0</v>
      </c>
      <c r="BQ64">
        <f ca="1">IF($AN64="",OFFSET(Demand!$A$13,ROW(A61)-1,4+((QUOTIENT(COLUMN(BQ$2)-69,3))*5)+MOD(COLUMN(BQ$2),3),1,1),"")</f>
        <v>0</v>
      </c>
      <c r="BR64">
        <f ca="1">IF($AN64="",OFFSET(Demand!$A$13,ROW(B61)-1,4+((QUOTIENT(COLUMN(BR$2)-69,3))*5)+MOD(COLUMN(BR$2),3),1,1),"")</f>
        <v>0</v>
      </c>
      <c r="BS64">
        <f ca="1">IF($AN64="",OFFSET(Demand!$A$13,ROW(C61)-1,4+((QUOTIENT(COLUMN(BS$2)-69,3))*5)+MOD(COLUMN(BS$2),3),1,1),"")</f>
        <v>0</v>
      </c>
      <c r="BT64">
        <f ca="1">IF($AN64="",OFFSET(Demand!$A$13,ROW(D61)-1,4+((QUOTIENT(COLUMN(BT$2)-69,3))*5)+MOD(COLUMN(BT$2),3),1,1),"")</f>
        <v>0</v>
      </c>
      <c r="BU64">
        <f ca="1">IF($AN64="",OFFSET(Demand!$A$13,ROW(E61)-1,4+((QUOTIENT(COLUMN(BU$2)-69,3))*5)+MOD(COLUMN(BU$2),3),1,1),"")</f>
        <v>0</v>
      </c>
      <c r="BV64">
        <f ca="1">IF($AN64="",OFFSET(Demand!$A$13,ROW(F61)-1,4+((QUOTIENT(COLUMN(BV$2)-69,3))*5)+MOD(COLUMN(BV$2),3),1,1),"")</f>
        <v>0</v>
      </c>
      <c r="BW64">
        <f ca="1">IF($AN64="",OFFSET(Demand!$A$13,ROW(G61)-1,4+((QUOTIENT(COLUMN(BW$2)-69,3))*5)+MOD(COLUMN(BW$2),3),1,1),"")</f>
        <v>0</v>
      </c>
      <c r="BX64">
        <f ca="1">IF($AN64="",OFFSET(Demand!$A$13,ROW(H61)-1,4+((QUOTIENT(COLUMN(BX$2)-69,3))*5)+MOD(COLUMN(BX$2),3),1,1),"")</f>
        <v>0</v>
      </c>
      <c r="BY64">
        <f ca="1">IF($AN64="",OFFSET(Demand!$A$13,ROW(I61)-1,4+((QUOTIENT(COLUMN(BY$2)-69,3))*5)+MOD(COLUMN(BY$2),3),1,1),"")</f>
        <v>0</v>
      </c>
      <c r="BZ64">
        <f ca="1">IF($AN64="",OFFSET(Demand!$A$13,ROW(J61)-1,4+((QUOTIENT(COLUMN(BZ$2)-69,3))*5)+MOD(COLUMN(BZ$2),3),1,1),"")</f>
        <v>0</v>
      </c>
      <c r="CA64">
        <f ca="1">IF($AN64="",OFFSET(Demand!$A$13,ROW(K61)-1,4+((QUOTIENT(COLUMN(CA$2)-69,3))*5)+MOD(COLUMN(CA$2),3),1,1),"")</f>
        <v>0</v>
      </c>
      <c r="CB64">
        <f ca="1">IF($AN64="",OFFSET(Demand!$A$13,ROW(L61)-1,4+((QUOTIENT(COLUMN(CB$2)-69,3))*5)+MOD(COLUMN(CB$2),3),1,1),"")</f>
        <v>0</v>
      </c>
      <c r="CC64">
        <f ca="1">IF($AN64="",OFFSET(Demand!$A$13,ROW(M61)-1,4+((QUOTIENT(COLUMN(CC$2)-69,3))*5)+MOD(COLUMN(CC$2),3),1,1),"")</f>
        <v>0</v>
      </c>
      <c r="CD64">
        <f ca="1">IF($AN64="",OFFSET(Demand!$A$13,ROW(N61)-1,4+((QUOTIENT(COLUMN(CD$2)-69,3))*5)+MOD(COLUMN(CD$2),3),1,1),"")</f>
        <v>0</v>
      </c>
      <c r="CE64">
        <f ca="1">IF($AN64="",OFFSET(Demand!$A$13,ROW(O61)-1,4+((QUOTIENT(COLUMN(CE$2)-69,3))*5)+MOD(COLUMN(CE$2),3),1,1),"")</f>
        <v>0</v>
      </c>
      <c r="CF64">
        <f ca="1">IF($AN64="",OFFSET(Demand!$A$13,ROW(P61)-1,4+((QUOTIENT(COLUMN(CF$2)-69,3))*5)+MOD(COLUMN(CF$2),3),1,1),"")</f>
        <v>0</v>
      </c>
      <c r="CG64">
        <f ca="1">IF($AN64="",OFFSET(Demand!$A$13,ROW(Q61)-1,4+((QUOTIENT(COLUMN(CG$2)-69,3))*5)+MOD(COLUMN(CG$2),3),1,1),"")</f>
        <v>0</v>
      </c>
      <c r="CH64">
        <f ca="1">IF($AN64="",OFFSET(Demand!$A$13,ROW(R61)-1,4+((QUOTIENT(COLUMN(CH$2)-69,3))*5)+MOD(COLUMN(CH$2),3),1,1),"")</f>
        <v>0</v>
      </c>
      <c r="CI64">
        <f ca="1">IF($AN64="",OFFSET(Demand!$A$13,ROW(S61)-1,4+((QUOTIENT(COLUMN(CI$2)-69,3))*5)+MOD(COLUMN(CI$2),3),1,1),"")</f>
        <v>0</v>
      </c>
      <c r="CJ64">
        <f ca="1">IF($AN64="",OFFSET(Demand!$A$13,ROW(T61)-1,4+((QUOTIENT(COLUMN(CJ$2)-69,3))*5)+MOD(COLUMN(CJ$2),3),1,1),"")</f>
        <v>0</v>
      </c>
      <c r="CK64">
        <f ca="1">IF($AN64="",OFFSET(Demand!$A$13,ROW(U61)-1,4+((QUOTIENT(COLUMN(CK$2)-69,3))*5)+MOD(COLUMN(CK$2),3),1,1),"")</f>
        <v>0</v>
      </c>
      <c r="CL64">
        <f ca="1">IF($AN64="",OFFSET(Demand!$A$13,ROW(V61)-1,4+((QUOTIENT(COLUMN(CL$2)-69,3))*5)+MOD(COLUMN(CL$2),3),1,1),"")</f>
        <v>0</v>
      </c>
      <c r="CM64">
        <f ca="1">IF($AN64="",OFFSET(Demand!$A$13,ROW(W61)-1,4+((QUOTIENT(COLUMN(CM$2)-69,3))*5)+MOD(COLUMN(CM$2),3),1,1),"")</f>
        <v>0</v>
      </c>
      <c r="CN64">
        <f ca="1">IF($AN64="",OFFSET(Demand!$A$13,ROW(X61)-1,4+((QUOTIENT(COLUMN(CN$2)-69,3))*5)+MOD(COLUMN(CN$2),3),1,1),"")</f>
        <v>0</v>
      </c>
      <c r="CO64">
        <f ca="1">IF($AN64="",OFFSET(Demand!$A$13,ROW(Y61)-1,4+((QUOTIENT(COLUMN(CO$2)-69,3))*5)+MOD(COLUMN(CO$2),3),1,1),"")</f>
        <v>0</v>
      </c>
      <c r="CP64">
        <f ca="1">IF($AN64="",OFFSET(Demand!$A$13,ROW(Z61)-1,4+((QUOTIENT(COLUMN(CP$2)-69,3))*5)+MOD(COLUMN(CP$2),3),1,1),"")</f>
        <v>0</v>
      </c>
      <c r="CQ64">
        <f ca="1">IF($AN64="",OFFSET(Demand!$A$13,ROW(AA61)-1,4+((QUOTIENT(COLUMN(CQ$2)-69,3))*5)+MOD(COLUMN(CQ$2),3),1,1),"")</f>
        <v>0</v>
      </c>
      <c r="CR64">
        <f ca="1">IF($AN64="",OFFSET(Demand!$A$13,ROW(AB61)-1,4+((QUOTIENT(COLUMN(CR$2)-69,3))*5)+MOD(COLUMN(CR$2),3),1,1),"")</f>
        <v>0</v>
      </c>
      <c r="CS64">
        <f ca="1">IF($AN64="",OFFSET(Demand!$A$13,ROW(AC61)-1,4+((QUOTIENT(COLUMN(CS$2)-69,3))*5)+MOD(COLUMN(CS$2),3),1,1),"")</f>
        <v>0</v>
      </c>
      <c r="CT64">
        <f ca="1">IF($AN64="",OFFSET(Demand!$A$13,ROW(AD61)-1,4+((QUOTIENT(COLUMN(CT$2)-69,3))*5)+MOD(COLUMN(CT$2),3),1,1),"")</f>
        <v>0</v>
      </c>
      <c r="CW64" s="5">
        <f ca="1">SUM(OFFSET(Demand!$H$43,ROW(A61)-1,(COLUMN(A61)-1)*5,1,1))*N$2</f>
        <v>0</v>
      </c>
      <c r="CX64" s="5">
        <f ca="1">SUM(OFFSET(Demand!$H$43,ROW(B61)-1,(COLUMN(B61)-1)*5,1,1))*O$2</f>
        <v>0</v>
      </c>
      <c r="CY64" s="5">
        <f ca="1">SUM(OFFSET(Demand!$H$43,ROW(C61)-1,(COLUMN(C61)-1)*5,1,1))*P$2</f>
        <v>0</v>
      </c>
      <c r="CZ64" s="5">
        <f ca="1">SUM(OFFSET(Demand!$H$43,ROW(D61)-1,(COLUMN(D61)-1)*5,1,1))*Q$2</f>
        <v>0</v>
      </c>
      <c r="DA64" s="5">
        <f ca="1">SUM(OFFSET(Demand!$H$43,ROW(E61)-1,(COLUMN(E61)-1)*5,1,1))*R$2</f>
        <v>0</v>
      </c>
      <c r="DB64" s="5">
        <f ca="1">SUM(OFFSET(Demand!$H$43,ROW(F61)-1,(COLUMN(F61)-1)*5,1,1))*S$2</f>
        <v>0</v>
      </c>
      <c r="DC64" s="5">
        <f ca="1">SUM(OFFSET(Demand!$H$43,ROW(G61)-1,(COLUMN(G61)-1)*5,1,1))*T$2</f>
        <v>0</v>
      </c>
      <c r="DD64" s="5">
        <f ca="1">SUM(OFFSET(Demand!$H$43,ROW(H61)-1,(COLUMN(H61)-1)*5,1,1))*U$2</f>
        <v>0</v>
      </c>
      <c r="DE64" s="5">
        <f ca="1">SUM(OFFSET(Demand!$H$43,ROW(I61)-1,(COLUMN(I61)-1)*5,1,1))*V$2</f>
        <v>0</v>
      </c>
      <c r="DF64" s="5">
        <f ca="1">SUM(OFFSET(Demand!$H$43,ROW(J61)-1,(COLUMN(J61)-1)*5,1,1))*W$2</f>
        <v>0</v>
      </c>
      <c r="DG64" s="5">
        <f ca="1">IF(OR(AN64&lt;&gt;"",AND('Demand adjustments for Covid'!$F$9="Yes",'Demand adjustments for Covid'!$F$20="Yes")),"",SUM(CW64:DF64))</f>
        <v>0</v>
      </c>
    </row>
    <row r="65" spans="1:111" x14ac:dyDescent="0.25">
      <c r="A65" s="5">
        <f t="shared" ca="1" si="34"/>
        <v>1</v>
      </c>
      <c r="B65" s="5">
        <f ca="1">COUNTBLANK(OFFSET(Demand!$I74,0,(COLUMN(A62)-1)*5,1,1))</f>
        <v>1</v>
      </c>
      <c r="C65" s="5">
        <f ca="1">COUNTBLANK(OFFSET(Demand!$I74,0,(COLUMN(B62)-1)*5,1,1))</f>
        <v>1</v>
      </c>
      <c r="D65" s="5">
        <f ca="1">COUNTBLANK(OFFSET(Demand!$I74,0,(COLUMN(C62)-1)*5,1,1))</f>
        <v>1</v>
      </c>
      <c r="E65" s="5">
        <f ca="1">COUNTBLANK(OFFSET(Demand!$I74,0,(COLUMN(D62)-1)*5,1,1))</f>
        <v>1</v>
      </c>
      <c r="F65" s="5">
        <f ca="1">COUNTBLANK(OFFSET(Demand!$I74,0,(COLUMN(E62)-1)*5,1,1))</f>
        <v>1</v>
      </c>
      <c r="G65" s="5">
        <f ca="1">COUNTBLANK(OFFSET(Demand!$I74,0,(COLUMN(F62)-1)*5,1,1))</f>
        <v>1</v>
      </c>
      <c r="H65" s="5">
        <f ca="1">COUNTBLANK(OFFSET(Demand!$I74,0,(COLUMN(G62)-1)*5,1,1))</f>
        <v>1</v>
      </c>
      <c r="I65" s="5">
        <f ca="1">COUNTBLANK(OFFSET(Demand!$I74,0,(COLUMN(H62)-1)*5,1,1))</f>
        <v>1</v>
      </c>
      <c r="J65" s="5">
        <f ca="1">COUNTBLANK(OFFSET(Demand!$I74,0,(COLUMN(I62)-1)*5,1,1))</f>
        <v>1</v>
      </c>
      <c r="K65" s="5">
        <f ca="1">COUNTBLANK(OFFSET(Demand!$I74,0,(COLUMN(J62)-1)*5,1,1))</f>
        <v>1</v>
      </c>
      <c r="N65" s="5">
        <f ca="1">SUM(OFFSET(Demand!$E74,0,(COLUMN(A62)-1)*5,1,3))*N$2</f>
        <v>0</v>
      </c>
      <c r="O65" s="5">
        <f ca="1">SUM(OFFSET(Demand!$E74,0,(COLUMN(B62)-1)*5,1,3))*O$2</f>
        <v>0</v>
      </c>
      <c r="P65" s="5">
        <f ca="1">SUM(OFFSET(Demand!$E74,0,(COLUMN(C62)-1)*5,1,3))*P$2</f>
        <v>0</v>
      </c>
      <c r="Q65" s="5">
        <f ca="1">SUM(OFFSET(Demand!$E74,0,(COLUMN(D62)-1)*5,1,3))*Q$2</f>
        <v>0</v>
      </c>
      <c r="R65" s="5">
        <f ca="1">SUM(OFFSET(Demand!$E74,0,(COLUMN(E62)-1)*5,1,3))*R$2</f>
        <v>0</v>
      </c>
      <c r="S65" s="5">
        <f ca="1">SUM(OFFSET(Demand!$E74,0,(COLUMN(F62)-1)*5,1,3))*S$2</f>
        <v>0</v>
      </c>
      <c r="T65" s="5">
        <f ca="1">SUM(OFFSET(Demand!$E74,0,(COLUMN(G62)-1)*5,1,3))*T$2</f>
        <v>0</v>
      </c>
      <c r="U65" s="5">
        <f ca="1">SUM(OFFSET(Demand!$E74,0,(COLUMN(H62)-1)*5,1,3))*U$2</f>
        <v>0</v>
      </c>
      <c r="V65" s="5">
        <f ca="1">SUM(OFFSET(Demand!$E74,0,(COLUMN(I62)-1)*5,1,3))*V$2</f>
        <v>0</v>
      </c>
      <c r="W65" s="5">
        <f ca="1">SUM(OFFSET(Demand!$E74,0,(COLUMN(J62)-1)*5,1,3))*W$2</f>
        <v>0</v>
      </c>
      <c r="X65" s="5">
        <f t="shared" ca="1" si="4"/>
        <v>0</v>
      </c>
      <c r="Y65">
        <f t="shared" ca="1" si="5"/>
        <v>0</v>
      </c>
      <c r="Z65" s="5">
        <f ca="1">SUM(OFFSET(Demand!$H74,0,(COLUMN(A62)-1)*5,1,1))*N$2</f>
        <v>0</v>
      </c>
      <c r="AA65" s="5">
        <f ca="1">SUM(OFFSET(Demand!$H74,0,(COLUMN(B62)-1)*5,1,1))*O$2</f>
        <v>0</v>
      </c>
      <c r="AB65" s="5">
        <f ca="1">SUM(OFFSET(Demand!$H74,0,(COLUMN(C62)-1)*5,1,1))*P$2</f>
        <v>0</v>
      </c>
      <c r="AC65" s="5">
        <f ca="1">SUM(OFFSET(Demand!$H74,0,(COLUMN(D62)-1)*5,1,1))*Q$2</f>
        <v>0</v>
      </c>
      <c r="AD65" s="5">
        <f ca="1">SUM(OFFSET(Demand!$H74,0,(COLUMN(E62)-1)*5,1,1))*R$2</f>
        <v>0</v>
      </c>
      <c r="AE65" s="5">
        <f ca="1">SUM(OFFSET(Demand!$H74,0,(COLUMN(F62)-1)*5,1,1))*S$2</f>
        <v>0</v>
      </c>
      <c r="AF65" s="5">
        <f ca="1">SUM(OFFSET(Demand!$H74,0,(COLUMN(G62)-1)*5,1,1))*T$2</f>
        <v>0</v>
      </c>
      <c r="AG65" s="5">
        <f ca="1">SUM(OFFSET(Demand!$H74,0,(COLUMN(H62)-1)*5,1,1))*U$2</f>
        <v>0</v>
      </c>
      <c r="AH65" s="5">
        <f ca="1">SUM(OFFSET(Demand!$H74,0,(COLUMN(I62)-1)*5,1,1))*V$2</f>
        <v>0</v>
      </c>
      <c r="AI65" s="5">
        <f ca="1">SUM(OFFSET(Demand!$H74,0,(COLUMN(J62)-1)*5,1,1))*W$2</f>
        <v>0</v>
      </c>
      <c r="AJ65" s="5">
        <f t="shared" ca="1" si="6"/>
        <v>0</v>
      </c>
      <c r="AL65" s="5">
        <f t="shared" ca="1" si="8"/>
        <v>0</v>
      </c>
      <c r="AM65" s="5">
        <f t="shared" ca="1" si="9"/>
        <v>0</v>
      </c>
      <c r="AN65" s="5" t="str">
        <f>IF(Demand!BE74="Yes","Yes","")</f>
        <v/>
      </c>
      <c r="AP65" s="36" t="str">
        <f ca="1">Demand!B74</f>
        <v xml:space="preserve"> </v>
      </c>
      <c r="AQ65" t="str">
        <f ca="1">IF(TEXT(Demand!D74,"MMM")&lt;&gt;TEXT(Demand!D73,"MMM"),TEXT(Demand!D74,"MMM"),"")</f>
        <v/>
      </c>
      <c r="AT65" s="5">
        <f t="shared" ca="1" si="12"/>
        <v>0</v>
      </c>
      <c r="BQ65">
        <f ca="1">IF($AN65="",OFFSET(Demand!$A$13,ROW(A62)-1,4+((QUOTIENT(COLUMN(BQ$2)-69,3))*5)+MOD(COLUMN(BQ$2),3),1,1),"")</f>
        <v>0</v>
      </c>
      <c r="BR65">
        <f ca="1">IF($AN65="",OFFSET(Demand!$A$13,ROW(B62)-1,4+((QUOTIENT(COLUMN(BR$2)-69,3))*5)+MOD(COLUMN(BR$2),3),1,1),"")</f>
        <v>0</v>
      </c>
      <c r="BS65">
        <f ca="1">IF($AN65="",OFFSET(Demand!$A$13,ROW(C62)-1,4+((QUOTIENT(COLUMN(BS$2)-69,3))*5)+MOD(COLUMN(BS$2),3),1,1),"")</f>
        <v>0</v>
      </c>
      <c r="BT65">
        <f ca="1">IF($AN65="",OFFSET(Demand!$A$13,ROW(D62)-1,4+((QUOTIENT(COLUMN(BT$2)-69,3))*5)+MOD(COLUMN(BT$2),3),1,1),"")</f>
        <v>0</v>
      </c>
      <c r="BU65">
        <f ca="1">IF($AN65="",OFFSET(Demand!$A$13,ROW(E62)-1,4+((QUOTIENT(COLUMN(BU$2)-69,3))*5)+MOD(COLUMN(BU$2),3),1,1),"")</f>
        <v>0</v>
      </c>
      <c r="BV65">
        <f ca="1">IF($AN65="",OFFSET(Demand!$A$13,ROW(F62)-1,4+((QUOTIENT(COLUMN(BV$2)-69,3))*5)+MOD(COLUMN(BV$2),3),1,1),"")</f>
        <v>0</v>
      </c>
      <c r="BW65">
        <f ca="1">IF($AN65="",OFFSET(Demand!$A$13,ROW(G62)-1,4+((QUOTIENT(COLUMN(BW$2)-69,3))*5)+MOD(COLUMN(BW$2),3),1,1),"")</f>
        <v>0</v>
      </c>
      <c r="BX65">
        <f ca="1">IF($AN65="",OFFSET(Demand!$A$13,ROW(H62)-1,4+((QUOTIENT(COLUMN(BX$2)-69,3))*5)+MOD(COLUMN(BX$2),3),1,1),"")</f>
        <v>0</v>
      </c>
      <c r="BY65">
        <f ca="1">IF($AN65="",OFFSET(Demand!$A$13,ROW(I62)-1,4+((QUOTIENT(COLUMN(BY$2)-69,3))*5)+MOD(COLUMN(BY$2),3),1,1),"")</f>
        <v>0</v>
      </c>
      <c r="BZ65">
        <f ca="1">IF($AN65="",OFFSET(Demand!$A$13,ROW(J62)-1,4+((QUOTIENT(COLUMN(BZ$2)-69,3))*5)+MOD(COLUMN(BZ$2),3),1,1),"")</f>
        <v>0</v>
      </c>
      <c r="CA65">
        <f ca="1">IF($AN65="",OFFSET(Demand!$A$13,ROW(K62)-1,4+((QUOTIENT(COLUMN(CA$2)-69,3))*5)+MOD(COLUMN(CA$2),3),1,1),"")</f>
        <v>0</v>
      </c>
      <c r="CB65">
        <f ca="1">IF($AN65="",OFFSET(Demand!$A$13,ROW(L62)-1,4+((QUOTIENT(COLUMN(CB$2)-69,3))*5)+MOD(COLUMN(CB$2),3),1,1),"")</f>
        <v>0</v>
      </c>
      <c r="CC65">
        <f ca="1">IF($AN65="",OFFSET(Demand!$A$13,ROW(M62)-1,4+((QUOTIENT(COLUMN(CC$2)-69,3))*5)+MOD(COLUMN(CC$2),3),1,1),"")</f>
        <v>0</v>
      </c>
      <c r="CD65">
        <f ca="1">IF($AN65="",OFFSET(Demand!$A$13,ROW(N62)-1,4+((QUOTIENT(COLUMN(CD$2)-69,3))*5)+MOD(COLUMN(CD$2),3),1,1),"")</f>
        <v>0</v>
      </c>
      <c r="CE65">
        <f ca="1">IF($AN65="",OFFSET(Demand!$A$13,ROW(O62)-1,4+((QUOTIENT(COLUMN(CE$2)-69,3))*5)+MOD(COLUMN(CE$2),3),1,1),"")</f>
        <v>0</v>
      </c>
      <c r="CF65">
        <f ca="1">IF($AN65="",OFFSET(Demand!$A$13,ROW(P62)-1,4+((QUOTIENT(COLUMN(CF$2)-69,3))*5)+MOD(COLUMN(CF$2),3),1,1),"")</f>
        <v>0</v>
      </c>
      <c r="CG65">
        <f ca="1">IF($AN65="",OFFSET(Demand!$A$13,ROW(Q62)-1,4+((QUOTIENT(COLUMN(CG$2)-69,3))*5)+MOD(COLUMN(CG$2),3),1,1),"")</f>
        <v>0</v>
      </c>
      <c r="CH65">
        <f ca="1">IF($AN65="",OFFSET(Demand!$A$13,ROW(R62)-1,4+((QUOTIENT(COLUMN(CH$2)-69,3))*5)+MOD(COLUMN(CH$2),3),1,1),"")</f>
        <v>0</v>
      </c>
      <c r="CI65">
        <f ca="1">IF($AN65="",OFFSET(Demand!$A$13,ROW(S62)-1,4+((QUOTIENT(COLUMN(CI$2)-69,3))*5)+MOD(COLUMN(CI$2),3),1,1),"")</f>
        <v>0</v>
      </c>
      <c r="CJ65">
        <f ca="1">IF($AN65="",OFFSET(Demand!$A$13,ROW(T62)-1,4+((QUOTIENT(COLUMN(CJ$2)-69,3))*5)+MOD(COLUMN(CJ$2),3),1,1),"")</f>
        <v>0</v>
      </c>
      <c r="CK65">
        <f ca="1">IF($AN65="",OFFSET(Demand!$A$13,ROW(U62)-1,4+((QUOTIENT(COLUMN(CK$2)-69,3))*5)+MOD(COLUMN(CK$2),3),1,1),"")</f>
        <v>0</v>
      </c>
      <c r="CL65">
        <f ca="1">IF($AN65="",OFFSET(Demand!$A$13,ROW(V62)-1,4+((QUOTIENT(COLUMN(CL$2)-69,3))*5)+MOD(COLUMN(CL$2),3),1,1),"")</f>
        <v>0</v>
      </c>
      <c r="CM65">
        <f ca="1">IF($AN65="",OFFSET(Demand!$A$13,ROW(W62)-1,4+((QUOTIENT(COLUMN(CM$2)-69,3))*5)+MOD(COLUMN(CM$2),3),1,1),"")</f>
        <v>0</v>
      </c>
      <c r="CN65">
        <f ca="1">IF($AN65="",OFFSET(Demand!$A$13,ROW(X62)-1,4+((QUOTIENT(COLUMN(CN$2)-69,3))*5)+MOD(COLUMN(CN$2),3),1,1),"")</f>
        <v>0</v>
      </c>
      <c r="CO65">
        <f ca="1">IF($AN65="",OFFSET(Demand!$A$13,ROW(Y62)-1,4+((QUOTIENT(COLUMN(CO$2)-69,3))*5)+MOD(COLUMN(CO$2),3),1,1),"")</f>
        <v>0</v>
      </c>
      <c r="CP65">
        <f ca="1">IF($AN65="",OFFSET(Demand!$A$13,ROW(Z62)-1,4+((QUOTIENT(COLUMN(CP$2)-69,3))*5)+MOD(COLUMN(CP$2),3),1,1),"")</f>
        <v>0</v>
      </c>
      <c r="CQ65">
        <f ca="1">IF($AN65="",OFFSET(Demand!$A$13,ROW(AA62)-1,4+((QUOTIENT(COLUMN(CQ$2)-69,3))*5)+MOD(COLUMN(CQ$2),3),1,1),"")</f>
        <v>0</v>
      </c>
      <c r="CR65">
        <f ca="1">IF($AN65="",OFFSET(Demand!$A$13,ROW(AB62)-1,4+((QUOTIENT(COLUMN(CR$2)-69,3))*5)+MOD(COLUMN(CR$2),3),1,1),"")</f>
        <v>0</v>
      </c>
      <c r="CS65">
        <f ca="1">IF($AN65="",OFFSET(Demand!$A$13,ROW(AC62)-1,4+((QUOTIENT(COLUMN(CS$2)-69,3))*5)+MOD(COLUMN(CS$2),3),1,1),"")</f>
        <v>0</v>
      </c>
      <c r="CT65">
        <f ca="1">IF($AN65="",OFFSET(Demand!$A$13,ROW(AD62)-1,4+((QUOTIENT(COLUMN(CT$2)-69,3))*5)+MOD(COLUMN(CT$2),3),1,1),"")</f>
        <v>0</v>
      </c>
      <c r="CW65" s="5">
        <f ca="1">SUM(OFFSET(Demand!$H$43,ROW(A62)-1,(COLUMN(A62)-1)*5,1,1))*N$2</f>
        <v>0</v>
      </c>
      <c r="CX65" s="5">
        <f ca="1">SUM(OFFSET(Demand!$H$43,ROW(B62)-1,(COLUMN(B62)-1)*5,1,1))*O$2</f>
        <v>0</v>
      </c>
      <c r="CY65" s="5">
        <f ca="1">SUM(OFFSET(Demand!$H$43,ROW(C62)-1,(COLUMN(C62)-1)*5,1,1))*P$2</f>
        <v>0</v>
      </c>
      <c r="CZ65" s="5">
        <f ca="1">SUM(OFFSET(Demand!$H$43,ROW(D62)-1,(COLUMN(D62)-1)*5,1,1))*Q$2</f>
        <v>0</v>
      </c>
      <c r="DA65" s="5">
        <f ca="1">SUM(OFFSET(Demand!$H$43,ROW(E62)-1,(COLUMN(E62)-1)*5,1,1))*R$2</f>
        <v>0</v>
      </c>
      <c r="DB65" s="5">
        <f ca="1">SUM(OFFSET(Demand!$H$43,ROW(F62)-1,(COLUMN(F62)-1)*5,1,1))*S$2</f>
        <v>0</v>
      </c>
      <c r="DC65" s="5">
        <f ca="1">SUM(OFFSET(Demand!$H$43,ROW(G62)-1,(COLUMN(G62)-1)*5,1,1))*T$2</f>
        <v>0</v>
      </c>
      <c r="DD65" s="5">
        <f ca="1">SUM(OFFSET(Demand!$H$43,ROW(H62)-1,(COLUMN(H62)-1)*5,1,1))*U$2</f>
        <v>0</v>
      </c>
      <c r="DE65" s="5">
        <f ca="1">SUM(OFFSET(Demand!$H$43,ROW(I62)-1,(COLUMN(I62)-1)*5,1,1))*V$2</f>
        <v>0</v>
      </c>
      <c r="DF65" s="5">
        <f ca="1">SUM(OFFSET(Demand!$H$43,ROW(J62)-1,(COLUMN(J62)-1)*5,1,1))*W$2</f>
        <v>0</v>
      </c>
      <c r="DG65" s="5">
        <f ca="1">IF(OR(AN65&lt;&gt;"",AND('Demand adjustments for Covid'!$F$9="Yes",'Demand adjustments for Covid'!$F$20="Yes")),"",SUM(CW65:DF65))</f>
        <v>0</v>
      </c>
    </row>
    <row r="66" spans="1:111" x14ac:dyDescent="0.25">
      <c r="A66" s="5">
        <f t="shared" ca="1" si="34"/>
        <v>1</v>
      </c>
      <c r="B66" s="5">
        <f ca="1">COUNTBLANK(OFFSET(Demand!$I75,0,(COLUMN(A63)-1)*5,1,1))</f>
        <v>1</v>
      </c>
      <c r="C66" s="5">
        <f ca="1">COUNTBLANK(OFFSET(Demand!$I75,0,(COLUMN(B63)-1)*5,1,1))</f>
        <v>1</v>
      </c>
      <c r="D66" s="5">
        <f ca="1">COUNTBLANK(OFFSET(Demand!$I75,0,(COLUMN(C63)-1)*5,1,1))</f>
        <v>1</v>
      </c>
      <c r="E66" s="5">
        <f ca="1">COUNTBLANK(OFFSET(Demand!$I75,0,(COLUMN(D63)-1)*5,1,1))</f>
        <v>1</v>
      </c>
      <c r="F66" s="5">
        <f ca="1">COUNTBLANK(OFFSET(Demand!$I75,0,(COLUMN(E63)-1)*5,1,1))</f>
        <v>1</v>
      </c>
      <c r="G66" s="5">
        <f ca="1">COUNTBLANK(OFFSET(Demand!$I75,0,(COLUMN(F63)-1)*5,1,1))</f>
        <v>1</v>
      </c>
      <c r="H66" s="5">
        <f ca="1">COUNTBLANK(OFFSET(Demand!$I75,0,(COLUMN(G63)-1)*5,1,1))</f>
        <v>1</v>
      </c>
      <c r="I66" s="5">
        <f ca="1">COUNTBLANK(OFFSET(Demand!$I75,0,(COLUMN(H63)-1)*5,1,1))</f>
        <v>1</v>
      </c>
      <c r="J66" s="5">
        <f ca="1">COUNTBLANK(OFFSET(Demand!$I75,0,(COLUMN(I63)-1)*5,1,1))</f>
        <v>1</v>
      </c>
      <c r="K66" s="5">
        <f ca="1">COUNTBLANK(OFFSET(Demand!$I75,0,(COLUMN(J63)-1)*5,1,1))</f>
        <v>1</v>
      </c>
      <c r="N66" s="5">
        <f ca="1">SUM(OFFSET(Demand!$E75,0,(COLUMN(A63)-1)*5,1,3))*N$2</f>
        <v>0</v>
      </c>
      <c r="O66" s="5">
        <f ca="1">SUM(OFFSET(Demand!$E75,0,(COLUMN(B63)-1)*5,1,3))*O$2</f>
        <v>0</v>
      </c>
      <c r="P66" s="5">
        <f ca="1">SUM(OFFSET(Demand!$E75,0,(COLUMN(C63)-1)*5,1,3))*P$2</f>
        <v>0</v>
      </c>
      <c r="Q66" s="5">
        <f ca="1">SUM(OFFSET(Demand!$E75,0,(COLUMN(D63)-1)*5,1,3))*Q$2</f>
        <v>0</v>
      </c>
      <c r="R66" s="5">
        <f ca="1">SUM(OFFSET(Demand!$E75,0,(COLUMN(E63)-1)*5,1,3))*R$2</f>
        <v>0</v>
      </c>
      <c r="S66" s="5">
        <f ca="1">SUM(OFFSET(Demand!$E75,0,(COLUMN(F63)-1)*5,1,3))*S$2</f>
        <v>0</v>
      </c>
      <c r="T66" s="5">
        <f ca="1">SUM(OFFSET(Demand!$E75,0,(COLUMN(G63)-1)*5,1,3))*T$2</f>
        <v>0</v>
      </c>
      <c r="U66" s="5">
        <f ca="1">SUM(OFFSET(Demand!$E75,0,(COLUMN(H63)-1)*5,1,3))*U$2</f>
        <v>0</v>
      </c>
      <c r="V66" s="5">
        <f ca="1">SUM(OFFSET(Demand!$E75,0,(COLUMN(I63)-1)*5,1,3))*V$2</f>
        <v>0</v>
      </c>
      <c r="W66" s="5">
        <f ca="1">SUM(OFFSET(Demand!$E75,0,(COLUMN(J63)-1)*5,1,3))*W$2</f>
        <v>0</v>
      </c>
      <c r="X66" s="5">
        <f t="shared" ca="1" si="4"/>
        <v>0</v>
      </c>
      <c r="Y66">
        <f t="shared" ca="1" si="5"/>
        <v>0</v>
      </c>
      <c r="Z66" s="5">
        <f ca="1">SUM(OFFSET(Demand!$H75,0,(COLUMN(A63)-1)*5,1,1))*N$2</f>
        <v>0</v>
      </c>
      <c r="AA66" s="5">
        <f ca="1">SUM(OFFSET(Demand!$H75,0,(COLUMN(B63)-1)*5,1,1))*O$2</f>
        <v>0</v>
      </c>
      <c r="AB66" s="5">
        <f ca="1">SUM(OFFSET(Demand!$H75,0,(COLUMN(C63)-1)*5,1,1))*P$2</f>
        <v>0</v>
      </c>
      <c r="AC66" s="5">
        <f ca="1">SUM(OFFSET(Demand!$H75,0,(COLUMN(D63)-1)*5,1,1))*Q$2</f>
        <v>0</v>
      </c>
      <c r="AD66" s="5">
        <f ca="1">SUM(OFFSET(Demand!$H75,0,(COLUMN(E63)-1)*5,1,1))*R$2</f>
        <v>0</v>
      </c>
      <c r="AE66" s="5">
        <f ca="1">SUM(OFFSET(Demand!$H75,0,(COLUMN(F63)-1)*5,1,1))*S$2</f>
        <v>0</v>
      </c>
      <c r="AF66" s="5">
        <f ca="1">SUM(OFFSET(Demand!$H75,0,(COLUMN(G63)-1)*5,1,1))*T$2</f>
        <v>0</v>
      </c>
      <c r="AG66" s="5">
        <f ca="1">SUM(OFFSET(Demand!$H75,0,(COLUMN(H63)-1)*5,1,1))*U$2</f>
        <v>0</v>
      </c>
      <c r="AH66" s="5">
        <f ca="1">SUM(OFFSET(Demand!$H75,0,(COLUMN(I63)-1)*5,1,1))*V$2</f>
        <v>0</v>
      </c>
      <c r="AI66" s="5">
        <f ca="1">SUM(OFFSET(Demand!$H75,0,(COLUMN(J63)-1)*5,1,1))*W$2</f>
        <v>0</v>
      </c>
      <c r="AJ66" s="5">
        <f t="shared" ca="1" si="6"/>
        <v>0</v>
      </c>
      <c r="AL66" s="5">
        <f t="shared" ca="1" si="8"/>
        <v>0</v>
      </c>
      <c r="AM66" s="5">
        <f t="shared" ca="1" si="9"/>
        <v>0</v>
      </c>
      <c r="AN66" s="5" t="str">
        <f>IF(Demand!BE75="Yes","Yes","")</f>
        <v/>
      </c>
      <c r="AP66" s="36" t="str">
        <f ca="1">Demand!B75</f>
        <v xml:space="preserve"> </v>
      </c>
      <c r="AQ66" t="str">
        <f ca="1">IF(TEXT(Demand!D75,"MMM")&lt;&gt;TEXT(Demand!D74,"MMM"),TEXT(Demand!D75,"MMM"),"")</f>
        <v/>
      </c>
      <c r="AT66" s="5">
        <f t="shared" ca="1" si="12"/>
        <v>0</v>
      </c>
      <c r="BQ66">
        <f ca="1">IF($AN66="",OFFSET(Demand!$A$13,ROW(A63)-1,4+((QUOTIENT(COLUMN(BQ$2)-69,3))*5)+MOD(COLUMN(BQ$2),3),1,1),"")</f>
        <v>0</v>
      </c>
      <c r="BR66">
        <f ca="1">IF($AN66="",OFFSET(Demand!$A$13,ROW(B63)-1,4+((QUOTIENT(COLUMN(BR$2)-69,3))*5)+MOD(COLUMN(BR$2),3),1,1),"")</f>
        <v>0</v>
      </c>
      <c r="BS66">
        <f ca="1">IF($AN66="",OFFSET(Demand!$A$13,ROW(C63)-1,4+((QUOTIENT(COLUMN(BS$2)-69,3))*5)+MOD(COLUMN(BS$2),3),1,1),"")</f>
        <v>0</v>
      </c>
      <c r="BT66">
        <f ca="1">IF($AN66="",OFFSET(Demand!$A$13,ROW(D63)-1,4+((QUOTIENT(COLUMN(BT$2)-69,3))*5)+MOD(COLUMN(BT$2),3),1,1),"")</f>
        <v>0</v>
      </c>
      <c r="BU66">
        <f ca="1">IF($AN66="",OFFSET(Demand!$A$13,ROW(E63)-1,4+((QUOTIENT(COLUMN(BU$2)-69,3))*5)+MOD(COLUMN(BU$2),3),1,1),"")</f>
        <v>0</v>
      </c>
      <c r="BV66">
        <f ca="1">IF($AN66="",OFFSET(Demand!$A$13,ROW(F63)-1,4+((QUOTIENT(COLUMN(BV$2)-69,3))*5)+MOD(COLUMN(BV$2),3),1,1),"")</f>
        <v>0</v>
      </c>
      <c r="BW66">
        <f ca="1">IF($AN66="",OFFSET(Demand!$A$13,ROW(G63)-1,4+((QUOTIENT(COLUMN(BW$2)-69,3))*5)+MOD(COLUMN(BW$2),3),1,1),"")</f>
        <v>0</v>
      </c>
      <c r="BX66">
        <f ca="1">IF($AN66="",OFFSET(Demand!$A$13,ROW(H63)-1,4+((QUOTIENT(COLUMN(BX$2)-69,3))*5)+MOD(COLUMN(BX$2),3),1,1),"")</f>
        <v>0</v>
      </c>
      <c r="BY66">
        <f ca="1">IF($AN66="",OFFSET(Demand!$A$13,ROW(I63)-1,4+((QUOTIENT(COLUMN(BY$2)-69,3))*5)+MOD(COLUMN(BY$2),3),1,1),"")</f>
        <v>0</v>
      </c>
      <c r="BZ66">
        <f ca="1">IF($AN66="",OFFSET(Demand!$A$13,ROW(J63)-1,4+((QUOTIENT(COLUMN(BZ$2)-69,3))*5)+MOD(COLUMN(BZ$2),3),1,1),"")</f>
        <v>0</v>
      </c>
      <c r="CA66">
        <f ca="1">IF($AN66="",OFFSET(Demand!$A$13,ROW(K63)-1,4+((QUOTIENT(COLUMN(CA$2)-69,3))*5)+MOD(COLUMN(CA$2),3),1,1),"")</f>
        <v>0</v>
      </c>
      <c r="CB66">
        <f ca="1">IF($AN66="",OFFSET(Demand!$A$13,ROW(L63)-1,4+((QUOTIENT(COLUMN(CB$2)-69,3))*5)+MOD(COLUMN(CB$2),3),1,1),"")</f>
        <v>0</v>
      </c>
      <c r="CC66">
        <f ca="1">IF($AN66="",OFFSET(Demand!$A$13,ROW(M63)-1,4+((QUOTIENT(COLUMN(CC$2)-69,3))*5)+MOD(COLUMN(CC$2),3),1,1),"")</f>
        <v>0</v>
      </c>
      <c r="CD66">
        <f ca="1">IF($AN66="",OFFSET(Demand!$A$13,ROW(N63)-1,4+((QUOTIENT(COLUMN(CD$2)-69,3))*5)+MOD(COLUMN(CD$2),3),1,1),"")</f>
        <v>0</v>
      </c>
      <c r="CE66">
        <f ca="1">IF($AN66="",OFFSET(Demand!$A$13,ROW(O63)-1,4+((QUOTIENT(COLUMN(CE$2)-69,3))*5)+MOD(COLUMN(CE$2),3),1,1),"")</f>
        <v>0</v>
      </c>
      <c r="CF66">
        <f ca="1">IF($AN66="",OFFSET(Demand!$A$13,ROW(P63)-1,4+((QUOTIENT(COLUMN(CF$2)-69,3))*5)+MOD(COLUMN(CF$2),3),1,1),"")</f>
        <v>0</v>
      </c>
      <c r="CG66">
        <f ca="1">IF($AN66="",OFFSET(Demand!$A$13,ROW(Q63)-1,4+((QUOTIENT(COLUMN(CG$2)-69,3))*5)+MOD(COLUMN(CG$2),3),1,1),"")</f>
        <v>0</v>
      </c>
      <c r="CH66">
        <f ca="1">IF($AN66="",OFFSET(Demand!$A$13,ROW(R63)-1,4+((QUOTIENT(COLUMN(CH$2)-69,3))*5)+MOD(COLUMN(CH$2),3),1,1),"")</f>
        <v>0</v>
      </c>
      <c r="CI66">
        <f ca="1">IF($AN66="",OFFSET(Demand!$A$13,ROW(S63)-1,4+((QUOTIENT(COLUMN(CI$2)-69,3))*5)+MOD(COLUMN(CI$2),3),1,1),"")</f>
        <v>0</v>
      </c>
      <c r="CJ66">
        <f ca="1">IF($AN66="",OFFSET(Demand!$A$13,ROW(T63)-1,4+((QUOTIENT(COLUMN(CJ$2)-69,3))*5)+MOD(COLUMN(CJ$2),3),1,1),"")</f>
        <v>0</v>
      </c>
      <c r="CK66">
        <f ca="1">IF($AN66="",OFFSET(Demand!$A$13,ROW(U63)-1,4+((QUOTIENT(COLUMN(CK$2)-69,3))*5)+MOD(COLUMN(CK$2),3),1,1),"")</f>
        <v>0</v>
      </c>
      <c r="CL66">
        <f ca="1">IF($AN66="",OFFSET(Demand!$A$13,ROW(V63)-1,4+((QUOTIENT(COLUMN(CL$2)-69,3))*5)+MOD(COLUMN(CL$2),3),1,1),"")</f>
        <v>0</v>
      </c>
      <c r="CM66">
        <f ca="1">IF($AN66="",OFFSET(Demand!$A$13,ROW(W63)-1,4+((QUOTIENT(COLUMN(CM$2)-69,3))*5)+MOD(COLUMN(CM$2),3),1,1),"")</f>
        <v>0</v>
      </c>
      <c r="CN66">
        <f ca="1">IF($AN66="",OFFSET(Demand!$A$13,ROW(X63)-1,4+((QUOTIENT(COLUMN(CN$2)-69,3))*5)+MOD(COLUMN(CN$2),3),1,1),"")</f>
        <v>0</v>
      </c>
      <c r="CO66">
        <f ca="1">IF($AN66="",OFFSET(Demand!$A$13,ROW(Y63)-1,4+((QUOTIENT(COLUMN(CO$2)-69,3))*5)+MOD(COLUMN(CO$2),3),1,1),"")</f>
        <v>0</v>
      </c>
      <c r="CP66">
        <f ca="1">IF($AN66="",OFFSET(Demand!$A$13,ROW(Z63)-1,4+((QUOTIENT(COLUMN(CP$2)-69,3))*5)+MOD(COLUMN(CP$2),3),1,1),"")</f>
        <v>0</v>
      </c>
      <c r="CQ66">
        <f ca="1">IF($AN66="",OFFSET(Demand!$A$13,ROW(AA63)-1,4+((QUOTIENT(COLUMN(CQ$2)-69,3))*5)+MOD(COLUMN(CQ$2),3),1,1),"")</f>
        <v>0</v>
      </c>
      <c r="CR66">
        <f ca="1">IF($AN66="",OFFSET(Demand!$A$13,ROW(AB63)-1,4+((QUOTIENT(COLUMN(CR$2)-69,3))*5)+MOD(COLUMN(CR$2),3),1,1),"")</f>
        <v>0</v>
      </c>
      <c r="CS66">
        <f ca="1">IF($AN66="",OFFSET(Demand!$A$13,ROW(AC63)-1,4+((QUOTIENT(COLUMN(CS$2)-69,3))*5)+MOD(COLUMN(CS$2),3),1,1),"")</f>
        <v>0</v>
      </c>
      <c r="CT66">
        <f ca="1">IF($AN66="",OFFSET(Demand!$A$13,ROW(AD63)-1,4+((QUOTIENT(COLUMN(CT$2)-69,3))*5)+MOD(COLUMN(CT$2),3),1,1),"")</f>
        <v>0</v>
      </c>
      <c r="CW66" s="5">
        <f ca="1">SUM(OFFSET(Demand!$H$43,ROW(A63)-1,(COLUMN(A63)-1)*5,1,1))*N$2</f>
        <v>0</v>
      </c>
      <c r="CX66" s="5">
        <f ca="1">SUM(OFFSET(Demand!$H$43,ROW(B63)-1,(COLUMN(B63)-1)*5,1,1))*O$2</f>
        <v>0</v>
      </c>
      <c r="CY66" s="5">
        <f ca="1">SUM(OFFSET(Demand!$H$43,ROW(C63)-1,(COLUMN(C63)-1)*5,1,1))*P$2</f>
        <v>0</v>
      </c>
      <c r="CZ66" s="5">
        <f ca="1">SUM(OFFSET(Demand!$H$43,ROW(D63)-1,(COLUMN(D63)-1)*5,1,1))*Q$2</f>
        <v>0</v>
      </c>
      <c r="DA66" s="5">
        <f ca="1">SUM(OFFSET(Demand!$H$43,ROW(E63)-1,(COLUMN(E63)-1)*5,1,1))*R$2</f>
        <v>0</v>
      </c>
      <c r="DB66" s="5">
        <f ca="1">SUM(OFFSET(Demand!$H$43,ROW(F63)-1,(COLUMN(F63)-1)*5,1,1))*S$2</f>
        <v>0</v>
      </c>
      <c r="DC66" s="5">
        <f ca="1">SUM(OFFSET(Demand!$H$43,ROW(G63)-1,(COLUMN(G63)-1)*5,1,1))*T$2</f>
        <v>0</v>
      </c>
      <c r="DD66" s="5">
        <f ca="1">SUM(OFFSET(Demand!$H$43,ROW(H63)-1,(COLUMN(H63)-1)*5,1,1))*U$2</f>
        <v>0</v>
      </c>
      <c r="DE66" s="5">
        <f ca="1">SUM(OFFSET(Demand!$H$43,ROW(I63)-1,(COLUMN(I63)-1)*5,1,1))*V$2</f>
        <v>0</v>
      </c>
      <c r="DF66" s="5">
        <f ca="1">SUM(OFFSET(Demand!$H$43,ROW(J63)-1,(COLUMN(J63)-1)*5,1,1))*W$2</f>
        <v>0</v>
      </c>
      <c r="DG66" s="5">
        <f ca="1">IF(OR(AN66&lt;&gt;"",AND('Demand adjustments for Covid'!$F$9="Yes",'Demand adjustments for Covid'!$F$20="Yes")),"",SUM(CW66:DF66))</f>
        <v>0</v>
      </c>
    </row>
    <row r="67" spans="1:111" x14ac:dyDescent="0.25">
      <c r="A67" s="5">
        <f t="shared" ca="1" si="34"/>
        <v>1</v>
      </c>
      <c r="B67" s="5">
        <f ca="1">COUNTBLANK(OFFSET(Demand!$I76,0,(COLUMN(A64)-1)*5,1,1))</f>
        <v>1</v>
      </c>
      <c r="C67" s="5">
        <f ca="1">COUNTBLANK(OFFSET(Demand!$I76,0,(COLUMN(B64)-1)*5,1,1))</f>
        <v>1</v>
      </c>
      <c r="D67" s="5">
        <f ca="1">COUNTBLANK(OFFSET(Demand!$I76,0,(COLUMN(C64)-1)*5,1,1))</f>
        <v>1</v>
      </c>
      <c r="E67" s="5">
        <f ca="1">COUNTBLANK(OFFSET(Demand!$I76,0,(COLUMN(D64)-1)*5,1,1))</f>
        <v>1</v>
      </c>
      <c r="F67" s="5">
        <f ca="1">COUNTBLANK(OFFSET(Demand!$I76,0,(COLUMN(E64)-1)*5,1,1))</f>
        <v>1</v>
      </c>
      <c r="G67" s="5">
        <f ca="1">COUNTBLANK(OFFSET(Demand!$I76,0,(COLUMN(F64)-1)*5,1,1))</f>
        <v>1</v>
      </c>
      <c r="H67" s="5">
        <f ca="1">COUNTBLANK(OFFSET(Demand!$I76,0,(COLUMN(G64)-1)*5,1,1))</f>
        <v>1</v>
      </c>
      <c r="I67" s="5">
        <f ca="1">COUNTBLANK(OFFSET(Demand!$I76,0,(COLUMN(H64)-1)*5,1,1))</f>
        <v>1</v>
      </c>
      <c r="J67" s="5">
        <f ca="1">COUNTBLANK(OFFSET(Demand!$I76,0,(COLUMN(I64)-1)*5,1,1))</f>
        <v>1</v>
      </c>
      <c r="K67" s="5">
        <f ca="1">COUNTBLANK(OFFSET(Demand!$I76,0,(COLUMN(J64)-1)*5,1,1))</f>
        <v>1</v>
      </c>
      <c r="N67" s="5">
        <f ca="1">SUM(OFFSET(Demand!$E76,0,(COLUMN(A64)-1)*5,1,3))*N$2</f>
        <v>0</v>
      </c>
      <c r="O67" s="5">
        <f ca="1">SUM(OFFSET(Demand!$E76,0,(COLUMN(B64)-1)*5,1,3))*O$2</f>
        <v>0</v>
      </c>
      <c r="P67" s="5">
        <f ca="1">SUM(OFFSET(Demand!$E76,0,(COLUMN(C64)-1)*5,1,3))*P$2</f>
        <v>0</v>
      </c>
      <c r="Q67" s="5">
        <f ca="1">SUM(OFFSET(Demand!$E76,0,(COLUMN(D64)-1)*5,1,3))*Q$2</f>
        <v>0</v>
      </c>
      <c r="R67" s="5">
        <f ca="1">SUM(OFFSET(Demand!$E76,0,(COLUMN(E64)-1)*5,1,3))*R$2</f>
        <v>0</v>
      </c>
      <c r="S67" s="5">
        <f ca="1">SUM(OFFSET(Demand!$E76,0,(COLUMN(F64)-1)*5,1,3))*S$2</f>
        <v>0</v>
      </c>
      <c r="T67" s="5">
        <f ca="1">SUM(OFFSET(Demand!$E76,0,(COLUMN(G64)-1)*5,1,3))*T$2</f>
        <v>0</v>
      </c>
      <c r="U67" s="5">
        <f ca="1">SUM(OFFSET(Demand!$E76,0,(COLUMN(H64)-1)*5,1,3))*U$2</f>
        <v>0</v>
      </c>
      <c r="V67" s="5">
        <f ca="1">SUM(OFFSET(Demand!$E76,0,(COLUMN(I64)-1)*5,1,3))*V$2</f>
        <v>0</v>
      </c>
      <c r="W67" s="5">
        <f ca="1">SUM(OFFSET(Demand!$E76,0,(COLUMN(J64)-1)*5,1,3))*W$2</f>
        <v>0</v>
      </c>
      <c r="X67" s="5">
        <f t="shared" ca="1" si="4"/>
        <v>0</v>
      </c>
      <c r="Y67">
        <f t="shared" ca="1" si="5"/>
        <v>0</v>
      </c>
      <c r="Z67" s="5">
        <f ca="1">SUM(OFFSET(Demand!$H76,0,(COLUMN(A64)-1)*5,1,1))*N$2</f>
        <v>0</v>
      </c>
      <c r="AA67" s="5">
        <f ca="1">SUM(OFFSET(Demand!$H76,0,(COLUMN(B64)-1)*5,1,1))*O$2</f>
        <v>0</v>
      </c>
      <c r="AB67" s="5">
        <f ca="1">SUM(OFFSET(Demand!$H76,0,(COLUMN(C64)-1)*5,1,1))*P$2</f>
        <v>0</v>
      </c>
      <c r="AC67" s="5">
        <f ca="1">SUM(OFFSET(Demand!$H76,0,(COLUMN(D64)-1)*5,1,1))*Q$2</f>
        <v>0</v>
      </c>
      <c r="AD67" s="5">
        <f ca="1">SUM(OFFSET(Demand!$H76,0,(COLUMN(E64)-1)*5,1,1))*R$2</f>
        <v>0</v>
      </c>
      <c r="AE67" s="5">
        <f ca="1">SUM(OFFSET(Demand!$H76,0,(COLUMN(F64)-1)*5,1,1))*S$2</f>
        <v>0</v>
      </c>
      <c r="AF67" s="5">
        <f ca="1">SUM(OFFSET(Demand!$H76,0,(COLUMN(G64)-1)*5,1,1))*T$2</f>
        <v>0</v>
      </c>
      <c r="AG67" s="5">
        <f ca="1">SUM(OFFSET(Demand!$H76,0,(COLUMN(H64)-1)*5,1,1))*U$2</f>
        <v>0</v>
      </c>
      <c r="AH67" s="5">
        <f ca="1">SUM(OFFSET(Demand!$H76,0,(COLUMN(I64)-1)*5,1,1))*V$2</f>
        <v>0</v>
      </c>
      <c r="AI67" s="5">
        <f ca="1">SUM(OFFSET(Demand!$H76,0,(COLUMN(J64)-1)*5,1,1))*W$2</f>
        <v>0</v>
      </c>
      <c r="AJ67" s="5">
        <f t="shared" ca="1" si="6"/>
        <v>0</v>
      </c>
      <c r="AL67" s="5">
        <f t="shared" ca="1" si="8"/>
        <v>0</v>
      </c>
      <c r="AM67" s="5">
        <f t="shared" ca="1" si="9"/>
        <v>0</v>
      </c>
      <c r="AN67" s="5" t="str">
        <f>IF(Demand!BE76="Yes","Yes","")</f>
        <v/>
      </c>
      <c r="AP67" s="36" t="str">
        <f ca="1">Demand!B76</f>
        <v xml:space="preserve"> </v>
      </c>
      <c r="AQ67" t="str">
        <f ca="1">IF(TEXT(Demand!D76,"MMM")&lt;&gt;TEXT(Demand!D75,"MMM"),TEXT(Demand!D76,"MMM"),"")</f>
        <v/>
      </c>
      <c r="AT67" s="5">
        <f t="shared" ca="1" si="12"/>
        <v>0</v>
      </c>
      <c r="BQ67">
        <f ca="1">IF($AN67="",OFFSET(Demand!$A$13,ROW(A64)-1,4+((QUOTIENT(COLUMN(BQ$2)-69,3))*5)+MOD(COLUMN(BQ$2),3),1,1),"")</f>
        <v>0</v>
      </c>
      <c r="BR67">
        <f ca="1">IF($AN67="",OFFSET(Demand!$A$13,ROW(B64)-1,4+((QUOTIENT(COLUMN(BR$2)-69,3))*5)+MOD(COLUMN(BR$2),3),1,1),"")</f>
        <v>0</v>
      </c>
      <c r="BS67">
        <f ca="1">IF($AN67="",OFFSET(Demand!$A$13,ROW(C64)-1,4+((QUOTIENT(COLUMN(BS$2)-69,3))*5)+MOD(COLUMN(BS$2),3),1,1),"")</f>
        <v>0</v>
      </c>
      <c r="BT67">
        <f ca="1">IF($AN67="",OFFSET(Demand!$A$13,ROW(D64)-1,4+((QUOTIENT(COLUMN(BT$2)-69,3))*5)+MOD(COLUMN(BT$2),3),1,1),"")</f>
        <v>0</v>
      </c>
      <c r="BU67">
        <f ca="1">IF($AN67="",OFFSET(Demand!$A$13,ROW(E64)-1,4+((QUOTIENT(COLUMN(BU$2)-69,3))*5)+MOD(COLUMN(BU$2),3),1,1),"")</f>
        <v>0</v>
      </c>
      <c r="BV67">
        <f ca="1">IF($AN67="",OFFSET(Demand!$A$13,ROW(F64)-1,4+((QUOTIENT(COLUMN(BV$2)-69,3))*5)+MOD(COLUMN(BV$2),3),1,1),"")</f>
        <v>0</v>
      </c>
      <c r="BW67">
        <f ca="1">IF($AN67="",OFFSET(Demand!$A$13,ROW(G64)-1,4+((QUOTIENT(COLUMN(BW$2)-69,3))*5)+MOD(COLUMN(BW$2),3),1,1),"")</f>
        <v>0</v>
      </c>
      <c r="BX67">
        <f ca="1">IF($AN67="",OFFSET(Demand!$A$13,ROW(H64)-1,4+((QUOTIENT(COLUMN(BX$2)-69,3))*5)+MOD(COLUMN(BX$2),3),1,1),"")</f>
        <v>0</v>
      </c>
      <c r="BY67">
        <f ca="1">IF($AN67="",OFFSET(Demand!$A$13,ROW(I64)-1,4+((QUOTIENT(COLUMN(BY$2)-69,3))*5)+MOD(COLUMN(BY$2),3),1,1),"")</f>
        <v>0</v>
      </c>
      <c r="BZ67">
        <f ca="1">IF($AN67="",OFFSET(Demand!$A$13,ROW(J64)-1,4+((QUOTIENT(COLUMN(BZ$2)-69,3))*5)+MOD(COLUMN(BZ$2),3),1,1),"")</f>
        <v>0</v>
      </c>
      <c r="CA67">
        <f ca="1">IF($AN67="",OFFSET(Demand!$A$13,ROW(K64)-1,4+((QUOTIENT(COLUMN(CA$2)-69,3))*5)+MOD(COLUMN(CA$2),3),1,1),"")</f>
        <v>0</v>
      </c>
      <c r="CB67">
        <f ca="1">IF($AN67="",OFFSET(Demand!$A$13,ROW(L64)-1,4+((QUOTIENT(COLUMN(CB$2)-69,3))*5)+MOD(COLUMN(CB$2),3),1,1),"")</f>
        <v>0</v>
      </c>
      <c r="CC67">
        <f ca="1">IF($AN67="",OFFSET(Demand!$A$13,ROW(M64)-1,4+((QUOTIENT(COLUMN(CC$2)-69,3))*5)+MOD(COLUMN(CC$2),3),1,1),"")</f>
        <v>0</v>
      </c>
      <c r="CD67">
        <f ca="1">IF($AN67="",OFFSET(Demand!$A$13,ROW(N64)-1,4+((QUOTIENT(COLUMN(CD$2)-69,3))*5)+MOD(COLUMN(CD$2),3),1,1),"")</f>
        <v>0</v>
      </c>
      <c r="CE67">
        <f ca="1">IF($AN67="",OFFSET(Demand!$A$13,ROW(O64)-1,4+((QUOTIENT(COLUMN(CE$2)-69,3))*5)+MOD(COLUMN(CE$2),3),1,1),"")</f>
        <v>0</v>
      </c>
      <c r="CF67">
        <f ca="1">IF($AN67="",OFFSET(Demand!$A$13,ROW(P64)-1,4+((QUOTIENT(COLUMN(CF$2)-69,3))*5)+MOD(COLUMN(CF$2),3),1,1),"")</f>
        <v>0</v>
      </c>
      <c r="CG67">
        <f ca="1">IF($AN67="",OFFSET(Demand!$A$13,ROW(Q64)-1,4+((QUOTIENT(COLUMN(CG$2)-69,3))*5)+MOD(COLUMN(CG$2),3),1,1),"")</f>
        <v>0</v>
      </c>
      <c r="CH67">
        <f ca="1">IF($AN67="",OFFSET(Demand!$A$13,ROW(R64)-1,4+((QUOTIENT(COLUMN(CH$2)-69,3))*5)+MOD(COLUMN(CH$2),3),1,1),"")</f>
        <v>0</v>
      </c>
      <c r="CI67">
        <f ca="1">IF($AN67="",OFFSET(Demand!$A$13,ROW(S64)-1,4+((QUOTIENT(COLUMN(CI$2)-69,3))*5)+MOD(COLUMN(CI$2),3),1,1),"")</f>
        <v>0</v>
      </c>
      <c r="CJ67">
        <f ca="1">IF($AN67="",OFFSET(Demand!$A$13,ROW(T64)-1,4+((QUOTIENT(COLUMN(CJ$2)-69,3))*5)+MOD(COLUMN(CJ$2),3),1,1),"")</f>
        <v>0</v>
      </c>
      <c r="CK67">
        <f ca="1">IF($AN67="",OFFSET(Demand!$A$13,ROW(U64)-1,4+((QUOTIENT(COLUMN(CK$2)-69,3))*5)+MOD(COLUMN(CK$2),3),1,1),"")</f>
        <v>0</v>
      </c>
      <c r="CL67">
        <f ca="1">IF($AN67="",OFFSET(Demand!$A$13,ROW(V64)-1,4+((QUOTIENT(COLUMN(CL$2)-69,3))*5)+MOD(COLUMN(CL$2),3),1,1),"")</f>
        <v>0</v>
      </c>
      <c r="CM67">
        <f ca="1">IF($AN67="",OFFSET(Demand!$A$13,ROW(W64)-1,4+((QUOTIENT(COLUMN(CM$2)-69,3))*5)+MOD(COLUMN(CM$2),3),1,1),"")</f>
        <v>0</v>
      </c>
      <c r="CN67">
        <f ca="1">IF($AN67="",OFFSET(Demand!$A$13,ROW(X64)-1,4+((QUOTIENT(COLUMN(CN$2)-69,3))*5)+MOD(COLUMN(CN$2),3),1,1),"")</f>
        <v>0</v>
      </c>
      <c r="CO67">
        <f ca="1">IF($AN67="",OFFSET(Demand!$A$13,ROW(Y64)-1,4+((QUOTIENT(COLUMN(CO$2)-69,3))*5)+MOD(COLUMN(CO$2),3),1,1),"")</f>
        <v>0</v>
      </c>
      <c r="CP67">
        <f ca="1">IF($AN67="",OFFSET(Demand!$A$13,ROW(Z64)-1,4+((QUOTIENT(COLUMN(CP$2)-69,3))*5)+MOD(COLUMN(CP$2),3),1,1),"")</f>
        <v>0</v>
      </c>
      <c r="CQ67">
        <f ca="1">IF($AN67="",OFFSET(Demand!$A$13,ROW(AA64)-1,4+((QUOTIENT(COLUMN(CQ$2)-69,3))*5)+MOD(COLUMN(CQ$2),3),1,1),"")</f>
        <v>0</v>
      </c>
      <c r="CR67">
        <f ca="1">IF($AN67="",OFFSET(Demand!$A$13,ROW(AB64)-1,4+((QUOTIENT(COLUMN(CR$2)-69,3))*5)+MOD(COLUMN(CR$2),3),1,1),"")</f>
        <v>0</v>
      </c>
      <c r="CS67">
        <f ca="1">IF($AN67="",OFFSET(Demand!$A$13,ROW(AC64)-1,4+((QUOTIENT(COLUMN(CS$2)-69,3))*5)+MOD(COLUMN(CS$2),3),1,1),"")</f>
        <v>0</v>
      </c>
      <c r="CT67">
        <f ca="1">IF($AN67="",OFFSET(Demand!$A$13,ROW(AD64)-1,4+((QUOTIENT(COLUMN(CT$2)-69,3))*5)+MOD(COLUMN(CT$2),3),1,1),"")</f>
        <v>0</v>
      </c>
      <c r="CW67" s="5">
        <f ca="1">SUM(OFFSET(Demand!$H$43,ROW(A64)-1,(COLUMN(A64)-1)*5,1,1))*N$2</f>
        <v>0</v>
      </c>
      <c r="CX67" s="5">
        <f ca="1">SUM(OFFSET(Demand!$H$43,ROW(B64)-1,(COLUMN(B64)-1)*5,1,1))*O$2</f>
        <v>0</v>
      </c>
      <c r="CY67" s="5">
        <f ca="1">SUM(OFFSET(Demand!$H$43,ROW(C64)-1,(COLUMN(C64)-1)*5,1,1))*P$2</f>
        <v>0</v>
      </c>
      <c r="CZ67" s="5">
        <f ca="1">SUM(OFFSET(Demand!$H$43,ROW(D64)-1,(COLUMN(D64)-1)*5,1,1))*Q$2</f>
        <v>0</v>
      </c>
      <c r="DA67" s="5">
        <f ca="1">SUM(OFFSET(Demand!$H$43,ROW(E64)-1,(COLUMN(E64)-1)*5,1,1))*R$2</f>
        <v>0</v>
      </c>
      <c r="DB67" s="5">
        <f ca="1">SUM(OFFSET(Demand!$H$43,ROW(F64)-1,(COLUMN(F64)-1)*5,1,1))*S$2</f>
        <v>0</v>
      </c>
      <c r="DC67" s="5">
        <f ca="1">SUM(OFFSET(Demand!$H$43,ROW(G64)-1,(COLUMN(G64)-1)*5,1,1))*T$2</f>
        <v>0</v>
      </c>
      <c r="DD67" s="5">
        <f ca="1">SUM(OFFSET(Demand!$H$43,ROW(H64)-1,(COLUMN(H64)-1)*5,1,1))*U$2</f>
        <v>0</v>
      </c>
      <c r="DE67" s="5">
        <f ca="1">SUM(OFFSET(Demand!$H$43,ROW(I64)-1,(COLUMN(I64)-1)*5,1,1))*V$2</f>
        <v>0</v>
      </c>
      <c r="DF67" s="5">
        <f ca="1">SUM(OFFSET(Demand!$H$43,ROW(J64)-1,(COLUMN(J64)-1)*5,1,1))*W$2</f>
        <v>0</v>
      </c>
      <c r="DG67" s="5">
        <f ca="1">IF(OR(AN67&lt;&gt;"",AND('Demand adjustments for Covid'!$F$9="Yes",'Demand adjustments for Covid'!$F$20="Yes")),"",SUM(CW67:DF67))</f>
        <v>0</v>
      </c>
    </row>
    <row r="68" spans="1:111" x14ac:dyDescent="0.25">
      <c r="A68" s="5">
        <f t="shared" ca="1" si="34"/>
        <v>1</v>
      </c>
      <c r="B68" s="5">
        <f ca="1">COUNTBLANK(OFFSET(Demand!$I77,0,(COLUMN(A65)-1)*5,1,1))</f>
        <v>1</v>
      </c>
      <c r="C68" s="5">
        <f ca="1">COUNTBLANK(OFFSET(Demand!$I77,0,(COLUMN(B65)-1)*5,1,1))</f>
        <v>1</v>
      </c>
      <c r="D68" s="5">
        <f ca="1">COUNTBLANK(OFFSET(Demand!$I77,0,(COLUMN(C65)-1)*5,1,1))</f>
        <v>1</v>
      </c>
      <c r="E68" s="5">
        <f ca="1">COUNTBLANK(OFFSET(Demand!$I77,0,(COLUMN(D65)-1)*5,1,1))</f>
        <v>1</v>
      </c>
      <c r="F68" s="5">
        <f ca="1">COUNTBLANK(OFFSET(Demand!$I77,0,(COLUMN(E65)-1)*5,1,1))</f>
        <v>1</v>
      </c>
      <c r="G68" s="5">
        <f ca="1">COUNTBLANK(OFFSET(Demand!$I77,0,(COLUMN(F65)-1)*5,1,1))</f>
        <v>1</v>
      </c>
      <c r="H68" s="5">
        <f ca="1">COUNTBLANK(OFFSET(Demand!$I77,0,(COLUMN(G65)-1)*5,1,1))</f>
        <v>1</v>
      </c>
      <c r="I68" s="5">
        <f ca="1">COUNTBLANK(OFFSET(Demand!$I77,0,(COLUMN(H65)-1)*5,1,1))</f>
        <v>1</v>
      </c>
      <c r="J68" s="5">
        <f ca="1">COUNTBLANK(OFFSET(Demand!$I77,0,(COLUMN(I65)-1)*5,1,1))</f>
        <v>1</v>
      </c>
      <c r="K68" s="5">
        <f ca="1">COUNTBLANK(OFFSET(Demand!$I77,0,(COLUMN(J65)-1)*5,1,1))</f>
        <v>1</v>
      </c>
      <c r="N68" s="5">
        <f ca="1">SUM(OFFSET(Demand!$E77,0,(COLUMN(A65)-1)*5,1,3))*N$2</f>
        <v>0</v>
      </c>
      <c r="O68" s="5">
        <f ca="1">SUM(OFFSET(Demand!$E77,0,(COLUMN(B65)-1)*5,1,3))*O$2</f>
        <v>0</v>
      </c>
      <c r="P68" s="5">
        <f ca="1">SUM(OFFSET(Demand!$E77,0,(COLUMN(C65)-1)*5,1,3))*P$2</f>
        <v>0</v>
      </c>
      <c r="Q68" s="5">
        <f ca="1">SUM(OFFSET(Demand!$E77,0,(COLUMN(D65)-1)*5,1,3))*Q$2</f>
        <v>0</v>
      </c>
      <c r="R68" s="5">
        <f ca="1">SUM(OFFSET(Demand!$E77,0,(COLUMN(E65)-1)*5,1,3))*R$2</f>
        <v>0</v>
      </c>
      <c r="S68" s="5">
        <f ca="1">SUM(OFFSET(Demand!$E77,0,(COLUMN(F65)-1)*5,1,3))*S$2</f>
        <v>0</v>
      </c>
      <c r="T68" s="5">
        <f ca="1">SUM(OFFSET(Demand!$E77,0,(COLUMN(G65)-1)*5,1,3))*T$2</f>
        <v>0</v>
      </c>
      <c r="U68" s="5">
        <f ca="1">SUM(OFFSET(Demand!$E77,0,(COLUMN(H65)-1)*5,1,3))*U$2</f>
        <v>0</v>
      </c>
      <c r="V68" s="5">
        <f ca="1">SUM(OFFSET(Demand!$E77,0,(COLUMN(I65)-1)*5,1,3))*V$2</f>
        <v>0</v>
      </c>
      <c r="W68" s="5">
        <f ca="1">SUM(OFFSET(Demand!$E77,0,(COLUMN(J65)-1)*5,1,3))*W$2</f>
        <v>0</v>
      </c>
      <c r="X68" s="5">
        <f t="shared" ref="X68:X131" ca="1" si="37">IF(AN68="",SUM(OFFSET(N68,0,0,1,Num_Modalities)),"")</f>
        <v>0</v>
      </c>
      <c r="Y68">
        <f t="shared" ref="Y68:Y131" ca="1" si="38">SUM(OFFSET(N68,0,0,1,Num_Modalities))</f>
        <v>0</v>
      </c>
      <c r="Z68" s="5">
        <f ca="1">SUM(OFFSET(Demand!$H77,0,(COLUMN(A65)-1)*5,1,1))*N$2</f>
        <v>0</v>
      </c>
      <c r="AA68" s="5">
        <f ca="1">SUM(OFFSET(Demand!$H77,0,(COLUMN(B65)-1)*5,1,1))*O$2</f>
        <v>0</v>
      </c>
      <c r="AB68" s="5">
        <f ca="1">SUM(OFFSET(Demand!$H77,0,(COLUMN(C65)-1)*5,1,1))*P$2</f>
        <v>0</v>
      </c>
      <c r="AC68" s="5">
        <f ca="1">SUM(OFFSET(Demand!$H77,0,(COLUMN(D65)-1)*5,1,1))*Q$2</f>
        <v>0</v>
      </c>
      <c r="AD68" s="5">
        <f ca="1">SUM(OFFSET(Demand!$H77,0,(COLUMN(E65)-1)*5,1,1))*R$2</f>
        <v>0</v>
      </c>
      <c r="AE68" s="5">
        <f ca="1">SUM(OFFSET(Demand!$H77,0,(COLUMN(F65)-1)*5,1,1))*S$2</f>
        <v>0</v>
      </c>
      <c r="AF68" s="5">
        <f ca="1">SUM(OFFSET(Demand!$H77,0,(COLUMN(G65)-1)*5,1,1))*T$2</f>
        <v>0</v>
      </c>
      <c r="AG68" s="5">
        <f ca="1">SUM(OFFSET(Demand!$H77,0,(COLUMN(H65)-1)*5,1,1))*U$2</f>
        <v>0</v>
      </c>
      <c r="AH68" s="5">
        <f ca="1">SUM(OFFSET(Demand!$H77,0,(COLUMN(I65)-1)*5,1,1))*V$2</f>
        <v>0</v>
      </c>
      <c r="AI68" s="5">
        <f ca="1">SUM(OFFSET(Demand!$H77,0,(COLUMN(J65)-1)*5,1,1))*W$2</f>
        <v>0</v>
      </c>
      <c r="AJ68" s="5">
        <f t="shared" ref="AJ68:AJ131" ca="1" si="39">SUM(OFFSET(Z68,0,0,1,Num_Modalities))</f>
        <v>0</v>
      </c>
      <c r="AL68" s="5">
        <f t="shared" ca="1" si="8"/>
        <v>0</v>
      </c>
      <c r="AM68" s="5">
        <f t="shared" ca="1" si="9"/>
        <v>0</v>
      </c>
      <c r="AN68" s="5" t="str">
        <f>IF(Demand!BE77="Yes","Yes","")</f>
        <v/>
      </c>
      <c r="AP68" s="36" t="str">
        <f ca="1">Demand!B77</f>
        <v xml:space="preserve"> </v>
      </c>
      <c r="AQ68" t="str">
        <f ca="1">IF(TEXT(Demand!D77,"MMM")&lt;&gt;TEXT(Demand!D76,"MMM"),TEXT(Demand!D77,"MMM"),"")</f>
        <v/>
      </c>
      <c r="AT68" s="5">
        <f t="shared" ca="1" si="12"/>
        <v>0</v>
      </c>
      <c r="BQ68">
        <f ca="1">IF($AN68="",OFFSET(Demand!$A$13,ROW(A65)-1,4+((QUOTIENT(COLUMN(BQ$2)-69,3))*5)+MOD(COLUMN(BQ$2),3),1,1),"")</f>
        <v>0</v>
      </c>
      <c r="BR68">
        <f ca="1">IF($AN68="",OFFSET(Demand!$A$13,ROW(B65)-1,4+((QUOTIENT(COLUMN(BR$2)-69,3))*5)+MOD(COLUMN(BR$2),3),1,1),"")</f>
        <v>0</v>
      </c>
      <c r="BS68">
        <f ca="1">IF($AN68="",OFFSET(Demand!$A$13,ROW(C65)-1,4+((QUOTIENT(COLUMN(BS$2)-69,3))*5)+MOD(COLUMN(BS$2),3),1,1),"")</f>
        <v>0</v>
      </c>
      <c r="BT68">
        <f ca="1">IF($AN68="",OFFSET(Demand!$A$13,ROW(D65)-1,4+((QUOTIENT(COLUMN(BT$2)-69,3))*5)+MOD(COLUMN(BT$2),3),1,1),"")</f>
        <v>0</v>
      </c>
      <c r="BU68">
        <f ca="1">IF($AN68="",OFFSET(Demand!$A$13,ROW(E65)-1,4+((QUOTIENT(COLUMN(BU$2)-69,3))*5)+MOD(COLUMN(BU$2),3),1,1),"")</f>
        <v>0</v>
      </c>
      <c r="BV68">
        <f ca="1">IF($AN68="",OFFSET(Demand!$A$13,ROW(F65)-1,4+((QUOTIENT(COLUMN(BV$2)-69,3))*5)+MOD(COLUMN(BV$2),3),1,1),"")</f>
        <v>0</v>
      </c>
      <c r="BW68">
        <f ca="1">IF($AN68="",OFFSET(Demand!$A$13,ROW(G65)-1,4+((QUOTIENT(COLUMN(BW$2)-69,3))*5)+MOD(COLUMN(BW$2),3),1,1),"")</f>
        <v>0</v>
      </c>
      <c r="BX68">
        <f ca="1">IF($AN68="",OFFSET(Demand!$A$13,ROW(H65)-1,4+((QUOTIENT(COLUMN(BX$2)-69,3))*5)+MOD(COLUMN(BX$2),3),1,1),"")</f>
        <v>0</v>
      </c>
      <c r="BY68">
        <f ca="1">IF($AN68="",OFFSET(Demand!$A$13,ROW(I65)-1,4+((QUOTIENT(COLUMN(BY$2)-69,3))*5)+MOD(COLUMN(BY$2),3),1,1),"")</f>
        <v>0</v>
      </c>
      <c r="BZ68">
        <f ca="1">IF($AN68="",OFFSET(Demand!$A$13,ROW(J65)-1,4+((QUOTIENT(COLUMN(BZ$2)-69,3))*5)+MOD(COLUMN(BZ$2),3),1,1),"")</f>
        <v>0</v>
      </c>
      <c r="CA68">
        <f ca="1">IF($AN68="",OFFSET(Demand!$A$13,ROW(K65)-1,4+((QUOTIENT(COLUMN(CA$2)-69,3))*5)+MOD(COLUMN(CA$2),3),1,1),"")</f>
        <v>0</v>
      </c>
      <c r="CB68">
        <f ca="1">IF($AN68="",OFFSET(Demand!$A$13,ROW(L65)-1,4+((QUOTIENT(COLUMN(CB$2)-69,3))*5)+MOD(COLUMN(CB$2),3),1,1),"")</f>
        <v>0</v>
      </c>
      <c r="CC68">
        <f ca="1">IF($AN68="",OFFSET(Demand!$A$13,ROW(M65)-1,4+((QUOTIENT(COLUMN(CC$2)-69,3))*5)+MOD(COLUMN(CC$2),3),1,1),"")</f>
        <v>0</v>
      </c>
      <c r="CD68">
        <f ca="1">IF($AN68="",OFFSET(Demand!$A$13,ROW(N65)-1,4+((QUOTIENT(COLUMN(CD$2)-69,3))*5)+MOD(COLUMN(CD$2),3),1,1),"")</f>
        <v>0</v>
      </c>
      <c r="CE68">
        <f ca="1">IF($AN68="",OFFSET(Demand!$A$13,ROW(O65)-1,4+((QUOTIENT(COLUMN(CE$2)-69,3))*5)+MOD(COLUMN(CE$2),3),1,1),"")</f>
        <v>0</v>
      </c>
      <c r="CF68">
        <f ca="1">IF($AN68="",OFFSET(Demand!$A$13,ROW(P65)-1,4+((QUOTIENT(COLUMN(CF$2)-69,3))*5)+MOD(COLUMN(CF$2),3),1,1),"")</f>
        <v>0</v>
      </c>
      <c r="CG68">
        <f ca="1">IF($AN68="",OFFSET(Demand!$A$13,ROW(Q65)-1,4+((QUOTIENT(COLUMN(CG$2)-69,3))*5)+MOD(COLUMN(CG$2),3),1,1),"")</f>
        <v>0</v>
      </c>
      <c r="CH68">
        <f ca="1">IF($AN68="",OFFSET(Demand!$A$13,ROW(R65)-1,4+((QUOTIENT(COLUMN(CH$2)-69,3))*5)+MOD(COLUMN(CH$2),3),1,1),"")</f>
        <v>0</v>
      </c>
      <c r="CI68">
        <f ca="1">IF($AN68="",OFFSET(Demand!$A$13,ROW(S65)-1,4+((QUOTIENT(COLUMN(CI$2)-69,3))*5)+MOD(COLUMN(CI$2),3),1,1),"")</f>
        <v>0</v>
      </c>
      <c r="CJ68">
        <f ca="1">IF($AN68="",OFFSET(Demand!$A$13,ROW(T65)-1,4+((QUOTIENT(COLUMN(CJ$2)-69,3))*5)+MOD(COLUMN(CJ$2),3),1,1),"")</f>
        <v>0</v>
      </c>
      <c r="CK68">
        <f ca="1">IF($AN68="",OFFSET(Demand!$A$13,ROW(U65)-1,4+((QUOTIENT(COLUMN(CK$2)-69,3))*5)+MOD(COLUMN(CK$2),3),1,1),"")</f>
        <v>0</v>
      </c>
      <c r="CL68">
        <f ca="1">IF($AN68="",OFFSET(Demand!$A$13,ROW(V65)-1,4+((QUOTIENT(COLUMN(CL$2)-69,3))*5)+MOD(COLUMN(CL$2),3),1,1),"")</f>
        <v>0</v>
      </c>
      <c r="CM68">
        <f ca="1">IF($AN68="",OFFSET(Demand!$A$13,ROW(W65)-1,4+((QUOTIENT(COLUMN(CM$2)-69,3))*5)+MOD(COLUMN(CM$2),3),1,1),"")</f>
        <v>0</v>
      </c>
      <c r="CN68">
        <f ca="1">IF($AN68="",OFFSET(Demand!$A$13,ROW(X65)-1,4+((QUOTIENT(COLUMN(CN$2)-69,3))*5)+MOD(COLUMN(CN$2),3),1,1),"")</f>
        <v>0</v>
      </c>
      <c r="CO68">
        <f ca="1">IF($AN68="",OFFSET(Demand!$A$13,ROW(Y65)-1,4+((QUOTIENT(COLUMN(CO$2)-69,3))*5)+MOD(COLUMN(CO$2),3),1,1),"")</f>
        <v>0</v>
      </c>
      <c r="CP68">
        <f ca="1">IF($AN68="",OFFSET(Demand!$A$13,ROW(Z65)-1,4+((QUOTIENT(COLUMN(CP$2)-69,3))*5)+MOD(COLUMN(CP$2),3),1,1),"")</f>
        <v>0</v>
      </c>
      <c r="CQ68">
        <f ca="1">IF($AN68="",OFFSET(Demand!$A$13,ROW(AA65)-1,4+((QUOTIENT(COLUMN(CQ$2)-69,3))*5)+MOD(COLUMN(CQ$2),3),1,1),"")</f>
        <v>0</v>
      </c>
      <c r="CR68">
        <f ca="1">IF($AN68="",OFFSET(Demand!$A$13,ROW(AB65)-1,4+((QUOTIENT(COLUMN(CR$2)-69,3))*5)+MOD(COLUMN(CR$2),3),1,1),"")</f>
        <v>0</v>
      </c>
      <c r="CS68">
        <f ca="1">IF($AN68="",OFFSET(Demand!$A$13,ROW(AC65)-1,4+((QUOTIENT(COLUMN(CS$2)-69,3))*5)+MOD(COLUMN(CS$2),3),1,1),"")</f>
        <v>0</v>
      </c>
      <c r="CT68">
        <f ca="1">IF($AN68="",OFFSET(Demand!$A$13,ROW(AD65)-1,4+((QUOTIENT(COLUMN(CT$2)-69,3))*5)+MOD(COLUMN(CT$2),3),1,1),"")</f>
        <v>0</v>
      </c>
      <c r="CW68" s="5">
        <f ca="1">SUM(OFFSET(Demand!$H$43,ROW(A65)-1,(COLUMN(A65)-1)*5,1,1))*N$2</f>
        <v>0</v>
      </c>
      <c r="CX68" s="5">
        <f ca="1">SUM(OFFSET(Demand!$H$43,ROW(B65)-1,(COLUMN(B65)-1)*5,1,1))*O$2</f>
        <v>0</v>
      </c>
      <c r="CY68" s="5">
        <f ca="1">SUM(OFFSET(Demand!$H$43,ROW(C65)-1,(COLUMN(C65)-1)*5,1,1))*P$2</f>
        <v>0</v>
      </c>
      <c r="CZ68" s="5">
        <f ca="1">SUM(OFFSET(Demand!$H$43,ROW(D65)-1,(COLUMN(D65)-1)*5,1,1))*Q$2</f>
        <v>0</v>
      </c>
      <c r="DA68" s="5">
        <f ca="1">SUM(OFFSET(Demand!$H$43,ROW(E65)-1,(COLUMN(E65)-1)*5,1,1))*R$2</f>
        <v>0</v>
      </c>
      <c r="DB68" s="5">
        <f ca="1">SUM(OFFSET(Demand!$H$43,ROW(F65)-1,(COLUMN(F65)-1)*5,1,1))*S$2</f>
        <v>0</v>
      </c>
      <c r="DC68" s="5">
        <f ca="1">SUM(OFFSET(Demand!$H$43,ROW(G65)-1,(COLUMN(G65)-1)*5,1,1))*T$2</f>
        <v>0</v>
      </c>
      <c r="DD68" s="5">
        <f ca="1">SUM(OFFSET(Demand!$H$43,ROW(H65)-1,(COLUMN(H65)-1)*5,1,1))*U$2</f>
        <v>0</v>
      </c>
      <c r="DE68" s="5">
        <f ca="1">SUM(OFFSET(Demand!$H$43,ROW(I65)-1,(COLUMN(I65)-1)*5,1,1))*V$2</f>
        <v>0</v>
      </c>
      <c r="DF68" s="5">
        <f ca="1">SUM(OFFSET(Demand!$H$43,ROW(J65)-1,(COLUMN(J65)-1)*5,1,1))*W$2</f>
        <v>0</v>
      </c>
      <c r="DG68" s="5">
        <f ca="1">IF(OR(AN68&lt;&gt;"",AND('Demand adjustments for Covid'!$F$9="Yes",'Demand adjustments for Covid'!$F$20="Yes")),"",SUM(CW68:DF68))</f>
        <v>0</v>
      </c>
    </row>
    <row r="69" spans="1:111" x14ac:dyDescent="0.25">
      <c r="A69" s="5">
        <f t="shared" ca="1" si="34"/>
        <v>1</v>
      </c>
      <c r="B69" s="5">
        <f ca="1">COUNTBLANK(OFFSET(Demand!$I78,0,(COLUMN(A66)-1)*5,1,1))</f>
        <v>1</v>
      </c>
      <c r="C69" s="5">
        <f ca="1">COUNTBLANK(OFFSET(Demand!$I78,0,(COLUMN(B66)-1)*5,1,1))</f>
        <v>1</v>
      </c>
      <c r="D69" s="5">
        <f ca="1">COUNTBLANK(OFFSET(Demand!$I78,0,(COLUMN(C66)-1)*5,1,1))</f>
        <v>1</v>
      </c>
      <c r="E69" s="5">
        <f ca="1">COUNTBLANK(OFFSET(Demand!$I78,0,(COLUMN(D66)-1)*5,1,1))</f>
        <v>1</v>
      </c>
      <c r="F69" s="5">
        <f ca="1">COUNTBLANK(OFFSET(Demand!$I78,0,(COLUMN(E66)-1)*5,1,1))</f>
        <v>1</v>
      </c>
      <c r="G69" s="5">
        <f ca="1">COUNTBLANK(OFFSET(Demand!$I78,0,(COLUMN(F66)-1)*5,1,1))</f>
        <v>1</v>
      </c>
      <c r="H69" s="5">
        <f ca="1">COUNTBLANK(OFFSET(Demand!$I78,0,(COLUMN(G66)-1)*5,1,1))</f>
        <v>1</v>
      </c>
      <c r="I69" s="5">
        <f ca="1">COUNTBLANK(OFFSET(Demand!$I78,0,(COLUMN(H66)-1)*5,1,1))</f>
        <v>1</v>
      </c>
      <c r="J69" s="5">
        <f ca="1">COUNTBLANK(OFFSET(Demand!$I78,0,(COLUMN(I66)-1)*5,1,1))</f>
        <v>1</v>
      </c>
      <c r="K69" s="5">
        <f ca="1">COUNTBLANK(OFFSET(Demand!$I78,0,(COLUMN(J66)-1)*5,1,1))</f>
        <v>1</v>
      </c>
      <c r="N69" s="5">
        <f ca="1">SUM(OFFSET(Demand!$E78,0,(COLUMN(A66)-1)*5,1,3))*N$2</f>
        <v>0</v>
      </c>
      <c r="O69" s="5">
        <f ca="1">SUM(OFFSET(Demand!$E78,0,(COLUMN(B66)-1)*5,1,3))*O$2</f>
        <v>0</v>
      </c>
      <c r="P69" s="5">
        <f ca="1">SUM(OFFSET(Demand!$E78,0,(COLUMN(C66)-1)*5,1,3))*P$2</f>
        <v>0</v>
      </c>
      <c r="Q69" s="5">
        <f ca="1">SUM(OFFSET(Demand!$E78,0,(COLUMN(D66)-1)*5,1,3))*Q$2</f>
        <v>0</v>
      </c>
      <c r="R69" s="5">
        <f ca="1">SUM(OFFSET(Demand!$E78,0,(COLUMN(E66)-1)*5,1,3))*R$2</f>
        <v>0</v>
      </c>
      <c r="S69" s="5">
        <f ca="1">SUM(OFFSET(Demand!$E78,0,(COLUMN(F66)-1)*5,1,3))*S$2</f>
        <v>0</v>
      </c>
      <c r="T69" s="5">
        <f ca="1">SUM(OFFSET(Demand!$E78,0,(COLUMN(G66)-1)*5,1,3))*T$2</f>
        <v>0</v>
      </c>
      <c r="U69" s="5">
        <f ca="1">SUM(OFFSET(Demand!$E78,0,(COLUMN(H66)-1)*5,1,3))*U$2</f>
        <v>0</v>
      </c>
      <c r="V69" s="5">
        <f ca="1">SUM(OFFSET(Demand!$E78,0,(COLUMN(I66)-1)*5,1,3))*V$2</f>
        <v>0</v>
      </c>
      <c r="W69" s="5">
        <f ca="1">SUM(OFFSET(Demand!$E78,0,(COLUMN(J66)-1)*5,1,3))*W$2</f>
        <v>0</v>
      </c>
      <c r="X69" s="5">
        <f t="shared" ca="1" si="37"/>
        <v>0</v>
      </c>
      <c r="Y69">
        <f t="shared" ca="1" si="38"/>
        <v>0</v>
      </c>
      <c r="Z69" s="5">
        <f ca="1">SUM(OFFSET(Demand!$H78,0,(COLUMN(A66)-1)*5,1,1))*N$2</f>
        <v>0</v>
      </c>
      <c r="AA69" s="5">
        <f ca="1">SUM(OFFSET(Demand!$H78,0,(COLUMN(B66)-1)*5,1,1))*O$2</f>
        <v>0</v>
      </c>
      <c r="AB69" s="5">
        <f ca="1">SUM(OFFSET(Demand!$H78,0,(COLUMN(C66)-1)*5,1,1))*P$2</f>
        <v>0</v>
      </c>
      <c r="AC69" s="5">
        <f ca="1">SUM(OFFSET(Demand!$H78,0,(COLUMN(D66)-1)*5,1,1))*Q$2</f>
        <v>0</v>
      </c>
      <c r="AD69" s="5">
        <f ca="1">SUM(OFFSET(Demand!$H78,0,(COLUMN(E66)-1)*5,1,1))*R$2</f>
        <v>0</v>
      </c>
      <c r="AE69" s="5">
        <f ca="1">SUM(OFFSET(Demand!$H78,0,(COLUMN(F66)-1)*5,1,1))*S$2</f>
        <v>0</v>
      </c>
      <c r="AF69" s="5">
        <f ca="1">SUM(OFFSET(Demand!$H78,0,(COLUMN(G66)-1)*5,1,1))*T$2</f>
        <v>0</v>
      </c>
      <c r="AG69" s="5">
        <f ca="1">SUM(OFFSET(Demand!$H78,0,(COLUMN(H66)-1)*5,1,1))*U$2</f>
        <v>0</v>
      </c>
      <c r="AH69" s="5">
        <f ca="1">SUM(OFFSET(Demand!$H78,0,(COLUMN(I66)-1)*5,1,1))*V$2</f>
        <v>0</v>
      </c>
      <c r="AI69" s="5">
        <f ca="1">SUM(OFFSET(Demand!$H78,0,(COLUMN(J66)-1)*5,1,1))*W$2</f>
        <v>0</v>
      </c>
      <c r="AJ69" s="5">
        <f t="shared" ca="1" si="39"/>
        <v>0</v>
      </c>
      <c r="AL69" s="5">
        <f t="shared" ref="AL69:AL132" ca="1" si="40">X69</f>
        <v>0</v>
      </c>
      <c r="AM69" s="5">
        <f t="shared" ref="AM69:AM132" ca="1" si="41">IF(AN69&lt;&gt;"","",AJ69)</f>
        <v>0</v>
      </c>
      <c r="AN69" s="5" t="str">
        <f>IF(Demand!BE78="Yes","Yes","")</f>
        <v/>
      </c>
      <c r="AP69" s="36" t="str">
        <f ca="1">Demand!B78</f>
        <v xml:space="preserve"> </v>
      </c>
      <c r="AQ69" t="str">
        <f ca="1">IF(TEXT(Demand!D78,"MMM")&lt;&gt;TEXT(Demand!D77,"MMM"),TEXT(Demand!D78,"MMM"),"")</f>
        <v/>
      </c>
      <c r="AT69" s="5">
        <f t="shared" ca="1" si="12"/>
        <v>0</v>
      </c>
      <c r="BQ69">
        <f ca="1">IF($AN69="",OFFSET(Demand!$A$13,ROW(A66)-1,4+((QUOTIENT(COLUMN(BQ$2)-69,3))*5)+MOD(COLUMN(BQ$2),3),1,1),"")</f>
        <v>0</v>
      </c>
      <c r="BR69">
        <f ca="1">IF($AN69="",OFFSET(Demand!$A$13,ROW(B66)-1,4+((QUOTIENT(COLUMN(BR$2)-69,3))*5)+MOD(COLUMN(BR$2),3),1,1),"")</f>
        <v>0</v>
      </c>
      <c r="BS69">
        <f ca="1">IF($AN69="",OFFSET(Demand!$A$13,ROW(C66)-1,4+((QUOTIENT(COLUMN(BS$2)-69,3))*5)+MOD(COLUMN(BS$2),3),1,1),"")</f>
        <v>0</v>
      </c>
      <c r="BT69">
        <f ca="1">IF($AN69="",OFFSET(Demand!$A$13,ROW(D66)-1,4+((QUOTIENT(COLUMN(BT$2)-69,3))*5)+MOD(COLUMN(BT$2),3),1,1),"")</f>
        <v>0</v>
      </c>
      <c r="BU69">
        <f ca="1">IF($AN69="",OFFSET(Demand!$A$13,ROW(E66)-1,4+((QUOTIENT(COLUMN(BU$2)-69,3))*5)+MOD(COLUMN(BU$2),3),1,1),"")</f>
        <v>0</v>
      </c>
      <c r="BV69">
        <f ca="1">IF($AN69="",OFFSET(Demand!$A$13,ROW(F66)-1,4+((QUOTIENT(COLUMN(BV$2)-69,3))*5)+MOD(COLUMN(BV$2),3),1,1),"")</f>
        <v>0</v>
      </c>
      <c r="BW69">
        <f ca="1">IF($AN69="",OFFSET(Demand!$A$13,ROW(G66)-1,4+((QUOTIENT(COLUMN(BW$2)-69,3))*5)+MOD(COLUMN(BW$2),3),1,1),"")</f>
        <v>0</v>
      </c>
      <c r="BX69">
        <f ca="1">IF($AN69="",OFFSET(Demand!$A$13,ROW(H66)-1,4+((QUOTIENT(COLUMN(BX$2)-69,3))*5)+MOD(COLUMN(BX$2),3),1,1),"")</f>
        <v>0</v>
      </c>
      <c r="BY69">
        <f ca="1">IF($AN69="",OFFSET(Demand!$A$13,ROW(I66)-1,4+((QUOTIENT(COLUMN(BY$2)-69,3))*5)+MOD(COLUMN(BY$2),3),1,1),"")</f>
        <v>0</v>
      </c>
      <c r="BZ69">
        <f ca="1">IF($AN69="",OFFSET(Demand!$A$13,ROW(J66)-1,4+((QUOTIENT(COLUMN(BZ$2)-69,3))*5)+MOD(COLUMN(BZ$2),3),1,1),"")</f>
        <v>0</v>
      </c>
      <c r="CA69">
        <f ca="1">IF($AN69="",OFFSET(Demand!$A$13,ROW(K66)-1,4+((QUOTIENT(COLUMN(CA$2)-69,3))*5)+MOD(COLUMN(CA$2),3),1,1),"")</f>
        <v>0</v>
      </c>
      <c r="CB69">
        <f ca="1">IF($AN69="",OFFSET(Demand!$A$13,ROW(L66)-1,4+((QUOTIENT(COLUMN(CB$2)-69,3))*5)+MOD(COLUMN(CB$2),3),1,1),"")</f>
        <v>0</v>
      </c>
      <c r="CC69">
        <f ca="1">IF($AN69="",OFFSET(Demand!$A$13,ROW(M66)-1,4+((QUOTIENT(COLUMN(CC$2)-69,3))*5)+MOD(COLUMN(CC$2),3),1,1),"")</f>
        <v>0</v>
      </c>
      <c r="CD69">
        <f ca="1">IF($AN69="",OFFSET(Demand!$A$13,ROW(N66)-1,4+((QUOTIENT(COLUMN(CD$2)-69,3))*5)+MOD(COLUMN(CD$2),3),1,1),"")</f>
        <v>0</v>
      </c>
      <c r="CE69">
        <f ca="1">IF($AN69="",OFFSET(Demand!$A$13,ROW(O66)-1,4+((QUOTIENT(COLUMN(CE$2)-69,3))*5)+MOD(COLUMN(CE$2),3),1,1),"")</f>
        <v>0</v>
      </c>
      <c r="CF69">
        <f ca="1">IF($AN69="",OFFSET(Demand!$A$13,ROW(P66)-1,4+((QUOTIENT(COLUMN(CF$2)-69,3))*5)+MOD(COLUMN(CF$2),3),1,1),"")</f>
        <v>0</v>
      </c>
      <c r="CG69">
        <f ca="1">IF($AN69="",OFFSET(Demand!$A$13,ROW(Q66)-1,4+((QUOTIENT(COLUMN(CG$2)-69,3))*5)+MOD(COLUMN(CG$2),3),1,1),"")</f>
        <v>0</v>
      </c>
      <c r="CH69">
        <f ca="1">IF($AN69="",OFFSET(Demand!$A$13,ROW(R66)-1,4+((QUOTIENT(COLUMN(CH$2)-69,3))*5)+MOD(COLUMN(CH$2),3),1,1),"")</f>
        <v>0</v>
      </c>
      <c r="CI69">
        <f ca="1">IF($AN69="",OFFSET(Demand!$A$13,ROW(S66)-1,4+((QUOTIENT(COLUMN(CI$2)-69,3))*5)+MOD(COLUMN(CI$2),3),1,1),"")</f>
        <v>0</v>
      </c>
      <c r="CJ69">
        <f ca="1">IF($AN69="",OFFSET(Demand!$A$13,ROW(T66)-1,4+((QUOTIENT(COLUMN(CJ$2)-69,3))*5)+MOD(COLUMN(CJ$2),3),1,1),"")</f>
        <v>0</v>
      </c>
      <c r="CK69">
        <f ca="1">IF($AN69="",OFFSET(Demand!$A$13,ROW(U66)-1,4+((QUOTIENT(COLUMN(CK$2)-69,3))*5)+MOD(COLUMN(CK$2),3),1,1),"")</f>
        <v>0</v>
      </c>
      <c r="CL69">
        <f ca="1">IF($AN69="",OFFSET(Demand!$A$13,ROW(V66)-1,4+((QUOTIENT(COLUMN(CL$2)-69,3))*5)+MOD(COLUMN(CL$2),3),1,1),"")</f>
        <v>0</v>
      </c>
      <c r="CM69">
        <f ca="1">IF($AN69="",OFFSET(Demand!$A$13,ROW(W66)-1,4+((QUOTIENT(COLUMN(CM$2)-69,3))*5)+MOD(COLUMN(CM$2),3),1,1),"")</f>
        <v>0</v>
      </c>
      <c r="CN69">
        <f ca="1">IF($AN69="",OFFSET(Demand!$A$13,ROW(X66)-1,4+((QUOTIENT(COLUMN(CN$2)-69,3))*5)+MOD(COLUMN(CN$2),3),1,1),"")</f>
        <v>0</v>
      </c>
      <c r="CO69">
        <f ca="1">IF($AN69="",OFFSET(Demand!$A$13,ROW(Y66)-1,4+((QUOTIENT(COLUMN(CO$2)-69,3))*5)+MOD(COLUMN(CO$2),3),1,1),"")</f>
        <v>0</v>
      </c>
      <c r="CP69">
        <f ca="1">IF($AN69="",OFFSET(Demand!$A$13,ROW(Z66)-1,4+((QUOTIENT(COLUMN(CP$2)-69,3))*5)+MOD(COLUMN(CP$2),3),1,1),"")</f>
        <v>0</v>
      </c>
      <c r="CQ69">
        <f ca="1">IF($AN69="",OFFSET(Demand!$A$13,ROW(AA66)-1,4+((QUOTIENT(COLUMN(CQ$2)-69,3))*5)+MOD(COLUMN(CQ$2),3),1,1),"")</f>
        <v>0</v>
      </c>
      <c r="CR69">
        <f ca="1">IF($AN69="",OFFSET(Demand!$A$13,ROW(AB66)-1,4+((QUOTIENT(COLUMN(CR$2)-69,3))*5)+MOD(COLUMN(CR$2),3),1,1),"")</f>
        <v>0</v>
      </c>
      <c r="CS69">
        <f ca="1">IF($AN69="",OFFSET(Demand!$A$13,ROW(AC66)-1,4+((QUOTIENT(COLUMN(CS$2)-69,3))*5)+MOD(COLUMN(CS$2),3),1,1),"")</f>
        <v>0</v>
      </c>
      <c r="CT69">
        <f ca="1">IF($AN69="",OFFSET(Demand!$A$13,ROW(AD66)-1,4+((QUOTIENT(COLUMN(CT$2)-69,3))*5)+MOD(COLUMN(CT$2),3),1,1),"")</f>
        <v>0</v>
      </c>
      <c r="CW69" s="5">
        <f ca="1">SUM(OFFSET(Demand!$H$43,ROW(A66)-1,(COLUMN(A66)-1)*5,1,1))*N$2</f>
        <v>0</v>
      </c>
      <c r="CX69" s="5">
        <f ca="1">SUM(OFFSET(Demand!$H$43,ROW(B66)-1,(COLUMN(B66)-1)*5,1,1))*O$2</f>
        <v>0</v>
      </c>
      <c r="CY69" s="5">
        <f ca="1">SUM(OFFSET(Demand!$H$43,ROW(C66)-1,(COLUMN(C66)-1)*5,1,1))*P$2</f>
        <v>0</v>
      </c>
      <c r="CZ69" s="5">
        <f ca="1">SUM(OFFSET(Demand!$H$43,ROW(D66)-1,(COLUMN(D66)-1)*5,1,1))*Q$2</f>
        <v>0</v>
      </c>
      <c r="DA69" s="5">
        <f ca="1">SUM(OFFSET(Demand!$H$43,ROW(E66)-1,(COLUMN(E66)-1)*5,1,1))*R$2</f>
        <v>0</v>
      </c>
      <c r="DB69" s="5">
        <f ca="1">SUM(OFFSET(Demand!$H$43,ROW(F66)-1,(COLUMN(F66)-1)*5,1,1))*S$2</f>
        <v>0</v>
      </c>
      <c r="DC69" s="5">
        <f ca="1">SUM(OFFSET(Demand!$H$43,ROW(G66)-1,(COLUMN(G66)-1)*5,1,1))*T$2</f>
        <v>0</v>
      </c>
      <c r="DD69" s="5">
        <f ca="1">SUM(OFFSET(Demand!$H$43,ROW(H66)-1,(COLUMN(H66)-1)*5,1,1))*U$2</f>
        <v>0</v>
      </c>
      <c r="DE69" s="5">
        <f ca="1">SUM(OFFSET(Demand!$H$43,ROW(I66)-1,(COLUMN(I66)-1)*5,1,1))*V$2</f>
        <v>0</v>
      </c>
      <c r="DF69" s="5">
        <f ca="1">SUM(OFFSET(Demand!$H$43,ROW(J66)-1,(COLUMN(J66)-1)*5,1,1))*W$2</f>
        <v>0</v>
      </c>
      <c r="DG69" s="5">
        <f ca="1">IF(OR(AN69&lt;&gt;"",AND('Demand adjustments for Covid'!$F$9="Yes",'Demand adjustments for Covid'!$F$20="Yes")),"",SUM(CW69:DF69))</f>
        <v>0</v>
      </c>
    </row>
    <row r="70" spans="1:111" x14ac:dyDescent="0.25">
      <c r="A70" s="5">
        <f t="shared" ca="1" si="34"/>
        <v>1</v>
      </c>
      <c r="B70" s="5">
        <f ca="1">COUNTBLANK(OFFSET(Demand!$I79,0,(COLUMN(A67)-1)*5,1,1))</f>
        <v>1</v>
      </c>
      <c r="C70" s="5">
        <f ca="1">COUNTBLANK(OFFSET(Demand!$I79,0,(COLUMN(B67)-1)*5,1,1))</f>
        <v>1</v>
      </c>
      <c r="D70" s="5">
        <f ca="1">COUNTBLANK(OFFSET(Demand!$I79,0,(COLUMN(C67)-1)*5,1,1))</f>
        <v>1</v>
      </c>
      <c r="E70" s="5">
        <f ca="1">COUNTBLANK(OFFSET(Demand!$I79,0,(COLUMN(D67)-1)*5,1,1))</f>
        <v>1</v>
      </c>
      <c r="F70" s="5">
        <f ca="1">COUNTBLANK(OFFSET(Demand!$I79,0,(COLUMN(E67)-1)*5,1,1))</f>
        <v>1</v>
      </c>
      <c r="G70" s="5">
        <f ca="1">COUNTBLANK(OFFSET(Demand!$I79,0,(COLUMN(F67)-1)*5,1,1))</f>
        <v>1</v>
      </c>
      <c r="H70" s="5">
        <f ca="1">COUNTBLANK(OFFSET(Demand!$I79,0,(COLUMN(G67)-1)*5,1,1))</f>
        <v>1</v>
      </c>
      <c r="I70" s="5">
        <f ca="1">COUNTBLANK(OFFSET(Demand!$I79,0,(COLUMN(H67)-1)*5,1,1))</f>
        <v>1</v>
      </c>
      <c r="J70" s="5">
        <f ca="1">COUNTBLANK(OFFSET(Demand!$I79,0,(COLUMN(I67)-1)*5,1,1))</f>
        <v>1</v>
      </c>
      <c r="K70" s="5">
        <f ca="1">COUNTBLANK(OFFSET(Demand!$I79,0,(COLUMN(J67)-1)*5,1,1))</f>
        <v>1</v>
      </c>
      <c r="N70" s="5">
        <f ca="1">SUM(OFFSET(Demand!$E79,0,(COLUMN(A67)-1)*5,1,3))*N$2</f>
        <v>0</v>
      </c>
      <c r="O70" s="5">
        <f ca="1">SUM(OFFSET(Demand!$E79,0,(COLUMN(B67)-1)*5,1,3))*O$2</f>
        <v>0</v>
      </c>
      <c r="P70" s="5">
        <f ca="1">SUM(OFFSET(Demand!$E79,0,(COLUMN(C67)-1)*5,1,3))*P$2</f>
        <v>0</v>
      </c>
      <c r="Q70" s="5">
        <f ca="1">SUM(OFFSET(Demand!$E79,0,(COLUMN(D67)-1)*5,1,3))*Q$2</f>
        <v>0</v>
      </c>
      <c r="R70" s="5">
        <f ca="1">SUM(OFFSET(Demand!$E79,0,(COLUMN(E67)-1)*5,1,3))*R$2</f>
        <v>0</v>
      </c>
      <c r="S70" s="5">
        <f ca="1">SUM(OFFSET(Demand!$E79,0,(COLUMN(F67)-1)*5,1,3))*S$2</f>
        <v>0</v>
      </c>
      <c r="T70" s="5">
        <f ca="1">SUM(OFFSET(Demand!$E79,0,(COLUMN(G67)-1)*5,1,3))*T$2</f>
        <v>0</v>
      </c>
      <c r="U70" s="5">
        <f ca="1">SUM(OFFSET(Demand!$E79,0,(COLUMN(H67)-1)*5,1,3))*U$2</f>
        <v>0</v>
      </c>
      <c r="V70" s="5">
        <f ca="1">SUM(OFFSET(Demand!$E79,0,(COLUMN(I67)-1)*5,1,3))*V$2</f>
        <v>0</v>
      </c>
      <c r="W70" s="5">
        <f ca="1">SUM(OFFSET(Demand!$E79,0,(COLUMN(J67)-1)*5,1,3))*W$2</f>
        <v>0</v>
      </c>
      <c r="X70" s="5">
        <f t="shared" ca="1" si="37"/>
        <v>0</v>
      </c>
      <c r="Y70">
        <f t="shared" ca="1" si="38"/>
        <v>0</v>
      </c>
      <c r="Z70" s="5">
        <f ca="1">SUM(OFFSET(Demand!$H79,0,(COLUMN(A67)-1)*5,1,1))*N$2</f>
        <v>0</v>
      </c>
      <c r="AA70" s="5">
        <f ca="1">SUM(OFFSET(Demand!$H79,0,(COLUMN(B67)-1)*5,1,1))*O$2</f>
        <v>0</v>
      </c>
      <c r="AB70" s="5">
        <f ca="1">SUM(OFFSET(Demand!$H79,0,(COLUMN(C67)-1)*5,1,1))*P$2</f>
        <v>0</v>
      </c>
      <c r="AC70" s="5">
        <f ca="1">SUM(OFFSET(Demand!$H79,0,(COLUMN(D67)-1)*5,1,1))*Q$2</f>
        <v>0</v>
      </c>
      <c r="AD70" s="5">
        <f ca="1">SUM(OFFSET(Demand!$H79,0,(COLUMN(E67)-1)*5,1,1))*R$2</f>
        <v>0</v>
      </c>
      <c r="AE70" s="5">
        <f ca="1">SUM(OFFSET(Demand!$H79,0,(COLUMN(F67)-1)*5,1,1))*S$2</f>
        <v>0</v>
      </c>
      <c r="AF70" s="5">
        <f ca="1">SUM(OFFSET(Demand!$H79,0,(COLUMN(G67)-1)*5,1,1))*T$2</f>
        <v>0</v>
      </c>
      <c r="AG70" s="5">
        <f ca="1">SUM(OFFSET(Demand!$H79,0,(COLUMN(H67)-1)*5,1,1))*U$2</f>
        <v>0</v>
      </c>
      <c r="AH70" s="5">
        <f ca="1">SUM(OFFSET(Demand!$H79,0,(COLUMN(I67)-1)*5,1,1))*V$2</f>
        <v>0</v>
      </c>
      <c r="AI70" s="5">
        <f ca="1">SUM(OFFSET(Demand!$H79,0,(COLUMN(J67)-1)*5,1,1))*W$2</f>
        <v>0</v>
      </c>
      <c r="AJ70" s="5">
        <f t="shared" ca="1" si="39"/>
        <v>0</v>
      </c>
      <c r="AL70" s="5">
        <f t="shared" ca="1" si="40"/>
        <v>0</v>
      </c>
      <c r="AM70" s="5">
        <f t="shared" ca="1" si="41"/>
        <v>0</v>
      </c>
      <c r="AN70" s="5" t="str">
        <f>IF(Demand!BE79="Yes","Yes","")</f>
        <v/>
      </c>
      <c r="AP70" s="36" t="str">
        <f ca="1">Demand!B79</f>
        <v xml:space="preserve"> </v>
      </c>
      <c r="AQ70" t="str">
        <f ca="1">IF(TEXT(Demand!D79,"MMM")&lt;&gt;TEXT(Demand!D78,"MMM"),TEXT(Demand!D79,"MMM"),"")</f>
        <v/>
      </c>
      <c r="AT70" s="5">
        <f t="shared" ref="AT70:AT133" ca="1" si="42">IF(OR(AL70="",AL69=""),"",ABS(AL70-AL69))</f>
        <v>0</v>
      </c>
      <c r="BQ70">
        <f ca="1">IF($AN70="",OFFSET(Demand!$A$13,ROW(A67)-1,4+((QUOTIENT(COLUMN(BQ$2)-69,3))*5)+MOD(COLUMN(BQ$2),3),1,1),"")</f>
        <v>0</v>
      </c>
      <c r="BR70">
        <f ca="1">IF($AN70="",OFFSET(Demand!$A$13,ROW(B67)-1,4+((QUOTIENT(COLUMN(BR$2)-69,3))*5)+MOD(COLUMN(BR$2),3),1,1),"")</f>
        <v>0</v>
      </c>
      <c r="BS70">
        <f ca="1">IF($AN70="",OFFSET(Demand!$A$13,ROW(C67)-1,4+((QUOTIENT(COLUMN(BS$2)-69,3))*5)+MOD(COLUMN(BS$2),3),1,1),"")</f>
        <v>0</v>
      </c>
      <c r="BT70">
        <f ca="1">IF($AN70="",OFFSET(Demand!$A$13,ROW(D67)-1,4+((QUOTIENT(COLUMN(BT$2)-69,3))*5)+MOD(COLUMN(BT$2),3),1,1),"")</f>
        <v>0</v>
      </c>
      <c r="BU70">
        <f ca="1">IF($AN70="",OFFSET(Demand!$A$13,ROW(E67)-1,4+((QUOTIENT(COLUMN(BU$2)-69,3))*5)+MOD(COLUMN(BU$2),3),1,1),"")</f>
        <v>0</v>
      </c>
      <c r="BV70">
        <f ca="1">IF($AN70="",OFFSET(Demand!$A$13,ROW(F67)-1,4+((QUOTIENT(COLUMN(BV$2)-69,3))*5)+MOD(COLUMN(BV$2),3),1,1),"")</f>
        <v>0</v>
      </c>
      <c r="BW70">
        <f ca="1">IF($AN70="",OFFSET(Demand!$A$13,ROW(G67)-1,4+((QUOTIENT(COLUMN(BW$2)-69,3))*5)+MOD(COLUMN(BW$2),3),1,1),"")</f>
        <v>0</v>
      </c>
      <c r="BX70">
        <f ca="1">IF($AN70="",OFFSET(Demand!$A$13,ROW(H67)-1,4+((QUOTIENT(COLUMN(BX$2)-69,3))*5)+MOD(COLUMN(BX$2),3),1,1),"")</f>
        <v>0</v>
      </c>
      <c r="BY70">
        <f ca="1">IF($AN70="",OFFSET(Demand!$A$13,ROW(I67)-1,4+((QUOTIENT(COLUMN(BY$2)-69,3))*5)+MOD(COLUMN(BY$2),3),1,1),"")</f>
        <v>0</v>
      </c>
      <c r="BZ70">
        <f ca="1">IF($AN70="",OFFSET(Demand!$A$13,ROW(J67)-1,4+((QUOTIENT(COLUMN(BZ$2)-69,3))*5)+MOD(COLUMN(BZ$2),3),1,1),"")</f>
        <v>0</v>
      </c>
      <c r="CA70">
        <f ca="1">IF($AN70="",OFFSET(Demand!$A$13,ROW(K67)-1,4+((QUOTIENT(COLUMN(CA$2)-69,3))*5)+MOD(COLUMN(CA$2),3),1,1),"")</f>
        <v>0</v>
      </c>
      <c r="CB70">
        <f ca="1">IF($AN70="",OFFSET(Demand!$A$13,ROW(L67)-1,4+((QUOTIENT(COLUMN(CB$2)-69,3))*5)+MOD(COLUMN(CB$2),3),1,1),"")</f>
        <v>0</v>
      </c>
      <c r="CC70">
        <f ca="1">IF($AN70="",OFFSET(Demand!$A$13,ROW(M67)-1,4+((QUOTIENT(COLUMN(CC$2)-69,3))*5)+MOD(COLUMN(CC$2),3),1,1),"")</f>
        <v>0</v>
      </c>
      <c r="CD70">
        <f ca="1">IF($AN70="",OFFSET(Demand!$A$13,ROW(N67)-1,4+((QUOTIENT(COLUMN(CD$2)-69,3))*5)+MOD(COLUMN(CD$2),3),1,1),"")</f>
        <v>0</v>
      </c>
      <c r="CE70">
        <f ca="1">IF($AN70="",OFFSET(Demand!$A$13,ROW(O67)-1,4+((QUOTIENT(COLUMN(CE$2)-69,3))*5)+MOD(COLUMN(CE$2),3),1,1),"")</f>
        <v>0</v>
      </c>
      <c r="CF70">
        <f ca="1">IF($AN70="",OFFSET(Demand!$A$13,ROW(P67)-1,4+((QUOTIENT(COLUMN(CF$2)-69,3))*5)+MOD(COLUMN(CF$2),3),1,1),"")</f>
        <v>0</v>
      </c>
      <c r="CG70">
        <f ca="1">IF($AN70="",OFFSET(Demand!$A$13,ROW(Q67)-1,4+((QUOTIENT(COLUMN(CG$2)-69,3))*5)+MOD(COLUMN(CG$2),3),1,1),"")</f>
        <v>0</v>
      </c>
      <c r="CH70">
        <f ca="1">IF($AN70="",OFFSET(Demand!$A$13,ROW(R67)-1,4+((QUOTIENT(COLUMN(CH$2)-69,3))*5)+MOD(COLUMN(CH$2),3),1,1),"")</f>
        <v>0</v>
      </c>
      <c r="CI70">
        <f ca="1">IF($AN70="",OFFSET(Demand!$A$13,ROW(S67)-1,4+((QUOTIENT(COLUMN(CI$2)-69,3))*5)+MOD(COLUMN(CI$2),3),1,1),"")</f>
        <v>0</v>
      </c>
      <c r="CJ70">
        <f ca="1">IF($AN70="",OFFSET(Demand!$A$13,ROW(T67)-1,4+((QUOTIENT(COLUMN(CJ$2)-69,3))*5)+MOD(COLUMN(CJ$2),3),1,1),"")</f>
        <v>0</v>
      </c>
      <c r="CK70">
        <f ca="1">IF($AN70="",OFFSET(Demand!$A$13,ROW(U67)-1,4+((QUOTIENT(COLUMN(CK$2)-69,3))*5)+MOD(COLUMN(CK$2),3),1,1),"")</f>
        <v>0</v>
      </c>
      <c r="CL70">
        <f ca="1">IF($AN70="",OFFSET(Demand!$A$13,ROW(V67)-1,4+((QUOTIENT(COLUMN(CL$2)-69,3))*5)+MOD(COLUMN(CL$2),3),1,1),"")</f>
        <v>0</v>
      </c>
      <c r="CM70">
        <f ca="1">IF($AN70="",OFFSET(Demand!$A$13,ROW(W67)-1,4+((QUOTIENT(COLUMN(CM$2)-69,3))*5)+MOD(COLUMN(CM$2),3),1,1),"")</f>
        <v>0</v>
      </c>
      <c r="CN70">
        <f ca="1">IF($AN70="",OFFSET(Demand!$A$13,ROW(X67)-1,4+((QUOTIENT(COLUMN(CN$2)-69,3))*5)+MOD(COLUMN(CN$2),3),1,1),"")</f>
        <v>0</v>
      </c>
      <c r="CO70">
        <f ca="1">IF($AN70="",OFFSET(Demand!$A$13,ROW(Y67)-1,4+((QUOTIENT(COLUMN(CO$2)-69,3))*5)+MOD(COLUMN(CO$2),3),1,1),"")</f>
        <v>0</v>
      </c>
      <c r="CP70">
        <f ca="1">IF($AN70="",OFFSET(Demand!$A$13,ROW(Z67)-1,4+((QUOTIENT(COLUMN(CP$2)-69,3))*5)+MOD(COLUMN(CP$2),3),1,1),"")</f>
        <v>0</v>
      </c>
      <c r="CQ70">
        <f ca="1">IF($AN70="",OFFSET(Demand!$A$13,ROW(AA67)-1,4+((QUOTIENT(COLUMN(CQ$2)-69,3))*5)+MOD(COLUMN(CQ$2),3),1,1),"")</f>
        <v>0</v>
      </c>
      <c r="CR70">
        <f ca="1">IF($AN70="",OFFSET(Demand!$A$13,ROW(AB67)-1,4+((QUOTIENT(COLUMN(CR$2)-69,3))*5)+MOD(COLUMN(CR$2),3),1,1),"")</f>
        <v>0</v>
      </c>
      <c r="CS70">
        <f ca="1">IF($AN70="",OFFSET(Demand!$A$13,ROW(AC67)-1,4+((QUOTIENT(COLUMN(CS$2)-69,3))*5)+MOD(COLUMN(CS$2),3),1,1),"")</f>
        <v>0</v>
      </c>
      <c r="CT70">
        <f ca="1">IF($AN70="",OFFSET(Demand!$A$13,ROW(AD67)-1,4+((QUOTIENT(COLUMN(CT$2)-69,3))*5)+MOD(COLUMN(CT$2),3),1,1),"")</f>
        <v>0</v>
      </c>
      <c r="CW70" s="5">
        <f ca="1">SUM(OFFSET(Demand!$H$43,ROW(A67)-1,(COLUMN(A67)-1)*5,1,1))*N$2</f>
        <v>0</v>
      </c>
      <c r="CX70" s="5">
        <f ca="1">SUM(OFFSET(Demand!$H$43,ROW(B67)-1,(COLUMN(B67)-1)*5,1,1))*O$2</f>
        <v>0</v>
      </c>
      <c r="CY70" s="5">
        <f ca="1">SUM(OFFSET(Demand!$H$43,ROW(C67)-1,(COLUMN(C67)-1)*5,1,1))*P$2</f>
        <v>0</v>
      </c>
      <c r="CZ70" s="5">
        <f ca="1">SUM(OFFSET(Demand!$H$43,ROW(D67)-1,(COLUMN(D67)-1)*5,1,1))*Q$2</f>
        <v>0</v>
      </c>
      <c r="DA70" s="5">
        <f ca="1">SUM(OFFSET(Demand!$H$43,ROW(E67)-1,(COLUMN(E67)-1)*5,1,1))*R$2</f>
        <v>0</v>
      </c>
      <c r="DB70" s="5">
        <f ca="1">SUM(OFFSET(Demand!$H$43,ROW(F67)-1,(COLUMN(F67)-1)*5,1,1))*S$2</f>
        <v>0</v>
      </c>
      <c r="DC70" s="5">
        <f ca="1">SUM(OFFSET(Demand!$H$43,ROW(G67)-1,(COLUMN(G67)-1)*5,1,1))*T$2</f>
        <v>0</v>
      </c>
      <c r="DD70" s="5">
        <f ca="1">SUM(OFFSET(Demand!$H$43,ROW(H67)-1,(COLUMN(H67)-1)*5,1,1))*U$2</f>
        <v>0</v>
      </c>
      <c r="DE70" s="5">
        <f ca="1">SUM(OFFSET(Demand!$H$43,ROW(I67)-1,(COLUMN(I67)-1)*5,1,1))*V$2</f>
        <v>0</v>
      </c>
      <c r="DF70" s="5">
        <f ca="1">SUM(OFFSET(Demand!$H$43,ROW(J67)-1,(COLUMN(J67)-1)*5,1,1))*W$2</f>
        <v>0</v>
      </c>
      <c r="DG70" s="5">
        <f ca="1">IF(OR(AN70&lt;&gt;"",AND('Demand adjustments for Covid'!$F$9="Yes",'Demand adjustments for Covid'!$F$20="Yes")),"",SUM(CW70:DF70))</f>
        <v>0</v>
      </c>
    </row>
    <row r="71" spans="1:111" x14ac:dyDescent="0.25">
      <c r="A71" s="5">
        <f t="shared" ca="1" si="34"/>
        <v>1</v>
      </c>
      <c r="B71" s="5">
        <f ca="1">COUNTBLANK(OFFSET(Demand!$I80,0,(COLUMN(A68)-1)*5,1,1))</f>
        <v>1</v>
      </c>
      <c r="C71" s="5">
        <f ca="1">COUNTBLANK(OFFSET(Demand!$I80,0,(COLUMN(B68)-1)*5,1,1))</f>
        <v>1</v>
      </c>
      <c r="D71" s="5">
        <f ca="1">COUNTBLANK(OFFSET(Demand!$I80,0,(COLUMN(C68)-1)*5,1,1))</f>
        <v>1</v>
      </c>
      <c r="E71" s="5">
        <f ca="1">COUNTBLANK(OFFSET(Demand!$I80,0,(COLUMN(D68)-1)*5,1,1))</f>
        <v>1</v>
      </c>
      <c r="F71" s="5">
        <f ca="1">COUNTBLANK(OFFSET(Demand!$I80,0,(COLUMN(E68)-1)*5,1,1))</f>
        <v>1</v>
      </c>
      <c r="G71" s="5">
        <f ca="1">COUNTBLANK(OFFSET(Demand!$I80,0,(COLUMN(F68)-1)*5,1,1))</f>
        <v>1</v>
      </c>
      <c r="H71" s="5">
        <f ca="1">COUNTBLANK(OFFSET(Demand!$I80,0,(COLUMN(G68)-1)*5,1,1))</f>
        <v>1</v>
      </c>
      <c r="I71" s="5">
        <f ca="1">COUNTBLANK(OFFSET(Demand!$I80,0,(COLUMN(H68)-1)*5,1,1))</f>
        <v>1</v>
      </c>
      <c r="J71" s="5">
        <f ca="1">COUNTBLANK(OFFSET(Demand!$I80,0,(COLUMN(I68)-1)*5,1,1))</f>
        <v>1</v>
      </c>
      <c r="K71" s="5">
        <f ca="1">COUNTBLANK(OFFSET(Demand!$I80,0,(COLUMN(J68)-1)*5,1,1))</f>
        <v>1</v>
      </c>
      <c r="N71" s="5">
        <f ca="1">SUM(OFFSET(Demand!$E80,0,(COLUMN(A68)-1)*5,1,3))*N$2</f>
        <v>0</v>
      </c>
      <c r="O71" s="5">
        <f ca="1">SUM(OFFSET(Demand!$E80,0,(COLUMN(B68)-1)*5,1,3))*O$2</f>
        <v>0</v>
      </c>
      <c r="P71" s="5">
        <f ca="1">SUM(OFFSET(Demand!$E80,0,(COLUMN(C68)-1)*5,1,3))*P$2</f>
        <v>0</v>
      </c>
      <c r="Q71" s="5">
        <f ca="1">SUM(OFFSET(Demand!$E80,0,(COLUMN(D68)-1)*5,1,3))*Q$2</f>
        <v>0</v>
      </c>
      <c r="R71" s="5">
        <f ca="1">SUM(OFFSET(Demand!$E80,0,(COLUMN(E68)-1)*5,1,3))*R$2</f>
        <v>0</v>
      </c>
      <c r="S71" s="5">
        <f ca="1">SUM(OFFSET(Demand!$E80,0,(COLUMN(F68)-1)*5,1,3))*S$2</f>
        <v>0</v>
      </c>
      <c r="T71" s="5">
        <f ca="1">SUM(OFFSET(Demand!$E80,0,(COLUMN(G68)-1)*5,1,3))*T$2</f>
        <v>0</v>
      </c>
      <c r="U71" s="5">
        <f ca="1">SUM(OFFSET(Demand!$E80,0,(COLUMN(H68)-1)*5,1,3))*U$2</f>
        <v>0</v>
      </c>
      <c r="V71" s="5">
        <f ca="1">SUM(OFFSET(Demand!$E80,0,(COLUMN(I68)-1)*5,1,3))*V$2</f>
        <v>0</v>
      </c>
      <c r="W71" s="5">
        <f ca="1">SUM(OFFSET(Demand!$E80,0,(COLUMN(J68)-1)*5,1,3))*W$2</f>
        <v>0</v>
      </c>
      <c r="X71" s="5">
        <f t="shared" ca="1" si="37"/>
        <v>0</v>
      </c>
      <c r="Y71">
        <f t="shared" ca="1" si="38"/>
        <v>0</v>
      </c>
      <c r="Z71" s="5">
        <f ca="1">SUM(OFFSET(Demand!$H80,0,(COLUMN(A68)-1)*5,1,1))*N$2</f>
        <v>0</v>
      </c>
      <c r="AA71" s="5">
        <f ca="1">SUM(OFFSET(Demand!$H80,0,(COLUMN(B68)-1)*5,1,1))*O$2</f>
        <v>0</v>
      </c>
      <c r="AB71" s="5">
        <f ca="1">SUM(OFFSET(Demand!$H80,0,(COLUMN(C68)-1)*5,1,1))*P$2</f>
        <v>0</v>
      </c>
      <c r="AC71" s="5">
        <f ca="1">SUM(OFFSET(Demand!$H80,0,(COLUMN(D68)-1)*5,1,1))*Q$2</f>
        <v>0</v>
      </c>
      <c r="AD71" s="5">
        <f ca="1">SUM(OFFSET(Demand!$H80,0,(COLUMN(E68)-1)*5,1,1))*R$2</f>
        <v>0</v>
      </c>
      <c r="AE71" s="5">
        <f ca="1">SUM(OFFSET(Demand!$H80,0,(COLUMN(F68)-1)*5,1,1))*S$2</f>
        <v>0</v>
      </c>
      <c r="AF71" s="5">
        <f ca="1">SUM(OFFSET(Demand!$H80,0,(COLUMN(G68)-1)*5,1,1))*T$2</f>
        <v>0</v>
      </c>
      <c r="AG71" s="5">
        <f ca="1">SUM(OFFSET(Demand!$H80,0,(COLUMN(H68)-1)*5,1,1))*U$2</f>
        <v>0</v>
      </c>
      <c r="AH71" s="5">
        <f ca="1">SUM(OFFSET(Demand!$H80,0,(COLUMN(I68)-1)*5,1,1))*V$2</f>
        <v>0</v>
      </c>
      <c r="AI71" s="5">
        <f ca="1">SUM(OFFSET(Demand!$H80,0,(COLUMN(J68)-1)*5,1,1))*W$2</f>
        <v>0</v>
      </c>
      <c r="AJ71" s="5">
        <f t="shared" ca="1" si="39"/>
        <v>0</v>
      </c>
      <c r="AL71" s="5">
        <f t="shared" ca="1" si="40"/>
        <v>0</v>
      </c>
      <c r="AM71" s="5">
        <f t="shared" ca="1" si="41"/>
        <v>0</v>
      </c>
      <c r="AN71" s="5" t="str">
        <f>IF(Demand!BE80="Yes","Yes","")</f>
        <v/>
      </c>
      <c r="AP71" s="36" t="str">
        <f ca="1">Demand!B80</f>
        <v xml:space="preserve"> </v>
      </c>
      <c r="AQ71" t="str">
        <f ca="1">IF(TEXT(Demand!D80,"MMM")&lt;&gt;TEXT(Demand!D79,"MMM"),TEXT(Demand!D80,"MMM"),"")</f>
        <v/>
      </c>
      <c r="AT71" s="5">
        <f t="shared" ca="1" si="42"/>
        <v>0</v>
      </c>
      <c r="BQ71">
        <f ca="1">IF($AN71="",OFFSET(Demand!$A$13,ROW(A68)-1,4+((QUOTIENT(COLUMN(BQ$2)-69,3))*5)+MOD(COLUMN(BQ$2),3),1,1),"")</f>
        <v>0</v>
      </c>
      <c r="BR71">
        <f ca="1">IF($AN71="",OFFSET(Demand!$A$13,ROW(B68)-1,4+((QUOTIENT(COLUMN(BR$2)-69,3))*5)+MOD(COLUMN(BR$2),3),1,1),"")</f>
        <v>0</v>
      </c>
      <c r="BS71">
        <f ca="1">IF($AN71="",OFFSET(Demand!$A$13,ROW(C68)-1,4+((QUOTIENT(COLUMN(BS$2)-69,3))*5)+MOD(COLUMN(BS$2),3),1,1),"")</f>
        <v>0</v>
      </c>
      <c r="BT71">
        <f ca="1">IF($AN71="",OFFSET(Demand!$A$13,ROW(D68)-1,4+((QUOTIENT(COLUMN(BT$2)-69,3))*5)+MOD(COLUMN(BT$2),3),1,1),"")</f>
        <v>0</v>
      </c>
      <c r="BU71">
        <f ca="1">IF($AN71="",OFFSET(Demand!$A$13,ROW(E68)-1,4+((QUOTIENT(COLUMN(BU$2)-69,3))*5)+MOD(COLUMN(BU$2),3),1,1),"")</f>
        <v>0</v>
      </c>
      <c r="BV71">
        <f ca="1">IF($AN71="",OFFSET(Demand!$A$13,ROW(F68)-1,4+((QUOTIENT(COLUMN(BV$2)-69,3))*5)+MOD(COLUMN(BV$2),3),1,1),"")</f>
        <v>0</v>
      </c>
      <c r="BW71">
        <f ca="1">IF($AN71="",OFFSET(Demand!$A$13,ROW(G68)-1,4+((QUOTIENT(COLUMN(BW$2)-69,3))*5)+MOD(COLUMN(BW$2),3),1,1),"")</f>
        <v>0</v>
      </c>
      <c r="BX71">
        <f ca="1">IF($AN71="",OFFSET(Demand!$A$13,ROW(H68)-1,4+((QUOTIENT(COLUMN(BX$2)-69,3))*5)+MOD(COLUMN(BX$2),3),1,1),"")</f>
        <v>0</v>
      </c>
      <c r="BY71">
        <f ca="1">IF($AN71="",OFFSET(Demand!$A$13,ROW(I68)-1,4+((QUOTIENT(COLUMN(BY$2)-69,3))*5)+MOD(COLUMN(BY$2),3),1,1),"")</f>
        <v>0</v>
      </c>
      <c r="BZ71">
        <f ca="1">IF($AN71="",OFFSET(Demand!$A$13,ROW(J68)-1,4+((QUOTIENT(COLUMN(BZ$2)-69,3))*5)+MOD(COLUMN(BZ$2),3),1,1),"")</f>
        <v>0</v>
      </c>
      <c r="CA71">
        <f ca="1">IF($AN71="",OFFSET(Demand!$A$13,ROW(K68)-1,4+((QUOTIENT(COLUMN(CA$2)-69,3))*5)+MOD(COLUMN(CA$2),3),1,1),"")</f>
        <v>0</v>
      </c>
      <c r="CB71">
        <f ca="1">IF($AN71="",OFFSET(Demand!$A$13,ROW(L68)-1,4+((QUOTIENT(COLUMN(CB$2)-69,3))*5)+MOD(COLUMN(CB$2),3),1,1),"")</f>
        <v>0</v>
      </c>
      <c r="CC71">
        <f ca="1">IF($AN71="",OFFSET(Demand!$A$13,ROW(M68)-1,4+((QUOTIENT(COLUMN(CC$2)-69,3))*5)+MOD(COLUMN(CC$2),3),1,1),"")</f>
        <v>0</v>
      </c>
      <c r="CD71">
        <f ca="1">IF($AN71="",OFFSET(Demand!$A$13,ROW(N68)-1,4+((QUOTIENT(COLUMN(CD$2)-69,3))*5)+MOD(COLUMN(CD$2),3),1,1),"")</f>
        <v>0</v>
      </c>
      <c r="CE71">
        <f ca="1">IF($AN71="",OFFSET(Demand!$A$13,ROW(O68)-1,4+((QUOTIENT(COLUMN(CE$2)-69,3))*5)+MOD(COLUMN(CE$2),3),1,1),"")</f>
        <v>0</v>
      </c>
      <c r="CF71">
        <f ca="1">IF($AN71="",OFFSET(Demand!$A$13,ROW(P68)-1,4+((QUOTIENT(COLUMN(CF$2)-69,3))*5)+MOD(COLUMN(CF$2),3),1,1),"")</f>
        <v>0</v>
      </c>
      <c r="CG71">
        <f ca="1">IF($AN71="",OFFSET(Demand!$A$13,ROW(Q68)-1,4+((QUOTIENT(COLUMN(CG$2)-69,3))*5)+MOD(COLUMN(CG$2),3),1,1),"")</f>
        <v>0</v>
      </c>
      <c r="CH71">
        <f ca="1">IF($AN71="",OFFSET(Demand!$A$13,ROW(R68)-1,4+((QUOTIENT(COLUMN(CH$2)-69,3))*5)+MOD(COLUMN(CH$2),3),1,1),"")</f>
        <v>0</v>
      </c>
      <c r="CI71">
        <f ca="1">IF($AN71="",OFFSET(Demand!$A$13,ROW(S68)-1,4+((QUOTIENT(COLUMN(CI$2)-69,3))*5)+MOD(COLUMN(CI$2),3),1,1),"")</f>
        <v>0</v>
      </c>
      <c r="CJ71">
        <f ca="1">IF($AN71="",OFFSET(Demand!$A$13,ROW(T68)-1,4+((QUOTIENT(COLUMN(CJ$2)-69,3))*5)+MOD(COLUMN(CJ$2),3),1,1),"")</f>
        <v>0</v>
      </c>
      <c r="CK71">
        <f ca="1">IF($AN71="",OFFSET(Demand!$A$13,ROW(U68)-1,4+((QUOTIENT(COLUMN(CK$2)-69,3))*5)+MOD(COLUMN(CK$2),3),1,1),"")</f>
        <v>0</v>
      </c>
      <c r="CL71">
        <f ca="1">IF($AN71="",OFFSET(Demand!$A$13,ROW(V68)-1,4+((QUOTIENT(COLUMN(CL$2)-69,3))*5)+MOD(COLUMN(CL$2),3),1,1),"")</f>
        <v>0</v>
      </c>
      <c r="CM71">
        <f ca="1">IF($AN71="",OFFSET(Demand!$A$13,ROW(W68)-1,4+((QUOTIENT(COLUMN(CM$2)-69,3))*5)+MOD(COLUMN(CM$2),3),1,1),"")</f>
        <v>0</v>
      </c>
      <c r="CN71">
        <f ca="1">IF($AN71="",OFFSET(Demand!$A$13,ROW(X68)-1,4+((QUOTIENT(COLUMN(CN$2)-69,3))*5)+MOD(COLUMN(CN$2),3),1,1),"")</f>
        <v>0</v>
      </c>
      <c r="CO71">
        <f ca="1">IF($AN71="",OFFSET(Demand!$A$13,ROW(Y68)-1,4+((QUOTIENT(COLUMN(CO$2)-69,3))*5)+MOD(COLUMN(CO$2),3),1,1),"")</f>
        <v>0</v>
      </c>
      <c r="CP71">
        <f ca="1">IF($AN71="",OFFSET(Demand!$A$13,ROW(Z68)-1,4+((QUOTIENT(COLUMN(CP$2)-69,3))*5)+MOD(COLUMN(CP$2),3),1,1),"")</f>
        <v>0</v>
      </c>
      <c r="CQ71">
        <f ca="1">IF($AN71="",OFFSET(Demand!$A$13,ROW(AA68)-1,4+((QUOTIENT(COLUMN(CQ$2)-69,3))*5)+MOD(COLUMN(CQ$2),3),1,1),"")</f>
        <v>0</v>
      </c>
      <c r="CR71">
        <f ca="1">IF($AN71="",OFFSET(Demand!$A$13,ROW(AB68)-1,4+((QUOTIENT(COLUMN(CR$2)-69,3))*5)+MOD(COLUMN(CR$2),3),1,1),"")</f>
        <v>0</v>
      </c>
      <c r="CS71">
        <f ca="1">IF($AN71="",OFFSET(Demand!$A$13,ROW(AC68)-1,4+((QUOTIENT(COLUMN(CS$2)-69,3))*5)+MOD(COLUMN(CS$2),3),1,1),"")</f>
        <v>0</v>
      </c>
      <c r="CT71">
        <f ca="1">IF($AN71="",OFFSET(Demand!$A$13,ROW(AD68)-1,4+((QUOTIENT(COLUMN(CT$2)-69,3))*5)+MOD(COLUMN(CT$2),3),1,1),"")</f>
        <v>0</v>
      </c>
      <c r="CW71" s="5">
        <f ca="1">SUM(OFFSET(Demand!$H$43,ROW(A68)-1,(COLUMN(A68)-1)*5,1,1))*N$2</f>
        <v>0</v>
      </c>
      <c r="CX71" s="5">
        <f ca="1">SUM(OFFSET(Demand!$H$43,ROW(B68)-1,(COLUMN(B68)-1)*5,1,1))*O$2</f>
        <v>0</v>
      </c>
      <c r="CY71" s="5">
        <f ca="1">SUM(OFFSET(Demand!$H$43,ROW(C68)-1,(COLUMN(C68)-1)*5,1,1))*P$2</f>
        <v>0</v>
      </c>
      <c r="CZ71" s="5">
        <f ca="1">SUM(OFFSET(Demand!$H$43,ROW(D68)-1,(COLUMN(D68)-1)*5,1,1))*Q$2</f>
        <v>0</v>
      </c>
      <c r="DA71" s="5">
        <f ca="1">SUM(OFFSET(Demand!$H$43,ROW(E68)-1,(COLUMN(E68)-1)*5,1,1))*R$2</f>
        <v>0</v>
      </c>
      <c r="DB71" s="5">
        <f ca="1">SUM(OFFSET(Demand!$H$43,ROW(F68)-1,(COLUMN(F68)-1)*5,1,1))*S$2</f>
        <v>0</v>
      </c>
      <c r="DC71" s="5">
        <f ca="1">SUM(OFFSET(Demand!$H$43,ROW(G68)-1,(COLUMN(G68)-1)*5,1,1))*T$2</f>
        <v>0</v>
      </c>
      <c r="DD71" s="5">
        <f ca="1">SUM(OFFSET(Demand!$H$43,ROW(H68)-1,(COLUMN(H68)-1)*5,1,1))*U$2</f>
        <v>0</v>
      </c>
      <c r="DE71" s="5">
        <f ca="1">SUM(OFFSET(Demand!$H$43,ROW(I68)-1,(COLUMN(I68)-1)*5,1,1))*V$2</f>
        <v>0</v>
      </c>
      <c r="DF71" s="5">
        <f ca="1">SUM(OFFSET(Demand!$H$43,ROW(J68)-1,(COLUMN(J68)-1)*5,1,1))*W$2</f>
        <v>0</v>
      </c>
      <c r="DG71" s="5">
        <f ca="1">IF(OR(AN71&lt;&gt;"",AND('Demand adjustments for Covid'!$F$9="Yes",'Demand adjustments for Covid'!$F$20="Yes")),"",SUM(CW71:DF71))</f>
        <v>0</v>
      </c>
    </row>
    <row r="72" spans="1:111" x14ac:dyDescent="0.25">
      <c r="A72" s="5">
        <f t="shared" ca="1" si="34"/>
        <v>1</v>
      </c>
      <c r="B72" s="5">
        <f ca="1">COUNTBLANK(OFFSET(Demand!$I81,0,(COLUMN(A69)-1)*5,1,1))</f>
        <v>1</v>
      </c>
      <c r="C72" s="5">
        <f ca="1">COUNTBLANK(OFFSET(Demand!$I81,0,(COLUMN(B69)-1)*5,1,1))</f>
        <v>1</v>
      </c>
      <c r="D72" s="5">
        <f ca="1">COUNTBLANK(OFFSET(Demand!$I81,0,(COLUMN(C69)-1)*5,1,1))</f>
        <v>1</v>
      </c>
      <c r="E72" s="5">
        <f ca="1">COUNTBLANK(OFFSET(Demand!$I81,0,(COLUMN(D69)-1)*5,1,1))</f>
        <v>1</v>
      </c>
      <c r="F72" s="5">
        <f ca="1">COUNTBLANK(OFFSET(Demand!$I81,0,(COLUMN(E69)-1)*5,1,1))</f>
        <v>1</v>
      </c>
      <c r="G72" s="5">
        <f ca="1">COUNTBLANK(OFFSET(Demand!$I81,0,(COLUMN(F69)-1)*5,1,1))</f>
        <v>1</v>
      </c>
      <c r="H72" s="5">
        <f ca="1">COUNTBLANK(OFFSET(Demand!$I81,0,(COLUMN(G69)-1)*5,1,1))</f>
        <v>1</v>
      </c>
      <c r="I72" s="5">
        <f ca="1">COUNTBLANK(OFFSET(Demand!$I81,0,(COLUMN(H69)-1)*5,1,1))</f>
        <v>1</v>
      </c>
      <c r="J72" s="5">
        <f ca="1">COUNTBLANK(OFFSET(Demand!$I81,0,(COLUMN(I69)-1)*5,1,1))</f>
        <v>1</v>
      </c>
      <c r="K72" s="5">
        <f ca="1">COUNTBLANK(OFFSET(Demand!$I81,0,(COLUMN(J69)-1)*5,1,1))</f>
        <v>1</v>
      </c>
      <c r="N72" s="5">
        <f ca="1">SUM(OFFSET(Demand!$E81,0,(COLUMN(A69)-1)*5,1,3))*N$2</f>
        <v>0</v>
      </c>
      <c r="O72" s="5">
        <f ca="1">SUM(OFFSET(Demand!$E81,0,(COLUMN(B69)-1)*5,1,3))*O$2</f>
        <v>0</v>
      </c>
      <c r="P72" s="5">
        <f ca="1">SUM(OFFSET(Demand!$E81,0,(COLUMN(C69)-1)*5,1,3))*P$2</f>
        <v>0</v>
      </c>
      <c r="Q72" s="5">
        <f ca="1">SUM(OFFSET(Demand!$E81,0,(COLUMN(D69)-1)*5,1,3))*Q$2</f>
        <v>0</v>
      </c>
      <c r="R72" s="5">
        <f ca="1">SUM(OFFSET(Demand!$E81,0,(COLUMN(E69)-1)*5,1,3))*R$2</f>
        <v>0</v>
      </c>
      <c r="S72" s="5">
        <f ca="1">SUM(OFFSET(Demand!$E81,0,(COLUMN(F69)-1)*5,1,3))*S$2</f>
        <v>0</v>
      </c>
      <c r="T72" s="5">
        <f ca="1">SUM(OFFSET(Demand!$E81,0,(COLUMN(G69)-1)*5,1,3))*T$2</f>
        <v>0</v>
      </c>
      <c r="U72" s="5">
        <f ca="1">SUM(OFFSET(Demand!$E81,0,(COLUMN(H69)-1)*5,1,3))*U$2</f>
        <v>0</v>
      </c>
      <c r="V72" s="5">
        <f ca="1">SUM(OFFSET(Demand!$E81,0,(COLUMN(I69)-1)*5,1,3))*V$2</f>
        <v>0</v>
      </c>
      <c r="W72" s="5">
        <f ca="1">SUM(OFFSET(Demand!$E81,0,(COLUMN(J69)-1)*5,1,3))*W$2</f>
        <v>0</v>
      </c>
      <c r="X72" s="5">
        <f t="shared" ca="1" si="37"/>
        <v>0</v>
      </c>
      <c r="Y72">
        <f t="shared" ca="1" si="38"/>
        <v>0</v>
      </c>
      <c r="Z72" s="5">
        <f ca="1">SUM(OFFSET(Demand!$H81,0,(COLUMN(A69)-1)*5,1,1))*N$2</f>
        <v>0</v>
      </c>
      <c r="AA72" s="5">
        <f ca="1">SUM(OFFSET(Demand!$H81,0,(COLUMN(B69)-1)*5,1,1))*O$2</f>
        <v>0</v>
      </c>
      <c r="AB72" s="5">
        <f ca="1">SUM(OFFSET(Demand!$H81,0,(COLUMN(C69)-1)*5,1,1))*P$2</f>
        <v>0</v>
      </c>
      <c r="AC72" s="5">
        <f ca="1">SUM(OFFSET(Demand!$H81,0,(COLUMN(D69)-1)*5,1,1))*Q$2</f>
        <v>0</v>
      </c>
      <c r="AD72" s="5">
        <f ca="1">SUM(OFFSET(Demand!$H81,0,(COLUMN(E69)-1)*5,1,1))*R$2</f>
        <v>0</v>
      </c>
      <c r="AE72" s="5">
        <f ca="1">SUM(OFFSET(Demand!$H81,0,(COLUMN(F69)-1)*5,1,1))*S$2</f>
        <v>0</v>
      </c>
      <c r="AF72" s="5">
        <f ca="1">SUM(OFFSET(Demand!$H81,0,(COLUMN(G69)-1)*5,1,1))*T$2</f>
        <v>0</v>
      </c>
      <c r="AG72" s="5">
        <f ca="1">SUM(OFFSET(Demand!$H81,0,(COLUMN(H69)-1)*5,1,1))*U$2</f>
        <v>0</v>
      </c>
      <c r="AH72" s="5">
        <f ca="1">SUM(OFFSET(Demand!$H81,0,(COLUMN(I69)-1)*5,1,1))*V$2</f>
        <v>0</v>
      </c>
      <c r="AI72" s="5">
        <f ca="1">SUM(OFFSET(Demand!$H81,0,(COLUMN(J69)-1)*5,1,1))*W$2</f>
        <v>0</v>
      </c>
      <c r="AJ72" s="5">
        <f t="shared" ca="1" si="39"/>
        <v>0</v>
      </c>
      <c r="AL72" s="5">
        <f t="shared" ca="1" si="40"/>
        <v>0</v>
      </c>
      <c r="AM72" s="5">
        <f t="shared" ca="1" si="41"/>
        <v>0</v>
      </c>
      <c r="AN72" s="5" t="str">
        <f>IF(Demand!BE81="Yes","Yes","")</f>
        <v/>
      </c>
      <c r="AP72" s="36" t="str">
        <f ca="1">Demand!B81</f>
        <v xml:space="preserve"> </v>
      </c>
      <c r="AQ72" t="str">
        <f ca="1">IF(TEXT(Demand!D81,"MMM")&lt;&gt;TEXT(Demand!D80,"MMM"),TEXT(Demand!D81,"MMM"),"")</f>
        <v/>
      </c>
      <c r="AT72" s="5">
        <f t="shared" ca="1" si="42"/>
        <v>0</v>
      </c>
      <c r="BQ72">
        <f ca="1">IF($AN72="",OFFSET(Demand!$A$13,ROW(A69)-1,4+((QUOTIENT(COLUMN(BQ$2)-69,3))*5)+MOD(COLUMN(BQ$2),3),1,1),"")</f>
        <v>0</v>
      </c>
      <c r="BR72">
        <f ca="1">IF($AN72="",OFFSET(Demand!$A$13,ROW(B69)-1,4+((QUOTIENT(COLUMN(BR$2)-69,3))*5)+MOD(COLUMN(BR$2),3),1,1),"")</f>
        <v>0</v>
      </c>
      <c r="BS72">
        <f ca="1">IF($AN72="",OFFSET(Demand!$A$13,ROW(C69)-1,4+((QUOTIENT(COLUMN(BS$2)-69,3))*5)+MOD(COLUMN(BS$2),3),1,1),"")</f>
        <v>0</v>
      </c>
      <c r="BT72">
        <f ca="1">IF($AN72="",OFFSET(Demand!$A$13,ROW(D69)-1,4+((QUOTIENT(COLUMN(BT$2)-69,3))*5)+MOD(COLUMN(BT$2),3),1,1),"")</f>
        <v>0</v>
      </c>
      <c r="BU72">
        <f ca="1">IF($AN72="",OFFSET(Demand!$A$13,ROW(E69)-1,4+((QUOTIENT(COLUMN(BU$2)-69,3))*5)+MOD(COLUMN(BU$2),3),1,1),"")</f>
        <v>0</v>
      </c>
      <c r="BV72">
        <f ca="1">IF($AN72="",OFFSET(Demand!$A$13,ROW(F69)-1,4+((QUOTIENT(COLUMN(BV$2)-69,3))*5)+MOD(COLUMN(BV$2),3),1,1),"")</f>
        <v>0</v>
      </c>
      <c r="BW72">
        <f ca="1">IF($AN72="",OFFSET(Demand!$A$13,ROW(G69)-1,4+((QUOTIENT(COLUMN(BW$2)-69,3))*5)+MOD(COLUMN(BW$2),3),1,1),"")</f>
        <v>0</v>
      </c>
      <c r="BX72">
        <f ca="1">IF($AN72="",OFFSET(Demand!$A$13,ROW(H69)-1,4+((QUOTIENT(COLUMN(BX$2)-69,3))*5)+MOD(COLUMN(BX$2),3),1,1),"")</f>
        <v>0</v>
      </c>
      <c r="BY72">
        <f ca="1">IF($AN72="",OFFSET(Demand!$A$13,ROW(I69)-1,4+((QUOTIENT(COLUMN(BY$2)-69,3))*5)+MOD(COLUMN(BY$2),3),1,1),"")</f>
        <v>0</v>
      </c>
      <c r="BZ72">
        <f ca="1">IF($AN72="",OFFSET(Demand!$A$13,ROW(J69)-1,4+((QUOTIENT(COLUMN(BZ$2)-69,3))*5)+MOD(COLUMN(BZ$2),3),1,1),"")</f>
        <v>0</v>
      </c>
      <c r="CA72">
        <f ca="1">IF($AN72="",OFFSET(Demand!$A$13,ROW(K69)-1,4+((QUOTIENT(COLUMN(CA$2)-69,3))*5)+MOD(COLUMN(CA$2),3),1,1),"")</f>
        <v>0</v>
      </c>
      <c r="CB72">
        <f ca="1">IF($AN72="",OFFSET(Demand!$A$13,ROW(L69)-1,4+((QUOTIENT(COLUMN(CB$2)-69,3))*5)+MOD(COLUMN(CB$2),3),1,1),"")</f>
        <v>0</v>
      </c>
      <c r="CC72">
        <f ca="1">IF($AN72="",OFFSET(Demand!$A$13,ROW(M69)-1,4+((QUOTIENT(COLUMN(CC$2)-69,3))*5)+MOD(COLUMN(CC$2),3),1,1),"")</f>
        <v>0</v>
      </c>
      <c r="CD72">
        <f ca="1">IF($AN72="",OFFSET(Demand!$A$13,ROW(N69)-1,4+((QUOTIENT(COLUMN(CD$2)-69,3))*5)+MOD(COLUMN(CD$2),3),1,1),"")</f>
        <v>0</v>
      </c>
      <c r="CE72">
        <f ca="1">IF($AN72="",OFFSET(Demand!$A$13,ROW(O69)-1,4+((QUOTIENT(COLUMN(CE$2)-69,3))*5)+MOD(COLUMN(CE$2),3),1,1),"")</f>
        <v>0</v>
      </c>
      <c r="CF72">
        <f ca="1">IF($AN72="",OFFSET(Demand!$A$13,ROW(P69)-1,4+((QUOTIENT(COLUMN(CF$2)-69,3))*5)+MOD(COLUMN(CF$2),3),1,1),"")</f>
        <v>0</v>
      </c>
      <c r="CG72">
        <f ca="1">IF($AN72="",OFFSET(Demand!$A$13,ROW(Q69)-1,4+((QUOTIENT(COLUMN(CG$2)-69,3))*5)+MOD(COLUMN(CG$2),3),1,1),"")</f>
        <v>0</v>
      </c>
      <c r="CH72">
        <f ca="1">IF($AN72="",OFFSET(Demand!$A$13,ROW(R69)-1,4+((QUOTIENT(COLUMN(CH$2)-69,3))*5)+MOD(COLUMN(CH$2),3),1,1),"")</f>
        <v>0</v>
      </c>
      <c r="CI72">
        <f ca="1">IF($AN72="",OFFSET(Demand!$A$13,ROW(S69)-1,4+((QUOTIENT(COLUMN(CI$2)-69,3))*5)+MOD(COLUMN(CI$2),3),1,1),"")</f>
        <v>0</v>
      </c>
      <c r="CJ72">
        <f ca="1">IF($AN72="",OFFSET(Demand!$A$13,ROW(T69)-1,4+((QUOTIENT(COLUMN(CJ$2)-69,3))*5)+MOD(COLUMN(CJ$2),3),1,1),"")</f>
        <v>0</v>
      </c>
      <c r="CK72">
        <f ca="1">IF($AN72="",OFFSET(Demand!$A$13,ROW(U69)-1,4+((QUOTIENT(COLUMN(CK$2)-69,3))*5)+MOD(COLUMN(CK$2),3),1,1),"")</f>
        <v>0</v>
      </c>
      <c r="CL72">
        <f ca="1">IF($AN72="",OFFSET(Demand!$A$13,ROW(V69)-1,4+((QUOTIENT(COLUMN(CL$2)-69,3))*5)+MOD(COLUMN(CL$2),3),1,1),"")</f>
        <v>0</v>
      </c>
      <c r="CM72">
        <f ca="1">IF($AN72="",OFFSET(Demand!$A$13,ROW(W69)-1,4+((QUOTIENT(COLUMN(CM$2)-69,3))*5)+MOD(COLUMN(CM$2),3),1,1),"")</f>
        <v>0</v>
      </c>
      <c r="CN72">
        <f ca="1">IF($AN72="",OFFSET(Demand!$A$13,ROW(X69)-1,4+((QUOTIENT(COLUMN(CN$2)-69,3))*5)+MOD(COLUMN(CN$2),3),1,1),"")</f>
        <v>0</v>
      </c>
      <c r="CO72">
        <f ca="1">IF($AN72="",OFFSET(Demand!$A$13,ROW(Y69)-1,4+((QUOTIENT(COLUMN(CO$2)-69,3))*5)+MOD(COLUMN(CO$2),3),1,1),"")</f>
        <v>0</v>
      </c>
      <c r="CP72">
        <f ca="1">IF($AN72="",OFFSET(Demand!$A$13,ROW(Z69)-1,4+((QUOTIENT(COLUMN(CP$2)-69,3))*5)+MOD(COLUMN(CP$2),3),1,1),"")</f>
        <v>0</v>
      </c>
      <c r="CQ72">
        <f ca="1">IF($AN72="",OFFSET(Demand!$A$13,ROW(AA69)-1,4+((QUOTIENT(COLUMN(CQ$2)-69,3))*5)+MOD(COLUMN(CQ$2),3),1,1),"")</f>
        <v>0</v>
      </c>
      <c r="CR72">
        <f ca="1">IF($AN72="",OFFSET(Demand!$A$13,ROW(AB69)-1,4+((QUOTIENT(COLUMN(CR$2)-69,3))*5)+MOD(COLUMN(CR$2),3),1,1),"")</f>
        <v>0</v>
      </c>
      <c r="CS72">
        <f ca="1">IF($AN72="",OFFSET(Demand!$A$13,ROW(AC69)-1,4+((QUOTIENT(COLUMN(CS$2)-69,3))*5)+MOD(COLUMN(CS$2),3),1,1),"")</f>
        <v>0</v>
      </c>
      <c r="CT72">
        <f ca="1">IF($AN72="",OFFSET(Demand!$A$13,ROW(AD69)-1,4+((QUOTIENT(COLUMN(CT$2)-69,3))*5)+MOD(COLUMN(CT$2),3),1,1),"")</f>
        <v>0</v>
      </c>
      <c r="CW72" s="5">
        <f ca="1">SUM(OFFSET(Demand!$H$43,ROW(A69)-1,(COLUMN(A69)-1)*5,1,1))*N$2</f>
        <v>0</v>
      </c>
      <c r="CX72" s="5">
        <f ca="1">SUM(OFFSET(Demand!$H$43,ROW(B69)-1,(COLUMN(B69)-1)*5,1,1))*O$2</f>
        <v>0</v>
      </c>
      <c r="CY72" s="5">
        <f ca="1">SUM(OFFSET(Demand!$H$43,ROW(C69)-1,(COLUMN(C69)-1)*5,1,1))*P$2</f>
        <v>0</v>
      </c>
      <c r="CZ72" s="5">
        <f ca="1">SUM(OFFSET(Demand!$H$43,ROW(D69)-1,(COLUMN(D69)-1)*5,1,1))*Q$2</f>
        <v>0</v>
      </c>
      <c r="DA72" s="5">
        <f ca="1">SUM(OFFSET(Demand!$H$43,ROW(E69)-1,(COLUMN(E69)-1)*5,1,1))*R$2</f>
        <v>0</v>
      </c>
      <c r="DB72" s="5">
        <f ca="1">SUM(OFFSET(Demand!$H$43,ROW(F69)-1,(COLUMN(F69)-1)*5,1,1))*S$2</f>
        <v>0</v>
      </c>
      <c r="DC72" s="5">
        <f ca="1">SUM(OFFSET(Demand!$H$43,ROW(G69)-1,(COLUMN(G69)-1)*5,1,1))*T$2</f>
        <v>0</v>
      </c>
      <c r="DD72" s="5">
        <f ca="1">SUM(OFFSET(Demand!$H$43,ROW(H69)-1,(COLUMN(H69)-1)*5,1,1))*U$2</f>
        <v>0</v>
      </c>
      <c r="DE72" s="5">
        <f ca="1">SUM(OFFSET(Demand!$H$43,ROW(I69)-1,(COLUMN(I69)-1)*5,1,1))*V$2</f>
        <v>0</v>
      </c>
      <c r="DF72" s="5">
        <f ca="1">SUM(OFFSET(Demand!$H$43,ROW(J69)-1,(COLUMN(J69)-1)*5,1,1))*W$2</f>
        <v>0</v>
      </c>
      <c r="DG72" s="5">
        <f ca="1">IF(OR(AN72&lt;&gt;"",AND('Demand adjustments for Covid'!$F$9="Yes",'Demand adjustments for Covid'!$F$20="Yes")),"",SUM(CW72:DF72))</f>
        <v>0</v>
      </c>
    </row>
    <row r="73" spans="1:111" x14ac:dyDescent="0.25">
      <c r="A73" s="5">
        <f t="shared" ca="1" si="34"/>
        <v>1</v>
      </c>
      <c r="B73" s="5">
        <f ca="1">COUNTBLANK(OFFSET(Demand!$I82,0,(COLUMN(A70)-1)*5,1,1))</f>
        <v>1</v>
      </c>
      <c r="C73" s="5">
        <f ca="1">COUNTBLANK(OFFSET(Demand!$I82,0,(COLUMN(B70)-1)*5,1,1))</f>
        <v>1</v>
      </c>
      <c r="D73" s="5">
        <f ca="1">COUNTBLANK(OFFSET(Demand!$I82,0,(COLUMN(C70)-1)*5,1,1))</f>
        <v>1</v>
      </c>
      <c r="E73" s="5">
        <f ca="1">COUNTBLANK(OFFSET(Demand!$I82,0,(COLUMN(D70)-1)*5,1,1))</f>
        <v>1</v>
      </c>
      <c r="F73" s="5">
        <f ca="1">COUNTBLANK(OFFSET(Demand!$I82,0,(COLUMN(E70)-1)*5,1,1))</f>
        <v>1</v>
      </c>
      <c r="G73" s="5">
        <f ca="1">COUNTBLANK(OFFSET(Demand!$I82,0,(COLUMN(F70)-1)*5,1,1))</f>
        <v>1</v>
      </c>
      <c r="H73" s="5">
        <f ca="1">COUNTBLANK(OFFSET(Demand!$I82,0,(COLUMN(G70)-1)*5,1,1))</f>
        <v>1</v>
      </c>
      <c r="I73" s="5">
        <f ca="1">COUNTBLANK(OFFSET(Demand!$I82,0,(COLUMN(H70)-1)*5,1,1))</f>
        <v>1</v>
      </c>
      <c r="J73" s="5">
        <f ca="1">COUNTBLANK(OFFSET(Demand!$I82,0,(COLUMN(I70)-1)*5,1,1))</f>
        <v>1</v>
      </c>
      <c r="K73" s="5">
        <f ca="1">COUNTBLANK(OFFSET(Demand!$I82,0,(COLUMN(J70)-1)*5,1,1))</f>
        <v>1</v>
      </c>
      <c r="N73" s="5">
        <f ca="1">SUM(OFFSET(Demand!$E82,0,(COLUMN(A70)-1)*5,1,3))*N$2</f>
        <v>0</v>
      </c>
      <c r="O73" s="5">
        <f ca="1">SUM(OFFSET(Demand!$E82,0,(COLUMN(B70)-1)*5,1,3))*O$2</f>
        <v>0</v>
      </c>
      <c r="P73" s="5">
        <f ca="1">SUM(OFFSET(Demand!$E82,0,(COLUMN(C70)-1)*5,1,3))*P$2</f>
        <v>0</v>
      </c>
      <c r="Q73" s="5">
        <f ca="1">SUM(OFFSET(Demand!$E82,0,(COLUMN(D70)-1)*5,1,3))*Q$2</f>
        <v>0</v>
      </c>
      <c r="R73" s="5">
        <f ca="1">SUM(OFFSET(Demand!$E82,0,(COLUMN(E70)-1)*5,1,3))*R$2</f>
        <v>0</v>
      </c>
      <c r="S73" s="5">
        <f ca="1">SUM(OFFSET(Demand!$E82,0,(COLUMN(F70)-1)*5,1,3))*S$2</f>
        <v>0</v>
      </c>
      <c r="T73" s="5">
        <f ca="1">SUM(OFFSET(Demand!$E82,0,(COLUMN(G70)-1)*5,1,3))*T$2</f>
        <v>0</v>
      </c>
      <c r="U73" s="5">
        <f ca="1">SUM(OFFSET(Demand!$E82,0,(COLUMN(H70)-1)*5,1,3))*U$2</f>
        <v>0</v>
      </c>
      <c r="V73" s="5">
        <f ca="1">SUM(OFFSET(Demand!$E82,0,(COLUMN(I70)-1)*5,1,3))*V$2</f>
        <v>0</v>
      </c>
      <c r="W73" s="5">
        <f ca="1">SUM(OFFSET(Demand!$E82,0,(COLUMN(J70)-1)*5,1,3))*W$2</f>
        <v>0</v>
      </c>
      <c r="X73" s="5">
        <f t="shared" ca="1" si="37"/>
        <v>0</v>
      </c>
      <c r="Y73">
        <f t="shared" ca="1" si="38"/>
        <v>0</v>
      </c>
      <c r="Z73" s="5">
        <f ca="1">SUM(OFFSET(Demand!$H82,0,(COLUMN(A70)-1)*5,1,1))*N$2</f>
        <v>0</v>
      </c>
      <c r="AA73" s="5">
        <f ca="1">SUM(OFFSET(Demand!$H82,0,(COLUMN(B70)-1)*5,1,1))*O$2</f>
        <v>0</v>
      </c>
      <c r="AB73" s="5">
        <f ca="1">SUM(OFFSET(Demand!$H82,0,(COLUMN(C70)-1)*5,1,1))*P$2</f>
        <v>0</v>
      </c>
      <c r="AC73" s="5">
        <f ca="1">SUM(OFFSET(Demand!$H82,0,(COLUMN(D70)-1)*5,1,1))*Q$2</f>
        <v>0</v>
      </c>
      <c r="AD73" s="5">
        <f ca="1">SUM(OFFSET(Demand!$H82,0,(COLUMN(E70)-1)*5,1,1))*R$2</f>
        <v>0</v>
      </c>
      <c r="AE73" s="5">
        <f ca="1">SUM(OFFSET(Demand!$H82,0,(COLUMN(F70)-1)*5,1,1))*S$2</f>
        <v>0</v>
      </c>
      <c r="AF73" s="5">
        <f ca="1">SUM(OFFSET(Demand!$H82,0,(COLUMN(G70)-1)*5,1,1))*T$2</f>
        <v>0</v>
      </c>
      <c r="AG73" s="5">
        <f ca="1">SUM(OFFSET(Demand!$H82,0,(COLUMN(H70)-1)*5,1,1))*U$2</f>
        <v>0</v>
      </c>
      <c r="AH73" s="5">
        <f ca="1">SUM(OFFSET(Demand!$H82,0,(COLUMN(I70)-1)*5,1,1))*V$2</f>
        <v>0</v>
      </c>
      <c r="AI73" s="5">
        <f ca="1">SUM(OFFSET(Demand!$H82,0,(COLUMN(J70)-1)*5,1,1))*W$2</f>
        <v>0</v>
      </c>
      <c r="AJ73" s="5">
        <f t="shared" ca="1" si="39"/>
        <v>0</v>
      </c>
      <c r="AL73" s="5">
        <f t="shared" ca="1" si="40"/>
        <v>0</v>
      </c>
      <c r="AM73" s="5">
        <f t="shared" ca="1" si="41"/>
        <v>0</v>
      </c>
      <c r="AN73" s="5" t="str">
        <f>IF(Demand!BE82="Yes","Yes","")</f>
        <v/>
      </c>
      <c r="AP73" s="36" t="str">
        <f ca="1">Demand!B82</f>
        <v xml:space="preserve"> </v>
      </c>
      <c r="AQ73" t="str">
        <f ca="1">IF(TEXT(Demand!D82,"MMM")&lt;&gt;TEXT(Demand!D81,"MMM"),TEXT(Demand!D82,"MMM"),"")</f>
        <v/>
      </c>
      <c r="AT73" s="5">
        <f t="shared" ca="1" si="42"/>
        <v>0</v>
      </c>
      <c r="BQ73">
        <f ca="1">IF($AN73="",OFFSET(Demand!$A$13,ROW(A70)-1,4+((QUOTIENT(COLUMN(BQ$2)-69,3))*5)+MOD(COLUMN(BQ$2),3),1,1),"")</f>
        <v>0</v>
      </c>
      <c r="BR73">
        <f ca="1">IF($AN73="",OFFSET(Demand!$A$13,ROW(B70)-1,4+((QUOTIENT(COLUMN(BR$2)-69,3))*5)+MOD(COLUMN(BR$2),3),1,1),"")</f>
        <v>0</v>
      </c>
      <c r="BS73">
        <f ca="1">IF($AN73="",OFFSET(Demand!$A$13,ROW(C70)-1,4+((QUOTIENT(COLUMN(BS$2)-69,3))*5)+MOD(COLUMN(BS$2),3),1,1),"")</f>
        <v>0</v>
      </c>
      <c r="BT73">
        <f ca="1">IF($AN73="",OFFSET(Demand!$A$13,ROW(D70)-1,4+((QUOTIENT(COLUMN(BT$2)-69,3))*5)+MOD(COLUMN(BT$2),3),1,1),"")</f>
        <v>0</v>
      </c>
      <c r="BU73">
        <f ca="1">IF($AN73="",OFFSET(Demand!$A$13,ROW(E70)-1,4+((QUOTIENT(COLUMN(BU$2)-69,3))*5)+MOD(COLUMN(BU$2),3),1,1),"")</f>
        <v>0</v>
      </c>
      <c r="BV73">
        <f ca="1">IF($AN73="",OFFSET(Demand!$A$13,ROW(F70)-1,4+((QUOTIENT(COLUMN(BV$2)-69,3))*5)+MOD(COLUMN(BV$2),3),1,1),"")</f>
        <v>0</v>
      </c>
      <c r="BW73">
        <f ca="1">IF($AN73="",OFFSET(Demand!$A$13,ROW(G70)-1,4+((QUOTIENT(COLUMN(BW$2)-69,3))*5)+MOD(COLUMN(BW$2),3),1,1),"")</f>
        <v>0</v>
      </c>
      <c r="BX73">
        <f ca="1">IF($AN73="",OFFSET(Demand!$A$13,ROW(H70)-1,4+((QUOTIENT(COLUMN(BX$2)-69,3))*5)+MOD(COLUMN(BX$2),3),1,1),"")</f>
        <v>0</v>
      </c>
      <c r="BY73">
        <f ca="1">IF($AN73="",OFFSET(Demand!$A$13,ROW(I70)-1,4+((QUOTIENT(COLUMN(BY$2)-69,3))*5)+MOD(COLUMN(BY$2),3),1,1),"")</f>
        <v>0</v>
      </c>
      <c r="BZ73">
        <f ca="1">IF($AN73="",OFFSET(Demand!$A$13,ROW(J70)-1,4+((QUOTIENT(COLUMN(BZ$2)-69,3))*5)+MOD(COLUMN(BZ$2),3),1,1),"")</f>
        <v>0</v>
      </c>
      <c r="CA73">
        <f ca="1">IF($AN73="",OFFSET(Demand!$A$13,ROW(K70)-1,4+((QUOTIENT(COLUMN(CA$2)-69,3))*5)+MOD(COLUMN(CA$2),3),1,1),"")</f>
        <v>0</v>
      </c>
      <c r="CB73">
        <f ca="1">IF($AN73="",OFFSET(Demand!$A$13,ROW(L70)-1,4+((QUOTIENT(COLUMN(CB$2)-69,3))*5)+MOD(COLUMN(CB$2),3),1,1),"")</f>
        <v>0</v>
      </c>
      <c r="CC73">
        <f ca="1">IF($AN73="",OFFSET(Demand!$A$13,ROW(M70)-1,4+((QUOTIENT(COLUMN(CC$2)-69,3))*5)+MOD(COLUMN(CC$2),3),1,1),"")</f>
        <v>0</v>
      </c>
      <c r="CD73">
        <f ca="1">IF($AN73="",OFFSET(Demand!$A$13,ROW(N70)-1,4+((QUOTIENT(COLUMN(CD$2)-69,3))*5)+MOD(COLUMN(CD$2),3),1,1),"")</f>
        <v>0</v>
      </c>
      <c r="CE73">
        <f ca="1">IF($AN73="",OFFSET(Demand!$A$13,ROW(O70)-1,4+((QUOTIENT(COLUMN(CE$2)-69,3))*5)+MOD(COLUMN(CE$2),3),1,1),"")</f>
        <v>0</v>
      </c>
      <c r="CF73">
        <f ca="1">IF($AN73="",OFFSET(Demand!$A$13,ROW(P70)-1,4+((QUOTIENT(COLUMN(CF$2)-69,3))*5)+MOD(COLUMN(CF$2),3),1,1),"")</f>
        <v>0</v>
      </c>
      <c r="CG73">
        <f ca="1">IF($AN73="",OFFSET(Demand!$A$13,ROW(Q70)-1,4+((QUOTIENT(COLUMN(CG$2)-69,3))*5)+MOD(COLUMN(CG$2),3),1,1),"")</f>
        <v>0</v>
      </c>
      <c r="CH73">
        <f ca="1">IF($AN73="",OFFSET(Demand!$A$13,ROW(R70)-1,4+((QUOTIENT(COLUMN(CH$2)-69,3))*5)+MOD(COLUMN(CH$2),3),1,1),"")</f>
        <v>0</v>
      </c>
      <c r="CI73">
        <f ca="1">IF($AN73="",OFFSET(Demand!$A$13,ROW(S70)-1,4+((QUOTIENT(COLUMN(CI$2)-69,3))*5)+MOD(COLUMN(CI$2),3),1,1),"")</f>
        <v>0</v>
      </c>
      <c r="CJ73">
        <f ca="1">IF($AN73="",OFFSET(Demand!$A$13,ROW(T70)-1,4+((QUOTIENT(COLUMN(CJ$2)-69,3))*5)+MOD(COLUMN(CJ$2),3),1,1),"")</f>
        <v>0</v>
      </c>
      <c r="CK73">
        <f ca="1">IF($AN73="",OFFSET(Demand!$A$13,ROW(U70)-1,4+((QUOTIENT(COLUMN(CK$2)-69,3))*5)+MOD(COLUMN(CK$2),3),1,1),"")</f>
        <v>0</v>
      </c>
      <c r="CL73">
        <f ca="1">IF($AN73="",OFFSET(Demand!$A$13,ROW(V70)-1,4+((QUOTIENT(COLUMN(CL$2)-69,3))*5)+MOD(COLUMN(CL$2),3),1,1),"")</f>
        <v>0</v>
      </c>
      <c r="CM73">
        <f ca="1">IF($AN73="",OFFSET(Demand!$A$13,ROW(W70)-1,4+((QUOTIENT(COLUMN(CM$2)-69,3))*5)+MOD(COLUMN(CM$2),3),1,1),"")</f>
        <v>0</v>
      </c>
      <c r="CN73">
        <f ca="1">IF($AN73="",OFFSET(Demand!$A$13,ROW(X70)-1,4+((QUOTIENT(COLUMN(CN$2)-69,3))*5)+MOD(COLUMN(CN$2),3),1,1),"")</f>
        <v>0</v>
      </c>
      <c r="CO73">
        <f ca="1">IF($AN73="",OFFSET(Demand!$A$13,ROW(Y70)-1,4+((QUOTIENT(COLUMN(CO$2)-69,3))*5)+MOD(COLUMN(CO$2),3),1,1),"")</f>
        <v>0</v>
      </c>
      <c r="CP73">
        <f ca="1">IF($AN73="",OFFSET(Demand!$A$13,ROW(Z70)-1,4+((QUOTIENT(COLUMN(CP$2)-69,3))*5)+MOD(COLUMN(CP$2),3),1,1),"")</f>
        <v>0</v>
      </c>
      <c r="CQ73">
        <f ca="1">IF($AN73="",OFFSET(Demand!$A$13,ROW(AA70)-1,4+((QUOTIENT(COLUMN(CQ$2)-69,3))*5)+MOD(COLUMN(CQ$2),3),1,1),"")</f>
        <v>0</v>
      </c>
      <c r="CR73">
        <f ca="1">IF($AN73="",OFFSET(Demand!$A$13,ROW(AB70)-1,4+((QUOTIENT(COLUMN(CR$2)-69,3))*5)+MOD(COLUMN(CR$2),3),1,1),"")</f>
        <v>0</v>
      </c>
      <c r="CS73">
        <f ca="1">IF($AN73="",OFFSET(Demand!$A$13,ROW(AC70)-1,4+((QUOTIENT(COLUMN(CS$2)-69,3))*5)+MOD(COLUMN(CS$2),3),1,1),"")</f>
        <v>0</v>
      </c>
      <c r="CT73">
        <f ca="1">IF($AN73="",OFFSET(Demand!$A$13,ROW(AD70)-1,4+((QUOTIENT(COLUMN(CT$2)-69,3))*5)+MOD(COLUMN(CT$2),3),1,1),"")</f>
        <v>0</v>
      </c>
      <c r="CW73" s="5">
        <f ca="1">SUM(OFFSET(Demand!$H$43,ROW(A70)-1,(COLUMN(A70)-1)*5,1,1))*N$2</f>
        <v>0</v>
      </c>
      <c r="CX73" s="5">
        <f ca="1">SUM(OFFSET(Demand!$H$43,ROW(B70)-1,(COLUMN(B70)-1)*5,1,1))*O$2</f>
        <v>0</v>
      </c>
      <c r="CY73" s="5">
        <f ca="1">SUM(OFFSET(Demand!$H$43,ROW(C70)-1,(COLUMN(C70)-1)*5,1,1))*P$2</f>
        <v>0</v>
      </c>
      <c r="CZ73" s="5">
        <f ca="1">SUM(OFFSET(Demand!$H$43,ROW(D70)-1,(COLUMN(D70)-1)*5,1,1))*Q$2</f>
        <v>0</v>
      </c>
      <c r="DA73" s="5">
        <f ca="1">SUM(OFFSET(Demand!$H$43,ROW(E70)-1,(COLUMN(E70)-1)*5,1,1))*R$2</f>
        <v>0</v>
      </c>
      <c r="DB73" s="5">
        <f ca="1">SUM(OFFSET(Demand!$H$43,ROW(F70)-1,(COLUMN(F70)-1)*5,1,1))*S$2</f>
        <v>0</v>
      </c>
      <c r="DC73" s="5">
        <f ca="1">SUM(OFFSET(Demand!$H$43,ROW(G70)-1,(COLUMN(G70)-1)*5,1,1))*T$2</f>
        <v>0</v>
      </c>
      <c r="DD73" s="5">
        <f ca="1">SUM(OFFSET(Demand!$H$43,ROW(H70)-1,(COLUMN(H70)-1)*5,1,1))*U$2</f>
        <v>0</v>
      </c>
      <c r="DE73" s="5">
        <f ca="1">SUM(OFFSET(Demand!$H$43,ROW(I70)-1,(COLUMN(I70)-1)*5,1,1))*V$2</f>
        <v>0</v>
      </c>
      <c r="DF73" s="5">
        <f ca="1">SUM(OFFSET(Demand!$H$43,ROW(J70)-1,(COLUMN(J70)-1)*5,1,1))*W$2</f>
        <v>0</v>
      </c>
      <c r="DG73" s="5">
        <f ca="1">IF(OR(AN73&lt;&gt;"",AND('Demand adjustments for Covid'!$F$9="Yes",'Demand adjustments for Covid'!$F$20="Yes")),"",SUM(CW73:DF73))</f>
        <v>0</v>
      </c>
    </row>
    <row r="74" spans="1:111" x14ac:dyDescent="0.25">
      <c r="A74" s="5">
        <f t="shared" ca="1" si="34"/>
        <v>1</v>
      </c>
      <c r="B74" s="5">
        <f ca="1">COUNTBLANK(OFFSET(Demand!$I83,0,(COLUMN(A71)-1)*5,1,1))</f>
        <v>1</v>
      </c>
      <c r="C74" s="5">
        <f ca="1">COUNTBLANK(OFFSET(Demand!$I83,0,(COLUMN(B71)-1)*5,1,1))</f>
        <v>1</v>
      </c>
      <c r="D74" s="5">
        <f ca="1">COUNTBLANK(OFFSET(Demand!$I83,0,(COLUMN(C71)-1)*5,1,1))</f>
        <v>1</v>
      </c>
      <c r="E74" s="5">
        <f ca="1">COUNTBLANK(OFFSET(Demand!$I83,0,(COLUMN(D71)-1)*5,1,1))</f>
        <v>1</v>
      </c>
      <c r="F74" s="5">
        <f ca="1">COUNTBLANK(OFFSET(Demand!$I83,0,(COLUMN(E71)-1)*5,1,1))</f>
        <v>1</v>
      </c>
      <c r="G74" s="5">
        <f ca="1">COUNTBLANK(OFFSET(Demand!$I83,0,(COLUMN(F71)-1)*5,1,1))</f>
        <v>1</v>
      </c>
      <c r="H74" s="5">
        <f ca="1">COUNTBLANK(OFFSET(Demand!$I83,0,(COLUMN(G71)-1)*5,1,1))</f>
        <v>1</v>
      </c>
      <c r="I74" s="5">
        <f ca="1">COUNTBLANK(OFFSET(Demand!$I83,0,(COLUMN(H71)-1)*5,1,1))</f>
        <v>1</v>
      </c>
      <c r="J74" s="5">
        <f ca="1">COUNTBLANK(OFFSET(Demand!$I83,0,(COLUMN(I71)-1)*5,1,1))</f>
        <v>1</v>
      </c>
      <c r="K74" s="5">
        <f ca="1">COUNTBLANK(OFFSET(Demand!$I83,0,(COLUMN(J71)-1)*5,1,1))</f>
        <v>1</v>
      </c>
      <c r="N74" s="5">
        <f ca="1">SUM(OFFSET(Demand!$E83,0,(COLUMN(A71)-1)*5,1,3))*N$2</f>
        <v>0</v>
      </c>
      <c r="O74" s="5">
        <f ca="1">SUM(OFFSET(Demand!$E83,0,(COLUMN(B71)-1)*5,1,3))*O$2</f>
        <v>0</v>
      </c>
      <c r="P74" s="5">
        <f ca="1">SUM(OFFSET(Demand!$E83,0,(COLUMN(C71)-1)*5,1,3))*P$2</f>
        <v>0</v>
      </c>
      <c r="Q74" s="5">
        <f ca="1">SUM(OFFSET(Demand!$E83,0,(COLUMN(D71)-1)*5,1,3))*Q$2</f>
        <v>0</v>
      </c>
      <c r="R74" s="5">
        <f ca="1">SUM(OFFSET(Demand!$E83,0,(COLUMN(E71)-1)*5,1,3))*R$2</f>
        <v>0</v>
      </c>
      <c r="S74" s="5">
        <f ca="1">SUM(OFFSET(Demand!$E83,0,(COLUMN(F71)-1)*5,1,3))*S$2</f>
        <v>0</v>
      </c>
      <c r="T74" s="5">
        <f ca="1">SUM(OFFSET(Demand!$E83,0,(COLUMN(G71)-1)*5,1,3))*T$2</f>
        <v>0</v>
      </c>
      <c r="U74" s="5">
        <f ca="1">SUM(OFFSET(Demand!$E83,0,(COLUMN(H71)-1)*5,1,3))*U$2</f>
        <v>0</v>
      </c>
      <c r="V74" s="5">
        <f ca="1">SUM(OFFSET(Demand!$E83,0,(COLUMN(I71)-1)*5,1,3))*V$2</f>
        <v>0</v>
      </c>
      <c r="W74" s="5">
        <f ca="1">SUM(OFFSET(Demand!$E83,0,(COLUMN(J71)-1)*5,1,3))*W$2</f>
        <v>0</v>
      </c>
      <c r="X74" s="5">
        <f t="shared" ca="1" si="37"/>
        <v>0</v>
      </c>
      <c r="Y74">
        <f t="shared" ca="1" si="38"/>
        <v>0</v>
      </c>
      <c r="Z74" s="5">
        <f ca="1">SUM(OFFSET(Demand!$H83,0,(COLUMN(A71)-1)*5,1,1))*N$2</f>
        <v>0</v>
      </c>
      <c r="AA74" s="5">
        <f ca="1">SUM(OFFSET(Demand!$H83,0,(COLUMN(B71)-1)*5,1,1))*O$2</f>
        <v>0</v>
      </c>
      <c r="AB74" s="5">
        <f ca="1">SUM(OFFSET(Demand!$H83,0,(COLUMN(C71)-1)*5,1,1))*P$2</f>
        <v>0</v>
      </c>
      <c r="AC74" s="5">
        <f ca="1">SUM(OFFSET(Demand!$H83,0,(COLUMN(D71)-1)*5,1,1))*Q$2</f>
        <v>0</v>
      </c>
      <c r="AD74" s="5">
        <f ca="1">SUM(OFFSET(Demand!$H83,0,(COLUMN(E71)-1)*5,1,1))*R$2</f>
        <v>0</v>
      </c>
      <c r="AE74" s="5">
        <f ca="1">SUM(OFFSET(Demand!$H83,0,(COLUMN(F71)-1)*5,1,1))*S$2</f>
        <v>0</v>
      </c>
      <c r="AF74" s="5">
        <f ca="1">SUM(OFFSET(Demand!$H83,0,(COLUMN(G71)-1)*5,1,1))*T$2</f>
        <v>0</v>
      </c>
      <c r="AG74" s="5">
        <f ca="1">SUM(OFFSET(Demand!$H83,0,(COLUMN(H71)-1)*5,1,1))*U$2</f>
        <v>0</v>
      </c>
      <c r="AH74" s="5">
        <f ca="1">SUM(OFFSET(Demand!$H83,0,(COLUMN(I71)-1)*5,1,1))*V$2</f>
        <v>0</v>
      </c>
      <c r="AI74" s="5">
        <f ca="1">SUM(OFFSET(Demand!$H83,0,(COLUMN(J71)-1)*5,1,1))*W$2</f>
        <v>0</v>
      </c>
      <c r="AJ74" s="5">
        <f t="shared" ca="1" si="39"/>
        <v>0</v>
      </c>
      <c r="AL74" s="5">
        <f t="shared" ca="1" si="40"/>
        <v>0</v>
      </c>
      <c r="AM74" s="5">
        <f t="shared" ca="1" si="41"/>
        <v>0</v>
      </c>
      <c r="AN74" s="5" t="str">
        <f>IF(Demand!BE83="Yes","Yes","")</f>
        <v/>
      </c>
      <c r="AP74" s="36" t="str">
        <f ca="1">Demand!B83</f>
        <v xml:space="preserve"> </v>
      </c>
      <c r="AQ74" t="str">
        <f ca="1">IF(TEXT(Demand!D83,"MMM")&lt;&gt;TEXT(Demand!D82,"MMM"),TEXT(Demand!D83,"MMM"),"")</f>
        <v/>
      </c>
      <c r="AT74" s="5">
        <f t="shared" ca="1" si="42"/>
        <v>0</v>
      </c>
      <c r="BQ74">
        <f ca="1">IF($AN74="",OFFSET(Demand!$A$13,ROW(A71)-1,4+((QUOTIENT(COLUMN(BQ$2)-69,3))*5)+MOD(COLUMN(BQ$2),3),1,1),"")</f>
        <v>0</v>
      </c>
      <c r="BR74">
        <f ca="1">IF($AN74="",OFFSET(Demand!$A$13,ROW(B71)-1,4+((QUOTIENT(COLUMN(BR$2)-69,3))*5)+MOD(COLUMN(BR$2),3),1,1),"")</f>
        <v>0</v>
      </c>
      <c r="BS74">
        <f ca="1">IF($AN74="",OFFSET(Demand!$A$13,ROW(C71)-1,4+((QUOTIENT(COLUMN(BS$2)-69,3))*5)+MOD(COLUMN(BS$2),3),1,1),"")</f>
        <v>0</v>
      </c>
      <c r="BT74">
        <f ca="1">IF($AN74="",OFFSET(Demand!$A$13,ROW(D71)-1,4+((QUOTIENT(COLUMN(BT$2)-69,3))*5)+MOD(COLUMN(BT$2),3),1,1),"")</f>
        <v>0</v>
      </c>
      <c r="BU74">
        <f ca="1">IF($AN74="",OFFSET(Demand!$A$13,ROW(E71)-1,4+((QUOTIENT(COLUMN(BU$2)-69,3))*5)+MOD(COLUMN(BU$2),3),1,1),"")</f>
        <v>0</v>
      </c>
      <c r="BV74">
        <f ca="1">IF($AN74="",OFFSET(Demand!$A$13,ROW(F71)-1,4+((QUOTIENT(COLUMN(BV$2)-69,3))*5)+MOD(COLUMN(BV$2),3),1,1),"")</f>
        <v>0</v>
      </c>
      <c r="BW74">
        <f ca="1">IF($AN74="",OFFSET(Demand!$A$13,ROW(G71)-1,4+((QUOTIENT(COLUMN(BW$2)-69,3))*5)+MOD(COLUMN(BW$2),3),1,1),"")</f>
        <v>0</v>
      </c>
      <c r="BX74">
        <f ca="1">IF($AN74="",OFFSET(Demand!$A$13,ROW(H71)-1,4+((QUOTIENT(COLUMN(BX$2)-69,3))*5)+MOD(COLUMN(BX$2),3),1,1),"")</f>
        <v>0</v>
      </c>
      <c r="BY74">
        <f ca="1">IF($AN74="",OFFSET(Demand!$A$13,ROW(I71)-1,4+((QUOTIENT(COLUMN(BY$2)-69,3))*5)+MOD(COLUMN(BY$2),3),1,1),"")</f>
        <v>0</v>
      </c>
      <c r="BZ74">
        <f ca="1">IF($AN74="",OFFSET(Demand!$A$13,ROW(J71)-1,4+((QUOTIENT(COLUMN(BZ$2)-69,3))*5)+MOD(COLUMN(BZ$2),3),1,1),"")</f>
        <v>0</v>
      </c>
      <c r="CA74">
        <f ca="1">IF($AN74="",OFFSET(Demand!$A$13,ROW(K71)-1,4+((QUOTIENT(COLUMN(CA$2)-69,3))*5)+MOD(COLUMN(CA$2),3),1,1),"")</f>
        <v>0</v>
      </c>
      <c r="CB74">
        <f ca="1">IF($AN74="",OFFSET(Demand!$A$13,ROW(L71)-1,4+((QUOTIENT(COLUMN(CB$2)-69,3))*5)+MOD(COLUMN(CB$2),3),1,1),"")</f>
        <v>0</v>
      </c>
      <c r="CC74">
        <f ca="1">IF($AN74="",OFFSET(Demand!$A$13,ROW(M71)-1,4+((QUOTIENT(COLUMN(CC$2)-69,3))*5)+MOD(COLUMN(CC$2),3),1,1),"")</f>
        <v>0</v>
      </c>
      <c r="CD74">
        <f ca="1">IF($AN74="",OFFSET(Demand!$A$13,ROW(N71)-1,4+((QUOTIENT(COLUMN(CD$2)-69,3))*5)+MOD(COLUMN(CD$2),3),1,1),"")</f>
        <v>0</v>
      </c>
      <c r="CE74">
        <f ca="1">IF($AN74="",OFFSET(Demand!$A$13,ROW(O71)-1,4+((QUOTIENT(COLUMN(CE$2)-69,3))*5)+MOD(COLUMN(CE$2),3),1,1),"")</f>
        <v>0</v>
      </c>
      <c r="CF74">
        <f ca="1">IF($AN74="",OFFSET(Demand!$A$13,ROW(P71)-1,4+((QUOTIENT(COLUMN(CF$2)-69,3))*5)+MOD(COLUMN(CF$2),3),1,1),"")</f>
        <v>0</v>
      </c>
      <c r="CG74">
        <f ca="1">IF($AN74="",OFFSET(Demand!$A$13,ROW(Q71)-1,4+((QUOTIENT(COLUMN(CG$2)-69,3))*5)+MOD(COLUMN(CG$2),3),1,1),"")</f>
        <v>0</v>
      </c>
      <c r="CH74">
        <f ca="1">IF($AN74="",OFFSET(Demand!$A$13,ROW(R71)-1,4+((QUOTIENT(COLUMN(CH$2)-69,3))*5)+MOD(COLUMN(CH$2),3),1,1),"")</f>
        <v>0</v>
      </c>
      <c r="CI74">
        <f ca="1">IF($AN74="",OFFSET(Demand!$A$13,ROW(S71)-1,4+((QUOTIENT(COLUMN(CI$2)-69,3))*5)+MOD(COLUMN(CI$2),3),1,1),"")</f>
        <v>0</v>
      </c>
      <c r="CJ74">
        <f ca="1">IF($AN74="",OFFSET(Demand!$A$13,ROW(T71)-1,4+((QUOTIENT(COLUMN(CJ$2)-69,3))*5)+MOD(COLUMN(CJ$2),3),1,1),"")</f>
        <v>0</v>
      </c>
      <c r="CK74">
        <f ca="1">IF($AN74="",OFFSET(Demand!$A$13,ROW(U71)-1,4+((QUOTIENT(COLUMN(CK$2)-69,3))*5)+MOD(COLUMN(CK$2),3),1,1),"")</f>
        <v>0</v>
      </c>
      <c r="CL74">
        <f ca="1">IF($AN74="",OFFSET(Demand!$A$13,ROW(V71)-1,4+((QUOTIENT(COLUMN(CL$2)-69,3))*5)+MOD(COLUMN(CL$2),3),1,1),"")</f>
        <v>0</v>
      </c>
      <c r="CM74">
        <f ca="1">IF($AN74="",OFFSET(Demand!$A$13,ROW(W71)-1,4+((QUOTIENT(COLUMN(CM$2)-69,3))*5)+MOD(COLUMN(CM$2),3),1,1),"")</f>
        <v>0</v>
      </c>
      <c r="CN74">
        <f ca="1">IF($AN74="",OFFSET(Demand!$A$13,ROW(X71)-1,4+((QUOTIENT(COLUMN(CN$2)-69,3))*5)+MOD(COLUMN(CN$2),3),1,1),"")</f>
        <v>0</v>
      </c>
      <c r="CO74">
        <f ca="1">IF($AN74="",OFFSET(Demand!$A$13,ROW(Y71)-1,4+((QUOTIENT(COLUMN(CO$2)-69,3))*5)+MOD(COLUMN(CO$2),3),1,1),"")</f>
        <v>0</v>
      </c>
      <c r="CP74">
        <f ca="1">IF($AN74="",OFFSET(Demand!$A$13,ROW(Z71)-1,4+((QUOTIENT(COLUMN(CP$2)-69,3))*5)+MOD(COLUMN(CP$2),3),1,1),"")</f>
        <v>0</v>
      </c>
      <c r="CQ74">
        <f ca="1">IF($AN74="",OFFSET(Demand!$A$13,ROW(AA71)-1,4+((QUOTIENT(COLUMN(CQ$2)-69,3))*5)+MOD(COLUMN(CQ$2),3),1,1),"")</f>
        <v>0</v>
      </c>
      <c r="CR74">
        <f ca="1">IF($AN74="",OFFSET(Demand!$A$13,ROW(AB71)-1,4+((QUOTIENT(COLUMN(CR$2)-69,3))*5)+MOD(COLUMN(CR$2),3),1,1),"")</f>
        <v>0</v>
      </c>
      <c r="CS74">
        <f ca="1">IF($AN74="",OFFSET(Demand!$A$13,ROW(AC71)-1,4+((QUOTIENT(COLUMN(CS$2)-69,3))*5)+MOD(COLUMN(CS$2),3),1,1),"")</f>
        <v>0</v>
      </c>
      <c r="CT74">
        <f ca="1">IF($AN74="",OFFSET(Demand!$A$13,ROW(AD71)-1,4+((QUOTIENT(COLUMN(CT$2)-69,3))*5)+MOD(COLUMN(CT$2),3),1,1),"")</f>
        <v>0</v>
      </c>
      <c r="CW74" s="5">
        <f ca="1">SUM(OFFSET(Demand!$H$43,ROW(A71)-1,(COLUMN(A71)-1)*5,1,1))*N$2</f>
        <v>0</v>
      </c>
      <c r="CX74" s="5">
        <f ca="1">SUM(OFFSET(Demand!$H$43,ROW(B71)-1,(COLUMN(B71)-1)*5,1,1))*O$2</f>
        <v>0</v>
      </c>
      <c r="CY74" s="5">
        <f ca="1">SUM(OFFSET(Demand!$H$43,ROW(C71)-1,(COLUMN(C71)-1)*5,1,1))*P$2</f>
        <v>0</v>
      </c>
      <c r="CZ74" s="5">
        <f ca="1">SUM(OFFSET(Demand!$H$43,ROW(D71)-1,(COLUMN(D71)-1)*5,1,1))*Q$2</f>
        <v>0</v>
      </c>
      <c r="DA74" s="5">
        <f ca="1">SUM(OFFSET(Demand!$H$43,ROW(E71)-1,(COLUMN(E71)-1)*5,1,1))*R$2</f>
        <v>0</v>
      </c>
      <c r="DB74" s="5">
        <f ca="1">SUM(OFFSET(Demand!$H$43,ROW(F71)-1,(COLUMN(F71)-1)*5,1,1))*S$2</f>
        <v>0</v>
      </c>
      <c r="DC74" s="5">
        <f ca="1">SUM(OFFSET(Demand!$H$43,ROW(G71)-1,(COLUMN(G71)-1)*5,1,1))*T$2</f>
        <v>0</v>
      </c>
      <c r="DD74" s="5">
        <f ca="1">SUM(OFFSET(Demand!$H$43,ROW(H71)-1,(COLUMN(H71)-1)*5,1,1))*U$2</f>
        <v>0</v>
      </c>
      <c r="DE74" s="5">
        <f ca="1">SUM(OFFSET(Demand!$H$43,ROW(I71)-1,(COLUMN(I71)-1)*5,1,1))*V$2</f>
        <v>0</v>
      </c>
      <c r="DF74" s="5">
        <f ca="1">SUM(OFFSET(Demand!$H$43,ROW(J71)-1,(COLUMN(J71)-1)*5,1,1))*W$2</f>
        <v>0</v>
      </c>
      <c r="DG74" s="5">
        <f ca="1">IF(OR(AN74&lt;&gt;"",AND('Demand adjustments for Covid'!$F$9="Yes",'Demand adjustments for Covid'!$F$20="Yes")),"",SUM(CW74:DF74))</f>
        <v>0</v>
      </c>
    </row>
    <row r="75" spans="1:111" x14ac:dyDescent="0.25">
      <c r="A75" s="5">
        <f t="shared" ca="1" si="34"/>
        <v>1</v>
      </c>
      <c r="B75" s="5">
        <f ca="1">COUNTBLANK(OFFSET(Demand!$I84,0,(COLUMN(A72)-1)*5,1,1))</f>
        <v>1</v>
      </c>
      <c r="C75" s="5">
        <f ca="1">COUNTBLANK(OFFSET(Demand!$I84,0,(COLUMN(B72)-1)*5,1,1))</f>
        <v>1</v>
      </c>
      <c r="D75" s="5">
        <f ca="1">COUNTBLANK(OFFSET(Demand!$I84,0,(COLUMN(C72)-1)*5,1,1))</f>
        <v>1</v>
      </c>
      <c r="E75" s="5">
        <f ca="1">COUNTBLANK(OFFSET(Demand!$I84,0,(COLUMN(D72)-1)*5,1,1))</f>
        <v>1</v>
      </c>
      <c r="F75" s="5">
        <f ca="1">COUNTBLANK(OFFSET(Demand!$I84,0,(COLUMN(E72)-1)*5,1,1))</f>
        <v>1</v>
      </c>
      <c r="G75" s="5">
        <f ca="1">COUNTBLANK(OFFSET(Demand!$I84,0,(COLUMN(F72)-1)*5,1,1))</f>
        <v>1</v>
      </c>
      <c r="H75" s="5">
        <f ca="1">COUNTBLANK(OFFSET(Demand!$I84,0,(COLUMN(G72)-1)*5,1,1))</f>
        <v>1</v>
      </c>
      <c r="I75" s="5">
        <f ca="1">COUNTBLANK(OFFSET(Demand!$I84,0,(COLUMN(H72)-1)*5,1,1))</f>
        <v>1</v>
      </c>
      <c r="J75" s="5">
        <f ca="1">COUNTBLANK(OFFSET(Demand!$I84,0,(COLUMN(I72)-1)*5,1,1))</f>
        <v>1</v>
      </c>
      <c r="K75" s="5">
        <f ca="1">COUNTBLANK(OFFSET(Demand!$I84,0,(COLUMN(J72)-1)*5,1,1))</f>
        <v>1</v>
      </c>
      <c r="N75" s="5">
        <f ca="1">SUM(OFFSET(Demand!$E84,0,(COLUMN(A72)-1)*5,1,3))*N$2</f>
        <v>0</v>
      </c>
      <c r="O75" s="5">
        <f ca="1">SUM(OFFSET(Demand!$E84,0,(COLUMN(B72)-1)*5,1,3))*O$2</f>
        <v>0</v>
      </c>
      <c r="P75" s="5">
        <f ca="1">SUM(OFFSET(Demand!$E84,0,(COLUMN(C72)-1)*5,1,3))*P$2</f>
        <v>0</v>
      </c>
      <c r="Q75" s="5">
        <f ca="1">SUM(OFFSET(Demand!$E84,0,(COLUMN(D72)-1)*5,1,3))*Q$2</f>
        <v>0</v>
      </c>
      <c r="R75" s="5">
        <f ca="1">SUM(OFFSET(Demand!$E84,0,(COLUMN(E72)-1)*5,1,3))*R$2</f>
        <v>0</v>
      </c>
      <c r="S75" s="5">
        <f ca="1">SUM(OFFSET(Demand!$E84,0,(COLUMN(F72)-1)*5,1,3))*S$2</f>
        <v>0</v>
      </c>
      <c r="T75" s="5">
        <f ca="1">SUM(OFFSET(Demand!$E84,0,(COLUMN(G72)-1)*5,1,3))*T$2</f>
        <v>0</v>
      </c>
      <c r="U75" s="5">
        <f ca="1">SUM(OFFSET(Demand!$E84,0,(COLUMN(H72)-1)*5,1,3))*U$2</f>
        <v>0</v>
      </c>
      <c r="V75" s="5">
        <f ca="1">SUM(OFFSET(Demand!$E84,0,(COLUMN(I72)-1)*5,1,3))*V$2</f>
        <v>0</v>
      </c>
      <c r="W75" s="5">
        <f ca="1">SUM(OFFSET(Demand!$E84,0,(COLUMN(J72)-1)*5,1,3))*W$2</f>
        <v>0</v>
      </c>
      <c r="X75" s="5">
        <f t="shared" ca="1" si="37"/>
        <v>0</v>
      </c>
      <c r="Y75">
        <f t="shared" ca="1" si="38"/>
        <v>0</v>
      </c>
      <c r="Z75" s="5">
        <f ca="1">SUM(OFFSET(Demand!$H84,0,(COLUMN(A72)-1)*5,1,1))*N$2</f>
        <v>0</v>
      </c>
      <c r="AA75" s="5">
        <f ca="1">SUM(OFFSET(Demand!$H84,0,(COLUMN(B72)-1)*5,1,1))*O$2</f>
        <v>0</v>
      </c>
      <c r="AB75" s="5">
        <f ca="1">SUM(OFFSET(Demand!$H84,0,(COLUMN(C72)-1)*5,1,1))*P$2</f>
        <v>0</v>
      </c>
      <c r="AC75" s="5">
        <f ca="1">SUM(OFFSET(Demand!$H84,0,(COLUMN(D72)-1)*5,1,1))*Q$2</f>
        <v>0</v>
      </c>
      <c r="AD75" s="5">
        <f ca="1">SUM(OFFSET(Demand!$H84,0,(COLUMN(E72)-1)*5,1,1))*R$2</f>
        <v>0</v>
      </c>
      <c r="AE75" s="5">
        <f ca="1">SUM(OFFSET(Demand!$H84,0,(COLUMN(F72)-1)*5,1,1))*S$2</f>
        <v>0</v>
      </c>
      <c r="AF75" s="5">
        <f ca="1">SUM(OFFSET(Demand!$H84,0,(COLUMN(G72)-1)*5,1,1))*T$2</f>
        <v>0</v>
      </c>
      <c r="AG75" s="5">
        <f ca="1">SUM(OFFSET(Demand!$H84,0,(COLUMN(H72)-1)*5,1,1))*U$2</f>
        <v>0</v>
      </c>
      <c r="AH75" s="5">
        <f ca="1">SUM(OFFSET(Demand!$H84,0,(COLUMN(I72)-1)*5,1,1))*V$2</f>
        <v>0</v>
      </c>
      <c r="AI75" s="5">
        <f ca="1">SUM(OFFSET(Demand!$H84,0,(COLUMN(J72)-1)*5,1,1))*W$2</f>
        <v>0</v>
      </c>
      <c r="AJ75" s="5">
        <f t="shared" ca="1" si="39"/>
        <v>0</v>
      </c>
      <c r="AL75" s="5">
        <f t="shared" ca="1" si="40"/>
        <v>0</v>
      </c>
      <c r="AM75" s="5">
        <f t="shared" ca="1" si="41"/>
        <v>0</v>
      </c>
      <c r="AN75" s="5" t="str">
        <f>IF(Demand!BE84="Yes","Yes","")</f>
        <v/>
      </c>
      <c r="AP75" s="36" t="str">
        <f ca="1">Demand!B84</f>
        <v xml:space="preserve"> </v>
      </c>
      <c r="AQ75" t="str">
        <f ca="1">IF(TEXT(Demand!D84,"MMM")&lt;&gt;TEXT(Demand!D83,"MMM"),TEXT(Demand!D84,"MMM"),"")</f>
        <v/>
      </c>
      <c r="AT75" s="5">
        <f t="shared" ca="1" si="42"/>
        <v>0</v>
      </c>
      <c r="BQ75">
        <f ca="1">IF($AN75="",OFFSET(Demand!$A$13,ROW(A72)-1,4+((QUOTIENT(COLUMN(BQ$2)-69,3))*5)+MOD(COLUMN(BQ$2),3),1,1),"")</f>
        <v>0</v>
      </c>
      <c r="BR75">
        <f ca="1">IF($AN75="",OFFSET(Demand!$A$13,ROW(B72)-1,4+((QUOTIENT(COLUMN(BR$2)-69,3))*5)+MOD(COLUMN(BR$2),3),1,1),"")</f>
        <v>0</v>
      </c>
      <c r="BS75">
        <f ca="1">IF($AN75="",OFFSET(Demand!$A$13,ROW(C72)-1,4+((QUOTIENT(COLUMN(BS$2)-69,3))*5)+MOD(COLUMN(BS$2),3),1,1),"")</f>
        <v>0</v>
      </c>
      <c r="BT75">
        <f ca="1">IF($AN75="",OFFSET(Demand!$A$13,ROW(D72)-1,4+((QUOTIENT(COLUMN(BT$2)-69,3))*5)+MOD(COLUMN(BT$2),3),1,1),"")</f>
        <v>0</v>
      </c>
      <c r="BU75">
        <f ca="1">IF($AN75="",OFFSET(Demand!$A$13,ROW(E72)-1,4+((QUOTIENT(COLUMN(BU$2)-69,3))*5)+MOD(COLUMN(BU$2),3),1,1),"")</f>
        <v>0</v>
      </c>
      <c r="BV75">
        <f ca="1">IF($AN75="",OFFSET(Demand!$A$13,ROW(F72)-1,4+((QUOTIENT(COLUMN(BV$2)-69,3))*5)+MOD(COLUMN(BV$2),3),1,1),"")</f>
        <v>0</v>
      </c>
      <c r="BW75">
        <f ca="1">IF($AN75="",OFFSET(Demand!$A$13,ROW(G72)-1,4+((QUOTIENT(COLUMN(BW$2)-69,3))*5)+MOD(COLUMN(BW$2),3),1,1),"")</f>
        <v>0</v>
      </c>
      <c r="BX75">
        <f ca="1">IF($AN75="",OFFSET(Demand!$A$13,ROW(H72)-1,4+((QUOTIENT(COLUMN(BX$2)-69,3))*5)+MOD(COLUMN(BX$2),3),1,1),"")</f>
        <v>0</v>
      </c>
      <c r="BY75">
        <f ca="1">IF($AN75="",OFFSET(Demand!$A$13,ROW(I72)-1,4+((QUOTIENT(COLUMN(BY$2)-69,3))*5)+MOD(COLUMN(BY$2),3),1,1),"")</f>
        <v>0</v>
      </c>
      <c r="BZ75">
        <f ca="1">IF($AN75="",OFFSET(Demand!$A$13,ROW(J72)-1,4+((QUOTIENT(COLUMN(BZ$2)-69,3))*5)+MOD(COLUMN(BZ$2),3),1,1),"")</f>
        <v>0</v>
      </c>
      <c r="CA75">
        <f ca="1">IF($AN75="",OFFSET(Demand!$A$13,ROW(K72)-1,4+((QUOTIENT(COLUMN(CA$2)-69,3))*5)+MOD(COLUMN(CA$2),3),1,1),"")</f>
        <v>0</v>
      </c>
      <c r="CB75">
        <f ca="1">IF($AN75="",OFFSET(Demand!$A$13,ROW(L72)-1,4+((QUOTIENT(COLUMN(CB$2)-69,3))*5)+MOD(COLUMN(CB$2),3),1,1),"")</f>
        <v>0</v>
      </c>
      <c r="CC75">
        <f ca="1">IF($AN75="",OFFSET(Demand!$A$13,ROW(M72)-1,4+((QUOTIENT(COLUMN(CC$2)-69,3))*5)+MOD(COLUMN(CC$2),3),1,1),"")</f>
        <v>0</v>
      </c>
      <c r="CD75">
        <f ca="1">IF($AN75="",OFFSET(Demand!$A$13,ROW(N72)-1,4+((QUOTIENT(COLUMN(CD$2)-69,3))*5)+MOD(COLUMN(CD$2),3),1,1),"")</f>
        <v>0</v>
      </c>
      <c r="CE75">
        <f ca="1">IF($AN75="",OFFSET(Demand!$A$13,ROW(O72)-1,4+((QUOTIENT(COLUMN(CE$2)-69,3))*5)+MOD(COLUMN(CE$2),3),1,1),"")</f>
        <v>0</v>
      </c>
      <c r="CF75">
        <f ca="1">IF($AN75="",OFFSET(Demand!$A$13,ROW(P72)-1,4+((QUOTIENT(COLUMN(CF$2)-69,3))*5)+MOD(COLUMN(CF$2),3),1,1),"")</f>
        <v>0</v>
      </c>
      <c r="CG75">
        <f ca="1">IF($AN75="",OFFSET(Demand!$A$13,ROW(Q72)-1,4+((QUOTIENT(COLUMN(CG$2)-69,3))*5)+MOD(COLUMN(CG$2),3),1,1),"")</f>
        <v>0</v>
      </c>
      <c r="CH75">
        <f ca="1">IF($AN75="",OFFSET(Demand!$A$13,ROW(R72)-1,4+((QUOTIENT(COLUMN(CH$2)-69,3))*5)+MOD(COLUMN(CH$2),3),1,1),"")</f>
        <v>0</v>
      </c>
      <c r="CI75">
        <f ca="1">IF($AN75="",OFFSET(Demand!$A$13,ROW(S72)-1,4+((QUOTIENT(COLUMN(CI$2)-69,3))*5)+MOD(COLUMN(CI$2),3),1,1),"")</f>
        <v>0</v>
      </c>
      <c r="CJ75">
        <f ca="1">IF($AN75="",OFFSET(Demand!$A$13,ROW(T72)-1,4+((QUOTIENT(COLUMN(CJ$2)-69,3))*5)+MOD(COLUMN(CJ$2),3),1,1),"")</f>
        <v>0</v>
      </c>
      <c r="CK75">
        <f ca="1">IF($AN75="",OFFSET(Demand!$A$13,ROW(U72)-1,4+((QUOTIENT(COLUMN(CK$2)-69,3))*5)+MOD(COLUMN(CK$2),3),1,1),"")</f>
        <v>0</v>
      </c>
      <c r="CL75">
        <f ca="1">IF($AN75="",OFFSET(Demand!$A$13,ROW(V72)-1,4+((QUOTIENT(COLUMN(CL$2)-69,3))*5)+MOD(COLUMN(CL$2),3),1,1),"")</f>
        <v>0</v>
      </c>
      <c r="CM75">
        <f ca="1">IF($AN75="",OFFSET(Demand!$A$13,ROW(W72)-1,4+((QUOTIENT(COLUMN(CM$2)-69,3))*5)+MOD(COLUMN(CM$2),3),1,1),"")</f>
        <v>0</v>
      </c>
      <c r="CN75">
        <f ca="1">IF($AN75="",OFFSET(Demand!$A$13,ROW(X72)-1,4+((QUOTIENT(COLUMN(CN$2)-69,3))*5)+MOD(COLUMN(CN$2),3),1,1),"")</f>
        <v>0</v>
      </c>
      <c r="CO75">
        <f ca="1">IF($AN75="",OFFSET(Demand!$A$13,ROW(Y72)-1,4+((QUOTIENT(COLUMN(CO$2)-69,3))*5)+MOD(COLUMN(CO$2),3),1,1),"")</f>
        <v>0</v>
      </c>
      <c r="CP75">
        <f ca="1">IF($AN75="",OFFSET(Demand!$A$13,ROW(Z72)-1,4+((QUOTIENT(COLUMN(CP$2)-69,3))*5)+MOD(COLUMN(CP$2),3),1,1),"")</f>
        <v>0</v>
      </c>
      <c r="CQ75">
        <f ca="1">IF($AN75="",OFFSET(Demand!$A$13,ROW(AA72)-1,4+((QUOTIENT(COLUMN(CQ$2)-69,3))*5)+MOD(COLUMN(CQ$2),3),1,1),"")</f>
        <v>0</v>
      </c>
      <c r="CR75">
        <f ca="1">IF($AN75="",OFFSET(Demand!$A$13,ROW(AB72)-1,4+((QUOTIENT(COLUMN(CR$2)-69,3))*5)+MOD(COLUMN(CR$2),3),1,1),"")</f>
        <v>0</v>
      </c>
      <c r="CS75">
        <f ca="1">IF($AN75="",OFFSET(Demand!$A$13,ROW(AC72)-1,4+((QUOTIENT(COLUMN(CS$2)-69,3))*5)+MOD(COLUMN(CS$2),3),1,1),"")</f>
        <v>0</v>
      </c>
      <c r="CT75">
        <f ca="1">IF($AN75="",OFFSET(Demand!$A$13,ROW(AD72)-1,4+((QUOTIENT(COLUMN(CT$2)-69,3))*5)+MOD(COLUMN(CT$2),3),1,1),"")</f>
        <v>0</v>
      </c>
      <c r="CW75" s="5">
        <f ca="1">SUM(OFFSET(Demand!$H$43,ROW(A72)-1,(COLUMN(A72)-1)*5,1,1))*N$2</f>
        <v>0</v>
      </c>
      <c r="CX75" s="5">
        <f ca="1">SUM(OFFSET(Demand!$H$43,ROW(B72)-1,(COLUMN(B72)-1)*5,1,1))*O$2</f>
        <v>0</v>
      </c>
      <c r="CY75" s="5">
        <f ca="1">SUM(OFFSET(Demand!$H$43,ROW(C72)-1,(COLUMN(C72)-1)*5,1,1))*P$2</f>
        <v>0</v>
      </c>
      <c r="CZ75" s="5">
        <f ca="1">SUM(OFFSET(Demand!$H$43,ROW(D72)-1,(COLUMN(D72)-1)*5,1,1))*Q$2</f>
        <v>0</v>
      </c>
      <c r="DA75" s="5">
        <f ca="1">SUM(OFFSET(Demand!$H$43,ROW(E72)-1,(COLUMN(E72)-1)*5,1,1))*R$2</f>
        <v>0</v>
      </c>
      <c r="DB75" s="5">
        <f ca="1">SUM(OFFSET(Demand!$H$43,ROW(F72)-1,(COLUMN(F72)-1)*5,1,1))*S$2</f>
        <v>0</v>
      </c>
      <c r="DC75" s="5">
        <f ca="1">SUM(OFFSET(Demand!$H$43,ROW(G72)-1,(COLUMN(G72)-1)*5,1,1))*T$2</f>
        <v>0</v>
      </c>
      <c r="DD75" s="5">
        <f ca="1">SUM(OFFSET(Demand!$H$43,ROW(H72)-1,(COLUMN(H72)-1)*5,1,1))*U$2</f>
        <v>0</v>
      </c>
      <c r="DE75" s="5">
        <f ca="1">SUM(OFFSET(Demand!$H$43,ROW(I72)-1,(COLUMN(I72)-1)*5,1,1))*V$2</f>
        <v>0</v>
      </c>
      <c r="DF75" s="5">
        <f ca="1">SUM(OFFSET(Demand!$H$43,ROW(J72)-1,(COLUMN(J72)-1)*5,1,1))*W$2</f>
        <v>0</v>
      </c>
      <c r="DG75" s="5">
        <f ca="1">IF(OR(AN75&lt;&gt;"",AND('Demand adjustments for Covid'!$F$9="Yes",'Demand adjustments for Covid'!$F$20="Yes")),"",SUM(CW75:DF75))</f>
        <v>0</v>
      </c>
    </row>
    <row r="76" spans="1:111" x14ac:dyDescent="0.25">
      <c r="A76" s="5">
        <f t="shared" ca="1" si="34"/>
        <v>1</v>
      </c>
      <c r="B76" s="5">
        <f ca="1">COUNTBLANK(OFFSET(Demand!$I85,0,(COLUMN(A73)-1)*5,1,1))</f>
        <v>1</v>
      </c>
      <c r="C76" s="5">
        <f ca="1">COUNTBLANK(OFFSET(Demand!$I85,0,(COLUMN(B73)-1)*5,1,1))</f>
        <v>1</v>
      </c>
      <c r="D76" s="5">
        <f ca="1">COUNTBLANK(OFFSET(Demand!$I85,0,(COLUMN(C73)-1)*5,1,1))</f>
        <v>1</v>
      </c>
      <c r="E76" s="5">
        <f ca="1">COUNTBLANK(OFFSET(Demand!$I85,0,(COLUMN(D73)-1)*5,1,1))</f>
        <v>1</v>
      </c>
      <c r="F76" s="5">
        <f ca="1">COUNTBLANK(OFFSET(Demand!$I85,0,(COLUMN(E73)-1)*5,1,1))</f>
        <v>1</v>
      </c>
      <c r="G76" s="5">
        <f ca="1">COUNTBLANK(OFFSET(Demand!$I85,0,(COLUMN(F73)-1)*5,1,1))</f>
        <v>1</v>
      </c>
      <c r="H76" s="5">
        <f ca="1">COUNTBLANK(OFFSET(Demand!$I85,0,(COLUMN(G73)-1)*5,1,1))</f>
        <v>1</v>
      </c>
      <c r="I76" s="5">
        <f ca="1">COUNTBLANK(OFFSET(Demand!$I85,0,(COLUMN(H73)-1)*5,1,1))</f>
        <v>1</v>
      </c>
      <c r="J76" s="5">
        <f ca="1">COUNTBLANK(OFFSET(Demand!$I85,0,(COLUMN(I73)-1)*5,1,1))</f>
        <v>1</v>
      </c>
      <c r="K76" s="5">
        <f ca="1">COUNTBLANK(OFFSET(Demand!$I85,0,(COLUMN(J73)-1)*5,1,1))</f>
        <v>1</v>
      </c>
      <c r="N76" s="5">
        <f ca="1">SUM(OFFSET(Demand!$E85,0,(COLUMN(A73)-1)*5,1,3))*N$2</f>
        <v>0</v>
      </c>
      <c r="O76" s="5">
        <f ca="1">SUM(OFFSET(Demand!$E85,0,(COLUMN(B73)-1)*5,1,3))*O$2</f>
        <v>0</v>
      </c>
      <c r="P76" s="5">
        <f ca="1">SUM(OFFSET(Demand!$E85,0,(COLUMN(C73)-1)*5,1,3))*P$2</f>
        <v>0</v>
      </c>
      <c r="Q76" s="5">
        <f ca="1">SUM(OFFSET(Demand!$E85,0,(COLUMN(D73)-1)*5,1,3))*Q$2</f>
        <v>0</v>
      </c>
      <c r="R76" s="5">
        <f ca="1">SUM(OFFSET(Demand!$E85,0,(COLUMN(E73)-1)*5,1,3))*R$2</f>
        <v>0</v>
      </c>
      <c r="S76" s="5">
        <f ca="1">SUM(OFFSET(Demand!$E85,0,(COLUMN(F73)-1)*5,1,3))*S$2</f>
        <v>0</v>
      </c>
      <c r="T76" s="5">
        <f ca="1">SUM(OFFSET(Demand!$E85,0,(COLUMN(G73)-1)*5,1,3))*T$2</f>
        <v>0</v>
      </c>
      <c r="U76" s="5">
        <f ca="1">SUM(OFFSET(Demand!$E85,0,(COLUMN(H73)-1)*5,1,3))*U$2</f>
        <v>0</v>
      </c>
      <c r="V76" s="5">
        <f ca="1">SUM(OFFSET(Demand!$E85,0,(COLUMN(I73)-1)*5,1,3))*V$2</f>
        <v>0</v>
      </c>
      <c r="W76" s="5">
        <f ca="1">SUM(OFFSET(Demand!$E85,0,(COLUMN(J73)-1)*5,1,3))*W$2</f>
        <v>0</v>
      </c>
      <c r="X76" s="5">
        <f t="shared" ca="1" si="37"/>
        <v>0</v>
      </c>
      <c r="Y76">
        <f t="shared" ca="1" si="38"/>
        <v>0</v>
      </c>
      <c r="Z76" s="5">
        <f ca="1">SUM(OFFSET(Demand!$H85,0,(COLUMN(A73)-1)*5,1,1))*N$2</f>
        <v>0</v>
      </c>
      <c r="AA76" s="5">
        <f ca="1">SUM(OFFSET(Demand!$H85,0,(COLUMN(B73)-1)*5,1,1))*O$2</f>
        <v>0</v>
      </c>
      <c r="AB76" s="5">
        <f ca="1">SUM(OFFSET(Demand!$H85,0,(COLUMN(C73)-1)*5,1,1))*P$2</f>
        <v>0</v>
      </c>
      <c r="AC76" s="5">
        <f ca="1">SUM(OFFSET(Demand!$H85,0,(COLUMN(D73)-1)*5,1,1))*Q$2</f>
        <v>0</v>
      </c>
      <c r="AD76" s="5">
        <f ca="1">SUM(OFFSET(Demand!$H85,0,(COLUMN(E73)-1)*5,1,1))*R$2</f>
        <v>0</v>
      </c>
      <c r="AE76" s="5">
        <f ca="1">SUM(OFFSET(Demand!$H85,0,(COLUMN(F73)-1)*5,1,1))*S$2</f>
        <v>0</v>
      </c>
      <c r="AF76" s="5">
        <f ca="1">SUM(OFFSET(Demand!$H85,0,(COLUMN(G73)-1)*5,1,1))*T$2</f>
        <v>0</v>
      </c>
      <c r="AG76" s="5">
        <f ca="1">SUM(OFFSET(Demand!$H85,0,(COLUMN(H73)-1)*5,1,1))*U$2</f>
        <v>0</v>
      </c>
      <c r="AH76" s="5">
        <f ca="1">SUM(OFFSET(Demand!$H85,0,(COLUMN(I73)-1)*5,1,1))*V$2</f>
        <v>0</v>
      </c>
      <c r="AI76" s="5">
        <f ca="1">SUM(OFFSET(Demand!$H85,0,(COLUMN(J73)-1)*5,1,1))*W$2</f>
        <v>0</v>
      </c>
      <c r="AJ76" s="5">
        <f t="shared" ca="1" si="39"/>
        <v>0</v>
      </c>
      <c r="AL76" s="5">
        <f t="shared" ca="1" si="40"/>
        <v>0</v>
      </c>
      <c r="AM76" s="5">
        <f t="shared" ca="1" si="41"/>
        <v>0</v>
      </c>
      <c r="AN76" s="5" t="str">
        <f>IF(Demand!BE85="Yes","Yes","")</f>
        <v/>
      </c>
      <c r="AP76" s="36" t="str">
        <f ca="1">Demand!B85</f>
        <v xml:space="preserve"> </v>
      </c>
      <c r="AQ76" t="str">
        <f ca="1">IF(TEXT(Demand!D85,"MMM")&lt;&gt;TEXT(Demand!D84,"MMM"),TEXT(Demand!D85,"MMM"),"")</f>
        <v/>
      </c>
      <c r="AT76" s="5">
        <f t="shared" ca="1" si="42"/>
        <v>0</v>
      </c>
      <c r="BQ76">
        <f ca="1">IF($AN76="",OFFSET(Demand!$A$13,ROW(A73)-1,4+((QUOTIENT(COLUMN(BQ$2)-69,3))*5)+MOD(COLUMN(BQ$2),3),1,1),"")</f>
        <v>0</v>
      </c>
      <c r="BR76">
        <f ca="1">IF($AN76="",OFFSET(Demand!$A$13,ROW(B73)-1,4+((QUOTIENT(COLUMN(BR$2)-69,3))*5)+MOD(COLUMN(BR$2),3),1,1),"")</f>
        <v>0</v>
      </c>
      <c r="BS76">
        <f ca="1">IF($AN76="",OFFSET(Demand!$A$13,ROW(C73)-1,4+((QUOTIENT(COLUMN(BS$2)-69,3))*5)+MOD(COLUMN(BS$2),3),1,1),"")</f>
        <v>0</v>
      </c>
      <c r="BT76">
        <f ca="1">IF($AN76="",OFFSET(Demand!$A$13,ROW(D73)-1,4+((QUOTIENT(COLUMN(BT$2)-69,3))*5)+MOD(COLUMN(BT$2),3),1,1),"")</f>
        <v>0</v>
      </c>
      <c r="BU76">
        <f ca="1">IF($AN76="",OFFSET(Demand!$A$13,ROW(E73)-1,4+((QUOTIENT(COLUMN(BU$2)-69,3))*5)+MOD(COLUMN(BU$2),3),1,1),"")</f>
        <v>0</v>
      </c>
      <c r="BV76">
        <f ca="1">IF($AN76="",OFFSET(Demand!$A$13,ROW(F73)-1,4+((QUOTIENT(COLUMN(BV$2)-69,3))*5)+MOD(COLUMN(BV$2),3),1,1),"")</f>
        <v>0</v>
      </c>
      <c r="BW76">
        <f ca="1">IF($AN76="",OFFSET(Demand!$A$13,ROW(G73)-1,4+((QUOTIENT(COLUMN(BW$2)-69,3))*5)+MOD(COLUMN(BW$2),3),1,1),"")</f>
        <v>0</v>
      </c>
      <c r="BX76">
        <f ca="1">IF($AN76="",OFFSET(Demand!$A$13,ROW(H73)-1,4+((QUOTIENT(COLUMN(BX$2)-69,3))*5)+MOD(COLUMN(BX$2),3),1,1),"")</f>
        <v>0</v>
      </c>
      <c r="BY76">
        <f ca="1">IF($AN76="",OFFSET(Demand!$A$13,ROW(I73)-1,4+((QUOTIENT(COLUMN(BY$2)-69,3))*5)+MOD(COLUMN(BY$2),3),1,1),"")</f>
        <v>0</v>
      </c>
      <c r="BZ76">
        <f ca="1">IF($AN76="",OFFSET(Demand!$A$13,ROW(J73)-1,4+((QUOTIENT(COLUMN(BZ$2)-69,3))*5)+MOD(COLUMN(BZ$2),3),1,1),"")</f>
        <v>0</v>
      </c>
      <c r="CA76">
        <f ca="1">IF($AN76="",OFFSET(Demand!$A$13,ROW(K73)-1,4+((QUOTIENT(COLUMN(CA$2)-69,3))*5)+MOD(COLUMN(CA$2),3),1,1),"")</f>
        <v>0</v>
      </c>
      <c r="CB76">
        <f ca="1">IF($AN76="",OFFSET(Demand!$A$13,ROW(L73)-1,4+((QUOTIENT(COLUMN(CB$2)-69,3))*5)+MOD(COLUMN(CB$2),3),1,1),"")</f>
        <v>0</v>
      </c>
      <c r="CC76">
        <f ca="1">IF($AN76="",OFFSET(Demand!$A$13,ROW(M73)-1,4+((QUOTIENT(COLUMN(CC$2)-69,3))*5)+MOD(COLUMN(CC$2),3),1,1),"")</f>
        <v>0</v>
      </c>
      <c r="CD76">
        <f ca="1">IF($AN76="",OFFSET(Demand!$A$13,ROW(N73)-1,4+((QUOTIENT(COLUMN(CD$2)-69,3))*5)+MOD(COLUMN(CD$2),3),1,1),"")</f>
        <v>0</v>
      </c>
      <c r="CE76">
        <f ca="1">IF($AN76="",OFFSET(Demand!$A$13,ROW(O73)-1,4+((QUOTIENT(COLUMN(CE$2)-69,3))*5)+MOD(COLUMN(CE$2),3),1,1),"")</f>
        <v>0</v>
      </c>
      <c r="CF76">
        <f ca="1">IF($AN76="",OFFSET(Demand!$A$13,ROW(P73)-1,4+((QUOTIENT(COLUMN(CF$2)-69,3))*5)+MOD(COLUMN(CF$2),3),1,1),"")</f>
        <v>0</v>
      </c>
      <c r="CG76">
        <f ca="1">IF($AN76="",OFFSET(Demand!$A$13,ROW(Q73)-1,4+((QUOTIENT(COLUMN(CG$2)-69,3))*5)+MOD(COLUMN(CG$2),3),1,1),"")</f>
        <v>0</v>
      </c>
      <c r="CH76">
        <f ca="1">IF($AN76="",OFFSET(Demand!$A$13,ROW(R73)-1,4+((QUOTIENT(COLUMN(CH$2)-69,3))*5)+MOD(COLUMN(CH$2),3),1,1),"")</f>
        <v>0</v>
      </c>
      <c r="CI76">
        <f ca="1">IF($AN76="",OFFSET(Demand!$A$13,ROW(S73)-1,4+((QUOTIENT(COLUMN(CI$2)-69,3))*5)+MOD(COLUMN(CI$2),3),1,1),"")</f>
        <v>0</v>
      </c>
      <c r="CJ76">
        <f ca="1">IF($AN76="",OFFSET(Demand!$A$13,ROW(T73)-1,4+((QUOTIENT(COLUMN(CJ$2)-69,3))*5)+MOD(COLUMN(CJ$2),3),1,1),"")</f>
        <v>0</v>
      </c>
      <c r="CK76">
        <f ca="1">IF($AN76="",OFFSET(Demand!$A$13,ROW(U73)-1,4+((QUOTIENT(COLUMN(CK$2)-69,3))*5)+MOD(COLUMN(CK$2),3),1,1),"")</f>
        <v>0</v>
      </c>
      <c r="CL76">
        <f ca="1">IF($AN76="",OFFSET(Demand!$A$13,ROW(V73)-1,4+((QUOTIENT(COLUMN(CL$2)-69,3))*5)+MOD(COLUMN(CL$2),3),1,1),"")</f>
        <v>0</v>
      </c>
      <c r="CM76">
        <f ca="1">IF($AN76="",OFFSET(Demand!$A$13,ROW(W73)-1,4+((QUOTIENT(COLUMN(CM$2)-69,3))*5)+MOD(COLUMN(CM$2),3),1,1),"")</f>
        <v>0</v>
      </c>
      <c r="CN76">
        <f ca="1">IF($AN76="",OFFSET(Demand!$A$13,ROW(X73)-1,4+((QUOTIENT(COLUMN(CN$2)-69,3))*5)+MOD(COLUMN(CN$2),3),1,1),"")</f>
        <v>0</v>
      </c>
      <c r="CO76">
        <f ca="1">IF($AN76="",OFFSET(Demand!$A$13,ROW(Y73)-1,4+((QUOTIENT(COLUMN(CO$2)-69,3))*5)+MOD(COLUMN(CO$2),3),1,1),"")</f>
        <v>0</v>
      </c>
      <c r="CP76">
        <f ca="1">IF($AN76="",OFFSET(Demand!$A$13,ROW(Z73)-1,4+((QUOTIENT(COLUMN(CP$2)-69,3))*5)+MOD(COLUMN(CP$2),3),1,1),"")</f>
        <v>0</v>
      </c>
      <c r="CQ76">
        <f ca="1">IF($AN76="",OFFSET(Demand!$A$13,ROW(AA73)-1,4+((QUOTIENT(COLUMN(CQ$2)-69,3))*5)+MOD(COLUMN(CQ$2),3),1,1),"")</f>
        <v>0</v>
      </c>
      <c r="CR76">
        <f ca="1">IF($AN76="",OFFSET(Demand!$A$13,ROW(AB73)-1,4+((QUOTIENT(COLUMN(CR$2)-69,3))*5)+MOD(COLUMN(CR$2),3),1,1),"")</f>
        <v>0</v>
      </c>
      <c r="CS76">
        <f ca="1">IF($AN76="",OFFSET(Demand!$A$13,ROW(AC73)-1,4+((QUOTIENT(COLUMN(CS$2)-69,3))*5)+MOD(COLUMN(CS$2),3),1,1),"")</f>
        <v>0</v>
      </c>
      <c r="CT76">
        <f ca="1">IF($AN76="",OFFSET(Demand!$A$13,ROW(AD73)-1,4+((QUOTIENT(COLUMN(CT$2)-69,3))*5)+MOD(COLUMN(CT$2),3),1,1),"")</f>
        <v>0</v>
      </c>
      <c r="CW76" s="5">
        <f ca="1">SUM(OFFSET(Demand!$H$43,ROW(A73)-1,(COLUMN(A73)-1)*5,1,1))*N$2</f>
        <v>0</v>
      </c>
      <c r="CX76" s="5">
        <f ca="1">SUM(OFFSET(Demand!$H$43,ROW(B73)-1,(COLUMN(B73)-1)*5,1,1))*O$2</f>
        <v>0</v>
      </c>
      <c r="CY76" s="5">
        <f ca="1">SUM(OFFSET(Demand!$H$43,ROW(C73)-1,(COLUMN(C73)-1)*5,1,1))*P$2</f>
        <v>0</v>
      </c>
      <c r="CZ76" s="5">
        <f ca="1">SUM(OFFSET(Demand!$H$43,ROW(D73)-1,(COLUMN(D73)-1)*5,1,1))*Q$2</f>
        <v>0</v>
      </c>
      <c r="DA76" s="5">
        <f ca="1">SUM(OFFSET(Demand!$H$43,ROW(E73)-1,(COLUMN(E73)-1)*5,1,1))*R$2</f>
        <v>0</v>
      </c>
      <c r="DB76" s="5">
        <f ca="1">SUM(OFFSET(Demand!$H$43,ROW(F73)-1,(COLUMN(F73)-1)*5,1,1))*S$2</f>
        <v>0</v>
      </c>
      <c r="DC76" s="5">
        <f ca="1">SUM(OFFSET(Demand!$H$43,ROW(G73)-1,(COLUMN(G73)-1)*5,1,1))*T$2</f>
        <v>0</v>
      </c>
      <c r="DD76" s="5">
        <f ca="1">SUM(OFFSET(Demand!$H$43,ROW(H73)-1,(COLUMN(H73)-1)*5,1,1))*U$2</f>
        <v>0</v>
      </c>
      <c r="DE76" s="5">
        <f ca="1">SUM(OFFSET(Demand!$H$43,ROW(I73)-1,(COLUMN(I73)-1)*5,1,1))*V$2</f>
        <v>0</v>
      </c>
      <c r="DF76" s="5">
        <f ca="1">SUM(OFFSET(Demand!$H$43,ROW(J73)-1,(COLUMN(J73)-1)*5,1,1))*W$2</f>
        <v>0</v>
      </c>
      <c r="DG76" s="5">
        <f ca="1">IF(OR(AN76&lt;&gt;"",AND('Demand adjustments for Covid'!$F$9="Yes",'Demand adjustments for Covid'!$F$20="Yes")),"",SUM(CW76:DF76))</f>
        <v>0</v>
      </c>
    </row>
    <row r="77" spans="1:111" x14ac:dyDescent="0.25">
      <c r="A77" s="5">
        <f t="shared" ca="1" si="34"/>
        <v>1</v>
      </c>
      <c r="B77" s="5">
        <f ca="1">COUNTBLANK(OFFSET(Demand!$I86,0,(COLUMN(A74)-1)*5,1,1))</f>
        <v>1</v>
      </c>
      <c r="C77" s="5">
        <f ca="1">COUNTBLANK(OFFSET(Demand!$I86,0,(COLUMN(B74)-1)*5,1,1))</f>
        <v>1</v>
      </c>
      <c r="D77" s="5">
        <f ca="1">COUNTBLANK(OFFSET(Demand!$I86,0,(COLUMN(C74)-1)*5,1,1))</f>
        <v>1</v>
      </c>
      <c r="E77" s="5">
        <f ca="1">COUNTBLANK(OFFSET(Demand!$I86,0,(COLUMN(D74)-1)*5,1,1))</f>
        <v>1</v>
      </c>
      <c r="F77" s="5">
        <f ca="1">COUNTBLANK(OFFSET(Demand!$I86,0,(COLUMN(E74)-1)*5,1,1))</f>
        <v>1</v>
      </c>
      <c r="G77" s="5">
        <f ca="1">COUNTBLANK(OFFSET(Demand!$I86,0,(COLUMN(F74)-1)*5,1,1))</f>
        <v>1</v>
      </c>
      <c r="H77" s="5">
        <f ca="1">COUNTBLANK(OFFSET(Demand!$I86,0,(COLUMN(G74)-1)*5,1,1))</f>
        <v>1</v>
      </c>
      <c r="I77" s="5">
        <f ca="1">COUNTBLANK(OFFSET(Demand!$I86,0,(COLUMN(H74)-1)*5,1,1))</f>
        <v>1</v>
      </c>
      <c r="J77" s="5">
        <f ca="1">COUNTBLANK(OFFSET(Demand!$I86,0,(COLUMN(I74)-1)*5,1,1))</f>
        <v>1</v>
      </c>
      <c r="K77" s="5">
        <f ca="1">COUNTBLANK(OFFSET(Demand!$I86,0,(COLUMN(J74)-1)*5,1,1))</f>
        <v>1</v>
      </c>
      <c r="N77" s="5">
        <f ca="1">SUM(OFFSET(Demand!$E86,0,(COLUMN(A74)-1)*5,1,3))*N$2</f>
        <v>0</v>
      </c>
      <c r="O77" s="5">
        <f ca="1">SUM(OFFSET(Demand!$E86,0,(COLUMN(B74)-1)*5,1,3))*O$2</f>
        <v>0</v>
      </c>
      <c r="P77" s="5">
        <f ca="1">SUM(OFFSET(Demand!$E86,0,(COLUMN(C74)-1)*5,1,3))*P$2</f>
        <v>0</v>
      </c>
      <c r="Q77" s="5">
        <f ca="1">SUM(OFFSET(Demand!$E86,0,(COLUMN(D74)-1)*5,1,3))*Q$2</f>
        <v>0</v>
      </c>
      <c r="R77" s="5">
        <f ca="1">SUM(OFFSET(Demand!$E86,0,(COLUMN(E74)-1)*5,1,3))*R$2</f>
        <v>0</v>
      </c>
      <c r="S77" s="5">
        <f ca="1">SUM(OFFSET(Demand!$E86,0,(COLUMN(F74)-1)*5,1,3))*S$2</f>
        <v>0</v>
      </c>
      <c r="T77" s="5">
        <f ca="1">SUM(OFFSET(Demand!$E86,0,(COLUMN(G74)-1)*5,1,3))*T$2</f>
        <v>0</v>
      </c>
      <c r="U77" s="5">
        <f ca="1">SUM(OFFSET(Demand!$E86,0,(COLUMN(H74)-1)*5,1,3))*U$2</f>
        <v>0</v>
      </c>
      <c r="V77" s="5">
        <f ca="1">SUM(OFFSET(Demand!$E86,0,(COLUMN(I74)-1)*5,1,3))*V$2</f>
        <v>0</v>
      </c>
      <c r="W77" s="5">
        <f ca="1">SUM(OFFSET(Demand!$E86,0,(COLUMN(J74)-1)*5,1,3))*W$2</f>
        <v>0</v>
      </c>
      <c r="X77" s="5">
        <f t="shared" ca="1" si="37"/>
        <v>0</v>
      </c>
      <c r="Y77">
        <f t="shared" ca="1" si="38"/>
        <v>0</v>
      </c>
      <c r="Z77" s="5">
        <f ca="1">SUM(OFFSET(Demand!$H86,0,(COLUMN(A74)-1)*5,1,1))*N$2</f>
        <v>0</v>
      </c>
      <c r="AA77" s="5">
        <f ca="1">SUM(OFFSET(Demand!$H86,0,(COLUMN(B74)-1)*5,1,1))*O$2</f>
        <v>0</v>
      </c>
      <c r="AB77" s="5">
        <f ca="1">SUM(OFFSET(Demand!$H86,0,(COLUMN(C74)-1)*5,1,1))*P$2</f>
        <v>0</v>
      </c>
      <c r="AC77" s="5">
        <f ca="1">SUM(OFFSET(Demand!$H86,0,(COLUMN(D74)-1)*5,1,1))*Q$2</f>
        <v>0</v>
      </c>
      <c r="AD77" s="5">
        <f ca="1">SUM(OFFSET(Demand!$H86,0,(COLUMN(E74)-1)*5,1,1))*R$2</f>
        <v>0</v>
      </c>
      <c r="AE77" s="5">
        <f ca="1">SUM(OFFSET(Demand!$H86,0,(COLUMN(F74)-1)*5,1,1))*S$2</f>
        <v>0</v>
      </c>
      <c r="AF77" s="5">
        <f ca="1">SUM(OFFSET(Demand!$H86,0,(COLUMN(G74)-1)*5,1,1))*T$2</f>
        <v>0</v>
      </c>
      <c r="AG77" s="5">
        <f ca="1">SUM(OFFSET(Demand!$H86,0,(COLUMN(H74)-1)*5,1,1))*U$2</f>
        <v>0</v>
      </c>
      <c r="AH77" s="5">
        <f ca="1">SUM(OFFSET(Demand!$H86,0,(COLUMN(I74)-1)*5,1,1))*V$2</f>
        <v>0</v>
      </c>
      <c r="AI77" s="5">
        <f ca="1">SUM(OFFSET(Demand!$H86,0,(COLUMN(J74)-1)*5,1,1))*W$2</f>
        <v>0</v>
      </c>
      <c r="AJ77" s="5">
        <f t="shared" ca="1" si="39"/>
        <v>0</v>
      </c>
      <c r="AL77" s="5">
        <f t="shared" ca="1" si="40"/>
        <v>0</v>
      </c>
      <c r="AM77" s="5">
        <f t="shared" ca="1" si="41"/>
        <v>0</v>
      </c>
      <c r="AN77" s="5" t="str">
        <f>IF(Demand!BE86="Yes","Yes","")</f>
        <v/>
      </c>
      <c r="AP77" s="36" t="str">
        <f ca="1">Demand!B86</f>
        <v xml:space="preserve"> </v>
      </c>
      <c r="AQ77" t="str">
        <f ca="1">IF(TEXT(Demand!D86,"MMM")&lt;&gt;TEXT(Demand!D85,"MMM"),TEXT(Demand!D86,"MMM"),"")</f>
        <v/>
      </c>
      <c r="AT77" s="5">
        <f t="shared" ca="1" si="42"/>
        <v>0</v>
      </c>
      <c r="BQ77">
        <f ca="1">IF($AN77="",OFFSET(Demand!$A$13,ROW(A74)-1,4+((QUOTIENT(COLUMN(BQ$2)-69,3))*5)+MOD(COLUMN(BQ$2),3),1,1),"")</f>
        <v>0</v>
      </c>
      <c r="BR77">
        <f ca="1">IF($AN77="",OFFSET(Demand!$A$13,ROW(B74)-1,4+((QUOTIENT(COLUMN(BR$2)-69,3))*5)+MOD(COLUMN(BR$2),3),1,1),"")</f>
        <v>0</v>
      </c>
      <c r="BS77">
        <f ca="1">IF($AN77="",OFFSET(Demand!$A$13,ROW(C74)-1,4+((QUOTIENT(COLUMN(BS$2)-69,3))*5)+MOD(COLUMN(BS$2),3),1,1),"")</f>
        <v>0</v>
      </c>
      <c r="BT77">
        <f ca="1">IF($AN77="",OFFSET(Demand!$A$13,ROW(D74)-1,4+((QUOTIENT(COLUMN(BT$2)-69,3))*5)+MOD(COLUMN(BT$2),3),1,1),"")</f>
        <v>0</v>
      </c>
      <c r="BU77">
        <f ca="1">IF($AN77="",OFFSET(Demand!$A$13,ROW(E74)-1,4+((QUOTIENT(COLUMN(BU$2)-69,3))*5)+MOD(COLUMN(BU$2),3),1,1),"")</f>
        <v>0</v>
      </c>
      <c r="BV77">
        <f ca="1">IF($AN77="",OFFSET(Demand!$A$13,ROW(F74)-1,4+((QUOTIENT(COLUMN(BV$2)-69,3))*5)+MOD(COLUMN(BV$2),3),1,1),"")</f>
        <v>0</v>
      </c>
      <c r="BW77">
        <f ca="1">IF($AN77="",OFFSET(Demand!$A$13,ROW(G74)-1,4+((QUOTIENT(COLUMN(BW$2)-69,3))*5)+MOD(COLUMN(BW$2),3),1,1),"")</f>
        <v>0</v>
      </c>
      <c r="BX77">
        <f ca="1">IF($AN77="",OFFSET(Demand!$A$13,ROW(H74)-1,4+((QUOTIENT(COLUMN(BX$2)-69,3))*5)+MOD(COLUMN(BX$2),3),1,1),"")</f>
        <v>0</v>
      </c>
      <c r="BY77">
        <f ca="1">IF($AN77="",OFFSET(Demand!$A$13,ROW(I74)-1,4+((QUOTIENT(COLUMN(BY$2)-69,3))*5)+MOD(COLUMN(BY$2),3),1,1),"")</f>
        <v>0</v>
      </c>
      <c r="BZ77">
        <f ca="1">IF($AN77="",OFFSET(Demand!$A$13,ROW(J74)-1,4+((QUOTIENT(COLUMN(BZ$2)-69,3))*5)+MOD(COLUMN(BZ$2),3),1,1),"")</f>
        <v>0</v>
      </c>
      <c r="CA77">
        <f ca="1">IF($AN77="",OFFSET(Demand!$A$13,ROW(K74)-1,4+((QUOTIENT(COLUMN(CA$2)-69,3))*5)+MOD(COLUMN(CA$2),3),1,1),"")</f>
        <v>0</v>
      </c>
      <c r="CB77">
        <f ca="1">IF($AN77="",OFFSET(Demand!$A$13,ROW(L74)-1,4+((QUOTIENT(COLUMN(CB$2)-69,3))*5)+MOD(COLUMN(CB$2),3),1,1),"")</f>
        <v>0</v>
      </c>
      <c r="CC77">
        <f ca="1">IF($AN77="",OFFSET(Demand!$A$13,ROW(M74)-1,4+((QUOTIENT(COLUMN(CC$2)-69,3))*5)+MOD(COLUMN(CC$2),3),1,1),"")</f>
        <v>0</v>
      </c>
      <c r="CD77">
        <f ca="1">IF($AN77="",OFFSET(Demand!$A$13,ROW(N74)-1,4+((QUOTIENT(COLUMN(CD$2)-69,3))*5)+MOD(COLUMN(CD$2),3),1,1),"")</f>
        <v>0</v>
      </c>
      <c r="CE77">
        <f ca="1">IF($AN77="",OFFSET(Demand!$A$13,ROW(O74)-1,4+((QUOTIENT(COLUMN(CE$2)-69,3))*5)+MOD(COLUMN(CE$2),3),1,1),"")</f>
        <v>0</v>
      </c>
      <c r="CF77">
        <f ca="1">IF($AN77="",OFFSET(Demand!$A$13,ROW(P74)-1,4+((QUOTIENT(COLUMN(CF$2)-69,3))*5)+MOD(COLUMN(CF$2),3),1,1),"")</f>
        <v>0</v>
      </c>
      <c r="CG77">
        <f ca="1">IF($AN77="",OFFSET(Demand!$A$13,ROW(Q74)-1,4+((QUOTIENT(COLUMN(CG$2)-69,3))*5)+MOD(COLUMN(CG$2),3),1,1),"")</f>
        <v>0</v>
      </c>
      <c r="CH77">
        <f ca="1">IF($AN77="",OFFSET(Demand!$A$13,ROW(R74)-1,4+((QUOTIENT(COLUMN(CH$2)-69,3))*5)+MOD(COLUMN(CH$2),3),1,1),"")</f>
        <v>0</v>
      </c>
      <c r="CI77">
        <f ca="1">IF($AN77="",OFFSET(Demand!$A$13,ROW(S74)-1,4+((QUOTIENT(COLUMN(CI$2)-69,3))*5)+MOD(COLUMN(CI$2),3),1,1),"")</f>
        <v>0</v>
      </c>
      <c r="CJ77">
        <f ca="1">IF($AN77="",OFFSET(Demand!$A$13,ROW(T74)-1,4+((QUOTIENT(COLUMN(CJ$2)-69,3))*5)+MOD(COLUMN(CJ$2),3),1,1),"")</f>
        <v>0</v>
      </c>
      <c r="CK77">
        <f ca="1">IF($AN77="",OFFSET(Demand!$A$13,ROW(U74)-1,4+((QUOTIENT(COLUMN(CK$2)-69,3))*5)+MOD(COLUMN(CK$2),3),1,1),"")</f>
        <v>0</v>
      </c>
      <c r="CL77">
        <f ca="1">IF($AN77="",OFFSET(Demand!$A$13,ROW(V74)-1,4+((QUOTIENT(COLUMN(CL$2)-69,3))*5)+MOD(COLUMN(CL$2),3),1,1),"")</f>
        <v>0</v>
      </c>
      <c r="CM77">
        <f ca="1">IF($AN77="",OFFSET(Demand!$A$13,ROW(W74)-1,4+((QUOTIENT(COLUMN(CM$2)-69,3))*5)+MOD(COLUMN(CM$2),3),1,1),"")</f>
        <v>0</v>
      </c>
      <c r="CN77">
        <f ca="1">IF($AN77="",OFFSET(Demand!$A$13,ROW(X74)-1,4+((QUOTIENT(COLUMN(CN$2)-69,3))*5)+MOD(COLUMN(CN$2),3),1,1),"")</f>
        <v>0</v>
      </c>
      <c r="CO77">
        <f ca="1">IF($AN77="",OFFSET(Demand!$A$13,ROW(Y74)-1,4+((QUOTIENT(COLUMN(CO$2)-69,3))*5)+MOD(COLUMN(CO$2),3),1,1),"")</f>
        <v>0</v>
      </c>
      <c r="CP77">
        <f ca="1">IF($AN77="",OFFSET(Demand!$A$13,ROW(Z74)-1,4+((QUOTIENT(COLUMN(CP$2)-69,3))*5)+MOD(COLUMN(CP$2),3),1,1),"")</f>
        <v>0</v>
      </c>
      <c r="CQ77">
        <f ca="1">IF($AN77="",OFFSET(Demand!$A$13,ROW(AA74)-1,4+((QUOTIENT(COLUMN(CQ$2)-69,3))*5)+MOD(COLUMN(CQ$2),3),1,1),"")</f>
        <v>0</v>
      </c>
      <c r="CR77">
        <f ca="1">IF($AN77="",OFFSET(Demand!$A$13,ROW(AB74)-1,4+((QUOTIENT(COLUMN(CR$2)-69,3))*5)+MOD(COLUMN(CR$2),3),1,1),"")</f>
        <v>0</v>
      </c>
      <c r="CS77">
        <f ca="1">IF($AN77="",OFFSET(Demand!$A$13,ROW(AC74)-1,4+((QUOTIENT(COLUMN(CS$2)-69,3))*5)+MOD(COLUMN(CS$2),3),1,1),"")</f>
        <v>0</v>
      </c>
      <c r="CT77">
        <f ca="1">IF($AN77="",OFFSET(Demand!$A$13,ROW(AD74)-1,4+((QUOTIENT(COLUMN(CT$2)-69,3))*5)+MOD(COLUMN(CT$2),3),1,1),"")</f>
        <v>0</v>
      </c>
      <c r="CW77" s="5">
        <f ca="1">SUM(OFFSET(Demand!$H$43,ROW(A74)-1,(COLUMN(A74)-1)*5,1,1))*N$2</f>
        <v>0</v>
      </c>
      <c r="CX77" s="5">
        <f ca="1">SUM(OFFSET(Demand!$H$43,ROW(B74)-1,(COLUMN(B74)-1)*5,1,1))*O$2</f>
        <v>0</v>
      </c>
      <c r="CY77" s="5">
        <f ca="1">SUM(OFFSET(Demand!$H$43,ROW(C74)-1,(COLUMN(C74)-1)*5,1,1))*P$2</f>
        <v>0</v>
      </c>
      <c r="CZ77" s="5">
        <f ca="1">SUM(OFFSET(Demand!$H$43,ROW(D74)-1,(COLUMN(D74)-1)*5,1,1))*Q$2</f>
        <v>0</v>
      </c>
      <c r="DA77" s="5">
        <f ca="1">SUM(OFFSET(Demand!$H$43,ROW(E74)-1,(COLUMN(E74)-1)*5,1,1))*R$2</f>
        <v>0</v>
      </c>
      <c r="DB77" s="5">
        <f ca="1">SUM(OFFSET(Demand!$H$43,ROW(F74)-1,(COLUMN(F74)-1)*5,1,1))*S$2</f>
        <v>0</v>
      </c>
      <c r="DC77" s="5">
        <f ca="1">SUM(OFFSET(Demand!$H$43,ROW(G74)-1,(COLUMN(G74)-1)*5,1,1))*T$2</f>
        <v>0</v>
      </c>
      <c r="DD77" s="5">
        <f ca="1">SUM(OFFSET(Demand!$H$43,ROW(H74)-1,(COLUMN(H74)-1)*5,1,1))*U$2</f>
        <v>0</v>
      </c>
      <c r="DE77" s="5">
        <f ca="1">SUM(OFFSET(Demand!$H$43,ROW(I74)-1,(COLUMN(I74)-1)*5,1,1))*V$2</f>
        <v>0</v>
      </c>
      <c r="DF77" s="5">
        <f ca="1">SUM(OFFSET(Demand!$H$43,ROW(J74)-1,(COLUMN(J74)-1)*5,1,1))*W$2</f>
        <v>0</v>
      </c>
      <c r="DG77" s="5">
        <f ca="1">IF(OR(AN77&lt;&gt;"",AND('Demand adjustments for Covid'!$F$9="Yes",'Demand adjustments for Covid'!$F$20="Yes")),"",SUM(CW77:DF77))</f>
        <v>0</v>
      </c>
    </row>
    <row r="78" spans="1:111" x14ac:dyDescent="0.25">
      <c r="A78" s="5">
        <f t="shared" ca="1" si="34"/>
        <v>1</v>
      </c>
      <c r="B78" s="5">
        <f ca="1">COUNTBLANK(OFFSET(Demand!$I87,0,(COLUMN(A75)-1)*5,1,1))</f>
        <v>1</v>
      </c>
      <c r="C78" s="5">
        <f ca="1">COUNTBLANK(OFFSET(Demand!$I87,0,(COLUMN(B75)-1)*5,1,1))</f>
        <v>1</v>
      </c>
      <c r="D78" s="5">
        <f ca="1">COUNTBLANK(OFFSET(Demand!$I87,0,(COLUMN(C75)-1)*5,1,1))</f>
        <v>1</v>
      </c>
      <c r="E78" s="5">
        <f ca="1">COUNTBLANK(OFFSET(Demand!$I87,0,(COLUMN(D75)-1)*5,1,1))</f>
        <v>1</v>
      </c>
      <c r="F78" s="5">
        <f ca="1">COUNTBLANK(OFFSET(Demand!$I87,0,(COLUMN(E75)-1)*5,1,1))</f>
        <v>1</v>
      </c>
      <c r="G78" s="5">
        <f ca="1">COUNTBLANK(OFFSET(Demand!$I87,0,(COLUMN(F75)-1)*5,1,1))</f>
        <v>1</v>
      </c>
      <c r="H78" s="5">
        <f ca="1">COUNTBLANK(OFFSET(Demand!$I87,0,(COLUMN(G75)-1)*5,1,1))</f>
        <v>1</v>
      </c>
      <c r="I78" s="5">
        <f ca="1">COUNTBLANK(OFFSET(Demand!$I87,0,(COLUMN(H75)-1)*5,1,1))</f>
        <v>1</v>
      </c>
      <c r="J78" s="5">
        <f ca="1">COUNTBLANK(OFFSET(Demand!$I87,0,(COLUMN(I75)-1)*5,1,1))</f>
        <v>1</v>
      </c>
      <c r="K78" s="5">
        <f ca="1">COUNTBLANK(OFFSET(Demand!$I87,0,(COLUMN(J75)-1)*5,1,1))</f>
        <v>1</v>
      </c>
      <c r="N78" s="5">
        <f ca="1">SUM(OFFSET(Demand!$E87,0,(COLUMN(A75)-1)*5,1,3))*N$2</f>
        <v>0</v>
      </c>
      <c r="O78" s="5">
        <f ca="1">SUM(OFFSET(Demand!$E87,0,(COLUMN(B75)-1)*5,1,3))*O$2</f>
        <v>0</v>
      </c>
      <c r="P78" s="5">
        <f ca="1">SUM(OFFSET(Demand!$E87,0,(COLUMN(C75)-1)*5,1,3))*P$2</f>
        <v>0</v>
      </c>
      <c r="Q78" s="5">
        <f ca="1">SUM(OFFSET(Demand!$E87,0,(COLUMN(D75)-1)*5,1,3))*Q$2</f>
        <v>0</v>
      </c>
      <c r="R78" s="5">
        <f ca="1">SUM(OFFSET(Demand!$E87,0,(COLUMN(E75)-1)*5,1,3))*R$2</f>
        <v>0</v>
      </c>
      <c r="S78" s="5">
        <f ca="1">SUM(OFFSET(Demand!$E87,0,(COLUMN(F75)-1)*5,1,3))*S$2</f>
        <v>0</v>
      </c>
      <c r="T78" s="5">
        <f ca="1">SUM(OFFSET(Demand!$E87,0,(COLUMN(G75)-1)*5,1,3))*T$2</f>
        <v>0</v>
      </c>
      <c r="U78" s="5">
        <f ca="1">SUM(OFFSET(Demand!$E87,0,(COLUMN(H75)-1)*5,1,3))*U$2</f>
        <v>0</v>
      </c>
      <c r="V78" s="5">
        <f ca="1">SUM(OFFSET(Demand!$E87,0,(COLUMN(I75)-1)*5,1,3))*V$2</f>
        <v>0</v>
      </c>
      <c r="W78" s="5">
        <f ca="1">SUM(OFFSET(Demand!$E87,0,(COLUMN(J75)-1)*5,1,3))*W$2</f>
        <v>0</v>
      </c>
      <c r="X78" s="5">
        <f t="shared" ca="1" si="37"/>
        <v>0</v>
      </c>
      <c r="Y78">
        <f t="shared" ca="1" si="38"/>
        <v>0</v>
      </c>
      <c r="Z78" s="5">
        <f ca="1">SUM(OFFSET(Demand!$H87,0,(COLUMN(A75)-1)*5,1,1))*N$2</f>
        <v>0</v>
      </c>
      <c r="AA78" s="5">
        <f ca="1">SUM(OFFSET(Demand!$H87,0,(COLUMN(B75)-1)*5,1,1))*O$2</f>
        <v>0</v>
      </c>
      <c r="AB78" s="5">
        <f ca="1">SUM(OFFSET(Demand!$H87,0,(COLUMN(C75)-1)*5,1,1))*P$2</f>
        <v>0</v>
      </c>
      <c r="AC78" s="5">
        <f ca="1">SUM(OFFSET(Demand!$H87,0,(COLUMN(D75)-1)*5,1,1))*Q$2</f>
        <v>0</v>
      </c>
      <c r="AD78" s="5">
        <f ca="1">SUM(OFFSET(Demand!$H87,0,(COLUMN(E75)-1)*5,1,1))*R$2</f>
        <v>0</v>
      </c>
      <c r="AE78" s="5">
        <f ca="1">SUM(OFFSET(Demand!$H87,0,(COLUMN(F75)-1)*5,1,1))*S$2</f>
        <v>0</v>
      </c>
      <c r="AF78" s="5">
        <f ca="1">SUM(OFFSET(Demand!$H87,0,(COLUMN(G75)-1)*5,1,1))*T$2</f>
        <v>0</v>
      </c>
      <c r="AG78" s="5">
        <f ca="1">SUM(OFFSET(Demand!$H87,0,(COLUMN(H75)-1)*5,1,1))*U$2</f>
        <v>0</v>
      </c>
      <c r="AH78" s="5">
        <f ca="1">SUM(OFFSET(Demand!$H87,0,(COLUMN(I75)-1)*5,1,1))*V$2</f>
        <v>0</v>
      </c>
      <c r="AI78" s="5">
        <f ca="1">SUM(OFFSET(Demand!$H87,0,(COLUMN(J75)-1)*5,1,1))*W$2</f>
        <v>0</v>
      </c>
      <c r="AJ78" s="5">
        <f t="shared" ca="1" si="39"/>
        <v>0</v>
      </c>
      <c r="AL78" s="5">
        <f t="shared" ca="1" si="40"/>
        <v>0</v>
      </c>
      <c r="AM78" s="5">
        <f t="shared" ca="1" si="41"/>
        <v>0</v>
      </c>
      <c r="AN78" s="5" t="str">
        <f>IF(Demand!BE87="Yes","Yes","")</f>
        <v/>
      </c>
      <c r="AP78" s="36" t="str">
        <f ca="1">Demand!B87</f>
        <v xml:space="preserve"> </v>
      </c>
      <c r="AQ78" t="str">
        <f ca="1">IF(TEXT(Demand!D87,"MMM")&lt;&gt;TEXT(Demand!D86,"MMM"),TEXT(Demand!D87,"MMM"),"")</f>
        <v/>
      </c>
      <c r="AT78" s="5">
        <f t="shared" ca="1" si="42"/>
        <v>0</v>
      </c>
      <c r="BQ78">
        <f ca="1">IF($AN78="",OFFSET(Demand!$A$13,ROW(A75)-1,4+((QUOTIENT(COLUMN(BQ$2)-69,3))*5)+MOD(COLUMN(BQ$2),3),1,1),"")</f>
        <v>0</v>
      </c>
      <c r="BR78">
        <f ca="1">IF($AN78="",OFFSET(Demand!$A$13,ROW(B75)-1,4+((QUOTIENT(COLUMN(BR$2)-69,3))*5)+MOD(COLUMN(BR$2),3),1,1),"")</f>
        <v>0</v>
      </c>
      <c r="BS78">
        <f ca="1">IF($AN78="",OFFSET(Demand!$A$13,ROW(C75)-1,4+((QUOTIENT(COLUMN(BS$2)-69,3))*5)+MOD(COLUMN(BS$2),3),1,1),"")</f>
        <v>0</v>
      </c>
      <c r="BT78">
        <f ca="1">IF($AN78="",OFFSET(Demand!$A$13,ROW(D75)-1,4+((QUOTIENT(COLUMN(BT$2)-69,3))*5)+MOD(COLUMN(BT$2),3),1,1),"")</f>
        <v>0</v>
      </c>
      <c r="BU78">
        <f ca="1">IF($AN78="",OFFSET(Demand!$A$13,ROW(E75)-1,4+((QUOTIENT(COLUMN(BU$2)-69,3))*5)+MOD(COLUMN(BU$2),3),1,1),"")</f>
        <v>0</v>
      </c>
      <c r="BV78">
        <f ca="1">IF($AN78="",OFFSET(Demand!$A$13,ROW(F75)-1,4+((QUOTIENT(COLUMN(BV$2)-69,3))*5)+MOD(COLUMN(BV$2),3),1,1),"")</f>
        <v>0</v>
      </c>
      <c r="BW78">
        <f ca="1">IF($AN78="",OFFSET(Demand!$A$13,ROW(G75)-1,4+((QUOTIENT(COLUMN(BW$2)-69,3))*5)+MOD(COLUMN(BW$2),3),1,1),"")</f>
        <v>0</v>
      </c>
      <c r="BX78">
        <f ca="1">IF($AN78="",OFFSET(Demand!$A$13,ROW(H75)-1,4+((QUOTIENT(COLUMN(BX$2)-69,3))*5)+MOD(COLUMN(BX$2),3),1,1),"")</f>
        <v>0</v>
      </c>
      <c r="BY78">
        <f ca="1">IF($AN78="",OFFSET(Demand!$A$13,ROW(I75)-1,4+((QUOTIENT(COLUMN(BY$2)-69,3))*5)+MOD(COLUMN(BY$2),3),1,1),"")</f>
        <v>0</v>
      </c>
      <c r="BZ78">
        <f ca="1">IF($AN78="",OFFSET(Demand!$A$13,ROW(J75)-1,4+((QUOTIENT(COLUMN(BZ$2)-69,3))*5)+MOD(COLUMN(BZ$2),3),1,1),"")</f>
        <v>0</v>
      </c>
      <c r="CA78">
        <f ca="1">IF($AN78="",OFFSET(Demand!$A$13,ROW(K75)-1,4+((QUOTIENT(COLUMN(CA$2)-69,3))*5)+MOD(COLUMN(CA$2),3),1,1),"")</f>
        <v>0</v>
      </c>
      <c r="CB78">
        <f ca="1">IF($AN78="",OFFSET(Demand!$A$13,ROW(L75)-1,4+((QUOTIENT(COLUMN(CB$2)-69,3))*5)+MOD(COLUMN(CB$2),3),1,1),"")</f>
        <v>0</v>
      </c>
      <c r="CC78">
        <f ca="1">IF($AN78="",OFFSET(Demand!$A$13,ROW(M75)-1,4+((QUOTIENT(COLUMN(CC$2)-69,3))*5)+MOD(COLUMN(CC$2),3),1,1),"")</f>
        <v>0</v>
      </c>
      <c r="CD78">
        <f ca="1">IF($AN78="",OFFSET(Demand!$A$13,ROW(N75)-1,4+((QUOTIENT(COLUMN(CD$2)-69,3))*5)+MOD(COLUMN(CD$2),3),1,1),"")</f>
        <v>0</v>
      </c>
      <c r="CE78">
        <f ca="1">IF($AN78="",OFFSET(Demand!$A$13,ROW(O75)-1,4+((QUOTIENT(COLUMN(CE$2)-69,3))*5)+MOD(COLUMN(CE$2),3),1,1),"")</f>
        <v>0</v>
      </c>
      <c r="CF78">
        <f ca="1">IF($AN78="",OFFSET(Demand!$A$13,ROW(P75)-1,4+((QUOTIENT(COLUMN(CF$2)-69,3))*5)+MOD(COLUMN(CF$2),3),1,1),"")</f>
        <v>0</v>
      </c>
      <c r="CG78">
        <f ca="1">IF($AN78="",OFFSET(Demand!$A$13,ROW(Q75)-1,4+((QUOTIENT(COLUMN(CG$2)-69,3))*5)+MOD(COLUMN(CG$2),3),1,1),"")</f>
        <v>0</v>
      </c>
      <c r="CH78">
        <f ca="1">IF($AN78="",OFFSET(Demand!$A$13,ROW(R75)-1,4+((QUOTIENT(COLUMN(CH$2)-69,3))*5)+MOD(COLUMN(CH$2),3),1,1),"")</f>
        <v>0</v>
      </c>
      <c r="CI78">
        <f ca="1">IF($AN78="",OFFSET(Demand!$A$13,ROW(S75)-1,4+((QUOTIENT(COLUMN(CI$2)-69,3))*5)+MOD(COLUMN(CI$2),3),1,1),"")</f>
        <v>0</v>
      </c>
      <c r="CJ78">
        <f ca="1">IF($AN78="",OFFSET(Demand!$A$13,ROW(T75)-1,4+((QUOTIENT(COLUMN(CJ$2)-69,3))*5)+MOD(COLUMN(CJ$2),3),1,1),"")</f>
        <v>0</v>
      </c>
      <c r="CK78">
        <f ca="1">IF($AN78="",OFFSET(Demand!$A$13,ROW(U75)-1,4+((QUOTIENT(COLUMN(CK$2)-69,3))*5)+MOD(COLUMN(CK$2),3),1,1),"")</f>
        <v>0</v>
      </c>
      <c r="CL78">
        <f ca="1">IF($AN78="",OFFSET(Demand!$A$13,ROW(V75)-1,4+((QUOTIENT(COLUMN(CL$2)-69,3))*5)+MOD(COLUMN(CL$2),3),1,1),"")</f>
        <v>0</v>
      </c>
      <c r="CM78">
        <f ca="1">IF($AN78="",OFFSET(Demand!$A$13,ROW(W75)-1,4+((QUOTIENT(COLUMN(CM$2)-69,3))*5)+MOD(COLUMN(CM$2),3),1,1),"")</f>
        <v>0</v>
      </c>
      <c r="CN78">
        <f ca="1">IF($AN78="",OFFSET(Demand!$A$13,ROW(X75)-1,4+((QUOTIENT(COLUMN(CN$2)-69,3))*5)+MOD(COLUMN(CN$2),3),1,1),"")</f>
        <v>0</v>
      </c>
      <c r="CO78">
        <f ca="1">IF($AN78="",OFFSET(Demand!$A$13,ROW(Y75)-1,4+((QUOTIENT(COLUMN(CO$2)-69,3))*5)+MOD(COLUMN(CO$2),3),1,1),"")</f>
        <v>0</v>
      </c>
      <c r="CP78">
        <f ca="1">IF($AN78="",OFFSET(Demand!$A$13,ROW(Z75)-1,4+((QUOTIENT(COLUMN(CP$2)-69,3))*5)+MOD(COLUMN(CP$2),3),1,1),"")</f>
        <v>0</v>
      </c>
      <c r="CQ78">
        <f ca="1">IF($AN78="",OFFSET(Demand!$A$13,ROW(AA75)-1,4+((QUOTIENT(COLUMN(CQ$2)-69,3))*5)+MOD(COLUMN(CQ$2),3),1,1),"")</f>
        <v>0</v>
      </c>
      <c r="CR78">
        <f ca="1">IF($AN78="",OFFSET(Demand!$A$13,ROW(AB75)-1,4+((QUOTIENT(COLUMN(CR$2)-69,3))*5)+MOD(COLUMN(CR$2),3),1,1),"")</f>
        <v>0</v>
      </c>
      <c r="CS78">
        <f ca="1">IF($AN78="",OFFSET(Demand!$A$13,ROW(AC75)-1,4+((QUOTIENT(COLUMN(CS$2)-69,3))*5)+MOD(COLUMN(CS$2),3),1,1),"")</f>
        <v>0</v>
      </c>
      <c r="CT78">
        <f ca="1">IF($AN78="",OFFSET(Demand!$A$13,ROW(AD75)-1,4+((QUOTIENT(COLUMN(CT$2)-69,3))*5)+MOD(COLUMN(CT$2),3),1,1),"")</f>
        <v>0</v>
      </c>
      <c r="CW78" s="5">
        <f ca="1">SUM(OFFSET(Demand!$H$43,ROW(A75)-1,(COLUMN(A75)-1)*5,1,1))*N$2</f>
        <v>0</v>
      </c>
      <c r="CX78" s="5">
        <f ca="1">SUM(OFFSET(Demand!$H$43,ROW(B75)-1,(COLUMN(B75)-1)*5,1,1))*O$2</f>
        <v>0</v>
      </c>
      <c r="CY78" s="5">
        <f ca="1">SUM(OFFSET(Demand!$H$43,ROW(C75)-1,(COLUMN(C75)-1)*5,1,1))*P$2</f>
        <v>0</v>
      </c>
      <c r="CZ78" s="5">
        <f ca="1">SUM(OFFSET(Demand!$H$43,ROW(D75)-1,(COLUMN(D75)-1)*5,1,1))*Q$2</f>
        <v>0</v>
      </c>
      <c r="DA78" s="5">
        <f ca="1">SUM(OFFSET(Demand!$H$43,ROW(E75)-1,(COLUMN(E75)-1)*5,1,1))*R$2</f>
        <v>0</v>
      </c>
      <c r="DB78" s="5">
        <f ca="1">SUM(OFFSET(Demand!$H$43,ROW(F75)-1,(COLUMN(F75)-1)*5,1,1))*S$2</f>
        <v>0</v>
      </c>
      <c r="DC78" s="5">
        <f ca="1">SUM(OFFSET(Demand!$H$43,ROW(G75)-1,(COLUMN(G75)-1)*5,1,1))*T$2</f>
        <v>0</v>
      </c>
      <c r="DD78" s="5">
        <f ca="1">SUM(OFFSET(Demand!$H$43,ROW(H75)-1,(COLUMN(H75)-1)*5,1,1))*U$2</f>
        <v>0</v>
      </c>
      <c r="DE78" s="5">
        <f ca="1">SUM(OFFSET(Demand!$H$43,ROW(I75)-1,(COLUMN(I75)-1)*5,1,1))*V$2</f>
        <v>0</v>
      </c>
      <c r="DF78" s="5">
        <f ca="1">SUM(OFFSET(Demand!$H$43,ROW(J75)-1,(COLUMN(J75)-1)*5,1,1))*W$2</f>
        <v>0</v>
      </c>
      <c r="DG78" s="5">
        <f ca="1">IF(OR(AN78&lt;&gt;"",AND('Demand adjustments for Covid'!$F$9="Yes",'Demand adjustments for Covid'!$F$20="Yes")),"",SUM(CW78:DF78))</f>
        <v>0</v>
      </c>
    </row>
    <row r="79" spans="1:111" x14ac:dyDescent="0.25">
      <c r="A79" s="5">
        <f t="shared" ca="1" si="34"/>
        <v>1</v>
      </c>
      <c r="B79" s="5">
        <f ca="1">COUNTBLANK(OFFSET(Demand!$I88,0,(COLUMN(A76)-1)*5,1,1))</f>
        <v>1</v>
      </c>
      <c r="C79" s="5">
        <f ca="1">COUNTBLANK(OFFSET(Demand!$I88,0,(COLUMN(B76)-1)*5,1,1))</f>
        <v>1</v>
      </c>
      <c r="D79" s="5">
        <f ca="1">COUNTBLANK(OFFSET(Demand!$I88,0,(COLUMN(C76)-1)*5,1,1))</f>
        <v>1</v>
      </c>
      <c r="E79" s="5">
        <f ca="1">COUNTBLANK(OFFSET(Demand!$I88,0,(COLUMN(D76)-1)*5,1,1))</f>
        <v>1</v>
      </c>
      <c r="F79" s="5">
        <f ca="1">COUNTBLANK(OFFSET(Demand!$I88,0,(COLUMN(E76)-1)*5,1,1))</f>
        <v>1</v>
      </c>
      <c r="G79" s="5">
        <f ca="1">COUNTBLANK(OFFSET(Demand!$I88,0,(COLUMN(F76)-1)*5,1,1))</f>
        <v>1</v>
      </c>
      <c r="H79" s="5">
        <f ca="1">COUNTBLANK(OFFSET(Demand!$I88,0,(COLUMN(G76)-1)*5,1,1))</f>
        <v>1</v>
      </c>
      <c r="I79" s="5">
        <f ca="1">COUNTBLANK(OFFSET(Demand!$I88,0,(COLUMN(H76)-1)*5,1,1))</f>
        <v>1</v>
      </c>
      <c r="J79" s="5">
        <f ca="1">COUNTBLANK(OFFSET(Demand!$I88,0,(COLUMN(I76)-1)*5,1,1))</f>
        <v>1</v>
      </c>
      <c r="K79" s="5">
        <f ca="1">COUNTBLANK(OFFSET(Demand!$I88,0,(COLUMN(J76)-1)*5,1,1))</f>
        <v>1</v>
      </c>
      <c r="N79" s="5">
        <f ca="1">SUM(OFFSET(Demand!$E88,0,(COLUMN(A76)-1)*5,1,3))*N$2</f>
        <v>0</v>
      </c>
      <c r="O79" s="5">
        <f ca="1">SUM(OFFSET(Demand!$E88,0,(COLUMN(B76)-1)*5,1,3))*O$2</f>
        <v>0</v>
      </c>
      <c r="P79" s="5">
        <f ca="1">SUM(OFFSET(Demand!$E88,0,(COLUMN(C76)-1)*5,1,3))*P$2</f>
        <v>0</v>
      </c>
      <c r="Q79" s="5">
        <f ca="1">SUM(OFFSET(Demand!$E88,0,(COLUMN(D76)-1)*5,1,3))*Q$2</f>
        <v>0</v>
      </c>
      <c r="R79" s="5">
        <f ca="1">SUM(OFFSET(Demand!$E88,0,(COLUMN(E76)-1)*5,1,3))*R$2</f>
        <v>0</v>
      </c>
      <c r="S79" s="5">
        <f ca="1">SUM(OFFSET(Demand!$E88,0,(COLUMN(F76)-1)*5,1,3))*S$2</f>
        <v>0</v>
      </c>
      <c r="T79" s="5">
        <f ca="1">SUM(OFFSET(Demand!$E88,0,(COLUMN(G76)-1)*5,1,3))*T$2</f>
        <v>0</v>
      </c>
      <c r="U79" s="5">
        <f ca="1">SUM(OFFSET(Demand!$E88,0,(COLUMN(H76)-1)*5,1,3))*U$2</f>
        <v>0</v>
      </c>
      <c r="V79" s="5">
        <f ca="1">SUM(OFFSET(Demand!$E88,0,(COLUMN(I76)-1)*5,1,3))*V$2</f>
        <v>0</v>
      </c>
      <c r="W79" s="5">
        <f ca="1">SUM(OFFSET(Demand!$E88,0,(COLUMN(J76)-1)*5,1,3))*W$2</f>
        <v>0</v>
      </c>
      <c r="X79" s="5">
        <f t="shared" ca="1" si="37"/>
        <v>0</v>
      </c>
      <c r="Y79">
        <f t="shared" ca="1" si="38"/>
        <v>0</v>
      </c>
      <c r="Z79" s="5">
        <f ca="1">SUM(OFFSET(Demand!$H88,0,(COLUMN(A76)-1)*5,1,1))*N$2</f>
        <v>0</v>
      </c>
      <c r="AA79" s="5">
        <f ca="1">SUM(OFFSET(Demand!$H88,0,(COLUMN(B76)-1)*5,1,1))*O$2</f>
        <v>0</v>
      </c>
      <c r="AB79" s="5">
        <f ca="1">SUM(OFFSET(Demand!$H88,0,(COLUMN(C76)-1)*5,1,1))*P$2</f>
        <v>0</v>
      </c>
      <c r="AC79" s="5">
        <f ca="1">SUM(OFFSET(Demand!$H88,0,(COLUMN(D76)-1)*5,1,1))*Q$2</f>
        <v>0</v>
      </c>
      <c r="AD79" s="5">
        <f ca="1">SUM(OFFSET(Demand!$H88,0,(COLUMN(E76)-1)*5,1,1))*R$2</f>
        <v>0</v>
      </c>
      <c r="AE79" s="5">
        <f ca="1">SUM(OFFSET(Demand!$H88,0,(COLUMN(F76)-1)*5,1,1))*S$2</f>
        <v>0</v>
      </c>
      <c r="AF79" s="5">
        <f ca="1">SUM(OFFSET(Demand!$H88,0,(COLUMN(G76)-1)*5,1,1))*T$2</f>
        <v>0</v>
      </c>
      <c r="AG79" s="5">
        <f ca="1">SUM(OFFSET(Demand!$H88,0,(COLUMN(H76)-1)*5,1,1))*U$2</f>
        <v>0</v>
      </c>
      <c r="AH79" s="5">
        <f ca="1">SUM(OFFSET(Demand!$H88,0,(COLUMN(I76)-1)*5,1,1))*V$2</f>
        <v>0</v>
      </c>
      <c r="AI79" s="5">
        <f ca="1">SUM(OFFSET(Demand!$H88,0,(COLUMN(J76)-1)*5,1,1))*W$2</f>
        <v>0</v>
      </c>
      <c r="AJ79" s="5">
        <f t="shared" ca="1" si="39"/>
        <v>0</v>
      </c>
      <c r="AL79" s="5">
        <f t="shared" ca="1" si="40"/>
        <v>0</v>
      </c>
      <c r="AM79" s="5">
        <f t="shared" ca="1" si="41"/>
        <v>0</v>
      </c>
      <c r="AN79" s="5" t="str">
        <f>IF(Demand!BE88="Yes","Yes","")</f>
        <v/>
      </c>
      <c r="AP79" s="36" t="str">
        <f ca="1">Demand!B88</f>
        <v xml:space="preserve"> </v>
      </c>
      <c r="AQ79" t="str">
        <f ca="1">IF(TEXT(Demand!D88,"MMM")&lt;&gt;TEXT(Demand!D87,"MMM"),TEXT(Demand!D88,"MMM"),"")</f>
        <v/>
      </c>
      <c r="AT79" s="5">
        <f t="shared" ca="1" si="42"/>
        <v>0</v>
      </c>
      <c r="BQ79">
        <f ca="1">IF($AN79="",OFFSET(Demand!$A$13,ROW(A76)-1,4+((QUOTIENT(COLUMN(BQ$2)-69,3))*5)+MOD(COLUMN(BQ$2),3),1,1),"")</f>
        <v>0</v>
      </c>
      <c r="BR79">
        <f ca="1">IF($AN79="",OFFSET(Demand!$A$13,ROW(B76)-1,4+((QUOTIENT(COLUMN(BR$2)-69,3))*5)+MOD(COLUMN(BR$2),3),1,1),"")</f>
        <v>0</v>
      </c>
      <c r="BS79">
        <f ca="1">IF($AN79="",OFFSET(Demand!$A$13,ROW(C76)-1,4+((QUOTIENT(COLUMN(BS$2)-69,3))*5)+MOD(COLUMN(BS$2),3),1,1),"")</f>
        <v>0</v>
      </c>
      <c r="BT79">
        <f ca="1">IF($AN79="",OFFSET(Demand!$A$13,ROW(D76)-1,4+((QUOTIENT(COLUMN(BT$2)-69,3))*5)+MOD(COLUMN(BT$2),3),1,1),"")</f>
        <v>0</v>
      </c>
      <c r="BU79">
        <f ca="1">IF($AN79="",OFFSET(Demand!$A$13,ROW(E76)-1,4+((QUOTIENT(COLUMN(BU$2)-69,3))*5)+MOD(COLUMN(BU$2),3),1,1),"")</f>
        <v>0</v>
      </c>
      <c r="BV79">
        <f ca="1">IF($AN79="",OFFSET(Demand!$A$13,ROW(F76)-1,4+((QUOTIENT(COLUMN(BV$2)-69,3))*5)+MOD(COLUMN(BV$2),3),1,1),"")</f>
        <v>0</v>
      </c>
      <c r="BW79">
        <f ca="1">IF($AN79="",OFFSET(Demand!$A$13,ROW(G76)-1,4+((QUOTIENT(COLUMN(BW$2)-69,3))*5)+MOD(COLUMN(BW$2),3),1,1),"")</f>
        <v>0</v>
      </c>
      <c r="BX79">
        <f ca="1">IF($AN79="",OFFSET(Demand!$A$13,ROW(H76)-1,4+((QUOTIENT(COLUMN(BX$2)-69,3))*5)+MOD(COLUMN(BX$2),3),1,1),"")</f>
        <v>0</v>
      </c>
      <c r="BY79">
        <f ca="1">IF($AN79="",OFFSET(Demand!$A$13,ROW(I76)-1,4+((QUOTIENT(COLUMN(BY$2)-69,3))*5)+MOD(COLUMN(BY$2),3),1,1),"")</f>
        <v>0</v>
      </c>
      <c r="BZ79">
        <f ca="1">IF($AN79="",OFFSET(Demand!$A$13,ROW(J76)-1,4+((QUOTIENT(COLUMN(BZ$2)-69,3))*5)+MOD(COLUMN(BZ$2),3),1,1),"")</f>
        <v>0</v>
      </c>
      <c r="CA79">
        <f ca="1">IF($AN79="",OFFSET(Demand!$A$13,ROW(K76)-1,4+((QUOTIENT(COLUMN(CA$2)-69,3))*5)+MOD(COLUMN(CA$2),3),1,1),"")</f>
        <v>0</v>
      </c>
      <c r="CB79">
        <f ca="1">IF($AN79="",OFFSET(Demand!$A$13,ROW(L76)-1,4+((QUOTIENT(COLUMN(CB$2)-69,3))*5)+MOD(COLUMN(CB$2),3),1,1),"")</f>
        <v>0</v>
      </c>
      <c r="CC79">
        <f ca="1">IF($AN79="",OFFSET(Demand!$A$13,ROW(M76)-1,4+((QUOTIENT(COLUMN(CC$2)-69,3))*5)+MOD(COLUMN(CC$2),3),1,1),"")</f>
        <v>0</v>
      </c>
      <c r="CD79">
        <f ca="1">IF($AN79="",OFFSET(Demand!$A$13,ROW(N76)-1,4+((QUOTIENT(COLUMN(CD$2)-69,3))*5)+MOD(COLUMN(CD$2),3),1,1),"")</f>
        <v>0</v>
      </c>
      <c r="CE79">
        <f ca="1">IF($AN79="",OFFSET(Demand!$A$13,ROW(O76)-1,4+((QUOTIENT(COLUMN(CE$2)-69,3))*5)+MOD(COLUMN(CE$2),3),1,1),"")</f>
        <v>0</v>
      </c>
      <c r="CF79">
        <f ca="1">IF($AN79="",OFFSET(Demand!$A$13,ROW(P76)-1,4+((QUOTIENT(COLUMN(CF$2)-69,3))*5)+MOD(COLUMN(CF$2),3),1,1),"")</f>
        <v>0</v>
      </c>
      <c r="CG79">
        <f ca="1">IF($AN79="",OFFSET(Demand!$A$13,ROW(Q76)-1,4+((QUOTIENT(COLUMN(CG$2)-69,3))*5)+MOD(COLUMN(CG$2),3),1,1),"")</f>
        <v>0</v>
      </c>
      <c r="CH79">
        <f ca="1">IF($AN79="",OFFSET(Demand!$A$13,ROW(R76)-1,4+((QUOTIENT(COLUMN(CH$2)-69,3))*5)+MOD(COLUMN(CH$2),3),1,1),"")</f>
        <v>0</v>
      </c>
      <c r="CI79">
        <f ca="1">IF($AN79="",OFFSET(Demand!$A$13,ROW(S76)-1,4+((QUOTIENT(COLUMN(CI$2)-69,3))*5)+MOD(COLUMN(CI$2),3),1,1),"")</f>
        <v>0</v>
      </c>
      <c r="CJ79">
        <f ca="1">IF($AN79="",OFFSET(Demand!$A$13,ROW(T76)-1,4+((QUOTIENT(COLUMN(CJ$2)-69,3))*5)+MOD(COLUMN(CJ$2),3),1,1),"")</f>
        <v>0</v>
      </c>
      <c r="CK79">
        <f ca="1">IF($AN79="",OFFSET(Demand!$A$13,ROW(U76)-1,4+((QUOTIENT(COLUMN(CK$2)-69,3))*5)+MOD(COLUMN(CK$2),3),1,1),"")</f>
        <v>0</v>
      </c>
      <c r="CL79">
        <f ca="1">IF($AN79="",OFFSET(Demand!$A$13,ROW(V76)-1,4+((QUOTIENT(COLUMN(CL$2)-69,3))*5)+MOD(COLUMN(CL$2),3),1,1),"")</f>
        <v>0</v>
      </c>
      <c r="CM79">
        <f ca="1">IF($AN79="",OFFSET(Demand!$A$13,ROW(W76)-1,4+((QUOTIENT(COLUMN(CM$2)-69,3))*5)+MOD(COLUMN(CM$2),3),1,1),"")</f>
        <v>0</v>
      </c>
      <c r="CN79">
        <f ca="1">IF($AN79="",OFFSET(Demand!$A$13,ROW(X76)-1,4+((QUOTIENT(COLUMN(CN$2)-69,3))*5)+MOD(COLUMN(CN$2),3),1,1),"")</f>
        <v>0</v>
      </c>
      <c r="CO79">
        <f ca="1">IF($AN79="",OFFSET(Demand!$A$13,ROW(Y76)-1,4+((QUOTIENT(COLUMN(CO$2)-69,3))*5)+MOD(COLUMN(CO$2),3),1,1),"")</f>
        <v>0</v>
      </c>
      <c r="CP79">
        <f ca="1">IF($AN79="",OFFSET(Demand!$A$13,ROW(Z76)-1,4+((QUOTIENT(COLUMN(CP$2)-69,3))*5)+MOD(COLUMN(CP$2),3),1,1),"")</f>
        <v>0</v>
      </c>
      <c r="CQ79">
        <f ca="1">IF($AN79="",OFFSET(Demand!$A$13,ROW(AA76)-1,4+((QUOTIENT(COLUMN(CQ$2)-69,3))*5)+MOD(COLUMN(CQ$2),3),1,1),"")</f>
        <v>0</v>
      </c>
      <c r="CR79">
        <f ca="1">IF($AN79="",OFFSET(Demand!$A$13,ROW(AB76)-1,4+((QUOTIENT(COLUMN(CR$2)-69,3))*5)+MOD(COLUMN(CR$2),3),1,1),"")</f>
        <v>0</v>
      </c>
      <c r="CS79">
        <f ca="1">IF($AN79="",OFFSET(Demand!$A$13,ROW(AC76)-1,4+((QUOTIENT(COLUMN(CS$2)-69,3))*5)+MOD(COLUMN(CS$2),3),1,1),"")</f>
        <v>0</v>
      </c>
      <c r="CT79">
        <f ca="1">IF($AN79="",OFFSET(Demand!$A$13,ROW(AD76)-1,4+((QUOTIENT(COLUMN(CT$2)-69,3))*5)+MOD(COLUMN(CT$2),3),1,1),"")</f>
        <v>0</v>
      </c>
      <c r="CW79" s="5">
        <f ca="1">SUM(OFFSET(Demand!$H$43,ROW(A76)-1,(COLUMN(A76)-1)*5,1,1))*N$2</f>
        <v>0</v>
      </c>
      <c r="CX79" s="5">
        <f ca="1">SUM(OFFSET(Demand!$H$43,ROW(B76)-1,(COLUMN(B76)-1)*5,1,1))*O$2</f>
        <v>0</v>
      </c>
      <c r="CY79" s="5">
        <f ca="1">SUM(OFFSET(Demand!$H$43,ROW(C76)-1,(COLUMN(C76)-1)*5,1,1))*P$2</f>
        <v>0</v>
      </c>
      <c r="CZ79" s="5">
        <f ca="1">SUM(OFFSET(Demand!$H$43,ROW(D76)-1,(COLUMN(D76)-1)*5,1,1))*Q$2</f>
        <v>0</v>
      </c>
      <c r="DA79" s="5">
        <f ca="1">SUM(OFFSET(Demand!$H$43,ROW(E76)-1,(COLUMN(E76)-1)*5,1,1))*R$2</f>
        <v>0</v>
      </c>
      <c r="DB79" s="5">
        <f ca="1">SUM(OFFSET(Demand!$H$43,ROW(F76)-1,(COLUMN(F76)-1)*5,1,1))*S$2</f>
        <v>0</v>
      </c>
      <c r="DC79" s="5">
        <f ca="1">SUM(OFFSET(Demand!$H$43,ROW(G76)-1,(COLUMN(G76)-1)*5,1,1))*T$2</f>
        <v>0</v>
      </c>
      <c r="DD79" s="5">
        <f ca="1">SUM(OFFSET(Demand!$H$43,ROW(H76)-1,(COLUMN(H76)-1)*5,1,1))*U$2</f>
        <v>0</v>
      </c>
      <c r="DE79" s="5">
        <f ca="1">SUM(OFFSET(Demand!$H$43,ROW(I76)-1,(COLUMN(I76)-1)*5,1,1))*V$2</f>
        <v>0</v>
      </c>
      <c r="DF79" s="5">
        <f ca="1">SUM(OFFSET(Demand!$H$43,ROW(J76)-1,(COLUMN(J76)-1)*5,1,1))*W$2</f>
        <v>0</v>
      </c>
      <c r="DG79" s="5">
        <f ca="1">IF(OR(AN79&lt;&gt;"",AND('Demand adjustments for Covid'!$F$9="Yes",'Demand adjustments for Covid'!$F$20="Yes")),"",SUM(CW79:DF79))</f>
        <v>0</v>
      </c>
    </row>
    <row r="80" spans="1:111" x14ac:dyDescent="0.25">
      <c r="A80" s="5">
        <f t="shared" ca="1" si="34"/>
        <v>1</v>
      </c>
      <c r="B80" s="5">
        <f ca="1">COUNTBLANK(OFFSET(Demand!$I89,0,(COLUMN(A77)-1)*5,1,1))</f>
        <v>1</v>
      </c>
      <c r="C80" s="5">
        <f ca="1">COUNTBLANK(OFFSET(Demand!$I89,0,(COLUMN(B77)-1)*5,1,1))</f>
        <v>1</v>
      </c>
      <c r="D80" s="5">
        <f ca="1">COUNTBLANK(OFFSET(Demand!$I89,0,(COLUMN(C77)-1)*5,1,1))</f>
        <v>1</v>
      </c>
      <c r="E80" s="5">
        <f ca="1">COUNTBLANK(OFFSET(Demand!$I89,0,(COLUMN(D77)-1)*5,1,1))</f>
        <v>1</v>
      </c>
      <c r="F80" s="5">
        <f ca="1">COUNTBLANK(OFFSET(Demand!$I89,0,(COLUMN(E77)-1)*5,1,1))</f>
        <v>1</v>
      </c>
      <c r="G80" s="5">
        <f ca="1">COUNTBLANK(OFFSET(Demand!$I89,0,(COLUMN(F77)-1)*5,1,1))</f>
        <v>1</v>
      </c>
      <c r="H80" s="5">
        <f ca="1">COUNTBLANK(OFFSET(Demand!$I89,0,(COLUMN(G77)-1)*5,1,1))</f>
        <v>1</v>
      </c>
      <c r="I80" s="5">
        <f ca="1">COUNTBLANK(OFFSET(Demand!$I89,0,(COLUMN(H77)-1)*5,1,1))</f>
        <v>1</v>
      </c>
      <c r="J80" s="5">
        <f ca="1">COUNTBLANK(OFFSET(Demand!$I89,0,(COLUMN(I77)-1)*5,1,1))</f>
        <v>1</v>
      </c>
      <c r="K80" s="5">
        <f ca="1">COUNTBLANK(OFFSET(Demand!$I89,0,(COLUMN(J77)-1)*5,1,1))</f>
        <v>1</v>
      </c>
      <c r="N80" s="5">
        <f ca="1">SUM(OFFSET(Demand!$E89,0,(COLUMN(A77)-1)*5,1,3))*N$2</f>
        <v>0</v>
      </c>
      <c r="O80" s="5">
        <f ca="1">SUM(OFFSET(Demand!$E89,0,(COLUMN(B77)-1)*5,1,3))*O$2</f>
        <v>0</v>
      </c>
      <c r="P80" s="5">
        <f ca="1">SUM(OFFSET(Demand!$E89,0,(COLUMN(C77)-1)*5,1,3))*P$2</f>
        <v>0</v>
      </c>
      <c r="Q80" s="5">
        <f ca="1">SUM(OFFSET(Demand!$E89,0,(COLUMN(D77)-1)*5,1,3))*Q$2</f>
        <v>0</v>
      </c>
      <c r="R80" s="5">
        <f ca="1">SUM(OFFSET(Demand!$E89,0,(COLUMN(E77)-1)*5,1,3))*R$2</f>
        <v>0</v>
      </c>
      <c r="S80" s="5">
        <f ca="1">SUM(OFFSET(Demand!$E89,0,(COLUMN(F77)-1)*5,1,3))*S$2</f>
        <v>0</v>
      </c>
      <c r="T80" s="5">
        <f ca="1">SUM(OFFSET(Demand!$E89,0,(COLUMN(G77)-1)*5,1,3))*T$2</f>
        <v>0</v>
      </c>
      <c r="U80" s="5">
        <f ca="1">SUM(OFFSET(Demand!$E89,0,(COLUMN(H77)-1)*5,1,3))*U$2</f>
        <v>0</v>
      </c>
      <c r="V80" s="5">
        <f ca="1">SUM(OFFSET(Demand!$E89,0,(COLUMN(I77)-1)*5,1,3))*V$2</f>
        <v>0</v>
      </c>
      <c r="W80" s="5">
        <f ca="1">SUM(OFFSET(Demand!$E89,0,(COLUMN(J77)-1)*5,1,3))*W$2</f>
        <v>0</v>
      </c>
      <c r="X80" s="5">
        <f t="shared" ca="1" si="37"/>
        <v>0</v>
      </c>
      <c r="Y80">
        <f t="shared" ca="1" si="38"/>
        <v>0</v>
      </c>
      <c r="Z80" s="5">
        <f ca="1">SUM(OFFSET(Demand!$H89,0,(COLUMN(A77)-1)*5,1,1))*N$2</f>
        <v>0</v>
      </c>
      <c r="AA80" s="5">
        <f ca="1">SUM(OFFSET(Demand!$H89,0,(COLUMN(B77)-1)*5,1,1))*O$2</f>
        <v>0</v>
      </c>
      <c r="AB80" s="5">
        <f ca="1">SUM(OFFSET(Demand!$H89,0,(COLUMN(C77)-1)*5,1,1))*P$2</f>
        <v>0</v>
      </c>
      <c r="AC80" s="5">
        <f ca="1">SUM(OFFSET(Demand!$H89,0,(COLUMN(D77)-1)*5,1,1))*Q$2</f>
        <v>0</v>
      </c>
      <c r="AD80" s="5">
        <f ca="1">SUM(OFFSET(Demand!$H89,0,(COLUMN(E77)-1)*5,1,1))*R$2</f>
        <v>0</v>
      </c>
      <c r="AE80" s="5">
        <f ca="1">SUM(OFFSET(Demand!$H89,0,(COLUMN(F77)-1)*5,1,1))*S$2</f>
        <v>0</v>
      </c>
      <c r="AF80" s="5">
        <f ca="1">SUM(OFFSET(Demand!$H89,0,(COLUMN(G77)-1)*5,1,1))*T$2</f>
        <v>0</v>
      </c>
      <c r="AG80" s="5">
        <f ca="1">SUM(OFFSET(Demand!$H89,0,(COLUMN(H77)-1)*5,1,1))*U$2</f>
        <v>0</v>
      </c>
      <c r="AH80" s="5">
        <f ca="1">SUM(OFFSET(Demand!$H89,0,(COLUMN(I77)-1)*5,1,1))*V$2</f>
        <v>0</v>
      </c>
      <c r="AI80" s="5">
        <f ca="1">SUM(OFFSET(Demand!$H89,0,(COLUMN(J77)-1)*5,1,1))*W$2</f>
        <v>0</v>
      </c>
      <c r="AJ80" s="5">
        <f t="shared" ca="1" si="39"/>
        <v>0</v>
      </c>
      <c r="AL80" s="5">
        <f t="shared" ca="1" si="40"/>
        <v>0</v>
      </c>
      <c r="AM80" s="5">
        <f t="shared" ca="1" si="41"/>
        <v>0</v>
      </c>
      <c r="AN80" s="5" t="str">
        <f>IF(Demand!BE89="Yes","Yes","")</f>
        <v/>
      </c>
      <c r="AP80" s="36" t="str">
        <f ca="1">Demand!B89</f>
        <v xml:space="preserve"> </v>
      </c>
      <c r="AQ80" t="str">
        <f ca="1">IF(TEXT(Demand!D89,"MMM")&lt;&gt;TEXT(Demand!D88,"MMM"),TEXT(Demand!D89,"MMM"),"")</f>
        <v/>
      </c>
      <c r="AT80" s="5">
        <f t="shared" ca="1" si="42"/>
        <v>0</v>
      </c>
      <c r="BQ80">
        <f ca="1">IF($AN80="",OFFSET(Demand!$A$13,ROW(A77)-1,4+((QUOTIENT(COLUMN(BQ$2)-69,3))*5)+MOD(COLUMN(BQ$2),3),1,1),"")</f>
        <v>0</v>
      </c>
      <c r="BR80">
        <f ca="1">IF($AN80="",OFFSET(Demand!$A$13,ROW(B77)-1,4+((QUOTIENT(COLUMN(BR$2)-69,3))*5)+MOD(COLUMN(BR$2),3),1,1),"")</f>
        <v>0</v>
      </c>
      <c r="BS80">
        <f ca="1">IF($AN80="",OFFSET(Demand!$A$13,ROW(C77)-1,4+((QUOTIENT(COLUMN(BS$2)-69,3))*5)+MOD(COLUMN(BS$2),3),1,1),"")</f>
        <v>0</v>
      </c>
      <c r="BT80">
        <f ca="1">IF($AN80="",OFFSET(Demand!$A$13,ROW(D77)-1,4+((QUOTIENT(COLUMN(BT$2)-69,3))*5)+MOD(COLUMN(BT$2),3),1,1),"")</f>
        <v>0</v>
      </c>
      <c r="BU80">
        <f ca="1">IF($AN80="",OFFSET(Demand!$A$13,ROW(E77)-1,4+((QUOTIENT(COLUMN(BU$2)-69,3))*5)+MOD(COLUMN(BU$2),3),1,1),"")</f>
        <v>0</v>
      </c>
      <c r="BV80">
        <f ca="1">IF($AN80="",OFFSET(Demand!$A$13,ROW(F77)-1,4+((QUOTIENT(COLUMN(BV$2)-69,3))*5)+MOD(COLUMN(BV$2),3),1,1),"")</f>
        <v>0</v>
      </c>
      <c r="BW80">
        <f ca="1">IF($AN80="",OFFSET(Demand!$A$13,ROW(G77)-1,4+((QUOTIENT(COLUMN(BW$2)-69,3))*5)+MOD(COLUMN(BW$2),3),1,1),"")</f>
        <v>0</v>
      </c>
      <c r="BX80">
        <f ca="1">IF($AN80="",OFFSET(Demand!$A$13,ROW(H77)-1,4+((QUOTIENT(COLUMN(BX$2)-69,3))*5)+MOD(COLUMN(BX$2),3),1,1),"")</f>
        <v>0</v>
      </c>
      <c r="BY80">
        <f ca="1">IF($AN80="",OFFSET(Demand!$A$13,ROW(I77)-1,4+((QUOTIENT(COLUMN(BY$2)-69,3))*5)+MOD(COLUMN(BY$2),3),1,1),"")</f>
        <v>0</v>
      </c>
      <c r="BZ80">
        <f ca="1">IF($AN80="",OFFSET(Demand!$A$13,ROW(J77)-1,4+((QUOTIENT(COLUMN(BZ$2)-69,3))*5)+MOD(COLUMN(BZ$2),3),1,1),"")</f>
        <v>0</v>
      </c>
      <c r="CA80">
        <f ca="1">IF($AN80="",OFFSET(Demand!$A$13,ROW(K77)-1,4+((QUOTIENT(COLUMN(CA$2)-69,3))*5)+MOD(COLUMN(CA$2),3),1,1),"")</f>
        <v>0</v>
      </c>
      <c r="CB80">
        <f ca="1">IF($AN80="",OFFSET(Demand!$A$13,ROW(L77)-1,4+((QUOTIENT(COLUMN(CB$2)-69,3))*5)+MOD(COLUMN(CB$2),3),1,1),"")</f>
        <v>0</v>
      </c>
      <c r="CC80">
        <f ca="1">IF($AN80="",OFFSET(Demand!$A$13,ROW(M77)-1,4+((QUOTIENT(COLUMN(CC$2)-69,3))*5)+MOD(COLUMN(CC$2),3),1,1),"")</f>
        <v>0</v>
      </c>
      <c r="CD80">
        <f ca="1">IF($AN80="",OFFSET(Demand!$A$13,ROW(N77)-1,4+((QUOTIENT(COLUMN(CD$2)-69,3))*5)+MOD(COLUMN(CD$2),3),1,1),"")</f>
        <v>0</v>
      </c>
      <c r="CE80">
        <f ca="1">IF($AN80="",OFFSET(Demand!$A$13,ROW(O77)-1,4+((QUOTIENT(COLUMN(CE$2)-69,3))*5)+MOD(COLUMN(CE$2),3),1,1),"")</f>
        <v>0</v>
      </c>
      <c r="CF80">
        <f ca="1">IF($AN80="",OFFSET(Demand!$A$13,ROW(P77)-1,4+((QUOTIENT(COLUMN(CF$2)-69,3))*5)+MOD(COLUMN(CF$2),3),1,1),"")</f>
        <v>0</v>
      </c>
      <c r="CG80">
        <f ca="1">IF($AN80="",OFFSET(Demand!$A$13,ROW(Q77)-1,4+((QUOTIENT(COLUMN(CG$2)-69,3))*5)+MOD(COLUMN(CG$2),3),1,1),"")</f>
        <v>0</v>
      </c>
      <c r="CH80">
        <f ca="1">IF($AN80="",OFFSET(Demand!$A$13,ROW(R77)-1,4+((QUOTIENT(COLUMN(CH$2)-69,3))*5)+MOD(COLUMN(CH$2),3),1,1),"")</f>
        <v>0</v>
      </c>
      <c r="CI80">
        <f ca="1">IF($AN80="",OFFSET(Demand!$A$13,ROW(S77)-1,4+((QUOTIENT(COLUMN(CI$2)-69,3))*5)+MOD(COLUMN(CI$2),3),1,1),"")</f>
        <v>0</v>
      </c>
      <c r="CJ80">
        <f ca="1">IF($AN80="",OFFSET(Demand!$A$13,ROW(T77)-1,4+((QUOTIENT(COLUMN(CJ$2)-69,3))*5)+MOD(COLUMN(CJ$2),3),1,1),"")</f>
        <v>0</v>
      </c>
      <c r="CK80">
        <f ca="1">IF($AN80="",OFFSET(Demand!$A$13,ROW(U77)-1,4+((QUOTIENT(COLUMN(CK$2)-69,3))*5)+MOD(COLUMN(CK$2),3),1,1),"")</f>
        <v>0</v>
      </c>
      <c r="CL80">
        <f ca="1">IF($AN80="",OFFSET(Demand!$A$13,ROW(V77)-1,4+((QUOTIENT(COLUMN(CL$2)-69,3))*5)+MOD(COLUMN(CL$2),3),1,1),"")</f>
        <v>0</v>
      </c>
      <c r="CM80">
        <f ca="1">IF($AN80="",OFFSET(Demand!$A$13,ROW(W77)-1,4+((QUOTIENT(COLUMN(CM$2)-69,3))*5)+MOD(COLUMN(CM$2),3),1,1),"")</f>
        <v>0</v>
      </c>
      <c r="CN80">
        <f ca="1">IF($AN80="",OFFSET(Demand!$A$13,ROW(X77)-1,4+((QUOTIENT(COLUMN(CN$2)-69,3))*5)+MOD(COLUMN(CN$2),3),1,1),"")</f>
        <v>0</v>
      </c>
      <c r="CO80">
        <f ca="1">IF($AN80="",OFFSET(Demand!$A$13,ROW(Y77)-1,4+((QUOTIENT(COLUMN(CO$2)-69,3))*5)+MOD(COLUMN(CO$2),3),1,1),"")</f>
        <v>0</v>
      </c>
      <c r="CP80">
        <f ca="1">IF($AN80="",OFFSET(Demand!$A$13,ROW(Z77)-1,4+((QUOTIENT(COLUMN(CP$2)-69,3))*5)+MOD(COLUMN(CP$2),3),1,1),"")</f>
        <v>0</v>
      </c>
      <c r="CQ80">
        <f ca="1">IF($AN80="",OFFSET(Demand!$A$13,ROW(AA77)-1,4+((QUOTIENT(COLUMN(CQ$2)-69,3))*5)+MOD(COLUMN(CQ$2),3),1,1),"")</f>
        <v>0</v>
      </c>
      <c r="CR80">
        <f ca="1">IF($AN80="",OFFSET(Demand!$A$13,ROW(AB77)-1,4+((QUOTIENT(COLUMN(CR$2)-69,3))*5)+MOD(COLUMN(CR$2),3),1,1),"")</f>
        <v>0</v>
      </c>
      <c r="CS80">
        <f ca="1">IF($AN80="",OFFSET(Demand!$A$13,ROW(AC77)-1,4+((QUOTIENT(COLUMN(CS$2)-69,3))*5)+MOD(COLUMN(CS$2),3),1,1),"")</f>
        <v>0</v>
      </c>
      <c r="CT80">
        <f ca="1">IF($AN80="",OFFSET(Demand!$A$13,ROW(AD77)-1,4+((QUOTIENT(COLUMN(CT$2)-69,3))*5)+MOD(COLUMN(CT$2),3),1,1),"")</f>
        <v>0</v>
      </c>
      <c r="CW80" s="5">
        <f ca="1">SUM(OFFSET(Demand!$H$43,ROW(A77)-1,(COLUMN(A77)-1)*5,1,1))*N$2</f>
        <v>0</v>
      </c>
      <c r="CX80" s="5">
        <f ca="1">SUM(OFFSET(Demand!$H$43,ROW(B77)-1,(COLUMN(B77)-1)*5,1,1))*O$2</f>
        <v>0</v>
      </c>
      <c r="CY80" s="5">
        <f ca="1">SUM(OFFSET(Demand!$H$43,ROW(C77)-1,(COLUMN(C77)-1)*5,1,1))*P$2</f>
        <v>0</v>
      </c>
      <c r="CZ80" s="5">
        <f ca="1">SUM(OFFSET(Demand!$H$43,ROW(D77)-1,(COLUMN(D77)-1)*5,1,1))*Q$2</f>
        <v>0</v>
      </c>
      <c r="DA80" s="5">
        <f ca="1">SUM(OFFSET(Demand!$H$43,ROW(E77)-1,(COLUMN(E77)-1)*5,1,1))*R$2</f>
        <v>0</v>
      </c>
      <c r="DB80" s="5">
        <f ca="1">SUM(OFFSET(Demand!$H$43,ROW(F77)-1,(COLUMN(F77)-1)*5,1,1))*S$2</f>
        <v>0</v>
      </c>
      <c r="DC80" s="5">
        <f ca="1">SUM(OFFSET(Demand!$H$43,ROW(G77)-1,(COLUMN(G77)-1)*5,1,1))*T$2</f>
        <v>0</v>
      </c>
      <c r="DD80" s="5">
        <f ca="1">SUM(OFFSET(Demand!$H$43,ROW(H77)-1,(COLUMN(H77)-1)*5,1,1))*U$2</f>
        <v>0</v>
      </c>
      <c r="DE80" s="5">
        <f ca="1">SUM(OFFSET(Demand!$H$43,ROW(I77)-1,(COLUMN(I77)-1)*5,1,1))*V$2</f>
        <v>0</v>
      </c>
      <c r="DF80" s="5">
        <f ca="1">SUM(OFFSET(Demand!$H$43,ROW(J77)-1,(COLUMN(J77)-1)*5,1,1))*W$2</f>
        <v>0</v>
      </c>
      <c r="DG80" s="5">
        <f ca="1">IF(OR(AN80&lt;&gt;"",AND('Demand adjustments for Covid'!$F$9="Yes",'Demand adjustments for Covid'!$F$20="Yes")),"",SUM(CW80:DF80))</f>
        <v>0</v>
      </c>
    </row>
    <row r="81" spans="1:111" x14ac:dyDescent="0.25">
      <c r="A81" s="5">
        <f t="shared" ca="1" si="34"/>
        <v>1</v>
      </c>
      <c r="B81" s="5">
        <f ca="1">COUNTBLANK(OFFSET(Demand!$I90,0,(COLUMN(A78)-1)*5,1,1))</f>
        <v>1</v>
      </c>
      <c r="C81" s="5">
        <f ca="1">COUNTBLANK(OFFSET(Demand!$I90,0,(COLUMN(B78)-1)*5,1,1))</f>
        <v>1</v>
      </c>
      <c r="D81" s="5">
        <f ca="1">COUNTBLANK(OFFSET(Demand!$I90,0,(COLUMN(C78)-1)*5,1,1))</f>
        <v>1</v>
      </c>
      <c r="E81" s="5">
        <f ca="1">COUNTBLANK(OFFSET(Demand!$I90,0,(COLUMN(D78)-1)*5,1,1))</f>
        <v>1</v>
      </c>
      <c r="F81" s="5">
        <f ca="1">COUNTBLANK(OFFSET(Demand!$I90,0,(COLUMN(E78)-1)*5,1,1))</f>
        <v>1</v>
      </c>
      <c r="G81" s="5">
        <f ca="1">COUNTBLANK(OFFSET(Demand!$I90,0,(COLUMN(F78)-1)*5,1,1))</f>
        <v>1</v>
      </c>
      <c r="H81" s="5">
        <f ca="1">COUNTBLANK(OFFSET(Demand!$I90,0,(COLUMN(G78)-1)*5,1,1))</f>
        <v>1</v>
      </c>
      <c r="I81" s="5">
        <f ca="1">COUNTBLANK(OFFSET(Demand!$I90,0,(COLUMN(H78)-1)*5,1,1))</f>
        <v>1</v>
      </c>
      <c r="J81" s="5">
        <f ca="1">COUNTBLANK(OFFSET(Demand!$I90,0,(COLUMN(I78)-1)*5,1,1))</f>
        <v>1</v>
      </c>
      <c r="K81" s="5">
        <f ca="1">COUNTBLANK(OFFSET(Demand!$I90,0,(COLUMN(J78)-1)*5,1,1))</f>
        <v>1</v>
      </c>
      <c r="N81" s="5">
        <f ca="1">SUM(OFFSET(Demand!$E90,0,(COLUMN(A78)-1)*5,1,3))*N$2</f>
        <v>0</v>
      </c>
      <c r="O81" s="5">
        <f ca="1">SUM(OFFSET(Demand!$E90,0,(COLUMN(B78)-1)*5,1,3))*O$2</f>
        <v>0</v>
      </c>
      <c r="P81" s="5">
        <f ca="1">SUM(OFFSET(Demand!$E90,0,(COLUMN(C78)-1)*5,1,3))*P$2</f>
        <v>0</v>
      </c>
      <c r="Q81" s="5">
        <f ca="1">SUM(OFFSET(Demand!$E90,0,(COLUMN(D78)-1)*5,1,3))*Q$2</f>
        <v>0</v>
      </c>
      <c r="R81" s="5">
        <f ca="1">SUM(OFFSET(Demand!$E90,0,(COLUMN(E78)-1)*5,1,3))*R$2</f>
        <v>0</v>
      </c>
      <c r="S81" s="5">
        <f ca="1">SUM(OFFSET(Demand!$E90,0,(COLUMN(F78)-1)*5,1,3))*S$2</f>
        <v>0</v>
      </c>
      <c r="T81" s="5">
        <f ca="1">SUM(OFFSET(Demand!$E90,0,(COLUMN(G78)-1)*5,1,3))*T$2</f>
        <v>0</v>
      </c>
      <c r="U81" s="5">
        <f ca="1">SUM(OFFSET(Demand!$E90,0,(COLUMN(H78)-1)*5,1,3))*U$2</f>
        <v>0</v>
      </c>
      <c r="V81" s="5">
        <f ca="1">SUM(OFFSET(Demand!$E90,0,(COLUMN(I78)-1)*5,1,3))*V$2</f>
        <v>0</v>
      </c>
      <c r="W81" s="5">
        <f ca="1">SUM(OFFSET(Demand!$E90,0,(COLUMN(J78)-1)*5,1,3))*W$2</f>
        <v>0</v>
      </c>
      <c r="X81" s="5">
        <f t="shared" ca="1" si="37"/>
        <v>0</v>
      </c>
      <c r="Y81">
        <f t="shared" ca="1" si="38"/>
        <v>0</v>
      </c>
      <c r="Z81" s="5">
        <f ca="1">SUM(OFFSET(Demand!$H90,0,(COLUMN(A78)-1)*5,1,1))*N$2</f>
        <v>0</v>
      </c>
      <c r="AA81" s="5">
        <f ca="1">SUM(OFFSET(Demand!$H90,0,(COLUMN(B78)-1)*5,1,1))*O$2</f>
        <v>0</v>
      </c>
      <c r="AB81" s="5">
        <f ca="1">SUM(OFFSET(Demand!$H90,0,(COLUMN(C78)-1)*5,1,1))*P$2</f>
        <v>0</v>
      </c>
      <c r="AC81" s="5">
        <f ca="1">SUM(OFFSET(Demand!$H90,0,(COLUMN(D78)-1)*5,1,1))*Q$2</f>
        <v>0</v>
      </c>
      <c r="AD81" s="5">
        <f ca="1">SUM(OFFSET(Demand!$H90,0,(COLUMN(E78)-1)*5,1,1))*R$2</f>
        <v>0</v>
      </c>
      <c r="AE81" s="5">
        <f ca="1">SUM(OFFSET(Demand!$H90,0,(COLUMN(F78)-1)*5,1,1))*S$2</f>
        <v>0</v>
      </c>
      <c r="AF81" s="5">
        <f ca="1">SUM(OFFSET(Demand!$H90,0,(COLUMN(G78)-1)*5,1,1))*T$2</f>
        <v>0</v>
      </c>
      <c r="AG81" s="5">
        <f ca="1">SUM(OFFSET(Demand!$H90,0,(COLUMN(H78)-1)*5,1,1))*U$2</f>
        <v>0</v>
      </c>
      <c r="AH81" s="5">
        <f ca="1">SUM(OFFSET(Demand!$H90,0,(COLUMN(I78)-1)*5,1,1))*V$2</f>
        <v>0</v>
      </c>
      <c r="AI81" s="5">
        <f ca="1">SUM(OFFSET(Demand!$H90,0,(COLUMN(J78)-1)*5,1,1))*W$2</f>
        <v>0</v>
      </c>
      <c r="AJ81" s="5">
        <f t="shared" ca="1" si="39"/>
        <v>0</v>
      </c>
      <c r="AL81" s="5">
        <f t="shared" ca="1" si="40"/>
        <v>0</v>
      </c>
      <c r="AM81" s="5">
        <f t="shared" ca="1" si="41"/>
        <v>0</v>
      </c>
      <c r="AN81" s="5" t="str">
        <f>IF(Demand!BE90="Yes","Yes","")</f>
        <v/>
      </c>
      <c r="AP81" s="36" t="str">
        <f ca="1">Demand!B90</f>
        <v xml:space="preserve"> </v>
      </c>
      <c r="AQ81" t="str">
        <f ca="1">IF(TEXT(Demand!D90,"MMM")&lt;&gt;TEXT(Demand!D89,"MMM"),TEXT(Demand!D90,"MMM"),"")</f>
        <v/>
      </c>
      <c r="AT81" s="5">
        <f t="shared" ca="1" si="42"/>
        <v>0</v>
      </c>
      <c r="BQ81">
        <f ca="1">IF($AN81="",OFFSET(Demand!$A$13,ROW(A78)-1,4+((QUOTIENT(COLUMN(BQ$2)-69,3))*5)+MOD(COLUMN(BQ$2),3),1,1),"")</f>
        <v>0</v>
      </c>
      <c r="BR81">
        <f ca="1">IF($AN81="",OFFSET(Demand!$A$13,ROW(B78)-1,4+((QUOTIENT(COLUMN(BR$2)-69,3))*5)+MOD(COLUMN(BR$2),3),1,1),"")</f>
        <v>0</v>
      </c>
      <c r="BS81">
        <f ca="1">IF($AN81="",OFFSET(Demand!$A$13,ROW(C78)-1,4+((QUOTIENT(COLUMN(BS$2)-69,3))*5)+MOD(COLUMN(BS$2),3),1,1),"")</f>
        <v>0</v>
      </c>
      <c r="BT81">
        <f ca="1">IF($AN81="",OFFSET(Demand!$A$13,ROW(D78)-1,4+((QUOTIENT(COLUMN(BT$2)-69,3))*5)+MOD(COLUMN(BT$2),3),1,1),"")</f>
        <v>0</v>
      </c>
      <c r="BU81">
        <f ca="1">IF($AN81="",OFFSET(Demand!$A$13,ROW(E78)-1,4+((QUOTIENT(COLUMN(BU$2)-69,3))*5)+MOD(COLUMN(BU$2),3),1,1),"")</f>
        <v>0</v>
      </c>
      <c r="BV81">
        <f ca="1">IF($AN81="",OFFSET(Demand!$A$13,ROW(F78)-1,4+((QUOTIENT(COLUMN(BV$2)-69,3))*5)+MOD(COLUMN(BV$2),3),1,1),"")</f>
        <v>0</v>
      </c>
      <c r="BW81">
        <f ca="1">IF($AN81="",OFFSET(Demand!$A$13,ROW(G78)-1,4+((QUOTIENT(COLUMN(BW$2)-69,3))*5)+MOD(COLUMN(BW$2),3),1,1),"")</f>
        <v>0</v>
      </c>
      <c r="BX81">
        <f ca="1">IF($AN81="",OFFSET(Demand!$A$13,ROW(H78)-1,4+((QUOTIENT(COLUMN(BX$2)-69,3))*5)+MOD(COLUMN(BX$2),3),1,1),"")</f>
        <v>0</v>
      </c>
      <c r="BY81">
        <f ca="1">IF($AN81="",OFFSET(Demand!$A$13,ROW(I78)-1,4+((QUOTIENT(COLUMN(BY$2)-69,3))*5)+MOD(COLUMN(BY$2),3),1,1),"")</f>
        <v>0</v>
      </c>
      <c r="BZ81">
        <f ca="1">IF($AN81="",OFFSET(Demand!$A$13,ROW(J78)-1,4+((QUOTIENT(COLUMN(BZ$2)-69,3))*5)+MOD(COLUMN(BZ$2),3),1,1),"")</f>
        <v>0</v>
      </c>
      <c r="CA81">
        <f ca="1">IF($AN81="",OFFSET(Demand!$A$13,ROW(K78)-1,4+((QUOTIENT(COLUMN(CA$2)-69,3))*5)+MOD(COLUMN(CA$2),3),1,1),"")</f>
        <v>0</v>
      </c>
      <c r="CB81">
        <f ca="1">IF($AN81="",OFFSET(Demand!$A$13,ROW(L78)-1,4+((QUOTIENT(COLUMN(CB$2)-69,3))*5)+MOD(COLUMN(CB$2),3),1,1),"")</f>
        <v>0</v>
      </c>
      <c r="CC81">
        <f ca="1">IF($AN81="",OFFSET(Demand!$A$13,ROW(M78)-1,4+((QUOTIENT(COLUMN(CC$2)-69,3))*5)+MOD(COLUMN(CC$2),3),1,1),"")</f>
        <v>0</v>
      </c>
      <c r="CD81">
        <f ca="1">IF($AN81="",OFFSET(Demand!$A$13,ROW(N78)-1,4+((QUOTIENT(COLUMN(CD$2)-69,3))*5)+MOD(COLUMN(CD$2),3),1,1),"")</f>
        <v>0</v>
      </c>
      <c r="CE81">
        <f ca="1">IF($AN81="",OFFSET(Demand!$A$13,ROW(O78)-1,4+((QUOTIENT(COLUMN(CE$2)-69,3))*5)+MOD(COLUMN(CE$2),3),1,1),"")</f>
        <v>0</v>
      </c>
      <c r="CF81">
        <f ca="1">IF($AN81="",OFFSET(Demand!$A$13,ROW(P78)-1,4+((QUOTIENT(COLUMN(CF$2)-69,3))*5)+MOD(COLUMN(CF$2),3),1,1),"")</f>
        <v>0</v>
      </c>
      <c r="CG81">
        <f ca="1">IF($AN81="",OFFSET(Demand!$A$13,ROW(Q78)-1,4+((QUOTIENT(COLUMN(CG$2)-69,3))*5)+MOD(COLUMN(CG$2),3),1,1),"")</f>
        <v>0</v>
      </c>
      <c r="CH81">
        <f ca="1">IF($AN81="",OFFSET(Demand!$A$13,ROW(R78)-1,4+((QUOTIENT(COLUMN(CH$2)-69,3))*5)+MOD(COLUMN(CH$2),3),1,1),"")</f>
        <v>0</v>
      </c>
      <c r="CI81">
        <f ca="1">IF($AN81="",OFFSET(Demand!$A$13,ROW(S78)-1,4+((QUOTIENT(COLUMN(CI$2)-69,3))*5)+MOD(COLUMN(CI$2),3),1,1),"")</f>
        <v>0</v>
      </c>
      <c r="CJ81">
        <f ca="1">IF($AN81="",OFFSET(Demand!$A$13,ROW(T78)-1,4+((QUOTIENT(COLUMN(CJ$2)-69,3))*5)+MOD(COLUMN(CJ$2),3),1,1),"")</f>
        <v>0</v>
      </c>
      <c r="CK81">
        <f ca="1">IF($AN81="",OFFSET(Demand!$A$13,ROW(U78)-1,4+((QUOTIENT(COLUMN(CK$2)-69,3))*5)+MOD(COLUMN(CK$2),3),1,1),"")</f>
        <v>0</v>
      </c>
      <c r="CL81">
        <f ca="1">IF($AN81="",OFFSET(Demand!$A$13,ROW(V78)-1,4+((QUOTIENT(COLUMN(CL$2)-69,3))*5)+MOD(COLUMN(CL$2),3),1,1),"")</f>
        <v>0</v>
      </c>
      <c r="CM81">
        <f ca="1">IF($AN81="",OFFSET(Demand!$A$13,ROW(W78)-1,4+((QUOTIENT(COLUMN(CM$2)-69,3))*5)+MOD(COLUMN(CM$2),3),1,1),"")</f>
        <v>0</v>
      </c>
      <c r="CN81">
        <f ca="1">IF($AN81="",OFFSET(Demand!$A$13,ROW(X78)-1,4+((QUOTIENT(COLUMN(CN$2)-69,3))*5)+MOD(COLUMN(CN$2),3),1,1),"")</f>
        <v>0</v>
      </c>
      <c r="CO81">
        <f ca="1">IF($AN81="",OFFSET(Demand!$A$13,ROW(Y78)-1,4+((QUOTIENT(COLUMN(CO$2)-69,3))*5)+MOD(COLUMN(CO$2),3),1,1),"")</f>
        <v>0</v>
      </c>
      <c r="CP81">
        <f ca="1">IF($AN81="",OFFSET(Demand!$A$13,ROW(Z78)-1,4+((QUOTIENT(COLUMN(CP$2)-69,3))*5)+MOD(COLUMN(CP$2),3),1,1),"")</f>
        <v>0</v>
      </c>
      <c r="CQ81">
        <f ca="1">IF($AN81="",OFFSET(Demand!$A$13,ROW(AA78)-1,4+((QUOTIENT(COLUMN(CQ$2)-69,3))*5)+MOD(COLUMN(CQ$2),3),1,1),"")</f>
        <v>0</v>
      </c>
      <c r="CR81">
        <f ca="1">IF($AN81="",OFFSET(Demand!$A$13,ROW(AB78)-1,4+((QUOTIENT(COLUMN(CR$2)-69,3))*5)+MOD(COLUMN(CR$2),3),1,1),"")</f>
        <v>0</v>
      </c>
      <c r="CS81">
        <f ca="1">IF($AN81="",OFFSET(Demand!$A$13,ROW(AC78)-1,4+((QUOTIENT(COLUMN(CS$2)-69,3))*5)+MOD(COLUMN(CS$2),3),1,1),"")</f>
        <v>0</v>
      </c>
      <c r="CT81">
        <f ca="1">IF($AN81="",OFFSET(Demand!$A$13,ROW(AD78)-1,4+((QUOTIENT(COLUMN(CT$2)-69,3))*5)+MOD(COLUMN(CT$2),3),1,1),"")</f>
        <v>0</v>
      </c>
      <c r="CW81" s="5">
        <f ca="1">SUM(OFFSET(Demand!$H$43,ROW(A78)-1,(COLUMN(A78)-1)*5,1,1))*N$2</f>
        <v>0</v>
      </c>
      <c r="CX81" s="5">
        <f ca="1">SUM(OFFSET(Demand!$H$43,ROW(B78)-1,(COLUMN(B78)-1)*5,1,1))*O$2</f>
        <v>0</v>
      </c>
      <c r="CY81" s="5">
        <f ca="1">SUM(OFFSET(Demand!$H$43,ROW(C78)-1,(COLUMN(C78)-1)*5,1,1))*P$2</f>
        <v>0</v>
      </c>
      <c r="CZ81" s="5">
        <f ca="1">SUM(OFFSET(Demand!$H$43,ROW(D78)-1,(COLUMN(D78)-1)*5,1,1))*Q$2</f>
        <v>0</v>
      </c>
      <c r="DA81" s="5">
        <f ca="1">SUM(OFFSET(Demand!$H$43,ROW(E78)-1,(COLUMN(E78)-1)*5,1,1))*R$2</f>
        <v>0</v>
      </c>
      <c r="DB81" s="5">
        <f ca="1">SUM(OFFSET(Demand!$H$43,ROW(F78)-1,(COLUMN(F78)-1)*5,1,1))*S$2</f>
        <v>0</v>
      </c>
      <c r="DC81" s="5">
        <f ca="1">SUM(OFFSET(Demand!$H$43,ROW(G78)-1,(COLUMN(G78)-1)*5,1,1))*T$2</f>
        <v>0</v>
      </c>
      <c r="DD81" s="5">
        <f ca="1">SUM(OFFSET(Demand!$H$43,ROW(H78)-1,(COLUMN(H78)-1)*5,1,1))*U$2</f>
        <v>0</v>
      </c>
      <c r="DE81" s="5">
        <f ca="1">SUM(OFFSET(Demand!$H$43,ROW(I78)-1,(COLUMN(I78)-1)*5,1,1))*V$2</f>
        <v>0</v>
      </c>
      <c r="DF81" s="5">
        <f ca="1">SUM(OFFSET(Demand!$H$43,ROW(J78)-1,(COLUMN(J78)-1)*5,1,1))*W$2</f>
        <v>0</v>
      </c>
      <c r="DG81" s="5">
        <f ca="1">IF(OR(AN81&lt;&gt;"",AND('Demand adjustments for Covid'!$F$9="Yes",'Demand adjustments for Covid'!$F$20="Yes")),"",SUM(CW81:DF81))</f>
        <v>0</v>
      </c>
    </row>
    <row r="82" spans="1:111" x14ac:dyDescent="0.25">
      <c r="A82" s="5">
        <f t="shared" ca="1" si="34"/>
        <v>1</v>
      </c>
      <c r="B82" s="5">
        <f ca="1">COUNTBLANK(OFFSET(Demand!$I91,0,(COLUMN(A79)-1)*5,1,1))</f>
        <v>1</v>
      </c>
      <c r="C82" s="5">
        <f ca="1">COUNTBLANK(OFFSET(Demand!$I91,0,(COLUMN(B79)-1)*5,1,1))</f>
        <v>1</v>
      </c>
      <c r="D82" s="5">
        <f ca="1">COUNTBLANK(OFFSET(Demand!$I91,0,(COLUMN(C79)-1)*5,1,1))</f>
        <v>1</v>
      </c>
      <c r="E82" s="5">
        <f ca="1">COUNTBLANK(OFFSET(Demand!$I91,0,(COLUMN(D79)-1)*5,1,1))</f>
        <v>1</v>
      </c>
      <c r="F82" s="5">
        <f ca="1">COUNTBLANK(OFFSET(Demand!$I91,0,(COLUMN(E79)-1)*5,1,1))</f>
        <v>1</v>
      </c>
      <c r="G82" s="5">
        <f ca="1">COUNTBLANK(OFFSET(Demand!$I91,0,(COLUMN(F79)-1)*5,1,1))</f>
        <v>1</v>
      </c>
      <c r="H82" s="5">
        <f ca="1">COUNTBLANK(OFFSET(Demand!$I91,0,(COLUMN(G79)-1)*5,1,1))</f>
        <v>1</v>
      </c>
      <c r="I82" s="5">
        <f ca="1">COUNTBLANK(OFFSET(Demand!$I91,0,(COLUMN(H79)-1)*5,1,1))</f>
        <v>1</v>
      </c>
      <c r="J82" s="5">
        <f ca="1">COUNTBLANK(OFFSET(Demand!$I91,0,(COLUMN(I79)-1)*5,1,1))</f>
        <v>1</v>
      </c>
      <c r="K82" s="5">
        <f ca="1">COUNTBLANK(OFFSET(Demand!$I91,0,(COLUMN(J79)-1)*5,1,1))</f>
        <v>1</v>
      </c>
      <c r="N82" s="5">
        <f ca="1">SUM(OFFSET(Demand!$E91,0,(COLUMN(A79)-1)*5,1,3))*N$2</f>
        <v>0</v>
      </c>
      <c r="O82" s="5">
        <f ca="1">SUM(OFFSET(Demand!$E91,0,(COLUMN(B79)-1)*5,1,3))*O$2</f>
        <v>0</v>
      </c>
      <c r="P82" s="5">
        <f ca="1">SUM(OFFSET(Demand!$E91,0,(COLUMN(C79)-1)*5,1,3))*P$2</f>
        <v>0</v>
      </c>
      <c r="Q82" s="5">
        <f ca="1">SUM(OFFSET(Demand!$E91,0,(COLUMN(D79)-1)*5,1,3))*Q$2</f>
        <v>0</v>
      </c>
      <c r="R82" s="5">
        <f ca="1">SUM(OFFSET(Demand!$E91,0,(COLUMN(E79)-1)*5,1,3))*R$2</f>
        <v>0</v>
      </c>
      <c r="S82" s="5">
        <f ca="1">SUM(OFFSET(Demand!$E91,0,(COLUMN(F79)-1)*5,1,3))*S$2</f>
        <v>0</v>
      </c>
      <c r="T82" s="5">
        <f ca="1">SUM(OFFSET(Demand!$E91,0,(COLUMN(G79)-1)*5,1,3))*T$2</f>
        <v>0</v>
      </c>
      <c r="U82" s="5">
        <f ca="1">SUM(OFFSET(Demand!$E91,0,(COLUMN(H79)-1)*5,1,3))*U$2</f>
        <v>0</v>
      </c>
      <c r="V82" s="5">
        <f ca="1">SUM(OFFSET(Demand!$E91,0,(COLUMN(I79)-1)*5,1,3))*V$2</f>
        <v>0</v>
      </c>
      <c r="W82" s="5">
        <f ca="1">SUM(OFFSET(Demand!$E91,0,(COLUMN(J79)-1)*5,1,3))*W$2</f>
        <v>0</v>
      </c>
      <c r="X82" s="5">
        <f t="shared" ca="1" si="37"/>
        <v>0</v>
      </c>
      <c r="Y82">
        <f t="shared" ca="1" si="38"/>
        <v>0</v>
      </c>
      <c r="Z82" s="5">
        <f ca="1">SUM(OFFSET(Demand!$H91,0,(COLUMN(A79)-1)*5,1,1))*N$2</f>
        <v>0</v>
      </c>
      <c r="AA82" s="5">
        <f ca="1">SUM(OFFSET(Demand!$H91,0,(COLUMN(B79)-1)*5,1,1))*O$2</f>
        <v>0</v>
      </c>
      <c r="AB82" s="5">
        <f ca="1">SUM(OFFSET(Demand!$H91,0,(COLUMN(C79)-1)*5,1,1))*P$2</f>
        <v>0</v>
      </c>
      <c r="AC82" s="5">
        <f ca="1">SUM(OFFSET(Demand!$H91,0,(COLUMN(D79)-1)*5,1,1))*Q$2</f>
        <v>0</v>
      </c>
      <c r="AD82" s="5">
        <f ca="1">SUM(OFFSET(Demand!$H91,0,(COLUMN(E79)-1)*5,1,1))*R$2</f>
        <v>0</v>
      </c>
      <c r="AE82" s="5">
        <f ca="1">SUM(OFFSET(Demand!$H91,0,(COLUMN(F79)-1)*5,1,1))*S$2</f>
        <v>0</v>
      </c>
      <c r="AF82" s="5">
        <f ca="1">SUM(OFFSET(Demand!$H91,0,(COLUMN(G79)-1)*5,1,1))*T$2</f>
        <v>0</v>
      </c>
      <c r="AG82" s="5">
        <f ca="1">SUM(OFFSET(Demand!$H91,0,(COLUMN(H79)-1)*5,1,1))*U$2</f>
        <v>0</v>
      </c>
      <c r="AH82" s="5">
        <f ca="1">SUM(OFFSET(Demand!$H91,0,(COLUMN(I79)-1)*5,1,1))*V$2</f>
        <v>0</v>
      </c>
      <c r="AI82" s="5">
        <f ca="1">SUM(OFFSET(Demand!$H91,0,(COLUMN(J79)-1)*5,1,1))*W$2</f>
        <v>0</v>
      </c>
      <c r="AJ82" s="5">
        <f t="shared" ca="1" si="39"/>
        <v>0</v>
      </c>
      <c r="AL82" s="5">
        <f t="shared" ca="1" si="40"/>
        <v>0</v>
      </c>
      <c r="AM82" s="5">
        <f t="shared" ca="1" si="41"/>
        <v>0</v>
      </c>
      <c r="AN82" s="5" t="str">
        <f>IF(Demand!BE91="Yes","Yes","")</f>
        <v/>
      </c>
      <c r="AP82" s="36" t="str">
        <f ca="1">Demand!B91</f>
        <v xml:space="preserve"> </v>
      </c>
      <c r="AQ82" t="str">
        <f ca="1">IF(TEXT(Demand!D91,"MMM")&lt;&gt;TEXT(Demand!D90,"MMM"),TEXT(Demand!D91,"MMM"),"")</f>
        <v/>
      </c>
      <c r="AT82" s="5">
        <f t="shared" ca="1" si="42"/>
        <v>0</v>
      </c>
      <c r="BQ82">
        <f ca="1">IF($AN82="",OFFSET(Demand!$A$13,ROW(A79)-1,4+((QUOTIENT(COLUMN(BQ$2)-69,3))*5)+MOD(COLUMN(BQ$2),3),1,1),"")</f>
        <v>0</v>
      </c>
      <c r="BR82">
        <f ca="1">IF($AN82="",OFFSET(Demand!$A$13,ROW(B79)-1,4+((QUOTIENT(COLUMN(BR$2)-69,3))*5)+MOD(COLUMN(BR$2),3),1,1),"")</f>
        <v>0</v>
      </c>
      <c r="BS82">
        <f ca="1">IF($AN82="",OFFSET(Demand!$A$13,ROW(C79)-1,4+((QUOTIENT(COLUMN(BS$2)-69,3))*5)+MOD(COLUMN(BS$2),3),1,1),"")</f>
        <v>0</v>
      </c>
      <c r="BT82">
        <f ca="1">IF($AN82="",OFFSET(Demand!$A$13,ROW(D79)-1,4+((QUOTIENT(COLUMN(BT$2)-69,3))*5)+MOD(COLUMN(BT$2),3),1,1),"")</f>
        <v>0</v>
      </c>
      <c r="BU82">
        <f ca="1">IF($AN82="",OFFSET(Demand!$A$13,ROW(E79)-1,4+((QUOTIENT(COLUMN(BU$2)-69,3))*5)+MOD(COLUMN(BU$2),3),1,1),"")</f>
        <v>0</v>
      </c>
      <c r="BV82">
        <f ca="1">IF($AN82="",OFFSET(Demand!$A$13,ROW(F79)-1,4+((QUOTIENT(COLUMN(BV$2)-69,3))*5)+MOD(COLUMN(BV$2),3),1,1),"")</f>
        <v>0</v>
      </c>
      <c r="BW82">
        <f ca="1">IF($AN82="",OFFSET(Demand!$A$13,ROW(G79)-1,4+((QUOTIENT(COLUMN(BW$2)-69,3))*5)+MOD(COLUMN(BW$2),3),1,1),"")</f>
        <v>0</v>
      </c>
      <c r="BX82">
        <f ca="1">IF($AN82="",OFFSET(Demand!$A$13,ROW(H79)-1,4+((QUOTIENT(COLUMN(BX$2)-69,3))*5)+MOD(COLUMN(BX$2),3),1,1),"")</f>
        <v>0</v>
      </c>
      <c r="BY82">
        <f ca="1">IF($AN82="",OFFSET(Demand!$A$13,ROW(I79)-1,4+((QUOTIENT(COLUMN(BY$2)-69,3))*5)+MOD(COLUMN(BY$2),3),1,1),"")</f>
        <v>0</v>
      </c>
      <c r="BZ82">
        <f ca="1">IF($AN82="",OFFSET(Demand!$A$13,ROW(J79)-1,4+((QUOTIENT(COLUMN(BZ$2)-69,3))*5)+MOD(COLUMN(BZ$2),3),1,1),"")</f>
        <v>0</v>
      </c>
      <c r="CA82">
        <f ca="1">IF($AN82="",OFFSET(Demand!$A$13,ROW(K79)-1,4+((QUOTIENT(COLUMN(CA$2)-69,3))*5)+MOD(COLUMN(CA$2),3),1,1),"")</f>
        <v>0</v>
      </c>
      <c r="CB82">
        <f ca="1">IF($AN82="",OFFSET(Demand!$A$13,ROW(L79)-1,4+((QUOTIENT(COLUMN(CB$2)-69,3))*5)+MOD(COLUMN(CB$2),3),1,1),"")</f>
        <v>0</v>
      </c>
      <c r="CC82">
        <f ca="1">IF($AN82="",OFFSET(Demand!$A$13,ROW(M79)-1,4+((QUOTIENT(COLUMN(CC$2)-69,3))*5)+MOD(COLUMN(CC$2),3),1,1),"")</f>
        <v>0</v>
      </c>
      <c r="CD82">
        <f ca="1">IF($AN82="",OFFSET(Demand!$A$13,ROW(N79)-1,4+((QUOTIENT(COLUMN(CD$2)-69,3))*5)+MOD(COLUMN(CD$2),3),1,1),"")</f>
        <v>0</v>
      </c>
      <c r="CE82">
        <f ca="1">IF($AN82="",OFFSET(Demand!$A$13,ROW(O79)-1,4+((QUOTIENT(COLUMN(CE$2)-69,3))*5)+MOD(COLUMN(CE$2),3),1,1),"")</f>
        <v>0</v>
      </c>
      <c r="CF82">
        <f ca="1">IF($AN82="",OFFSET(Demand!$A$13,ROW(P79)-1,4+((QUOTIENT(COLUMN(CF$2)-69,3))*5)+MOD(COLUMN(CF$2),3),1,1),"")</f>
        <v>0</v>
      </c>
      <c r="CG82">
        <f ca="1">IF($AN82="",OFFSET(Demand!$A$13,ROW(Q79)-1,4+((QUOTIENT(COLUMN(CG$2)-69,3))*5)+MOD(COLUMN(CG$2),3),1,1),"")</f>
        <v>0</v>
      </c>
      <c r="CH82">
        <f ca="1">IF($AN82="",OFFSET(Demand!$A$13,ROW(R79)-1,4+((QUOTIENT(COLUMN(CH$2)-69,3))*5)+MOD(COLUMN(CH$2),3),1,1),"")</f>
        <v>0</v>
      </c>
      <c r="CI82">
        <f ca="1">IF($AN82="",OFFSET(Demand!$A$13,ROW(S79)-1,4+((QUOTIENT(COLUMN(CI$2)-69,3))*5)+MOD(COLUMN(CI$2),3),1,1),"")</f>
        <v>0</v>
      </c>
      <c r="CJ82">
        <f ca="1">IF($AN82="",OFFSET(Demand!$A$13,ROW(T79)-1,4+((QUOTIENT(COLUMN(CJ$2)-69,3))*5)+MOD(COLUMN(CJ$2),3),1,1),"")</f>
        <v>0</v>
      </c>
      <c r="CK82">
        <f ca="1">IF($AN82="",OFFSET(Demand!$A$13,ROW(U79)-1,4+((QUOTIENT(COLUMN(CK$2)-69,3))*5)+MOD(COLUMN(CK$2),3),1,1),"")</f>
        <v>0</v>
      </c>
      <c r="CL82">
        <f ca="1">IF($AN82="",OFFSET(Demand!$A$13,ROW(V79)-1,4+((QUOTIENT(COLUMN(CL$2)-69,3))*5)+MOD(COLUMN(CL$2),3),1,1),"")</f>
        <v>0</v>
      </c>
      <c r="CM82">
        <f ca="1">IF($AN82="",OFFSET(Demand!$A$13,ROW(W79)-1,4+((QUOTIENT(COLUMN(CM$2)-69,3))*5)+MOD(COLUMN(CM$2),3),1,1),"")</f>
        <v>0</v>
      </c>
      <c r="CN82">
        <f ca="1">IF($AN82="",OFFSET(Demand!$A$13,ROW(X79)-1,4+((QUOTIENT(COLUMN(CN$2)-69,3))*5)+MOD(COLUMN(CN$2),3),1,1),"")</f>
        <v>0</v>
      </c>
      <c r="CO82">
        <f ca="1">IF($AN82="",OFFSET(Demand!$A$13,ROW(Y79)-1,4+((QUOTIENT(COLUMN(CO$2)-69,3))*5)+MOD(COLUMN(CO$2),3),1,1),"")</f>
        <v>0</v>
      </c>
      <c r="CP82">
        <f ca="1">IF($AN82="",OFFSET(Demand!$A$13,ROW(Z79)-1,4+((QUOTIENT(COLUMN(CP$2)-69,3))*5)+MOD(COLUMN(CP$2),3),1,1),"")</f>
        <v>0</v>
      </c>
      <c r="CQ82">
        <f ca="1">IF($AN82="",OFFSET(Demand!$A$13,ROW(AA79)-1,4+((QUOTIENT(COLUMN(CQ$2)-69,3))*5)+MOD(COLUMN(CQ$2),3),1,1),"")</f>
        <v>0</v>
      </c>
      <c r="CR82">
        <f ca="1">IF($AN82="",OFFSET(Demand!$A$13,ROW(AB79)-1,4+((QUOTIENT(COLUMN(CR$2)-69,3))*5)+MOD(COLUMN(CR$2),3),1,1),"")</f>
        <v>0</v>
      </c>
      <c r="CS82">
        <f ca="1">IF($AN82="",OFFSET(Demand!$A$13,ROW(AC79)-1,4+((QUOTIENT(COLUMN(CS$2)-69,3))*5)+MOD(COLUMN(CS$2),3),1,1),"")</f>
        <v>0</v>
      </c>
      <c r="CT82">
        <f ca="1">IF($AN82="",OFFSET(Demand!$A$13,ROW(AD79)-1,4+((QUOTIENT(COLUMN(CT$2)-69,3))*5)+MOD(COLUMN(CT$2),3),1,1),"")</f>
        <v>0</v>
      </c>
      <c r="CW82" s="5">
        <f ca="1">SUM(OFFSET(Demand!$H$43,ROW(A79)-1,(COLUMN(A79)-1)*5,1,1))*N$2</f>
        <v>0</v>
      </c>
      <c r="CX82" s="5">
        <f ca="1">SUM(OFFSET(Demand!$H$43,ROW(B79)-1,(COLUMN(B79)-1)*5,1,1))*O$2</f>
        <v>0</v>
      </c>
      <c r="CY82" s="5">
        <f ca="1">SUM(OFFSET(Demand!$H$43,ROW(C79)-1,(COLUMN(C79)-1)*5,1,1))*P$2</f>
        <v>0</v>
      </c>
      <c r="CZ82" s="5">
        <f ca="1">SUM(OFFSET(Demand!$H$43,ROW(D79)-1,(COLUMN(D79)-1)*5,1,1))*Q$2</f>
        <v>0</v>
      </c>
      <c r="DA82" s="5">
        <f ca="1">SUM(OFFSET(Demand!$H$43,ROW(E79)-1,(COLUMN(E79)-1)*5,1,1))*R$2</f>
        <v>0</v>
      </c>
      <c r="DB82" s="5">
        <f ca="1">SUM(OFFSET(Demand!$H$43,ROW(F79)-1,(COLUMN(F79)-1)*5,1,1))*S$2</f>
        <v>0</v>
      </c>
      <c r="DC82" s="5">
        <f ca="1">SUM(OFFSET(Demand!$H$43,ROW(G79)-1,(COLUMN(G79)-1)*5,1,1))*T$2</f>
        <v>0</v>
      </c>
      <c r="DD82" s="5">
        <f ca="1">SUM(OFFSET(Demand!$H$43,ROW(H79)-1,(COLUMN(H79)-1)*5,1,1))*U$2</f>
        <v>0</v>
      </c>
      <c r="DE82" s="5">
        <f ca="1">SUM(OFFSET(Demand!$H$43,ROW(I79)-1,(COLUMN(I79)-1)*5,1,1))*V$2</f>
        <v>0</v>
      </c>
      <c r="DF82" s="5">
        <f ca="1">SUM(OFFSET(Demand!$H$43,ROW(J79)-1,(COLUMN(J79)-1)*5,1,1))*W$2</f>
        <v>0</v>
      </c>
      <c r="DG82" s="5">
        <f ca="1">IF(OR(AN82&lt;&gt;"",AND('Demand adjustments for Covid'!$F$9="Yes",'Demand adjustments for Covid'!$F$20="Yes")),"",SUM(CW82:DF82))</f>
        <v>0</v>
      </c>
    </row>
    <row r="83" spans="1:111" x14ac:dyDescent="0.25">
      <c r="A83" s="5">
        <f t="shared" ca="1" si="34"/>
        <v>1</v>
      </c>
      <c r="B83" s="5">
        <f ca="1">COUNTBLANK(OFFSET(Demand!$I92,0,(COLUMN(A80)-1)*5,1,1))</f>
        <v>1</v>
      </c>
      <c r="C83" s="5">
        <f ca="1">COUNTBLANK(OFFSET(Demand!$I92,0,(COLUMN(B80)-1)*5,1,1))</f>
        <v>1</v>
      </c>
      <c r="D83" s="5">
        <f ca="1">COUNTBLANK(OFFSET(Demand!$I92,0,(COLUMN(C80)-1)*5,1,1))</f>
        <v>1</v>
      </c>
      <c r="E83" s="5">
        <f ca="1">COUNTBLANK(OFFSET(Demand!$I92,0,(COLUMN(D80)-1)*5,1,1))</f>
        <v>1</v>
      </c>
      <c r="F83" s="5">
        <f ca="1">COUNTBLANK(OFFSET(Demand!$I92,0,(COLUMN(E80)-1)*5,1,1))</f>
        <v>1</v>
      </c>
      <c r="G83" s="5">
        <f ca="1">COUNTBLANK(OFFSET(Demand!$I92,0,(COLUMN(F80)-1)*5,1,1))</f>
        <v>1</v>
      </c>
      <c r="H83" s="5">
        <f ca="1">COUNTBLANK(OFFSET(Demand!$I92,0,(COLUMN(G80)-1)*5,1,1))</f>
        <v>1</v>
      </c>
      <c r="I83" s="5">
        <f ca="1">COUNTBLANK(OFFSET(Demand!$I92,0,(COLUMN(H80)-1)*5,1,1))</f>
        <v>1</v>
      </c>
      <c r="J83" s="5">
        <f ca="1">COUNTBLANK(OFFSET(Demand!$I92,0,(COLUMN(I80)-1)*5,1,1))</f>
        <v>1</v>
      </c>
      <c r="K83" s="5">
        <f ca="1">COUNTBLANK(OFFSET(Demand!$I92,0,(COLUMN(J80)-1)*5,1,1))</f>
        <v>1</v>
      </c>
      <c r="N83" s="5">
        <f ca="1">SUM(OFFSET(Demand!$E92,0,(COLUMN(A80)-1)*5,1,3))*N$2</f>
        <v>0</v>
      </c>
      <c r="O83" s="5">
        <f ca="1">SUM(OFFSET(Demand!$E92,0,(COLUMN(B80)-1)*5,1,3))*O$2</f>
        <v>0</v>
      </c>
      <c r="P83" s="5">
        <f ca="1">SUM(OFFSET(Demand!$E92,0,(COLUMN(C80)-1)*5,1,3))*P$2</f>
        <v>0</v>
      </c>
      <c r="Q83" s="5">
        <f ca="1">SUM(OFFSET(Demand!$E92,0,(COLUMN(D80)-1)*5,1,3))*Q$2</f>
        <v>0</v>
      </c>
      <c r="R83" s="5">
        <f ca="1">SUM(OFFSET(Demand!$E92,0,(COLUMN(E80)-1)*5,1,3))*R$2</f>
        <v>0</v>
      </c>
      <c r="S83" s="5">
        <f ca="1">SUM(OFFSET(Demand!$E92,0,(COLUMN(F80)-1)*5,1,3))*S$2</f>
        <v>0</v>
      </c>
      <c r="T83" s="5">
        <f ca="1">SUM(OFFSET(Demand!$E92,0,(COLUMN(G80)-1)*5,1,3))*T$2</f>
        <v>0</v>
      </c>
      <c r="U83" s="5">
        <f ca="1">SUM(OFFSET(Demand!$E92,0,(COLUMN(H80)-1)*5,1,3))*U$2</f>
        <v>0</v>
      </c>
      <c r="V83" s="5">
        <f ca="1">SUM(OFFSET(Demand!$E92,0,(COLUMN(I80)-1)*5,1,3))*V$2</f>
        <v>0</v>
      </c>
      <c r="W83" s="5">
        <f ca="1">SUM(OFFSET(Demand!$E92,0,(COLUMN(J80)-1)*5,1,3))*W$2</f>
        <v>0</v>
      </c>
      <c r="X83" s="5">
        <f t="shared" ca="1" si="37"/>
        <v>0</v>
      </c>
      <c r="Y83">
        <f t="shared" ca="1" si="38"/>
        <v>0</v>
      </c>
      <c r="Z83" s="5">
        <f ca="1">SUM(OFFSET(Demand!$H92,0,(COLUMN(A80)-1)*5,1,1))*N$2</f>
        <v>0</v>
      </c>
      <c r="AA83" s="5">
        <f ca="1">SUM(OFFSET(Demand!$H92,0,(COLUMN(B80)-1)*5,1,1))*O$2</f>
        <v>0</v>
      </c>
      <c r="AB83" s="5">
        <f ca="1">SUM(OFFSET(Demand!$H92,0,(COLUMN(C80)-1)*5,1,1))*P$2</f>
        <v>0</v>
      </c>
      <c r="AC83" s="5">
        <f ca="1">SUM(OFFSET(Demand!$H92,0,(COLUMN(D80)-1)*5,1,1))*Q$2</f>
        <v>0</v>
      </c>
      <c r="AD83" s="5">
        <f ca="1">SUM(OFFSET(Demand!$H92,0,(COLUMN(E80)-1)*5,1,1))*R$2</f>
        <v>0</v>
      </c>
      <c r="AE83" s="5">
        <f ca="1">SUM(OFFSET(Demand!$H92,0,(COLUMN(F80)-1)*5,1,1))*S$2</f>
        <v>0</v>
      </c>
      <c r="AF83" s="5">
        <f ca="1">SUM(OFFSET(Demand!$H92,0,(COLUMN(G80)-1)*5,1,1))*T$2</f>
        <v>0</v>
      </c>
      <c r="AG83" s="5">
        <f ca="1">SUM(OFFSET(Demand!$H92,0,(COLUMN(H80)-1)*5,1,1))*U$2</f>
        <v>0</v>
      </c>
      <c r="AH83" s="5">
        <f ca="1">SUM(OFFSET(Demand!$H92,0,(COLUMN(I80)-1)*5,1,1))*V$2</f>
        <v>0</v>
      </c>
      <c r="AI83" s="5">
        <f ca="1">SUM(OFFSET(Demand!$H92,0,(COLUMN(J80)-1)*5,1,1))*W$2</f>
        <v>0</v>
      </c>
      <c r="AJ83" s="5">
        <f t="shared" ca="1" si="39"/>
        <v>0</v>
      </c>
      <c r="AL83" s="5">
        <f t="shared" ca="1" si="40"/>
        <v>0</v>
      </c>
      <c r="AM83" s="5">
        <f t="shared" ca="1" si="41"/>
        <v>0</v>
      </c>
      <c r="AN83" s="5" t="str">
        <f>IF(Demand!BE92="Yes","Yes","")</f>
        <v/>
      </c>
      <c r="AP83" s="36" t="str">
        <f ca="1">Demand!B92</f>
        <v xml:space="preserve"> </v>
      </c>
      <c r="AQ83" t="str">
        <f ca="1">IF(TEXT(Demand!D92,"MMM")&lt;&gt;TEXT(Demand!D91,"MMM"),TEXT(Demand!D92,"MMM"),"")</f>
        <v/>
      </c>
      <c r="AT83" s="5">
        <f t="shared" ca="1" si="42"/>
        <v>0</v>
      </c>
      <c r="BQ83">
        <f ca="1">IF($AN83="",OFFSET(Demand!$A$13,ROW(A80)-1,4+((QUOTIENT(COLUMN(BQ$2)-69,3))*5)+MOD(COLUMN(BQ$2),3),1,1),"")</f>
        <v>0</v>
      </c>
      <c r="BR83">
        <f ca="1">IF($AN83="",OFFSET(Demand!$A$13,ROW(B80)-1,4+((QUOTIENT(COLUMN(BR$2)-69,3))*5)+MOD(COLUMN(BR$2),3),1,1),"")</f>
        <v>0</v>
      </c>
      <c r="BS83">
        <f ca="1">IF($AN83="",OFFSET(Demand!$A$13,ROW(C80)-1,4+((QUOTIENT(COLUMN(BS$2)-69,3))*5)+MOD(COLUMN(BS$2),3),1,1),"")</f>
        <v>0</v>
      </c>
      <c r="BT83">
        <f ca="1">IF($AN83="",OFFSET(Demand!$A$13,ROW(D80)-1,4+((QUOTIENT(COLUMN(BT$2)-69,3))*5)+MOD(COLUMN(BT$2),3),1,1),"")</f>
        <v>0</v>
      </c>
      <c r="BU83">
        <f ca="1">IF($AN83="",OFFSET(Demand!$A$13,ROW(E80)-1,4+((QUOTIENT(COLUMN(BU$2)-69,3))*5)+MOD(COLUMN(BU$2),3),1,1),"")</f>
        <v>0</v>
      </c>
      <c r="BV83">
        <f ca="1">IF($AN83="",OFFSET(Demand!$A$13,ROW(F80)-1,4+((QUOTIENT(COLUMN(BV$2)-69,3))*5)+MOD(COLUMN(BV$2),3),1,1),"")</f>
        <v>0</v>
      </c>
      <c r="BW83">
        <f ca="1">IF($AN83="",OFFSET(Demand!$A$13,ROW(G80)-1,4+((QUOTIENT(COLUMN(BW$2)-69,3))*5)+MOD(COLUMN(BW$2),3),1,1),"")</f>
        <v>0</v>
      </c>
      <c r="BX83">
        <f ca="1">IF($AN83="",OFFSET(Demand!$A$13,ROW(H80)-1,4+((QUOTIENT(COLUMN(BX$2)-69,3))*5)+MOD(COLUMN(BX$2),3),1,1),"")</f>
        <v>0</v>
      </c>
      <c r="BY83">
        <f ca="1">IF($AN83="",OFFSET(Demand!$A$13,ROW(I80)-1,4+((QUOTIENT(COLUMN(BY$2)-69,3))*5)+MOD(COLUMN(BY$2),3),1,1),"")</f>
        <v>0</v>
      </c>
      <c r="BZ83">
        <f ca="1">IF($AN83="",OFFSET(Demand!$A$13,ROW(J80)-1,4+((QUOTIENT(COLUMN(BZ$2)-69,3))*5)+MOD(COLUMN(BZ$2),3),1,1),"")</f>
        <v>0</v>
      </c>
      <c r="CA83">
        <f ca="1">IF($AN83="",OFFSET(Demand!$A$13,ROW(K80)-1,4+((QUOTIENT(COLUMN(CA$2)-69,3))*5)+MOD(COLUMN(CA$2),3),1,1),"")</f>
        <v>0</v>
      </c>
      <c r="CB83">
        <f ca="1">IF($AN83="",OFFSET(Demand!$A$13,ROW(L80)-1,4+((QUOTIENT(COLUMN(CB$2)-69,3))*5)+MOD(COLUMN(CB$2),3),1,1),"")</f>
        <v>0</v>
      </c>
      <c r="CC83">
        <f ca="1">IF($AN83="",OFFSET(Demand!$A$13,ROW(M80)-1,4+((QUOTIENT(COLUMN(CC$2)-69,3))*5)+MOD(COLUMN(CC$2),3),1,1),"")</f>
        <v>0</v>
      </c>
      <c r="CD83">
        <f ca="1">IF($AN83="",OFFSET(Demand!$A$13,ROW(N80)-1,4+((QUOTIENT(COLUMN(CD$2)-69,3))*5)+MOD(COLUMN(CD$2),3),1,1),"")</f>
        <v>0</v>
      </c>
      <c r="CE83">
        <f ca="1">IF($AN83="",OFFSET(Demand!$A$13,ROW(O80)-1,4+((QUOTIENT(COLUMN(CE$2)-69,3))*5)+MOD(COLUMN(CE$2),3),1,1),"")</f>
        <v>0</v>
      </c>
      <c r="CF83">
        <f ca="1">IF($AN83="",OFFSET(Demand!$A$13,ROW(P80)-1,4+((QUOTIENT(COLUMN(CF$2)-69,3))*5)+MOD(COLUMN(CF$2),3),1,1),"")</f>
        <v>0</v>
      </c>
      <c r="CG83">
        <f ca="1">IF($AN83="",OFFSET(Demand!$A$13,ROW(Q80)-1,4+((QUOTIENT(COLUMN(CG$2)-69,3))*5)+MOD(COLUMN(CG$2),3),1,1),"")</f>
        <v>0</v>
      </c>
      <c r="CH83">
        <f ca="1">IF($AN83="",OFFSET(Demand!$A$13,ROW(R80)-1,4+((QUOTIENT(COLUMN(CH$2)-69,3))*5)+MOD(COLUMN(CH$2),3),1,1),"")</f>
        <v>0</v>
      </c>
      <c r="CI83">
        <f ca="1">IF($AN83="",OFFSET(Demand!$A$13,ROW(S80)-1,4+((QUOTIENT(COLUMN(CI$2)-69,3))*5)+MOD(COLUMN(CI$2),3),1,1),"")</f>
        <v>0</v>
      </c>
      <c r="CJ83">
        <f ca="1">IF($AN83="",OFFSET(Demand!$A$13,ROW(T80)-1,4+((QUOTIENT(COLUMN(CJ$2)-69,3))*5)+MOD(COLUMN(CJ$2),3),1,1),"")</f>
        <v>0</v>
      </c>
      <c r="CK83">
        <f ca="1">IF($AN83="",OFFSET(Demand!$A$13,ROW(U80)-1,4+((QUOTIENT(COLUMN(CK$2)-69,3))*5)+MOD(COLUMN(CK$2),3),1,1),"")</f>
        <v>0</v>
      </c>
      <c r="CL83">
        <f ca="1">IF($AN83="",OFFSET(Demand!$A$13,ROW(V80)-1,4+((QUOTIENT(COLUMN(CL$2)-69,3))*5)+MOD(COLUMN(CL$2),3),1,1),"")</f>
        <v>0</v>
      </c>
      <c r="CM83">
        <f ca="1">IF($AN83="",OFFSET(Demand!$A$13,ROW(W80)-1,4+((QUOTIENT(COLUMN(CM$2)-69,3))*5)+MOD(COLUMN(CM$2),3),1,1),"")</f>
        <v>0</v>
      </c>
      <c r="CN83">
        <f ca="1">IF($AN83="",OFFSET(Demand!$A$13,ROW(X80)-1,4+((QUOTIENT(COLUMN(CN$2)-69,3))*5)+MOD(COLUMN(CN$2),3),1,1),"")</f>
        <v>0</v>
      </c>
      <c r="CO83">
        <f ca="1">IF($AN83="",OFFSET(Demand!$A$13,ROW(Y80)-1,4+((QUOTIENT(COLUMN(CO$2)-69,3))*5)+MOD(COLUMN(CO$2),3),1,1),"")</f>
        <v>0</v>
      </c>
      <c r="CP83">
        <f ca="1">IF($AN83="",OFFSET(Demand!$A$13,ROW(Z80)-1,4+((QUOTIENT(COLUMN(CP$2)-69,3))*5)+MOD(COLUMN(CP$2),3),1,1),"")</f>
        <v>0</v>
      </c>
      <c r="CQ83">
        <f ca="1">IF($AN83="",OFFSET(Demand!$A$13,ROW(AA80)-1,4+((QUOTIENT(COLUMN(CQ$2)-69,3))*5)+MOD(COLUMN(CQ$2),3),1,1),"")</f>
        <v>0</v>
      </c>
      <c r="CR83">
        <f ca="1">IF($AN83="",OFFSET(Demand!$A$13,ROW(AB80)-1,4+((QUOTIENT(COLUMN(CR$2)-69,3))*5)+MOD(COLUMN(CR$2),3),1,1),"")</f>
        <v>0</v>
      </c>
      <c r="CS83">
        <f ca="1">IF($AN83="",OFFSET(Demand!$A$13,ROW(AC80)-1,4+((QUOTIENT(COLUMN(CS$2)-69,3))*5)+MOD(COLUMN(CS$2),3),1,1),"")</f>
        <v>0</v>
      </c>
      <c r="CT83">
        <f ca="1">IF($AN83="",OFFSET(Demand!$A$13,ROW(AD80)-1,4+((QUOTIENT(COLUMN(CT$2)-69,3))*5)+MOD(COLUMN(CT$2),3),1,1),"")</f>
        <v>0</v>
      </c>
      <c r="CW83" s="5">
        <f ca="1">SUM(OFFSET(Demand!$H$43,ROW(A80)-1,(COLUMN(A80)-1)*5,1,1))*N$2</f>
        <v>0</v>
      </c>
      <c r="CX83" s="5">
        <f ca="1">SUM(OFFSET(Demand!$H$43,ROW(B80)-1,(COLUMN(B80)-1)*5,1,1))*O$2</f>
        <v>0</v>
      </c>
      <c r="CY83" s="5">
        <f ca="1">SUM(OFFSET(Demand!$H$43,ROW(C80)-1,(COLUMN(C80)-1)*5,1,1))*P$2</f>
        <v>0</v>
      </c>
      <c r="CZ83" s="5">
        <f ca="1">SUM(OFFSET(Demand!$H$43,ROW(D80)-1,(COLUMN(D80)-1)*5,1,1))*Q$2</f>
        <v>0</v>
      </c>
      <c r="DA83" s="5">
        <f ca="1">SUM(OFFSET(Demand!$H$43,ROW(E80)-1,(COLUMN(E80)-1)*5,1,1))*R$2</f>
        <v>0</v>
      </c>
      <c r="DB83" s="5">
        <f ca="1">SUM(OFFSET(Demand!$H$43,ROW(F80)-1,(COLUMN(F80)-1)*5,1,1))*S$2</f>
        <v>0</v>
      </c>
      <c r="DC83" s="5">
        <f ca="1">SUM(OFFSET(Demand!$H$43,ROW(G80)-1,(COLUMN(G80)-1)*5,1,1))*T$2</f>
        <v>0</v>
      </c>
      <c r="DD83" s="5">
        <f ca="1">SUM(OFFSET(Demand!$H$43,ROW(H80)-1,(COLUMN(H80)-1)*5,1,1))*U$2</f>
        <v>0</v>
      </c>
      <c r="DE83" s="5">
        <f ca="1">SUM(OFFSET(Demand!$H$43,ROW(I80)-1,(COLUMN(I80)-1)*5,1,1))*V$2</f>
        <v>0</v>
      </c>
      <c r="DF83" s="5">
        <f ca="1">SUM(OFFSET(Demand!$H$43,ROW(J80)-1,(COLUMN(J80)-1)*5,1,1))*W$2</f>
        <v>0</v>
      </c>
      <c r="DG83" s="5">
        <f ca="1">IF(OR(AN83&lt;&gt;"",AND('Demand adjustments for Covid'!$F$9="Yes",'Demand adjustments for Covid'!$F$20="Yes")),"",SUM(CW83:DF83))</f>
        <v>0</v>
      </c>
    </row>
    <row r="84" spans="1:111" x14ac:dyDescent="0.25">
      <c r="A84" s="5">
        <f t="shared" ca="1" si="34"/>
        <v>1</v>
      </c>
      <c r="B84" s="5">
        <f ca="1">COUNTBLANK(OFFSET(Demand!$I93,0,(COLUMN(A81)-1)*5,1,1))</f>
        <v>1</v>
      </c>
      <c r="C84" s="5">
        <f ca="1">COUNTBLANK(OFFSET(Demand!$I93,0,(COLUMN(B81)-1)*5,1,1))</f>
        <v>1</v>
      </c>
      <c r="D84" s="5">
        <f ca="1">COUNTBLANK(OFFSET(Demand!$I93,0,(COLUMN(C81)-1)*5,1,1))</f>
        <v>1</v>
      </c>
      <c r="E84" s="5">
        <f ca="1">COUNTBLANK(OFFSET(Demand!$I93,0,(COLUMN(D81)-1)*5,1,1))</f>
        <v>1</v>
      </c>
      <c r="F84" s="5">
        <f ca="1">COUNTBLANK(OFFSET(Demand!$I93,0,(COLUMN(E81)-1)*5,1,1))</f>
        <v>1</v>
      </c>
      <c r="G84" s="5">
        <f ca="1">COUNTBLANK(OFFSET(Demand!$I93,0,(COLUMN(F81)-1)*5,1,1))</f>
        <v>1</v>
      </c>
      <c r="H84" s="5">
        <f ca="1">COUNTBLANK(OFFSET(Demand!$I93,0,(COLUMN(G81)-1)*5,1,1))</f>
        <v>1</v>
      </c>
      <c r="I84" s="5">
        <f ca="1">COUNTBLANK(OFFSET(Demand!$I93,0,(COLUMN(H81)-1)*5,1,1))</f>
        <v>1</v>
      </c>
      <c r="J84" s="5">
        <f ca="1">COUNTBLANK(OFFSET(Demand!$I93,0,(COLUMN(I81)-1)*5,1,1))</f>
        <v>1</v>
      </c>
      <c r="K84" s="5">
        <f ca="1">COUNTBLANK(OFFSET(Demand!$I93,0,(COLUMN(J81)-1)*5,1,1))</f>
        <v>1</v>
      </c>
      <c r="N84" s="5">
        <f ca="1">SUM(OFFSET(Demand!$E93,0,(COLUMN(A81)-1)*5,1,3))*N$2</f>
        <v>0</v>
      </c>
      <c r="O84" s="5">
        <f ca="1">SUM(OFFSET(Demand!$E93,0,(COLUMN(B81)-1)*5,1,3))*O$2</f>
        <v>0</v>
      </c>
      <c r="P84" s="5">
        <f ca="1">SUM(OFFSET(Demand!$E93,0,(COLUMN(C81)-1)*5,1,3))*P$2</f>
        <v>0</v>
      </c>
      <c r="Q84" s="5">
        <f ca="1">SUM(OFFSET(Demand!$E93,0,(COLUMN(D81)-1)*5,1,3))*Q$2</f>
        <v>0</v>
      </c>
      <c r="R84" s="5">
        <f ca="1">SUM(OFFSET(Demand!$E93,0,(COLUMN(E81)-1)*5,1,3))*R$2</f>
        <v>0</v>
      </c>
      <c r="S84" s="5">
        <f ca="1">SUM(OFFSET(Demand!$E93,0,(COLUMN(F81)-1)*5,1,3))*S$2</f>
        <v>0</v>
      </c>
      <c r="T84" s="5">
        <f ca="1">SUM(OFFSET(Demand!$E93,0,(COLUMN(G81)-1)*5,1,3))*T$2</f>
        <v>0</v>
      </c>
      <c r="U84" s="5">
        <f ca="1">SUM(OFFSET(Demand!$E93,0,(COLUMN(H81)-1)*5,1,3))*U$2</f>
        <v>0</v>
      </c>
      <c r="V84" s="5">
        <f ca="1">SUM(OFFSET(Demand!$E93,0,(COLUMN(I81)-1)*5,1,3))*V$2</f>
        <v>0</v>
      </c>
      <c r="W84" s="5">
        <f ca="1">SUM(OFFSET(Demand!$E93,0,(COLUMN(J81)-1)*5,1,3))*W$2</f>
        <v>0</v>
      </c>
      <c r="X84" s="5">
        <f t="shared" ca="1" si="37"/>
        <v>0</v>
      </c>
      <c r="Y84">
        <f t="shared" ca="1" si="38"/>
        <v>0</v>
      </c>
      <c r="Z84" s="5">
        <f ca="1">SUM(OFFSET(Demand!$H93,0,(COLUMN(A81)-1)*5,1,1))*N$2</f>
        <v>0</v>
      </c>
      <c r="AA84" s="5">
        <f ca="1">SUM(OFFSET(Demand!$H93,0,(COLUMN(B81)-1)*5,1,1))*O$2</f>
        <v>0</v>
      </c>
      <c r="AB84" s="5">
        <f ca="1">SUM(OFFSET(Demand!$H93,0,(COLUMN(C81)-1)*5,1,1))*P$2</f>
        <v>0</v>
      </c>
      <c r="AC84" s="5">
        <f ca="1">SUM(OFFSET(Demand!$H93,0,(COLUMN(D81)-1)*5,1,1))*Q$2</f>
        <v>0</v>
      </c>
      <c r="AD84" s="5">
        <f ca="1">SUM(OFFSET(Demand!$H93,0,(COLUMN(E81)-1)*5,1,1))*R$2</f>
        <v>0</v>
      </c>
      <c r="AE84" s="5">
        <f ca="1">SUM(OFFSET(Demand!$H93,0,(COLUMN(F81)-1)*5,1,1))*S$2</f>
        <v>0</v>
      </c>
      <c r="AF84" s="5">
        <f ca="1">SUM(OFFSET(Demand!$H93,0,(COLUMN(G81)-1)*5,1,1))*T$2</f>
        <v>0</v>
      </c>
      <c r="AG84" s="5">
        <f ca="1">SUM(OFFSET(Demand!$H93,0,(COLUMN(H81)-1)*5,1,1))*U$2</f>
        <v>0</v>
      </c>
      <c r="AH84" s="5">
        <f ca="1">SUM(OFFSET(Demand!$H93,0,(COLUMN(I81)-1)*5,1,1))*V$2</f>
        <v>0</v>
      </c>
      <c r="AI84" s="5">
        <f ca="1">SUM(OFFSET(Demand!$H93,0,(COLUMN(J81)-1)*5,1,1))*W$2</f>
        <v>0</v>
      </c>
      <c r="AJ84" s="5">
        <f t="shared" ca="1" si="39"/>
        <v>0</v>
      </c>
      <c r="AL84" s="5">
        <f t="shared" ca="1" si="40"/>
        <v>0</v>
      </c>
      <c r="AM84" s="5">
        <f t="shared" ca="1" si="41"/>
        <v>0</v>
      </c>
      <c r="AN84" s="5" t="str">
        <f>IF(Demand!BE93="Yes","Yes","")</f>
        <v/>
      </c>
      <c r="AP84" s="36" t="str">
        <f ca="1">Demand!B93</f>
        <v xml:space="preserve"> </v>
      </c>
      <c r="AQ84" t="str">
        <f ca="1">IF(TEXT(Demand!D93,"MMM")&lt;&gt;TEXT(Demand!D92,"MMM"),TEXT(Demand!D93,"MMM"),"")</f>
        <v/>
      </c>
      <c r="AT84" s="5">
        <f t="shared" ca="1" si="42"/>
        <v>0</v>
      </c>
      <c r="BQ84">
        <f ca="1">IF($AN84="",OFFSET(Demand!$A$13,ROW(A81)-1,4+((QUOTIENT(COLUMN(BQ$2)-69,3))*5)+MOD(COLUMN(BQ$2),3),1,1),"")</f>
        <v>0</v>
      </c>
      <c r="BR84">
        <f ca="1">IF($AN84="",OFFSET(Demand!$A$13,ROW(B81)-1,4+((QUOTIENT(COLUMN(BR$2)-69,3))*5)+MOD(COLUMN(BR$2),3),1,1),"")</f>
        <v>0</v>
      </c>
      <c r="BS84">
        <f ca="1">IF($AN84="",OFFSET(Demand!$A$13,ROW(C81)-1,4+((QUOTIENT(COLUMN(BS$2)-69,3))*5)+MOD(COLUMN(BS$2),3),1,1),"")</f>
        <v>0</v>
      </c>
      <c r="BT84">
        <f ca="1">IF($AN84="",OFFSET(Demand!$A$13,ROW(D81)-1,4+((QUOTIENT(COLUMN(BT$2)-69,3))*5)+MOD(COLUMN(BT$2),3),1,1),"")</f>
        <v>0</v>
      </c>
      <c r="BU84">
        <f ca="1">IF($AN84="",OFFSET(Demand!$A$13,ROW(E81)-1,4+((QUOTIENT(COLUMN(BU$2)-69,3))*5)+MOD(COLUMN(BU$2),3),1,1),"")</f>
        <v>0</v>
      </c>
      <c r="BV84">
        <f ca="1">IF($AN84="",OFFSET(Demand!$A$13,ROW(F81)-1,4+((QUOTIENT(COLUMN(BV$2)-69,3))*5)+MOD(COLUMN(BV$2),3),1,1),"")</f>
        <v>0</v>
      </c>
      <c r="BW84">
        <f ca="1">IF($AN84="",OFFSET(Demand!$A$13,ROW(G81)-1,4+((QUOTIENT(COLUMN(BW$2)-69,3))*5)+MOD(COLUMN(BW$2),3),1,1),"")</f>
        <v>0</v>
      </c>
      <c r="BX84">
        <f ca="1">IF($AN84="",OFFSET(Demand!$A$13,ROW(H81)-1,4+((QUOTIENT(COLUMN(BX$2)-69,3))*5)+MOD(COLUMN(BX$2),3),1,1),"")</f>
        <v>0</v>
      </c>
      <c r="BY84">
        <f ca="1">IF($AN84="",OFFSET(Demand!$A$13,ROW(I81)-1,4+((QUOTIENT(COLUMN(BY$2)-69,3))*5)+MOD(COLUMN(BY$2),3),1,1),"")</f>
        <v>0</v>
      </c>
      <c r="BZ84">
        <f ca="1">IF($AN84="",OFFSET(Demand!$A$13,ROW(J81)-1,4+((QUOTIENT(COLUMN(BZ$2)-69,3))*5)+MOD(COLUMN(BZ$2),3),1,1),"")</f>
        <v>0</v>
      </c>
      <c r="CA84">
        <f ca="1">IF($AN84="",OFFSET(Demand!$A$13,ROW(K81)-1,4+((QUOTIENT(COLUMN(CA$2)-69,3))*5)+MOD(COLUMN(CA$2),3),1,1),"")</f>
        <v>0</v>
      </c>
      <c r="CB84">
        <f ca="1">IF($AN84="",OFFSET(Demand!$A$13,ROW(L81)-1,4+((QUOTIENT(COLUMN(CB$2)-69,3))*5)+MOD(COLUMN(CB$2),3),1,1),"")</f>
        <v>0</v>
      </c>
      <c r="CC84">
        <f ca="1">IF($AN84="",OFFSET(Demand!$A$13,ROW(M81)-1,4+((QUOTIENT(COLUMN(CC$2)-69,3))*5)+MOD(COLUMN(CC$2),3),1,1),"")</f>
        <v>0</v>
      </c>
      <c r="CD84">
        <f ca="1">IF($AN84="",OFFSET(Demand!$A$13,ROW(N81)-1,4+((QUOTIENT(COLUMN(CD$2)-69,3))*5)+MOD(COLUMN(CD$2),3),1,1),"")</f>
        <v>0</v>
      </c>
      <c r="CE84">
        <f ca="1">IF($AN84="",OFFSET(Demand!$A$13,ROW(O81)-1,4+((QUOTIENT(COLUMN(CE$2)-69,3))*5)+MOD(COLUMN(CE$2),3),1,1),"")</f>
        <v>0</v>
      </c>
      <c r="CF84">
        <f ca="1">IF($AN84="",OFFSET(Demand!$A$13,ROW(P81)-1,4+((QUOTIENT(COLUMN(CF$2)-69,3))*5)+MOD(COLUMN(CF$2),3),1,1),"")</f>
        <v>0</v>
      </c>
      <c r="CG84">
        <f ca="1">IF($AN84="",OFFSET(Demand!$A$13,ROW(Q81)-1,4+((QUOTIENT(COLUMN(CG$2)-69,3))*5)+MOD(COLUMN(CG$2),3),1,1),"")</f>
        <v>0</v>
      </c>
      <c r="CH84">
        <f ca="1">IF($AN84="",OFFSET(Demand!$A$13,ROW(R81)-1,4+((QUOTIENT(COLUMN(CH$2)-69,3))*5)+MOD(COLUMN(CH$2),3),1,1),"")</f>
        <v>0</v>
      </c>
      <c r="CI84">
        <f ca="1">IF($AN84="",OFFSET(Demand!$A$13,ROW(S81)-1,4+((QUOTIENT(COLUMN(CI$2)-69,3))*5)+MOD(COLUMN(CI$2),3),1,1),"")</f>
        <v>0</v>
      </c>
      <c r="CJ84">
        <f ca="1">IF($AN84="",OFFSET(Demand!$A$13,ROW(T81)-1,4+((QUOTIENT(COLUMN(CJ$2)-69,3))*5)+MOD(COLUMN(CJ$2),3),1,1),"")</f>
        <v>0</v>
      </c>
      <c r="CK84">
        <f ca="1">IF($AN84="",OFFSET(Demand!$A$13,ROW(U81)-1,4+((QUOTIENT(COLUMN(CK$2)-69,3))*5)+MOD(COLUMN(CK$2),3),1,1),"")</f>
        <v>0</v>
      </c>
      <c r="CL84">
        <f ca="1">IF($AN84="",OFFSET(Demand!$A$13,ROW(V81)-1,4+((QUOTIENT(COLUMN(CL$2)-69,3))*5)+MOD(COLUMN(CL$2),3),1,1),"")</f>
        <v>0</v>
      </c>
      <c r="CM84">
        <f ca="1">IF($AN84="",OFFSET(Demand!$A$13,ROW(W81)-1,4+((QUOTIENT(COLUMN(CM$2)-69,3))*5)+MOD(COLUMN(CM$2),3),1,1),"")</f>
        <v>0</v>
      </c>
      <c r="CN84">
        <f ca="1">IF($AN84="",OFFSET(Demand!$A$13,ROW(X81)-1,4+((QUOTIENT(COLUMN(CN$2)-69,3))*5)+MOD(COLUMN(CN$2),3),1,1),"")</f>
        <v>0</v>
      </c>
      <c r="CO84">
        <f ca="1">IF($AN84="",OFFSET(Demand!$A$13,ROW(Y81)-1,4+((QUOTIENT(COLUMN(CO$2)-69,3))*5)+MOD(COLUMN(CO$2),3),1,1),"")</f>
        <v>0</v>
      </c>
      <c r="CP84">
        <f ca="1">IF($AN84="",OFFSET(Demand!$A$13,ROW(Z81)-1,4+((QUOTIENT(COLUMN(CP$2)-69,3))*5)+MOD(COLUMN(CP$2),3),1,1),"")</f>
        <v>0</v>
      </c>
      <c r="CQ84">
        <f ca="1">IF($AN84="",OFFSET(Demand!$A$13,ROW(AA81)-1,4+((QUOTIENT(COLUMN(CQ$2)-69,3))*5)+MOD(COLUMN(CQ$2),3),1,1),"")</f>
        <v>0</v>
      </c>
      <c r="CR84">
        <f ca="1">IF($AN84="",OFFSET(Demand!$A$13,ROW(AB81)-1,4+((QUOTIENT(COLUMN(CR$2)-69,3))*5)+MOD(COLUMN(CR$2),3),1,1),"")</f>
        <v>0</v>
      </c>
      <c r="CS84">
        <f ca="1">IF($AN84="",OFFSET(Demand!$A$13,ROW(AC81)-1,4+((QUOTIENT(COLUMN(CS$2)-69,3))*5)+MOD(COLUMN(CS$2),3),1,1),"")</f>
        <v>0</v>
      </c>
      <c r="CT84">
        <f ca="1">IF($AN84="",OFFSET(Demand!$A$13,ROW(AD81)-1,4+((QUOTIENT(COLUMN(CT$2)-69,3))*5)+MOD(COLUMN(CT$2),3),1,1),"")</f>
        <v>0</v>
      </c>
      <c r="CW84" s="5">
        <f ca="1">SUM(OFFSET(Demand!$H$43,ROW(A81)-1,(COLUMN(A81)-1)*5,1,1))*N$2</f>
        <v>0</v>
      </c>
      <c r="CX84" s="5">
        <f ca="1">SUM(OFFSET(Demand!$H$43,ROW(B81)-1,(COLUMN(B81)-1)*5,1,1))*O$2</f>
        <v>0</v>
      </c>
      <c r="CY84" s="5">
        <f ca="1">SUM(OFFSET(Demand!$H$43,ROW(C81)-1,(COLUMN(C81)-1)*5,1,1))*P$2</f>
        <v>0</v>
      </c>
      <c r="CZ84" s="5">
        <f ca="1">SUM(OFFSET(Demand!$H$43,ROW(D81)-1,(COLUMN(D81)-1)*5,1,1))*Q$2</f>
        <v>0</v>
      </c>
      <c r="DA84" s="5">
        <f ca="1">SUM(OFFSET(Demand!$H$43,ROW(E81)-1,(COLUMN(E81)-1)*5,1,1))*R$2</f>
        <v>0</v>
      </c>
      <c r="DB84" s="5">
        <f ca="1">SUM(OFFSET(Demand!$H$43,ROW(F81)-1,(COLUMN(F81)-1)*5,1,1))*S$2</f>
        <v>0</v>
      </c>
      <c r="DC84" s="5">
        <f ca="1">SUM(OFFSET(Demand!$H$43,ROW(G81)-1,(COLUMN(G81)-1)*5,1,1))*T$2</f>
        <v>0</v>
      </c>
      <c r="DD84" s="5">
        <f ca="1">SUM(OFFSET(Demand!$H$43,ROW(H81)-1,(COLUMN(H81)-1)*5,1,1))*U$2</f>
        <v>0</v>
      </c>
      <c r="DE84" s="5">
        <f ca="1">SUM(OFFSET(Demand!$H$43,ROW(I81)-1,(COLUMN(I81)-1)*5,1,1))*V$2</f>
        <v>0</v>
      </c>
      <c r="DF84" s="5">
        <f ca="1">SUM(OFFSET(Demand!$H$43,ROW(J81)-1,(COLUMN(J81)-1)*5,1,1))*W$2</f>
        <v>0</v>
      </c>
      <c r="DG84" s="5">
        <f ca="1">IF(OR(AN84&lt;&gt;"",AND('Demand adjustments for Covid'!$F$9="Yes",'Demand adjustments for Covid'!$F$20="Yes")),"",SUM(CW84:DF84))</f>
        <v>0</v>
      </c>
    </row>
    <row r="85" spans="1:111" x14ac:dyDescent="0.25">
      <c r="A85" s="5">
        <f t="shared" ca="1" si="34"/>
        <v>1</v>
      </c>
      <c r="B85" s="5">
        <f ca="1">COUNTBLANK(OFFSET(Demand!$I94,0,(COLUMN(A82)-1)*5,1,1))</f>
        <v>1</v>
      </c>
      <c r="C85" s="5">
        <f ca="1">COUNTBLANK(OFFSET(Demand!$I94,0,(COLUMN(B82)-1)*5,1,1))</f>
        <v>1</v>
      </c>
      <c r="D85" s="5">
        <f ca="1">COUNTBLANK(OFFSET(Demand!$I94,0,(COLUMN(C82)-1)*5,1,1))</f>
        <v>1</v>
      </c>
      <c r="E85" s="5">
        <f ca="1">COUNTBLANK(OFFSET(Demand!$I94,0,(COLUMN(D82)-1)*5,1,1))</f>
        <v>1</v>
      </c>
      <c r="F85" s="5">
        <f ca="1">COUNTBLANK(OFFSET(Demand!$I94,0,(COLUMN(E82)-1)*5,1,1))</f>
        <v>1</v>
      </c>
      <c r="G85" s="5">
        <f ca="1">COUNTBLANK(OFFSET(Demand!$I94,0,(COLUMN(F82)-1)*5,1,1))</f>
        <v>1</v>
      </c>
      <c r="H85" s="5">
        <f ca="1">COUNTBLANK(OFFSET(Demand!$I94,0,(COLUMN(G82)-1)*5,1,1))</f>
        <v>1</v>
      </c>
      <c r="I85" s="5">
        <f ca="1">COUNTBLANK(OFFSET(Demand!$I94,0,(COLUMN(H82)-1)*5,1,1))</f>
        <v>1</v>
      </c>
      <c r="J85" s="5">
        <f ca="1">COUNTBLANK(OFFSET(Demand!$I94,0,(COLUMN(I82)-1)*5,1,1))</f>
        <v>1</v>
      </c>
      <c r="K85" s="5">
        <f ca="1">COUNTBLANK(OFFSET(Demand!$I94,0,(COLUMN(J82)-1)*5,1,1))</f>
        <v>1</v>
      </c>
      <c r="N85" s="5">
        <f ca="1">SUM(OFFSET(Demand!$E94,0,(COLUMN(A82)-1)*5,1,3))*N$2</f>
        <v>0</v>
      </c>
      <c r="O85" s="5">
        <f ca="1">SUM(OFFSET(Demand!$E94,0,(COLUMN(B82)-1)*5,1,3))*O$2</f>
        <v>0</v>
      </c>
      <c r="P85" s="5">
        <f ca="1">SUM(OFFSET(Demand!$E94,0,(COLUMN(C82)-1)*5,1,3))*P$2</f>
        <v>0</v>
      </c>
      <c r="Q85" s="5">
        <f ca="1">SUM(OFFSET(Demand!$E94,0,(COLUMN(D82)-1)*5,1,3))*Q$2</f>
        <v>0</v>
      </c>
      <c r="R85" s="5">
        <f ca="1">SUM(OFFSET(Demand!$E94,0,(COLUMN(E82)-1)*5,1,3))*R$2</f>
        <v>0</v>
      </c>
      <c r="S85" s="5">
        <f ca="1">SUM(OFFSET(Demand!$E94,0,(COLUMN(F82)-1)*5,1,3))*S$2</f>
        <v>0</v>
      </c>
      <c r="T85" s="5">
        <f ca="1">SUM(OFFSET(Demand!$E94,0,(COLUMN(G82)-1)*5,1,3))*T$2</f>
        <v>0</v>
      </c>
      <c r="U85" s="5">
        <f ca="1">SUM(OFFSET(Demand!$E94,0,(COLUMN(H82)-1)*5,1,3))*U$2</f>
        <v>0</v>
      </c>
      <c r="V85" s="5">
        <f ca="1">SUM(OFFSET(Demand!$E94,0,(COLUMN(I82)-1)*5,1,3))*V$2</f>
        <v>0</v>
      </c>
      <c r="W85" s="5">
        <f ca="1">SUM(OFFSET(Demand!$E94,0,(COLUMN(J82)-1)*5,1,3))*W$2</f>
        <v>0</v>
      </c>
      <c r="X85" s="5">
        <f t="shared" ca="1" si="37"/>
        <v>0</v>
      </c>
      <c r="Y85">
        <f t="shared" ca="1" si="38"/>
        <v>0</v>
      </c>
      <c r="Z85" s="5">
        <f ca="1">SUM(OFFSET(Demand!$H94,0,(COLUMN(A82)-1)*5,1,1))*N$2</f>
        <v>0</v>
      </c>
      <c r="AA85" s="5">
        <f ca="1">SUM(OFFSET(Demand!$H94,0,(COLUMN(B82)-1)*5,1,1))*O$2</f>
        <v>0</v>
      </c>
      <c r="AB85" s="5">
        <f ca="1">SUM(OFFSET(Demand!$H94,0,(COLUMN(C82)-1)*5,1,1))*P$2</f>
        <v>0</v>
      </c>
      <c r="AC85" s="5">
        <f ca="1">SUM(OFFSET(Demand!$H94,0,(COLUMN(D82)-1)*5,1,1))*Q$2</f>
        <v>0</v>
      </c>
      <c r="AD85" s="5">
        <f ca="1">SUM(OFFSET(Demand!$H94,0,(COLUMN(E82)-1)*5,1,1))*R$2</f>
        <v>0</v>
      </c>
      <c r="AE85" s="5">
        <f ca="1">SUM(OFFSET(Demand!$H94,0,(COLUMN(F82)-1)*5,1,1))*S$2</f>
        <v>0</v>
      </c>
      <c r="AF85" s="5">
        <f ca="1">SUM(OFFSET(Demand!$H94,0,(COLUMN(G82)-1)*5,1,1))*T$2</f>
        <v>0</v>
      </c>
      <c r="AG85" s="5">
        <f ca="1">SUM(OFFSET(Demand!$H94,0,(COLUMN(H82)-1)*5,1,1))*U$2</f>
        <v>0</v>
      </c>
      <c r="AH85" s="5">
        <f ca="1">SUM(OFFSET(Demand!$H94,0,(COLUMN(I82)-1)*5,1,1))*V$2</f>
        <v>0</v>
      </c>
      <c r="AI85" s="5">
        <f ca="1">SUM(OFFSET(Demand!$H94,0,(COLUMN(J82)-1)*5,1,1))*W$2</f>
        <v>0</v>
      </c>
      <c r="AJ85" s="5">
        <f t="shared" ca="1" si="39"/>
        <v>0</v>
      </c>
      <c r="AL85" s="5">
        <f t="shared" ca="1" si="40"/>
        <v>0</v>
      </c>
      <c r="AM85" s="5">
        <f t="shared" ca="1" si="41"/>
        <v>0</v>
      </c>
      <c r="AN85" s="5" t="str">
        <f>IF(Demand!BE94="Yes","Yes","")</f>
        <v/>
      </c>
      <c r="AP85" s="36" t="str">
        <f ca="1">Demand!B94</f>
        <v xml:space="preserve"> </v>
      </c>
      <c r="AQ85" t="str">
        <f ca="1">IF(TEXT(Demand!D94,"MMM")&lt;&gt;TEXT(Demand!D93,"MMM"),TEXT(Demand!D94,"MMM"),"")</f>
        <v/>
      </c>
      <c r="AT85" s="5">
        <f t="shared" ca="1" si="42"/>
        <v>0</v>
      </c>
      <c r="BQ85">
        <f ca="1">IF($AN85="",OFFSET(Demand!$A$13,ROW(A82)-1,4+((QUOTIENT(COLUMN(BQ$2)-69,3))*5)+MOD(COLUMN(BQ$2),3),1,1),"")</f>
        <v>0</v>
      </c>
      <c r="BR85">
        <f ca="1">IF($AN85="",OFFSET(Demand!$A$13,ROW(B82)-1,4+((QUOTIENT(COLUMN(BR$2)-69,3))*5)+MOD(COLUMN(BR$2),3),1,1),"")</f>
        <v>0</v>
      </c>
      <c r="BS85">
        <f ca="1">IF($AN85="",OFFSET(Demand!$A$13,ROW(C82)-1,4+((QUOTIENT(COLUMN(BS$2)-69,3))*5)+MOD(COLUMN(BS$2),3),1,1),"")</f>
        <v>0</v>
      </c>
      <c r="BT85">
        <f ca="1">IF($AN85="",OFFSET(Demand!$A$13,ROW(D82)-1,4+((QUOTIENT(COLUMN(BT$2)-69,3))*5)+MOD(COLUMN(BT$2),3),1,1),"")</f>
        <v>0</v>
      </c>
      <c r="BU85">
        <f ca="1">IF($AN85="",OFFSET(Demand!$A$13,ROW(E82)-1,4+((QUOTIENT(COLUMN(BU$2)-69,3))*5)+MOD(COLUMN(BU$2),3),1,1),"")</f>
        <v>0</v>
      </c>
      <c r="BV85">
        <f ca="1">IF($AN85="",OFFSET(Demand!$A$13,ROW(F82)-1,4+((QUOTIENT(COLUMN(BV$2)-69,3))*5)+MOD(COLUMN(BV$2),3),1,1),"")</f>
        <v>0</v>
      </c>
      <c r="BW85">
        <f ca="1">IF($AN85="",OFFSET(Demand!$A$13,ROW(G82)-1,4+((QUOTIENT(COLUMN(BW$2)-69,3))*5)+MOD(COLUMN(BW$2),3),1,1),"")</f>
        <v>0</v>
      </c>
      <c r="BX85">
        <f ca="1">IF($AN85="",OFFSET(Demand!$A$13,ROW(H82)-1,4+((QUOTIENT(COLUMN(BX$2)-69,3))*5)+MOD(COLUMN(BX$2),3),1,1),"")</f>
        <v>0</v>
      </c>
      <c r="BY85">
        <f ca="1">IF($AN85="",OFFSET(Demand!$A$13,ROW(I82)-1,4+((QUOTIENT(COLUMN(BY$2)-69,3))*5)+MOD(COLUMN(BY$2),3),1,1),"")</f>
        <v>0</v>
      </c>
      <c r="BZ85">
        <f ca="1">IF($AN85="",OFFSET(Demand!$A$13,ROW(J82)-1,4+((QUOTIENT(COLUMN(BZ$2)-69,3))*5)+MOD(COLUMN(BZ$2),3),1,1),"")</f>
        <v>0</v>
      </c>
      <c r="CA85">
        <f ca="1">IF($AN85="",OFFSET(Demand!$A$13,ROW(K82)-1,4+((QUOTIENT(COLUMN(CA$2)-69,3))*5)+MOD(COLUMN(CA$2),3),1,1),"")</f>
        <v>0</v>
      </c>
      <c r="CB85">
        <f ca="1">IF($AN85="",OFFSET(Demand!$A$13,ROW(L82)-1,4+((QUOTIENT(COLUMN(CB$2)-69,3))*5)+MOD(COLUMN(CB$2),3),1,1),"")</f>
        <v>0</v>
      </c>
      <c r="CC85">
        <f ca="1">IF($AN85="",OFFSET(Demand!$A$13,ROW(M82)-1,4+((QUOTIENT(COLUMN(CC$2)-69,3))*5)+MOD(COLUMN(CC$2),3),1,1),"")</f>
        <v>0</v>
      </c>
      <c r="CD85">
        <f ca="1">IF($AN85="",OFFSET(Demand!$A$13,ROW(N82)-1,4+((QUOTIENT(COLUMN(CD$2)-69,3))*5)+MOD(COLUMN(CD$2),3),1,1),"")</f>
        <v>0</v>
      </c>
      <c r="CE85">
        <f ca="1">IF($AN85="",OFFSET(Demand!$A$13,ROW(O82)-1,4+((QUOTIENT(COLUMN(CE$2)-69,3))*5)+MOD(COLUMN(CE$2),3),1,1),"")</f>
        <v>0</v>
      </c>
      <c r="CF85">
        <f ca="1">IF($AN85="",OFFSET(Demand!$A$13,ROW(P82)-1,4+((QUOTIENT(COLUMN(CF$2)-69,3))*5)+MOD(COLUMN(CF$2),3),1,1),"")</f>
        <v>0</v>
      </c>
      <c r="CG85">
        <f ca="1">IF($AN85="",OFFSET(Demand!$A$13,ROW(Q82)-1,4+((QUOTIENT(COLUMN(CG$2)-69,3))*5)+MOD(COLUMN(CG$2),3),1,1),"")</f>
        <v>0</v>
      </c>
      <c r="CH85">
        <f ca="1">IF($AN85="",OFFSET(Demand!$A$13,ROW(R82)-1,4+((QUOTIENT(COLUMN(CH$2)-69,3))*5)+MOD(COLUMN(CH$2),3),1,1),"")</f>
        <v>0</v>
      </c>
      <c r="CI85">
        <f ca="1">IF($AN85="",OFFSET(Demand!$A$13,ROW(S82)-1,4+((QUOTIENT(COLUMN(CI$2)-69,3))*5)+MOD(COLUMN(CI$2),3),1,1),"")</f>
        <v>0</v>
      </c>
      <c r="CJ85">
        <f ca="1">IF($AN85="",OFFSET(Demand!$A$13,ROW(T82)-1,4+((QUOTIENT(COLUMN(CJ$2)-69,3))*5)+MOD(COLUMN(CJ$2),3),1,1),"")</f>
        <v>0</v>
      </c>
      <c r="CK85">
        <f ca="1">IF($AN85="",OFFSET(Demand!$A$13,ROW(U82)-1,4+((QUOTIENT(COLUMN(CK$2)-69,3))*5)+MOD(COLUMN(CK$2),3),1,1),"")</f>
        <v>0</v>
      </c>
      <c r="CL85">
        <f ca="1">IF($AN85="",OFFSET(Demand!$A$13,ROW(V82)-1,4+((QUOTIENT(COLUMN(CL$2)-69,3))*5)+MOD(COLUMN(CL$2),3),1,1),"")</f>
        <v>0</v>
      </c>
      <c r="CM85">
        <f ca="1">IF($AN85="",OFFSET(Demand!$A$13,ROW(W82)-1,4+((QUOTIENT(COLUMN(CM$2)-69,3))*5)+MOD(COLUMN(CM$2),3),1,1),"")</f>
        <v>0</v>
      </c>
      <c r="CN85">
        <f ca="1">IF($AN85="",OFFSET(Demand!$A$13,ROW(X82)-1,4+((QUOTIENT(COLUMN(CN$2)-69,3))*5)+MOD(COLUMN(CN$2),3),1,1),"")</f>
        <v>0</v>
      </c>
      <c r="CO85">
        <f ca="1">IF($AN85="",OFFSET(Demand!$A$13,ROW(Y82)-1,4+((QUOTIENT(COLUMN(CO$2)-69,3))*5)+MOD(COLUMN(CO$2),3),1,1),"")</f>
        <v>0</v>
      </c>
      <c r="CP85">
        <f ca="1">IF($AN85="",OFFSET(Demand!$A$13,ROW(Z82)-1,4+((QUOTIENT(COLUMN(CP$2)-69,3))*5)+MOD(COLUMN(CP$2),3),1,1),"")</f>
        <v>0</v>
      </c>
      <c r="CQ85">
        <f ca="1">IF($AN85="",OFFSET(Demand!$A$13,ROW(AA82)-1,4+((QUOTIENT(COLUMN(CQ$2)-69,3))*5)+MOD(COLUMN(CQ$2),3),1,1),"")</f>
        <v>0</v>
      </c>
      <c r="CR85">
        <f ca="1">IF($AN85="",OFFSET(Demand!$A$13,ROW(AB82)-1,4+((QUOTIENT(COLUMN(CR$2)-69,3))*5)+MOD(COLUMN(CR$2),3),1,1),"")</f>
        <v>0</v>
      </c>
      <c r="CS85">
        <f ca="1">IF($AN85="",OFFSET(Demand!$A$13,ROW(AC82)-1,4+((QUOTIENT(COLUMN(CS$2)-69,3))*5)+MOD(COLUMN(CS$2),3),1,1),"")</f>
        <v>0</v>
      </c>
      <c r="CT85">
        <f ca="1">IF($AN85="",OFFSET(Demand!$A$13,ROW(AD82)-1,4+((QUOTIENT(COLUMN(CT$2)-69,3))*5)+MOD(COLUMN(CT$2),3),1,1),"")</f>
        <v>0</v>
      </c>
      <c r="CW85" s="5">
        <f ca="1">SUM(OFFSET(Demand!$H$43,ROW(A82)-1,(COLUMN(A82)-1)*5,1,1))*N$2</f>
        <v>0</v>
      </c>
      <c r="CX85" s="5">
        <f ca="1">SUM(OFFSET(Demand!$H$43,ROW(B82)-1,(COLUMN(B82)-1)*5,1,1))*O$2</f>
        <v>0</v>
      </c>
      <c r="CY85" s="5">
        <f ca="1">SUM(OFFSET(Demand!$H$43,ROW(C82)-1,(COLUMN(C82)-1)*5,1,1))*P$2</f>
        <v>0</v>
      </c>
      <c r="CZ85" s="5">
        <f ca="1">SUM(OFFSET(Demand!$H$43,ROW(D82)-1,(COLUMN(D82)-1)*5,1,1))*Q$2</f>
        <v>0</v>
      </c>
      <c r="DA85" s="5">
        <f ca="1">SUM(OFFSET(Demand!$H$43,ROW(E82)-1,(COLUMN(E82)-1)*5,1,1))*R$2</f>
        <v>0</v>
      </c>
      <c r="DB85" s="5">
        <f ca="1">SUM(OFFSET(Demand!$H$43,ROW(F82)-1,(COLUMN(F82)-1)*5,1,1))*S$2</f>
        <v>0</v>
      </c>
      <c r="DC85" s="5">
        <f ca="1">SUM(OFFSET(Demand!$H$43,ROW(G82)-1,(COLUMN(G82)-1)*5,1,1))*T$2</f>
        <v>0</v>
      </c>
      <c r="DD85" s="5">
        <f ca="1">SUM(OFFSET(Demand!$H$43,ROW(H82)-1,(COLUMN(H82)-1)*5,1,1))*U$2</f>
        <v>0</v>
      </c>
      <c r="DE85" s="5">
        <f ca="1">SUM(OFFSET(Demand!$H$43,ROW(I82)-1,(COLUMN(I82)-1)*5,1,1))*V$2</f>
        <v>0</v>
      </c>
      <c r="DF85" s="5">
        <f ca="1">SUM(OFFSET(Demand!$H$43,ROW(J82)-1,(COLUMN(J82)-1)*5,1,1))*W$2</f>
        <v>0</v>
      </c>
      <c r="DG85" s="5">
        <f ca="1">IF(OR(AN85&lt;&gt;"",AND('Demand adjustments for Covid'!$F$9="Yes",'Demand adjustments for Covid'!$F$20="Yes")),"",SUM(CW85:DF85))</f>
        <v>0</v>
      </c>
    </row>
    <row r="86" spans="1:111" x14ac:dyDescent="0.25">
      <c r="A86" s="5">
        <f t="shared" ca="1" si="34"/>
        <v>1</v>
      </c>
      <c r="B86" s="5">
        <f ca="1">COUNTBLANK(OFFSET(Demand!$I95,0,(COLUMN(A83)-1)*5,1,1))</f>
        <v>1</v>
      </c>
      <c r="C86" s="5">
        <f ca="1">COUNTBLANK(OFFSET(Demand!$I95,0,(COLUMN(B83)-1)*5,1,1))</f>
        <v>1</v>
      </c>
      <c r="D86" s="5">
        <f ca="1">COUNTBLANK(OFFSET(Demand!$I95,0,(COLUMN(C83)-1)*5,1,1))</f>
        <v>1</v>
      </c>
      <c r="E86" s="5">
        <f ca="1">COUNTBLANK(OFFSET(Demand!$I95,0,(COLUMN(D83)-1)*5,1,1))</f>
        <v>1</v>
      </c>
      <c r="F86" s="5">
        <f ca="1">COUNTBLANK(OFFSET(Demand!$I95,0,(COLUMN(E83)-1)*5,1,1))</f>
        <v>1</v>
      </c>
      <c r="G86" s="5">
        <f ca="1">COUNTBLANK(OFFSET(Demand!$I95,0,(COLUMN(F83)-1)*5,1,1))</f>
        <v>1</v>
      </c>
      <c r="H86" s="5">
        <f ca="1">COUNTBLANK(OFFSET(Demand!$I95,0,(COLUMN(G83)-1)*5,1,1))</f>
        <v>1</v>
      </c>
      <c r="I86" s="5">
        <f ca="1">COUNTBLANK(OFFSET(Demand!$I95,0,(COLUMN(H83)-1)*5,1,1))</f>
        <v>1</v>
      </c>
      <c r="J86" s="5">
        <f ca="1">COUNTBLANK(OFFSET(Demand!$I95,0,(COLUMN(I83)-1)*5,1,1))</f>
        <v>1</v>
      </c>
      <c r="K86" s="5">
        <f ca="1">COUNTBLANK(OFFSET(Demand!$I95,0,(COLUMN(J83)-1)*5,1,1))</f>
        <v>1</v>
      </c>
      <c r="N86" s="5">
        <f ca="1">SUM(OFFSET(Demand!$E95,0,(COLUMN(A83)-1)*5,1,3))*N$2</f>
        <v>0</v>
      </c>
      <c r="O86" s="5">
        <f ca="1">SUM(OFFSET(Demand!$E95,0,(COLUMN(B83)-1)*5,1,3))*O$2</f>
        <v>0</v>
      </c>
      <c r="P86" s="5">
        <f ca="1">SUM(OFFSET(Demand!$E95,0,(COLUMN(C83)-1)*5,1,3))*P$2</f>
        <v>0</v>
      </c>
      <c r="Q86" s="5">
        <f ca="1">SUM(OFFSET(Demand!$E95,0,(COLUMN(D83)-1)*5,1,3))*Q$2</f>
        <v>0</v>
      </c>
      <c r="R86" s="5">
        <f ca="1">SUM(OFFSET(Demand!$E95,0,(COLUMN(E83)-1)*5,1,3))*R$2</f>
        <v>0</v>
      </c>
      <c r="S86" s="5">
        <f ca="1">SUM(OFFSET(Demand!$E95,0,(COLUMN(F83)-1)*5,1,3))*S$2</f>
        <v>0</v>
      </c>
      <c r="T86" s="5">
        <f ca="1">SUM(OFFSET(Demand!$E95,0,(COLUMN(G83)-1)*5,1,3))*T$2</f>
        <v>0</v>
      </c>
      <c r="U86" s="5">
        <f ca="1">SUM(OFFSET(Demand!$E95,0,(COLUMN(H83)-1)*5,1,3))*U$2</f>
        <v>0</v>
      </c>
      <c r="V86" s="5">
        <f ca="1">SUM(OFFSET(Demand!$E95,0,(COLUMN(I83)-1)*5,1,3))*V$2</f>
        <v>0</v>
      </c>
      <c r="W86" s="5">
        <f ca="1">SUM(OFFSET(Demand!$E95,0,(COLUMN(J83)-1)*5,1,3))*W$2</f>
        <v>0</v>
      </c>
      <c r="X86" s="5">
        <f t="shared" ca="1" si="37"/>
        <v>0</v>
      </c>
      <c r="Y86">
        <f t="shared" ca="1" si="38"/>
        <v>0</v>
      </c>
      <c r="Z86" s="5">
        <f ca="1">SUM(OFFSET(Demand!$H95,0,(COLUMN(A83)-1)*5,1,1))*N$2</f>
        <v>0</v>
      </c>
      <c r="AA86" s="5">
        <f ca="1">SUM(OFFSET(Demand!$H95,0,(COLUMN(B83)-1)*5,1,1))*O$2</f>
        <v>0</v>
      </c>
      <c r="AB86" s="5">
        <f ca="1">SUM(OFFSET(Demand!$H95,0,(COLUMN(C83)-1)*5,1,1))*P$2</f>
        <v>0</v>
      </c>
      <c r="AC86" s="5">
        <f ca="1">SUM(OFFSET(Demand!$H95,0,(COLUMN(D83)-1)*5,1,1))*Q$2</f>
        <v>0</v>
      </c>
      <c r="AD86" s="5">
        <f ca="1">SUM(OFFSET(Demand!$H95,0,(COLUMN(E83)-1)*5,1,1))*R$2</f>
        <v>0</v>
      </c>
      <c r="AE86" s="5">
        <f ca="1">SUM(OFFSET(Demand!$H95,0,(COLUMN(F83)-1)*5,1,1))*S$2</f>
        <v>0</v>
      </c>
      <c r="AF86" s="5">
        <f ca="1">SUM(OFFSET(Demand!$H95,0,(COLUMN(G83)-1)*5,1,1))*T$2</f>
        <v>0</v>
      </c>
      <c r="AG86" s="5">
        <f ca="1">SUM(OFFSET(Demand!$H95,0,(COLUMN(H83)-1)*5,1,1))*U$2</f>
        <v>0</v>
      </c>
      <c r="AH86" s="5">
        <f ca="1">SUM(OFFSET(Demand!$H95,0,(COLUMN(I83)-1)*5,1,1))*V$2</f>
        <v>0</v>
      </c>
      <c r="AI86" s="5">
        <f ca="1">SUM(OFFSET(Demand!$H95,0,(COLUMN(J83)-1)*5,1,1))*W$2</f>
        <v>0</v>
      </c>
      <c r="AJ86" s="5">
        <f t="shared" ca="1" si="39"/>
        <v>0</v>
      </c>
      <c r="AL86" s="5">
        <f t="shared" ca="1" si="40"/>
        <v>0</v>
      </c>
      <c r="AM86" s="5">
        <f t="shared" ca="1" si="41"/>
        <v>0</v>
      </c>
      <c r="AN86" s="5" t="str">
        <f>IF(Demand!BE95="Yes","Yes","")</f>
        <v/>
      </c>
      <c r="AP86" s="36" t="str">
        <f ca="1">Demand!B95</f>
        <v xml:space="preserve"> </v>
      </c>
      <c r="AQ86" t="str">
        <f ca="1">IF(TEXT(Demand!D95,"MMM")&lt;&gt;TEXT(Demand!D94,"MMM"),TEXT(Demand!D95,"MMM"),"")</f>
        <v/>
      </c>
      <c r="AT86" s="5">
        <f t="shared" ca="1" si="42"/>
        <v>0</v>
      </c>
      <c r="BQ86">
        <f ca="1">IF($AN86="",OFFSET(Demand!$A$13,ROW(A83)-1,4+((QUOTIENT(COLUMN(BQ$2)-69,3))*5)+MOD(COLUMN(BQ$2),3),1,1),"")</f>
        <v>0</v>
      </c>
      <c r="BR86">
        <f ca="1">IF($AN86="",OFFSET(Demand!$A$13,ROW(B83)-1,4+((QUOTIENT(COLUMN(BR$2)-69,3))*5)+MOD(COLUMN(BR$2),3),1,1),"")</f>
        <v>0</v>
      </c>
      <c r="BS86">
        <f ca="1">IF($AN86="",OFFSET(Demand!$A$13,ROW(C83)-1,4+((QUOTIENT(COLUMN(BS$2)-69,3))*5)+MOD(COLUMN(BS$2),3),1,1),"")</f>
        <v>0</v>
      </c>
      <c r="BT86">
        <f ca="1">IF($AN86="",OFFSET(Demand!$A$13,ROW(D83)-1,4+((QUOTIENT(COLUMN(BT$2)-69,3))*5)+MOD(COLUMN(BT$2),3),1,1),"")</f>
        <v>0</v>
      </c>
      <c r="BU86">
        <f ca="1">IF($AN86="",OFFSET(Demand!$A$13,ROW(E83)-1,4+((QUOTIENT(COLUMN(BU$2)-69,3))*5)+MOD(COLUMN(BU$2),3),1,1),"")</f>
        <v>0</v>
      </c>
      <c r="BV86">
        <f ca="1">IF($AN86="",OFFSET(Demand!$A$13,ROW(F83)-1,4+((QUOTIENT(COLUMN(BV$2)-69,3))*5)+MOD(COLUMN(BV$2),3),1,1),"")</f>
        <v>0</v>
      </c>
      <c r="BW86">
        <f ca="1">IF($AN86="",OFFSET(Demand!$A$13,ROW(G83)-1,4+((QUOTIENT(COLUMN(BW$2)-69,3))*5)+MOD(COLUMN(BW$2),3),1,1),"")</f>
        <v>0</v>
      </c>
      <c r="BX86">
        <f ca="1">IF($AN86="",OFFSET(Demand!$A$13,ROW(H83)-1,4+((QUOTIENT(COLUMN(BX$2)-69,3))*5)+MOD(COLUMN(BX$2),3),1,1),"")</f>
        <v>0</v>
      </c>
      <c r="BY86">
        <f ca="1">IF($AN86="",OFFSET(Demand!$A$13,ROW(I83)-1,4+((QUOTIENT(COLUMN(BY$2)-69,3))*5)+MOD(COLUMN(BY$2),3),1,1),"")</f>
        <v>0</v>
      </c>
      <c r="BZ86">
        <f ca="1">IF($AN86="",OFFSET(Demand!$A$13,ROW(J83)-1,4+((QUOTIENT(COLUMN(BZ$2)-69,3))*5)+MOD(COLUMN(BZ$2),3),1,1),"")</f>
        <v>0</v>
      </c>
      <c r="CA86">
        <f ca="1">IF($AN86="",OFFSET(Demand!$A$13,ROW(K83)-1,4+((QUOTIENT(COLUMN(CA$2)-69,3))*5)+MOD(COLUMN(CA$2),3),1,1),"")</f>
        <v>0</v>
      </c>
      <c r="CB86">
        <f ca="1">IF($AN86="",OFFSET(Demand!$A$13,ROW(L83)-1,4+((QUOTIENT(COLUMN(CB$2)-69,3))*5)+MOD(COLUMN(CB$2),3),1,1),"")</f>
        <v>0</v>
      </c>
      <c r="CC86">
        <f ca="1">IF($AN86="",OFFSET(Demand!$A$13,ROW(M83)-1,4+((QUOTIENT(COLUMN(CC$2)-69,3))*5)+MOD(COLUMN(CC$2),3),1,1),"")</f>
        <v>0</v>
      </c>
      <c r="CD86">
        <f ca="1">IF($AN86="",OFFSET(Demand!$A$13,ROW(N83)-1,4+((QUOTIENT(COLUMN(CD$2)-69,3))*5)+MOD(COLUMN(CD$2),3),1,1),"")</f>
        <v>0</v>
      </c>
      <c r="CE86">
        <f ca="1">IF($AN86="",OFFSET(Demand!$A$13,ROW(O83)-1,4+((QUOTIENT(COLUMN(CE$2)-69,3))*5)+MOD(COLUMN(CE$2),3),1,1),"")</f>
        <v>0</v>
      </c>
      <c r="CF86">
        <f ca="1">IF($AN86="",OFFSET(Demand!$A$13,ROW(P83)-1,4+((QUOTIENT(COLUMN(CF$2)-69,3))*5)+MOD(COLUMN(CF$2),3),1,1),"")</f>
        <v>0</v>
      </c>
      <c r="CG86">
        <f ca="1">IF($AN86="",OFFSET(Demand!$A$13,ROW(Q83)-1,4+((QUOTIENT(COLUMN(CG$2)-69,3))*5)+MOD(COLUMN(CG$2),3),1,1),"")</f>
        <v>0</v>
      </c>
      <c r="CH86">
        <f ca="1">IF($AN86="",OFFSET(Demand!$A$13,ROW(R83)-1,4+((QUOTIENT(COLUMN(CH$2)-69,3))*5)+MOD(COLUMN(CH$2),3),1,1),"")</f>
        <v>0</v>
      </c>
      <c r="CI86">
        <f ca="1">IF($AN86="",OFFSET(Demand!$A$13,ROW(S83)-1,4+((QUOTIENT(COLUMN(CI$2)-69,3))*5)+MOD(COLUMN(CI$2),3),1,1),"")</f>
        <v>0</v>
      </c>
      <c r="CJ86">
        <f ca="1">IF($AN86="",OFFSET(Demand!$A$13,ROW(T83)-1,4+((QUOTIENT(COLUMN(CJ$2)-69,3))*5)+MOD(COLUMN(CJ$2),3),1,1),"")</f>
        <v>0</v>
      </c>
      <c r="CK86">
        <f ca="1">IF($AN86="",OFFSET(Demand!$A$13,ROW(U83)-1,4+((QUOTIENT(COLUMN(CK$2)-69,3))*5)+MOD(COLUMN(CK$2),3),1,1),"")</f>
        <v>0</v>
      </c>
      <c r="CL86">
        <f ca="1">IF($AN86="",OFFSET(Demand!$A$13,ROW(V83)-1,4+((QUOTIENT(COLUMN(CL$2)-69,3))*5)+MOD(COLUMN(CL$2),3),1,1),"")</f>
        <v>0</v>
      </c>
      <c r="CM86">
        <f ca="1">IF($AN86="",OFFSET(Demand!$A$13,ROW(W83)-1,4+((QUOTIENT(COLUMN(CM$2)-69,3))*5)+MOD(COLUMN(CM$2),3),1,1),"")</f>
        <v>0</v>
      </c>
      <c r="CN86">
        <f ca="1">IF($AN86="",OFFSET(Demand!$A$13,ROW(X83)-1,4+((QUOTIENT(COLUMN(CN$2)-69,3))*5)+MOD(COLUMN(CN$2),3),1,1),"")</f>
        <v>0</v>
      </c>
      <c r="CO86">
        <f ca="1">IF($AN86="",OFFSET(Demand!$A$13,ROW(Y83)-1,4+((QUOTIENT(COLUMN(CO$2)-69,3))*5)+MOD(COLUMN(CO$2),3),1,1),"")</f>
        <v>0</v>
      </c>
      <c r="CP86">
        <f ca="1">IF($AN86="",OFFSET(Demand!$A$13,ROW(Z83)-1,4+((QUOTIENT(COLUMN(CP$2)-69,3))*5)+MOD(COLUMN(CP$2),3),1,1),"")</f>
        <v>0</v>
      </c>
      <c r="CQ86">
        <f ca="1">IF($AN86="",OFFSET(Demand!$A$13,ROW(AA83)-1,4+((QUOTIENT(COLUMN(CQ$2)-69,3))*5)+MOD(COLUMN(CQ$2),3),1,1),"")</f>
        <v>0</v>
      </c>
      <c r="CR86">
        <f ca="1">IF($AN86="",OFFSET(Demand!$A$13,ROW(AB83)-1,4+((QUOTIENT(COLUMN(CR$2)-69,3))*5)+MOD(COLUMN(CR$2),3),1,1),"")</f>
        <v>0</v>
      </c>
      <c r="CS86">
        <f ca="1">IF($AN86="",OFFSET(Demand!$A$13,ROW(AC83)-1,4+((QUOTIENT(COLUMN(CS$2)-69,3))*5)+MOD(COLUMN(CS$2),3),1,1),"")</f>
        <v>0</v>
      </c>
      <c r="CT86">
        <f ca="1">IF($AN86="",OFFSET(Demand!$A$13,ROW(AD83)-1,4+((QUOTIENT(COLUMN(CT$2)-69,3))*5)+MOD(COLUMN(CT$2),3),1,1),"")</f>
        <v>0</v>
      </c>
      <c r="CW86" s="5">
        <f ca="1">SUM(OFFSET(Demand!$H$43,ROW(A83)-1,(COLUMN(A83)-1)*5,1,1))*N$2</f>
        <v>0</v>
      </c>
      <c r="CX86" s="5">
        <f ca="1">SUM(OFFSET(Demand!$H$43,ROW(B83)-1,(COLUMN(B83)-1)*5,1,1))*O$2</f>
        <v>0</v>
      </c>
      <c r="CY86" s="5">
        <f ca="1">SUM(OFFSET(Demand!$H$43,ROW(C83)-1,(COLUMN(C83)-1)*5,1,1))*P$2</f>
        <v>0</v>
      </c>
      <c r="CZ86" s="5">
        <f ca="1">SUM(OFFSET(Demand!$H$43,ROW(D83)-1,(COLUMN(D83)-1)*5,1,1))*Q$2</f>
        <v>0</v>
      </c>
      <c r="DA86" s="5">
        <f ca="1">SUM(OFFSET(Demand!$H$43,ROW(E83)-1,(COLUMN(E83)-1)*5,1,1))*R$2</f>
        <v>0</v>
      </c>
      <c r="DB86" s="5">
        <f ca="1">SUM(OFFSET(Demand!$H$43,ROW(F83)-1,(COLUMN(F83)-1)*5,1,1))*S$2</f>
        <v>0</v>
      </c>
      <c r="DC86" s="5">
        <f ca="1">SUM(OFFSET(Demand!$H$43,ROW(G83)-1,(COLUMN(G83)-1)*5,1,1))*T$2</f>
        <v>0</v>
      </c>
      <c r="DD86" s="5">
        <f ca="1">SUM(OFFSET(Demand!$H$43,ROW(H83)-1,(COLUMN(H83)-1)*5,1,1))*U$2</f>
        <v>0</v>
      </c>
      <c r="DE86" s="5">
        <f ca="1">SUM(OFFSET(Demand!$H$43,ROW(I83)-1,(COLUMN(I83)-1)*5,1,1))*V$2</f>
        <v>0</v>
      </c>
      <c r="DF86" s="5">
        <f ca="1">SUM(OFFSET(Demand!$H$43,ROW(J83)-1,(COLUMN(J83)-1)*5,1,1))*W$2</f>
        <v>0</v>
      </c>
      <c r="DG86" s="5">
        <f ca="1">IF(OR(AN86&lt;&gt;"",AND('Demand adjustments for Covid'!$F$9="Yes",'Demand adjustments for Covid'!$F$20="Yes")),"",SUM(CW86:DF86))</f>
        <v>0</v>
      </c>
    </row>
    <row r="87" spans="1:111" x14ac:dyDescent="0.25">
      <c r="A87" s="5">
        <f t="shared" ca="1" si="34"/>
        <v>1</v>
      </c>
      <c r="B87" s="5">
        <f ca="1">COUNTBLANK(OFFSET(Demand!$I96,0,(COLUMN(A84)-1)*5,1,1))</f>
        <v>1</v>
      </c>
      <c r="C87" s="5">
        <f ca="1">COUNTBLANK(OFFSET(Demand!$I96,0,(COLUMN(B84)-1)*5,1,1))</f>
        <v>1</v>
      </c>
      <c r="D87" s="5">
        <f ca="1">COUNTBLANK(OFFSET(Demand!$I96,0,(COLUMN(C84)-1)*5,1,1))</f>
        <v>1</v>
      </c>
      <c r="E87" s="5">
        <f ca="1">COUNTBLANK(OFFSET(Demand!$I96,0,(COLUMN(D84)-1)*5,1,1))</f>
        <v>1</v>
      </c>
      <c r="F87" s="5">
        <f ca="1">COUNTBLANK(OFFSET(Demand!$I96,0,(COLUMN(E84)-1)*5,1,1))</f>
        <v>1</v>
      </c>
      <c r="G87" s="5">
        <f ca="1">COUNTBLANK(OFFSET(Demand!$I96,0,(COLUMN(F84)-1)*5,1,1))</f>
        <v>1</v>
      </c>
      <c r="H87" s="5">
        <f ca="1">COUNTBLANK(OFFSET(Demand!$I96,0,(COLUMN(G84)-1)*5,1,1))</f>
        <v>1</v>
      </c>
      <c r="I87" s="5">
        <f ca="1">COUNTBLANK(OFFSET(Demand!$I96,0,(COLUMN(H84)-1)*5,1,1))</f>
        <v>1</v>
      </c>
      <c r="J87" s="5">
        <f ca="1">COUNTBLANK(OFFSET(Demand!$I96,0,(COLUMN(I84)-1)*5,1,1))</f>
        <v>1</v>
      </c>
      <c r="K87" s="5">
        <f ca="1">COUNTBLANK(OFFSET(Demand!$I96,0,(COLUMN(J84)-1)*5,1,1))</f>
        <v>1</v>
      </c>
      <c r="N87" s="5">
        <f ca="1">SUM(OFFSET(Demand!$E96,0,(COLUMN(A84)-1)*5,1,3))*N$2</f>
        <v>0</v>
      </c>
      <c r="O87" s="5">
        <f ca="1">SUM(OFFSET(Demand!$E96,0,(COLUMN(B84)-1)*5,1,3))*O$2</f>
        <v>0</v>
      </c>
      <c r="P87" s="5">
        <f ca="1">SUM(OFFSET(Demand!$E96,0,(COLUMN(C84)-1)*5,1,3))*P$2</f>
        <v>0</v>
      </c>
      <c r="Q87" s="5">
        <f ca="1">SUM(OFFSET(Demand!$E96,0,(COLUMN(D84)-1)*5,1,3))*Q$2</f>
        <v>0</v>
      </c>
      <c r="R87" s="5">
        <f ca="1">SUM(OFFSET(Demand!$E96,0,(COLUMN(E84)-1)*5,1,3))*R$2</f>
        <v>0</v>
      </c>
      <c r="S87" s="5">
        <f ca="1">SUM(OFFSET(Demand!$E96,0,(COLUMN(F84)-1)*5,1,3))*S$2</f>
        <v>0</v>
      </c>
      <c r="T87" s="5">
        <f ca="1">SUM(OFFSET(Demand!$E96,0,(COLUMN(G84)-1)*5,1,3))*T$2</f>
        <v>0</v>
      </c>
      <c r="U87" s="5">
        <f ca="1">SUM(OFFSET(Demand!$E96,0,(COLUMN(H84)-1)*5,1,3))*U$2</f>
        <v>0</v>
      </c>
      <c r="V87" s="5">
        <f ca="1">SUM(OFFSET(Demand!$E96,0,(COLUMN(I84)-1)*5,1,3))*V$2</f>
        <v>0</v>
      </c>
      <c r="W87" s="5">
        <f ca="1">SUM(OFFSET(Demand!$E96,0,(COLUMN(J84)-1)*5,1,3))*W$2</f>
        <v>0</v>
      </c>
      <c r="X87" s="5">
        <f t="shared" ca="1" si="37"/>
        <v>0</v>
      </c>
      <c r="Y87">
        <f t="shared" ca="1" si="38"/>
        <v>0</v>
      </c>
      <c r="Z87" s="5">
        <f ca="1">SUM(OFFSET(Demand!$H96,0,(COLUMN(A84)-1)*5,1,1))*N$2</f>
        <v>0</v>
      </c>
      <c r="AA87" s="5">
        <f ca="1">SUM(OFFSET(Demand!$H96,0,(COLUMN(B84)-1)*5,1,1))*O$2</f>
        <v>0</v>
      </c>
      <c r="AB87" s="5">
        <f ca="1">SUM(OFFSET(Demand!$H96,0,(COLUMN(C84)-1)*5,1,1))*P$2</f>
        <v>0</v>
      </c>
      <c r="AC87" s="5">
        <f ca="1">SUM(OFFSET(Demand!$H96,0,(COLUMN(D84)-1)*5,1,1))*Q$2</f>
        <v>0</v>
      </c>
      <c r="AD87" s="5">
        <f ca="1">SUM(OFFSET(Demand!$H96,0,(COLUMN(E84)-1)*5,1,1))*R$2</f>
        <v>0</v>
      </c>
      <c r="AE87" s="5">
        <f ca="1">SUM(OFFSET(Demand!$H96,0,(COLUMN(F84)-1)*5,1,1))*S$2</f>
        <v>0</v>
      </c>
      <c r="AF87" s="5">
        <f ca="1">SUM(OFFSET(Demand!$H96,0,(COLUMN(G84)-1)*5,1,1))*T$2</f>
        <v>0</v>
      </c>
      <c r="AG87" s="5">
        <f ca="1">SUM(OFFSET(Demand!$H96,0,(COLUMN(H84)-1)*5,1,1))*U$2</f>
        <v>0</v>
      </c>
      <c r="AH87" s="5">
        <f ca="1">SUM(OFFSET(Demand!$H96,0,(COLUMN(I84)-1)*5,1,1))*V$2</f>
        <v>0</v>
      </c>
      <c r="AI87" s="5">
        <f ca="1">SUM(OFFSET(Demand!$H96,0,(COLUMN(J84)-1)*5,1,1))*W$2</f>
        <v>0</v>
      </c>
      <c r="AJ87" s="5">
        <f t="shared" ca="1" si="39"/>
        <v>0</v>
      </c>
      <c r="AL87" s="5">
        <f t="shared" ca="1" si="40"/>
        <v>0</v>
      </c>
      <c r="AM87" s="5">
        <f t="shared" ca="1" si="41"/>
        <v>0</v>
      </c>
      <c r="AN87" s="5" t="str">
        <f>IF(Demand!BE96="Yes","Yes","")</f>
        <v/>
      </c>
      <c r="AP87" s="36" t="str">
        <f ca="1">Demand!B96</f>
        <v xml:space="preserve"> </v>
      </c>
      <c r="AQ87" t="str">
        <f ca="1">IF(TEXT(Demand!D96,"MMM")&lt;&gt;TEXT(Demand!D95,"MMM"),TEXT(Demand!D96,"MMM"),"")</f>
        <v/>
      </c>
      <c r="AT87" s="5">
        <f t="shared" ca="1" si="42"/>
        <v>0</v>
      </c>
      <c r="BQ87">
        <f ca="1">IF($AN87="",OFFSET(Demand!$A$13,ROW(A84)-1,4+((QUOTIENT(COLUMN(BQ$2)-69,3))*5)+MOD(COLUMN(BQ$2),3),1,1),"")</f>
        <v>0</v>
      </c>
      <c r="BR87">
        <f ca="1">IF($AN87="",OFFSET(Demand!$A$13,ROW(B84)-1,4+((QUOTIENT(COLUMN(BR$2)-69,3))*5)+MOD(COLUMN(BR$2),3),1,1),"")</f>
        <v>0</v>
      </c>
      <c r="BS87">
        <f ca="1">IF($AN87="",OFFSET(Demand!$A$13,ROW(C84)-1,4+((QUOTIENT(COLUMN(BS$2)-69,3))*5)+MOD(COLUMN(BS$2),3),1,1),"")</f>
        <v>0</v>
      </c>
      <c r="BT87">
        <f ca="1">IF($AN87="",OFFSET(Demand!$A$13,ROW(D84)-1,4+((QUOTIENT(COLUMN(BT$2)-69,3))*5)+MOD(COLUMN(BT$2),3),1,1),"")</f>
        <v>0</v>
      </c>
      <c r="BU87">
        <f ca="1">IF($AN87="",OFFSET(Demand!$A$13,ROW(E84)-1,4+((QUOTIENT(COLUMN(BU$2)-69,3))*5)+MOD(COLUMN(BU$2),3),1,1),"")</f>
        <v>0</v>
      </c>
      <c r="BV87">
        <f ca="1">IF($AN87="",OFFSET(Demand!$A$13,ROW(F84)-1,4+((QUOTIENT(COLUMN(BV$2)-69,3))*5)+MOD(COLUMN(BV$2),3),1,1),"")</f>
        <v>0</v>
      </c>
      <c r="BW87">
        <f ca="1">IF($AN87="",OFFSET(Demand!$A$13,ROW(G84)-1,4+((QUOTIENT(COLUMN(BW$2)-69,3))*5)+MOD(COLUMN(BW$2),3),1,1),"")</f>
        <v>0</v>
      </c>
      <c r="BX87">
        <f ca="1">IF($AN87="",OFFSET(Demand!$A$13,ROW(H84)-1,4+((QUOTIENT(COLUMN(BX$2)-69,3))*5)+MOD(COLUMN(BX$2),3),1,1),"")</f>
        <v>0</v>
      </c>
      <c r="BY87">
        <f ca="1">IF($AN87="",OFFSET(Demand!$A$13,ROW(I84)-1,4+((QUOTIENT(COLUMN(BY$2)-69,3))*5)+MOD(COLUMN(BY$2),3),1,1),"")</f>
        <v>0</v>
      </c>
      <c r="BZ87">
        <f ca="1">IF($AN87="",OFFSET(Demand!$A$13,ROW(J84)-1,4+((QUOTIENT(COLUMN(BZ$2)-69,3))*5)+MOD(COLUMN(BZ$2),3),1,1),"")</f>
        <v>0</v>
      </c>
      <c r="CA87">
        <f ca="1">IF($AN87="",OFFSET(Demand!$A$13,ROW(K84)-1,4+((QUOTIENT(COLUMN(CA$2)-69,3))*5)+MOD(COLUMN(CA$2),3),1,1),"")</f>
        <v>0</v>
      </c>
      <c r="CB87">
        <f ca="1">IF($AN87="",OFFSET(Demand!$A$13,ROW(L84)-1,4+((QUOTIENT(COLUMN(CB$2)-69,3))*5)+MOD(COLUMN(CB$2),3),1,1),"")</f>
        <v>0</v>
      </c>
      <c r="CC87">
        <f ca="1">IF($AN87="",OFFSET(Demand!$A$13,ROW(M84)-1,4+((QUOTIENT(COLUMN(CC$2)-69,3))*5)+MOD(COLUMN(CC$2),3),1,1),"")</f>
        <v>0</v>
      </c>
      <c r="CD87">
        <f ca="1">IF($AN87="",OFFSET(Demand!$A$13,ROW(N84)-1,4+((QUOTIENT(COLUMN(CD$2)-69,3))*5)+MOD(COLUMN(CD$2),3),1,1),"")</f>
        <v>0</v>
      </c>
      <c r="CE87">
        <f ca="1">IF($AN87="",OFFSET(Demand!$A$13,ROW(O84)-1,4+((QUOTIENT(COLUMN(CE$2)-69,3))*5)+MOD(COLUMN(CE$2),3),1,1),"")</f>
        <v>0</v>
      </c>
      <c r="CF87">
        <f ca="1">IF($AN87="",OFFSET(Demand!$A$13,ROW(P84)-1,4+((QUOTIENT(COLUMN(CF$2)-69,3))*5)+MOD(COLUMN(CF$2),3),1,1),"")</f>
        <v>0</v>
      </c>
      <c r="CG87">
        <f ca="1">IF($AN87="",OFFSET(Demand!$A$13,ROW(Q84)-1,4+((QUOTIENT(COLUMN(CG$2)-69,3))*5)+MOD(COLUMN(CG$2),3),1,1),"")</f>
        <v>0</v>
      </c>
      <c r="CH87">
        <f ca="1">IF($AN87="",OFFSET(Demand!$A$13,ROW(R84)-1,4+((QUOTIENT(COLUMN(CH$2)-69,3))*5)+MOD(COLUMN(CH$2),3),1,1),"")</f>
        <v>0</v>
      </c>
      <c r="CI87">
        <f ca="1">IF($AN87="",OFFSET(Demand!$A$13,ROW(S84)-1,4+((QUOTIENT(COLUMN(CI$2)-69,3))*5)+MOD(COLUMN(CI$2),3),1,1),"")</f>
        <v>0</v>
      </c>
      <c r="CJ87">
        <f ca="1">IF($AN87="",OFFSET(Demand!$A$13,ROW(T84)-1,4+((QUOTIENT(COLUMN(CJ$2)-69,3))*5)+MOD(COLUMN(CJ$2),3),1,1),"")</f>
        <v>0</v>
      </c>
      <c r="CK87">
        <f ca="1">IF($AN87="",OFFSET(Demand!$A$13,ROW(U84)-1,4+((QUOTIENT(COLUMN(CK$2)-69,3))*5)+MOD(COLUMN(CK$2),3),1,1),"")</f>
        <v>0</v>
      </c>
      <c r="CL87">
        <f ca="1">IF($AN87="",OFFSET(Demand!$A$13,ROW(V84)-1,4+((QUOTIENT(COLUMN(CL$2)-69,3))*5)+MOD(COLUMN(CL$2),3),1,1),"")</f>
        <v>0</v>
      </c>
      <c r="CM87">
        <f ca="1">IF($AN87="",OFFSET(Demand!$A$13,ROW(W84)-1,4+((QUOTIENT(COLUMN(CM$2)-69,3))*5)+MOD(COLUMN(CM$2),3),1,1),"")</f>
        <v>0</v>
      </c>
      <c r="CN87">
        <f ca="1">IF($AN87="",OFFSET(Demand!$A$13,ROW(X84)-1,4+((QUOTIENT(COLUMN(CN$2)-69,3))*5)+MOD(COLUMN(CN$2),3),1,1),"")</f>
        <v>0</v>
      </c>
      <c r="CO87">
        <f ca="1">IF($AN87="",OFFSET(Demand!$A$13,ROW(Y84)-1,4+((QUOTIENT(COLUMN(CO$2)-69,3))*5)+MOD(COLUMN(CO$2),3),1,1),"")</f>
        <v>0</v>
      </c>
      <c r="CP87">
        <f ca="1">IF($AN87="",OFFSET(Demand!$A$13,ROW(Z84)-1,4+((QUOTIENT(COLUMN(CP$2)-69,3))*5)+MOD(COLUMN(CP$2),3),1,1),"")</f>
        <v>0</v>
      </c>
      <c r="CQ87">
        <f ca="1">IF($AN87="",OFFSET(Demand!$A$13,ROW(AA84)-1,4+((QUOTIENT(COLUMN(CQ$2)-69,3))*5)+MOD(COLUMN(CQ$2),3),1,1),"")</f>
        <v>0</v>
      </c>
      <c r="CR87">
        <f ca="1">IF($AN87="",OFFSET(Demand!$A$13,ROW(AB84)-1,4+((QUOTIENT(COLUMN(CR$2)-69,3))*5)+MOD(COLUMN(CR$2),3),1,1),"")</f>
        <v>0</v>
      </c>
      <c r="CS87">
        <f ca="1">IF($AN87="",OFFSET(Demand!$A$13,ROW(AC84)-1,4+((QUOTIENT(COLUMN(CS$2)-69,3))*5)+MOD(COLUMN(CS$2),3),1,1),"")</f>
        <v>0</v>
      </c>
      <c r="CT87">
        <f ca="1">IF($AN87="",OFFSET(Demand!$A$13,ROW(AD84)-1,4+((QUOTIENT(COLUMN(CT$2)-69,3))*5)+MOD(COLUMN(CT$2),3),1,1),"")</f>
        <v>0</v>
      </c>
      <c r="CW87" s="5">
        <f ca="1">SUM(OFFSET(Demand!$H$43,ROW(A84)-1,(COLUMN(A84)-1)*5,1,1))*N$2</f>
        <v>0</v>
      </c>
      <c r="CX87" s="5">
        <f ca="1">SUM(OFFSET(Demand!$H$43,ROW(B84)-1,(COLUMN(B84)-1)*5,1,1))*O$2</f>
        <v>0</v>
      </c>
      <c r="CY87" s="5">
        <f ca="1">SUM(OFFSET(Demand!$H$43,ROW(C84)-1,(COLUMN(C84)-1)*5,1,1))*P$2</f>
        <v>0</v>
      </c>
      <c r="CZ87" s="5">
        <f ca="1">SUM(OFFSET(Demand!$H$43,ROW(D84)-1,(COLUMN(D84)-1)*5,1,1))*Q$2</f>
        <v>0</v>
      </c>
      <c r="DA87" s="5">
        <f ca="1">SUM(OFFSET(Demand!$H$43,ROW(E84)-1,(COLUMN(E84)-1)*5,1,1))*R$2</f>
        <v>0</v>
      </c>
      <c r="DB87" s="5">
        <f ca="1">SUM(OFFSET(Demand!$H$43,ROW(F84)-1,(COLUMN(F84)-1)*5,1,1))*S$2</f>
        <v>0</v>
      </c>
      <c r="DC87" s="5">
        <f ca="1">SUM(OFFSET(Demand!$H$43,ROW(G84)-1,(COLUMN(G84)-1)*5,1,1))*T$2</f>
        <v>0</v>
      </c>
      <c r="DD87" s="5">
        <f ca="1">SUM(OFFSET(Demand!$H$43,ROW(H84)-1,(COLUMN(H84)-1)*5,1,1))*U$2</f>
        <v>0</v>
      </c>
      <c r="DE87" s="5">
        <f ca="1">SUM(OFFSET(Demand!$H$43,ROW(I84)-1,(COLUMN(I84)-1)*5,1,1))*V$2</f>
        <v>0</v>
      </c>
      <c r="DF87" s="5">
        <f ca="1">SUM(OFFSET(Demand!$H$43,ROW(J84)-1,(COLUMN(J84)-1)*5,1,1))*W$2</f>
        <v>0</v>
      </c>
      <c r="DG87" s="5">
        <f ca="1">IF(OR(AN87&lt;&gt;"",AND('Demand adjustments for Covid'!$F$9="Yes",'Demand adjustments for Covid'!$F$20="Yes")),"",SUM(CW87:DF87))</f>
        <v>0</v>
      </c>
    </row>
    <row r="88" spans="1:111" x14ac:dyDescent="0.25">
      <c r="A88" s="5">
        <f t="shared" ca="1" si="34"/>
        <v>1</v>
      </c>
      <c r="B88" s="5">
        <f ca="1">COUNTBLANK(OFFSET(Demand!$I97,0,(COLUMN(A85)-1)*5,1,1))</f>
        <v>1</v>
      </c>
      <c r="C88" s="5">
        <f ca="1">COUNTBLANK(OFFSET(Demand!$I97,0,(COLUMN(B85)-1)*5,1,1))</f>
        <v>1</v>
      </c>
      <c r="D88" s="5">
        <f ca="1">COUNTBLANK(OFFSET(Demand!$I97,0,(COLUMN(C85)-1)*5,1,1))</f>
        <v>1</v>
      </c>
      <c r="E88" s="5">
        <f ca="1">COUNTBLANK(OFFSET(Demand!$I97,0,(COLUMN(D85)-1)*5,1,1))</f>
        <v>1</v>
      </c>
      <c r="F88" s="5">
        <f ca="1">COUNTBLANK(OFFSET(Demand!$I97,0,(COLUMN(E85)-1)*5,1,1))</f>
        <v>1</v>
      </c>
      <c r="G88" s="5">
        <f ca="1">COUNTBLANK(OFFSET(Demand!$I97,0,(COLUMN(F85)-1)*5,1,1))</f>
        <v>1</v>
      </c>
      <c r="H88" s="5">
        <f ca="1">COUNTBLANK(OFFSET(Demand!$I97,0,(COLUMN(G85)-1)*5,1,1))</f>
        <v>1</v>
      </c>
      <c r="I88" s="5">
        <f ca="1">COUNTBLANK(OFFSET(Demand!$I97,0,(COLUMN(H85)-1)*5,1,1))</f>
        <v>1</v>
      </c>
      <c r="J88" s="5">
        <f ca="1">COUNTBLANK(OFFSET(Demand!$I97,0,(COLUMN(I85)-1)*5,1,1))</f>
        <v>1</v>
      </c>
      <c r="K88" s="5">
        <f ca="1">COUNTBLANK(OFFSET(Demand!$I97,0,(COLUMN(J85)-1)*5,1,1))</f>
        <v>1</v>
      </c>
      <c r="N88" s="5">
        <f ca="1">SUM(OFFSET(Demand!$E97,0,(COLUMN(A85)-1)*5,1,3))*N$2</f>
        <v>0</v>
      </c>
      <c r="O88" s="5">
        <f ca="1">SUM(OFFSET(Demand!$E97,0,(COLUMN(B85)-1)*5,1,3))*O$2</f>
        <v>0</v>
      </c>
      <c r="P88" s="5">
        <f ca="1">SUM(OFFSET(Demand!$E97,0,(COLUMN(C85)-1)*5,1,3))*P$2</f>
        <v>0</v>
      </c>
      <c r="Q88" s="5">
        <f ca="1">SUM(OFFSET(Demand!$E97,0,(COLUMN(D85)-1)*5,1,3))*Q$2</f>
        <v>0</v>
      </c>
      <c r="R88" s="5">
        <f ca="1">SUM(OFFSET(Demand!$E97,0,(COLUMN(E85)-1)*5,1,3))*R$2</f>
        <v>0</v>
      </c>
      <c r="S88" s="5">
        <f ca="1">SUM(OFFSET(Demand!$E97,0,(COLUMN(F85)-1)*5,1,3))*S$2</f>
        <v>0</v>
      </c>
      <c r="T88" s="5">
        <f ca="1">SUM(OFFSET(Demand!$E97,0,(COLUMN(G85)-1)*5,1,3))*T$2</f>
        <v>0</v>
      </c>
      <c r="U88" s="5">
        <f ca="1">SUM(OFFSET(Demand!$E97,0,(COLUMN(H85)-1)*5,1,3))*U$2</f>
        <v>0</v>
      </c>
      <c r="V88" s="5">
        <f ca="1">SUM(OFFSET(Demand!$E97,0,(COLUMN(I85)-1)*5,1,3))*V$2</f>
        <v>0</v>
      </c>
      <c r="W88" s="5">
        <f ca="1">SUM(OFFSET(Demand!$E97,0,(COLUMN(J85)-1)*5,1,3))*W$2</f>
        <v>0</v>
      </c>
      <c r="X88" s="5">
        <f t="shared" ca="1" si="37"/>
        <v>0</v>
      </c>
      <c r="Y88">
        <f t="shared" ca="1" si="38"/>
        <v>0</v>
      </c>
      <c r="Z88" s="5">
        <f ca="1">SUM(OFFSET(Demand!$H97,0,(COLUMN(A85)-1)*5,1,1))*N$2</f>
        <v>0</v>
      </c>
      <c r="AA88" s="5">
        <f ca="1">SUM(OFFSET(Demand!$H97,0,(COLUMN(B85)-1)*5,1,1))*O$2</f>
        <v>0</v>
      </c>
      <c r="AB88" s="5">
        <f ca="1">SUM(OFFSET(Demand!$H97,0,(COLUMN(C85)-1)*5,1,1))*P$2</f>
        <v>0</v>
      </c>
      <c r="AC88" s="5">
        <f ca="1">SUM(OFFSET(Demand!$H97,0,(COLUMN(D85)-1)*5,1,1))*Q$2</f>
        <v>0</v>
      </c>
      <c r="AD88" s="5">
        <f ca="1">SUM(OFFSET(Demand!$H97,0,(COLUMN(E85)-1)*5,1,1))*R$2</f>
        <v>0</v>
      </c>
      <c r="AE88" s="5">
        <f ca="1">SUM(OFFSET(Demand!$H97,0,(COLUMN(F85)-1)*5,1,1))*S$2</f>
        <v>0</v>
      </c>
      <c r="AF88" s="5">
        <f ca="1">SUM(OFFSET(Demand!$H97,0,(COLUMN(G85)-1)*5,1,1))*T$2</f>
        <v>0</v>
      </c>
      <c r="AG88" s="5">
        <f ca="1">SUM(OFFSET(Demand!$H97,0,(COLUMN(H85)-1)*5,1,1))*U$2</f>
        <v>0</v>
      </c>
      <c r="AH88" s="5">
        <f ca="1">SUM(OFFSET(Demand!$H97,0,(COLUMN(I85)-1)*5,1,1))*V$2</f>
        <v>0</v>
      </c>
      <c r="AI88" s="5">
        <f ca="1">SUM(OFFSET(Demand!$H97,0,(COLUMN(J85)-1)*5,1,1))*W$2</f>
        <v>0</v>
      </c>
      <c r="AJ88" s="5">
        <f t="shared" ca="1" si="39"/>
        <v>0</v>
      </c>
      <c r="AL88" s="5">
        <f t="shared" ca="1" si="40"/>
        <v>0</v>
      </c>
      <c r="AM88" s="5">
        <f t="shared" ca="1" si="41"/>
        <v>0</v>
      </c>
      <c r="AN88" s="5" t="str">
        <f>IF(Demand!BE97="Yes","Yes","")</f>
        <v/>
      </c>
      <c r="AP88" s="36" t="str">
        <f ca="1">Demand!B97</f>
        <v xml:space="preserve"> </v>
      </c>
      <c r="AQ88" t="str">
        <f ca="1">IF(TEXT(Demand!D97,"MMM")&lt;&gt;TEXT(Demand!D96,"MMM"),TEXT(Demand!D97,"MMM"),"")</f>
        <v/>
      </c>
      <c r="AT88" s="5">
        <f t="shared" ca="1" si="42"/>
        <v>0</v>
      </c>
      <c r="BQ88">
        <f ca="1">IF($AN88="",OFFSET(Demand!$A$13,ROW(A85)-1,4+((QUOTIENT(COLUMN(BQ$2)-69,3))*5)+MOD(COLUMN(BQ$2),3),1,1),"")</f>
        <v>0</v>
      </c>
      <c r="BR88">
        <f ca="1">IF($AN88="",OFFSET(Demand!$A$13,ROW(B85)-1,4+((QUOTIENT(COLUMN(BR$2)-69,3))*5)+MOD(COLUMN(BR$2),3),1,1),"")</f>
        <v>0</v>
      </c>
      <c r="BS88">
        <f ca="1">IF($AN88="",OFFSET(Demand!$A$13,ROW(C85)-1,4+((QUOTIENT(COLUMN(BS$2)-69,3))*5)+MOD(COLUMN(BS$2),3),1,1),"")</f>
        <v>0</v>
      </c>
      <c r="BT88">
        <f ca="1">IF($AN88="",OFFSET(Demand!$A$13,ROW(D85)-1,4+((QUOTIENT(COLUMN(BT$2)-69,3))*5)+MOD(COLUMN(BT$2),3),1,1),"")</f>
        <v>0</v>
      </c>
      <c r="BU88">
        <f ca="1">IF($AN88="",OFFSET(Demand!$A$13,ROW(E85)-1,4+((QUOTIENT(COLUMN(BU$2)-69,3))*5)+MOD(COLUMN(BU$2),3),1,1),"")</f>
        <v>0</v>
      </c>
      <c r="BV88">
        <f ca="1">IF($AN88="",OFFSET(Demand!$A$13,ROW(F85)-1,4+((QUOTIENT(COLUMN(BV$2)-69,3))*5)+MOD(COLUMN(BV$2),3),1,1),"")</f>
        <v>0</v>
      </c>
      <c r="BW88">
        <f ca="1">IF($AN88="",OFFSET(Demand!$A$13,ROW(G85)-1,4+((QUOTIENT(COLUMN(BW$2)-69,3))*5)+MOD(COLUMN(BW$2),3),1,1),"")</f>
        <v>0</v>
      </c>
      <c r="BX88">
        <f ca="1">IF($AN88="",OFFSET(Demand!$A$13,ROW(H85)-1,4+((QUOTIENT(COLUMN(BX$2)-69,3))*5)+MOD(COLUMN(BX$2),3),1,1),"")</f>
        <v>0</v>
      </c>
      <c r="BY88">
        <f ca="1">IF($AN88="",OFFSET(Demand!$A$13,ROW(I85)-1,4+((QUOTIENT(COLUMN(BY$2)-69,3))*5)+MOD(COLUMN(BY$2),3),1,1),"")</f>
        <v>0</v>
      </c>
      <c r="BZ88">
        <f ca="1">IF($AN88="",OFFSET(Demand!$A$13,ROW(J85)-1,4+((QUOTIENT(COLUMN(BZ$2)-69,3))*5)+MOD(COLUMN(BZ$2),3),1,1),"")</f>
        <v>0</v>
      </c>
      <c r="CA88">
        <f ca="1">IF($AN88="",OFFSET(Demand!$A$13,ROW(K85)-1,4+((QUOTIENT(COLUMN(CA$2)-69,3))*5)+MOD(COLUMN(CA$2),3),1,1),"")</f>
        <v>0</v>
      </c>
      <c r="CB88">
        <f ca="1">IF($AN88="",OFFSET(Demand!$A$13,ROW(L85)-1,4+((QUOTIENT(COLUMN(CB$2)-69,3))*5)+MOD(COLUMN(CB$2),3),1,1),"")</f>
        <v>0</v>
      </c>
      <c r="CC88">
        <f ca="1">IF($AN88="",OFFSET(Demand!$A$13,ROW(M85)-1,4+((QUOTIENT(COLUMN(CC$2)-69,3))*5)+MOD(COLUMN(CC$2),3),1,1),"")</f>
        <v>0</v>
      </c>
      <c r="CD88">
        <f ca="1">IF($AN88="",OFFSET(Demand!$A$13,ROW(N85)-1,4+((QUOTIENT(COLUMN(CD$2)-69,3))*5)+MOD(COLUMN(CD$2),3),1,1),"")</f>
        <v>0</v>
      </c>
      <c r="CE88">
        <f ca="1">IF($AN88="",OFFSET(Demand!$A$13,ROW(O85)-1,4+((QUOTIENT(COLUMN(CE$2)-69,3))*5)+MOD(COLUMN(CE$2),3),1,1),"")</f>
        <v>0</v>
      </c>
      <c r="CF88">
        <f ca="1">IF($AN88="",OFFSET(Demand!$A$13,ROW(P85)-1,4+((QUOTIENT(COLUMN(CF$2)-69,3))*5)+MOD(COLUMN(CF$2),3),1,1),"")</f>
        <v>0</v>
      </c>
      <c r="CG88">
        <f ca="1">IF($AN88="",OFFSET(Demand!$A$13,ROW(Q85)-1,4+((QUOTIENT(COLUMN(CG$2)-69,3))*5)+MOD(COLUMN(CG$2),3),1,1),"")</f>
        <v>0</v>
      </c>
      <c r="CH88">
        <f ca="1">IF($AN88="",OFFSET(Demand!$A$13,ROW(R85)-1,4+((QUOTIENT(COLUMN(CH$2)-69,3))*5)+MOD(COLUMN(CH$2),3),1,1),"")</f>
        <v>0</v>
      </c>
      <c r="CI88">
        <f ca="1">IF($AN88="",OFFSET(Demand!$A$13,ROW(S85)-1,4+((QUOTIENT(COLUMN(CI$2)-69,3))*5)+MOD(COLUMN(CI$2),3),1,1),"")</f>
        <v>0</v>
      </c>
      <c r="CJ88">
        <f ca="1">IF($AN88="",OFFSET(Demand!$A$13,ROW(T85)-1,4+((QUOTIENT(COLUMN(CJ$2)-69,3))*5)+MOD(COLUMN(CJ$2),3),1,1),"")</f>
        <v>0</v>
      </c>
      <c r="CK88">
        <f ca="1">IF($AN88="",OFFSET(Demand!$A$13,ROW(U85)-1,4+((QUOTIENT(COLUMN(CK$2)-69,3))*5)+MOD(COLUMN(CK$2),3),1,1),"")</f>
        <v>0</v>
      </c>
      <c r="CL88">
        <f ca="1">IF($AN88="",OFFSET(Demand!$A$13,ROW(V85)-1,4+((QUOTIENT(COLUMN(CL$2)-69,3))*5)+MOD(COLUMN(CL$2),3),1,1),"")</f>
        <v>0</v>
      </c>
      <c r="CM88">
        <f ca="1">IF($AN88="",OFFSET(Demand!$A$13,ROW(W85)-1,4+((QUOTIENT(COLUMN(CM$2)-69,3))*5)+MOD(COLUMN(CM$2),3),1,1),"")</f>
        <v>0</v>
      </c>
      <c r="CN88">
        <f ca="1">IF($AN88="",OFFSET(Demand!$A$13,ROW(X85)-1,4+((QUOTIENT(COLUMN(CN$2)-69,3))*5)+MOD(COLUMN(CN$2),3),1,1),"")</f>
        <v>0</v>
      </c>
      <c r="CO88">
        <f ca="1">IF($AN88="",OFFSET(Demand!$A$13,ROW(Y85)-1,4+((QUOTIENT(COLUMN(CO$2)-69,3))*5)+MOD(COLUMN(CO$2),3),1,1),"")</f>
        <v>0</v>
      </c>
      <c r="CP88">
        <f ca="1">IF($AN88="",OFFSET(Demand!$A$13,ROW(Z85)-1,4+((QUOTIENT(COLUMN(CP$2)-69,3))*5)+MOD(COLUMN(CP$2),3),1,1),"")</f>
        <v>0</v>
      </c>
      <c r="CQ88">
        <f ca="1">IF($AN88="",OFFSET(Demand!$A$13,ROW(AA85)-1,4+((QUOTIENT(COLUMN(CQ$2)-69,3))*5)+MOD(COLUMN(CQ$2),3),1,1),"")</f>
        <v>0</v>
      </c>
      <c r="CR88">
        <f ca="1">IF($AN88="",OFFSET(Demand!$A$13,ROW(AB85)-1,4+((QUOTIENT(COLUMN(CR$2)-69,3))*5)+MOD(COLUMN(CR$2),3),1,1),"")</f>
        <v>0</v>
      </c>
      <c r="CS88">
        <f ca="1">IF($AN88="",OFFSET(Demand!$A$13,ROW(AC85)-1,4+((QUOTIENT(COLUMN(CS$2)-69,3))*5)+MOD(COLUMN(CS$2),3),1,1),"")</f>
        <v>0</v>
      </c>
      <c r="CT88">
        <f ca="1">IF($AN88="",OFFSET(Demand!$A$13,ROW(AD85)-1,4+((QUOTIENT(COLUMN(CT$2)-69,3))*5)+MOD(COLUMN(CT$2),3),1,1),"")</f>
        <v>0</v>
      </c>
      <c r="CW88" s="5">
        <f ca="1">SUM(OFFSET(Demand!$H$43,ROW(A85)-1,(COLUMN(A85)-1)*5,1,1))*N$2</f>
        <v>0</v>
      </c>
      <c r="CX88" s="5">
        <f ca="1">SUM(OFFSET(Demand!$H$43,ROW(B85)-1,(COLUMN(B85)-1)*5,1,1))*O$2</f>
        <v>0</v>
      </c>
      <c r="CY88" s="5">
        <f ca="1">SUM(OFFSET(Demand!$H$43,ROW(C85)-1,(COLUMN(C85)-1)*5,1,1))*P$2</f>
        <v>0</v>
      </c>
      <c r="CZ88" s="5">
        <f ca="1">SUM(OFFSET(Demand!$H$43,ROW(D85)-1,(COLUMN(D85)-1)*5,1,1))*Q$2</f>
        <v>0</v>
      </c>
      <c r="DA88" s="5">
        <f ca="1">SUM(OFFSET(Demand!$H$43,ROW(E85)-1,(COLUMN(E85)-1)*5,1,1))*R$2</f>
        <v>0</v>
      </c>
      <c r="DB88" s="5">
        <f ca="1">SUM(OFFSET(Demand!$H$43,ROW(F85)-1,(COLUMN(F85)-1)*5,1,1))*S$2</f>
        <v>0</v>
      </c>
      <c r="DC88" s="5">
        <f ca="1">SUM(OFFSET(Demand!$H$43,ROW(G85)-1,(COLUMN(G85)-1)*5,1,1))*T$2</f>
        <v>0</v>
      </c>
      <c r="DD88" s="5">
        <f ca="1">SUM(OFFSET(Demand!$H$43,ROW(H85)-1,(COLUMN(H85)-1)*5,1,1))*U$2</f>
        <v>0</v>
      </c>
      <c r="DE88" s="5">
        <f ca="1">SUM(OFFSET(Demand!$H$43,ROW(I85)-1,(COLUMN(I85)-1)*5,1,1))*V$2</f>
        <v>0</v>
      </c>
      <c r="DF88" s="5">
        <f ca="1">SUM(OFFSET(Demand!$H$43,ROW(J85)-1,(COLUMN(J85)-1)*5,1,1))*W$2</f>
        <v>0</v>
      </c>
      <c r="DG88" s="5">
        <f ca="1">IF(OR(AN88&lt;&gt;"",AND('Demand adjustments for Covid'!$F$9="Yes",'Demand adjustments for Covid'!$F$20="Yes")),"",SUM(CW88:DF88))</f>
        <v>0</v>
      </c>
    </row>
    <row r="89" spans="1:111" x14ac:dyDescent="0.25">
      <c r="A89" s="5">
        <f t="shared" ca="1" si="34"/>
        <v>1</v>
      </c>
      <c r="B89" s="5">
        <f ca="1">COUNTBLANK(OFFSET(Demand!$I98,0,(COLUMN(A86)-1)*5,1,1))</f>
        <v>1</v>
      </c>
      <c r="C89" s="5">
        <f ca="1">COUNTBLANK(OFFSET(Demand!$I98,0,(COLUMN(B86)-1)*5,1,1))</f>
        <v>1</v>
      </c>
      <c r="D89" s="5">
        <f ca="1">COUNTBLANK(OFFSET(Demand!$I98,0,(COLUMN(C86)-1)*5,1,1))</f>
        <v>1</v>
      </c>
      <c r="E89" s="5">
        <f ca="1">COUNTBLANK(OFFSET(Demand!$I98,0,(COLUMN(D86)-1)*5,1,1))</f>
        <v>1</v>
      </c>
      <c r="F89" s="5">
        <f ca="1">COUNTBLANK(OFFSET(Demand!$I98,0,(COLUMN(E86)-1)*5,1,1))</f>
        <v>1</v>
      </c>
      <c r="G89" s="5">
        <f ca="1">COUNTBLANK(OFFSET(Demand!$I98,0,(COLUMN(F86)-1)*5,1,1))</f>
        <v>1</v>
      </c>
      <c r="H89" s="5">
        <f ca="1">COUNTBLANK(OFFSET(Demand!$I98,0,(COLUMN(G86)-1)*5,1,1))</f>
        <v>1</v>
      </c>
      <c r="I89" s="5">
        <f ca="1">COUNTBLANK(OFFSET(Demand!$I98,0,(COLUMN(H86)-1)*5,1,1))</f>
        <v>1</v>
      </c>
      <c r="J89" s="5">
        <f ca="1">COUNTBLANK(OFFSET(Demand!$I98,0,(COLUMN(I86)-1)*5,1,1))</f>
        <v>1</v>
      </c>
      <c r="K89" s="5">
        <f ca="1">COUNTBLANK(OFFSET(Demand!$I98,0,(COLUMN(J86)-1)*5,1,1))</f>
        <v>1</v>
      </c>
      <c r="N89" s="5">
        <f ca="1">SUM(OFFSET(Demand!$E98,0,(COLUMN(A86)-1)*5,1,3))*N$2</f>
        <v>0</v>
      </c>
      <c r="O89" s="5">
        <f ca="1">SUM(OFFSET(Demand!$E98,0,(COLUMN(B86)-1)*5,1,3))*O$2</f>
        <v>0</v>
      </c>
      <c r="P89" s="5">
        <f ca="1">SUM(OFFSET(Demand!$E98,0,(COLUMN(C86)-1)*5,1,3))*P$2</f>
        <v>0</v>
      </c>
      <c r="Q89" s="5">
        <f ca="1">SUM(OFFSET(Demand!$E98,0,(COLUMN(D86)-1)*5,1,3))*Q$2</f>
        <v>0</v>
      </c>
      <c r="R89" s="5">
        <f ca="1">SUM(OFFSET(Demand!$E98,0,(COLUMN(E86)-1)*5,1,3))*R$2</f>
        <v>0</v>
      </c>
      <c r="S89" s="5">
        <f ca="1">SUM(OFFSET(Demand!$E98,0,(COLUMN(F86)-1)*5,1,3))*S$2</f>
        <v>0</v>
      </c>
      <c r="T89" s="5">
        <f ca="1">SUM(OFFSET(Demand!$E98,0,(COLUMN(G86)-1)*5,1,3))*T$2</f>
        <v>0</v>
      </c>
      <c r="U89" s="5">
        <f ca="1">SUM(OFFSET(Demand!$E98,0,(COLUMN(H86)-1)*5,1,3))*U$2</f>
        <v>0</v>
      </c>
      <c r="V89" s="5">
        <f ca="1">SUM(OFFSET(Demand!$E98,0,(COLUMN(I86)-1)*5,1,3))*V$2</f>
        <v>0</v>
      </c>
      <c r="W89" s="5">
        <f ca="1">SUM(OFFSET(Demand!$E98,0,(COLUMN(J86)-1)*5,1,3))*W$2</f>
        <v>0</v>
      </c>
      <c r="X89" s="5">
        <f t="shared" ca="1" si="37"/>
        <v>0</v>
      </c>
      <c r="Y89">
        <f t="shared" ca="1" si="38"/>
        <v>0</v>
      </c>
      <c r="Z89" s="5">
        <f ca="1">SUM(OFFSET(Demand!$H98,0,(COLUMN(A86)-1)*5,1,1))*N$2</f>
        <v>0</v>
      </c>
      <c r="AA89" s="5">
        <f ca="1">SUM(OFFSET(Demand!$H98,0,(COLUMN(B86)-1)*5,1,1))*O$2</f>
        <v>0</v>
      </c>
      <c r="AB89" s="5">
        <f ca="1">SUM(OFFSET(Demand!$H98,0,(COLUMN(C86)-1)*5,1,1))*P$2</f>
        <v>0</v>
      </c>
      <c r="AC89" s="5">
        <f ca="1">SUM(OFFSET(Demand!$H98,0,(COLUMN(D86)-1)*5,1,1))*Q$2</f>
        <v>0</v>
      </c>
      <c r="AD89" s="5">
        <f ca="1">SUM(OFFSET(Demand!$H98,0,(COLUMN(E86)-1)*5,1,1))*R$2</f>
        <v>0</v>
      </c>
      <c r="AE89" s="5">
        <f ca="1">SUM(OFFSET(Demand!$H98,0,(COLUMN(F86)-1)*5,1,1))*S$2</f>
        <v>0</v>
      </c>
      <c r="AF89" s="5">
        <f ca="1">SUM(OFFSET(Demand!$H98,0,(COLUMN(G86)-1)*5,1,1))*T$2</f>
        <v>0</v>
      </c>
      <c r="AG89" s="5">
        <f ca="1">SUM(OFFSET(Demand!$H98,0,(COLUMN(H86)-1)*5,1,1))*U$2</f>
        <v>0</v>
      </c>
      <c r="AH89" s="5">
        <f ca="1">SUM(OFFSET(Demand!$H98,0,(COLUMN(I86)-1)*5,1,1))*V$2</f>
        <v>0</v>
      </c>
      <c r="AI89" s="5">
        <f ca="1">SUM(OFFSET(Demand!$H98,0,(COLUMN(J86)-1)*5,1,1))*W$2</f>
        <v>0</v>
      </c>
      <c r="AJ89" s="5">
        <f t="shared" ca="1" si="39"/>
        <v>0</v>
      </c>
      <c r="AL89" s="5">
        <f t="shared" ca="1" si="40"/>
        <v>0</v>
      </c>
      <c r="AM89" s="5">
        <f t="shared" ca="1" si="41"/>
        <v>0</v>
      </c>
      <c r="AN89" s="5" t="str">
        <f>IF(Demand!BE98="Yes","Yes","")</f>
        <v/>
      </c>
      <c r="AP89" s="36" t="str">
        <f ca="1">Demand!B98</f>
        <v xml:space="preserve"> </v>
      </c>
      <c r="AQ89" t="str">
        <f ca="1">IF(TEXT(Demand!D98,"MMM")&lt;&gt;TEXT(Demand!D97,"MMM"),TEXT(Demand!D98,"MMM"),"")</f>
        <v/>
      </c>
      <c r="AT89" s="5">
        <f t="shared" ca="1" si="42"/>
        <v>0</v>
      </c>
      <c r="BQ89">
        <f ca="1">IF($AN89="",OFFSET(Demand!$A$13,ROW(A86)-1,4+((QUOTIENT(COLUMN(BQ$2)-69,3))*5)+MOD(COLUMN(BQ$2),3),1,1),"")</f>
        <v>0</v>
      </c>
      <c r="BR89">
        <f ca="1">IF($AN89="",OFFSET(Demand!$A$13,ROW(B86)-1,4+((QUOTIENT(COLUMN(BR$2)-69,3))*5)+MOD(COLUMN(BR$2),3),1,1),"")</f>
        <v>0</v>
      </c>
      <c r="BS89">
        <f ca="1">IF($AN89="",OFFSET(Demand!$A$13,ROW(C86)-1,4+((QUOTIENT(COLUMN(BS$2)-69,3))*5)+MOD(COLUMN(BS$2),3),1,1),"")</f>
        <v>0</v>
      </c>
      <c r="BT89">
        <f ca="1">IF($AN89="",OFFSET(Demand!$A$13,ROW(D86)-1,4+((QUOTIENT(COLUMN(BT$2)-69,3))*5)+MOD(COLUMN(BT$2),3),1,1),"")</f>
        <v>0</v>
      </c>
      <c r="BU89">
        <f ca="1">IF($AN89="",OFFSET(Demand!$A$13,ROW(E86)-1,4+((QUOTIENT(COLUMN(BU$2)-69,3))*5)+MOD(COLUMN(BU$2),3),1,1),"")</f>
        <v>0</v>
      </c>
      <c r="BV89">
        <f ca="1">IF($AN89="",OFFSET(Demand!$A$13,ROW(F86)-1,4+((QUOTIENT(COLUMN(BV$2)-69,3))*5)+MOD(COLUMN(BV$2),3),1,1),"")</f>
        <v>0</v>
      </c>
      <c r="BW89">
        <f ca="1">IF($AN89="",OFFSET(Demand!$A$13,ROW(G86)-1,4+((QUOTIENT(COLUMN(BW$2)-69,3))*5)+MOD(COLUMN(BW$2),3),1,1),"")</f>
        <v>0</v>
      </c>
      <c r="BX89">
        <f ca="1">IF($AN89="",OFFSET(Demand!$A$13,ROW(H86)-1,4+((QUOTIENT(COLUMN(BX$2)-69,3))*5)+MOD(COLUMN(BX$2),3),1,1),"")</f>
        <v>0</v>
      </c>
      <c r="BY89">
        <f ca="1">IF($AN89="",OFFSET(Demand!$A$13,ROW(I86)-1,4+((QUOTIENT(COLUMN(BY$2)-69,3))*5)+MOD(COLUMN(BY$2),3),1,1),"")</f>
        <v>0</v>
      </c>
      <c r="BZ89">
        <f ca="1">IF($AN89="",OFFSET(Demand!$A$13,ROW(J86)-1,4+((QUOTIENT(COLUMN(BZ$2)-69,3))*5)+MOD(COLUMN(BZ$2),3),1,1),"")</f>
        <v>0</v>
      </c>
      <c r="CA89">
        <f ca="1">IF($AN89="",OFFSET(Demand!$A$13,ROW(K86)-1,4+((QUOTIENT(COLUMN(CA$2)-69,3))*5)+MOD(COLUMN(CA$2),3),1,1),"")</f>
        <v>0</v>
      </c>
      <c r="CB89">
        <f ca="1">IF($AN89="",OFFSET(Demand!$A$13,ROW(L86)-1,4+((QUOTIENT(COLUMN(CB$2)-69,3))*5)+MOD(COLUMN(CB$2),3),1,1),"")</f>
        <v>0</v>
      </c>
      <c r="CC89">
        <f ca="1">IF($AN89="",OFFSET(Demand!$A$13,ROW(M86)-1,4+((QUOTIENT(COLUMN(CC$2)-69,3))*5)+MOD(COLUMN(CC$2),3),1,1),"")</f>
        <v>0</v>
      </c>
      <c r="CD89">
        <f ca="1">IF($AN89="",OFFSET(Demand!$A$13,ROW(N86)-1,4+((QUOTIENT(COLUMN(CD$2)-69,3))*5)+MOD(COLUMN(CD$2),3),1,1),"")</f>
        <v>0</v>
      </c>
      <c r="CE89">
        <f ca="1">IF($AN89="",OFFSET(Demand!$A$13,ROW(O86)-1,4+((QUOTIENT(COLUMN(CE$2)-69,3))*5)+MOD(COLUMN(CE$2),3),1,1),"")</f>
        <v>0</v>
      </c>
      <c r="CF89">
        <f ca="1">IF($AN89="",OFFSET(Demand!$A$13,ROW(P86)-1,4+((QUOTIENT(COLUMN(CF$2)-69,3))*5)+MOD(COLUMN(CF$2),3),1,1),"")</f>
        <v>0</v>
      </c>
      <c r="CG89">
        <f ca="1">IF($AN89="",OFFSET(Demand!$A$13,ROW(Q86)-1,4+((QUOTIENT(COLUMN(CG$2)-69,3))*5)+MOD(COLUMN(CG$2),3),1,1),"")</f>
        <v>0</v>
      </c>
      <c r="CH89">
        <f ca="1">IF($AN89="",OFFSET(Demand!$A$13,ROW(R86)-1,4+((QUOTIENT(COLUMN(CH$2)-69,3))*5)+MOD(COLUMN(CH$2),3),1,1),"")</f>
        <v>0</v>
      </c>
      <c r="CI89">
        <f ca="1">IF($AN89="",OFFSET(Demand!$A$13,ROW(S86)-1,4+((QUOTIENT(COLUMN(CI$2)-69,3))*5)+MOD(COLUMN(CI$2),3),1,1),"")</f>
        <v>0</v>
      </c>
      <c r="CJ89">
        <f ca="1">IF($AN89="",OFFSET(Demand!$A$13,ROW(T86)-1,4+((QUOTIENT(COLUMN(CJ$2)-69,3))*5)+MOD(COLUMN(CJ$2),3),1,1),"")</f>
        <v>0</v>
      </c>
      <c r="CK89">
        <f ca="1">IF($AN89="",OFFSET(Demand!$A$13,ROW(U86)-1,4+((QUOTIENT(COLUMN(CK$2)-69,3))*5)+MOD(COLUMN(CK$2),3),1,1),"")</f>
        <v>0</v>
      </c>
      <c r="CL89">
        <f ca="1">IF($AN89="",OFFSET(Demand!$A$13,ROW(V86)-1,4+((QUOTIENT(COLUMN(CL$2)-69,3))*5)+MOD(COLUMN(CL$2),3),1,1),"")</f>
        <v>0</v>
      </c>
      <c r="CM89">
        <f ca="1">IF($AN89="",OFFSET(Demand!$A$13,ROW(W86)-1,4+((QUOTIENT(COLUMN(CM$2)-69,3))*5)+MOD(COLUMN(CM$2),3),1,1),"")</f>
        <v>0</v>
      </c>
      <c r="CN89">
        <f ca="1">IF($AN89="",OFFSET(Demand!$A$13,ROW(X86)-1,4+((QUOTIENT(COLUMN(CN$2)-69,3))*5)+MOD(COLUMN(CN$2),3),1,1),"")</f>
        <v>0</v>
      </c>
      <c r="CO89">
        <f ca="1">IF($AN89="",OFFSET(Demand!$A$13,ROW(Y86)-1,4+((QUOTIENT(COLUMN(CO$2)-69,3))*5)+MOD(COLUMN(CO$2),3),1,1),"")</f>
        <v>0</v>
      </c>
      <c r="CP89">
        <f ca="1">IF($AN89="",OFFSET(Demand!$A$13,ROW(Z86)-1,4+((QUOTIENT(COLUMN(CP$2)-69,3))*5)+MOD(COLUMN(CP$2),3),1,1),"")</f>
        <v>0</v>
      </c>
      <c r="CQ89">
        <f ca="1">IF($AN89="",OFFSET(Demand!$A$13,ROW(AA86)-1,4+((QUOTIENT(COLUMN(CQ$2)-69,3))*5)+MOD(COLUMN(CQ$2),3),1,1),"")</f>
        <v>0</v>
      </c>
      <c r="CR89">
        <f ca="1">IF($AN89="",OFFSET(Demand!$A$13,ROW(AB86)-1,4+((QUOTIENT(COLUMN(CR$2)-69,3))*5)+MOD(COLUMN(CR$2),3),1,1),"")</f>
        <v>0</v>
      </c>
      <c r="CS89">
        <f ca="1">IF($AN89="",OFFSET(Demand!$A$13,ROW(AC86)-1,4+((QUOTIENT(COLUMN(CS$2)-69,3))*5)+MOD(COLUMN(CS$2),3),1,1),"")</f>
        <v>0</v>
      </c>
      <c r="CT89">
        <f ca="1">IF($AN89="",OFFSET(Demand!$A$13,ROW(AD86)-1,4+((QUOTIENT(COLUMN(CT$2)-69,3))*5)+MOD(COLUMN(CT$2),3),1,1),"")</f>
        <v>0</v>
      </c>
      <c r="CW89" s="5">
        <f ca="1">SUM(OFFSET(Demand!$H$43,ROW(A86)-1,(COLUMN(A86)-1)*5,1,1))*N$2</f>
        <v>0</v>
      </c>
      <c r="CX89" s="5">
        <f ca="1">SUM(OFFSET(Demand!$H$43,ROW(B86)-1,(COLUMN(B86)-1)*5,1,1))*O$2</f>
        <v>0</v>
      </c>
      <c r="CY89" s="5">
        <f ca="1">SUM(OFFSET(Demand!$H$43,ROW(C86)-1,(COLUMN(C86)-1)*5,1,1))*P$2</f>
        <v>0</v>
      </c>
      <c r="CZ89" s="5">
        <f ca="1">SUM(OFFSET(Demand!$H$43,ROW(D86)-1,(COLUMN(D86)-1)*5,1,1))*Q$2</f>
        <v>0</v>
      </c>
      <c r="DA89" s="5">
        <f ca="1">SUM(OFFSET(Demand!$H$43,ROW(E86)-1,(COLUMN(E86)-1)*5,1,1))*R$2</f>
        <v>0</v>
      </c>
      <c r="DB89" s="5">
        <f ca="1">SUM(OFFSET(Demand!$H$43,ROW(F86)-1,(COLUMN(F86)-1)*5,1,1))*S$2</f>
        <v>0</v>
      </c>
      <c r="DC89" s="5">
        <f ca="1">SUM(OFFSET(Demand!$H$43,ROW(G86)-1,(COLUMN(G86)-1)*5,1,1))*T$2</f>
        <v>0</v>
      </c>
      <c r="DD89" s="5">
        <f ca="1">SUM(OFFSET(Demand!$H$43,ROW(H86)-1,(COLUMN(H86)-1)*5,1,1))*U$2</f>
        <v>0</v>
      </c>
      <c r="DE89" s="5">
        <f ca="1">SUM(OFFSET(Demand!$H$43,ROW(I86)-1,(COLUMN(I86)-1)*5,1,1))*V$2</f>
        <v>0</v>
      </c>
      <c r="DF89" s="5">
        <f ca="1">SUM(OFFSET(Demand!$H$43,ROW(J86)-1,(COLUMN(J86)-1)*5,1,1))*W$2</f>
        <v>0</v>
      </c>
      <c r="DG89" s="5">
        <f ca="1">IF(OR(AN89&lt;&gt;"",AND('Demand adjustments for Covid'!$F$9="Yes",'Demand adjustments for Covid'!$F$20="Yes")),"",SUM(CW89:DF89))</f>
        <v>0</v>
      </c>
    </row>
    <row r="90" spans="1:111" x14ac:dyDescent="0.25">
      <c r="A90" s="5">
        <f t="shared" ca="1" si="34"/>
        <v>1</v>
      </c>
      <c r="B90" s="5">
        <f ca="1">COUNTBLANK(OFFSET(Demand!$I99,0,(COLUMN(A87)-1)*5,1,1))</f>
        <v>1</v>
      </c>
      <c r="C90" s="5">
        <f ca="1">COUNTBLANK(OFFSET(Demand!$I99,0,(COLUMN(B87)-1)*5,1,1))</f>
        <v>1</v>
      </c>
      <c r="D90" s="5">
        <f ca="1">COUNTBLANK(OFFSET(Demand!$I99,0,(COLUMN(C87)-1)*5,1,1))</f>
        <v>1</v>
      </c>
      <c r="E90" s="5">
        <f ca="1">COUNTBLANK(OFFSET(Demand!$I99,0,(COLUMN(D87)-1)*5,1,1))</f>
        <v>1</v>
      </c>
      <c r="F90" s="5">
        <f ca="1">COUNTBLANK(OFFSET(Demand!$I99,0,(COLUMN(E87)-1)*5,1,1))</f>
        <v>1</v>
      </c>
      <c r="G90" s="5">
        <f ca="1">COUNTBLANK(OFFSET(Demand!$I99,0,(COLUMN(F87)-1)*5,1,1))</f>
        <v>1</v>
      </c>
      <c r="H90" s="5">
        <f ca="1">COUNTBLANK(OFFSET(Demand!$I99,0,(COLUMN(G87)-1)*5,1,1))</f>
        <v>1</v>
      </c>
      <c r="I90" s="5">
        <f ca="1">COUNTBLANK(OFFSET(Demand!$I99,0,(COLUMN(H87)-1)*5,1,1))</f>
        <v>1</v>
      </c>
      <c r="J90" s="5">
        <f ca="1">COUNTBLANK(OFFSET(Demand!$I99,0,(COLUMN(I87)-1)*5,1,1))</f>
        <v>1</v>
      </c>
      <c r="K90" s="5">
        <f ca="1">COUNTBLANK(OFFSET(Demand!$I99,0,(COLUMN(J87)-1)*5,1,1))</f>
        <v>1</v>
      </c>
      <c r="N90" s="5">
        <f ca="1">SUM(OFFSET(Demand!$E99,0,(COLUMN(A87)-1)*5,1,3))*N$2</f>
        <v>0</v>
      </c>
      <c r="O90" s="5">
        <f ca="1">SUM(OFFSET(Demand!$E99,0,(COLUMN(B87)-1)*5,1,3))*O$2</f>
        <v>0</v>
      </c>
      <c r="P90" s="5">
        <f ca="1">SUM(OFFSET(Demand!$E99,0,(COLUMN(C87)-1)*5,1,3))*P$2</f>
        <v>0</v>
      </c>
      <c r="Q90" s="5">
        <f ca="1">SUM(OFFSET(Demand!$E99,0,(COLUMN(D87)-1)*5,1,3))*Q$2</f>
        <v>0</v>
      </c>
      <c r="R90" s="5">
        <f ca="1">SUM(OFFSET(Demand!$E99,0,(COLUMN(E87)-1)*5,1,3))*R$2</f>
        <v>0</v>
      </c>
      <c r="S90" s="5">
        <f ca="1">SUM(OFFSET(Demand!$E99,0,(COLUMN(F87)-1)*5,1,3))*S$2</f>
        <v>0</v>
      </c>
      <c r="T90" s="5">
        <f ca="1">SUM(OFFSET(Demand!$E99,0,(COLUMN(G87)-1)*5,1,3))*T$2</f>
        <v>0</v>
      </c>
      <c r="U90" s="5">
        <f ca="1">SUM(OFFSET(Demand!$E99,0,(COLUMN(H87)-1)*5,1,3))*U$2</f>
        <v>0</v>
      </c>
      <c r="V90" s="5">
        <f ca="1">SUM(OFFSET(Demand!$E99,0,(COLUMN(I87)-1)*5,1,3))*V$2</f>
        <v>0</v>
      </c>
      <c r="W90" s="5">
        <f ca="1">SUM(OFFSET(Demand!$E99,0,(COLUMN(J87)-1)*5,1,3))*W$2</f>
        <v>0</v>
      </c>
      <c r="X90" s="5">
        <f t="shared" ca="1" si="37"/>
        <v>0</v>
      </c>
      <c r="Y90">
        <f t="shared" ca="1" si="38"/>
        <v>0</v>
      </c>
      <c r="Z90" s="5">
        <f ca="1">SUM(OFFSET(Demand!$H99,0,(COLUMN(A87)-1)*5,1,1))*N$2</f>
        <v>0</v>
      </c>
      <c r="AA90" s="5">
        <f ca="1">SUM(OFFSET(Demand!$H99,0,(COLUMN(B87)-1)*5,1,1))*O$2</f>
        <v>0</v>
      </c>
      <c r="AB90" s="5">
        <f ca="1">SUM(OFFSET(Demand!$H99,0,(COLUMN(C87)-1)*5,1,1))*P$2</f>
        <v>0</v>
      </c>
      <c r="AC90" s="5">
        <f ca="1">SUM(OFFSET(Demand!$H99,0,(COLUMN(D87)-1)*5,1,1))*Q$2</f>
        <v>0</v>
      </c>
      <c r="AD90" s="5">
        <f ca="1">SUM(OFFSET(Demand!$H99,0,(COLUMN(E87)-1)*5,1,1))*R$2</f>
        <v>0</v>
      </c>
      <c r="AE90" s="5">
        <f ca="1">SUM(OFFSET(Demand!$H99,0,(COLUMN(F87)-1)*5,1,1))*S$2</f>
        <v>0</v>
      </c>
      <c r="AF90" s="5">
        <f ca="1">SUM(OFFSET(Demand!$H99,0,(COLUMN(G87)-1)*5,1,1))*T$2</f>
        <v>0</v>
      </c>
      <c r="AG90" s="5">
        <f ca="1">SUM(OFFSET(Demand!$H99,0,(COLUMN(H87)-1)*5,1,1))*U$2</f>
        <v>0</v>
      </c>
      <c r="AH90" s="5">
        <f ca="1">SUM(OFFSET(Demand!$H99,0,(COLUMN(I87)-1)*5,1,1))*V$2</f>
        <v>0</v>
      </c>
      <c r="AI90" s="5">
        <f ca="1">SUM(OFFSET(Demand!$H99,0,(COLUMN(J87)-1)*5,1,1))*W$2</f>
        <v>0</v>
      </c>
      <c r="AJ90" s="5">
        <f t="shared" ca="1" si="39"/>
        <v>0</v>
      </c>
      <c r="AL90" s="5">
        <f t="shared" ca="1" si="40"/>
        <v>0</v>
      </c>
      <c r="AM90" s="5">
        <f t="shared" ca="1" si="41"/>
        <v>0</v>
      </c>
      <c r="AN90" s="5" t="str">
        <f>IF(Demand!BE99="Yes","Yes","")</f>
        <v/>
      </c>
      <c r="AP90" s="36" t="str">
        <f ca="1">Demand!B99</f>
        <v xml:space="preserve"> </v>
      </c>
      <c r="AQ90" t="str">
        <f ca="1">IF(TEXT(Demand!D99,"MMM")&lt;&gt;TEXT(Demand!D98,"MMM"),TEXT(Demand!D99,"MMM"),"")</f>
        <v/>
      </c>
      <c r="AT90" s="5">
        <f t="shared" ca="1" si="42"/>
        <v>0</v>
      </c>
      <c r="BQ90">
        <f ca="1">IF($AN90="",OFFSET(Demand!$A$13,ROW(A87)-1,4+((QUOTIENT(COLUMN(BQ$2)-69,3))*5)+MOD(COLUMN(BQ$2),3),1,1),"")</f>
        <v>0</v>
      </c>
      <c r="BR90">
        <f ca="1">IF($AN90="",OFFSET(Demand!$A$13,ROW(B87)-1,4+((QUOTIENT(COLUMN(BR$2)-69,3))*5)+MOD(COLUMN(BR$2),3),1,1),"")</f>
        <v>0</v>
      </c>
      <c r="BS90">
        <f ca="1">IF($AN90="",OFFSET(Demand!$A$13,ROW(C87)-1,4+((QUOTIENT(COLUMN(BS$2)-69,3))*5)+MOD(COLUMN(BS$2),3),1,1),"")</f>
        <v>0</v>
      </c>
      <c r="BT90">
        <f ca="1">IF($AN90="",OFFSET(Demand!$A$13,ROW(D87)-1,4+((QUOTIENT(COLUMN(BT$2)-69,3))*5)+MOD(COLUMN(BT$2),3),1,1),"")</f>
        <v>0</v>
      </c>
      <c r="BU90">
        <f ca="1">IF($AN90="",OFFSET(Demand!$A$13,ROW(E87)-1,4+((QUOTIENT(COLUMN(BU$2)-69,3))*5)+MOD(COLUMN(BU$2),3),1,1),"")</f>
        <v>0</v>
      </c>
      <c r="BV90">
        <f ca="1">IF($AN90="",OFFSET(Demand!$A$13,ROW(F87)-1,4+((QUOTIENT(COLUMN(BV$2)-69,3))*5)+MOD(COLUMN(BV$2),3),1,1),"")</f>
        <v>0</v>
      </c>
      <c r="BW90">
        <f ca="1">IF($AN90="",OFFSET(Demand!$A$13,ROW(G87)-1,4+((QUOTIENT(COLUMN(BW$2)-69,3))*5)+MOD(COLUMN(BW$2),3),1,1),"")</f>
        <v>0</v>
      </c>
      <c r="BX90">
        <f ca="1">IF($AN90="",OFFSET(Demand!$A$13,ROW(H87)-1,4+((QUOTIENT(COLUMN(BX$2)-69,3))*5)+MOD(COLUMN(BX$2),3),1,1),"")</f>
        <v>0</v>
      </c>
      <c r="BY90">
        <f ca="1">IF($AN90="",OFFSET(Demand!$A$13,ROW(I87)-1,4+((QUOTIENT(COLUMN(BY$2)-69,3))*5)+MOD(COLUMN(BY$2),3),1,1),"")</f>
        <v>0</v>
      </c>
      <c r="BZ90">
        <f ca="1">IF($AN90="",OFFSET(Demand!$A$13,ROW(J87)-1,4+((QUOTIENT(COLUMN(BZ$2)-69,3))*5)+MOD(COLUMN(BZ$2),3),1,1),"")</f>
        <v>0</v>
      </c>
      <c r="CA90">
        <f ca="1">IF($AN90="",OFFSET(Demand!$A$13,ROW(K87)-1,4+((QUOTIENT(COLUMN(CA$2)-69,3))*5)+MOD(COLUMN(CA$2),3),1,1),"")</f>
        <v>0</v>
      </c>
      <c r="CB90">
        <f ca="1">IF($AN90="",OFFSET(Demand!$A$13,ROW(L87)-1,4+((QUOTIENT(COLUMN(CB$2)-69,3))*5)+MOD(COLUMN(CB$2),3),1,1),"")</f>
        <v>0</v>
      </c>
      <c r="CC90">
        <f ca="1">IF($AN90="",OFFSET(Demand!$A$13,ROW(M87)-1,4+((QUOTIENT(COLUMN(CC$2)-69,3))*5)+MOD(COLUMN(CC$2),3),1,1),"")</f>
        <v>0</v>
      </c>
      <c r="CD90">
        <f ca="1">IF($AN90="",OFFSET(Demand!$A$13,ROW(N87)-1,4+((QUOTIENT(COLUMN(CD$2)-69,3))*5)+MOD(COLUMN(CD$2),3),1,1),"")</f>
        <v>0</v>
      </c>
      <c r="CE90">
        <f ca="1">IF($AN90="",OFFSET(Demand!$A$13,ROW(O87)-1,4+((QUOTIENT(COLUMN(CE$2)-69,3))*5)+MOD(COLUMN(CE$2),3),1,1),"")</f>
        <v>0</v>
      </c>
      <c r="CF90">
        <f ca="1">IF($AN90="",OFFSET(Demand!$A$13,ROW(P87)-1,4+((QUOTIENT(COLUMN(CF$2)-69,3))*5)+MOD(COLUMN(CF$2),3),1,1),"")</f>
        <v>0</v>
      </c>
      <c r="CG90">
        <f ca="1">IF($AN90="",OFFSET(Demand!$A$13,ROW(Q87)-1,4+((QUOTIENT(COLUMN(CG$2)-69,3))*5)+MOD(COLUMN(CG$2),3),1,1),"")</f>
        <v>0</v>
      </c>
      <c r="CH90">
        <f ca="1">IF($AN90="",OFFSET(Demand!$A$13,ROW(R87)-1,4+((QUOTIENT(COLUMN(CH$2)-69,3))*5)+MOD(COLUMN(CH$2),3),1,1),"")</f>
        <v>0</v>
      </c>
      <c r="CI90">
        <f ca="1">IF($AN90="",OFFSET(Demand!$A$13,ROW(S87)-1,4+((QUOTIENT(COLUMN(CI$2)-69,3))*5)+MOD(COLUMN(CI$2),3),1,1),"")</f>
        <v>0</v>
      </c>
      <c r="CJ90">
        <f ca="1">IF($AN90="",OFFSET(Demand!$A$13,ROW(T87)-1,4+((QUOTIENT(COLUMN(CJ$2)-69,3))*5)+MOD(COLUMN(CJ$2),3),1,1),"")</f>
        <v>0</v>
      </c>
      <c r="CK90">
        <f ca="1">IF($AN90="",OFFSET(Demand!$A$13,ROW(U87)-1,4+((QUOTIENT(COLUMN(CK$2)-69,3))*5)+MOD(COLUMN(CK$2),3),1,1),"")</f>
        <v>0</v>
      </c>
      <c r="CL90">
        <f ca="1">IF($AN90="",OFFSET(Demand!$A$13,ROW(V87)-1,4+((QUOTIENT(COLUMN(CL$2)-69,3))*5)+MOD(COLUMN(CL$2),3),1,1),"")</f>
        <v>0</v>
      </c>
      <c r="CM90">
        <f ca="1">IF($AN90="",OFFSET(Demand!$A$13,ROW(W87)-1,4+((QUOTIENT(COLUMN(CM$2)-69,3))*5)+MOD(COLUMN(CM$2),3),1,1),"")</f>
        <v>0</v>
      </c>
      <c r="CN90">
        <f ca="1">IF($AN90="",OFFSET(Demand!$A$13,ROW(X87)-1,4+((QUOTIENT(COLUMN(CN$2)-69,3))*5)+MOD(COLUMN(CN$2),3),1,1),"")</f>
        <v>0</v>
      </c>
      <c r="CO90">
        <f ca="1">IF($AN90="",OFFSET(Demand!$A$13,ROW(Y87)-1,4+((QUOTIENT(COLUMN(CO$2)-69,3))*5)+MOD(COLUMN(CO$2),3),1,1),"")</f>
        <v>0</v>
      </c>
      <c r="CP90">
        <f ca="1">IF($AN90="",OFFSET(Demand!$A$13,ROW(Z87)-1,4+((QUOTIENT(COLUMN(CP$2)-69,3))*5)+MOD(COLUMN(CP$2),3),1,1),"")</f>
        <v>0</v>
      </c>
      <c r="CQ90">
        <f ca="1">IF($AN90="",OFFSET(Demand!$A$13,ROW(AA87)-1,4+((QUOTIENT(COLUMN(CQ$2)-69,3))*5)+MOD(COLUMN(CQ$2),3),1,1),"")</f>
        <v>0</v>
      </c>
      <c r="CR90">
        <f ca="1">IF($AN90="",OFFSET(Demand!$A$13,ROW(AB87)-1,4+((QUOTIENT(COLUMN(CR$2)-69,3))*5)+MOD(COLUMN(CR$2),3),1,1),"")</f>
        <v>0</v>
      </c>
      <c r="CS90">
        <f ca="1">IF($AN90="",OFFSET(Demand!$A$13,ROW(AC87)-1,4+((QUOTIENT(COLUMN(CS$2)-69,3))*5)+MOD(COLUMN(CS$2),3),1,1),"")</f>
        <v>0</v>
      </c>
      <c r="CT90">
        <f ca="1">IF($AN90="",OFFSET(Demand!$A$13,ROW(AD87)-1,4+((QUOTIENT(COLUMN(CT$2)-69,3))*5)+MOD(COLUMN(CT$2),3),1,1),"")</f>
        <v>0</v>
      </c>
      <c r="CW90" s="5">
        <f ca="1">SUM(OFFSET(Demand!$H$43,ROW(A87)-1,(COLUMN(A87)-1)*5,1,1))*N$2</f>
        <v>0</v>
      </c>
      <c r="CX90" s="5">
        <f ca="1">SUM(OFFSET(Demand!$H$43,ROW(B87)-1,(COLUMN(B87)-1)*5,1,1))*O$2</f>
        <v>0</v>
      </c>
      <c r="CY90" s="5">
        <f ca="1">SUM(OFFSET(Demand!$H$43,ROW(C87)-1,(COLUMN(C87)-1)*5,1,1))*P$2</f>
        <v>0</v>
      </c>
      <c r="CZ90" s="5">
        <f ca="1">SUM(OFFSET(Demand!$H$43,ROW(D87)-1,(COLUMN(D87)-1)*5,1,1))*Q$2</f>
        <v>0</v>
      </c>
      <c r="DA90" s="5">
        <f ca="1">SUM(OFFSET(Demand!$H$43,ROW(E87)-1,(COLUMN(E87)-1)*5,1,1))*R$2</f>
        <v>0</v>
      </c>
      <c r="DB90" s="5">
        <f ca="1">SUM(OFFSET(Demand!$H$43,ROW(F87)-1,(COLUMN(F87)-1)*5,1,1))*S$2</f>
        <v>0</v>
      </c>
      <c r="DC90" s="5">
        <f ca="1">SUM(OFFSET(Demand!$H$43,ROW(G87)-1,(COLUMN(G87)-1)*5,1,1))*T$2</f>
        <v>0</v>
      </c>
      <c r="DD90" s="5">
        <f ca="1">SUM(OFFSET(Demand!$H$43,ROW(H87)-1,(COLUMN(H87)-1)*5,1,1))*U$2</f>
        <v>0</v>
      </c>
      <c r="DE90" s="5">
        <f ca="1">SUM(OFFSET(Demand!$H$43,ROW(I87)-1,(COLUMN(I87)-1)*5,1,1))*V$2</f>
        <v>0</v>
      </c>
      <c r="DF90" s="5">
        <f ca="1">SUM(OFFSET(Demand!$H$43,ROW(J87)-1,(COLUMN(J87)-1)*5,1,1))*W$2</f>
        <v>0</v>
      </c>
      <c r="DG90" s="5">
        <f ca="1">IF(OR(AN90&lt;&gt;"",AND('Demand adjustments for Covid'!$F$9="Yes",'Demand adjustments for Covid'!$F$20="Yes")),"",SUM(CW90:DF90))</f>
        <v>0</v>
      </c>
    </row>
    <row r="91" spans="1:111" x14ac:dyDescent="0.25">
      <c r="A91" s="5">
        <f t="shared" ca="1" si="34"/>
        <v>1</v>
      </c>
      <c r="B91" s="5">
        <f ca="1">COUNTBLANK(OFFSET(Demand!$I100,0,(COLUMN(A88)-1)*5,1,1))</f>
        <v>1</v>
      </c>
      <c r="C91" s="5">
        <f ca="1">COUNTBLANK(OFFSET(Demand!$I100,0,(COLUMN(B88)-1)*5,1,1))</f>
        <v>1</v>
      </c>
      <c r="D91" s="5">
        <f ca="1">COUNTBLANK(OFFSET(Demand!$I100,0,(COLUMN(C88)-1)*5,1,1))</f>
        <v>1</v>
      </c>
      <c r="E91" s="5">
        <f ca="1">COUNTBLANK(OFFSET(Demand!$I100,0,(COLUMN(D88)-1)*5,1,1))</f>
        <v>1</v>
      </c>
      <c r="F91" s="5">
        <f ca="1">COUNTBLANK(OFFSET(Demand!$I100,0,(COLUMN(E88)-1)*5,1,1))</f>
        <v>1</v>
      </c>
      <c r="G91" s="5">
        <f ca="1">COUNTBLANK(OFFSET(Demand!$I100,0,(COLUMN(F88)-1)*5,1,1))</f>
        <v>1</v>
      </c>
      <c r="H91" s="5">
        <f ca="1">COUNTBLANK(OFFSET(Demand!$I100,0,(COLUMN(G88)-1)*5,1,1))</f>
        <v>1</v>
      </c>
      <c r="I91" s="5">
        <f ca="1">COUNTBLANK(OFFSET(Demand!$I100,0,(COLUMN(H88)-1)*5,1,1))</f>
        <v>1</v>
      </c>
      <c r="J91" s="5">
        <f ca="1">COUNTBLANK(OFFSET(Demand!$I100,0,(COLUMN(I88)-1)*5,1,1))</f>
        <v>1</v>
      </c>
      <c r="K91" s="5">
        <f ca="1">COUNTBLANK(OFFSET(Demand!$I100,0,(COLUMN(J88)-1)*5,1,1))</f>
        <v>1</v>
      </c>
      <c r="N91" s="5">
        <f ca="1">SUM(OFFSET(Demand!$E100,0,(COLUMN(A88)-1)*5,1,3))*N$2</f>
        <v>0</v>
      </c>
      <c r="O91" s="5">
        <f ca="1">SUM(OFFSET(Demand!$E100,0,(COLUMN(B88)-1)*5,1,3))*O$2</f>
        <v>0</v>
      </c>
      <c r="P91" s="5">
        <f ca="1">SUM(OFFSET(Demand!$E100,0,(COLUMN(C88)-1)*5,1,3))*P$2</f>
        <v>0</v>
      </c>
      <c r="Q91" s="5">
        <f ca="1">SUM(OFFSET(Demand!$E100,0,(COLUMN(D88)-1)*5,1,3))*Q$2</f>
        <v>0</v>
      </c>
      <c r="R91" s="5">
        <f ca="1">SUM(OFFSET(Demand!$E100,0,(COLUMN(E88)-1)*5,1,3))*R$2</f>
        <v>0</v>
      </c>
      <c r="S91" s="5">
        <f ca="1">SUM(OFFSET(Demand!$E100,0,(COLUMN(F88)-1)*5,1,3))*S$2</f>
        <v>0</v>
      </c>
      <c r="T91" s="5">
        <f ca="1">SUM(OFFSET(Demand!$E100,0,(COLUMN(G88)-1)*5,1,3))*T$2</f>
        <v>0</v>
      </c>
      <c r="U91" s="5">
        <f ca="1">SUM(OFFSET(Demand!$E100,0,(COLUMN(H88)-1)*5,1,3))*U$2</f>
        <v>0</v>
      </c>
      <c r="V91" s="5">
        <f ca="1">SUM(OFFSET(Demand!$E100,0,(COLUMN(I88)-1)*5,1,3))*V$2</f>
        <v>0</v>
      </c>
      <c r="W91" s="5">
        <f ca="1">SUM(OFFSET(Demand!$E100,0,(COLUMN(J88)-1)*5,1,3))*W$2</f>
        <v>0</v>
      </c>
      <c r="X91" s="5">
        <f t="shared" ca="1" si="37"/>
        <v>0</v>
      </c>
      <c r="Y91">
        <f t="shared" ca="1" si="38"/>
        <v>0</v>
      </c>
      <c r="Z91" s="5">
        <f ca="1">SUM(OFFSET(Demand!$H100,0,(COLUMN(A88)-1)*5,1,1))*N$2</f>
        <v>0</v>
      </c>
      <c r="AA91" s="5">
        <f ca="1">SUM(OFFSET(Demand!$H100,0,(COLUMN(B88)-1)*5,1,1))*O$2</f>
        <v>0</v>
      </c>
      <c r="AB91" s="5">
        <f ca="1">SUM(OFFSET(Demand!$H100,0,(COLUMN(C88)-1)*5,1,1))*P$2</f>
        <v>0</v>
      </c>
      <c r="AC91" s="5">
        <f ca="1">SUM(OFFSET(Demand!$H100,0,(COLUMN(D88)-1)*5,1,1))*Q$2</f>
        <v>0</v>
      </c>
      <c r="AD91" s="5">
        <f ca="1">SUM(OFFSET(Demand!$H100,0,(COLUMN(E88)-1)*5,1,1))*R$2</f>
        <v>0</v>
      </c>
      <c r="AE91" s="5">
        <f ca="1">SUM(OFFSET(Demand!$H100,0,(COLUMN(F88)-1)*5,1,1))*S$2</f>
        <v>0</v>
      </c>
      <c r="AF91" s="5">
        <f ca="1">SUM(OFFSET(Demand!$H100,0,(COLUMN(G88)-1)*5,1,1))*T$2</f>
        <v>0</v>
      </c>
      <c r="AG91" s="5">
        <f ca="1">SUM(OFFSET(Demand!$H100,0,(COLUMN(H88)-1)*5,1,1))*U$2</f>
        <v>0</v>
      </c>
      <c r="AH91" s="5">
        <f ca="1">SUM(OFFSET(Demand!$H100,0,(COLUMN(I88)-1)*5,1,1))*V$2</f>
        <v>0</v>
      </c>
      <c r="AI91" s="5">
        <f ca="1">SUM(OFFSET(Demand!$H100,0,(COLUMN(J88)-1)*5,1,1))*W$2</f>
        <v>0</v>
      </c>
      <c r="AJ91" s="5">
        <f t="shared" ca="1" si="39"/>
        <v>0</v>
      </c>
      <c r="AL91" s="5">
        <f t="shared" ca="1" si="40"/>
        <v>0</v>
      </c>
      <c r="AM91" s="5">
        <f t="shared" ca="1" si="41"/>
        <v>0</v>
      </c>
      <c r="AN91" s="5" t="str">
        <f>IF(Demand!BE100="Yes","Yes","")</f>
        <v/>
      </c>
      <c r="AP91" s="36" t="str">
        <f ca="1">Demand!B100</f>
        <v xml:space="preserve"> </v>
      </c>
      <c r="AQ91" t="str">
        <f ca="1">IF(TEXT(Demand!D100,"MMM")&lt;&gt;TEXT(Demand!D99,"MMM"),TEXT(Demand!D100,"MMM"),"")</f>
        <v/>
      </c>
      <c r="AT91" s="5">
        <f t="shared" ca="1" si="42"/>
        <v>0</v>
      </c>
      <c r="BQ91">
        <f ca="1">IF($AN91="",OFFSET(Demand!$A$13,ROW(A88)-1,4+((QUOTIENT(COLUMN(BQ$2)-69,3))*5)+MOD(COLUMN(BQ$2),3),1,1),"")</f>
        <v>0</v>
      </c>
      <c r="BR91">
        <f ca="1">IF($AN91="",OFFSET(Demand!$A$13,ROW(B88)-1,4+((QUOTIENT(COLUMN(BR$2)-69,3))*5)+MOD(COLUMN(BR$2),3),1,1),"")</f>
        <v>0</v>
      </c>
      <c r="BS91">
        <f ca="1">IF($AN91="",OFFSET(Demand!$A$13,ROW(C88)-1,4+((QUOTIENT(COLUMN(BS$2)-69,3))*5)+MOD(COLUMN(BS$2),3),1,1),"")</f>
        <v>0</v>
      </c>
      <c r="BT91">
        <f ca="1">IF($AN91="",OFFSET(Demand!$A$13,ROW(D88)-1,4+((QUOTIENT(COLUMN(BT$2)-69,3))*5)+MOD(COLUMN(BT$2),3),1,1),"")</f>
        <v>0</v>
      </c>
      <c r="BU91">
        <f ca="1">IF($AN91="",OFFSET(Demand!$A$13,ROW(E88)-1,4+((QUOTIENT(COLUMN(BU$2)-69,3))*5)+MOD(COLUMN(BU$2),3),1,1),"")</f>
        <v>0</v>
      </c>
      <c r="BV91">
        <f ca="1">IF($AN91="",OFFSET(Demand!$A$13,ROW(F88)-1,4+((QUOTIENT(COLUMN(BV$2)-69,3))*5)+MOD(COLUMN(BV$2),3),1,1),"")</f>
        <v>0</v>
      </c>
      <c r="BW91">
        <f ca="1">IF($AN91="",OFFSET(Demand!$A$13,ROW(G88)-1,4+((QUOTIENT(COLUMN(BW$2)-69,3))*5)+MOD(COLUMN(BW$2),3),1,1),"")</f>
        <v>0</v>
      </c>
      <c r="BX91">
        <f ca="1">IF($AN91="",OFFSET(Demand!$A$13,ROW(H88)-1,4+((QUOTIENT(COLUMN(BX$2)-69,3))*5)+MOD(COLUMN(BX$2),3),1,1),"")</f>
        <v>0</v>
      </c>
      <c r="BY91">
        <f ca="1">IF($AN91="",OFFSET(Demand!$A$13,ROW(I88)-1,4+((QUOTIENT(COLUMN(BY$2)-69,3))*5)+MOD(COLUMN(BY$2),3),1,1),"")</f>
        <v>0</v>
      </c>
      <c r="BZ91">
        <f ca="1">IF($AN91="",OFFSET(Demand!$A$13,ROW(J88)-1,4+((QUOTIENT(COLUMN(BZ$2)-69,3))*5)+MOD(COLUMN(BZ$2),3),1,1),"")</f>
        <v>0</v>
      </c>
      <c r="CA91">
        <f ca="1">IF($AN91="",OFFSET(Demand!$A$13,ROW(K88)-1,4+((QUOTIENT(COLUMN(CA$2)-69,3))*5)+MOD(COLUMN(CA$2),3),1,1),"")</f>
        <v>0</v>
      </c>
      <c r="CB91">
        <f ca="1">IF($AN91="",OFFSET(Demand!$A$13,ROW(L88)-1,4+((QUOTIENT(COLUMN(CB$2)-69,3))*5)+MOD(COLUMN(CB$2),3),1,1),"")</f>
        <v>0</v>
      </c>
      <c r="CC91">
        <f ca="1">IF($AN91="",OFFSET(Demand!$A$13,ROW(M88)-1,4+((QUOTIENT(COLUMN(CC$2)-69,3))*5)+MOD(COLUMN(CC$2),3),1,1),"")</f>
        <v>0</v>
      </c>
      <c r="CD91">
        <f ca="1">IF($AN91="",OFFSET(Demand!$A$13,ROW(N88)-1,4+((QUOTIENT(COLUMN(CD$2)-69,3))*5)+MOD(COLUMN(CD$2),3),1,1),"")</f>
        <v>0</v>
      </c>
      <c r="CE91">
        <f ca="1">IF($AN91="",OFFSET(Demand!$A$13,ROW(O88)-1,4+((QUOTIENT(COLUMN(CE$2)-69,3))*5)+MOD(COLUMN(CE$2),3),1,1),"")</f>
        <v>0</v>
      </c>
      <c r="CF91">
        <f ca="1">IF($AN91="",OFFSET(Demand!$A$13,ROW(P88)-1,4+((QUOTIENT(COLUMN(CF$2)-69,3))*5)+MOD(COLUMN(CF$2),3),1,1),"")</f>
        <v>0</v>
      </c>
      <c r="CG91">
        <f ca="1">IF($AN91="",OFFSET(Demand!$A$13,ROW(Q88)-1,4+((QUOTIENT(COLUMN(CG$2)-69,3))*5)+MOD(COLUMN(CG$2),3),1,1),"")</f>
        <v>0</v>
      </c>
      <c r="CH91">
        <f ca="1">IF($AN91="",OFFSET(Demand!$A$13,ROW(R88)-1,4+((QUOTIENT(COLUMN(CH$2)-69,3))*5)+MOD(COLUMN(CH$2),3),1,1),"")</f>
        <v>0</v>
      </c>
      <c r="CI91">
        <f ca="1">IF($AN91="",OFFSET(Demand!$A$13,ROW(S88)-1,4+((QUOTIENT(COLUMN(CI$2)-69,3))*5)+MOD(COLUMN(CI$2),3),1,1),"")</f>
        <v>0</v>
      </c>
      <c r="CJ91">
        <f ca="1">IF($AN91="",OFFSET(Demand!$A$13,ROW(T88)-1,4+((QUOTIENT(COLUMN(CJ$2)-69,3))*5)+MOD(COLUMN(CJ$2),3),1,1),"")</f>
        <v>0</v>
      </c>
      <c r="CK91">
        <f ca="1">IF($AN91="",OFFSET(Demand!$A$13,ROW(U88)-1,4+((QUOTIENT(COLUMN(CK$2)-69,3))*5)+MOD(COLUMN(CK$2),3),1,1),"")</f>
        <v>0</v>
      </c>
      <c r="CL91">
        <f ca="1">IF($AN91="",OFFSET(Demand!$A$13,ROW(V88)-1,4+((QUOTIENT(COLUMN(CL$2)-69,3))*5)+MOD(COLUMN(CL$2),3),1,1),"")</f>
        <v>0</v>
      </c>
      <c r="CM91">
        <f ca="1">IF($AN91="",OFFSET(Demand!$A$13,ROW(W88)-1,4+((QUOTIENT(COLUMN(CM$2)-69,3))*5)+MOD(COLUMN(CM$2),3),1,1),"")</f>
        <v>0</v>
      </c>
      <c r="CN91">
        <f ca="1">IF($AN91="",OFFSET(Demand!$A$13,ROW(X88)-1,4+((QUOTIENT(COLUMN(CN$2)-69,3))*5)+MOD(COLUMN(CN$2),3),1,1),"")</f>
        <v>0</v>
      </c>
      <c r="CO91">
        <f ca="1">IF($AN91="",OFFSET(Demand!$A$13,ROW(Y88)-1,4+((QUOTIENT(COLUMN(CO$2)-69,3))*5)+MOD(COLUMN(CO$2),3),1,1),"")</f>
        <v>0</v>
      </c>
      <c r="CP91">
        <f ca="1">IF($AN91="",OFFSET(Demand!$A$13,ROW(Z88)-1,4+((QUOTIENT(COLUMN(CP$2)-69,3))*5)+MOD(COLUMN(CP$2),3),1,1),"")</f>
        <v>0</v>
      </c>
      <c r="CQ91">
        <f ca="1">IF($AN91="",OFFSET(Demand!$A$13,ROW(AA88)-1,4+((QUOTIENT(COLUMN(CQ$2)-69,3))*5)+MOD(COLUMN(CQ$2),3),1,1),"")</f>
        <v>0</v>
      </c>
      <c r="CR91">
        <f ca="1">IF($AN91="",OFFSET(Demand!$A$13,ROW(AB88)-1,4+((QUOTIENT(COLUMN(CR$2)-69,3))*5)+MOD(COLUMN(CR$2),3),1,1),"")</f>
        <v>0</v>
      </c>
      <c r="CS91">
        <f ca="1">IF($AN91="",OFFSET(Demand!$A$13,ROW(AC88)-1,4+((QUOTIENT(COLUMN(CS$2)-69,3))*5)+MOD(COLUMN(CS$2),3),1,1),"")</f>
        <v>0</v>
      </c>
      <c r="CT91">
        <f ca="1">IF($AN91="",OFFSET(Demand!$A$13,ROW(AD88)-1,4+((QUOTIENT(COLUMN(CT$2)-69,3))*5)+MOD(COLUMN(CT$2),3),1,1),"")</f>
        <v>0</v>
      </c>
      <c r="CW91" s="5">
        <f ca="1">SUM(OFFSET(Demand!$H$43,ROW(A88)-1,(COLUMN(A88)-1)*5,1,1))*N$2</f>
        <v>0</v>
      </c>
      <c r="CX91" s="5">
        <f ca="1">SUM(OFFSET(Demand!$H$43,ROW(B88)-1,(COLUMN(B88)-1)*5,1,1))*O$2</f>
        <v>0</v>
      </c>
      <c r="CY91" s="5">
        <f ca="1">SUM(OFFSET(Demand!$H$43,ROW(C88)-1,(COLUMN(C88)-1)*5,1,1))*P$2</f>
        <v>0</v>
      </c>
      <c r="CZ91" s="5">
        <f ca="1">SUM(OFFSET(Demand!$H$43,ROW(D88)-1,(COLUMN(D88)-1)*5,1,1))*Q$2</f>
        <v>0</v>
      </c>
      <c r="DA91" s="5">
        <f ca="1">SUM(OFFSET(Demand!$H$43,ROW(E88)-1,(COLUMN(E88)-1)*5,1,1))*R$2</f>
        <v>0</v>
      </c>
      <c r="DB91" s="5">
        <f ca="1">SUM(OFFSET(Demand!$H$43,ROW(F88)-1,(COLUMN(F88)-1)*5,1,1))*S$2</f>
        <v>0</v>
      </c>
      <c r="DC91" s="5">
        <f ca="1">SUM(OFFSET(Demand!$H$43,ROW(G88)-1,(COLUMN(G88)-1)*5,1,1))*T$2</f>
        <v>0</v>
      </c>
      <c r="DD91" s="5">
        <f ca="1">SUM(OFFSET(Demand!$H$43,ROW(H88)-1,(COLUMN(H88)-1)*5,1,1))*U$2</f>
        <v>0</v>
      </c>
      <c r="DE91" s="5">
        <f ca="1">SUM(OFFSET(Demand!$H$43,ROW(I88)-1,(COLUMN(I88)-1)*5,1,1))*V$2</f>
        <v>0</v>
      </c>
      <c r="DF91" s="5">
        <f ca="1">SUM(OFFSET(Demand!$H$43,ROW(J88)-1,(COLUMN(J88)-1)*5,1,1))*W$2</f>
        <v>0</v>
      </c>
      <c r="DG91" s="5">
        <f ca="1">IF(OR(AN91&lt;&gt;"",AND('Demand adjustments for Covid'!$F$9="Yes",'Demand adjustments for Covid'!$F$20="Yes")),"",SUM(CW91:DF91))</f>
        <v>0</v>
      </c>
    </row>
    <row r="92" spans="1:111" x14ac:dyDescent="0.25">
      <c r="A92" s="5">
        <f t="shared" ca="1" si="34"/>
        <v>1</v>
      </c>
      <c r="B92" s="5">
        <f ca="1">COUNTBLANK(OFFSET(Demand!$I101,0,(COLUMN(A89)-1)*5,1,1))</f>
        <v>1</v>
      </c>
      <c r="C92" s="5">
        <f ca="1">COUNTBLANK(OFFSET(Demand!$I101,0,(COLUMN(B89)-1)*5,1,1))</f>
        <v>1</v>
      </c>
      <c r="D92" s="5">
        <f ca="1">COUNTBLANK(OFFSET(Demand!$I101,0,(COLUMN(C89)-1)*5,1,1))</f>
        <v>1</v>
      </c>
      <c r="E92" s="5">
        <f ca="1">COUNTBLANK(OFFSET(Demand!$I101,0,(COLUMN(D89)-1)*5,1,1))</f>
        <v>1</v>
      </c>
      <c r="F92" s="5">
        <f ca="1">COUNTBLANK(OFFSET(Demand!$I101,0,(COLUMN(E89)-1)*5,1,1))</f>
        <v>1</v>
      </c>
      <c r="G92" s="5">
        <f ca="1">COUNTBLANK(OFFSET(Demand!$I101,0,(COLUMN(F89)-1)*5,1,1))</f>
        <v>1</v>
      </c>
      <c r="H92" s="5">
        <f ca="1">COUNTBLANK(OFFSET(Demand!$I101,0,(COLUMN(G89)-1)*5,1,1))</f>
        <v>1</v>
      </c>
      <c r="I92" s="5">
        <f ca="1">COUNTBLANK(OFFSET(Demand!$I101,0,(COLUMN(H89)-1)*5,1,1))</f>
        <v>1</v>
      </c>
      <c r="J92" s="5">
        <f ca="1">COUNTBLANK(OFFSET(Demand!$I101,0,(COLUMN(I89)-1)*5,1,1))</f>
        <v>1</v>
      </c>
      <c r="K92" s="5">
        <f ca="1">COUNTBLANK(OFFSET(Demand!$I101,0,(COLUMN(J89)-1)*5,1,1))</f>
        <v>1</v>
      </c>
      <c r="N92" s="5">
        <f ca="1">SUM(OFFSET(Demand!$E101,0,(COLUMN(A89)-1)*5,1,3))*N$2</f>
        <v>0</v>
      </c>
      <c r="O92" s="5">
        <f ca="1">SUM(OFFSET(Demand!$E101,0,(COLUMN(B89)-1)*5,1,3))*O$2</f>
        <v>0</v>
      </c>
      <c r="P92" s="5">
        <f ca="1">SUM(OFFSET(Demand!$E101,0,(COLUMN(C89)-1)*5,1,3))*P$2</f>
        <v>0</v>
      </c>
      <c r="Q92" s="5">
        <f ca="1">SUM(OFFSET(Demand!$E101,0,(COLUMN(D89)-1)*5,1,3))*Q$2</f>
        <v>0</v>
      </c>
      <c r="R92" s="5">
        <f ca="1">SUM(OFFSET(Demand!$E101,0,(COLUMN(E89)-1)*5,1,3))*R$2</f>
        <v>0</v>
      </c>
      <c r="S92" s="5">
        <f ca="1">SUM(OFFSET(Demand!$E101,0,(COLUMN(F89)-1)*5,1,3))*S$2</f>
        <v>0</v>
      </c>
      <c r="T92" s="5">
        <f ca="1">SUM(OFFSET(Demand!$E101,0,(COLUMN(G89)-1)*5,1,3))*T$2</f>
        <v>0</v>
      </c>
      <c r="U92" s="5">
        <f ca="1">SUM(OFFSET(Demand!$E101,0,(COLUMN(H89)-1)*5,1,3))*U$2</f>
        <v>0</v>
      </c>
      <c r="V92" s="5">
        <f ca="1">SUM(OFFSET(Demand!$E101,0,(COLUMN(I89)-1)*5,1,3))*V$2</f>
        <v>0</v>
      </c>
      <c r="W92" s="5">
        <f ca="1">SUM(OFFSET(Demand!$E101,0,(COLUMN(J89)-1)*5,1,3))*W$2</f>
        <v>0</v>
      </c>
      <c r="X92" s="5">
        <f t="shared" ca="1" si="37"/>
        <v>0</v>
      </c>
      <c r="Y92">
        <f t="shared" ca="1" si="38"/>
        <v>0</v>
      </c>
      <c r="Z92" s="5">
        <f ca="1">SUM(OFFSET(Demand!$H101,0,(COLUMN(A89)-1)*5,1,1))*N$2</f>
        <v>0</v>
      </c>
      <c r="AA92" s="5">
        <f ca="1">SUM(OFFSET(Demand!$H101,0,(COLUMN(B89)-1)*5,1,1))*O$2</f>
        <v>0</v>
      </c>
      <c r="AB92" s="5">
        <f ca="1">SUM(OFFSET(Demand!$H101,0,(COLUMN(C89)-1)*5,1,1))*P$2</f>
        <v>0</v>
      </c>
      <c r="AC92" s="5">
        <f ca="1">SUM(OFFSET(Demand!$H101,0,(COLUMN(D89)-1)*5,1,1))*Q$2</f>
        <v>0</v>
      </c>
      <c r="AD92" s="5">
        <f ca="1">SUM(OFFSET(Demand!$H101,0,(COLUMN(E89)-1)*5,1,1))*R$2</f>
        <v>0</v>
      </c>
      <c r="AE92" s="5">
        <f ca="1">SUM(OFFSET(Demand!$H101,0,(COLUMN(F89)-1)*5,1,1))*S$2</f>
        <v>0</v>
      </c>
      <c r="AF92" s="5">
        <f ca="1">SUM(OFFSET(Demand!$H101,0,(COLUMN(G89)-1)*5,1,1))*T$2</f>
        <v>0</v>
      </c>
      <c r="AG92" s="5">
        <f ca="1">SUM(OFFSET(Demand!$H101,0,(COLUMN(H89)-1)*5,1,1))*U$2</f>
        <v>0</v>
      </c>
      <c r="AH92" s="5">
        <f ca="1">SUM(OFFSET(Demand!$H101,0,(COLUMN(I89)-1)*5,1,1))*V$2</f>
        <v>0</v>
      </c>
      <c r="AI92" s="5">
        <f ca="1">SUM(OFFSET(Demand!$H101,0,(COLUMN(J89)-1)*5,1,1))*W$2</f>
        <v>0</v>
      </c>
      <c r="AJ92" s="5">
        <f t="shared" ca="1" si="39"/>
        <v>0</v>
      </c>
      <c r="AL92" s="5">
        <f t="shared" ca="1" si="40"/>
        <v>0</v>
      </c>
      <c r="AM92" s="5">
        <f t="shared" ca="1" si="41"/>
        <v>0</v>
      </c>
      <c r="AN92" s="5" t="str">
        <f>IF(Demand!BE101="Yes","Yes","")</f>
        <v/>
      </c>
      <c r="AP92" s="36" t="str">
        <f ca="1">Demand!B101</f>
        <v xml:space="preserve"> </v>
      </c>
      <c r="AQ92" t="str">
        <f ca="1">IF(TEXT(Demand!D101,"MMM")&lt;&gt;TEXT(Demand!D100,"MMM"),TEXT(Demand!D101,"MMM"),"")</f>
        <v/>
      </c>
      <c r="AT92" s="5">
        <f t="shared" ca="1" si="42"/>
        <v>0</v>
      </c>
      <c r="BQ92">
        <f ca="1">IF($AN92="",OFFSET(Demand!$A$13,ROW(A89)-1,4+((QUOTIENT(COLUMN(BQ$2)-69,3))*5)+MOD(COLUMN(BQ$2),3),1,1),"")</f>
        <v>0</v>
      </c>
      <c r="BR92">
        <f ca="1">IF($AN92="",OFFSET(Demand!$A$13,ROW(B89)-1,4+((QUOTIENT(COLUMN(BR$2)-69,3))*5)+MOD(COLUMN(BR$2),3),1,1),"")</f>
        <v>0</v>
      </c>
      <c r="BS92">
        <f ca="1">IF($AN92="",OFFSET(Demand!$A$13,ROW(C89)-1,4+((QUOTIENT(COLUMN(BS$2)-69,3))*5)+MOD(COLUMN(BS$2),3),1,1),"")</f>
        <v>0</v>
      </c>
      <c r="BT92">
        <f ca="1">IF($AN92="",OFFSET(Demand!$A$13,ROW(D89)-1,4+((QUOTIENT(COLUMN(BT$2)-69,3))*5)+MOD(COLUMN(BT$2),3),1,1),"")</f>
        <v>0</v>
      </c>
      <c r="BU92">
        <f ca="1">IF($AN92="",OFFSET(Demand!$A$13,ROW(E89)-1,4+((QUOTIENT(COLUMN(BU$2)-69,3))*5)+MOD(COLUMN(BU$2),3),1,1),"")</f>
        <v>0</v>
      </c>
      <c r="BV92">
        <f ca="1">IF($AN92="",OFFSET(Demand!$A$13,ROW(F89)-1,4+((QUOTIENT(COLUMN(BV$2)-69,3))*5)+MOD(COLUMN(BV$2),3),1,1),"")</f>
        <v>0</v>
      </c>
      <c r="BW92">
        <f ca="1">IF($AN92="",OFFSET(Demand!$A$13,ROW(G89)-1,4+((QUOTIENT(COLUMN(BW$2)-69,3))*5)+MOD(COLUMN(BW$2),3),1,1),"")</f>
        <v>0</v>
      </c>
      <c r="BX92">
        <f ca="1">IF($AN92="",OFFSET(Demand!$A$13,ROW(H89)-1,4+((QUOTIENT(COLUMN(BX$2)-69,3))*5)+MOD(COLUMN(BX$2),3),1,1),"")</f>
        <v>0</v>
      </c>
      <c r="BY92">
        <f ca="1">IF($AN92="",OFFSET(Demand!$A$13,ROW(I89)-1,4+((QUOTIENT(COLUMN(BY$2)-69,3))*5)+MOD(COLUMN(BY$2),3),1,1),"")</f>
        <v>0</v>
      </c>
      <c r="BZ92">
        <f ca="1">IF($AN92="",OFFSET(Demand!$A$13,ROW(J89)-1,4+((QUOTIENT(COLUMN(BZ$2)-69,3))*5)+MOD(COLUMN(BZ$2),3),1,1),"")</f>
        <v>0</v>
      </c>
      <c r="CA92">
        <f ca="1">IF($AN92="",OFFSET(Demand!$A$13,ROW(K89)-1,4+((QUOTIENT(COLUMN(CA$2)-69,3))*5)+MOD(COLUMN(CA$2),3),1,1),"")</f>
        <v>0</v>
      </c>
      <c r="CB92">
        <f ca="1">IF($AN92="",OFFSET(Demand!$A$13,ROW(L89)-1,4+((QUOTIENT(COLUMN(CB$2)-69,3))*5)+MOD(COLUMN(CB$2),3),1,1),"")</f>
        <v>0</v>
      </c>
      <c r="CC92">
        <f ca="1">IF($AN92="",OFFSET(Demand!$A$13,ROW(M89)-1,4+((QUOTIENT(COLUMN(CC$2)-69,3))*5)+MOD(COLUMN(CC$2),3),1,1),"")</f>
        <v>0</v>
      </c>
      <c r="CD92">
        <f ca="1">IF($AN92="",OFFSET(Demand!$A$13,ROW(N89)-1,4+((QUOTIENT(COLUMN(CD$2)-69,3))*5)+MOD(COLUMN(CD$2),3),1,1),"")</f>
        <v>0</v>
      </c>
      <c r="CE92">
        <f ca="1">IF($AN92="",OFFSET(Demand!$A$13,ROW(O89)-1,4+((QUOTIENT(COLUMN(CE$2)-69,3))*5)+MOD(COLUMN(CE$2),3),1,1),"")</f>
        <v>0</v>
      </c>
      <c r="CF92">
        <f ca="1">IF($AN92="",OFFSET(Demand!$A$13,ROW(P89)-1,4+((QUOTIENT(COLUMN(CF$2)-69,3))*5)+MOD(COLUMN(CF$2),3),1,1),"")</f>
        <v>0</v>
      </c>
      <c r="CG92">
        <f ca="1">IF($AN92="",OFFSET(Demand!$A$13,ROW(Q89)-1,4+((QUOTIENT(COLUMN(CG$2)-69,3))*5)+MOD(COLUMN(CG$2),3),1,1),"")</f>
        <v>0</v>
      </c>
      <c r="CH92">
        <f ca="1">IF($AN92="",OFFSET(Demand!$A$13,ROW(R89)-1,4+((QUOTIENT(COLUMN(CH$2)-69,3))*5)+MOD(COLUMN(CH$2),3),1,1),"")</f>
        <v>0</v>
      </c>
      <c r="CI92">
        <f ca="1">IF($AN92="",OFFSET(Demand!$A$13,ROW(S89)-1,4+((QUOTIENT(COLUMN(CI$2)-69,3))*5)+MOD(COLUMN(CI$2),3),1,1),"")</f>
        <v>0</v>
      </c>
      <c r="CJ92">
        <f ca="1">IF($AN92="",OFFSET(Demand!$A$13,ROW(T89)-1,4+((QUOTIENT(COLUMN(CJ$2)-69,3))*5)+MOD(COLUMN(CJ$2),3),1,1),"")</f>
        <v>0</v>
      </c>
      <c r="CK92">
        <f ca="1">IF($AN92="",OFFSET(Demand!$A$13,ROW(U89)-1,4+((QUOTIENT(COLUMN(CK$2)-69,3))*5)+MOD(COLUMN(CK$2),3),1,1),"")</f>
        <v>0</v>
      </c>
      <c r="CL92">
        <f ca="1">IF($AN92="",OFFSET(Demand!$A$13,ROW(V89)-1,4+((QUOTIENT(COLUMN(CL$2)-69,3))*5)+MOD(COLUMN(CL$2),3),1,1),"")</f>
        <v>0</v>
      </c>
      <c r="CM92">
        <f ca="1">IF($AN92="",OFFSET(Demand!$A$13,ROW(W89)-1,4+((QUOTIENT(COLUMN(CM$2)-69,3))*5)+MOD(COLUMN(CM$2),3),1,1),"")</f>
        <v>0</v>
      </c>
      <c r="CN92">
        <f ca="1">IF($AN92="",OFFSET(Demand!$A$13,ROW(X89)-1,4+((QUOTIENT(COLUMN(CN$2)-69,3))*5)+MOD(COLUMN(CN$2),3),1,1),"")</f>
        <v>0</v>
      </c>
      <c r="CO92">
        <f ca="1">IF($AN92="",OFFSET(Demand!$A$13,ROW(Y89)-1,4+((QUOTIENT(COLUMN(CO$2)-69,3))*5)+MOD(COLUMN(CO$2),3),1,1),"")</f>
        <v>0</v>
      </c>
      <c r="CP92">
        <f ca="1">IF($AN92="",OFFSET(Demand!$A$13,ROW(Z89)-1,4+((QUOTIENT(COLUMN(CP$2)-69,3))*5)+MOD(COLUMN(CP$2),3),1,1),"")</f>
        <v>0</v>
      </c>
      <c r="CQ92">
        <f ca="1">IF($AN92="",OFFSET(Demand!$A$13,ROW(AA89)-1,4+((QUOTIENT(COLUMN(CQ$2)-69,3))*5)+MOD(COLUMN(CQ$2),3),1,1),"")</f>
        <v>0</v>
      </c>
      <c r="CR92">
        <f ca="1">IF($AN92="",OFFSET(Demand!$A$13,ROW(AB89)-1,4+((QUOTIENT(COLUMN(CR$2)-69,3))*5)+MOD(COLUMN(CR$2),3),1,1),"")</f>
        <v>0</v>
      </c>
      <c r="CS92">
        <f ca="1">IF($AN92="",OFFSET(Demand!$A$13,ROW(AC89)-1,4+((QUOTIENT(COLUMN(CS$2)-69,3))*5)+MOD(COLUMN(CS$2),3),1,1),"")</f>
        <v>0</v>
      </c>
      <c r="CT92">
        <f ca="1">IF($AN92="",OFFSET(Demand!$A$13,ROW(AD89)-1,4+((QUOTIENT(COLUMN(CT$2)-69,3))*5)+MOD(COLUMN(CT$2),3),1,1),"")</f>
        <v>0</v>
      </c>
      <c r="CW92" s="5">
        <f ca="1">SUM(OFFSET(Demand!$H$43,ROW(A89)-1,(COLUMN(A89)-1)*5,1,1))*N$2</f>
        <v>0</v>
      </c>
      <c r="CX92" s="5">
        <f ca="1">SUM(OFFSET(Demand!$H$43,ROW(B89)-1,(COLUMN(B89)-1)*5,1,1))*O$2</f>
        <v>0</v>
      </c>
      <c r="CY92" s="5">
        <f ca="1">SUM(OFFSET(Demand!$H$43,ROW(C89)-1,(COLUMN(C89)-1)*5,1,1))*P$2</f>
        <v>0</v>
      </c>
      <c r="CZ92" s="5">
        <f ca="1">SUM(OFFSET(Demand!$H$43,ROW(D89)-1,(COLUMN(D89)-1)*5,1,1))*Q$2</f>
        <v>0</v>
      </c>
      <c r="DA92" s="5">
        <f ca="1">SUM(OFFSET(Demand!$H$43,ROW(E89)-1,(COLUMN(E89)-1)*5,1,1))*R$2</f>
        <v>0</v>
      </c>
      <c r="DB92" s="5">
        <f ca="1">SUM(OFFSET(Demand!$H$43,ROW(F89)-1,(COLUMN(F89)-1)*5,1,1))*S$2</f>
        <v>0</v>
      </c>
      <c r="DC92" s="5">
        <f ca="1">SUM(OFFSET(Demand!$H$43,ROW(G89)-1,(COLUMN(G89)-1)*5,1,1))*T$2</f>
        <v>0</v>
      </c>
      <c r="DD92" s="5">
        <f ca="1">SUM(OFFSET(Demand!$H$43,ROW(H89)-1,(COLUMN(H89)-1)*5,1,1))*U$2</f>
        <v>0</v>
      </c>
      <c r="DE92" s="5">
        <f ca="1">SUM(OFFSET(Demand!$H$43,ROW(I89)-1,(COLUMN(I89)-1)*5,1,1))*V$2</f>
        <v>0</v>
      </c>
      <c r="DF92" s="5">
        <f ca="1">SUM(OFFSET(Demand!$H$43,ROW(J89)-1,(COLUMN(J89)-1)*5,1,1))*W$2</f>
        <v>0</v>
      </c>
      <c r="DG92" s="5">
        <f ca="1">IF(OR(AN92&lt;&gt;"",AND('Demand adjustments for Covid'!$F$9="Yes",'Demand adjustments for Covid'!$F$20="Yes")),"",SUM(CW92:DF92))</f>
        <v>0</v>
      </c>
    </row>
    <row r="93" spans="1:111" x14ac:dyDescent="0.25">
      <c r="A93" s="5">
        <f t="shared" ca="1" si="34"/>
        <v>1</v>
      </c>
      <c r="B93" s="5">
        <f ca="1">COUNTBLANK(OFFSET(Demand!$I102,0,(COLUMN(A90)-1)*5,1,1))</f>
        <v>1</v>
      </c>
      <c r="C93" s="5">
        <f ca="1">COUNTBLANK(OFFSET(Demand!$I102,0,(COLUMN(B90)-1)*5,1,1))</f>
        <v>1</v>
      </c>
      <c r="D93" s="5">
        <f ca="1">COUNTBLANK(OFFSET(Demand!$I102,0,(COLUMN(C90)-1)*5,1,1))</f>
        <v>1</v>
      </c>
      <c r="E93" s="5">
        <f ca="1">COUNTBLANK(OFFSET(Demand!$I102,0,(COLUMN(D90)-1)*5,1,1))</f>
        <v>1</v>
      </c>
      <c r="F93" s="5">
        <f ca="1">COUNTBLANK(OFFSET(Demand!$I102,0,(COLUMN(E90)-1)*5,1,1))</f>
        <v>1</v>
      </c>
      <c r="G93" s="5">
        <f ca="1">COUNTBLANK(OFFSET(Demand!$I102,0,(COLUMN(F90)-1)*5,1,1))</f>
        <v>1</v>
      </c>
      <c r="H93" s="5">
        <f ca="1">COUNTBLANK(OFFSET(Demand!$I102,0,(COLUMN(G90)-1)*5,1,1))</f>
        <v>1</v>
      </c>
      <c r="I93" s="5">
        <f ca="1">COUNTBLANK(OFFSET(Demand!$I102,0,(COLUMN(H90)-1)*5,1,1))</f>
        <v>1</v>
      </c>
      <c r="J93" s="5">
        <f ca="1">COUNTBLANK(OFFSET(Demand!$I102,0,(COLUMN(I90)-1)*5,1,1))</f>
        <v>1</v>
      </c>
      <c r="K93" s="5">
        <f ca="1">COUNTBLANK(OFFSET(Demand!$I102,0,(COLUMN(J90)-1)*5,1,1))</f>
        <v>1</v>
      </c>
      <c r="N93" s="5">
        <f ca="1">SUM(OFFSET(Demand!$E102,0,(COLUMN(A90)-1)*5,1,3))*N$2</f>
        <v>0</v>
      </c>
      <c r="O93" s="5">
        <f ca="1">SUM(OFFSET(Demand!$E102,0,(COLUMN(B90)-1)*5,1,3))*O$2</f>
        <v>0</v>
      </c>
      <c r="P93" s="5">
        <f ca="1">SUM(OFFSET(Demand!$E102,0,(COLUMN(C90)-1)*5,1,3))*P$2</f>
        <v>0</v>
      </c>
      <c r="Q93" s="5">
        <f ca="1">SUM(OFFSET(Demand!$E102,0,(COLUMN(D90)-1)*5,1,3))*Q$2</f>
        <v>0</v>
      </c>
      <c r="R93" s="5">
        <f ca="1">SUM(OFFSET(Demand!$E102,0,(COLUMN(E90)-1)*5,1,3))*R$2</f>
        <v>0</v>
      </c>
      <c r="S93" s="5">
        <f ca="1">SUM(OFFSET(Demand!$E102,0,(COLUMN(F90)-1)*5,1,3))*S$2</f>
        <v>0</v>
      </c>
      <c r="T93" s="5">
        <f ca="1">SUM(OFFSET(Demand!$E102,0,(COLUMN(G90)-1)*5,1,3))*T$2</f>
        <v>0</v>
      </c>
      <c r="U93" s="5">
        <f ca="1">SUM(OFFSET(Demand!$E102,0,(COLUMN(H90)-1)*5,1,3))*U$2</f>
        <v>0</v>
      </c>
      <c r="V93" s="5">
        <f ca="1">SUM(OFFSET(Demand!$E102,0,(COLUMN(I90)-1)*5,1,3))*V$2</f>
        <v>0</v>
      </c>
      <c r="W93" s="5">
        <f ca="1">SUM(OFFSET(Demand!$E102,0,(COLUMN(J90)-1)*5,1,3))*W$2</f>
        <v>0</v>
      </c>
      <c r="X93" s="5">
        <f t="shared" ca="1" si="37"/>
        <v>0</v>
      </c>
      <c r="Y93">
        <f t="shared" ca="1" si="38"/>
        <v>0</v>
      </c>
      <c r="Z93" s="5">
        <f ca="1">SUM(OFFSET(Demand!$H102,0,(COLUMN(A90)-1)*5,1,1))*N$2</f>
        <v>0</v>
      </c>
      <c r="AA93" s="5">
        <f ca="1">SUM(OFFSET(Demand!$H102,0,(COLUMN(B90)-1)*5,1,1))*O$2</f>
        <v>0</v>
      </c>
      <c r="AB93" s="5">
        <f ca="1">SUM(OFFSET(Demand!$H102,0,(COLUMN(C90)-1)*5,1,1))*P$2</f>
        <v>0</v>
      </c>
      <c r="AC93" s="5">
        <f ca="1">SUM(OFFSET(Demand!$H102,0,(COLUMN(D90)-1)*5,1,1))*Q$2</f>
        <v>0</v>
      </c>
      <c r="AD93" s="5">
        <f ca="1">SUM(OFFSET(Demand!$H102,0,(COLUMN(E90)-1)*5,1,1))*R$2</f>
        <v>0</v>
      </c>
      <c r="AE93" s="5">
        <f ca="1">SUM(OFFSET(Demand!$H102,0,(COLUMN(F90)-1)*5,1,1))*S$2</f>
        <v>0</v>
      </c>
      <c r="AF93" s="5">
        <f ca="1">SUM(OFFSET(Demand!$H102,0,(COLUMN(G90)-1)*5,1,1))*T$2</f>
        <v>0</v>
      </c>
      <c r="AG93" s="5">
        <f ca="1">SUM(OFFSET(Demand!$H102,0,(COLUMN(H90)-1)*5,1,1))*U$2</f>
        <v>0</v>
      </c>
      <c r="AH93" s="5">
        <f ca="1">SUM(OFFSET(Demand!$H102,0,(COLUMN(I90)-1)*5,1,1))*V$2</f>
        <v>0</v>
      </c>
      <c r="AI93" s="5">
        <f ca="1">SUM(OFFSET(Demand!$H102,0,(COLUMN(J90)-1)*5,1,1))*W$2</f>
        <v>0</v>
      </c>
      <c r="AJ93" s="5">
        <f t="shared" ca="1" si="39"/>
        <v>0</v>
      </c>
      <c r="AL93" s="5">
        <f t="shared" ca="1" si="40"/>
        <v>0</v>
      </c>
      <c r="AM93" s="5">
        <f t="shared" ca="1" si="41"/>
        <v>0</v>
      </c>
      <c r="AN93" s="5" t="str">
        <f>IF(Demand!BE102="Yes","Yes","")</f>
        <v/>
      </c>
      <c r="AP93" s="36" t="str">
        <f ca="1">Demand!B102</f>
        <v xml:space="preserve"> </v>
      </c>
      <c r="AQ93" t="str">
        <f ca="1">IF(TEXT(Demand!D102,"MMM")&lt;&gt;TEXT(Demand!D101,"MMM"),TEXT(Demand!D102,"MMM"),"")</f>
        <v/>
      </c>
      <c r="AT93" s="5">
        <f t="shared" ca="1" si="42"/>
        <v>0</v>
      </c>
      <c r="BQ93">
        <f ca="1">IF($AN93="",OFFSET(Demand!$A$13,ROW(A90)-1,4+((QUOTIENT(COLUMN(BQ$2)-69,3))*5)+MOD(COLUMN(BQ$2),3),1,1),"")</f>
        <v>0</v>
      </c>
      <c r="BR93">
        <f ca="1">IF($AN93="",OFFSET(Demand!$A$13,ROW(B90)-1,4+((QUOTIENT(COLUMN(BR$2)-69,3))*5)+MOD(COLUMN(BR$2),3),1,1),"")</f>
        <v>0</v>
      </c>
      <c r="BS93">
        <f ca="1">IF($AN93="",OFFSET(Demand!$A$13,ROW(C90)-1,4+((QUOTIENT(COLUMN(BS$2)-69,3))*5)+MOD(COLUMN(BS$2),3),1,1),"")</f>
        <v>0</v>
      </c>
      <c r="BT93">
        <f ca="1">IF($AN93="",OFFSET(Demand!$A$13,ROW(D90)-1,4+((QUOTIENT(COLUMN(BT$2)-69,3))*5)+MOD(COLUMN(BT$2),3),1,1),"")</f>
        <v>0</v>
      </c>
      <c r="BU93">
        <f ca="1">IF($AN93="",OFFSET(Demand!$A$13,ROW(E90)-1,4+((QUOTIENT(COLUMN(BU$2)-69,3))*5)+MOD(COLUMN(BU$2),3),1,1),"")</f>
        <v>0</v>
      </c>
      <c r="BV93">
        <f ca="1">IF($AN93="",OFFSET(Demand!$A$13,ROW(F90)-1,4+((QUOTIENT(COLUMN(BV$2)-69,3))*5)+MOD(COLUMN(BV$2),3),1,1),"")</f>
        <v>0</v>
      </c>
      <c r="BW93">
        <f ca="1">IF($AN93="",OFFSET(Demand!$A$13,ROW(G90)-1,4+((QUOTIENT(COLUMN(BW$2)-69,3))*5)+MOD(COLUMN(BW$2),3),1,1),"")</f>
        <v>0</v>
      </c>
      <c r="BX93">
        <f ca="1">IF($AN93="",OFFSET(Demand!$A$13,ROW(H90)-1,4+((QUOTIENT(COLUMN(BX$2)-69,3))*5)+MOD(COLUMN(BX$2),3),1,1),"")</f>
        <v>0</v>
      </c>
      <c r="BY93">
        <f ca="1">IF($AN93="",OFFSET(Demand!$A$13,ROW(I90)-1,4+((QUOTIENT(COLUMN(BY$2)-69,3))*5)+MOD(COLUMN(BY$2),3),1,1),"")</f>
        <v>0</v>
      </c>
      <c r="BZ93">
        <f ca="1">IF($AN93="",OFFSET(Demand!$A$13,ROW(J90)-1,4+((QUOTIENT(COLUMN(BZ$2)-69,3))*5)+MOD(COLUMN(BZ$2),3),1,1),"")</f>
        <v>0</v>
      </c>
      <c r="CA93">
        <f ca="1">IF($AN93="",OFFSET(Demand!$A$13,ROW(K90)-1,4+((QUOTIENT(COLUMN(CA$2)-69,3))*5)+MOD(COLUMN(CA$2),3),1,1),"")</f>
        <v>0</v>
      </c>
      <c r="CB93">
        <f ca="1">IF($AN93="",OFFSET(Demand!$A$13,ROW(L90)-1,4+((QUOTIENT(COLUMN(CB$2)-69,3))*5)+MOD(COLUMN(CB$2),3),1,1),"")</f>
        <v>0</v>
      </c>
      <c r="CC93">
        <f ca="1">IF($AN93="",OFFSET(Demand!$A$13,ROW(M90)-1,4+((QUOTIENT(COLUMN(CC$2)-69,3))*5)+MOD(COLUMN(CC$2),3),1,1),"")</f>
        <v>0</v>
      </c>
      <c r="CD93">
        <f ca="1">IF($AN93="",OFFSET(Demand!$A$13,ROW(N90)-1,4+((QUOTIENT(COLUMN(CD$2)-69,3))*5)+MOD(COLUMN(CD$2),3),1,1),"")</f>
        <v>0</v>
      </c>
      <c r="CE93">
        <f ca="1">IF($AN93="",OFFSET(Demand!$A$13,ROW(O90)-1,4+((QUOTIENT(COLUMN(CE$2)-69,3))*5)+MOD(COLUMN(CE$2),3),1,1),"")</f>
        <v>0</v>
      </c>
      <c r="CF93">
        <f ca="1">IF($AN93="",OFFSET(Demand!$A$13,ROW(P90)-1,4+((QUOTIENT(COLUMN(CF$2)-69,3))*5)+MOD(COLUMN(CF$2),3),1,1),"")</f>
        <v>0</v>
      </c>
      <c r="CG93">
        <f ca="1">IF($AN93="",OFFSET(Demand!$A$13,ROW(Q90)-1,4+((QUOTIENT(COLUMN(CG$2)-69,3))*5)+MOD(COLUMN(CG$2),3),1,1),"")</f>
        <v>0</v>
      </c>
      <c r="CH93">
        <f ca="1">IF($AN93="",OFFSET(Demand!$A$13,ROW(R90)-1,4+((QUOTIENT(COLUMN(CH$2)-69,3))*5)+MOD(COLUMN(CH$2),3),1,1),"")</f>
        <v>0</v>
      </c>
      <c r="CI93">
        <f ca="1">IF($AN93="",OFFSET(Demand!$A$13,ROW(S90)-1,4+((QUOTIENT(COLUMN(CI$2)-69,3))*5)+MOD(COLUMN(CI$2),3),1,1),"")</f>
        <v>0</v>
      </c>
      <c r="CJ93">
        <f ca="1">IF($AN93="",OFFSET(Demand!$A$13,ROW(T90)-1,4+((QUOTIENT(COLUMN(CJ$2)-69,3))*5)+MOD(COLUMN(CJ$2),3),1,1),"")</f>
        <v>0</v>
      </c>
      <c r="CK93">
        <f ca="1">IF($AN93="",OFFSET(Demand!$A$13,ROW(U90)-1,4+((QUOTIENT(COLUMN(CK$2)-69,3))*5)+MOD(COLUMN(CK$2),3),1,1),"")</f>
        <v>0</v>
      </c>
      <c r="CL93">
        <f ca="1">IF($AN93="",OFFSET(Demand!$A$13,ROW(V90)-1,4+((QUOTIENT(COLUMN(CL$2)-69,3))*5)+MOD(COLUMN(CL$2),3),1,1),"")</f>
        <v>0</v>
      </c>
      <c r="CM93">
        <f ca="1">IF($AN93="",OFFSET(Demand!$A$13,ROW(W90)-1,4+((QUOTIENT(COLUMN(CM$2)-69,3))*5)+MOD(COLUMN(CM$2),3),1,1),"")</f>
        <v>0</v>
      </c>
      <c r="CN93">
        <f ca="1">IF($AN93="",OFFSET(Demand!$A$13,ROW(X90)-1,4+((QUOTIENT(COLUMN(CN$2)-69,3))*5)+MOD(COLUMN(CN$2),3),1,1),"")</f>
        <v>0</v>
      </c>
      <c r="CO93">
        <f ca="1">IF($AN93="",OFFSET(Demand!$A$13,ROW(Y90)-1,4+((QUOTIENT(COLUMN(CO$2)-69,3))*5)+MOD(COLUMN(CO$2),3),1,1),"")</f>
        <v>0</v>
      </c>
      <c r="CP93">
        <f ca="1">IF($AN93="",OFFSET(Demand!$A$13,ROW(Z90)-1,4+((QUOTIENT(COLUMN(CP$2)-69,3))*5)+MOD(COLUMN(CP$2),3),1,1),"")</f>
        <v>0</v>
      </c>
      <c r="CQ93">
        <f ca="1">IF($AN93="",OFFSET(Demand!$A$13,ROW(AA90)-1,4+((QUOTIENT(COLUMN(CQ$2)-69,3))*5)+MOD(COLUMN(CQ$2),3),1,1),"")</f>
        <v>0</v>
      </c>
      <c r="CR93">
        <f ca="1">IF($AN93="",OFFSET(Demand!$A$13,ROW(AB90)-1,4+((QUOTIENT(COLUMN(CR$2)-69,3))*5)+MOD(COLUMN(CR$2),3),1,1),"")</f>
        <v>0</v>
      </c>
      <c r="CS93">
        <f ca="1">IF($AN93="",OFFSET(Demand!$A$13,ROW(AC90)-1,4+((QUOTIENT(COLUMN(CS$2)-69,3))*5)+MOD(COLUMN(CS$2),3),1,1),"")</f>
        <v>0</v>
      </c>
      <c r="CT93">
        <f ca="1">IF($AN93="",OFFSET(Demand!$A$13,ROW(AD90)-1,4+((QUOTIENT(COLUMN(CT$2)-69,3))*5)+MOD(COLUMN(CT$2),3),1,1),"")</f>
        <v>0</v>
      </c>
      <c r="CW93" s="5">
        <f ca="1">SUM(OFFSET(Demand!$H$43,ROW(A90)-1,(COLUMN(A90)-1)*5,1,1))*N$2</f>
        <v>0</v>
      </c>
      <c r="CX93" s="5">
        <f ca="1">SUM(OFFSET(Demand!$H$43,ROW(B90)-1,(COLUMN(B90)-1)*5,1,1))*O$2</f>
        <v>0</v>
      </c>
      <c r="CY93" s="5">
        <f ca="1">SUM(OFFSET(Demand!$H$43,ROW(C90)-1,(COLUMN(C90)-1)*5,1,1))*P$2</f>
        <v>0</v>
      </c>
      <c r="CZ93" s="5">
        <f ca="1">SUM(OFFSET(Demand!$H$43,ROW(D90)-1,(COLUMN(D90)-1)*5,1,1))*Q$2</f>
        <v>0</v>
      </c>
      <c r="DA93" s="5">
        <f ca="1">SUM(OFFSET(Demand!$H$43,ROW(E90)-1,(COLUMN(E90)-1)*5,1,1))*R$2</f>
        <v>0</v>
      </c>
      <c r="DB93" s="5">
        <f ca="1">SUM(OFFSET(Demand!$H$43,ROW(F90)-1,(COLUMN(F90)-1)*5,1,1))*S$2</f>
        <v>0</v>
      </c>
      <c r="DC93" s="5">
        <f ca="1">SUM(OFFSET(Demand!$H$43,ROW(G90)-1,(COLUMN(G90)-1)*5,1,1))*T$2</f>
        <v>0</v>
      </c>
      <c r="DD93" s="5">
        <f ca="1">SUM(OFFSET(Demand!$H$43,ROW(H90)-1,(COLUMN(H90)-1)*5,1,1))*U$2</f>
        <v>0</v>
      </c>
      <c r="DE93" s="5">
        <f ca="1">SUM(OFFSET(Demand!$H$43,ROW(I90)-1,(COLUMN(I90)-1)*5,1,1))*V$2</f>
        <v>0</v>
      </c>
      <c r="DF93" s="5">
        <f ca="1">SUM(OFFSET(Demand!$H$43,ROW(J90)-1,(COLUMN(J90)-1)*5,1,1))*W$2</f>
        <v>0</v>
      </c>
      <c r="DG93" s="5">
        <f ca="1">IF(OR(AN93&lt;&gt;"",AND('Demand adjustments for Covid'!$F$9="Yes",'Demand adjustments for Covid'!$F$20="Yes")),"",SUM(CW93:DF93))</f>
        <v>0</v>
      </c>
    </row>
    <row r="94" spans="1:111" x14ac:dyDescent="0.25">
      <c r="A94" s="5">
        <f t="shared" ca="1" si="34"/>
        <v>1</v>
      </c>
      <c r="B94" s="5">
        <f ca="1">COUNTBLANK(OFFSET(Demand!$I103,0,(COLUMN(A91)-1)*5,1,1))</f>
        <v>1</v>
      </c>
      <c r="C94" s="5">
        <f ca="1">COUNTBLANK(OFFSET(Demand!$I103,0,(COLUMN(B91)-1)*5,1,1))</f>
        <v>1</v>
      </c>
      <c r="D94" s="5">
        <f ca="1">COUNTBLANK(OFFSET(Demand!$I103,0,(COLUMN(C91)-1)*5,1,1))</f>
        <v>1</v>
      </c>
      <c r="E94" s="5">
        <f ca="1">COUNTBLANK(OFFSET(Demand!$I103,0,(COLUMN(D91)-1)*5,1,1))</f>
        <v>1</v>
      </c>
      <c r="F94" s="5">
        <f ca="1">COUNTBLANK(OFFSET(Demand!$I103,0,(COLUMN(E91)-1)*5,1,1))</f>
        <v>1</v>
      </c>
      <c r="G94" s="5">
        <f ca="1">COUNTBLANK(OFFSET(Demand!$I103,0,(COLUMN(F91)-1)*5,1,1))</f>
        <v>1</v>
      </c>
      <c r="H94" s="5">
        <f ca="1">COUNTBLANK(OFFSET(Demand!$I103,0,(COLUMN(G91)-1)*5,1,1))</f>
        <v>1</v>
      </c>
      <c r="I94" s="5">
        <f ca="1">COUNTBLANK(OFFSET(Demand!$I103,0,(COLUMN(H91)-1)*5,1,1))</f>
        <v>1</v>
      </c>
      <c r="J94" s="5">
        <f ca="1">COUNTBLANK(OFFSET(Demand!$I103,0,(COLUMN(I91)-1)*5,1,1))</f>
        <v>1</v>
      </c>
      <c r="K94" s="5">
        <f ca="1">COUNTBLANK(OFFSET(Demand!$I103,0,(COLUMN(J91)-1)*5,1,1))</f>
        <v>1</v>
      </c>
      <c r="N94" s="5">
        <f ca="1">SUM(OFFSET(Demand!$E103,0,(COLUMN(A91)-1)*5,1,3))*N$2</f>
        <v>0</v>
      </c>
      <c r="O94" s="5">
        <f ca="1">SUM(OFFSET(Demand!$E103,0,(COLUMN(B91)-1)*5,1,3))*O$2</f>
        <v>0</v>
      </c>
      <c r="P94" s="5">
        <f ca="1">SUM(OFFSET(Demand!$E103,0,(COLUMN(C91)-1)*5,1,3))*P$2</f>
        <v>0</v>
      </c>
      <c r="Q94" s="5">
        <f ca="1">SUM(OFFSET(Demand!$E103,0,(COLUMN(D91)-1)*5,1,3))*Q$2</f>
        <v>0</v>
      </c>
      <c r="R94" s="5">
        <f ca="1">SUM(OFFSET(Demand!$E103,0,(COLUMN(E91)-1)*5,1,3))*R$2</f>
        <v>0</v>
      </c>
      <c r="S94" s="5">
        <f ca="1">SUM(OFFSET(Demand!$E103,0,(COLUMN(F91)-1)*5,1,3))*S$2</f>
        <v>0</v>
      </c>
      <c r="T94" s="5">
        <f ca="1">SUM(OFFSET(Demand!$E103,0,(COLUMN(G91)-1)*5,1,3))*T$2</f>
        <v>0</v>
      </c>
      <c r="U94" s="5">
        <f ca="1">SUM(OFFSET(Demand!$E103,0,(COLUMN(H91)-1)*5,1,3))*U$2</f>
        <v>0</v>
      </c>
      <c r="V94" s="5">
        <f ca="1">SUM(OFFSET(Demand!$E103,0,(COLUMN(I91)-1)*5,1,3))*V$2</f>
        <v>0</v>
      </c>
      <c r="W94" s="5">
        <f ca="1">SUM(OFFSET(Demand!$E103,0,(COLUMN(J91)-1)*5,1,3))*W$2</f>
        <v>0</v>
      </c>
      <c r="X94" s="5">
        <f t="shared" ca="1" si="37"/>
        <v>0</v>
      </c>
      <c r="Y94">
        <f t="shared" ca="1" si="38"/>
        <v>0</v>
      </c>
      <c r="Z94" s="5">
        <f ca="1">SUM(OFFSET(Demand!$H103,0,(COLUMN(A91)-1)*5,1,1))*N$2</f>
        <v>0</v>
      </c>
      <c r="AA94" s="5">
        <f ca="1">SUM(OFFSET(Demand!$H103,0,(COLUMN(B91)-1)*5,1,1))*O$2</f>
        <v>0</v>
      </c>
      <c r="AB94" s="5">
        <f ca="1">SUM(OFFSET(Demand!$H103,0,(COLUMN(C91)-1)*5,1,1))*P$2</f>
        <v>0</v>
      </c>
      <c r="AC94" s="5">
        <f ca="1">SUM(OFFSET(Demand!$H103,0,(COLUMN(D91)-1)*5,1,1))*Q$2</f>
        <v>0</v>
      </c>
      <c r="AD94" s="5">
        <f ca="1">SUM(OFFSET(Demand!$H103,0,(COLUMN(E91)-1)*5,1,1))*R$2</f>
        <v>0</v>
      </c>
      <c r="AE94" s="5">
        <f ca="1">SUM(OFFSET(Demand!$H103,0,(COLUMN(F91)-1)*5,1,1))*S$2</f>
        <v>0</v>
      </c>
      <c r="AF94" s="5">
        <f ca="1">SUM(OFFSET(Demand!$H103,0,(COLUMN(G91)-1)*5,1,1))*T$2</f>
        <v>0</v>
      </c>
      <c r="AG94" s="5">
        <f ca="1">SUM(OFFSET(Demand!$H103,0,(COLUMN(H91)-1)*5,1,1))*U$2</f>
        <v>0</v>
      </c>
      <c r="AH94" s="5">
        <f ca="1">SUM(OFFSET(Demand!$H103,0,(COLUMN(I91)-1)*5,1,1))*V$2</f>
        <v>0</v>
      </c>
      <c r="AI94" s="5">
        <f ca="1">SUM(OFFSET(Demand!$H103,0,(COLUMN(J91)-1)*5,1,1))*W$2</f>
        <v>0</v>
      </c>
      <c r="AJ94" s="5">
        <f t="shared" ca="1" si="39"/>
        <v>0</v>
      </c>
      <c r="AL94" s="5">
        <f t="shared" ca="1" si="40"/>
        <v>0</v>
      </c>
      <c r="AM94" s="5">
        <f t="shared" ca="1" si="41"/>
        <v>0</v>
      </c>
      <c r="AN94" s="5" t="str">
        <f>IF(Demand!BE103="Yes","Yes","")</f>
        <v/>
      </c>
      <c r="AP94" s="36" t="str">
        <f ca="1">Demand!B103</f>
        <v xml:space="preserve"> </v>
      </c>
      <c r="AQ94" t="str">
        <f ca="1">IF(TEXT(Demand!D103,"MMM")&lt;&gt;TEXT(Demand!D102,"MMM"),TEXT(Demand!D103,"MMM"),"")</f>
        <v/>
      </c>
      <c r="AT94" s="5">
        <f t="shared" ca="1" si="42"/>
        <v>0</v>
      </c>
      <c r="BQ94">
        <f ca="1">IF($AN94="",OFFSET(Demand!$A$13,ROW(A91)-1,4+((QUOTIENT(COLUMN(BQ$2)-69,3))*5)+MOD(COLUMN(BQ$2),3),1,1),"")</f>
        <v>0</v>
      </c>
      <c r="BR94">
        <f ca="1">IF($AN94="",OFFSET(Demand!$A$13,ROW(B91)-1,4+((QUOTIENT(COLUMN(BR$2)-69,3))*5)+MOD(COLUMN(BR$2),3),1,1),"")</f>
        <v>0</v>
      </c>
      <c r="BS94">
        <f ca="1">IF($AN94="",OFFSET(Demand!$A$13,ROW(C91)-1,4+((QUOTIENT(COLUMN(BS$2)-69,3))*5)+MOD(COLUMN(BS$2),3),1,1),"")</f>
        <v>0</v>
      </c>
      <c r="BT94">
        <f ca="1">IF($AN94="",OFFSET(Demand!$A$13,ROW(D91)-1,4+((QUOTIENT(COLUMN(BT$2)-69,3))*5)+MOD(COLUMN(BT$2),3),1,1),"")</f>
        <v>0</v>
      </c>
      <c r="BU94">
        <f ca="1">IF($AN94="",OFFSET(Demand!$A$13,ROW(E91)-1,4+((QUOTIENT(COLUMN(BU$2)-69,3))*5)+MOD(COLUMN(BU$2),3),1,1),"")</f>
        <v>0</v>
      </c>
      <c r="BV94">
        <f ca="1">IF($AN94="",OFFSET(Demand!$A$13,ROW(F91)-1,4+((QUOTIENT(COLUMN(BV$2)-69,3))*5)+MOD(COLUMN(BV$2),3),1,1),"")</f>
        <v>0</v>
      </c>
      <c r="BW94">
        <f ca="1">IF($AN94="",OFFSET(Demand!$A$13,ROW(G91)-1,4+((QUOTIENT(COLUMN(BW$2)-69,3))*5)+MOD(COLUMN(BW$2),3),1,1),"")</f>
        <v>0</v>
      </c>
      <c r="BX94">
        <f ca="1">IF($AN94="",OFFSET(Demand!$A$13,ROW(H91)-1,4+((QUOTIENT(COLUMN(BX$2)-69,3))*5)+MOD(COLUMN(BX$2),3),1,1),"")</f>
        <v>0</v>
      </c>
      <c r="BY94">
        <f ca="1">IF($AN94="",OFFSET(Demand!$A$13,ROW(I91)-1,4+((QUOTIENT(COLUMN(BY$2)-69,3))*5)+MOD(COLUMN(BY$2),3),1,1),"")</f>
        <v>0</v>
      </c>
      <c r="BZ94">
        <f ca="1">IF($AN94="",OFFSET(Demand!$A$13,ROW(J91)-1,4+((QUOTIENT(COLUMN(BZ$2)-69,3))*5)+MOD(COLUMN(BZ$2),3),1,1),"")</f>
        <v>0</v>
      </c>
      <c r="CA94">
        <f ca="1">IF($AN94="",OFFSET(Demand!$A$13,ROW(K91)-1,4+((QUOTIENT(COLUMN(CA$2)-69,3))*5)+MOD(COLUMN(CA$2),3),1,1),"")</f>
        <v>0</v>
      </c>
      <c r="CB94">
        <f ca="1">IF($AN94="",OFFSET(Demand!$A$13,ROW(L91)-1,4+((QUOTIENT(COLUMN(CB$2)-69,3))*5)+MOD(COLUMN(CB$2),3),1,1),"")</f>
        <v>0</v>
      </c>
      <c r="CC94">
        <f ca="1">IF($AN94="",OFFSET(Demand!$A$13,ROW(M91)-1,4+((QUOTIENT(COLUMN(CC$2)-69,3))*5)+MOD(COLUMN(CC$2),3),1,1),"")</f>
        <v>0</v>
      </c>
      <c r="CD94">
        <f ca="1">IF($AN94="",OFFSET(Demand!$A$13,ROW(N91)-1,4+((QUOTIENT(COLUMN(CD$2)-69,3))*5)+MOD(COLUMN(CD$2),3),1,1),"")</f>
        <v>0</v>
      </c>
      <c r="CE94">
        <f ca="1">IF($AN94="",OFFSET(Demand!$A$13,ROW(O91)-1,4+((QUOTIENT(COLUMN(CE$2)-69,3))*5)+MOD(COLUMN(CE$2),3),1,1),"")</f>
        <v>0</v>
      </c>
      <c r="CF94">
        <f ca="1">IF($AN94="",OFFSET(Demand!$A$13,ROW(P91)-1,4+((QUOTIENT(COLUMN(CF$2)-69,3))*5)+MOD(COLUMN(CF$2),3),1,1),"")</f>
        <v>0</v>
      </c>
      <c r="CG94">
        <f ca="1">IF($AN94="",OFFSET(Demand!$A$13,ROW(Q91)-1,4+((QUOTIENT(COLUMN(CG$2)-69,3))*5)+MOD(COLUMN(CG$2),3),1,1),"")</f>
        <v>0</v>
      </c>
      <c r="CH94">
        <f ca="1">IF($AN94="",OFFSET(Demand!$A$13,ROW(R91)-1,4+((QUOTIENT(COLUMN(CH$2)-69,3))*5)+MOD(COLUMN(CH$2),3),1,1),"")</f>
        <v>0</v>
      </c>
      <c r="CI94">
        <f ca="1">IF($AN94="",OFFSET(Demand!$A$13,ROW(S91)-1,4+((QUOTIENT(COLUMN(CI$2)-69,3))*5)+MOD(COLUMN(CI$2),3),1,1),"")</f>
        <v>0</v>
      </c>
      <c r="CJ94">
        <f ca="1">IF($AN94="",OFFSET(Demand!$A$13,ROW(T91)-1,4+((QUOTIENT(COLUMN(CJ$2)-69,3))*5)+MOD(COLUMN(CJ$2),3),1,1),"")</f>
        <v>0</v>
      </c>
      <c r="CK94">
        <f ca="1">IF($AN94="",OFFSET(Demand!$A$13,ROW(U91)-1,4+((QUOTIENT(COLUMN(CK$2)-69,3))*5)+MOD(COLUMN(CK$2),3),1,1),"")</f>
        <v>0</v>
      </c>
      <c r="CL94">
        <f ca="1">IF($AN94="",OFFSET(Demand!$A$13,ROW(V91)-1,4+((QUOTIENT(COLUMN(CL$2)-69,3))*5)+MOD(COLUMN(CL$2),3),1,1),"")</f>
        <v>0</v>
      </c>
      <c r="CM94">
        <f ca="1">IF($AN94="",OFFSET(Demand!$A$13,ROW(W91)-1,4+((QUOTIENT(COLUMN(CM$2)-69,3))*5)+MOD(COLUMN(CM$2),3),1,1),"")</f>
        <v>0</v>
      </c>
      <c r="CN94">
        <f ca="1">IF($AN94="",OFFSET(Demand!$A$13,ROW(X91)-1,4+((QUOTIENT(COLUMN(CN$2)-69,3))*5)+MOD(COLUMN(CN$2),3),1,1),"")</f>
        <v>0</v>
      </c>
      <c r="CO94">
        <f ca="1">IF($AN94="",OFFSET(Demand!$A$13,ROW(Y91)-1,4+((QUOTIENT(COLUMN(CO$2)-69,3))*5)+MOD(COLUMN(CO$2),3),1,1),"")</f>
        <v>0</v>
      </c>
      <c r="CP94">
        <f ca="1">IF($AN94="",OFFSET(Demand!$A$13,ROW(Z91)-1,4+((QUOTIENT(COLUMN(CP$2)-69,3))*5)+MOD(COLUMN(CP$2),3),1,1),"")</f>
        <v>0</v>
      </c>
      <c r="CQ94">
        <f ca="1">IF($AN94="",OFFSET(Demand!$A$13,ROW(AA91)-1,4+((QUOTIENT(COLUMN(CQ$2)-69,3))*5)+MOD(COLUMN(CQ$2),3),1,1),"")</f>
        <v>0</v>
      </c>
      <c r="CR94">
        <f ca="1">IF($AN94="",OFFSET(Demand!$A$13,ROW(AB91)-1,4+((QUOTIENT(COLUMN(CR$2)-69,3))*5)+MOD(COLUMN(CR$2),3),1,1),"")</f>
        <v>0</v>
      </c>
      <c r="CS94">
        <f ca="1">IF($AN94="",OFFSET(Demand!$A$13,ROW(AC91)-1,4+((QUOTIENT(COLUMN(CS$2)-69,3))*5)+MOD(COLUMN(CS$2),3),1,1),"")</f>
        <v>0</v>
      </c>
      <c r="CT94">
        <f ca="1">IF($AN94="",OFFSET(Demand!$A$13,ROW(AD91)-1,4+((QUOTIENT(COLUMN(CT$2)-69,3))*5)+MOD(COLUMN(CT$2),3),1,1),"")</f>
        <v>0</v>
      </c>
      <c r="CW94" s="5">
        <f ca="1">SUM(OFFSET(Demand!$H$43,ROW(A91)-1,(COLUMN(A91)-1)*5,1,1))*N$2</f>
        <v>0</v>
      </c>
      <c r="CX94" s="5">
        <f ca="1">SUM(OFFSET(Demand!$H$43,ROW(B91)-1,(COLUMN(B91)-1)*5,1,1))*O$2</f>
        <v>0</v>
      </c>
      <c r="CY94" s="5">
        <f ca="1">SUM(OFFSET(Demand!$H$43,ROW(C91)-1,(COLUMN(C91)-1)*5,1,1))*P$2</f>
        <v>0</v>
      </c>
      <c r="CZ94" s="5">
        <f ca="1">SUM(OFFSET(Demand!$H$43,ROW(D91)-1,(COLUMN(D91)-1)*5,1,1))*Q$2</f>
        <v>0</v>
      </c>
      <c r="DA94" s="5">
        <f ca="1">SUM(OFFSET(Demand!$H$43,ROW(E91)-1,(COLUMN(E91)-1)*5,1,1))*R$2</f>
        <v>0</v>
      </c>
      <c r="DB94" s="5">
        <f ca="1">SUM(OFFSET(Demand!$H$43,ROW(F91)-1,(COLUMN(F91)-1)*5,1,1))*S$2</f>
        <v>0</v>
      </c>
      <c r="DC94" s="5">
        <f ca="1">SUM(OFFSET(Demand!$H$43,ROW(G91)-1,(COLUMN(G91)-1)*5,1,1))*T$2</f>
        <v>0</v>
      </c>
      <c r="DD94" s="5">
        <f ca="1">SUM(OFFSET(Demand!$H$43,ROW(H91)-1,(COLUMN(H91)-1)*5,1,1))*U$2</f>
        <v>0</v>
      </c>
      <c r="DE94" s="5">
        <f ca="1">SUM(OFFSET(Demand!$H$43,ROW(I91)-1,(COLUMN(I91)-1)*5,1,1))*V$2</f>
        <v>0</v>
      </c>
      <c r="DF94" s="5">
        <f ca="1">SUM(OFFSET(Demand!$H$43,ROW(J91)-1,(COLUMN(J91)-1)*5,1,1))*W$2</f>
        <v>0</v>
      </c>
      <c r="DG94" s="5">
        <f ca="1">IF(OR(AN94&lt;&gt;"",AND('Demand adjustments for Covid'!$F$9="Yes",'Demand adjustments for Covid'!$F$20="Yes")),"",SUM(CW94:DF94))</f>
        <v>0</v>
      </c>
    </row>
    <row r="95" spans="1:111" x14ac:dyDescent="0.25">
      <c r="A95" s="5">
        <f t="shared" ca="1" si="34"/>
        <v>1</v>
      </c>
      <c r="B95" s="5">
        <f ca="1">COUNTBLANK(OFFSET(Demand!$I104,0,(COLUMN(A92)-1)*5,1,1))</f>
        <v>1</v>
      </c>
      <c r="C95" s="5">
        <f ca="1">COUNTBLANK(OFFSET(Demand!$I104,0,(COLUMN(B92)-1)*5,1,1))</f>
        <v>1</v>
      </c>
      <c r="D95" s="5">
        <f ca="1">COUNTBLANK(OFFSET(Demand!$I104,0,(COLUMN(C92)-1)*5,1,1))</f>
        <v>1</v>
      </c>
      <c r="E95" s="5">
        <f ca="1">COUNTBLANK(OFFSET(Demand!$I104,0,(COLUMN(D92)-1)*5,1,1))</f>
        <v>1</v>
      </c>
      <c r="F95" s="5">
        <f ca="1">COUNTBLANK(OFFSET(Demand!$I104,0,(COLUMN(E92)-1)*5,1,1))</f>
        <v>1</v>
      </c>
      <c r="G95" s="5">
        <f ca="1">COUNTBLANK(OFFSET(Demand!$I104,0,(COLUMN(F92)-1)*5,1,1))</f>
        <v>1</v>
      </c>
      <c r="H95" s="5">
        <f ca="1">COUNTBLANK(OFFSET(Demand!$I104,0,(COLUMN(G92)-1)*5,1,1))</f>
        <v>1</v>
      </c>
      <c r="I95" s="5">
        <f ca="1">COUNTBLANK(OFFSET(Demand!$I104,0,(COLUMN(H92)-1)*5,1,1))</f>
        <v>1</v>
      </c>
      <c r="J95" s="5">
        <f ca="1">COUNTBLANK(OFFSET(Demand!$I104,0,(COLUMN(I92)-1)*5,1,1))</f>
        <v>1</v>
      </c>
      <c r="K95" s="5">
        <f ca="1">COUNTBLANK(OFFSET(Demand!$I104,0,(COLUMN(J92)-1)*5,1,1))</f>
        <v>1</v>
      </c>
      <c r="N95" s="5">
        <f ca="1">SUM(OFFSET(Demand!$E104,0,(COLUMN(A92)-1)*5,1,3))*N$2</f>
        <v>0</v>
      </c>
      <c r="O95" s="5">
        <f ca="1">SUM(OFFSET(Demand!$E104,0,(COLUMN(B92)-1)*5,1,3))*O$2</f>
        <v>0</v>
      </c>
      <c r="P95" s="5">
        <f ca="1">SUM(OFFSET(Demand!$E104,0,(COLUMN(C92)-1)*5,1,3))*P$2</f>
        <v>0</v>
      </c>
      <c r="Q95" s="5">
        <f ca="1">SUM(OFFSET(Demand!$E104,0,(COLUMN(D92)-1)*5,1,3))*Q$2</f>
        <v>0</v>
      </c>
      <c r="R95" s="5">
        <f ca="1">SUM(OFFSET(Demand!$E104,0,(COLUMN(E92)-1)*5,1,3))*R$2</f>
        <v>0</v>
      </c>
      <c r="S95" s="5">
        <f ca="1">SUM(OFFSET(Demand!$E104,0,(COLUMN(F92)-1)*5,1,3))*S$2</f>
        <v>0</v>
      </c>
      <c r="T95" s="5">
        <f ca="1">SUM(OFFSET(Demand!$E104,0,(COLUMN(G92)-1)*5,1,3))*T$2</f>
        <v>0</v>
      </c>
      <c r="U95" s="5">
        <f ca="1">SUM(OFFSET(Demand!$E104,0,(COLUMN(H92)-1)*5,1,3))*U$2</f>
        <v>0</v>
      </c>
      <c r="V95" s="5">
        <f ca="1">SUM(OFFSET(Demand!$E104,0,(COLUMN(I92)-1)*5,1,3))*V$2</f>
        <v>0</v>
      </c>
      <c r="W95" s="5">
        <f ca="1">SUM(OFFSET(Demand!$E104,0,(COLUMN(J92)-1)*5,1,3))*W$2</f>
        <v>0</v>
      </c>
      <c r="X95" s="5">
        <f t="shared" ca="1" si="37"/>
        <v>0</v>
      </c>
      <c r="Y95">
        <f t="shared" ca="1" si="38"/>
        <v>0</v>
      </c>
      <c r="Z95" s="5">
        <f ca="1">SUM(OFFSET(Demand!$H104,0,(COLUMN(A92)-1)*5,1,1))*N$2</f>
        <v>0</v>
      </c>
      <c r="AA95" s="5">
        <f ca="1">SUM(OFFSET(Demand!$H104,0,(COLUMN(B92)-1)*5,1,1))*O$2</f>
        <v>0</v>
      </c>
      <c r="AB95" s="5">
        <f ca="1">SUM(OFFSET(Demand!$H104,0,(COLUMN(C92)-1)*5,1,1))*P$2</f>
        <v>0</v>
      </c>
      <c r="AC95" s="5">
        <f ca="1">SUM(OFFSET(Demand!$H104,0,(COLUMN(D92)-1)*5,1,1))*Q$2</f>
        <v>0</v>
      </c>
      <c r="AD95" s="5">
        <f ca="1">SUM(OFFSET(Demand!$H104,0,(COLUMN(E92)-1)*5,1,1))*R$2</f>
        <v>0</v>
      </c>
      <c r="AE95" s="5">
        <f ca="1">SUM(OFFSET(Demand!$H104,0,(COLUMN(F92)-1)*5,1,1))*S$2</f>
        <v>0</v>
      </c>
      <c r="AF95" s="5">
        <f ca="1">SUM(OFFSET(Demand!$H104,0,(COLUMN(G92)-1)*5,1,1))*T$2</f>
        <v>0</v>
      </c>
      <c r="AG95" s="5">
        <f ca="1">SUM(OFFSET(Demand!$H104,0,(COLUMN(H92)-1)*5,1,1))*U$2</f>
        <v>0</v>
      </c>
      <c r="AH95" s="5">
        <f ca="1">SUM(OFFSET(Demand!$H104,0,(COLUMN(I92)-1)*5,1,1))*V$2</f>
        <v>0</v>
      </c>
      <c r="AI95" s="5">
        <f ca="1">SUM(OFFSET(Demand!$H104,0,(COLUMN(J92)-1)*5,1,1))*W$2</f>
        <v>0</v>
      </c>
      <c r="AJ95" s="5">
        <f t="shared" ca="1" si="39"/>
        <v>0</v>
      </c>
      <c r="AL95" s="5">
        <f t="shared" ca="1" si="40"/>
        <v>0</v>
      </c>
      <c r="AM95" s="5">
        <f t="shared" ca="1" si="41"/>
        <v>0</v>
      </c>
      <c r="AN95" s="5" t="str">
        <f>IF(Demand!BE104="Yes","Yes","")</f>
        <v/>
      </c>
      <c r="AP95" s="36" t="str">
        <f ca="1">Demand!B104</f>
        <v xml:space="preserve"> </v>
      </c>
      <c r="AQ95" t="str">
        <f ca="1">IF(TEXT(Demand!D104,"MMM")&lt;&gt;TEXT(Demand!D103,"MMM"),TEXT(Demand!D104,"MMM"),"")</f>
        <v/>
      </c>
      <c r="AT95" s="5">
        <f t="shared" ca="1" si="42"/>
        <v>0</v>
      </c>
      <c r="BQ95">
        <f ca="1">IF($AN95="",OFFSET(Demand!$A$13,ROW(A92)-1,4+((QUOTIENT(COLUMN(BQ$2)-69,3))*5)+MOD(COLUMN(BQ$2),3),1,1),"")</f>
        <v>0</v>
      </c>
      <c r="BR95">
        <f ca="1">IF($AN95="",OFFSET(Demand!$A$13,ROW(B92)-1,4+((QUOTIENT(COLUMN(BR$2)-69,3))*5)+MOD(COLUMN(BR$2),3),1,1),"")</f>
        <v>0</v>
      </c>
      <c r="BS95">
        <f ca="1">IF($AN95="",OFFSET(Demand!$A$13,ROW(C92)-1,4+((QUOTIENT(COLUMN(BS$2)-69,3))*5)+MOD(COLUMN(BS$2),3),1,1),"")</f>
        <v>0</v>
      </c>
      <c r="BT95">
        <f ca="1">IF($AN95="",OFFSET(Demand!$A$13,ROW(D92)-1,4+((QUOTIENT(COLUMN(BT$2)-69,3))*5)+MOD(COLUMN(BT$2),3),1,1),"")</f>
        <v>0</v>
      </c>
      <c r="BU95">
        <f ca="1">IF($AN95="",OFFSET(Demand!$A$13,ROW(E92)-1,4+((QUOTIENT(COLUMN(BU$2)-69,3))*5)+MOD(COLUMN(BU$2),3),1,1),"")</f>
        <v>0</v>
      </c>
      <c r="BV95">
        <f ca="1">IF($AN95="",OFFSET(Demand!$A$13,ROW(F92)-1,4+((QUOTIENT(COLUMN(BV$2)-69,3))*5)+MOD(COLUMN(BV$2),3),1,1),"")</f>
        <v>0</v>
      </c>
      <c r="BW95">
        <f ca="1">IF($AN95="",OFFSET(Demand!$A$13,ROW(G92)-1,4+((QUOTIENT(COLUMN(BW$2)-69,3))*5)+MOD(COLUMN(BW$2),3),1,1),"")</f>
        <v>0</v>
      </c>
      <c r="BX95">
        <f ca="1">IF($AN95="",OFFSET(Demand!$A$13,ROW(H92)-1,4+((QUOTIENT(COLUMN(BX$2)-69,3))*5)+MOD(COLUMN(BX$2),3),1,1),"")</f>
        <v>0</v>
      </c>
      <c r="BY95">
        <f ca="1">IF($AN95="",OFFSET(Demand!$A$13,ROW(I92)-1,4+((QUOTIENT(COLUMN(BY$2)-69,3))*5)+MOD(COLUMN(BY$2),3),1,1),"")</f>
        <v>0</v>
      </c>
      <c r="BZ95">
        <f ca="1">IF($AN95="",OFFSET(Demand!$A$13,ROW(J92)-1,4+((QUOTIENT(COLUMN(BZ$2)-69,3))*5)+MOD(COLUMN(BZ$2),3),1,1),"")</f>
        <v>0</v>
      </c>
      <c r="CA95">
        <f ca="1">IF($AN95="",OFFSET(Demand!$A$13,ROW(K92)-1,4+((QUOTIENT(COLUMN(CA$2)-69,3))*5)+MOD(COLUMN(CA$2),3),1,1),"")</f>
        <v>0</v>
      </c>
      <c r="CB95">
        <f ca="1">IF($AN95="",OFFSET(Demand!$A$13,ROW(L92)-1,4+((QUOTIENT(COLUMN(CB$2)-69,3))*5)+MOD(COLUMN(CB$2),3),1,1),"")</f>
        <v>0</v>
      </c>
      <c r="CC95">
        <f ca="1">IF($AN95="",OFFSET(Demand!$A$13,ROW(M92)-1,4+((QUOTIENT(COLUMN(CC$2)-69,3))*5)+MOD(COLUMN(CC$2),3),1,1),"")</f>
        <v>0</v>
      </c>
      <c r="CD95">
        <f ca="1">IF($AN95="",OFFSET(Demand!$A$13,ROW(N92)-1,4+((QUOTIENT(COLUMN(CD$2)-69,3))*5)+MOD(COLUMN(CD$2),3),1,1),"")</f>
        <v>0</v>
      </c>
      <c r="CE95">
        <f ca="1">IF($AN95="",OFFSET(Demand!$A$13,ROW(O92)-1,4+((QUOTIENT(COLUMN(CE$2)-69,3))*5)+MOD(COLUMN(CE$2),3),1,1),"")</f>
        <v>0</v>
      </c>
      <c r="CF95">
        <f ca="1">IF($AN95="",OFFSET(Demand!$A$13,ROW(P92)-1,4+((QUOTIENT(COLUMN(CF$2)-69,3))*5)+MOD(COLUMN(CF$2),3),1,1),"")</f>
        <v>0</v>
      </c>
      <c r="CG95">
        <f ca="1">IF($AN95="",OFFSET(Demand!$A$13,ROW(Q92)-1,4+((QUOTIENT(COLUMN(CG$2)-69,3))*5)+MOD(COLUMN(CG$2),3),1,1),"")</f>
        <v>0</v>
      </c>
      <c r="CH95">
        <f ca="1">IF($AN95="",OFFSET(Demand!$A$13,ROW(R92)-1,4+((QUOTIENT(COLUMN(CH$2)-69,3))*5)+MOD(COLUMN(CH$2),3),1,1),"")</f>
        <v>0</v>
      </c>
      <c r="CI95">
        <f ca="1">IF($AN95="",OFFSET(Demand!$A$13,ROW(S92)-1,4+((QUOTIENT(COLUMN(CI$2)-69,3))*5)+MOD(COLUMN(CI$2),3),1,1),"")</f>
        <v>0</v>
      </c>
      <c r="CJ95">
        <f ca="1">IF($AN95="",OFFSET(Demand!$A$13,ROW(T92)-1,4+((QUOTIENT(COLUMN(CJ$2)-69,3))*5)+MOD(COLUMN(CJ$2),3),1,1),"")</f>
        <v>0</v>
      </c>
      <c r="CK95">
        <f ca="1">IF($AN95="",OFFSET(Demand!$A$13,ROW(U92)-1,4+((QUOTIENT(COLUMN(CK$2)-69,3))*5)+MOD(COLUMN(CK$2),3),1,1),"")</f>
        <v>0</v>
      </c>
      <c r="CL95">
        <f ca="1">IF($AN95="",OFFSET(Demand!$A$13,ROW(V92)-1,4+((QUOTIENT(COLUMN(CL$2)-69,3))*5)+MOD(COLUMN(CL$2),3),1,1),"")</f>
        <v>0</v>
      </c>
      <c r="CM95">
        <f ca="1">IF($AN95="",OFFSET(Demand!$A$13,ROW(W92)-1,4+((QUOTIENT(COLUMN(CM$2)-69,3))*5)+MOD(COLUMN(CM$2),3),1,1),"")</f>
        <v>0</v>
      </c>
      <c r="CN95">
        <f ca="1">IF($AN95="",OFFSET(Demand!$A$13,ROW(X92)-1,4+((QUOTIENT(COLUMN(CN$2)-69,3))*5)+MOD(COLUMN(CN$2),3),1,1),"")</f>
        <v>0</v>
      </c>
      <c r="CO95">
        <f ca="1">IF($AN95="",OFFSET(Demand!$A$13,ROW(Y92)-1,4+((QUOTIENT(COLUMN(CO$2)-69,3))*5)+MOD(COLUMN(CO$2),3),1,1),"")</f>
        <v>0</v>
      </c>
      <c r="CP95">
        <f ca="1">IF($AN95="",OFFSET(Demand!$A$13,ROW(Z92)-1,4+((QUOTIENT(COLUMN(CP$2)-69,3))*5)+MOD(COLUMN(CP$2),3),1,1),"")</f>
        <v>0</v>
      </c>
      <c r="CQ95">
        <f ca="1">IF($AN95="",OFFSET(Demand!$A$13,ROW(AA92)-1,4+((QUOTIENT(COLUMN(CQ$2)-69,3))*5)+MOD(COLUMN(CQ$2),3),1,1),"")</f>
        <v>0</v>
      </c>
      <c r="CR95">
        <f ca="1">IF($AN95="",OFFSET(Demand!$A$13,ROW(AB92)-1,4+((QUOTIENT(COLUMN(CR$2)-69,3))*5)+MOD(COLUMN(CR$2),3),1,1),"")</f>
        <v>0</v>
      </c>
      <c r="CS95">
        <f ca="1">IF($AN95="",OFFSET(Demand!$A$13,ROW(AC92)-1,4+((QUOTIENT(COLUMN(CS$2)-69,3))*5)+MOD(COLUMN(CS$2),3),1,1),"")</f>
        <v>0</v>
      </c>
      <c r="CT95">
        <f ca="1">IF($AN95="",OFFSET(Demand!$A$13,ROW(AD92)-1,4+((QUOTIENT(COLUMN(CT$2)-69,3))*5)+MOD(COLUMN(CT$2),3),1,1),"")</f>
        <v>0</v>
      </c>
      <c r="CW95" s="5">
        <f ca="1">SUM(OFFSET(Demand!$H$43,ROW(A92)-1,(COLUMN(A92)-1)*5,1,1))*N$2</f>
        <v>0</v>
      </c>
      <c r="CX95" s="5">
        <f ca="1">SUM(OFFSET(Demand!$H$43,ROW(B92)-1,(COLUMN(B92)-1)*5,1,1))*O$2</f>
        <v>0</v>
      </c>
      <c r="CY95" s="5">
        <f ca="1">SUM(OFFSET(Demand!$H$43,ROW(C92)-1,(COLUMN(C92)-1)*5,1,1))*P$2</f>
        <v>0</v>
      </c>
      <c r="CZ95" s="5">
        <f ca="1">SUM(OFFSET(Demand!$H$43,ROW(D92)-1,(COLUMN(D92)-1)*5,1,1))*Q$2</f>
        <v>0</v>
      </c>
      <c r="DA95" s="5">
        <f ca="1">SUM(OFFSET(Demand!$H$43,ROW(E92)-1,(COLUMN(E92)-1)*5,1,1))*R$2</f>
        <v>0</v>
      </c>
      <c r="DB95" s="5">
        <f ca="1">SUM(OFFSET(Demand!$H$43,ROW(F92)-1,(COLUMN(F92)-1)*5,1,1))*S$2</f>
        <v>0</v>
      </c>
      <c r="DC95" s="5">
        <f ca="1">SUM(OFFSET(Demand!$H$43,ROW(G92)-1,(COLUMN(G92)-1)*5,1,1))*T$2</f>
        <v>0</v>
      </c>
      <c r="DD95" s="5">
        <f ca="1">SUM(OFFSET(Demand!$H$43,ROW(H92)-1,(COLUMN(H92)-1)*5,1,1))*U$2</f>
        <v>0</v>
      </c>
      <c r="DE95" s="5">
        <f ca="1">SUM(OFFSET(Demand!$H$43,ROW(I92)-1,(COLUMN(I92)-1)*5,1,1))*V$2</f>
        <v>0</v>
      </c>
      <c r="DF95" s="5">
        <f ca="1">SUM(OFFSET(Demand!$H$43,ROW(J92)-1,(COLUMN(J92)-1)*5,1,1))*W$2</f>
        <v>0</v>
      </c>
      <c r="DG95" s="5">
        <f ca="1">IF(OR(AN95&lt;&gt;"",AND('Demand adjustments for Covid'!$F$9="Yes",'Demand adjustments for Covid'!$F$20="Yes")),"",SUM(CW95:DF95))</f>
        <v>0</v>
      </c>
    </row>
    <row r="96" spans="1:111" x14ac:dyDescent="0.25">
      <c r="A96" s="5">
        <f t="shared" ca="1" si="34"/>
        <v>1</v>
      </c>
      <c r="B96" s="5">
        <f ca="1">COUNTBLANK(OFFSET(Demand!$I105,0,(COLUMN(A93)-1)*5,1,1))</f>
        <v>1</v>
      </c>
      <c r="C96" s="5">
        <f ca="1">COUNTBLANK(OFFSET(Demand!$I105,0,(COLUMN(B93)-1)*5,1,1))</f>
        <v>1</v>
      </c>
      <c r="D96" s="5">
        <f ca="1">COUNTBLANK(OFFSET(Demand!$I105,0,(COLUMN(C93)-1)*5,1,1))</f>
        <v>1</v>
      </c>
      <c r="E96" s="5">
        <f ca="1">COUNTBLANK(OFFSET(Demand!$I105,0,(COLUMN(D93)-1)*5,1,1))</f>
        <v>1</v>
      </c>
      <c r="F96" s="5">
        <f ca="1">COUNTBLANK(OFFSET(Demand!$I105,0,(COLUMN(E93)-1)*5,1,1))</f>
        <v>1</v>
      </c>
      <c r="G96" s="5">
        <f ca="1">COUNTBLANK(OFFSET(Demand!$I105,0,(COLUMN(F93)-1)*5,1,1))</f>
        <v>1</v>
      </c>
      <c r="H96" s="5">
        <f ca="1">COUNTBLANK(OFFSET(Demand!$I105,0,(COLUMN(G93)-1)*5,1,1))</f>
        <v>1</v>
      </c>
      <c r="I96" s="5">
        <f ca="1">COUNTBLANK(OFFSET(Demand!$I105,0,(COLUMN(H93)-1)*5,1,1))</f>
        <v>1</v>
      </c>
      <c r="J96" s="5">
        <f ca="1">COUNTBLANK(OFFSET(Demand!$I105,0,(COLUMN(I93)-1)*5,1,1))</f>
        <v>1</v>
      </c>
      <c r="K96" s="5">
        <f ca="1">COUNTBLANK(OFFSET(Demand!$I105,0,(COLUMN(J93)-1)*5,1,1))</f>
        <v>1</v>
      </c>
      <c r="N96" s="5">
        <f ca="1">SUM(OFFSET(Demand!$E105,0,(COLUMN(A93)-1)*5,1,3))*N$2</f>
        <v>0</v>
      </c>
      <c r="O96" s="5">
        <f ca="1">SUM(OFFSET(Demand!$E105,0,(COLUMN(B93)-1)*5,1,3))*O$2</f>
        <v>0</v>
      </c>
      <c r="P96" s="5">
        <f ca="1">SUM(OFFSET(Demand!$E105,0,(COLUMN(C93)-1)*5,1,3))*P$2</f>
        <v>0</v>
      </c>
      <c r="Q96" s="5">
        <f ca="1">SUM(OFFSET(Demand!$E105,0,(COLUMN(D93)-1)*5,1,3))*Q$2</f>
        <v>0</v>
      </c>
      <c r="R96" s="5">
        <f ca="1">SUM(OFFSET(Demand!$E105,0,(COLUMN(E93)-1)*5,1,3))*R$2</f>
        <v>0</v>
      </c>
      <c r="S96" s="5">
        <f ca="1">SUM(OFFSET(Demand!$E105,0,(COLUMN(F93)-1)*5,1,3))*S$2</f>
        <v>0</v>
      </c>
      <c r="T96" s="5">
        <f ca="1">SUM(OFFSET(Demand!$E105,0,(COLUMN(G93)-1)*5,1,3))*T$2</f>
        <v>0</v>
      </c>
      <c r="U96" s="5">
        <f ca="1">SUM(OFFSET(Demand!$E105,0,(COLUMN(H93)-1)*5,1,3))*U$2</f>
        <v>0</v>
      </c>
      <c r="V96" s="5">
        <f ca="1">SUM(OFFSET(Demand!$E105,0,(COLUMN(I93)-1)*5,1,3))*V$2</f>
        <v>0</v>
      </c>
      <c r="W96" s="5">
        <f ca="1">SUM(OFFSET(Demand!$E105,0,(COLUMN(J93)-1)*5,1,3))*W$2</f>
        <v>0</v>
      </c>
      <c r="X96" s="5">
        <f t="shared" ca="1" si="37"/>
        <v>0</v>
      </c>
      <c r="Y96">
        <f t="shared" ca="1" si="38"/>
        <v>0</v>
      </c>
      <c r="Z96" s="5">
        <f ca="1">SUM(OFFSET(Demand!$H105,0,(COLUMN(A93)-1)*5,1,1))*N$2</f>
        <v>0</v>
      </c>
      <c r="AA96" s="5">
        <f ca="1">SUM(OFFSET(Demand!$H105,0,(COLUMN(B93)-1)*5,1,1))*O$2</f>
        <v>0</v>
      </c>
      <c r="AB96" s="5">
        <f ca="1">SUM(OFFSET(Demand!$H105,0,(COLUMN(C93)-1)*5,1,1))*P$2</f>
        <v>0</v>
      </c>
      <c r="AC96" s="5">
        <f ca="1">SUM(OFFSET(Demand!$H105,0,(COLUMN(D93)-1)*5,1,1))*Q$2</f>
        <v>0</v>
      </c>
      <c r="AD96" s="5">
        <f ca="1">SUM(OFFSET(Demand!$H105,0,(COLUMN(E93)-1)*5,1,1))*R$2</f>
        <v>0</v>
      </c>
      <c r="AE96" s="5">
        <f ca="1">SUM(OFFSET(Demand!$H105,0,(COLUMN(F93)-1)*5,1,1))*S$2</f>
        <v>0</v>
      </c>
      <c r="AF96" s="5">
        <f ca="1">SUM(OFFSET(Demand!$H105,0,(COLUMN(G93)-1)*5,1,1))*T$2</f>
        <v>0</v>
      </c>
      <c r="AG96" s="5">
        <f ca="1">SUM(OFFSET(Demand!$H105,0,(COLUMN(H93)-1)*5,1,1))*U$2</f>
        <v>0</v>
      </c>
      <c r="AH96" s="5">
        <f ca="1">SUM(OFFSET(Demand!$H105,0,(COLUMN(I93)-1)*5,1,1))*V$2</f>
        <v>0</v>
      </c>
      <c r="AI96" s="5">
        <f ca="1">SUM(OFFSET(Demand!$H105,0,(COLUMN(J93)-1)*5,1,1))*W$2</f>
        <v>0</v>
      </c>
      <c r="AJ96" s="5">
        <f t="shared" ca="1" si="39"/>
        <v>0</v>
      </c>
      <c r="AL96" s="5">
        <f t="shared" ca="1" si="40"/>
        <v>0</v>
      </c>
      <c r="AM96" s="5">
        <f t="shared" ca="1" si="41"/>
        <v>0</v>
      </c>
      <c r="AN96" s="5" t="str">
        <f>IF(Demand!BE105="Yes","Yes","")</f>
        <v/>
      </c>
      <c r="AP96" s="36" t="str">
        <f ca="1">Demand!B105</f>
        <v xml:space="preserve"> </v>
      </c>
      <c r="AQ96" t="str">
        <f ca="1">IF(TEXT(Demand!D105,"MMM")&lt;&gt;TEXT(Demand!D104,"MMM"),TEXT(Demand!D105,"MMM"),"")</f>
        <v/>
      </c>
      <c r="AT96" s="5">
        <f t="shared" ca="1" si="42"/>
        <v>0</v>
      </c>
      <c r="BQ96">
        <f ca="1">IF($AN96="",OFFSET(Demand!$A$13,ROW(A93)-1,4+((QUOTIENT(COLUMN(BQ$2)-69,3))*5)+MOD(COLUMN(BQ$2),3),1,1),"")</f>
        <v>0</v>
      </c>
      <c r="BR96">
        <f ca="1">IF($AN96="",OFFSET(Demand!$A$13,ROW(B93)-1,4+((QUOTIENT(COLUMN(BR$2)-69,3))*5)+MOD(COLUMN(BR$2),3),1,1),"")</f>
        <v>0</v>
      </c>
      <c r="BS96">
        <f ca="1">IF($AN96="",OFFSET(Demand!$A$13,ROW(C93)-1,4+((QUOTIENT(COLUMN(BS$2)-69,3))*5)+MOD(COLUMN(BS$2),3),1,1),"")</f>
        <v>0</v>
      </c>
      <c r="BT96">
        <f ca="1">IF($AN96="",OFFSET(Demand!$A$13,ROW(D93)-1,4+((QUOTIENT(COLUMN(BT$2)-69,3))*5)+MOD(COLUMN(BT$2),3),1,1),"")</f>
        <v>0</v>
      </c>
      <c r="BU96">
        <f ca="1">IF($AN96="",OFFSET(Demand!$A$13,ROW(E93)-1,4+((QUOTIENT(COLUMN(BU$2)-69,3))*5)+MOD(COLUMN(BU$2),3),1,1),"")</f>
        <v>0</v>
      </c>
      <c r="BV96">
        <f ca="1">IF($AN96="",OFFSET(Demand!$A$13,ROW(F93)-1,4+((QUOTIENT(COLUMN(BV$2)-69,3))*5)+MOD(COLUMN(BV$2),3),1,1),"")</f>
        <v>0</v>
      </c>
      <c r="BW96">
        <f ca="1">IF($AN96="",OFFSET(Demand!$A$13,ROW(G93)-1,4+((QUOTIENT(COLUMN(BW$2)-69,3))*5)+MOD(COLUMN(BW$2),3),1,1),"")</f>
        <v>0</v>
      </c>
      <c r="BX96">
        <f ca="1">IF($AN96="",OFFSET(Demand!$A$13,ROW(H93)-1,4+((QUOTIENT(COLUMN(BX$2)-69,3))*5)+MOD(COLUMN(BX$2),3),1,1),"")</f>
        <v>0</v>
      </c>
      <c r="BY96">
        <f ca="1">IF($AN96="",OFFSET(Demand!$A$13,ROW(I93)-1,4+((QUOTIENT(COLUMN(BY$2)-69,3))*5)+MOD(COLUMN(BY$2),3),1,1),"")</f>
        <v>0</v>
      </c>
      <c r="BZ96">
        <f ca="1">IF($AN96="",OFFSET(Demand!$A$13,ROW(J93)-1,4+((QUOTIENT(COLUMN(BZ$2)-69,3))*5)+MOD(COLUMN(BZ$2),3),1,1),"")</f>
        <v>0</v>
      </c>
      <c r="CA96">
        <f ca="1">IF($AN96="",OFFSET(Demand!$A$13,ROW(K93)-1,4+((QUOTIENT(COLUMN(CA$2)-69,3))*5)+MOD(COLUMN(CA$2),3),1,1),"")</f>
        <v>0</v>
      </c>
      <c r="CB96">
        <f ca="1">IF($AN96="",OFFSET(Demand!$A$13,ROW(L93)-1,4+((QUOTIENT(COLUMN(CB$2)-69,3))*5)+MOD(COLUMN(CB$2),3),1,1),"")</f>
        <v>0</v>
      </c>
      <c r="CC96">
        <f ca="1">IF($AN96="",OFFSET(Demand!$A$13,ROW(M93)-1,4+((QUOTIENT(COLUMN(CC$2)-69,3))*5)+MOD(COLUMN(CC$2),3),1,1),"")</f>
        <v>0</v>
      </c>
      <c r="CD96">
        <f ca="1">IF($AN96="",OFFSET(Demand!$A$13,ROW(N93)-1,4+((QUOTIENT(COLUMN(CD$2)-69,3))*5)+MOD(COLUMN(CD$2),3),1,1),"")</f>
        <v>0</v>
      </c>
      <c r="CE96">
        <f ca="1">IF($AN96="",OFFSET(Demand!$A$13,ROW(O93)-1,4+((QUOTIENT(COLUMN(CE$2)-69,3))*5)+MOD(COLUMN(CE$2),3),1,1),"")</f>
        <v>0</v>
      </c>
      <c r="CF96">
        <f ca="1">IF($AN96="",OFFSET(Demand!$A$13,ROW(P93)-1,4+((QUOTIENT(COLUMN(CF$2)-69,3))*5)+MOD(COLUMN(CF$2),3),1,1),"")</f>
        <v>0</v>
      </c>
      <c r="CG96">
        <f ca="1">IF($AN96="",OFFSET(Demand!$A$13,ROW(Q93)-1,4+((QUOTIENT(COLUMN(CG$2)-69,3))*5)+MOD(COLUMN(CG$2),3),1,1),"")</f>
        <v>0</v>
      </c>
      <c r="CH96">
        <f ca="1">IF($AN96="",OFFSET(Demand!$A$13,ROW(R93)-1,4+((QUOTIENT(COLUMN(CH$2)-69,3))*5)+MOD(COLUMN(CH$2),3),1,1),"")</f>
        <v>0</v>
      </c>
      <c r="CI96">
        <f ca="1">IF($AN96="",OFFSET(Demand!$A$13,ROW(S93)-1,4+((QUOTIENT(COLUMN(CI$2)-69,3))*5)+MOD(COLUMN(CI$2),3),1,1),"")</f>
        <v>0</v>
      </c>
      <c r="CJ96">
        <f ca="1">IF($AN96="",OFFSET(Demand!$A$13,ROW(T93)-1,4+((QUOTIENT(COLUMN(CJ$2)-69,3))*5)+MOD(COLUMN(CJ$2),3),1,1),"")</f>
        <v>0</v>
      </c>
      <c r="CK96">
        <f ca="1">IF($AN96="",OFFSET(Demand!$A$13,ROW(U93)-1,4+((QUOTIENT(COLUMN(CK$2)-69,3))*5)+MOD(COLUMN(CK$2),3),1,1),"")</f>
        <v>0</v>
      </c>
      <c r="CL96">
        <f ca="1">IF($AN96="",OFFSET(Demand!$A$13,ROW(V93)-1,4+((QUOTIENT(COLUMN(CL$2)-69,3))*5)+MOD(COLUMN(CL$2),3),1,1),"")</f>
        <v>0</v>
      </c>
      <c r="CM96">
        <f ca="1">IF($AN96="",OFFSET(Demand!$A$13,ROW(W93)-1,4+((QUOTIENT(COLUMN(CM$2)-69,3))*5)+MOD(COLUMN(CM$2),3),1,1),"")</f>
        <v>0</v>
      </c>
      <c r="CN96">
        <f ca="1">IF($AN96="",OFFSET(Demand!$A$13,ROW(X93)-1,4+((QUOTIENT(COLUMN(CN$2)-69,3))*5)+MOD(COLUMN(CN$2),3),1,1),"")</f>
        <v>0</v>
      </c>
      <c r="CO96">
        <f ca="1">IF($AN96="",OFFSET(Demand!$A$13,ROW(Y93)-1,4+((QUOTIENT(COLUMN(CO$2)-69,3))*5)+MOD(COLUMN(CO$2),3),1,1),"")</f>
        <v>0</v>
      </c>
      <c r="CP96">
        <f ca="1">IF($AN96="",OFFSET(Demand!$A$13,ROW(Z93)-1,4+((QUOTIENT(COLUMN(CP$2)-69,3))*5)+MOD(COLUMN(CP$2),3),1,1),"")</f>
        <v>0</v>
      </c>
      <c r="CQ96">
        <f ca="1">IF($AN96="",OFFSET(Demand!$A$13,ROW(AA93)-1,4+((QUOTIENT(COLUMN(CQ$2)-69,3))*5)+MOD(COLUMN(CQ$2),3),1,1),"")</f>
        <v>0</v>
      </c>
      <c r="CR96">
        <f ca="1">IF($AN96="",OFFSET(Demand!$A$13,ROW(AB93)-1,4+((QUOTIENT(COLUMN(CR$2)-69,3))*5)+MOD(COLUMN(CR$2),3),1,1),"")</f>
        <v>0</v>
      </c>
      <c r="CS96">
        <f ca="1">IF($AN96="",OFFSET(Demand!$A$13,ROW(AC93)-1,4+((QUOTIENT(COLUMN(CS$2)-69,3))*5)+MOD(COLUMN(CS$2),3),1,1),"")</f>
        <v>0</v>
      </c>
      <c r="CT96">
        <f ca="1">IF($AN96="",OFFSET(Demand!$A$13,ROW(AD93)-1,4+((QUOTIENT(COLUMN(CT$2)-69,3))*5)+MOD(COLUMN(CT$2),3),1,1),"")</f>
        <v>0</v>
      </c>
      <c r="CW96" s="5">
        <f ca="1">SUM(OFFSET(Demand!$H$43,ROW(A93)-1,(COLUMN(A93)-1)*5,1,1))*N$2</f>
        <v>0</v>
      </c>
      <c r="CX96" s="5">
        <f ca="1">SUM(OFFSET(Demand!$H$43,ROW(B93)-1,(COLUMN(B93)-1)*5,1,1))*O$2</f>
        <v>0</v>
      </c>
      <c r="CY96" s="5">
        <f ca="1">SUM(OFFSET(Demand!$H$43,ROW(C93)-1,(COLUMN(C93)-1)*5,1,1))*P$2</f>
        <v>0</v>
      </c>
      <c r="CZ96" s="5">
        <f ca="1">SUM(OFFSET(Demand!$H$43,ROW(D93)-1,(COLUMN(D93)-1)*5,1,1))*Q$2</f>
        <v>0</v>
      </c>
      <c r="DA96" s="5">
        <f ca="1">SUM(OFFSET(Demand!$H$43,ROW(E93)-1,(COLUMN(E93)-1)*5,1,1))*R$2</f>
        <v>0</v>
      </c>
      <c r="DB96" s="5">
        <f ca="1">SUM(OFFSET(Demand!$H$43,ROW(F93)-1,(COLUMN(F93)-1)*5,1,1))*S$2</f>
        <v>0</v>
      </c>
      <c r="DC96" s="5">
        <f ca="1">SUM(OFFSET(Demand!$H$43,ROW(G93)-1,(COLUMN(G93)-1)*5,1,1))*T$2</f>
        <v>0</v>
      </c>
      <c r="DD96" s="5">
        <f ca="1">SUM(OFFSET(Demand!$H$43,ROW(H93)-1,(COLUMN(H93)-1)*5,1,1))*U$2</f>
        <v>0</v>
      </c>
      <c r="DE96" s="5">
        <f ca="1">SUM(OFFSET(Demand!$H$43,ROW(I93)-1,(COLUMN(I93)-1)*5,1,1))*V$2</f>
        <v>0</v>
      </c>
      <c r="DF96" s="5">
        <f ca="1">SUM(OFFSET(Demand!$H$43,ROW(J93)-1,(COLUMN(J93)-1)*5,1,1))*W$2</f>
        <v>0</v>
      </c>
      <c r="DG96" s="5">
        <f ca="1">IF(OR(AN96&lt;&gt;"",AND('Demand adjustments for Covid'!$F$9="Yes",'Demand adjustments for Covid'!$F$20="Yes")),"",SUM(CW96:DF96))</f>
        <v>0</v>
      </c>
    </row>
    <row r="97" spans="1:111" x14ac:dyDescent="0.25">
      <c r="A97" s="5">
        <f t="shared" ca="1" si="34"/>
        <v>1</v>
      </c>
      <c r="B97" s="5">
        <f ca="1">COUNTBLANK(OFFSET(Demand!$I106,0,(COLUMN(A94)-1)*5,1,1))</f>
        <v>1</v>
      </c>
      <c r="C97" s="5">
        <f ca="1">COUNTBLANK(OFFSET(Demand!$I106,0,(COLUMN(B94)-1)*5,1,1))</f>
        <v>1</v>
      </c>
      <c r="D97" s="5">
        <f ca="1">COUNTBLANK(OFFSET(Demand!$I106,0,(COLUMN(C94)-1)*5,1,1))</f>
        <v>1</v>
      </c>
      <c r="E97" s="5">
        <f ca="1">COUNTBLANK(OFFSET(Demand!$I106,0,(COLUMN(D94)-1)*5,1,1))</f>
        <v>1</v>
      </c>
      <c r="F97" s="5">
        <f ca="1">COUNTBLANK(OFFSET(Demand!$I106,0,(COLUMN(E94)-1)*5,1,1))</f>
        <v>1</v>
      </c>
      <c r="G97" s="5">
        <f ca="1">COUNTBLANK(OFFSET(Demand!$I106,0,(COLUMN(F94)-1)*5,1,1))</f>
        <v>1</v>
      </c>
      <c r="H97" s="5">
        <f ca="1">COUNTBLANK(OFFSET(Demand!$I106,0,(COLUMN(G94)-1)*5,1,1))</f>
        <v>1</v>
      </c>
      <c r="I97" s="5">
        <f ca="1">COUNTBLANK(OFFSET(Demand!$I106,0,(COLUMN(H94)-1)*5,1,1))</f>
        <v>1</v>
      </c>
      <c r="J97" s="5">
        <f ca="1">COUNTBLANK(OFFSET(Demand!$I106,0,(COLUMN(I94)-1)*5,1,1))</f>
        <v>1</v>
      </c>
      <c r="K97" s="5">
        <f ca="1">COUNTBLANK(OFFSET(Demand!$I106,0,(COLUMN(J94)-1)*5,1,1))</f>
        <v>1</v>
      </c>
      <c r="N97" s="5">
        <f ca="1">SUM(OFFSET(Demand!$E106,0,(COLUMN(A94)-1)*5,1,3))*N$2</f>
        <v>0</v>
      </c>
      <c r="O97" s="5">
        <f ca="1">SUM(OFFSET(Demand!$E106,0,(COLUMN(B94)-1)*5,1,3))*O$2</f>
        <v>0</v>
      </c>
      <c r="P97" s="5">
        <f ca="1">SUM(OFFSET(Demand!$E106,0,(COLUMN(C94)-1)*5,1,3))*P$2</f>
        <v>0</v>
      </c>
      <c r="Q97" s="5">
        <f ca="1">SUM(OFFSET(Demand!$E106,0,(COLUMN(D94)-1)*5,1,3))*Q$2</f>
        <v>0</v>
      </c>
      <c r="R97" s="5">
        <f ca="1">SUM(OFFSET(Demand!$E106,0,(COLUMN(E94)-1)*5,1,3))*R$2</f>
        <v>0</v>
      </c>
      <c r="S97" s="5">
        <f ca="1">SUM(OFFSET(Demand!$E106,0,(COLUMN(F94)-1)*5,1,3))*S$2</f>
        <v>0</v>
      </c>
      <c r="T97" s="5">
        <f ca="1">SUM(OFFSET(Demand!$E106,0,(COLUMN(G94)-1)*5,1,3))*T$2</f>
        <v>0</v>
      </c>
      <c r="U97" s="5">
        <f ca="1">SUM(OFFSET(Demand!$E106,0,(COLUMN(H94)-1)*5,1,3))*U$2</f>
        <v>0</v>
      </c>
      <c r="V97" s="5">
        <f ca="1">SUM(OFFSET(Demand!$E106,0,(COLUMN(I94)-1)*5,1,3))*V$2</f>
        <v>0</v>
      </c>
      <c r="W97" s="5">
        <f ca="1">SUM(OFFSET(Demand!$E106,0,(COLUMN(J94)-1)*5,1,3))*W$2</f>
        <v>0</v>
      </c>
      <c r="X97" s="5">
        <f t="shared" ca="1" si="37"/>
        <v>0</v>
      </c>
      <c r="Y97">
        <f t="shared" ca="1" si="38"/>
        <v>0</v>
      </c>
      <c r="Z97" s="5">
        <f ca="1">SUM(OFFSET(Demand!$H106,0,(COLUMN(A94)-1)*5,1,1))*N$2</f>
        <v>0</v>
      </c>
      <c r="AA97" s="5">
        <f ca="1">SUM(OFFSET(Demand!$H106,0,(COLUMN(B94)-1)*5,1,1))*O$2</f>
        <v>0</v>
      </c>
      <c r="AB97" s="5">
        <f ca="1">SUM(OFFSET(Demand!$H106,0,(COLUMN(C94)-1)*5,1,1))*P$2</f>
        <v>0</v>
      </c>
      <c r="AC97" s="5">
        <f ca="1">SUM(OFFSET(Demand!$H106,0,(COLUMN(D94)-1)*5,1,1))*Q$2</f>
        <v>0</v>
      </c>
      <c r="AD97" s="5">
        <f ca="1">SUM(OFFSET(Demand!$H106,0,(COLUMN(E94)-1)*5,1,1))*R$2</f>
        <v>0</v>
      </c>
      <c r="AE97" s="5">
        <f ca="1">SUM(OFFSET(Demand!$H106,0,(COLUMN(F94)-1)*5,1,1))*S$2</f>
        <v>0</v>
      </c>
      <c r="AF97" s="5">
        <f ca="1">SUM(OFFSET(Demand!$H106,0,(COLUMN(G94)-1)*5,1,1))*T$2</f>
        <v>0</v>
      </c>
      <c r="AG97" s="5">
        <f ca="1">SUM(OFFSET(Demand!$H106,0,(COLUMN(H94)-1)*5,1,1))*U$2</f>
        <v>0</v>
      </c>
      <c r="AH97" s="5">
        <f ca="1">SUM(OFFSET(Demand!$H106,0,(COLUMN(I94)-1)*5,1,1))*V$2</f>
        <v>0</v>
      </c>
      <c r="AI97" s="5">
        <f ca="1">SUM(OFFSET(Demand!$H106,0,(COLUMN(J94)-1)*5,1,1))*W$2</f>
        <v>0</v>
      </c>
      <c r="AJ97" s="5">
        <f t="shared" ca="1" si="39"/>
        <v>0</v>
      </c>
      <c r="AL97" s="5">
        <f t="shared" ca="1" si="40"/>
        <v>0</v>
      </c>
      <c r="AM97" s="5">
        <f t="shared" ca="1" si="41"/>
        <v>0</v>
      </c>
      <c r="AN97" s="5" t="str">
        <f>IF(Demand!BE106="Yes","Yes","")</f>
        <v/>
      </c>
      <c r="AP97" s="36" t="str">
        <f ca="1">Demand!B106</f>
        <v xml:space="preserve"> </v>
      </c>
      <c r="AQ97" t="str">
        <f ca="1">IF(TEXT(Demand!D106,"MMM")&lt;&gt;TEXT(Demand!D105,"MMM"),TEXT(Demand!D106,"MMM"),"")</f>
        <v/>
      </c>
      <c r="AT97" s="5">
        <f t="shared" ca="1" si="42"/>
        <v>0</v>
      </c>
      <c r="BQ97">
        <f ca="1">IF($AN97="",OFFSET(Demand!$A$13,ROW(A94)-1,4+((QUOTIENT(COLUMN(BQ$2)-69,3))*5)+MOD(COLUMN(BQ$2),3),1,1),"")</f>
        <v>0</v>
      </c>
      <c r="BR97">
        <f ca="1">IF($AN97="",OFFSET(Demand!$A$13,ROW(B94)-1,4+((QUOTIENT(COLUMN(BR$2)-69,3))*5)+MOD(COLUMN(BR$2),3),1,1),"")</f>
        <v>0</v>
      </c>
      <c r="BS97">
        <f ca="1">IF($AN97="",OFFSET(Demand!$A$13,ROW(C94)-1,4+((QUOTIENT(COLUMN(BS$2)-69,3))*5)+MOD(COLUMN(BS$2),3),1,1),"")</f>
        <v>0</v>
      </c>
      <c r="BT97">
        <f ca="1">IF($AN97="",OFFSET(Demand!$A$13,ROW(D94)-1,4+((QUOTIENT(COLUMN(BT$2)-69,3))*5)+MOD(COLUMN(BT$2),3),1,1),"")</f>
        <v>0</v>
      </c>
      <c r="BU97">
        <f ca="1">IF($AN97="",OFFSET(Demand!$A$13,ROW(E94)-1,4+((QUOTIENT(COLUMN(BU$2)-69,3))*5)+MOD(COLUMN(BU$2),3),1,1),"")</f>
        <v>0</v>
      </c>
      <c r="BV97">
        <f ca="1">IF($AN97="",OFFSET(Demand!$A$13,ROW(F94)-1,4+((QUOTIENT(COLUMN(BV$2)-69,3))*5)+MOD(COLUMN(BV$2),3),1,1),"")</f>
        <v>0</v>
      </c>
      <c r="BW97">
        <f ca="1">IF($AN97="",OFFSET(Demand!$A$13,ROW(G94)-1,4+((QUOTIENT(COLUMN(BW$2)-69,3))*5)+MOD(COLUMN(BW$2),3),1,1),"")</f>
        <v>0</v>
      </c>
      <c r="BX97">
        <f ca="1">IF($AN97="",OFFSET(Demand!$A$13,ROW(H94)-1,4+((QUOTIENT(COLUMN(BX$2)-69,3))*5)+MOD(COLUMN(BX$2),3),1,1),"")</f>
        <v>0</v>
      </c>
      <c r="BY97">
        <f ca="1">IF($AN97="",OFFSET(Demand!$A$13,ROW(I94)-1,4+((QUOTIENT(COLUMN(BY$2)-69,3))*5)+MOD(COLUMN(BY$2),3),1,1),"")</f>
        <v>0</v>
      </c>
      <c r="BZ97">
        <f ca="1">IF($AN97="",OFFSET(Demand!$A$13,ROW(J94)-1,4+((QUOTIENT(COLUMN(BZ$2)-69,3))*5)+MOD(COLUMN(BZ$2),3),1,1),"")</f>
        <v>0</v>
      </c>
      <c r="CA97">
        <f ca="1">IF($AN97="",OFFSET(Demand!$A$13,ROW(K94)-1,4+((QUOTIENT(COLUMN(CA$2)-69,3))*5)+MOD(COLUMN(CA$2),3),1,1),"")</f>
        <v>0</v>
      </c>
      <c r="CB97">
        <f ca="1">IF($AN97="",OFFSET(Demand!$A$13,ROW(L94)-1,4+((QUOTIENT(COLUMN(CB$2)-69,3))*5)+MOD(COLUMN(CB$2),3),1,1),"")</f>
        <v>0</v>
      </c>
      <c r="CC97">
        <f ca="1">IF($AN97="",OFFSET(Demand!$A$13,ROW(M94)-1,4+((QUOTIENT(COLUMN(CC$2)-69,3))*5)+MOD(COLUMN(CC$2),3),1,1),"")</f>
        <v>0</v>
      </c>
      <c r="CD97">
        <f ca="1">IF($AN97="",OFFSET(Demand!$A$13,ROW(N94)-1,4+((QUOTIENT(COLUMN(CD$2)-69,3))*5)+MOD(COLUMN(CD$2),3),1,1),"")</f>
        <v>0</v>
      </c>
      <c r="CE97">
        <f ca="1">IF($AN97="",OFFSET(Demand!$A$13,ROW(O94)-1,4+((QUOTIENT(COLUMN(CE$2)-69,3))*5)+MOD(COLUMN(CE$2),3),1,1),"")</f>
        <v>0</v>
      </c>
      <c r="CF97">
        <f ca="1">IF($AN97="",OFFSET(Demand!$A$13,ROW(P94)-1,4+((QUOTIENT(COLUMN(CF$2)-69,3))*5)+MOD(COLUMN(CF$2),3),1,1),"")</f>
        <v>0</v>
      </c>
      <c r="CG97">
        <f ca="1">IF($AN97="",OFFSET(Demand!$A$13,ROW(Q94)-1,4+((QUOTIENT(COLUMN(CG$2)-69,3))*5)+MOD(COLUMN(CG$2),3),1,1),"")</f>
        <v>0</v>
      </c>
      <c r="CH97">
        <f ca="1">IF($AN97="",OFFSET(Demand!$A$13,ROW(R94)-1,4+((QUOTIENT(COLUMN(CH$2)-69,3))*5)+MOD(COLUMN(CH$2),3),1,1),"")</f>
        <v>0</v>
      </c>
      <c r="CI97">
        <f ca="1">IF($AN97="",OFFSET(Demand!$A$13,ROW(S94)-1,4+((QUOTIENT(COLUMN(CI$2)-69,3))*5)+MOD(COLUMN(CI$2),3),1,1),"")</f>
        <v>0</v>
      </c>
      <c r="CJ97">
        <f ca="1">IF($AN97="",OFFSET(Demand!$A$13,ROW(T94)-1,4+((QUOTIENT(COLUMN(CJ$2)-69,3))*5)+MOD(COLUMN(CJ$2),3),1,1),"")</f>
        <v>0</v>
      </c>
      <c r="CK97">
        <f ca="1">IF($AN97="",OFFSET(Demand!$A$13,ROW(U94)-1,4+((QUOTIENT(COLUMN(CK$2)-69,3))*5)+MOD(COLUMN(CK$2),3),1,1),"")</f>
        <v>0</v>
      </c>
      <c r="CL97">
        <f ca="1">IF($AN97="",OFFSET(Demand!$A$13,ROW(V94)-1,4+((QUOTIENT(COLUMN(CL$2)-69,3))*5)+MOD(COLUMN(CL$2),3),1,1),"")</f>
        <v>0</v>
      </c>
      <c r="CM97">
        <f ca="1">IF($AN97="",OFFSET(Demand!$A$13,ROW(W94)-1,4+((QUOTIENT(COLUMN(CM$2)-69,3))*5)+MOD(COLUMN(CM$2),3),1,1),"")</f>
        <v>0</v>
      </c>
      <c r="CN97">
        <f ca="1">IF($AN97="",OFFSET(Demand!$A$13,ROW(X94)-1,4+((QUOTIENT(COLUMN(CN$2)-69,3))*5)+MOD(COLUMN(CN$2),3),1,1),"")</f>
        <v>0</v>
      </c>
      <c r="CO97">
        <f ca="1">IF($AN97="",OFFSET(Demand!$A$13,ROW(Y94)-1,4+((QUOTIENT(COLUMN(CO$2)-69,3))*5)+MOD(COLUMN(CO$2),3),1,1),"")</f>
        <v>0</v>
      </c>
      <c r="CP97">
        <f ca="1">IF($AN97="",OFFSET(Demand!$A$13,ROW(Z94)-1,4+((QUOTIENT(COLUMN(CP$2)-69,3))*5)+MOD(COLUMN(CP$2),3),1,1),"")</f>
        <v>0</v>
      </c>
      <c r="CQ97">
        <f ca="1">IF($AN97="",OFFSET(Demand!$A$13,ROW(AA94)-1,4+((QUOTIENT(COLUMN(CQ$2)-69,3))*5)+MOD(COLUMN(CQ$2),3),1,1),"")</f>
        <v>0</v>
      </c>
      <c r="CR97">
        <f ca="1">IF($AN97="",OFFSET(Demand!$A$13,ROW(AB94)-1,4+((QUOTIENT(COLUMN(CR$2)-69,3))*5)+MOD(COLUMN(CR$2),3),1,1),"")</f>
        <v>0</v>
      </c>
      <c r="CS97">
        <f ca="1">IF($AN97="",OFFSET(Demand!$A$13,ROW(AC94)-1,4+((QUOTIENT(COLUMN(CS$2)-69,3))*5)+MOD(COLUMN(CS$2),3),1,1),"")</f>
        <v>0</v>
      </c>
      <c r="CT97">
        <f ca="1">IF($AN97="",OFFSET(Demand!$A$13,ROW(AD94)-1,4+((QUOTIENT(COLUMN(CT$2)-69,3))*5)+MOD(COLUMN(CT$2),3),1,1),"")</f>
        <v>0</v>
      </c>
      <c r="CW97" s="5">
        <f ca="1">SUM(OFFSET(Demand!$H$43,ROW(A94)-1,(COLUMN(A94)-1)*5,1,1))*N$2</f>
        <v>0</v>
      </c>
      <c r="CX97" s="5">
        <f ca="1">SUM(OFFSET(Demand!$H$43,ROW(B94)-1,(COLUMN(B94)-1)*5,1,1))*O$2</f>
        <v>0</v>
      </c>
      <c r="CY97" s="5">
        <f ca="1">SUM(OFFSET(Demand!$H$43,ROW(C94)-1,(COLUMN(C94)-1)*5,1,1))*P$2</f>
        <v>0</v>
      </c>
      <c r="CZ97" s="5">
        <f ca="1">SUM(OFFSET(Demand!$H$43,ROW(D94)-1,(COLUMN(D94)-1)*5,1,1))*Q$2</f>
        <v>0</v>
      </c>
      <c r="DA97" s="5">
        <f ca="1">SUM(OFFSET(Demand!$H$43,ROW(E94)-1,(COLUMN(E94)-1)*5,1,1))*R$2</f>
        <v>0</v>
      </c>
      <c r="DB97" s="5">
        <f ca="1">SUM(OFFSET(Demand!$H$43,ROW(F94)-1,(COLUMN(F94)-1)*5,1,1))*S$2</f>
        <v>0</v>
      </c>
      <c r="DC97" s="5">
        <f ca="1">SUM(OFFSET(Demand!$H$43,ROW(G94)-1,(COLUMN(G94)-1)*5,1,1))*T$2</f>
        <v>0</v>
      </c>
      <c r="DD97" s="5">
        <f ca="1">SUM(OFFSET(Demand!$H$43,ROW(H94)-1,(COLUMN(H94)-1)*5,1,1))*U$2</f>
        <v>0</v>
      </c>
      <c r="DE97" s="5">
        <f ca="1">SUM(OFFSET(Demand!$H$43,ROW(I94)-1,(COLUMN(I94)-1)*5,1,1))*V$2</f>
        <v>0</v>
      </c>
      <c r="DF97" s="5">
        <f ca="1">SUM(OFFSET(Demand!$H$43,ROW(J94)-1,(COLUMN(J94)-1)*5,1,1))*W$2</f>
        <v>0</v>
      </c>
      <c r="DG97" s="5">
        <f ca="1">IF(OR(AN97&lt;&gt;"",AND('Demand adjustments for Covid'!$F$9="Yes",'Demand adjustments for Covid'!$F$20="Yes")),"",SUM(CW97:DF97))</f>
        <v>0</v>
      </c>
    </row>
    <row r="98" spans="1:111" x14ac:dyDescent="0.25">
      <c r="A98" s="5">
        <f t="shared" ca="1" si="34"/>
        <v>1</v>
      </c>
      <c r="B98" s="5">
        <f ca="1">COUNTBLANK(OFFSET(Demand!$I107,0,(COLUMN(A95)-1)*5,1,1))</f>
        <v>1</v>
      </c>
      <c r="C98" s="5">
        <f ca="1">COUNTBLANK(OFFSET(Demand!$I107,0,(COLUMN(B95)-1)*5,1,1))</f>
        <v>1</v>
      </c>
      <c r="D98" s="5">
        <f ca="1">COUNTBLANK(OFFSET(Demand!$I107,0,(COLUMN(C95)-1)*5,1,1))</f>
        <v>1</v>
      </c>
      <c r="E98" s="5">
        <f ca="1">COUNTBLANK(OFFSET(Demand!$I107,0,(COLUMN(D95)-1)*5,1,1))</f>
        <v>1</v>
      </c>
      <c r="F98" s="5">
        <f ca="1">COUNTBLANK(OFFSET(Demand!$I107,0,(COLUMN(E95)-1)*5,1,1))</f>
        <v>1</v>
      </c>
      <c r="G98" s="5">
        <f ca="1">COUNTBLANK(OFFSET(Demand!$I107,0,(COLUMN(F95)-1)*5,1,1))</f>
        <v>1</v>
      </c>
      <c r="H98" s="5">
        <f ca="1">COUNTBLANK(OFFSET(Demand!$I107,0,(COLUMN(G95)-1)*5,1,1))</f>
        <v>1</v>
      </c>
      <c r="I98" s="5">
        <f ca="1">COUNTBLANK(OFFSET(Demand!$I107,0,(COLUMN(H95)-1)*5,1,1))</f>
        <v>1</v>
      </c>
      <c r="J98" s="5">
        <f ca="1">COUNTBLANK(OFFSET(Demand!$I107,0,(COLUMN(I95)-1)*5,1,1))</f>
        <v>1</v>
      </c>
      <c r="K98" s="5">
        <f ca="1">COUNTBLANK(OFFSET(Demand!$I107,0,(COLUMN(J95)-1)*5,1,1))</f>
        <v>1</v>
      </c>
      <c r="N98" s="5">
        <f ca="1">SUM(OFFSET(Demand!$E107,0,(COLUMN(A95)-1)*5,1,3))*N$2</f>
        <v>0</v>
      </c>
      <c r="O98" s="5">
        <f ca="1">SUM(OFFSET(Demand!$E107,0,(COLUMN(B95)-1)*5,1,3))*O$2</f>
        <v>0</v>
      </c>
      <c r="P98" s="5">
        <f ca="1">SUM(OFFSET(Demand!$E107,0,(COLUMN(C95)-1)*5,1,3))*P$2</f>
        <v>0</v>
      </c>
      <c r="Q98" s="5">
        <f ca="1">SUM(OFFSET(Demand!$E107,0,(COLUMN(D95)-1)*5,1,3))*Q$2</f>
        <v>0</v>
      </c>
      <c r="R98" s="5">
        <f ca="1">SUM(OFFSET(Demand!$E107,0,(COLUMN(E95)-1)*5,1,3))*R$2</f>
        <v>0</v>
      </c>
      <c r="S98" s="5">
        <f ca="1">SUM(OFFSET(Demand!$E107,0,(COLUMN(F95)-1)*5,1,3))*S$2</f>
        <v>0</v>
      </c>
      <c r="T98" s="5">
        <f ca="1">SUM(OFFSET(Demand!$E107,0,(COLUMN(G95)-1)*5,1,3))*T$2</f>
        <v>0</v>
      </c>
      <c r="U98" s="5">
        <f ca="1">SUM(OFFSET(Demand!$E107,0,(COLUMN(H95)-1)*5,1,3))*U$2</f>
        <v>0</v>
      </c>
      <c r="V98" s="5">
        <f ca="1">SUM(OFFSET(Demand!$E107,0,(COLUMN(I95)-1)*5,1,3))*V$2</f>
        <v>0</v>
      </c>
      <c r="W98" s="5">
        <f ca="1">SUM(OFFSET(Demand!$E107,0,(COLUMN(J95)-1)*5,1,3))*W$2</f>
        <v>0</v>
      </c>
      <c r="X98" s="5">
        <f t="shared" ca="1" si="37"/>
        <v>0</v>
      </c>
      <c r="Y98">
        <f t="shared" ca="1" si="38"/>
        <v>0</v>
      </c>
      <c r="Z98" s="5">
        <f ca="1">SUM(OFFSET(Demand!$H107,0,(COLUMN(A95)-1)*5,1,1))*N$2</f>
        <v>0</v>
      </c>
      <c r="AA98" s="5">
        <f ca="1">SUM(OFFSET(Demand!$H107,0,(COLUMN(B95)-1)*5,1,1))*O$2</f>
        <v>0</v>
      </c>
      <c r="AB98" s="5">
        <f ca="1">SUM(OFFSET(Demand!$H107,0,(COLUMN(C95)-1)*5,1,1))*P$2</f>
        <v>0</v>
      </c>
      <c r="AC98" s="5">
        <f ca="1">SUM(OFFSET(Demand!$H107,0,(COLUMN(D95)-1)*5,1,1))*Q$2</f>
        <v>0</v>
      </c>
      <c r="AD98" s="5">
        <f ca="1">SUM(OFFSET(Demand!$H107,0,(COLUMN(E95)-1)*5,1,1))*R$2</f>
        <v>0</v>
      </c>
      <c r="AE98" s="5">
        <f ca="1">SUM(OFFSET(Demand!$H107,0,(COLUMN(F95)-1)*5,1,1))*S$2</f>
        <v>0</v>
      </c>
      <c r="AF98" s="5">
        <f ca="1">SUM(OFFSET(Demand!$H107,0,(COLUMN(G95)-1)*5,1,1))*T$2</f>
        <v>0</v>
      </c>
      <c r="AG98" s="5">
        <f ca="1">SUM(OFFSET(Demand!$H107,0,(COLUMN(H95)-1)*5,1,1))*U$2</f>
        <v>0</v>
      </c>
      <c r="AH98" s="5">
        <f ca="1">SUM(OFFSET(Demand!$H107,0,(COLUMN(I95)-1)*5,1,1))*V$2</f>
        <v>0</v>
      </c>
      <c r="AI98" s="5">
        <f ca="1">SUM(OFFSET(Demand!$H107,0,(COLUMN(J95)-1)*5,1,1))*W$2</f>
        <v>0</v>
      </c>
      <c r="AJ98" s="5">
        <f t="shared" ca="1" si="39"/>
        <v>0</v>
      </c>
      <c r="AL98" s="5">
        <f t="shared" ca="1" si="40"/>
        <v>0</v>
      </c>
      <c r="AM98" s="5">
        <f t="shared" ca="1" si="41"/>
        <v>0</v>
      </c>
      <c r="AN98" s="5" t="str">
        <f>IF(Demand!BE107="Yes","Yes","")</f>
        <v/>
      </c>
      <c r="AP98" s="36" t="str">
        <f ca="1">Demand!B107</f>
        <v xml:space="preserve"> </v>
      </c>
      <c r="AQ98" t="str">
        <f ca="1">IF(TEXT(Demand!D107,"MMM")&lt;&gt;TEXT(Demand!D106,"MMM"),TEXT(Demand!D107,"MMM"),"")</f>
        <v/>
      </c>
      <c r="AT98" s="5">
        <f t="shared" ca="1" si="42"/>
        <v>0</v>
      </c>
      <c r="BQ98">
        <f ca="1">IF($AN98="",OFFSET(Demand!$A$13,ROW(A95)-1,4+((QUOTIENT(COLUMN(BQ$2)-69,3))*5)+MOD(COLUMN(BQ$2),3),1,1),"")</f>
        <v>0</v>
      </c>
      <c r="BR98">
        <f ca="1">IF($AN98="",OFFSET(Demand!$A$13,ROW(B95)-1,4+((QUOTIENT(COLUMN(BR$2)-69,3))*5)+MOD(COLUMN(BR$2),3),1,1),"")</f>
        <v>0</v>
      </c>
      <c r="BS98">
        <f ca="1">IF($AN98="",OFFSET(Demand!$A$13,ROW(C95)-1,4+((QUOTIENT(COLUMN(BS$2)-69,3))*5)+MOD(COLUMN(BS$2),3),1,1),"")</f>
        <v>0</v>
      </c>
      <c r="BT98">
        <f ca="1">IF($AN98="",OFFSET(Demand!$A$13,ROW(D95)-1,4+((QUOTIENT(COLUMN(BT$2)-69,3))*5)+MOD(COLUMN(BT$2),3),1,1),"")</f>
        <v>0</v>
      </c>
      <c r="BU98">
        <f ca="1">IF($AN98="",OFFSET(Demand!$A$13,ROW(E95)-1,4+((QUOTIENT(COLUMN(BU$2)-69,3))*5)+MOD(COLUMN(BU$2),3),1,1),"")</f>
        <v>0</v>
      </c>
      <c r="BV98">
        <f ca="1">IF($AN98="",OFFSET(Demand!$A$13,ROW(F95)-1,4+((QUOTIENT(COLUMN(BV$2)-69,3))*5)+MOD(COLUMN(BV$2),3),1,1),"")</f>
        <v>0</v>
      </c>
      <c r="BW98">
        <f ca="1">IF($AN98="",OFFSET(Demand!$A$13,ROW(G95)-1,4+((QUOTIENT(COLUMN(BW$2)-69,3))*5)+MOD(COLUMN(BW$2),3),1,1),"")</f>
        <v>0</v>
      </c>
      <c r="BX98">
        <f ca="1">IF($AN98="",OFFSET(Demand!$A$13,ROW(H95)-1,4+((QUOTIENT(COLUMN(BX$2)-69,3))*5)+MOD(COLUMN(BX$2),3),1,1),"")</f>
        <v>0</v>
      </c>
      <c r="BY98">
        <f ca="1">IF($AN98="",OFFSET(Demand!$A$13,ROW(I95)-1,4+((QUOTIENT(COLUMN(BY$2)-69,3))*5)+MOD(COLUMN(BY$2),3),1,1),"")</f>
        <v>0</v>
      </c>
      <c r="BZ98">
        <f ca="1">IF($AN98="",OFFSET(Demand!$A$13,ROW(J95)-1,4+((QUOTIENT(COLUMN(BZ$2)-69,3))*5)+MOD(COLUMN(BZ$2),3),1,1),"")</f>
        <v>0</v>
      </c>
      <c r="CA98">
        <f ca="1">IF($AN98="",OFFSET(Demand!$A$13,ROW(K95)-1,4+((QUOTIENT(COLUMN(CA$2)-69,3))*5)+MOD(COLUMN(CA$2),3),1,1),"")</f>
        <v>0</v>
      </c>
      <c r="CB98">
        <f ca="1">IF($AN98="",OFFSET(Demand!$A$13,ROW(L95)-1,4+((QUOTIENT(COLUMN(CB$2)-69,3))*5)+MOD(COLUMN(CB$2),3),1,1),"")</f>
        <v>0</v>
      </c>
      <c r="CC98">
        <f ca="1">IF($AN98="",OFFSET(Demand!$A$13,ROW(M95)-1,4+((QUOTIENT(COLUMN(CC$2)-69,3))*5)+MOD(COLUMN(CC$2),3),1,1),"")</f>
        <v>0</v>
      </c>
      <c r="CD98">
        <f ca="1">IF($AN98="",OFFSET(Demand!$A$13,ROW(N95)-1,4+((QUOTIENT(COLUMN(CD$2)-69,3))*5)+MOD(COLUMN(CD$2),3),1,1),"")</f>
        <v>0</v>
      </c>
      <c r="CE98">
        <f ca="1">IF($AN98="",OFFSET(Demand!$A$13,ROW(O95)-1,4+((QUOTIENT(COLUMN(CE$2)-69,3))*5)+MOD(COLUMN(CE$2),3),1,1),"")</f>
        <v>0</v>
      </c>
      <c r="CF98">
        <f ca="1">IF($AN98="",OFFSET(Demand!$A$13,ROW(P95)-1,4+((QUOTIENT(COLUMN(CF$2)-69,3))*5)+MOD(COLUMN(CF$2),3),1,1),"")</f>
        <v>0</v>
      </c>
      <c r="CG98">
        <f ca="1">IF($AN98="",OFFSET(Demand!$A$13,ROW(Q95)-1,4+((QUOTIENT(COLUMN(CG$2)-69,3))*5)+MOD(COLUMN(CG$2),3),1,1),"")</f>
        <v>0</v>
      </c>
      <c r="CH98">
        <f ca="1">IF($AN98="",OFFSET(Demand!$A$13,ROW(R95)-1,4+((QUOTIENT(COLUMN(CH$2)-69,3))*5)+MOD(COLUMN(CH$2),3),1,1),"")</f>
        <v>0</v>
      </c>
      <c r="CI98">
        <f ca="1">IF($AN98="",OFFSET(Demand!$A$13,ROW(S95)-1,4+((QUOTIENT(COLUMN(CI$2)-69,3))*5)+MOD(COLUMN(CI$2),3),1,1),"")</f>
        <v>0</v>
      </c>
      <c r="CJ98">
        <f ca="1">IF($AN98="",OFFSET(Demand!$A$13,ROW(T95)-1,4+((QUOTIENT(COLUMN(CJ$2)-69,3))*5)+MOD(COLUMN(CJ$2),3),1,1),"")</f>
        <v>0</v>
      </c>
      <c r="CK98">
        <f ca="1">IF($AN98="",OFFSET(Demand!$A$13,ROW(U95)-1,4+((QUOTIENT(COLUMN(CK$2)-69,3))*5)+MOD(COLUMN(CK$2),3),1,1),"")</f>
        <v>0</v>
      </c>
      <c r="CL98">
        <f ca="1">IF($AN98="",OFFSET(Demand!$A$13,ROW(V95)-1,4+((QUOTIENT(COLUMN(CL$2)-69,3))*5)+MOD(COLUMN(CL$2),3),1,1),"")</f>
        <v>0</v>
      </c>
      <c r="CM98">
        <f ca="1">IF($AN98="",OFFSET(Demand!$A$13,ROW(W95)-1,4+((QUOTIENT(COLUMN(CM$2)-69,3))*5)+MOD(COLUMN(CM$2),3),1,1),"")</f>
        <v>0</v>
      </c>
      <c r="CN98">
        <f ca="1">IF($AN98="",OFFSET(Demand!$A$13,ROW(X95)-1,4+((QUOTIENT(COLUMN(CN$2)-69,3))*5)+MOD(COLUMN(CN$2),3),1,1),"")</f>
        <v>0</v>
      </c>
      <c r="CO98">
        <f ca="1">IF($AN98="",OFFSET(Demand!$A$13,ROW(Y95)-1,4+((QUOTIENT(COLUMN(CO$2)-69,3))*5)+MOD(COLUMN(CO$2),3),1,1),"")</f>
        <v>0</v>
      </c>
      <c r="CP98">
        <f ca="1">IF($AN98="",OFFSET(Demand!$A$13,ROW(Z95)-1,4+((QUOTIENT(COLUMN(CP$2)-69,3))*5)+MOD(COLUMN(CP$2),3),1,1),"")</f>
        <v>0</v>
      </c>
      <c r="CQ98">
        <f ca="1">IF($AN98="",OFFSET(Demand!$A$13,ROW(AA95)-1,4+((QUOTIENT(COLUMN(CQ$2)-69,3))*5)+MOD(COLUMN(CQ$2),3),1,1),"")</f>
        <v>0</v>
      </c>
      <c r="CR98">
        <f ca="1">IF($AN98="",OFFSET(Demand!$A$13,ROW(AB95)-1,4+((QUOTIENT(COLUMN(CR$2)-69,3))*5)+MOD(COLUMN(CR$2),3),1,1),"")</f>
        <v>0</v>
      </c>
      <c r="CS98">
        <f ca="1">IF($AN98="",OFFSET(Demand!$A$13,ROW(AC95)-1,4+((QUOTIENT(COLUMN(CS$2)-69,3))*5)+MOD(COLUMN(CS$2),3),1,1),"")</f>
        <v>0</v>
      </c>
      <c r="CT98">
        <f ca="1">IF($AN98="",OFFSET(Demand!$A$13,ROW(AD95)-1,4+((QUOTIENT(COLUMN(CT$2)-69,3))*5)+MOD(COLUMN(CT$2),3),1,1),"")</f>
        <v>0</v>
      </c>
      <c r="CW98" s="5">
        <f ca="1">SUM(OFFSET(Demand!$H$43,ROW(A95)-1,(COLUMN(A95)-1)*5,1,1))*N$2</f>
        <v>0</v>
      </c>
      <c r="CX98" s="5">
        <f ca="1">SUM(OFFSET(Demand!$H$43,ROW(B95)-1,(COLUMN(B95)-1)*5,1,1))*O$2</f>
        <v>0</v>
      </c>
      <c r="CY98" s="5">
        <f ca="1">SUM(OFFSET(Demand!$H$43,ROW(C95)-1,(COLUMN(C95)-1)*5,1,1))*P$2</f>
        <v>0</v>
      </c>
      <c r="CZ98" s="5">
        <f ca="1">SUM(OFFSET(Demand!$H$43,ROW(D95)-1,(COLUMN(D95)-1)*5,1,1))*Q$2</f>
        <v>0</v>
      </c>
      <c r="DA98" s="5">
        <f ca="1">SUM(OFFSET(Demand!$H$43,ROW(E95)-1,(COLUMN(E95)-1)*5,1,1))*R$2</f>
        <v>0</v>
      </c>
      <c r="DB98" s="5">
        <f ca="1">SUM(OFFSET(Demand!$H$43,ROW(F95)-1,(COLUMN(F95)-1)*5,1,1))*S$2</f>
        <v>0</v>
      </c>
      <c r="DC98" s="5">
        <f ca="1">SUM(OFFSET(Demand!$H$43,ROW(G95)-1,(COLUMN(G95)-1)*5,1,1))*T$2</f>
        <v>0</v>
      </c>
      <c r="DD98" s="5">
        <f ca="1">SUM(OFFSET(Demand!$H$43,ROW(H95)-1,(COLUMN(H95)-1)*5,1,1))*U$2</f>
        <v>0</v>
      </c>
      <c r="DE98" s="5">
        <f ca="1">SUM(OFFSET(Demand!$H$43,ROW(I95)-1,(COLUMN(I95)-1)*5,1,1))*V$2</f>
        <v>0</v>
      </c>
      <c r="DF98" s="5">
        <f ca="1">SUM(OFFSET(Demand!$H$43,ROW(J95)-1,(COLUMN(J95)-1)*5,1,1))*W$2</f>
        <v>0</v>
      </c>
      <c r="DG98" s="5">
        <f ca="1">IF(OR(AN98&lt;&gt;"",AND('Demand adjustments for Covid'!$F$9="Yes",'Demand adjustments for Covid'!$F$20="Yes")),"",SUM(CW98:DF98))</f>
        <v>0</v>
      </c>
    </row>
    <row r="99" spans="1:111" x14ac:dyDescent="0.25">
      <c r="A99" s="5">
        <f t="shared" ca="1" si="34"/>
        <v>1</v>
      </c>
      <c r="B99" s="5">
        <f ca="1">COUNTBLANK(OFFSET(Demand!$I108,0,(COLUMN(A96)-1)*5,1,1))</f>
        <v>1</v>
      </c>
      <c r="C99" s="5">
        <f ca="1">COUNTBLANK(OFFSET(Demand!$I108,0,(COLUMN(B96)-1)*5,1,1))</f>
        <v>1</v>
      </c>
      <c r="D99" s="5">
        <f ca="1">COUNTBLANK(OFFSET(Demand!$I108,0,(COLUMN(C96)-1)*5,1,1))</f>
        <v>1</v>
      </c>
      <c r="E99" s="5">
        <f ca="1">COUNTBLANK(OFFSET(Demand!$I108,0,(COLUMN(D96)-1)*5,1,1))</f>
        <v>1</v>
      </c>
      <c r="F99" s="5">
        <f ca="1">COUNTBLANK(OFFSET(Demand!$I108,0,(COLUMN(E96)-1)*5,1,1))</f>
        <v>1</v>
      </c>
      <c r="G99" s="5">
        <f ca="1">COUNTBLANK(OFFSET(Demand!$I108,0,(COLUMN(F96)-1)*5,1,1))</f>
        <v>1</v>
      </c>
      <c r="H99" s="5">
        <f ca="1">COUNTBLANK(OFFSET(Demand!$I108,0,(COLUMN(G96)-1)*5,1,1))</f>
        <v>1</v>
      </c>
      <c r="I99" s="5">
        <f ca="1">COUNTBLANK(OFFSET(Demand!$I108,0,(COLUMN(H96)-1)*5,1,1))</f>
        <v>1</v>
      </c>
      <c r="J99" s="5">
        <f ca="1">COUNTBLANK(OFFSET(Demand!$I108,0,(COLUMN(I96)-1)*5,1,1))</f>
        <v>1</v>
      </c>
      <c r="K99" s="5">
        <f ca="1">COUNTBLANK(OFFSET(Demand!$I108,0,(COLUMN(J96)-1)*5,1,1))</f>
        <v>1</v>
      </c>
      <c r="N99" s="5">
        <f ca="1">SUM(OFFSET(Demand!$E108,0,(COLUMN(A96)-1)*5,1,3))*N$2</f>
        <v>0</v>
      </c>
      <c r="O99" s="5">
        <f ca="1">SUM(OFFSET(Demand!$E108,0,(COLUMN(B96)-1)*5,1,3))*O$2</f>
        <v>0</v>
      </c>
      <c r="P99" s="5">
        <f ca="1">SUM(OFFSET(Demand!$E108,0,(COLUMN(C96)-1)*5,1,3))*P$2</f>
        <v>0</v>
      </c>
      <c r="Q99" s="5">
        <f ca="1">SUM(OFFSET(Demand!$E108,0,(COLUMN(D96)-1)*5,1,3))*Q$2</f>
        <v>0</v>
      </c>
      <c r="R99" s="5">
        <f ca="1">SUM(OFFSET(Demand!$E108,0,(COLUMN(E96)-1)*5,1,3))*R$2</f>
        <v>0</v>
      </c>
      <c r="S99" s="5">
        <f ca="1">SUM(OFFSET(Demand!$E108,0,(COLUMN(F96)-1)*5,1,3))*S$2</f>
        <v>0</v>
      </c>
      <c r="T99" s="5">
        <f ca="1">SUM(OFFSET(Demand!$E108,0,(COLUMN(G96)-1)*5,1,3))*T$2</f>
        <v>0</v>
      </c>
      <c r="U99" s="5">
        <f ca="1">SUM(OFFSET(Demand!$E108,0,(COLUMN(H96)-1)*5,1,3))*U$2</f>
        <v>0</v>
      </c>
      <c r="V99" s="5">
        <f ca="1">SUM(OFFSET(Demand!$E108,0,(COLUMN(I96)-1)*5,1,3))*V$2</f>
        <v>0</v>
      </c>
      <c r="W99" s="5">
        <f ca="1">SUM(OFFSET(Demand!$E108,0,(COLUMN(J96)-1)*5,1,3))*W$2</f>
        <v>0</v>
      </c>
      <c r="X99" s="5">
        <f t="shared" ca="1" si="37"/>
        <v>0</v>
      </c>
      <c r="Y99">
        <f t="shared" ca="1" si="38"/>
        <v>0</v>
      </c>
      <c r="Z99" s="5">
        <f ca="1">SUM(OFFSET(Demand!$H108,0,(COLUMN(A96)-1)*5,1,1))*N$2</f>
        <v>0</v>
      </c>
      <c r="AA99" s="5">
        <f ca="1">SUM(OFFSET(Demand!$H108,0,(COLUMN(B96)-1)*5,1,1))*O$2</f>
        <v>0</v>
      </c>
      <c r="AB99" s="5">
        <f ca="1">SUM(OFFSET(Demand!$H108,0,(COLUMN(C96)-1)*5,1,1))*P$2</f>
        <v>0</v>
      </c>
      <c r="AC99" s="5">
        <f ca="1">SUM(OFFSET(Demand!$H108,0,(COLUMN(D96)-1)*5,1,1))*Q$2</f>
        <v>0</v>
      </c>
      <c r="AD99" s="5">
        <f ca="1">SUM(OFFSET(Demand!$H108,0,(COLUMN(E96)-1)*5,1,1))*R$2</f>
        <v>0</v>
      </c>
      <c r="AE99" s="5">
        <f ca="1">SUM(OFFSET(Demand!$H108,0,(COLUMN(F96)-1)*5,1,1))*S$2</f>
        <v>0</v>
      </c>
      <c r="AF99" s="5">
        <f ca="1">SUM(OFFSET(Demand!$H108,0,(COLUMN(G96)-1)*5,1,1))*T$2</f>
        <v>0</v>
      </c>
      <c r="AG99" s="5">
        <f ca="1">SUM(OFFSET(Demand!$H108,0,(COLUMN(H96)-1)*5,1,1))*U$2</f>
        <v>0</v>
      </c>
      <c r="AH99" s="5">
        <f ca="1">SUM(OFFSET(Demand!$H108,0,(COLUMN(I96)-1)*5,1,1))*V$2</f>
        <v>0</v>
      </c>
      <c r="AI99" s="5">
        <f ca="1">SUM(OFFSET(Demand!$H108,0,(COLUMN(J96)-1)*5,1,1))*W$2</f>
        <v>0</v>
      </c>
      <c r="AJ99" s="5">
        <f t="shared" ca="1" si="39"/>
        <v>0</v>
      </c>
      <c r="AL99" s="5">
        <f t="shared" ca="1" si="40"/>
        <v>0</v>
      </c>
      <c r="AM99" s="5">
        <f t="shared" ca="1" si="41"/>
        <v>0</v>
      </c>
      <c r="AN99" s="5" t="str">
        <f>IF(Demand!BE108="Yes","Yes","")</f>
        <v/>
      </c>
      <c r="AP99" s="36" t="str">
        <f ca="1">Demand!B108</f>
        <v xml:space="preserve"> </v>
      </c>
      <c r="AQ99" t="str">
        <f ca="1">IF(TEXT(Demand!D108,"MMM")&lt;&gt;TEXT(Demand!D107,"MMM"),TEXT(Demand!D108,"MMM"),"")</f>
        <v/>
      </c>
      <c r="AT99" s="5">
        <f t="shared" ca="1" si="42"/>
        <v>0</v>
      </c>
      <c r="BQ99">
        <f ca="1">IF($AN99="",OFFSET(Demand!$A$13,ROW(A96)-1,4+((QUOTIENT(COLUMN(BQ$2)-69,3))*5)+MOD(COLUMN(BQ$2),3),1,1),"")</f>
        <v>0</v>
      </c>
      <c r="BR99">
        <f ca="1">IF($AN99="",OFFSET(Demand!$A$13,ROW(B96)-1,4+((QUOTIENT(COLUMN(BR$2)-69,3))*5)+MOD(COLUMN(BR$2),3),1,1),"")</f>
        <v>0</v>
      </c>
      <c r="BS99">
        <f ca="1">IF($AN99="",OFFSET(Demand!$A$13,ROW(C96)-1,4+((QUOTIENT(COLUMN(BS$2)-69,3))*5)+MOD(COLUMN(BS$2),3),1,1),"")</f>
        <v>0</v>
      </c>
      <c r="BT99">
        <f ca="1">IF($AN99="",OFFSET(Demand!$A$13,ROW(D96)-1,4+((QUOTIENT(COLUMN(BT$2)-69,3))*5)+MOD(COLUMN(BT$2),3),1,1),"")</f>
        <v>0</v>
      </c>
      <c r="BU99">
        <f ca="1">IF($AN99="",OFFSET(Demand!$A$13,ROW(E96)-1,4+((QUOTIENT(COLUMN(BU$2)-69,3))*5)+MOD(COLUMN(BU$2),3),1,1),"")</f>
        <v>0</v>
      </c>
      <c r="BV99">
        <f ca="1">IF($AN99="",OFFSET(Demand!$A$13,ROW(F96)-1,4+((QUOTIENT(COLUMN(BV$2)-69,3))*5)+MOD(COLUMN(BV$2),3),1,1),"")</f>
        <v>0</v>
      </c>
      <c r="BW99">
        <f ca="1">IF($AN99="",OFFSET(Demand!$A$13,ROW(G96)-1,4+((QUOTIENT(COLUMN(BW$2)-69,3))*5)+MOD(COLUMN(BW$2),3),1,1),"")</f>
        <v>0</v>
      </c>
      <c r="BX99">
        <f ca="1">IF($AN99="",OFFSET(Demand!$A$13,ROW(H96)-1,4+((QUOTIENT(COLUMN(BX$2)-69,3))*5)+MOD(COLUMN(BX$2),3),1,1),"")</f>
        <v>0</v>
      </c>
      <c r="BY99">
        <f ca="1">IF($AN99="",OFFSET(Demand!$A$13,ROW(I96)-1,4+((QUOTIENT(COLUMN(BY$2)-69,3))*5)+MOD(COLUMN(BY$2),3),1,1),"")</f>
        <v>0</v>
      </c>
      <c r="BZ99">
        <f ca="1">IF($AN99="",OFFSET(Demand!$A$13,ROW(J96)-1,4+((QUOTIENT(COLUMN(BZ$2)-69,3))*5)+MOD(COLUMN(BZ$2),3),1,1),"")</f>
        <v>0</v>
      </c>
      <c r="CA99">
        <f ca="1">IF($AN99="",OFFSET(Demand!$A$13,ROW(K96)-1,4+((QUOTIENT(COLUMN(CA$2)-69,3))*5)+MOD(COLUMN(CA$2),3),1,1),"")</f>
        <v>0</v>
      </c>
      <c r="CB99">
        <f ca="1">IF($AN99="",OFFSET(Demand!$A$13,ROW(L96)-1,4+((QUOTIENT(COLUMN(CB$2)-69,3))*5)+MOD(COLUMN(CB$2),3),1,1),"")</f>
        <v>0</v>
      </c>
      <c r="CC99">
        <f ca="1">IF($AN99="",OFFSET(Demand!$A$13,ROW(M96)-1,4+((QUOTIENT(COLUMN(CC$2)-69,3))*5)+MOD(COLUMN(CC$2),3),1,1),"")</f>
        <v>0</v>
      </c>
      <c r="CD99">
        <f ca="1">IF($AN99="",OFFSET(Demand!$A$13,ROW(N96)-1,4+((QUOTIENT(COLUMN(CD$2)-69,3))*5)+MOD(COLUMN(CD$2),3),1,1),"")</f>
        <v>0</v>
      </c>
      <c r="CE99">
        <f ca="1">IF($AN99="",OFFSET(Demand!$A$13,ROW(O96)-1,4+((QUOTIENT(COLUMN(CE$2)-69,3))*5)+MOD(COLUMN(CE$2),3),1,1),"")</f>
        <v>0</v>
      </c>
      <c r="CF99">
        <f ca="1">IF($AN99="",OFFSET(Demand!$A$13,ROW(P96)-1,4+((QUOTIENT(COLUMN(CF$2)-69,3))*5)+MOD(COLUMN(CF$2),3),1,1),"")</f>
        <v>0</v>
      </c>
      <c r="CG99">
        <f ca="1">IF($AN99="",OFFSET(Demand!$A$13,ROW(Q96)-1,4+((QUOTIENT(COLUMN(CG$2)-69,3))*5)+MOD(COLUMN(CG$2),3),1,1),"")</f>
        <v>0</v>
      </c>
      <c r="CH99">
        <f ca="1">IF($AN99="",OFFSET(Demand!$A$13,ROW(R96)-1,4+((QUOTIENT(COLUMN(CH$2)-69,3))*5)+MOD(COLUMN(CH$2),3),1,1),"")</f>
        <v>0</v>
      </c>
      <c r="CI99">
        <f ca="1">IF($AN99="",OFFSET(Demand!$A$13,ROW(S96)-1,4+((QUOTIENT(COLUMN(CI$2)-69,3))*5)+MOD(COLUMN(CI$2),3),1,1),"")</f>
        <v>0</v>
      </c>
      <c r="CJ99">
        <f ca="1">IF($AN99="",OFFSET(Demand!$A$13,ROW(T96)-1,4+((QUOTIENT(COLUMN(CJ$2)-69,3))*5)+MOD(COLUMN(CJ$2),3),1,1),"")</f>
        <v>0</v>
      </c>
      <c r="CK99">
        <f ca="1">IF($AN99="",OFFSET(Demand!$A$13,ROW(U96)-1,4+((QUOTIENT(COLUMN(CK$2)-69,3))*5)+MOD(COLUMN(CK$2),3),1,1),"")</f>
        <v>0</v>
      </c>
      <c r="CL99">
        <f ca="1">IF($AN99="",OFFSET(Demand!$A$13,ROW(V96)-1,4+((QUOTIENT(COLUMN(CL$2)-69,3))*5)+MOD(COLUMN(CL$2),3),1,1),"")</f>
        <v>0</v>
      </c>
      <c r="CM99">
        <f ca="1">IF($AN99="",OFFSET(Demand!$A$13,ROW(W96)-1,4+((QUOTIENT(COLUMN(CM$2)-69,3))*5)+MOD(COLUMN(CM$2),3),1,1),"")</f>
        <v>0</v>
      </c>
      <c r="CN99">
        <f ca="1">IF($AN99="",OFFSET(Demand!$A$13,ROW(X96)-1,4+((QUOTIENT(COLUMN(CN$2)-69,3))*5)+MOD(COLUMN(CN$2),3),1,1),"")</f>
        <v>0</v>
      </c>
      <c r="CO99">
        <f ca="1">IF($AN99="",OFFSET(Demand!$A$13,ROW(Y96)-1,4+((QUOTIENT(COLUMN(CO$2)-69,3))*5)+MOD(COLUMN(CO$2),3),1,1),"")</f>
        <v>0</v>
      </c>
      <c r="CP99">
        <f ca="1">IF($AN99="",OFFSET(Demand!$A$13,ROW(Z96)-1,4+((QUOTIENT(COLUMN(CP$2)-69,3))*5)+MOD(COLUMN(CP$2),3),1,1),"")</f>
        <v>0</v>
      </c>
      <c r="CQ99">
        <f ca="1">IF($AN99="",OFFSET(Demand!$A$13,ROW(AA96)-1,4+((QUOTIENT(COLUMN(CQ$2)-69,3))*5)+MOD(COLUMN(CQ$2),3),1,1),"")</f>
        <v>0</v>
      </c>
      <c r="CR99">
        <f ca="1">IF($AN99="",OFFSET(Demand!$A$13,ROW(AB96)-1,4+((QUOTIENT(COLUMN(CR$2)-69,3))*5)+MOD(COLUMN(CR$2),3),1,1),"")</f>
        <v>0</v>
      </c>
      <c r="CS99">
        <f ca="1">IF($AN99="",OFFSET(Demand!$A$13,ROW(AC96)-1,4+((QUOTIENT(COLUMN(CS$2)-69,3))*5)+MOD(COLUMN(CS$2),3),1,1),"")</f>
        <v>0</v>
      </c>
      <c r="CT99">
        <f ca="1">IF($AN99="",OFFSET(Demand!$A$13,ROW(AD96)-1,4+((QUOTIENT(COLUMN(CT$2)-69,3))*5)+MOD(COLUMN(CT$2),3),1,1),"")</f>
        <v>0</v>
      </c>
      <c r="CW99" s="5">
        <f ca="1">SUM(OFFSET(Demand!$H$43,ROW(A96)-1,(COLUMN(A96)-1)*5,1,1))*N$2</f>
        <v>0</v>
      </c>
      <c r="CX99" s="5">
        <f ca="1">SUM(OFFSET(Demand!$H$43,ROW(B96)-1,(COLUMN(B96)-1)*5,1,1))*O$2</f>
        <v>0</v>
      </c>
      <c r="CY99" s="5">
        <f ca="1">SUM(OFFSET(Demand!$H$43,ROW(C96)-1,(COLUMN(C96)-1)*5,1,1))*P$2</f>
        <v>0</v>
      </c>
      <c r="CZ99" s="5">
        <f ca="1">SUM(OFFSET(Demand!$H$43,ROW(D96)-1,(COLUMN(D96)-1)*5,1,1))*Q$2</f>
        <v>0</v>
      </c>
      <c r="DA99" s="5">
        <f ca="1">SUM(OFFSET(Demand!$H$43,ROW(E96)-1,(COLUMN(E96)-1)*5,1,1))*R$2</f>
        <v>0</v>
      </c>
      <c r="DB99" s="5">
        <f ca="1">SUM(OFFSET(Demand!$H$43,ROW(F96)-1,(COLUMN(F96)-1)*5,1,1))*S$2</f>
        <v>0</v>
      </c>
      <c r="DC99" s="5">
        <f ca="1">SUM(OFFSET(Demand!$H$43,ROW(G96)-1,(COLUMN(G96)-1)*5,1,1))*T$2</f>
        <v>0</v>
      </c>
      <c r="DD99" s="5">
        <f ca="1">SUM(OFFSET(Demand!$H$43,ROW(H96)-1,(COLUMN(H96)-1)*5,1,1))*U$2</f>
        <v>0</v>
      </c>
      <c r="DE99" s="5">
        <f ca="1">SUM(OFFSET(Demand!$H$43,ROW(I96)-1,(COLUMN(I96)-1)*5,1,1))*V$2</f>
        <v>0</v>
      </c>
      <c r="DF99" s="5">
        <f ca="1">SUM(OFFSET(Demand!$H$43,ROW(J96)-1,(COLUMN(J96)-1)*5,1,1))*W$2</f>
        <v>0</v>
      </c>
      <c r="DG99" s="5">
        <f ca="1">IF(OR(AN99&lt;&gt;"",AND('Demand adjustments for Covid'!$F$9="Yes",'Demand adjustments for Covid'!$F$20="Yes")),"",SUM(CW99:DF99))</f>
        <v>0</v>
      </c>
    </row>
    <row r="100" spans="1:111" x14ac:dyDescent="0.25">
      <c r="A100" s="5">
        <f t="shared" ca="1" si="34"/>
        <v>1</v>
      </c>
      <c r="B100" s="5">
        <f ca="1">COUNTBLANK(OFFSET(Demand!$I109,0,(COLUMN(A97)-1)*5,1,1))</f>
        <v>1</v>
      </c>
      <c r="C100" s="5">
        <f ca="1">COUNTBLANK(OFFSET(Demand!$I109,0,(COLUMN(B97)-1)*5,1,1))</f>
        <v>1</v>
      </c>
      <c r="D100" s="5">
        <f ca="1">COUNTBLANK(OFFSET(Demand!$I109,0,(COLUMN(C97)-1)*5,1,1))</f>
        <v>1</v>
      </c>
      <c r="E100" s="5">
        <f ca="1">COUNTBLANK(OFFSET(Demand!$I109,0,(COLUMN(D97)-1)*5,1,1))</f>
        <v>1</v>
      </c>
      <c r="F100" s="5">
        <f ca="1">COUNTBLANK(OFFSET(Demand!$I109,0,(COLUMN(E97)-1)*5,1,1))</f>
        <v>1</v>
      </c>
      <c r="G100" s="5">
        <f ca="1">COUNTBLANK(OFFSET(Demand!$I109,0,(COLUMN(F97)-1)*5,1,1))</f>
        <v>1</v>
      </c>
      <c r="H100" s="5">
        <f ca="1">COUNTBLANK(OFFSET(Demand!$I109,0,(COLUMN(G97)-1)*5,1,1))</f>
        <v>1</v>
      </c>
      <c r="I100" s="5">
        <f ca="1">COUNTBLANK(OFFSET(Demand!$I109,0,(COLUMN(H97)-1)*5,1,1))</f>
        <v>1</v>
      </c>
      <c r="J100" s="5">
        <f ca="1">COUNTBLANK(OFFSET(Demand!$I109,0,(COLUMN(I97)-1)*5,1,1))</f>
        <v>1</v>
      </c>
      <c r="K100" s="5">
        <f ca="1">COUNTBLANK(OFFSET(Demand!$I109,0,(COLUMN(J97)-1)*5,1,1))</f>
        <v>1</v>
      </c>
      <c r="N100" s="5">
        <f ca="1">SUM(OFFSET(Demand!$E109,0,(COLUMN(A97)-1)*5,1,3))*N$2</f>
        <v>0</v>
      </c>
      <c r="O100" s="5">
        <f ca="1">SUM(OFFSET(Demand!$E109,0,(COLUMN(B97)-1)*5,1,3))*O$2</f>
        <v>0</v>
      </c>
      <c r="P100" s="5">
        <f ca="1">SUM(OFFSET(Demand!$E109,0,(COLUMN(C97)-1)*5,1,3))*P$2</f>
        <v>0</v>
      </c>
      <c r="Q100" s="5">
        <f ca="1">SUM(OFFSET(Demand!$E109,0,(COLUMN(D97)-1)*5,1,3))*Q$2</f>
        <v>0</v>
      </c>
      <c r="R100" s="5">
        <f ca="1">SUM(OFFSET(Demand!$E109,0,(COLUMN(E97)-1)*5,1,3))*R$2</f>
        <v>0</v>
      </c>
      <c r="S100" s="5">
        <f ca="1">SUM(OFFSET(Demand!$E109,0,(COLUMN(F97)-1)*5,1,3))*S$2</f>
        <v>0</v>
      </c>
      <c r="T100" s="5">
        <f ca="1">SUM(OFFSET(Demand!$E109,0,(COLUMN(G97)-1)*5,1,3))*T$2</f>
        <v>0</v>
      </c>
      <c r="U100" s="5">
        <f ca="1">SUM(OFFSET(Demand!$E109,0,(COLUMN(H97)-1)*5,1,3))*U$2</f>
        <v>0</v>
      </c>
      <c r="V100" s="5">
        <f ca="1">SUM(OFFSET(Demand!$E109,0,(COLUMN(I97)-1)*5,1,3))*V$2</f>
        <v>0</v>
      </c>
      <c r="W100" s="5">
        <f ca="1">SUM(OFFSET(Demand!$E109,0,(COLUMN(J97)-1)*5,1,3))*W$2</f>
        <v>0</v>
      </c>
      <c r="X100" s="5">
        <f t="shared" ca="1" si="37"/>
        <v>0</v>
      </c>
      <c r="Y100">
        <f t="shared" ca="1" si="38"/>
        <v>0</v>
      </c>
      <c r="Z100" s="5">
        <f ca="1">SUM(OFFSET(Demand!$H109,0,(COLUMN(A97)-1)*5,1,1))*N$2</f>
        <v>0</v>
      </c>
      <c r="AA100" s="5">
        <f ca="1">SUM(OFFSET(Demand!$H109,0,(COLUMN(B97)-1)*5,1,1))*O$2</f>
        <v>0</v>
      </c>
      <c r="AB100" s="5">
        <f ca="1">SUM(OFFSET(Demand!$H109,0,(COLUMN(C97)-1)*5,1,1))*P$2</f>
        <v>0</v>
      </c>
      <c r="AC100" s="5">
        <f ca="1">SUM(OFFSET(Demand!$H109,0,(COLUMN(D97)-1)*5,1,1))*Q$2</f>
        <v>0</v>
      </c>
      <c r="AD100" s="5">
        <f ca="1">SUM(OFFSET(Demand!$H109,0,(COLUMN(E97)-1)*5,1,1))*R$2</f>
        <v>0</v>
      </c>
      <c r="AE100" s="5">
        <f ca="1">SUM(OFFSET(Demand!$H109,0,(COLUMN(F97)-1)*5,1,1))*S$2</f>
        <v>0</v>
      </c>
      <c r="AF100" s="5">
        <f ca="1">SUM(OFFSET(Demand!$H109,0,(COLUMN(G97)-1)*5,1,1))*T$2</f>
        <v>0</v>
      </c>
      <c r="AG100" s="5">
        <f ca="1">SUM(OFFSET(Demand!$H109,0,(COLUMN(H97)-1)*5,1,1))*U$2</f>
        <v>0</v>
      </c>
      <c r="AH100" s="5">
        <f ca="1">SUM(OFFSET(Demand!$H109,0,(COLUMN(I97)-1)*5,1,1))*V$2</f>
        <v>0</v>
      </c>
      <c r="AI100" s="5">
        <f ca="1">SUM(OFFSET(Demand!$H109,0,(COLUMN(J97)-1)*5,1,1))*W$2</f>
        <v>0</v>
      </c>
      <c r="AJ100" s="5">
        <f t="shared" ca="1" si="39"/>
        <v>0</v>
      </c>
      <c r="AL100" s="5">
        <f t="shared" ca="1" si="40"/>
        <v>0</v>
      </c>
      <c r="AM100" s="5">
        <f t="shared" ca="1" si="41"/>
        <v>0</v>
      </c>
      <c r="AN100" s="5" t="str">
        <f>IF(Demand!BE109="Yes","Yes","")</f>
        <v/>
      </c>
      <c r="AP100" s="36" t="str">
        <f ca="1">Demand!B109</f>
        <v xml:space="preserve"> </v>
      </c>
      <c r="AQ100" t="str">
        <f ca="1">IF(TEXT(Demand!D109,"MMM")&lt;&gt;TEXT(Demand!D108,"MMM"),TEXT(Demand!D109,"MMM"),"")</f>
        <v/>
      </c>
      <c r="AT100" s="5">
        <f t="shared" ca="1" si="42"/>
        <v>0</v>
      </c>
      <c r="BQ100">
        <f ca="1">IF($AN100="",OFFSET(Demand!$A$13,ROW(A97)-1,4+((QUOTIENT(COLUMN(BQ$2)-69,3))*5)+MOD(COLUMN(BQ$2),3),1,1),"")</f>
        <v>0</v>
      </c>
      <c r="BR100">
        <f ca="1">IF($AN100="",OFFSET(Demand!$A$13,ROW(B97)-1,4+((QUOTIENT(COLUMN(BR$2)-69,3))*5)+MOD(COLUMN(BR$2),3),1,1),"")</f>
        <v>0</v>
      </c>
      <c r="BS100">
        <f ca="1">IF($AN100="",OFFSET(Demand!$A$13,ROW(C97)-1,4+((QUOTIENT(COLUMN(BS$2)-69,3))*5)+MOD(COLUMN(BS$2),3),1,1),"")</f>
        <v>0</v>
      </c>
      <c r="BT100">
        <f ca="1">IF($AN100="",OFFSET(Demand!$A$13,ROW(D97)-1,4+((QUOTIENT(COLUMN(BT$2)-69,3))*5)+MOD(COLUMN(BT$2),3),1,1),"")</f>
        <v>0</v>
      </c>
      <c r="BU100">
        <f ca="1">IF($AN100="",OFFSET(Demand!$A$13,ROW(E97)-1,4+((QUOTIENT(COLUMN(BU$2)-69,3))*5)+MOD(COLUMN(BU$2),3),1,1),"")</f>
        <v>0</v>
      </c>
      <c r="BV100">
        <f ca="1">IF($AN100="",OFFSET(Demand!$A$13,ROW(F97)-1,4+((QUOTIENT(COLUMN(BV$2)-69,3))*5)+MOD(COLUMN(BV$2),3),1,1),"")</f>
        <v>0</v>
      </c>
      <c r="BW100">
        <f ca="1">IF($AN100="",OFFSET(Demand!$A$13,ROW(G97)-1,4+((QUOTIENT(COLUMN(BW$2)-69,3))*5)+MOD(COLUMN(BW$2),3),1,1),"")</f>
        <v>0</v>
      </c>
      <c r="BX100">
        <f ca="1">IF($AN100="",OFFSET(Demand!$A$13,ROW(H97)-1,4+((QUOTIENT(COLUMN(BX$2)-69,3))*5)+MOD(COLUMN(BX$2),3),1,1),"")</f>
        <v>0</v>
      </c>
      <c r="BY100">
        <f ca="1">IF($AN100="",OFFSET(Demand!$A$13,ROW(I97)-1,4+((QUOTIENT(COLUMN(BY$2)-69,3))*5)+MOD(COLUMN(BY$2),3),1,1),"")</f>
        <v>0</v>
      </c>
      <c r="BZ100">
        <f ca="1">IF($AN100="",OFFSET(Demand!$A$13,ROW(J97)-1,4+((QUOTIENT(COLUMN(BZ$2)-69,3))*5)+MOD(COLUMN(BZ$2),3),1,1),"")</f>
        <v>0</v>
      </c>
      <c r="CA100">
        <f ca="1">IF($AN100="",OFFSET(Demand!$A$13,ROW(K97)-1,4+((QUOTIENT(COLUMN(CA$2)-69,3))*5)+MOD(COLUMN(CA$2),3),1,1),"")</f>
        <v>0</v>
      </c>
      <c r="CB100">
        <f ca="1">IF($AN100="",OFFSET(Demand!$A$13,ROW(L97)-1,4+((QUOTIENT(COLUMN(CB$2)-69,3))*5)+MOD(COLUMN(CB$2),3),1,1),"")</f>
        <v>0</v>
      </c>
      <c r="CC100">
        <f ca="1">IF($AN100="",OFFSET(Demand!$A$13,ROW(M97)-1,4+((QUOTIENT(COLUMN(CC$2)-69,3))*5)+MOD(COLUMN(CC$2),3),1,1),"")</f>
        <v>0</v>
      </c>
      <c r="CD100">
        <f ca="1">IF($AN100="",OFFSET(Demand!$A$13,ROW(N97)-1,4+((QUOTIENT(COLUMN(CD$2)-69,3))*5)+MOD(COLUMN(CD$2),3),1,1),"")</f>
        <v>0</v>
      </c>
      <c r="CE100">
        <f ca="1">IF($AN100="",OFFSET(Demand!$A$13,ROW(O97)-1,4+((QUOTIENT(COLUMN(CE$2)-69,3))*5)+MOD(COLUMN(CE$2),3),1,1),"")</f>
        <v>0</v>
      </c>
      <c r="CF100">
        <f ca="1">IF($AN100="",OFFSET(Demand!$A$13,ROW(P97)-1,4+((QUOTIENT(COLUMN(CF$2)-69,3))*5)+MOD(COLUMN(CF$2),3),1,1),"")</f>
        <v>0</v>
      </c>
      <c r="CG100">
        <f ca="1">IF($AN100="",OFFSET(Demand!$A$13,ROW(Q97)-1,4+((QUOTIENT(COLUMN(CG$2)-69,3))*5)+MOD(COLUMN(CG$2),3),1,1),"")</f>
        <v>0</v>
      </c>
      <c r="CH100">
        <f ca="1">IF($AN100="",OFFSET(Demand!$A$13,ROW(R97)-1,4+((QUOTIENT(COLUMN(CH$2)-69,3))*5)+MOD(COLUMN(CH$2),3),1,1),"")</f>
        <v>0</v>
      </c>
      <c r="CI100">
        <f ca="1">IF($AN100="",OFFSET(Demand!$A$13,ROW(S97)-1,4+((QUOTIENT(COLUMN(CI$2)-69,3))*5)+MOD(COLUMN(CI$2),3),1,1),"")</f>
        <v>0</v>
      </c>
      <c r="CJ100">
        <f ca="1">IF($AN100="",OFFSET(Demand!$A$13,ROW(T97)-1,4+((QUOTIENT(COLUMN(CJ$2)-69,3))*5)+MOD(COLUMN(CJ$2),3),1,1),"")</f>
        <v>0</v>
      </c>
      <c r="CK100">
        <f ca="1">IF($AN100="",OFFSET(Demand!$A$13,ROW(U97)-1,4+((QUOTIENT(COLUMN(CK$2)-69,3))*5)+MOD(COLUMN(CK$2),3),1,1),"")</f>
        <v>0</v>
      </c>
      <c r="CL100">
        <f ca="1">IF($AN100="",OFFSET(Demand!$A$13,ROW(V97)-1,4+((QUOTIENT(COLUMN(CL$2)-69,3))*5)+MOD(COLUMN(CL$2),3),1,1),"")</f>
        <v>0</v>
      </c>
      <c r="CM100">
        <f ca="1">IF($AN100="",OFFSET(Demand!$A$13,ROW(W97)-1,4+((QUOTIENT(COLUMN(CM$2)-69,3))*5)+MOD(COLUMN(CM$2),3),1,1),"")</f>
        <v>0</v>
      </c>
      <c r="CN100">
        <f ca="1">IF($AN100="",OFFSET(Demand!$A$13,ROW(X97)-1,4+((QUOTIENT(COLUMN(CN$2)-69,3))*5)+MOD(COLUMN(CN$2),3),1,1),"")</f>
        <v>0</v>
      </c>
      <c r="CO100">
        <f ca="1">IF($AN100="",OFFSET(Demand!$A$13,ROW(Y97)-1,4+((QUOTIENT(COLUMN(CO$2)-69,3))*5)+MOD(COLUMN(CO$2),3),1,1),"")</f>
        <v>0</v>
      </c>
      <c r="CP100">
        <f ca="1">IF($AN100="",OFFSET(Demand!$A$13,ROW(Z97)-1,4+((QUOTIENT(COLUMN(CP$2)-69,3))*5)+MOD(COLUMN(CP$2),3),1,1),"")</f>
        <v>0</v>
      </c>
      <c r="CQ100">
        <f ca="1">IF($AN100="",OFFSET(Demand!$A$13,ROW(AA97)-1,4+((QUOTIENT(COLUMN(CQ$2)-69,3))*5)+MOD(COLUMN(CQ$2),3),1,1),"")</f>
        <v>0</v>
      </c>
      <c r="CR100">
        <f ca="1">IF($AN100="",OFFSET(Demand!$A$13,ROW(AB97)-1,4+((QUOTIENT(COLUMN(CR$2)-69,3))*5)+MOD(COLUMN(CR$2),3),1,1),"")</f>
        <v>0</v>
      </c>
      <c r="CS100">
        <f ca="1">IF($AN100="",OFFSET(Demand!$A$13,ROW(AC97)-1,4+((QUOTIENT(COLUMN(CS$2)-69,3))*5)+MOD(COLUMN(CS$2),3),1,1),"")</f>
        <v>0</v>
      </c>
      <c r="CT100">
        <f ca="1">IF($AN100="",OFFSET(Demand!$A$13,ROW(AD97)-1,4+((QUOTIENT(COLUMN(CT$2)-69,3))*5)+MOD(COLUMN(CT$2),3),1,1),"")</f>
        <v>0</v>
      </c>
      <c r="CW100" s="5">
        <f ca="1">SUM(OFFSET(Demand!$H$43,ROW(A97)-1,(COLUMN(A97)-1)*5,1,1))*N$2</f>
        <v>0</v>
      </c>
      <c r="CX100" s="5">
        <f ca="1">SUM(OFFSET(Demand!$H$43,ROW(B97)-1,(COLUMN(B97)-1)*5,1,1))*O$2</f>
        <v>0</v>
      </c>
      <c r="CY100" s="5">
        <f ca="1">SUM(OFFSET(Demand!$H$43,ROW(C97)-1,(COLUMN(C97)-1)*5,1,1))*P$2</f>
        <v>0</v>
      </c>
      <c r="CZ100" s="5">
        <f ca="1">SUM(OFFSET(Demand!$H$43,ROW(D97)-1,(COLUMN(D97)-1)*5,1,1))*Q$2</f>
        <v>0</v>
      </c>
      <c r="DA100" s="5">
        <f ca="1">SUM(OFFSET(Demand!$H$43,ROW(E97)-1,(COLUMN(E97)-1)*5,1,1))*R$2</f>
        <v>0</v>
      </c>
      <c r="DB100" s="5">
        <f ca="1">SUM(OFFSET(Demand!$H$43,ROW(F97)-1,(COLUMN(F97)-1)*5,1,1))*S$2</f>
        <v>0</v>
      </c>
      <c r="DC100" s="5">
        <f ca="1">SUM(OFFSET(Demand!$H$43,ROW(G97)-1,(COLUMN(G97)-1)*5,1,1))*T$2</f>
        <v>0</v>
      </c>
      <c r="DD100" s="5">
        <f ca="1">SUM(OFFSET(Demand!$H$43,ROW(H97)-1,(COLUMN(H97)-1)*5,1,1))*U$2</f>
        <v>0</v>
      </c>
      <c r="DE100" s="5">
        <f ca="1">SUM(OFFSET(Demand!$H$43,ROW(I97)-1,(COLUMN(I97)-1)*5,1,1))*V$2</f>
        <v>0</v>
      </c>
      <c r="DF100" s="5">
        <f ca="1">SUM(OFFSET(Demand!$H$43,ROW(J97)-1,(COLUMN(J97)-1)*5,1,1))*W$2</f>
        <v>0</v>
      </c>
      <c r="DG100" s="5">
        <f ca="1">IF(OR(AN100&lt;&gt;"",AND('Demand adjustments for Covid'!$F$9="Yes",'Demand adjustments for Covid'!$F$20="Yes")),"",SUM(CW100:DF100))</f>
        <v>0</v>
      </c>
    </row>
    <row r="101" spans="1:111" x14ac:dyDescent="0.25">
      <c r="A101" s="5">
        <f t="shared" ca="1" si="34"/>
        <v>1</v>
      </c>
      <c r="B101" s="5">
        <f ca="1">COUNTBLANK(OFFSET(Demand!$I110,0,(COLUMN(A98)-1)*5,1,1))</f>
        <v>1</v>
      </c>
      <c r="C101" s="5">
        <f ca="1">COUNTBLANK(OFFSET(Demand!$I110,0,(COLUMN(B98)-1)*5,1,1))</f>
        <v>1</v>
      </c>
      <c r="D101" s="5">
        <f ca="1">COUNTBLANK(OFFSET(Demand!$I110,0,(COLUMN(C98)-1)*5,1,1))</f>
        <v>1</v>
      </c>
      <c r="E101" s="5">
        <f ca="1">COUNTBLANK(OFFSET(Demand!$I110,0,(COLUMN(D98)-1)*5,1,1))</f>
        <v>1</v>
      </c>
      <c r="F101" s="5">
        <f ca="1">COUNTBLANK(OFFSET(Demand!$I110,0,(COLUMN(E98)-1)*5,1,1))</f>
        <v>1</v>
      </c>
      <c r="G101" s="5">
        <f ca="1">COUNTBLANK(OFFSET(Demand!$I110,0,(COLUMN(F98)-1)*5,1,1))</f>
        <v>1</v>
      </c>
      <c r="H101" s="5">
        <f ca="1">COUNTBLANK(OFFSET(Demand!$I110,0,(COLUMN(G98)-1)*5,1,1))</f>
        <v>1</v>
      </c>
      <c r="I101" s="5">
        <f ca="1">COUNTBLANK(OFFSET(Demand!$I110,0,(COLUMN(H98)-1)*5,1,1))</f>
        <v>1</v>
      </c>
      <c r="J101" s="5">
        <f ca="1">COUNTBLANK(OFFSET(Demand!$I110,0,(COLUMN(I98)-1)*5,1,1))</f>
        <v>1</v>
      </c>
      <c r="K101" s="5">
        <f ca="1">COUNTBLANK(OFFSET(Demand!$I110,0,(COLUMN(J98)-1)*5,1,1))</f>
        <v>1</v>
      </c>
      <c r="N101" s="5">
        <f ca="1">SUM(OFFSET(Demand!$E110,0,(COLUMN(A98)-1)*5,1,3))*N$2</f>
        <v>0</v>
      </c>
      <c r="O101" s="5">
        <f ca="1">SUM(OFFSET(Demand!$E110,0,(COLUMN(B98)-1)*5,1,3))*O$2</f>
        <v>0</v>
      </c>
      <c r="P101" s="5">
        <f ca="1">SUM(OFFSET(Demand!$E110,0,(COLUMN(C98)-1)*5,1,3))*P$2</f>
        <v>0</v>
      </c>
      <c r="Q101" s="5">
        <f ca="1">SUM(OFFSET(Demand!$E110,0,(COLUMN(D98)-1)*5,1,3))*Q$2</f>
        <v>0</v>
      </c>
      <c r="R101" s="5">
        <f ca="1">SUM(OFFSET(Demand!$E110,0,(COLUMN(E98)-1)*5,1,3))*R$2</f>
        <v>0</v>
      </c>
      <c r="S101" s="5">
        <f ca="1">SUM(OFFSET(Demand!$E110,0,(COLUMN(F98)-1)*5,1,3))*S$2</f>
        <v>0</v>
      </c>
      <c r="T101" s="5">
        <f ca="1">SUM(OFFSET(Demand!$E110,0,(COLUMN(G98)-1)*5,1,3))*T$2</f>
        <v>0</v>
      </c>
      <c r="U101" s="5">
        <f ca="1">SUM(OFFSET(Demand!$E110,0,(COLUMN(H98)-1)*5,1,3))*U$2</f>
        <v>0</v>
      </c>
      <c r="V101" s="5">
        <f ca="1">SUM(OFFSET(Demand!$E110,0,(COLUMN(I98)-1)*5,1,3))*V$2</f>
        <v>0</v>
      </c>
      <c r="W101" s="5">
        <f ca="1">SUM(OFFSET(Demand!$E110,0,(COLUMN(J98)-1)*5,1,3))*W$2</f>
        <v>0</v>
      </c>
      <c r="X101" s="5">
        <f t="shared" ca="1" si="37"/>
        <v>0</v>
      </c>
      <c r="Y101">
        <f t="shared" ca="1" si="38"/>
        <v>0</v>
      </c>
      <c r="Z101" s="5">
        <f ca="1">SUM(OFFSET(Demand!$H110,0,(COLUMN(A98)-1)*5,1,1))*N$2</f>
        <v>0</v>
      </c>
      <c r="AA101" s="5">
        <f ca="1">SUM(OFFSET(Demand!$H110,0,(COLUMN(B98)-1)*5,1,1))*O$2</f>
        <v>0</v>
      </c>
      <c r="AB101" s="5">
        <f ca="1">SUM(OFFSET(Demand!$H110,0,(COLUMN(C98)-1)*5,1,1))*P$2</f>
        <v>0</v>
      </c>
      <c r="AC101" s="5">
        <f ca="1">SUM(OFFSET(Demand!$H110,0,(COLUMN(D98)-1)*5,1,1))*Q$2</f>
        <v>0</v>
      </c>
      <c r="AD101" s="5">
        <f ca="1">SUM(OFFSET(Demand!$H110,0,(COLUMN(E98)-1)*5,1,1))*R$2</f>
        <v>0</v>
      </c>
      <c r="AE101" s="5">
        <f ca="1">SUM(OFFSET(Demand!$H110,0,(COLUMN(F98)-1)*5,1,1))*S$2</f>
        <v>0</v>
      </c>
      <c r="AF101" s="5">
        <f ca="1">SUM(OFFSET(Demand!$H110,0,(COLUMN(G98)-1)*5,1,1))*T$2</f>
        <v>0</v>
      </c>
      <c r="AG101" s="5">
        <f ca="1">SUM(OFFSET(Demand!$H110,0,(COLUMN(H98)-1)*5,1,1))*U$2</f>
        <v>0</v>
      </c>
      <c r="AH101" s="5">
        <f ca="1">SUM(OFFSET(Demand!$H110,0,(COLUMN(I98)-1)*5,1,1))*V$2</f>
        <v>0</v>
      </c>
      <c r="AI101" s="5">
        <f ca="1">SUM(OFFSET(Demand!$H110,0,(COLUMN(J98)-1)*5,1,1))*W$2</f>
        <v>0</v>
      </c>
      <c r="AJ101" s="5">
        <f t="shared" ca="1" si="39"/>
        <v>0</v>
      </c>
      <c r="AL101" s="5">
        <f t="shared" ca="1" si="40"/>
        <v>0</v>
      </c>
      <c r="AM101" s="5">
        <f t="shared" ca="1" si="41"/>
        <v>0</v>
      </c>
      <c r="AN101" s="5" t="str">
        <f>IF(Demand!BE110="Yes","Yes","")</f>
        <v/>
      </c>
      <c r="AP101" s="36" t="str">
        <f ca="1">Demand!B110</f>
        <v xml:space="preserve"> </v>
      </c>
      <c r="AQ101" t="str">
        <f ca="1">IF(TEXT(Demand!D110,"MMM")&lt;&gt;TEXT(Demand!D109,"MMM"),TEXT(Demand!D110,"MMM"),"")</f>
        <v/>
      </c>
      <c r="AT101" s="5">
        <f t="shared" ca="1" si="42"/>
        <v>0</v>
      </c>
      <c r="BQ101">
        <f ca="1">IF($AN101="",OFFSET(Demand!$A$13,ROW(A98)-1,4+((QUOTIENT(COLUMN(BQ$2)-69,3))*5)+MOD(COLUMN(BQ$2),3),1,1),"")</f>
        <v>0</v>
      </c>
      <c r="BR101">
        <f ca="1">IF($AN101="",OFFSET(Demand!$A$13,ROW(B98)-1,4+((QUOTIENT(COLUMN(BR$2)-69,3))*5)+MOD(COLUMN(BR$2),3),1,1),"")</f>
        <v>0</v>
      </c>
      <c r="BS101">
        <f ca="1">IF($AN101="",OFFSET(Demand!$A$13,ROW(C98)-1,4+((QUOTIENT(COLUMN(BS$2)-69,3))*5)+MOD(COLUMN(BS$2),3),1,1),"")</f>
        <v>0</v>
      </c>
      <c r="BT101">
        <f ca="1">IF($AN101="",OFFSET(Demand!$A$13,ROW(D98)-1,4+((QUOTIENT(COLUMN(BT$2)-69,3))*5)+MOD(COLUMN(BT$2),3),1,1),"")</f>
        <v>0</v>
      </c>
      <c r="BU101">
        <f ca="1">IF($AN101="",OFFSET(Demand!$A$13,ROW(E98)-1,4+((QUOTIENT(COLUMN(BU$2)-69,3))*5)+MOD(COLUMN(BU$2),3),1,1),"")</f>
        <v>0</v>
      </c>
      <c r="BV101">
        <f ca="1">IF($AN101="",OFFSET(Demand!$A$13,ROW(F98)-1,4+((QUOTIENT(COLUMN(BV$2)-69,3))*5)+MOD(COLUMN(BV$2),3),1,1),"")</f>
        <v>0</v>
      </c>
      <c r="BW101">
        <f ca="1">IF($AN101="",OFFSET(Demand!$A$13,ROW(G98)-1,4+((QUOTIENT(COLUMN(BW$2)-69,3))*5)+MOD(COLUMN(BW$2),3),1,1),"")</f>
        <v>0</v>
      </c>
      <c r="BX101">
        <f ca="1">IF($AN101="",OFFSET(Demand!$A$13,ROW(H98)-1,4+((QUOTIENT(COLUMN(BX$2)-69,3))*5)+MOD(COLUMN(BX$2),3),1,1),"")</f>
        <v>0</v>
      </c>
      <c r="BY101">
        <f ca="1">IF($AN101="",OFFSET(Demand!$A$13,ROW(I98)-1,4+((QUOTIENT(COLUMN(BY$2)-69,3))*5)+MOD(COLUMN(BY$2),3),1,1),"")</f>
        <v>0</v>
      </c>
      <c r="BZ101">
        <f ca="1">IF($AN101="",OFFSET(Demand!$A$13,ROW(J98)-1,4+((QUOTIENT(COLUMN(BZ$2)-69,3))*5)+MOD(COLUMN(BZ$2),3),1,1),"")</f>
        <v>0</v>
      </c>
      <c r="CA101">
        <f ca="1">IF($AN101="",OFFSET(Demand!$A$13,ROW(K98)-1,4+((QUOTIENT(COLUMN(CA$2)-69,3))*5)+MOD(COLUMN(CA$2),3),1,1),"")</f>
        <v>0</v>
      </c>
      <c r="CB101">
        <f ca="1">IF($AN101="",OFFSET(Demand!$A$13,ROW(L98)-1,4+((QUOTIENT(COLUMN(CB$2)-69,3))*5)+MOD(COLUMN(CB$2),3),1,1),"")</f>
        <v>0</v>
      </c>
      <c r="CC101">
        <f ca="1">IF($AN101="",OFFSET(Demand!$A$13,ROW(M98)-1,4+((QUOTIENT(COLUMN(CC$2)-69,3))*5)+MOD(COLUMN(CC$2),3),1,1),"")</f>
        <v>0</v>
      </c>
      <c r="CD101">
        <f ca="1">IF($AN101="",OFFSET(Demand!$A$13,ROW(N98)-1,4+((QUOTIENT(COLUMN(CD$2)-69,3))*5)+MOD(COLUMN(CD$2),3),1,1),"")</f>
        <v>0</v>
      </c>
      <c r="CE101">
        <f ca="1">IF($AN101="",OFFSET(Demand!$A$13,ROW(O98)-1,4+((QUOTIENT(COLUMN(CE$2)-69,3))*5)+MOD(COLUMN(CE$2),3),1,1),"")</f>
        <v>0</v>
      </c>
      <c r="CF101">
        <f ca="1">IF($AN101="",OFFSET(Demand!$A$13,ROW(P98)-1,4+((QUOTIENT(COLUMN(CF$2)-69,3))*5)+MOD(COLUMN(CF$2),3),1,1),"")</f>
        <v>0</v>
      </c>
      <c r="CG101">
        <f ca="1">IF($AN101="",OFFSET(Demand!$A$13,ROW(Q98)-1,4+((QUOTIENT(COLUMN(CG$2)-69,3))*5)+MOD(COLUMN(CG$2),3),1,1),"")</f>
        <v>0</v>
      </c>
      <c r="CH101">
        <f ca="1">IF($AN101="",OFFSET(Demand!$A$13,ROW(R98)-1,4+((QUOTIENT(COLUMN(CH$2)-69,3))*5)+MOD(COLUMN(CH$2),3),1,1),"")</f>
        <v>0</v>
      </c>
      <c r="CI101">
        <f ca="1">IF($AN101="",OFFSET(Demand!$A$13,ROW(S98)-1,4+((QUOTIENT(COLUMN(CI$2)-69,3))*5)+MOD(COLUMN(CI$2),3),1,1),"")</f>
        <v>0</v>
      </c>
      <c r="CJ101">
        <f ca="1">IF($AN101="",OFFSET(Demand!$A$13,ROW(T98)-1,4+((QUOTIENT(COLUMN(CJ$2)-69,3))*5)+MOD(COLUMN(CJ$2),3),1,1),"")</f>
        <v>0</v>
      </c>
      <c r="CK101">
        <f ca="1">IF($AN101="",OFFSET(Demand!$A$13,ROW(U98)-1,4+((QUOTIENT(COLUMN(CK$2)-69,3))*5)+MOD(COLUMN(CK$2),3),1,1),"")</f>
        <v>0</v>
      </c>
      <c r="CL101">
        <f ca="1">IF($AN101="",OFFSET(Demand!$A$13,ROW(V98)-1,4+((QUOTIENT(COLUMN(CL$2)-69,3))*5)+MOD(COLUMN(CL$2),3),1,1),"")</f>
        <v>0</v>
      </c>
      <c r="CM101">
        <f ca="1">IF($AN101="",OFFSET(Demand!$A$13,ROW(W98)-1,4+((QUOTIENT(COLUMN(CM$2)-69,3))*5)+MOD(COLUMN(CM$2),3),1,1),"")</f>
        <v>0</v>
      </c>
      <c r="CN101">
        <f ca="1">IF($AN101="",OFFSET(Demand!$A$13,ROW(X98)-1,4+((QUOTIENT(COLUMN(CN$2)-69,3))*5)+MOD(COLUMN(CN$2),3),1,1),"")</f>
        <v>0</v>
      </c>
      <c r="CO101">
        <f ca="1">IF($AN101="",OFFSET(Demand!$A$13,ROW(Y98)-1,4+((QUOTIENT(COLUMN(CO$2)-69,3))*5)+MOD(COLUMN(CO$2),3),1,1),"")</f>
        <v>0</v>
      </c>
      <c r="CP101">
        <f ca="1">IF($AN101="",OFFSET(Demand!$A$13,ROW(Z98)-1,4+((QUOTIENT(COLUMN(CP$2)-69,3))*5)+MOD(COLUMN(CP$2),3),1,1),"")</f>
        <v>0</v>
      </c>
      <c r="CQ101">
        <f ca="1">IF($AN101="",OFFSET(Demand!$A$13,ROW(AA98)-1,4+((QUOTIENT(COLUMN(CQ$2)-69,3))*5)+MOD(COLUMN(CQ$2),3),1,1),"")</f>
        <v>0</v>
      </c>
      <c r="CR101">
        <f ca="1">IF($AN101="",OFFSET(Demand!$A$13,ROW(AB98)-1,4+((QUOTIENT(COLUMN(CR$2)-69,3))*5)+MOD(COLUMN(CR$2),3),1,1),"")</f>
        <v>0</v>
      </c>
      <c r="CS101">
        <f ca="1">IF($AN101="",OFFSET(Demand!$A$13,ROW(AC98)-1,4+((QUOTIENT(COLUMN(CS$2)-69,3))*5)+MOD(COLUMN(CS$2),3),1,1),"")</f>
        <v>0</v>
      </c>
      <c r="CT101">
        <f ca="1">IF($AN101="",OFFSET(Demand!$A$13,ROW(AD98)-1,4+((QUOTIENT(COLUMN(CT$2)-69,3))*5)+MOD(COLUMN(CT$2),3),1,1),"")</f>
        <v>0</v>
      </c>
      <c r="CW101" s="5">
        <f ca="1">SUM(OFFSET(Demand!$H$43,ROW(A98)-1,(COLUMN(A98)-1)*5,1,1))*N$2</f>
        <v>0</v>
      </c>
      <c r="CX101" s="5">
        <f ca="1">SUM(OFFSET(Demand!$H$43,ROW(B98)-1,(COLUMN(B98)-1)*5,1,1))*O$2</f>
        <v>0</v>
      </c>
      <c r="CY101" s="5">
        <f ca="1">SUM(OFFSET(Demand!$H$43,ROW(C98)-1,(COLUMN(C98)-1)*5,1,1))*P$2</f>
        <v>0</v>
      </c>
      <c r="CZ101" s="5">
        <f ca="1">SUM(OFFSET(Demand!$H$43,ROW(D98)-1,(COLUMN(D98)-1)*5,1,1))*Q$2</f>
        <v>0</v>
      </c>
      <c r="DA101" s="5">
        <f ca="1">SUM(OFFSET(Demand!$H$43,ROW(E98)-1,(COLUMN(E98)-1)*5,1,1))*R$2</f>
        <v>0</v>
      </c>
      <c r="DB101" s="5">
        <f ca="1">SUM(OFFSET(Demand!$H$43,ROW(F98)-1,(COLUMN(F98)-1)*5,1,1))*S$2</f>
        <v>0</v>
      </c>
      <c r="DC101" s="5">
        <f ca="1">SUM(OFFSET(Demand!$H$43,ROW(G98)-1,(COLUMN(G98)-1)*5,1,1))*T$2</f>
        <v>0</v>
      </c>
      <c r="DD101" s="5">
        <f ca="1">SUM(OFFSET(Demand!$H$43,ROW(H98)-1,(COLUMN(H98)-1)*5,1,1))*U$2</f>
        <v>0</v>
      </c>
      <c r="DE101" s="5">
        <f ca="1">SUM(OFFSET(Demand!$H$43,ROW(I98)-1,(COLUMN(I98)-1)*5,1,1))*V$2</f>
        <v>0</v>
      </c>
      <c r="DF101" s="5">
        <f ca="1">SUM(OFFSET(Demand!$H$43,ROW(J98)-1,(COLUMN(J98)-1)*5,1,1))*W$2</f>
        <v>0</v>
      </c>
      <c r="DG101" s="5">
        <f ca="1">IF(OR(AN101&lt;&gt;"",AND('Demand adjustments for Covid'!$F$9="Yes",'Demand adjustments for Covid'!$F$20="Yes")),"",SUM(CW101:DF101))</f>
        <v>0</v>
      </c>
    </row>
    <row r="102" spans="1:111" x14ac:dyDescent="0.25">
      <c r="A102" s="5">
        <f t="shared" ca="1" si="34"/>
        <v>1</v>
      </c>
      <c r="B102" s="5">
        <f ca="1">COUNTBLANK(OFFSET(Demand!$I111,0,(COLUMN(A99)-1)*5,1,1))</f>
        <v>1</v>
      </c>
      <c r="C102" s="5">
        <f ca="1">COUNTBLANK(OFFSET(Demand!$I111,0,(COLUMN(B99)-1)*5,1,1))</f>
        <v>1</v>
      </c>
      <c r="D102" s="5">
        <f ca="1">COUNTBLANK(OFFSET(Demand!$I111,0,(COLUMN(C99)-1)*5,1,1))</f>
        <v>1</v>
      </c>
      <c r="E102" s="5">
        <f ca="1">COUNTBLANK(OFFSET(Demand!$I111,0,(COLUMN(D99)-1)*5,1,1))</f>
        <v>1</v>
      </c>
      <c r="F102" s="5">
        <f ca="1">COUNTBLANK(OFFSET(Demand!$I111,0,(COLUMN(E99)-1)*5,1,1))</f>
        <v>1</v>
      </c>
      <c r="G102" s="5">
        <f ca="1">COUNTBLANK(OFFSET(Demand!$I111,0,(COLUMN(F99)-1)*5,1,1))</f>
        <v>1</v>
      </c>
      <c r="H102" s="5">
        <f ca="1">COUNTBLANK(OFFSET(Demand!$I111,0,(COLUMN(G99)-1)*5,1,1))</f>
        <v>1</v>
      </c>
      <c r="I102" s="5">
        <f ca="1">COUNTBLANK(OFFSET(Demand!$I111,0,(COLUMN(H99)-1)*5,1,1))</f>
        <v>1</v>
      </c>
      <c r="J102" s="5">
        <f ca="1">COUNTBLANK(OFFSET(Demand!$I111,0,(COLUMN(I99)-1)*5,1,1))</f>
        <v>1</v>
      </c>
      <c r="K102" s="5">
        <f ca="1">COUNTBLANK(OFFSET(Demand!$I111,0,(COLUMN(J99)-1)*5,1,1))</f>
        <v>1</v>
      </c>
      <c r="N102" s="5">
        <f ca="1">SUM(OFFSET(Demand!$E111,0,(COLUMN(A99)-1)*5,1,3))*N$2</f>
        <v>0</v>
      </c>
      <c r="O102" s="5">
        <f ca="1">SUM(OFFSET(Demand!$E111,0,(COLUMN(B99)-1)*5,1,3))*O$2</f>
        <v>0</v>
      </c>
      <c r="P102" s="5">
        <f ca="1">SUM(OFFSET(Demand!$E111,0,(COLUMN(C99)-1)*5,1,3))*P$2</f>
        <v>0</v>
      </c>
      <c r="Q102" s="5">
        <f ca="1">SUM(OFFSET(Demand!$E111,0,(COLUMN(D99)-1)*5,1,3))*Q$2</f>
        <v>0</v>
      </c>
      <c r="R102" s="5">
        <f ca="1">SUM(OFFSET(Demand!$E111,0,(COLUMN(E99)-1)*5,1,3))*R$2</f>
        <v>0</v>
      </c>
      <c r="S102" s="5">
        <f ca="1">SUM(OFFSET(Demand!$E111,0,(COLUMN(F99)-1)*5,1,3))*S$2</f>
        <v>0</v>
      </c>
      <c r="T102" s="5">
        <f ca="1">SUM(OFFSET(Demand!$E111,0,(COLUMN(G99)-1)*5,1,3))*T$2</f>
        <v>0</v>
      </c>
      <c r="U102" s="5">
        <f ca="1">SUM(OFFSET(Demand!$E111,0,(COLUMN(H99)-1)*5,1,3))*U$2</f>
        <v>0</v>
      </c>
      <c r="V102" s="5">
        <f ca="1">SUM(OFFSET(Demand!$E111,0,(COLUMN(I99)-1)*5,1,3))*V$2</f>
        <v>0</v>
      </c>
      <c r="W102" s="5">
        <f ca="1">SUM(OFFSET(Demand!$E111,0,(COLUMN(J99)-1)*5,1,3))*W$2</f>
        <v>0</v>
      </c>
      <c r="X102" s="5">
        <f t="shared" ca="1" si="37"/>
        <v>0</v>
      </c>
      <c r="Y102">
        <f t="shared" ca="1" si="38"/>
        <v>0</v>
      </c>
      <c r="Z102" s="5">
        <f ca="1">SUM(OFFSET(Demand!$H111,0,(COLUMN(A99)-1)*5,1,1))*N$2</f>
        <v>0</v>
      </c>
      <c r="AA102" s="5">
        <f ca="1">SUM(OFFSET(Demand!$H111,0,(COLUMN(B99)-1)*5,1,1))*O$2</f>
        <v>0</v>
      </c>
      <c r="AB102" s="5">
        <f ca="1">SUM(OFFSET(Demand!$H111,0,(COLUMN(C99)-1)*5,1,1))*P$2</f>
        <v>0</v>
      </c>
      <c r="AC102" s="5">
        <f ca="1">SUM(OFFSET(Demand!$H111,0,(COLUMN(D99)-1)*5,1,1))*Q$2</f>
        <v>0</v>
      </c>
      <c r="AD102" s="5">
        <f ca="1">SUM(OFFSET(Demand!$H111,0,(COLUMN(E99)-1)*5,1,1))*R$2</f>
        <v>0</v>
      </c>
      <c r="AE102" s="5">
        <f ca="1">SUM(OFFSET(Demand!$H111,0,(COLUMN(F99)-1)*5,1,1))*S$2</f>
        <v>0</v>
      </c>
      <c r="AF102" s="5">
        <f ca="1">SUM(OFFSET(Demand!$H111,0,(COLUMN(G99)-1)*5,1,1))*T$2</f>
        <v>0</v>
      </c>
      <c r="AG102" s="5">
        <f ca="1">SUM(OFFSET(Demand!$H111,0,(COLUMN(H99)-1)*5,1,1))*U$2</f>
        <v>0</v>
      </c>
      <c r="AH102" s="5">
        <f ca="1">SUM(OFFSET(Demand!$H111,0,(COLUMN(I99)-1)*5,1,1))*V$2</f>
        <v>0</v>
      </c>
      <c r="AI102" s="5">
        <f ca="1">SUM(OFFSET(Demand!$H111,0,(COLUMN(J99)-1)*5,1,1))*W$2</f>
        <v>0</v>
      </c>
      <c r="AJ102" s="5">
        <f t="shared" ca="1" si="39"/>
        <v>0</v>
      </c>
      <c r="AL102" s="5">
        <f t="shared" ca="1" si="40"/>
        <v>0</v>
      </c>
      <c r="AM102" s="5">
        <f t="shared" ca="1" si="41"/>
        <v>0</v>
      </c>
      <c r="AN102" s="5" t="str">
        <f>IF(Demand!BE111="Yes","Yes","")</f>
        <v/>
      </c>
      <c r="AP102" s="36" t="str">
        <f ca="1">Demand!B111</f>
        <v xml:space="preserve"> </v>
      </c>
      <c r="AQ102" t="str">
        <f ca="1">IF(TEXT(Demand!D111,"MMM")&lt;&gt;TEXT(Demand!D110,"MMM"),TEXT(Demand!D111,"MMM"),"")</f>
        <v/>
      </c>
      <c r="AT102" s="5">
        <f t="shared" ca="1" si="42"/>
        <v>0</v>
      </c>
      <c r="BQ102">
        <f ca="1">IF($AN102="",OFFSET(Demand!$A$13,ROW(A99)-1,4+((QUOTIENT(COLUMN(BQ$2)-69,3))*5)+MOD(COLUMN(BQ$2),3),1,1),"")</f>
        <v>0</v>
      </c>
      <c r="BR102">
        <f ca="1">IF($AN102="",OFFSET(Demand!$A$13,ROW(B99)-1,4+((QUOTIENT(COLUMN(BR$2)-69,3))*5)+MOD(COLUMN(BR$2),3),1,1),"")</f>
        <v>0</v>
      </c>
      <c r="BS102">
        <f ca="1">IF($AN102="",OFFSET(Demand!$A$13,ROW(C99)-1,4+((QUOTIENT(COLUMN(BS$2)-69,3))*5)+MOD(COLUMN(BS$2),3),1,1),"")</f>
        <v>0</v>
      </c>
      <c r="BT102">
        <f ca="1">IF($AN102="",OFFSET(Demand!$A$13,ROW(D99)-1,4+((QUOTIENT(COLUMN(BT$2)-69,3))*5)+MOD(COLUMN(BT$2),3),1,1),"")</f>
        <v>0</v>
      </c>
      <c r="BU102">
        <f ca="1">IF($AN102="",OFFSET(Demand!$A$13,ROW(E99)-1,4+((QUOTIENT(COLUMN(BU$2)-69,3))*5)+MOD(COLUMN(BU$2),3),1,1),"")</f>
        <v>0</v>
      </c>
      <c r="BV102">
        <f ca="1">IF($AN102="",OFFSET(Demand!$A$13,ROW(F99)-1,4+((QUOTIENT(COLUMN(BV$2)-69,3))*5)+MOD(COLUMN(BV$2),3),1,1),"")</f>
        <v>0</v>
      </c>
      <c r="BW102">
        <f ca="1">IF($AN102="",OFFSET(Demand!$A$13,ROW(G99)-1,4+((QUOTIENT(COLUMN(BW$2)-69,3))*5)+MOD(COLUMN(BW$2),3),1,1),"")</f>
        <v>0</v>
      </c>
      <c r="BX102">
        <f ca="1">IF($AN102="",OFFSET(Demand!$A$13,ROW(H99)-1,4+((QUOTIENT(COLUMN(BX$2)-69,3))*5)+MOD(COLUMN(BX$2),3),1,1),"")</f>
        <v>0</v>
      </c>
      <c r="BY102">
        <f ca="1">IF($AN102="",OFFSET(Demand!$A$13,ROW(I99)-1,4+((QUOTIENT(COLUMN(BY$2)-69,3))*5)+MOD(COLUMN(BY$2),3),1,1),"")</f>
        <v>0</v>
      </c>
      <c r="BZ102">
        <f ca="1">IF($AN102="",OFFSET(Demand!$A$13,ROW(J99)-1,4+((QUOTIENT(COLUMN(BZ$2)-69,3))*5)+MOD(COLUMN(BZ$2),3),1,1),"")</f>
        <v>0</v>
      </c>
      <c r="CA102">
        <f ca="1">IF($AN102="",OFFSET(Demand!$A$13,ROW(K99)-1,4+((QUOTIENT(COLUMN(CA$2)-69,3))*5)+MOD(COLUMN(CA$2),3),1,1),"")</f>
        <v>0</v>
      </c>
      <c r="CB102">
        <f ca="1">IF($AN102="",OFFSET(Demand!$A$13,ROW(L99)-1,4+((QUOTIENT(COLUMN(CB$2)-69,3))*5)+MOD(COLUMN(CB$2),3),1,1),"")</f>
        <v>0</v>
      </c>
      <c r="CC102">
        <f ca="1">IF($AN102="",OFFSET(Demand!$A$13,ROW(M99)-1,4+((QUOTIENT(COLUMN(CC$2)-69,3))*5)+MOD(COLUMN(CC$2),3),1,1),"")</f>
        <v>0</v>
      </c>
      <c r="CD102">
        <f ca="1">IF($AN102="",OFFSET(Demand!$A$13,ROW(N99)-1,4+((QUOTIENT(COLUMN(CD$2)-69,3))*5)+MOD(COLUMN(CD$2),3),1,1),"")</f>
        <v>0</v>
      </c>
      <c r="CE102">
        <f ca="1">IF($AN102="",OFFSET(Demand!$A$13,ROW(O99)-1,4+((QUOTIENT(COLUMN(CE$2)-69,3))*5)+MOD(COLUMN(CE$2),3),1,1),"")</f>
        <v>0</v>
      </c>
      <c r="CF102">
        <f ca="1">IF($AN102="",OFFSET(Demand!$A$13,ROW(P99)-1,4+((QUOTIENT(COLUMN(CF$2)-69,3))*5)+MOD(COLUMN(CF$2),3),1,1),"")</f>
        <v>0</v>
      </c>
      <c r="CG102">
        <f ca="1">IF($AN102="",OFFSET(Demand!$A$13,ROW(Q99)-1,4+((QUOTIENT(COLUMN(CG$2)-69,3))*5)+MOD(COLUMN(CG$2),3),1,1),"")</f>
        <v>0</v>
      </c>
      <c r="CH102">
        <f ca="1">IF($AN102="",OFFSET(Demand!$A$13,ROW(R99)-1,4+((QUOTIENT(COLUMN(CH$2)-69,3))*5)+MOD(COLUMN(CH$2),3),1,1),"")</f>
        <v>0</v>
      </c>
      <c r="CI102">
        <f ca="1">IF($AN102="",OFFSET(Demand!$A$13,ROW(S99)-1,4+((QUOTIENT(COLUMN(CI$2)-69,3))*5)+MOD(COLUMN(CI$2),3),1,1),"")</f>
        <v>0</v>
      </c>
      <c r="CJ102">
        <f ca="1">IF($AN102="",OFFSET(Demand!$A$13,ROW(T99)-1,4+((QUOTIENT(COLUMN(CJ$2)-69,3))*5)+MOD(COLUMN(CJ$2),3),1,1),"")</f>
        <v>0</v>
      </c>
      <c r="CK102">
        <f ca="1">IF($AN102="",OFFSET(Demand!$A$13,ROW(U99)-1,4+((QUOTIENT(COLUMN(CK$2)-69,3))*5)+MOD(COLUMN(CK$2),3),1,1),"")</f>
        <v>0</v>
      </c>
      <c r="CL102">
        <f ca="1">IF($AN102="",OFFSET(Demand!$A$13,ROW(V99)-1,4+((QUOTIENT(COLUMN(CL$2)-69,3))*5)+MOD(COLUMN(CL$2),3),1,1),"")</f>
        <v>0</v>
      </c>
      <c r="CM102">
        <f ca="1">IF($AN102="",OFFSET(Demand!$A$13,ROW(W99)-1,4+((QUOTIENT(COLUMN(CM$2)-69,3))*5)+MOD(COLUMN(CM$2),3),1,1),"")</f>
        <v>0</v>
      </c>
      <c r="CN102">
        <f ca="1">IF($AN102="",OFFSET(Demand!$A$13,ROW(X99)-1,4+((QUOTIENT(COLUMN(CN$2)-69,3))*5)+MOD(COLUMN(CN$2),3),1,1),"")</f>
        <v>0</v>
      </c>
      <c r="CO102">
        <f ca="1">IF($AN102="",OFFSET(Demand!$A$13,ROW(Y99)-1,4+((QUOTIENT(COLUMN(CO$2)-69,3))*5)+MOD(COLUMN(CO$2),3),1,1),"")</f>
        <v>0</v>
      </c>
      <c r="CP102">
        <f ca="1">IF($AN102="",OFFSET(Demand!$A$13,ROW(Z99)-1,4+((QUOTIENT(COLUMN(CP$2)-69,3))*5)+MOD(COLUMN(CP$2),3),1,1),"")</f>
        <v>0</v>
      </c>
      <c r="CQ102">
        <f ca="1">IF($AN102="",OFFSET(Demand!$A$13,ROW(AA99)-1,4+((QUOTIENT(COLUMN(CQ$2)-69,3))*5)+MOD(COLUMN(CQ$2),3),1,1),"")</f>
        <v>0</v>
      </c>
      <c r="CR102">
        <f ca="1">IF($AN102="",OFFSET(Demand!$A$13,ROW(AB99)-1,4+((QUOTIENT(COLUMN(CR$2)-69,3))*5)+MOD(COLUMN(CR$2),3),1,1),"")</f>
        <v>0</v>
      </c>
      <c r="CS102">
        <f ca="1">IF($AN102="",OFFSET(Demand!$A$13,ROW(AC99)-1,4+((QUOTIENT(COLUMN(CS$2)-69,3))*5)+MOD(COLUMN(CS$2),3),1,1),"")</f>
        <v>0</v>
      </c>
      <c r="CT102">
        <f ca="1">IF($AN102="",OFFSET(Demand!$A$13,ROW(AD99)-1,4+((QUOTIENT(COLUMN(CT$2)-69,3))*5)+MOD(COLUMN(CT$2),3),1,1),"")</f>
        <v>0</v>
      </c>
      <c r="CW102" s="5">
        <f ca="1">SUM(OFFSET(Demand!$H$43,ROW(A99)-1,(COLUMN(A99)-1)*5,1,1))*N$2</f>
        <v>0</v>
      </c>
      <c r="CX102" s="5">
        <f ca="1">SUM(OFFSET(Demand!$H$43,ROW(B99)-1,(COLUMN(B99)-1)*5,1,1))*O$2</f>
        <v>0</v>
      </c>
      <c r="CY102" s="5">
        <f ca="1">SUM(OFFSET(Demand!$H$43,ROW(C99)-1,(COLUMN(C99)-1)*5,1,1))*P$2</f>
        <v>0</v>
      </c>
      <c r="CZ102" s="5">
        <f ca="1">SUM(OFFSET(Demand!$H$43,ROW(D99)-1,(COLUMN(D99)-1)*5,1,1))*Q$2</f>
        <v>0</v>
      </c>
      <c r="DA102" s="5">
        <f ca="1">SUM(OFFSET(Demand!$H$43,ROW(E99)-1,(COLUMN(E99)-1)*5,1,1))*R$2</f>
        <v>0</v>
      </c>
      <c r="DB102" s="5">
        <f ca="1">SUM(OFFSET(Demand!$H$43,ROW(F99)-1,(COLUMN(F99)-1)*5,1,1))*S$2</f>
        <v>0</v>
      </c>
      <c r="DC102" s="5">
        <f ca="1">SUM(OFFSET(Demand!$H$43,ROW(G99)-1,(COLUMN(G99)-1)*5,1,1))*T$2</f>
        <v>0</v>
      </c>
      <c r="DD102" s="5">
        <f ca="1">SUM(OFFSET(Demand!$H$43,ROW(H99)-1,(COLUMN(H99)-1)*5,1,1))*U$2</f>
        <v>0</v>
      </c>
      <c r="DE102" s="5">
        <f ca="1">SUM(OFFSET(Demand!$H$43,ROW(I99)-1,(COLUMN(I99)-1)*5,1,1))*V$2</f>
        <v>0</v>
      </c>
      <c r="DF102" s="5">
        <f ca="1">SUM(OFFSET(Demand!$H$43,ROW(J99)-1,(COLUMN(J99)-1)*5,1,1))*W$2</f>
        <v>0</v>
      </c>
      <c r="DG102" s="5">
        <f ca="1">IF(OR(AN102&lt;&gt;"",AND('Demand adjustments for Covid'!$F$9="Yes",'Demand adjustments for Covid'!$F$20="Yes")),"",SUM(CW102:DF102))</f>
        <v>0</v>
      </c>
    </row>
    <row r="103" spans="1:111" x14ac:dyDescent="0.25">
      <c r="A103" s="5">
        <f t="shared" ca="1" si="34"/>
        <v>1</v>
      </c>
      <c r="B103" s="5">
        <f ca="1">COUNTBLANK(OFFSET(Demand!$I112,0,(COLUMN(A100)-1)*5,1,1))</f>
        <v>1</v>
      </c>
      <c r="C103" s="5">
        <f ca="1">COUNTBLANK(OFFSET(Demand!$I112,0,(COLUMN(B100)-1)*5,1,1))</f>
        <v>1</v>
      </c>
      <c r="D103" s="5">
        <f ca="1">COUNTBLANK(OFFSET(Demand!$I112,0,(COLUMN(C100)-1)*5,1,1))</f>
        <v>1</v>
      </c>
      <c r="E103" s="5">
        <f ca="1">COUNTBLANK(OFFSET(Demand!$I112,0,(COLUMN(D100)-1)*5,1,1))</f>
        <v>1</v>
      </c>
      <c r="F103" s="5">
        <f ca="1">COUNTBLANK(OFFSET(Demand!$I112,0,(COLUMN(E100)-1)*5,1,1))</f>
        <v>1</v>
      </c>
      <c r="G103" s="5">
        <f ca="1">COUNTBLANK(OFFSET(Demand!$I112,0,(COLUMN(F100)-1)*5,1,1))</f>
        <v>1</v>
      </c>
      <c r="H103" s="5">
        <f ca="1">COUNTBLANK(OFFSET(Demand!$I112,0,(COLUMN(G100)-1)*5,1,1))</f>
        <v>1</v>
      </c>
      <c r="I103" s="5">
        <f ca="1">COUNTBLANK(OFFSET(Demand!$I112,0,(COLUMN(H100)-1)*5,1,1))</f>
        <v>1</v>
      </c>
      <c r="J103" s="5">
        <f ca="1">COUNTBLANK(OFFSET(Demand!$I112,0,(COLUMN(I100)-1)*5,1,1))</f>
        <v>1</v>
      </c>
      <c r="K103" s="5">
        <f ca="1">COUNTBLANK(OFFSET(Demand!$I112,0,(COLUMN(J100)-1)*5,1,1))</f>
        <v>1</v>
      </c>
      <c r="N103" s="5">
        <f ca="1">SUM(OFFSET(Demand!$E112,0,(COLUMN(A100)-1)*5,1,3))*N$2</f>
        <v>0</v>
      </c>
      <c r="O103" s="5">
        <f ca="1">SUM(OFFSET(Demand!$E112,0,(COLUMN(B100)-1)*5,1,3))*O$2</f>
        <v>0</v>
      </c>
      <c r="P103" s="5">
        <f ca="1">SUM(OFFSET(Demand!$E112,0,(COLUMN(C100)-1)*5,1,3))*P$2</f>
        <v>0</v>
      </c>
      <c r="Q103" s="5">
        <f ca="1">SUM(OFFSET(Demand!$E112,0,(COLUMN(D100)-1)*5,1,3))*Q$2</f>
        <v>0</v>
      </c>
      <c r="R103" s="5">
        <f ca="1">SUM(OFFSET(Demand!$E112,0,(COLUMN(E100)-1)*5,1,3))*R$2</f>
        <v>0</v>
      </c>
      <c r="S103" s="5">
        <f ca="1">SUM(OFFSET(Demand!$E112,0,(COLUMN(F100)-1)*5,1,3))*S$2</f>
        <v>0</v>
      </c>
      <c r="T103" s="5">
        <f ca="1">SUM(OFFSET(Demand!$E112,0,(COLUMN(G100)-1)*5,1,3))*T$2</f>
        <v>0</v>
      </c>
      <c r="U103" s="5">
        <f ca="1">SUM(OFFSET(Demand!$E112,0,(COLUMN(H100)-1)*5,1,3))*U$2</f>
        <v>0</v>
      </c>
      <c r="V103" s="5">
        <f ca="1">SUM(OFFSET(Demand!$E112,0,(COLUMN(I100)-1)*5,1,3))*V$2</f>
        <v>0</v>
      </c>
      <c r="W103" s="5">
        <f ca="1">SUM(OFFSET(Demand!$E112,0,(COLUMN(J100)-1)*5,1,3))*W$2</f>
        <v>0</v>
      </c>
      <c r="X103" s="5">
        <f t="shared" ca="1" si="37"/>
        <v>0</v>
      </c>
      <c r="Y103">
        <f t="shared" ca="1" si="38"/>
        <v>0</v>
      </c>
      <c r="Z103" s="5">
        <f ca="1">SUM(OFFSET(Demand!$H112,0,(COLUMN(A100)-1)*5,1,1))*N$2</f>
        <v>0</v>
      </c>
      <c r="AA103" s="5">
        <f ca="1">SUM(OFFSET(Demand!$H112,0,(COLUMN(B100)-1)*5,1,1))*O$2</f>
        <v>0</v>
      </c>
      <c r="AB103" s="5">
        <f ca="1">SUM(OFFSET(Demand!$H112,0,(COLUMN(C100)-1)*5,1,1))*P$2</f>
        <v>0</v>
      </c>
      <c r="AC103" s="5">
        <f ca="1">SUM(OFFSET(Demand!$H112,0,(COLUMN(D100)-1)*5,1,1))*Q$2</f>
        <v>0</v>
      </c>
      <c r="AD103" s="5">
        <f ca="1">SUM(OFFSET(Demand!$H112,0,(COLUMN(E100)-1)*5,1,1))*R$2</f>
        <v>0</v>
      </c>
      <c r="AE103" s="5">
        <f ca="1">SUM(OFFSET(Demand!$H112,0,(COLUMN(F100)-1)*5,1,1))*S$2</f>
        <v>0</v>
      </c>
      <c r="AF103" s="5">
        <f ca="1">SUM(OFFSET(Demand!$H112,0,(COLUMN(G100)-1)*5,1,1))*T$2</f>
        <v>0</v>
      </c>
      <c r="AG103" s="5">
        <f ca="1">SUM(OFFSET(Demand!$H112,0,(COLUMN(H100)-1)*5,1,1))*U$2</f>
        <v>0</v>
      </c>
      <c r="AH103" s="5">
        <f ca="1">SUM(OFFSET(Demand!$H112,0,(COLUMN(I100)-1)*5,1,1))*V$2</f>
        <v>0</v>
      </c>
      <c r="AI103" s="5">
        <f ca="1">SUM(OFFSET(Demand!$H112,0,(COLUMN(J100)-1)*5,1,1))*W$2</f>
        <v>0</v>
      </c>
      <c r="AJ103" s="5">
        <f t="shared" ca="1" si="39"/>
        <v>0</v>
      </c>
      <c r="AL103" s="5">
        <f t="shared" ca="1" si="40"/>
        <v>0</v>
      </c>
      <c r="AM103" s="5">
        <f t="shared" ca="1" si="41"/>
        <v>0</v>
      </c>
      <c r="AN103" s="5" t="str">
        <f>IF(Demand!BE112="Yes","Yes","")</f>
        <v/>
      </c>
      <c r="AP103" s="36" t="str">
        <f ca="1">Demand!B112</f>
        <v xml:space="preserve"> </v>
      </c>
      <c r="AQ103" t="str">
        <f ca="1">IF(TEXT(Demand!D112,"MMM")&lt;&gt;TEXT(Demand!D111,"MMM"),TEXT(Demand!D112,"MMM"),"")</f>
        <v/>
      </c>
      <c r="AT103" s="5">
        <f t="shared" ca="1" si="42"/>
        <v>0</v>
      </c>
      <c r="BQ103">
        <f ca="1">IF($AN103="",OFFSET(Demand!$A$13,ROW(A100)-1,4+((QUOTIENT(COLUMN(BQ$2)-69,3))*5)+MOD(COLUMN(BQ$2),3),1,1),"")</f>
        <v>0</v>
      </c>
      <c r="BR103">
        <f ca="1">IF($AN103="",OFFSET(Demand!$A$13,ROW(B100)-1,4+((QUOTIENT(COLUMN(BR$2)-69,3))*5)+MOD(COLUMN(BR$2),3),1,1),"")</f>
        <v>0</v>
      </c>
      <c r="BS103">
        <f ca="1">IF($AN103="",OFFSET(Demand!$A$13,ROW(C100)-1,4+((QUOTIENT(COLUMN(BS$2)-69,3))*5)+MOD(COLUMN(BS$2),3),1,1),"")</f>
        <v>0</v>
      </c>
      <c r="BT103">
        <f ca="1">IF($AN103="",OFFSET(Demand!$A$13,ROW(D100)-1,4+((QUOTIENT(COLUMN(BT$2)-69,3))*5)+MOD(COLUMN(BT$2),3),1,1),"")</f>
        <v>0</v>
      </c>
      <c r="BU103">
        <f ca="1">IF($AN103="",OFFSET(Demand!$A$13,ROW(E100)-1,4+((QUOTIENT(COLUMN(BU$2)-69,3))*5)+MOD(COLUMN(BU$2),3),1,1),"")</f>
        <v>0</v>
      </c>
      <c r="BV103">
        <f ca="1">IF($AN103="",OFFSET(Demand!$A$13,ROW(F100)-1,4+((QUOTIENT(COLUMN(BV$2)-69,3))*5)+MOD(COLUMN(BV$2),3),1,1),"")</f>
        <v>0</v>
      </c>
      <c r="BW103">
        <f ca="1">IF($AN103="",OFFSET(Demand!$A$13,ROW(G100)-1,4+((QUOTIENT(COLUMN(BW$2)-69,3))*5)+MOD(COLUMN(BW$2),3),1,1),"")</f>
        <v>0</v>
      </c>
      <c r="BX103">
        <f ca="1">IF($AN103="",OFFSET(Demand!$A$13,ROW(H100)-1,4+((QUOTIENT(COLUMN(BX$2)-69,3))*5)+MOD(COLUMN(BX$2),3),1,1),"")</f>
        <v>0</v>
      </c>
      <c r="BY103">
        <f ca="1">IF($AN103="",OFFSET(Demand!$A$13,ROW(I100)-1,4+((QUOTIENT(COLUMN(BY$2)-69,3))*5)+MOD(COLUMN(BY$2),3),1,1),"")</f>
        <v>0</v>
      </c>
      <c r="BZ103">
        <f ca="1">IF($AN103="",OFFSET(Demand!$A$13,ROW(J100)-1,4+((QUOTIENT(COLUMN(BZ$2)-69,3))*5)+MOD(COLUMN(BZ$2),3),1,1),"")</f>
        <v>0</v>
      </c>
      <c r="CA103">
        <f ca="1">IF($AN103="",OFFSET(Demand!$A$13,ROW(K100)-1,4+((QUOTIENT(COLUMN(CA$2)-69,3))*5)+MOD(COLUMN(CA$2),3),1,1),"")</f>
        <v>0</v>
      </c>
      <c r="CB103">
        <f ca="1">IF($AN103="",OFFSET(Demand!$A$13,ROW(L100)-1,4+((QUOTIENT(COLUMN(CB$2)-69,3))*5)+MOD(COLUMN(CB$2),3),1,1),"")</f>
        <v>0</v>
      </c>
      <c r="CC103">
        <f ca="1">IF($AN103="",OFFSET(Demand!$A$13,ROW(M100)-1,4+((QUOTIENT(COLUMN(CC$2)-69,3))*5)+MOD(COLUMN(CC$2),3),1,1),"")</f>
        <v>0</v>
      </c>
      <c r="CD103">
        <f ca="1">IF($AN103="",OFFSET(Demand!$A$13,ROW(N100)-1,4+((QUOTIENT(COLUMN(CD$2)-69,3))*5)+MOD(COLUMN(CD$2),3),1,1),"")</f>
        <v>0</v>
      </c>
      <c r="CE103">
        <f ca="1">IF($AN103="",OFFSET(Demand!$A$13,ROW(O100)-1,4+((QUOTIENT(COLUMN(CE$2)-69,3))*5)+MOD(COLUMN(CE$2),3),1,1),"")</f>
        <v>0</v>
      </c>
      <c r="CF103">
        <f ca="1">IF($AN103="",OFFSET(Demand!$A$13,ROW(P100)-1,4+((QUOTIENT(COLUMN(CF$2)-69,3))*5)+MOD(COLUMN(CF$2),3),1,1),"")</f>
        <v>0</v>
      </c>
      <c r="CG103">
        <f ca="1">IF($AN103="",OFFSET(Demand!$A$13,ROW(Q100)-1,4+((QUOTIENT(COLUMN(CG$2)-69,3))*5)+MOD(COLUMN(CG$2),3),1,1),"")</f>
        <v>0</v>
      </c>
      <c r="CH103">
        <f ca="1">IF($AN103="",OFFSET(Demand!$A$13,ROW(R100)-1,4+((QUOTIENT(COLUMN(CH$2)-69,3))*5)+MOD(COLUMN(CH$2),3),1,1),"")</f>
        <v>0</v>
      </c>
      <c r="CI103">
        <f ca="1">IF($AN103="",OFFSET(Demand!$A$13,ROW(S100)-1,4+((QUOTIENT(COLUMN(CI$2)-69,3))*5)+MOD(COLUMN(CI$2),3),1,1),"")</f>
        <v>0</v>
      </c>
      <c r="CJ103">
        <f ca="1">IF($AN103="",OFFSET(Demand!$A$13,ROW(T100)-1,4+((QUOTIENT(COLUMN(CJ$2)-69,3))*5)+MOD(COLUMN(CJ$2),3),1,1),"")</f>
        <v>0</v>
      </c>
      <c r="CK103">
        <f ca="1">IF($AN103="",OFFSET(Demand!$A$13,ROW(U100)-1,4+((QUOTIENT(COLUMN(CK$2)-69,3))*5)+MOD(COLUMN(CK$2),3),1,1),"")</f>
        <v>0</v>
      </c>
      <c r="CL103">
        <f ca="1">IF($AN103="",OFFSET(Demand!$A$13,ROW(V100)-1,4+((QUOTIENT(COLUMN(CL$2)-69,3))*5)+MOD(COLUMN(CL$2),3),1,1),"")</f>
        <v>0</v>
      </c>
      <c r="CM103">
        <f ca="1">IF($AN103="",OFFSET(Demand!$A$13,ROW(W100)-1,4+((QUOTIENT(COLUMN(CM$2)-69,3))*5)+MOD(COLUMN(CM$2),3),1,1),"")</f>
        <v>0</v>
      </c>
      <c r="CN103">
        <f ca="1">IF($AN103="",OFFSET(Demand!$A$13,ROW(X100)-1,4+((QUOTIENT(COLUMN(CN$2)-69,3))*5)+MOD(COLUMN(CN$2),3),1,1),"")</f>
        <v>0</v>
      </c>
      <c r="CO103">
        <f ca="1">IF($AN103="",OFFSET(Demand!$A$13,ROW(Y100)-1,4+((QUOTIENT(COLUMN(CO$2)-69,3))*5)+MOD(COLUMN(CO$2),3),1,1),"")</f>
        <v>0</v>
      </c>
      <c r="CP103">
        <f ca="1">IF($AN103="",OFFSET(Demand!$A$13,ROW(Z100)-1,4+((QUOTIENT(COLUMN(CP$2)-69,3))*5)+MOD(COLUMN(CP$2),3),1,1),"")</f>
        <v>0</v>
      </c>
      <c r="CQ103">
        <f ca="1">IF($AN103="",OFFSET(Demand!$A$13,ROW(AA100)-1,4+((QUOTIENT(COLUMN(CQ$2)-69,3))*5)+MOD(COLUMN(CQ$2),3),1,1),"")</f>
        <v>0</v>
      </c>
      <c r="CR103">
        <f ca="1">IF($AN103="",OFFSET(Demand!$A$13,ROW(AB100)-1,4+((QUOTIENT(COLUMN(CR$2)-69,3))*5)+MOD(COLUMN(CR$2),3),1,1),"")</f>
        <v>0</v>
      </c>
      <c r="CS103">
        <f ca="1">IF($AN103="",OFFSET(Demand!$A$13,ROW(AC100)-1,4+((QUOTIENT(COLUMN(CS$2)-69,3))*5)+MOD(COLUMN(CS$2),3),1,1),"")</f>
        <v>0</v>
      </c>
      <c r="CT103">
        <f ca="1">IF($AN103="",OFFSET(Demand!$A$13,ROW(AD100)-1,4+((QUOTIENT(COLUMN(CT$2)-69,3))*5)+MOD(COLUMN(CT$2),3),1,1),"")</f>
        <v>0</v>
      </c>
      <c r="CW103" s="5">
        <f ca="1">SUM(OFFSET(Demand!$H$43,ROW(A100)-1,(COLUMN(A100)-1)*5,1,1))*N$2</f>
        <v>0</v>
      </c>
      <c r="CX103" s="5">
        <f ca="1">SUM(OFFSET(Demand!$H$43,ROW(B100)-1,(COLUMN(B100)-1)*5,1,1))*O$2</f>
        <v>0</v>
      </c>
      <c r="CY103" s="5">
        <f ca="1">SUM(OFFSET(Demand!$H$43,ROW(C100)-1,(COLUMN(C100)-1)*5,1,1))*P$2</f>
        <v>0</v>
      </c>
      <c r="CZ103" s="5">
        <f ca="1">SUM(OFFSET(Demand!$H$43,ROW(D100)-1,(COLUMN(D100)-1)*5,1,1))*Q$2</f>
        <v>0</v>
      </c>
      <c r="DA103" s="5">
        <f ca="1">SUM(OFFSET(Demand!$H$43,ROW(E100)-1,(COLUMN(E100)-1)*5,1,1))*R$2</f>
        <v>0</v>
      </c>
      <c r="DB103" s="5">
        <f ca="1">SUM(OFFSET(Demand!$H$43,ROW(F100)-1,(COLUMN(F100)-1)*5,1,1))*S$2</f>
        <v>0</v>
      </c>
      <c r="DC103" s="5">
        <f ca="1">SUM(OFFSET(Demand!$H$43,ROW(G100)-1,(COLUMN(G100)-1)*5,1,1))*T$2</f>
        <v>0</v>
      </c>
      <c r="DD103" s="5">
        <f ca="1">SUM(OFFSET(Demand!$H$43,ROW(H100)-1,(COLUMN(H100)-1)*5,1,1))*U$2</f>
        <v>0</v>
      </c>
      <c r="DE103" s="5">
        <f ca="1">SUM(OFFSET(Demand!$H$43,ROW(I100)-1,(COLUMN(I100)-1)*5,1,1))*V$2</f>
        <v>0</v>
      </c>
      <c r="DF103" s="5">
        <f ca="1">SUM(OFFSET(Demand!$H$43,ROW(J100)-1,(COLUMN(J100)-1)*5,1,1))*W$2</f>
        <v>0</v>
      </c>
      <c r="DG103" s="5">
        <f ca="1">IF(OR(AN103&lt;&gt;"",AND('Demand adjustments for Covid'!$F$9="Yes",'Demand adjustments for Covid'!$F$20="Yes")),"",SUM(CW103:DF103))</f>
        <v>0</v>
      </c>
    </row>
    <row r="104" spans="1:111" x14ac:dyDescent="0.25">
      <c r="A104" s="5">
        <f t="shared" ca="1" si="34"/>
        <v>1</v>
      </c>
      <c r="B104" s="5">
        <f ca="1">COUNTBLANK(OFFSET(Demand!$I113,0,(COLUMN(A101)-1)*5,1,1))</f>
        <v>1</v>
      </c>
      <c r="C104" s="5">
        <f ca="1">COUNTBLANK(OFFSET(Demand!$I113,0,(COLUMN(B101)-1)*5,1,1))</f>
        <v>1</v>
      </c>
      <c r="D104" s="5">
        <f ca="1">COUNTBLANK(OFFSET(Demand!$I113,0,(COLUMN(C101)-1)*5,1,1))</f>
        <v>1</v>
      </c>
      <c r="E104" s="5">
        <f ca="1">COUNTBLANK(OFFSET(Demand!$I113,0,(COLUMN(D101)-1)*5,1,1))</f>
        <v>1</v>
      </c>
      <c r="F104" s="5">
        <f ca="1">COUNTBLANK(OFFSET(Demand!$I113,0,(COLUMN(E101)-1)*5,1,1))</f>
        <v>1</v>
      </c>
      <c r="G104" s="5">
        <f ca="1">COUNTBLANK(OFFSET(Demand!$I113,0,(COLUMN(F101)-1)*5,1,1))</f>
        <v>1</v>
      </c>
      <c r="H104" s="5">
        <f ca="1">COUNTBLANK(OFFSET(Demand!$I113,0,(COLUMN(G101)-1)*5,1,1))</f>
        <v>1</v>
      </c>
      <c r="I104" s="5">
        <f ca="1">COUNTBLANK(OFFSET(Demand!$I113,0,(COLUMN(H101)-1)*5,1,1))</f>
        <v>1</v>
      </c>
      <c r="J104" s="5">
        <f ca="1">COUNTBLANK(OFFSET(Demand!$I113,0,(COLUMN(I101)-1)*5,1,1))</f>
        <v>1</v>
      </c>
      <c r="K104" s="5">
        <f ca="1">COUNTBLANK(OFFSET(Demand!$I113,0,(COLUMN(J101)-1)*5,1,1))</f>
        <v>1</v>
      </c>
      <c r="N104" s="5">
        <f ca="1">SUM(OFFSET(Demand!$E113,0,(COLUMN(A101)-1)*5,1,3))*N$2</f>
        <v>0</v>
      </c>
      <c r="O104" s="5">
        <f ca="1">SUM(OFFSET(Demand!$E113,0,(COLUMN(B101)-1)*5,1,3))*O$2</f>
        <v>0</v>
      </c>
      <c r="P104" s="5">
        <f ca="1">SUM(OFFSET(Demand!$E113,0,(COLUMN(C101)-1)*5,1,3))*P$2</f>
        <v>0</v>
      </c>
      <c r="Q104" s="5">
        <f ca="1">SUM(OFFSET(Demand!$E113,0,(COLUMN(D101)-1)*5,1,3))*Q$2</f>
        <v>0</v>
      </c>
      <c r="R104" s="5">
        <f ca="1">SUM(OFFSET(Demand!$E113,0,(COLUMN(E101)-1)*5,1,3))*R$2</f>
        <v>0</v>
      </c>
      <c r="S104" s="5">
        <f ca="1">SUM(OFFSET(Demand!$E113,0,(COLUMN(F101)-1)*5,1,3))*S$2</f>
        <v>0</v>
      </c>
      <c r="T104" s="5">
        <f ca="1">SUM(OFFSET(Demand!$E113,0,(COLUMN(G101)-1)*5,1,3))*T$2</f>
        <v>0</v>
      </c>
      <c r="U104" s="5">
        <f ca="1">SUM(OFFSET(Demand!$E113,0,(COLUMN(H101)-1)*5,1,3))*U$2</f>
        <v>0</v>
      </c>
      <c r="V104" s="5">
        <f ca="1">SUM(OFFSET(Demand!$E113,0,(COLUMN(I101)-1)*5,1,3))*V$2</f>
        <v>0</v>
      </c>
      <c r="W104" s="5">
        <f ca="1">SUM(OFFSET(Demand!$E113,0,(COLUMN(J101)-1)*5,1,3))*W$2</f>
        <v>0</v>
      </c>
      <c r="X104" s="5">
        <f t="shared" ca="1" si="37"/>
        <v>0</v>
      </c>
      <c r="Y104">
        <f t="shared" ca="1" si="38"/>
        <v>0</v>
      </c>
      <c r="Z104" s="5">
        <f ca="1">SUM(OFFSET(Demand!$H113,0,(COLUMN(A101)-1)*5,1,1))*N$2</f>
        <v>0</v>
      </c>
      <c r="AA104" s="5">
        <f ca="1">SUM(OFFSET(Demand!$H113,0,(COLUMN(B101)-1)*5,1,1))*O$2</f>
        <v>0</v>
      </c>
      <c r="AB104" s="5">
        <f ca="1">SUM(OFFSET(Demand!$H113,0,(COLUMN(C101)-1)*5,1,1))*P$2</f>
        <v>0</v>
      </c>
      <c r="AC104" s="5">
        <f ca="1">SUM(OFFSET(Demand!$H113,0,(COLUMN(D101)-1)*5,1,1))*Q$2</f>
        <v>0</v>
      </c>
      <c r="AD104" s="5">
        <f ca="1">SUM(OFFSET(Demand!$H113,0,(COLUMN(E101)-1)*5,1,1))*R$2</f>
        <v>0</v>
      </c>
      <c r="AE104" s="5">
        <f ca="1">SUM(OFFSET(Demand!$H113,0,(COLUMN(F101)-1)*5,1,1))*S$2</f>
        <v>0</v>
      </c>
      <c r="AF104" s="5">
        <f ca="1">SUM(OFFSET(Demand!$H113,0,(COLUMN(G101)-1)*5,1,1))*T$2</f>
        <v>0</v>
      </c>
      <c r="AG104" s="5">
        <f ca="1">SUM(OFFSET(Demand!$H113,0,(COLUMN(H101)-1)*5,1,1))*U$2</f>
        <v>0</v>
      </c>
      <c r="AH104" s="5">
        <f ca="1">SUM(OFFSET(Demand!$H113,0,(COLUMN(I101)-1)*5,1,1))*V$2</f>
        <v>0</v>
      </c>
      <c r="AI104" s="5">
        <f ca="1">SUM(OFFSET(Demand!$H113,0,(COLUMN(J101)-1)*5,1,1))*W$2</f>
        <v>0</v>
      </c>
      <c r="AJ104" s="5">
        <f t="shared" ca="1" si="39"/>
        <v>0</v>
      </c>
      <c r="AL104" s="5">
        <f t="shared" ca="1" si="40"/>
        <v>0</v>
      </c>
      <c r="AM104" s="5">
        <f t="shared" ca="1" si="41"/>
        <v>0</v>
      </c>
      <c r="AN104" s="5" t="str">
        <f>IF(Demand!BE113="Yes","Yes","")</f>
        <v/>
      </c>
      <c r="AP104" s="36" t="str">
        <f ca="1">Demand!B113</f>
        <v xml:space="preserve"> </v>
      </c>
      <c r="AQ104" t="str">
        <f ca="1">IF(TEXT(Demand!D113,"MMM")&lt;&gt;TEXT(Demand!D112,"MMM"),TEXT(Demand!D113,"MMM"),"")</f>
        <v/>
      </c>
      <c r="AT104" s="5">
        <f t="shared" ca="1" si="42"/>
        <v>0</v>
      </c>
      <c r="BQ104">
        <f ca="1">IF($AN104="",OFFSET(Demand!$A$13,ROW(A101)-1,4+((QUOTIENT(COLUMN(BQ$2)-69,3))*5)+MOD(COLUMN(BQ$2),3),1,1),"")</f>
        <v>0</v>
      </c>
      <c r="BR104">
        <f ca="1">IF($AN104="",OFFSET(Demand!$A$13,ROW(B101)-1,4+((QUOTIENT(COLUMN(BR$2)-69,3))*5)+MOD(COLUMN(BR$2),3),1,1),"")</f>
        <v>0</v>
      </c>
      <c r="BS104">
        <f ca="1">IF($AN104="",OFFSET(Demand!$A$13,ROW(C101)-1,4+((QUOTIENT(COLUMN(BS$2)-69,3))*5)+MOD(COLUMN(BS$2),3),1,1),"")</f>
        <v>0</v>
      </c>
      <c r="BT104">
        <f ca="1">IF($AN104="",OFFSET(Demand!$A$13,ROW(D101)-1,4+((QUOTIENT(COLUMN(BT$2)-69,3))*5)+MOD(COLUMN(BT$2),3),1,1),"")</f>
        <v>0</v>
      </c>
      <c r="BU104">
        <f ca="1">IF($AN104="",OFFSET(Demand!$A$13,ROW(E101)-1,4+((QUOTIENT(COLUMN(BU$2)-69,3))*5)+MOD(COLUMN(BU$2),3),1,1),"")</f>
        <v>0</v>
      </c>
      <c r="BV104">
        <f ca="1">IF($AN104="",OFFSET(Demand!$A$13,ROW(F101)-1,4+((QUOTIENT(COLUMN(BV$2)-69,3))*5)+MOD(COLUMN(BV$2),3),1,1),"")</f>
        <v>0</v>
      </c>
      <c r="BW104">
        <f ca="1">IF($AN104="",OFFSET(Demand!$A$13,ROW(G101)-1,4+((QUOTIENT(COLUMN(BW$2)-69,3))*5)+MOD(COLUMN(BW$2),3),1,1),"")</f>
        <v>0</v>
      </c>
      <c r="BX104">
        <f ca="1">IF($AN104="",OFFSET(Demand!$A$13,ROW(H101)-1,4+((QUOTIENT(COLUMN(BX$2)-69,3))*5)+MOD(COLUMN(BX$2),3),1,1),"")</f>
        <v>0</v>
      </c>
      <c r="BY104">
        <f ca="1">IF($AN104="",OFFSET(Demand!$A$13,ROW(I101)-1,4+((QUOTIENT(COLUMN(BY$2)-69,3))*5)+MOD(COLUMN(BY$2),3),1,1),"")</f>
        <v>0</v>
      </c>
      <c r="BZ104">
        <f ca="1">IF($AN104="",OFFSET(Demand!$A$13,ROW(J101)-1,4+((QUOTIENT(COLUMN(BZ$2)-69,3))*5)+MOD(COLUMN(BZ$2),3),1,1),"")</f>
        <v>0</v>
      </c>
      <c r="CA104">
        <f ca="1">IF($AN104="",OFFSET(Demand!$A$13,ROW(K101)-1,4+((QUOTIENT(COLUMN(CA$2)-69,3))*5)+MOD(COLUMN(CA$2),3),1,1),"")</f>
        <v>0</v>
      </c>
      <c r="CB104">
        <f ca="1">IF($AN104="",OFFSET(Demand!$A$13,ROW(L101)-1,4+((QUOTIENT(COLUMN(CB$2)-69,3))*5)+MOD(COLUMN(CB$2),3),1,1),"")</f>
        <v>0</v>
      </c>
      <c r="CC104">
        <f ca="1">IF($AN104="",OFFSET(Demand!$A$13,ROW(M101)-1,4+((QUOTIENT(COLUMN(CC$2)-69,3))*5)+MOD(COLUMN(CC$2),3),1,1),"")</f>
        <v>0</v>
      </c>
      <c r="CD104">
        <f ca="1">IF($AN104="",OFFSET(Demand!$A$13,ROW(N101)-1,4+((QUOTIENT(COLUMN(CD$2)-69,3))*5)+MOD(COLUMN(CD$2),3),1,1),"")</f>
        <v>0</v>
      </c>
      <c r="CE104">
        <f ca="1">IF($AN104="",OFFSET(Demand!$A$13,ROW(O101)-1,4+((QUOTIENT(COLUMN(CE$2)-69,3))*5)+MOD(COLUMN(CE$2),3),1,1),"")</f>
        <v>0</v>
      </c>
      <c r="CF104">
        <f ca="1">IF($AN104="",OFFSET(Demand!$A$13,ROW(P101)-1,4+((QUOTIENT(COLUMN(CF$2)-69,3))*5)+MOD(COLUMN(CF$2),3),1,1),"")</f>
        <v>0</v>
      </c>
      <c r="CG104">
        <f ca="1">IF($AN104="",OFFSET(Demand!$A$13,ROW(Q101)-1,4+((QUOTIENT(COLUMN(CG$2)-69,3))*5)+MOD(COLUMN(CG$2),3),1,1),"")</f>
        <v>0</v>
      </c>
      <c r="CH104">
        <f ca="1">IF($AN104="",OFFSET(Demand!$A$13,ROW(R101)-1,4+((QUOTIENT(COLUMN(CH$2)-69,3))*5)+MOD(COLUMN(CH$2),3),1,1),"")</f>
        <v>0</v>
      </c>
      <c r="CI104">
        <f ca="1">IF($AN104="",OFFSET(Demand!$A$13,ROW(S101)-1,4+((QUOTIENT(COLUMN(CI$2)-69,3))*5)+MOD(COLUMN(CI$2),3),1,1),"")</f>
        <v>0</v>
      </c>
      <c r="CJ104">
        <f ca="1">IF($AN104="",OFFSET(Demand!$A$13,ROW(T101)-1,4+((QUOTIENT(COLUMN(CJ$2)-69,3))*5)+MOD(COLUMN(CJ$2),3),1,1),"")</f>
        <v>0</v>
      </c>
      <c r="CK104">
        <f ca="1">IF($AN104="",OFFSET(Demand!$A$13,ROW(U101)-1,4+((QUOTIENT(COLUMN(CK$2)-69,3))*5)+MOD(COLUMN(CK$2),3),1,1),"")</f>
        <v>0</v>
      </c>
      <c r="CL104">
        <f ca="1">IF($AN104="",OFFSET(Demand!$A$13,ROW(V101)-1,4+((QUOTIENT(COLUMN(CL$2)-69,3))*5)+MOD(COLUMN(CL$2),3),1,1),"")</f>
        <v>0</v>
      </c>
      <c r="CM104">
        <f ca="1">IF($AN104="",OFFSET(Demand!$A$13,ROW(W101)-1,4+((QUOTIENT(COLUMN(CM$2)-69,3))*5)+MOD(COLUMN(CM$2),3),1,1),"")</f>
        <v>0</v>
      </c>
      <c r="CN104">
        <f ca="1">IF($AN104="",OFFSET(Demand!$A$13,ROW(X101)-1,4+((QUOTIENT(COLUMN(CN$2)-69,3))*5)+MOD(COLUMN(CN$2),3),1,1),"")</f>
        <v>0</v>
      </c>
      <c r="CO104">
        <f ca="1">IF($AN104="",OFFSET(Demand!$A$13,ROW(Y101)-1,4+((QUOTIENT(COLUMN(CO$2)-69,3))*5)+MOD(COLUMN(CO$2),3),1,1),"")</f>
        <v>0</v>
      </c>
      <c r="CP104">
        <f ca="1">IF($AN104="",OFFSET(Demand!$A$13,ROW(Z101)-1,4+((QUOTIENT(COLUMN(CP$2)-69,3))*5)+MOD(COLUMN(CP$2),3),1,1),"")</f>
        <v>0</v>
      </c>
      <c r="CQ104">
        <f ca="1">IF($AN104="",OFFSET(Demand!$A$13,ROW(AA101)-1,4+((QUOTIENT(COLUMN(CQ$2)-69,3))*5)+MOD(COLUMN(CQ$2),3),1,1),"")</f>
        <v>0</v>
      </c>
      <c r="CR104">
        <f ca="1">IF($AN104="",OFFSET(Demand!$A$13,ROW(AB101)-1,4+((QUOTIENT(COLUMN(CR$2)-69,3))*5)+MOD(COLUMN(CR$2),3),1,1),"")</f>
        <v>0</v>
      </c>
      <c r="CS104">
        <f ca="1">IF($AN104="",OFFSET(Demand!$A$13,ROW(AC101)-1,4+((QUOTIENT(COLUMN(CS$2)-69,3))*5)+MOD(COLUMN(CS$2),3),1,1),"")</f>
        <v>0</v>
      </c>
      <c r="CT104">
        <f ca="1">IF($AN104="",OFFSET(Demand!$A$13,ROW(AD101)-1,4+((QUOTIENT(COLUMN(CT$2)-69,3))*5)+MOD(COLUMN(CT$2),3),1,1),"")</f>
        <v>0</v>
      </c>
      <c r="CW104" s="5">
        <f ca="1">SUM(OFFSET(Demand!$H$43,ROW(A101)-1,(COLUMN(A101)-1)*5,1,1))*N$2</f>
        <v>0</v>
      </c>
      <c r="CX104" s="5">
        <f ca="1">SUM(OFFSET(Demand!$H$43,ROW(B101)-1,(COLUMN(B101)-1)*5,1,1))*O$2</f>
        <v>0</v>
      </c>
      <c r="CY104" s="5">
        <f ca="1">SUM(OFFSET(Demand!$H$43,ROW(C101)-1,(COLUMN(C101)-1)*5,1,1))*P$2</f>
        <v>0</v>
      </c>
      <c r="CZ104" s="5">
        <f ca="1">SUM(OFFSET(Demand!$H$43,ROW(D101)-1,(COLUMN(D101)-1)*5,1,1))*Q$2</f>
        <v>0</v>
      </c>
      <c r="DA104" s="5">
        <f ca="1">SUM(OFFSET(Demand!$H$43,ROW(E101)-1,(COLUMN(E101)-1)*5,1,1))*R$2</f>
        <v>0</v>
      </c>
      <c r="DB104" s="5">
        <f ca="1">SUM(OFFSET(Demand!$H$43,ROW(F101)-1,(COLUMN(F101)-1)*5,1,1))*S$2</f>
        <v>0</v>
      </c>
      <c r="DC104" s="5">
        <f ca="1">SUM(OFFSET(Demand!$H$43,ROW(G101)-1,(COLUMN(G101)-1)*5,1,1))*T$2</f>
        <v>0</v>
      </c>
      <c r="DD104" s="5">
        <f ca="1">SUM(OFFSET(Demand!$H$43,ROW(H101)-1,(COLUMN(H101)-1)*5,1,1))*U$2</f>
        <v>0</v>
      </c>
      <c r="DE104" s="5">
        <f ca="1">SUM(OFFSET(Demand!$H$43,ROW(I101)-1,(COLUMN(I101)-1)*5,1,1))*V$2</f>
        <v>0</v>
      </c>
      <c r="DF104" s="5">
        <f ca="1">SUM(OFFSET(Demand!$H$43,ROW(J101)-1,(COLUMN(J101)-1)*5,1,1))*W$2</f>
        <v>0</v>
      </c>
      <c r="DG104" s="5">
        <f ca="1">IF(OR(AN104&lt;&gt;"",AND('Demand adjustments for Covid'!$F$9="Yes",'Demand adjustments for Covid'!$F$20="Yes")),"",SUM(CW104:DF104))</f>
        <v>0</v>
      </c>
    </row>
    <row r="105" spans="1:111" x14ac:dyDescent="0.25">
      <c r="A105" s="5">
        <f t="shared" ca="1" si="34"/>
        <v>1</v>
      </c>
      <c r="B105" s="5">
        <f ca="1">COUNTBLANK(OFFSET(Demand!$I114,0,(COLUMN(A102)-1)*5,1,1))</f>
        <v>1</v>
      </c>
      <c r="C105" s="5">
        <f ca="1">COUNTBLANK(OFFSET(Demand!$I114,0,(COLUMN(B102)-1)*5,1,1))</f>
        <v>1</v>
      </c>
      <c r="D105" s="5">
        <f ca="1">COUNTBLANK(OFFSET(Demand!$I114,0,(COLUMN(C102)-1)*5,1,1))</f>
        <v>1</v>
      </c>
      <c r="E105" s="5">
        <f ca="1">COUNTBLANK(OFFSET(Demand!$I114,0,(COLUMN(D102)-1)*5,1,1))</f>
        <v>1</v>
      </c>
      <c r="F105" s="5">
        <f ca="1">COUNTBLANK(OFFSET(Demand!$I114,0,(COLUMN(E102)-1)*5,1,1))</f>
        <v>1</v>
      </c>
      <c r="G105" s="5">
        <f ca="1">COUNTBLANK(OFFSET(Demand!$I114,0,(COLUMN(F102)-1)*5,1,1))</f>
        <v>1</v>
      </c>
      <c r="H105" s="5">
        <f ca="1">COUNTBLANK(OFFSET(Demand!$I114,0,(COLUMN(G102)-1)*5,1,1))</f>
        <v>1</v>
      </c>
      <c r="I105" s="5">
        <f ca="1">COUNTBLANK(OFFSET(Demand!$I114,0,(COLUMN(H102)-1)*5,1,1))</f>
        <v>1</v>
      </c>
      <c r="J105" s="5">
        <f ca="1">COUNTBLANK(OFFSET(Demand!$I114,0,(COLUMN(I102)-1)*5,1,1))</f>
        <v>1</v>
      </c>
      <c r="K105" s="5">
        <f ca="1">COUNTBLANK(OFFSET(Demand!$I114,0,(COLUMN(J102)-1)*5,1,1))</f>
        <v>1</v>
      </c>
      <c r="N105" s="5">
        <f ca="1">SUM(OFFSET(Demand!$E114,0,(COLUMN(A102)-1)*5,1,3))*N$2</f>
        <v>0</v>
      </c>
      <c r="O105" s="5">
        <f ca="1">SUM(OFFSET(Demand!$E114,0,(COLUMN(B102)-1)*5,1,3))*O$2</f>
        <v>0</v>
      </c>
      <c r="P105" s="5">
        <f ca="1">SUM(OFFSET(Demand!$E114,0,(COLUMN(C102)-1)*5,1,3))*P$2</f>
        <v>0</v>
      </c>
      <c r="Q105" s="5">
        <f ca="1">SUM(OFFSET(Demand!$E114,0,(COLUMN(D102)-1)*5,1,3))*Q$2</f>
        <v>0</v>
      </c>
      <c r="R105" s="5">
        <f ca="1">SUM(OFFSET(Demand!$E114,0,(COLUMN(E102)-1)*5,1,3))*R$2</f>
        <v>0</v>
      </c>
      <c r="S105" s="5">
        <f ca="1">SUM(OFFSET(Demand!$E114,0,(COLUMN(F102)-1)*5,1,3))*S$2</f>
        <v>0</v>
      </c>
      <c r="T105" s="5">
        <f ca="1">SUM(OFFSET(Demand!$E114,0,(COLUMN(G102)-1)*5,1,3))*T$2</f>
        <v>0</v>
      </c>
      <c r="U105" s="5">
        <f ca="1">SUM(OFFSET(Demand!$E114,0,(COLUMN(H102)-1)*5,1,3))*U$2</f>
        <v>0</v>
      </c>
      <c r="V105" s="5">
        <f ca="1">SUM(OFFSET(Demand!$E114,0,(COLUMN(I102)-1)*5,1,3))*V$2</f>
        <v>0</v>
      </c>
      <c r="W105" s="5">
        <f ca="1">SUM(OFFSET(Demand!$E114,0,(COLUMN(J102)-1)*5,1,3))*W$2</f>
        <v>0</v>
      </c>
      <c r="X105" s="5">
        <f t="shared" ca="1" si="37"/>
        <v>0</v>
      </c>
      <c r="Y105">
        <f t="shared" ca="1" si="38"/>
        <v>0</v>
      </c>
      <c r="Z105" s="5">
        <f ca="1">SUM(OFFSET(Demand!$H114,0,(COLUMN(A102)-1)*5,1,1))*N$2</f>
        <v>0</v>
      </c>
      <c r="AA105" s="5">
        <f ca="1">SUM(OFFSET(Demand!$H114,0,(COLUMN(B102)-1)*5,1,1))*O$2</f>
        <v>0</v>
      </c>
      <c r="AB105" s="5">
        <f ca="1">SUM(OFFSET(Demand!$H114,0,(COLUMN(C102)-1)*5,1,1))*P$2</f>
        <v>0</v>
      </c>
      <c r="AC105" s="5">
        <f ca="1">SUM(OFFSET(Demand!$H114,0,(COLUMN(D102)-1)*5,1,1))*Q$2</f>
        <v>0</v>
      </c>
      <c r="AD105" s="5">
        <f ca="1">SUM(OFFSET(Demand!$H114,0,(COLUMN(E102)-1)*5,1,1))*R$2</f>
        <v>0</v>
      </c>
      <c r="AE105" s="5">
        <f ca="1">SUM(OFFSET(Demand!$H114,0,(COLUMN(F102)-1)*5,1,1))*S$2</f>
        <v>0</v>
      </c>
      <c r="AF105" s="5">
        <f ca="1">SUM(OFFSET(Demand!$H114,0,(COLUMN(G102)-1)*5,1,1))*T$2</f>
        <v>0</v>
      </c>
      <c r="AG105" s="5">
        <f ca="1">SUM(OFFSET(Demand!$H114,0,(COLUMN(H102)-1)*5,1,1))*U$2</f>
        <v>0</v>
      </c>
      <c r="AH105" s="5">
        <f ca="1">SUM(OFFSET(Demand!$H114,0,(COLUMN(I102)-1)*5,1,1))*V$2</f>
        <v>0</v>
      </c>
      <c r="AI105" s="5">
        <f ca="1">SUM(OFFSET(Demand!$H114,0,(COLUMN(J102)-1)*5,1,1))*W$2</f>
        <v>0</v>
      </c>
      <c r="AJ105" s="5">
        <f t="shared" ca="1" si="39"/>
        <v>0</v>
      </c>
      <c r="AL105" s="5">
        <f t="shared" ca="1" si="40"/>
        <v>0</v>
      </c>
      <c r="AM105" s="5">
        <f t="shared" ca="1" si="41"/>
        <v>0</v>
      </c>
      <c r="AN105" s="5" t="str">
        <f>IF(Demand!BE114="Yes","Yes","")</f>
        <v/>
      </c>
      <c r="AP105" s="36" t="str">
        <f ca="1">Demand!B114</f>
        <v xml:space="preserve"> </v>
      </c>
      <c r="AQ105" t="str">
        <f ca="1">IF(TEXT(Demand!D114,"MMM")&lt;&gt;TEXT(Demand!D113,"MMM"),TEXT(Demand!D114,"MMM"),"")</f>
        <v/>
      </c>
      <c r="AT105" s="5">
        <f t="shared" ca="1" si="42"/>
        <v>0</v>
      </c>
      <c r="BQ105">
        <f ca="1">IF($AN105="",OFFSET(Demand!$A$13,ROW(A102)-1,4+((QUOTIENT(COLUMN(BQ$2)-69,3))*5)+MOD(COLUMN(BQ$2),3),1,1),"")</f>
        <v>0</v>
      </c>
      <c r="BR105">
        <f ca="1">IF($AN105="",OFFSET(Demand!$A$13,ROW(B102)-1,4+((QUOTIENT(COLUMN(BR$2)-69,3))*5)+MOD(COLUMN(BR$2),3),1,1),"")</f>
        <v>0</v>
      </c>
      <c r="BS105">
        <f ca="1">IF($AN105="",OFFSET(Demand!$A$13,ROW(C102)-1,4+((QUOTIENT(COLUMN(BS$2)-69,3))*5)+MOD(COLUMN(BS$2),3),1,1),"")</f>
        <v>0</v>
      </c>
      <c r="BT105">
        <f ca="1">IF($AN105="",OFFSET(Demand!$A$13,ROW(D102)-1,4+((QUOTIENT(COLUMN(BT$2)-69,3))*5)+MOD(COLUMN(BT$2),3),1,1),"")</f>
        <v>0</v>
      </c>
      <c r="BU105">
        <f ca="1">IF($AN105="",OFFSET(Demand!$A$13,ROW(E102)-1,4+((QUOTIENT(COLUMN(BU$2)-69,3))*5)+MOD(COLUMN(BU$2),3),1,1),"")</f>
        <v>0</v>
      </c>
      <c r="BV105">
        <f ca="1">IF($AN105="",OFFSET(Demand!$A$13,ROW(F102)-1,4+((QUOTIENT(COLUMN(BV$2)-69,3))*5)+MOD(COLUMN(BV$2),3),1,1),"")</f>
        <v>0</v>
      </c>
      <c r="BW105">
        <f ca="1">IF($AN105="",OFFSET(Demand!$A$13,ROW(G102)-1,4+((QUOTIENT(COLUMN(BW$2)-69,3))*5)+MOD(COLUMN(BW$2),3),1,1),"")</f>
        <v>0</v>
      </c>
      <c r="BX105">
        <f ca="1">IF($AN105="",OFFSET(Demand!$A$13,ROW(H102)-1,4+((QUOTIENT(COLUMN(BX$2)-69,3))*5)+MOD(COLUMN(BX$2),3),1,1),"")</f>
        <v>0</v>
      </c>
      <c r="BY105">
        <f ca="1">IF($AN105="",OFFSET(Demand!$A$13,ROW(I102)-1,4+((QUOTIENT(COLUMN(BY$2)-69,3))*5)+MOD(COLUMN(BY$2),3),1,1),"")</f>
        <v>0</v>
      </c>
      <c r="BZ105">
        <f ca="1">IF($AN105="",OFFSET(Demand!$A$13,ROW(J102)-1,4+((QUOTIENT(COLUMN(BZ$2)-69,3))*5)+MOD(COLUMN(BZ$2),3),1,1),"")</f>
        <v>0</v>
      </c>
      <c r="CA105">
        <f ca="1">IF($AN105="",OFFSET(Demand!$A$13,ROW(K102)-1,4+((QUOTIENT(COLUMN(CA$2)-69,3))*5)+MOD(COLUMN(CA$2),3),1,1),"")</f>
        <v>0</v>
      </c>
      <c r="CB105">
        <f ca="1">IF($AN105="",OFFSET(Demand!$A$13,ROW(L102)-1,4+((QUOTIENT(COLUMN(CB$2)-69,3))*5)+MOD(COLUMN(CB$2),3),1,1),"")</f>
        <v>0</v>
      </c>
      <c r="CC105">
        <f ca="1">IF($AN105="",OFFSET(Demand!$A$13,ROW(M102)-1,4+((QUOTIENT(COLUMN(CC$2)-69,3))*5)+MOD(COLUMN(CC$2),3),1,1),"")</f>
        <v>0</v>
      </c>
      <c r="CD105">
        <f ca="1">IF($AN105="",OFFSET(Demand!$A$13,ROW(N102)-1,4+((QUOTIENT(COLUMN(CD$2)-69,3))*5)+MOD(COLUMN(CD$2),3),1,1),"")</f>
        <v>0</v>
      </c>
      <c r="CE105">
        <f ca="1">IF($AN105="",OFFSET(Demand!$A$13,ROW(O102)-1,4+((QUOTIENT(COLUMN(CE$2)-69,3))*5)+MOD(COLUMN(CE$2),3),1,1),"")</f>
        <v>0</v>
      </c>
      <c r="CF105">
        <f ca="1">IF($AN105="",OFFSET(Demand!$A$13,ROW(P102)-1,4+((QUOTIENT(COLUMN(CF$2)-69,3))*5)+MOD(COLUMN(CF$2),3),1,1),"")</f>
        <v>0</v>
      </c>
      <c r="CG105">
        <f ca="1">IF($AN105="",OFFSET(Demand!$A$13,ROW(Q102)-1,4+((QUOTIENT(COLUMN(CG$2)-69,3))*5)+MOD(COLUMN(CG$2),3),1,1),"")</f>
        <v>0</v>
      </c>
      <c r="CH105">
        <f ca="1">IF($AN105="",OFFSET(Demand!$A$13,ROW(R102)-1,4+((QUOTIENT(COLUMN(CH$2)-69,3))*5)+MOD(COLUMN(CH$2),3),1,1),"")</f>
        <v>0</v>
      </c>
      <c r="CI105">
        <f ca="1">IF($AN105="",OFFSET(Demand!$A$13,ROW(S102)-1,4+((QUOTIENT(COLUMN(CI$2)-69,3))*5)+MOD(COLUMN(CI$2),3),1,1),"")</f>
        <v>0</v>
      </c>
      <c r="CJ105">
        <f ca="1">IF($AN105="",OFFSET(Demand!$A$13,ROW(T102)-1,4+((QUOTIENT(COLUMN(CJ$2)-69,3))*5)+MOD(COLUMN(CJ$2),3),1,1),"")</f>
        <v>0</v>
      </c>
      <c r="CK105">
        <f ca="1">IF($AN105="",OFFSET(Demand!$A$13,ROW(U102)-1,4+((QUOTIENT(COLUMN(CK$2)-69,3))*5)+MOD(COLUMN(CK$2),3),1,1),"")</f>
        <v>0</v>
      </c>
      <c r="CL105">
        <f ca="1">IF($AN105="",OFFSET(Demand!$A$13,ROW(V102)-1,4+((QUOTIENT(COLUMN(CL$2)-69,3))*5)+MOD(COLUMN(CL$2),3),1,1),"")</f>
        <v>0</v>
      </c>
      <c r="CM105">
        <f ca="1">IF($AN105="",OFFSET(Demand!$A$13,ROW(W102)-1,4+((QUOTIENT(COLUMN(CM$2)-69,3))*5)+MOD(COLUMN(CM$2),3),1,1),"")</f>
        <v>0</v>
      </c>
      <c r="CN105">
        <f ca="1">IF($AN105="",OFFSET(Demand!$A$13,ROW(X102)-1,4+((QUOTIENT(COLUMN(CN$2)-69,3))*5)+MOD(COLUMN(CN$2),3),1,1),"")</f>
        <v>0</v>
      </c>
      <c r="CO105">
        <f ca="1">IF($AN105="",OFFSET(Demand!$A$13,ROW(Y102)-1,4+((QUOTIENT(COLUMN(CO$2)-69,3))*5)+MOD(COLUMN(CO$2),3),1,1),"")</f>
        <v>0</v>
      </c>
      <c r="CP105">
        <f ca="1">IF($AN105="",OFFSET(Demand!$A$13,ROW(Z102)-1,4+((QUOTIENT(COLUMN(CP$2)-69,3))*5)+MOD(COLUMN(CP$2),3),1,1),"")</f>
        <v>0</v>
      </c>
      <c r="CQ105">
        <f ca="1">IF($AN105="",OFFSET(Demand!$A$13,ROW(AA102)-1,4+((QUOTIENT(COLUMN(CQ$2)-69,3))*5)+MOD(COLUMN(CQ$2),3),1,1),"")</f>
        <v>0</v>
      </c>
      <c r="CR105">
        <f ca="1">IF($AN105="",OFFSET(Demand!$A$13,ROW(AB102)-1,4+((QUOTIENT(COLUMN(CR$2)-69,3))*5)+MOD(COLUMN(CR$2),3),1,1),"")</f>
        <v>0</v>
      </c>
      <c r="CS105">
        <f ca="1">IF($AN105="",OFFSET(Demand!$A$13,ROW(AC102)-1,4+((QUOTIENT(COLUMN(CS$2)-69,3))*5)+MOD(COLUMN(CS$2),3),1,1),"")</f>
        <v>0</v>
      </c>
      <c r="CT105">
        <f ca="1">IF($AN105="",OFFSET(Demand!$A$13,ROW(AD102)-1,4+((QUOTIENT(COLUMN(CT$2)-69,3))*5)+MOD(COLUMN(CT$2),3),1,1),"")</f>
        <v>0</v>
      </c>
      <c r="CW105" s="5">
        <f ca="1">SUM(OFFSET(Demand!$H$43,ROW(A102)-1,(COLUMN(A102)-1)*5,1,1))*N$2</f>
        <v>0</v>
      </c>
      <c r="CX105" s="5">
        <f ca="1">SUM(OFFSET(Demand!$H$43,ROW(B102)-1,(COLUMN(B102)-1)*5,1,1))*O$2</f>
        <v>0</v>
      </c>
      <c r="CY105" s="5">
        <f ca="1">SUM(OFFSET(Demand!$H$43,ROW(C102)-1,(COLUMN(C102)-1)*5,1,1))*P$2</f>
        <v>0</v>
      </c>
      <c r="CZ105" s="5">
        <f ca="1">SUM(OFFSET(Demand!$H$43,ROW(D102)-1,(COLUMN(D102)-1)*5,1,1))*Q$2</f>
        <v>0</v>
      </c>
      <c r="DA105" s="5">
        <f ca="1">SUM(OFFSET(Demand!$H$43,ROW(E102)-1,(COLUMN(E102)-1)*5,1,1))*R$2</f>
        <v>0</v>
      </c>
      <c r="DB105" s="5">
        <f ca="1">SUM(OFFSET(Demand!$H$43,ROW(F102)-1,(COLUMN(F102)-1)*5,1,1))*S$2</f>
        <v>0</v>
      </c>
      <c r="DC105" s="5">
        <f ca="1">SUM(OFFSET(Demand!$H$43,ROW(G102)-1,(COLUMN(G102)-1)*5,1,1))*T$2</f>
        <v>0</v>
      </c>
      <c r="DD105" s="5">
        <f ca="1">SUM(OFFSET(Demand!$H$43,ROW(H102)-1,(COLUMN(H102)-1)*5,1,1))*U$2</f>
        <v>0</v>
      </c>
      <c r="DE105" s="5">
        <f ca="1">SUM(OFFSET(Demand!$H$43,ROW(I102)-1,(COLUMN(I102)-1)*5,1,1))*V$2</f>
        <v>0</v>
      </c>
      <c r="DF105" s="5">
        <f ca="1">SUM(OFFSET(Demand!$H$43,ROW(J102)-1,(COLUMN(J102)-1)*5,1,1))*W$2</f>
        <v>0</v>
      </c>
      <c r="DG105" s="5">
        <f ca="1">IF(OR(AN105&lt;&gt;"",AND('Demand adjustments for Covid'!$F$9="Yes",'Demand adjustments for Covid'!$F$20="Yes")),"",SUM(CW105:DF105))</f>
        <v>0</v>
      </c>
    </row>
    <row r="106" spans="1:111" x14ac:dyDescent="0.25">
      <c r="A106" s="5">
        <f t="shared" ca="1" si="34"/>
        <v>1</v>
      </c>
      <c r="B106" s="5">
        <f ca="1">COUNTBLANK(OFFSET(Demand!$I115,0,(COLUMN(A103)-1)*5,1,1))</f>
        <v>1</v>
      </c>
      <c r="C106" s="5">
        <f ca="1">COUNTBLANK(OFFSET(Demand!$I115,0,(COLUMN(B103)-1)*5,1,1))</f>
        <v>1</v>
      </c>
      <c r="D106" s="5">
        <f ca="1">COUNTBLANK(OFFSET(Demand!$I115,0,(COLUMN(C103)-1)*5,1,1))</f>
        <v>1</v>
      </c>
      <c r="E106" s="5">
        <f ca="1">COUNTBLANK(OFFSET(Demand!$I115,0,(COLUMN(D103)-1)*5,1,1))</f>
        <v>1</v>
      </c>
      <c r="F106" s="5">
        <f ca="1">COUNTBLANK(OFFSET(Demand!$I115,0,(COLUMN(E103)-1)*5,1,1))</f>
        <v>1</v>
      </c>
      <c r="G106" s="5">
        <f ca="1">COUNTBLANK(OFFSET(Demand!$I115,0,(COLUMN(F103)-1)*5,1,1))</f>
        <v>1</v>
      </c>
      <c r="H106" s="5">
        <f ca="1">COUNTBLANK(OFFSET(Demand!$I115,0,(COLUMN(G103)-1)*5,1,1))</f>
        <v>1</v>
      </c>
      <c r="I106" s="5">
        <f ca="1">COUNTBLANK(OFFSET(Demand!$I115,0,(COLUMN(H103)-1)*5,1,1))</f>
        <v>1</v>
      </c>
      <c r="J106" s="5">
        <f ca="1">COUNTBLANK(OFFSET(Demand!$I115,0,(COLUMN(I103)-1)*5,1,1))</f>
        <v>1</v>
      </c>
      <c r="K106" s="5">
        <f ca="1">COUNTBLANK(OFFSET(Demand!$I115,0,(COLUMN(J103)-1)*5,1,1))</f>
        <v>1</v>
      </c>
      <c r="N106" s="5">
        <f ca="1">SUM(OFFSET(Demand!$E115,0,(COLUMN(A103)-1)*5,1,3))*N$2</f>
        <v>0</v>
      </c>
      <c r="O106" s="5">
        <f ca="1">SUM(OFFSET(Demand!$E115,0,(COLUMN(B103)-1)*5,1,3))*O$2</f>
        <v>0</v>
      </c>
      <c r="P106" s="5">
        <f ca="1">SUM(OFFSET(Demand!$E115,0,(COLUMN(C103)-1)*5,1,3))*P$2</f>
        <v>0</v>
      </c>
      <c r="Q106" s="5">
        <f ca="1">SUM(OFFSET(Demand!$E115,0,(COLUMN(D103)-1)*5,1,3))*Q$2</f>
        <v>0</v>
      </c>
      <c r="R106" s="5">
        <f ca="1">SUM(OFFSET(Demand!$E115,0,(COLUMN(E103)-1)*5,1,3))*R$2</f>
        <v>0</v>
      </c>
      <c r="S106" s="5">
        <f ca="1">SUM(OFFSET(Demand!$E115,0,(COLUMN(F103)-1)*5,1,3))*S$2</f>
        <v>0</v>
      </c>
      <c r="T106" s="5">
        <f ca="1">SUM(OFFSET(Demand!$E115,0,(COLUMN(G103)-1)*5,1,3))*T$2</f>
        <v>0</v>
      </c>
      <c r="U106" s="5">
        <f ca="1">SUM(OFFSET(Demand!$E115,0,(COLUMN(H103)-1)*5,1,3))*U$2</f>
        <v>0</v>
      </c>
      <c r="V106" s="5">
        <f ca="1">SUM(OFFSET(Demand!$E115,0,(COLUMN(I103)-1)*5,1,3))*V$2</f>
        <v>0</v>
      </c>
      <c r="W106" s="5">
        <f ca="1">SUM(OFFSET(Demand!$E115,0,(COLUMN(J103)-1)*5,1,3))*W$2</f>
        <v>0</v>
      </c>
      <c r="X106" s="5">
        <f t="shared" ca="1" si="37"/>
        <v>0</v>
      </c>
      <c r="Y106">
        <f t="shared" ca="1" si="38"/>
        <v>0</v>
      </c>
      <c r="Z106" s="5">
        <f ca="1">SUM(OFFSET(Demand!$H115,0,(COLUMN(A103)-1)*5,1,1))*N$2</f>
        <v>0</v>
      </c>
      <c r="AA106" s="5">
        <f ca="1">SUM(OFFSET(Demand!$H115,0,(COLUMN(B103)-1)*5,1,1))*O$2</f>
        <v>0</v>
      </c>
      <c r="AB106" s="5">
        <f ca="1">SUM(OFFSET(Demand!$H115,0,(COLUMN(C103)-1)*5,1,1))*P$2</f>
        <v>0</v>
      </c>
      <c r="AC106" s="5">
        <f ca="1">SUM(OFFSET(Demand!$H115,0,(COLUMN(D103)-1)*5,1,1))*Q$2</f>
        <v>0</v>
      </c>
      <c r="AD106" s="5">
        <f ca="1">SUM(OFFSET(Demand!$H115,0,(COLUMN(E103)-1)*5,1,1))*R$2</f>
        <v>0</v>
      </c>
      <c r="AE106" s="5">
        <f ca="1">SUM(OFFSET(Demand!$H115,0,(COLUMN(F103)-1)*5,1,1))*S$2</f>
        <v>0</v>
      </c>
      <c r="AF106" s="5">
        <f ca="1">SUM(OFFSET(Demand!$H115,0,(COLUMN(G103)-1)*5,1,1))*T$2</f>
        <v>0</v>
      </c>
      <c r="AG106" s="5">
        <f ca="1">SUM(OFFSET(Demand!$H115,0,(COLUMN(H103)-1)*5,1,1))*U$2</f>
        <v>0</v>
      </c>
      <c r="AH106" s="5">
        <f ca="1">SUM(OFFSET(Demand!$H115,0,(COLUMN(I103)-1)*5,1,1))*V$2</f>
        <v>0</v>
      </c>
      <c r="AI106" s="5">
        <f ca="1">SUM(OFFSET(Demand!$H115,0,(COLUMN(J103)-1)*5,1,1))*W$2</f>
        <v>0</v>
      </c>
      <c r="AJ106" s="5">
        <f t="shared" ca="1" si="39"/>
        <v>0</v>
      </c>
      <c r="AL106" s="5">
        <f t="shared" ca="1" si="40"/>
        <v>0</v>
      </c>
      <c r="AM106" s="5">
        <f t="shared" ca="1" si="41"/>
        <v>0</v>
      </c>
      <c r="AN106" s="5" t="str">
        <f>IF(Demand!BE115="Yes","Yes","")</f>
        <v/>
      </c>
      <c r="AP106" s="36" t="str">
        <f ca="1">Demand!B115</f>
        <v xml:space="preserve"> </v>
      </c>
      <c r="AQ106" t="str">
        <f ca="1">IF(TEXT(Demand!D115,"MMM")&lt;&gt;TEXT(Demand!D114,"MMM"),TEXT(Demand!D115,"MMM"),"")</f>
        <v/>
      </c>
      <c r="AT106" s="5">
        <f t="shared" ca="1" si="42"/>
        <v>0</v>
      </c>
      <c r="BQ106">
        <f ca="1">IF($AN106="",OFFSET(Demand!$A$13,ROW(A103)-1,4+((QUOTIENT(COLUMN(BQ$2)-69,3))*5)+MOD(COLUMN(BQ$2),3),1,1),"")</f>
        <v>0</v>
      </c>
      <c r="BR106">
        <f ca="1">IF($AN106="",OFFSET(Demand!$A$13,ROW(B103)-1,4+((QUOTIENT(COLUMN(BR$2)-69,3))*5)+MOD(COLUMN(BR$2),3),1,1),"")</f>
        <v>0</v>
      </c>
      <c r="BS106">
        <f ca="1">IF($AN106="",OFFSET(Demand!$A$13,ROW(C103)-1,4+((QUOTIENT(COLUMN(BS$2)-69,3))*5)+MOD(COLUMN(BS$2),3),1,1),"")</f>
        <v>0</v>
      </c>
      <c r="BT106">
        <f ca="1">IF($AN106="",OFFSET(Demand!$A$13,ROW(D103)-1,4+((QUOTIENT(COLUMN(BT$2)-69,3))*5)+MOD(COLUMN(BT$2),3),1,1),"")</f>
        <v>0</v>
      </c>
      <c r="BU106">
        <f ca="1">IF($AN106="",OFFSET(Demand!$A$13,ROW(E103)-1,4+((QUOTIENT(COLUMN(BU$2)-69,3))*5)+MOD(COLUMN(BU$2),3),1,1),"")</f>
        <v>0</v>
      </c>
      <c r="BV106">
        <f ca="1">IF($AN106="",OFFSET(Demand!$A$13,ROW(F103)-1,4+((QUOTIENT(COLUMN(BV$2)-69,3))*5)+MOD(COLUMN(BV$2),3),1,1),"")</f>
        <v>0</v>
      </c>
      <c r="BW106">
        <f ca="1">IF($AN106="",OFFSET(Demand!$A$13,ROW(G103)-1,4+((QUOTIENT(COLUMN(BW$2)-69,3))*5)+MOD(COLUMN(BW$2),3),1,1),"")</f>
        <v>0</v>
      </c>
      <c r="BX106">
        <f ca="1">IF($AN106="",OFFSET(Demand!$A$13,ROW(H103)-1,4+((QUOTIENT(COLUMN(BX$2)-69,3))*5)+MOD(COLUMN(BX$2),3),1,1),"")</f>
        <v>0</v>
      </c>
      <c r="BY106">
        <f ca="1">IF($AN106="",OFFSET(Demand!$A$13,ROW(I103)-1,4+((QUOTIENT(COLUMN(BY$2)-69,3))*5)+MOD(COLUMN(BY$2),3),1,1),"")</f>
        <v>0</v>
      </c>
      <c r="BZ106">
        <f ca="1">IF($AN106="",OFFSET(Demand!$A$13,ROW(J103)-1,4+((QUOTIENT(COLUMN(BZ$2)-69,3))*5)+MOD(COLUMN(BZ$2),3),1,1),"")</f>
        <v>0</v>
      </c>
      <c r="CA106">
        <f ca="1">IF($AN106="",OFFSET(Demand!$A$13,ROW(K103)-1,4+((QUOTIENT(COLUMN(CA$2)-69,3))*5)+MOD(COLUMN(CA$2),3),1,1),"")</f>
        <v>0</v>
      </c>
      <c r="CB106">
        <f ca="1">IF($AN106="",OFFSET(Demand!$A$13,ROW(L103)-1,4+((QUOTIENT(COLUMN(CB$2)-69,3))*5)+MOD(COLUMN(CB$2),3),1,1),"")</f>
        <v>0</v>
      </c>
      <c r="CC106">
        <f ca="1">IF($AN106="",OFFSET(Demand!$A$13,ROW(M103)-1,4+((QUOTIENT(COLUMN(CC$2)-69,3))*5)+MOD(COLUMN(CC$2),3),1,1),"")</f>
        <v>0</v>
      </c>
      <c r="CD106">
        <f ca="1">IF($AN106="",OFFSET(Demand!$A$13,ROW(N103)-1,4+((QUOTIENT(COLUMN(CD$2)-69,3))*5)+MOD(COLUMN(CD$2),3),1,1),"")</f>
        <v>0</v>
      </c>
      <c r="CE106">
        <f ca="1">IF($AN106="",OFFSET(Demand!$A$13,ROW(O103)-1,4+((QUOTIENT(COLUMN(CE$2)-69,3))*5)+MOD(COLUMN(CE$2),3),1,1),"")</f>
        <v>0</v>
      </c>
      <c r="CF106">
        <f ca="1">IF($AN106="",OFFSET(Demand!$A$13,ROW(P103)-1,4+((QUOTIENT(COLUMN(CF$2)-69,3))*5)+MOD(COLUMN(CF$2),3),1,1),"")</f>
        <v>0</v>
      </c>
      <c r="CG106">
        <f ca="1">IF($AN106="",OFFSET(Demand!$A$13,ROW(Q103)-1,4+((QUOTIENT(COLUMN(CG$2)-69,3))*5)+MOD(COLUMN(CG$2),3),1,1),"")</f>
        <v>0</v>
      </c>
      <c r="CH106">
        <f ca="1">IF($AN106="",OFFSET(Demand!$A$13,ROW(R103)-1,4+((QUOTIENT(COLUMN(CH$2)-69,3))*5)+MOD(COLUMN(CH$2),3),1,1),"")</f>
        <v>0</v>
      </c>
      <c r="CI106">
        <f ca="1">IF($AN106="",OFFSET(Demand!$A$13,ROW(S103)-1,4+((QUOTIENT(COLUMN(CI$2)-69,3))*5)+MOD(COLUMN(CI$2),3),1,1),"")</f>
        <v>0</v>
      </c>
      <c r="CJ106">
        <f ca="1">IF($AN106="",OFFSET(Demand!$A$13,ROW(T103)-1,4+((QUOTIENT(COLUMN(CJ$2)-69,3))*5)+MOD(COLUMN(CJ$2),3),1,1),"")</f>
        <v>0</v>
      </c>
      <c r="CK106">
        <f ca="1">IF($AN106="",OFFSET(Demand!$A$13,ROW(U103)-1,4+((QUOTIENT(COLUMN(CK$2)-69,3))*5)+MOD(COLUMN(CK$2),3),1,1),"")</f>
        <v>0</v>
      </c>
      <c r="CL106">
        <f ca="1">IF($AN106="",OFFSET(Demand!$A$13,ROW(V103)-1,4+((QUOTIENT(COLUMN(CL$2)-69,3))*5)+MOD(COLUMN(CL$2),3),1,1),"")</f>
        <v>0</v>
      </c>
      <c r="CM106">
        <f ca="1">IF($AN106="",OFFSET(Demand!$A$13,ROW(W103)-1,4+((QUOTIENT(COLUMN(CM$2)-69,3))*5)+MOD(COLUMN(CM$2),3),1,1),"")</f>
        <v>0</v>
      </c>
      <c r="CN106">
        <f ca="1">IF($AN106="",OFFSET(Demand!$A$13,ROW(X103)-1,4+((QUOTIENT(COLUMN(CN$2)-69,3))*5)+MOD(COLUMN(CN$2),3),1,1),"")</f>
        <v>0</v>
      </c>
      <c r="CO106">
        <f ca="1">IF($AN106="",OFFSET(Demand!$A$13,ROW(Y103)-1,4+((QUOTIENT(COLUMN(CO$2)-69,3))*5)+MOD(COLUMN(CO$2),3),1,1),"")</f>
        <v>0</v>
      </c>
      <c r="CP106">
        <f ca="1">IF($AN106="",OFFSET(Demand!$A$13,ROW(Z103)-1,4+((QUOTIENT(COLUMN(CP$2)-69,3))*5)+MOD(COLUMN(CP$2),3),1,1),"")</f>
        <v>0</v>
      </c>
      <c r="CQ106">
        <f ca="1">IF($AN106="",OFFSET(Demand!$A$13,ROW(AA103)-1,4+((QUOTIENT(COLUMN(CQ$2)-69,3))*5)+MOD(COLUMN(CQ$2),3),1,1),"")</f>
        <v>0</v>
      </c>
      <c r="CR106">
        <f ca="1">IF($AN106="",OFFSET(Demand!$A$13,ROW(AB103)-1,4+((QUOTIENT(COLUMN(CR$2)-69,3))*5)+MOD(COLUMN(CR$2),3),1,1),"")</f>
        <v>0</v>
      </c>
      <c r="CS106">
        <f ca="1">IF($AN106="",OFFSET(Demand!$A$13,ROW(AC103)-1,4+((QUOTIENT(COLUMN(CS$2)-69,3))*5)+MOD(COLUMN(CS$2),3),1,1),"")</f>
        <v>0</v>
      </c>
      <c r="CT106">
        <f ca="1">IF($AN106="",OFFSET(Demand!$A$13,ROW(AD103)-1,4+((QUOTIENT(COLUMN(CT$2)-69,3))*5)+MOD(COLUMN(CT$2),3),1,1),"")</f>
        <v>0</v>
      </c>
      <c r="CW106" s="5">
        <f ca="1">SUM(OFFSET(Demand!$H$43,ROW(A103)-1,(COLUMN(A103)-1)*5,1,1))*N$2</f>
        <v>0</v>
      </c>
      <c r="CX106" s="5">
        <f ca="1">SUM(OFFSET(Demand!$H$43,ROW(B103)-1,(COLUMN(B103)-1)*5,1,1))*O$2</f>
        <v>0</v>
      </c>
      <c r="CY106" s="5">
        <f ca="1">SUM(OFFSET(Demand!$H$43,ROW(C103)-1,(COLUMN(C103)-1)*5,1,1))*P$2</f>
        <v>0</v>
      </c>
      <c r="CZ106" s="5">
        <f ca="1">SUM(OFFSET(Demand!$H$43,ROW(D103)-1,(COLUMN(D103)-1)*5,1,1))*Q$2</f>
        <v>0</v>
      </c>
      <c r="DA106" s="5">
        <f ca="1">SUM(OFFSET(Demand!$H$43,ROW(E103)-1,(COLUMN(E103)-1)*5,1,1))*R$2</f>
        <v>0</v>
      </c>
      <c r="DB106" s="5">
        <f ca="1">SUM(OFFSET(Demand!$H$43,ROW(F103)-1,(COLUMN(F103)-1)*5,1,1))*S$2</f>
        <v>0</v>
      </c>
      <c r="DC106" s="5">
        <f ca="1">SUM(OFFSET(Demand!$H$43,ROW(G103)-1,(COLUMN(G103)-1)*5,1,1))*T$2</f>
        <v>0</v>
      </c>
      <c r="DD106" s="5">
        <f ca="1">SUM(OFFSET(Demand!$H$43,ROW(H103)-1,(COLUMN(H103)-1)*5,1,1))*U$2</f>
        <v>0</v>
      </c>
      <c r="DE106" s="5">
        <f ca="1">SUM(OFFSET(Demand!$H$43,ROW(I103)-1,(COLUMN(I103)-1)*5,1,1))*V$2</f>
        <v>0</v>
      </c>
      <c r="DF106" s="5">
        <f ca="1">SUM(OFFSET(Demand!$H$43,ROW(J103)-1,(COLUMN(J103)-1)*5,1,1))*W$2</f>
        <v>0</v>
      </c>
      <c r="DG106" s="5">
        <f ca="1">IF(OR(AN106&lt;&gt;"",AND('Demand adjustments for Covid'!$F$9="Yes",'Demand adjustments for Covid'!$F$20="Yes")),"",SUM(CW106:DF106))</f>
        <v>0</v>
      </c>
    </row>
    <row r="107" spans="1:111" x14ac:dyDescent="0.25">
      <c r="A107" s="5">
        <f t="shared" ca="1" si="34"/>
        <v>1</v>
      </c>
      <c r="B107" s="5">
        <f ca="1">COUNTBLANK(OFFSET(Demand!$I116,0,(COLUMN(A104)-1)*5,1,1))</f>
        <v>1</v>
      </c>
      <c r="C107" s="5">
        <f ca="1">COUNTBLANK(OFFSET(Demand!$I116,0,(COLUMN(B104)-1)*5,1,1))</f>
        <v>1</v>
      </c>
      <c r="D107" s="5">
        <f ca="1">COUNTBLANK(OFFSET(Demand!$I116,0,(COLUMN(C104)-1)*5,1,1))</f>
        <v>1</v>
      </c>
      <c r="E107" s="5">
        <f ca="1">COUNTBLANK(OFFSET(Demand!$I116,0,(COLUMN(D104)-1)*5,1,1))</f>
        <v>1</v>
      </c>
      <c r="F107" s="5">
        <f ca="1">COUNTBLANK(OFFSET(Demand!$I116,0,(COLUMN(E104)-1)*5,1,1))</f>
        <v>1</v>
      </c>
      <c r="G107" s="5">
        <f ca="1">COUNTBLANK(OFFSET(Demand!$I116,0,(COLUMN(F104)-1)*5,1,1))</f>
        <v>1</v>
      </c>
      <c r="H107" s="5">
        <f ca="1">COUNTBLANK(OFFSET(Demand!$I116,0,(COLUMN(G104)-1)*5,1,1))</f>
        <v>1</v>
      </c>
      <c r="I107" s="5">
        <f ca="1">COUNTBLANK(OFFSET(Demand!$I116,0,(COLUMN(H104)-1)*5,1,1))</f>
        <v>1</v>
      </c>
      <c r="J107" s="5">
        <f ca="1">COUNTBLANK(OFFSET(Demand!$I116,0,(COLUMN(I104)-1)*5,1,1))</f>
        <v>1</v>
      </c>
      <c r="K107" s="5">
        <f ca="1">COUNTBLANK(OFFSET(Demand!$I116,0,(COLUMN(J104)-1)*5,1,1))</f>
        <v>1</v>
      </c>
      <c r="N107" s="5">
        <f ca="1">SUM(OFFSET(Demand!$E116,0,(COLUMN(A104)-1)*5,1,3))*N$2</f>
        <v>0</v>
      </c>
      <c r="O107" s="5">
        <f ca="1">SUM(OFFSET(Demand!$E116,0,(COLUMN(B104)-1)*5,1,3))*O$2</f>
        <v>0</v>
      </c>
      <c r="P107" s="5">
        <f ca="1">SUM(OFFSET(Demand!$E116,0,(COLUMN(C104)-1)*5,1,3))*P$2</f>
        <v>0</v>
      </c>
      <c r="Q107" s="5">
        <f ca="1">SUM(OFFSET(Demand!$E116,0,(COLUMN(D104)-1)*5,1,3))*Q$2</f>
        <v>0</v>
      </c>
      <c r="R107" s="5">
        <f ca="1">SUM(OFFSET(Demand!$E116,0,(COLUMN(E104)-1)*5,1,3))*R$2</f>
        <v>0</v>
      </c>
      <c r="S107" s="5">
        <f ca="1">SUM(OFFSET(Demand!$E116,0,(COLUMN(F104)-1)*5,1,3))*S$2</f>
        <v>0</v>
      </c>
      <c r="T107" s="5">
        <f ca="1">SUM(OFFSET(Demand!$E116,0,(COLUMN(G104)-1)*5,1,3))*T$2</f>
        <v>0</v>
      </c>
      <c r="U107" s="5">
        <f ca="1">SUM(OFFSET(Demand!$E116,0,(COLUMN(H104)-1)*5,1,3))*U$2</f>
        <v>0</v>
      </c>
      <c r="V107" s="5">
        <f ca="1">SUM(OFFSET(Demand!$E116,0,(COLUMN(I104)-1)*5,1,3))*V$2</f>
        <v>0</v>
      </c>
      <c r="W107" s="5">
        <f ca="1">SUM(OFFSET(Demand!$E116,0,(COLUMN(J104)-1)*5,1,3))*W$2</f>
        <v>0</v>
      </c>
      <c r="X107" s="5">
        <f t="shared" ca="1" si="37"/>
        <v>0</v>
      </c>
      <c r="Y107">
        <f t="shared" ca="1" si="38"/>
        <v>0</v>
      </c>
      <c r="Z107" s="5">
        <f ca="1">SUM(OFFSET(Demand!$H116,0,(COLUMN(A104)-1)*5,1,1))*N$2</f>
        <v>0</v>
      </c>
      <c r="AA107" s="5">
        <f ca="1">SUM(OFFSET(Demand!$H116,0,(COLUMN(B104)-1)*5,1,1))*O$2</f>
        <v>0</v>
      </c>
      <c r="AB107" s="5">
        <f ca="1">SUM(OFFSET(Demand!$H116,0,(COLUMN(C104)-1)*5,1,1))*P$2</f>
        <v>0</v>
      </c>
      <c r="AC107" s="5">
        <f ca="1">SUM(OFFSET(Demand!$H116,0,(COLUMN(D104)-1)*5,1,1))*Q$2</f>
        <v>0</v>
      </c>
      <c r="AD107" s="5">
        <f ca="1">SUM(OFFSET(Demand!$H116,0,(COLUMN(E104)-1)*5,1,1))*R$2</f>
        <v>0</v>
      </c>
      <c r="AE107" s="5">
        <f ca="1">SUM(OFFSET(Demand!$H116,0,(COLUMN(F104)-1)*5,1,1))*S$2</f>
        <v>0</v>
      </c>
      <c r="AF107" s="5">
        <f ca="1">SUM(OFFSET(Demand!$H116,0,(COLUMN(G104)-1)*5,1,1))*T$2</f>
        <v>0</v>
      </c>
      <c r="AG107" s="5">
        <f ca="1">SUM(OFFSET(Demand!$H116,0,(COLUMN(H104)-1)*5,1,1))*U$2</f>
        <v>0</v>
      </c>
      <c r="AH107" s="5">
        <f ca="1">SUM(OFFSET(Demand!$H116,0,(COLUMN(I104)-1)*5,1,1))*V$2</f>
        <v>0</v>
      </c>
      <c r="AI107" s="5">
        <f ca="1">SUM(OFFSET(Demand!$H116,0,(COLUMN(J104)-1)*5,1,1))*W$2</f>
        <v>0</v>
      </c>
      <c r="AJ107" s="5">
        <f t="shared" ca="1" si="39"/>
        <v>0</v>
      </c>
      <c r="AL107" s="5">
        <f t="shared" ca="1" si="40"/>
        <v>0</v>
      </c>
      <c r="AM107" s="5">
        <f t="shared" ca="1" si="41"/>
        <v>0</v>
      </c>
      <c r="AN107" s="5" t="str">
        <f>IF(Demand!BE116="Yes","Yes","")</f>
        <v/>
      </c>
      <c r="AP107" s="36" t="str">
        <f ca="1">Demand!B116</f>
        <v xml:space="preserve"> </v>
      </c>
      <c r="AQ107" t="str">
        <f ca="1">IF(TEXT(Demand!D116,"MMM")&lt;&gt;TEXT(Demand!D115,"MMM"),TEXT(Demand!D116,"MMM"),"")</f>
        <v/>
      </c>
      <c r="AT107" s="5">
        <f t="shared" ca="1" si="42"/>
        <v>0</v>
      </c>
      <c r="BQ107">
        <f ca="1">IF($AN107="",OFFSET(Demand!$A$13,ROW(A104)-1,4+((QUOTIENT(COLUMN(BQ$2)-69,3))*5)+MOD(COLUMN(BQ$2),3),1,1),"")</f>
        <v>0</v>
      </c>
      <c r="BR107">
        <f ca="1">IF($AN107="",OFFSET(Demand!$A$13,ROW(B104)-1,4+((QUOTIENT(COLUMN(BR$2)-69,3))*5)+MOD(COLUMN(BR$2),3),1,1),"")</f>
        <v>0</v>
      </c>
      <c r="BS107">
        <f ca="1">IF($AN107="",OFFSET(Demand!$A$13,ROW(C104)-1,4+((QUOTIENT(COLUMN(BS$2)-69,3))*5)+MOD(COLUMN(BS$2),3),1,1),"")</f>
        <v>0</v>
      </c>
      <c r="BT107">
        <f ca="1">IF($AN107="",OFFSET(Demand!$A$13,ROW(D104)-1,4+((QUOTIENT(COLUMN(BT$2)-69,3))*5)+MOD(COLUMN(BT$2),3),1,1),"")</f>
        <v>0</v>
      </c>
      <c r="BU107">
        <f ca="1">IF($AN107="",OFFSET(Demand!$A$13,ROW(E104)-1,4+((QUOTIENT(COLUMN(BU$2)-69,3))*5)+MOD(COLUMN(BU$2),3),1,1),"")</f>
        <v>0</v>
      </c>
      <c r="BV107">
        <f ca="1">IF($AN107="",OFFSET(Demand!$A$13,ROW(F104)-1,4+((QUOTIENT(COLUMN(BV$2)-69,3))*5)+MOD(COLUMN(BV$2),3),1,1),"")</f>
        <v>0</v>
      </c>
      <c r="BW107">
        <f ca="1">IF($AN107="",OFFSET(Demand!$A$13,ROW(G104)-1,4+((QUOTIENT(COLUMN(BW$2)-69,3))*5)+MOD(COLUMN(BW$2),3),1,1),"")</f>
        <v>0</v>
      </c>
      <c r="BX107">
        <f ca="1">IF($AN107="",OFFSET(Demand!$A$13,ROW(H104)-1,4+((QUOTIENT(COLUMN(BX$2)-69,3))*5)+MOD(COLUMN(BX$2),3),1,1),"")</f>
        <v>0</v>
      </c>
      <c r="BY107">
        <f ca="1">IF($AN107="",OFFSET(Demand!$A$13,ROW(I104)-1,4+((QUOTIENT(COLUMN(BY$2)-69,3))*5)+MOD(COLUMN(BY$2),3),1,1),"")</f>
        <v>0</v>
      </c>
      <c r="BZ107">
        <f ca="1">IF($AN107="",OFFSET(Demand!$A$13,ROW(J104)-1,4+((QUOTIENT(COLUMN(BZ$2)-69,3))*5)+MOD(COLUMN(BZ$2),3),1,1),"")</f>
        <v>0</v>
      </c>
      <c r="CA107">
        <f ca="1">IF($AN107="",OFFSET(Demand!$A$13,ROW(K104)-1,4+((QUOTIENT(COLUMN(CA$2)-69,3))*5)+MOD(COLUMN(CA$2),3),1,1),"")</f>
        <v>0</v>
      </c>
      <c r="CB107">
        <f ca="1">IF($AN107="",OFFSET(Demand!$A$13,ROW(L104)-1,4+((QUOTIENT(COLUMN(CB$2)-69,3))*5)+MOD(COLUMN(CB$2),3),1,1),"")</f>
        <v>0</v>
      </c>
      <c r="CC107">
        <f ca="1">IF($AN107="",OFFSET(Demand!$A$13,ROW(M104)-1,4+((QUOTIENT(COLUMN(CC$2)-69,3))*5)+MOD(COLUMN(CC$2),3),1,1),"")</f>
        <v>0</v>
      </c>
      <c r="CD107">
        <f ca="1">IF($AN107="",OFFSET(Demand!$A$13,ROW(N104)-1,4+((QUOTIENT(COLUMN(CD$2)-69,3))*5)+MOD(COLUMN(CD$2),3),1,1),"")</f>
        <v>0</v>
      </c>
      <c r="CE107">
        <f ca="1">IF($AN107="",OFFSET(Demand!$A$13,ROW(O104)-1,4+((QUOTIENT(COLUMN(CE$2)-69,3))*5)+MOD(COLUMN(CE$2),3),1,1),"")</f>
        <v>0</v>
      </c>
      <c r="CF107">
        <f ca="1">IF($AN107="",OFFSET(Demand!$A$13,ROW(P104)-1,4+((QUOTIENT(COLUMN(CF$2)-69,3))*5)+MOD(COLUMN(CF$2),3),1,1),"")</f>
        <v>0</v>
      </c>
      <c r="CG107">
        <f ca="1">IF($AN107="",OFFSET(Demand!$A$13,ROW(Q104)-1,4+((QUOTIENT(COLUMN(CG$2)-69,3))*5)+MOD(COLUMN(CG$2),3),1,1),"")</f>
        <v>0</v>
      </c>
      <c r="CH107">
        <f ca="1">IF($AN107="",OFFSET(Demand!$A$13,ROW(R104)-1,4+((QUOTIENT(COLUMN(CH$2)-69,3))*5)+MOD(COLUMN(CH$2),3),1,1),"")</f>
        <v>0</v>
      </c>
      <c r="CI107">
        <f ca="1">IF($AN107="",OFFSET(Demand!$A$13,ROW(S104)-1,4+((QUOTIENT(COLUMN(CI$2)-69,3))*5)+MOD(COLUMN(CI$2),3),1,1),"")</f>
        <v>0</v>
      </c>
      <c r="CJ107">
        <f ca="1">IF($AN107="",OFFSET(Demand!$A$13,ROW(T104)-1,4+((QUOTIENT(COLUMN(CJ$2)-69,3))*5)+MOD(COLUMN(CJ$2),3),1,1),"")</f>
        <v>0</v>
      </c>
      <c r="CK107">
        <f ca="1">IF($AN107="",OFFSET(Demand!$A$13,ROW(U104)-1,4+((QUOTIENT(COLUMN(CK$2)-69,3))*5)+MOD(COLUMN(CK$2),3),1,1),"")</f>
        <v>0</v>
      </c>
      <c r="CL107">
        <f ca="1">IF($AN107="",OFFSET(Demand!$A$13,ROW(V104)-1,4+((QUOTIENT(COLUMN(CL$2)-69,3))*5)+MOD(COLUMN(CL$2),3),1,1),"")</f>
        <v>0</v>
      </c>
      <c r="CM107">
        <f ca="1">IF($AN107="",OFFSET(Demand!$A$13,ROW(W104)-1,4+((QUOTIENT(COLUMN(CM$2)-69,3))*5)+MOD(COLUMN(CM$2),3),1,1),"")</f>
        <v>0</v>
      </c>
      <c r="CN107">
        <f ca="1">IF($AN107="",OFFSET(Demand!$A$13,ROW(X104)-1,4+((QUOTIENT(COLUMN(CN$2)-69,3))*5)+MOD(COLUMN(CN$2),3),1,1),"")</f>
        <v>0</v>
      </c>
      <c r="CO107">
        <f ca="1">IF($AN107="",OFFSET(Demand!$A$13,ROW(Y104)-1,4+((QUOTIENT(COLUMN(CO$2)-69,3))*5)+MOD(COLUMN(CO$2),3),1,1),"")</f>
        <v>0</v>
      </c>
      <c r="CP107">
        <f ca="1">IF($AN107="",OFFSET(Demand!$A$13,ROW(Z104)-1,4+((QUOTIENT(COLUMN(CP$2)-69,3))*5)+MOD(COLUMN(CP$2),3),1,1),"")</f>
        <v>0</v>
      </c>
      <c r="CQ107">
        <f ca="1">IF($AN107="",OFFSET(Demand!$A$13,ROW(AA104)-1,4+((QUOTIENT(COLUMN(CQ$2)-69,3))*5)+MOD(COLUMN(CQ$2),3),1,1),"")</f>
        <v>0</v>
      </c>
      <c r="CR107">
        <f ca="1">IF($AN107="",OFFSET(Demand!$A$13,ROW(AB104)-1,4+((QUOTIENT(COLUMN(CR$2)-69,3))*5)+MOD(COLUMN(CR$2),3),1,1),"")</f>
        <v>0</v>
      </c>
      <c r="CS107">
        <f ca="1">IF($AN107="",OFFSET(Demand!$A$13,ROW(AC104)-1,4+((QUOTIENT(COLUMN(CS$2)-69,3))*5)+MOD(COLUMN(CS$2),3),1,1),"")</f>
        <v>0</v>
      </c>
      <c r="CT107">
        <f ca="1">IF($AN107="",OFFSET(Demand!$A$13,ROW(AD104)-1,4+((QUOTIENT(COLUMN(CT$2)-69,3))*5)+MOD(COLUMN(CT$2),3),1,1),"")</f>
        <v>0</v>
      </c>
      <c r="CW107" s="5">
        <f ca="1">SUM(OFFSET(Demand!$H$43,ROW(A104)-1,(COLUMN(A104)-1)*5,1,1))*N$2</f>
        <v>0</v>
      </c>
      <c r="CX107" s="5">
        <f ca="1">SUM(OFFSET(Demand!$H$43,ROW(B104)-1,(COLUMN(B104)-1)*5,1,1))*O$2</f>
        <v>0</v>
      </c>
      <c r="CY107" s="5">
        <f ca="1">SUM(OFFSET(Demand!$H$43,ROW(C104)-1,(COLUMN(C104)-1)*5,1,1))*P$2</f>
        <v>0</v>
      </c>
      <c r="CZ107" s="5">
        <f ca="1">SUM(OFFSET(Demand!$H$43,ROW(D104)-1,(COLUMN(D104)-1)*5,1,1))*Q$2</f>
        <v>0</v>
      </c>
      <c r="DA107" s="5">
        <f ca="1">SUM(OFFSET(Demand!$H$43,ROW(E104)-1,(COLUMN(E104)-1)*5,1,1))*R$2</f>
        <v>0</v>
      </c>
      <c r="DB107" s="5">
        <f ca="1">SUM(OFFSET(Demand!$H$43,ROW(F104)-1,(COLUMN(F104)-1)*5,1,1))*S$2</f>
        <v>0</v>
      </c>
      <c r="DC107" s="5">
        <f ca="1">SUM(OFFSET(Demand!$H$43,ROW(G104)-1,(COLUMN(G104)-1)*5,1,1))*T$2</f>
        <v>0</v>
      </c>
      <c r="DD107" s="5">
        <f ca="1">SUM(OFFSET(Demand!$H$43,ROW(H104)-1,(COLUMN(H104)-1)*5,1,1))*U$2</f>
        <v>0</v>
      </c>
      <c r="DE107" s="5">
        <f ca="1">SUM(OFFSET(Demand!$H$43,ROW(I104)-1,(COLUMN(I104)-1)*5,1,1))*V$2</f>
        <v>0</v>
      </c>
      <c r="DF107" s="5">
        <f ca="1">SUM(OFFSET(Demand!$H$43,ROW(J104)-1,(COLUMN(J104)-1)*5,1,1))*W$2</f>
        <v>0</v>
      </c>
      <c r="DG107" s="5">
        <f ca="1">IF(OR(AN107&lt;&gt;"",AND('Demand adjustments for Covid'!$F$9="Yes",'Demand adjustments for Covid'!$F$20="Yes")),"",SUM(CW107:DF107))</f>
        <v>0</v>
      </c>
    </row>
    <row r="108" spans="1:111" x14ac:dyDescent="0.25">
      <c r="A108" s="5">
        <f t="shared" ca="1" si="34"/>
        <v>1</v>
      </c>
      <c r="B108" s="5">
        <f ca="1">COUNTBLANK(OFFSET(Demand!$I117,0,(COLUMN(A105)-1)*5,1,1))</f>
        <v>1</v>
      </c>
      <c r="C108" s="5">
        <f ca="1">COUNTBLANK(OFFSET(Demand!$I117,0,(COLUMN(B105)-1)*5,1,1))</f>
        <v>1</v>
      </c>
      <c r="D108" s="5">
        <f ca="1">COUNTBLANK(OFFSET(Demand!$I117,0,(COLUMN(C105)-1)*5,1,1))</f>
        <v>1</v>
      </c>
      <c r="E108" s="5">
        <f ca="1">COUNTBLANK(OFFSET(Demand!$I117,0,(COLUMN(D105)-1)*5,1,1))</f>
        <v>1</v>
      </c>
      <c r="F108" s="5">
        <f ca="1">COUNTBLANK(OFFSET(Demand!$I117,0,(COLUMN(E105)-1)*5,1,1))</f>
        <v>1</v>
      </c>
      <c r="G108" s="5">
        <f ca="1">COUNTBLANK(OFFSET(Demand!$I117,0,(COLUMN(F105)-1)*5,1,1))</f>
        <v>1</v>
      </c>
      <c r="H108" s="5">
        <f ca="1">COUNTBLANK(OFFSET(Demand!$I117,0,(COLUMN(G105)-1)*5,1,1))</f>
        <v>1</v>
      </c>
      <c r="I108" s="5">
        <f ca="1">COUNTBLANK(OFFSET(Demand!$I117,0,(COLUMN(H105)-1)*5,1,1))</f>
        <v>1</v>
      </c>
      <c r="J108" s="5">
        <f ca="1">COUNTBLANK(OFFSET(Demand!$I117,0,(COLUMN(I105)-1)*5,1,1))</f>
        <v>1</v>
      </c>
      <c r="K108" s="5">
        <f ca="1">COUNTBLANK(OFFSET(Demand!$I117,0,(COLUMN(J105)-1)*5,1,1))</f>
        <v>1</v>
      </c>
      <c r="N108" s="5">
        <f ca="1">SUM(OFFSET(Demand!$E117,0,(COLUMN(A105)-1)*5,1,3))*N$2</f>
        <v>0</v>
      </c>
      <c r="O108" s="5">
        <f ca="1">SUM(OFFSET(Demand!$E117,0,(COLUMN(B105)-1)*5,1,3))*O$2</f>
        <v>0</v>
      </c>
      <c r="P108" s="5">
        <f ca="1">SUM(OFFSET(Demand!$E117,0,(COLUMN(C105)-1)*5,1,3))*P$2</f>
        <v>0</v>
      </c>
      <c r="Q108" s="5">
        <f ca="1">SUM(OFFSET(Demand!$E117,0,(COLUMN(D105)-1)*5,1,3))*Q$2</f>
        <v>0</v>
      </c>
      <c r="R108" s="5">
        <f ca="1">SUM(OFFSET(Demand!$E117,0,(COLUMN(E105)-1)*5,1,3))*R$2</f>
        <v>0</v>
      </c>
      <c r="S108" s="5">
        <f ca="1">SUM(OFFSET(Demand!$E117,0,(COLUMN(F105)-1)*5,1,3))*S$2</f>
        <v>0</v>
      </c>
      <c r="T108" s="5">
        <f ca="1">SUM(OFFSET(Demand!$E117,0,(COLUMN(G105)-1)*5,1,3))*T$2</f>
        <v>0</v>
      </c>
      <c r="U108" s="5">
        <f ca="1">SUM(OFFSET(Demand!$E117,0,(COLUMN(H105)-1)*5,1,3))*U$2</f>
        <v>0</v>
      </c>
      <c r="V108" s="5">
        <f ca="1">SUM(OFFSET(Demand!$E117,0,(COLUMN(I105)-1)*5,1,3))*V$2</f>
        <v>0</v>
      </c>
      <c r="W108" s="5">
        <f ca="1">SUM(OFFSET(Demand!$E117,0,(COLUMN(J105)-1)*5,1,3))*W$2</f>
        <v>0</v>
      </c>
      <c r="X108" s="5">
        <f t="shared" ca="1" si="37"/>
        <v>0</v>
      </c>
      <c r="Y108">
        <f t="shared" ca="1" si="38"/>
        <v>0</v>
      </c>
      <c r="Z108" s="5">
        <f ca="1">SUM(OFFSET(Demand!$H117,0,(COLUMN(A105)-1)*5,1,1))*N$2</f>
        <v>0</v>
      </c>
      <c r="AA108" s="5">
        <f ca="1">SUM(OFFSET(Demand!$H117,0,(COLUMN(B105)-1)*5,1,1))*O$2</f>
        <v>0</v>
      </c>
      <c r="AB108" s="5">
        <f ca="1">SUM(OFFSET(Demand!$H117,0,(COLUMN(C105)-1)*5,1,1))*P$2</f>
        <v>0</v>
      </c>
      <c r="AC108" s="5">
        <f ca="1">SUM(OFFSET(Demand!$H117,0,(COLUMN(D105)-1)*5,1,1))*Q$2</f>
        <v>0</v>
      </c>
      <c r="AD108" s="5">
        <f ca="1">SUM(OFFSET(Demand!$H117,0,(COLUMN(E105)-1)*5,1,1))*R$2</f>
        <v>0</v>
      </c>
      <c r="AE108" s="5">
        <f ca="1">SUM(OFFSET(Demand!$H117,0,(COLUMN(F105)-1)*5,1,1))*S$2</f>
        <v>0</v>
      </c>
      <c r="AF108" s="5">
        <f ca="1">SUM(OFFSET(Demand!$H117,0,(COLUMN(G105)-1)*5,1,1))*T$2</f>
        <v>0</v>
      </c>
      <c r="AG108" s="5">
        <f ca="1">SUM(OFFSET(Demand!$H117,0,(COLUMN(H105)-1)*5,1,1))*U$2</f>
        <v>0</v>
      </c>
      <c r="AH108" s="5">
        <f ca="1">SUM(OFFSET(Demand!$H117,0,(COLUMN(I105)-1)*5,1,1))*V$2</f>
        <v>0</v>
      </c>
      <c r="AI108" s="5">
        <f ca="1">SUM(OFFSET(Demand!$H117,0,(COLUMN(J105)-1)*5,1,1))*W$2</f>
        <v>0</v>
      </c>
      <c r="AJ108" s="5">
        <f t="shared" ca="1" si="39"/>
        <v>0</v>
      </c>
      <c r="AL108" s="5">
        <f t="shared" ca="1" si="40"/>
        <v>0</v>
      </c>
      <c r="AM108" s="5">
        <f t="shared" ca="1" si="41"/>
        <v>0</v>
      </c>
      <c r="AN108" s="5" t="str">
        <f>IF(Demand!BE117="Yes","Yes","")</f>
        <v/>
      </c>
      <c r="AP108" s="36" t="str">
        <f ca="1">Demand!B117</f>
        <v xml:space="preserve"> </v>
      </c>
      <c r="AQ108" t="str">
        <f ca="1">IF(TEXT(Demand!D117,"MMM")&lt;&gt;TEXT(Demand!D116,"MMM"),TEXT(Demand!D117,"MMM"),"")</f>
        <v/>
      </c>
      <c r="AT108" s="5">
        <f t="shared" ca="1" si="42"/>
        <v>0</v>
      </c>
      <c r="BQ108">
        <f ca="1">IF($AN108="",OFFSET(Demand!$A$13,ROW(A105)-1,4+((QUOTIENT(COLUMN(BQ$2)-69,3))*5)+MOD(COLUMN(BQ$2),3),1,1),"")</f>
        <v>0</v>
      </c>
      <c r="BR108">
        <f ca="1">IF($AN108="",OFFSET(Demand!$A$13,ROW(B105)-1,4+((QUOTIENT(COLUMN(BR$2)-69,3))*5)+MOD(COLUMN(BR$2),3),1,1),"")</f>
        <v>0</v>
      </c>
      <c r="BS108">
        <f ca="1">IF($AN108="",OFFSET(Demand!$A$13,ROW(C105)-1,4+((QUOTIENT(COLUMN(BS$2)-69,3))*5)+MOD(COLUMN(BS$2),3),1,1),"")</f>
        <v>0</v>
      </c>
      <c r="BT108">
        <f ca="1">IF($AN108="",OFFSET(Demand!$A$13,ROW(D105)-1,4+((QUOTIENT(COLUMN(BT$2)-69,3))*5)+MOD(COLUMN(BT$2),3),1,1),"")</f>
        <v>0</v>
      </c>
      <c r="BU108">
        <f ca="1">IF($AN108="",OFFSET(Demand!$A$13,ROW(E105)-1,4+((QUOTIENT(COLUMN(BU$2)-69,3))*5)+MOD(COLUMN(BU$2),3),1,1),"")</f>
        <v>0</v>
      </c>
      <c r="BV108">
        <f ca="1">IF($AN108="",OFFSET(Demand!$A$13,ROW(F105)-1,4+((QUOTIENT(COLUMN(BV$2)-69,3))*5)+MOD(COLUMN(BV$2),3),1,1),"")</f>
        <v>0</v>
      </c>
      <c r="BW108">
        <f ca="1">IF($AN108="",OFFSET(Demand!$A$13,ROW(G105)-1,4+((QUOTIENT(COLUMN(BW$2)-69,3))*5)+MOD(COLUMN(BW$2),3),1,1),"")</f>
        <v>0</v>
      </c>
      <c r="BX108">
        <f ca="1">IF($AN108="",OFFSET(Demand!$A$13,ROW(H105)-1,4+((QUOTIENT(COLUMN(BX$2)-69,3))*5)+MOD(COLUMN(BX$2),3),1,1),"")</f>
        <v>0</v>
      </c>
      <c r="BY108">
        <f ca="1">IF($AN108="",OFFSET(Demand!$A$13,ROW(I105)-1,4+((QUOTIENT(COLUMN(BY$2)-69,3))*5)+MOD(COLUMN(BY$2),3),1,1),"")</f>
        <v>0</v>
      </c>
      <c r="BZ108">
        <f ca="1">IF($AN108="",OFFSET(Demand!$A$13,ROW(J105)-1,4+((QUOTIENT(COLUMN(BZ$2)-69,3))*5)+MOD(COLUMN(BZ$2),3),1,1),"")</f>
        <v>0</v>
      </c>
      <c r="CA108">
        <f ca="1">IF($AN108="",OFFSET(Demand!$A$13,ROW(K105)-1,4+((QUOTIENT(COLUMN(CA$2)-69,3))*5)+MOD(COLUMN(CA$2),3),1,1),"")</f>
        <v>0</v>
      </c>
      <c r="CB108">
        <f ca="1">IF($AN108="",OFFSET(Demand!$A$13,ROW(L105)-1,4+((QUOTIENT(COLUMN(CB$2)-69,3))*5)+MOD(COLUMN(CB$2),3),1,1),"")</f>
        <v>0</v>
      </c>
      <c r="CC108">
        <f ca="1">IF($AN108="",OFFSET(Demand!$A$13,ROW(M105)-1,4+((QUOTIENT(COLUMN(CC$2)-69,3))*5)+MOD(COLUMN(CC$2),3),1,1),"")</f>
        <v>0</v>
      </c>
      <c r="CD108">
        <f ca="1">IF($AN108="",OFFSET(Demand!$A$13,ROW(N105)-1,4+((QUOTIENT(COLUMN(CD$2)-69,3))*5)+MOD(COLUMN(CD$2),3),1,1),"")</f>
        <v>0</v>
      </c>
      <c r="CE108">
        <f ca="1">IF($AN108="",OFFSET(Demand!$A$13,ROW(O105)-1,4+((QUOTIENT(COLUMN(CE$2)-69,3))*5)+MOD(COLUMN(CE$2),3),1,1),"")</f>
        <v>0</v>
      </c>
      <c r="CF108">
        <f ca="1">IF($AN108="",OFFSET(Demand!$A$13,ROW(P105)-1,4+((QUOTIENT(COLUMN(CF$2)-69,3))*5)+MOD(COLUMN(CF$2),3),1,1),"")</f>
        <v>0</v>
      </c>
      <c r="CG108">
        <f ca="1">IF($AN108="",OFFSET(Demand!$A$13,ROW(Q105)-1,4+((QUOTIENT(COLUMN(CG$2)-69,3))*5)+MOD(COLUMN(CG$2),3),1,1),"")</f>
        <v>0</v>
      </c>
      <c r="CH108">
        <f ca="1">IF($AN108="",OFFSET(Demand!$A$13,ROW(R105)-1,4+((QUOTIENT(COLUMN(CH$2)-69,3))*5)+MOD(COLUMN(CH$2),3),1,1),"")</f>
        <v>0</v>
      </c>
      <c r="CI108">
        <f ca="1">IF($AN108="",OFFSET(Demand!$A$13,ROW(S105)-1,4+((QUOTIENT(COLUMN(CI$2)-69,3))*5)+MOD(COLUMN(CI$2),3),1,1),"")</f>
        <v>0</v>
      </c>
      <c r="CJ108">
        <f ca="1">IF($AN108="",OFFSET(Demand!$A$13,ROW(T105)-1,4+((QUOTIENT(COLUMN(CJ$2)-69,3))*5)+MOD(COLUMN(CJ$2),3),1,1),"")</f>
        <v>0</v>
      </c>
      <c r="CK108">
        <f ca="1">IF($AN108="",OFFSET(Demand!$A$13,ROW(U105)-1,4+((QUOTIENT(COLUMN(CK$2)-69,3))*5)+MOD(COLUMN(CK$2),3),1,1),"")</f>
        <v>0</v>
      </c>
      <c r="CL108">
        <f ca="1">IF($AN108="",OFFSET(Demand!$A$13,ROW(V105)-1,4+((QUOTIENT(COLUMN(CL$2)-69,3))*5)+MOD(COLUMN(CL$2),3),1,1),"")</f>
        <v>0</v>
      </c>
      <c r="CM108">
        <f ca="1">IF($AN108="",OFFSET(Demand!$A$13,ROW(W105)-1,4+((QUOTIENT(COLUMN(CM$2)-69,3))*5)+MOD(COLUMN(CM$2),3),1,1),"")</f>
        <v>0</v>
      </c>
      <c r="CN108">
        <f ca="1">IF($AN108="",OFFSET(Demand!$A$13,ROW(X105)-1,4+((QUOTIENT(COLUMN(CN$2)-69,3))*5)+MOD(COLUMN(CN$2),3),1,1),"")</f>
        <v>0</v>
      </c>
      <c r="CO108">
        <f ca="1">IF($AN108="",OFFSET(Demand!$A$13,ROW(Y105)-1,4+((QUOTIENT(COLUMN(CO$2)-69,3))*5)+MOD(COLUMN(CO$2),3),1,1),"")</f>
        <v>0</v>
      </c>
      <c r="CP108">
        <f ca="1">IF($AN108="",OFFSET(Demand!$A$13,ROW(Z105)-1,4+((QUOTIENT(COLUMN(CP$2)-69,3))*5)+MOD(COLUMN(CP$2),3),1,1),"")</f>
        <v>0</v>
      </c>
      <c r="CQ108">
        <f ca="1">IF($AN108="",OFFSET(Demand!$A$13,ROW(AA105)-1,4+((QUOTIENT(COLUMN(CQ$2)-69,3))*5)+MOD(COLUMN(CQ$2),3),1,1),"")</f>
        <v>0</v>
      </c>
      <c r="CR108">
        <f ca="1">IF($AN108="",OFFSET(Demand!$A$13,ROW(AB105)-1,4+((QUOTIENT(COLUMN(CR$2)-69,3))*5)+MOD(COLUMN(CR$2),3),1,1),"")</f>
        <v>0</v>
      </c>
      <c r="CS108">
        <f ca="1">IF($AN108="",OFFSET(Demand!$A$13,ROW(AC105)-1,4+((QUOTIENT(COLUMN(CS$2)-69,3))*5)+MOD(COLUMN(CS$2),3),1,1),"")</f>
        <v>0</v>
      </c>
      <c r="CT108">
        <f ca="1">IF($AN108="",OFFSET(Demand!$A$13,ROW(AD105)-1,4+((QUOTIENT(COLUMN(CT$2)-69,3))*5)+MOD(COLUMN(CT$2),3),1,1),"")</f>
        <v>0</v>
      </c>
      <c r="CW108" s="5">
        <f ca="1">SUM(OFFSET(Demand!$H$43,ROW(A105)-1,(COLUMN(A105)-1)*5,1,1))*N$2</f>
        <v>0</v>
      </c>
      <c r="CX108" s="5">
        <f ca="1">SUM(OFFSET(Demand!$H$43,ROW(B105)-1,(COLUMN(B105)-1)*5,1,1))*O$2</f>
        <v>0</v>
      </c>
      <c r="CY108" s="5">
        <f ca="1">SUM(OFFSET(Demand!$H$43,ROW(C105)-1,(COLUMN(C105)-1)*5,1,1))*P$2</f>
        <v>0</v>
      </c>
      <c r="CZ108" s="5">
        <f ca="1">SUM(OFFSET(Demand!$H$43,ROW(D105)-1,(COLUMN(D105)-1)*5,1,1))*Q$2</f>
        <v>0</v>
      </c>
      <c r="DA108" s="5">
        <f ca="1">SUM(OFFSET(Demand!$H$43,ROW(E105)-1,(COLUMN(E105)-1)*5,1,1))*R$2</f>
        <v>0</v>
      </c>
      <c r="DB108" s="5">
        <f ca="1">SUM(OFFSET(Demand!$H$43,ROW(F105)-1,(COLUMN(F105)-1)*5,1,1))*S$2</f>
        <v>0</v>
      </c>
      <c r="DC108" s="5">
        <f ca="1">SUM(OFFSET(Demand!$H$43,ROW(G105)-1,(COLUMN(G105)-1)*5,1,1))*T$2</f>
        <v>0</v>
      </c>
      <c r="DD108" s="5">
        <f ca="1">SUM(OFFSET(Demand!$H$43,ROW(H105)-1,(COLUMN(H105)-1)*5,1,1))*U$2</f>
        <v>0</v>
      </c>
      <c r="DE108" s="5">
        <f ca="1">SUM(OFFSET(Demand!$H$43,ROW(I105)-1,(COLUMN(I105)-1)*5,1,1))*V$2</f>
        <v>0</v>
      </c>
      <c r="DF108" s="5">
        <f ca="1">SUM(OFFSET(Demand!$H$43,ROW(J105)-1,(COLUMN(J105)-1)*5,1,1))*W$2</f>
        <v>0</v>
      </c>
      <c r="DG108" s="5">
        <f ca="1">IF(OR(AN108&lt;&gt;"",AND('Demand adjustments for Covid'!$F$9="Yes",'Demand adjustments for Covid'!$F$20="Yes")),"",SUM(CW108:DF108))</f>
        <v>0</v>
      </c>
    </row>
    <row r="109" spans="1:111" x14ac:dyDescent="0.25">
      <c r="A109" s="5">
        <f t="shared" ca="1" si="34"/>
        <v>1</v>
      </c>
      <c r="B109" s="5">
        <f ca="1">COUNTBLANK(OFFSET(Demand!$I118,0,(COLUMN(A106)-1)*5,1,1))</f>
        <v>1</v>
      </c>
      <c r="C109" s="5">
        <f ca="1">COUNTBLANK(OFFSET(Demand!$I118,0,(COLUMN(B106)-1)*5,1,1))</f>
        <v>1</v>
      </c>
      <c r="D109" s="5">
        <f ca="1">COUNTBLANK(OFFSET(Demand!$I118,0,(COLUMN(C106)-1)*5,1,1))</f>
        <v>1</v>
      </c>
      <c r="E109" s="5">
        <f ca="1">COUNTBLANK(OFFSET(Demand!$I118,0,(COLUMN(D106)-1)*5,1,1))</f>
        <v>1</v>
      </c>
      <c r="F109" s="5">
        <f ca="1">COUNTBLANK(OFFSET(Demand!$I118,0,(COLUMN(E106)-1)*5,1,1))</f>
        <v>1</v>
      </c>
      <c r="G109" s="5">
        <f ca="1">COUNTBLANK(OFFSET(Demand!$I118,0,(COLUMN(F106)-1)*5,1,1))</f>
        <v>1</v>
      </c>
      <c r="H109" s="5">
        <f ca="1">COUNTBLANK(OFFSET(Demand!$I118,0,(COLUMN(G106)-1)*5,1,1))</f>
        <v>1</v>
      </c>
      <c r="I109" s="5">
        <f ca="1">COUNTBLANK(OFFSET(Demand!$I118,0,(COLUMN(H106)-1)*5,1,1))</f>
        <v>1</v>
      </c>
      <c r="J109" s="5">
        <f ca="1">COUNTBLANK(OFFSET(Demand!$I118,0,(COLUMN(I106)-1)*5,1,1))</f>
        <v>1</v>
      </c>
      <c r="K109" s="5">
        <f ca="1">COUNTBLANK(OFFSET(Demand!$I118,0,(COLUMN(J106)-1)*5,1,1))</f>
        <v>1</v>
      </c>
      <c r="N109" s="5">
        <f ca="1">SUM(OFFSET(Demand!$E118,0,(COLUMN(A106)-1)*5,1,3))*N$2</f>
        <v>0</v>
      </c>
      <c r="O109" s="5">
        <f ca="1">SUM(OFFSET(Demand!$E118,0,(COLUMN(B106)-1)*5,1,3))*O$2</f>
        <v>0</v>
      </c>
      <c r="P109" s="5">
        <f ca="1">SUM(OFFSET(Demand!$E118,0,(COLUMN(C106)-1)*5,1,3))*P$2</f>
        <v>0</v>
      </c>
      <c r="Q109" s="5">
        <f ca="1">SUM(OFFSET(Demand!$E118,0,(COLUMN(D106)-1)*5,1,3))*Q$2</f>
        <v>0</v>
      </c>
      <c r="R109" s="5">
        <f ca="1">SUM(OFFSET(Demand!$E118,0,(COLUMN(E106)-1)*5,1,3))*R$2</f>
        <v>0</v>
      </c>
      <c r="S109" s="5">
        <f ca="1">SUM(OFFSET(Demand!$E118,0,(COLUMN(F106)-1)*5,1,3))*S$2</f>
        <v>0</v>
      </c>
      <c r="T109" s="5">
        <f ca="1">SUM(OFFSET(Demand!$E118,0,(COLUMN(G106)-1)*5,1,3))*T$2</f>
        <v>0</v>
      </c>
      <c r="U109" s="5">
        <f ca="1">SUM(OFFSET(Demand!$E118,0,(COLUMN(H106)-1)*5,1,3))*U$2</f>
        <v>0</v>
      </c>
      <c r="V109" s="5">
        <f ca="1">SUM(OFFSET(Demand!$E118,0,(COLUMN(I106)-1)*5,1,3))*V$2</f>
        <v>0</v>
      </c>
      <c r="W109" s="5">
        <f ca="1">SUM(OFFSET(Demand!$E118,0,(COLUMN(J106)-1)*5,1,3))*W$2</f>
        <v>0</v>
      </c>
      <c r="X109" s="5">
        <f t="shared" ca="1" si="37"/>
        <v>0</v>
      </c>
      <c r="Y109">
        <f t="shared" ca="1" si="38"/>
        <v>0</v>
      </c>
      <c r="Z109" s="5">
        <f ca="1">SUM(OFFSET(Demand!$H118,0,(COLUMN(A106)-1)*5,1,1))*N$2</f>
        <v>0</v>
      </c>
      <c r="AA109" s="5">
        <f ca="1">SUM(OFFSET(Demand!$H118,0,(COLUMN(B106)-1)*5,1,1))*O$2</f>
        <v>0</v>
      </c>
      <c r="AB109" s="5">
        <f ca="1">SUM(OFFSET(Demand!$H118,0,(COLUMN(C106)-1)*5,1,1))*P$2</f>
        <v>0</v>
      </c>
      <c r="AC109" s="5">
        <f ca="1">SUM(OFFSET(Demand!$H118,0,(COLUMN(D106)-1)*5,1,1))*Q$2</f>
        <v>0</v>
      </c>
      <c r="AD109" s="5">
        <f ca="1">SUM(OFFSET(Demand!$H118,0,(COLUMN(E106)-1)*5,1,1))*R$2</f>
        <v>0</v>
      </c>
      <c r="AE109" s="5">
        <f ca="1">SUM(OFFSET(Demand!$H118,0,(COLUMN(F106)-1)*5,1,1))*S$2</f>
        <v>0</v>
      </c>
      <c r="AF109" s="5">
        <f ca="1">SUM(OFFSET(Demand!$H118,0,(COLUMN(G106)-1)*5,1,1))*T$2</f>
        <v>0</v>
      </c>
      <c r="AG109" s="5">
        <f ca="1">SUM(OFFSET(Demand!$H118,0,(COLUMN(H106)-1)*5,1,1))*U$2</f>
        <v>0</v>
      </c>
      <c r="AH109" s="5">
        <f ca="1">SUM(OFFSET(Demand!$H118,0,(COLUMN(I106)-1)*5,1,1))*V$2</f>
        <v>0</v>
      </c>
      <c r="AI109" s="5">
        <f ca="1">SUM(OFFSET(Demand!$H118,0,(COLUMN(J106)-1)*5,1,1))*W$2</f>
        <v>0</v>
      </c>
      <c r="AJ109" s="5">
        <f t="shared" ca="1" si="39"/>
        <v>0</v>
      </c>
      <c r="AL109" s="5">
        <f t="shared" ca="1" si="40"/>
        <v>0</v>
      </c>
      <c r="AM109" s="5">
        <f t="shared" ca="1" si="41"/>
        <v>0</v>
      </c>
      <c r="AN109" s="5" t="str">
        <f>IF(Demand!BE118="Yes","Yes","")</f>
        <v/>
      </c>
      <c r="AP109" s="36" t="str">
        <f ca="1">Demand!B118</f>
        <v xml:space="preserve"> </v>
      </c>
      <c r="AQ109" t="str">
        <f ca="1">IF(TEXT(Demand!D118,"MMM")&lt;&gt;TEXT(Demand!D117,"MMM"),TEXT(Demand!D118,"MMM"),"")</f>
        <v/>
      </c>
      <c r="AT109" s="5">
        <f t="shared" ca="1" si="42"/>
        <v>0</v>
      </c>
      <c r="BQ109">
        <f ca="1">IF($AN109="",OFFSET(Demand!$A$13,ROW(A106)-1,4+((QUOTIENT(COLUMN(BQ$2)-69,3))*5)+MOD(COLUMN(BQ$2),3),1,1),"")</f>
        <v>0</v>
      </c>
      <c r="BR109">
        <f ca="1">IF($AN109="",OFFSET(Demand!$A$13,ROW(B106)-1,4+((QUOTIENT(COLUMN(BR$2)-69,3))*5)+MOD(COLUMN(BR$2),3),1,1),"")</f>
        <v>0</v>
      </c>
      <c r="BS109">
        <f ca="1">IF($AN109="",OFFSET(Demand!$A$13,ROW(C106)-1,4+((QUOTIENT(COLUMN(BS$2)-69,3))*5)+MOD(COLUMN(BS$2),3),1,1),"")</f>
        <v>0</v>
      </c>
      <c r="BT109">
        <f ca="1">IF($AN109="",OFFSET(Demand!$A$13,ROW(D106)-1,4+((QUOTIENT(COLUMN(BT$2)-69,3))*5)+MOD(COLUMN(BT$2),3),1,1),"")</f>
        <v>0</v>
      </c>
      <c r="BU109">
        <f ca="1">IF($AN109="",OFFSET(Demand!$A$13,ROW(E106)-1,4+((QUOTIENT(COLUMN(BU$2)-69,3))*5)+MOD(COLUMN(BU$2),3),1,1),"")</f>
        <v>0</v>
      </c>
      <c r="BV109">
        <f ca="1">IF($AN109="",OFFSET(Demand!$A$13,ROW(F106)-1,4+((QUOTIENT(COLUMN(BV$2)-69,3))*5)+MOD(COLUMN(BV$2),3),1,1),"")</f>
        <v>0</v>
      </c>
      <c r="BW109">
        <f ca="1">IF($AN109="",OFFSET(Demand!$A$13,ROW(G106)-1,4+((QUOTIENT(COLUMN(BW$2)-69,3))*5)+MOD(COLUMN(BW$2),3),1,1),"")</f>
        <v>0</v>
      </c>
      <c r="BX109">
        <f ca="1">IF($AN109="",OFFSET(Demand!$A$13,ROW(H106)-1,4+((QUOTIENT(COLUMN(BX$2)-69,3))*5)+MOD(COLUMN(BX$2),3),1,1),"")</f>
        <v>0</v>
      </c>
      <c r="BY109">
        <f ca="1">IF($AN109="",OFFSET(Demand!$A$13,ROW(I106)-1,4+((QUOTIENT(COLUMN(BY$2)-69,3))*5)+MOD(COLUMN(BY$2),3),1,1),"")</f>
        <v>0</v>
      </c>
      <c r="BZ109">
        <f ca="1">IF($AN109="",OFFSET(Demand!$A$13,ROW(J106)-1,4+((QUOTIENT(COLUMN(BZ$2)-69,3))*5)+MOD(COLUMN(BZ$2),3),1,1),"")</f>
        <v>0</v>
      </c>
      <c r="CA109">
        <f ca="1">IF($AN109="",OFFSET(Demand!$A$13,ROW(K106)-1,4+((QUOTIENT(COLUMN(CA$2)-69,3))*5)+MOD(COLUMN(CA$2),3),1,1),"")</f>
        <v>0</v>
      </c>
      <c r="CB109">
        <f ca="1">IF($AN109="",OFFSET(Demand!$A$13,ROW(L106)-1,4+((QUOTIENT(COLUMN(CB$2)-69,3))*5)+MOD(COLUMN(CB$2),3),1,1),"")</f>
        <v>0</v>
      </c>
      <c r="CC109">
        <f ca="1">IF($AN109="",OFFSET(Demand!$A$13,ROW(M106)-1,4+((QUOTIENT(COLUMN(CC$2)-69,3))*5)+MOD(COLUMN(CC$2),3),1,1),"")</f>
        <v>0</v>
      </c>
      <c r="CD109">
        <f ca="1">IF($AN109="",OFFSET(Demand!$A$13,ROW(N106)-1,4+((QUOTIENT(COLUMN(CD$2)-69,3))*5)+MOD(COLUMN(CD$2),3),1,1),"")</f>
        <v>0</v>
      </c>
      <c r="CE109">
        <f ca="1">IF($AN109="",OFFSET(Demand!$A$13,ROW(O106)-1,4+((QUOTIENT(COLUMN(CE$2)-69,3))*5)+MOD(COLUMN(CE$2),3),1,1),"")</f>
        <v>0</v>
      </c>
      <c r="CF109">
        <f ca="1">IF($AN109="",OFFSET(Demand!$A$13,ROW(P106)-1,4+((QUOTIENT(COLUMN(CF$2)-69,3))*5)+MOD(COLUMN(CF$2),3),1,1),"")</f>
        <v>0</v>
      </c>
      <c r="CG109">
        <f ca="1">IF($AN109="",OFFSET(Demand!$A$13,ROW(Q106)-1,4+((QUOTIENT(COLUMN(CG$2)-69,3))*5)+MOD(COLUMN(CG$2),3),1,1),"")</f>
        <v>0</v>
      </c>
      <c r="CH109">
        <f ca="1">IF($AN109="",OFFSET(Demand!$A$13,ROW(R106)-1,4+((QUOTIENT(COLUMN(CH$2)-69,3))*5)+MOD(COLUMN(CH$2),3),1,1),"")</f>
        <v>0</v>
      </c>
      <c r="CI109">
        <f ca="1">IF($AN109="",OFFSET(Demand!$A$13,ROW(S106)-1,4+((QUOTIENT(COLUMN(CI$2)-69,3))*5)+MOD(COLUMN(CI$2),3),1,1),"")</f>
        <v>0</v>
      </c>
      <c r="CJ109">
        <f ca="1">IF($AN109="",OFFSET(Demand!$A$13,ROW(T106)-1,4+((QUOTIENT(COLUMN(CJ$2)-69,3))*5)+MOD(COLUMN(CJ$2),3),1,1),"")</f>
        <v>0</v>
      </c>
      <c r="CK109">
        <f ca="1">IF($AN109="",OFFSET(Demand!$A$13,ROW(U106)-1,4+((QUOTIENT(COLUMN(CK$2)-69,3))*5)+MOD(COLUMN(CK$2),3),1,1),"")</f>
        <v>0</v>
      </c>
      <c r="CL109">
        <f ca="1">IF($AN109="",OFFSET(Demand!$A$13,ROW(V106)-1,4+((QUOTIENT(COLUMN(CL$2)-69,3))*5)+MOD(COLUMN(CL$2),3),1,1),"")</f>
        <v>0</v>
      </c>
      <c r="CM109">
        <f ca="1">IF($AN109="",OFFSET(Demand!$A$13,ROW(W106)-1,4+((QUOTIENT(COLUMN(CM$2)-69,3))*5)+MOD(COLUMN(CM$2),3),1,1),"")</f>
        <v>0</v>
      </c>
      <c r="CN109">
        <f ca="1">IF($AN109="",OFFSET(Demand!$A$13,ROW(X106)-1,4+((QUOTIENT(COLUMN(CN$2)-69,3))*5)+MOD(COLUMN(CN$2),3),1,1),"")</f>
        <v>0</v>
      </c>
      <c r="CO109">
        <f ca="1">IF($AN109="",OFFSET(Demand!$A$13,ROW(Y106)-1,4+((QUOTIENT(COLUMN(CO$2)-69,3))*5)+MOD(COLUMN(CO$2),3),1,1),"")</f>
        <v>0</v>
      </c>
      <c r="CP109">
        <f ca="1">IF($AN109="",OFFSET(Demand!$A$13,ROW(Z106)-1,4+((QUOTIENT(COLUMN(CP$2)-69,3))*5)+MOD(COLUMN(CP$2),3),1,1),"")</f>
        <v>0</v>
      </c>
      <c r="CQ109">
        <f ca="1">IF($AN109="",OFFSET(Demand!$A$13,ROW(AA106)-1,4+((QUOTIENT(COLUMN(CQ$2)-69,3))*5)+MOD(COLUMN(CQ$2),3),1,1),"")</f>
        <v>0</v>
      </c>
      <c r="CR109">
        <f ca="1">IF($AN109="",OFFSET(Demand!$A$13,ROW(AB106)-1,4+((QUOTIENT(COLUMN(CR$2)-69,3))*5)+MOD(COLUMN(CR$2),3),1,1),"")</f>
        <v>0</v>
      </c>
      <c r="CS109">
        <f ca="1">IF($AN109="",OFFSET(Demand!$A$13,ROW(AC106)-1,4+((QUOTIENT(COLUMN(CS$2)-69,3))*5)+MOD(COLUMN(CS$2),3),1,1),"")</f>
        <v>0</v>
      </c>
      <c r="CT109">
        <f ca="1">IF($AN109="",OFFSET(Demand!$A$13,ROW(AD106)-1,4+((QUOTIENT(COLUMN(CT$2)-69,3))*5)+MOD(COLUMN(CT$2),3),1,1),"")</f>
        <v>0</v>
      </c>
      <c r="CW109" s="5">
        <f ca="1">SUM(OFFSET(Demand!$H$43,ROW(A106)-1,(COLUMN(A106)-1)*5,1,1))*N$2</f>
        <v>0</v>
      </c>
      <c r="CX109" s="5">
        <f ca="1">SUM(OFFSET(Demand!$H$43,ROW(B106)-1,(COLUMN(B106)-1)*5,1,1))*O$2</f>
        <v>0</v>
      </c>
      <c r="CY109" s="5">
        <f ca="1">SUM(OFFSET(Demand!$H$43,ROW(C106)-1,(COLUMN(C106)-1)*5,1,1))*P$2</f>
        <v>0</v>
      </c>
      <c r="CZ109" s="5">
        <f ca="1">SUM(OFFSET(Demand!$H$43,ROW(D106)-1,(COLUMN(D106)-1)*5,1,1))*Q$2</f>
        <v>0</v>
      </c>
      <c r="DA109" s="5">
        <f ca="1">SUM(OFFSET(Demand!$H$43,ROW(E106)-1,(COLUMN(E106)-1)*5,1,1))*R$2</f>
        <v>0</v>
      </c>
      <c r="DB109" s="5">
        <f ca="1">SUM(OFFSET(Demand!$H$43,ROW(F106)-1,(COLUMN(F106)-1)*5,1,1))*S$2</f>
        <v>0</v>
      </c>
      <c r="DC109" s="5">
        <f ca="1">SUM(OFFSET(Demand!$H$43,ROW(G106)-1,(COLUMN(G106)-1)*5,1,1))*T$2</f>
        <v>0</v>
      </c>
      <c r="DD109" s="5">
        <f ca="1">SUM(OFFSET(Demand!$H$43,ROW(H106)-1,(COLUMN(H106)-1)*5,1,1))*U$2</f>
        <v>0</v>
      </c>
      <c r="DE109" s="5">
        <f ca="1">SUM(OFFSET(Demand!$H$43,ROW(I106)-1,(COLUMN(I106)-1)*5,1,1))*V$2</f>
        <v>0</v>
      </c>
      <c r="DF109" s="5">
        <f ca="1">SUM(OFFSET(Demand!$H$43,ROW(J106)-1,(COLUMN(J106)-1)*5,1,1))*W$2</f>
        <v>0</v>
      </c>
      <c r="DG109" s="5">
        <f ca="1">IF(OR(AN109&lt;&gt;"",AND('Demand adjustments for Covid'!$F$9="Yes",'Demand adjustments for Covid'!$F$20="Yes")),"",SUM(CW109:DF109))</f>
        <v>0</v>
      </c>
    </row>
    <row r="110" spans="1:111" x14ac:dyDescent="0.25">
      <c r="A110" s="5">
        <f t="shared" ca="1" si="34"/>
        <v>1</v>
      </c>
      <c r="B110" s="5">
        <f ca="1">COUNTBLANK(OFFSET(Demand!$I119,0,(COLUMN(A107)-1)*5,1,1))</f>
        <v>1</v>
      </c>
      <c r="C110" s="5">
        <f ca="1">COUNTBLANK(OFFSET(Demand!$I119,0,(COLUMN(B107)-1)*5,1,1))</f>
        <v>1</v>
      </c>
      <c r="D110" s="5">
        <f ca="1">COUNTBLANK(OFFSET(Demand!$I119,0,(COLUMN(C107)-1)*5,1,1))</f>
        <v>1</v>
      </c>
      <c r="E110" s="5">
        <f ca="1">COUNTBLANK(OFFSET(Demand!$I119,0,(COLUMN(D107)-1)*5,1,1))</f>
        <v>1</v>
      </c>
      <c r="F110" s="5">
        <f ca="1">COUNTBLANK(OFFSET(Demand!$I119,0,(COLUMN(E107)-1)*5,1,1))</f>
        <v>1</v>
      </c>
      <c r="G110" s="5">
        <f ca="1">COUNTBLANK(OFFSET(Demand!$I119,0,(COLUMN(F107)-1)*5,1,1))</f>
        <v>1</v>
      </c>
      <c r="H110" s="5">
        <f ca="1">COUNTBLANK(OFFSET(Demand!$I119,0,(COLUMN(G107)-1)*5,1,1))</f>
        <v>1</v>
      </c>
      <c r="I110" s="5">
        <f ca="1">COUNTBLANK(OFFSET(Demand!$I119,0,(COLUMN(H107)-1)*5,1,1))</f>
        <v>1</v>
      </c>
      <c r="J110" s="5">
        <f ca="1">COUNTBLANK(OFFSET(Demand!$I119,0,(COLUMN(I107)-1)*5,1,1))</f>
        <v>1</v>
      </c>
      <c r="K110" s="5">
        <f ca="1">COUNTBLANK(OFFSET(Demand!$I119,0,(COLUMN(J107)-1)*5,1,1))</f>
        <v>1</v>
      </c>
      <c r="N110" s="5">
        <f ca="1">SUM(OFFSET(Demand!$E119,0,(COLUMN(A107)-1)*5,1,3))*N$2</f>
        <v>0</v>
      </c>
      <c r="O110" s="5">
        <f ca="1">SUM(OFFSET(Demand!$E119,0,(COLUMN(B107)-1)*5,1,3))*O$2</f>
        <v>0</v>
      </c>
      <c r="P110" s="5">
        <f ca="1">SUM(OFFSET(Demand!$E119,0,(COLUMN(C107)-1)*5,1,3))*P$2</f>
        <v>0</v>
      </c>
      <c r="Q110" s="5">
        <f ca="1">SUM(OFFSET(Demand!$E119,0,(COLUMN(D107)-1)*5,1,3))*Q$2</f>
        <v>0</v>
      </c>
      <c r="R110" s="5">
        <f ca="1">SUM(OFFSET(Demand!$E119,0,(COLUMN(E107)-1)*5,1,3))*R$2</f>
        <v>0</v>
      </c>
      <c r="S110" s="5">
        <f ca="1">SUM(OFFSET(Demand!$E119,0,(COLUMN(F107)-1)*5,1,3))*S$2</f>
        <v>0</v>
      </c>
      <c r="T110" s="5">
        <f ca="1">SUM(OFFSET(Demand!$E119,0,(COLUMN(G107)-1)*5,1,3))*T$2</f>
        <v>0</v>
      </c>
      <c r="U110" s="5">
        <f ca="1">SUM(OFFSET(Demand!$E119,0,(COLUMN(H107)-1)*5,1,3))*U$2</f>
        <v>0</v>
      </c>
      <c r="V110" s="5">
        <f ca="1">SUM(OFFSET(Demand!$E119,0,(COLUMN(I107)-1)*5,1,3))*V$2</f>
        <v>0</v>
      </c>
      <c r="W110" s="5">
        <f ca="1">SUM(OFFSET(Demand!$E119,0,(COLUMN(J107)-1)*5,1,3))*W$2</f>
        <v>0</v>
      </c>
      <c r="X110" s="5">
        <f t="shared" ca="1" si="37"/>
        <v>0</v>
      </c>
      <c r="Y110">
        <f t="shared" ca="1" si="38"/>
        <v>0</v>
      </c>
      <c r="Z110" s="5">
        <f ca="1">SUM(OFFSET(Demand!$H119,0,(COLUMN(A107)-1)*5,1,1))*N$2</f>
        <v>0</v>
      </c>
      <c r="AA110" s="5">
        <f ca="1">SUM(OFFSET(Demand!$H119,0,(COLUMN(B107)-1)*5,1,1))*O$2</f>
        <v>0</v>
      </c>
      <c r="AB110" s="5">
        <f ca="1">SUM(OFFSET(Demand!$H119,0,(COLUMN(C107)-1)*5,1,1))*P$2</f>
        <v>0</v>
      </c>
      <c r="AC110" s="5">
        <f ca="1">SUM(OFFSET(Demand!$H119,0,(COLUMN(D107)-1)*5,1,1))*Q$2</f>
        <v>0</v>
      </c>
      <c r="AD110" s="5">
        <f ca="1">SUM(OFFSET(Demand!$H119,0,(COLUMN(E107)-1)*5,1,1))*R$2</f>
        <v>0</v>
      </c>
      <c r="AE110" s="5">
        <f ca="1">SUM(OFFSET(Demand!$H119,0,(COLUMN(F107)-1)*5,1,1))*S$2</f>
        <v>0</v>
      </c>
      <c r="AF110" s="5">
        <f ca="1">SUM(OFFSET(Demand!$H119,0,(COLUMN(G107)-1)*5,1,1))*T$2</f>
        <v>0</v>
      </c>
      <c r="AG110" s="5">
        <f ca="1">SUM(OFFSET(Demand!$H119,0,(COLUMN(H107)-1)*5,1,1))*U$2</f>
        <v>0</v>
      </c>
      <c r="AH110" s="5">
        <f ca="1">SUM(OFFSET(Demand!$H119,0,(COLUMN(I107)-1)*5,1,1))*V$2</f>
        <v>0</v>
      </c>
      <c r="AI110" s="5">
        <f ca="1">SUM(OFFSET(Demand!$H119,0,(COLUMN(J107)-1)*5,1,1))*W$2</f>
        <v>0</v>
      </c>
      <c r="AJ110" s="5">
        <f t="shared" ca="1" si="39"/>
        <v>0</v>
      </c>
      <c r="AL110" s="5">
        <f t="shared" ca="1" si="40"/>
        <v>0</v>
      </c>
      <c r="AM110" s="5">
        <f t="shared" ca="1" si="41"/>
        <v>0</v>
      </c>
      <c r="AN110" s="5" t="str">
        <f>IF(Demand!BE119="Yes","Yes","")</f>
        <v/>
      </c>
      <c r="AP110" s="36" t="str">
        <f ca="1">Demand!B119</f>
        <v xml:space="preserve"> </v>
      </c>
      <c r="AQ110" t="str">
        <f ca="1">IF(TEXT(Demand!D119,"MMM")&lt;&gt;TEXT(Demand!D118,"MMM"),TEXT(Demand!D119,"MMM"),"")</f>
        <v/>
      </c>
      <c r="AT110" s="5">
        <f t="shared" ca="1" si="42"/>
        <v>0</v>
      </c>
      <c r="BQ110">
        <f ca="1">IF($AN110="",OFFSET(Demand!$A$13,ROW(A107)-1,4+((QUOTIENT(COLUMN(BQ$2)-69,3))*5)+MOD(COLUMN(BQ$2),3),1,1),"")</f>
        <v>0</v>
      </c>
      <c r="BR110">
        <f ca="1">IF($AN110="",OFFSET(Demand!$A$13,ROW(B107)-1,4+((QUOTIENT(COLUMN(BR$2)-69,3))*5)+MOD(COLUMN(BR$2),3),1,1),"")</f>
        <v>0</v>
      </c>
      <c r="BS110">
        <f ca="1">IF($AN110="",OFFSET(Demand!$A$13,ROW(C107)-1,4+((QUOTIENT(COLUMN(BS$2)-69,3))*5)+MOD(COLUMN(BS$2),3),1,1),"")</f>
        <v>0</v>
      </c>
      <c r="BT110">
        <f ca="1">IF($AN110="",OFFSET(Demand!$A$13,ROW(D107)-1,4+((QUOTIENT(COLUMN(BT$2)-69,3))*5)+MOD(COLUMN(BT$2),3),1,1),"")</f>
        <v>0</v>
      </c>
      <c r="BU110">
        <f ca="1">IF($AN110="",OFFSET(Demand!$A$13,ROW(E107)-1,4+((QUOTIENT(COLUMN(BU$2)-69,3))*5)+MOD(COLUMN(BU$2),3),1,1),"")</f>
        <v>0</v>
      </c>
      <c r="BV110">
        <f ca="1">IF($AN110="",OFFSET(Demand!$A$13,ROW(F107)-1,4+((QUOTIENT(COLUMN(BV$2)-69,3))*5)+MOD(COLUMN(BV$2),3),1,1),"")</f>
        <v>0</v>
      </c>
      <c r="BW110">
        <f ca="1">IF($AN110="",OFFSET(Demand!$A$13,ROW(G107)-1,4+((QUOTIENT(COLUMN(BW$2)-69,3))*5)+MOD(COLUMN(BW$2),3),1,1),"")</f>
        <v>0</v>
      </c>
      <c r="BX110">
        <f ca="1">IF($AN110="",OFFSET(Demand!$A$13,ROW(H107)-1,4+((QUOTIENT(COLUMN(BX$2)-69,3))*5)+MOD(COLUMN(BX$2),3),1,1),"")</f>
        <v>0</v>
      </c>
      <c r="BY110">
        <f ca="1">IF($AN110="",OFFSET(Demand!$A$13,ROW(I107)-1,4+((QUOTIENT(COLUMN(BY$2)-69,3))*5)+MOD(COLUMN(BY$2),3),1,1),"")</f>
        <v>0</v>
      </c>
      <c r="BZ110">
        <f ca="1">IF($AN110="",OFFSET(Demand!$A$13,ROW(J107)-1,4+((QUOTIENT(COLUMN(BZ$2)-69,3))*5)+MOD(COLUMN(BZ$2),3),1,1),"")</f>
        <v>0</v>
      </c>
      <c r="CA110">
        <f ca="1">IF($AN110="",OFFSET(Demand!$A$13,ROW(K107)-1,4+((QUOTIENT(COLUMN(CA$2)-69,3))*5)+MOD(COLUMN(CA$2),3),1,1),"")</f>
        <v>0</v>
      </c>
      <c r="CB110">
        <f ca="1">IF($AN110="",OFFSET(Demand!$A$13,ROW(L107)-1,4+((QUOTIENT(COLUMN(CB$2)-69,3))*5)+MOD(COLUMN(CB$2),3),1,1),"")</f>
        <v>0</v>
      </c>
      <c r="CC110">
        <f ca="1">IF($AN110="",OFFSET(Demand!$A$13,ROW(M107)-1,4+((QUOTIENT(COLUMN(CC$2)-69,3))*5)+MOD(COLUMN(CC$2),3),1,1),"")</f>
        <v>0</v>
      </c>
      <c r="CD110">
        <f ca="1">IF($AN110="",OFFSET(Demand!$A$13,ROW(N107)-1,4+((QUOTIENT(COLUMN(CD$2)-69,3))*5)+MOD(COLUMN(CD$2),3),1,1),"")</f>
        <v>0</v>
      </c>
      <c r="CE110">
        <f ca="1">IF($AN110="",OFFSET(Demand!$A$13,ROW(O107)-1,4+((QUOTIENT(COLUMN(CE$2)-69,3))*5)+MOD(COLUMN(CE$2),3),1,1),"")</f>
        <v>0</v>
      </c>
      <c r="CF110">
        <f ca="1">IF($AN110="",OFFSET(Demand!$A$13,ROW(P107)-1,4+((QUOTIENT(COLUMN(CF$2)-69,3))*5)+MOD(COLUMN(CF$2),3),1,1),"")</f>
        <v>0</v>
      </c>
      <c r="CG110">
        <f ca="1">IF($AN110="",OFFSET(Demand!$A$13,ROW(Q107)-1,4+((QUOTIENT(COLUMN(CG$2)-69,3))*5)+MOD(COLUMN(CG$2),3),1,1),"")</f>
        <v>0</v>
      </c>
      <c r="CH110">
        <f ca="1">IF($AN110="",OFFSET(Demand!$A$13,ROW(R107)-1,4+((QUOTIENT(COLUMN(CH$2)-69,3))*5)+MOD(COLUMN(CH$2),3),1,1),"")</f>
        <v>0</v>
      </c>
      <c r="CI110">
        <f ca="1">IF($AN110="",OFFSET(Demand!$A$13,ROW(S107)-1,4+((QUOTIENT(COLUMN(CI$2)-69,3))*5)+MOD(COLUMN(CI$2),3),1,1),"")</f>
        <v>0</v>
      </c>
      <c r="CJ110">
        <f ca="1">IF($AN110="",OFFSET(Demand!$A$13,ROW(T107)-1,4+((QUOTIENT(COLUMN(CJ$2)-69,3))*5)+MOD(COLUMN(CJ$2),3),1,1),"")</f>
        <v>0</v>
      </c>
      <c r="CK110">
        <f ca="1">IF($AN110="",OFFSET(Demand!$A$13,ROW(U107)-1,4+((QUOTIENT(COLUMN(CK$2)-69,3))*5)+MOD(COLUMN(CK$2),3),1,1),"")</f>
        <v>0</v>
      </c>
      <c r="CL110">
        <f ca="1">IF($AN110="",OFFSET(Demand!$A$13,ROW(V107)-1,4+((QUOTIENT(COLUMN(CL$2)-69,3))*5)+MOD(COLUMN(CL$2),3),1,1),"")</f>
        <v>0</v>
      </c>
      <c r="CM110">
        <f ca="1">IF($AN110="",OFFSET(Demand!$A$13,ROW(W107)-1,4+((QUOTIENT(COLUMN(CM$2)-69,3))*5)+MOD(COLUMN(CM$2),3),1,1),"")</f>
        <v>0</v>
      </c>
      <c r="CN110">
        <f ca="1">IF($AN110="",OFFSET(Demand!$A$13,ROW(X107)-1,4+((QUOTIENT(COLUMN(CN$2)-69,3))*5)+MOD(COLUMN(CN$2),3),1,1),"")</f>
        <v>0</v>
      </c>
      <c r="CO110">
        <f ca="1">IF($AN110="",OFFSET(Demand!$A$13,ROW(Y107)-1,4+((QUOTIENT(COLUMN(CO$2)-69,3))*5)+MOD(COLUMN(CO$2),3),1,1),"")</f>
        <v>0</v>
      </c>
      <c r="CP110">
        <f ca="1">IF($AN110="",OFFSET(Demand!$A$13,ROW(Z107)-1,4+((QUOTIENT(COLUMN(CP$2)-69,3))*5)+MOD(COLUMN(CP$2),3),1,1),"")</f>
        <v>0</v>
      </c>
      <c r="CQ110">
        <f ca="1">IF($AN110="",OFFSET(Demand!$A$13,ROW(AA107)-1,4+((QUOTIENT(COLUMN(CQ$2)-69,3))*5)+MOD(COLUMN(CQ$2),3),1,1),"")</f>
        <v>0</v>
      </c>
      <c r="CR110">
        <f ca="1">IF($AN110="",OFFSET(Demand!$A$13,ROW(AB107)-1,4+((QUOTIENT(COLUMN(CR$2)-69,3))*5)+MOD(COLUMN(CR$2),3),1,1),"")</f>
        <v>0</v>
      </c>
      <c r="CS110">
        <f ca="1">IF($AN110="",OFFSET(Demand!$A$13,ROW(AC107)-1,4+((QUOTIENT(COLUMN(CS$2)-69,3))*5)+MOD(COLUMN(CS$2),3),1,1),"")</f>
        <v>0</v>
      </c>
      <c r="CT110">
        <f ca="1">IF($AN110="",OFFSET(Demand!$A$13,ROW(AD107)-1,4+((QUOTIENT(COLUMN(CT$2)-69,3))*5)+MOD(COLUMN(CT$2),3),1,1),"")</f>
        <v>0</v>
      </c>
      <c r="CW110" s="5">
        <f ca="1">SUM(OFFSET(Demand!$H$43,ROW(A107)-1,(COLUMN(A107)-1)*5,1,1))*N$2</f>
        <v>0</v>
      </c>
      <c r="CX110" s="5">
        <f ca="1">SUM(OFFSET(Demand!$H$43,ROW(B107)-1,(COLUMN(B107)-1)*5,1,1))*O$2</f>
        <v>0</v>
      </c>
      <c r="CY110" s="5">
        <f ca="1">SUM(OFFSET(Demand!$H$43,ROW(C107)-1,(COLUMN(C107)-1)*5,1,1))*P$2</f>
        <v>0</v>
      </c>
      <c r="CZ110" s="5">
        <f ca="1">SUM(OFFSET(Demand!$H$43,ROW(D107)-1,(COLUMN(D107)-1)*5,1,1))*Q$2</f>
        <v>0</v>
      </c>
      <c r="DA110" s="5">
        <f ca="1">SUM(OFFSET(Demand!$H$43,ROW(E107)-1,(COLUMN(E107)-1)*5,1,1))*R$2</f>
        <v>0</v>
      </c>
      <c r="DB110" s="5">
        <f ca="1">SUM(OFFSET(Demand!$H$43,ROW(F107)-1,(COLUMN(F107)-1)*5,1,1))*S$2</f>
        <v>0</v>
      </c>
      <c r="DC110" s="5">
        <f ca="1">SUM(OFFSET(Demand!$H$43,ROW(G107)-1,(COLUMN(G107)-1)*5,1,1))*T$2</f>
        <v>0</v>
      </c>
      <c r="DD110" s="5">
        <f ca="1">SUM(OFFSET(Demand!$H$43,ROW(H107)-1,(COLUMN(H107)-1)*5,1,1))*U$2</f>
        <v>0</v>
      </c>
      <c r="DE110" s="5">
        <f ca="1">SUM(OFFSET(Demand!$H$43,ROW(I107)-1,(COLUMN(I107)-1)*5,1,1))*V$2</f>
        <v>0</v>
      </c>
      <c r="DF110" s="5">
        <f ca="1">SUM(OFFSET(Demand!$H$43,ROW(J107)-1,(COLUMN(J107)-1)*5,1,1))*W$2</f>
        <v>0</v>
      </c>
      <c r="DG110" s="5">
        <f ca="1">IF(OR(AN110&lt;&gt;"",AND('Demand adjustments for Covid'!$F$9="Yes",'Demand adjustments for Covid'!$F$20="Yes")),"",SUM(CW110:DF110))</f>
        <v>0</v>
      </c>
    </row>
    <row r="111" spans="1:111" x14ac:dyDescent="0.25">
      <c r="A111" s="5">
        <f t="shared" ca="1" si="34"/>
        <v>1</v>
      </c>
      <c r="B111" s="5">
        <f ca="1">COUNTBLANK(OFFSET(Demand!$I120,0,(COLUMN(A108)-1)*5,1,1))</f>
        <v>1</v>
      </c>
      <c r="C111" s="5">
        <f ca="1">COUNTBLANK(OFFSET(Demand!$I120,0,(COLUMN(B108)-1)*5,1,1))</f>
        <v>1</v>
      </c>
      <c r="D111" s="5">
        <f ca="1">COUNTBLANK(OFFSET(Demand!$I120,0,(COLUMN(C108)-1)*5,1,1))</f>
        <v>1</v>
      </c>
      <c r="E111" s="5">
        <f ca="1">COUNTBLANK(OFFSET(Demand!$I120,0,(COLUMN(D108)-1)*5,1,1))</f>
        <v>1</v>
      </c>
      <c r="F111" s="5">
        <f ca="1">COUNTBLANK(OFFSET(Demand!$I120,0,(COLUMN(E108)-1)*5,1,1))</f>
        <v>1</v>
      </c>
      <c r="G111" s="5">
        <f ca="1">COUNTBLANK(OFFSET(Demand!$I120,0,(COLUMN(F108)-1)*5,1,1))</f>
        <v>1</v>
      </c>
      <c r="H111" s="5">
        <f ca="1">COUNTBLANK(OFFSET(Demand!$I120,0,(COLUMN(G108)-1)*5,1,1))</f>
        <v>1</v>
      </c>
      <c r="I111" s="5">
        <f ca="1">COUNTBLANK(OFFSET(Demand!$I120,0,(COLUMN(H108)-1)*5,1,1))</f>
        <v>1</v>
      </c>
      <c r="J111" s="5">
        <f ca="1">COUNTBLANK(OFFSET(Demand!$I120,0,(COLUMN(I108)-1)*5,1,1))</f>
        <v>1</v>
      </c>
      <c r="K111" s="5">
        <f ca="1">COUNTBLANK(OFFSET(Demand!$I120,0,(COLUMN(J108)-1)*5,1,1))</f>
        <v>1</v>
      </c>
      <c r="N111" s="5">
        <f ca="1">SUM(OFFSET(Demand!$E120,0,(COLUMN(A108)-1)*5,1,3))*N$2</f>
        <v>0</v>
      </c>
      <c r="O111" s="5">
        <f ca="1">SUM(OFFSET(Demand!$E120,0,(COLUMN(B108)-1)*5,1,3))*O$2</f>
        <v>0</v>
      </c>
      <c r="P111" s="5">
        <f ca="1">SUM(OFFSET(Demand!$E120,0,(COLUMN(C108)-1)*5,1,3))*P$2</f>
        <v>0</v>
      </c>
      <c r="Q111" s="5">
        <f ca="1">SUM(OFFSET(Demand!$E120,0,(COLUMN(D108)-1)*5,1,3))*Q$2</f>
        <v>0</v>
      </c>
      <c r="R111" s="5">
        <f ca="1">SUM(OFFSET(Demand!$E120,0,(COLUMN(E108)-1)*5,1,3))*R$2</f>
        <v>0</v>
      </c>
      <c r="S111" s="5">
        <f ca="1">SUM(OFFSET(Demand!$E120,0,(COLUMN(F108)-1)*5,1,3))*S$2</f>
        <v>0</v>
      </c>
      <c r="T111" s="5">
        <f ca="1">SUM(OFFSET(Demand!$E120,0,(COLUMN(G108)-1)*5,1,3))*T$2</f>
        <v>0</v>
      </c>
      <c r="U111" s="5">
        <f ca="1">SUM(OFFSET(Demand!$E120,0,(COLUMN(H108)-1)*5,1,3))*U$2</f>
        <v>0</v>
      </c>
      <c r="V111" s="5">
        <f ca="1">SUM(OFFSET(Demand!$E120,0,(COLUMN(I108)-1)*5,1,3))*V$2</f>
        <v>0</v>
      </c>
      <c r="W111" s="5">
        <f ca="1">SUM(OFFSET(Demand!$E120,0,(COLUMN(J108)-1)*5,1,3))*W$2</f>
        <v>0</v>
      </c>
      <c r="X111" s="5">
        <f t="shared" ca="1" si="37"/>
        <v>0</v>
      </c>
      <c r="Y111">
        <f t="shared" ca="1" si="38"/>
        <v>0</v>
      </c>
      <c r="Z111" s="5">
        <f ca="1">SUM(OFFSET(Demand!$H120,0,(COLUMN(A108)-1)*5,1,1))*N$2</f>
        <v>0</v>
      </c>
      <c r="AA111" s="5">
        <f ca="1">SUM(OFFSET(Demand!$H120,0,(COLUMN(B108)-1)*5,1,1))*O$2</f>
        <v>0</v>
      </c>
      <c r="AB111" s="5">
        <f ca="1">SUM(OFFSET(Demand!$H120,0,(COLUMN(C108)-1)*5,1,1))*P$2</f>
        <v>0</v>
      </c>
      <c r="AC111" s="5">
        <f ca="1">SUM(OFFSET(Demand!$H120,0,(COLUMN(D108)-1)*5,1,1))*Q$2</f>
        <v>0</v>
      </c>
      <c r="AD111" s="5">
        <f ca="1">SUM(OFFSET(Demand!$H120,0,(COLUMN(E108)-1)*5,1,1))*R$2</f>
        <v>0</v>
      </c>
      <c r="AE111" s="5">
        <f ca="1">SUM(OFFSET(Demand!$H120,0,(COLUMN(F108)-1)*5,1,1))*S$2</f>
        <v>0</v>
      </c>
      <c r="AF111" s="5">
        <f ca="1">SUM(OFFSET(Demand!$H120,0,(COLUMN(G108)-1)*5,1,1))*T$2</f>
        <v>0</v>
      </c>
      <c r="AG111" s="5">
        <f ca="1">SUM(OFFSET(Demand!$H120,0,(COLUMN(H108)-1)*5,1,1))*U$2</f>
        <v>0</v>
      </c>
      <c r="AH111" s="5">
        <f ca="1">SUM(OFFSET(Demand!$H120,0,(COLUMN(I108)-1)*5,1,1))*V$2</f>
        <v>0</v>
      </c>
      <c r="AI111" s="5">
        <f ca="1">SUM(OFFSET(Demand!$H120,0,(COLUMN(J108)-1)*5,1,1))*W$2</f>
        <v>0</v>
      </c>
      <c r="AJ111" s="5">
        <f t="shared" ca="1" si="39"/>
        <v>0</v>
      </c>
      <c r="AL111" s="5">
        <f t="shared" ca="1" si="40"/>
        <v>0</v>
      </c>
      <c r="AM111" s="5">
        <f t="shared" ca="1" si="41"/>
        <v>0</v>
      </c>
      <c r="AN111" s="5" t="str">
        <f>IF(Demand!BE120="Yes","Yes","")</f>
        <v/>
      </c>
      <c r="AP111" s="36" t="str">
        <f ca="1">Demand!B120</f>
        <v xml:space="preserve"> </v>
      </c>
      <c r="AQ111" t="str">
        <f ca="1">IF(TEXT(Demand!D120,"MMM")&lt;&gt;TEXT(Demand!D119,"MMM"),TEXT(Demand!D120,"MMM"),"")</f>
        <v/>
      </c>
      <c r="AT111" s="5">
        <f t="shared" ca="1" si="42"/>
        <v>0</v>
      </c>
      <c r="BQ111">
        <f ca="1">IF($AN111="",OFFSET(Demand!$A$13,ROW(A108)-1,4+((QUOTIENT(COLUMN(BQ$2)-69,3))*5)+MOD(COLUMN(BQ$2),3),1,1),"")</f>
        <v>0</v>
      </c>
      <c r="BR111">
        <f ca="1">IF($AN111="",OFFSET(Demand!$A$13,ROW(B108)-1,4+((QUOTIENT(COLUMN(BR$2)-69,3))*5)+MOD(COLUMN(BR$2),3),1,1),"")</f>
        <v>0</v>
      </c>
      <c r="BS111">
        <f ca="1">IF($AN111="",OFFSET(Demand!$A$13,ROW(C108)-1,4+((QUOTIENT(COLUMN(BS$2)-69,3))*5)+MOD(COLUMN(BS$2),3),1,1),"")</f>
        <v>0</v>
      </c>
      <c r="BT111">
        <f ca="1">IF($AN111="",OFFSET(Demand!$A$13,ROW(D108)-1,4+((QUOTIENT(COLUMN(BT$2)-69,3))*5)+MOD(COLUMN(BT$2),3),1,1),"")</f>
        <v>0</v>
      </c>
      <c r="BU111">
        <f ca="1">IF($AN111="",OFFSET(Demand!$A$13,ROW(E108)-1,4+((QUOTIENT(COLUMN(BU$2)-69,3))*5)+MOD(COLUMN(BU$2),3),1,1),"")</f>
        <v>0</v>
      </c>
      <c r="BV111">
        <f ca="1">IF($AN111="",OFFSET(Demand!$A$13,ROW(F108)-1,4+((QUOTIENT(COLUMN(BV$2)-69,3))*5)+MOD(COLUMN(BV$2),3),1,1),"")</f>
        <v>0</v>
      </c>
      <c r="BW111">
        <f ca="1">IF($AN111="",OFFSET(Demand!$A$13,ROW(G108)-1,4+((QUOTIENT(COLUMN(BW$2)-69,3))*5)+MOD(COLUMN(BW$2),3),1,1),"")</f>
        <v>0</v>
      </c>
      <c r="BX111">
        <f ca="1">IF($AN111="",OFFSET(Demand!$A$13,ROW(H108)-1,4+((QUOTIENT(COLUMN(BX$2)-69,3))*5)+MOD(COLUMN(BX$2),3),1,1),"")</f>
        <v>0</v>
      </c>
      <c r="BY111">
        <f ca="1">IF($AN111="",OFFSET(Demand!$A$13,ROW(I108)-1,4+((QUOTIENT(COLUMN(BY$2)-69,3))*5)+MOD(COLUMN(BY$2),3),1,1),"")</f>
        <v>0</v>
      </c>
      <c r="BZ111">
        <f ca="1">IF($AN111="",OFFSET(Demand!$A$13,ROW(J108)-1,4+((QUOTIENT(COLUMN(BZ$2)-69,3))*5)+MOD(COLUMN(BZ$2),3),1,1),"")</f>
        <v>0</v>
      </c>
      <c r="CA111">
        <f ca="1">IF($AN111="",OFFSET(Demand!$A$13,ROW(K108)-1,4+((QUOTIENT(COLUMN(CA$2)-69,3))*5)+MOD(COLUMN(CA$2),3),1,1),"")</f>
        <v>0</v>
      </c>
      <c r="CB111">
        <f ca="1">IF($AN111="",OFFSET(Demand!$A$13,ROW(L108)-1,4+((QUOTIENT(COLUMN(CB$2)-69,3))*5)+MOD(COLUMN(CB$2),3),1,1),"")</f>
        <v>0</v>
      </c>
      <c r="CC111">
        <f ca="1">IF($AN111="",OFFSET(Demand!$A$13,ROW(M108)-1,4+((QUOTIENT(COLUMN(CC$2)-69,3))*5)+MOD(COLUMN(CC$2),3),1,1),"")</f>
        <v>0</v>
      </c>
      <c r="CD111">
        <f ca="1">IF($AN111="",OFFSET(Demand!$A$13,ROW(N108)-1,4+((QUOTIENT(COLUMN(CD$2)-69,3))*5)+MOD(COLUMN(CD$2),3),1,1),"")</f>
        <v>0</v>
      </c>
      <c r="CE111">
        <f ca="1">IF($AN111="",OFFSET(Demand!$A$13,ROW(O108)-1,4+((QUOTIENT(COLUMN(CE$2)-69,3))*5)+MOD(COLUMN(CE$2),3),1,1),"")</f>
        <v>0</v>
      </c>
      <c r="CF111">
        <f ca="1">IF($AN111="",OFFSET(Demand!$A$13,ROW(P108)-1,4+((QUOTIENT(COLUMN(CF$2)-69,3))*5)+MOD(COLUMN(CF$2),3),1,1),"")</f>
        <v>0</v>
      </c>
      <c r="CG111">
        <f ca="1">IF($AN111="",OFFSET(Demand!$A$13,ROW(Q108)-1,4+((QUOTIENT(COLUMN(CG$2)-69,3))*5)+MOD(COLUMN(CG$2),3),1,1),"")</f>
        <v>0</v>
      </c>
      <c r="CH111">
        <f ca="1">IF($AN111="",OFFSET(Demand!$A$13,ROW(R108)-1,4+((QUOTIENT(COLUMN(CH$2)-69,3))*5)+MOD(COLUMN(CH$2),3),1,1),"")</f>
        <v>0</v>
      </c>
      <c r="CI111">
        <f ca="1">IF($AN111="",OFFSET(Demand!$A$13,ROW(S108)-1,4+((QUOTIENT(COLUMN(CI$2)-69,3))*5)+MOD(COLUMN(CI$2),3),1,1),"")</f>
        <v>0</v>
      </c>
      <c r="CJ111">
        <f ca="1">IF($AN111="",OFFSET(Demand!$A$13,ROW(T108)-1,4+((QUOTIENT(COLUMN(CJ$2)-69,3))*5)+MOD(COLUMN(CJ$2),3),1,1),"")</f>
        <v>0</v>
      </c>
      <c r="CK111">
        <f ca="1">IF($AN111="",OFFSET(Demand!$A$13,ROW(U108)-1,4+((QUOTIENT(COLUMN(CK$2)-69,3))*5)+MOD(COLUMN(CK$2),3),1,1),"")</f>
        <v>0</v>
      </c>
      <c r="CL111">
        <f ca="1">IF($AN111="",OFFSET(Demand!$A$13,ROW(V108)-1,4+((QUOTIENT(COLUMN(CL$2)-69,3))*5)+MOD(COLUMN(CL$2),3),1,1),"")</f>
        <v>0</v>
      </c>
      <c r="CM111">
        <f ca="1">IF($AN111="",OFFSET(Demand!$A$13,ROW(W108)-1,4+((QUOTIENT(COLUMN(CM$2)-69,3))*5)+MOD(COLUMN(CM$2),3),1,1),"")</f>
        <v>0</v>
      </c>
      <c r="CN111">
        <f ca="1">IF($AN111="",OFFSET(Demand!$A$13,ROW(X108)-1,4+((QUOTIENT(COLUMN(CN$2)-69,3))*5)+MOD(COLUMN(CN$2),3),1,1),"")</f>
        <v>0</v>
      </c>
      <c r="CO111">
        <f ca="1">IF($AN111="",OFFSET(Demand!$A$13,ROW(Y108)-1,4+((QUOTIENT(COLUMN(CO$2)-69,3))*5)+MOD(COLUMN(CO$2),3),1,1),"")</f>
        <v>0</v>
      </c>
      <c r="CP111">
        <f ca="1">IF($AN111="",OFFSET(Demand!$A$13,ROW(Z108)-1,4+((QUOTIENT(COLUMN(CP$2)-69,3))*5)+MOD(COLUMN(CP$2),3),1,1),"")</f>
        <v>0</v>
      </c>
      <c r="CQ111">
        <f ca="1">IF($AN111="",OFFSET(Demand!$A$13,ROW(AA108)-1,4+((QUOTIENT(COLUMN(CQ$2)-69,3))*5)+MOD(COLUMN(CQ$2),3),1,1),"")</f>
        <v>0</v>
      </c>
      <c r="CR111">
        <f ca="1">IF($AN111="",OFFSET(Demand!$A$13,ROW(AB108)-1,4+((QUOTIENT(COLUMN(CR$2)-69,3))*5)+MOD(COLUMN(CR$2),3),1,1),"")</f>
        <v>0</v>
      </c>
      <c r="CS111">
        <f ca="1">IF($AN111="",OFFSET(Demand!$A$13,ROW(AC108)-1,4+((QUOTIENT(COLUMN(CS$2)-69,3))*5)+MOD(COLUMN(CS$2),3),1,1),"")</f>
        <v>0</v>
      </c>
      <c r="CT111">
        <f ca="1">IF($AN111="",OFFSET(Demand!$A$13,ROW(AD108)-1,4+((QUOTIENT(COLUMN(CT$2)-69,3))*5)+MOD(COLUMN(CT$2),3),1,1),"")</f>
        <v>0</v>
      </c>
      <c r="CW111" s="5">
        <f ca="1">SUM(OFFSET(Demand!$H$43,ROW(A108)-1,(COLUMN(A108)-1)*5,1,1))*N$2</f>
        <v>0</v>
      </c>
      <c r="CX111" s="5">
        <f ca="1">SUM(OFFSET(Demand!$H$43,ROW(B108)-1,(COLUMN(B108)-1)*5,1,1))*O$2</f>
        <v>0</v>
      </c>
      <c r="CY111" s="5">
        <f ca="1">SUM(OFFSET(Demand!$H$43,ROW(C108)-1,(COLUMN(C108)-1)*5,1,1))*P$2</f>
        <v>0</v>
      </c>
      <c r="CZ111" s="5">
        <f ca="1">SUM(OFFSET(Demand!$H$43,ROW(D108)-1,(COLUMN(D108)-1)*5,1,1))*Q$2</f>
        <v>0</v>
      </c>
      <c r="DA111" s="5">
        <f ca="1">SUM(OFFSET(Demand!$H$43,ROW(E108)-1,(COLUMN(E108)-1)*5,1,1))*R$2</f>
        <v>0</v>
      </c>
      <c r="DB111" s="5">
        <f ca="1">SUM(OFFSET(Demand!$H$43,ROW(F108)-1,(COLUMN(F108)-1)*5,1,1))*S$2</f>
        <v>0</v>
      </c>
      <c r="DC111" s="5">
        <f ca="1">SUM(OFFSET(Demand!$H$43,ROW(G108)-1,(COLUMN(G108)-1)*5,1,1))*T$2</f>
        <v>0</v>
      </c>
      <c r="DD111" s="5">
        <f ca="1">SUM(OFFSET(Demand!$H$43,ROW(H108)-1,(COLUMN(H108)-1)*5,1,1))*U$2</f>
        <v>0</v>
      </c>
      <c r="DE111" s="5">
        <f ca="1">SUM(OFFSET(Demand!$H$43,ROW(I108)-1,(COLUMN(I108)-1)*5,1,1))*V$2</f>
        <v>0</v>
      </c>
      <c r="DF111" s="5">
        <f ca="1">SUM(OFFSET(Demand!$H$43,ROW(J108)-1,(COLUMN(J108)-1)*5,1,1))*W$2</f>
        <v>0</v>
      </c>
      <c r="DG111" s="5">
        <f ca="1">IF(OR(AN111&lt;&gt;"",AND('Demand adjustments for Covid'!$F$9="Yes",'Demand adjustments for Covid'!$F$20="Yes")),"",SUM(CW111:DF111))</f>
        <v>0</v>
      </c>
    </row>
    <row r="112" spans="1:111" x14ac:dyDescent="0.25">
      <c r="A112" s="5">
        <f t="shared" ca="1" si="34"/>
        <v>1</v>
      </c>
      <c r="B112" s="5">
        <f ca="1">COUNTBLANK(OFFSET(Demand!$I121,0,(COLUMN(A109)-1)*5,1,1))</f>
        <v>1</v>
      </c>
      <c r="C112" s="5">
        <f ca="1">COUNTBLANK(OFFSET(Demand!$I121,0,(COLUMN(B109)-1)*5,1,1))</f>
        <v>1</v>
      </c>
      <c r="D112" s="5">
        <f ca="1">COUNTBLANK(OFFSET(Demand!$I121,0,(COLUMN(C109)-1)*5,1,1))</f>
        <v>1</v>
      </c>
      <c r="E112" s="5">
        <f ca="1">COUNTBLANK(OFFSET(Demand!$I121,0,(COLUMN(D109)-1)*5,1,1))</f>
        <v>1</v>
      </c>
      <c r="F112" s="5">
        <f ca="1">COUNTBLANK(OFFSET(Demand!$I121,0,(COLUMN(E109)-1)*5,1,1))</f>
        <v>1</v>
      </c>
      <c r="G112" s="5">
        <f ca="1">COUNTBLANK(OFFSET(Demand!$I121,0,(COLUMN(F109)-1)*5,1,1))</f>
        <v>1</v>
      </c>
      <c r="H112" s="5">
        <f ca="1">COUNTBLANK(OFFSET(Demand!$I121,0,(COLUMN(G109)-1)*5,1,1))</f>
        <v>1</v>
      </c>
      <c r="I112" s="5">
        <f ca="1">COUNTBLANK(OFFSET(Demand!$I121,0,(COLUMN(H109)-1)*5,1,1))</f>
        <v>1</v>
      </c>
      <c r="J112" s="5">
        <f ca="1">COUNTBLANK(OFFSET(Demand!$I121,0,(COLUMN(I109)-1)*5,1,1))</f>
        <v>1</v>
      </c>
      <c r="K112" s="5">
        <f ca="1">COUNTBLANK(OFFSET(Demand!$I121,0,(COLUMN(J109)-1)*5,1,1))</f>
        <v>1</v>
      </c>
      <c r="N112" s="5">
        <f ca="1">SUM(OFFSET(Demand!$E121,0,(COLUMN(A109)-1)*5,1,3))*N$2</f>
        <v>0</v>
      </c>
      <c r="O112" s="5">
        <f ca="1">SUM(OFFSET(Demand!$E121,0,(COLUMN(B109)-1)*5,1,3))*O$2</f>
        <v>0</v>
      </c>
      <c r="P112" s="5">
        <f ca="1">SUM(OFFSET(Demand!$E121,0,(COLUMN(C109)-1)*5,1,3))*P$2</f>
        <v>0</v>
      </c>
      <c r="Q112" s="5">
        <f ca="1">SUM(OFFSET(Demand!$E121,0,(COLUMN(D109)-1)*5,1,3))*Q$2</f>
        <v>0</v>
      </c>
      <c r="R112" s="5">
        <f ca="1">SUM(OFFSET(Demand!$E121,0,(COLUMN(E109)-1)*5,1,3))*R$2</f>
        <v>0</v>
      </c>
      <c r="S112" s="5">
        <f ca="1">SUM(OFFSET(Demand!$E121,0,(COLUMN(F109)-1)*5,1,3))*S$2</f>
        <v>0</v>
      </c>
      <c r="T112" s="5">
        <f ca="1">SUM(OFFSET(Demand!$E121,0,(COLUMN(G109)-1)*5,1,3))*T$2</f>
        <v>0</v>
      </c>
      <c r="U112" s="5">
        <f ca="1">SUM(OFFSET(Demand!$E121,0,(COLUMN(H109)-1)*5,1,3))*U$2</f>
        <v>0</v>
      </c>
      <c r="V112" s="5">
        <f ca="1">SUM(OFFSET(Demand!$E121,0,(COLUMN(I109)-1)*5,1,3))*V$2</f>
        <v>0</v>
      </c>
      <c r="W112" s="5">
        <f ca="1">SUM(OFFSET(Demand!$E121,0,(COLUMN(J109)-1)*5,1,3))*W$2</f>
        <v>0</v>
      </c>
      <c r="X112" s="5">
        <f t="shared" ca="1" si="37"/>
        <v>0</v>
      </c>
      <c r="Y112">
        <f t="shared" ca="1" si="38"/>
        <v>0</v>
      </c>
      <c r="Z112" s="5">
        <f ca="1">SUM(OFFSET(Demand!$H121,0,(COLUMN(A109)-1)*5,1,1))*N$2</f>
        <v>0</v>
      </c>
      <c r="AA112" s="5">
        <f ca="1">SUM(OFFSET(Demand!$H121,0,(COLUMN(B109)-1)*5,1,1))*O$2</f>
        <v>0</v>
      </c>
      <c r="AB112" s="5">
        <f ca="1">SUM(OFFSET(Demand!$H121,0,(COLUMN(C109)-1)*5,1,1))*P$2</f>
        <v>0</v>
      </c>
      <c r="AC112" s="5">
        <f ca="1">SUM(OFFSET(Demand!$H121,0,(COLUMN(D109)-1)*5,1,1))*Q$2</f>
        <v>0</v>
      </c>
      <c r="AD112" s="5">
        <f ca="1">SUM(OFFSET(Demand!$H121,0,(COLUMN(E109)-1)*5,1,1))*R$2</f>
        <v>0</v>
      </c>
      <c r="AE112" s="5">
        <f ca="1">SUM(OFFSET(Demand!$H121,0,(COLUMN(F109)-1)*5,1,1))*S$2</f>
        <v>0</v>
      </c>
      <c r="AF112" s="5">
        <f ca="1">SUM(OFFSET(Demand!$H121,0,(COLUMN(G109)-1)*5,1,1))*T$2</f>
        <v>0</v>
      </c>
      <c r="AG112" s="5">
        <f ca="1">SUM(OFFSET(Demand!$H121,0,(COLUMN(H109)-1)*5,1,1))*U$2</f>
        <v>0</v>
      </c>
      <c r="AH112" s="5">
        <f ca="1">SUM(OFFSET(Demand!$H121,0,(COLUMN(I109)-1)*5,1,1))*V$2</f>
        <v>0</v>
      </c>
      <c r="AI112" s="5">
        <f ca="1">SUM(OFFSET(Demand!$H121,0,(COLUMN(J109)-1)*5,1,1))*W$2</f>
        <v>0</v>
      </c>
      <c r="AJ112" s="5">
        <f t="shared" ca="1" si="39"/>
        <v>0</v>
      </c>
      <c r="AL112" s="5">
        <f t="shared" ca="1" si="40"/>
        <v>0</v>
      </c>
      <c r="AM112" s="5">
        <f t="shared" ca="1" si="41"/>
        <v>0</v>
      </c>
      <c r="AN112" s="5" t="str">
        <f>IF(Demand!BE121="Yes","Yes","")</f>
        <v/>
      </c>
      <c r="AP112" s="36" t="str">
        <f ca="1">Demand!B121</f>
        <v xml:space="preserve"> </v>
      </c>
      <c r="AQ112" t="str">
        <f ca="1">IF(TEXT(Demand!D121,"MMM")&lt;&gt;TEXT(Demand!D120,"MMM"),TEXT(Demand!D121,"MMM"),"")</f>
        <v/>
      </c>
      <c r="AT112" s="5">
        <f t="shared" ca="1" si="42"/>
        <v>0</v>
      </c>
      <c r="BQ112">
        <f ca="1">IF($AN112="",OFFSET(Demand!$A$13,ROW(A109)-1,4+((QUOTIENT(COLUMN(BQ$2)-69,3))*5)+MOD(COLUMN(BQ$2),3),1,1),"")</f>
        <v>0</v>
      </c>
      <c r="BR112">
        <f ca="1">IF($AN112="",OFFSET(Demand!$A$13,ROW(B109)-1,4+((QUOTIENT(COLUMN(BR$2)-69,3))*5)+MOD(COLUMN(BR$2),3),1,1),"")</f>
        <v>0</v>
      </c>
      <c r="BS112">
        <f ca="1">IF($AN112="",OFFSET(Demand!$A$13,ROW(C109)-1,4+((QUOTIENT(COLUMN(BS$2)-69,3))*5)+MOD(COLUMN(BS$2),3),1,1),"")</f>
        <v>0</v>
      </c>
      <c r="BT112">
        <f ca="1">IF($AN112="",OFFSET(Demand!$A$13,ROW(D109)-1,4+((QUOTIENT(COLUMN(BT$2)-69,3))*5)+MOD(COLUMN(BT$2),3),1,1),"")</f>
        <v>0</v>
      </c>
      <c r="BU112">
        <f ca="1">IF($AN112="",OFFSET(Demand!$A$13,ROW(E109)-1,4+((QUOTIENT(COLUMN(BU$2)-69,3))*5)+MOD(COLUMN(BU$2),3),1,1),"")</f>
        <v>0</v>
      </c>
      <c r="BV112">
        <f ca="1">IF($AN112="",OFFSET(Demand!$A$13,ROW(F109)-1,4+((QUOTIENT(COLUMN(BV$2)-69,3))*5)+MOD(COLUMN(BV$2),3),1,1),"")</f>
        <v>0</v>
      </c>
      <c r="BW112">
        <f ca="1">IF($AN112="",OFFSET(Demand!$A$13,ROW(G109)-1,4+((QUOTIENT(COLUMN(BW$2)-69,3))*5)+MOD(COLUMN(BW$2),3),1,1),"")</f>
        <v>0</v>
      </c>
      <c r="BX112">
        <f ca="1">IF($AN112="",OFFSET(Demand!$A$13,ROW(H109)-1,4+((QUOTIENT(COLUMN(BX$2)-69,3))*5)+MOD(COLUMN(BX$2),3),1,1),"")</f>
        <v>0</v>
      </c>
      <c r="BY112">
        <f ca="1">IF($AN112="",OFFSET(Demand!$A$13,ROW(I109)-1,4+((QUOTIENT(COLUMN(BY$2)-69,3))*5)+MOD(COLUMN(BY$2),3),1,1),"")</f>
        <v>0</v>
      </c>
      <c r="BZ112">
        <f ca="1">IF($AN112="",OFFSET(Demand!$A$13,ROW(J109)-1,4+((QUOTIENT(COLUMN(BZ$2)-69,3))*5)+MOD(COLUMN(BZ$2),3),1,1),"")</f>
        <v>0</v>
      </c>
      <c r="CA112">
        <f ca="1">IF($AN112="",OFFSET(Demand!$A$13,ROW(K109)-1,4+((QUOTIENT(COLUMN(CA$2)-69,3))*5)+MOD(COLUMN(CA$2),3),1,1),"")</f>
        <v>0</v>
      </c>
      <c r="CB112">
        <f ca="1">IF($AN112="",OFFSET(Demand!$A$13,ROW(L109)-1,4+((QUOTIENT(COLUMN(CB$2)-69,3))*5)+MOD(COLUMN(CB$2),3),1,1),"")</f>
        <v>0</v>
      </c>
      <c r="CC112">
        <f ca="1">IF($AN112="",OFFSET(Demand!$A$13,ROW(M109)-1,4+((QUOTIENT(COLUMN(CC$2)-69,3))*5)+MOD(COLUMN(CC$2),3),1,1),"")</f>
        <v>0</v>
      </c>
      <c r="CD112">
        <f ca="1">IF($AN112="",OFFSET(Demand!$A$13,ROW(N109)-1,4+((QUOTIENT(COLUMN(CD$2)-69,3))*5)+MOD(COLUMN(CD$2),3),1,1),"")</f>
        <v>0</v>
      </c>
      <c r="CE112">
        <f ca="1">IF($AN112="",OFFSET(Demand!$A$13,ROW(O109)-1,4+((QUOTIENT(COLUMN(CE$2)-69,3))*5)+MOD(COLUMN(CE$2),3),1,1),"")</f>
        <v>0</v>
      </c>
      <c r="CF112">
        <f ca="1">IF($AN112="",OFFSET(Demand!$A$13,ROW(P109)-1,4+((QUOTIENT(COLUMN(CF$2)-69,3))*5)+MOD(COLUMN(CF$2),3),1,1),"")</f>
        <v>0</v>
      </c>
      <c r="CG112">
        <f ca="1">IF($AN112="",OFFSET(Demand!$A$13,ROW(Q109)-1,4+((QUOTIENT(COLUMN(CG$2)-69,3))*5)+MOD(COLUMN(CG$2),3),1,1),"")</f>
        <v>0</v>
      </c>
      <c r="CH112">
        <f ca="1">IF($AN112="",OFFSET(Demand!$A$13,ROW(R109)-1,4+((QUOTIENT(COLUMN(CH$2)-69,3))*5)+MOD(COLUMN(CH$2),3),1,1),"")</f>
        <v>0</v>
      </c>
      <c r="CI112">
        <f ca="1">IF($AN112="",OFFSET(Demand!$A$13,ROW(S109)-1,4+((QUOTIENT(COLUMN(CI$2)-69,3))*5)+MOD(COLUMN(CI$2),3),1,1),"")</f>
        <v>0</v>
      </c>
      <c r="CJ112">
        <f ca="1">IF($AN112="",OFFSET(Demand!$A$13,ROW(T109)-1,4+((QUOTIENT(COLUMN(CJ$2)-69,3))*5)+MOD(COLUMN(CJ$2),3),1,1),"")</f>
        <v>0</v>
      </c>
      <c r="CK112">
        <f ca="1">IF($AN112="",OFFSET(Demand!$A$13,ROW(U109)-1,4+((QUOTIENT(COLUMN(CK$2)-69,3))*5)+MOD(COLUMN(CK$2),3),1,1),"")</f>
        <v>0</v>
      </c>
      <c r="CL112">
        <f ca="1">IF($AN112="",OFFSET(Demand!$A$13,ROW(V109)-1,4+((QUOTIENT(COLUMN(CL$2)-69,3))*5)+MOD(COLUMN(CL$2),3),1,1),"")</f>
        <v>0</v>
      </c>
      <c r="CM112">
        <f ca="1">IF($AN112="",OFFSET(Demand!$A$13,ROW(W109)-1,4+((QUOTIENT(COLUMN(CM$2)-69,3))*5)+MOD(COLUMN(CM$2),3),1,1),"")</f>
        <v>0</v>
      </c>
      <c r="CN112">
        <f ca="1">IF($AN112="",OFFSET(Demand!$A$13,ROW(X109)-1,4+((QUOTIENT(COLUMN(CN$2)-69,3))*5)+MOD(COLUMN(CN$2),3),1,1),"")</f>
        <v>0</v>
      </c>
      <c r="CO112">
        <f ca="1">IF($AN112="",OFFSET(Demand!$A$13,ROW(Y109)-1,4+((QUOTIENT(COLUMN(CO$2)-69,3))*5)+MOD(COLUMN(CO$2),3),1,1),"")</f>
        <v>0</v>
      </c>
      <c r="CP112">
        <f ca="1">IF($AN112="",OFFSET(Demand!$A$13,ROW(Z109)-1,4+((QUOTIENT(COLUMN(CP$2)-69,3))*5)+MOD(COLUMN(CP$2),3),1,1),"")</f>
        <v>0</v>
      </c>
      <c r="CQ112">
        <f ca="1">IF($AN112="",OFFSET(Demand!$A$13,ROW(AA109)-1,4+((QUOTIENT(COLUMN(CQ$2)-69,3))*5)+MOD(COLUMN(CQ$2),3),1,1),"")</f>
        <v>0</v>
      </c>
      <c r="CR112">
        <f ca="1">IF($AN112="",OFFSET(Demand!$A$13,ROW(AB109)-1,4+((QUOTIENT(COLUMN(CR$2)-69,3))*5)+MOD(COLUMN(CR$2),3),1,1),"")</f>
        <v>0</v>
      </c>
      <c r="CS112">
        <f ca="1">IF($AN112="",OFFSET(Demand!$A$13,ROW(AC109)-1,4+((QUOTIENT(COLUMN(CS$2)-69,3))*5)+MOD(COLUMN(CS$2),3),1,1),"")</f>
        <v>0</v>
      </c>
      <c r="CT112">
        <f ca="1">IF($AN112="",OFFSET(Demand!$A$13,ROW(AD109)-1,4+((QUOTIENT(COLUMN(CT$2)-69,3))*5)+MOD(COLUMN(CT$2),3),1,1),"")</f>
        <v>0</v>
      </c>
      <c r="CW112" s="5">
        <f ca="1">SUM(OFFSET(Demand!$H$43,ROW(A109)-1,(COLUMN(A109)-1)*5,1,1))*N$2</f>
        <v>0</v>
      </c>
      <c r="CX112" s="5">
        <f ca="1">SUM(OFFSET(Demand!$H$43,ROW(B109)-1,(COLUMN(B109)-1)*5,1,1))*O$2</f>
        <v>0</v>
      </c>
      <c r="CY112" s="5">
        <f ca="1">SUM(OFFSET(Demand!$H$43,ROW(C109)-1,(COLUMN(C109)-1)*5,1,1))*P$2</f>
        <v>0</v>
      </c>
      <c r="CZ112" s="5">
        <f ca="1">SUM(OFFSET(Demand!$H$43,ROW(D109)-1,(COLUMN(D109)-1)*5,1,1))*Q$2</f>
        <v>0</v>
      </c>
      <c r="DA112" s="5">
        <f ca="1">SUM(OFFSET(Demand!$H$43,ROW(E109)-1,(COLUMN(E109)-1)*5,1,1))*R$2</f>
        <v>0</v>
      </c>
      <c r="DB112" s="5">
        <f ca="1">SUM(OFFSET(Demand!$H$43,ROW(F109)-1,(COLUMN(F109)-1)*5,1,1))*S$2</f>
        <v>0</v>
      </c>
      <c r="DC112" s="5">
        <f ca="1">SUM(OFFSET(Demand!$H$43,ROW(G109)-1,(COLUMN(G109)-1)*5,1,1))*T$2</f>
        <v>0</v>
      </c>
      <c r="DD112" s="5">
        <f ca="1">SUM(OFFSET(Demand!$H$43,ROW(H109)-1,(COLUMN(H109)-1)*5,1,1))*U$2</f>
        <v>0</v>
      </c>
      <c r="DE112" s="5">
        <f ca="1">SUM(OFFSET(Demand!$H$43,ROW(I109)-1,(COLUMN(I109)-1)*5,1,1))*V$2</f>
        <v>0</v>
      </c>
      <c r="DF112" s="5">
        <f ca="1">SUM(OFFSET(Demand!$H$43,ROW(J109)-1,(COLUMN(J109)-1)*5,1,1))*W$2</f>
        <v>0</v>
      </c>
      <c r="DG112" s="5">
        <f ca="1">IF(OR(AN112&lt;&gt;"",AND('Demand adjustments for Covid'!$F$9="Yes",'Demand adjustments for Covid'!$F$20="Yes")),"",SUM(CW112:DF112))</f>
        <v>0</v>
      </c>
    </row>
    <row r="113" spans="1:111" x14ac:dyDescent="0.25">
      <c r="A113" s="5">
        <f t="shared" ca="1" si="34"/>
        <v>1</v>
      </c>
      <c r="B113" s="5">
        <f ca="1">COUNTBLANK(OFFSET(Demand!$I122,0,(COLUMN(A110)-1)*5,1,1))</f>
        <v>1</v>
      </c>
      <c r="C113" s="5">
        <f ca="1">COUNTBLANK(OFFSET(Demand!$I122,0,(COLUMN(B110)-1)*5,1,1))</f>
        <v>1</v>
      </c>
      <c r="D113" s="5">
        <f ca="1">COUNTBLANK(OFFSET(Demand!$I122,0,(COLUMN(C110)-1)*5,1,1))</f>
        <v>1</v>
      </c>
      <c r="E113" s="5">
        <f ca="1">COUNTBLANK(OFFSET(Demand!$I122,0,(COLUMN(D110)-1)*5,1,1))</f>
        <v>1</v>
      </c>
      <c r="F113" s="5">
        <f ca="1">COUNTBLANK(OFFSET(Demand!$I122,0,(COLUMN(E110)-1)*5,1,1))</f>
        <v>1</v>
      </c>
      <c r="G113" s="5">
        <f ca="1">COUNTBLANK(OFFSET(Demand!$I122,0,(COLUMN(F110)-1)*5,1,1))</f>
        <v>1</v>
      </c>
      <c r="H113" s="5">
        <f ca="1">COUNTBLANK(OFFSET(Demand!$I122,0,(COLUMN(G110)-1)*5,1,1))</f>
        <v>1</v>
      </c>
      <c r="I113" s="5">
        <f ca="1">COUNTBLANK(OFFSET(Demand!$I122,0,(COLUMN(H110)-1)*5,1,1))</f>
        <v>1</v>
      </c>
      <c r="J113" s="5">
        <f ca="1">COUNTBLANK(OFFSET(Demand!$I122,0,(COLUMN(I110)-1)*5,1,1))</f>
        <v>1</v>
      </c>
      <c r="K113" s="5">
        <f ca="1">COUNTBLANK(OFFSET(Demand!$I122,0,(COLUMN(J110)-1)*5,1,1))</f>
        <v>1</v>
      </c>
      <c r="N113" s="5">
        <f ca="1">SUM(OFFSET(Demand!$E122,0,(COLUMN(A110)-1)*5,1,3))*N$2</f>
        <v>0</v>
      </c>
      <c r="O113" s="5">
        <f ca="1">SUM(OFFSET(Demand!$E122,0,(COLUMN(B110)-1)*5,1,3))*O$2</f>
        <v>0</v>
      </c>
      <c r="P113" s="5">
        <f ca="1">SUM(OFFSET(Demand!$E122,0,(COLUMN(C110)-1)*5,1,3))*P$2</f>
        <v>0</v>
      </c>
      <c r="Q113" s="5">
        <f ca="1">SUM(OFFSET(Demand!$E122,0,(COLUMN(D110)-1)*5,1,3))*Q$2</f>
        <v>0</v>
      </c>
      <c r="R113" s="5">
        <f ca="1">SUM(OFFSET(Demand!$E122,0,(COLUMN(E110)-1)*5,1,3))*R$2</f>
        <v>0</v>
      </c>
      <c r="S113" s="5">
        <f ca="1">SUM(OFFSET(Demand!$E122,0,(COLUMN(F110)-1)*5,1,3))*S$2</f>
        <v>0</v>
      </c>
      <c r="T113" s="5">
        <f ca="1">SUM(OFFSET(Demand!$E122,0,(COLUMN(G110)-1)*5,1,3))*T$2</f>
        <v>0</v>
      </c>
      <c r="U113" s="5">
        <f ca="1">SUM(OFFSET(Demand!$E122,0,(COLUMN(H110)-1)*5,1,3))*U$2</f>
        <v>0</v>
      </c>
      <c r="V113" s="5">
        <f ca="1">SUM(OFFSET(Demand!$E122,0,(COLUMN(I110)-1)*5,1,3))*V$2</f>
        <v>0</v>
      </c>
      <c r="W113" s="5">
        <f ca="1">SUM(OFFSET(Demand!$E122,0,(COLUMN(J110)-1)*5,1,3))*W$2</f>
        <v>0</v>
      </c>
      <c r="X113" s="5">
        <f t="shared" ca="1" si="37"/>
        <v>0</v>
      </c>
      <c r="Y113">
        <f t="shared" ca="1" si="38"/>
        <v>0</v>
      </c>
      <c r="Z113" s="5">
        <f ca="1">SUM(OFFSET(Demand!$H122,0,(COLUMN(A110)-1)*5,1,1))*N$2</f>
        <v>0</v>
      </c>
      <c r="AA113" s="5">
        <f ca="1">SUM(OFFSET(Demand!$H122,0,(COLUMN(B110)-1)*5,1,1))*O$2</f>
        <v>0</v>
      </c>
      <c r="AB113" s="5">
        <f ca="1">SUM(OFFSET(Demand!$H122,0,(COLUMN(C110)-1)*5,1,1))*P$2</f>
        <v>0</v>
      </c>
      <c r="AC113" s="5">
        <f ca="1">SUM(OFFSET(Demand!$H122,0,(COLUMN(D110)-1)*5,1,1))*Q$2</f>
        <v>0</v>
      </c>
      <c r="AD113" s="5">
        <f ca="1">SUM(OFFSET(Demand!$H122,0,(COLUMN(E110)-1)*5,1,1))*R$2</f>
        <v>0</v>
      </c>
      <c r="AE113" s="5">
        <f ca="1">SUM(OFFSET(Demand!$H122,0,(COLUMN(F110)-1)*5,1,1))*S$2</f>
        <v>0</v>
      </c>
      <c r="AF113" s="5">
        <f ca="1">SUM(OFFSET(Demand!$H122,0,(COLUMN(G110)-1)*5,1,1))*T$2</f>
        <v>0</v>
      </c>
      <c r="AG113" s="5">
        <f ca="1">SUM(OFFSET(Demand!$H122,0,(COLUMN(H110)-1)*5,1,1))*U$2</f>
        <v>0</v>
      </c>
      <c r="AH113" s="5">
        <f ca="1">SUM(OFFSET(Demand!$H122,0,(COLUMN(I110)-1)*5,1,1))*V$2</f>
        <v>0</v>
      </c>
      <c r="AI113" s="5">
        <f ca="1">SUM(OFFSET(Demand!$H122,0,(COLUMN(J110)-1)*5,1,1))*W$2</f>
        <v>0</v>
      </c>
      <c r="AJ113" s="5">
        <f t="shared" ca="1" si="39"/>
        <v>0</v>
      </c>
      <c r="AL113" s="5">
        <f t="shared" ca="1" si="40"/>
        <v>0</v>
      </c>
      <c r="AM113" s="5">
        <f t="shared" ca="1" si="41"/>
        <v>0</v>
      </c>
      <c r="AN113" s="5" t="str">
        <f>IF(Demand!BE122="Yes","Yes","")</f>
        <v/>
      </c>
      <c r="AP113" s="36" t="str">
        <f ca="1">Demand!B122</f>
        <v xml:space="preserve"> </v>
      </c>
      <c r="AQ113" t="str">
        <f ca="1">IF(TEXT(Demand!D122,"MMM")&lt;&gt;TEXT(Demand!D121,"MMM"),TEXT(Demand!D122,"MMM"),"")</f>
        <v/>
      </c>
      <c r="AT113" s="5">
        <f t="shared" ca="1" si="42"/>
        <v>0</v>
      </c>
      <c r="BQ113">
        <f ca="1">IF($AN113="",OFFSET(Demand!$A$13,ROW(A110)-1,4+((QUOTIENT(COLUMN(BQ$2)-69,3))*5)+MOD(COLUMN(BQ$2),3),1,1),"")</f>
        <v>0</v>
      </c>
      <c r="BR113">
        <f ca="1">IF($AN113="",OFFSET(Demand!$A$13,ROW(B110)-1,4+((QUOTIENT(COLUMN(BR$2)-69,3))*5)+MOD(COLUMN(BR$2),3),1,1),"")</f>
        <v>0</v>
      </c>
      <c r="BS113">
        <f ca="1">IF($AN113="",OFFSET(Demand!$A$13,ROW(C110)-1,4+((QUOTIENT(COLUMN(BS$2)-69,3))*5)+MOD(COLUMN(BS$2),3),1,1),"")</f>
        <v>0</v>
      </c>
      <c r="BT113">
        <f ca="1">IF($AN113="",OFFSET(Demand!$A$13,ROW(D110)-1,4+((QUOTIENT(COLUMN(BT$2)-69,3))*5)+MOD(COLUMN(BT$2),3),1,1),"")</f>
        <v>0</v>
      </c>
      <c r="BU113">
        <f ca="1">IF($AN113="",OFFSET(Demand!$A$13,ROW(E110)-1,4+((QUOTIENT(COLUMN(BU$2)-69,3))*5)+MOD(COLUMN(BU$2),3),1,1),"")</f>
        <v>0</v>
      </c>
      <c r="BV113">
        <f ca="1">IF($AN113="",OFFSET(Demand!$A$13,ROW(F110)-1,4+((QUOTIENT(COLUMN(BV$2)-69,3))*5)+MOD(COLUMN(BV$2),3),1,1),"")</f>
        <v>0</v>
      </c>
      <c r="BW113">
        <f ca="1">IF($AN113="",OFFSET(Demand!$A$13,ROW(G110)-1,4+((QUOTIENT(COLUMN(BW$2)-69,3))*5)+MOD(COLUMN(BW$2),3),1,1),"")</f>
        <v>0</v>
      </c>
      <c r="BX113">
        <f ca="1">IF($AN113="",OFFSET(Demand!$A$13,ROW(H110)-1,4+((QUOTIENT(COLUMN(BX$2)-69,3))*5)+MOD(COLUMN(BX$2),3),1,1),"")</f>
        <v>0</v>
      </c>
      <c r="BY113">
        <f ca="1">IF($AN113="",OFFSET(Demand!$A$13,ROW(I110)-1,4+((QUOTIENT(COLUMN(BY$2)-69,3))*5)+MOD(COLUMN(BY$2),3),1,1),"")</f>
        <v>0</v>
      </c>
      <c r="BZ113">
        <f ca="1">IF($AN113="",OFFSET(Demand!$A$13,ROW(J110)-1,4+((QUOTIENT(COLUMN(BZ$2)-69,3))*5)+MOD(COLUMN(BZ$2),3),1,1),"")</f>
        <v>0</v>
      </c>
      <c r="CA113">
        <f ca="1">IF($AN113="",OFFSET(Demand!$A$13,ROW(K110)-1,4+((QUOTIENT(COLUMN(CA$2)-69,3))*5)+MOD(COLUMN(CA$2),3),1,1),"")</f>
        <v>0</v>
      </c>
      <c r="CB113">
        <f ca="1">IF($AN113="",OFFSET(Demand!$A$13,ROW(L110)-1,4+((QUOTIENT(COLUMN(CB$2)-69,3))*5)+MOD(COLUMN(CB$2),3),1,1),"")</f>
        <v>0</v>
      </c>
      <c r="CC113">
        <f ca="1">IF($AN113="",OFFSET(Demand!$A$13,ROW(M110)-1,4+((QUOTIENT(COLUMN(CC$2)-69,3))*5)+MOD(COLUMN(CC$2),3),1,1),"")</f>
        <v>0</v>
      </c>
      <c r="CD113">
        <f ca="1">IF($AN113="",OFFSET(Demand!$A$13,ROW(N110)-1,4+((QUOTIENT(COLUMN(CD$2)-69,3))*5)+MOD(COLUMN(CD$2),3),1,1),"")</f>
        <v>0</v>
      </c>
      <c r="CE113">
        <f ca="1">IF($AN113="",OFFSET(Demand!$A$13,ROW(O110)-1,4+((QUOTIENT(COLUMN(CE$2)-69,3))*5)+MOD(COLUMN(CE$2),3),1,1),"")</f>
        <v>0</v>
      </c>
      <c r="CF113">
        <f ca="1">IF($AN113="",OFFSET(Demand!$A$13,ROW(P110)-1,4+((QUOTIENT(COLUMN(CF$2)-69,3))*5)+MOD(COLUMN(CF$2),3),1,1),"")</f>
        <v>0</v>
      </c>
      <c r="CG113">
        <f ca="1">IF($AN113="",OFFSET(Demand!$A$13,ROW(Q110)-1,4+((QUOTIENT(COLUMN(CG$2)-69,3))*5)+MOD(COLUMN(CG$2),3),1,1),"")</f>
        <v>0</v>
      </c>
      <c r="CH113">
        <f ca="1">IF($AN113="",OFFSET(Demand!$A$13,ROW(R110)-1,4+((QUOTIENT(COLUMN(CH$2)-69,3))*5)+MOD(COLUMN(CH$2),3),1,1),"")</f>
        <v>0</v>
      </c>
      <c r="CI113">
        <f ca="1">IF($AN113="",OFFSET(Demand!$A$13,ROW(S110)-1,4+((QUOTIENT(COLUMN(CI$2)-69,3))*5)+MOD(COLUMN(CI$2),3),1,1),"")</f>
        <v>0</v>
      </c>
      <c r="CJ113">
        <f ca="1">IF($AN113="",OFFSET(Demand!$A$13,ROW(T110)-1,4+((QUOTIENT(COLUMN(CJ$2)-69,3))*5)+MOD(COLUMN(CJ$2),3),1,1),"")</f>
        <v>0</v>
      </c>
      <c r="CK113">
        <f ca="1">IF($AN113="",OFFSET(Demand!$A$13,ROW(U110)-1,4+((QUOTIENT(COLUMN(CK$2)-69,3))*5)+MOD(COLUMN(CK$2),3),1,1),"")</f>
        <v>0</v>
      </c>
      <c r="CL113">
        <f ca="1">IF($AN113="",OFFSET(Demand!$A$13,ROW(V110)-1,4+((QUOTIENT(COLUMN(CL$2)-69,3))*5)+MOD(COLUMN(CL$2),3),1,1),"")</f>
        <v>0</v>
      </c>
      <c r="CM113">
        <f ca="1">IF($AN113="",OFFSET(Demand!$A$13,ROW(W110)-1,4+((QUOTIENT(COLUMN(CM$2)-69,3))*5)+MOD(COLUMN(CM$2),3),1,1),"")</f>
        <v>0</v>
      </c>
      <c r="CN113">
        <f ca="1">IF($AN113="",OFFSET(Demand!$A$13,ROW(X110)-1,4+((QUOTIENT(COLUMN(CN$2)-69,3))*5)+MOD(COLUMN(CN$2),3),1,1),"")</f>
        <v>0</v>
      </c>
      <c r="CO113">
        <f ca="1">IF($AN113="",OFFSET(Demand!$A$13,ROW(Y110)-1,4+((QUOTIENT(COLUMN(CO$2)-69,3))*5)+MOD(COLUMN(CO$2),3),1,1),"")</f>
        <v>0</v>
      </c>
      <c r="CP113">
        <f ca="1">IF($AN113="",OFFSET(Demand!$A$13,ROW(Z110)-1,4+((QUOTIENT(COLUMN(CP$2)-69,3))*5)+MOD(COLUMN(CP$2),3),1,1),"")</f>
        <v>0</v>
      </c>
      <c r="CQ113">
        <f ca="1">IF($AN113="",OFFSET(Demand!$A$13,ROW(AA110)-1,4+((QUOTIENT(COLUMN(CQ$2)-69,3))*5)+MOD(COLUMN(CQ$2),3),1,1),"")</f>
        <v>0</v>
      </c>
      <c r="CR113">
        <f ca="1">IF($AN113="",OFFSET(Demand!$A$13,ROW(AB110)-1,4+((QUOTIENT(COLUMN(CR$2)-69,3))*5)+MOD(COLUMN(CR$2),3),1,1),"")</f>
        <v>0</v>
      </c>
      <c r="CS113">
        <f ca="1">IF($AN113="",OFFSET(Demand!$A$13,ROW(AC110)-1,4+((QUOTIENT(COLUMN(CS$2)-69,3))*5)+MOD(COLUMN(CS$2),3),1,1),"")</f>
        <v>0</v>
      </c>
      <c r="CT113">
        <f ca="1">IF($AN113="",OFFSET(Demand!$A$13,ROW(AD110)-1,4+((QUOTIENT(COLUMN(CT$2)-69,3))*5)+MOD(COLUMN(CT$2),3),1,1),"")</f>
        <v>0</v>
      </c>
      <c r="CW113" s="5">
        <f ca="1">SUM(OFFSET(Demand!$H$43,ROW(A110)-1,(COLUMN(A110)-1)*5,1,1))*N$2</f>
        <v>0</v>
      </c>
      <c r="CX113" s="5">
        <f ca="1">SUM(OFFSET(Demand!$H$43,ROW(B110)-1,(COLUMN(B110)-1)*5,1,1))*O$2</f>
        <v>0</v>
      </c>
      <c r="CY113" s="5">
        <f ca="1">SUM(OFFSET(Demand!$H$43,ROW(C110)-1,(COLUMN(C110)-1)*5,1,1))*P$2</f>
        <v>0</v>
      </c>
      <c r="CZ113" s="5">
        <f ca="1">SUM(OFFSET(Demand!$H$43,ROW(D110)-1,(COLUMN(D110)-1)*5,1,1))*Q$2</f>
        <v>0</v>
      </c>
      <c r="DA113" s="5">
        <f ca="1">SUM(OFFSET(Demand!$H$43,ROW(E110)-1,(COLUMN(E110)-1)*5,1,1))*R$2</f>
        <v>0</v>
      </c>
      <c r="DB113" s="5">
        <f ca="1">SUM(OFFSET(Demand!$H$43,ROW(F110)-1,(COLUMN(F110)-1)*5,1,1))*S$2</f>
        <v>0</v>
      </c>
      <c r="DC113" s="5">
        <f ca="1">SUM(OFFSET(Demand!$H$43,ROW(G110)-1,(COLUMN(G110)-1)*5,1,1))*T$2</f>
        <v>0</v>
      </c>
      <c r="DD113" s="5">
        <f ca="1">SUM(OFFSET(Demand!$H$43,ROW(H110)-1,(COLUMN(H110)-1)*5,1,1))*U$2</f>
        <v>0</v>
      </c>
      <c r="DE113" s="5">
        <f ca="1">SUM(OFFSET(Demand!$H$43,ROW(I110)-1,(COLUMN(I110)-1)*5,1,1))*V$2</f>
        <v>0</v>
      </c>
      <c r="DF113" s="5">
        <f ca="1">SUM(OFFSET(Demand!$H$43,ROW(J110)-1,(COLUMN(J110)-1)*5,1,1))*W$2</f>
        <v>0</v>
      </c>
      <c r="DG113" s="5">
        <f ca="1">IF(OR(AN113&lt;&gt;"",AND('Demand adjustments for Covid'!$F$9="Yes",'Demand adjustments for Covid'!$F$20="Yes")),"",SUM(CW113:DF113))</f>
        <v>0</v>
      </c>
    </row>
    <row r="114" spans="1:111" x14ac:dyDescent="0.25">
      <c r="A114" s="5">
        <f t="shared" ca="1" si="34"/>
        <v>1</v>
      </c>
      <c r="B114" s="5">
        <f ca="1">COUNTBLANK(OFFSET(Demand!$I123,0,(COLUMN(A111)-1)*5,1,1))</f>
        <v>1</v>
      </c>
      <c r="C114" s="5">
        <f ca="1">COUNTBLANK(OFFSET(Demand!$I123,0,(COLUMN(B111)-1)*5,1,1))</f>
        <v>1</v>
      </c>
      <c r="D114" s="5">
        <f ca="1">COUNTBLANK(OFFSET(Demand!$I123,0,(COLUMN(C111)-1)*5,1,1))</f>
        <v>1</v>
      </c>
      <c r="E114" s="5">
        <f ca="1">COUNTBLANK(OFFSET(Demand!$I123,0,(COLUMN(D111)-1)*5,1,1))</f>
        <v>1</v>
      </c>
      <c r="F114" s="5">
        <f ca="1">COUNTBLANK(OFFSET(Demand!$I123,0,(COLUMN(E111)-1)*5,1,1))</f>
        <v>1</v>
      </c>
      <c r="G114" s="5">
        <f ca="1">COUNTBLANK(OFFSET(Demand!$I123,0,(COLUMN(F111)-1)*5,1,1))</f>
        <v>1</v>
      </c>
      <c r="H114" s="5">
        <f ca="1">COUNTBLANK(OFFSET(Demand!$I123,0,(COLUMN(G111)-1)*5,1,1))</f>
        <v>1</v>
      </c>
      <c r="I114" s="5">
        <f ca="1">COUNTBLANK(OFFSET(Demand!$I123,0,(COLUMN(H111)-1)*5,1,1))</f>
        <v>1</v>
      </c>
      <c r="J114" s="5">
        <f ca="1">COUNTBLANK(OFFSET(Demand!$I123,0,(COLUMN(I111)-1)*5,1,1))</f>
        <v>1</v>
      </c>
      <c r="K114" s="5">
        <f ca="1">COUNTBLANK(OFFSET(Demand!$I123,0,(COLUMN(J111)-1)*5,1,1))</f>
        <v>1</v>
      </c>
      <c r="N114" s="5">
        <f ca="1">SUM(OFFSET(Demand!$E123,0,(COLUMN(A111)-1)*5,1,3))*N$2</f>
        <v>0</v>
      </c>
      <c r="O114" s="5">
        <f ca="1">SUM(OFFSET(Demand!$E123,0,(COLUMN(B111)-1)*5,1,3))*O$2</f>
        <v>0</v>
      </c>
      <c r="P114" s="5">
        <f ca="1">SUM(OFFSET(Demand!$E123,0,(COLUMN(C111)-1)*5,1,3))*P$2</f>
        <v>0</v>
      </c>
      <c r="Q114" s="5">
        <f ca="1">SUM(OFFSET(Demand!$E123,0,(COLUMN(D111)-1)*5,1,3))*Q$2</f>
        <v>0</v>
      </c>
      <c r="R114" s="5">
        <f ca="1">SUM(OFFSET(Demand!$E123,0,(COLUMN(E111)-1)*5,1,3))*R$2</f>
        <v>0</v>
      </c>
      <c r="S114" s="5">
        <f ca="1">SUM(OFFSET(Demand!$E123,0,(COLUMN(F111)-1)*5,1,3))*S$2</f>
        <v>0</v>
      </c>
      <c r="T114" s="5">
        <f ca="1">SUM(OFFSET(Demand!$E123,0,(COLUMN(G111)-1)*5,1,3))*T$2</f>
        <v>0</v>
      </c>
      <c r="U114" s="5">
        <f ca="1">SUM(OFFSET(Demand!$E123,0,(COLUMN(H111)-1)*5,1,3))*U$2</f>
        <v>0</v>
      </c>
      <c r="V114" s="5">
        <f ca="1">SUM(OFFSET(Demand!$E123,0,(COLUMN(I111)-1)*5,1,3))*V$2</f>
        <v>0</v>
      </c>
      <c r="W114" s="5">
        <f ca="1">SUM(OFFSET(Demand!$E123,0,(COLUMN(J111)-1)*5,1,3))*W$2</f>
        <v>0</v>
      </c>
      <c r="X114" s="5">
        <f t="shared" ca="1" si="37"/>
        <v>0</v>
      </c>
      <c r="Y114">
        <f t="shared" ca="1" si="38"/>
        <v>0</v>
      </c>
      <c r="Z114" s="5">
        <f ca="1">SUM(OFFSET(Demand!$H123,0,(COLUMN(A111)-1)*5,1,1))*N$2</f>
        <v>0</v>
      </c>
      <c r="AA114" s="5">
        <f ca="1">SUM(OFFSET(Demand!$H123,0,(COLUMN(B111)-1)*5,1,1))*O$2</f>
        <v>0</v>
      </c>
      <c r="AB114" s="5">
        <f ca="1">SUM(OFFSET(Demand!$H123,0,(COLUMN(C111)-1)*5,1,1))*P$2</f>
        <v>0</v>
      </c>
      <c r="AC114" s="5">
        <f ca="1">SUM(OFFSET(Demand!$H123,0,(COLUMN(D111)-1)*5,1,1))*Q$2</f>
        <v>0</v>
      </c>
      <c r="AD114" s="5">
        <f ca="1">SUM(OFFSET(Demand!$H123,0,(COLUMN(E111)-1)*5,1,1))*R$2</f>
        <v>0</v>
      </c>
      <c r="AE114" s="5">
        <f ca="1">SUM(OFFSET(Demand!$H123,0,(COLUMN(F111)-1)*5,1,1))*S$2</f>
        <v>0</v>
      </c>
      <c r="AF114" s="5">
        <f ca="1">SUM(OFFSET(Demand!$H123,0,(COLUMN(G111)-1)*5,1,1))*T$2</f>
        <v>0</v>
      </c>
      <c r="AG114" s="5">
        <f ca="1">SUM(OFFSET(Demand!$H123,0,(COLUMN(H111)-1)*5,1,1))*U$2</f>
        <v>0</v>
      </c>
      <c r="AH114" s="5">
        <f ca="1">SUM(OFFSET(Demand!$H123,0,(COLUMN(I111)-1)*5,1,1))*V$2</f>
        <v>0</v>
      </c>
      <c r="AI114" s="5">
        <f ca="1">SUM(OFFSET(Demand!$H123,0,(COLUMN(J111)-1)*5,1,1))*W$2</f>
        <v>0</v>
      </c>
      <c r="AJ114" s="5">
        <f t="shared" ca="1" si="39"/>
        <v>0</v>
      </c>
      <c r="AL114" s="5">
        <f t="shared" ca="1" si="40"/>
        <v>0</v>
      </c>
      <c r="AM114" s="5">
        <f t="shared" ca="1" si="41"/>
        <v>0</v>
      </c>
      <c r="AN114" s="5" t="str">
        <f>IF(Demand!BE123="Yes","Yes","")</f>
        <v/>
      </c>
      <c r="AP114" s="36" t="str">
        <f ca="1">Demand!B123</f>
        <v xml:space="preserve"> </v>
      </c>
      <c r="AQ114" t="str">
        <f ca="1">IF(TEXT(Demand!D123,"MMM")&lt;&gt;TEXT(Demand!D122,"MMM"),TEXT(Demand!D123,"MMM"),"")</f>
        <v/>
      </c>
      <c r="AT114" s="5">
        <f t="shared" ca="1" si="42"/>
        <v>0</v>
      </c>
      <c r="BQ114">
        <f ca="1">IF($AN114="",OFFSET(Demand!$A$13,ROW(A111)-1,4+((QUOTIENT(COLUMN(BQ$2)-69,3))*5)+MOD(COLUMN(BQ$2),3),1,1),"")</f>
        <v>0</v>
      </c>
      <c r="BR114">
        <f ca="1">IF($AN114="",OFFSET(Demand!$A$13,ROW(B111)-1,4+((QUOTIENT(COLUMN(BR$2)-69,3))*5)+MOD(COLUMN(BR$2),3),1,1),"")</f>
        <v>0</v>
      </c>
      <c r="BS114">
        <f ca="1">IF($AN114="",OFFSET(Demand!$A$13,ROW(C111)-1,4+((QUOTIENT(COLUMN(BS$2)-69,3))*5)+MOD(COLUMN(BS$2),3),1,1),"")</f>
        <v>0</v>
      </c>
      <c r="BT114">
        <f ca="1">IF($AN114="",OFFSET(Demand!$A$13,ROW(D111)-1,4+((QUOTIENT(COLUMN(BT$2)-69,3))*5)+MOD(COLUMN(BT$2),3),1,1),"")</f>
        <v>0</v>
      </c>
      <c r="BU114">
        <f ca="1">IF($AN114="",OFFSET(Demand!$A$13,ROW(E111)-1,4+((QUOTIENT(COLUMN(BU$2)-69,3))*5)+MOD(COLUMN(BU$2),3),1,1),"")</f>
        <v>0</v>
      </c>
      <c r="BV114">
        <f ca="1">IF($AN114="",OFFSET(Demand!$A$13,ROW(F111)-1,4+((QUOTIENT(COLUMN(BV$2)-69,3))*5)+MOD(COLUMN(BV$2),3),1,1),"")</f>
        <v>0</v>
      </c>
      <c r="BW114">
        <f ca="1">IF($AN114="",OFFSET(Demand!$A$13,ROW(G111)-1,4+((QUOTIENT(COLUMN(BW$2)-69,3))*5)+MOD(COLUMN(BW$2),3),1,1),"")</f>
        <v>0</v>
      </c>
      <c r="BX114">
        <f ca="1">IF($AN114="",OFFSET(Demand!$A$13,ROW(H111)-1,4+((QUOTIENT(COLUMN(BX$2)-69,3))*5)+MOD(COLUMN(BX$2),3),1,1),"")</f>
        <v>0</v>
      </c>
      <c r="BY114">
        <f ca="1">IF($AN114="",OFFSET(Demand!$A$13,ROW(I111)-1,4+((QUOTIENT(COLUMN(BY$2)-69,3))*5)+MOD(COLUMN(BY$2),3),1,1),"")</f>
        <v>0</v>
      </c>
      <c r="BZ114">
        <f ca="1">IF($AN114="",OFFSET(Demand!$A$13,ROW(J111)-1,4+((QUOTIENT(COLUMN(BZ$2)-69,3))*5)+MOD(COLUMN(BZ$2),3),1,1),"")</f>
        <v>0</v>
      </c>
      <c r="CA114">
        <f ca="1">IF($AN114="",OFFSET(Demand!$A$13,ROW(K111)-1,4+((QUOTIENT(COLUMN(CA$2)-69,3))*5)+MOD(COLUMN(CA$2),3),1,1),"")</f>
        <v>0</v>
      </c>
      <c r="CB114">
        <f ca="1">IF($AN114="",OFFSET(Demand!$A$13,ROW(L111)-1,4+((QUOTIENT(COLUMN(CB$2)-69,3))*5)+MOD(COLUMN(CB$2),3),1,1),"")</f>
        <v>0</v>
      </c>
      <c r="CC114">
        <f ca="1">IF($AN114="",OFFSET(Demand!$A$13,ROW(M111)-1,4+((QUOTIENT(COLUMN(CC$2)-69,3))*5)+MOD(COLUMN(CC$2),3),1,1),"")</f>
        <v>0</v>
      </c>
      <c r="CD114">
        <f ca="1">IF($AN114="",OFFSET(Demand!$A$13,ROW(N111)-1,4+((QUOTIENT(COLUMN(CD$2)-69,3))*5)+MOD(COLUMN(CD$2),3),1,1),"")</f>
        <v>0</v>
      </c>
      <c r="CE114">
        <f ca="1">IF($AN114="",OFFSET(Demand!$A$13,ROW(O111)-1,4+((QUOTIENT(COLUMN(CE$2)-69,3))*5)+MOD(COLUMN(CE$2),3),1,1),"")</f>
        <v>0</v>
      </c>
      <c r="CF114">
        <f ca="1">IF($AN114="",OFFSET(Demand!$A$13,ROW(P111)-1,4+((QUOTIENT(COLUMN(CF$2)-69,3))*5)+MOD(COLUMN(CF$2),3),1,1),"")</f>
        <v>0</v>
      </c>
      <c r="CG114">
        <f ca="1">IF($AN114="",OFFSET(Demand!$A$13,ROW(Q111)-1,4+((QUOTIENT(COLUMN(CG$2)-69,3))*5)+MOD(COLUMN(CG$2),3),1,1),"")</f>
        <v>0</v>
      </c>
      <c r="CH114">
        <f ca="1">IF($AN114="",OFFSET(Demand!$A$13,ROW(R111)-1,4+((QUOTIENT(COLUMN(CH$2)-69,3))*5)+MOD(COLUMN(CH$2),3),1,1),"")</f>
        <v>0</v>
      </c>
      <c r="CI114">
        <f ca="1">IF($AN114="",OFFSET(Demand!$A$13,ROW(S111)-1,4+((QUOTIENT(COLUMN(CI$2)-69,3))*5)+MOD(COLUMN(CI$2),3),1,1),"")</f>
        <v>0</v>
      </c>
      <c r="CJ114">
        <f ca="1">IF($AN114="",OFFSET(Demand!$A$13,ROW(T111)-1,4+((QUOTIENT(COLUMN(CJ$2)-69,3))*5)+MOD(COLUMN(CJ$2),3),1,1),"")</f>
        <v>0</v>
      </c>
      <c r="CK114">
        <f ca="1">IF($AN114="",OFFSET(Demand!$A$13,ROW(U111)-1,4+((QUOTIENT(COLUMN(CK$2)-69,3))*5)+MOD(COLUMN(CK$2),3),1,1),"")</f>
        <v>0</v>
      </c>
      <c r="CL114">
        <f ca="1">IF($AN114="",OFFSET(Demand!$A$13,ROW(V111)-1,4+((QUOTIENT(COLUMN(CL$2)-69,3))*5)+MOD(COLUMN(CL$2),3),1,1),"")</f>
        <v>0</v>
      </c>
      <c r="CM114">
        <f ca="1">IF($AN114="",OFFSET(Demand!$A$13,ROW(W111)-1,4+((QUOTIENT(COLUMN(CM$2)-69,3))*5)+MOD(COLUMN(CM$2),3),1,1),"")</f>
        <v>0</v>
      </c>
      <c r="CN114">
        <f ca="1">IF($AN114="",OFFSET(Demand!$A$13,ROW(X111)-1,4+((QUOTIENT(COLUMN(CN$2)-69,3))*5)+MOD(COLUMN(CN$2),3),1,1),"")</f>
        <v>0</v>
      </c>
      <c r="CO114">
        <f ca="1">IF($AN114="",OFFSET(Demand!$A$13,ROW(Y111)-1,4+((QUOTIENT(COLUMN(CO$2)-69,3))*5)+MOD(COLUMN(CO$2),3),1,1),"")</f>
        <v>0</v>
      </c>
      <c r="CP114">
        <f ca="1">IF($AN114="",OFFSET(Demand!$A$13,ROW(Z111)-1,4+((QUOTIENT(COLUMN(CP$2)-69,3))*5)+MOD(COLUMN(CP$2),3),1,1),"")</f>
        <v>0</v>
      </c>
      <c r="CQ114">
        <f ca="1">IF($AN114="",OFFSET(Demand!$A$13,ROW(AA111)-1,4+((QUOTIENT(COLUMN(CQ$2)-69,3))*5)+MOD(COLUMN(CQ$2),3),1,1),"")</f>
        <v>0</v>
      </c>
      <c r="CR114">
        <f ca="1">IF($AN114="",OFFSET(Demand!$A$13,ROW(AB111)-1,4+((QUOTIENT(COLUMN(CR$2)-69,3))*5)+MOD(COLUMN(CR$2),3),1,1),"")</f>
        <v>0</v>
      </c>
      <c r="CS114">
        <f ca="1">IF($AN114="",OFFSET(Demand!$A$13,ROW(AC111)-1,4+((QUOTIENT(COLUMN(CS$2)-69,3))*5)+MOD(COLUMN(CS$2),3),1,1),"")</f>
        <v>0</v>
      </c>
      <c r="CT114">
        <f ca="1">IF($AN114="",OFFSET(Demand!$A$13,ROW(AD111)-1,4+((QUOTIENT(COLUMN(CT$2)-69,3))*5)+MOD(COLUMN(CT$2),3),1,1),"")</f>
        <v>0</v>
      </c>
      <c r="CW114" s="5">
        <f ca="1">SUM(OFFSET(Demand!$H$43,ROW(A111)-1,(COLUMN(A111)-1)*5,1,1))*N$2</f>
        <v>0</v>
      </c>
      <c r="CX114" s="5">
        <f ca="1">SUM(OFFSET(Demand!$H$43,ROW(B111)-1,(COLUMN(B111)-1)*5,1,1))*O$2</f>
        <v>0</v>
      </c>
      <c r="CY114" s="5">
        <f ca="1">SUM(OFFSET(Demand!$H$43,ROW(C111)-1,(COLUMN(C111)-1)*5,1,1))*P$2</f>
        <v>0</v>
      </c>
      <c r="CZ114" s="5">
        <f ca="1">SUM(OFFSET(Demand!$H$43,ROW(D111)-1,(COLUMN(D111)-1)*5,1,1))*Q$2</f>
        <v>0</v>
      </c>
      <c r="DA114" s="5">
        <f ca="1">SUM(OFFSET(Demand!$H$43,ROW(E111)-1,(COLUMN(E111)-1)*5,1,1))*R$2</f>
        <v>0</v>
      </c>
      <c r="DB114" s="5">
        <f ca="1">SUM(OFFSET(Demand!$H$43,ROW(F111)-1,(COLUMN(F111)-1)*5,1,1))*S$2</f>
        <v>0</v>
      </c>
      <c r="DC114" s="5">
        <f ca="1">SUM(OFFSET(Demand!$H$43,ROW(G111)-1,(COLUMN(G111)-1)*5,1,1))*T$2</f>
        <v>0</v>
      </c>
      <c r="DD114" s="5">
        <f ca="1">SUM(OFFSET(Demand!$H$43,ROW(H111)-1,(COLUMN(H111)-1)*5,1,1))*U$2</f>
        <v>0</v>
      </c>
      <c r="DE114" s="5">
        <f ca="1">SUM(OFFSET(Demand!$H$43,ROW(I111)-1,(COLUMN(I111)-1)*5,1,1))*V$2</f>
        <v>0</v>
      </c>
      <c r="DF114" s="5">
        <f ca="1">SUM(OFFSET(Demand!$H$43,ROW(J111)-1,(COLUMN(J111)-1)*5,1,1))*W$2</f>
        <v>0</v>
      </c>
      <c r="DG114" s="5">
        <f ca="1">IF(OR(AN114&lt;&gt;"",AND('Demand adjustments for Covid'!$F$9="Yes",'Demand adjustments for Covid'!$F$20="Yes")),"",SUM(CW114:DF114))</f>
        <v>0</v>
      </c>
    </row>
    <row r="115" spans="1:111" x14ac:dyDescent="0.25">
      <c r="A115" s="5">
        <f t="shared" ca="1" si="34"/>
        <v>1</v>
      </c>
      <c r="B115" s="5">
        <f ca="1">COUNTBLANK(OFFSET(Demand!$I124,0,(COLUMN(A112)-1)*5,1,1))</f>
        <v>1</v>
      </c>
      <c r="C115" s="5">
        <f ca="1">COUNTBLANK(OFFSET(Demand!$I124,0,(COLUMN(B112)-1)*5,1,1))</f>
        <v>1</v>
      </c>
      <c r="D115" s="5">
        <f ca="1">COUNTBLANK(OFFSET(Demand!$I124,0,(COLUMN(C112)-1)*5,1,1))</f>
        <v>1</v>
      </c>
      <c r="E115" s="5">
        <f ca="1">COUNTBLANK(OFFSET(Demand!$I124,0,(COLUMN(D112)-1)*5,1,1))</f>
        <v>1</v>
      </c>
      <c r="F115" s="5">
        <f ca="1">COUNTBLANK(OFFSET(Demand!$I124,0,(COLUMN(E112)-1)*5,1,1))</f>
        <v>1</v>
      </c>
      <c r="G115" s="5">
        <f ca="1">COUNTBLANK(OFFSET(Demand!$I124,0,(COLUMN(F112)-1)*5,1,1))</f>
        <v>1</v>
      </c>
      <c r="H115" s="5">
        <f ca="1">COUNTBLANK(OFFSET(Demand!$I124,0,(COLUMN(G112)-1)*5,1,1))</f>
        <v>1</v>
      </c>
      <c r="I115" s="5">
        <f ca="1">COUNTBLANK(OFFSET(Demand!$I124,0,(COLUMN(H112)-1)*5,1,1))</f>
        <v>1</v>
      </c>
      <c r="J115" s="5">
        <f ca="1">COUNTBLANK(OFFSET(Demand!$I124,0,(COLUMN(I112)-1)*5,1,1))</f>
        <v>1</v>
      </c>
      <c r="K115" s="5">
        <f ca="1">COUNTBLANK(OFFSET(Demand!$I124,0,(COLUMN(J112)-1)*5,1,1))</f>
        <v>1</v>
      </c>
      <c r="N115" s="5">
        <f ca="1">SUM(OFFSET(Demand!$E124,0,(COLUMN(A112)-1)*5,1,3))*N$2</f>
        <v>0</v>
      </c>
      <c r="O115" s="5">
        <f ca="1">SUM(OFFSET(Demand!$E124,0,(COLUMN(B112)-1)*5,1,3))*O$2</f>
        <v>0</v>
      </c>
      <c r="P115" s="5">
        <f ca="1">SUM(OFFSET(Demand!$E124,0,(COLUMN(C112)-1)*5,1,3))*P$2</f>
        <v>0</v>
      </c>
      <c r="Q115" s="5">
        <f ca="1">SUM(OFFSET(Demand!$E124,0,(COLUMN(D112)-1)*5,1,3))*Q$2</f>
        <v>0</v>
      </c>
      <c r="R115" s="5">
        <f ca="1">SUM(OFFSET(Demand!$E124,0,(COLUMN(E112)-1)*5,1,3))*R$2</f>
        <v>0</v>
      </c>
      <c r="S115" s="5">
        <f ca="1">SUM(OFFSET(Demand!$E124,0,(COLUMN(F112)-1)*5,1,3))*S$2</f>
        <v>0</v>
      </c>
      <c r="T115" s="5">
        <f ca="1">SUM(OFFSET(Demand!$E124,0,(COLUMN(G112)-1)*5,1,3))*T$2</f>
        <v>0</v>
      </c>
      <c r="U115" s="5">
        <f ca="1">SUM(OFFSET(Demand!$E124,0,(COLUMN(H112)-1)*5,1,3))*U$2</f>
        <v>0</v>
      </c>
      <c r="V115" s="5">
        <f ca="1">SUM(OFFSET(Demand!$E124,0,(COLUMN(I112)-1)*5,1,3))*V$2</f>
        <v>0</v>
      </c>
      <c r="W115" s="5">
        <f ca="1">SUM(OFFSET(Demand!$E124,0,(COLUMN(J112)-1)*5,1,3))*W$2</f>
        <v>0</v>
      </c>
      <c r="X115" s="5">
        <f t="shared" ca="1" si="37"/>
        <v>0</v>
      </c>
      <c r="Y115">
        <f t="shared" ca="1" si="38"/>
        <v>0</v>
      </c>
      <c r="Z115" s="5">
        <f ca="1">SUM(OFFSET(Demand!$H124,0,(COLUMN(A112)-1)*5,1,1))*N$2</f>
        <v>0</v>
      </c>
      <c r="AA115" s="5">
        <f ca="1">SUM(OFFSET(Demand!$H124,0,(COLUMN(B112)-1)*5,1,1))*O$2</f>
        <v>0</v>
      </c>
      <c r="AB115" s="5">
        <f ca="1">SUM(OFFSET(Demand!$H124,0,(COLUMN(C112)-1)*5,1,1))*P$2</f>
        <v>0</v>
      </c>
      <c r="AC115" s="5">
        <f ca="1">SUM(OFFSET(Demand!$H124,0,(COLUMN(D112)-1)*5,1,1))*Q$2</f>
        <v>0</v>
      </c>
      <c r="AD115" s="5">
        <f ca="1">SUM(OFFSET(Demand!$H124,0,(COLUMN(E112)-1)*5,1,1))*R$2</f>
        <v>0</v>
      </c>
      <c r="AE115" s="5">
        <f ca="1">SUM(OFFSET(Demand!$H124,0,(COLUMN(F112)-1)*5,1,1))*S$2</f>
        <v>0</v>
      </c>
      <c r="AF115" s="5">
        <f ca="1">SUM(OFFSET(Demand!$H124,0,(COLUMN(G112)-1)*5,1,1))*T$2</f>
        <v>0</v>
      </c>
      <c r="AG115" s="5">
        <f ca="1">SUM(OFFSET(Demand!$H124,0,(COLUMN(H112)-1)*5,1,1))*U$2</f>
        <v>0</v>
      </c>
      <c r="AH115" s="5">
        <f ca="1">SUM(OFFSET(Demand!$H124,0,(COLUMN(I112)-1)*5,1,1))*V$2</f>
        <v>0</v>
      </c>
      <c r="AI115" s="5">
        <f ca="1">SUM(OFFSET(Demand!$H124,0,(COLUMN(J112)-1)*5,1,1))*W$2</f>
        <v>0</v>
      </c>
      <c r="AJ115" s="5">
        <f t="shared" ca="1" si="39"/>
        <v>0</v>
      </c>
      <c r="AL115" s="5">
        <f t="shared" ca="1" si="40"/>
        <v>0</v>
      </c>
      <c r="AM115" s="5">
        <f t="shared" ca="1" si="41"/>
        <v>0</v>
      </c>
      <c r="AN115" s="5" t="str">
        <f>IF(Demand!BE124="Yes","Yes","")</f>
        <v/>
      </c>
      <c r="AP115" s="36" t="str">
        <f ca="1">Demand!B124</f>
        <v xml:space="preserve"> </v>
      </c>
      <c r="AQ115" t="str">
        <f ca="1">IF(TEXT(Demand!D124,"MMM")&lt;&gt;TEXT(Demand!D123,"MMM"),TEXT(Demand!D124,"MMM"),"")</f>
        <v/>
      </c>
      <c r="AT115" s="5">
        <f t="shared" ca="1" si="42"/>
        <v>0</v>
      </c>
      <c r="BQ115">
        <f ca="1">IF($AN115="",OFFSET(Demand!$A$13,ROW(A112)-1,4+((QUOTIENT(COLUMN(BQ$2)-69,3))*5)+MOD(COLUMN(BQ$2),3),1,1),"")</f>
        <v>0</v>
      </c>
      <c r="BR115">
        <f ca="1">IF($AN115="",OFFSET(Demand!$A$13,ROW(B112)-1,4+((QUOTIENT(COLUMN(BR$2)-69,3))*5)+MOD(COLUMN(BR$2),3),1,1),"")</f>
        <v>0</v>
      </c>
      <c r="BS115">
        <f ca="1">IF($AN115="",OFFSET(Demand!$A$13,ROW(C112)-1,4+((QUOTIENT(COLUMN(BS$2)-69,3))*5)+MOD(COLUMN(BS$2),3),1,1),"")</f>
        <v>0</v>
      </c>
      <c r="BT115">
        <f ca="1">IF($AN115="",OFFSET(Demand!$A$13,ROW(D112)-1,4+((QUOTIENT(COLUMN(BT$2)-69,3))*5)+MOD(COLUMN(BT$2),3),1,1),"")</f>
        <v>0</v>
      </c>
      <c r="BU115">
        <f ca="1">IF($AN115="",OFFSET(Demand!$A$13,ROW(E112)-1,4+((QUOTIENT(COLUMN(BU$2)-69,3))*5)+MOD(COLUMN(BU$2),3),1,1),"")</f>
        <v>0</v>
      </c>
      <c r="BV115">
        <f ca="1">IF($AN115="",OFFSET(Demand!$A$13,ROW(F112)-1,4+((QUOTIENT(COLUMN(BV$2)-69,3))*5)+MOD(COLUMN(BV$2),3),1,1),"")</f>
        <v>0</v>
      </c>
      <c r="BW115">
        <f ca="1">IF($AN115="",OFFSET(Demand!$A$13,ROW(G112)-1,4+((QUOTIENT(COLUMN(BW$2)-69,3))*5)+MOD(COLUMN(BW$2),3),1,1),"")</f>
        <v>0</v>
      </c>
      <c r="BX115">
        <f ca="1">IF($AN115="",OFFSET(Demand!$A$13,ROW(H112)-1,4+((QUOTIENT(COLUMN(BX$2)-69,3))*5)+MOD(COLUMN(BX$2),3),1,1),"")</f>
        <v>0</v>
      </c>
      <c r="BY115">
        <f ca="1">IF($AN115="",OFFSET(Demand!$A$13,ROW(I112)-1,4+((QUOTIENT(COLUMN(BY$2)-69,3))*5)+MOD(COLUMN(BY$2),3),1,1),"")</f>
        <v>0</v>
      </c>
      <c r="BZ115">
        <f ca="1">IF($AN115="",OFFSET(Demand!$A$13,ROW(J112)-1,4+((QUOTIENT(COLUMN(BZ$2)-69,3))*5)+MOD(COLUMN(BZ$2),3),1,1),"")</f>
        <v>0</v>
      </c>
      <c r="CA115">
        <f ca="1">IF($AN115="",OFFSET(Demand!$A$13,ROW(K112)-1,4+((QUOTIENT(COLUMN(CA$2)-69,3))*5)+MOD(COLUMN(CA$2),3),1,1),"")</f>
        <v>0</v>
      </c>
      <c r="CB115">
        <f ca="1">IF($AN115="",OFFSET(Demand!$A$13,ROW(L112)-1,4+((QUOTIENT(COLUMN(CB$2)-69,3))*5)+MOD(COLUMN(CB$2),3),1,1),"")</f>
        <v>0</v>
      </c>
      <c r="CC115">
        <f ca="1">IF($AN115="",OFFSET(Demand!$A$13,ROW(M112)-1,4+((QUOTIENT(COLUMN(CC$2)-69,3))*5)+MOD(COLUMN(CC$2),3),1,1),"")</f>
        <v>0</v>
      </c>
      <c r="CD115">
        <f ca="1">IF($AN115="",OFFSET(Demand!$A$13,ROW(N112)-1,4+((QUOTIENT(COLUMN(CD$2)-69,3))*5)+MOD(COLUMN(CD$2),3),1,1),"")</f>
        <v>0</v>
      </c>
      <c r="CE115">
        <f ca="1">IF($AN115="",OFFSET(Demand!$A$13,ROW(O112)-1,4+((QUOTIENT(COLUMN(CE$2)-69,3))*5)+MOD(COLUMN(CE$2),3),1,1),"")</f>
        <v>0</v>
      </c>
      <c r="CF115">
        <f ca="1">IF($AN115="",OFFSET(Demand!$A$13,ROW(P112)-1,4+((QUOTIENT(COLUMN(CF$2)-69,3))*5)+MOD(COLUMN(CF$2),3),1,1),"")</f>
        <v>0</v>
      </c>
      <c r="CG115">
        <f ca="1">IF($AN115="",OFFSET(Demand!$A$13,ROW(Q112)-1,4+((QUOTIENT(COLUMN(CG$2)-69,3))*5)+MOD(COLUMN(CG$2),3),1,1),"")</f>
        <v>0</v>
      </c>
      <c r="CH115">
        <f ca="1">IF($AN115="",OFFSET(Demand!$A$13,ROW(R112)-1,4+((QUOTIENT(COLUMN(CH$2)-69,3))*5)+MOD(COLUMN(CH$2),3),1,1),"")</f>
        <v>0</v>
      </c>
      <c r="CI115">
        <f ca="1">IF($AN115="",OFFSET(Demand!$A$13,ROW(S112)-1,4+((QUOTIENT(COLUMN(CI$2)-69,3))*5)+MOD(COLUMN(CI$2),3),1,1),"")</f>
        <v>0</v>
      </c>
      <c r="CJ115">
        <f ca="1">IF($AN115="",OFFSET(Demand!$A$13,ROW(T112)-1,4+((QUOTIENT(COLUMN(CJ$2)-69,3))*5)+MOD(COLUMN(CJ$2),3),1,1),"")</f>
        <v>0</v>
      </c>
      <c r="CK115">
        <f ca="1">IF($AN115="",OFFSET(Demand!$A$13,ROW(U112)-1,4+((QUOTIENT(COLUMN(CK$2)-69,3))*5)+MOD(COLUMN(CK$2),3),1,1),"")</f>
        <v>0</v>
      </c>
      <c r="CL115">
        <f ca="1">IF($AN115="",OFFSET(Demand!$A$13,ROW(V112)-1,4+((QUOTIENT(COLUMN(CL$2)-69,3))*5)+MOD(COLUMN(CL$2),3),1,1),"")</f>
        <v>0</v>
      </c>
      <c r="CM115">
        <f ca="1">IF($AN115="",OFFSET(Demand!$A$13,ROW(W112)-1,4+((QUOTIENT(COLUMN(CM$2)-69,3))*5)+MOD(COLUMN(CM$2),3),1,1),"")</f>
        <v>0</v>
      </c>
      <c r="CN115">
        <f ca="1">IF($AN115="",OFFSET(Demand!$A$13,ROW(X112)-1,4+((QUOTIENT(COLUMN(CN$2)-69,3))*5)+MOD(COLUMN(CN$2),3),1,1),"")</f>
        <v>0</v>
      </c>
      <c r="CO115">
        <f ca="1">IF($AN115="",OFFSET(Demand!$A$13,ROW(Y112)-1,4+((QUOTIENT(COLUMN(CO$2)-69,3))*5)+MOD(COLUMN(CO$2),3),1,1),"")</f>
        <v>0</v>
      </c>
      <c r="CP115">
        <f ca="1">IF($AN115="",OFFSET(Demand!$A$13,ROW(Z112)-1,4+((QUOTIENT(COLUMN(CP$2)-69,3))*5)+MOD(COLUMN(CP$2),3),1,1),"")</f>
        <v>0</v>
      </c>
      <c r="CQ115">
        <f ca="1">IF($AN115="",OFFSET(Demand!$A$13,ROW(AA112)-1,4+((QUOTIENT(COLUMN(CQ$2)-69,3))*5)+MOD(COLUMN(CQ$2),3),1,1),"")</f>
        <v>0</v>
      </c>
      <c r="CR115">
        <f ca="1">IF($AN115="",OFFSET(Demand!$A$13,ROW(AB112)-1,4+((QUOTIENT(COLUMN(CR$2)-69,3))*5)+MOD(COLUMN(CR$2),3),1,1),"")</f>
        <v>0</v>
      </c>
      <c r="CS115">
        <f ca="1">IF($AN115="",OFFSET(Demand!$A$13,ROW(AC112)-1,4+((QUOTIENT(COLUMN(CS$2)-69,3))*5)+MOD(COLUMN(CS$2),3),1,1),"")</f>
        <v>0</v>
      </c>
      <c r="CT115">
        <f ca="1">IF($AN115="",OFFSET(Demand!$A$13,ROW(AD112)-1,4+((QUOTIENT(COLUMN(CT$2)-69,3))*5)+MOD(COLUMN(CT$2),3),1,1),"")</f>
        <v>0</v>
      </c>
      <c r="CW115" s="5">
        <f ca="1">SUM(OFFSET(Demand!$H$43,ROW(A112)-1,(COLUMN(A112)-1)*5,1,1))*N$2</f>
        <v>0</v>
      </c>
      <c r="CX115" s="5">
        <f ca="1">SUM(OFFSET(Demand!$H$43,ROW(B112)-1,(COLUMN(B112)-1)*5,1,1))*O$2</f>
        <v>0</v>
      </c>
      <c r="CY115" s="5">
        <f ca="1">SUM(OFFSET(Demand!$H$43,ROW(C112)-1,(COLUMN(C112)-1)*5,1,1))*P$2</f>
        <v>0</v>
      </c>
      <c r="CZ115" s="5">
        <f ca="1">SUM(OFFSET(Demand!$H$43,ROW(D112)-1,(COLUMN(D112)-1)*5,1,1))*Q$2</f>
        <v>0</v>
      </c>
      <c r="DA115" s="5">
        <f ca="1">SUM(OFFSET(Demand!$H$43,ROW(E112)-1,(COLUMN(E112)-1)*5,1,1))*R$2</f>
        <v>0</v>
      </c>
      <c r="DB115" s="5">
        <f ca="1">SUM(OFFSET(Demand!$H$43,ROW(F112)-1,(COLUMN(F112)-1)*5,1,1))*S$2</f>
        <v>0</v>
      </c>
      <c r="DC115" s="5">
        <f ca="1">SUM(OFFSET(Demand!$H$43,ROW(G112)-1,(COLUMN(G112)-1)*5,1,1))*T$2</f>
        <v>0</v>
      </c>
      <c r="DD115" s="5">
        <f ca="1">SUM(OFFSET(Demand!$H$43,ROW(H112)-1,(COLUMN(H112)-1)*5,1,1))*U$2</f>
        <v>0</v>
      </c>
      <c r="DE115" s="5">
        <f ca="1">SUM(OFFSET(Demand!$H$43,ROW(I112)-1,(COLUMN(I112)-1)*5,1,1))*V$2</f>
        <v>0</v>
      </c>
      <c r="DF115" s="5">
        <f ca="1">SUM(OFFSET(Demand!$H$43,ROW(J112)-1,(COLUMN(J112)-1)*5,1,1))*W$2</f>
        <v>0</v>
      </c>
      <c r="DG115" s="5">
        <f ca="1">IF(OR(AN115&lt;&gt;"",AND('Demand adjustments for Covid'!$F$9="Yes",'Demand adjustments for Covid'!$F$20="Yes")),"",SUM(CW115:DF115))</f>
        <v>0</v>
      </c>
    </row>
    <row r="116" spans="1:111" x14ac:dyDescent="0.25">
      <c r="A116" s="5">
        <f t="shared" ca="1" si="34"/>
        <v>1</v>
      </c>
      <c r="B116" s="5">
        <f ca="1">COUNTBLANK(OFFSET(Demand!$I125,0,(COLUMN(A113)-1)*5,1,1))</f>
        <v>1</v>
      </c>
      <c r="C116" s="5">
        <f ca="1">COUNTBLANK(OFFSET(Demand!$I125,0,(COLUMN(B113)-1)*5,1,1))</f>
        <v>1</v>
      </c>
      <c r="D116" s="5">
        <f ca="1">COUNTBLANK(OFFSET(Demand!$I125,0,(COLUMN(C113)-1)*5,1,1))</f>
        <v>1</v>
      </c>
      <c r="E116" s="5">
        <f ca="1">COUNTBLANK(OFFSET(Demand!$I125,0,(COLUMN(D113)-1)*5,1,1))</f>
        <v>1</v>
      </c>
      <c r="F116" s="5">
        <f ca="1">COUNTBLANK(OFFSET(Demand!$I125,0,(COLUMN(E113)-1)*5,1,1))</f>
        <v>1</v>
      </c>
      <c r="G116" s="5">
        <f ca="1">COUNTBLANK(OFFSET(Demand!$I125,0,(COLUMN(F113)-1)*5,1,1))</f>
        <v>1</v>
      </c>
      <c r="H116" s="5">
        <f ca="1">COUNTBLANK(OFFSET(Demand!$I125,0,(COLUMN(G113)-1)*5,1,1))</f>
        <v>1</v>
      </c>
      <c r="I116" s="5">
        <f ca="1">COUNTBLANK(OFFSET(Demand!$I125,0,(COLUMN(H113)-1)*5,1,1))</f>
        <v>1</v>
      </c>
      <c r="J116" s="5">
        <f ca="1">COUNTBLANK(OFFSET(Demand!$I125,0,(COLUMN(I113)-1)*5,1,1))</f>
        <v>1</v>
      </c>
      <c r="K116" s="5">
        <f ca="1">COUNTBLANK(OFFSET(Demand!$I125,0,(COLUMN(J113)-1)*5,1,1))</f>
        <v>1</v>
      </c>
      <c r="N116" s="5">
        <f ca="1">SUM(OFFSET(Demand!$E125,0,(COLUMN(A113)-1)*5,1,3))*N$2</f>
        <v>0</v>
      </c>
      <c r="O116" s="5">
        <f ca="1">SUM(OFFSET(Demand!$E125,0,(COLUMN(B113)-1)*5,1,3))*O$2</f>
        <v>0</v>
      </c>
      <c r="P116" s="5">
        <f ca="1">SUM(OFFSET(Demand!$E125,0,(COLUMN(C113)-1)*5,1,3))*P$2</f>
        <v>0</v>
      </c>
      <c r="Q116" s="5">
        <f ca="1">SUM(OFFSET(Demand!$E125,0,(COLUMN(D113)-1)*5,1,3))*Q$2</f>
        <v>0</v>
      </c>
      <c r="R116" s="5">
        <f ca="1">SUM(OFFSET(Demand!$E125,0,(COLUMN(E113)-1)*5,1,3))*R$2</f>
        <v>0</v>
      </c>
      <c r="S116" s="5">
        <f ca="1">SUM(OFFSET(Demand!$E125,0,(COLUMN(F113)-1)*5,1,3))*S$2</f>
        <v>0</v>
      </c>
      <c r="T116" s="5">
        <f ca="1">SUM(OFFSET(Demand!$E125,0,(COLUMN(G113)-1)*5,1,3))*T$2</f>
        <v>0</v>
      </c>
      <c r="U116" s="5">
        <f ca="1">SUM(OFFSET(Demand!$E125,0,(COLUMN(H113)-1)*5,1,3))*U$2</f>
        <v>0</v>
      </c>
      <c r="V116" s="5">
        <f ca="1">SUM(OFFSET(Demand!$E125,0,(COLUMN(I113)-1)*5,1,3))*V$2</f>
        <v>0</v>
      </c>
      <c r="W116" s="5">
        <f ca="1">SUM(OFFSET(Demand!$E125,0,(COLUMN(J113)-1)*5,1,3))*W$2</f>
        <v>0</v>
      </c>
      <c r="X116" s="5">
        <f t="shared" ca="1" si="37"/>
        <v>0</v>
      </c>
      <c r="Y116">
        <f t="shared" ca="1" si="38"/>
        <v>0</v>
      </c>
      <c r="Z116" s="5">
        <f ca="1">SUM(OFFSET(Demand!$H125,0,(COLUMN(A113)-1)*5,1,1))*N$2</f>
        <v>0</v>
      </c>
      <c r="AA116" s="5">
        <f ca="1">SUM(OFFSET(Demand!$H125,0,(COLUMN(B113)-1)*5,1,1))*O$2</f>
        <v>0</v>
      </c>
      <c r="AB116" s="5">
        <f ca="1">SUM(OFFSET(Demand!$H125,0,(COLUMN(C113)-1)*5,1,1))*P$2</f>
        <v>0</v>
      </c>
      <c r="AC116" s="5">
        <f ca="1">SUM(OFFSET(Demand!$H125,0,(COLUMN(D113)-1)*5,1,1))*Q$2</f>
        <v>0</v>
      </c>
      <c r="AD116" s="5">
        <f ca="1">SUM(OFFSET(Demand!$H125,0,(COLUMN(E113)-1)*5,1,1))*R$2</f>
        <v>0</v>
      </c>
      <c r="AE116" s="5">
        <f ca="1">SUM(OFFSET(Demand!$H125,0,(COLUMN(F113)-1)*5,1,1))*S$2</f>
        <v>0</v>
      </c>
      <c r="AF116" s="5">
        <f ca="1">SUM(OFFSET(Demand!$H125,0,(COLUMN(G113)-1)*5,1,1))*T$2</f>
        <v>0</v>
      </c>
      <c r="AG116" s="5">
        <f ca="1">SUM(OFFSET(Demand!$H125,0,(COLUMN(H113)-1)*5,1,1))*U$2</f>
        <v>0</v>
      </c>
      <c r="AH116" s="5">
        <f ca="1">SUM(OFFSET(Demand!$H125,0,(COLUMN(I113)-1)*5,1,1))*V$2</f>
        <v>0</v>
      </c>
      <c r="AI116" s="5">
        <f ca="1">SUM(OFFSET(Demand!$H125,0,(COLUMN(J113)-1)*5,1,1))*W$2</f>
        <v>0</v>
      </c>
      <c r="AJ116" s="5">
        <f t="shared" ca="1" si="39"/>
        <v>0</v>
      </c>
      <c r="AL116" s="5">
        <f t="shared" ca="1" si="40"/>
        <v>0</v>
      </c>
      <c r="AM116" s="5">
        <f t="shared" ca="1" si="41"/>
        <v>0</v>
      </c>
      <c r="AN116" s="5" t="str">
        <f>IF(Demand!BE125="Yes","Yes","")</f>
        <v/>
      </c>
      <c r="AP116" s="36" t="str">
        <f ca="1">Demand!B125</f>
        <v xml:space="preserve"> </v>
      </c>
      <c r="AQ116" t="str">
        <f ca="1">IF(TEXT(Demand!D125,"MMM")&lt;&gt;TEXT(Demand!D124,"MMM"),TEXT(Demand!D125,"MMM"),"")</f>
        <v/>
      </c>
      <c r="AT116" s="5">
        <f t="shared" ca="1" si="42"/>
        <v>0</v>
      </c>
      <c r="BQ116">
        <f ca="1">IF($AN116="",OFFSET(Demand!$A$13,ROW(A113)-1,4+((QUOTIENT(COLUMN(BQ$2)-69,3))*5)+MOD(COLUMN(BQ$2),3),1,1),"")</f>
        <v>0</v>
      </c>
      <c r="BR116">
        <f ca="1">IF($AN116="",OFFSET(Demand!$A$13,ROW(B113)-1,4+((QUOTIENT(COLUMN(BR$2)-69,3))*5)+MOD(COLUMN(BR$2),3),1,1),"")</f>
        <v>0</v>
      </c>
      <c r="BS116">
        <f ca="1">IF($AN116="",OFFSET(Demand!$A$13,ROW(C113)-1,4+((QUOTIENT(COLUMN(BS$2)-69,3))*5)+MOD(COLUMN(BS$2),3),1,1),"")</f>
        <v>0</v>
      </c>
      <c r="BT116">
        <f ca="1">IF($AN116="",OFFSET(Demand!$A$13,ROW(D113)-1,4+((QUOTIENT(COLUMN(BT$2)-69,3))*5)+MOD(COLUMN(BT$2),3),1,1),"")</f>
        <v>0</v>
      </c>
      <c r="BU116">
        <f ca="1">IF($AN116="",OFFSET(Demand!$A$13,ROW(E113)-1,4+((QUOTIENT(COLUMN(BU$2)-69,3))*5)+MOD(COLUMN(BU$2),3),1,1),"")</f>
        <v>0</v>
      </c>
      <c r="BV116">
        <f ca="1">IF($AN116="",OFFSET(Demand!$A$13,ROW(F113)-1,4+((QUOTIENT(COLUMN(BV$2)-69,3))*5)+MOD(COLUMN(BV$2),3),1,1),"")</f>
        <v>0</v>
      </c>
      <c r="BW116">
        <f ca="1">IF($AN116="",OFFSET(Demand!$A$13,ROW(G113)-1,4+((QUOTIENT(COLUMN(BW$2)-69,3))*5)+MOD(COLUMN(BW$2),3),1,1),"")</f>
        <v>0</v>
      </c>
      <c r="BX116">
        <f ca="1">IF($AN116="",OFFSET(Demand!$A$13,ROW(H113)-1,4+((QUOTIENT(COLUMN(BX$2)-69,3))*5)+MOD(COLUMN(BX$2),3),1,1),"")</f>
        <v>0</v>
      </c>
      <c r="BY116">
        <f ca="1">IF($AN116="",OFFSET(Demand!$A$13,ROW(I113)-1,4+((QUOTIENT(COLUMN(BY$2)-69,3))*5)+MOD(COLUMN(BY$2),3),1,1),"")</f>
        <v>0</v>
      </c>
      <c r="BZ116">
        <f ca="1">IF($AN116="",OFFSET(Demand!$A$13,ROW(J113)-1,4+((QUOTIENT(COLUMN(BZ$2)-69,3))*5)+MOD(COLUMN(BZ$2),3),1,1),"")</f>
        <v>0</v>
      </c>
      <c r="CA116">
        <f ca="1">IF($AN116="",OFFSET(Demand!$A$13,ROW(K113)-1,4+((QUOTIENT(COLUMN(CA$2)-69,3))*5)+MOD(COLUMN(CA$2),3),1,1),"")</f>
        <v>0</v>
      </c>
      <c r="CB116">
        <f ca="1">IF($AN116="",OFFSET(Demand!$A$13,ROW(L113)-1,4+((QUOTIENT(COLUMN(CB$2)-69,3))*5)+MOD(COLUMN(CB$2),3),1,1),"")</f>
        <v>0</v>
      </c>
      <c r="CC116">
        <f ca="1">IF($AN116="",OFFSET(Demand!$A$13,ROW(M113)-1,4+((QUOTIENT(COLUMN(CC$2)-69,3))*5)+MOD(COLUMN(CC$2),3),1,1),"")</f>
        <v>0</v>
      </c>
      <c r="CD116">
        <f ca="1">IF($AN116="",OFFSET(Demand!$A$13,ROW(N113)-1,4+((QUOTIENT(COLUMN(CD$2)-69,3))*5)+MOD(COLUMN(CD$2),3),1,1),"")</f>
        <v>0</v>
      </c>
      <c r="CE116">
        <f ca="1">IF($AN116="",OFFSET(Demand!$A$13,ROW(O113)-1,4+((QUOTIENT(COLUMN(CE$2)-69,3))*5)+MOD(COLUMN(CE$2),3),1,1),"")</f>
        <v>0</v>
      </c>
      <c r="CF116">
        <f ca="1">IF($AN116="",OFFSET(Demand!$A$13,ROW(P113)-1,4+((QUOTIENT(COLUMN(CF$2)-69,3))*5)+MOD(COLUMN(CF$2),3),1,1),"")</f>
        <v>0</v>
      </c>
      <c r="CG116">
        <f ca="1">IF($AN116="",OFFSET(Demand!$A$13,ROW(Q113)-1,4+((QUOTIENT(COLUMN(CG$2)-69,3))*5)+MOD(COLUMN(CG$2),3),1,1),"")</f>
        <v>0</v>
      </c>
      <c r="CH116">
        <f ca="1">IF($AN116="",OFFSET(Demand!$A$13,ROW(R113)-1,4+((QUOTIENT(COLUMN(CH$2)-69,3))*5)+MOD(COLUMN(CH$2),3),1,1),"")</f>
        <v>0</v>
      </c>
      <c r="CI116">
        <f ca="1">IF($AN116="",OFFSET(Demand!$A$13,ROW(S113)-1,4+((QUOTIENT(COLUMN(CI$2)-69,3))*5)+MOD(COLUMN(CI$2),3),1,1),"")</f>
        <v>0</v>
      </c>
      <c r="CJ116">
        <f ca="1">IF($AN116="",OFFSET(Demand!$A$13,ROW(T113)-1,4+((QUOTIENT(COLUMN(CJ$2)-69,3))*5)+MOD(COLUMN(CJ$2),3),1,1),"")</f>
        <v>0</v>
      </c>
      <c r="CK116">
        <f ca="1">IF($AN116="",OFFSET(Demand!$A$13,ROW(U113)-1,4+((QUOTIENT(COLUMN(CK$2)-69,3))*5)+MOD(COLUMN(CK$2),3),1,1),"")</f>
        <v>0</v>
      </c>
      <c r="CL116">
        <f ca="1">IF($AN116="",OFFSET(Demand!$A$13,ROW(V113)-1,4+((QUOTIENT(COLUMN(CL$2)-69,3))*5)+MOD(COLUMN(CL$2),3),1,1),"")</f>
        <v>0</v>
      </c>
      <c r="CM116">
        <f ca="1">IF($AN116="",OFFSET(Demand!$A$13,ROW(W113)-1,4+((QUOTIENT(COLUMN(CM$2)-69,3))*5)+MOD(COLUMN(CM$2),3),1,1),"")</f>
        <v>0</v>
      </c>
      <c r="CN116">
        <f ca="1">IF($AN116="",OFFSET(Demand!$A$13,ROW(X113)-1,4+((QUOTIENT(COLUMN(CN$2)-69,3))*5)+MOD(COLUMN(CN$2),3),1,1),"")</f>
        <v>0</v>
      </c>
      <c r="CO116">
        <f ca="1">IF($AN116="",OFFSET(Demand!$A$13,ROW(Y113)-1,4+((QUOTIENT(COLUMN(CO$2)-69,3))*5)+MOD(COLUMN(CO$2),3),1,1),"")</f>
        <v>0</v>
      </c>
      <c r="CP116">
        <f ca="1">IF($AN116="",OFFSET(Demand!$A$13,ROW(Z113)-1,4+((QUOTIENT(COLUMN(CP$2)-69,3))*5)+MOD(COLUMN(CP$2),3),1,1),"")</f>
        <v>0</v>
      </c>
      <c r="CQ116">
        <f ca="1">IF($AN116="",OFFSET(Demand!$A$13,ROW(AA113)-1,4+((QUOTIENT(COLUMN(CQ$2)-69,3))*5)+MOD(COLUMN(CQ$2),3),1,1),"")</f>
        <v>0</v>
      </c>
      <c r="CR116">
        <f ca="1">IF($AN116="",OFFSET(Demand!$A$13,ROW(AB113)-1,4+((QUOTIENT(COLUMN(CR$2)-69,3))*5)+MOD(COLUMN(CR$2),3),1,1),"")</f>
        <v>0</v>
      </c>
      <c r="CS116">
        <f ca="1">IF($AN116="",OFFSET(Demand!$A$13,ROW(AC113)-1,4+((QUOTIENT(COLUMN(CS$2)-69,3))*5)+MOD(COLUMN(CS$2),3),1,1),"")</f>
        <v>0</v>
      </c>
      <c r="CT116">
        <f ca="1">IF($AN116="",OFFSET(Demand!$A$13,ROW(AD113)-1,4+((QUOTIENT(COLUMN(CT$2)-69,3))*5)+MOD(COLUMN(CT$2),3),1,1),"")</f>
        <v>0</v>
      </c>
      <c r="CW116" s="5">
        <f ca="1">SUM(OFFSET(Demand!$H$43,ROW(A113)-1,(COLUMN(A113)-1)*5,1,1))*N$2</f>
        <v>0</v>
      </c>
      <c r="CX116" s="5">
        <f ca="1">SUM(OFFSET(Demand!$H$43,ROW(B113)-1,(COLUMN(B113)-1)*5,1,1))*O$2</f>
        <v>0</v>
      </c>
      <c r="CY116" s="5">
        <f ca="1">SUM(OFFSET(Demand!$H$43,ROW(C113)-1,(COLUMN(C113)-1)*5,1,1))*P$2</f>
        <v>0</v>
      </c>
      <c r="CZ116" s="5">
        <f ca="1">SUM(OFFSET(Demand!$H$43,ROW(D113)-1,(COLUMN(D113)-1)*5,1,1))*Q$2</f>
        <v>0</v>
      </c>
      <c r="DA116" s="5">
        <f ca="1">SUM(OFFSET(Demand!$H$43,ROW(E113)-1,(COLUMN(E113)-1)*5,1,1))*R$2</f>
        <v>0</v>
      </c>
      <c r="DB116" s="5">
        <f ca="1">SUM(OFFSET(Demand!$H$43,ROW(F113)-1,(COLUMN(F113)-1)*5,1,1))*S$2</f>
        <v>0</v>
      </c>
      <c r="DC116" s="5">
        <f ca="1">SUM(OFFSET(Demand!$H$43,ROW(G113)-1,(COLUMN(G113)-1)*5,1,1))*T$2</f>
        <v>0</v>
      </c>
      <c r="DD116" s="5">
        <f ca="1">SUM(OFFSET(Demand!$H$43,ROW(H113)-1,(COLUMN(H113)-1)*5,1,1))*U$2</f>
        <v>0</v>
      </c>
      <c r="DE116" s="5">
        <f ca="1">SUM(OFFSET(Demand!$H$43,ROW(I113)-1,(COLUMN(I113)-1)*5,1,1))*V$2</f>
        <v>0</v>
      </c>
      <c r="DF116" s="5">
        <f ca="1">SUM(OFFSET(Demand!$H$43,ROW(J113)-1,(COLUMN(J113)-1)*5,1,1))*W$2</f>
        <v>0</v>
      </c>
      <c r="DG116" s="5">
        <f ca="1">IF(OR(AN116&lt;&gt;"",AND('Demand adjustments for Covid'!$F$9="Yes",'Demand adjustments for Covid'!$F$20="Yes")),"",SUM(CW116:DF116))</f>
        <v>0</v>
      </c>
    </row>
    <row r="117" spans="1:111" x14ac:dyDescent="0.25">
      <c r="A117" s="5">
        <f t="shared" ca="1" si="34"/>
        <v>1</v>
      </c>
      <c r="B117" s="5">
        <f ca="1">COUNTBLANK(OFFSET(Demand!$I126,0,(COLUMN(A114)-1)*5,1,1))</f>
        <v>1</v>
      </c>
      <c r="C117" s="5">
        <f ca="1">COUNTBLANK(OFFSET(Demand!$I126,0,(COLUMN(B114)-1)*5,1,1))</f>
        <v>1</v>
      </c>
      <c r="D117" s="5">
        <f ca="1">COUNTBLANK(OFFSET(Demand!$I126,0,(COLUMN(C114)-1)*5,1,1))</f>
        <v>1</v>
      </c>
      <c r="E117" s="5">
        <f ca="1">COUNTBLANK(OFFSET(Demand!$I126,0,(COLUMN(D114)-1)*5,1,1))</f>
        <v>1</v>
      </c>
      <c r="F117" s="5">
        <f ca="1">COUNTBLANK(OFFSET(Demand!$I126,0,(COLUMN(E114)-1)*5,1,1))</f>
        <v>1</v>
      </c>
      <c r="G117" s="5">
        <f ca="1">COUNTBLANK(OFFSET(Demand!$I126,0,(COLUMN(F114)-1)*5,1,1))</f>
        <v>1</v>
      </c>
      <c r="H117" s="5">
        <f ca="1">COUNTBLANK(OFFSET(Demand!$I126,0,(COLUMN(G114)-1)*5,1,1))</f>
        <v>1</v>
      </c>
      <c r="I117" s="5">
        <f ca="1">COUNTBLANK(OFFSET(Demand!$I126,0,(COLUMN(H114)-1)*5,1,1))</f>
        <v>1</v>
      </c>
      <c r="J117" s="5">
        <f ca="1">COUNTBLANK(OFFSET(Demand!$I126,0,(COLUMN(I114)-1)*5,1,1))</f>
        <v>1</v>
      </c>
      <c r="K117" s="5">
        <f ca="1">COUNTBLANK(OFFSET(Demand!$I126,0,(COLUMN(J114)-1)*5,1,1))</f>
        <v>1</v>
      </c>
      <c r="N117" s="5">
        <f ca="1">SUM(OFFSET(Demand!$E126,0,(COLUMN(A114)-1)*5,1,3))*N$2</f>
        <v>0</v>
      </c>
      <c r="O117" s="5">
        <f ca="1">SUM(OFFSET(Demand!$E126,0,(COLUMN(B114)-1)*5,1,3))*O$2</f>
        <v>0</v>
      </c>
      <c r="P117" s="5">
        <f ca="1">SUM(OFFSET(Demand!$E126,0,(COLUMN(C114)-1)*5,1,3))*P$2</f>
        <v>0</v>
      </c>
      <c r="Q117" s="5">
        <f ca="1">SUM(OFFSET(Demand!$E126,0,(COLUMN(D114)-1)*5,1,3))*Q$2</f>
        <v>0</v>
      </c>
      <c r="R117" s="5">
        <f ca="1">SUM(OFFSET(Demand!$E126,0,(COLUMN(E114)-1)*5,1,3))*R$2</f>
        <v>0</v>
      </c>
      <c r="S117" s="5">
        <f ca="1">SUM(OFFSET(Demand!$E126,0,(COLUMN(F114)-1)*5,1,3))*S$2</f>
        <v>0</v>
      </c>
      <c r="T117" s="5">
        <f ca="1">SUM(OFFSET(Demand!$E126,0,(COLUMN(G114)-1)*5,1,3))*T$2</f>
        <v>0</v>
      </c>
      <c r="U117" s="5">
        <f ca="1">SUM(OFFSET(Demand!$E126,0,(COLUMN(H114)-1)*5,1,3))*U$2</f>
        <v>0</v>
      </c>
      <c r="V117" s="5">
        <f ca="1">SUM(OFFSET(Demand!$E126,0,(COLUMN(I114)-1)*5,1,3))*V$2</f>
        <v>0</v>
      </c>
      <c r="W117" s="5">
        <f ca="1">SUM(OFFSET(Demand!$E126,0,(COLUMN(J114)-1)*5,1,3))*W$2</f>
        <v>0</v>
      </c>
      <c r="X117" s="5">
        <f t="shared" ca="1" si="37"/>
        <v>0</v>
      </c>
      <c r="Y117">
        <f t="shared" ca="1" si="38"/>
        <v>0</v>
      </c>
      <c r="Z117" s="5">
        <f ca="1">SUM(OFFSET(Demand!$H126,0,(COLUMN(A114)-1)*5,1,1))*N$2</f>
        <v>0</v>
      </c>
      <c r="AA117" s="5">
        <f ca="1">SUM(OFFSET(Demand!$H126,0,(COLUMN(B114)-1)*5,1,1))*O$2</f>
        <v>0</v>
      </c>
      <c r="AB117" s="5">
        <f ca="1">SUM(OFFSET(Demand!$H126,0,(COLUMN(C114)-1)*5,1,1))*P$2</f>
        <v>0</v>
      </c>
      <c r="AC117" s="5">
        <f ca="1">SUM(OFFSET(Demand!$H126,0,(COLUMN(D114)-1)*5,1,1))*Q$2</f>
        <v>0</v>
      </c>
      <c r="AD117" s="5">
        <f ca="1">SUM(OFFSET(Demand!$H126,0,(COLUMN(E114)-1)*5,1,1))*R$2</f>
        <v>0</v>
      </c>
      <c r="AE117" s="5">
        <f ca="1">SUM(OFFSET(Demand!$H126,0,(COLUMN(F114)-1)*5,1,1))*S$2</f>
        <v>0</v>
      </c>
      <c r="AF117" s="5">
        <f ca="1">SUM(OFFSET(Demand!$H126,0,(COLUMN(G114)-1)*5,1,1))*T$2</f>
        <v>0</v>
      </c>
      <c r="AG117" s="5">
        <f ca="1">SUM(OFFSET(Demand!$H126,0,(COLUMN(H114)-1)*5,1,1))*U$2</f>
        <v>0</v>
      </c>
      <c r="AH117" s="5">
        <f ca="1">SUM(OFFSET(Demand!$H126,0,(COLUMN(I114)-1)*5,1,1))*V$2</f>
        <v>0</v>
      </c>
      <c r="AI117" s="5">
        <f ca="1">SUM(OFFSET(Demand!$H126,0,(COLUMN(J114)-1)*5,1,1))*W$2</f>
        <v>0</v>
      </c>
      <c r="AJ117" s="5">
        <f t="shared" ca="1" si="39"/>
        <v>0</v>
      </c>
      <c r="AL117" s="5">
        <f t="shared" ca="1" si="40"/>
        <v>0</v>
      </c>
      <c r="AM117" s="5">
        <f t="shared" ca="1" si="41"/>
        <v>0</v>
      </c>
      <c r="AN117" s="5" t="str">
        <f>IF(Demand!BE126="Yes","Yes","")</f>
        <v/>
      </c>
      <c r="AP117" s="36" t="str">
        <f ca="1">Demand!B126</f>
        <v xml:space="preserve"> </v>
      </c>
      <c r="AQ117" t="str">
        <f ca="1">IF(TEXT(Demand!D126,"MMM")&lt;&gt;TEXT(Demand!D125,"MMM"),TEXT(Demand!D126,"MMM"),"")</f>
        <v/>
      </c>
      <c r="AT117" s="5">
        <f t="shared" ca="1" si="42"/>
        <v>0</v>
      </c>
      <c r="BQ117">
        <f ca="1">IF($AN117="",OFFSET(Demand!$A$13,ROW(A114)-1,4+((QUOTIENT(COLUMN(BQ$2)-69,3))*5)+MOD(COLUMN(BQ$2),3),1,1),"")</f>
        <v>0</v>
      </c>
      <c r="BR117">
        <f ca="1">IF($AN117="",OFFSET(Demand!$A$13,ROW(B114)-1,4+((QUOTIENT(COLUMN(BR$2)-69,3))*5)+MOD(COLUMN(BR$2),3),1,1),"")</f>
        <v>0</v>
      </c>
      <c r="BS117">
        <f ca="1">IF($AN117="",OFFSET(Demand!$A$13,ROW(C114)-1,4+((QUOTIENT(COLUMN(BS$2)-69,3))*5)+MOD(COLUMN(BS$2),3),1,1),"")</f>
        <v>0</v>
      </c>
      <c r="BT117">
        <f ca="1">IF($AN117="",OFFSET(Demand!$A$13,ROW(D114)-1,4+((QUOTIENT(COLUMN(BT$2)-69,3))*5)+MOD(COLUMN(BT$2),3),1,1),"")</f>
        <v>0</v>
      </c>
      <c r="BU117">
        <f ca="1">IF($AN117="",OFFSET(Demand!$A$13,ROW(E114)-1,4+((QUOTIENT(COLUMN(BU$2)-69,3))*5)+MOD(COLUMN(BU$2),3),1,1),"")</f>
        <v>0</v>
      </c>
      <c r="BV117">
        <f ca="1">IF($AN117="",OFFSET(Demand!$A$13,ROW(F114)-1,4+((QUOTIENT(COLUMN(BV$2)-69,3))*5)+MOD(COLUMN(BV$2),3),1,1),"")</f>
        <v>0</v>
      </c>
      <c r="BW117">
        <f ca="1">IF($AN117="",OFFSET(Demand!$A$13,ROW(G114)-1,4+((QUOTIENT(COLUMN(BW$2)-69,3))*5)+MOD(COLUMN(BW$2),3),1,1),"")</f>
        <v>0</v>
      </c>
      <c r="BX117">
        <f ca="1">IF($AN117="",OFFSET(Demand!$A$13,ROW(H114)-1,4+((QUOTIENT(COLUMN(BX$2)-69,3))*5)+MOD(COLUMN(BX$2),3),1,1),"")</f>
        <v>0</v>
      </c>
      <c r="BY117">
        <f ca="1">IF($AN117="",OFFSET(Demand!$A$13,ROW(I114)-1,4+((QUOTIENT(COLUMN(BY$2)-69,3))*5)+MOD(COLUMN(BY$2),3),1,1),"")</f>
        <v>0</v>
      </c>
      <c r="BZ117">
        <f ca="1">IF($AN117="",OFFSET(Demand!$A$13,ROW(J114)-1,4+((QUOTIENT(COLUMN(BZ$2)-69,3))*5)+MOD(COLUMN(BZ$2),3),1,1),"")</f>
        <v>0</v>
      </c>
      <c r="CA117">
        <f ca="1">IF($AN117="",OFFSET(Demand!$A$13,ROW(K114)-1,4+((QUOTIENT(COLUMN(CA$2)-69,3))*5)+MOD(COLUMN(CA$2),3),1,1),"")</f>
        <v>0</v>
      </c>
      <c r="CB117">
        <f ca="1">IF($AN117="",OFFSET(Demand!$A$13,ROW(L114)-1,4+((QUOTIENT(COLUMN(CB$2)-69,3))*5)+MOD(COLUMN(CB$2),3),1,1),"")</f>
        <v>0</v>
      </c>
      <c r="CC117">
        <f ca="1">IF($AN117="",OFFSET(Demand!$A$13,ROW(M114)-1,4+((QUOTIENT(COLUMN(CC$2)-69,3))*5)+MOD(COLUMN(CC$2),3),1,1),"")</f>
        <v>0</v>
      </c>
      <c r="CD117">
        <f ca="1">IF($AN117="",OFFSET(Demand!$A$13,ROW(N114)-1,4+((QUOTIENT(COLUMN(CD$2)-69,3))*5)+MOD(COLUMN(CD$2),3),1,1),"")</f>
        <v>0</v>
      </c>
      <c r="CE117">
        <f ca="1">IF($AN117="",OFFSET(Demand!$A$13,ROW(O114)-1,4+((QUOTIENT(COLUMN(CE$2)-69,3))*5)+MOD(COLUMN(CE$2),3),1,1),"")</f>
        <v>0</v>
      </c>
      <c r="CF117">
        <f ca="1">IF($AN117="",OFFSET(Demand!$A$13,ROW(P114)-1,4+((QUOTIENT(COLUMN(CF$2)-69,3))*5)+MOD(COLUMN(CF$2),3),1,1),"")</f>
        <v>0</v>
      </c>
      <c r="CG117">
        <f ca="1">IF($AN117="",OFFSET(Demand!$A$13,ROW(Q114)-1,4+((QUOTIENT(COLUMN(CG$2)-69,3))*5)+MOD(COLUMN(CG$2),3),1,1),"")</f>
        <v>0</v>
      </c>
      <c r="CH117">
        <f ca="1">IF($AN117="",OFFSET(Demand!$A$13,ROW(R114)-1,4+((QUOTIENT(COLUMN(CH$2)-69,3))*5)+MOD(COLUMN(CH$2),3),1,1),"")</f>
        <v>0</v>
      </c>
      <c r="CI117">
        <f ca="1">IF($AN117="",OFFSET(Demand!$A$13,ROW(S114)-1,4+((QUOTIENT(COLUMN(CI$2)-69,3))*5)+MOD(COLUMN(CI$2),3),1,1),"")</f>
        <v>0</v>
      </c>
      <c r="CJ117">
        <f ca="1">IF($AN117="",OFFSET(Demand!$A$13,ROW(T114)-1,4+((QUOTIENT(COLUMN(CJ$2)-69,3))*5)+MOD(COLUMN(CJ$2),3),1,1),"")</f>
        <v>0</v>
      </c>
      <c r="CK117">
        <f ca="1">IF($AN117="",OFFSET(Demand!$A$13,ROW(U114)-1,4+((QUOTIENT(COLUMN(CK$2)-69,3))*5)+MOD(COLUMN(CK$2),3),1,1),"")</f>
        <v>0</v>
      </c>
      <c r="CL117">
        <f ca="1">IF($AN117="",OFFSET(Demand!$A$13,ROW(V114)-1,4+((QUOTIENT(COLUMN(CL$2)-69,3))*5)+MOD(COLUMN(CL$2),3),1,1),"")</f>
        <v>0</v>
      </c>
      <c r="CM117">
        <f ca="1">IF($AN117="",OFFSET(Demand!$A$13,ROW(W114)-1,4+((QUOTIENT(COLUMN(CM$2)-69,3))*5)+MOD(COLUMN(CM$2),3),1,1),"")</f>
        <v>0</v>
      </c>
      <c r="CN117">
        <f ca="1">IF($AN117="",OFFSET(Demand!$A$13,ROW(X114)-1,4+((QUOTIENT(COLUMN(CN$2)-69,3))*5)+MOD(COLUMN(CN$2),3),1,1),"")</f>
        <v>0</v>
      </c>
      <c r="CO117">
        <f ca="1">IF($AN117="",OFFSET(Demand!$A$13,ROW(Y114)-1,4+((QUOTIENT(COLUMN(CO$2)-69,3))*5)+MOD(COLUMN(CO$2),3),1,1),"")</f>
        <v>0</v>
      </c>
      <c r="CP117">
        <f ca="1">IF($AN117="",OFFSET(Demand!$A$13,ROW(Z114)-1,4+((QUOTIENT(COLUMN(CP$2)-69,3))*5)+MOD(COLUMN(CP$2),3),1,1),"")</f>
        <v>0</v>
      </c>
      <c r="CQ117">
        <f ca="1">IF($AN117="",OFFSET(Demand!$A$13,ROW(AA114)-1,4+((QUOTIENT(COLUMN(CQ$2)-69,3))*5)+MOD(COLUMN(CQ$2),3),1,1),"")</f>
        <v>0</v>
      </c>
      <c r="CR117">
        <f ca="1">IF($AN117="",OFFSET(Demand!$A$13,ROW(AB114)-1,4+((QUOTIENT(COLUMN(CR$2)-69,3))*5)+MOD(COLUMN(CR$2),3),1,1),"")</f>
        <v>0</v>
      </c>
      <c r="CS117">
        <f ca="1">IF($AN117="",OFFSET(Demand!$A$13,ROW(AC114)-1,4+((QUOTIENT(COLUMN(CS$2)-69,3))*5)+MOD(COLUMN(CS$2),3),1,1),"")</f>
        <v>0</v>
      </c>
      <c r="CT117">
        <f ca="1">IF($AN117="",OFFSET(Demand!$A$13,ROW(AD114)-1,4+((QUOTIENT(COLUMN(CT$2)-69,3))*5)+MOD(COLUMN(CT$2),3),1,1),"")</f>
        <v>0</v>
      </c>
      <c r="CW117" s="5">
        <f ca="1">SUM(OFFSET(Demand!$H$43,ROW(A114)-1,(COLUMN(A114)-1)*5,1,1))*N$2</f>
        <v>0</v>
      </c>
      <c r="CX117" s="5">
        <f ca="1">SUM(OFFSET(Demand!$H$43,ROW(B114)-1,(COLUMN(B114)-1)*5,1,1))*O$2</f>
        <v>0</v>
      </c>
      <c r="CY117" s="5">
        <f ca="1">SUM(OFFSET(Demand!$H$43,ROW(C114)-1,(COLUMN(C114)-1)*5,1,1))*P$2</f>
        <v>0</v>
      </c>
      <c r="CZ117" s="5">
        <f ca="1">SUM(OFFSET(Demand!$H$43,ROW(D114)-1,(COLUMN(D114)-1)*5,1,1))*Q$2</f>
        <v>0</v>
      </c>
      <c r="DA117" s="5">
        <f ca="1">SUM(OFFSET(Demand!$H$43,ROW(E114)-1,(COLUMN(E114)-1)*5,1,1))*R$2</f>
        <v>0</v>
      </c>
      <c r="DB117" s="5">
        <f ca="1">SUM(OFFSET(Demand!$H$43,ROW(F114)-1,(COLUMN(F114)-1)*5,1,1))*S$2</f>
        <v>0</v>
      </c>
      <c r="DC117" s="5">
        <f ca="1">SUM(OFFSET(Demand!$H$43,ROW(G114)-1,(COLUMN(G114)-1)*5,1,1))*T$2</f>
        <v>0</v>
      </c>
      <c r="DD117" s="5">
        <f ca="1">SUM(OFFSET(Demand!$H$43,ROW(H114)-1,(COLUMN(H114)-1)*5,1,1))*U$2</f>
        <v>0</v>
      </c>
      <c r="DE117" s="5">
        <f ca="1">SUM(OFFSET(Demand!$H$43,ROW(I114)-1,(COLUMN(I114)-1)*5,1,1))*V$2</f>
        <v>0</v>
      </c>
      <c r="DF117" s="5">
        <f ca="1">SUM(OFFSET(Demand!$H$43,ROW(J114)-1,(COLUMN(J114)-1)*5,1,1))*W$2</f>
        <v>0</v>
      </c>
      <c r="DG117" s="5">
        <f ca="1">IF(OR(AN117&lt;&gt;"",AND('Demand adjustments for Covid'!$F$9="Yes",'Demand adjustments for Covid'!$F$20="Yes")),"",SUM(CW117:DF117))</f>
        <v>0</v>
      </c>
    </row>
    <row r="118" spans="1:111" x14ac:dyDescent="0.25">
      <c r="A118" s="5">
        <f t="shared" ca="1" si="34"/>
        <v>1</v>
      </c>
      <c r="B118" s="5">
        <f ca="1">COUNTBLANK(OFFSET(Demand!$I127,0,(COLUMN(A115)-1)*5,1,1))</f>
        <v>1</v>
      </c>
      <c r="C118" s="5">
        <f ca="1">COUNTBLANK(OFFSET(Demand!$I127,0,(COLUMN(B115)-1)*5,1,1))</f>
        <v>1</v>
      </c>
      <c r="D118" s="5">
        <f ca="1">COUNTBLANK(OFFSET(Demand!$I127,0,(COLUMN(C115)-1)*5,1,1))</f>
        <v>1</v>
      </c>
      <c r="E118" s="5">
        <f ca="1">COUNTBLANK(OFFSET(Demand!$I127,0,(COLUMN(D115)-1)*5,1,1))</f>
        <v>1</v>
      </c>
      <c r="F118" s="5">
        <f ca="1">COUNTBLANK(OFFSET(Demand!$I127,0,(COLUMN(E115)-1)*5,1,1))</f>
        <v>1</v>
      </c>
      <c r="G118" s="5">
        <f ca="1">COUNTBLANK(OFFSET(Demand!$I127,0,(COLUMN(F115)-1)*5,1,1))</f>
        <v>1</v>
      </c>
      <c r="H118" s="5">
        <f ca="1">COUNTBLANK(OFFSET(Demand!$I127,0,(COLUMN(G115)-1)*5,1,1))</f>
        <v>1</v>
      </c>
      <c r="I118" s="5">
        <f ca="1">COUNTBLANK(OFFSET(Demand!$I127,0,(COLUMN(H115)-1)*5,1,1))</f>
        <v>1</v>
      </c>
      <c r="J118" s="5">
        <f ca="1">COUNTBLANK(OFFSET(Demand!$I127,0,(COLUMN(I115)-1)*5,1,1))</f>
        <v>1</v>
      </c>
      <c r="K118" s="5">
        <f ca="1">COUNTBLANK(OFFSET(Demand!$I127,0,(COLUMN(J115)-1)*5,1,1))</f>
        <v>1</v>
      </c>
      <c r="N118" s="5">
        <f ca="1">SUM(OFFSET(Demand!$E127,0,(COLUMN(A115)-1)*5,1,3))*N$2</f>
        <v>0</v>
      </c>
      <c r="O118" s="5">
        <f ca="1">SUM(OFFSET(Demand!$E127,0,(COLUMN(B115)-1)*5,1,3))*O$2</f>
        <v>0</v>
      </c>
      <c r="P118" s="5">
        <f ca="1">SUM(OFFSET(Demand!$E127,0,(COLUMN(C115)-1)*5,1,3))*P$2</f>
        <v>0</v>
      </c>
      <c r="Q118" s="5">
        <f ca="1">SUM(OFFSET(Demand!$E127,0,(COLUMN(D115)-1)*5,1,3))*Q$2</f>
        <v>0</v>
      </c>
      <c r="R118" s="5">
        <f ca="1">SUM(OFFSET(Demand!$E127,0,(COLUMN(E115)-1)*5,1,3))*R$2</f>
        <v>0</v>
      </c>
      <c r="S118" s="5">
        <f ca="1">SUM(OFFSET(Demand!$E127,0,(COLUMN(F115)-1)*5,1,3))*S$2</f>
        <v>0</v>
      </c>
      <c r="T118" s="5">
        <f ca="1">SUM(OFFSET(Demand!$E127,0,(COLUMN(G115)-1)*5,1,3))*T$2</f>
        <v>0</v>
      </c>
      <c r="U118" s="5">
        <f ca="1">SUM(OFFSET(Demand!$E127,0,(COLUMN(H115)-1)*5,1,3))*U$2</f>
        <v>0</v>
      </c>
      <c r="V118" s="5">
        <f ca="1">SUM(OFFSET(Demand!$E127,0,(COLUMN(I115)-1)*5,1,3))*V$2</f>
        <v>0</v>
      </c>
      <c r="W118" s="5">
        <f ca="1">SUM(OFFSET(Demand!$E127,0,(COLUMN(J115)-1)*5,1,3))*W$2</f>
        <v>0</v>
      </c>
      <c r="X118" s="5">
        <f t="shared" ca="1" si="37"/>
        <v>0</v>
      </c>
      <c r="Y118">
        <f t="shared" ca="1" si="38"/>
        <v>0</v>
      </c>
      <c r="Z118" s="5">
        <f ca="1">SUM(OFFSET(Demand!$H127,0,(COLUMN(A115)-1)*5,1,1))*N$2</f>
        <v>0</v>
      </c>
      <c r="AA118" s="5">
        <f ca="1">SUM(OFFSET(Demand!$H127,0,(COLUMN(B115)-1)*5,1,1))*O$2</f>
        <v>0</v>
      </c>
      <c r="AB118" s="5">
        <f ca="1">SUM(OFFSET(Demand!$H127,0,(COLUMN(C115)-1)*5,1,1))*P$2</f>
        <v>0</v>
      </c>
      <c r="AC118" s="5">
        <f ca="1">SUM(OFFSET(Demand!$H127,0,(COLUMN(D115)-1)*5,1,1))*Q$2</f>
        <v>0</v>
      </c>
      <c r="AD118" s="5">
        <f ca="1">SUM(OFFSET(Demand!$H127,0,(COLUMN(E115)-1)*5,1,1))*R$2</f>
        <v>0</v>
      </c>
      <c r="AE118" s="5">
        <f ca="1">SUM(OFFSET(Demand!$H127,0,(COLUMN(F115)-1)*5,1,1))*S$2</f>
        <v>0</v>
      </c>
      <c r="AF118" s="5">
        <f ca="1">SUM(OFFSET(Demand!$H127,0,(COLUMN(G115)-1)*5,1,1))*T$2</f>
        <v>0</v>
      </c>
      <c r="AG118" s="5">
        <f ca="1">SUM(OFFSET(Demand!$H127,0,(COLUMN(H115)-1)*5,1,1))*U$2</f>
        <v>0</v>
      </c>
      <c r="AH118" s="5">
        <f ca="1">SUM(OFFSET(Demand!$H127,0,(COLUMN(I115)-1)*5,1,1))*V$2</f>
        <v>0</v>
      </c>
      <c r="AI118" s="5">
        <f ca="1">SUM(OFFSET(Demand!$H127,0,(COLUMN(J115)-1)*5,1,1))*W$2</f>
        <v>0</v>
      </c>
      <c r="AJ118" s="5">
        <f t="shared" ca="1" si="39"/>
        <v>0</v>
      </c>
      <c r="AL118" s="5">
        <f t="shared" ca="1" si="40"/>
        <v>0</v>
      </c>
      <c r="AM118" s="5">
        <f t="shared" ca="1" si="41"/>
        <v>0</v>
      </c>
      <c r="AN118" s="5" t="str">
        <f>IF(Demand!BE127="Yes","Yes","")</f>
        <v/>
      </c>
      <c r="AP118" s="36" t="str">
        <f ca="1">Demand!B127</f>
        <v xml:space="preserve"> </v>
      </c>
      <c r="AQ118" t="str">
        <f ca="1">IF(TEXT(Demand!D127,"MMM")&lt;&gt;TEXT(Demand!D126,"MMM"),TEXT(Demand!D127,"MMM"),"")</f>
        <v/>
      </c>
      <c r="AT118" s="5">
        <f t="shared" ca="1" si="42"/>
        <v>0</v>
      </c>
      <c r="BQ118">
        <f ca="1">IF($AN118="",OFFSET(Demand!$A$13,ROW(A115)-1,4+((QUOTIENT(COLUMN(BQ$2)-69,3))*5)+MOD(COLUMN(BQ$2),3),1,1),"")</f>
        <v>0</v>
      </c>
      <c r="BR118">
        <f ca="1">IF($AN118="",OFFSET(Demand!$A$13,ROW(B115)-1,4+((QUOTIENT(COLUMN(BR$2)-69,3))*5)+MOD(COLUMN(BR$2),3),1,1),"")</f>
        <v>0</v>
      </c>
      <c r="BS118">
        <f ca="1">IF($AN118="",OFFSET(Demand!$A$13,ROW(C115)-1,4+((QUOTIENT(COLUMN(BS$2)-69,3))*5)+MOD(COLUMN(BS$2),3),1,1),"")</f>
        <v>0</v>
      </c>
      <c r="BT118">
        <f ca="1">IF($AN118="",OFFSET(Demand!$A$13,ROW(D115)-1,4+((QUOTIENT(COLUMN(BT$2)-69,3))*5)+MOD(COLUMN(BT$2),3),1,1),"")</f>
        <v>0</v>
      </c>
      <c r="BU118">
        <f ca="1">IF($AN118="",OFFSET(Demand!$A$13,ROW(E115)-1,4+((QUOTIENT(COLUMN(BU$2)-69,3))*5)+MOD(COLUMN(BU$2),3),1,1),"")</f>
        <v>0</v>
      </c>
      <c r="BV118">
        <f ca="1">IF($AN118="",OFFSET(Demand!$A$13,ROW(F115)-1,4+((QUOTIENT(COLUMN(BV$2)-69,3))*5)+MOD(COLUMN(BV$2),3),1,1),"")</f>
        <v>0</v>
      </c>
      <c r="BW118">
        <f ca="1">IF($AN118="",OFFSET(Demand!$A$13,ROW(G115)-1,4+((QUOTIENT(COLUMN(BW$2)-69,3))*5)+MOD(COLUMN(BW$2),3),1,1),"")</f>
        <v>0</v>
      </c>
      <c r="BX118">
        <f ca="1">IF($AN118="",OFFSET(Demand!$A$13,ROW(H115)-1,4+((QUOTIENT(COLUMN(BX$2)-69,3))*5)+MOD(COLUMN(BX$2),3),1,1),"")</f>
        <v>0</v>
      </c>
      <c r="BY118">
        <f ca="1">IF($AN118="",OFFSET(Demand!$A$13,ROW(I115)-1,4+((QUOTIENT(COLUMN(BY$2)-69,3))*5)+MOD(COLUMN(BY$2),3),1,1),"")</f>
        <v>0</v>
      </c>
      <c r="BZ118">
        <f ca="1">IF($AN118="",OFFSET(Demand!$A$13,ROW(J115)-1,4+((QUOTIENT(COLUMN(BZ$2)-69,3))*5)+MOD(COLUMN(BZ$2),3),1,1),"")</f>
        <v>0</v>
      </c>
      <c r="CA118">
        <f ca="1">IF($AN118="",OFFSET(Demand!$A$13,ROW(K115)-1,4+((QUOTIENT(COLUMN(CA$2)-69,3))*5)+MOD(COLUMN(CA$2),3),1,1),"")</f>
        <v>0</v>
      </c>
      <c r="CB118">
        <f ca="1">IF($AN118="",OFFSET(Demand!$A$13,ROW(L115)-1,4+((QUOTIENT(COLUMN(CB$2)-69,3))*5)+MOD(COLUMN(CB$2),3),1,1),"")</f>
        <v>0</v>
      </c>
      <c r="CC118">
        <f ca="1">IF($AN118="",OFFSET(Demand!$A$13,ROW(M115)-1,4+((QUOTIENT(COLUMN(CC$2)-69,3))*5)+MOD(COLUMN(CC$2),3),1,1),"")</f>
        <v>0</v>
      </c>
      <c r="CD118">
        <f ca="1">IF($AN118="",OFFSET(Demand!$A$13,ROW(N115)-1,4+((QUOTIENT(COLUMN(CD$2)-69,3))*5)+MOD(COLUMN(CD$2),3),1,1),"")</f>
        <v>0</v>
      </c>
      <c r="CE118">
        <f ca="1">IF($AN118="",OFFSET(Demand!$A$13,ROW(O115)-1,4+((QUOTIENT(COLUMN(CE$2)-69,3))*5)+MOD(COLUMN(CE$2),3),1,1),"")</f>
        <v>0</v>
      </c>
      <c r="CF118">
        <f ca="1">IF($AN118="",OFFSET(Demand!$A$13,ROW(P115)-1,4+((QUOTIENT(COLUMN(CF$2)-69,3))*5)+MOD(COLUMN(CF$2),3),1,1),"")</f>
        <v>0</v>
      </c>
      <c r="CG118">
        <f ca="1">IF($AN118="",OFFSET(Demand!$A$13,ROW(Q115)-1,4+((QUOTIENT(COLUMN(CG$2)-69,3))*5)+MOD(COLUMN(CG$2),3),1,1),"")</f>
        <v>0</v>
      </c>
      <c r="CH118">
        <f ca="1">IF($AN118="",OFFSET(Demand!$A$13,ROW(R115)-1,4+((QUOTIENT(COLUMN(CH$2)-69,3))*5)+MOD(COLUMN(CH$2),3),1,1),"")</f>
        <v>0</v>
      </c>
      <c r="CI118">
        <f ca="1">IF($AN118="",OFFSET(Demand!$A$13,ROW(S115)-1,4+((QUOTIENT(COLUMN(CI$2)-69,3))*5)+MOD(COLUMN(CI$2),3),1,1),"")</f>
        <v>0</v>
      </c>
      <c r="CJ118">
        <f ca="1">IF($AN118="",OFFSET(Demand!$A$13,ROW(T115)-1,4+((QUOTIENT(COLUMN(CJ$2)-69,3))*5)+MOD(COLUMN(CJ$2),3),1,1),"")</f>
        <v>0</v>
      </c>
      <c r="CK118">
        <f ca="1">IF($AN118="",OFFSET(Demand!$A$13,ROW(U115)-1,4+((QUOTIENT(COLUMN(CK$2)-69,3))*5)+MOD(COLUMN(CK$2),3),1,1),"")</f>
        <v>0</v>
      </c>
      <c r="CL118">
        <f ca="1">IF($AN118="",OFFSET(Demand!$A$13,ROW(V115)-1,4+((QUOTIENT(COLUMN(CL$2)-69,3))*5)+MOD(COLUMN(CL$2),3),1,1),"")</f>
        <v>0</v>
      </c>
      <c r="CM118">
        <f ca="1">IF($AN118="",OFFSET(Demand!$A$13,ROW(W115)-1,4+((QUOTIENT(COLUMN(CM$2)-69,3))*5)+MOD(COLUMN(CM$2),3),1,1),"")</f>
        <v>0</v>
      </c>
      <c r="CN118">
        <f ca="1">IF($AN118="",OFFSET(Demand!$A$13,ROW(X115)-1,4+((QUOTIENT(COLUMN(CN$2)-69,3))*5)+MOD(COLUMN(CN$2),3),1,1),"")</f>
        <v>0</v>
      </c>
      <c r="CO118">
        <f ca="1">IF($AN118="",OFFSET(Demand!$A$13,ROW(Y115)-1,4+((QUOTIENT(COLUMN(CO$2)-69,3))*5)+MOD(COLUMN(CO$2),3),1,1),"")</f>
        <v>0</v>
      </c>
      <c r="CP118">
        <f ca="1">IF($AN118="",OFFSET(Demand!$A$13,ROW(Z115)-1,4+((QUOTIENT(COLUMN(CP$2)-69,3))*5)+MOD(COLUMN(CP$2),3),1,1),"")</f>
        <v>0</v>
      </c>
      <c r="CQ118">
        <f ca="1">IF($AN118="",OFFSET(Demand!$A$13,ROW(AA115)-1,4+((QUOTIENT(COLUMN(CQ$2)-69,3))*5)+MOD(COLUMN(CQ$2),3),1,1),"")</f>
        <v>0</v>
      </c>
      <c r="CR118">
        <f ca="1">IF($AN118="",OFFSET(Demand!$A$13,ROW(AB115)-1,4+((QUOTIENT(COLUMN(CR$2)-69,3))*5)+MOD(COLUMN(CR$2),3),1,1),"")</f>
        <v>0</v>
      </c>
      <c r="CS118">
        <f ca="1">IF($AN118="",OFFSET(Demand!$A$13,ROW(AC115)-1,4+((QUOTIENT(COLUMN(CS$2)-69,3))*5)+MOD(COLUMN(CS$2),3),1,1),"")</f>
        <v>0</v>
      </c>
      <c r="CT118">
        <f ca="1">IF($AN118="",OFFSET(Demand!$A$13,ROW(AD115)-1,4+((QUOTIENT(COLUMN(CT$2)-69,3))*5)+MOD(COLUMN(CT$2),3),1,1),"")</f>
        <v>0</v>
      </c>
      <c r="CW118" s="5">
        <f ca="1">SUM(OFFSET(Demand!$H$43,ROW(A115)-1,(COLUMN(A115)-1)*5,1,1))*N$2</f>
        <v>0</v>
      </c>
      <c r="CX118" s="5">
        <f ca="1">SUM(OFFSET(Demand!$H$43,ROW(B115)-1,(COLUMN(B115)-1)*5,1,1))*O$2</f>
        <v>0</v>
      </c>
      <c r="CY118" s="5">
        <f ca="1">SUM(OFFSET(Demand!$H$43,ROW(C115)-1,(COLUMN(C115)-1)*5,1,1))*P$2</f>
        <v>0</v>
      </c>
      <c r="CZ118" s="5">
        <f ca="1">SUM(OFFSET(Demand!$H$43,ROW(D115)-1,(COLUMN(D115)-1)*5,1,1))*Q$2</f>
        <v>0</v>
      </c>
      <c r="DA118" s="5">
        <f ca="1">SUM(OFFSET(Demand!$H$43,ROW(E115)-1,(COLUMN(E115)-1)*5,1,1))*R$2</f>
        <v>0</v>
      </c>
      <c r="DB118" s="5">
        <f ca="1">SUM(OFFSET(Demand!$H$43,ROW(F115)-1,(COLUMN(F115)-1)*5,1,1))*S$2</f>
        <v>0</v>
      </c>
      <c r="DC118" s="5">
        <f ca="1">SUM(OFFSET(Demand!$H$43,ROW(G115)-1,(COLUMN(G115)-1)*5,1,1))*T$2</f>
        <v>0</v>
      </c>
      <c r="DD118" s="5">
        <f ca="1">SUM(OFFSET(Demand!$H$43,ROW(H115)-1,(COLUMN(H115)-1)*5,1,1))*U$2</f>
        <v>0</v>
      </c>
      <c r="DE118" s="5">
        <f ca="1">SUM(OFFSET(Demand!$H$43,ROW(I115)-1,(COLUMN(I115)-1)*5,1,1))*V$2</f>
        <v>0</v>
      </c>
      <c r="DF118" s="5">
        <f ca="1">SUM(OFFSET(Demand!$H$43,ROW(J115)-1,(COLUMN(J115)-1)*5,1,1))*W$2</f>
        <v>0</v>
      </c>
      <c r="DG118" s="5">
        <f ca="1">IF(OR(AN118&lt;&gt;"",AND('Demand adjustments for Covid'!$F$9="Yes",'Demand adjustments for Covid'!$F$20="Yes")),"",SUM(CW118:DF118))</f>
        <v>0</v>
      </c>
    </row>
    <row r="119" spans="1:111" x14ac:dyDescent="0.25">
      <c r="A119" s="5">
        <f t="shared" ca="1" si="34"/>
        <v>1</v>
      </c>
      <c r="B119" s="5">
        <f ca="1">COUNTBLANK(OFFSET(Demand!$I128,0,(COLUMN(A116)-1)*5,1,1))</f>
        <v>1</v>
      </c>
      <c r="C119" s="5">
        <f ca="1">COUNTBLANK(OFFSET(Demand!$I128,0,(COLUMN(B116)-1)*5,1,1))</f>
        <v>1</v>
      </c>
      <c r="D119" s="5">
        <f ca="1">COUNTBLANK(OFFSET(Demand!$I128,0,(COLUMN(C116)-1)*5,1,1))</f>
        <v>1</v>
      </c>
      <c r="E119" s="5">
        <f ca="1">COUNTBLANK(OFFSET(Demand!$I128,0,(COLUMN(D116)-1)*5,1,1))</f>
        <v>1</v>
      </c>
      <c r="F119" s="5">
        <f ca="1">COUNTBLANK(OFFSET(Demand!$I128,0,(COLUMN(E116)-1)*5,1,1))</f>
        <v>1</v>
      </c>
      <c r="G119" s="5">
        <f ca="1">COUNTBLANK(OFFSET(Demand!$I128,0,(COLUMN(F116)-1)*5,1,1))</f>
        <v>1</v>
      </c>
      <c r="H119" s="5">
        <f ca="1">COUNTBLANK(OFFSET(Demand!$I128,0,(COLUMN(G116)-1)*5,1,1))</f>
        <v>1</v>
      </c>
      <c r="I119" s="5">
        <f ca="1">COUNTBLANK(OFFSET(Demand!$I128,0,(COLUMN(H116)-1)*5,1,1))</f>
        <v>1</v>
      </c>
      <c r="J119" s="5">
        <f ca="1">COUNTBLANK(OFFSET(Demand!$I128,0,(COLUMN(I116)-1)*5,1,1))</f>
        <v>1</v>
      </c>
      <c r="K119" s="5">
        <f ca="1">COUNTBLANK(OFFSET(Demand!$I128,0,(COLUMN(J116)-1)*5,1,1))</f>
        <v>1</v>
      </c>
      <c r="N119" s="5">
        <f ca="1">SUM(OFFSET(Demand!$E128,0,(COLUMN(A116)-1)*5,1,3))*N$2</f>
        <v>0</v>
      </c>
      <c r="O119" s="5">
        <f ca="1">SUM(OFFSET(Demand!$E128,0,(COLUMN(B116)-1)*5,1,3))*O$2</f>
        <v>0</v>
      </c>
      <c r="P119" s="5">
        <f ca="1">SUM(OFFSET(Demand!$E128,0,(COLUMN(C116)-1)*5,1,3))*P$2</f>
        <v>0</v>
      </c>
      <c r="Q119" s="5">
        <f ca="1">SUM(OFFSET(Demand!$E128,0,(COLUMN(D116)-1)*5,1,3))*Q$2</f>
        <v>0</v>
      </c>
      <c r="R119" s="5">
        <f ca="1">SUM(OFFSET(Demand!$E128,0,(COLUMN(E116)-1)*5,1,3))*R$2</f>
        <v>0</v>
      </c>
      <c r="S119" s="5">
        <f ca="1">SUM(OFFSET(Demand!$E128,0,(COLUMN(F116)-1)*5,1,3))*S$2</f>
        <v>0</v>
      </c>
      <c r="T119" s="5">
        <f ca="1">SUM(OFFSET(Demand!$E128,0,(COLUMN(G116)-1)*5,1,3))*T$2</f>
        <v>0</v>
      </c>
      <c r="U119" s="5">
        <f ca="1">SUM(OFFSET(Demand!$E128,0,(COLUMN(H116)-1)*5,1,3))*U$2</f>
        <v>0</v>
      </c>
      <c r="V119" s="5">
        <f ca="1">SUM(OFFSET(Demand!$E128,0,(COLUMN(I116)-1)*5,1,3))*V$2</f>
        <v>0</v>
      </c>
      <c r="W119" s="5">
        <f ca="1">SUM(OFFSET(Demand!$E128,0,(COLUMN(J116)-1)*5,1,3))*W$2</f>
        <v>0</v>
      </c>
      <c r="X119" s="5">
        <f t="shared" ca="1" si="37"/>
        <v>0</v>
      </c>
      <c r="Y119">
        <f t="shared" ca="1" si="38"/>
        <v>0</v>
      </c>
      <c r="Z119" s="5">
        <f ca="1">SUM(OFFSET(Demand!$H128,0,(COLUMN(A116)-1)*5,1,1))*N$2</f>
        <v>0</v>
      </c>
      <c r="AA119" s="5">
        <f ca="1">SUM(OFFSET(Demand!$H128,0,(COLUMN(B116)-1)*5,1,1))*O$2</f>
        <v>0</v>
      </c>
      <c r="AB119" s="5">
        <f ca="1">SUM(OFFSET(Demand!$H128,0,(COLUMN(C116)-1)*5,1,1))*P$2</f>
        <v>0</v>
      </c>
      <c r="AC119" s="5">
        <f ca="1">SUM(OFFSET(Demand!$H128,0,(COLUMN(D116)-1)*5,1,1))*Q$2</f>
        <v>0</v>
      </c>
      <c r="AD119" s="5">
        <f ca="1">SUM(OFFSET(Demand!$H128,0,(COLUMN(E116)-1)*5,1,1))*R$2</f>
        <v>0</v>
      </c>
      <c r="AE119" s="5">
        <f ca="1">SUM(OFFSET(Demand!$H128,0,(COLUMN(F116)-1)*5,1,1))*S$2</f>
        <v>0</v>
      </c>
      <c r="AF119" s="5">
        <f ca="1">SUM(OFFSET(Demand!$H128,0,(COLUMN(G116)-1)*5,1,1))*T$2</f>
        <v>0</v>
      </c>
      <c r="AG119" s="5">
        <f ca="1">SUM(OFFSET(Demand!$H128,0,(COLUMN(H116)-1)*5,1,1))*U$2</f>
        <v>0</v>
      </c>
      <c r="AH119" s="5">
        <f ca="1">SUM(OFFSET(Demand!$H128,0,(COLUMN(I116)-1)*5,1,1))*V$2</f>
        <v>0</v>
      </c>
      <c r="AI119" s="5">
        <f ca="1">SUM(OFFSET(Demand!$H128,0,(COLUMN(J116)-1)*5,1,1))*W$2</f>
        <v>0</v>
      </c>
      <c r="AJ119" s="5">
        <f t="shared" ca="1" si="39"/>
        <v>0</v>
      </c>
      <c r="AL119" s="5">
        <f t="shared" ca="1" si="40"/>
        <v>0</v>
      </c>
      <c r="AM119" s="5">
        <f t="shared" ca="1" si="41"/>
        <v>0</v>
      </c>
      <c r="AN119" s="5" t="str">
        <f>IF(Demand!BE128="Yes","Yes","")</f>
        <v/>
      </c>
      <c r="AP119" s="36" t="str">
        <f ca="1">Demand!B128</f>
        <v xml:space="preserve"> </v>
      </c>
      <c r="AQ119" t="str">
        <f ca="1">IF(TEXT(Demand!D128,"MMM")&lt;&gt;TEXT(Demand!D127,"MMM"),TEXT(Demand!D128,"MMM"),"")</f>
        <v/>
      </c>
      <c r="AT119" s="5">
        <f t="shared" ca="1" si="42"/>
        <v>0</v>
      </c>
      <c r="BQ119">
        <f ca="1">IF($AN119="",OFFSET(Demand!$A$13,ROW(A116)-1,4+((QUOTIENT(COLUMN(BQ$2)-69,3))*5)+MOD(COLUMN(BQ$2),3),1,1),"")</f>
        <v>0</v>
      </c>
      <c r="BR119">
        <f ca="1">IF($AN119="",OFFSET(Demand!$A$13,ROW(B116)-1,4+((QUOTIENT(COLUMN(BR$2)-69,3))*5)+MOD(COLUMN(BR$2),3),1,1),"")</f>
        <v>0</v>
      </c>
      <c r="BS119">
        <f ca="1">IF($AN119="",OFFSET(Demand!$A$13,ROW(C116)-1,4+((QUOTIENT(COLUMN(BS$2)-69,3))*5)+MOD(COLUMN(BS$2),3),1,1),"")</f>
        <v>0</v>
      </c>
      <c r="BT119">
        <f ca="1">IF($AN119="",OFFSET(Demand!$A$13,ROW(D116)-1,4+((QUOTIENT(COLUMN(BT$2)-69,3))*5)+MOD(COLUMN(BT$2),3),1,1),"")</f>
        <v>0</v>
      </c>
      <c r="BU119">
        <f ca="1">IF($AN119="",OFFSET(Demand!$A$13,ROW(E116)-1,4+((QUOTIENT(COLUMN(BU$2)-69,3))*5)+MOD(COLUMN(BU$2),3),1,1),"")</f>
        <v>0</v>
      </c>
      <c r="BV119">
        <f ca="1">IF($AN119="",OFFSET(Demand!$A$13,ROW(F116)-1,4+((QUOTIENT(COLUMN(BV$2)-69,3))*5)+MOD(COLUMN(BV$2),3),1,1),"")</f>
        <v>0</v>
      </c>
      <c r="BW119">
        <f ca="1">IF($AN119="",OFFSET(Demand!$A$13,ROW(G116)-1,4+((QUOTIENT(COLUMN(BW$2)-69,3))*5)+MOD(COLUMN(BW$2),3),1,1),"")</f>
        <v>0</v>
      </c>
      <c r="BX119">
        <f ca="1">IF($AN119="",OFFSET(Demand!$A$13,ROW(H116)-1,4+((QUOTIENT(COLUMN(BX$2)-69,3))*5)+MOD(COLUMN(BX$2),3),1,1),"")</f>
        <v>0</v>
      </c>
      <c r="BY119">
        <f ca="1">IF($AN119="",OFFSET(Demand!$A$13,ROW(I116)-1,4+((QUOTIENT(COLUMN(BY$2)-69,3))*5)+MOD(COLUMN(BY$2),3),1,1),"")</f>
        <v>0</v>
      </c>
      <c r="BZ119">
        <f ca="1">IF($AN119="",OFFSET(Demand!$A$13,ROW(J116)-1,4+((QUOTIENT(COLUMN(BZ$2)-69,3))*5)+MOD(COLUMN(BZ$2),3),1,1),"")</f>
        <v>0</v>
      </c>
      <c r="CA119">
        <f ca="1">IF($AN119="",OFFSET(Demand!$A$13,ROW(K116)-1,4+((QUOTIENT(COLUMN(CA$2)-69,3))*5)+MOD(COLUMN(CA$2),3),1,1),"")</f>
        <v>0</v>
      </c>
      <c r="CB119">
        <f ca="1">IF($AN119="",OFFSET(Demand!$A$13,ROW(L116)-1,4+((QUOTIENT(COLUMN(CB$2)-69,3))*5)+MOD(COLUMN(CB$2),3),1,1),"")</f>
        <v>0</v>
      </c>
      <c r="CC119">
        <f ca="1">IF($AN119="",OFFSET(Demand!$A$13,ROW(M116)-1,4+((QUOTIENT(COLUMN(CC$2)-69,3))*5)+MOD(COLUMN(CC$2),3),1,1),"")</f>
        <v>0</v>
      </c>
      <c r="CD119">
        <f ca="1">IF($AN119="",OFFSET(Demand!$A$13,ROW(N116)-1,4+((QUOTIENT(COLUMN(CD$2)-69,3))*5)+MOD(COLUMN(CD$2),3),1,1),"")</f>
        <v>0</v>
      </c>
      <c r="CE119">
        <f ca="1">IF($AN119="",OFFSET(Demand!$A$13,ROW(O116)-1,4+((QUOTIENT(COLUMN(CE$2)-69,3))*5)+MOD(COLUMN(CE$2),3),1,1),"")</f>
        <v>0</v>
      </c>
      <c r="CF119">
        <f ca="1">IF($AN119="",OFFSET(Demand!$A$13,ROW(P116)-1,4+((QUOTIENT(COLUMN(CF$2)-69,3))*5)+MOD(COLUMN(CF$2),3),1,1),"")</f>
        <v>0</v>
      </c>
      <c r="CG119">
        <f ca="1">IF($AN119="",OFFSET(Demand!$A$13,ROW(Q116)-1,4+((QUOTIENT(COLUMN(CG$2)-69,3))*5)+MOD(COLUMN(CG$2),3),1,1),"")</f>
        <v>0</v>
      </c>
      <c r="CH119">
        <f ca="1">IF($AN119="",OFFSET(Demand!$A$13,ROW(R116)-1,4+((QUOTIENT(COLUMN(CH$2)-69,3))*5)+MOD(COLUMN(CH$2),3),1,1),"")</f>
        <v>0</v>
      </c>
      <c r="CI119">
        <f ca="1">IF($AN119="",OFFSET(Demand!$A$13,ROW(S116)-1,4+((QUOTIENT(COLUMN(CI$2)-69,3))*5)+MOD(COLUMN(CI$2),3),1,1),"")</f>
        <v>0</v>
      </c>
      <c r="CJ119">
        <f ca="1">IF($AN119="",OFFSET(Demand!$A$13,ROW(T116)-1,4+((QUOTIENT(COLUMN(CJ$2)-69,3))*5)+MOD(COLUMN(CJ$2),3),1,1),"")</f>
        <v>0</v>
      </c>
      <c r="CK119">
        <f ca="1">IF($AN119="",OFFSET(Demand!$A$13,ROW(U116)-1,4+((QUOTIENT(COLUMN(CK$2)-69,3))*5)+MOD(COLUMN(CK$2),3),1,1),"")</f>
        <v>0</v>
      </c>
      <c r="CL119">
        <f ca="1">IF($AN119="",OFFSET(Demand!$A$13,ROW(V116)-1,4+((QUOTIENT(COLUMN(CL$2)-69,3))*5)+MOD(COLUMN(CL$2),3),1,1),"")</f>
        <v>0</v>
      </c>
      <c r="CM119">
        <f ca="1">IF($AN119="",OFFSET(Demand!$A$13,ROW(W116)-1,4+((QUOTIENT(COLUMN(CM$2)-69,3))*5)+MOD(COLUMN(CM$2),3),1,1),"")</f>
        <v>0</v>
      </c>
      <c r="CN119">
        <f ca="1">IF($AN119="",OFFSET(Demand!$A$13,ROW(X116)-1,4+((QUOTIENT(COLUMN(CN$2)-69,3))*5)+MOD(COLUMN(CN$2),3),1,1),"")</f>
        <v>0</v>
      </c>
      <c r="CO119">
        <f ca="1">IF($AN119="",OFFSET(Demand!$A$13,ROW(Y116)-1,4+((QUOTIENT(COLUMN(CO$2)-69,3))*5)+MOD(COLUMN(CO$2),3),1,1),"")</f>
        <v>0</v>
      </c>
      <c r="CP119">
        <f ca="1">IF($AN119="",OFFSET(Demand!$A$13,ROW(Z116)-1,4+((QUOTIENT(COLUMN(CP$2)-69,3))*5)+MOD(COLUMN(CP$2),3),1,1),"")</f>
        <v>0</v>
      </c>
      <c r="CQ119">
        <f ca="1">IF($AN119="",OFFSET(Demand!$A$13,ROW(AA116)-1,4+((QUOTIENT(COLUMN(CQ$2)-69,3))*5)+MOD(COLUMN(CQ$2),3),1,1),"")</f>
        <v>0</v>
      </c>
      <c r="CR119">
        <f ca="1">IF($AN119="",OFFSET(Demand!$A$13,ROW(AB116)-1,4+((QUOTIENT(COLUMN(CR$2)-69,3))*5)+MOD(COLUMN(CR$2),3),1,1),"")</f>
        <v>0</v>
      </c>
      <c r="CS119">
        <f ca="1">IF($AN119="",OFFSET(Demand!$A$13,ROW(AC116)-1,4+((QUOTIENT(COLUMN(CS$2)-69,3))*5)+MOD(COLUMN(CS$2),3),1,1),"")</f>
        <v>0</v>
      </c>
      <c r="CT119">
        <f ca="1">IF($AN119="",OFFSET(Demand!$A$13,ROW(AD116)-1,4+((QUOTIENT(COLUMN(CT$2)-69,3))*5)+MOD(COLUMN(CT$2),3),1,1),"")</f>
        <v>0</v>
      </c>
      <c r="CW119" s="5">
        <f ca="1">SUM(OFFSET(Demand!$H$43,ROW(A116)-1,(COLUMN(A116)-1)*5,1,1))*N$2</f>
        <v>0</v>
      </c>
      <c r="CX119" s="5">
        <f ca="1">SUM(OFFSET(Demand!$H$43,ROW(B116)-1,(COLUMN(B116)-1)*5,1,1))*O$2</f>
        <v>0</v>
      </c>
      <c r="CY119" s="5">
        <f ca="1">SUM(OFFSET(Demand!$H$43,ROW(C116)-1,(COLUMN(C116)-1)*5,1,1))*P$2</f>
        <v>0</v>
      </c>
      <c r="CZ119" s="5">
        <f ca="1">SUM(OFFSET(Demand!$H$43,ROW(D116)-1,(COLUMN(D116)-1)*5,1,1))*Q$2</f>
        <v>0</v>
      </c>
      <c r="DA119" s="5">
        <f ca="1">SUM(OFFSET(Demand!$H$43,ROW(E116)-1,(COLUMN(E116)-1)*5,1,1))*R$2</f>
        <v>0</v>
      </c>
      <c r="DB119" s="5">
        <f ca="1">SUM(OFFSET(Demand!$H$43,ROW(F116)-1,(COLUMN(F116)-1)*5,1,1))*S$2</f>
        <v>0</v>
      </c>
      <c r="DC119" s="5">
        <f ca="1">SUM(OFFSET(Demand!$H$43,ROW(G116)-1,(COLUMN(G116)-1)*5,1,1))*T$2</f>
        <v>0</v>
      </c>
      <c r="DD119" s="5">
        <f ca="1">SUM(OFFSET(Demand!$H$43,ROW(H116)-1,(COLUMN(H116)-1)*5,1,1))*U$2</f>
        <v>0</v>
      </c>
      <c r="DE119" s="5">
        <f ca="1">SUM(OFFSET(Demand!$H$43,ROW(I116)-1,(COLUMN(I116)-1)*5,1,1))*V$2</f>
        <v>0</v>
      </c>
      <c r="DF119" s="5">
        <f ca="1">SUM(OFFSET(Demand!$H$43,ROW(J116)-1,(COLUMN(J116)-1)*5,1,1))*W$2</f>
        <v>0</v>
      </c>
      <c r="DG119" s="5">
        <f ca="1">IF(OR(AN119&lt;&gt;"",AND('Demand adjustments for Covid'!$F$9="Yes",'Demand adjustments for Covid'!$F$20="Yes")),"",SUM(CW119:DF119))</f>
        <v>0</v>
      </c>
    </row>
    <row r="120" spans="1:111" x14ac:dyDescent="0.25">
      <c r="A120" s="5">
        <f t="shared" ref="A120:A183" ca="1" si="43">SUM(OFFSET(B120,0,0,1,Num_Modalities))</f>
        <v>1</v>
      </c>
      <c r="B120" s="5">
        <f ca="1">COUNTBLANK(OFFSET(Demand!$I129,0,(COLUMN(A117)-1)*5,1,1))</f>
        <v>1</v>
      </c>
      <c r="C120" s="5">
        <f ca="1">COUNTBLANK(OFFSET(Demand!$I129,0,(COLUMN(B117)-1)*5,1,1))</f>
        <v>1</v>
      </c>
      <c r="D120" s="5">
        <f ca="1">COUNTBLANK(OFFSET(Demand!$I129,0,(COLUMN(C117)-1)*5,1,1))</f>
        <v>1</v>
      </c>
      <c r="E120" s="5">
        <f ca="1">COUNTBLANK(OFFSET(Demand!$I129,0,(COLUMN(D117)-1)*5,1,1))</f>
        <v>1</v>
      </c>
      <c r="F120" s="5">
        <f ca="1">COUNTBLANK(OFFSET(Demand!$I129,0,(COLUMN(E117)-1)*5,1,1))</f>
        <v>1</v>
      </c>
      <c r="G120" s="5">
        <f ca="1">COUNTBLANK(OFFSET(Demand!$I129,0,(COLUMN(F117)-1)*5,1,1))</f>
        <v>1</v>
      </c>
      <c r="H120" s="5">
        <f ca="1">COUNTBLANK(OFFSET(Demand!$I129,0,(COLUMN(G117)-1)*5,1,1))</f>
        <v>1</v>
      </c>
      <c r="I120" s="5">
        <f ca="1">COUNTBLANK(OFFSET(Demand!$I129,0,(COLUMN(H117)-1)*5,1,1))</f>
        <v>1</v>
      </c>
      <c r="J120" s="5">
        <f ca="1">COUNTBLANK(OFFSET(Demand!$I129,0,(COLUMN(I117)-1)*5,1,1))</f>
        <v>1</v>
      </c>
      <c r="K120" s="5">
        <f ca="1">COUNTBLANK(OFFSET(Demand!$I129,0,(COLUMN(J117)-1)*5,1,1))</f>
        <v>1</v>
      </c>
      <c r="N120" s="5">
        <f ca="1">SUM(OFFSET(Demand!$E129,0,(COLUMN(A117)-1)*5,1,3))*N$2</f>
        <v>0</v>
      </c>
      <c r="O120" s="5">
        <f ca="1">SUM(OFFSET(Demand!$E129,0,(COLUMN(B117)-1)*5,1,3))*O$2</f>
        <v>0</v>
      </c>
      <c r="P120" s="5">
        <f ca="1">SUM(OFFSET(Demand!$E129,0,(COLUMN(C117)-1)*5,1,3))*P$2</f>
        <v>0</v>
      </c>
      <c r="Q120" s="5">
        <f ca="1">SUM(OFFSET(Demand!$E129,0,(COLUMN(D117)-1)*5,1,3))*Q$2</f>
        <v>0</v>
      </c>
      <c r="R120" s="5">
        <f ca="1">SUM(OFFSET(Demand!$E129,0,(COLUMN(E117)-1)*5,1,3))*R$2</f>
        <v>0</v>
      </c>
      <c r="S120" s="5">
        <f ca="1">SUM(OFFSET(Demand!$E129,0,(COLUMN(F117)-1)*5,1,3))*S$2</f>
        <v>0</v>
      </c>
      <c r="T120" s="5">
        <f ca="1">SUM(OFFSET(Demand!$E129,0,(COLUMN(G117)-1)*5,1,3))*T$2</f>
        <v>0</v>
      </c>
      <c r="U120" s="5">
        <f ca="1">SUM(OFFSET(Demand!$E129,0,(COLUMN(H117)-1)*5,1,3))*U$2</f>
        <v>0</v>
      </c>
      <c r="V120" s="5">
        <f ca="1">SUM(OFFSET(Demand!$E129,0,(COLUMN(I117)-1)*5,1,3))*V$2</f>
        <v>0</v>
      </c>
      <c r="W120" s="5">
        <f ca="1">SUM(OFFSET(Demand!$E129,0,(COLUMN(J117)-1)*5,1,3))*W$2</f>
        <v>0</v>
      </c>
      <c r="X120" s="5">
        <f t="shared" ca="1" si="37"/>
        <v>0</v>
      </c>
      <c r="Y120">
        <f t="shared" ca="1" si="38"/>
        <v>0</v>
      </c>
      <c r="Z120" s="5">
        <f ca="1">SUM(OFFSET(Demand!$H129,0,(COLUMN(A117)-1)*5,1,1))*N$2</f>
        <v>0</v>
      </c>
      <c r="AA120" s="5">
        <f ca="1">SUM(OFFSET(Demand!$H129,0,(COLUMN(B117)-1)*5,1,1))*O$2</f>
        <v>0</v>
      </c>
      <c r="AB120" s="5">
        <f ca="1">SUM(OFFSET(Demand!$H129,0,(COLUMN(C117)-1)*5,1,1))*P$2</f>
        <v>0</v>
      </c>
      <c r="AC120" s="5">
        <f ca="1">SUM(OFFSET(Demand!$H129,0,(COLUMN(D117)-1)*5,1,1))*Q$2</f>
        <v>0</v>
      </c>
      <c r="AD120" s="5">
        <f ca="1">SUM(OFFSET(Demand!$H129,0,(COLUMN(E117)-1)*5,1,1))*R$2</f>
        <v>0</v>
      </c>
      <c r="AE120" s="5">
        <f ca="1">SUM(OFFSET(Demand!$H129,0,(COLUMN(F117)-1)*5,1,1))*S$2</f>
        <v>0</v>
      </c>
      <c r="AF120" s="5">
        <f ca="1">SUM(OFFSET(Demand!$H129,0,(COLUMN(G117)-1)*5,1,1))*T$2</f>
        <v>0</v>
      </c>
      <c r="AG120" s="5">
        <f ca="1">SUM(OFFSET(Demand!$H129,0,(COLUMN(H117)-1)*5,1,1))*U$2</f>
        <v>0</v>
      </c>
      <c r="AH120" s="5">
        <f ca="1">SUM(OFFSET(Demand!$H129,0,(COLUMN(I117)-1)*5,1,1))*V$2</f>
        <v>0</v>
      </c>
      <c r="AI120" s="5">
        <f ca="1">SUM(OFFSET(Demand!$H129,0,(COLUMN(J117)-1)*5,1,1))*W$2</f>
        <v>0</v>
      </c>
      <c r="AJ120" s="5">
        <f t="shared" ca="1" si="39"/>
        <v>0</v>
      </c>
      <c r="AL120" s="5">
        <f t="shared" ca="1" si="40"/>
        <v>0</v>
      </c>
      <c r="AM120" s="5">
        <f t="shared" ca="1" si="41"/>
        <v>0</v>
      </c>
      <c r="AN120" s="5" t="str">
        <f>IF(Demand!BE129="Yes","Yes","")</f>
        <v/>
      </c>
      <c r="AP120" s="36" t="str">
        <f ca="1">Demand!B129</f>
        <v xml:space="preserve"> </v>
      </c>
      <c r="AQ120" t="str">
        <f ca="1">IF(TEXT(Demand!D129,"MMM")&lt;&gt;TEXT(Demand!D128,"MMM"),TEXT(Demand!D129,"MMM"),"")</f>
        <v/>
      </c>
      <c r="AT120" s="5">
        <f t="shared" ca="1" si="42"/>
        <v>0</v>
      </c>
      <c r="BQ120">
        <f ca="1">IF($AN120="",OFFSET(Demand!$A$13,ROW(A117)-1,4+((QUOTIENT(COLUMN(BQ$2)-69,3))*5)+MOD(COLUMN(BQ$2),3),1,1),"")</f>
        <v>0</v>
      </c>
      <c r="BR120">
        <f ca="1">IF($AN120="",OFFSET(Demand!$A$13,ROW(B117)-1,4+((QUOTIENT(COLUMN(BR$2)-69,3))*5)+MOD(COLUMN(BR$2),3),1,1),"")</f>
        <v>0</v>
      </c>
      <c r="BS120">
        <f ca="1">IF($AN120="",OFFSET(Demand!$A$13,ROW(C117)-1,4+((QUOTIENT(COLUMN(BS$2)-69,3))*5)+MOD(COLUMN(BS$2),3),1,1),"")</f>
        <v>0</v>
      </c>
      <c r="BT120">
        <f ca="1">IF($AN120="",OFFSET(Demand!$A$13,ROW(D117)-1,4+((QUOTIENT(COLUMN(BT$2)-69,3))*5)+MOD(COLUMN(BT$2),3),1,1),"")</f>
        <v>0</v>
      </c>
      <c r="BU120">
        <f ca="1">IF($AN120="",OFFSET(Demand!$A$13,ROW(E117)-1,4+((QUOTIENT(COLUMN(BU$2)-69,3))*5)+MOD(COLUMN(BU$2),3),1,1),"")</f>
        <v>0</v>
      </c>
      <c r="BV120">
        <f ca="1">IF($AN120="",OFFSET(Demand!$A$13,ROW(F117)-1,4+((QUOTIENT(COLUMN(BV$2)-69,3))*5)+MOD(COLUMN(BV$2),3),1,1),"")</f>
        <v>0</v>
      </c>
      <c r="BW120">
        <f ca="1">IF($AN120="",OFFSET(Demand!$A$13,ROW(G117)-1,4+((QUOTIENT(COLUMN(BW$2)-69,3))*5)+MOD(COLUMN(BW$2),3),1,1),"")</f>
        <v>0</v>
      </c>
      <c r="BX120">
        <f ca="1">IF($AN120="",OFFSET(Demand!$A$13,ROW(H117)-1,4+((QUOTIENT(COLUMN(BX$2)-69,3))*5)+MOD(COLUMN(BX$2),3),1,1),"")</f>
        <v>0</v>
      </c>
      <c r="BY120">
        <f ca="1">IF($AN120="",OFFSET(Demand!$A$13,ROW(I117)-1,4+((QUOTIENT(COLUMN(BY$2)-69,3))*5)+MOD(COLUMN(BY$2),3),1,1),"")</f>
        <v>0</v>
      </c>
      <c r="BZ120">
        <f ca="1">IF($AN120="",OFFSET(Demand!$A$13,ROW(J117)-1,4+((QUOTIENT(COLUMN(BZ$2)-69,3))*5)+MOD(COLUMN(BZ$2),3),1,1),"")</f>
        <v>0</v>
      </c>
      <c r="CA120">
        <f ca="1">IF($AN120="",OFFSET(Demand!$A$13,ROW(K117)-1,4+((QUOTIENT(COLUMN(CA$2)-69,3))*5)+MOD(COLUMN(CA$2),3),1,1),"")</f>
        <v>0</v>
      </c>
      <c r="CB120">
        <f ca="1">IF($AN120="",OFFSET(Demand!$A$13,ROW(L117)-1,4+((QUOTIENT(COLUMN(CB$2)-69,3))*5)+MOD(COLUMN(CB$2),3),1,1),"")</f>
        <v>0</v>
      </c>
      <c r="CC120">
        <f ca="1">IF($AN120="",OFFSET(Demand!$A$13,ROW(M117)-1,4+((QUOTIENT(COLUMN(CC$2)-69,3))*5)+MOD(COLUMN(CC$2),3),1,1),"")</f>
        <v>0</v>
      </c>
      <c r="CD120">
        <f ca="1">IF($AN120="",OFFSET(Demand!$A$13,ROW(N117)-1,4+((QUOTIENT(COLUMN(CD$2)-69,3))*5)+MOD(COLUMN(CD$2),3),1,1),"")</f>
        <v>0</v>
      </c>
      <c r="CE120">
        <f ca="1">IF($AN120="",OFFSET(Demand!$A$13,ROW(O117)-1,4+((QUOTIENT(COLUMN(CE$2)-69,3))*5)+MOD(COLUMN(CE$2),3),1,1),"")</f>
        <v>0</v>
      </c>
      <c r="CF120">
        <f ca="1">IF($AN120="",OFFSET(Demand!$A$13,ROW(P117)-1,4+((QUOTIENT(COLUMN(CF$2)-69,3))*5)+MOD(COLUMN(CF$2),3),1,1),"")</f>
        <v>0</v>
      </c>
      <c r="CG120">
        <f ca="1">IF($AN120="",OFFSET(Demand!$A$13,ROW(Q117)-1,4+((QUOTIENT(COLUMN(CG$2)-69,3))*5)+MOD(COLUMN(CG$2),3),1,1),"")</f>
        <v>0</v>
      </c>
      <c r="CH120">
        <f ca="1">IF($AN120="",OFFSET(Demand!$A$13,ROW(R117)-1,4+((QUOTIENT(COLUMN(CH$2)-69,3))*5)+MOD(COLUMN(CH$2),3),1,1),"")</f>
        <v>0</v>
      </c>
      <c r="CI120">
        <f ca="1">IF($AN120="",OFFSET(Demand!$A$13,ROW(S117)-1,4+((QUOTIENT(COLUMN(CI$2)-69,3))*5)+MOD(COLUMN(CI$2),3),1,1),"")</f>
        <v>0</v>
      </c>
      <c r="CJ120">
        <f ca="1">IF($AN120="",OFFSET(Demand!$A$13,ROW(T117)-1,4+((QUOTIENT(COLUMN(CJ$2)-69,3))*5)+MOD(COLUMN(CJ$2),3),1,1),"")</f>
        <v>0</v>
      </c>
      <c r="CK120">
        <f ca="1">IF($AN120="",OFFSET(Demand!$A$13,ROW(U117)-1,4+((QUOTIENT(COLUMN(CK$2)-69,3))*5)+MOD(COLUMN(CK$2),3),1,1),"")</f>
        <v>0</v>
      </c>
      <c r="CL120">
        <f ca="1">IF($AN120="",OFFSET(Demand!$A$13,ROW(V117)-1,4+((QUOTIENT(COLUMN(CL$2)-69,3))*5)+MOD(COLUMN(CL$2),3),1,1),"")</f>
        <v>0</v>
      </c>
      <c r="CM120">
        <f ca="1">IF($AN120="",OFFSET(Demand!$A$13,ROW(W117)-1,4+((QUOTIENT(COLUMN(CM$2)-69,3))*5)+MOD(COLUMN(CM$2),3),1,1),"")</f>
        <v>0</v>
      </c>
      <c r="CN120">
        <f ca="1">IF($AN120="",OFFSET(Demand!$A$13,ROW(X117)-1,4+((QUOTIENT(COLUMN(CN$2)-69,3))*5)+MOD(COLUMN(CN$2),3),1,1),"")</f>
        <v>0</v>
      </c>
      <c r="CO120">
        <f ca="1">IF($AN120="",OFFSET(Demand!$A$13,ROW(Y117)-1,4+((QUOTIENT(COLUMN(CO$2)-69,3))*5)+MOD(COLUMN(CO$2),3),1,1),"")</f>
        <v>0</v>
      </c>
      <c r="CP120">
        <f ca="1">IF($AN120="",OFFSET(Demand!$A$13,ROW(Z117)-1,4+((QUOTIENT(COLUMN(CP$2)-69,3))*5)+MOD(COLUMN(CP$2),3),1,1),"")</f>
        <v>0</v>
      </c>
      <c r="CQ120">
        <f ca="1">IF($AN120="",OFFSET(Demand!$A$13,ROW(AA117)-1,4+((QUOTIENT(COLUMN(CQ$2)-69,3))*5)+MOD(COLUMN(CQ$2),3),1,1),"")</f>
        <v>0</v>
      </c>
      <c r="CR120">
        <f ca="1">IF($AN120="",OFFSET(Demand!$A$13,ROW(AB117)-1,4+((QUOTIENT(COLUMN(CR$2)-69,3))*5)+MOD(COLUMN(CR$2),3),1,1),"")</f>
        <v>0</v>
      </c>
      <c r="CS120">
        <f ca="1">IF($AN120="",OFFSET(Demand!$A$13,ROW(AC117)-1,4+((QUOTIENT(COLUMN(CS$2)-69,3))*5)+MOD(COLUMN(CS$2),3),1,1),"")</f>
        <v>0</v>
      </c>
      <c r="CT120">
        <f ca="1">IF($AN120="",OFFSET(Demand!$A$13,ROW(AD117)-1,4+((QUOTIENT(COLUMN(CT$2)-69,3))*5)+MOD(COLUMN(CT$2),3),1,1),"")</f>
        <v>0</v>
      </c>
      <c r="CW120" s="5">
        <f ca="1">SUM(OFFSET(Demand!$H$43,ROW(A117)-1,(COLUMN(A117)-1)*5,1,1))*N$2</f>
        <v>0</v>
      </c>
      <c r="CX120" s="5">
        <f ca="1">SUM(OFFSET(Demand!$H$43,ROW(B117)-1,(COLUMN(B117)-1)*5,1,1))*O$2</f>
        <v>0</v>
      </c>
      <c r="CY120" s="5">
        <f ca="1">SUM(OFFSET(Demand!$H$43,ROW(C117)-1,(COLUMN(C117)-1)*5,1,1))*P$2</f>
        <v>0</v>
      </c>
      <c r="CZ120" s="5">
        <f ca="1">SUM(OFFSET(Demand!$H$43,ROW(D117)-1,(COLUMN(D117)-1)*5,1,1))*Q$2</f>
        <v>0</v>
      </c>
      <c r="DA120" s="5">
        <f ca="1">SUM(OFFSET(Demand!$H$43,ROW(E117)-1,(COLUMN(E117)-1)*5,1,1))*R$2</f>
        <v>0</v>
      </c>
      <c r="DB120" s="5">
        <f ca="1">SUM(OFFSET(Demand!$H$43,ROW(F117)-1,(COLUMN(F117)-1)*5,1,1))*S$2</f>
        <v>0</v>
      </c>
      <c r="DC120" s="5">
        <f ca="1">SUM(OFFSET(Demand!$H$43,ROW(G117)-1,(COLUMN(G117)-1)*5,1,1))*T$2</f>
        <v>0</v>
      </c>
      <c r="DD120" s="5">
        <f ca="1">SUM(OFFSET(Demand!$H$43,ROW(H117)-1,(COLUMN(H117)-1)*5,1,1))*U$2</f>
        <v>0</v>
      </c>
      <c r="DE120" s="5">
        <f ca="1">SUM(OFFSET(Demand!$H$43,ROW(I117)-1,(COLUMN(I117)-1)*5,1,1))*V$2</f>
        <v>0</v>
      </c>
      <c r="DF120" s="5">
        <f ca="1">SUM(OFFSET(Demand!$H$43,ROW(J117)-1,(COLUMN(J117)-1)*5,1,1))*W$2</f>
        <v>0</v>
      </c>
      <c r="DG120" s="5">
        <f ca="1">IF(OR(AN120&lt;&gt;"",AND('Demand adjustments for Covid'!$F$9="Yes",'Demand adjustments for Covid'!$F$20="Yes")),"",SUM(CW120:DF120))</f>
        <v>0</v>
      </c>
    </row>
    <row r="121" spans="1:111" x14ac:dyDescent="0.25">
      <c r="A121" s="5">
        <f t="shared" ca="1" si="43"/>
        <v>1</v>
      </c>
      <c r="B121" s="5">
        <f ca="1">COUNTBLANK(OFFSET(Demand!$I130,0,(COLUMN(A118)-1)*5,1,1))</f>
        <v>1</v>
      </c>
      <c r="C121" s="5">
        <f ca="1">COUNTBLANK(OFFSET(Demand!$I130,0,(COLUMN(B118)-1)*5,1,1))</f>
        <v>1</v>
      </c>
      <c r="D121" s="5">
        <f ca="1">COUNTBLANK(OFFSET(Demand!$I130,0,(COLUMN(C118)-1)*5,1,1))</f>
        <v>1</v>
      </c>
      <c r="E121" s="5">
        <f ca="1">COUNTBLANK(OFFSET(Demand!$I130,0,(COLUMN(D118)-1)*5,1,1))</f>
        <v>1</v>
      </c>
      <c r="F121" s="5">
        <f ca="1">COUNTBLANK(OFFSET(Demand!$I130,0,(COLUMN(E118)-1)*5,1,1))</f>
        <v>1</v>
      </c>
      <c r="G121" s="5">
        <f ca="1">COUNTBLANK(OFFSET(Demand!$I130,0,(COLUMN(F118)-1)*5,1,1))</f>
        <v>1</v>
      </c>
      <c r="H121" s="5">
        <f ca="1">COUNTBLANK(OFFSET(Demand!$I130,0,(COLUMN(G118)-1)*5,1,1))</f>
        <v>1</v>
      </c>
      <c r="I121" s="5">
        <f ca="1">COUNTBLANK(OFFSET(Demand!$I130,0,(COLUMN(H118)-1)*5,1,1))</f>
        <v>1</v>
      </c>
      <c r="J121" s="5">
        <f ca="1">COUNTBLANK(OFFSET(Demand!$I130,0,(COLUMN(I118)-1)*5,1,1))</f>
        <v>1</v>
      </c>
      <c r="K121" s="5">
        <f ca="1">COUNTBLANK(OFFSET(Demand!$I130,0,(COLUMN(J118)-1)*5,1,1))</f>
        <v>1</v>
      </c>
      <c r="N121" s="5">
        <f ca="1">SUM(OFFSET(Demand!$E130,0,(COLUMN(A118)-1)*5,1,3))*N$2</f>
        <v>0</v>
      </c>
      <c r="O121" s="5">
        <f ca="1">SUM(OFFSET(Demand!$E130,0,(COLUMN(B118)-1)*5,1,3))*O$2</f>
        <v>0</v>
      </c>
      <c r="P121" s="5">
        <f ca="1">SUM(OFFSET(Demand!$E130,0,(COLUMN(C118)-1)*5,1,3))*P$2</f>
        <v>0</v>
      </c>
      <c r="Q121" s="5">
        <f ca="1">SUM(OFFSET(Demand!$E130,0,(COLUMN(D118)-1)*5,1,3))*Q$2</f>
        <v>0</v>
      </c>
      <c r="R121" s="5">
        <f ca="1">SUM(OFFSET(Demand!$E130,0,(COLUMN(E118)-1)*5,1,3))*R$2</f>
        <v>0</v>
      </c>
      <c r="S121" s="5">
        <f ca="1">SUM(OFFSET(Demand!$E130,0,(COLUMN(F118)-1)*5,1,3))*S$2</f>
        <v>0</v>
      </c>
      <c r="T121" s="5">
        <f ca="1">SUM(OFFSET(Demand!$E130,0,(COLUMN(G118)-1)*5,1,3))*T$2</f>
        <v>0</v>
      </c>
      <c r="U121" s="5">
        <f ca="1">SUM(OFFSET(Demand!$E130,0,(COLUMN(H118)-1)*5,1,3))*U$2</f>
        <v>0</v>
      </c>
      <c r="V121" s="5">
        <f ca="1">SUM(OFFSET(Demand!$E130,0,(COLUMN(I118)-1)*5,1,3))*V$2</f>
        <v>0</v>
      </c>
      <c r="W121" s="5">
        <f ca="1">SUM(OFFSET(Demand!$E130,0,(COLUMN(J118)-1)*5,1,3))*W$2</f>
        <v>0</v>
      </c>
      <c r="X121" s="5">
        <f t="shared" ca="1" si="37"/>
        <v>0</v>
      </c>
      <c r="Y121">
        <f t="shared" ca="1" si="38"/>
        <v>0</v>
      </c>
      <c r="Z121" s="5">
        <f ca="1">SUM(OFFSET(Demand!$H130,0,(COLUMN(A118)-1)*5,1,1))*N$2</f>
        <v>0</v>
      </c>
      <c r="AA121" s="5">
        <f ca="1">SUM(OFFSET(Demand!$H130,0,(COLUMN(B118)-1)*5,1,1))*O$2</f>
        <v>0</v>
      </c>
      <c r="AB121" s="5">
        <f ca="1">SUM(OFFSET(Demand!$H130,0,(COLUMN(C118)-1)*5,1,1))*P$2</f>
        <v>0</v>
      </c>
      <c r="AC121" s="5">
        <f ca="1">SUM(OFFSET(Demand!$H130,0,(COLUMN(D118)-1)*5,1,1))*Q$2</f>
        <v>0</v>
      </c>
      <c r="AD121" s="5">
        <f ca="1">SUM(OFFSET(Demand!$H130,0,(COLUMN(E118)-1)*5,1,1))*R$2</f>
        <v>0</v>
      </c>
      <c r="AE121" s="5">
        <f ca="1">SUM(OFFSET(Demand!$H130,0,(COLUMN(F118)-1)*5,1,1))*S$2</f>
        <v>0</v>
      </c>
      <c r="AF121" s="5">
        <f ca="1">SUM(OFFSET(Demand!$H130,0,(COLUMN(G118)-1)*5,1,1))*T$2</f>
        <v>0</v>
      </c>
      <c r="AG121" s="5">
        <f ca="1">SUM(OFFSET(Demand!$H130,0,(COLUMN(H118)-1)*5,1,1))*U$2</f>
        <v>0</v>
      </c>
      <c r="AH121" s="5">
        <f ca="1">SUM(OFFSET(Demand!$H130,0,(COLUMN(I118)-1)*5,1,1))*V$2</f>
        <v>0</v>
      </c>
      <c r="AI121" s="5">
        <f ca="1">SUM(OFFSET(Demand!$H130,0,(COLUMN(J118)-1)*5,1,1))*W$2</f>
        <v>0</v>
      </c>
      <c r="AJ121" s="5">
        <f t="shared" ca="1" si="39"/>
        <v>0</v>
      </c>
      <c r="AL121" s="5">
        <f t="shared" ca="1" si="40"/>
        <v>0</v>
      </c>
      <c r="AM121" s="5">
        <f t="shared" ca="1" si="41"/>
        <v>0</v>
      </c>
      <c r="AN121" s="5" t="str">
        <f>IF(Demand!BE130="Yes","Yes","")</f>
        <v/>
      </c>
      <c r="AP121" s="36" t="str">
        <f ca="1">Demand!B130</f>
        <v xml:space="preserve"> </v>
      </c>
      <c r="AQ121" t="str">
        <f ca="1">IF(TEXT(Demand!D130,"MMM")&lt;&gt;TEXT(Demand!D129,"MMM"),TEXT(Demand!D130,"MMM"),"")</f>
        <v/>
      </c>
      <c r="AT121" s="5">
        <f t="shared" ca="1" si="42"/>
        <v>0</v>
      </c>
      <c r="BQ121">
        <f ca="1">IF($AN121="",OFFSET(Demand!$A$13,ROW(A118)-1,4+((QUOTIENT(COLUMN(BQ$2)-69,3))*5)+MOD(COLUMN(BQ$2),3),1,1),"")</f>
        <v>0</v>
      </c>
      <c r="BR121">
        <f ca="1">IF($AN121="",OFFSET(Demand!$A$13,ROW(B118)-1,4+((QUOTIENT(COLUMN(BR$2)-69,3))*5)+MOD(COLUMN(BR$2),3),1,1),"")</f>
        <v>0</v>
      </c>
      <c r="BS121">
        <f ca="1">IF($AN121="",OFFSET(Demand!$A$13,ROW(C118)-1,4+((QUOTIENT(COLUMN(BS$2)-69,3))*5)+MOD(COLUMN(BS$2),3),1,1),"")</f>
        <v>0</v>
      </c>
      <c r="BT121">
        <f ca="1">IF($AN121="",OFFSET(Demand!$A$13,ROW(D118)-1,4+((QUOTIENT(COLUMN(BT$2)-69,3))*5)+MOD(COLUMN(BT$2),3),1,1),"")</f>
        <v>0</v>
      </c>
      <c r="BU121">
        <f ca="1">IF($AN121="",OFFSET(Demand!$A$13,ROW(E118)-1,4+((QUOTIENT(COLUMN(BU$2)-69,3))*5)+MOD(COLUMN(BU$2),3),1,1),"")</f>
        <v>0</v>
      </c>
      <c r="BV121">
        <f ca="1">IF($AN121="",OFFSET(Demand!$A$13,ROW(F118)-1,4+((QUOTIENT(COLUMN(BV$2)-69,3))*5)+MOD(COLUMN(BV$2),3),1,1),"")</f>
        <v>0</v>
      </c>
      <c r="BW121">
        <f ca="1">IF($AN121="",OFFSET(Demand!$A$13,ROW(G118)-1,4+((QUOTIENT(COLUMN(BW$2)-69,3))*5)+MOD(COLUMN(BW$2),3),1,1),"")</f>
        <v>0</v>
      </c>
      <c r="BX121">
        <f ca="1">IF($AN121="",OFFSET(Demand!$A$13,ROW(H118)-1,4+((QUOTIENT(COLUMN(BX$2)-69,3))*5)+MOD(COLUMN(BX$2),3),1,1),"")</f>
        <v>0</v>
      </c>
      <c r="BY121">
        <f ca="1">IF($AN121="",OFFSET(Demand!$A$13,ROW(I118)-1,4+((QUOTIENT(COLUMN(BY$2)-69,3))*5)+MOD(COLUMN(BY$2),3),1,1),"")</f>
        <v>0</v>
      </c>
      <c r="BZ121">
        <f ca="1">IF($AN121="",OFFSET(Demand!$A$13,ROW(J118)-1,4+((QUOTIENT(COLUMN(BZ$2)-69,3))*5)+MOD(COLUMN(BZ$2),3),1,1),"")</f>
        <v>0</v>
      </c>
      <c r="CA121">
        <f ca="1">IF($AN121="",OFFSET(Demand!$A$13,ROW(K118)-1,4+((QUOTIENT(COLUMN(CA$2)-69,3))*5)+MOD(COLUMN(CA$2),3),1,1),"")</f>
        <v>0</v>
      </c>
      <c r="CB121">
        <f ca="1">IF($AN121="",OFFSET(Demand!$A$13,ROW(L118)-1,4+((QUOTIENT(COLUMN(CB$2)-69,3))*5)+MOD(COLUMN(CB$2),3),1,1),"")</f>
        <v>0</v>
      </c>
      <c r="CC121">
        <f ca="1">IF($AN121="",OFFSET(Demand!$A$13,ROW(M118)-1,4+((QUOTIENT(COLUMN(CC$2)-69,3))*5)+MOD(COLUMN(CC$2),3),1,1),"")</f>
        <v>0</v>
      </c>
      <c r="CD121">
        <f ca="1">IF($AN121="",OFFSET(Demand!$A$13,ROW(N118)-1,4+((QUOTIENT(COLUMN(CD$2)-69,3))*5)+MOD(COLUMN(CD$2),3),1,1),"")</f>
        <v>0</v>
      </c>
      <c r="CE121">
        <f ca="1">IF($AN121="",OFFSET(Demand!$A$13,ROW(O118)-1,4+((QUOTIENT(COLUMN(CE$2)-69,3))*5)+MOD(COLUMN(CE$2),3),1,1),"")</f>
        <v>0</v>
      </c>
      <c r="CF121">
        <f ca="1">IF($AN121="",OFFSET(Demand!$A$13,ROW(P118)-1,4+((QUOTIENT(COLUMN(CF$2)-69,3))*5)+MOD(COLUMN(CF$2),3),1,1),"")</f>
        <v>0</v>
      </c>
      <c r="CG121">
        <f ca="1">IF($AN121="",OFFSET(Demand!$A$13,ROW(Q118)-1,4+((QUOTIENT(COLUMN(CG$2)-69,3))*5)+MOD(COLUMN(CG$2),3),1,1),"")</f>
        <v>0</v>
      </c>
      <c r="CH121">
        <f ca="1">IF($AN121="",OFFSET(Demand!$A$13,ROW(R118)-1,4+((QUOTIENT(COLUMN(CH$2)-69,3))*5)+MOD(COLUMN(CH$2),3),1,1),"")</f>
        <v>0</v>
      </c>
      <c r="CI121">
        <f ca="1">IF($AN121="",OFFSET(Demand!$A$13,ROW(S118)-1,4+((QUOTIENT(COLUMN(CI$2)-69,3))*5)+MOD(COLUMN(CI$2),3),1,1),"")</f>
        <v>0</v>
      </c>
      <c r="CJ121">
        <f ca="1">IF($AN121="",OFFSET(Demand!$A$13,ROW(T118)-1,4+((QUOTIENT(COLUMN(CJ$2)-69,3))*5)+MOD(COLUMN(CJ$2),3),1,1),"")</f>
        <v>0</v>
      </c>
      <c r="CK121">
        <f ca="1">IF($AN121="",OFFSET(Demand!$A$13,ROW(U118)-1,4+((QUOTIENT(COLUMN(CK$2)-69,3))*5)+MOD(COLUMN(CK$2),3),1,1),"")</f>
        <v>0</v>
      </c>
      <c r="CL121">
        <f ca="1">IF($AN121="",OFFSET(Demand!$A$13,ROW(V118)-1,4+((QUOTIENT(COLUMN(CL$2)-69,3))*5)+MOD(COLUMN(CL$2),3),1,1),"")</f>
        <v>0</v>
      </c>
      <c r="CM121">
        <f ca="1">IF($AN121="",OFFSET(Demand!$A$13,ROW(W118)-1,4+((QUOTIENT(COLUMN(CM$2)-69,3))*5)+MOD(COLUMN(CM$2),3),1,1),"")</f>
        <v>0</v>
      </c>
      <c r="CN121">
        <f ca="1">IF($AN121="",OFFSET(Demand!$A$13,ROW(X118)-1,4+((QUOTIENT(COLUMN(CN$2)-69,3))*5)+MOD(COLUMN(CN$2),3),1,1),"")</f>
        <v>0</v>
      </c>
      <c r="CO121">
        <f ca="1">IF($AN121="",OFFSET(Demand!$A$13,ROW(Y118)-1,4+((QUOTIENT(COLUMN(CO$2)-69,3))*5)+MOD(COLUMN(CO$2),3),1,1),"")</f>
        <v>0</v>
      </c>
      <c r="CP121">
        <f ca="1">IF($AN121="",OFFSET(Demand!$A$13,ROW(Z118)-1,4+((QUOTIENT(COLUMN(CP$2)-69,3))*5)+MOD(COLUMN(CP$2),3),1,1),"")</f>
        <v>0</v>
      </c>
      <c r="CQ121">
        <f ca="1">IF($AN121="",OFFSET(Demand!$A$13,ROW(AA118)-1,4+((QUOTIENT(COLUMN(CQ$2)-69,3))*5)+MOD(COLUMN(CQ$2),3),1,1),"")</f>
        <v>0</v>
      </c>
      <c r="CR121">
        <f ca="1">IF($AN121="",OFFSET(Demand!$A$13,ROW(AB118)-1,4+((QUOTIENT(COLUMN(CR$2)-69,3))*5)+MOD(COLUMN(CR$2),3),1,1),"")</f>
        <v>0</v>
      </c>
      <c r="CS121">
        <f ca="1">IF($AN121="",OFFSET(Demand!$A$13,ROW(AC118)-1,4+((QUOTIENT(COLUMN(CS$2)-69,3))*5)+MOD(COLUMN(CS$2),3),1,1),"")</f>
        <v>0</v>
      </c>
      <c r="CT121">
        <f ca="1">IF($AN121="",OFFSET(Demand!$A$13,ROW(AD118)-1,4+((QUOTIENT(COLUMN(CT$2)-69,3))*5)+MOD(COLUMN(CT$2),3),1,1),"")</f>
        <v>0</v>
      </c>
      <c r="CW121" s="5">
        <f ca="1">SUM(OFFSET(Demand!$H$43,ROW(A118)-1,(COLUMN(A118)-1)*5,1,1))*N$2</f>
        <v>0</v>
      </c>
      <c r="CX121" s="5">
        <f ca="1">SUM(OFFSET(Demand!$H$43,ROW(B118)-1,(COLUMN(B118)-1)*5,1,1))*O$2</f>
        <v>0</v>
      </c>
      <c r="CY121" s="5">
        <f ca="1">SUM(OFFSET(Demand!$H$43,ROW(C118)-1,(COLUMN(C118)-1)*5,1,1))*P$2</f>
        <v>0</v>
      </c>
      <c r="CZ121" s="5">
        <f ca="1">SUM(OFFSET(Demand!$H$43,ROW(D118)-1,(COLUMN(D118)-1)*5,1,1))*Q$2</f>
        <v>0</v>
      </c>
      <c r="DA121" s="5">
        <f ca="1">SUM(OFFSET(Demand!$H$43,ROW(E118)-1,(COLUMN(E118)-1)*5,1,1))*R$2</f>
        <v>0</v>
      </c>
      <c r="DB121" s="5">
        <f ca="1">SUM(OFFSET(Demand!$H$43,ROW(F118)-1,(COLUMN(F118)-1)*5,1,1))*S$2</f>
        <v>0</v>
      </c>
      <c r="DC121" s="5">
        <f ca="1">SUM(OFFSET(Demand!$H$43,ROW(G118)-1,(COLUMN(G118)-1)*5,1,1))*T$2</f>
        <v>0</v>
      </c>
      <c r="DD121" s="5">
        <f ca="1">SUM(OFFSET(Demand!$H$43,ROW(H118)-1,(COLUMN(H118)-1)*5,1,1))*U$2</f>
        <v>0</v>
      </c>
      <c r="DE121" s="5">
        <f ca="1">SUM(OFFSET(Demand!$H$43,ROW(I118)-1,(COLUMN(I118)-1)*5,1,1))*V$2</f>
        <v>0</v>
      </c>
      <c r="DF121" s="5">
        <f ca="1">SUM(OFFSET(Demand!$H$43,ROW(J118)-1,(COLUMN(J118)-1)*5,1,1))*W$2</f>
        <v>0</v>
      </c>
      <c r="DG121" s="5">
        <f ca="1">IF(OR(AN121&lt;&gt;"",AND('Demand adjustments for Covid'!$F$9="Yes",'Demand adjustments for Covid'!$F$20="Yes")),"",SUM(CW121:DF121))</f>
        <v>0</v>
      </c>
    </row>
    <row r="122" spans="1:111" x14ac:dyDescent="0.25">
      <c r="A122" s="5">
        <f t="shared" ca="1" si="43"/>
        <v>1</v>
      </c>
      <c r="B122" s="5">
        <f ca="1">COUNTBLANK(OFFSET(Demand!$I131,0,(COLUMN(A119)-1)*5,1,1))</f>
        <v>1</v>
      </c>
      <c r="C122" s="5">
        <f ca="1">COUNTBLANK(OFFSET(Demand!$I131,0,(COLUMN(B119)-1)*5,1,1))</f>
        <v>1</v>
      </c>
      <c r="D122" s="5">
        <f ca="1">COUNTBLANK(OFFSET(Demand!$I131,0,(COLUMN(C119)-1)*5,1,1))</f>
        <v>1</v>
      </c>
      <c r="E122" s="5">
        <f ca="1">COUNTBLANK(OFFSET(Demand!$I131,0,(COLUMN(D119)-1)*5,1,1))</f>
        <v>1</v>
      </c>
      <c r="F122" s="5">
        <f ca="1">COUNTBLANK(OFFSET(Demand!$I131,0,(COLUMN(E119)-1)*5,1,1))</f>
        <v>1</v>
      </c>
      <c r="G122" s="5">
        <f ca="1">COUNTBLANK(OFFSET(Demand!$I131,0,(COLUMN(F119)-1)*5,1,1))</f>
        <v>1</v>
      </c>
      <c r="H122" s="5">
        <f ca="1">COUNTBLANK(OFFSET(Demand!$I131,0,(COLUMN(G119)-1)*5,1,1))</f>
        <v>1</v>
      </c>
      <c r="I122" s="5">
        <f ca="1">COUNTBLANK(OFFSET(Demand!$I131,0,(COLUMN(H119)-1)*5,1,1))</f>
        <v>1</v>
      </c>
      <c r="J122" s="5">
        <f ca="1">COUNTBLANK(OFFSET(Demand!$I131,0,(COLUMN(I119)-1)*5,1,1))</f>
        <v>1</v>
      </c>
      <c r="K122" s="5">
        <f ca="1">COUNTBLANK(OFFSET(Demand!$I131,0,(COLUMN(J119)-1)*5,1,1))</f>
        <v>1</v>
      </c>
      <c r="N122" s="5">
        <f ca="1">SUM(OFFSET(Demand!$E131,0,(COLUMN(A119)-1)*5,1,3))*N$2</f>
        <v>0</v>
      </c>
      <c r="O122" s="5">
        <f ca="1">SUM(OFFSET(Demand!$E131,0,(COLUMN(B119)-1)*5,1,3))*O$2</f>
        <v>0</v>
      </c>
      <c r="P122" s="5">
        <f ca="1">SUM(OFFSET(Demand!$E131,0,(COLUMN(C119)-1)*5,1,3))*P$2</f>
        <v>0</v>
      </c>
      <c r="Q122" s="5">
        <f ca="1">SUM(OFFSET(Demand!$E131,0,(COLUMN(D119)-1)*5,1,3))*Q$2</f>
        <v>0</v>
      </c>
      <c r="R122" s="5">
        <f ca="1">SUM(OFFSET(Demand!$E131,0,(COLUMN(E119)-1)*5,1,3))*R$2</f>
        <v>0</v>
      </c>
      <c r="S122" s="5">
        <f ca="1">SUM(OFFSET(Demand!$E131,0,(COLUMN(F119)-1)*5,1,3))*S$2</f>
        <v>0</v>
      </c>
      <c r="T122" s="5">
        <f ca="1">SUM(OFFSET(Demand!$E131,0,(COLUMN(G119)-1)*5,1,3))*T$2</f>
        <v>0</v>
      </c>
      <c r="U122" s="5">
        <f ca="1">SUM(OFFSET(Demand!$E131,0,(COLUMN(H119)-1)*5,1,3))*U$2</f>
        <v>0</v>
      </c>
      <c r="V122" s="5">
        <f ca="1">SUM(OFFSET(Demand!$E131,0,(COLUMN(I119)-1)*5,1,3))*V$2</f>
        <v>0</v>
      </c>
      <c r="W122" s="5">
        <f ca="1">SUM(OFFSET(Demand!$E131,0,(COLUMN(J119)-1)*5,1,3))*W$2</f>
        <v>0</v>
      </c>
      <c r="X122" s="5">
        <f t="shared" ca="1" si="37"/>
        <v>0</v>
      </c>
      <c r="Y122">
        <f t="shared" ca="1" si="38"/>
        <v>0</v>
      </c>
      <c r="Z122" s="5">
        <f ca="1">SUM(OFFSET(Demand!$H131,0,(COLUMN(A119)-1)*5,1,1))*N$2</f>
        <v>0</v>
      </c>
      <c r="AA122" s="5">
        <f ca="1">SUM(OFFSET(Demand!$H131,0,(COLUMN(B119)-1)*5,1,1))*O$2</f>
        <v>0</v>
      </c>
      <c r="AB122" s="5">
        <f ca="1">SUM(OFFSET(Demand!$H131,0,(COLUMN(C119)-1)*5,1,1))*P$2</f>
        <v>0</v>
      </c>
      <c r="AC122" s="5">
        <f ca="1">SUM(OFFSET(Demand!$H131,0,(COLUMN(D119)-1)*5,1,1))*Q$2</f>
        <v>0</v>
      </c>
      <c r="AD122" s="5">
        <f ca="1">SUM(OFFSET(Demand!$H131,0,(COLUMN(E119)-1)*5,1,1))*R$2</f>
        <v>0</v>
      </c>
      <c r="AE122" s="5">
        <f ca="1">SUM(OFFSET(Demand!$H131,0,(COLUMN(F119)-1)*5,1,1))*S$2</f>
        <v>0</v>
      </c>
      <c r="AF122" s="5">
        <f ca="1">SUM(OFFSET(Demand!$H131,0,(COLUMN(G119)-1)*5,1,1))*T$2</f>
        <v>0</v>
      </c>
      <c r="AG122" s="5">
        <f ca="1">SUM(OFFSET(Demand!$H131,0,(COLUMN(H119)-1)*5,1,1))*U$2</f>
        <v>0</v>
      </c>
      <c r="AH122" s="5">
        <f ca="1">SUM(OFFSET(Demand!$H131,0,(COLUMN(I119)-1)*5,1,1))*V$2</f>
        <v>0</v>
      </c>
      <c r="AI122" s="5">
        <f ca="1">SUM(OFFSET(Demand!$H131,0,(COLUMN(J119)-1)*5,1,1))*W$2</f>
        <v>0</v>
      </c>
      <c r="AJ122" s="5">
        <f t="shared" ca="1" si="39"/>
        <v>0</v>
      </c>
      <c r="AL122" s="5">
        <f t="shared" ca="1" si="40"/>
        <v>0</v>
      </c>
      <c r="AM122" s="5">
        <f t="shared" ca="1" si="41"/>
        <v>0</v>
      </c>
      <c r="AN122" s="5" t="str">
        <f>IF(Demand!BE131="Yes","Yes","")</f>
        <v/>
      </c>
      <c r="AP122" s="36" t="str">
        <f ca="1">Demand!B131</f>
        <v xml:space="preserve"> </v>
      </c>
      <c r="AQ122" t="str">
        <f ca="1">IF(TEXT(Demand!D131,"MMM")&lt;&gt;TEXT(Demand!D130,"MMM"),TEXT(Demand!D131,"MMM"),"")</f>
        <v/>
      </c>
      <c r="AT122" s="5">
        <f t="shared" ca="1" si="42"/>
        <v>0</v>
      </c>
      <c r="BQ122">
        <f ca="1">IF($AN122="",OFFSET(Demand!$A$13,ROW(A119)-1,4+((QUOTIENT(COLUMN(BQ$2)-69,3))*5)+MOD(COLUMN(BQ$2),3),1,1),"")</f>
        <v>0</v>
      </c>
      <c r="BR122">
        <f ca="1">IF($AN122="",OFFSET(Demand!$A$13,ROW(B119)-1,4+((QUOTIENT(COLUMN(BR$2)-69,3))*5)+MOD(COLUMN(BR$2),3),1,1),"")</f>
        <v>0</v>
      </c>
      <c r="BS122">
        <f ca="1">IF($AN122="",OFFSET(Demand!$A$13,ROW(C119)-1,4+((QUOTIENT(COLUMN(BS$2)-69,3))*5)+MOD(COLUMN(BS$2),3),1,1),"")</f>
        <v>0</v>
      </c>
      <c r="BT122">
        <f ca="1">IF($AN122="",OFFSET(Demand!$A$13,ROW(D119)-1,4+((QUOTIENT(COLUMN(BT$2)-69,3))*5)+MOD(COLUMN(BT$2),3),1,1),"")</f>
        <v>0</v>
      </c>
      <c r="BU122">
        <f ca="1">IF($AN122="",OFFSET(Demand!$A$13,ROW(E119)-1,4+((QUOTIENT(COLUMN(BU$2)-69,3))*5)+MOD(COLUMN(BU$2),3),1,1),"")</f>
        <v>0</v>
      </c>
      <c r="BV122">
        <f ca="1">IF($AN122="",OFFSET(Demand!$A$13,ROW(F119)-1,4+((QUOTIENT(COLUMN(BV$2)-69,3))*5)+MOD(COLUMN(BV$2),3),1,1),"")</f>
        <v>0</v>
      </c>
      <c r="BW122">
        <f ca="1">IF($AN122="",OFFSET(Demand!$A$13,ROW(G119)-1,4+((QUOTIENT(COLUMN(BW$2)-69,3))*5)+MOD(COLUMN(BW$2),3),1,1),"")</f>
        <v>0</v>
      </c>
      <c r="BX122">
        <f ca="1">IF($AN122="",OFFSET(Demand!$A$13,ROW(H119)-1,4+((QUOTIENT(COLUMN(BX$2)-69,3))*5)+MOD(COLUMN(BX$2),3),1,1),"")</f>
        <v>0</v>
      </c>
      <c r="BY122">
        <f ca="1">IF($AN122="",OFFSET(Demand!$A$13,ROW(I119)-1,4+((QUOTIENT(COLUMN(BY$2)-69,3))*5)+MOD(COLUMN(BY$2),3),1,1),"")</f>
        <v>0</v>
      </c>
      <c r="BZ122">
        <f ca="1">IF($AN122="",OFFSET(Demand!$A$13,ROW(J119)-1,4+((QUOTIENT(COLUMN(BZ$2)-69,3))*5)+MOD(COLUMN(BZ$2),3),1,1),"")</f>
        <v>0</v>
      </c>
      <c r="CA122">
        <f ca="1">IF($AN122="",OFFSET(Demand!$A$13,ROW(K119)-1,4+((QUOTIENT(COLUMN(CA$2)-69,3))*5)+MOD(COLUMN(CA$2),3),1,1),"")</f>
        <v>0</v>
      </c>
      <c r="CB122">
        <f ca="1">IF($AN122="",OFFSET(Demand!$A$13,ROW(L119)-1,4+((QUOTIENT(COLUMN(CB$2)-69,3))*5)+MOD(COLUMN(CB$2),3),1,1),"")</f>
        <v>0</v>
      </c>
      <c r="CC122">
        <f ca="1">IF($AN122="",OFFSET(Demand!$A$13,ROW(M119)-1,4+((QUOTIENT(COLUMN(CC$2)-69,3))*5)+MOD(COLUMN(CC$2),3),1,1),"")</f>
        <v>0</v>
      </c>
      <c r="CD122">
        <f ca="1">IF($AN122="",OFFSET(Demand!$A$13,ROW(N119)-1,4+((QUOTIENT(COLUMN(CD$2)-69,3))*5)+MOD(COLUMN(CD$2),3),1,1),"")</f>
        <v>0</v>
      </c>
      <c r="CE122">
        <f ca="1">IF($AN122="",OFFSET(Demand!$A$13,ROW(O119)-1,4+((QUOTIENT(COLUMN(CE$2)-69,3))*5)+MOD(COLUMN(CE$2),3),1,1),"")</f>
        <v>0</v>
      </c>
      <c r="CF122">
        <f ca="1">IF($AN122="",OFFSET(Demand!$A$13,ROW(P119)-1,4+((QUOTIENT(COLUMN(CF$2)-69,3))*5)+MOD(COLUMN(CF$2),3),1,1),"")</f>
        <v>0</v>
      </c>
      <c r="CG122">
        <f ca="1">IF($AN122="",OFFSET(Demand!$A$13,ROW(Q119)-1,4+((QUOTIENT(COLUMN(CG$2)-69,3))*5)+MOD(COLUMN(CG$2),3),1,1),"")</f>
        <v>0</v>
      </c>
      <c r="CH122">
        <f ca="1">IF($AN122="",OFFSET(Demand!$A$13,ROW(R119)-1,4+((QUOTIENT(COLUMN(CH$2)-69,3))*5)+MOD(COLUMN(CH$2),3),1,1),"")</f>
        <v>0</v>
      </c>
      <c r="CI122">
        <f ca="1">IF($AN122="",OFFSET(Demand!$A$13,ROW(S119)-1,4+((QUOTIENT(COLUMN(CI$2)-69,3))*5)+MOD(COLUMN(CI$2),3),1,1),"")</f>
        <v>0</v>
      </c>
      <c r="CJ122">
        <f ca="1">IF($AN122="",OFFSET(Demand!$A$13,ROW(T119)-1,4+((QUOTIENT(COLUMN(CJ$2)-69,3))*5)+MOD(COLUMN(CJ$2),3),1,1),"")</f>
        <v>0</v>
      </c>
      <c r="CK122">
        <f ca="1">IF($AN122="",OFFSET(Demand!$A$13,ROW(U119)-1,4+((QUOTIENT(COLUMN(CK$2)-69,3))*5)+MOD(COLUMN(CK$2),3),1,1),"")</f>
        <v>0</v>
      </c>
      <c r="CL122">
        <f ca="1">IF($AN122="",OFFSET(Demand!$A$13,ROW(V119)-1,4+((QUOTIENT(COLUMN(CL$2)-69,3))*5)+MOD(COLUMN(CL$2),3),1,1),"")</f>
        <v>0</v>
      </c>
      <c r="CM122">
        <f ca="1">IF($AN122="",OFFSET(Demand!$A$13,ROW(W119)-1,4+((QUOTIENT(COLUMN(CM$2)-69,3))*5)+MOD(COLUMN(CM$2),3),1,1),"")</f>
        <v>0</v>
      </c>
      <c r="CN122">
        <f ca="1">IF($AN122="",OFFSET(Demand!$A$13,ROW(X119)-1,4+((QUOTIENT(COLUMN(CN$2)-69,3))*5)+MOD(COLUMN(CN$2),3),1,1),"")</f>
        <v>0</v>
      </c>
      <c r="CO122">
        <f ca="1">IF($AN122="",OFFSET(Demand!$A$13,ROW(Y119)-1,4+((QUOTIENT(COLUMN(CO$2)-69,3))*5)+MOD(COLUMN(CO$2),3),1,1),"")</f>
        <v>0</v>
      </c>
      <c r="CP122">
        <f ca="1">IF($AN122="",OFFSET(Demand!$A$13,ROW(Z119)-1,4+((QUOTIENT(COLUMN(CP$2)-69,3))*5)+MOD(COLUMN(CP$2),3),1,1),"")</f>
        <v>0</v>
      </c>
      <c r="CQ122">
        <f ca="1">IF($AN122="",OFFSET(Demand!$A$13,ROW(AA119)-1,4+((QUOTIENT(COLUMN(CQ$2)-69,3))*5)+MOD(COLUMN(CQ$2),3),1,1),"")</f>
        <v>0</v>
      </c>
      <c r="CR122">
        <f ca="1">IF($AN122="",OFFSET(Demand!$A$13,ROW(AB119)-1,4+((QUOTIENT(COLUMN(CR$2)-69,3))*5)+MOD(COLUMN(CR$2),3),1,1),"")</f>
        <v>0</v>
      </c>
      <c r="CS122">
        <f ca="1">IF($AN122="",OFFSET(Demand!$A$13,ROW(AC119)-1,4+((QUOTIENT(COLUMN(CS$2)-69,3))*5)+MOD(COLUMN(CS$2),3),1,1),"")</f>
        <v>0</v>
      </c>
      <c r="CT122">
        <f ca="1">IF($AN122="",OFFSET(Demand!$A$13,ROW(AD119)-1,4+((QUOTIENT(COLUMN(CT$2)-69,3))*5)+MOD(COLUMN(CT$2),3),1,1),"")</f>
        <v>0</v>
      </c>
      <c r="CW122" s="5">
        <f ca="1">SUM(OFFSET(Demand!$H$43,ROW(A119)-1,(COLUMN(A119)-1)*5,1,1))*N$2</f>
        <v>0</v>
      </c>
      <c r="CX122" s="5">
        <f ca="1">SUM(OFFSET(Demand!$H$43,ROW(B119)-1,(COLUMN(B119)-1)*5,1,1))*O$2</f>
        <v>0</v>
      </c>
      <c r="CY122" s="5">
        <f ca="1">SUM(OFFSET(Demand!$H$43,ROW(C119)-1,(COLUMN(C119)-1)*5,1,1))*P$2</f>
        <v>0</v>
      </c>
      <c r="CZ122" s="5">
        <f ca="1">SUM(OFFSET(Demand!$H$43,ROW(D119)-1,(COLUMN(D119)-1)*5,1,1))*Q$2</f>
        <v>0</v>
      </c>
      <c r="DA122" s="5">
        <f ca="1">SUM(OFFSET(Demand!$H$43,ROW(E119)-1,(COLUMN(E119)-1)*5,1,1))*R$2</f>
        <v>0</v>
      </c>
      <c r="DB122" s="5">
        <f ca="1">SUM(OFFSET(Demand!$H$43,ROW(F119)-1,(COLUMN(F119)-1)*5,1,1))*S$2</f>
        <v>0</v>
      </c>
      <c r="DC122" s="5">
        <f ca="1">SUM(OFFSET(Demand!$H$43,ROW(G119)-1,(COLUMN(G119)-1)*5,1,1))*T$2</f>
        <v>0</v>
      </c>
      <c r="DD122" s="5">
        <f ca="1">SUM(OFFSET(Demand!$H$43,ROW(H119)-1,(COLUMN(H119)-1)*5,1,1))*U$2</f>
        <v>0</v>
      </c>
      <c r="DE122" s="5">
        <f ca="1">SUM(OFFSET(Demand!$H$43,ROW(I119)-1,(COLUMN(I119)-1)*5,1,1))*V$2</f>
        <v>0</v>
      </c>
      <c r="DF122" s="5">
        <f ca="1">SUM(OFFSET(Demand!$H$43,ROW(J119)-1,(COLUMN(J119)-1)*5,1,1))*W$2</f>
        <v>0</v>
      </c>
      <c r="DG122" s="5">
        <f ca="1">IF(OR(AN122&lt;&gt;"",AND('Demand adjustments for Covid'!$F$9="Yes",'Demand adjustments for Covid'!$F$20="Yes")),"",SUM(CW122:DF122))</f>
        <v>0</v>
      </c>
    </row>
    <row r="123" spans="1:111" x14ac:dyDescent="0.25">
      <c r="A123" s="5">
        <f t="shared" ca="1" si="43"/>
        <v>1</v>
      </c>
      <c r="B123" s="5">
        <f ca="1">COUNTBLANK(OFFSET(Demand!$I132,0,(COLUMN(A120)-1)*5,1,1))</f>
        <v>1</v>
      </c>
      <c r="C123" s="5">
        <f ca="1">COUNTBLANK(OFFSET(Demand!$I132,0,(COLUMN(B120)-1)*5,1,1))</f>
        <v>1</v>
      </c>
      <c r="D123" s="5">
        <f ca="1">COUNTBLANK(OFFSET(Demand!$I132,0,(COLUMN(C120)-1)*5,1,1))</f>
        <v>1</v>
      </c>
      <c r="E123" s="5">
        <f ca="1">COUNTBLANK(OFFSET(Demand!$I132,0,(COLUMN(D120)-1)*5,1,1))</f>
        <v>1</v>
      </c>
      <c r="F123" s="5">
        <f ca="1">COUNTBLANK(OFFSET(Demand!$I132,0,(COLUMN(E120)-1)*5,1,1))</f>
        <v>1</v>
      </c>
      <c r="G123" s="5">
        <f ca="1">COUNTBLANK(OFFSET(Demand!$I132,0,(COLUMN(F120)-1)*5,1,1))</f>
        <v>1</v>
      </c>
      <c r="H123" s="5">
        <f ca="1">COUNTBLANK(OFFSET(Demand!$I132,0,(COLUMN(G120)-1)*5,1,1))</f>
        <v>1</v>
      </c>
      <c r="I123" s="5">
        <f ca="1">COUNTBLANK(OFFSET(Demand!$I132,0,(COLUMN(H120)-1)*5,1,1))</f>
        <v>1</v>
      </c>
      <c r="J123" s="5">
        <f ca="1">COUNTBLANK(OFFSET(Demand!$I132,0,(COLUMN(I120)-1)*5,1,1))</f>
        <v>1</v>
      </c>
      <c r="K123" s="5">
        <f ca="1">COUNTBLANK(OFFSET(Demand!$I132,0,(COLUMN(J120)-1)*5,1,1))</f>
        <v>1</v>
      </c>
      <c r="N123" s="5">
        <f ca="1">SUM(OFFSET(Demand!$E132,0,(COLUMN(A120)-1)*5,1,3))*N$2</f>
        <v>0</v>
      </c>
      <c r="O123" s="5">
        <f ca="1">SUM(OFFSET(Demand!$E132,0,(COLUMN(B120)-1)*5,1,3))*O$2</f>
        <v>0</v>
      </c>
      <c r="P123" s="5">
        <f ca="1">SUM(OFFSET(Demand!$E132,0,(COLUMN(C120)-1)*5,1,3))*P$2</f>
        <v>0</v>
      </c>
      <c r="Q123" s="5">
        <f ca="1">SUM(OFFSET(Demand!$E132,0,(COLUMN(D120)-1)*5,1,3))*Q$2</f>
        <v>0</v>
      </c>
      <c r="R123" s="5">
        <f ca="1">SUM(OFFSET(Demand!$E132,0,(COLUMN(E120)-1)*5,1,3))*R$2</f>
        <v>0</v>
      </c>
      <c r="S123" s="5">
        <f ca="1">SUM(OFFSET(Demand!$E132,0,(COLUMN(F120)-1)*5,1,3))*S$2</f>
        <v>0</v>
      </c>
      <c r="T123" s="5">
        <f ca="1">SUM(OFFSET(Demand!$E132,0,(COLUMN(G120)-1)*5,1,3))*T$2</f>
        <v>0</v>
      </c>
      <c r="U123" s="5">
        <f ca="1">SUM(OFFSET(Demand!$E132,0,(COLUMN(H120)-1)*5,1,3))*U$2</f>
        <v>0</v>
      </c>
      <c r="V123" s="5">
        <f ca="1">SUM(OFFSET(Demand!$E132,0,(COLUMN(I120)-1)*5,1,3))*V$2</f>
        <v>0</v>
      </c>
      <c r="W123" s="5">
        <f ca="1">SUM(OFFSET(Demand!$E132,0,(COLUMN(J120)-1)*5,1,3))*W$2</f>
        <v>0</v>
      </c>
      <c r="X123" s="5">
        <f t="shared" ca="1" si="37"/>
        <v>0</v>
      </c>
      <c r="Y123">
        <f t="shared" ca="1" si="38"/>
        <v>0</v>
      </c>
      <c r="Z123" s="5">
        <f ca="1">SUM(OFFSET(Demand!$H132,0,(COLUMN(A120)-1)*5,1,1))*N$2</f>
        <v>0</v>
      </c>
      <c r="AA123" s="5">
        <f ca="1">SUM(OFFSET(Demand!$H132,0,(COLUMN(B120)-1)*5,1,1))*O$2</f>
        <v>0</v>
      </c>
      <c r="AB123" s="5">
        <f ca="1">SUM(OFFSET(Demand!$H132,0,(COLUMN(C120)-1)*5,1,1))*P$2</f>
        <v>0</v>
      </c>
      <c r="AC123" s="5">
        <f ca="1">SUM(OFFSET(Demand!$H132,0,(COLUMN(D120)-1)*5,1,1))*Q$2</f>
        <v>0</v>
      </c>
      <c r="AD123" s="5">
        <f ca="1">SUM(OFFSET(Demand!$H132,0,(COLUMN(E120)-1)*5,1,1))*R$2</f>
        <v>0</v>
      </c>
      <c r="AE123" s="5">
        <f ca="1">SUM(OFFSET(Demand!$H132,0,(COLUMN(F120)-1)*5,1,1))*S$2</f>
        <v>0</v>
      </c>
      <c r="AF123" s="5">
        <f ca="1">SUM(OFFSET(Demand!$H132,0,(COLUMN(G120)-1)*5,1,1))*T$2</f>
        <v>0</v>
      </c>
      <c r="AG123" s="5">
        <f ca="1">SUM(OFFSET(Demand!$H132,0,(COLUMN(H120)-1)*5,1,1))*U$2</f>
        <v>0</v>
      </c>
      <c r="AH123" s="5">
        <f ca="1">SUM(OFFSET(Demand!$H132,0,(COLUMN(I120)-1)*5,1,1))*V$2</f>
        <v>0</v>
      </c>
      <c r="AI123" s="5">
        <f ca="1">SUM(OFFSET(Demand!$H132,0,(COLUMN(J120)-1)*5,1,1))*W$2</f>
        <v>0</v>
      </c>
      <c r="AJ123" s="5">
        <f t="shared" ca="1" si="39"/>
        <v>0</v>
      </c>
      <c r="AL123" s="5">
        <f t="shared" ca="1" si="40"/>
        <v>0</v>
      </c>
      <c r="AM123" s="5">
        <f t="shared" ca="1" si="41"/>
        <v>0</v>
      </c>
      <c r="AN123" s="5" t="str">
        <f>IF(Demand!BE132="Yes","Yes","")</f>
        <v/>
      </c>
      <c r="AP123" s="36" t="str">
        <f ca="1">Demand!B132</f>
        <v xml:space="preserve"> </v>
      </c>
      <c r="AQ123" t="str">
        <f ca="1">IF(TEXT(Demand!D132,"MMM")&lt;&gt;TEXT(Demand!D131,"MMM"),TEXT(Demand!D132,"MMM"),"")</f>
        <v/>
      </c>
      <c r="AT123" s="5">
        <f t="shared" ca="1" si="42"/>
        <v>0</v>
      </c>
      <c r="BQ123">
        <f ca="1">IF($AN123="",OFFSET(Demand!$A$13,ROW(A120)-1,4+((QUOTIENT(COLUMN(BQ$2)-69,3))*5)+MOD(COLUMN(BQ$2),3),1,1),"")</f>
        <v>0</v>
      </c>
      <c r="BR123">
        <f ca="1">IF($AN123="",OFFSET(Demand!$A$13,ROW(B120)-1,4+((QUOTIENT(COLUMN(BR$2)-69,3))*5)+MOD(COLUMN(BR$2),3),1,1),"")</f>
        <v>0</v>
      </c>
      <c r="BS123">
        <f ca="1">IF($AN123="",OFFSET(Demand!$A$13,ROW(C120)-1,4+((QUOTIENT(COLUMN(BS$2)-69,3))*5)+MOD(COLUMN(BS$2),3),1,1),"")</f>
        <v>0</v>
      </c>
      <c r="BT123">
        <f ca="1">IF($AN123="",OFFSET(Demand!$A$13,ROW(D120)-1,4+((QUOTIENT(COLUMN(BT$2)-69,3))*5)+MOD(COLUMN(BT$2),3),1,1),"")</f>
        <v>0</v>
      </c>
      <c r="BU123">
        <f ca="1">IF($AN123="",OFFSET(Demand!$A$13,ROW(E120)-1,4+((QUOTIENT(COLUMN(BU$2)-69,3))*5)+MOD(COLUMN(BU$2),3),1,1),"")</f>
        <v>0</v>
      </c>
      <c r="BV123">
        <f ca="1">IF($AN123="",OFFSET(Demand!$A$13,ROW(F120)-1,4+((QUOTIENT(COLUMN(BV$2)-69,3))*5)+MOD(COLUMN(BV$2),3),1,1),"")</f>
        <v>0</v>
      </c>
      <c r="BW123">
        <f ca="1">IF($AN123="",OFFSET(Demand!$A$13,ROW(G120)-1,4+((QUOTIENT(COLUMN(BW$2)-69,3))*5)+MOD(COLUMN(BW$2),3),1,1),"")</f>
        <v>0</v>
      </c>
      <c r="BX123">
        <f ca="1">IF($AN123="",OFFSET(Demand!$A$13,ROW(H120)-1,4+((QUOTIENT(COLUMN(BX$2)-69,3))*5)+MOD(COLUMN(BX$2),3),1,1),"")</f>
        <v>0</v>
      </c>
      <c r="BY123">
        <f ca="1">IF($AN123="",OFFSET(Demand!$A$13,ROW(I120)-1,4+((QUOTIENT(COLUMN(BY$2)-69,3))*5)+MOD(COLUMN(BY$2),3),1,1),"")</f>
        <v>0</v>
      </c>
      <c r="BZ123">
        <f ca="1">IF($AN123="",OFFSET(Demand!$A$13,ROW(J120)-1,4+((QUOTIENT(COLUMN(BZ$2)-69,3))*5)+MOD(COLUMN(BZ$2),3),1,1),"")</f>
        <v>0</v>
      </c>
      <c r="CA123">
        <f ca="1">IF($AN123="",OFFSET(Demand!$A$13,ROW(K120)-1,4+((QUOTIENT(COLUMN(CA$2)-69,3))*5)+MOD(COLUMN(CA$2),3),1,1),"")</f>
        <v>0</v>
      </c>
      <c r="CB123">
        <f ca="1">IF($AN123="",OFFSET(Demand!$A$13,ROW(L120)-1,4+((QUOTIENT(COLUMN(CB$2)-69,3))*5)+MOD(COLUMN(CB$2),3),1,1),"")</f>
        <v>0</v>
      </c>
      <c r="CC123">
        <f ca="1">IF($AN123="",OFFSET(Demand!$A$13,ROW(M120)-1,4+((QUOTIENT(COLUMN(CC$2)-69,3))*5)+MOD(COLUMN(CC$2),3),1,1),"")</f>
        <v>0</v>
      </c>
      <c r="CD123">
        <f ca="1">IF($AN123="",OFFSET(Demand!$A$13,ROW(N120)-1,4+((QUOTIENT(COLUMN(CD$2)-69,3))*5)+MOD(COLUMN(CD$2),3),1,1),"")</f>
        <v>0</v>
      </c>
      <c r="CE123">
        <f ca="1">IF($AN123="",OFFSET(Demand!$A$13,ROW(O120)-1,4+((QUOTIENT(COLUMN(CE$2)-69,3))*5)+MOD(COLUMN(CE$2),3),1,1),"")</f>
        <v>0</v>
      </c>
      <c r="CF123">
        <f ca="1">IF($AN123="",OFFSET(Demand!$A$13,ROW(P120)-1,4+((QUOTIENT(COLUMN(CF$2)-69,3))*5)+MOD(COLUMN(CF$2),3),1,1),"")</f>
        <v>0</v>
      </c>
      <c r="CG123">
        <f ca="1">IF($AN123="",OFFSET(Demand!$A$13,ROW(Q120)-1,4+((QUOTIENT(COLUMN(CG$2)-69,3))*5)+MOD(COLUMN(CG$2),3),1,1),"")</f>
        <v>0</v>
      </c>
      <c r="CH123">
        <f ca="1">IF($AN123="",OFFSET(Demand!$A$13,ROW(R120)-1,4+((QUOTIENT(COLUMN(CH$2)-69,3))*5)+MOD(COLUMN(CH$2),3),1,1),"")</f>
        <v>0</v>
      </c>
      <c r="CI123">
        <f ca="1">IF($AN123="",OFFSET(Demand!$A$13,ROW(S120)-1,4+((QUOTIENT(COLUMN(CI$2)-69,3))*5)+MOD(COLUMN(CI$2),3),1,1),"")</f>
        <v>0</v>
      </c>
      <c r="CJ123">
        <f ca="1">IF($AN123="",OFFSET(Demand!$A$13,ROW(T120)-1,4+((QUOTIENT(COLUMN(CJ$2)-69,3))*5)+MOD(COLUMN(CJ$2),3),1,1),"")</f>
        <v>0</v>
      </c>
      <c r="CK123">
        <f ca="1">IF($AN123="",OFFSET(Demand!$A$13,ROW(U120)-1,4+((QUOTIENT(COLUMN(CK$2)-69,3))*5)+MOD(COLUMN(CK$2),3),1,1),"")</f>
        <v>0</v>
      </c>
      <c r="CL123">
        <f ca="1">IF($AN123="",OFFSET(Demand!$A$13,ROW(V120)-1,4+((QUOTIENT(COLUMN(CL$2)-69,3))*5)+MOD(COLUMN(CL$2),3),1,1),"")</f>
        <v>0</v>
      </c>
      <c r="CM123">
        <f ca="1">IF($AN123="",OFFSET(Demand!$A$13,ROW(W120)-1,4+((QUOTIENT(COLUMN(CM$2)-69,3))*5)+MOD(COLUMN(CM$2),3),1,1),"")</f>
        <v>0</v>
      </c>
      <c r="CN123">
        <f ca="1">IF($AN123="",OFFSET(Demand!$A$13,ROW(X120)-1,4+((QUOTIENT(COLUMN(CN$2)-69,3))*5)+MOD(COLUMN(CN$2),3),1,1),"")</f>
        <v>0</v>
      </c>
      <c r="CO123">
        <f ca="1">IF($AN123="",OFFSET(Demand!$A$13,ROW(Y120)-1,4+((QUOTIENT(COLUMN(CO$2)-69,3))*5)+MOD(COLUMN(CO$2),3),1,1),"")</f>
        <v>0</v>
      </c>
      <c r="CP123">
        <f ca="1">IF($AN123="",OFFSET(Demand!$A$13,ROW(Z120)-1,4+((QUOTIENT(COLUMN(CP$2)-69,3))*5)+MOD(COLUMN(CP$2),3),1,1),"")</f>
        <v>0</v>
      </c>
      <c r="CQ123">
        <f ca="1">IF($AN123="",OFFSET(Demand!$A$13,ROW(AA120)-1,4+((QUOTIENT(COLUMN(CQ$2)-69,3))*5)+MOD(COLUMN(CQ$2),3),1,1),"")</f>
        <v>0</v>
      </c>
      <c r="CR123">
        <f ca="1">IF($AN123="",OFFSET(Demand!$A$13,ROW(AB120)-1,4+((QUOTIENT(COLUMN(CR$2)-69,3))*5)+MOD(COLUMN(CR$2),3),1,1),"")</f>
        <v>0</v>
      </c>
      <c r="CS123">
        <f ca="1">IF($AN123="",OFFSET(Demand!$A$13,ROW(AC120)-1,4+((QUOTIENT(COLUMN(CS$2)-69,3))*5)+MOD(COLUMN(CS$2),3),1,1),"")</f>
        <v>0</v>
      </c>
      <c r="CT123">
        <f ca="1">IF($AN123="",OFFSET(Demand!$A$13,ROW(AD120)-1,4+((QUOTIENT(COLUMN(CT$2)-69,3))*5)+MOD(COLUMN(CT$2),3),1,1),"")</f>
        <v>0</v>
      </c>
      <c r="CW123" s="5">
        <f ca="1">SUM(OFFSET(Demand!$H$43,ROW(A120)-1,(COLUMN(A120)-1)*5,1,1))*N$2</f>
        <v>0</v>
      </c>
      <c r="CX123" s="5">
        <f ca="1">SUM(OFFSET(Demand!$H$43,ROW(B120)-1,(COLUMN(B120)-1)*5,1,1))*O$2</f>
        <v>0</v>
      </c>
      <c r="CY123" s="5">
        <f ca="1">SUM(OFFSET(Demand!$H$43,ROW(C120)-1,(COLUMN(C120)-1)*5,1,1))*P$2</f>
        <v>0</v>
      </c>
      <c r="CZ123" s="5">
        <f ca="1">SUM(OFFSET(Demand!$H$43,ROW(D120)-1,(COLUMN(D120)-1)*5,1,1))*Q$2</f>
        <v>0</v>
      </c>
      <c r="DA123" s="5">
        <f ca="1">SUM(OFFSET(Demand!$H$43,ROW(E120)-1,(COLUMN(E120)-1)*5,1,1))*R$2</f>
        <v>0</v>
      </c>
      <c r="DB123" s="5">
        <f ca="1">SUM(OFFSET(Demand!$H$43,ROW(F120)-1,(COLUMN(F120)-1)*5,1,1))*S$2</f>
        <v>0</v>
      </c>
      <c r="DC123" s="5">
        <f ca="1">SUM(OFFSET(Demand!$H$43,ROW(G120)-1,(COLUMN(G120)-1)*5,1,1))*T$2</f>
        <v>0</v>
      </c>
      <c r="DD123" s="5">
        <f ca="1">SUM(OFFSET(Demand!$H$43,ROW(H120)-1,(COLUMN(H120)-1)*5,1,1))*U$2</f>
        <v>0</v>
      </c>
      <c r="DE123" s="5">
        <f ca="1">SUM(OFFSET(Demand!$H$43,ROW(I120)-1,(COLUMN(I120)-1)*5,1,1))*V$2</f>
        <v>0</v>
      </c>
      <c r="DF123" s="5">
        <f ca="1">SUM(OFFSET(Demand!$H$43,ROW(J120)-1,(COLUMN(J120)-1)*5,1,1))*W$2</f>
        <v>0</v>
      </c>
      <c r="DG123" s="5">
        <f ca="1">IF(OR(AN123&lt;&gt;"",AND('Demand adjustments for Covid'!$F$9="Yes",'Demand adjustments for Covid'!$F$20="Yes")),"",SUM(CW123:DF123))</f>
        <v>0</v>
      </c>
    </row>
    <row r="124" spans="1:111" x14ac:dyDescent="0.25">
      <c r="A124" s="5">
        <f t="shared" ca="1" si="43"/>
        <v>1</v>
      </c>
      <c r="B124" s="5">
        <f ca="1">COUNTBLANK(OFFSET(Demand!$I133,0,(COLUMN(A121)-1)*5,1,1))</f>
        <v>1</v>
      </c>
      <c r="C124" s="5">
        <f ca="1">COUNTBLANK(OFFSET(Demand!$I133,0,(COLUMN(B121)-1)*5,1,1))</f>
        <v>1</v>
      </c>
      <c r="D124" s="5">
        <f ca="1">COUNTBLANK(OFFSET(Demand!$I133,0,(COLUMN(C121)-1)*5,1,1))</f>
        <v>1</v>
      </c>
      <c r="E124" s="5">
        <f ca="1">COUNTBLANK(OFFSET(Demand!$I133,0,(COLUMN(D121)-1)*5,1,1))</f>
        <v>1</v>
      </c>
      <c r="F124" s="5">
        <f ca="1">COUNTBLANK(OFFSET(Demand!$I133,0,(COLUMN(E121)-1)*5,1,1))</f>
        <v>1</v>
      </c>
      <c r="G124" s="5">
        <f ca="1">COUNTBLANK(OFFSET(Demand!$I133,0,(COLUMN(F121)-1)*5,1,1))</f>
        <v>1</v>
      </c>
      <c r="H124" s="5">
        <f ca="1">COUNTBLANK(OFFSET(Demand!$I133,0,(COLUMN(G121)-1)*5,1,1))</f>
        <v>1</v>
      </c>
      <c r="I124" s="5">
        <f ca="1">COUNTBLANK(OFFSET(Demand!$I133,0,(COLUMN(H121)-1)*5,1,1))</f>
        <v>1</v>
      </c>
      <c r="J124" s="5">
        <f ca="1">COUNTBLANK(OFFSET(Demand!$I133,0,(COLUMN(I121)-1)*5,1,1))</f>
        <v>1</v>
      </c>
      <c r="K124" s="5">
        <f ca="1">COUNTBLANK(OFFSET(Demand!$I133,0,(COLUMN(J121)-1)*5,1,1))</f>
        <v>1</v>
      </c>
      <c r="N124" s="5">
        <f ca="1">SUM(OFFSET(Demand!$E133,0,(COLUMN(A121)-1)*5,1,3))*N$2</f>
        <v>0</v>
      </c>
      <c r="O124" s="5">
        <f ca="1">SUM(OFFSET(Demand!$E133,0,(COLUMN(B121)-1)*5,1,3))*O$2</f>
        <v>0</v>
      </c>
      <c r="P124" s="5">
        <f ca="1">SUM(OFFSET(Demand!$E133,0,(COLUMN(C121)-1)*5,1,3))*P$2</f>
        <v>0</v>
      </c>
      <c r="Q124" s="5">
        <f ca="1">SUM(OFFSET(Demand!$E133,0,(COLUMN(D121)-1)*5,1,3))*Q$2</f>
        <v>0</v>
      </c>
      <c r="R124" s="5">
        <f ca="1">SUM(OFFSET(Demand!$E133,0,(COLUMN(E121)-1)*5,1,3))*R$2</f>
        <v>0</v>
      </c>
      <c r="S124" s="5">
        <f ca="1">SUM(OFFSET(Demand!$E133,0,(COLUMN(F121)-1)*5,1,3))*S$2</f>
        <v>0</v>
      </c>
      <c r="T124" s="5">
        <f ca="1">SUM(OFFSET(Demand!$E133,0,(COLUMN(G121)-1)*5,1,3))*T$2</f>
        <v>0</v>
      </c>
      <c r="U124" s="5">
        <f ca="1">SUM(OFFSET(Demand!$E133,0,(COLUMN(H121)-1)*5,1,3))*U$2</f>
        <v>0</v>
      </c>
      <c r="V124" s="5">
        <f ca="1">SUM(OFFSET(Demand!$E133,0,(COLUMN(I121)-1)*5,1,3))*V$2</f>
        <v>0</v>
      </c>
      <c r="W124" s="5">
        <f ca="1">SUM(OFFSET(Demand!$E133,0,(COLUMN(J121)-1)*5,1,3))*W$2</f>
        <v>0</v>
      </c>
      <c r="X124" s="5">
        <f t="shared" ca="1" si="37"/>
        <v>0</v>
      </c>
      <c r="Y124">
        <f t="shared" ca="1" si="38"/>
        <v>0</v>
      </c>
      <c r="Z124" s="5">
        <f ca="1">SUM(OFFSET(Demand!$H133,0,(COLUMN(A121)-1)*5,1,1))*N$2</f>
        <v>0</v>
      </c>
      <c r="AA124" s="5">
        <f ca="1">SUM(OFFSET(Demand!$H133,0,(COLUMN(B121)-1)*5,1,1))*O$2</f>
        <v>0</v>
      </c>
      <c r="AB124" s="5">
        <f ca="1">SUM(OFFSET(Demand!$H133,0,(COLUMN(C121)-1)*5,1,1))*P$2</f>
        <v>0</v>
      </c>
      <c r="AC124" s="5">
        <f ca="1">SUM(OFFSET(Demand!$H133,0,(COLUMN(D121)-1)*5,1,1))*Q$2</f>
        <v>0</v>
      </c>
      <c r="AD124" s="5">
        <f ca="1">SUM(OFFSET(Demand!$H133,0,(COLUMN(E121)-1)*5,1,1))*R$2</f>
        <v>0</v>
      </c>
      <c r="AE124" s="5">
        <f ca="1">SUM(OFFSET(Demand!$H133,0,(COLUMN(F121)-1)*5,1,1))*S$2</f>
        <v>0</v>
      </c>
      <c r="AF124" s="5">
        <f ca="1">SUM(OFFSET(Demand!$H133,0,(COLUMN(G121)-1)*5,1,1))*T$2</f>
        <v>0</v>
      </c>
      <c r="AG124" s="5">
        <f ca="1">SUM(OFFSET(Demand!$H133,0,(COLUMN(H121)-1)*5,1,1))*U$2</f>
        <v>0</v>
      </c>
      <c r="AH124" s="5">
        <f ca="1">SUM(OFFSET(Demand!$H133,0,(COLUMN(I121)-1)*5,1,1))*V$2</f>
        <v>0</v>
      </c>
      <c r="AI124" s="5">
        <f ca="1">SUM(OFFSET(Demand!$H133,0,(COLUMN(J121)-1)*5,1,1))*W$2</f>
        <v>0</v>
      </c>
      <c r="AJ124" s="5">
        <f t="shared" ca="1" si="39"/>
        <v>0</v>
      </c>
      <c r="AL124" s="5">
        <f t="shared" ca="1" si="40"/>
        <v>0</v>
      </c>
      <c r="AM124" s="5">
        <f t="shared" ca="1" si="41"/>
        <v>0</v>
      </c>
      <c r="AN124" s="5" t="str">
        <f>IF(Demand!BE133="Yes","Yes","")</f>
        <v/>
      </c>
      <c r="AP124" s="36" t="str">
        <f ca="1">Demand!B133</f>
        <v xml:space="preserve"> </v>
      </c>
      <c r="AQ124" t="str">
        <f ca="1">IF(TEXT(Demand!D133,"MMM")&lt;&gt;TEXT(Demand!D132,"MMM"),TEXT(Demand!D133,"MMM"),"")</f>
        <v/>
      </c>
      <c r="AT124" s="5">
        <f t="shared" ca="1" si="42"/>
        <v>0</v>
      </c>
      <c r="BQ124">
        <f ca="1">IF($AN124="",OFFSET(Demand!$A$13,ROW(A121)-1,4+((QUOTIENT(COLUMN(BQ$2)-69,3))*5)+MOD(COLUMN(BQ$2),3),1,1),"")</f>
        <v>0</v>
      </c>
      <c r="BR124">
        <f ca="1">IF($AN124="",OFFSET(Demand!$A$13,ROW(B121)-1,4+((QUOTIENT(COLUMN(BR$2)-69,3))*5)+MOD(COLUMN(BR$2),3),1,1),"")</f>
        <v>0</v>
      </c>
      <c r="BS124">
        <f ca="1">IF($AN124="",OFFSET(Demand!$A$13,ROW(C121)-1,4+((QUOTIENT(COLUMN(BS$2)-69,3))*5)+MOD(COLUMN(BS$2),3),1,1),"")</f>
        <v>0</v>
      </c>
      <c r="BT124">
        <f ca="1">IF($AN124="",OFFSET(Demand!$A$13,ROW(D121)-1,4+((QUOTIENT(COLUMN(BT$2)-69,3))*5)+MOD(COLUMN(BT$2),3),1,1),"")</f>
        <v>0</v>
      </c>
      <c r="BU124">
        <f ca="1">IF($AN124="",OFFSET(Demand!$A$13,ROW(E121)-1,4+((QUOTIENT(COLUMN(BU$2)-69,3))*5)+MOD(COLUMN(BU$2),3),1,1),"")</f>
        <v>0</v>
      </c>
      <c r="BV124">
        <f ca="1">IF($AN124="",OFFSET(Demand!$A$13,ROW(F121)-1,4+((QUOTIENT(COLUMN(BV$2)-69,3))*5)+MOD(COLUMN(BV$2),3),1,1),"")</f>
        <v>0</v>
      </c>
      <c r="BW124">
        <f ca="1">IF($AN124="",OFFSET(Demand!$A$13,ROW(G121)-1,4+((QUOTIENT(COLUMN(BW$2)-69,3))*5)+MOD(COLUMN(BW$2),3),1,1),"")</f>
        <v>0</v>
      </c>
      <c r="BX124">
        <f ca="1">IF($AN124="",OFFSET(Demand!$A$13,ROW(H121)-1,4+((QUOTIENT(COLUMN(BX$2)-69,3))*5)+MOD(COLUMN(BX$2),3),1,1),"")</f>
        <v>0</v>
      </c>
      <c r="BY124">
        <f ca="1">IF($AN124="",OFFSET(Demand!$A$13,ROW(I121)-1,4+((QUOTIENT(COLUMN(BY$2)-69,3))*5)+MOD(COLUMN(BY$2),3),1,1),"")</f>
        <v>0</v>
      </c>
      <c r="BZ124">
        <f ca="1">IF($AN124="",OFFSET(Demand!$A$13,ROW(J121)-1,4+((QUOTIENT(COLUMN(BZ$2)-69,3))*5)+MOD(COLUMN(BZ$2),3),1,1),"")</f>
        <v>0</v>
      </c>
      <c r="CA124">
        <f ca="1">IF($AN124="",OFFSET(Demand!$A$13,ROW(K121)-1,4+((QUOTIENT(COLUMN(CA$2)-69,3))*5)+MOD(COLUMN(CA$2),3),1,1),"")</f>
        <v>0</v>
      </c>
      <c r="CB124">
        <f ca="1">IF($AN124="",OFFSET(Demand!$A$13,ROW(L121)-1,4+((QUOTIENT(COLUMN(CB$2)-69,3))*5)+MOD(COLUMN(CB$2),3),1,1),"")</f>
        <v>0</v>
      </c>
      <c r="CC124">
        <f ca="1">IF($AN124="",OFFSET(Demand!$A$13,ROW(M121)-1,4+((QUOTIENT(COLUMN(CC$2)-69,3))*5)+MOD(COLUMN(CC$2),3),1,1),"")</f>
        <v>0</v>
      </c>
      <c r="CD124">
        <f ca="1">IF($AN124="",OFFSET(Demand!$A$13,ROW(N121)-1,4+((QUOTIENT(COLUMN(CD$2)-69,3))*5)+MOD(COLUMN(CD$2),3),1,1),"")</f>
        <v>0</v>
      </c>
      <c r="CE124">
        <f ca="1">IF($AN124="",OFFSET(Demand!$A$13,ROW(O121)-1,4+((QUOTIENT(COLUMN(CE$2)-69,3))*5)+MOD(COLUMN(CE$2),3),1,1),"")</f>
        <v>0</v>
      </c>
      <c r="CF124">
        <f ca="1">IF($AN124="",OFFSET(Demand!$A$13,ROW(P121)-1,4+((QUOTIENT(COLUMN(CF$2)-69,3))*5)+MOD(COLUMN(CF$2),3),1,1),"")</f>
        <v>0</v>
      </c>
      <c r="CG124">
        <f ca="1">IF($AN124="",OFFSET(Demand!$A$13,ROW(Q121)-1,4+((QUOTIENT(COLUMN(CG$2)-69,3))*5)+MOD(COLUMN(CG$2),3),1,1),"")</f>
        <v>0</v>
      </c>
      <c r="CH124">
        <f ca="1">IF($AN124="",OFFSET(Demand!$A$13,ROW(R121)-1,4+((QUOTIENT(COLUMN(CH$2)-69,3))*5)+MOD(COLUMN(CH$2),3),1,1),"")</f>
        <v>0</v>
      </c>
      <c r="CI124">
        <f ca="1">IF($AN124="",OFFSET(Demand!$A$13,ROW(S121)-1,4+((QUOTIENT(COLUMN(CI$2)-69,3))*5)+MOD(COLUMN(CI$2),3),1,1),"")</f>
        <v>0</v>
      </c>
      <c r="CJ124">
        <f ca="1">IF($AN124="",OFFSET(Demand!$A$13,ROW(T121)-1,4+((QUOTIENT(COLUMN(CJ$2)-69,3))*5)+MOD(COLUMN(CJ$2),3),1,1),"")</f>
        <v>0</v>
      </c>
      <c r="CK124">
        <f ca="1">IF($AN124="",OFFSET(Demand!$A$13,ROW(U121)-1,4+((QUOTIENT(COLUMN(CK$2)-69,3))*5)+MOD(COLUMN(CK$2),3),1,1),"")</f>
        <v>0</v>
      </c>
      <c r="CL124">
        <f ca="1">IF($AN124="",OFFSET(Demand!$A$13,ROW(V121)-1,4+((QUOTIENT(COLUMN(CL$2)-69,3))*5)+MOD(COLUMN(CL$2),3),1,1),"")</f>
        <v>0</v>
      </c>
      <c r="CM124">
        <f ca="1">IF($AN124="",OFFSET(Demand!$A$13,ROW(W121)-1,4+((QUOTIENT(COLUMN(CM$2)-69,3))*5)+MOD(COLUMN(CM$2),3),1,1),"")</f>
        <v>0</v>
      </c>
      <c r="CN124">
        <f ca="1">IF($AN124="",OFFSET(Demand!$A$13,ROW(X121)-1,4+((QUOTIENT(COLUMN(CN$2)-69,3))*5)+MOD(COLUMN(CN$2),3),1,1),"")</f>
        <v>0</v>
      </c>
      <c r="CO124">
        <f ca="1">IF($AN124="",OFFSET(Demand!$A$13,ROW(Y121)-1,4+((QUOTIENT(COLUMN(CO$2)-69,3))*5)+MOD(COLUMN(CO$2),3),1,1),"")</f>
        <v>0</v>
      </c>
      <c r="CP124">
        <f ca="1">IF($AN124="",OFFSET(Demand!$A$13,ROW(Z121)-1,4+((QUOTIENT(COLUMN(CP$2)-69,3))*5)+MOD(COLUMN(CP$2),3),1,1),"")</f>
        <v>0</v>
      </c>
      <c r="CQ124">
        <f ca="1">IF($AN124="",OFFSET(Demand!$A$13,ROW(AA121)-1,4+((QUOTIENT(COLUMN(CQ$2)-69,3))*5)+MOD(COLUMN(CQ$2),3),1,1),"")</f>
        <v>0</v>
      </c>
      <c r="CR124">
        <f ca="1">IF($AN124="",OFFSET(Demand!$A$13,ROW(AB121)-1,4+((QUOTIENT(COLUMN(CR$2)-69,3))*5)+MOD(COLUMN(CR$2),3),1,1),"")</f>
        <v>0</v>
      </c>
      <c r="CS124">
        <f ca="1">IF($AN124="",OFFSET(Demand!$A$13,ROW(AC121)-1,4+((QUOTIENT(COLUMN(CS$2)-69,3))*5)+MOD(COLUMN(CS$2),3),1,1),"")</f>
        <v>0</v>
      </c>
      <c r="CT124">
        <f ca="1">IF($AN124="",OFFSET(Demand!$A$13,ROW(AD121)-1,4+((QUOTIENT(COLUMN(CT$2)-69,3))*5)+MOD(COLUMN(CT$2),3),1,1),"")</f>
        <v>0</v>
      </c>
      <c r="CW124" s="5">
        <f ca="1">SUM(OFFSET(Demand!$H$43,ROW(A121)-1,(COLUMN(A121)-1)*5,1,1))*N$2</f>
        <v>0</v>
      </c>
      <c r="CX124" s="5">
        <f ca="1">SUM(OFFSET(Demand!$H$43,ROW(B121)-1,(COLUMN(B121)-1)*5,1,1))*O$2</f>
        <v>0</v>
      </c>
      <c r="CY124" s="5">
        <f ca="1">SUM(OFFSET(Demand!$H$43,ROW(C121)-1,(COLUMN(C121)-1)*5,1,1))*P$2</f>
        <v>0</v>
      </c>
      <c r="CZ124" s="5">
        <f ca="1">SUM(OFFSET(Demand!$H$43,ROW(D121)-1,(COLUMN(D121)-1)*5,1,1))*Q$2</f>
        <v>0</v>
      </c>
      <c r="DA124" s="5">
        <f ca="1">SUM(OFFSET(Demand!$H$43,ROW(E121)-1,(COLUMN(E121)-1)*5,1,1))*R$2</f>
        <v>0</v>
      </c>
      <c r="DB124" s="5">
        <f ca="1">SUM(OFFSET(Demand!$H$43,ROW(F121)-1,(COLUMN(F121)-1)*5,1,1))*S$2</f>
        <v>0</v>
      </c>
      <c r="DC124" s="5">
        <f ca="1">SUM(OFFSET(Demand!$H$43,ROW(G121)-1,(COLUMN(G121)-1)*5,1,1))*T$2</f>
        <v>0</v>
      </c>
      <c r="DD124" s="5">
        <f ca="1">SUM(OFFSET(Demand!$H$43,ROW(H121)-1,(COLUMN(H121)-1)*5,1,1))*U$2</f>
        <v>0</v>
      </c>
      <c r="DE124" s="5">
        <f ca="1">SUM(OFFSET(Demand!$H$43,ROW(I121)-1,(COLUMN(I121)-1)*5,1,1))*V$2</f>
        <v>0</v>
      </c>
      <c r="DF124" s="5">
        <f ca="1">SUM(OFFSET(Demand!$H$43,ROW(J121)-1,(COLUMN(J121)-1)*5,1,1))*W$2</f>
        <v>0</v>
      </c>
      <c r="DG124" s="5">
        <f ca="1">IF(OR(AN124&lt;&gt;"",AND('Demand adjustments for Covid'!$F$9="Yes",'Demand adjustments for Covid'!$F$20="Yes")),"",SUM(CW124:DF124))</f>
        <v>0</v>
      </c>
    </row>
    <row r="125" spans="1:111" x14ac:dyDescent="0.25">
      <c r="A125" s="5">
        <f t="shared" ca="1" si="43"/>
        <v>1</v>
      </c>
      <c r="B125" s="5">
        <f ca="1">COUNTBLANK(OFFSET(Demand!$I134,0,(COLUMN(A122)-1)*5,1,1))</f>
        <v>1</v>
      </c>
      <c r="C125" s="5">
        <f ca="1">COUNTBLANK(OFFSET(Demand!$I134,0,(COLUMN(B122)-1)*5,1,1))</f>
        <v>1</v>
      </c>
      <c r="D125" s="5">
        <f ca="1">COUNTBLANK(OFFSET(Demand!$I134,0,(COLUMN(C122)-1)*5,1,1))</f>
        <v>1</v>
      </c>
      <c r="E125" s="5">
        <f ca="1">COUNTBLANK(OFFSET(Demand!$I134,0,(COLUMN(D122)-1)*5,1,1))</f>
        <v>1</v>
      </c>
      <c r="F125" s="5">
        <f ca="1">COUNTBLANK(OFFSET(Demand!$I134,0,(COLUMN(E122)-1)*5,1,1))</f>
        <v>1</v>
      </c>
      <c r="G125" s="5">
        <f ca="1">COUNTBLANK(OFFSET(Demand!$I134,0,(COLUMN(F122)-1)*5,1,1))</f>
        <v>1</v>
      </c>
      <c r="H125" s="5">
        <f ca="1">COUNTBLANK(OFFSET(Demand!$I134,0,(COLUMN(G122)-1)*5,1,1))</f>
        <v>1</v>
      </c>
      <c r="I125" s="5">
        <f ca="1">COUNTBLANK(OFFSET(Demand!$I134,0,(COLUMN(H122)-1)*5,1,1))</f>
        <v>1</v>
      </c>
      <c r="J125" s="5">
        <f ca="1">COUNTBLANK(OFFSET(Demand!$I134,0,(COLUMN(I122)-1)*5,1,1))</f>
        <v>1</v>
      </c>
      <c r="K125" s="5">
        <f ca="1">COUNTBLANK(OFFSET(Demand!$I134,0,(COLUMN(J122)-1)*5,1,1))</f>
        <v>1</v>
      </c>
      <c r="N125" s="5">
        <f ca="1">SUM(OFFSET(Demand!$E134,0,(COLUMN(A122)-1)*5,1,3))*N$2</f>
        <v>0</v>
      </c>
      <c r="O125" s="5">
        <f ca="1">SUM(OFFSET(Demand!$E134,0,(COLUMN(B122)-1)*5,1,3))*O$2</f>
        <v>0</v>
      </c>
      <c r="P125" s="5">
        <f ca="1">SUM(OFFSET(Demand!$E134,0,(COLUMN(C122)-1)*5,1,3))*P$2</f>
        <v>0</v>
      </c>
      <c r="Q125" s="5">
        <f ca="1">SUM(OFFSET(Demand!$E134,0,(COLUMN(D122)-1)*5,1,3))*Q$2</f>
        <v>0</v>
      </c>
      <c r="R125" s="5">
        <f ca="1">SUM(OFFSET(Demand!$E134,0,(COLUMN(E122)-1)*5,1,3))*R$2</f>
        <v>0</v>
      </c>
      <c r="S125" s="5">
        <f ca="1">SUM(OFFSET(Demand!$E134,0,(COLUMN(F122)-1)*5,1,3))*S$2</f>
        <v>0</v>
      </c>
      <c r="T125" s="5">
        <f ca="1">SUM(OFFSET(Demand!$E134,0,(COLUMN(G122)-1)*5,1,3))*T$2</f>
        <v>0</v>
      </c>
      <c r="U125" s="5">
        <f ca="1">SUM(OFFSET(Demand!$E134,0,(COLUMN(H122)-1)*5,1,3))*U$2</f>
        <v>0</v>
      </c>
      <c r="V125" s="5">
        <f ca="1">SUM(OFFSET(Demand!$E134,0,(COLUMN(I122)-1)*5,1,3))*V$2</f>
        <v>0</v>
      </c>
      <c r="W125" s="5">
        <f ca="1">SUM(OFFSET(Demand!$E134,0,(COLUMN(J122)-1)*5,1,3))*W$2</f>
        <v>0</v>
      </c>
      <c r="X125" s="5">
        <f t="shared" ca="1" si="37"/>
        <v>0</v>
      </c>
      <c r="Y125">
        <f t="shared" ca="1" si="38"/>
        <v>0</v>
      </c>
      <c r="Z125" s="5">
        <f ca="1">SUM(OFFSET(Demand!$H134,0,(COLUMN(A122)-1)*5,1,1))*N$2</f>
        <v>0</v>
      </c>
      <c r="AA125" s="5">
        <f ca="1">SUM(OFFSET(Demand!$H134,0,(COLUMN(B122)-1)*5,1,1))*O$2</f>
        <v>0</v>
      </c>
      <c r="AB125" s="5">
        <f ca="1">SUM(OFFSET(Demand!$H134,0,(COLUMN(C122)-1)*5,1,1))*P$2</f>
        <v>0</v>
      </c>
      <c r="AC125" s="5">
        <f ca="1">SUM(OFFSET(Demand!$H134,0,(COLUMN(D122)-1)*5,1,1))*Q$2</f>
        <v>0</v>
      </c>
      <c r="AD125" s="5">
        <f ca="1">SUM(OFFSET(Demand!$H134,0,(COLUMN(E122)-1)*5,1,1))*R$2</f>
        <v>0</v>
      </c>
      <c r="AE125" s="5">
        <f ca="1">SUM(OFFSET(Demand!$H134,0,(COLUMN(F122)-1)*5,1,1))*S$2</f>
        <v>0</v>
      </c>
      <c r="AF125" s="5">
        <f ca="1">SUM(OFFSET(Demand!$H134,0,(COLUMN(G122)-1)*5,1,1))*T$2</f>
        <v>0</v>
      </c>
      <c r="AG125" s="5">
        <f ca="1">SUM(OFFSET(Demand!$H134,0,(COLUMN(H122)-1)*5,1,1))*U$2</f>
        <v>0</v>
      </c>
      <c r="AH125" s="5">
        <f ca="1">SUM(OFFSET(Demand!$H134,0,(COLUMN(I122)-1)*5,1,1))*V$2</f>
        <v>0</v>
      </c>
      <c r="AI125" s="5">
        <f ca="1">SUM(OFFSET(Demand!$H134,0,(COLUMN(J122)-1)*5,1,1))*W$2</f>
        <v>0</v>
      </c>
      <c r="AJ125" s="5">
        <f t="shared" ca="1" si="39"/>
        <v>0</v>
      </c>
      <c r="AL125" s="5">
        <f t="shared" ca="1" si="40"/>
        <v>0</v>
      </c>
      <c r="AM125" s="5">
        <f t="shared" ca="1" si="41"/>
        <v>0</v>
      </c>
      <c r="AN125" s="5" t="str">
        <f>IF(Demand!BE134="Yes","Yes","")</f>
        <v/>
      </c>
      <c r="AP125" s="36" t="str">
        <f ca="1">Demand!B134</f>
        <v xml:space="preserve"> </v>
      </c>
      <c r="AQ125" t="str">
        <f ca="1">IF(TEXT(Demand!D134,"MMM")&lt;&gt;TEXT(Demand!D133,"MMM"),TEXT(Demand!D134,"MMM"),"")</f>
        <v/>
      </c>
      <c r="AT125" s="5">
        <f t="shared" ca="1" si="42"/>
        <v>0</v>
      </c>
      <c r="BQ125">
        <f ca="1">IF($AN125="",OFFSET(Demand!$A$13,ROW(A122)-1,4+((QUOTIENT(COLUMN(BQ$2)-69,3))*5)+MOD(COLUMN(BQ$2),3),1,1),"")</f>
        <v>0</v>
      </c>
      <c r="BR125">
        <f ca="1">IF($AN125="",OFFSET(Demand!$A$13,ROW(B122)-1,4+((QUOTIENT(COLUMN(BR$2)-69,3))*5)+MOD(COLUMN(BR$2),3),1,1),"")</f>
        <v>0</v>
      </c>
      <c r="BS125">
        <f ca="1">IF($AN125="",OFFSET(Demand!$A$13,ROW(C122)-1,4+((QUOTIENT(COLUMN(BS$2)-69,3))*5)+MOD(COLUMN(BS$2),3),1,1),"")</f>
        <v>0</v>
      </c>
      <c r="BT125">
        <f ca="1">IF($AN125="",OFFSET(Demand!$A$13,ROW(D122)-1,4+((QUOTIENT(COLUMN(BT$2)-69,3))*5)+MOD(COLUMN(BT$2),3),1,1),"")</f>
        <v>0</v>
      </c>
      <c r="BU125">
        <f ca="1">IF($AN125="",OFFSET(Demand!$A$13,ROW(E122)-1,4+((QUOTIENT(COLUMN(BU$2)-69,3))*5)+MOD(COLUMN(BU$2),3),1,1),"")</f>
        <v>0</v>
      </c>
      <c r="BV125">
        <f ca="1">IF($AN125="",OFFSET(Demand!$A$13,ROW(F122)-1,4+((QUOTIENT(COLUMN(BV$2)-69,3))*5)+MOD(COLUMN(BV$2),3),1,1),"")</f>
        <v>0</v>
      </c>
      <c r="BW125">
        <f ca="1">IF($AN125="",OFFSET(Demand!$A$13,ROW(G122)-1,4+((QUOTIENT(COLUMN(BW$2)-69,3))*5)+MOD(COLUMN(BW$2),3),1,1),"")</f>
        <v>0</v>
      </c>
      <c r="BX125">
        <f ca="1">IF($AN125="",OFFSET(Demand!$A$13,ROW(H122)-1,4+((QUOTIENT(COLUMN(BX$2)-69,3))*5)+MOD(COLUMN(BX$2),3),1,1),"")</f>
        <v>0</v>
      </c>
      <c r="BY125">
        <f ca="1">IF($AN125="",OFFSET(Demand!$A$13,ROW(I122)-1,4+((QUOTIENT(COLUMN(BY$2)-69,3))*5)+MOD(COLUMN(BY$2),3),1,1),"")</f>
        <v>0</v>
      </c>
      <c r="BZ125">
        <f ca="1">IF($AN125="",OFFSET(Demand!$A$13,ROW(J122)-1,4+((QUOTIENT(COLUMN(BZ$2)-69,3))*5)+MOD(COLUMN(BZ$2),3),1,1),"")</f>
        <v>0</v>
      </c>
      <c r="CA125">
        <f ca="1">IF($AN125="",OFFSET(Demand!$A$13,ROW(K122)-1,4+((QUOTIENT(COLUMN(CA$2)-69,3))*5)+MOD(COLUMN(CA$2),3),1,1),"")</f>
        <v>0</v>
      </c>
      <c r="CB125">
        <f ca="1">IF($AN125="",OFFSET(Demand!$A$13,ROW(L122)-1,4+((QUOTIENT(COLUMN(CB$2)-69,3))*5)+MOD(COLUMN(CB$2),3),1,1),"")</f>
        <v>0</v>
      </c>
      <c r="CC125">
        <f ca="1">IF($AN125="",OFFSET(Demand!$A$13,ROW(M122)-1,4+((QUOTIENT(COLUMN(CC$2)-69,3))*5)+MOD(COLUMN(CC$2),3),1,1),"")</f>
        <v>0</v>
      </c>
      <c r="CD125">
        <f ca="1">IF($AN125="",OFFSET(Demand!$A$13,ROW(N122)-1,4+((QUOTIENT(COLUMN(CD$2)-69,3))*5)+MOD(COLUMN(CD$2),3),1,1),"")</f>
        <v>0</v>
      </c>
      <c r="CE125">
        <f ca="1">IF($AN125="",OFFSET(Demand!$A$13,ROW(O122)-1,4+((QUOTIENT(COLUMN(CE$2)-69,3))*5)+MOD(COLUMN(CE$2),3),1,1),"")</f>
        <v>0</v>
      </c>
      <c r="CF125">
        <f ca="1">IF($AN125="",OFFSET(Demand!$A$13,ROW(P122)-1,4+((QUOTIENT(COLUMN(CF$2)-69,3))*5)+MOD(COLUMN(CF$2),3),1,1),"")</f>
        <v>0</v>
      </c>
      <c r="CG125">
        <f ca="1">IF($AN125="",OFFSET(Demand!$A$13,ROW(Q122)-1,4+((QUOTIENT(COLUMN(CG$2)-69,3))*5)+MOD(COLUMN(CG$2),3),1,1),"")</f>
        <v>0</v>
      </c>
      <c r="CH125">
        <f ca="1">IF($AN125="",OFFSET(Demand!$A$13,ROW(R122)-1,4+((QUOTIENT(COLUMN(CH$2)-69,3))*5)+MOD(COLUMN(CH$2),3),1,1),"")</f>
        <v>0</v>
      </c>
      <c r="CI125">
        <f ca="1">IF($AN125="",OFFSET(Demand!$A$13,ROW(S122)-1,4+((QUOTIENT(COLUMN(CI$2)-69,3))*5)+MOD(COLUMN(CI$2),3),1,1),"")</f>
        <v>0</v>
      </c>
      <c r="CJ125">
        <f ca="1">IF($AN125="",OFFSET(Demand!$A$13,ROW(T122)-1,4+((QUOTIENT(COLUMN(CJ$2)-69,3))*5)+MOD(COLUMN(CJ$2),3),1,1),"")</f>
        <v>0</v>
      </c>
      <c r="CK125">
        <f ca="1">IF($AN125="",OFFSET(Demand!$A$13,ROW(U122)-1,4+((QUOTIENT(COLUMN(CK$2)-69,3))*5)+MOD(COLUMN(CK$2),3),1,1),"")</f>
        <v>0</v>
      </c>
      <c r="CL125">
        <f ca="1">IF($AN125="",OFFSET(Demand!$A$13,ROW(V122)-1,4+((QUOTIENT(COLUMN(CL$2)-69,3))*5)+MOD(COLUMN(CL$2),3),1,1),"")</f>
        <v>0</v>
      </c>
      <c r="CM125">
        <f ca="1">IF($AN125="",OFFSET(Demand!$A$13,ROW(W122)-1,4+((QUOTIENT(COLUMN(CM$2)-69,3))*5)+MOD(COLUMN(CM$2),3),1,1),"")</f>
        <v>0</v>
      </c>
      <c r="CN125">
        <f ca="1">IF($AN125="",OFFSET(Demand!$A$13,ROW(X122)-1,4+((QUOTIENT(COLUMN(CN$2)-69,3))*5)+MOD(COLUMN(CN$2),3),1,1),"")</f>
        <v>0</v>
      </c>
      <c r="CO125">
        <f ca="1">IF($AN125="",OFFSET(Demand!$A$13,ROW(Y122)-1,4+((QUOTIENT(COLUMN(CO$2)-69,3))*5)+MOD(COLUMN(CO$2),3),1,1),"")</f>
        <v>0</v>
      </c>
      <c r="CP125">
        <f ca="1">IF($AN125="",OFFSET(Demand!$A$13,ROW(Z122)-1,4+((QUOTIENT(COLUMN(CP$2)-69,3))*5)+MOD(COLUMN(CP$2),3),1,1),"")</f>
        <v>0</v>
      </c>
      <c r="CQ125">
        <f ca="1">IF($AN125="",OFFSET(Demand!$A$13,ROW(AA122)-1,4+((QUOTIENT(COLUMN(CQ$2)-69,3))*5)+MOD(COLUMN(CQ$2),3),1,1),"")</f>
        <v>0</v>
      </c>
      <c r="CR125">
        <f ca="1">IF($AN125="",OFFSET(Demand!$A$13,ROW(AB122)-1,4+((QUOTIENT(COLUMN(CR$2)-69,3))*5)+MOD(COLUMN(CR$2),3),1,1),"")</f>
        <v>0</v>
      </c>
      <c r="CS125">
        <f ca="1">IF($AN125="",OFFSET(Demand!$A$13,ROW(AC122)-1,4+((QUOTIENT(COLUMN(CS$2)-69,3))*5)+MOD(COLUMN(CS$2),3),1,1),"")</f>
        <v>0</v>
      </c>
      <c r="CT125">
        <f ca="1">IF($AN125="",OFFSET(Demand!$A$13,ROW(AD122)-1,4+((QUOTIENT(COLUMN(CT$2)-69,3))*5)+MOD(COLUMN(CT$2),3),1,1),"")</f>
        <v>0</v>
      </c>
      <c r="CW125" s="5">
        <f ca="1">SUM(OFFSET(Demand!$H$43,ROW(A122)-1,(COLUMN(A122)-1)*5,1,1))*N$2</f>
        <v>0</v>
      </c>
      <c r="CX125" s="5">
        <f ca="1">SUM(OFFSET(Demand!$H$43,ROW(B122)-1,(COLUMN(B122)-1)*5,1,1))*O$2</f>
        <v>0</v>
      </c>
      <c r="CY125" s="5">
        <f ca="1">SUM(OFFSET(Demand!$H$43,ROW(C122)-1,(COLUMN(C122)-1)*5,1,1))*P$2</f>
        <v>0</v>
      </c>
      <c r="CZ125" s="5">
        <f ca="1">SUM(OFFSET(Demand!$H$43,ROW(D122)-1,(COLUMN(D122)-1)*5,1,1))*Q$2</f>
        <v>0</v>
      </c>
      <c r="DA125" s="5">
        <f ca="1">SUM(OFFSET(Demand!$H$43,ROW(E122)-1,(COLUMN(E122)-1)*5,1,1))*R$2</f>
        <v>0</v>
      </c>
      <c r="DB125" s="5">
        <f ca="1">SUM(OFFSET(Demand!$H$43,ROW(F122)-1,(COLUMN(F122)-1)*5,1,1))*S$2</f>
        <v>0</v>
      </c>
      <c r="DC125" s="5">
        <f ca="1">SUM(OFFSET(Demand!$H$43,ROW(G122)-1,(COLUMN(G122)-1)*5,1,1))*T$2</f>
        <v>0</v>
      </c>
      <c r="DD125" s="5">
        <f ca="1">SUM(OFFSET(Demand!$H$43,ROW(H122)-1,(COLUMN(H122)-1)*5,1,1))*U$2</f>
        <v>0</v>
      </c>
      <c r="DE125" s="5">
        <f ca="1">SUM(OFFSET(Demand!$H$43,ROW(I122)-1,(COLUMN(I122)-1)*5,1,1))*V$2</f>
        <v>0</v>
      </c>
      <c r="DF125" s="5">
        <f ca="1">SUM(OFFSET(Demand!$H$43,ROW(J122)-1,(COLUMN(J122)-1)*5,1,1))*W$2</f>
        <v>0</v>
      </c>
      <c r="DG125" s="5">
        <f ca="1">IF(OR(AN125&lt;&gt;"",AND('Demand adjustments for Covid'!$F$9="Yes",'Demand adjustments for Covid'!$F$20="Yes")),"",SUM(CW125:DF125))</f>
        <v>0</v>
      </c>
    </row>
    <row r="126" spans="1:111" x14ac:dyDescent="0.25">
      <c r="A126" s="5">
        <f t="shared" ca="1" si="43"/>
        <v>1</v>
      </c>
      <c r="B126" s="5">
        <f ca="1">COUNTBLANK(OFFSET(Demand!$I135,0,(COLUMN(A123)-1)*5,1,1))</f>
        <v>1</v>
      </c>
      <c r="C126" s="5">
        <f ca="1">COUNTBLANK(OFFSET(Demand!$I135,0,(COLUMN(B123)-1)*5,1,1))</f>
        <v>1</v>
      </c>
      <c r="D126" s="5">
        <f ca="1">COUNTBLANK(OFFSET(Demand!$I135,0,(COLUMN(C123)-1)*5,1,1))</f>
        <v>1</v>
      </c>
      <c r="E126" s="5">
        <f ca="1">COUNTBLANK(OFFSET(Demand!$I135,0,(COLUMN(D123)-1)*5,1,1))</f>
        <v>1</v>
      </c>
      <c r="F126" s="5">
        <f ca="1">COUNTBLANK(OFFSET(Demand!$I135,0,(COLUMN(E123)-1)*5,1,1))</f>
        <v>1</v>
      </c>
      <c r="G126" s="5">
        <f ca="1">COUNTBLANK(OFFSET(Demand!$I135,0,(COLUMN(F123)-1)*5,1,1))</f>
        <v>1</v>
      </c>
      <c r="H126" s="5">
        <f ca="1">COUNTBLANK(OFFSET(Demand!$I135,0,(COLUMN(G123)-1)*5,1,1))</f>
        <v>1</v>
      </c>
      <c r="I126" s="5">
        <f ca="1">COUNTBLANK(OFFSET(Demand!$I135,0,(COLUMN(H123)-1)*5,1,1))</f>
        <v>1</v>
      </c>
      <c r="J126" s="5">
        <f ca="1">COUNTBLANK(OFFSET(Demand!$I135,0,(COLUMN(I123)-1)*5,1,1))</f>
        <v>1</v>
      </c>
      <c r="K126" s="5">
        <f ca="1">COUNTBLANK(OFFSET(Demand!$I135,0,(COLUMN(J123)-1)*5,1,1))</f>
        <v>1</v>
      </c>
      <c r="N126" s="5">
        <f ca="1">SUM(OFFSET(Demand!$E135,0,(COLUMN(A123)-1)*5,1,3))*N$2</f>
        <v>0</v>
      </c>
      <c r="O126" s="5">
        <f ca="1">SUM(OFFSET(Demand!$E135,0,(COLUMN(B123)-1)*5,1,3))*O$2</f>
        <v>0</v>
      </c>
      <c r="P126" s="5">
        <f ca="1">SUM(OFFSET(Demand!$E135,0,(COLUMN(C123)-1)*5,1,3))*P$2</f>
        <v>0</v>
      </c>
      <c r="Q126" s="5">
        <f ca="1">SUM(OFFSET(Demand!$E135,0,(COLUMN(D123)-1)*5,1,3))*Q$2</f>
        <v>0</v>
      </c>
      <c r="R126" s="5">
        <f ca="1">SUM(OFFSET(Demand!$E135,0,(COLUMN(E123)-1)*5,1,3))*R$2</f>
        <v>0</v>
      </c>
      <c r="S126" s="5">
        <f ca="1">SUM(OFFSET(Demand!$E135,0,(COLUMN(F123)-1)*5,1,3))*S$2</f>
        <v>0</v>
      </c>
      <c r="T126" s="5">
        <f ca="1">SUM(OFFSET(Demand!$E135,0,(COLUMN(G123)-1)*5,1,3))*T$2</f>
        <v>0</v>
      </c>
      <c r="U126" s="5">
        <f ca="1">SUM(OFFSET(Demand!$E135,0,(COLUMN(H123)-1)*5,1,3))*U$2</f>
        <v>0</v>
      </c>
      <c r="V126" s="5">
        <f ca="1">SUM(OFFSET(Demand!$E135,0,(COLUMN(I123)-1)*5,1,3))*V$2</f>
        <v>0</v>
      </c>
      <c r="W126" s="5">
        <f ca="1">SUM(OFFSET(Demand!$E135,0,(COLUMN(J123)-1)*5,1,3))*W$2</f>
        <v>0</v>
      </c>
      <c r="X126" s="5">
        <f t="shared" ca="1" si="37"/>
        <v>0</v>
      </c>
      <c r="Y126">
        <f t="shared" ca="1" si="38"/>
        <v>0</v>
      </c>
      <c r="Z126" s="5">
        <f ca="1">SUM(OFFSET(Demand!$H135,0,(COLUMN(A123)-1)*5,1,1))*N$2</f>
        <v>0</v>
      </c>
      <c r="AA126" s="5">
        <f ca="1">SUM(OFFSET(Demand!$H135,0,(COLUMN(B123)-1)*5,1,1))*O$2</f>
        <v>0</v>
      </c>
      <c r="AB126" s="5">
        <f ca="1">SUM(OFFSET(Demand!$H135,0,(COLUMN(C123)-1)*5,1,1))*P$2</f>
        <v>0</v>
      </c>
      <c r="AC126" s="5">
        <f ca="1">SUM(OFFSET(Demand!$H135,0,(COLUMN(D123)-1)*5,1,1))*Q$2</f>
        <v>0</v>
      </c>
      <c r="AD126" s="5">
        <f ca="1">SUM(OFFSET(Demand!$H135,0,(COLUMN(E123)-1)*5,1,1))*R$2</f>
        <v>0</v>
      </c>
      <c r="AE126" s="5">
        <f ca="1">SUM(OFFSET(Demand!$H135,0,(COLUMN(F123)-1)*5,1,1))*S$2</f>
        <v>0</v>
      </c>
      <c r="AF126" s="5">
        <f ca="1">SUM(OFFSET(Demand!$H135,0,(COLUMN(G123)-1)*5,1,1))*T$2</f>
        <v>0</v>
      </c>
      <c r="AG126" s="5">
        <f ca="1">SUM(OFFSET(Demand!$H135,0,(COLUMN(H123)-1)*5,1,1))*U$2</f>
        <v>0</v>
      </c>
      <c r="AH126" s="5">
        <f ca="1">SUM(OFFSET(Demand!$H135,0,(COLUMN(I123)-1)*5,1,1))*V$2</f>
        <v>0</v>
      </c>
      <c r="AI126" s="5">
        <f ca="1">SUM(OFFSET(Demand!$H135,0,(COLUMN(J123)-1)*5,1,1))*W$2</f>
        <v>0</v>
      </c>
      <c r="AJ126" s="5">
        <f t="shared" ca="1" si="39"/>
        <v>0</v>
      </c>
      <c r="AL126" s="5">
        <f t="shared" ca="1" si="40"/>
        <v>0</v>
      </c>
      <c r="AM126" s="5">
        <f t="shared" ca="1" si="41"/>
        <v>0</v>
      </c>
      <c r="AN126" s="5" t="str">
        <f>IF(Demand!BE135="Yes","Yes","")</f>
        <v/>
      </c>
      <c r="AP126" s="36" t="str">
        <f ca="1">Demand!B135</f>
        <v xml:space="preserve"> </v>
      </c>
      <c r="AQ126" t="str">
        <f ca="1">IF(TEXT(Demand!D135,"MMM")&lt;&gt;TEXT(Demand!D134,"MMM"),TEXT(Demand!D135,"MMM"),"")</f>
        <v/>
      </c>
      <c r="AT126" s="5">
        <f t="shared" ca="1" si="42"/>
        <v>0</v>
      </c>
      <c r="BQ126">
        <f ca="1">IF($AN126="",OFFSET(Demand!$A$13,ROW(A123)-1,4+((QUOTIENT(COLUMN(BQ$2)-69,3))*5)+MOD(COLUMN(BQ$2),3),1,1),"")</f>
        <v>0</v>
      </c>
      <c r="BR126">
        <f ca="1">IF($AN126="",OFFSET(Demand!$A$13,ROW(B123)-1,4+((QUOTIENT(COLUMN(BR$2)-69,3))*5)+MOD(COLUMN(BR$2),3),1,1),"")</f>
        <v>0</v>
      </c>
      <c r="BS126">
        <f ca="1">IF($AN126="",OFFSET(Demand!$A$13,ROW(C123)-1,4+((QUOTIENT(COLUMN(BS$2)-69,3))*5)+MOD(COLUMN(BS$2),3),1,1),"")</f>
        <v>0</v>
      </c>
      <c r="BT126">
        <f ca="1">IF($AN126="",OFFSET(Demand!$A$13,ROW(D123)-1,4+((QUOTIENT(COLUMN(BT$2)-69,3))*5)+MOD(COLUMN(BT$2),3),1,1),"")</f>
        <v>0</v>
      </c>
      <c r="BU126">
        <f ca="1">IF($AN126="",OFFSET(Demand!$A$13,ROW(E123)-1,4+((QUOTIENT(COLUMN(BU$2)-69,3))*5)+MOD(COLUMN(BU$2),3),1,1),"")</f>
        <v>0</v>
      </c>
      <c r="BV126">
        <f ca="1">IF($AN126="",OFFSET(Demand!$A$13,ROW(F123)-1,4+((QUOTIENT(COLUMN(BV$2)-69,3))*5)+MOD(COLUMN(BV$2),3),1,1),"")</f>
        <v>0</v>
      </c>
      <c r="BW126">
        <f ca="1">IF($AN126="",OFFSET(Demand!$A$13,ROW(G123)-1,4+((QUOTIENT(COLUMN(BW$2)-69,3))*5)+MOD(COLUMN(BW$2),3),1,1),"")</f>
        <v>0</v>
      </c>
      <c r="BX126">
        <f ca="1">IF($AN126="",OFFSET(Demand!$A$13,ROW(H123)-1,4+((QUOTIENT(COLUMN(BX$2)-69,3))*5)+MOD(COLUMN(BX$2),3),1,1),"")</f>
        <v>0</v>
      </c>
      <c r="BY126">
        <f ca="1">IF($AN126="",OFFSET(Demand!$A$13,ROW(I123)-1,4+((QUOTIENT(COLUMN(BY$2)-69,3))*5)+MOD(COLUMN(BY$2),3),1,1),"")</f>
        <v>0</v>
      </c>
      <c r="BZ126">
        <f ca="1">IF($AN126="",OFFSET(Demand!$A$13,ROW(J123)-1,4+((QUOTIENT(COLUMN(BZ$2)-69,3))*5)+MOD(COLUMN(BZ$2),3),1,1),"")</f>
        <v>0</v>
      </c>
      <c r="CA126">
        <f ca="1">IF($AN126="",OFFSET(Demand!$A$13,ROW(K123)-1,4+((QUOTIENT(COLUMN(CA$2)-69,3))*5)+MOD(COLUMN(CA$2),3),1,1),"")</f>
        <v>0</v>
      </c>
      <c r="CB126">
        <f ca="1">IF($AN126="",OFFSET(Demand!$A$13,ROW(L123)-1,4+((QUOTIENT(COLUMN(CB$2)-69,3))*5)+MOD(COLUMN(CB$2),3),1,1),"")</f>
        <v>0</v>
      </c>
      <c r="CC126">
        <f ca="1">IF($AN126="",OFFSET(Demand!$A$13,ROW(M123)-1,4+((QUOTIENT(COLUMN(CC$2)-69,3))*5)+MOD(COLUMN(CC$2),3),1,1),"")</f>
        <v>0</v>
      </c>
      <c r="CD126">
        <f ca="1">IF($AN126="",OFFSET(Demand!$A$13,ROW(N123)-1,4+((QUOTIENT(COLUMN(CD$2)-69,3))*5)+MOD(COLUMN(CD$2),3),1,1),"")</f>
        <v>0</v>
      </c>
      <c r="CE126">
        <f ca="1">IF($AN126="",OFFSET(Demand!$A$13,ROW(O123)-1,4+((QUOTIENT(COLUMN(CE$2)-69,3))*5)+MOD(COLUMN(CE$2),3),1,1),"")</f>
        <v>0</v>
      </c>
      <c r="CF126">
        <f ca="1">IF($AN126="",OFFSET(Demand!$A$13,ROW(P123)-1,4+((QUOTIENT(COLUMN(CF$2)-69,3))*5)+MOD(COLUMN(CF$2),3),1,1),"")</f>
        <v>0</v>
      </c>
      <c r="CG126">
        <f ca="1">IF($AN126="",OFFSET(Demand!$A$13,ROW(Q123)-1,4+((QUOTIENT(COLUMN(CG$2)-69,3))*5)+MOD(COLUMN(CG$2),3),1,1),"")</f>
        <v>0</v>
      </c>
      <c r="CH126">
        <f ca="1">IF($AN126="",OFFSET(Demand!$A$13,ROW(R123)-1,4+((QUOTIENT(COLUMN(CH$2)-69,3))*5)+MOD(COLUMN(CH$2),3),1,1),"")</f>
        <v>0</v>
      </c>
      <c r="CI126">
        <f ca="1">IF($AN126="",OFFSET(Demand!$A$13,ROW(S123)-1,4+((QUOTIENT(COLUMN(CI$2)-69,3))*5)+MOD(COLUMN(CI$2),3),1,1),"")</f>
        <v>0</v>
      </c>
      <c r="CJ126">
        <f ca="1">IF($AN126="",OFFSET(Demand!$A$13,ROW(T123)-1,4+((QUOTIENT(COLUMN(CJ$2)-69,3))*5)+MOD(COLUMN(CJ$2),3),1,1),"")</f>
        <v>0</v>
      </c>
      <c r="CK126">
        <f ca="1">IF($AN126="",OFFSET(Demand!$A$13,ROW(U123)-1,4+((QUOTIENT(COLUMN(CK$2)-69,3))*5)+MOD(COLUMN(CK$2),3),1,1),"")</f>
        <v>0</v>
      </c>
      <c r="CL126">
        <f ca="1">IF($AN126="",OFFSET(Demand!$A$13,ROW(V123)-1,4+((QUOTIENT(COLUMN(CL$2)-69,3))*5)+MOD(COLUMN(CL$2),3),1,1),"")</f>
        <v>0</v>
      </c>
      <c r="CM126">
        <f ca="1">IF($AN126="",OFFSET(Demand!$A$13,ROW(W123)-1,4+((QUOTIENT(COLUMN(CM$2)-69,3))*5)+MOD(COLUMN(CM$2),3),1,1),"")</f>
        <v>0</v>
      </c>
      <c r="CN126">
        <f ca="1">IF($AN126="",OFFSET(Demand!$A$13,ROW(X123)-1,4+((QUOTIENT(COLUMN(CN$2)-69,3))*5)+MOD(COLUMN(CN$2),3),1,1),"")</f>
        <v>0</v>
      </c>
      <c r="CO126">
        <f ca="1">IF($AN126="",OFFSET(Demand!$A$13,ROW(Y123)-1,4+((QUOTIENT(COLUMN(CO$2)-69,3))*5)+MOD(COLUMN(CO$2),3),1,1),"")</f>
        <v>0</v>
      </c>
      <c r="CP126">
        <f ca="1">IF($AN126="",OFFSET(Demand!$A$13,ROW(Z123)-1,4+((QUOTIENT(COLUMN(CP$2)-69,3))*5)+MOD(COLUMN(CP$2),3),1,1),"")</f>
        <v>0</v>
      </c>
      <c r="CQ126">
        <f ca="1">IF($AN126="",OFFSET(Demand!$A$13,ROW(AA123)-1,4+((QUOTIENT(COLUMN(CQ$2)-69,3))*5)+MOD(COLUMN(CQ$2),3),1,1),"")</f>
        <v>0</v>
      </c>
      <c r="CR126">
        <f ca="1">IF($AN126="",OFFSET(Demand!$A$13,ROW(AB123)-1,4+((QUOTIENT(COLUMN(CR$2)-69,3))*5)+MOD(COLUMN(CR$2),3),1,1),"")</f>
        <v>0</v>
      </c>
      <c r="CS126">
        <f ca="1">IF($AN126="",OFFSET(Demand!$A$13,ROW(AC123)-1,4+((QUOTIENT(COLUMN(CS$2)-69,3))*5)+MOD(COLUMN(CS$2),3),1,1),"")</f>
        <v>0</v>
      </c>
      <c r="CT126">
        <f ca="1">IF($AN126="",OFFSET(Demand!$A$13,ROW(AD123)-1,4+((QUOTIENT(COLUMN(CT$2)-69,3))*5)+MOD(COLUMN(CT$2),3),1,1),"")</f>
        <v>0</v>
      </c>
      <c r="CW126" s="5">
        <f ca="1">SUM(OFFSET(Demand!$H$43,ROW(A123)-1,(COLUMN(A123)-1)*5,1,1))*N$2</f>
        <v>0</v>
      </c>
      <c r="CX126" s="5">
        <f ca="1">SUM(OFFSET(Demand!$H$43,ROW(B123)-1,(COLUMN(B123)-1)*5,1,1))*O$2</f>
        <v>0</v>
      </c>
      <c r="CY126" s="5">
        <f ca="1">SUM(OFFSET(Demand!$H$43,ROW(C123)-1,(COLUMN(C123)-1)*5,1,1))*P$2</f>
        <v>0</v>
      </c>
      <c r="CZ126" s="5">
        <f ca="1">SUM(OFFSET(Demand!$H$43,ROW(D123)-1,(COLUMN(D123)-1)*5,1,1))*Q$2</f>
        <v>0</v>
      </c>
      <c r="DA126" s="5">
        <f ca="1">SUM(OFFSET(Demand!$H$43,ROW(E123)-1,(COLUMN(E123)-1)*5,1,1))*R$2</f>
        <v>0</v>
      </c>
      <c r="DB126" s="5">
        <f ca="1">SUM(OFFSET(Demand!$H$43,ROW(F123)-1,(COLUMN(F123)-1)*5,1,1))*S$2</f>
        <v>0</v>
      </c>
      <c r="DC126" s="5">
        <f ca="1">SUM(OFFSET(Demand!$H$43,ROW(G123)-1,(COLUMN(G123)-1)*5,1,1))*T$2</f>
        <v>0</v>
      </c>
      <c r="DD126" s="5">
        <f ca="1">SUM(OFFSET(Demand!$H$43,ROW(H123)-1,(COLUMN(H123)-1)*5,1,1))*U$2</f>
        <v>0</v>
      </c>
      <c r="DE126" s="5">
        <f ca="1">SUM(OFFSET(Demand!$H$43,ROW(I123)-1,(COLUMN(I123)-1)*5,1,1))*V$2</f>
        <v>0</v>
      </c>
      <c r="DF126" s="5">
        <f ca="1">SUM(OFFSET(Demand!$H$43,ROW(J123)-1,(COLUMN(J123)-1)*5,1,1))*W$2</f>
        <v>0</v>
      </c>
      <c r="DG126" s="5">
        <f ca="1">IF(OR(AN126&lt;&gt;"",AND('Demand adjustments for Covid'!$F$9="Yes",'Demand adjustments for Covid'!$F$20="Yes")),"",SUM(CW126:DF126))</f>
        <v>0</v>
      </c>
    </row>
    <row r="127" spans="1:111" x14ac:dyDescent="0.25">
      <c r="A127" s="5">
        <f t="shared" ca="1" si="43"/>
        <v>1</v>
      </c>
      <c r="B127" s="5">
        <f ca="1">COUNTBLANK(OFFSET(Demand!$I136,0,(COLUMN(A124)-1)*5,1,1))</f>
        <v>1</v>
      </c>
      <c r="C127" s="5">
        <f ca="1">COUNTBLANK(OFFSET(Demand!$I136,0,(COLUMN(B124)-1)*5,1,1))</f>
        <v>1</v>
      </c>
      <c r="D127" s="5">
        <f ca="1">COUNTBLANK(OFFSET(Demand!$I136,0,(COLUMN(C124)-1)*5,1,1))</f>
        <v>1</v>
      </c>
      <c r="E127" s="5">
        <f ca="1">COUNTBLANK(OFFSET(Demand!$I136,0,(COLUMN(D124)-1)*5,1,1))</f>
        <v>1</v>
      </c>
      <c r="F127" s="5">
        <f ca="1">COUNTBLANK(OFFSET(Demand!$I136,0,(COLUMN(E124)-1)*5,1,1))</f>
        <v>1</v>
      </c>
      <c r="G127" s="5">
        <f ca="1">COUNTBLANK(OFFSET(Demand!$I136,0,(COLUMN(F124)-1)*5,1,1))</f>
        <v>1</v>
      </c>
      <c r="H127" s="5">
        <f ca="1">COUNTBLANK(OFFSET(Demand!$I136,0,(COLUMN(G124)-1)*5,1,1))</f>
        <v>1</v>
      </c>
      <c r="I127" s="5">
        <f ca="1">COUNTBLANK(OFFSET(Demand!$I136,0,(COLUMN(H124)-1)*5,1,1))</f>
        <v>1</v>
      </c>
      <c r="J127" s="5">
        <f ca="1">COUNTBLANK(OFFSET(Demand!$I136,0,(COLUMN(I124)-1)*5,1,1))</f>
        <v>1</v>
      </c>
      <c r="K127" s="5">
        <f ca="1">COUNTBLANK(OFFSET(Demand!$I136,0,(COLUMN(J124)-1)*5,1,1))</f>
        <v>1</v>
      </c>
      <c r="N127" s="5">
        <f ca="1">SUM(OFFSET(Demand!$E136,0,(COLUMN(A124)-1)*5,1,3))*N$2</f>
        <v>0</v>
      </c>
      <c r="O127" s="5">
        <f ca="1">SUM(OFFSET(Demand!$E136,0,(COLUMN(B124)-1)*5,1,3))*O$2</f>
        <v>0</v>
      </c>
      <c r="P127" s="5">
        <f ca="1">SUM(OFFSET(Demand!$E136,0,(COLUMN(C124)-1)*5,1,3))*P$2</f>
        <v>0</v>
      </c>
      <c r="Q127" s="5">
        <f ca="1">SUM(OFFSET(Demand!$E136,0,(COLUMN(D124)-1)*5,1,3))*Q$2</f>
        <v>0</v>
      </c>
      <c r="R127" s="5">
        <f ca="1">SUM(OFFSET(Demand!$E136,0,(COLUMN(E124)-1)*5,1,3))*R$2</f>
        <v>0</v>
      </c>
      <c r="S127" s="5">
        <f ca="1">SUM(OFFSET(Demand!$E136,0,(COLUMN(F124)-1)*5,1,3))*S$2</f>
        <v>0</v>
      </c>
      <c r="T127" s="5">
        <f ca="1">SUM(OFFSET(Demand!$E136,0,(COLUMN(G124)-1)*5,1,3))*T$2</f>
        <v>0</v>
      </c>
      <c r="U127" s="5">
        <f ca="1">SUM(OFFSET(Demand!$E136,0,(COLUMN(H124)-1)*5,1,3))*U$2</f>
        <v>0</v>
      </c>
      <c r="V127" s="5">
        <f ca="1">SUM(OFFSET(Demand!$E136,0,(COLUMN(I124)-1)*5,1,3))*V$2</f>
        <v>0</v>
      </c>
      <c r="W127" s="5">
        <f ca="1">SUM(OFFSET(Demand!$E136,0,(COLUMN(J124)-1)*5,1,3))*W$2</f>
        <v>0</v>
      </c>
      <c r="X127" s="5">
        <f t="shared" ca="1" si="37"/>
        <v>0</v>
      </c>
      <c r="Y127">
        <f t="shared" ca="1" si="38"/>
        <v>0</v>
      </c>
      <c r="Z127" s="5">
        <f ca="1">SUM(OFFSET(Demand!$H136,0,(COLUMN(A124)-1)*5,1,1))*N$2</f>
        <v>0</v>
      </c>
      <c r="AA127" s="5">
        <f ca="1">SUM(OFFSET(Demand!$H136,0,(COLUMN(B124)-1)*5,1,1))*O$2</f>
        <v>0</v>
      </c>
      <c r="AB127" s="5">
        <f ca="1">SUM(OFFSET(Demand!$H136,0,(COLUMN(C124)-1)*5,1,1))*P$2</f>
        <v>0</v>
      </c>
      <c r="AC127" s="5">
        <f ca="1">SUM(OFFSET(Demand!$H136,0,(COLUMN(D124)-1)*5,1,1))*Q$2</f>
        <v>0</v>
      </c>
      <c r="AD127" s="5">
        <f ca="1">SUM(OFFSET(Demand!$H136,0,(COLUMN(E124)-1)*5,1,1))*R$2</f>
        <v>0</v>
      </c>
      <c r="AE127" s="5">
        <f ca="1">SUM(OFFSET(Demand!$H136,0,(COLUMN(F124)-1)*5,1,1))*S$2</f>
        <v>0</v>
      </c>
      <c r="AF127" s="5">
        <f ca="1">SUM(OFFSET(Demand!$H136,0,(COLUMN(G124)-1)*5,1,1))*T$2</f>
        <v>0</v>
      </c>
      <c r="AG127" s="5">
        <f ca="1">SUM(OFFSET(Demand!$H136,0,(COLUMN(H124)-1)*5,1,1))*U$2</f>
        <v>0</v>
      </c>
      <c r="AH127" s="5">
        <f ca="1">SUM(OFFSET(Demand!$H136,0,(COLUMN(I124)-1)*5,1,1))*V$2</f>
        <v>0</v>
      </c>
      <c r="AI127" s="5">
        <f ca="1">SUM(OFFSET(Demand!$H136,0,(COLUMN(J124)-1)*5,1,1))*W$2</f>
        <v>0</v>
      </c>
      <c r="AJ127" s="5">
        <f t="shared" ca="1" si="39"/>
        <v>0</v>
      </c>
      <c r="AL127" s="5">
        <f t="shared" ca="1" si="40"/>
        <v>0</v>
      </c>
      <c r="AM127" s="5">
        <f t="shared" ca="1" si="41"/>
        <v>0</v>
      </c>
      <c r="AN127" s="5" t="str">
        <f>IF(Demand!BE136="Yes","Yes","")</f>
        <v/>
      </c>
      <c r="AP127" s="36" t="str">
        <f ca="1">Demand!B136</f>
        <v xml:space="preserve"> </v>
      </c>
      <c r="AQ127" t="str">
        <f ca="1">IF(TEXT(Demand!D136,"MMM")&lt;&gt;TEXT(Demand!D135,"MMM"),TEXT(Demand!D136,"MMM"),"")</f>
        <v/>
      </c>
      <c r="AT127" s="5">
        <f t="shared" ca="1" si="42"/>
        <v>0</v>
      </c>
      <c r="BQ127">
        <f ca="1">IF($AN127="",OFFSET(Demand!$A$13,ROW(A124)-1,4+((QUOTIENT(COLUMN(BQ$2)-69,3))*5)+MOD(COLUMN(BQ$2),3),1,1),"")</f>
        <v>0</v>
      </c>
      <c r="BR127">
        <f ca="1">IF($AN127="",OFFSET(Demand!$A$13,ROW(B124)-1,4+((QUOTIENT(COLUMN(BR$2)-69,3))*5)+MOD(COLUMN(BR$2),3),1,1),"")</f>
        <v>0</v>
      </c>
      <c r="BS127">
        <f ca="1">IF($AN127="",OFFSET(Demand!$A$13,ROW(C124)-1,4+((QUOTIENT(COLUMN(BS$2)-69,3))*5)+MOD(COLUMN(BS$2),3),1,1),"")</f>
        <v>0</v>
      </c>
      <c r="BT127">
        <f ca="1">IF($AN127="",OFFSET(Demand!$A$13,ROW(D124)-1,4+((QUOTIENT(COLUMN(BT$2)-69,3))*5)+MOD(COLUMN(BT$2),3),1,1),"")</f>
        <v>0</v>
      </c>
      <c r="BU127">
        <f ca="1">IF($AN127="",OFFSET(Demand!$A$13,ROW(E124)-1,4+((QUOTIENT(COLUMN(BU$2)-69,3))*5)+MOD(COLUMN(BU$2),3),1,1),"")</f>
        <v>0</v>
      </c>
      <c r="BV127">
        <f ca="1">IF($AN127="",OFFSET(Demand!$A$13,ROW(F124)-1,4+((QUOTIENT(COLUMN(BV$2)-69,3))*5)+MOD(COLUMN(BV$2),3),1,1),"")</f>
        <v>0</v>
      </c>
      <c r="BW127">
        <f ca="1">IF($AN127="",OFFSET(Demand!$A$13,ROW(G124)-1,4+((QUOTIENT(COLUMN(BW$2)-69,3))*5)+MOD(COLUMN(BW$2),3),1,1),"")</f>
        <v>0</v>
      </c>
      <c r="BX127">
        <f ca="1">IF($AN127="",OFFSET(Demand!$A$13,ROW(H124)-1,4+((QUOTIENT(COLUMN(BX$2)-69,3))*5)+MOD(COLUMN(BX$2),3),1,1),"")</f>
        <v>0</v>
      </c>
      <c r="BY127">
        <f ca="1">IF($AN127="",OFFSET(Demand!$A$13,ROW(I124)-1,4+((QUOTIENT(COLUMN(BY$2)-69,3))*5)+MOD(COLUMN(BY$2),3),1,1),"")</f>
        <v>0</v>
      </c>
      <c r="BZ127">
        <f ca="1">IF($AN127="",OFFSET(Demand!$A$13,ROW(J124)-1,4+((QUOTIENT(COLUMN(BZ$2)-69,3))*5)+MOD(COLUMN(BZ$2),3),1,1),"")</f>
        <v>0</v>
      </c>
      <c r="CA127">
        <f ca="1">IF($AN127="",OFFSET(Demand!$A$13,ROW(K124)-1,4+((QUOTIENT(COLUMN(CA$2)-69,3))*5)+MOD(COLUMN(CA$2),3),1,1),"")</f>
        <v>0</v>
      </c>
      <c r="CB127">
        <f ca="1">IF($AN127="",OFFSET(Demand!$A$13,ROW(L124)-1,4+((QUOTIENT(COLUMN(CB$2)-69,3))*5)+MOD(COLUMN(CB$2),3),1,1),"")</f>
        <v>0</v>
      </c>
      <c r="CC127">
        <f ca="1">IF($AN127="",OFFSET(Demand!$A$13,ROW(M124)-1,4+((QUOTIENT(COLUMN(CC$2)-69,3))*5)+MOD(COLUMN(CC$2),3),1,1),"")</f>
        <v>0</v>
      </c>
      <c r="CD127">
        <f ca="1">IF($AN127="",OFFSET(Demand!$A$13,ROW(N124)-1,4+((QUOTIENT(COLUMN(CD$2)-69,3))*5)+MOD(COLUMN(CD$2),3),1,1),"")</f>
        <v>0</v>
      </c>
      <c r="CE127">
        <f ca="1">IF($AN127="",OFFSET(Demand!$A$13,ROW(O124)-1,4+((QUOTIENT(COLUMN(CE$2)-69,3))*5)+MOD(COLUMN(CE$2),3),1,1),"")</f>
        <v>0</v>
      </c>
      <c r="CF127">
        <f ca="1">IF($AN127="",OFFSET(Demand!$A$13,ROW(P124)-1,4+((QUOTIENT(COLUMN(CF$2)-69,3))*5)+MOD(COLUMN(CF$2),3),1,1),"")</f>
        <v>0</v>
      </c>
      <c r="CG127">
        <f ca="1">IF($AN127="",OFFSET(Demand!$A$13,ROW(Q124)-1,4+((QUOTIENT(COLUMN(CG$2)-69,3))*5)+MOD(COLUMN(CG$2),3),1,1),"")</f>
        <v>0</v>
      </c>
      <c r="CH127">
        <f ca="1">IF($AN127="",OFFSET(Demand!$A$13,ROW(R124)-1,4+((QUOTIENT(COLUMN(CH$2)-69,3))*5)+MOD(COLUMN(CH$2),3),1,1),"")</f>
        <v>0</v>
      </c>
      <c r="CI127">
        <f ca="1">IF($AN127="",OFFSET(Demand!$A$13,ROW(S124)-1,4+((QUOTIENT(COLUMN(CI$2)-69,3))*5)+MOD(COLUMN(CI$2),3),1,1),"")</f>
        <v>0</v>
      </c>
      <c r="CJ127">
        <f ca="1">IF($AN127="",OFFSET(Demand!$A$13,ROW(T124)-1,4+((QUOTIENT(COLUMN(CJ$2)-69,3))*5)+MOD(COLUMN(CJ$2),3),1,1),"")</f>
        <v>0</v>
      </c>
      <c r="CK127">
        <f ca="1">IF($AN127="",OFFSET(Demand!$A$13,ROW(U124)-1,4+((QUOTIENT(COLUMN(CK$2)-69,3))*5)+MOD(COLUMN(CK$2),3),1,1),"")</f>
        <v>0</v>
      </c>
      <c r="CL127">
        <f ca="1">IF($AN127="",OFFSET(Demand!$A$13,ROW(V124)-1,4+((QUOTIENT(COLUMN(CL$2)-69,3))*5)+MOD(COLUMN(CL$2),3),1,1),"")</f>
        <v>0</v>
      </c>
      <c r="CM127">
        <f ca="1">IF($AN127="",OFFSET(Demand!$A$13,ROW(W124)-1,4+((QUOTIENT(COLUMN(CM$2)-69,3))*5)+MOD(COLUMN(CM$2),3),1,1),"")</f>
        <v>0</v>
      </c>
      <c r="CN127">
        <f ca="1">IF($AN127="",OFFSET(Demand!$A$13,ROW(X124)-1,4+((QUOTIENT(COLUMN(CN$2)-69,3))*5)+MOD(COLUMN(CN$2),3),1,1),"")</f>
        <v>0</v>
      </c>
      <c r="CO127">
        <f ca="1">IF($AN127="",OFFSET(Demand!$A$13,ROW(Y124)-1,4+((QUOTIENT(COLUMN(CO$2)-69,3))*5)+MOD(COLUMN(CO$2),3),1,1),"")</f>
        <v>0</v>
      </c>
      <c r="CP127">
        <f ca="1">IF($AN127="",OFFSET(Demand!$A$13,ROW(Z124)-1,4+((QUOTIENT(COLUMN(CP$2)-69,3))*5)+MOD(COLUMN(CP$2),3),1,1),"")</f>
        <v>0</v>
      </c>
      <c r="CQ127">
        <f ca="1">IF($AN127="",OFFSET(Demand!$A$13,ROW(AA124)-1,4+((QUOTIENT(COLUMN(CQ$2)-69,3))*5)+MOD(COLUMN(CQ$2),3),1,1),"")</f>
        <v>0</v>
      </c>
      <c r="CR127">
        <f ca="1">IF($AN127="",OFFSET(Demand!$A$13,ROW(AB124)-1,4+((QUOTIENT(COLUMN(CR$2)-69,3))*5)+MOD(COLUMN(CR$2),3),1,1),"")</f>
        <v>0</v>
      </c>
      <c r="CS127">
        <f ca="1">IF($AN127="",OFFSET(Demand!$A$13,ROW(AC124)-1,4+((QUOTIENT(COLUMN(CS$2)-69,3))*5)+MOD(COLUMN(CS$2),3),1,1),"")</f>
        <v>0</v>
      </c>
      <c r="CT127">
        <f ca="1">IF($AN127="",OFFSET(Demand!$A$13,ROW(AD124)-1,4+((QUOTIENT(COLUMN(CT$2)-69,3))*5)+MOD(COLUMN(CT$2),3),1,1),"")</f>
        <v>0</v>
      </c>
      <c r="CW127" s="5">
        <f ca="1">SUM(OFFSET(Demand!$H$43,ROW(A124)-1,(COLUMN(A124)-1)*5,1,1))*N$2</f>
        <v>0</v>
      </c>
      <c r="CX127" s="5">
        <f ca="1">SUM(OFFSET(Demand!$H$43,ROW(B124)-1,(COLUMN(B124)-1)*5,1,1))*O$2</f>
        <v>0</v>
      </c>
      <c r="CY127" s="5">
        <f ca="1">SUM(OFFSET(Demand!$H$43,ROW(C124)-1,(COLUMN(C124)-1)*5,1,1))*P$2</f>
        <v>0</v>
      </c>
      <c r="CZ127" s="5">
        <f ca="1">SUM(OFFSET(Demand!$H$43,ROW(D124)-1,(COLUMN(D124)-1)*5,1,1))*Q$2</f>
        <v>0</v>
      </c>
      <c r="DA127" s="5">
        <f ca="1">SUM(OFFSET(Demand!$H$43,ROW(E124)-1,(COLUMN(E124)-1)*5,1,1))*R$2</f>
        <v>0</v>
      </c>
      <c r="DB127" s="5">
        <f ca="1">SUM(OFFSET(Demand!$H$43,ROW(F124)-1,(COLUMN(F124)-1)*5,1,1))*S$2</f>
        <v>0</v>
      </c>
      <c r="DC127" s="5">
        <f ca="1">SUM(OFFSET(Demand!$H$43,ROW(G124)-1,(COLUMN(G124)-1)*5,1,1))*T$2</f>
        <v>0</v>
      </c>
      <c r="DD127" s="5">
        <f ca="1">SUM(OFFSET(Demand!$H$43,ROW(H124)-1,(COLUMN(H124)-1)*5,1,1))*U$2</f>
        <v>0</v>
      </c>
      <c r="DE127" s="5">
        <f ca="1">SUM(OFFSET(Demand!$H$43,ROW(I124)-1,(COLUMN(I124)-1)*5,1,1))*V$2</f>
        <v>0</v>
      </c>
      <c r="DF127" s="5">
        <f ca="1">SUM(OFFSET(Demand!$H$43,ROW(J124)-1,(COLUMN(J124)-1)*5,1,1))*W$2</f>
        <v>0</v>
      </c>
      <c r="DG127" s="5">
        <f ca="1">IF(OR(AN127&lt;&gt;"",AND('Demand adjustments for Covid'!$F$9="Yes",'Demand adjustments for Covid'!$F$20="Yes")),"",SUM(CW127:DF127))</f>
        <v>0</v>
      </c>
    </row>
    <row r="128" spans="1:111" x14ac:dyDescent="0.25">
      <c r="A128" s="5">
        <f t="shared" ca="1" si="43"/>
        <v>1</v>
      </c>
      <c r="B128" s="5">
        <f ca="1">COUNTBLANK(OFFSET(Demand!$I137,0,(COLUMN(A125)-1)*5,1,1))</f>
        <v>1</v>
      </c>
      <c r="C128" s="5">
        <f ca="1">COUNTBLANK(OFFSET(Demand!$I137,0,(COLUMN(B125)-1)*5,1,1))</f>
        <v>1</v>
      </c>
      <c r="D128" s="5">
        <f ca="1">COUNTBLANK(OFFSET(Demand!$I137,0,(COLUMN(C125)-1)*5,1,1))</f>
        <v>1</v>
      </c>
      <c r="E128" s="5">
        <f ca="1">COUNTBLANK(OFFSET(Demand!$I137,0,(COLUMN(D125)-1)*5,1,1))</f>
        <v>1</v>
      </c>
      <c r="F128" s="5">
        <f ca="1">COUNTBLANK(OFFSET(Demand!$I137,0,(COLUMN(E125)-1)*5,1,1))</f>
        <v>1</v>
      </c>
      <c r="G128" s="5">
        <f ca="1">COUNTBLANK(OFFSET(Demand!$I137,0,(COLUMN(F125)-1)*5,1,1))</f>
        <v>1</v>
      </c>
      <c r="H128" s="5">
        <f ca="1">COUNTBLANK(OFFSET(Demand!$I137,0,(COLUMN(G125)-1)*5,1,1))</f>
        <v>1</v>
      </c>
      <c r="I128" s="5">
        <f ca="1">COUNTBLANK(OFFSET(Demand!$I137,0,(COLUMN(H125)-1)*5,1,1))</f>
        <v>1</v>
      </c>
      <c r="J128" s="5">
        <f ca="1">COUNTBLANK(OFFSET(Demand!$I137,0,(COLUMN(I125)-1)*5,1,1))</f>
        <v>1</v>
      </c>
      <c r="K128" s="5">
        <f ca="1">COUNTBLANK(OFFSET(Demand!$I137,0,(COLUMN(J125)-1)*5,1,1))</f>
        <v>1</v>
      </c>
      <c r="N128" s="5">
        <f ca="1">SUM(OFFSET(Demand!$E137,0,(COLUMN(A125)-1)*5,1,3))*N$2</f>
        <v>0</v>
      </c>
      <c r="O128" s="5">
        <f ca="1">SUM(OFFSET(Demand!$E137,0,(COLUMN(B125)-1)*5,1,3))*O$2</f>
        <v>0</v>
      </c>
      <c r="P128" s="5">
        <f ca="1">SUM(OFFSET(Demand!$E137,0,(COLUMN(C125)-1)*5,1,3))*P$2</f>
        <v>0</v>
      </c>
      <c r="Q128" s="5">
        <f ca="1">SUM(OFFSET(Demand!$E137,0,(COLUMN(D125)-1)*5,1,3))*Q$2</f>
        <v>0</v>
      </c>
      <c r="R128" s="5">
        <f ca="1">SUM(OFFSET(Demand!$E137,0,(COLUMN(E125)-1)*5,1,3))*R$2</f>
        <v>0</v>
      </c>
      <c r="S128" s="5">
        <f ca="1">SUM(OFFSET(Demand!$E137,0,(COLUMN(F125)-1)*5,1,3))*S$2</f>
        <v>0</v>
      </c>
      <c r="T128" s="5">
        <f ca="1">SUM(OFFSET(Demand!$E137,0,(COLUMN(G125)-1)*5,1,3))*T$2</f>
        <v>0</v>
      </c>
      <c r="U128" s="5">
        <f ca="1">SUM(OFFSET(Demand!$E137,0,(COLUMN(H125)-1)*5,1,3))*U$2</f>
        <v>0</v>
      </c>
      <c r="V128" s="5">
        <f ca="1">SUM(OFFSET(Demand!$E137,0,(COLUMN(I125)-1)*5,1,3))*V$2</f>
        <v>0</v>
      </c>
      <c r="W128" s="5">
        <f ca="1">SUM(OFFSET(Demand!$E137,0,(COLUMN(J125)-1)*5,1,3))*W$2</f>
        <v>0</v>
      </c>
      <c r="X128" s="5">
        <f t="shared" ca="1" si="37"/>
        <v>0</v>
      </c>
      <c r="Y128">
        <f t="shared" ca="1" si="38"/>
        <v>0</v>
      </c>
      <c r="Z128" s="5">
        <f ca="1">SUM(OFFSET(Demand!$H137,0,(COLUMN(A125)-1)*5,1,1))*N$2</f>
        <v>0</v>
      </c>
      <c r="AA128" s="5">
        <f ca="1">SUM(OFFSET(Demand!$H137,0,(COLUMN(B125)-1)*5,1,1))*O$2</f>
        <v>0</v>
      </c>
      <c r="AB128" s="5">
        <f ca="1">SUM(OFFSET(Demand!$H137,0,(COLUMN(C125)-1)*5,1,1))*P$2</f>
        <v>0</v>
      </c>
      <c r="AC128" s="5">
        <f ca="1">SUM(OFFSET(Demand!$H137,0,(COLUMN(D125)-1)*5,1,1))*Q$2</f>
        <v>0</v>
      </c>
      <c r="AD128" s="5">
        <f ca="1">SUM(OFFSET(Demand!$H137,0,(COLUMN(E125)-1)*5,1,1))*R$2</f>
        <v>0</v>
      </c>
      <c r="AE128" s="5">
        <f ca="1">SUM(OFFSET(Demand!$H137,0,(COLUMN(F125)-1)*5,1,1))*S$2</f>
        <v>0</v>
      </c>
      <c r="AF128" s="5">
        <f ca="1">SUM(OFFSET(Demand!$H137,0,(COLUMN(G125)-1)*5,1,1))*T$2</f>
        <v>0</v>
      </c>
      <c r="AG128" s="5">
        <f ca="1">SUM(OFFSET(Demand!$H137,0,(COLUMN(H125)-1)*5,1,1))*U$2</f>
        <v>0</v>
      </c>
      <c r="AH128" s="5">
        <f ca="1">SUM(OFFSET(Demand!$H137,0,(COLUMN(I125)-1)*5,1,1))*V$2</f>
        <v>0</v>
      </c>
      <c r="AI128" s="5">
        <f ca="1">SUM(OFFSET(Demand!$H137,0,(COLUMN(J125)-1)*5,1,1))*W$2</f>
        <v>0</v>
      </c>
      <c r="AJ128" s="5">
        <f t="shared" ca="1" si="39"/>
        <v>0</v>
      </c>
      <c r="AL128" s="5">
        <f t="shared" ca="1" si="40"/>
        <v>0</v>
      </c>
      <c r="AM128" s="5">
        <f t="shared" ca="1" si="41"/>
        <v>0</v>
      </c>
      <c r="AN128" s="5" t="str">
        <f>IF(Demand!BE137="Yes","Yes","")</f>
        <v/>
      </c>
      <c r="AP128" s="36" t="str">
        <f ca="1">Demand!B137</f>
        <v xml:space="preserve"> </v>
      </c>
      <c r="AQ128" t="str">
        <f ca="1">IF(TEXT(Demand!D137,"MMM")&lt;&gt;TEXT(Demand!D136,"MMM"),TEXT(Demand!D137,"MMM"),"")</f>
        <v/>
      </c>
      <c r="AT128" s="5">
        <f t="shared" ca="1" si="42"/>
        <v>0</v>
      </c>
      <c r="BQ128">
        <f ca="1">IF($AN128="",OFFSET(Demand!$A$13,ROW(A125)-1,4+((QUOTIENT(COLUMN(BQ$2)-69,3))*5)+MOD(COLUMN(BQ$2),3),1,1),"")</f>
        <v>0</v>
      </c>
      <c r="BR128">
        <f ca="1">IF($AN128="",OFFSET(Demand!$A$13,ROW(B125)-1,4+((QUOTIENT(COLUMN(BR$2)-69,3))*5)+MOD(COLUMN(BR$2),3),1,1),"")</f>
        <v>0</v>
      </c>
      <c r="BS128">
        <f ca="1">IF($AN128="",OFFSET(Demand!$A$13,ROW(C125)-1,4+((QUOTIENT(COLUMN(BS$2)-69,3))*5)+MOD(COLUMN(BS$2),3),1,1),"")</f>
        <v>0</v>
      </c>
      <c r="BT128">
        <f ca="1">IF($AN128="",OFFSET(Demand!$A$13,ROW(D125)-1,4+((QUOTIENT(COLUMN(BT$2)-69,3))*5)+MOD(COLUMN(BT$2),3),1,1),"")</f>
        <v>0</v>
      </c>
      <c r="BU128">
        <f ca="1">IF($AN128="",OFFSET(Demand!$A$13,ROW(E125)-1,4+((QUOTIENT(COLUMN(BU$2)-69,3))*5)+MOD(COLUMN(BU$2),3),1,1),"")</f>
        <v>0</v>
      </c>
      <c r="BV128">
        <f ca="1">IF($AN128="",OFFSET(Demand!$A$13,ROW(F125)-1,4+((QUOTIENT(COLUMN(BV$2)-69,3))*5)+MOD(COLUMN(BV$2),3),1,1),"")</f>
        <v>0</v>
      </c>
      <c r="BW128">
        <f ca="1">IF($AN128="",OFFSET(Demand!$A$13,ROW(G125)-1,4+((QUOTIENT(COLUMN(BW$2)-69,3))*5)+MOD(COLUMN(BW$2),3),1,1),"")</f>
        <v>0</v>
      </c>
      <c r="BX128">
        <f ca="1">IF($AN128="",OFFSET(Demand!$A$13,ROW(H125)-1,4+((QUOTIENT(COLUMN(BX$2)-69,3))*5)+MOD(COLUMN(BX$2),3),1,1),"")</f>
        <v>0</v>
      </c>
      <c r="BY128">
        <f ca="1">IF($AN128="",OFFSET(Demand!$A$13,ROW(I125)-1,4+((QUOTIENT(COLUMN(BY$2)-69,3))*5)+MOD(COLUMN(BY$2),3),1,1),"")</f>
        <v>0</v>
      </c>
      <c r="BZ128">
        <f ca="1">IF($AN128="",OFFSET(Demand!$A$13,ROW(J125)-1,4+((QUOTIENT(COLUMN(BZ$2)-69,3))*5)+MOD(COLUMN(BZ$2),3),1,1),"")</f>
        <v>0</v>
      </c>
      <c r="CA128">
        <f ca="1">IF($AN128="",OFFSET(Demand!$A$13,ROW(K125)-1,4+((QUOTIENT(COLUMN(CA$2)-69,3))*5)+MOD(COLUMN(CA$2),3),1,1),"")</f>
        <v>0</v>
      </c>
      <c r="CB128">
        <f ca="1">IF($AN128="",OFFSET(Demand!$A$13,ROW(L125)-1,4+((QUOTIENT(COLUMN(CB$2)-69,3))*5)+MOD(COLUMN(CB$2),3),1,1),"")</f>
        <v>0</v>
      </c>
      <c r="CC128">
        <f ca="1">IF($AN128="",OFFSET(Demand!$A$13,ROW(M125)-1,4+((QUOTIENT(COLUMN(CC$2)-69,3))*5)+MOD(COLUMN(CC$2),3),1,1),"")</f>
        <v>0</v>
      </c>
      <c r="CD128">
        <f ca="1">IF($AN128="",OFFSET(Demand!$A$13,ROW(N125)-1,4+((QUOTIENT(COLUMN(CD$2)-69,3))*5)+MOD(COLUMN(CD$2),3),1,1),"")</f>
        <v>0</v>
      </c>
      <c r="CE128">
        <f ca="1">IF($AN128="",OFFSET(Demand!$A$13,ROW(O125)-1,4+((QUOTIENT(COLUMN(CE$2)-69,3))*5)+MOD(COLUMN(CE$2),3),1,1),"")</f>
        <v>0</v>
      </c>
      <c r="CF128">
        <f ca="1">IF($AN128="",OFFSET(Demand!$A$13,ROW(P125)-1,4+((QUOTIENT(COLUMN(CF$2)-69,3))*5)+MOD(COLUMN(CF$2),3),1,1),"")</f>
        <v>0</v>
      </c>
      <c r="CG128">
        <f ca="1">IF($AN128="",OFFSET(Demand!$A$13,ROW(Q125)-1,4+((QUOTIENT(COLUMN(CG$2)-69,3))*5)+MOD(COLUMN(CG$2),3),1,1),"")</f>
        <v>0</v>
      </c>
      <c r="CH128">
        <f ca="1">IF($AN128="",OFFSET(Demand!$A$13,ROW(R125)-1,4+((QUOTIENT(COLUMN(CH$2)-69,3))*5)+MOD(COLUMN(CH$2),3),1,1),"")</f>
        <v>0</v>
      </c>
      <c r="CI128">
        <f ca="1">IF($AN128="",OFFSET(Demand!$A$13,ROW(S125)-1,4+((QUOTIENT(COLUMN(CI$2)-69,3))*5)+MOD(COLUMN(CI$2),3),1,1),"")</f>
        <v>0</v>
      </c>
      <c r="CJ128">
        <f ca="1">IF($AN128="",OFFSET(Demand!$A$13,ROW(T125)-1,4+((QUOTIENT(COLUMN(CJ$2)-69,3))*5)+MOD(COLUMN(CJ$2),3),1,1),"")</f>
        <v>0</v>
      </c>
      <c r="CK128">
        <f ca="1">IF($AN128="",OFFSET(Demand!$A$13,ROW(U125)-1,4+((QUOTIENT(COLUMN(CK$2)-69,3))*5)+MOD(COLUMN(CK$2),3),1,1),"")</f>
        <v>0</v>
      </c>
      <c r="CL128">
        <f ca="1">IF($AN128="",OFFSET(Demand!$A$13,ROW(V125)-1,4+((QUOTIENT(COLUMN(CL$2)-69,3))*5)+MOD(COLUMN(CL$2),3),1,1),"")</f>
        <v>0</v>
      </c>
      <c r="CM128">
        <f ca="1">IF($AN128="",OFFSET(Demand!$A$13,ROW(W125)-1,4+((QUOTIENT(COLUMN(CM$2)-69,3))*5)+MOD(COLUMN(CM$2),3),1,1),"")</f>
        <v>0</v>
      </c>
      <c r="CN128">
        <f ca="1">IF($AN128="",OFFSET(Demand!$A$13,ROW(X125)-1,4+((QUOTIENT(COLUMN(CN$2)-69,3))*5)+MOD(COLUMN(CN$2),3),1,1),"")</f>
        <v>0</v>
      </c>
      <c r="CO128">
        <f ca="1">IF($AN128="",OFFSET(Demand!$A$13,ROW(Y125)-1,4+((QUOTIENT(COLUMN(CO$2)-69,3))*5)+MOD(COLUMN(CO$2),3),1,1),"")</f>
        <v>0</v>
      </c>
      <c r="CP128">
        <f ca="1">IF($AN128="",OFFSET(Demand!$A$13,ROW(Z125)-1,4+((QUOTIENT(COLUMN(CP$2)-69,3))*5)+MOD(COLUMN(CP$2),3),1,1),"")</f>
        <v>0</v>
      </c>
      <c r="CQ128">
        <f ca="1">IF($AN128="",OFFSET(Demand!$A$13,ROW(AA125)-1,4+((QUOTIENT(COLUMN(CQ$2)-69,3))*5)+MOD(COLUMN(CQ$2),3),1,1),"")</f>
        <v>0</v>
      </c>
      <c r="CR128">
        <f ca="1">IF($AN128="",OFFSET(Demand!$A$13,ROW(AB125)-1,4+((QUOTIENT(COLUMN(CR$2)-69,3))*5)+MOD(COLUMN(CR$2),3),1,1),"")</f>
        <v>0</v>
      </c>
      <c r="CS128">
        <f ca="1">IF($AN128="",OFFSET(Demand!$A$13,ROW(AC125)-1,4+((QUOTIENT(COLUMN(CS$2)-69,3))*5)+MOD(COLUMN(CS$2),3),1,1),"")</f>
        <v>0</v>
      </c>
      <c r="CT128">
        <f ca="1">IF($AN128="",OFFSET(Demand!$A$13,ROW(AD125)-1,4+((QUOTIENT(COLUMN(CT$2)-69,3))*5)+MOD(COLUMN(CT$2),3),1,1),"")</f>
        <v>0</v>
      </c>
      <c r="CW128" s="5">
        <f ca="1">SUM(OFFSET(Demand!$H$43,ROW(A125)-1,(COLUMN(A125)-1)*5,1,1))*N$2</f>
        <v>0</v>
      </c>
      <c r="CX128" s="5">
        <f ca="1">SUM(OFFSET(Demand!$H$43,ROW(B125)-1,(COLUMN(B125)-1)*5,1,1))*O$2</f>
        <v>0</v>
      </c>
      <c r="CY128" s="5">
        <f ca="1">SUM(OFFSET(Demand!$H$43,ROW(C125)-1,(COLUMN(C125)-1)*5,1,1))*P$2</f>
        <v>0</v>
      </c>
      <c r="CZ128" s="5">
        <f ca="1">SUM(OFFSET(Demand!$H$43,ROW(D125)-1,(COLUMN(D125)-1)*5,1,1))*Q$2</f>
        <v>0</v>
      </c>
      <c r="DA128" s="5">
        <f ca="1">SUM(OFFSET(Demand!$H$43,ROW(E125)-1,(COLUMN(E125)-1)*5,1,1))*R$2</f>
        <v>0</v>
      </c>
      <c r="DB128" s="5">
        <f ca="1">SUM(OFFSET(Demand!$H$43,ROW(F125)-1,(COLUMN(F125)-1)*5,1,1))*S$2</f>
        <v>0</v>
      </c>
      <c r="DC128" s="5">
        <f ca="1">SUM(OFFSET(Demand!$H$43,ROW(G125)-1,(COLUMN(G125)-1)*5,1,1))*T$2</f>
        <v>0</v>
      </c>
      <c r="DD128" s="5">
        <f ca="1">SUM(OFFSET(Demand!$H$43,ROW(H125)-1,(COLUMN(H125)-1)*5,1,1))*U$2</f>
        <v>0</v>
      </c>
      <c r="DE128" s="5">
        <f ca="1">SUM(OFFSET(Demand!$H$43,ROW(I125)-1,(COLUMN(I125)-1)*5,1,1))*V$2</f>
        <v>0</v>
      </c>
      <c r="DF128" s="5">
        <f ca="1">SUM(OFFSET(Demand!$H$43,ROW(J125)-1,(COLUMN(J125)-1)*5,1,1))*W$2</f>
        <v>0</v>
      </c>
      <c r="DG128" s="5">
        <f ca="1">IF(OR(AN128&lt;&gt;"",AND('Demand adjustments for Covid'!$F$9="Yes",'Demand adjustments for Covid'!$F$20="Yes")),"",SUM(CW128:DF128))</f>
        <v>0</v>
      </c>
    </row>
    <row r="129" spans="1:111" x14ac:dyDescent="0.25">
      <c r="A129" s="5">
        <f t="shared" ca="1" si="43"/>
        <v>1</v>
      </c>
      <c r="B129" s="5">
        <f ca="1">COUNTBLANK(OFFSET(Demand!$I138,0,(COLUMN(A126)-1)*5,1,1))</f>
        <v>1</v>
      </c>
      <c r="C129" s="5">
        <f ca="1">COUNTBLANK(OFFSET(Demand!$I138,0,(COLUMN(B126)-1)*5,1,1))</f>
        <v>1</v>
      </c>
      <c r="D129" s="5">
        <f ca="1">COUNTBLANK(OFFSET(Demand!$I138,0,(COLUMN(C126)-1)*5,1,1))</f>
        <v>1</v>
      </c>
      <c r="E129" s="5">
        <f ca="1">COUNTBLANK(OFFSET(Demand!$I138,0,(COLUMN(D126)-1)*5,1,1))</f>
        <v>1</v>
      </c>
      <c r="F129" s="5">
        <f ca="1">COUNTBLANK(OFFSET(Demand!$I138,0,(COLUMN(E126)-1)*5,1,1))</f>
        <v>1</v>
      </c>
      <c r="G129" s="5">
        <f ca="1">COUNTBLANK(OFFSET(Demand!$I138,0,(COLUMN(F126)-1)*5,1,1))</f>
        <v>1</v>
      </c>
      <c r="H129" s="5">
        <f ca="1">COUNTBLANK(OFFSET(Demand!$I138,0,(COLUMN(G126)-1)*5,1,1))</f>
        <v>1</v>
      </c>
      <c r="I129" s="5">
        <f ca="1">COUNTBLANK(OFFSET(Demand!$I138,0,(COLUMN(H126)-1)*5,1,1))</f>
        <v>1</v>
      </c>
      <c r="J129" s="5">
        <f ca="1">COUNTBLANK(OFFSET(Demand!$I138,0,(COLUMN(I126)-1)*5,1,1))</f>
        <v>1</v>
      </c>
      <c r="K129" s="5">
        <f ca="1">COUNTBLANK(OFFSET(Demand!$I138,0,(COLUMN(J126)-1)*5,1,1))</f>
        <v>1</v>
      </c>
      <c r="N129" s="5">
        <f ca="1">SUM(OFFSET(Demand!$E138,0,(COLUMN(A126)-1)*5,1,3))*N$2</f>
        <v>0</v>
      </c>
      <c r="O129" s="5">
        <f ca="1">SUM(OFFSET(Demand!$E138,0,(COLUMN(B126)-1)*5,1,3))*O$2</f>
        <v>0</v>
      </c>
      <c r="P129" s="5">
        <f ca="1">SUM(OFFSET(Demand!$E138,0,(COLUMN(C126)-1)*5,1,3))*P$2</f>
        <v>0</v>
      </c>
      <c r="Q129" s="5">
        <f ca="1">SUM(OFFSET(Demand!$E138,0,(COLUMN(D126)-1)*5,1,3))*Q$2</f>
        <v>0</v>
      </c>
      <c r="R129" s="5">
        <f ca="1">SUM(OFFSET(Demand!$E138,0,(COLUMN(E126)-1)*5,1,3))*R$2</f>
        <v>0</v>
      </c>
      <c r="S129" s="5">
        <f ca="1">SUM(OFFSET(Demand!$E138,0,(COLUMN(F126)-1)*5,1,3))*S$2</f>
        <v>0</v>
      </c>
      <c r="T129" s="5">
        <f ca="1">SUM(OFFSET(Demand!$E138,0,(COLUMN(G126)-1)*5,1,3))*T$2</f>
        <v>0</v>
      </c>
      <c r="U129" s="5">
        <f ca="1">SUM(OFFSET(Demand!$E138,0,(COLUMN(H126)-1)*5,1,3))*U$2</f>
        <v>0</v>
      </c>
      <c r="V129" s="5">
        <f ca="1">SUM(OFFSET(Demand!$E138,0,(COLUMN(I126)-1)*5,1,3))*V$2</f>
        <v>0</v>
      </c>
      <c r="W129" s="5">
        <f ca="1">SUM(OFFSET(Demand!$E138,0,(COLUMN(J126)-1)*5,1,3))*W$2</f>
        <v>0</v>
      </c>
      <c r="X129" s="5">
        <f t="shared" ca="1" si="37"/>
        <v>0</v>
      </c>
      <c r="Y129">
        <f t="shared" ca="1" si="38"/>
        <v>0</v>
      </c>
      <c r="Z129" s="5">
        <f ca="1">SUM(OFFSET(Demand!$H138,0,(COLUMN(A126)-1)*5,1,1))*N$2</f>
        <v>0</v>
      </c>
      <c r="AA129" s="5">
        <f ca="1">SUM(OFFSET(Demand!$H138,0,(COLUMN(B126)-1)*5,1,1))*O$2</f>
        <v>0</v>
      </c>
      <c r="AB129" s="5">
        <f ca="1">SUM(OFFSET(Demand!$H138,0,(COLUMN(C126)-1)*5,1,1))*P$2</f>
        <v>0</v>
      </c>
      <c r="AC129" s="5">
        <f ca="1">SUM(OFFSET(Demand!$H138,0,(COLUMN(D126)-1)*5,1,1))*Q$2</f>
        <v>0</v>
      </c>
      <c r="AD129" s="5">
        <f ca="1">SUM(OFFSET(Demand!$H138,0,(COLUMN(E126)-1)*5,1,1))*R$2</f>
        <v>0</v>
      </c>
      <c r="AE129" s="5">
        <f ca="1">SUM(OFFSET(Demand!$H138,0,(COLUMN(F126)-1)*5,1,1))*S$2</f>
        <v>0</v>
      </c>
      <c r="AF129" s="5">
        <f ca="1">SUM(OFFSET(Demand!$H138,0,(COLUMN(G126)-1)*5,1,1))*T$2</f>
        <v>0</v>
      </c>
      <c r="AG129" s="5">
        <f ca="1">SUM(OFFSET(Demand!$H138,0,(COLUMN(H126)-1)*5,1,1))*U$2</f>
        <v>0</v>
      </c>
      <c r="AH129" s="5">
        <f ca="1">SUM(OFFSET(Demand!$H138,0,(COLUMN(I126)-1)*5,1,1))*V$2</f>
        <v>0</v>
      </c>
      <c r="AI129" s="5">
        <f ca="1">SUM(OFFSET(Demand!$H138,0,(COLUMN(J126)-1)*5,1,1))*W$2</f>
        <v>0</v>
      </c>
      <c r="AJ129" s="5">
        <f t="shared" ca="1" si="39"/>
        <v>0</v>
      </c>
      <c r="AL129" s="5">
        <f t="shared" ca="1" si="40"/>
        <v>0</v>
      </c>
      <c r="AM129" s="5">
        <f t="shared" ca="1" si="41"/>
        <v>0</v>
      </c>
      <c r="AN129" s="5" t="str">
        <f>IF(Demand!BE138="Yes","Yes","")</f>
        <v/>
      </c>
      <c r="AP129" s="36" t="str">
        <f ca="1">Demand!B138</f>
        <v xml:space="preserve"> </v>
      </c>
      <c r="AQ129" t="str">
        <f ca="1">IF(TEXT(Demand!D138,"MMM")&lt;&gt;TEXT(Demand!D137,"MMM"),TEXT(Demand!D138,"MMM"),"")</f>
        <v/>
      </c>
      <c r="AT129" s="5">
        <f t="shared" ca="1" si="42"/>
        <v>0</v>
      </c>
      <c r="BQ129">
        <f ca="1">IF($AN129="",OFFSET(Demand!$A$13,ROW(A126)-1,4+((QUOTIENT(COLUMN(BQ$2)-69,3))*5)+MOD(COLUMN(BQ$2),3),1,1),"")</f>
        <v>0</v>
      </c>
      <c r="BR129">
        <f ca="1">IF($AN129="",OFFSET(Demand!$A$13,ROW(B126)-1,4+((QUOTIENT(COLUMN(BR$2)-69,3))*5)+MOD(COLUMN(BR$2),3),1,1),"")</f>
        <v>0</v>
      </c>
      <c r="BS129">
        <f ca="1">IF($AN129="",OFFSET(Demand!$A$13,ROW(C126)-1,4+((QUOTIENT(COLUMN(BS$2)-69,3))*5)+MOD(COLUMN(BS$2),3),1,1),"")</f>
        <v>0</v>
      </c>
      <c r="BT129">
        <f ca="1">IF($AN129="",OFFSET(Demand!$A$13,ROW(D126)-1,4+((QUOTIENT(COLUMN(BT$2)-69,3))*5)+MOD(COLUMN(BT$2),3),1,1),"")</f>
        <v>0</v>
      </c>
      <c r="BU129">
        <f ca="1">IF($AN129="",OFFSET(Demand!$A$13,ROW(E126)-1,4+((QUOTIENT(COLUMN(BU$2)-69,3))*5)+MOD(COLUMN(BU$2),3),1,1),"")</f>
        <v>0</v>
      </c>
      <c r="BV129">
        <f ca="1">IF($AN129="",OFFSET(Demand!$A$13,ROW(F126)-1,4+((QUOTIENT(COLUMN(BV$2)-69,3))*5)+MOD(COLUMN(BV$2),3),1,1),"")</f>
        <v>0</v>
      </c>
      <c r="BW129">
        <f ca="1">IF($AN129="",OFFSET(Demand!$A$13,ROW(G126)-1,4+((QUOTIENT(COLUMN(BW$2)-69,3))*5)+MOD(COLUMN(BW$2),3),1,1),"")</f>
        <v>0</v>
      </c>
      <c r="BX129">
        <f ca="1">IF($AN129="",OFFSET(Demand!$A$13,ROW(H126)-1,4+((QUOTIENT(COLUMN(BX$2)-69,3))*5)+MOD(COLUMN(BX$2),3),1,1),"")</f>
        <v>0</v>
      </c>
      <c r="BY129">
        <f ca="1">IF($AN129="",OFFSET(Demand!$A$13,ROW(I126)-1,4+((QUOTIENT(COLUMN(BY$2)-69,3))*5)+MOD(COLUMN(BY$2),3),1,1),"")</f>
        <v>0</v>
      </c>
      <c r="BZ129">
        <f ca="1">IF($AN129="",OFFSET(Demand!$A$13,ROW(J126)-1,4+((QUOTIENT(COLUMN(BZ$2)-69,3))*5)+MOD(COLUMN(BZ$2),3),1,1),"")</f>
        <v>0</v>
      </c>
      <c r="CA129">
        <f ca="1">IF($AN129="",OFFSET(Demand!$A$13,ROW(K126)-1,4+((QUOTIENT(COLUMN(CA$2)-69,3))*5)+MOD(COLUMN(CA$2),3),1,1),"")</f>
        <v>0</v>
      </c>
      <c r="CB129">
        <f ca="1">IF($AN129="",OFFSET(Demand!$A$13,ROW(L126)-1,4+((QUOTIENT(COLUMN(CB$2)-69,3))*5)+MOD(COLUMN(CB$2),3),1,1),"")</f>
        <v>0</v>
      </c>
      <c r="CC129">
        <f ca="1">IF($AN129="",OFFSET(Demand!$A$13,ROW(M126)-1,4+((QUOTIENT(COLUMN(CC$2)-69,3))*5)+MOD(COLUMN(CC$2),3),1,1),"")</f>
        <v>0</v>
      </c>
      <c r="CD129">
        <f ca="1">IF($AN129="",OFFSET(Demand!$A$13,ROW(N126)-1,4+((QUOTIENT(COLUMN(CD$2)-69,3))*5)+MOD(COLUMN(CD$2),3),1,1),"")</f>
        <v>0</v>
      </c>
      <c r="CE129">
        <f ca="1">IF($AN129="",OFFSET(Demand!$A$13,ROW(O126)-1,4+((QUOTIENT(COLUMN(CE$2)-69,3))*5)+MOD(COLUMN(CE$2),3),1,1),"")</f>
        <v>0</v>
      </c>
      <c r="CF129">
        <f ca="1">IF($AN129="",OFFSET(Demand!$A$13,ROW(P126)-1,4+((QUOTIENT(COLUMN(CF$2)-69,3))*5)+MOD(COLUMN(CF$2),3),1,1),"")</f>
        <v>0</v>
      </c>
      <c r="CG129">
        <f ca="1">IF($AN129="",OFFSET(Demand!$A$13,ROW(Q126)-1,4+((QUOTIENT(COLUMN(CG$2)-69,3))*5)+MOD(COLUMN(CG$2),3),1,1),"")</f>
        <v>0</v>
      </c>
      <c r="CH129">
        <f ca="1">IF($AN129="",OFFSET(Demand!$A$13,ROW(R126)-1,4+((QUOTIENT(COLUMN(CH$2)-69,3))*5)+MOD(COLUMN(CH$2),3),1,1),"")</f>
        <v>0</v>
      </c>
      <c r="CI129">
        <f ca="1">IF($AN129="",OFFSET(Demand!$A$13,ROW(S126)-1,4+((QUOTIENT(COLUMN(CI$2)-69,3))*5)+MOD(COLUMN(CI$2),3),1,1),"")</f>
        <v>0</v>
      </c>
      <c r="CJ129">
        <f ca="1">IF($AN129="",OFFSET(Demand!$A$13,ROW(T126)-1,4+((QUOTIENT(COLUMN(CJ$2)-69,3))*5)+MOD(COLUMN(CJ$2),3),1,1),"")</f>
        <v>0</v>
      </c>
      <c r="CK129">
        <f ca="1">IF($AN129="",OFFSET(Demand!$A$13,ROW(U126)-1,4+((QUOTIENT(COLUMN(CK$2)-69,3))*5)+MOD(COLUMN(CK$2),3),1,1),"")</f>
        <v>0</v>
      </c>
      <c r="CL129">
        <f ca="1">IF($AN129="",OFFSET(Demand!$A$13,ROW(V126)-1,4+((QUOTIENT(COLUMN(CL$2)-69,3))*5)+MOD(COLUMN(CL$2),3),1,1),"")</f>
        <v>0</v>
      </c>
      <c r="CM129">
        <f ca="1">IF($AN129="",OFFSET(Demand!$A$13,ROW(W126)-1,4+((QUOTIENT(COLUMN(CM$2)-69,3))*5)+MOD(COLUMN(CM$2),3),1,1),"")</f>
        <v>0</v>
      </c>
      <c r="CN129">
        <f ca="1">IF($AN129="",OFFSET(Demand!$A$13,ROW(X126)-1,4+((QUOTIENT(COLUMN(CN$2)-69,3))*5)+MOD(COLUMN(CN$2),3),1,1),"")</f>
        <v>0</v>
      </c>
      <c r="CO129">
        <f ca="1">IF($AN129="",OFFSET(Demand!$A$13,ROW(Y126)-1,4+((QUOTIENT(COLUMN(CO$2)-69,3))*5)+MOD(COLUMN(CO$2),3),1,1),"")</f>
        <v>0</v>
      </c>
      <c r="CP129">
        <f ca="1">IF($AN129="",OFFSET(Demand!$A$13,ROW(Z126)-1,4+((QUOTIENT(COLUMN(CP$2)-69,3))*5)+MOD(COLUMN(CP$2),3),1,1),"")</f>
        <v>0</v>
      </c>
      <c r="CQ129">
        <f ca="1">IF($AN129="",OFFSET(Demand!$A$13,ROW(AA126)-1,4+((QUOTIENT(COLUMN(CQ$2)-69,3))*5)+MOD(COLUMN(CQ$2),3),1,1),"")</f>
        <v>0</v>
      </c>
      <c r="CR129">
        <f ca="1">IF($AN129="",OFFSET(Demand!$A$13,ROW(AB126)-1,4+((QUOTIENT(COLUMN(CR$2)-69,3))*5)+MOD(COLUMN(CR$2),3),1,1),"")</f>
        <v>0</v>
      </c>
      <c r="CS129">
        <f ca="1">IF($AN129="",OFFSET(Demand!$A$13,ROW(AC126)-1,4+((QUOTIENT(COLUMN(CS$2)-69,3))*5)+MOD(COLUMN(CS$2),3),1,1),"")</f>
        <v>0</v>
      </c>
      <c r="CT129">
        <f ca="1">IF($AN129="",OFFSET(Demand!$A$13,ROW(AD126)-1,4+((QUOTIENT(COLUMN(CT$2)-69,3))*5)+MOD(COLUMN(CT$2),3),1,1),"")</f>
        <v>0</v>
      </c>
      <c r="CW129" s="5">
        <f ca="1">SUM(OFFSET(Demand!$H$43,ROW(A126)-1,(COLUMN(A126)-1)*5,1,1))*N$2</f>
        <v>0</v>
      </c>
      <c r="CX129" s="5">
        <f ca="1">SUM(OFFSET(Demand!$H$43,ROW(B126)-1,(COLUMN(B126)-1)*5,1,1))*O$2</f>
        <v>0</v>
      </c>
      <c r="CY129" s="5">
        <f ca="1">SUM(OFFSET(Demand!$H$43,ROW(C126)-1,(COLUMN(C126)-1)*5,1,1))*P$2</f>
        <v>0</v>
      </c>
      <c r="CZ129" s="5">
        <f ca="1">SUM(OFFSET(Demand!$H$43,ROW(D126)-1,(COLUMN(D126)-1)*5,1,1))*Q$2</f>
        <v>0</v>
      </c>
      <c r="DA129" s="5">
        <f ca="1">SUM(OFFSET(Demand!$H$43,ROW(E126)-1,(COLUMN(E126)-1)*5,1,1))*R$2</f>
        <v>0</v>
      </c>
      <c r="DB129" s="5">
        <f ca="1">SUM(OFFSET(Demand!$H$43,ROW(F126)-1,(COLUMN(F126)-1)*5,1,1))*S$2</f>
        <v>0</v>
      </c>
      <c r="DC129" s="5">
        <f ca="1">SUM(OFFSET(Demand!$H$43,ROW(G126)-1,(COLUMN(G126)-1)*5,1,1))*T$2</f>
        <v>0</v>
      </c>
      <c r="DD129" s="5">
        <f ca="1">SUM(OFFSET(Demand!$H$43,ROW(H126)-1,(COLUMN(H126)-1)*5,1,1))*U$2</f>
        <v>0</v>
      </c>
      <c r="DE129" s="5">
        <f ca="1">SUM(OFFSET(Demand!$H$43,ROW(I126)-1,(COLUMN(I126)-1)*5,1,1))*V$2</f>
        <v>0</v>
      </c>
      <c r="DF129" s="5">
        <f ca="1">SUM(OFFSET(Demand!$H$43,ROW(J126)-1,(COLUMN(J126)-1)*5,1,1))*W$2</f>
        <v>0</v>
      </c>
      <c r="DG129" s="5">
        <f ca="1">IF(OR(AN129&lt;&gt;"",AND('Demand adjustments for Covid'!$F$9="Yes",'Demand adjustments for Covid'!$F$20="Yes")),"",SUM(CW129:DF129))</f>
        <v>0</v>
      </c>
    </row>
    <row r="130" spans="1:111" x14ac:dyDescent="0.25">
      <c r="A130" s="5">
        <f t="shared" ca="1" si="43"/>
        <v>1</v>
      </c>
      <c r="B130" s="5">
        <f ca="1">COUNTBLANK(OFFSET(Demand!$I139,0,(COLUMN(A127)-1)*5,1,1))</f>
        <v>1</v>
      </c>
      <c r="C130" s="5">
        <f ca="1">COUNTBLANK(OFFSET(Demand!$I139,0,(COLUMN(B127)-1)*5,1,1))</f>
        <v>1</v>
      </c>
      <c r="D130" s="5">
        <f ca="1">COUNTBLANK(OFFSET(Demand!$I139,0,(COLUMN(C127)-1)*5,1,1))</f>
        <v>1</v>
      </c>
      <c r="E130" s="5">
        <f ca="1">COUNTBLANK(OFFSET(Demand!$I139,0,(COLUMN(D127)-1)*5,1,1))</f>
        <v>1</v>
      </c>
      <c r="F130" s="5">
        <f ca="1">COUNTBLANK(OFFSET(Demand!$I139,0,(COLUMN(E127)-1)*5,1,1))</f>
        <v>1</v>
      </c>
      <c r="G130" s="5">
        <f ca="1">COUNTBLANK(OFFSET(Demand!$I139,0,(COLUMN(F127)-1)*5,1,1))</f>
        <v>1</v>
      </c>
      <c r="H130" s="5">
        <f ca="1">COUNTBLANK(OFFSET(Demand!$I139,0,(COLUMN(G127)-1)*5,1,1))</f>
        <v>1</v>
      </c>
      <c r="I130" s="5">
        <f ca="1">COUNTBLANK(OFFSET(Demand!$I139,0,(COLUMN(H127)-1)*5,1,1))</f>
        <v>1</v>
      </c>
      <c r="J130" s="5">
        <f ca="1">COUNTBLANK(OFFSET(Demand!$I139,0,(COLUMN(I127)-1)*5,1,1))</f>
        <v>1</v>
      </c>
      <c r="K130" s="5">
        <f ca="1">COUNTBLANK(OFFSET(Demand!$I139,0,(COLUMN(J127)-1)*5,1,1))</f>
        <v>1</v>
      </c>
      <c r="N130" s="5">
        <f ca="1">SUM(OFFSET(Demand!$E139,0,(COLUMN(A127)-1)*5,1,3))*N$2</f>
        <v>0</v>
      </c>
      <c r="O130" s="5">
        <f ca="1">SUM(OFFSET(Demand!$E139,0,(COLUMN(B127)-1)*5,1,3))*O$2</f>
        <v>0</v>
      </c>
      <c r="P130" s="5">
        <f ca="1">SUM(OFFSET(Demand!$E139,0,(COLUMN(C127)-1)*5,1,3))*P$2</f>
        <v>0</v>
      </c>
      <c r="Q130" s="5">
        <f ca="1">SUM(OFFSET(Demand!$E139,0,(COLUMN(D127)-1)*5,1,3))*Q$2</f>
        <v>0</v>
      </c>
      <c r="R130" s="5">
        <f ca="1">SUM(OFFSET(Demand!$E139,0,(COLUMN(E127)-1)*5,1,3))*R$2</f>
        <v>0</v>
      </c>
      <c r="S130" s="5">
        <f ca="1">SUM(OFFSET(Demand!$E139,0,(COLUMN(F127)-1)*5,1,3))*S$2</f>
        <v>0</v>
      </c>
      <c r="T130" s="5">
        <f ca="1">SUM(OFFSET(Demand!$E139,0,(COLUMN(G127)-1)*5,1,3))*T$2</f>
        <v>0</v>
      </c>
      <c r="U130" s="5">
        <f ca="1">SUM(OFFSET(Demand!$E139,0,(COLUMN(H127)-1)*5,1,3))*U$2</f>
        <v>0</v>
      </c>
      <c r="V130" s="5">
        <f ca="1">SUM(OFFSET(Demand!$E139,0,(COLUMN(I127)-1)*5,1,3))*V$2</f>
        <v>0</v>
      </c>
      <c r="W130" s="5">
        <f ca="1">SUM(OFFSET(Demand!$E139,0,(COLUMN(J127)-1)*5,1,3))*W$2</f>
        <v>0</v>
      </c>
      <c r="X130" s="5">
        <f t="shared" ca="1" si="37"/>
        <v>0</v>
      </c>
      <c r="Y130">
        <f t="shared" ca="1" si="38"/>
        <v>0</v>
      </c>
      <c r="Z130" s="5">
        <f ca="1">SUM(OFFSET(Demand!$H139,0,(COLUMN(A127)-1)*5,1,1))*N$2</f>
        <v>0</v>
      </c>
      <c r="AA130" s="5">
        <f ca="1">SUM(OFFSET(Demand!$H139,0,(COLUMN(B127)-1)*5,1,1))*O$2</f>
        <v>0</v>
      </c>
      <c r="AB130" s="5">
        <f ca="1">SUM(OFFSET(Demand!$H139,0,(COLUMN(C127)-1)*5,1,1))*P$2</f>
        <v>0</v>
      </c>
      <c r="AC130" s="5">
        <f ca="1">SUM(OFFSET(Demand!$H139,0,(COLUMN(D127)-1)*5,1,1))*Q$2</f>
        <v>0</v>
      </c>
      <c r="AD130" s="5">
        <f ca="1">SUM(OFFSET(Demand!$H139,0,(COLUMN(E127)-1)*5,1,1))*R$2</f>
        <v>0</v>
      </c>
      <c r="AE130" s="5">
        <f ca="1">SUM(OFFSET(Demand!$H139,0,(COLUMN(F127)-1)*5,1,1))*S$2</f>
        <v>0</v>
      </c>
      <c r="AF130" s="5">
        <f ca="1">SUM(OFFSET(Demand!$H139,0,(COLUMN(G127)-1)*5,1,1))*T$2</f>
        <v>0</v>
      </c>
      <c r="AG130" s="5">
        <f ca="1">SUM(OFFSET(Demand!$H139,0,(COLUMN(H127)-1)*5,1,1))*U$2</f>
        <v>0</v>
      </c>
      <c r="AH130" s="5">
        <f ca="1">SUM(OFFSET(Demand!$H139,0,(COLUMN(I127)-1)*5,1,1))*V$2</f>
        <v>0</v>
      </c>
      <c r="AI130" s="5">
        <f ca="1">SUM(OFFSET(Demand!$H139,0,(COLUMN(J127)-1)*5,1,1))*W$2</f>
        <v>0</v>
      </c>
      <c r="AJ130" s="5">
        <f t="shared" ca="1" si="39"/>
        <v>0</v>
      </c>
      <c r="AL130" s="5">
        <f t="shared" ca="1" si="40"/>
        <v>0</v>
      </c>
      <c r="AM130" s="5">
        <f t="shared" ca="1" si="41"/>
        <v>0</v>
      </c>
      <c r="AN130" s="5" t="str">
        <f>IF(Demand!BE139="Yes","Yes","")</f>
        <v/>
      </c>
      <c r="AP130" s="36" t="str">
        <f ca="1">Demand!B139</f>
        <v xml:space="preserve"> </v>
      </c>
      <c r="AQ130" t="str">
        <f ca="1">IF(TEXT(Demand!D139,"MMM")&lt;&gt;TEXT(Demand!D138,"MMM"),TEXT(Demand!D139,"MMM"),"")</f>
        <v/>
      </c>
      <c r="AT130" s="5">
        <f t="shared" ca="1" si="42"/>
        <v>0</v>
      </c>
      <c r="BQ130">
        <f ca="1">IF($AN130="",OFFSET(Demand!$A$13,ROW(A127)-1,4+((QUOTIENT(COLUMN(BQ$2)-69,3))*5)+MOD(COLUMN(BQ$2),3),1,1),"")</f>
        <v>0</v>
      </c>
      <c r="BR130">
        <f ca="1">IF($AN130="",OFFSET(Demand!$A$13,ROW(B127)-1,4+((QUOTIENT(COLUMN(BR$2)-69,3))*5)+MOD(COLUMN(BR$2),3),1,1),"")</f>
        <v>0</v>
      </c>
      <c r="BS130">
        <f ca="1">IF($AN130="",OFFSET(Demand!$A$13,ROW(C127)-1,4+((QUOTIENT(COLUMN(BS$2)-69,3))*5)+MOD(COLUMN(BS$2),3),1,1),"")</f>
        <v>0</v>
      </c>
      <c r="BT130">
        <f ca="1">IF($AN130="",OFFSET(Demand!$A$13,ROW(D127)-1,4+((QUOTIENT(COLUMN(BT$2)-69,3))*5)+MOD(COLUMN(BT$2),3),1,1),"")</f>
        <v>0</v>
      </c>
      <c r="BU130">
        <f ca="1">IF($AN130="",OFFSET(Demand!$A$13,ROW(E127)-1,4+((QUOTIENT(COLUMN(BU$2)-69,3))*5)+MOD(COLUMN(BU$2),3),1,1),"")</f>
        <v>0</v>
      </c>
      <c r="BV130">
        <f ca="1">IF($AN130="",OFFSET(Demand!$A$13,ROW(F127)-1,4+((QUOTIENT(COLUMN(BV$2)-69,3))*5)+MOD(COLUMN(BV$2),3),1,1),"")</f>
        <v>0</v>
      </c>
      <c r="BW130">
        <f ca="1">IF($AN130="",OFFSET(Demand!$A$13,ROW(G127)-1,4+((QUOTIENT(COLUMN(BW$2)-69,3))*5)+MOD(COLUMN(BW$2),3),1,1),"")</f>
        <v>0</v>
      </c>
      <c r="BX130">
        <f ca="1">IF($AN130="",OFFSET(Demand!$A$13,ROW(H127)-1,4+((QUOTIENT(COLUMN(BX$2)-69,3))*5)+MOD(COLUMN(BX$2),3),1,1),"")</f>
        <v>0</v>
      </c>
      <c r="BY130">
        <f ca="1">IF($AN130="",OFFSET(Demand!$A$13,ROW(I127)-1,4+((QUOTIENT(COLUMN(BY$2)-69,3))*5)+MOD(COLUMN(BY$2),3),1,1),"")</f>
        <v>0</v>
      </c>
      <c r="BZ130">
        <f ca="1">IF($AN130="",OFFSET(Demand!$A$13,ROW(J127)-1,4+((QUOTIENT(COLUMN(BZ$2)-69,3))*5)+MOD(COLUMN(BZ$2),3),1,1),"")</f>
        <v>0</v>
      </c>
      <c r="CA130">
        <f ca="1">IF($AN130="",OFFSET(Demand!$A$13,ROW(K127)-1,4+((QUOTIENT(COLUMN(CA$2)-69,3))*5)+MOD(COLUMN(CA$2),3),1,1),"")</f>
        <v>0</v>
      </c>
      <c r="CB130">
        <f ca="1">IF($AN130="",OFFSET(Demand!$A$13,ROW(L127)-1,4+((QUOTIENT(COLUMN(CB$2)-69,3))*5)+MOD(COLUMN(CB$2),3),1,1),"")</f>
        <v>0</v>
      </c>
      <c r="CC130">
        <f ca="1">IF($AN130="",OFFSET(Demand!$A$13,ROW(M127)-1,4+((QUOTIENT(COLUMN(CC$2)-69,3))*5)+MOD(COLUMN(CC$2),3),1,1),"")</f>
        <v>0</v>
      </c>
      <c r="CD130">
        <f ca="1">IF($AN130="",OFFSET(Demand!$A$13,ROW(N127)-1,4+((QUOTIENT(COLUMN(CD$2)-69,3))*5)+MOD(COLUMN(CD$2),3),1,1),"")</f>
        <v>0</v>
      </c>
      <c r="CE130">
        <f ca="1">IF($AN130="",OFFSET(Demand!$A$13,ROW(O127)-1,4+((QUOTIENT(COLUMN(CE$2)-69,3))*5)+MOD(COLUMN(CE$2),3),1,1),"")</f>
        <v>0</v>
      </c>
      <c r="CF130">
        <f ca="1">IF($AN130="",OFFSET(Demand!$A$13,ROW(P127)-1,4+((QUOTIENT(COLUMN(CF$2)-69,3))*5)+MOD(COLUMN(CF$2),3),1,1),"")</f>
        <v>0</v>
      </c>
      <c r="CG130">
        <f ca="1">IF($AN130="",OFFSET(Demand!$A$13,ROW(Q127)-1,4+((QUOTIENT(COLUMN(CG$2)-69,3))*5)+MOD(COLUMN(CG$2),3),1,1),"")</f>
        <v>0</v>
      </c>
      <c r="CH130">
        <f ca="1">IF($AN130="",OFFSET(Demand!$A$13,ROW(R127)-1,4+((QUOTIENT(COLUMN(CH$2)-69,3))*5)+MOD(COLUMN(CH$2),3),1,1),"")</f>
        <v>0</v>
      </c>
      <c r="CI130">
        <f ca="1">IF($AN130="",OFFSET(Demand!$A$13,ROW(S127)-1,4+((QUOTIENT(COLUMN(CI$2)-69,3))*5)+MOD(COLUMN(CI$2),3),1,1),"")</f>
        <v>0</v>
      </c>
      <c r="CJ130">
        <f ca="1">IF($AN130="",OFFSET(Demand!$A$13,ROW(T127)-1,4+((QUOTIENT(COLUMN(CJ$2)-69,3))*5)+MOD(COLUMN(CJ$2),3),1,1),"")</f>
        <v>0</v>
      </c>
      <c r="CK130">
        <f ca="1">IF($AN130="",OFFSET(Demand!$A$13,ROW(U127)-1,4+((QUOTIENT(COLUMN(CK$2)-69,3))*5)+MOD(COLUMN(CK$2),3),1,1),"")</f>
        <v>0</v>
      </c>
      <c r="CL130">
        <f ca="1">IF($AN130="",OFFSET(Demand!$A$13,ROW(V127)-1,4+((QUOTIENT(COLUMN(CL$2)-69,3))*5)+MOD(COLUMN(CL$2),3),1,1),"")</f>
        <v>0</v>
      </c>
      <c r="CM130">
        <f ca="1">IF($AN130="",OFFSET(Demand!$A$13,ROW(W127)-1,4+((QUOTIENT(COLUMN(CM$2)-69,3))*5)+MOD(COLUMN(CM$2),3),1,1),"")</f>
        <v>0</v>
      </c>
      <c r="CN130">
        <f ca="1">IF($AN130="",OFFSET(Demand!$A$13,ROW(X127)-1,4+((QUOTIENT(COLUMN(CN$2)-69,3))*5)+MOD(COLUMN(CN$2),3),1,1),"")</f>
        <v>0</v>
      </c>
      <c r="CO130">
        <f ca="1">IF($AN130="",OFFSET(Demand!$A$13,ROW(Y127)-1,4+((QUOTIENT(COLUMN(CO$2)-69,3))*5)+MOD(COLUMN(CO$2),3),1,1),"")</f>
        <v>0</v>
      </c>
      <c r="CP130">
        <f ca="1">IF($AN130="",OFFSET(Demand!$A$13,ROW(Z127)-1,4+((QUOTIENT(COLUMN(CP$2)-69,3))*5)+MOD(COLUMN(CP$2),3),1,1),"")</f>
        <v>0</v>
      </c>
      <c r="CQ130">
        <f ca="1">IF($AN130="",OFFSET(Demand!$A$13,ROW(AA127)-1,4+((QUOTIENT(COLUMN(CQ$2)-69,3))*5)+MOD(COLUMN(CQ$2),3),1,1),"")</f>
        <v>0</v>
      </c>
      <c r="CR130">
        <f ca="1">IF($AN130="",OFFSET(Demand!$A$13,ROW(AB127)-1,4+((QUOTIENT(COLUMN(CR$2)-69,3))*5)+MOD(COLUMN(CR$2),3),1,1),"")</f>
        <v>0</v>
      </c>
      <c r="CS130">
        <f ca="1">IF($AN130="",OFFSET(Demand!$A$13,ROW(AC127)-1,4+((QUOTIENT(COLUMN(CS$2)-69,3))*5)+MOD(COLUMN(CS$2),3),1,1),"")</f>
        <v>0</v>
      </c>
      <c r="CT130">
        <f ca="1">IF($AN130="",OFFSET(Demand!$A$13,ROW(AD127)-1,4+((QUOTIENT(COLUMN(CT$2)-69,3))*5)+MOD(COLUMN(CT$2),3),1,1),"")</f>
        <v>0</v>
      </c>
      <c r="CW130" s="5">
        <f ca="1">SUM(OFFSET(Demand!$H$43,ROW(A127)-1,(COLUMN(A127)-1)*5,1,1))*N$2</f>
        <v>0</v>
      </c>
      <c r="CX130" s="5">
        <f ca="1">SUM(OFFSET(Demand!$H$43,ROW(B127)-1,(COLUMN(B127)-1)*5,1,1))*O$2</f>
        <v>0</v>
      </c>
      <c r="CY130" s="5">
        <f ca="1">SUM(OFFSET(Demand!$H$43,ROW(C127)-1,(COLUMN(C127)-1)*5,1,1))*P$2</f>
        <v>0</v>
      </c>
      <c r="CZ130" s="5">
        <f ca="1">SUM(OFFSET(Demand!$H$43,ROW(D127)-1,(COLUMN(D127)-1)*5,1,1))*Q$2</f>
        <v>0</v>
      </c>
      <c r="DA130" s="5">
        <f ca="1">SUM(OFFSET(Demand!$H$43,ROW(E127)-1,(COLUMN(E127)-1)*5,1,1))*R$2</f>
        <v>0</v>
      </c>
      <c r="DB130" s="5">
        <f ca="1">SUM(OFFSET(Demand!$H$43,ROW(F127)-1,(COLUMN(F127)-1)*5,1,1))*S$2</f>
        <v>0</v>
      </c>
      <c r="DC130" s="5">
        <f ca="1">SUM(OFFSET(Demand!$H$43,ROW(G127)-1,(COLUMN(G127)-1)*5,1,1))*T$2</f>
        <v>0</v>
      </c>
      <c r="DD130" s="5">
        <f ca="1">SUM(OFFSET(Demand!$H$43,ROW(H127)-1,(COLUMN(H127)-1)*5,1,1))*U$2</f>
        <v>0</v>
      </c>
      <c r="DE130" s="5">
        <f ca="1">SUM(OFFSET(Demand!$H$43,ROW(I127)-1,(COLUMN(I127)-1)*5,1,1))*V$2</f>
        <v>0</v>
      </c>
      <c r="DF130" s="5">
        <f ca="1">SUM(OFFSET(Demand!$H$43,ROW(J127)-1,(COLUMN(J127)-1)*5,1,1))*W$2</f>
        <v>0</v>
      </c>
      <c r="DG130" s="5">
        <f ca="1">IF(OR(AN130&lt;&gt;"",AND('Demand adjustments for Covid'!$F$9="Yes",'Demand adjustments for Covid'!$F$20="Yes")),"",SUM(CW130:DF130))</f>
        <v>0</v>
      </c>
    </row>
    <row r="131" spans="1:111" x14ac:dyDescent="0.25">
      <c r="A131" s="5">
        <f t="shared" ca="1" si="43"/>
        <v>1</v>
      </c>
      <c r="B131" s="5">
        <f ca="1">COUNTBLANK(OFFSET(Demand!$I140,0,(COLUMN(A128)-1)*5,1,1))</f>
        <v>1</v>
      </c>
      <c r="C131" s="5">
        <f ca="1">COUNTBLANK(OFFSET(Demand!$I140,0,(COLUMN(B128)-1)*5,1,1))</f>
        <v>1</v>
      </c>
      <c r="D131" s="5">
        <f ca="1">COUNTBLANK(OFFSET(Demand!$I140,0,(COLUMN(C128)-1)*5,1,1))</f>
        <v>1</v>
      </c>
      <c r="E131" s="5">
        <f ca="1">COUNTBLANK(OFFSET(Demand!$I140,0,(COLUMN(D128)-1)*5,1,1))</f>
        <v>1</v>
      </c>
      <c r="F131" s="5">
        <f ca="1">COUNTBLANK(OFFSET(Demand!$I140,0,(COLUMN(E128)-1)*5,1,1))</f>
        <v>1</v>
      </c>
      <c r="G131" s="5">
        <f ca="1">COUNTBLANK(OFFSET(Demand!$I140,0,(COLUMN(F128)-1)*5,1,1))</f>
        <v>1</v>
      </c>
      <c r="H131" s="5">
        <f ca="1">COUNTBLANK(OFFSET(Demand!$I140,0,(COLUMN(G128)-1)*5,1,1))</f>
        <v>1</v>
      </c>
      <c r="I131" s="5">
        <f ca="1">COUNTBLANK(OFFSET(Demand!$I140,0,(COLUMN(H128)-1)*5,1,1))</f>
        <v>1</v>
      </c>
      <c r="J131" s="5">
        <f ca="1">COUNTBLANK(OFFSET(Demand!$I140,0,(COLUMN(I128)-1)*5,1,1))</f>
        <v>1</v>
      </c>
      <c r="K131" s="5">
        <f ca="1">COUNTBLANK(OFFSET(Demand!$I140,0,(COLUMN(J128)-1)*5,1,1))</f>
        <v>1</v>
      </c>
      <c r="N131" s="5">
        <f ca="1">SUM(OFFSET(Demand!$E140,0,(COLUMN(A128)-1)*5,1,3))*N$2</f>
        <v>0</v>
      </c>
      <c r="O131" s="5">
        <f ca="1">SUM(OFFSET(Demand!$E140,0,(COLUMN(B128)-1)*5,1,3))*O$2</f>
        <v>0</v>
      </c>
      <c r="P131" s="5">
        <f ca="1">SUM(OFFSET(Demand!$E140,0,(COLUMN(C128)-1)*5,1,3))*P$2</f>
        <v>0</v>
      </c>
      <c r="Q131" s="5">
        <f ca="1">SUM(OFFSET(Demand!$E140,0,(COLUMN(D128)-1)*5,1,3))*Q$2</f>
        <v>0</v>
      </c>
      <c r="R131" s="5">
        <f ca="1">SUM(OFFSET(Demand!$E140,0,(COLUMN(E128)-1)*5,1,3))*R$2</f>
        <v>0</v>
      </c>
      <c r="S131" s="5">
        <f ca="1">SUM(OFFSET(Demand!$E140,0,(COLUMN(F128)-1)*5,1,3))*S$2</f>
        <v>0</v>
      </c>
      <c r="T131" s="5">
        <f ca="1">SUM(OFFSET(Demand!$E140,0,(COLUMN(G128)-1)*5,1,3))*T$2</f>
        <v>0</v>
      </c>
      <c r="U131" s="5">
        <f ca="1">SUM(OFFSET(Demand!$E140,0,(COLUMN(H128)-1)*5,1,3))*U$2</f>
        <v>0</v>
      </c>
      <c r="V131" s="5">
        <f ca="1">SUM(OFFSET(Demand!$E140,0,(COLUMN(I128)-1)*5,1,3))*V$2</f>
        <v>0</v>
      </c>
      <c r="W131" s="5">
        <f ca="1">SUM(OFFSET(Demand!$E140,0,(COLUMN(J128)-1)*5,1,3))*W$2</f>
        <v>0</v>
      </c>
      <c r="X131" s="5">
        <f t="shared" ca="1" si="37"/>
        <v>0</v>
      </c>
      <c r="Y131">
        <f t="shared" ca="1" si="38"/>
        <v>0</v>
      </c>
      <c r="Z131" s="5">
        <f ca="1">SUM(OFFSET(Demand!$H140,0,(COLUMN(A128)-1)*5,1,1))*N$2</f>
        <v>0</v>
      </c>
      <c r="AA131" s="5">
        <f ca="1">SUM(OFFSET(Demand!$H140,0,(COLUMN(B128)-1)*5,1,1))*O$2</f>
        <v>0</v>
      </c>
      <c r="AB131" s="5">
        <f ca="1">SUM(OFFSET(Demand!$H140,0,(COLUMN(C128)-1)*5,1,1))*P$2</f>
        <v>0</v>
      </c>
      <c r="AC131" s="5">
        <f ca="1">SUM(OFFSET(Demand!$H140,0,(COLUMN(D128)-1)*5,1,1))*Q$2</f>
        <v>0</v>
      </c>
      <c r="AD131" s="5">
        <f ca="1">SUM(OFFSET(Demand!$H140,0,(COLUMN(E128)-1)*5,1,1))*R$2</f>
        <v>0</v>
      </c>
      <c r="AE131" s="5">
        <f ca="1">SUM(OFFSET(Demand!$H140,0,(COLUMN(F128)-1)*5,1,1))*S$2</f>
        <v>0</v>
      </c>
      <c r="AF131" s="5">
        <f ca="1">SUM(OFFSET(Demand!$H140,0,(COLUMN(G128)-1)*5,1,1))*T$2</f>
        <v>0</v>
      </c>
      <c r="AG131" s="5">
        <f ca="1">SUM(OFFSET(Demand!$H140,0,(COLUMN(H128)-1)*5,1,1))*U$2</f>
        <v>0</v>
      </c>
      <c r="AH131" s="5">
        <f ca="1">SUM(OFFSET(Demand!$H140,0,(COLUMN(I128)-1)*5,1,1))*V$2</f>
        <v>0</v>
      </c>
      <c r="AI131" s="5">
        <f ca="1">SUM(OFFSET(Demand!$H140,0,(COLUMN(J128)-1)*5,1,1))*W$2</f>
        <v>0</v>
      </c>
      <c r="AJ131" s="5">
        <f t="shared" ca="1" si="39"/>
        <v>0</v>
      </c>
      <c r="AL131" s="5">
        <f t="shared" ca="1" si="40"/>
        <v>0</v>
      </c>
      <c r="AM131" s="5">
        <f t="shared" ca="1" si="41"/>
        <v>0</v>
      </c>
      <c r="AN131" s="5" t="str">
        <f>IF(Demand!BE140="Yes","Yes","")</f>
        <v/>
      </c>
      <c r="AP131" s="36" t="str">
        <f ca="1">Demand!B140</f>
        <v xml:space="preserve"> </v>
      </c>
      <c r="AQ131" t="str">
        <f ca="1">IF(TEXT(Demand!D140,"MMM")&lt;&gt;TEXT(Demand!D139,"MMM"),TEXT(Demand!D140,"MMM"),"")</f>
        <v/>
      </c>
      <c r="AT131" s="5">
        <f t="shared" ca="1" si="42"/>
        <v>0</v>
      </c>
      <c r="BQ131">
        <f ca="1">IF($AN131="",OFFSET(Demand!$A$13,ROW(A128)-1,4+((QUOTIENT(COLUMN(BQ$2)-69,3))*5)+MOD(COLUMN(BQ$2),3),1,1),"")</f>
        <v>0</v>
      </c>
      <c r="BR131">
        <f ca="1">IF($AN131="",OFFSET(Demand!$A$13,ROW(B128)-1,4+((QUOTIENT(COLUMN(BR$2)-69,3))*5)+MOD(COLUMN(BR$2),3),1,1),"")</f>
        <v>0</v>
      </c>
      <c r="BS131">
        <f ca="1">IF($AN131="",OFFSET(Demand!$A$13,ROW(C128)-1,4+((QUOTIENT(COLUMN(BS$2)-69,3))*5)+MOD(COLUMN(BS$2),3),1,1),"")</f>
        <v>0</v>
      </c>
      <c r="BT131">
        <f ca="1">IF($AN131="",OFFSET(Demand!$A$13,ROW(D128)-1,4+((QUOTIENT(COLUMN(BT$2)-69,3))*5)+MOD(COLUMN(BT$2),3),1,1),"")</f>
        <v>0</v>
      </c>
      <c r="BU131">
        <f ca="1">IF($AN131="",OFFSET(Demand!$A$13,ROW(E128)-1,4+((QUOTIENT(COLUMN(BU$2)-69,3))*5)+MOD(COLUMN(BU$2),3),1,1),"")</f>
        <v>0</v>
      </c>
      <c r="BV131">
        <f ca="1">IF($AN131="",OFFSET(Demand!$A$13,ROW(F128)-1,4+((QUOTIENT(COLUMN(BV$2)-69,3))*5)+MOD(COLUMN(BV$2),3),1,1),"")</f>
        <v>0</v>
      </c>
      <c r="BW131">
        <f ca="1">IF($AN131="",OFFSET(Demand!$A$13,ROW(G128)-1,4+((QUOTIENT(COLUMN(BW$2)-69,3))*5)+MOD(COLUMN(BW$2),3),1,1),"")</f>
        <v>0</v>
      </c>
      <c r="BX131">
        <f ca="1">IF($AN131="",OFFSET(Demand!$A$13,ROW(H128)-1,4+((QUOTIENT(COLUMN(BX$2)-69,3))*5)+MOD(COLUMN(BX$2),3),1,1),"")</f>
        <v>0</v>
      </c>
      <c r="BY131">
        <f ca="1">IF($AN131="",OFFSET(Demand!$A$13,ROW(I128)-1,4+((QUOTIENT(COLUMN(BY$2)-69,3))*5)+MOD(COLUMN(BY$2),3),1,1),"")</f>
        <v>0</v>
      </c>
      <c r="BZ131">
        <f ca="1">IF($AN131="",OFFSET(Demand!$A$13,ROW(J128)-1,4+((QUOTIENT(COLUMN(BZ$2)-69,3))*5)+MOD(COLUMN(BZ$2),3),1,1),"")</f>
        <v>0</v>
      </c>
      <c r="CA131">
        <f ca="1">IF($AN131="",OFFSET(Demand!$A$13,ROW(K128)-1,4+((QUOTIENT(COLUMN(CA$2)-69,3))*5)+MOD(COLUMN(CA$2),3),1,1),"")</f>
        <v>0</v>
      </c>
      <c r="CB131">
        <f ca="1">IF($AN131="",OFFSET(Demand!$A$13,ROW(L128)-1,4+((QUOTIENT(COLUMN(CB$2)-69,3))*5)+MOD(COLUMN(CB$2),3),1,1),"")</f>
        <v>0</v>
      </c>
      <c r="CC131">
        <f ca="1">IF($AN131="",OFFSET(Demand!$A$13,ROW(M128)-1,4+((QUOTIENT(COLUMN(CC$2)-69,3))*5)+MOD(COLUMN(CC$2),3),1,1),"")</f>
        <v>0</v>
      </c>
      <c r="CD131">
        <f ca="1">IF($AN131="",OFFSET(Demand!$A$13,ROW(N128)-1,4+((QUOTIENT(COLUMN(CD$2)-69,3))*5)+MOD(COLUMN(CD$2),3),1,1),"")</f>
        <v>0</v>
      </c>
      <c r="CE131">
        <f ca="1">IF($AN131="",OFFSET(Demand!$A$13,ROW(O128)-1,4+((QUOTIENT(COLUMN(CE$2)-69,3))*5)+MOD(COLUMN(CE$2),3),1,1),"")</f>
        <v>0</v>
      </c>
      <c r="CF131">
        <f ca="1">IF($AN131="",OFFSET(Demand!$A$13,ROW(P128)-1,4+((QUOTIENT(COLUMN(CF$2)-69,3))*5)+MOD(COLUMN(CF$2),3),1,1),"")</f>
        <v>0</v>
      </c>
      <c r="CG131">
        <f ca="1">IF($AN131="",OFFSET(Demand!$A$13,ROW(Q128)-1,4+((QUOTIENT(COLUMN(CG$2)-69,3))*5)+MOD(COLUMN(CG$2),3),1,1),"")</f>
        <v>0</v>
      </c>
      <c r="CH131">
        <f ca="1">IF($AN131="",OFFSET(Demand!$A$13,ROW(R128)-1,4+((QUOTIENT(COLUMN(CH$2)-69,3))*5)+MOD(COLUMN(CH$2),3),1,1),"")</f>
        <v>0</v>
      </c>
      <c r="CI131">
        <f ca="1">IF($AN131="",OFFSET(Demand!$A$13,ROW(S128)-1,4+((QUOTIENT(COLUMN(CI$2)-69,3))*5)+MOD(COLUMN(CI$2),3),1,1),"")</f>
        <v>0</v>
      </c>
      <c r="CJ131">
        <f ca="1">IF($AN131="",OFFSET(Demand!$A$13,ROW(T128)-1,4+((QUOTIENT(COLUMN(CJ$2)-69,3))*5)+MOD(COLUMN(CJ$2),3),1,1),"")</f>
        <v>0</v>
      </c>
      <c r="CK131">
        <f ca="1">IF($AN131="",OFFSET(Demand!$A$13,ROW(U128)-1,4+((QUOTIENT(COLUMN(CK$2)-69,3))*5)+MOD(COLUMN(CK$2),3),1,1),"")</f>
        <v>0</v>
      </c>
      <c r="CL131">
        <f ca="1">IF($AN131="",OFFSET(Demand!$A$13,ROW(V128)-1,4+((QUOTIENT(COLUMN(CL$2)-69,3))*5)+MOD(COLUMN(CL$2),3),1,1),"")</f>
        <v>0</v>
      </c>
      <c r="CM131">
        <f ca="1">IF($AN131="",OFFSET(Demand!$A$13,ROW(W128)-1,4+((QUOTIENT(COLUMN(CM$2)-69,3))*5)+MOD(COLUMN(CM$2),3),1,1),"")</f>
        <v>0</v>
      </c>
      <c r="CN131">
        <f ca="1">IF($AN131="",OFFSET(Demand!$A$13,ROW(X128)-1,4+((QUOTIENT(COLUMN(CN$2)-69,3))*5)+MOD(COLUMN(CN$2),3),1,1),"")</f>
        <v>0</v>
      </c>
      <c r="CO131">
        <f ca="1">IF($AN131="",OFFSET(Demand!$A$13,ROW(Y128)-1,4+((QUOTIENT(COLUMN(CO$2)-69,3))*5)+MOD(COLUMN(CO$2),3),1,1),"")</f>
        <v>0</v>
      </c>
      <c r="CP131">
        <f ca="1">IF($AN131="",OFFSET(Demand!$A$13,ROW(Z128)-1,4+((QUOTIENT(COLUMN(CP$2)-69,3))*5)+MOD(COLUMN(CP$2),3),1,1),"")</f>
        <v>0</v>
      </c>
      <c r="CQ131">
        <f ca="1">IF($AN131="",OFFSET(Demand!$A$13,ROW(AA128)-1,4+((QUOTIENT(COLUMN(CQ$2)-69,3))*5)+MOD(COLUMN(CQ$2),3),1,1),"")</f>
        <v>0</v>
      </c>
      <c r="CR131">
        <f ca="1">IF($AN131="",OFFSET(Demand!$A$13,ROW(AB128)-1,4+((QUOTIENT(COLUMN(CR$2)-69,3))*5)+MOD(COLUMN(CR$2),3),1,1),"")</f>
        <v>0</v>
      </c>
      <c r="CS131">
        <f ca="1">IF($AN131="",OFFSET(Demand!$A$13,ROW(AC128)-1,4+((QUOTIENT(COLUMN(CS$2)-69,3))*5)+MOD(COLUMN(CS$2),3),1,1),"")</f>
        <v>0</v>
      </c>
      <c r="CT131">
        <f ca="1">IF($AN131="",OFFSET(Demand!$A$13,ROW(AD128)-1,4+((QUOTIENT(COLUMN(CT$2)-69,3))*5)+MOD(COLUMN(CT$2),3),1,1),"")</f>
        <v>0</v>
      </c>
      <c r="CW131" s="5">
        <f ca="1">SUM(OFFSET(Demand!$H$43,ROW(A128)-1,(COLUMN(A128)-1)*5,1,1))*N$2</f>
        <v>0</v>
      </c>
      <c r="CX131" s="5">
        <f ca="1">SUM(OFFSET(Demand!$H$43,ROW(B128)-1,(COLUMN(B128)-1)*5,1,1))*O$2</f>
        <v>0</v>
      </c>
      <c r="CY131" s="5">
        <f ca="1">SUM(OFFSET(Demand!$H$43,ROW(C128)-1,(COLUMN(C128)-1)*5,1,1))*P$2</f>
        <v>0</v>
      </c>
      <c r="CZ131" s="5">
        <f ca="1">SUM(OFFSET(Demand!$H$43,ROW(D128)-1,(COLUMN(D128)-1)*5,1,1))*Q$2</f>
        <v>0</v>
      </c>
      <c r="DA131" s="5">
        <f ca="1">SUM(OFFSET(Demand!$H$43,ROW(E128)-1,(COLUMN(E128)-1)*5,1,1))*R$2</f>
        <v>0</v>
      </c>
      <c r="DB131" s="5">
        <f ca="1">SUM(OFFSET(Demand!$H$43,ROW(F128)-1,(COLUMN(F128)-1)*5,1,1))*S$2</f>
        <v>0</v>
      </c>
      <c r="DC131" s="5">
        <f ca="1">SUM(OFFSET(Demand!$H$43,ROW(G128)-1,(COLUMN(G128)-1)*5,1,1))*T$2</f>
        <v>0</v>
      </c>
      <c r="DD131" s="5">
        <f ca="1">SUM(OFFSET(Demand!$H$43,ROW(H128)-1,(COLUMN(H128)-1)*5,1,1))*U$2</f>
        <v>0</v>
      </c>
      <c r="DE131" s="5">
        <f ca="1">SUM(OFFSET(Demand!$H$43,ROW(I128)-1,(COLUMN(I128)-1)*5,1,1))*V$2</f>
        <v>0</v>
      </c>
      <c r="DF131" s="5">
        <f ca="1">SUM(OFFSET(Demand!$H$43,ROW(J128)-1,(COLUMN(J128)-1)*5,1,1))*W$2</f>
        <v>0</v>
      </c>
      <c r="DG131" s="5">
        <f ca="1">IF(OR(AN131&lt;&gt;"",AND('Demand adjustments for Covid'!$F$9="Yes",'Demand adjustments for Covid'!$F$20="Yes")),"",SUM(CW131:DF131))</f>
        <v>0</v>
      </c>
    </row>
    <row r="132" spans="1:111" x14ac:dyDescent="0.25">
      <c r="A132" s="5">
        <f t="shared" ca="1" si="43"/>
        <v>1</v>
      </c>
      <c r="B132" s="5">
        <f ca="1">COUNTBLANK(OFFSET(Demand!$I141,0,(COLUMN(A129)-1)*5,1,1))</f>
        <v>1</v>
      </c>
      <c r="C132" s="5">
        <f ca="1">COUNTBLANK(OFFSET(Demand!$I141,0,(COLUMN(B129)-1)*5,1,1))</f>
        <v>1</v>
      </c>
      <c r="D132" s="5">
        <f ca="1">COUNTBLANK(OFFSET(Demand!$I141,0,(COLUMN(C129)-1)*5,1,1))</f>
        <v>1</v>
      </c>
      <c r="E132" s="5">
        <f ca="1">COUNTBLANK(OFFSET(Demand!$I141,0,(COLUMN(D129)-1)*5,1,1))</f>
        <v>1</v>
      </c>
      <c r="F132" s="5">
        <f ca="1">COUNTBLANK(OFFSET(Demand!$I141,0,(COLUMN(E129)-1)*5,1,1))</f>
        <v>1</v>
      </c>
      <c r="G132" s="5">
        <f ca="1">COUNTBLANK(OFFSET(Demand!$I141,0,(COLUMN(F129)-1)*5,1,1))</f>
        <v>1</v>
      </c>
      <c r="H132" s="5">
        <f ca="1">COUNTBLANK(OFFSET(Demand!$I141,0,(COLUMN(G129)-1)*5,1,1))</f>
        <v>1</v>
      </c>
      <c r="I132" s="5">
        <f ca="1">COUNTBLANK(OFFSET(Demand!$I141,0,(COLUMN(H129)-1)*5,1,1))</f>
        <v>1</v>
      </c>
      <c r="J132" s="5">
        <f ca="1">COUNTBLANK(OFFSET(Demand!$I141,0,(COLUMN(I129)-1)*5,1,1))</f>
        <v>1</v>
      </c>
      <c r="K132" s="5">
        <f ca="1">COUNTBLANK(OFFSET(Demand!$I141,0,(COLUMN(J129)-1)*5,1,1))</f>
        <v>1</v>
      </c>
      <c r="N132" s="5">
        <f ca="1">SUM(OFFSET(Demand!$E141,0,(COLUMN(A129)-1)*5,1,3))*N$2</f>
        <v>0</v>
      </c>
      <c r="O132" s="5">
        <f ca="1">SUM(OFFSET(Demand!$E141,0,(COLUMN(B129)-1)*5,1,3))*O$2</f>
        <v>0</v>
      </c>
      <c r="P132" s="5">
        <f ca="1">SUM(OFFSET(Demand!$E141,0,(COLUMN(C129)-1)*5,1,3))*P$2</f>
        <v>0</v>
      </c>
      <c r="Q132" s="5">
        <f ca="1">SUM(OFFSET(Demand!$E141,0,(COLUMN(D129)-1)*5,1,3))*Q$2</f>
        <v>0</v>
      </c>
      <c r="R132" s="5">
        <f ca="1">SUM(OFFSET(Demand!$E141,0,(COLUMN(E129)-1)*5,1,3))*R$2</f>
        <v>0</v>
      </c>
      <c r="S132" s="5">
        <f ca="1">SUM(OFFSET(Demand!$E141,0,(COLUMN(F129)-1)*5,1,3))*S$2</f>
        <v>0</v>
      </c>
      <c r="T132" s="5">
        <f ca="1">SUM(OFFSET(Demand!$E141,0,(COLUMN(G129)-1)*5,1,3))*T$2</f>
        <v>0</v>
      </c>
      <c r="U132" s="5">
        <f ca="1">SUM(OFFSET(Demand!$E141,0,(COLUMN(H129)-1)*5,1,3))*U$2</f>
        <v>0</v>
      </c>
      <c r="V132" s="5">
        <f ca="1">SUM(OFFSET(Demand!$E141,0,(COLUMN(I129)-1)*5,1,3))*V$2</f>
        <v>0</v>
      </c>
      <c r="W132" s="5">
        <f ca="1">SUM(OFFSET(Demand!$E141,0,(COLUMN(J129)-1)*5,1,3))*W$2</f>
        <v>0</v>
      </c>
      <c r="X132" s="5">
        <f t="shared" ref="X132:X195" ca="1" si="44">IF(AN132="",SUM(OFFSET(N132,0,0,1,Num_Modalities)),"")</f>
        <v>0</v>
      </c>
      <c r="Y132">
        <f t="shared" ref="Y132:Y195" ca="1" si="45">SUM(OFFSET(N132,0,0,1,Num_Modalities))</f>
        <v>0</v>
      </c>
      <c r="Z132" s="5">
        <f ca="1">SUM(OFFSET(Demand!$H141,0,(COLUMN(A129)-1)*5,1,1))*N$2</f>
        <v>0</v>
      </c>
      <c r="AA132" s="5">
        <f ca="1">SUM(OFFSET(Demand!$H141,0,(COLUMN(B129)-1)*5,1,1))*O$2</f>
        <v>0</v>
      </c>
      <c r="AB132" s="5">
        <f ca="1">SUM(OFFSET(Demand!$H141,0,(COLUMN(C129)-1)*5,1,1))*P$2</f>
        <v>0</v>
      </c>
      <c r="AC132" s="5">
        <f ca="1">SUM(OFFSET(Demand!$H141,0,(COLUMN(D129)-1)*5,1,1))*Q$2</f>
        <v>0</v>
      </c>
      <c r="AD132" s="5">
        <f ca="1">SUM(OFFSET(Demand!$H141,0,(COLUMN(E129)-1)*5,1,1))*R$2</f>
        <v>0</v>
      </c>
      <c r="AE132" s="5">
        <f ca="1">SUM(OFFSET(Demand!$H141,0,(COLUMN(F129)-1)*5,1,1))*S$2</f>
        <v>0</v>
      </c>
      <c r="AF132" s="5">
        <f ca="1">SUM(OFFSET(Demand!$H141,0,(COLUMN(G129)-1)*5,1,1))*T$2</f>
        <v>0</v>
      </c>
      <c r="AG132" s="5">
        <f ca="1">SUM(OFFSET(Demand!$H141,0,(COLUMN(H129)-1)*5,1,1))*U$2</f>
        <v>0</v>
      </c>
      <c r="AH132" s="5">
        <f ca="1">SUM(OFFSET(Demand!$H141,0,(COLUMN(I129)-1)*5,1,1))*V$2</f>
        <v>0</v>
      </c>
      <c r="AI132" s="5">
        <f ca="1">SUM(OFFSET(Demand!$H141,0,(COLUMN(J129)-1)*5,1,1))*W$2</f>
        <v>0</v>
      </c>
      <c r="AJ132" s="5">
        <f t="shared" ref="AJ132:AJ195" ca="1" si="46">SUM(OFFSET(Z132,0,0,1,Num_Modalities))</f>
        <v>0</v>
      </c>
      <c r="AL132" s="5">
        <f t="shared" ca="1" si="40"/>
        <v>0</v>
      </c>
      <c r="AM132" s="5">
        <f t="shared" ca="1" si="41"/>
        <v>0</v>
      </c>
      <c r="AN132" s="5" t="str">
        <f>IF(Demand!BE141="Yes","Yes","")</f>
        <v/>
      </c>
      <c r="AP132" s="36" t="str">
        <f ca="1">Demand!B141</f>
        <v xml:space="preserve"> </v>
      </c>
      <c r="AQ132" t="str">
        <f ca="1">IF(TEXT(Demand!D141,"MMM")&lt;&gt;TEXT(Demand!D140,"MMM"),TEXT(Demand!D141,"MMM"),"")</f>
        <v/>
      </c>
      <c r="AT132" s="5">
        <f t="shared" ca="1" si="42"/>
        <v>0</v>
      </c>
      <c r="BQ132">
        <f ca="1">IF($AN132="",OFFSET(Demand!$A$13,ROW(A129)-1,4+((QUOTIENT(COLUMN(BQ$2)-69,3))*5)+MOD(COLUMN(BQ$2),3),1,1),"")</f>
        <v>0</v>
      </c>
      <c r="BR132">
        <f ca="1">IF($AN132="",OFFSET(Demand!$A$13,ROW(B129)-1,4+((QUOTIENT(COLUMN(BR$2)-69,3))*5)+MOD(COLUMN(BR$2),3),1,1),"")</f>
        <v>0</v>
      </c>
      <c r="BS132">
        <f ca="1">IF($AN132="",OFFSET(Demand!$A$13,ROW(C129)-1,4+((QUOTIENT(COLUMN(BS$2)-69,3))*5)+MOD(COLUMN(BS$2),3),1,1),"")</f>
        <v>0</v>
      </c>
      <c r="BT132">
        <f ca="1">IF($AN132="",OFFSET(Demand!$A$13,ROW(D129)-1,4+((QUOTIENT(COLUMN(BT$2)-69,3))*5)+MOD(COLUMN(BT$2),3),1,1),"")</f>
        <v>0</v>
      </c>
      <c r="BU132">
        <f ca="1">IF($AN132="",OFFSET(Demand!$A$13,ROW(E129)-1,4+((QUOTIENT(COLUMN(BU$2)-69,3))*5)+MOD(COLUMN(BU$2),3),1,1),"")</f>
        <v>0</v>
      </c>
      <c r="BV132">
        <f ca="1">IF($AN132="",OFFSET(Demand!$A$13,ROW(F129)-1,4+((QUOTIENT(COLUMN(BV$2)-69,3))*5)+MOD(COLUMN(BV$2),3),1,1),"")</f>
        <v>0</v>
      </c>
      <c r="BW132">
        <f ca="1">IF($AN132="",OFFSET(Demand!$A$13,ROW(G129)-1,4+((QUOTIENT(COLUMN(BW$2)-69,3))*5)+MOD(COLUMN(BW$2),3),1,1),"")</f>
        <v>0</v>
      </c>
      <c r="BX132">
        <f ca="1">IF($AN132="",OFFSET(Demand!$A$13,ROW(H129)-1,4+((QUOTIENT(COLUMN(BX$2)-69,3))*5)+MOD(COLUMN(BX$2),3),1,1),"")</f>
        <v>0</v>
      </c>
      <c r="BY132">
        <f ca="1">IF($AN132="",OFFSET(Demand!$A$13,ROW(I129)-1,4+((QUOTIENT(COLUMN(BY$2)-69,3))*5)+MOD(COLUMN(BY$2),3),1,1),"")</f>
        <v>0</v>
      </c>
      <c r="BZ132">
        <f ca="1">IF($AN132="",OFFSET(Demand!$A$13,ROW(J129)-1,4+((QUOTIENT(COLUMN(BZ$2)-69,3))*5)+MOD(COLUMN(BZ$2),3),1,1),"")</f>
        <v>0</v>
      </c>
      <c r="CA132">
        <f ca="1">IF($AN132="",OFFSET(Demand!$A$13,ROW(K129)-1,4+((QUOTIENT(COLUMN(CA$2)-69,3))*5)+MOD(COLUMN(CA$2),3),1,1),"")</f>
        <v>0</v>
      </c>
      <c r="CB132">
        <f ca="1">IF($AN132="",OFFSET(Demand!$A$13,ROW(L129)-1,4+((QUOTIENT(COLUMN(CB$2)-69,3))*5)+MOD(COLUMN(CB$2),3),1,1),"")</f>
        <v>0</v>
      </c>
      <c r="CC132">
        <f ca="1">IF($AN132="",OFFSET(Demand!$A$13,ROW(M129)-1,4+((QUOTIENT(COLUMN(CC$2)-69,3))*5)+MOD(COLUMN(CC$2),3),1,1),"")</f>
        <v>0</v>
      </c>
      <c r="CD132">
        <f ca="1">IF($AN132="",OFFSET(Demand!$A$13,ROW(N129)-1,4+((QUOTIENT(COLUMN(CD$2)-69,3))*5)+MOD(COLUMN(CD$2),3),1,1),"")</f>
        <v>0</v>
      </c>
      <c r="CE132">
        <f ca="1">IF($AN132="",OFFSET(Demand!$A$13,ROW(O129)-1,4+((QUOTIENT(COLUMN(CE$2)-69,3))*5)+MOD(COLUMN(CE$2),3),1,1),"")</f>
        <v>0</v>
      </c>
      <c r="CF132">
        <f ca="1">IF($AN132="",OFFSET(Demand!$A$13,ROW(P129)-1,4+((QUOTIENT(COLUMN(CF$2)-69,3))*5)+MOD(COLUMN(CF$2),3),1,1),"")</f>
        <v>0</v>
      </c>
      <c r="CG132">
        <f ca="1">IF($AN132="",OFFSET(Demand!$A$13,ROW(Q129)-1,4+((QUOTIENT(COLUMN(CG$2)-69,3))*5)+MOD(COLUMN(CG$2),3),1,1),"")</f>
        <v>0</v>
      </c>
      <c r="CH132">
        <f ca="1">IF($AN132="",OFFSET(Demand!$A$13,ROW(R129)-1,4+((QUOTIENT(COLUMN(CH$2)-69,3))*5)+MOD(COLUMN(CH$2),3),1,1),"")</f>
        <v>0</v>
      </c>
      <c r="CI132">
        <f ca="1">IF($AN132="",OFFSET(Demand!$A$13,ROW(S129)-1,4+((QUOTIENT(COLUMN(CI$2)-69,3))*5)+MOD(COLUMN(CI$2),3),1,1),"")</f>
        <v>0</v>
      </c>
      <c r="CJ132">
        <f ca="1">IF($AN132="",OFFSET(Demand!$A$13,ROW(T129)-1,4+((QUOTIENT(COLUMN(CJ$2)-69,3))*5)+MOD(COLUMN(CJ$2),3),1,1),"")</f>
        <v>0</v>
      </c>
      <c r="CK132">
        <f ca="1">IF($AN132="",OFFSET(Demand!$A$13,ROW(U129)-1,4+((QUOTIENT(COLUMN(CK$2)-69,3))*5)+MOD(COLUMN(CK$2),3),1,1),"")</f>
        <v>0</v>
      </c>
      <c r="CL132">
        <f ca="1">IF($AN132="",OFFSET(Demand!$A$13,ROW(V129)-1,4+((QUOTIENT(COLUMN(CL$2)-69,3))*5)+MOD(COLUMN(CL$2),3),1,1),"")</f>
        <v>0</v>
      </c>
      <c r="CM132">
        <f ca="1">IF($AN132="",OFFSET(Demand!$A$13,ROW(W129)-1,4+((QUOTIENT(COLUMN(CM$2)-69,3))*5)+MOD(COLUMN(CM$2),3),1,1),"")</f>
        <v>0</v>
      </c>
      <c r="CN132">
        <f ca="1">IF($AN132="",OFFSET(Demand!$A$13,ROW(X129)-1,4+((QUOTIENT(COLUMN(CN$2)-69,3))*5)+MOD(COLUMN(CN$2),3),1,1),"")</f>
        <v>0</v>
      </c>
      <c r="CO132">
        <f ca="1">IF($AN132="",OFFSET(Demand!$A$13,ROW(Y129)-1,4+((QUOTIENT(COLUMN(CO$2)-69,3))*5)+MOD(COLUMN(CO$2),3),1,1),"")</f>
        <v>0</v>
      </c>
      <c r="CP132">
        <f ca="1">IF($AN132="",OFFSET(Demand!$A$13,ROW(Z129)-1,4+((QUOTIENT(COLUMN(CP$2)-69,3))*5)+MOD(COLUMN(CP$2),3),1,1),"")</f>
        <v>0</v>
      </c>
      <c r="CQ132">
        <f ca="1">IF($AN132="",OFFSET(Demand!$A$13,ROW(AA129)-1,4+((QUOTIENT(COLUMN(CQ$2)-69,3))*5)+MOD(COLUMN(CQ$2),3),1,1),"")</f>
        <v>0</v>
      </c>
      <c r="CR132">
        <f ca="1">IF($AN132="",OFFSET(Demand!$A$13,ROW(AB129)-1,4+((QUOTIENT(COLUMN(CR$2)-69,3))*5)+MOD(COLUMN(CR$2),3),1,1),"")</f>
        <v>0</v>
      </c>
      <c r="CS132">
        <f ca="1">IF($AN132="",OFFSET(Demand!$A$13,ROW(AC129)-1,4+((QUOTIENT(COLUMN(CS$2)-69,3))*5)+MOD(COLUMN(CS$2),3),1,1),"")</f>
        <v>0</v>
      </c>
      <c r="CT132">
        <f ca="1">IF($AN132="",OFFSET(Demand!$A$13,ROW(AD129)-1,4+((QUOTIENT(COLUMN(CT$2)-69,3))*5)+MOD(COLUMN(CT$2),3),1,1),"")</f>
        <v>0</v>
      </c>
      <c r="CW132" s="5">
        <f ca="1">SUM(OFFSET(Demand!$H$43,ROW(A129)-1,(COLUMN(A129)-1)*5,1,1))*N$2</f>
        <v>0</v>
      </c>
      <c r="CX132" s="5">
        <f ca="1">SUM(OFFSET(Demand!$H$43,ROW(B129)-1,(COLUMN(B129)-1)*5,1,1))*O$2</f>
        <v>0</v>
      </c>
      <c r="CY132" s="5">
        <f ca="1">SUM(OFFSET(Demand!$H$43,ROW(C129)-1,(COLUMN(C129)-1)*5,1,1))*P$2</f>
        <v>0</v>
      </c>
      <c r="CZ132" s="5">
        <f ca="1">SUM(OFFSET(Demand!$H$43,ROW(D129)-1,(COLUMN(D129)-1)*5,1,1))*Q$2</f>
        <v>0</v>
      </c>
      <c r="DA132" s="5">
        <f ca="1">SUM(OFFSET(Demand!$H$43,ROW(E129)-1,(COLUMN(E129)-1)*5,1,1))*R$2</f>
        <v>0</v>
      </c>
      <c r="DB132" s="5">
        <f ca="1">SUM(OFFSET(Demand!$H$43,ROW(F129)-1,(COLUMN(F129)-1)*5,1,1))*S$2</f>
        <v>0</v>
      </c>
      <c r="DC132" s="5">
        <f ca="1">SUM(OFFSET(Demand!$H$43,ROW(G129)-1,(COLUMN(G129)-1)*5,1,1))*T$2</f>
        <v>0</v>
      </c>
      <c r="DD132" s="5">
        <f ca="1">SUM(OFFSET(Demand!$H$43,ROW(H129)-1,(COLUMN(H129)-1)*5,1,1))*U$2</f>
        <v>0</v>
      </c>
      <c r="DE132" s="5">
        <f ca="1">SUM(OFFSET(Demand!$H$43,ROW(I129)-1,(COLUMN(I129)-1)*5,1,1))*V$2</f>
        <v>0</v>
      </c>
      <c r="DF132" s="5">
        <f ca="1">SUM(OFFSET(Demand!$H$43,ROW(J129)-1,(COLUMN(J129)-1)*5,1,1))*W$2</f>
        <v>0</v>
      </c>
      <c r="DG132" s="5">
        <f ca="1">IF(OR(AN132&lt;&gt;"",AND('Demand adjustments for Covid'!$F$9="Yes",'Demand adjustments for Covid'!$F$20="Yes")),"",SUM(CW132:DF132))</f>
        <v>0</v>
      </c>
    </row>
    <row r="133" spans="1:111" x14ac:dyDescent="0.25">
      <c r="A133" s="5">
        <f t="shared" ca="1" si="43"/>
        <v>1</v>
      </c>
      <c r="B133" s="5">
        <f ca="1">COUNTBLANK(OFFSET(Demand!$I142,0,(COLUMN(A130)-1)*5,1,1))</f>
        <v>1</v>
      </c>
      <c r="C133" s="5">
        <f ca="1">COUNTBLANK(OFFSET(Demand!$I142,0,(COLUMN(B130)-1)*5,1,1))</f>
        <v>1</v>
      </c>
      <c r="D133" s="5">
        <f ca="1">COUNTBLANK(OFFSET(Demand!$I142,0,(COLUMN(C130)-1)*5,1,1))</f>
        <v>1</v>
      </c>
      <c r="E133" s="5">
        <f ca="1">COUNTBLANK(OFFSET(Demand!$I142,0,(COLUMN(D130)-1)*5,1,1))</f>
        <v>1</v>
      </c>
      <c r="F133" s="5">
        <f ca="1">COUNTBLANK(OFFSET(Demand!$I142,0,(COLUMN(E130)-1)*5,1,1))</f>
        <v>1</v>
      </c>
      <c r="G133" s="5">
        <f ca="1">COUNTBLANK(OFFSET(Demand!$I142,0,(COLUMN(F130)-1)*5,1,1))</f>
        <v>1</v>
      </c>
      <c r="H133" s="5">
        <f ca="1">COUNTBLANK(OFFSET(Demand!$I142,0,(COLUMN(G130)-1)*5,1,1))</f>
        <v>1</v>
      </c>
      <c r="I133" s="5">
        <f ca="1">COUNTBLANK(OFFSET(Demand!$I142,0,(COLUMN(H130)-1)*5,1,1))</f>
        <v>1</v>
      </c>
      <c r="J133" s="5">
        <f ca="1">COUNTBLANK(OFFSET(Demand!$I142,0,(COLUMN(I130)-1)*5,1,1))</f>
        <v>1</v>
      </c>
      <c r="K133" s="5">
        <f ca="1">COUNTBLANK(OFFSET(Demand!$I142,0,(COLUMN(J130)-1)*5,1,1))</f>
        <v>1</v>
      </c>
      <c r="N133" s="5">
        <f ca="1">SUM(OFFSET(Demand!$E142,0,(COLUMN(A130)-1)*5,1,3))*N$2</f>
        <v>0</v>
      </c>
      <c r="O133" s="5">
        <f ca="1">SUM(OFFSET(Demand!$E142,0,(COLUMN(B130)-1)*5,1,3))*O$2</f>
        <v>0</v>
      </c>
      <c r="P133" s="5">
        <f ca="1">SUM(OFFSET(Demand!$E142,0,(COLUMN(C130)-1)*5,1,3))*P$2</f>
        <v>0</v>
      </c>
      <c r="Q133" s="5">
        <f ca="1">SUM(OFFSET(Demand!$E142,0,(COLUMN(D130)-1)*5,1,3))*Q$2</f>
        <v>0</v>
      </c>
      <c r="R133" s="5">
        <f ca="1">SUM(OFFSET(Demand!$E142,0,(COLUMN(E130)-1)*5,1,3))*R$2</f>
        <v>0</v>
      </c>
      <c r="S133" s="5">
        <f ca="1">SUM(OFFSET(Demand!$E142,0,(COLUMN(F130)-1)*5,1,3))*S$2</f>
        <v>0</v>
      </c>
      <c r="T133" s="5">
        <f ca="1">SUM(OFFSET(Demand!$E142,0,(COLUMN(G130)-1)*5,1,3))*T$2</f>
        <v>0</v>
      </c>
      <c r="U133" s="5">
        <f ca="1">SUM(OFFSET(Demand!$E142,0,(COLUMN(H130)-1)*5,1,3))*U$2</f>
        <v>0</v>
      </c>
      <c r="V133" s="5">
        <f ca="1">SUM(OFFSET(Demand!$E142,0,(COLUMN(I130)-1)*5,1,3))*V$2</f>
        <v>0</v>
      </c>
      <c r="W133" s="5">
        <f ca="1">SUM(OFFSET(Demand!$E142,0,(COLUMN(J130)-1)*5,1,3))*W$2</f>
        <v>0</v>
      </c>
      <c r="X133" s="5">
        <f t="shared" ca="1" si="44"/>
        <v>0</v>
      </c>
      <c r="Y133">
        <f t="shared" ca="1" si="45"/>
        <v>0</v>
      </c>
      <c r="Z133" s="5">
        <f ca="1">SUM(OFFSET(Demand!$H142,0,(COLUMN(A130)-1)*5,1,1))*N$2</f>
        <v>0</v>
      </c>
      <c r="AA133" s="5">
        <f ca="1">SUM(OFFSET(Demand!$H142,0,(COLUMN(B130)-1)*5,1,1))*O$2</f>
        <v>0</v>
      </c>
      <c r="AB133" s="5">
        <f ca="1">SUM(OFFSET(Demand!$H142,0,(COLUMN(C130)-1)*5,1,1))*P$2</f>
        <v>0</v>
      </c>
      <c r="AC133" s="5">
        <f ca="1">SUM(OFFSET(Demand!$H142,0,(COLUMN(D130)-1)*5,1,1))*Q$2</f>
        <v>0</v>
      </c>
      <c r="AD133" s="5">
        <f ca="1">SUM(OFFSET(Demand!$H142,0,(COLUMN(E130)-1)*5,1,1))*R$2</f>
        <v>0</v>
      </c>
      <c r="AE133" s="5">
        <f ca="1">SUM(OFFSET(Demand!$H142,0,(COLUMN(F130)-1)*5,1,1))*S$2</f>
        <v>0</v>
      </c>
      <c r="AF133" s="5">
        <f ca="1">SUM(OFFSET(Demand!$H142,0,(COLUMN(G130)-1)*5,1,1))*T$2</f>
        <v>0</v>
      </c>
      <c r="AG133" s="5">
        <f ca="1">SUM(OFFSET(Demand!$H142,0,(COLUMN(H130)-1)*5,1,1))*U$2</f>
        <v>0</v>
      </c>
      <c r="AH133" s="5">
        <f ca="1">SUM(OFFSET(Demand!$H142,0,(COLUMN(I130)-1)*5,1,1))*V$2</f>
        <v>0</v>
      </c>
      <c r="AI133" s="5">
        <f ca="1">SUM(OFFSET(Demand!$H142,0,(COLUMN(J130)-1)*5,1,1))*W$2</f>
        <v>0</v>
      </c>
      <c r="AJ133" s="5">
        <f t="shared" ca="1" si="46"/>
        <v>0</v>
      </c>
      <c r="AL133" s="5">
        <f t="shared" ref="AL133:AL196" ca="1" si="47">X133</f>
        <v>0</v>
      </c>
      <c r="AM133" s="5">
        <f t="shared" ref="AM133:AM196" ca="1" si="48">IF(AN133&lt;&gt;"","",AJ133)</f>
        <v>0</v>
      </c>
      <c r="AN133" s="5" t="str">
        <f>IF(Demand!BE142="Yes","Yes","")</f>
        <v/>
      </c>
      <c r="AP133" s="36" t="str">
        <f ca="1">Demand!B142</f>
        <v xml:space="preserve"> </v>
      </c>
      <c r="AQ133" t="str">
        <f ca="1">IF(TEXT(Demand!D142,"MMM")&lt;&gt;TEXT(Demand!D141,"MMM"),TEXT(Demand!D142,"MMM"),"")</f>
        <v/>
      </c>
      <c r="AT133" s="5">
        <f t="shared" ca="1" si="42"/>
        <v>0</v>
      </c>
      <c r="BQ133">
        <f ca="1">IF($AN133="",OFFSET(Demand!$A$13,ROW(A130)-1,4+((QUOTIENT(COLUMN(BQ$2)-69,3))*5)+MOD(COLUMN(BQ$2),3),1,1),"")</f>
        <v>0</v>
      </c>
      <c r="BR133">
        <f ca="1">IF($AN133="",OFFSET(Demand!$A$13,ROW(B130)-1,4+((QUOTIENT(COLUMN(BR$2)-69,3))*5)+MOD(COLUMN(BR$2),3),1,1),"")</f>
        <v>0</v>
      </c>
      <c r="BS133">
        <f ca="1">IF($AN133="",OFFSET(Demand!$A$13,ROW(C130)-1,4+((QUOTIENT(COLUMN(BS$2)-69,3))*5)+MOD(COLUMN(BS$2),3),1,1),"")</f>
        <v>0</v>
      </c>
      <c r="BT133">
        <f ca="1">IF($AN133="",OFFSET(Demand!$A$13,ROW(D130)-1,4+((QUOTIENT(COLUMN(BT$2)-69,3))*5)+MOD(COLUMN(BT$2),3),1,1),"")</f>
        <v>0</v>
      </c>
      <c r="BU133">
        <f ca="1">IF($AN133="",OFFSET(Demand!$A$13,ROW(E130)-1,4+((QUOTIENT(COLUMN(BU$2)-69,3))*5)+MOD(COLUMN(BU$2),3),1,1),"")</f>
        <v>0</v>
      </c>
      <c r="BV133">
        <f ca="1">IF($AN133="",OFFSET(Demand!$A$13,ROW(F130)-1,4+((QUOTIENT(COLUMN(BV$2)-69,3))*5)+MOD(COLUMN(BV$2),3),1,1),"")</f>
        <v>0</v>
      </c>
      <c r="BW133">
        <f ca="1">IF($AN133="",OFFSET(Demand!$A$13,ROW(G130)-1,4+((QUOTIENT(COLUMN(BW$2)-69,3))*5)+MOD(COLUMN(BW$2),3),1,1),"")</f>
        <v>0</v>
      </c>
      <c r="BX133">
        <f ca="1">IF($AN133="",OFFSET(Demand!$A$13,ROW(H130)-1,4+((QUOTIENT(COLUMN(BX$2)-69,3))*5)+MOD(COLUMN(BX$2),3),1,1),"")</f>
        <v>0</v>
      </c>
      <c r="BY133">
        <f ca="1">IF($AN133="",OFFSET(Demand!$A$13,ROW(I130)-1,4+((QUOTIENT(COLUMN(BY$2)-69,3))*5)+MOD(COLUMN(BY$2),3),1,1),"")</f>
        <v>0</v>
      </c>
      <c r="BZ133">
        <f ca="1">IF($AN133="",OFFSET(Demand!$A$13,ROW(J130)-1,4+((QUOTIENT(COLUMN(BZ$2)-69,3))*5)+MOD(COLUMN(BZ$2),3),1,1),"")</f>
        <v>0</v>
      </c>
      <c r="CA133">
        <f ca="1">IF($AN133="",OFFSET(Demand!$A$13,ROW(K130)-1,4+((QUOTIENT(COLUMN(CA$2)-69,3))*5)+MOD(COLUMN(CA$2),3),1,1),"")</f>
        <v>0</v>
      </c>
      <c r="CB133">
        <f ca="1">IF($AN133="",OFFSET(Demand!$A$13,ROW(L130)-1,4+((QUOTIENT(COLUMN(CB$2)-69,3))*5)+MOD(COLUMN(CB$2),3),1,1),"")</f>
        <v>0</v>
      </c>
      <c r="CC133">
        <f ca="1">IF($AN133="",OFFSET(Demand!$A$13,ROW(M130)-1,4+((QUOTIENT(COLUMN(CC$2)-69,3))*5)+MOD(COLUMN(CC$2),3),1,1),"")</f>
        <v>0</v>
      </c>
      <c r="CD133">
        <f ca="1">IF($AN133="",OFFSET(Demand!$A$13,ROW(N130)-1,4+((QUOTIENT(COLUMN(CD$2)-69,3))*5)+MOD(COLUMN(CD$2),3),1,1),"")</f>
        <v>0</v>
      </c>
      <c r="CE133">
        <f ca="1">IF($AN133="",OFFSET(Demand!$A$13,ROW(O130)-1,4+((QUOTIENT(COLUMN(CE$2)-69,3))*5)+MOD(COLUMN(CE$2),3),1,1),"")</f>
        <v>0</v>
      </c>
      <c r="CF133">
        <f ca="1">IF($AN133="",OFFSET(Demand!$A$13,ROW(P130)-1,4+((QUOTIENT(COLUMN(CF$2)-69,3))*5)+MOD(COLUMN(CF$2),3),1,1),"")</f>
        <v>0</v>
      </c>
      <c r="CG133">
        <f ca="1">IF($AN133="",OFFSET(Demand!$A$13,ROW(Q130)-1,4+((QUOTIENT(COLUMN(CG$2)-69,3))*5)+MOD(COLUMN(CG$2),3),1,1),"")</f>
        <v>0</v>
      </c>
      <c r="CH133">
        <f ca="1">IF($AN133="",OFFSET(Demand!$A$13,ROW(R130)-1,4+((QUOTIENT(COLUMN(CH$2)-69,3))*5)+MOD(COLUMN(CH$2),3),1,1),"")</f>
        <v>0</v>
      </c>
      <c r="CI133">
        <f ca="1">IF($AN133="",OFFSET(Demand!$A$13,ROW(S130)-1,4+((QUOTIENT(COLUMN(CI$2)-69,3))*5)+MOD(COLUMN(CI$2),3),1,1),"")</f>
        <v>0</v>
      </c>
      <c r="CJ133">
        <f ca="1">IF($AN133="",OFFSET(Demand!$A$13,ROW(T130)-1,4+((QUOTIENT(COLUMN(CJ$2)-69,3))*5)+MOD(COLUMN(CJ$2),3),1,1),"")</f>
        <v>0</v>
      </c>
      <c r="CK133">
        <f ca="1">IF($AN133="",OFFSET(Demand!$A$13,ROW(U130)-1,4+((QUOTIENT(COLUMN(CK$2)-69,3))*5)+MOD(COLUMN(CK$2),3),1,1),"")</f>
        <v>0</v>
      </c>
      <c r="CL133">
        <f ca="1">IF($AN133="",OFFSET(Demand!$A$13,ROW(V130)-1,4+((QUOTIENT(COLUMN(CL$2)-69,3))*5)+MOD(COLUMN(CL$2),3),1,1),"")</f>
        <v>0</v>
      </c>
      <c r="CM133">
        <f ca="1">IF($AN133="",OFFSET(Demand!$A$13,ROW(W130)-1,4+((QUOTIENT(COLUMN(CM$2)-69,3))*5)+MOD(COLUMN(CM$2),3),1,1),"")</f>
        <v>0</v>
      </c>
      <c r="CN133">
        <f ca="1">IF($AN133="",OFFSET(Demand!$A$13,ROW(X130)-1,4+((QUOTIENT(COLUMN(CN$2)-69,3))*5)+MOD(COLUMN(CN$2),3),1,1),"")</f>
        <v>0</v>
      </c>
      <c r="CO133">
        <f ca="1">IF($AN133="",OFFSET(Demand!$A$13,ROW(Y130)-1,4+((QUOTIENT(COLUMN(CO$2)-69,3))*5)+MOD(COLUMN(CO$2),3),1,1),"")</f>
        <v>0</v>
      </c>
      <c r="CP133">
        <f ca="1">IF($AN133="",OFFSET(Demand!$A$13,ROW(Z130)-1,4+((QUOTIENT(COLUMN(CP$2)-69,3))*5)+MOD(COLUMN(CP$2),3),1,1),"")</f>
        <v>0</v>
      </c>
      <c r="CQ133">
        <f ca="1">IF($AN133="",OFFSET(Demand!$A$13,ROW(AA130)-1,4+((QUOTIENT(COLUMN(CQ$2)-69,3))*5)+MOD(COLUMN(CQ$2),3),1,1),"")</f>
        <v>0</v>
      </c>
      <c r="CR133">
        <f ca="1">IF($AN133="",OFFSET(Demand!$A$13,ROW(AB130)-1,4+((QUOTIENT(COLUMN(CR$2)-69,3))*5)+MOD(COLUMN(CR$2),3),1,1),"")</f>
        <v>0</v>
      </c>
      <c r="CS133">
        <f ca="1">IF($AN133="",OFFSET(Demand!$A$13,ROW(AC130)-1,4+((QUOTIENT(COLUMN(CS$2)-69,3))*5)+MOD(COLUMN(CS$2),3),1,1),"")</f>
        <v>0</v>
      </c>
      <c r="CT133">
        <f ca="1">IF($AN133="",OFFSET(Demand!$A$13,ROW(AD130)-1,4+((QUOTIENT(COLUMN(CT$2)-69,3))*5)+MOD(COLUMN(CT$2),3),1,1),"")</f>
        <v>0</v>
      </c>
      <c r="CW133" s="5">
        <f ca="1">SUM(OFFSET(Demand!$H$43,ROW(A130)-1,(COLUMN(A130)-1)*5,1,1))*N$2</f>
        <v>0</v>
      </c>
      <c r="CX133" s="5">
        <f ca="1">SUM(OFFSET(Demand!$H$43,ROW(B130)-1,(COLUMN(B130)-1)*5,1,1))*O$2</f>
        <v>0</v>
      </c>
      <c r="CY133" s="5">
        <f ca="1">SUM(OFFSET(Demand!$H$43,ROW(C130)-1,(COLUMN(C130)-1)*5,1,1))*P$2</f>
        <v>0</v>
      </c>
      <c r="CZ133" s="5">
        <f ca="1">SUM(OFFSET(Demand!$H$43,ROW(D130)-1,(COLUMN(D130)-1)*5,1,1))*Q$2</f>
        <v>0</v>
      </c>
      <c r="DA133" s="5">
        <f ca="1">SUM(OFFSET(Demand!$H$43,ROW(E130)-1,(COLUMN(E130)-1)*5,1,1))*R$2</f>
        <v>0</v>
      </c>
      <c r="DB133" s="5">
        <f ca="1">SUM(OFFSET(Demand!$H$43,ROW(F130)-1,(COLUMN(F130)-1)*5,1,1))*S$2</f>
        <v>0</v>
      </c>
      <c r="DC133" s="5">
        <f ca="1">SUM(OFFSET(Demand!$H$43,ROW(G130)-1,(COLUMN(G130)-1)*5,1,1))*T$2</f>
        <v>0</v>
      </c>
      <c r="DD133" s="5">
        <f ca="1">SUM(OFFSET(Demand!$H$43,ROW(H130)-1,(COLUMN(H130)-1)*5,1,1))*U$2</f>
        <v>0</v>
      </c>
      <c r="DE133" s="5">
        <f ca="1">SUM(OFFSET(Demand!$H$43,ROW(I130)-1,(COLUMN(I130)-1)*5,1,1))*V$2</f>
        <v>0</v>
      </c>
      <c r="DF133" s="5">
        <f ca="1">SUM(OFFSET(Demand!$H$43,ROW(J130)-1,(COLUMN(J130)-1)*5,1,1))*W$2</f>
        <v>0</v>
      </c>
      <c r="DG133" s="5">
        <f ca="1">IF(OR(AN133&lt;&gt;"",AND('Demand adjustments for Covid'!$F$9="Yes",'Demand adjustments for Covid'!$F$20="Yes")),"",SUM(CW133:DF133))</f>
        <v>0</v>
      </c>
    </row>
    <row r="134" spans="1:111" x14ac:dyDescent="0.25">
      <c r="A134" s="5">
        <f t="shared" ca="1" si="43"/>
        <v>1</v>
      </c>
      <c r="B134" s="5">
        <f ca="1">COUNTBLANK(OFFSET(Demand!$I143,0,(COLUMN(A131)-1)*5,1,1))</f>
        <v>1</v>
      </c>
      <c r="C134" s="5">
        <f ca="1">COUNTBLANK(OFFSET(Demand!$I143,0,(COLUMN(B131)-1)*5,1,1))</f>
        <v>1</v>
      </c>
      <c r="D134" s="5">
        <f ca="1">COUNTBLANK(OFFSET(Demand!$I143,0,(COLUMN(C131)-1)*5,1,1))</f>
        <v>1</v>
      </c>
      <c r="E134" s="5">
        <f ca="1">COUNTBLANK(OFFSET(Demand!$I143,0,(COLUMN(D131)-1)*5,1,1))</f>
        <v>1</v>
      </c>
      <c r="F134" s="5">
        <f ca="1">COUNTBLANK(OFFSET(Demand!$I143,0,(COLUMN(E131)-1)*5,1,1))</f>
        <v>1</v>
      </c>
      <c r="G134" s="5">
        <f ca="1">COUNTBLANK(OFFSET(Demand!$I143,0,(COLUMN(F131)-1)*5,1,1))</f>
        <v>1</v>
      </c>
      <c r="H134" s="5">
        <f ca="1">COUNTBLANK(OFFSET(Demand!$I143,0,(COLUMN(G131)-1)*5,1,1))</f>
        <v>1</v>
      </c>
      <c r="I134" s="5">
        <f ca="1">COUNTBLANK(OFFSET(Demand!$I143,0,(COLUMN(H131)-1)*5,1,1))</f>
        <v>1</v>
      </c>
      <c r="J134" s="5">
        <f ca="1">COUNTBLANK(OFFSET(Demand!$I143,0,(COLUMN(I131)-1)*5,1,1))</f>
        <v>1</v>
      </c>
      <c r="K134" s="5">
        <f ca="1">COUNTBLANK(OFFSET(Demand!$I143,0,(COLUMN(J131)-1)*5,1,1))</f>
        <v>1</v>
      </c>
      <c r="N134" s="5">
        <f ca="1">SUM(OFFSET(Demand!$E143,0,(COLUMN(A131)-1)*5,1,3))*N$2</f>
        <v>0</v>
      </c>
      <c r="O134" s="5">
        <f ca="1">SUM(OFFSET(Demand!$E143,0,(COLUMN(B131)-1)*5,1,3))*O$2</f>
        <v>0</v>
      </c>
      <c r="P134" s="5">
        <f ca="1">SUM(OFFSET(Demand!$E143,0,(COLUMN(C131)-1)*5,1,3))*P$2</f>
        <v>0</v>
      </c>
      <c r="Q134" s="5">
        <f ca="1">SUM(OFFSET(Demand!$E143,0,(COLUMN(D131)-1)*5,1,3))*Q$2</f>
        <v>0</v>
      </c>
      <c r="R134" s="5">
        <f ca="1">SUM(OFFSET(Demand!$E143,0,(COLUMN(E131)-1)*5,1,3))*R$2</f>
        <v>0</v>
      </c>
      <c r="S134" s="5">
        <f ca="1">SUM(OFFSET(Demand!$E143,0,(COLUMN(F131)-1)*5,1,3))*S$2</f>
        <v>0</v>
      </c>
      <c r="T134" s="5">
        <f ca="1">SUM(OFFSET(Demand!$E143,0,(COLUMN(G131)-1)*5,1,3))*T$2</f>
        <v>0</v>
      </c>
      <c r="U134" s="5">
        <f ca="1">SUM(OFFSET(Demand!$E143,0,(COLUMN(H131)-1)*5,1,3))*U$2</f>
        <v>0</v>
      </c>
      <c r="V134" s="5">
        <f ca="1">SUM(OFFSET(Demand!$E143,0,(COLUMN(I131)-1)*5,1,3))*V$2</f>
        <v>0</v>
      </c>
      <c r="W134" s="5">
        <f ca="1">SUM(OFFSET(Demand!$E143,0,(COLUMN(J131)-1)*5,1,3))*W$2</f>
        <v>0</v>
      </c>
      <c r="X134" s="5">
        <f t="shared" ca="1" si="44"/>
        <v>0</v>
      </c>
      <c r="Y134">
        <f t="shared" ca="1" si="45"/>
        <v>0</v>
      </c>
      <c r="Z134" s="5">
        <f ca="1">SUM(OFFSET(Demand!$H143,0,(COLUMN(A131)-1)*5,1,1))*N$2</f>
        <v>0</v>
      </c>
      <c r="AA134" s="5">
        <f ca="1">SUM(OFFSET(Demand!$H143,0,(COLUMN(B131)-1)*5,1,1))*O$2</f>
        <v>0</v>
      </c>
      <c r="AB134" s="5">
        <f ca="1">SUM(OFFSET(Demand!$H143,0,(COLUMN(C131)-1)*5,1,1))*P$2</f>
        <v>0</v>
      </c>
      <c r="AC134" s="5">
        <f ca="1">SUM(OFFSET(Demand!$H143,0,(COLUMN(D131)-1)*5,1,1))*Q$2</f>
        <v>0</v>
      </c>
      <c r="AD134" s="5">
        <f ca="1">SUM(OFFSET(Demand!$H143,0,(COLUMN(E131)-1)*5,1,1))*R$2</f>
        <v>0</v>
      </c>
      <c r="AE134" s="5">
        <f ca="1">SUM(OFFSET(Demand!$H143,0,(COLUMN(F131)-1)*5,1,1))*S$2</f>
        <v>0</v>
      </c>
      <c r="AF134" s="5">
        <f ca="1">SUM(OFFSET(Demand!$H143,0,(COLUMN(G131)-1)*5,1,1))*T$2</f>
        <v>0</v>
      </c>
      <c r="AG134" s="5">
        <f ca="1">SUM(OFFSET(Demand!$H143,0,(COLUMN(H131)-1)*5,1,1))*U$2</f>
        <v>0</v>
      </c>
      <c r="AH134" s="5">
        <f ca="1">SUM(OFFSET(Demand!$H143,0,(COLUMN(I131)-1)*5,1,1))*V$2</f>
        <v>0</v>
      </c>
      <c r="AI134" s="5">
        <f ca="1">SUM(OFFSET(Demand!$H143,0,(COLUMN(J131)-1)*5,1,1))*W$2</f>
        <v>0</v>
      </c>
      <c r="AJ134" s="5">
        <f t="shared" ca="1" si="46"/>
        <v>0</v>
      </c>
      <c r="AL134" s="5">
        <f t="shared" ca="1" si="47"/>
        <v>0</v>
      </c>
      <c r="AM134" s="5">
        <f t="shared" ca="1" si="48"/>
        <v>0</v>
      </c>
      <c r="AN134" s="5" t="str">
        <f>IF(Demand!BE143="Yes","Yes","")</f>
        <v/>
      </c>
      <c r="AP134" s="36" t="str">
        <f ca="1">Demand!B143</f>
        <v xml:space="preserve"> </v>
      </c>
      <c r="AQ134" t="str">
        <f ca="1">IF(TEXT(Demand!D143,"MMM")&lt;&gt;TEXT(Demand!D142,"MMM"),TEXT(Demand!D143,"MMM"),"")</f>
        <v/>
      </c>
      <c r="AT134" s="5">
        <f t="shared" ref="AT134:AT197" ca="1" si="49">IF(OR(AL134="",AL133=""),"",ABS(AL134-AL133))</f>
        <v>0</v>
      </c>
      <c r="BQ134">
        <f ca="1">IF($AN134="",OFFSET(Demand!$A$13,ROW(A131)-1,4+((QUOTIENT(COLUMN(BQ$2)-69,3))*5)+MOD(COLUMN(BQ$2),3),1,1),"")</f>
        <v>0</v>
      </c>
      <c r="BR134">
        <f ca="1">IF($AN134="",OFFSET(Demand!$A$13,ROW(B131)-1,4+((QUOTIENT(COLUMN(BR$2)-69,3))*5)+MOD(COLUMN(BR$2),3),1,1),"")</f>
        <v>0</v>
      </c>
      <c r="BS134">
        <f ca="1">IF($AN134="",OFFSET(Demand!$A$13,ROW(C131)-1,4+((QUOTIENT(COLUMN(BS$2)-69,3))*5)+MOD(COLUMN(BS$2),3),1,1),"")</f>
        <v>0</v>
      </c>
      <c r="BT134">
        <f ca="1">IF($AN134="",OFFSET(Demand!$A$13,ROW(D131)-1,4+((QUOTIENT(COLUMN(BT$2)-69,3))*5)+MOD(COLUMN(BT$2),3),1,1),"")</f>
        <v>0</v>
      </c>
      <c r="BU134">
        <f ca="1">IF($AN134="",OFFSET(Demand!$A$13,ROW(E131)-1,4+((QUOTIENT(COLUMN(BU$2)-69,3))*5)+MOD(COLUMN(BU$2),3),1,1),"")</f>
        <v>0</v>
      </c>
      <c r="BV134">
        <f ca="1">IF($AN134="",OFFSET(Demand!$A$13,ROW(F131)-1,4+((QUOTIENT(COLUMN(BV$2)-69,3))*5)+MOD(COLUMN(BV$2),3),1,1),"")</f>
        <v>0</v>
      </c>
      <c r="BW134">
        <f ca="1">IF($AN134="",OFFSET(Demand!$A$13,ROW(G131)-1,4+((QUOTIENT(COLUMN(BW$2)-69,3))*5)+MOD(COLUMN(BW$2),3),1,1),"")</f>
        <v>0</v>
      </c>
      <c r="BX134">
        <f ca="1">IF($AN134="",OFFSET(Demand!$A$13,ROW(H131)-1,4+((QUOTIENT(COLUMN(BX$2)-69,3))*5)+MOD(COLUMN(BX$2),3),1,1),"")</f>
        <v>0</v>
      </c>
      <c r="BY134">
        <f ca="1">IF($AN134="",OFFSET(Demand!$A$13,ROW(I131)-1,4+((QUOTIENT(COLUMN(BY$2)-69,3))*5)+MOD(COLUMN(BY$2),3),1,1),"")</f>
        <v>0</v>
      </c>
      <c r="BZ134">
        <f ca="1">IF($AN134="",OFFSET(Demand!$A$13,ROW(J131)-1,4+((QUOTIENT(COLUMN(BZ$2)-69,3))*5)+MOD(COLUMN(BZ$2),3),1,1),"")</f>
        <v>0</v>
      </c>
      <c r="CA134">
        <f ca="1">IF($AN134="",OFFSET(Demand!$A$13,ROW(K131)-1,4+((QUOTIENT(COLUMN(CA$2)-69,3))*5)+MOD(COLUMN(CA$2),3),1,1),"")</f>
        <v>0</v>
      </c>
      <c r="CB134">
        <f ca="1">IF($AN134="",OFFSET(Demand!$A$13,ROW(L131)-1,4+((QUOTIENT(COLUMN(CB$2)-69,3))*5)+MOD(COLUMN(CB$2),3),1,1),"")</f>
        <v>0</v>
      </c>
      <c r="CC134">
        <f ca="1">IF($AN134="",OFFSET(Demand!$A$13,ROW(M131)-1,4+((QUOTIENT(COLUMN(CC$2)-69,3))*5)+MOD(COLUMN(CC$2),3),1,1),"")</f>
        <v>0</v>
      </c>
      <c r="CD134">
        <f ca="1">IF($AN134="",OFFSET(Demand!$A$13,ROW(N131)-1,4+((QUOTIENT(COLUMN(CD$2)-69,3))*5)+MOD(COLUMN(CD$2),3),1,1),"")</f>
        <v>0</v>
      </c>
      <c r="CE134">
        <f ca="1">IF($AN134="",OFFSET(Demand!$A$13,ROW(O131)-1,4+((QUOTIENT(COLUMN(CE$2)-69,3))*5)+MOD(COLUMN(CE$2),3),1,1),"")</f>
        <v>0</v>
      </c>
      <c r="CF134">
        <f ca="1">IF($AN134="",OFFSET(Demand!$A$13,ROW(P131)-1,4+((QUOTIENT(COLUMN(CF$2)-69,3))*5)+MOD(COLUMN(CF$2),3),1,1),"")</f>
        <v>0</v>
      </c>
      <c r="CG134">
        <f ca="1">IF($AN134="",OFFSET(Demand!$A$13,ROW(Q131)-1,4+((QUOTIENT(COLUMN(CG$2)-69,3))*5)+MOD(COLUMN(CG$2),3),1,1),"")</f>
        <v>0</v>
      </c>
      <c r="CH134">
        <f ca="1">IF($AN134="",OFFSET(Demand!$A$13,ROW(R131)-1,4+((QUOTIENT(COLUMN(CH$2)-69,3))*5)+MOD(COLUMN(CH$2),3),1,1),"")</f>
        <v>0</v>
      </c>
      <c r="CI134">
        <f ca="1">IF($AN134="",OFFSET(Demand!$A$13,ROW(S131)-1,4+((QUOTIENT(COLUMN(CI$2)-69,3))*5)+MOD(COLUMN(CI$2),3),1,1),"")</f>
        <v>0</v>
      </c>
      <c r="CJ134">
        <f ca="1">IF($AN134="",OFFSET(Demand!$A$13,ROW(T131)-1,4+((QUOTIENT(COLUMN(CJ$2)-69,3))*5)+MOD(COLUMN(CJ$2),3),1,1),"")</f>
        <v>0</v>
      </c>
      <c r="CK134">
        <f ca="1">IF($AN134="",OFFSET(Demand!$A$13,ROW(U131)-1,4+((QUOTIENT(COLUMN(CK$2)-69,3))*5)+MOD(COLUMN(CK$2),3),1,1),"")</f>
        <v>0</v>
      </c>
      <c r="CL134">
        <f ca="1">IF($AN134="",OFFSET(Demand!$A$13,ROW(V131)-1,4+((QUOTIENT(COLUMN(CL$2)-69,3))*5)+MOD(COLUMN(CL$2),3),1,1),"")</f>
        <v>0</v>
      </c>
      <c r="CM134">
        <f ca="1">IF($AN134="",OFFSET(Demand!$A$13,ROW(W131)-1,4+((QUOTIENT(COLUMN(CM$2)-69,3))*5)+MOD(COLUMN(CM$2),3),1,1),"")</f>
        <v>0</v>
      </c>
      <c r="CN134">
        <f ca="1">IF($AN134="",OFFSET(Demand!$A$13,ROW(X131)-1,4+((QUOTIENT(COLUMN(CN$2)-69,3))*5)+MOD(COLUMN(CN$2),3),1,1),"")</f>
        <v>0</v>
      </c>
      <c r="CO134">
        <f ca="1">IF($AN134="",OFFSET(Demand!$A$13,ROW(Y131)-1,4+((QUOTIENT(COLUMN(CO$2)-69,3))*5)+MOD(COLUMN(CO$2),3),1,1),"")</f>
        <v>0</v>
      </c>
      <c r="CP134">
        <f ca="1">IF($AN134="",OFFSET(Demand!$A$13,ROW(Z131)-1,4+((QUOTIENT(COLUMN(CP$2)-69,3))*5)+MOD(COLUMN(CP$2),3),1,1),"")</f>
        <v>0</v>
      </c>
      <c r="CQ134">
        <f ca="1">IF($AN134="",OFFSET(Demand!$A$13,ROW(AA131)-1,4+((QUOTIENT(COLUMN(CQ$2)-69,3))*5)+MOD(COLUMN(CQ$2),3),1,1),"")</f>
        <v>0</v>
      </c>
      <c r="CR134">
        <f ca="1">IF($AN134="",OFFSET(Demand!$A$13,ROW(AB131)-1,4+((QUOTIENT(COLUMN(CR$2)-69,3))*5)+MOD(COLUMN(CR$2),3),1,1),"")</f>
        <v>0</v>
      </c>
      <c r="CS134">
        <f ca="1">IF($AN134="",OFFSET(Demand!$A$13,ROW(AC131)-1,4+((QUOTIENT(COLUMN(CS$2)-69,3))*5)+MOD(COLUMN(CS$2),3),1,1),"")</f>
        <v>0</v>
      </c>
      <c r="CT134">
        <f ca="1">IF($AN134="",OFFSET(Demand!$A$13,ROW(AD131)-1,4+((QUOTIENT(COLUMN(CT$2)-69,3))*5)+MOD(COLUMN(CT$2),3),1,1),"")</f>
        <v>0</v>
      </c>
      <c r="CW134" s="5">
        <f ca="1">SUM(OFFSET(Demand!$H$43,ROW(A131)-1,(COLUMN(A131)-1)*5,1,1))*N$2</f>
        <v>0</v>
      </c>
      <c r="CX134" s="5">
        <f ca="1">SUM(OFFSET(Demand!$H$43,ROW(B131)-1,(COLUMN(B131)-1)*5,1,1))*O$2</f>
        <v>0</v>
      </c>
      <c r="CY134" s="5">
        <f ca="1">SUM(OFFSET(Demand!$H$43,ROW(C131)-1,(COLUMN(C131)-1)*5,1,1))*P$2</f>
        <v>0</v>
      </c>
      <c r="CZ134" s="5">
        <f ca="1">SUM(OFFSET(Demand!$H$43,ROW(D131)-1,(COLUMN(D131)-1)*5,1,1))*Q$2</f>
        <v>0</v>
      </c>
      <c r="DA134" s="5">
        <f ca="1">SUM(OFFSET(Demand!$H$43,ROW(E131)-1,(COLUMN(E131)-1)*5,1,1))*R$2</f>
        <v>0</v>
      </c>
      <c r="DB134" s="5">
        <f ca="1">SUM(OFFSET(Demand!$H$43,ROW(F131)-1,(COLUMN(F131)-1)*5,1,1))*S$2</f>
        <v>0</v>
      </c>
      <c r="DC134" s="5">
        <f ca="1">SUM(OFFSET(Demand!$H$43,ROW(G131)-1,(COLUMN(G131)-1)*5,1,1))*T$2</f>
        <v>0</v>
      </c>
      <c r="DD134" s="5">
        <f ca="1">SUM(OFFSET(Demand!$H$43,ROW(H131)-1,(COLUMN(H131)-1)*5,1,1))*U$2</f>
        <v>0</v>
      </c>
      <c r="DE134" s="5">
        <f ca="1">SUM(OFFSET(Demand!$H$43,ROW(I131)-1,(COLUMN(I131)-1)*5,1,1))*V$2</f>
        <v>0</v>
      </c>
      <c r="DF134" s="5">
        <f ca="1">SUM(OFFSET(Demand!$H$43,ROW(J131)-1,(COLUMN(J131)-1)*5,1,1))*W$2</f>
        <v>0</v>
      </c>
      <c r="DG134" s="5">
        <f ca="1">IF(OR(AN134&lt;&gt;"",AND('Demand adjustments for Covid'!$F$9="Yes",'Demand adjustments for Covid'!$F$20="Yes")),"",SUM(CW134:DF134))</f>
        <v>0</v>
      </c>
    </row>
    <row r="135" spans="1:111" x14ac:dyDescent="0.25">
      <c r="A135" s="5">
        <f t="shared" ca="1" si="43"/>
        <v>1</v>
      </c>
      <c r="B135" s="5">
        <f ca="1">COUNTBLANK(OFFSET(Demand!$I144,0,(COLUMN(A132)-1)*5,1,1))</f>
        <v>1</v>
      </c>
      <c r="C135" s="5">
        <f ca="1">COUNTBLANK(OFFSET(Demand!$I144,0,(COLUMN(B132)-1)*5,1,1))</f>
        <v>1</v>
      </c>
      <c r="D135" s="5">
        <f ca="1">COUNTBLANK(OFFSET(Demand!$I144,0,(COLUMN(C132)-1)*5,1,1))</f>
        <v>1</v>
      </c>
      <c r="E135" s="5">
        <f ca="1">COUNTBLANK(OFFSET(Demand!$I144,0,(COLUMN(D132)-1)*5,1,1))</f>
        <v>1</v>
      </c>
      <c r="F135" s="5">
        <f ca="1">COUNTBLANK(OFFSET(Demand!$I144,0,(COLUMN(E132)-1)*5,1,1))</f>
        <v>1</v>
      </c>
      <c r="G135" s="5">
        <f ca="1">COUNTBLANK(OFFSET(Demand!$I144,0,(COLUMN(F132)-1)*5,1,1))</f>
        <v>1</v>
      </c>
      <c r="H135" s="5">
        <f ca="1">COUNTBLANK(OFFSET(Demand!$I144,0,(COLUMN(G132)-1)*5,1,1))</f>
        <v>1</v>
      </c>
      <c r="I135" s="5">
        <f ca="1">COUNTBLANK(OFFSET(Demand!$I144,0,(COLUMN(H132)-1)*5,1,1))</f>
        <v>1</v>
      </c>
      <c r="J135" s="5">
        <f ca="1">COUNTBLANK(OFFSET(Demand!$I144,0,(COLUMN(I132)-1)*5,1,1))</f>
        <v>1</v>
      </c>
      <c r="K135" s="5">
        <f ca="1">COUNTBLANK(OFFSET(Demand!$I144,0,(COLUMN(J132)-1)*5,1,1))</f>
        <v>1</v>
      </c>
      <c r="N135" s="5">
        <f ca="1">SUM(OFFSET(Demand!$E144,0,(COLUMN(A132)-1)*5,1,3))*N$2</f>
        <v>0</v>
      </c>
      <c r="O135" s="5">
        <f ca="1">SUM(OFFSET(Demand!$E144,0,(COLUMN(B132)-1)*5,1,3))*O$2</f>
        <v>0</v>
      </c>
      <c r="P135" s="5">
        <f ca="1">SUM(OFFSET(Demand!$E144,0,(COLUMN(C132)-1)*5,1,3))*P$2</f>
        <v>0</v>
      </c>
      <c r="Q135" s="5">
        <f ca="1">SUM(OFFSET(Demand!$E144,0,(COLUMN(D132)-1)*5,1,3))*Q$2</f>
        <v>0</v>
      </c>
      <c r="R135" s="5">
        <f ca="1">SUM(OFFSET(Demand!$E144,0,(COLUMN(E132)-1)*5,1,3))*R$2</f>
        <v>0</v>
      </c>
      <c r="S135" s="5">
        <f ca="1">SUM(OFFSET(Demand!$E144,0,(COLUMN(F132)-1)*5,1,3))*S$2</f>
        <v>0</v>
      </c>
      <c r="T135" s="5">
        <f ca="1">SUM(OFFSET(Demand!$E144,0,(COLUMN(G132)-1)*5,1,3))*T$2</f>
        <v>0</v>
      </c>
      <c r="U135" s="5">
        <f ca="1">SUM(OFFSET(Demand!$E144,0,(COLUMN(H132)-1)*5,1,3))*U$2</f>
        <v>0</v>
      </c>
      <c r="V135" s="5">
        <f ca="1">SUM(OFFSET(Demand!$E144,0,(COLUMN(I132)-1)*5,1,3))*V$2</f>
        <v>0</v>
      </c>
      <c r="W135" s="5">
        <f ca="1">SUM(OFFSET(Demand!$E144,0,(COLUMN(J132)-1)*5,1,3))*W$2</f>
        <v>0</v>
      </c>
      <c r="X135" s="5">
        <f t="shared" ca="1" si="44"/>
        <v>0</v>
      </c>
      <c r="Y135">
        <f t="shared" ca="1" si="45"/>
        <v>0</v>
      </c>
      <c r="Z135" s="5">
        <f ca="1">SUM(OFFSET(Demand!$H144,0,(COLUMN(A132)-1)*5,1,1))*N$2</f>
        <v>0</v>
      </c>
      <c r="AA135" s="5">
        <f ca="1">SUM(OFFSET(Demand!$H144,0,(COLUMN(B132)-1)*5,1,1))*O$2</f>
        <v>0</v>
      </c>
      <c r="AB135" s="5">
        <f ca="1">SUM(OFFSET(Demand!$H144,0,(COLUMN(C132)-1)*5,1,1))*P$2</f>
        <v>0</v>
      </c>
      <c r="AC135" s="5">
        <f ca="1">SUM(OFFSET(Demand!$H144,0,(COLUMN(D132)-1)*5,1,1))*Q$2</f>
        <v>0</v>
      </c>
      <c r="AD135" s="5">
        <f ca="1">SUM(OFFSET(Demand!$H144,0,(COLUMN(E132)-1)*5,1,1))*R$2</f>
        <v>0</v>
      </c>
      <c r="AE135" s="5">
        <f ca="1">SUM(OFFSET(Demand!$H144,0,(COLUMN(F132)-1)*5,1,1))*S$2</f>
        <v>0</v>
      </c>
      <c r="AF135" s="5">
        <f ca="1">SUM(OFFSET(Demand!$H144,0,(COLUMN(G132)-1)*5,1,1))*T$2</f>
        <v>0</v>
      </c>
      <c r="AG135" s="5">
        <f ca="1">SUM(OFFSET(Demand!$H144,0,(COLUMN(H132)-1)*5,1,1))*U$2</f>
        <v>0</v>
      </c>
      <c r="AH135" s="5">
        <f ca="1">SUM(OFFSET(Demand!$H144,0,(COLUMN(I132)-1)*5,1,1))*V$2</f>
        <v>0</v>
      </c>
      <c r="AI135" s="5">
        <f ca="1">SUM(OFFSET(Demand!$H144,0,(COLUMN(J132)-1)*5,1,1))*W$2</f>
        <v>0</v>
      </c>
      <c r="AJ135" s="5">
        <f t="shared" ca="1" si="46"/>
        <v>0</v>
      </c>
      <c r="AL135" s="5">
        <f t="shared" ca="1" si="47"/>
        <v>0</v>
      </c>
      <c r="AM135" s="5">
        <f t="shared" ca="1" si="48"/>
        <v>0</v>
      </c>
      <c r="AN135" s="5" t="str">
        <f>IF(Demand!BE144="Yes","Yes","")</f>
        <v/>
      </c>
      <c r="AP135" s="36" t="str">
        <f ca="1">Demand!B144</f>
        <v xml:space="preserve"> </v>
      </c>
      <c r="AQ135" t="str">
        <f ca="1">IF(TEXT(Demand!D144,"MMM")&lt;&gt;TEXT(Demand!D143,"MMM"),TEXT(Demand!D144,"MMM"),"")</f>
        <v/>
      </c>
      <c r="AT135" s="5">
        <f t="shared" ca="1" si="49"/>
        <v>0</v>
      </c>
      <c r="BQ135">
        <f ca="1">IF($AN135="",OFFSET(Demand!$A$13,ROW(A132)-1,4+((QUOTIENT(COLUMN(BQ$2)-69,3))*5)+MOD(COLUMN(BQ$2),3),1,1),"")</f>
        <v>0</v>
      </c>
      <c r="BR135">
        <f ca="1">IF($AN135="",OFFSET(Demand!$A$13,ROW(B132)-1,4+((QUOTIENT(COLUMN(BR$2)-69,3))*5)+MOD(COLUMN(BR$2),3),1,1),"")</f>
        <v>0</v>
      </c>
      <c r="BS135">
        <f ca="1">IF($AN135="",OFFSET(Demand!$A$13,ROW(C132)-1,4+((QUOTIENT(COLUMN(BS$2)-69,3))*5)+MOD(COLUMN(BS$2),3),1,1),"")</f>
        <v>0</v>
      </c>
      <c r="BT135">
        <f ca="1">IF($AN135="",OFFSET(Demand!$A$13,ROW(D132)-1,4+((QUOTIENT(COLUMN(BT$2)-69,3))*5)+MOD(COLUMN(BT$2),3),1,1),"")</f>
        <v>0</v>
      </c>
      <c r="BU135">
        <f ca="1">IF($AN135="",OFFSET(Demand!$A$13,ROW(E132)-1,4+((QUOTIENT(COLUMN(BU$2)-69,3))*5)+MOD(COLUMN(BU$2),3),1,1),"")</f>
        <v>0</v>
      </c>
      <c r="BV135">
        <f ca="1">IF($AN135="",OFFSET(Demand!$A$13,ROW(F132)-1,4+((QUOTIENT(COLUMN(BV$2)-69,3))*5)+MOD(COLUMN(BV$2),3),1,1),"")</f>
        <v>0</v>
      </c>
      <c r="BW135">
        <f ca="1">IF($AN135="",OFFSET(Demand!$A$13,ROW(G132)-1,4+((QUOTIENT(COLUMN(BW$2)-69,3))*5)+MOD(COLUMN(BW$2),3),1,1),"")</f>
        <v>0</v>
      </c>
      <c r="BX135">
        <f ca="1">IF($AN135="",OFFSET(Demand!$A$13,ROW(H132)-1,4+((QUOTIENT(COLUMN(BX$2)-69,3))*5)+MOD(COLUMN(BX$2),3),1,1),"")</f>
        <v>0</v>
      </c>
      <c r="BY135">
        <f ca="1">IF($AN135="",OFFSET(Demand!$A$13,ROW(I132)-1,4+((QUOTIENT(COLUMN(BY$2)-69,3))*5)+MOD(COLUMN(BY$2),3),1,1),"")</f>
        <v>0</v>
      </c>
      <c r="BZ135">
        <f ca="1">IF($AN135="",OFFSET(Demand!$A$13,ROW(J132)-1,4+((QUOTIENT(COLUMN(BZ$2)-69,3))*5)+MOD(COLUMN(BZ$2),3),1,1),"")</f>
        <v>0</v>
      </c>
      <c r="CA135">
        <f ca="1">IF($AN135="",OFFSET(Demand!$A$13,ROW(K132)-1,4+((QUOTIENT(COLUMN(CA$2)-69,3))*5)+MOD(COLUMN(CA$2),3),1,1),"")</f>
        <v>0</v>
      </c>
      <c r="CB135">
        <f ca="1">IF($AN135="",OFFSET(Demand!$A$13,ROW(L132)-1,4+((QUOTIENT(COLUMN(CB$2)-69,3))*5)+MOD(COLUMN(CB$2),3),1,1),"")</f>
        <v>0</v>
      </c>
      <c r="CC135">
        <f ca="1">IF($AN135="",OFFSET(Demand!$A$13,ROW(M132)-1,4+((QUOTIENT(COLUMN(CC$2)-69,3))*5)+MOD(COLUMN(CC$2),3),1,1),"")</f>
        <v>0</v>
      </c>
      <c r="CD135">
        <f ca="1">IF($AN135="",OFFSET(Demand!$A$13,ROW(N132)-1,4+((QUOTIENT(COLUMN(CD$2)-69,3))*5)+MOD(COLUMN(CD$2),3),1,1),"")</f>
        <v>0</v>
      </c>
      <c r="CE135">
        <f ca="1">IF($AN135="",OFFSET(Demand!$A$13,ROW(O132)-1,4+((QUOTIENT(COLUMN(CE$2)-69,3))*5)+MOD(COLUMN(CE$2),3),1,1),"")</f>
        <v>0</v>
      </c>
      <c r="CF135">
        <f ca="1">IF($AN135="",OFFSET(Demand!$A$13,ROW(P132)-1,4+((QUOTIENT(COLUMN(CF$2)-69,3))*5)+MOD(COLUMN(CF$2),3),1,1),"")</f>
        <v>0</v>
      </c>
      <c r="CG135">
        <f ca="1">IF($AN135="",OFFSET(Demand!$A$13,ROW(Q132)-1,4+((QUOTIENT(COLUMN(CG$2)-69,3))*5)+MOD(COLUMN(CG$2),3),1,1),"")</f>
        <v>0</v>
      </c>
      <c r="CH135">
        <f ca="1">IF($AN135="",OFFSET(Demand!$A$13,ROW(R132)-1,4+((QUOTIENT(COLUMN(CH$2)-69,3))*5)+MOD(COLUMN(CH$2),3),1,1),"")</f>
        <v>0</v>
      </c>
      <c r="CI135">
        <f ca="1">IF($AN135="",OFFSET(Demand!$A$13,ROW(S132)-1,4+((QUOTIENT(COLUMN(CI$2)-69,3))*5)+MOD(COLUMN(CI$2),3),1,1),"")</f>
        <v>0</v>
      </c>
      <c r="CJ135">
        <f ca="1">IF($AN135="",OFFSET(Demand!$A$13,ROW(T132)-1,4+((QUOTIENT(COLUMN(CJ$2)-69,3))*5)+MOD(COLUMN(CJ$2),3),1,1),"")</f>
        <v>0</v>
      </c>
      <c r="CK135">
        <f ca="1">IF($AN135="",OFFSET(Demand!$A$13,ROW(U132)-1,4+((QUOTIENT(COLUMN(CK$2)-69,3))*5)+MOD(COLUMN(CK$2),3),1,1),"")</f>
        <v>0</v>
      </c>
      <c r="CL135">
        <f ca="1">IF($AN135="",OFFSET(Demand!$A$13,ROW(V132)-1,4+((QUOTIENT(COLUMN(CL$2)-69,3))*5)+MOD(COLUMN(CL$2),3),1,1),"")</f>
        <v>0</v>
      </c>
      <c r="CM135">
        <f ca="1">IF($AN135="",OFFSET(Demand!$A$13,ROW(W132)-1,4+((QUOTIENT(COLUMN(CM$2)-69,3))*5)+MOD(COLUMN(CM$2),3),1,1),"")</f>
        <v>0</v>
      </c>
      <c r="CN135">
        <f ca="1">IF($AN135="",OFFSET(Demand!$A$13,ROW(X132)-1,4+((QUOTIENT(COLUMN(CN$2)-69,3))*5)+MOD(COLUMN(CN$2),3),1,1),"")</f>
        <v>0</v>
      </c>
      <c r="CO135">
        <f ca="1">IF($AN135="",OFFSET(Demand!$A$13,ROW(Y132)-1,4+((QUOTIENT(COLUMN(CO$2)-69,3))*5)+MOD(COLUMN(CO$2),3),1,1),"")</f>
        <v>0</v>
      </c>
      <c r="CP135">
        <f ca="1">IF($AN135="",OFFSET(Demand!$A$13,ROW(Z132)-1,4+((QUOTIENT(COLUMN(CP$2)-69,3))*5)+MOD(COLUMN(CP$2),3),1,1),"")</f>
        <v>0</v>
      </c>
      <c r="CQ135">
        <f ca="1">IF($AN135="",OFFSET(Demand!$A$13,ROW(AA132)-1,4+((QUOTIENT(COLUMN(CQ$2)-69,3))*5)+MOD(COLUMN(CQ$2),3),1,1),"")</f>
        <v>0</v>
      </c>
      <c r="CR135">
        <f ca="1">IF($AN135="",OFFSET(Demand!$A$13,ROW(AB132)-1,4+((QUOTIENT(COLUMN(CR$2)-69,3))*5)+MOD(COLUMN(CR$2),3),1,1),"")</f>
        <v>0</v>
      </c>
      <c r="CS135">
        <f ca="1">IF($AN135="",OFFSET(Demand!$A$13,ROW(AC132)-1,4+((QUOTIENT(COLUMN(CS$2)-69,3))*5)+MOD(COLUMN(CS$2),3),1,1),"")</f>
        <v>0</v>
      </c>
      <c r="CT135">
        <f ca="1">IF($AN135="",OFFSET(Demand!$A$13,ROW(AD132)-1,4+((QUOTIENT(COLUMN(CT$2)-69,3))*5)+MOD(COLUMN(CT$2),3),1,1),"")</f>
        <v>0</v>
      </c>
      <c r="CW135" s="5">
        <f ca="1">SUM(OFFSET(Demand!$H$43,ROW(A132)-1,(COLUMN(A132)-1)*5,1,1))*N$2</f>
        <v>0</v>
      </c>
      <c r="CX135" s="5">
        <f ca="1">SUM(OFFSET(Demand!$H$43,ROW(B132)-1,(COLUMN(B132)-1)*5,1,1))*O$2</f>
        <v>0</v>
      </c>
      <c r="CY135" s="5">
        <f ca="1">SUM(OFFSET(Demand!$H$43,ROW(C132)-1,(COLUMN(C132)-1)*5,1,1))*P$2</f>
        <v>0</v>
      </c>
      <c r="CZ135" s="5">
        <f ca="1">SUM(OFFSET(Demand!$H$43,ROW(D132)-1,(COLUMN(D132)-1)*5,1,1))*Q$2</f>
        <v>0</v>
      </c>
      <c r="DA135" s="5">
        <f ca="1">SUM(OFFSET(Demand!$H$43,ROW(E132)-1,(COLUMN(E132)-1)*5,1,1))*R$2</f>
        <v>0</v>
      </c>
      <c r="DB135" s="5">
        <f ca="1">SUM(OFFSET(Demand!$H$43,ROW(F132)-1,(COLUMN(F132)-1)*5,1,1))*S$2</f>
        <v>0</v>
      </c>
      <c r="DC135" s="5">
        <f ca="1">SUM(OFFSET(Demand!$H$43,ROW(G132)-1,(COLUMN(G132)-1)*5,1,1))*T$2</f>
        <v>0</v>
      </c>
      <c r="DD135" s="5">
        <f ca="1">SUM(OFFSET(Demand!$H$43,ROW(H132)-1,(COLUMN(H132)-1)*5,1,1))*U$2</f>
        <v>0</v>
      </c>
      <c r="DE135" s="5">
        <f ca="1">SUM(OFFSET(Demand!$H$43,ROW(I132)-1,(COLUMN(I132)-1)*5,1,1))*V$2</f>
        <v>0</v>
      </c>
      <c r="DF135" s="5">
        <f ca="1">SUM(OFFSET(Demand!$H$43,ROW(J132)-1,(COLUMN(J132)-1)*5,1,1))*W$2</f>
        <v>0</v>
      </c>
      <c r="DG135" s="5">
        <f ca="1">IF(OR(AN135&lt;&gt;"",AND('Demand adjustments for Covid'!$F$9="Yes",'Demand adjustments for Covid'!$F$20="Yes")),"",SUM(CW135:DF135))</f>
        <v>0</v>
      </c>
    </row>
    <row r="136" spans="1:111" x14ac:dyDescent="0.25">
      <c r="A136" s="5">
        <f t="shared" ca="1" si="43"/>
        <v>1</v>
      </c>
      <c r="B136" s="5">
        <f ca="1">COUNTBLANK(OFFSET(Demand!$I145,0,(COLUMN(A133)-1)*5,1,1))</f>
        <v>1</v>
      </c>
      <c r="C136" s="5">
        <f ca="1">COUNTBLANK(OFFSET(Demand!$I145,0,(COLUMN(B133)-1)*5,1,1))</f>
        <v>1</v>
      </c>
      <c r="D136" s="5">
        <f ca="1">COUNTBLANK(OFFSET(Demand!$I145,0,(COLUMN(C133)-1)*5,1,1))</f>
        <v>1</v>
      </c>
      <c r="E136" s="5">
        <f ca="1">COUNTBLANK(OFFSET(Demand!$I145,0,(COLUMN(D133)-1)*5,1,1))</f>
        <v>1</v>
      </c>
      <c r="F136" s="5">
        <f ca="1">COUNTBLANK(OFFSET(Demand!$I145,0,(COLUMN(E133)-1)*5,1,1))</f>
        <v>1</v>
      </c>
      <c r="G136" s="5">
        <f ca="1">COUNTBLANK(OFFSET(Demand!$I145,0,(COLUMN(F133)-1)*5,1,1))</f>
        <v>1</v>
      </c>
      <c r="H136" s="5">
        <f ca="1">COUNTBLANK(OFFSET(Demand!$I145,0,(COLUMN(G133)-1)*5,1,1))</f>
        <v>1</v>
      </c>
      <c r="I136" s="5">
        <f ca="1">COUNTBLANK(OFFSET(Demand!$I145,0,(COLUMN(H133)-1)*5,1,1))</f>
        <v>1</v>
      </c>
      <c r="J136" s="5">
        <f ca="1">COUNTBLANK(OFFSET(Demand!$I145,0,(COLUMN(I133)-1)*5,1,1))</f>
        <v>1</v>
      </c>
      <c r="K136" s="5">
        <f ca="1">COUNTBLANK(OFFSET(Demand!$I145,0,(COLUMN(J133)-1)*5,1,1))</f>
        <v>1</v>
      </c>
      <c r="N136" s="5">
        <f ca="1">SUM(OFFSET(Demand!$E145,0,(COLUMN(A133)-1)*5,1,3))*N$2</f>
        <v>0</v>
      </c>
      <c r="O136" s="5">
        <f ca="1">SUM(OFFSET(Demand!$E145,0,(COLUMN(B133)-1)*5,1,3))*O$2</f>
        <v>0</v>
      </c>
      <c r="P136" s="5">
        <f ca="1">SUM(OFFSET(Demand!$E145,0,(COLUMN(C133)-1)*5,1,3))*P$2</f>
        <v>0</v>
      </c>
      <c r="Q136" s="5">
        <f ca="1">SUM(OFFSET(Demand!$E145,0,(COLUMN(D133)-1)*5,1,3))*Q$2</f>
        <v>0</v>
      </c>
      <c r="R136" s="5">
        <f ca="1">SUM(OFFSET(Demand!$E145,0,(COLUMN(E133)-1)*5,1,3))*R$2</f>
        <v>0</v>
      </c>
      <c r="S136" s="5">
        <f ca="1">SUM(OFFSET(Demand!$E145,0,(COLUMN(F133)-1)*5,1,3))*S$2</f>
        <v>0</v>
      </c>
      <c r="T136" s="5">
        <f ca="1">SUM(OFFSET(Demand!$E145,0,(COLUMN(G133)-1)*5,1,3))*T$2</f>
        <v>0</v>
      </c>
      <c r="U136" s="5">
        <f ca="1">SUM(OFFSET(Demand!$E145,0,(COLUMN(H133)-1)*5,1,3))*U$2</f>
        <v>0</v>
      </c>
      <c r="V136" s="5">
        <f ca="1">SUM(OFFSET(Demand!$E145,0,(COLUMN(I133)-1)*5,1,3))*V$2</f>
        <v>0</v>
      </c>
      <c r="W136" s="5">
        <f ca="1">SUM(OFFSET(Demand!$E145,0,(COLUMN(J133)-1)*5,1,3))*W$2</f>
        <v>0</v>
      </c>
      <c r="X136" s="5">
        <f t="shared" ca="1" si="44"/>
        <v>0</v>
      </c>
      <c r="Y136">
        <f t="shared" ca="1" si="45"/>
        <v>0</v>
      </c>
      <c r="Z136" s="5">
        <f ca="1">SUM(OFFSET(Demand!$H145,0,(COLUMN(A133)-1)*5,1,1))*N$2</f>
        <v>0</v>
      </c>
      <c r="AA136" s="5">
        <f ca="1">SUM(OFFSET(Demand!$H145,0,(COLUMN(B133)-1)*5,1,1))*O$2</f>
        <v>0</v>
      </c>
      <c r="AB136" s="5">
        <f ca="1">SUM(OFFSET(Demand!$H145,0,(COLUMN(C133)-1)*5,1,1))*P$2</f>
        <v>0</v>
      </c>
      <c r="AC136" s="5">
        <f ca="1">SUM(OFFSET(Demand!$H145,0,(COLUMN(D133)-1)*5,1,1))*Q$2</f>
        <v>0</v>
      </c>
      <c r="AD136" s="5">
        <f ca="1">SUM(OFFSET(Demand!$H145,0,(COLUMN(E133)-1)*5,1,1))*R$2</f>
        <v>0</v>
      </c>
      <c r="AE136" s="5">
        <f ca="1">SUM(OFFSET(Demand!$H145,0,(COLUMN(F133)-1)*5,1,1))*S$2</f>
        <v>0</v>
      </c>
      <c r="AF136" s="5">
        <f ca="1">SUM(OFFSET(Demand!$H145,0,(COLUMN(G133)-1)*5,1,1))*T$2</f>
        <v>0</v>
      </c>
      <c r="AG136" s="5">
        <f ca="1">SUM(OFFSET(Demand!$H145,0,(COLUMN(H133)-1)*5,1,1))*U$2</f>
        <v>0</v>
      </c>
      <c r="AH136" s="5">
        <f ca="1">SUM(OFFSET(Demand!$H145,0,(COLUMN(I133)-1)*5,1,1))*V$2</f>
        <v>0</v>
      </c>
      <c r="AI136" s="5">
        <f ca="1">SUM(OFFSET(Demand!$H145,0,(COLUMN(J133)-1)*5,1,1))*W$2</f>
        <v>0</v>
      </c>
      <c r="AJ136" s="5">
        <f t="shared" ca="1" si="46"/>
        <v>0</v>
      </c>
      <c r="AL136" s="5">
        <f t="shared" ca="1" si="47"/>
        <v>0</v>
      </c>
      <c r="AM136" s="5">
        <f t="shared" ca="1" si="48"/>
        <v>0</v>
      </c>
      <c r="AN136" s="5" t="str">
        <f>IF(Demand!BE145="Yes","Yes","")</f>
        <v/>
      </c>
      <c r="AP136" s="36" t="str">
        <f ca="1">Demand!B145</f>
        <v xml:space="preserve"> </v>
      </c>
      <c r="AQ136" t="str">
        <f ca="1">IF(TEXT(Demand!D145,"MMM")&lt;&gt;TEXT(Demand!D144,"MMM"),TEXT(Demand!D145,"MMM"),"")</f>
        <v/>
      </c>
      <c r="AT136" s="5">
        <f t="shared" ca="1" si="49"/>
        <v>0</v>
      </c>
      <c r="BQ136">
        <f ca="1">IF($AN136="",OFFSET(Demand!$A$13,ROW(A133)-1,4+((QUOTIENT(COLUMN(BQ$2)-69,3))*5)+MOD(COLUMN(BQ$2),3),1,1),"")</f>
        <v>0</v>
      </c>
      <c r="BR136">
        <f ca="1">IF($AN136="",OFFSET(Demand!$A$13,ROW(B133)-1,4+((QUOTIENT(COLUMN(BR$2)-69,3))*5)+MOD(COLUMN(BR$2),3),1,1),"")</f>
        <v>0</v>
      </c>
      <c r="BS136">
        <f ca="1">IF($AN136="",OFFSET(Demand!$A$13,ROW(C133)-1,4+((QUOTIENT(COLUMN(BS$2)-69,3))*5)+MOD(COLUMN(BS$2),3),1,1),"")</f>
        <v>0</v>
      </c>
      <c r="BT136">
        <f ca="1">IF($AN136="",OFFSET(Demand!$A$13,ROW(D133)-1,4+((QUOTIENT(COLUMN(BT$2)-69,3))*5)+MOD(COLUMN(BT$2),3),1,1),"")</f>
        <v>0</v>
      </c>
      <c r="BU136">
        <f ca="1">IF($AN136="",OFFSET(Demand!$A$13,ROW(E133)-1,4+((QUOTIENT(COLUMN(BU$2)-69,3))*5)+MOD(COLUMN(BU$2),3),1,1),"")</f>
        <v>0</v>
      </c>
      <c r="BV136">
        <f ca="1">IF($AN136="",OFFSET(Demand!$A$13,ROW(F133)-1,4+((QUOTIENT(COLUMN(BV$2)-69,3))*5)+MOD(COLUMN(BV$2),3),1,1),"")</f>
        <v>0</v>
      </c>
      <c r="BW136">
        <f ca="1">IF($AN136="",OFFSET(Demand!$A$13,ROW(G133)-1,4+((QUOTIENT(COLUMN(BW$2)-69,3))*5)+MOD(COLUMN(BW$2),3),1,1),"")</f>
        <v>0</v>
      </c>
      <c r="BX136">
        <f ca="1">IF($AN136="",OFFSET(Demand!$A$13,ROW(H133)-1,4+((QUOTIENT(COLUMN(BX$2)-69,3))*5)+MOD(COLUMN(BX$2),3),1,1),"")</f>
        <v>0</v>
      </c>
      <c r="BY136">
        <f ca="1">IF($AN136="",OFFSET(Demand!$A$13,ROW(I133)-1,4+((QUOTIENT(COLUMN(BY$2)-69,3))*5)+MOD(COLUMN(BY$2),3),1,1),"")</f>
        <v>0</v>
      </c>
      <c r="BZ136">
        <f ca="1">IF($AN136="",OFFSET(Demand!$A$13,ROW(J133)-1,4+((QUOTIENT(COLUMN(BZ$2)-69,3))*5)+MOD(COLUMN(BZ$2),3),1,1),"")</f>
        <v>0</v>
      </c>
      <c r="CA136">
        <f ca="1">IF($AN136="",OFFSET(Demand!$A$13,ROW(K133)-1,4+((QUOTIENT(COLUMN(CA$2)-69,3))*5)+MOD(COLUMN(CA$2),3),1,1),"")</f>
        <v>0</v>
      </c>
      <c r="CB136">
        <f ca="1">IF($AN136="",OFFSET(Demand!$A$13,ROW(L133)-1,4+((QUOTIENT(COLUMN(CB$2)-69,3))*5)+MOD(COLUMN(CB$2),3),1,1),"")</f>
        <v>0</v>
      </c>
      <c r="CC136">
        <f ca="1">IF($AN136="",OFFSET(Demand!$A$13,ROW(M133)-1,4+((QUOTIENT(COLUMN(CC$2)-69,3))*5)+MOD(COLUMN(CC$2),3),1,1),"")</f>
        <v>0</v>
      </c>
      <c r="CD136">
        <f ca="1">IF($AN136="",OFFSET(Demand!$A$13,ROW(N133)-1,4+((QUOTIENT(COLUMN(CD$2)-69,3))*5)+MOD(COLUMN(CD$2),3),1,1),"")</f>
        <v>0</v>
      </c>
      <c r="CE136">
        <f ca="1">IF($AN136="",OFFSET(Demand!$A$13,ROW(O133)-1,4+((QUOTIENT(COLUMN(CE$2)-69,3))*5)+MOD(COLUMN(CE$2),3),1,1),"")</f>
        <v>0</v>
      </c>
      <c r="CF136">
        <f ca="1">IF($AN136="",OFFSET(Demand!$A$13,ROW(P133)-1,4+((QUOTIENT(COLUMN(CF$2)-69,3))*5)+MOD(COLUMN(CF$2),3),1,1),"")</f>
        <v>0</v>
      </c>
      <c r="CG136">
        <f ca="1">IF($AN136="",OFFSET(Demand!$A$13,ROW(Q133)-1,4+((QUOTIENT(COLUMN(CG$2)-69,3))*5)+MOD(COLUMN(CG$2),3),1,1),"")</f>
        <v>0</v>
      </c>
      <c r="CH136">
        <f ca="1">IF($AN136="",OFFSET(Demand!$A$13,ROW(R133)-1,4+((QUOTIENT(COLUMN(CH$2)-69,3))*5)+MOD(COLUMN(CH$2),3),1,1),"")</f>
        <v>0</v>
      </c>
      <c r="CI136">
        <f ca="1">IF($AN136="",OFFSET(Demand!$A$13,ROW(S133)-1,4+((QUOTIENT(COLUMN(CI$2)-69,3))*5)+MOD(COLUMN(CI$2),3),1,1),"")</f>
        <v>0</v>
      </c>
      <c r="CJ136">
        <f ca="1">IF($AN136="",OFFSET(Demand!$A$13,ROW(T133)-1,4+((QUOTIENT(COLUMN(CJ$2)-69,3))*5)+MOD(COLUMN(CJ$2),3),1,1),"")</f>
        <v>0</v>
      </c>
      <c r="CK136">
        <f ca="1">IF($AN136="",OFFSET(Demand!$A$13,ROW(U133)-1,4+((QUOTIENT(COLUMN(CK$2)-69,3))*5)+MOD(COLUMN(CK$2),3),1,1),"")</f>
        <v>0</v>
      </c>
      <c r="CL136">
        <f ca="1">IF($AN136="",OFFSET(Demand!$A$13,ROW(V133)-1,4+((QUOTIENT(COLUMN(CL$2)-69,3))*5)+MOD(COLUMN(CL$2),3),1,1),"")</f>
        <v>0</v>
      </c>
      <c r="CM136">
        <f ca="1">IF($AN136="",OFFSET(Demand!$A$13,ROW(W133)-1,4+((QUOTIENT(COLUMN(CM$2)-69,3))*5)+MOD(COLUMN(CM$2),3),1,1),"")</f>
        <v>0</v>
      </c>
      <c r="CN136">
        <f ca="1">IF($AN136="",OFFSET(Demand!$A$13,ROW(X133)-1,4+((QUOTIENT(COLUMN(CN$2)-69,3))*5)+MOD(COLUMN(CN$2),3),1,1),"")</f>
        <v>0</v>
      </c>
      <c r="CO136">
        <f ca="1">IF($AN136="",OFFSET(Demand!$A$13,ROW(Y133)-1,4+((QUOTIENT(COLUMN(CO$2)-69,3))*5)+MOD(COLUMN(CO$2),3),1,1),"")</f>
        <v>0</v>
      </c>
      <c r="CP136">
        <f ca="1">IF($AN136="",OFFSET(Demand!$A$13,ROW(Z133)-1,4+((QUOTIENT(COLUMN(CP$2)-69,3))*5)+MOD(COLUMN(CP$2),3),1,1),"")</f>
        <v>0</v>
      </c>
      <c r="CQ136">
        <f ca="1">IF($AN136="",OFFSET(Demand!$A$13,ROW(AA133)-1,4+((QUOTIENT(COLUMN(CQ$2)-69,3))*5)+MOD(COLUMN(CQ$2),3),1,1),"")</f>
        <v>0</v>
      </c>
      <c r="CR136">
        <f ca="1">IF($AN136="",OFFSET(Demand!$A$13,ROW(AB133)-1,4+((QUOTIENT(COLUMN(CR$2)-69,3))*5)+MOD(COLUMN(CR$2),3),1,1),"")</f>
        <v>0</v>
      </c>
      <c r="CS136">
        <f ca="1">IF($AN136="",OFFSET(Demand!$A$13,ROW(AC133)-1,4+((QUOTIENT(COLUMN(CS$2)-69,3))*5)+MOD(COLUMN(CS$2),3),1,1),"")</f>
        <v>0</v>
      </c>
      <c r="CT136">
        <f ca="1">IF($AN136="",OFFSET(Demand!$A$13,ROW(AD133)-1,4+((QUOTIENT(COLUMN(CT$2)-69,3))*5)+MOD(COLUMN(CT$2),3),1,1),"")</f>
        <v>0</v>
      </c>
      <c r="CW136" s="5">
        <f ca="1">SUM(OFFSET(Demand!$H$43,ROW(A133)-1,(COLUMN(A133)-1)*5,1,1))*N$2</f>
        <v>0</v>
      </c>
      <c r="CX136" s="5">
        <f ca="1">SUM(OFFSET(Demand!$H$43,ROW(B133)-1,(COLUMN(B133)-1)*5,1,1))*O$2</f>
        <v>0</v>
      </c>
      <c r="CY136" s="5">
        <f ca="1">SUM(OFFSET(Demand!$H$43,ROW(C133)-1,(COLUMN(C133)-1)*5,1,1))*P$2</f>
        <v>0</v>
      </c>
      <c r="CZ136" s="5">
        <f ca="1">SUM(OFFSET(Demand!$H$43,ROW(D133)-1,(COLUMN(D133)-1)*5,1,1))*Q$2</f>
        <v>0</v>
      </c>
      <c r="DA136" s="5">
        <f ca="1">SUM(OFFSET(Demand!$H$43,ROW(E133)-1,(COLUMN(E133)-1)*5,1,1))*R$2</f>
        <v>0</v>
      </c>
      <c r="DB136" s="5">
        <f ca="1">SUM(OFFSET(Demand!$H$43,ROW(F133)-1,(COLUMN(F133)-1)*5,1,1))*S$2</f>
        <v>0</v>
      </c>
      <c r="DC136" s="5">
        <f ca="1">SUM(OFFSET(Demand!$H$43,ROW(G133)-1,(COLUMN(G133)-1)*5,1,1))*T$2</f>
        <v>0</v>
      </c>
      <c r="DD136" s="5">
        <f ca="1">SUM(OFFSET(Demand!$H$43,ROW(H133)-1,(COLUMN(H133)-1)*5,1,1))*U$2</f>
        <v>0</v>
      </c>
      <c r="DE136" s="5">
        <f ca="1">SUM(OFFSET(Demand!$H$43,ROW(I133)-1,(COLUMN(I133)-1)*5,1,1))*V$2</f>
        <v>0</v>
      </c>
      <c r="DF136" s="5">
        <f ca="1">SUM(OFFSET(Demand!$H$43,ROW(J133)-1,(COLUMN(J133)-1)*5,1,1))*W$2</f>
        <v>0</v>
      </c>
      <c r="DG136" s="5">
        <f ca="1">IF(OR(AN136&lt;&gt;"",AND('Demand adjustments for Covid'!$F$9="Yes",'Demand adjustments for Covid'!$F$20="Yes")),"",SUM(CW136:DF136))</f>
        <v>0</v>
      </c>
    </row>
    <row r="137" spans="1:111" x14ac:dyDescent="0.25">
      <c r="A137" s="5">
        <f t="shared" ca="1" si="43"/>
        <v>1</v>
      </c>
      <c r="B137" s="5">
        <f ca="1">COUNTBLANK(OFFSET(Demand!$I146,0,(COLUMN(A134)-1)*5,1,1))</f>
        <v>1</v>
      </c>
      <c r="C137" s="5">
        <f ca="1">COUNTBLANK(OFFSET(Demand!$I146,0,(COLUMN(B134)-1)*5,1,1))</f>
        <v>1</v>
      </c>
      <c r="D137" s="5">
        <f ca="1">COUNTBLANK(OFFSET(Demand!$I146,0,(COLUMN(C134)-1)*5,1,1))</f>
        <v>1</v>
      </c>
      <c r="E137" s="5">
        <f ca="1">COUNTBLANK(OFFSET(Demand!$I146,0,(COLUMN(D134)-1)*5,1,1))</f>
        <v>1</v>
      </c>
      <c r="F137" s="5">
        <f ca="1">COUNTBLANK(OFFSET(Demand!$I146,0,(COLUMN(E134)-1)*5,1,1))</f>
        <v>1</v>
      </c>
      <c r="G137" s="5">
        <f ca="1">COUNTBLANK(OFFSET(Demand!$I146,0,(COLUMN(F134)-1)*5,1,1))</f>
        <v>1</v>
      </c>
      <c r="H137" s="5">
        <f ca="1">COUNTBLANK(OFFSET(Demand!$I146,0,(COLUMN(G134)-1)*5,1,1))</f>
        <v>1</v>
      </c>
      <c r="I137" s="5">
        <f ca="1">COUNTBLANK(OFFSET(Demand!$I146,0,(COLUMN(H134)-1)*5,1,1))</f>
        <v>1</v>
      </c>
      <c r="J137" s="5">
        <f ca="1">COUNTBLANK(OFFSET(Demand!$I146,0,(COLUMN(I134)-1)*5,1,1))</f>
        <v>1</v>
      </c>
      <c r="K137" s="5">
        <f ca="1">COUNTBLANK(OFFSET(Demand!$I146,0,(COLUMN(J134)-1)*5,1,1))</f>
        <v>1</v>
      </c>
      <c r="N137" s="5">
        <f ca="1">SUM(OFFSET(Demand!$E146,0,(COLUMN(A134)-1)*5,1,3))*N$2</f>
        <v>0</v>
      </c>
      <c r="O137" s="5">
        <f ca="1">SUM(OFFSET(Demand!$E146,0,(COLUMN(B134)-1)*5,1,3))*O$2</f>
        <v>0</v>
      </c>
      <c r="P137" s="5">
        <f ca="1">SUM(OFFSET(Demand!$E146,0,(COLUMN(C134)-1)*5,1,3))*P$2</f>
        <v>0</v>
      </c>
      <c r="Q137" s="5">
        <f ca="1">SUM(OFFSET(Demand!$E146,0,(COLUMN(D134)-1)*5,1,3))*Q$2</f>
        <v>0</v>
      </c>
      <c r="R137" s="5">
        <f ca="1">SUM(OFFSET(Demand!$E146,0,(COLUMN(E134)-1)*5,1,3))*R$2</f>
        <v>0</v>
      </c>
      <c r="S137" s="5">
        <f ca="1">SUM(OFFSET(Demand!$E146,0,(COLUMN(F134)-1)*5,1,3))*S$2</f>
        <v>0</v>
      </c>
      <c r="T137" s="5">
        <f ca="1">SUM(OFFSET(Demand!$E146,0,(COLUMN(G134)-1)*5,1,3))*T$2</f>
        <v>0</v>
      </c>
      <c r="U137" s="5">
        <f ca="1">SUM(OFFSET(Demand!$E146,0,(COLUMN(H134)-1)*5,1,3))*U$2</f>
        <v>0</v>
      </c>
      <c r="V137" s="5">
        <f ca="1">SUM(OFFSET(Demand!$E146,0,(COLUMN(I134)-1)*5,1,3))*V$2</f>
        <v>0</v>
      </c>
      <c r="W137" s="5">
        <f ca="1">SUM(OFFSET(Demand!$E146,0,(COLUMN(J134)-1)*5,1,3))*W$2</f>
        <v>0</v>
      </c>
      <c r="X137" s="5">
        <f t="shared" ca="1" si="44"/>
        <v>0</v>
      </c>
      <c r="Y137">
        <f t="shared" ca="1" si="45"/>
        <v>0</v>
      </c>
      <c r="Z137" s="5">
        <f ca="1">SUM(OFFSET(Demand!$H146,0,(COLUMN(A134)-1)*5,1,1))*N$2</f>
        <v>0</v>
      </c>
      <c r="AA137" s="5">
        <f ca="1">SUM(OFFSET(Demand!$H146,0,(COLUMN(B134)-1)*5,1,1))*O$2</f>
        <v>0</v>
      </c>
      <c r="AB137" s="5">
        <f ca="1">SUM(OFFSET(Demand!$H146,0,(COLUMN(C134)-1)*5,1,1))*P$2</f>
        <v>0</v>
      </c>
      <c r="AC137" s="5">
        <f ca="1">SUM(OFFSET(Demand!$H146,0,(COLUMN(D134)-1)*5,1,1))*Q$2</f>
        <v>0</v>
      </c>
      <c r="AD137" s="5">
        <f ca="1">SUM(OFFSET(Demand!$H146,0,(COLUMN(E134)-1)*5,1,1))*R$2</f>
        <v>0</v>
      </c>
      <c r="AE137" s="5">
        <f ca="1">SUM(OFFSET(Demand!$H146,0,(COLUMN(F134)-1)*5,1,1))*S$2</f>
        <v>0</v>
      </c>
      <c r="AF137" s="5">
        <f ca="1">SUM(OFFSET(Demand!$H146,0,(COLUMN(G134)-1)*5,1,1))*T$2</f>
        <v>0</v>
      </c>
      <c r="AG137" s="5">
        <f ca="1">SUM(OFFSET(Demand!$H146,0,(COLUMN(H134)-1)*5,1,1))*U$2</f>
        <v>0</v>
      </c>
      <c r="AH137" s="5">
        <f ca="1">SUM(OFFSET(Demand!$H146,0,(COLUMN(I134)-1)*5,1,1))*V$2</f>
        <v>0</v>
      </c>
      <c r="AI137" s="5">
        <f ca="1">SUM(OFFSET(Demand!$H146,0,(COLUMN(J134)-1)*5,1,1))*W$2</f>
        <v>0</v>
      </c>
      <c r="AJ137" s="5">
        <f t="shared" ca="1" si="46"/>
        <v>0</v>
      </c>
      <c r="AL137" s="5">
        <f t="shared" ca="1" si="47"/>
        <v>0</v>
      </c>
      <c r="AM137" s="5">
        <f t="shared" ca="1" si="48"/>
        <v>0</v>
      </c>
      <c r="AN137" s="5" t="str">
        <f>IF(Demand!BE146="Yes","Yes","")</f>
        <v/>
      </c>
      <c r="AP137" s="36" t="str">
        <f ca="1">Demand!B146</f>
        <v xml:space="preserve"> </v>
      </c>
      <c r="AQ137" t="str">
        <f ca="1">IF(TEXT(Demand!D146,"MMM")&lt;&gt;TEXT(Demand!D145,"MMM"),TEXT(Demand!D146,"MMM"),"")</f>
        <v/>
      </c>
      <c r="AT137" s="5">
        <f t="shared" ca="1" si="49"/>
        <v>0</v>
      </c>
      <c r="BQ137">
        <f ca="1">IF($AN137="",OFFSET(Demand!$A$13,ROW(A134)-1,4+((QUOTIENT(COLUMN(BQ$2)-69,3))*5)+MOD(COLUMN(BQ$2),3),1,1),"")</f>
        <v>0</v>
      </c>
      <c r="BR137">
        <f ca="1">IF($AN137="",OFFSET(Demand!$A$13,ROW(B134)-1,4+((QUOTIENT(COLUMN(BR$2)-69,3))*5)+MOD(COLUMN(BR$2),3),1,1),"")</f>
        <v>0</v>
      </c>
      <c r="BS137">
        <f ca="1">IF($AN137="",OFFSET(Demand!$A$13,ROW(C134)-1,4+((QUOTIENT(COLUMN(BS$2)-69,3))*5)+MOD(COLUMN(BS$2),3),1,1),"")</f>
        <v>0</v>
      </c>
      <c r="BT137">
        <f ca="1">IF($AN137="",OFFSET(Demand!$A$13,ROW(D134)-1,4+((QUOTIENT(COLUMN(BT$2)-69,3))*5)+MOD(COLUMN(BT$2),3),1,1),"")</f>
        <v>0</v>
      </c>
      <c r="BU137">
        <f ca="1">IF($AN137="",OFFSET(Demand!$A$13,ROW(E134)-1,4+((QUOTIENT(COLUMN(BU$2)-69,3))*5)+MOD(COLUMN(BU$2),3),1,1),"")</f>
        <v>0</v>
      </c>
      <c r="BV137">
        <f ca="1">IF($AN137="",OFFSET(Demand!$A$13,ROW(F134)-1,4+((QUOTIENT(COLUMN(BV$2)-69,3))*5)+MOD(COLUMN(BV$2),3),1,1),"")</f>
        <v>0</v>
      </c>
      <c r="BW137">
        <f ca="1">IF($AN137="",OFFSET(Demand!$A$13,ROW(G134)-1,4+((QUOTIENT(COLUMN(BW$2)-69,3))*5)+MOD(COLUMN(BW$2),3),1,1),"")</f>
        <v>0</v>
      </c>
      <c r="BX137">
        <f ca="1">IF($AN137="",OFFSET(Demand!$A$13,ROW(H134)-1,4+((QUOTIENT(COLUMN(BX$2)-69,3))*5)+MOD(COLUMN(BX$2),3),1,1),"")</f>
        <v>0</v>
      </c>
      <c r="BY137">
        <f ca="1">IF($AN137="",OFFSET(Demand!$A$13,ROW(I134)-1,4+((QUOTIENT(COLUMN(BY$2)-69,3))*5)+MOD(COLUMN(BY$2),3),1,1),"")</f>
        <v>0</v>
      </c>
      <c r="BZ137">
        <f ca="1">IF($AN137="",OFFSET(Demand!$A$13,ROW(J134)-1,4+((QUOTIENT(COLUMN(BZ$2)-69,3))*5)+MOD(COLUMN(BZ$2),3),1,1),"")</f>
        <v>0</v>
      </c>
      <c r="CA137">
        <f ca="1">IF($AN137="",OFFSET(Demand!$A$13,ROW(K134)-1,4+((QUOTIENT(COLUMN(CA$2)-69,3))*5)+MOD(COLUMN(CA$2),3),1,1),"")</f>
        <v>0</v>
      </c>
      <c r="CB137">
        <f ca="1">IF($AN137="",OFFSET(Demand!$A$13,ROW(L134)-1,4+((QUOTIENT(COLUMN(CB$2)-69,3))*5)+MOD(COLUMN(CB$2),3),1,1),"")</f>
        <v>0</v>
      </c>
      <c r="CC137">
        <f ca="1">IF($AN137="",OFFSET(Demand!$A$13,ROW(M134)-1,4+((QUOTIENT(COLUMN(CC$2)-69,3))*5)+MOD(COLUMN(CC$2),3),1,1),"")</f>
        <v>0</v>
      </c>
      <c r="CD137">
        <f ca="1">IF($AN137="",OFFSET(Demand!$A$13,ROW(N134)-1,4+((QUOTIENT(COLUMN(CD$2)-69,3))*5)+MOD(COLUMN(CD$2),3),1,1),"")</f>
        <v>0</v>
      </c>
      <c r="CE137">
        <f ca="1">IF($AN137="",OFFSET(Demand!$A$13,ROW(O134)-1,4+((QUOTIENT(COLUMN(CE$2)-69,3))*5)+MOD(COLUMN(CE$2),3),1,1),"")</f>
        <v>0</v>
      </c>
      <c r="CF137">
        <f ca="1">IF($AN137="",OFFSET(Demand!$A$13,ROW(P134)-1,4+((QUOTIENT(COLUMN(CF$2)-69,3))*5)+MOD(COLUMN(CF$2),3),1,1),"")</f>
        <v>0</v>
      </c>
      <c r="CG137">
        <f ca="1">IF($AN137="",OFFSET(Demand!$A$13,ROW(Q134)-1,4+((QUOTIENT(COLUMN(CG$2)-69,3))*5)+MOD(COLUMN(CG$2),3),1,1),"")</f>
        <v>0</v>
      </c>
      <c r="CH137">
        <f ca="1">IF($AN137="",OFFSET(Demand!$A$13,ROW(R134)-1,4+((QUOTIENT(COLUMN(CH$2)-69,3))*5)+MOD(COLUMN(CH$2),3),1,1),"")</f>
        <v>0</v>
      </c>
      <c r="CI137">
        <f ca="1">IF($AN137="",OFFSET(Demand!$A$13,ROW(S134)-1,4+((QUOTIENT(COLUMN(CI$2)-69,3))*5)+MOD(COLUMN(CI$2),3),1,1),"")</f>
        <v>0</v>
      </c>
      <c r="CJ137">
        <f ca="1">IF($AN137="",OFFSET(Demand!$A$13,ROW(T134)-1,4+((QUOTIENT(COLUMN(CJ$2)-69,3))*5)+MOD(COLUMN(CJ$2),3),1,1),"")</f>
        <v>0</v>
      </c>
      <c r="CK137">
        <f ca="1">IF($AN137="",OFFSET(Demand!$A$13,ROW(U134)-1,4+((QUOTIENT(COLUMN(CK$2)-69,3))*5)+MOD(COLUMN(CK$2),3),1,1),"")</f>
        <v>0</v>
      </c>
      <c r="CL137">
        <f ca="1">IF($AN137="",OFFSET(Demand!$A$13,ROW(V134)-1,4+((QUOTIENT(COLUMN(CL$2)-69,3))*5)+MOD(COLUMN(CL$2),3),1,1),"")</f>
        <v>0</v>
      </c>
      <c r="CM137">
        <f ca="1">IF($AN137="",OFFSET(Demand!$A$13,ROW(W134)-1,4+((QUOTIENT(COLUMN(CM$2)-69,3))*5)+MOD(COLUMN(CM$2),3),1,1),"")</f>
        <v>0</v>
      </c>
      <c r="CN137">
        <f ca="1">IF($AN137="",OFFSET(Demand!$A$13,ROW(X134)-1,4+((QUOTIENT(COLUMN(CN$2)-69,3))*5)+MOD(COLUMN(CN$2),3),1,1),"")</f>
        <v>0</v>
      </c>
      <c r="CO137">
        <f ca="1">IF($AN137="",OFFSET(Demand!$A$13,ROW(Y134)-1,4+((QUOTIENT(COLUMN(CO$2)-69,3))*5)+MOD(COLUMN(CO$2),3),1,1),"")</f>
        <v>0</v>
      </c>
      <c r="CP137">
        <f ca="1">IF($AN137="",OFFSET(Demand!$A$13,ROW(Z134)-1,4+((QUOTIENT(COLUMN(CP$2)-69,3))*5)+MOD(COLUMN(CP$2),3),1,1),"")</f>
        <v>0</v>
      </c>
      <c r="CQ137">
        <f ca="1">IF($AN137="",OFFSET(Demand!$A$13,ROW(AA134)-1,4+((QUOTIENT(COLUMN(CQ$2)-69,3))*5)+MOD(COLUMN(CQ$2),3),1,1),"")</f>
        <v>0</v>
      </c>
      <c r="CR137">
        <f ca="1">IF($AN137="",OFFSET(Demand!$A$13,ROW(AB134)-1,4+((QUOTIENT(COLUMN(CR$2)-69,3))*5)+MOD(COLUMN(CR$2),3),1,1),"")</f>
        <v>0</v>
      </c>
      <c r="CS137">
        <f ca="1">IF($AN137="",OFFSET(Demand!$A$13,ROW(AC134)-1,4+((QUOTIENT(COLUMN(CS$2)-69,3))*5)+MOD(COLUMN(CS$2),3),1,1),"")</f>
        <v>0</v>
      </c>
      <c r="CT137">
        <f ca="1">IF($AN137="",OFFSET(Demand!$A$13,ROW(AD134)-1,4+((QUOTIENT(COLUMN(CT$2)-69,3))*5)+MOD(COLUMN(CT$2),3),1,1),"")</f>
        <v>0</v>
      </c>
      <c r="CW137" s="5">
        <f ca="1">SUM(OFFSET(Demand!$H$43,ROW(A134)-1,(COLUMN(A134)-1)*5,1,1))*N$2</f>
        <v>0</v>
      </c>
      <c r="CX137" s="5">
        <f ca="1">SUM(OFFSET(Demand!$H$43,ROW(B134)-1,(COLUMN(B134)-1)*5,1,1))*O$2</f>
        <v>0</v>
      </c>
      <c r="CY137" s="5">
        <f ca="1">SUM(OFFSET(Demand!$H$43,ROW(C134)-1,(COLUMN(C134)-1)*5,1,1))*P$2</f>
        <v>0</v>
      </c>
      <c r="CZ137" s="5">
        <f ca="1">SUM(OFFSET(Demand!$H$43,ROW(D134)-1,(COLUMN(D134)-1)*5,1,1))*Q$2</f>
        <v>0</v>
      </c>
      <c r="DA137" s="5">
        <f ca="1">SUM(OFFSET(Demand!$H$43,ROW(E134)-1,(COLUMN(E134)-1)*5,1,1))*R$2</f>
        <v>0</v>
      </c>
      <c r="DB137" s="5">
        <f ca="1">SUM(OFFSET(Demand!$H$43,ROW(F134)-1,(COLUMN(F134)-1)*5,1,1))*S$2</f>
        <v>0</v>
      </c>
      <c r="DC137" s="5">
        <f ca="1">SUM(OFFSET(Demand!$H$43,ROW(G134)-1,(COLUMN(G134)-1)*5,1,1))*T$2</f>
        <v>0</v>
      </c>
      <c r="DD137" s="5">
        <f ca="1">SUM(OFFSET(Demand!$H$43,ROW(H134)-1,(COLUMN(H134)-1)*5,1,1))*U$2</f>
        <v>0</v>
      </c>
      <c r="DE137" s="5">
        <f ca="1">SUM(OFFSET(Demand!$H$43,ROW(I134)-1,(COLUMN(I134)-1)*5,1,1))*V$2</f>
        <v>0</v>
      </c>
      <c r="DF137" s="5">
        <f ca="1">SUM(OFFSET(Demand!$H$43,ROW(J134)-1,(COLUMN(J134)-1)*5,1,1))*W$2</f>
        <v>0</v>
      </c>
      <c r="DG137" s="5">
        <f ca="1">IF(OR(AN137&lt;&gt;"",AND('Demand adjustments for Covid'!$F$9="Yes",'Demand adjustments for Covid'!$F$20="Yes")),"",SUM(CW137:DF137))</f>
        <v>0</v>
      </c>
    </row>
    <row r="138" spans="1:111" x14ac:dyDescent="0.25">
      <c r="A138" s="5">
        <f t="shared" ca="1" si="43"/>
        <v>1</v>
      </c>
      <c r="B138" s="5">
        <f ca="1">COUNTBLANK(OFFSET(Demand!$I147,0,(COLUMN(A135)-1)*5,1,1))</f>
        <v>1</v>
      </c>
      <c r="C138" s="5">
        <f ca="1">COUNTBLANK(OFFSET(Demand!$I147,0,(COLUMN(B135)-1)*5,1,1))</f>
        <v>1</v>
      </c>
      <c r="D138" s="5">
        <f ca="1">COUNTBLANK(OFFSET(Demand!$I147,0,(COLUMN(C135)-1)*5,1,1))</f>
        <v>1</v>
      </c>
      <c r="E138" s="5">
        <f ca="1">COUNTBLANK(OFFSET(Demand!$I147,0,(COLUMN(D135)-1)*5,1,1))</f>
        <v>1</v>
      </c>
      <c r="F138" s="5">
        <f ca="1">COUNTBLANK(OFFSET(Demand!$I147,0,(COLUMN(E135)-1)*5,1,1))</f>
        <v>1</v>
      </c>
      <c r="G138" s="5">
        <f ca="1">COUNTBLANK(OFFSET(Demand!$I147,0,(COLUMN(F135)-1)*5,1,1))</f>
        <v>1</v>
      </c>
      <c r="H138" s="5">
        <f ca="1">COUNTBLANK(OFFSET(Demand!$I147,0,(COLUMN(G135)-1)*5,1,1))</f>
        <v>1</v>
      </c>
      <c r="I138" s="5">
        <f ca="1">COUNTBLANK(OFFSET(Demand!$I147,0,(COLUMN(H135)-1)*5,1,1))</f>
        <v>1</v>
      </c>
      <c r="J138" s="5">
        <f ca="1">COUNTBLANK(OFFSET(Demand!$I147,0,(COLUMN(I135)-1)*5,1,1))</f>
        <v>1</v>
      </c>
      <c r="K138" s="5">
        <f ca="1">COUNTBLANK(OFFSET(Demand!$I147,0,(COLUMN(J135)-1)*5,1,1))</f>
        <v>1</v>
      </c>
      <c r="N138" s="5">
        <f ca="1">SUM(OFFSET(Demand!$E147,0,(COLUMN(A135)-1)*5,1,3))*N$2</f>
        <v>0</v>
      </c>
      <c r="O138" s="5">
        <f ca="1">SUM(OFFSET(Demand!$E147,0,(COLUMN(B135)-1)*5,1,3))*O$2</f>
        <v>0</v>
      </c>
      <c r="P138" s="5">
        <f ca="1">SUM(OFFSET(Demand!$E147,0,(COLUMN(C135)-1)*5,1,3))*P$2</f>
        <v>0</v>
      </c>
      <c r="Q138" s="5">
        <f ca="1">SUM(OFFSET(Demand!$E147,0,(COLUMN(D135)-1)*5,1,3))*Q$2</f>
        <v>0</v>
      </c>
      <c r="R138" s="5">
        <f ca="1">SUM(OFFSET(Demand!$E147,0,(COLUMN(E135)-1)*5,1,3))*R$2</f>
        <v>0</v>
      </c>
      <c r="S138" s="5">
        <f ca="1">SUM(OFFSET(Demand!$E147,0,(COLUMN(F135)-1)*5,1,3))*S$2</f>
        <v>0</v>
      </c>
      <c r="T138" s="5">
        <f ca="1">SUM(OFFSET(Demand!$E147,0,(COLUMN(G135)-1)*5,1,3))*T$2</f>
        <v>0</v>
      </c>
      <c r="U138" s="5">
        <f ca="1">SUM(OFFSET(Demand!$E147,0,(COLUMN(H135)-1)*5,1,3))*U$2</f>
        <v>0</v>
      </c>
      <c r="V138" s="5">
        <f ca="1">SUM(OFFSET(Demand!$E147,0,(COLUMN(I135)-1)*5,1,3))*V$2</f>
        <v>0</v>
      </c>
      <c r="W138" s="5">
        <f ca="1">SUM(OFFSET(Demand!$E147,0,(COLUMN(J135)-1)*5,1,3))*W$2</f>
        <v>0</v>
      </c>
      <c r="X138" s="5">
        <f t="shared" ca="1" si="44"/>
        <v>0</v>
      </c>
      <c r="Y138">
        <f t="shared" ca="1" si="45"/>
        <v>0</v>
      </c>
      <c r="Z138" s="5">
        <f ca="1">SUM(OFFSET(Demand!$H147,0,(COLUMN(A135)-1)*5,1,1))*N$2</f>
        <v>0</v>
      </c>
      <c r="AA138" s="5">
        <f ca="1">SUM(OFFSET(Demand!$H147,0,(COLUMN(B135)-1)*5,1,1))*O$2</f>
        <v>0</v>
      </c>
      <c r="AB138" s="5">
        <f ca="1">SUM(OFFSET(Demand!$H147,0,(COLUMN(C135)-1)*5,1,1))*P$2</f>
        <v>0</v>
      </c>
      <c r="AC138" s="5">
        <f ca="1">SUM(OFFSET(Demand!$H147,0,(COLUMN(D135)-1)*5,1,1))*Q$2</f>
        <v>0</v>
      </c>
      <c r="AD138" s="5">
        <f ca="1">SUM(OFFSET(Demand!$H147,0,(COLUMN(E135)-1)*5,1,1))*R$2</f>
        <v>0</v>
      </c>
      <c r="AE138" s="5">
        <f ca="1">SUM(OFFSET(Demand!$H147,0,(COLUMN(F135)-1)*5,1,1))*S$2</f>
        <v>0</v>
      </c>
      <c r="AF138" s="5">
        <f ca="1">SUM(OFFSET(Demand!$H147,0,(COLUMN(G135)-1)*5,1,1))*T$2</f>
        <v>0</v>
      </c>
      <c r="AG138" s="5">
        <f ca="1">SUM(OFFSET(Demand!$H147,0,(COLUMN(H135)-1)*5,1,1))*U$2</f>
        <v>0</v>
      </c>
      <c r="AH138" s="5">
        <f ca="1">SUM(OFFSET(Demand!$H147,0,(COLUMN(I135)-1)*5,1,1))*V$2</f>
        <v>0</v>
      </c>
      <c r="AI138" s="5">
        <f ca="1">SUM(OFFSET(Demand!$H147,0,(COLUMN(J135)-1)*5,1,1))*W$2</f>
        <v>0</v>
      </c>
      <c r="AJ138" s="5">
        <f t="shared" ca="1" si="46"/>
        <v>0</v>
      </c>
      <c r="AL138" s="5">
        <f t="shared" ca="1" si="47"/>
        <v>0</v>
      </c>
      <c r="AM138" s="5">
        <f t="shared" ca="1" si="48"/>
        <v>0</v>
      </c>
      <c r="AN138" s="5" t="str">
        <f>IF(Demand!BE147="Yes","Yes","")</f>
        <v/>
      </c>
      <c r="AP138" s="36" t="str">
        <f ca="1">Demand!B147</f>
        <v xml:space="preserve"> </v>
      </c>
      <c r="AQ138" t="str">
        <f ca="1">IF(TEXT(Demand!D147,"MMM")&lt;&gt;TEXT(Demand!D146,"MMM"),TEXT(Demand!D147,"MMM"),"")</f>
        <v/>
      </c>
      <c r="AT138" s="5">
        <f t="shared" ca="1" si="49"/>
        <v>0</v>
      </c>
      <c r="BQ138">
        <f ca="1">IF($AN138="",OFFSET(Demand!$A$13,ROW(A135)-1,4+((QUOTIENT(COLUMN(BQ$2)-69,3))*5)+MOD(COLUMN(BQ$2),3),1,1),"")</f>
        <v>0</v>
      </c>
      <c r="BR138">
        <f ca="1">IF($AN138="",OFFSET(Demand!$A$13,ROW(B135)-1,4+((QUOTIENT(COLUMN(BR$2)-69,3))*5)+MOD(COLUMN(BR$2),3),1,1),"")</f>
        <v>0</v>
      </c>
      <c r="BS138">
        <f ca="1">IF($AN138="",OFFSET(Demand!$A$13,ROW(C135)-1,4+((QUOTIENT(COLUMN(BS$2)-69,3))*5)+MOD(COLUMN(BS$2),3),1,1),"")</f>
        <v>0</v>
      </c>
      <c r="BT138">
        <f ca="1">IF($AN138="",OFFSET(Demand!$A$13,ROW(D135)-1,4+((QUOTIENT(COLUMN(BT$2)-69,3))*5)+MOD(COLUMN(BT$2),3),1,1),"")</f>
        <v>0</v>
      </c>
      <c r="BU138">
        <f ca="1">IF($AN138="",OFFSET(Demand!$A$13,ROW(E135)-1,4+((QUOTIENT(COLUMN(BU$2)-69,3))*5)+MOD(COLUMN(BU$2),3),1,1),"")</f>
        <v>0</v>
      </c>
      <c r="BV138">
        <f ca="1">IF($AN138="",OFFSET(Demand!$A$13,ROW(F135)-1,4+((QUOTIENT(COLUMN(BV$2)-69,3))*5)+MOD(COLUMN(BV$2),3),1,1),"")</f>
        <v>0</v>
      </c>
      <c r="BW138">
        <f ca="1">IF($AN138="",OFFSET(Demand!$A$13,ROW(G135)-1,4+((QUOTIENT(COLUMN(BW$2)-69,3))*5)+MOD(COLUMN(BW$2),3),1,1),"")</f>
        <v>0</v>
      </c>
      <c r="BX138">
        <f ca="1">IF($AN138="",OFFSET(Demand!$A$13,ROW(H135)-1,4+((QUOTIENT(COLUMN(BX$2)-69,3))*5)+MOD(COLUMN(BX$2),3),1,1),"")</f>
        <v>0</v>
      </c>
      <c r="BY138">
        <f ca="1">IF($AN138="",OFFSET(Demand!$A$13,ROW(I135)-1,4+((QUOTIENT(COLUMN(BY$2)-69,3))*5)+MOD(COLUMN(BY$2),3),1,1),"")</f>
        <v>0</v>
      </c>
      <c r="BZ138">
        <f ca="1">IF($AN138="",OFFSET(Demand!$A$13,ROW(J135)-1,4+((QUOTIENT(COLUMN(BZ$2)-69,3))*5)+MOD(COLUMN(BZ$2),3),1,1),"")</f>
        <v>0</v>
      </c>
      <c r="CA138">
        <f ca="1">IF($AN138="",OFFSET(Demand!$A$13,ROW(K135)-1,4+((QUOTIENT(COLUMN(CA$2)-69,3))*5)+MOD(COLUMN(CA$2),3),1,1),"")</f>
        <v>0</v>
      </c>
      <c r="CB138">
        <f ca="1">IF($AN138="",OFFSET(Demand!$A$13,ROW(L135)-1,4+((QUOTIENT(COLUMN(CB$2)-69,3))*5)+MOD(COLUMN(CB$2),3),1,1),"")</f>
        <v>0</v>
      </c>
      <c r="CC138">
        <f ca="1">IF($AN138="",OFFSET(Demand!$A$13,ROW(M135)-1,4+((QUOTIENT(COLUMN(CC$2)-69,3))*5)+MOD(COLUMN(CC$2),3),1,1),"")</f>
        <v>0</v>
      </c>
      <c r="CD138">
        <f ca="1">IF($AN138="",OFFSET(Demand!$A$13,ROW(N135)-1,4+((QUOTIENT(COLUMN(CD$2)-69,3))*5)+MOD(COLUMN(CD$2),3),1,1),"")</f>
        <v>0</v>
      </c>
      <c r="CE138">
        <f ca="1">IF($AN138="",OFFSET(Demand!$A$13,ROW(O135)-1,4+((QUOTIENT(COLUMN(CE$2)-69,3))*5)+MOD(COLUMN(CE$2),3),1,1),"")</f>
        <v>0</v>
      </c>
      <c r="CF138">
        <f ca="1">IF($AN138="",OFFSET(Demand!$A$13,ROW(P135)-1,4+((QUOTIENT(COLUMN(CF$2)-69,3))*5)+MOD(COLUMN(CF$2),3),1,1),"")</f>
        <v>0</v>
      </c>
      <c r="CG138">
        <f ca="1">IF($AN138="",OFFSET(Demand!$A$13,ROW(Q135)-1,4+((QUOTIENT(COLUMN(CG$2)-69,3))*5)+MOD(COLUMN(CG$2),3),1,1),"")</f>
        <v>0</v>
      </c>
      <c r="CH138">
        <f ca="1">IF($AN138="",OFFSET(Demand!$A$13,ROW(R135)-1,4+((QUOTIENT(COLUMN(CH$2)-69,3))*5)+MOD(COLUMN(CH$2),3),1,1),"")</f>
        <v>0</v>
      </c>
      <c r="CI138">
        <f ca="1">IF($AN138="",OFFSET(Demand!$A$13,ROW(S135)-1,4+((QUOTIENT(COLUMN(CI$2)-69,3))*5)+MOD(COLUMN(CI$2),3),1,1),"")</f>
        <v>0</v>
      </c>
      <c r="CJ138">
        <f ca="1">IF($AN138="",OFFSET(Demand!$A$13,ROW(T135)-1,4+((QUOTIENT(COLUMN(CJ$2)-69,3))*5)+MOD(COLUMN(CJ$2),3),1,1),"")</f>
        <v>0</v>
      </c>
      <c r="CK138">
        <f ca="1">IF($AN138="",OFFSET(Demand!$A$13,ROW(U135)-1,4+((QUOTIENT(COLUMN(CK$2)-69,3))*5)+MOD(COLUMN(CK$2),3),1,1),"")</f>
        <v>0</v>
      </c>
      <c r="CL138">
        <f ca="1">IF($AN138="",OFFSET(Demand!$A$13,ROW(V135)-1,4+((QUOTIENT(COLUMN(CL$2)-69,3))*5)+MOD(COLUMN(CL$2),3),1,1),"")</f>
        <v>0</v>
      </c>
      <c r="CM138">
        <f ca="1">IF($AN138="",OFFSET(Demand!$A$13,ROW(W135)-1,4+((QUOTIENT(COLUMN(CM$2)-69,3))*5)+MOD(COLUMN(CM$2),3),1,1),"")</f>
        <v>0</v>
      </c>
      <c r="CN138">
        <f ca="1">IF($AN138="",OFFSET(Demand!$A$13,ROW(X135)-1,4+((QUOTIENT(COLUMN(CN$2)-69,3))*5)+MOD(COLUMN(CN$2),3),1,1),"")</f>
        <v>0</v>
      </c>
      <c r="CO138">
        <f ca="1">IF($AN138="",OFFSET(Demand!$A$13,ROW(Y135)-1,4+((QUOTIENT(COLUMN(CO$2)-69,3))*5)+MOD(COLUMN(CO$2),3),1,1),"")</f>
        <v>0</v>
      </c>
      <c r="CP138">
        <f ca="1">IF($AN138="",OFFSET(Demand!$A$13,ROW(Z135)-1,4+((QUOTIENT(COLUMN(CP$2)-69,3))*5)+MOD(COLUMN(CP$2),3),1,1),"")</f>
        <v>0</v>
      </c>
      <c r="CQ138">
        <f ca="1">IF($AN138="",OFFSET(Demand!$A$13,ROW(AA135)-1,4+((QUOTIENT(COLUMN(CQ$2)-69,3))*5)+MOD(COLUMN(CQ$2),3),1,1),"")</f>
        <v>0</v>
      </c>
      <c r="CR138">
        <f ca="1">IF($AN138="",OFFSET(Demand!$A$13,ROW(AB135)-1,4+((QUOTIENT(COLUMN(CR$2)-69,3))*5)+MOD(COLUMN(CR$2),3),1,1),"")</f>
        <v>0</v>
      </c>
      <c r="CS138">
        <f ca="1">IF($AN138="",OFFSET(Demand!$A$13,ROW(AC135)-1,4+((QUOTIENT(COLUMN(CS$2)-69,3))*5)+MOD(COLUMN(CS$2),3),1,1),"")</f>
        <v>0</v>
      </c>
      <c r="CT138">
        <f ca="1">IF($AN138="",OFFSET(Demand!$A$13,ROW(AD135)-1,4+((QUOTIENT(COLUMN(CT$2)-69,3))*5)+MOD(COLUMN(CT$2),3),1,1),"")</f>
        <v>0</v>
      </c>
      <c r="CW138" s="5">
        <f ca="1">SUM(OFFSET(Demand!$H$43,ROW(A135)-1,(COLUMN(A135)-1)*5,1,1))*N$2</f>
        <v>0</v>
      </c>
      <c r="CX138" s="5">
        <f ca="1">SUM(OFFSET(Demand!$H$43,ROW(B135)-1,(COLUMN(B135)-1)*5,1,1))*O$2</f>
        <v>0</v>
      </c>
      <c r="CY138" s="5">
        <f ca="1">SUM(OFFSET(Demand!$H$43,ROW(C135)-1,(COLUMN(C135)-1)*5,1,1))*P$2</f>
        <v>0</v>
      </c>
      <c r="CZ138" s="5">
        <f ca="1">SUM(OFFSET(Demand!$H$43,ROW(D135)-1,(COLUMN(D135)-1)*5,1,1))*Q$2</f>
        <v>0</v>
      </c>
      <c r="DA138" s="5">
        <f ca="1">SUM(OFFSET(Demand!$H$43,ROW(E135)-1,(COLUMN(E135)-1)*5,1,1))*R$2</f>
        <v>0</v>
      </c>
      <c r="DB138" s="5">
        <f ca="1">SUM(OFFSET(Demand!$H$43,ROW(F135)-1,(COLUMN(F135)-1)*5,1,1))*S$2</f>
        <v>0</v>
      </c>
      <c r="DC138" s="5">
        <f ca="1">SUM(OFFSET(Demand!$H$43,ROW(G135)-1,(COLUMN(G135)-1)*5,1,1))*T$2</f>
        <v>0</v>
      </c>
      <c r="DD138" s="5">
        <f ca="1">SUM(OFFSET(Demand!$H$43,ROW(H135)-1,(COLUMN(H135)-1)*5,1,1))*U$2</f>
        <v>0</v>
      </c>
      <c r="DE138" s="5">
        <f ca="1">SUM(OFFSET(Demand!$H$43,ROW(I135)-1,(COLUMN(I135)-1)*5,1,1))*V$2</f>
        <v>0</v>
      </c>
      <c r="DF138" s="5">
        <f ca="1">SUM(OFFSET(Demand!$H$43,ROW(J135)-1,(COLUMN(J135)-1)*5,1,1))*W$2</f>
        <v>0</v>
      </c>
      <c r="DG138" s="5">
        <f ca="1">IF(OR(AN138&lt;&gt;"",AND('Demand adjustments for Covid'!$F$9="Yes",'Demand adjustments for Covid'!$F$20="Yes")),"",SUM(CW138:DF138))</f>
        <v>0</v>
      </c>
    </row>
    <row r="139" spans="1:111" x14ac:dyDescent="0.25">
      <c r="A139" s="5">
        <f t="shared" ca="1" si="43"/>
        <v>1</v>
      </c>
      <c r="B139" s="5">
        <f ca="1">COUNTBLANK(OFFSET(Demand!$I148,0,(COLUMN(A136)-1)*5,1,1))</f>
        <v>1</v>
      </c>
      <c r="C139" s="5">
        <f ca="1">COUNTBLANK(OFFSET(Demand!$I148,0,(COLUMN(B136)-1)*5,1,1))</f>
        <v>1</v>
      </c>
      <c r="D139" s="5">
        <f ca="1">COUNTBLANK(OFFSET(Demand!$I148,0,(COLUMN(C136)-1)*5,1,1))</f>
        <v>1</v>
      </c>
      <c r="E139" s="5">
        <f ca="1">COUNTBLANK(OFFSET(Demand!$I148,0,(COLUMN(D136)-1)*5,1,1))</f>
        <v>1</v>
      </c>
      <c r="F139" s="5">
        <f ca="1">COUNTBLANK(OFFSET(Demand!$I148,0,(COLUMN(E136)-1)*5,1,1))</f>
        <v>1</v>
      </c>
      <c r="G139" s="5">
        <f ca="1">COUNTBLANK(OFFSET(Demand!$I148,0,(COLUMN(F136)-1)*5,1,1))</f>
        <v>1</v>
      </c>
      <c r="H139" s="5">
        <f ca="1">COUNTBLANK(OFFSET(Demand!$I148,0,(COLUMN(G136)-1)*5,1,1))</f>
        <v>1</v>
      </c>
      <c r="I139" s="5">
        <f ca="1">COUNTBLANK(OFFSET(Demand!$I148,0,(COLUMN(H136)-1)*5,1,1))</f>
        <v>1</v>
      </c>
      <c r="J139" s="5">
        <f ca="1">COUNTBLANK(OFFSET(Demand!$I148,0,(COLUMN(I136)-1)*5,1,1))</f>
        <v>1</v>
      </c>
      <c r="K139" s="5">
        <f ca="1">COUNTBLANK(OFFSET(Demand!$I148,0,(COLUMN(J136)-1)*5,1,1))</f>
        <v>1</v>
      </c>
      <c r="N139" s="5">
        <f ca="1">SUM(OFFSET(Demand!$E148,0,(COLUMN(A136)-1)*5,1,3))*N$2</f>
        <v>0</v>
      </c>
      <c r="O139" s="5">
        <f ca="1">SUM(OFFSET(Demand!$E148,0,(COLUMN(B136)-1)*5,1,3))*O$2</f>
        <v>0</v>
      </c>
      <c r="P139" s="5">
        <f ca="1">SUM(OFFSET(Demand!$E148,0,(COLUMN(C136)-1)*5,1,3))*P$2</f>
        <v>0</v>
      </c>
      <c r="Q139" s="5">
        <f ca="1">SUM(OFFSET(Demand!$E148,0,(COLUMN(D136)-1)*5,1,3))*Q$2</f>
        <v>0</v>
      </c>
      <c r="R139" s="5">
        <f ca="1">SUM(OFFSET(Demand!$E148,0,(COLUMN(E136)-1)*5,1,3))*R$2</f>
        <v>0</v>
      </c>
      <c r="S139" s="5">
        <f ca="1">SUM(OFFSET(Demand!$E148,0,(COLUMN(F136)-1)*5,1,3))*S$2</f>
        <v>0</v>
      </c>
      <c r="T139" s="5">
        <f ca="1">SUM(OFFSET(Demand!$E148,0,(COLUMN(G136)-1)*5,1,3))*T$2</f>
        <v>0</v>
      </c>
      <c r="U139" s="5">
        <f ca="1">SUM(OFFSET(Demand!$E148,0,(COLUMN(H136)-1)*5,1,3))*U$2</f>
        <v>0</v>
      </c>
      <c r="V139" s="5">
        <f ca="1">SUM(OFFSET(Demand!$E148,0,(COLUMN(I136)-1)*5,1,3))*V$2</f>
        <v>0</v>
      </c>
      <c r="W139" s="5">
        <f ca="1">SUM(OFFSET(Demand!$E148,0,(COLUMN(J136)-1)*5,1,3))*W$2</f>
        <v>0</v>
      </c>
      <c r="X139" s="5">
        <f t="shared" ca="1" si="44"/>
        <v>0</v>
      </c>
      <c r="Y139">
        <f t="shared" ca="1" si="45"/>
        <v>0</v>
      </c>
      <c r="Z139" s="5">
        <f ca="1">SUM(OFFSET(Demand!$H148,0,(COLUMN(A136)-1)*5,1,1))*N$2</f>
        <v>0</v>
      </c>
      <c r="AA139" s="5">
        <f ca="1">SUM(OFFSET(Demand!$H148,0,(COLUMN(B136)-1)*5,1,1))*O$2</f>
        <v>0</v>
      </c>
      <c r="AB139" s="5">
        <f ca="1">SUM(OFFSET(Demand!$H148,0,(COLUMN(C136)-1)*5,1,1))*P$2</f>
        <v>0</v>
      </c>
      <c r="AC139" s="5">
        <f ca="1">SUM(OFFSET(Demand!$H148,0,(COLUMN(D136)-1)*5,1,1))*Q$2</f>
        <v>0</v>
      </c>
      <c r="AD139" s="5">
        <f ca="1">SUM(OFFSET(Demand!$H148,0,(COLUMN(E136)-1)*5,1,1))*R$2</f>
        <v>0</v>
      </c>
      <c r="AE139" s="5">
        <f ca="1">SUM(OFFSET(Demand!$H148,0,(COLUMN(F136)-1)*5,1,1))*S$2</f>
        <v>0</v>
      </c>
      <c r="AF139" s="5">
        <f ca="1">SUM(OFFSET(Demand!$H148,0,(COLUMN(G136)-1)*5,1,1))*T$2</f>
        <v>0</v>
      </c>
      <c r="AG139" s="5">
        <f ca="1">SUM(OFFSET(Demand!$H148,0,(COLUMN(H136)-1)*5,1,1))*U$2</f>
        <v>0</v>
      </c>
      <c r="AH139" s="5">
        <f ca="1">SUM(OFFSET(Demand!$H148,0,(COLUMN(I136)-1)*5,1,1))*V$2</f>
        <v>0</v>
      </c>
      <c r="AI139" s="5">
        <f ca="1">SUM(OFFSET(Demand!$H148,0,(COLUMN(J136)-1)*5,1,1))*W$2</f>
        <v>0</v>
      </c>
      <c r="AJ139" s="5">
        <f t="shared" ca="1" si="46"/>
        <v>0</v>
      </c>
      <c r="AL139" s="5">
        <f t="shared" ca="1" si="47"/>
        <v>0</v>
      </c>
      <c r="AM139" s="5">
        <f t="shared" ca="1" si="48"/>
        <v>0</v>
      </c>
      <c r="AN139" s="5" t="str">
        <f>IF(Demand!BE148="Yes","Yes","")</f>
        <v/>
      </c>
      <c r="AP139" s="36" t="str">
        <f ca="1">Demand!B148</f>
        <v xml:space="preserve"> </v>
      </c>
      <c r="AQ139" t="str">
        <f ca="1">IF(TEXT(Demand!D148,"MMM")&lt;&gt;TEXT(Demand!D147,"MMM"),TEXT(Demand!D148,"MMM"),"")</f>
        <v/>
      </c>
      <c r="AT139" s="5">
        <f t="shared" ca="1" si="49"/>
        <v>0</v>
      </c>
      <c r="BQ139">
        <f ca="1">IF($AN139="",OFFSET(Demand!$A$13,ROW(A136)-1,4+((QUOTIENT(COLUMN(BQ$2)-69,3))*5)+MOD(COLUMN(BQ$2),3),1,1),"")</f>
        <v>0</v>
      </c>
      <c r="BR139">
        <f ca="1">IF($AN139="",OFFSET(Demand!$A$13,ROW(B136)-1,4+((QUOTIENT(COLUMN(BR$2)-69,3))*5)+MOD(COLUMN(BR$2),3),1,1),"")</f>
        <v>0</v>
      </c>
      <c r="BS139">
        <f ca="1">IF($AN139="",OFFSET(Demand!$A$13,ROW(C136)-1,4+((QUOTIENT(COLUMN(BS$2)-69,3))*5)+MOD(COLUMN(BS$2),3),1,1),"")</f>
        <v>0</v>
      </c>
      <c r="BT139">
        <f ca="1">IF($AN139="",OFFSET(Demand!$A$13,ROW(D136)-1,4+((QUOTIENT(COLUMN(BT$2)-69,3))*5)+MOD(COLUMN(BT$2),3),1,1),"")</f>
        <v>0</v>
      </c>
      <c r="BU139">
        <f ca="1">IF($AN139="",OFFSET(Demand!$A$13,ROW(E136)-1,4+((QUOTIENT(COLUMN(BU$2)-69,3))*5)+MOD(COLUMN(BU$2),3),1,1),"")</f>
        <v>0</v>
      </c>
      <c r="BV139">
        <f ca="1">IF($AN139="",OFFSET(Demand!$A$13,ROW(F136)-1,4+((QUOTIENT(COLUMN(BV$2)-69,3))*5)+MOD(COLUMN(BV$2),3),1,1),"")</f>
        <v>0</v>
      </c>
      <c r="BW139">
        <f ca="1">IF($AN139="",OFFSET(Demand!$A$13,ROW(G136)-1,4+((QUOTIENT(COLUMN(BW$2)-69,3))*5)+MOD(COLUMN(BW$2),3),1,1),"")</f>
        <v>0</v>
      </c>
      <c r="BX139">
        <f ca="1">IF($AN139="",OFFSET(Demand!$A$13,ROW(H136)-1,4+((QUOTIENT(COLUMN(BX$2)-69,3))*5)+MOD(COLUMN(BX$2),3),1,1),"")</f>
        <v>0</v>
      </c>
      <c r="BY139">
        <f ca="1">IF($AN139="",OFFSET(Demand!$A$13,ROW(I136)-1,4+((QUOTIENT(COLUMN(BY$2)-69,3))*5)+MOD(COLUMN(BY$2),3),1,1),"")</f>
        <v>0</v>
      </c>
      <c r="BZ139">
        <f ca="1">IF($AN139="",OFFSET(Demand!$A$13,ROW(J136)-1,4+((QUOTIENT(COLUMN(BZ$2)-69,3))*5)+MOD(COLUMN(BZ$2),3),1,1),"")</f>
        <v>0</v>
      </c>
      <c r="CA139">
        <f ca="1">IF($AN139="",OFFSET(Demand!$A$13,ROW(K136)-1,4+((QUOTIENT(COLUMN(CA$2)-69,3))*5)+MOD(COLUMN(CA$2),3),1,1),"")</f>
        <v>0</v>
      </c>
      <c r="CB139">
        <f ca="1">IF($AN139="",OFFSET(Demand!$A$13,ROW(L136)-1,4+((QUOTIENT(COLUMN(CB$2)-69,3))*5)+MOD(COLUMN(CB$2),3),1,1),"")</f>
        <v>0</v>
      </c>
      <c r="CC139">
        <f ca="1">IF($AN139="",OFFSET(Demand!$A$13,ROW(M136)-1,4+((QUOTIENT(COLUMN(CC$2)-69,3))*5)+MOD(COLUMN(CC$2),3),1,1),"")</f>
        <v>0</v>
      </c>
      <c r="CD139">
        <f ca="1">IF($AN139="",OFFSET(Demand!$A$13,ROW(N136)-1,4+((QUOTIENT(COLUMN(CD$2)-69,3))*5)+MOD(COLUMN(CD$2),3),1,1),"")</f>
        <v>0</v>
      </c>
      <c r="CE139">
        <f ca="1">IF($AN139="",OFFSET(Demand!$A$13,ROW(O136)-1,4+((QUOTIENT(COLUMN(CE$2)-69,3))*5)+MOD(COLUMN(CE$2),3),1,1),"")</f>
        <v>0</v>
      </c>
      <c r="CF139">
        <f ca="1">IF($AN139="",OFFSET(Demand!$A$13,ROW(P136)-1,4+((QUOTIENT(COLUMN(CF$2)-69,3))*5)+MOD(COLUMN(CF$2),3),1,1),"")</f>
        <v>0</v>
      </c>
      <c r="CG139">
        <f ca="1">IF($AN139="",OFFSET(Demand!$A$13,ROW(Q136)-1,4+((QUOTIENT(COLUMN(CG$2)-69,3))*5)+MOD(COLUMN(CG$2),3),1,1),"")</f>
        <v>0</v>
      </c>
      <c r="CH139">
        <f ca="1">IF($AN139="",OFFSET(Demand!$A$13,ROW(R136)-1,4+((QUOTIENT(COLUMN(CH$2)-69,3))*5)+MOD(COLUMN(CH$2),3),1,1),"")</f>
        <v>0</v>
      </c>
      <c r="CI139">
        <f ca="1">IF($AN139="",OFFSET(Demand!$A$13,ROW(S136)-1,4+((QUOTIENT(COLUMN(CI$2)-69,3))*5)+MOD(COLUMN(CI$2),3),1,1),"")</f>
        <v>0</v>
      </c>
      <c r="CJ139">
        <f ca="1">IF($AN139="",OFFSET(Demand!$A$13,ROW(T136)-1,4+((QUOTIENT(COLUMN(CJ$2)-69,3))*5)+MOD(COLUMN(CJ$2),3),1,1),"")</f>
        <v>0</v>
      </c>
      <c r="CK139">
        <f ca="1">IF($AN139="",OFFSET(Demand!$A$13,ROW(U136)-1,4+((QUOTIENT(COLUMN(CK$2)-69,3))*5)+MOD(COLUMN(CK$2),3),1,1),"")</f>
        <v>0</v>
      </c>
      <c r="CL139">
        <f ca="1">IF($AN139="",OFFSET(Demand!$A$13,ROW(V136)-1,4+((QUOTIENT(COLUMN(CL$2)-69,3))*5)+MOD(COLUMN(CL$2),3),1,1),"")</f>
        <v>0</v>
      </c>
      <c r="CM139">
        <f ca="1">IF($AN139="",OFFSET(Demand!$A$13,ROW(W136)-1,4+((QUOTIENT(COLUMN(CM$2)-69,3))*5)+MOD(COLUMN(CM$2),3),1,1),"")</f>
        <v>0</v>
      </c>
      <c r="CN139">
        <f ca="1">IF($AN139="",OFFSET(Demand!$A$13,ROW(X136)-1,4+((QUOTIENT(COLUMN(CN$2)-69,3))*5)+MOD(COLUMN(CN$2),3),1,1),"")</f>
        <v>0</v>
      </c>
      <c r="CO139">
        <f ca="1">IF($AN139="",OFFSET(Demand!$A$13,ROW(Y136)-1,4+((QUOTIENT(COLUMN(CO$2)-69,3))*5)+MOD(COLUMN(CO$2),3),1,1),"")</f>
        <v>0</v>
      </c>
      <c r="CP139">
        <f ca="1">IF($AN139="",OFFSET(Demand!$A$13,ROW(Z136)-1,4+((QUOTIENT(COLUMN(CP$2)-69,3))*5)+MOD(COLUMN(CP$2),3),1,1),"")</f>
        <v>0</v>
      </c>
      <c r="CQ139">
        <f ca="1">IF($AN139="",OFFSET(Demand!$A$13,ROW(AA136)-1,4+((QUOTIENT(COLUMN(CQ$2)-69,3))*5)+MOD(COLUMN(CQ$2),3),1,1),"")</f>
        <v>0</v>
      </c>
      <c r="CR139">
        <f ca="1">IF($AN139="",OFFSET(Demand!$A$13,ROW(AB136)-1,4+((QUOTIENT(COLUMN(CR$2)-69,3))*5)+MOD(COLUMN(CR$2),3),1,1),"")</f>
        <v>0</v>
      </c>
      <c r="CS139">
        <f ca="1">IF($AN139="",OFFSET(Demand!$A$13,ROW(AC136)-1,4+((QUOTIENT(COLUMN(CS$2)-69,3))*5)+MOD(COLUMN(CS$2),3),1,1),"")</f>
        <v>0</v>
      </c>
      <c r="CT139">
        <f ca="1">IF($AN139="",OFFSET(Demand!$A$13,ROW(AD136)-1,4+((QUOTIENT(COLUMN(CT$2)-69,3))*5)+MOD(COLUMN(CT$2),3),1,1),"")</f>
        <v>0</v>
      </c>
      <c r="CW139" s="5">
        <f ca="1">SUM(OFFSET(Demand!$H$43,ROW(A136)-1,(COLUMN(A136)-1)*5,1,1))*N$2</f>
        <v>0</v>
      </c>
      <c r="CX139" s="5">
        <f ca="1">SUM(OFFSET(Demand!$H$43,ROW(B136)-1,(COLUMN(B136)-1)*5,1,1))*O$2</f>
        <v>0</v>
      </c>
      <c r="CY139" s="5">
        <f ca="1">SUM(OFFSET(Demand!$H$43,ROW(C136)-1,(COLUMN(C136)-1)*5,1,1))*P$2</f>
        <v>0</v>
      </c>
      <c r="CZ139" s="5">
        <f ca="1">SUM(OFFSET(Demand!$H$43,ROW(D136)-1,(COLUMN(D136)-1)*5,1,1))*Q$2</f>
        <v>0</v>
      </c>
      <c r="DA139" s="5">
        <f ca="1">SUM(OFFSET(Demand!$H$43,ROW(E136)-1,(COLUMN(E136)-1)*5,1,1))*R$2</f>
        <v>0</v>
      </c>
      <c r="DB139" s="5">
        <f ca="1">SUM(OFFSET(Demand!$H$43,ROW(F136)-1,(COLUMN(F136)-1)*5,1,1))*S$2</f>
        <v>0</v>
      </c>
      <c r="DC139" s="5">
        <f ca="1">SUM(OFFSET(Demand!$H$43,ROW(G136)-1,(COLUMN(G136)-1)*5,1,1))*T$2</f>
        <v>0</v>
      </c>
      <c r="DD139" s="5">
        <f ca="1">SUM(OFFSET(Demand!$H$43,ROW(H136)-1,(COLUMN(H136)-1)*5,1,1))*U$2</f>
        <v>0</v>
      </c>
      <c r="DE139" s="5">
        <f ca="1">SUM(OFFSET(Demand!$H$43,ROW(I136)-1,(COLUMN(I136)-1)*5,1,1))*V$2</f>
        <v>0</v>
      </c>
      <c r="DF139" s="5">
        <f ca="1">SUM(OFFSET(Demand!$H$43,ROW(J136)-1,(COLUMN(J136)-1)*5,1,1))*W$2</f>
        <v>0</v>
      </c>
      <c r="DG139" s="5">
        <f ca="1">IF(OR(AN139&lt;&gt;"",AND('Demand adjustments for Covid'!$F$9="Yes",'Demand adjustments for Covid'!$F$20="Yes")),"",SUM(CW139:DF139))</f>
        <v>0</v>
      </c>
    </row>
    <row r="140" spans="1:111" x14ac:dyDescent="0.25">
      <c r="A140" s="5">
        <f t="shared" ca="1" si="43"/>
        <v>1</v>
      </c>
      <c r="B140" s="5">
        <f ca="1">COUNTBLANK(OFFSET(Demand!$I149,0,(COLUMN(A137)-1)*5,1,1))</f>
        <v>1</v>
      </c>
      <c r="C140" s="5">
        <f ca="1">COUNTBLANK(OFFSET(Demand!$I149,0,(COLUMN(B137)-1)*5,1,1))</f>
        <v>1</v>
      </c>
      <c r="D140" s="5">
        <f ca="1">COUNTBLANK(OFFSET(Demand!$I149,0,(COLUMN(C137)-1)*5,1,1))</f>
        <v>1</v>
      </c>
      <c r="E140" s="5">
        <f ca="1">COUNTBLANK(OFFSET(Demand!$I149,0,(COLUMN(D137)-1)*5,1,1))</f>
        <v>1</v>
      </c>
      <c r="F140" s="5">
        <f ca="1">COUNTBLANK(OFFSET(Demand!$I149,0,(COLUMN(E137)-1)*5,1,1))</f>
        <v>1</v>
      </c>
      <c r="G140" s="5">
        <f ca="1">COUNTBLANK(OFFSET(Demand!$I149,0,(COLUMN(F137)-1)*5,1,1))</f>
        <v>1</v>
      </c>
      <c r="H140" s="5">
        <f ca="1">COUNTBLANK(OFFSET(Demand!$I149,0,(COLUMN(G137)-1)*5,1,1))</f>
        <v>1</v>
      </c>
      <c r="I140" s="5">
        <f ca="1">COUNTBLANK(OFFSET(Demand!$I149,0,(COLUMN(H137)-1)*5,1,1))</f>
        <v>1</v>
      </c>
      <c r="J140" s="5">
        <f ca="1">COUNTBLANK(OFFSET(Demand!$I149,0,(COLUMN(I137)-1)*5,1,1))</f>
        <v>1</v>
      </c>
      <c r="K140" s="5">
        <f ca="1">COUNTBLANK(OFFSET(Demand!$I149,0,(COLUMN(J137)-1)*5,1,1))</f>
        <v>1</v>
      </c>
      <c r="N140" s="5">
        <f ca="1">SUM(OFFSET(Demand!$E149,0,(COLUMN(A137)-1)*5,1,3))*N$2</f>
        <v>0</v>
      </c>
      <c r="O140" s="5">
        <f ca="1">SUM(OFFSET(Demand!$E149,0,(COLUMN(B137)-1)*5,1,3))*O$2</f>
        <v>0</v>
      </c>
      <c r="P140" s="5">
        <f ca="1">SUM(OFFSET(Demand!$E149,0,(COLUMN(C137)-1)*5,1,3))*P$2</f>
        <v>0</v>
      </c>
      <c r="Q140" s="5">
        <f ca="1">SUM(OFFSET(Demand!$E149,0,(COLUMN(D137)-1)*5,1,3))*Q$2</f>
        <v>0</v>
      </c>
      <c r="R140" s="5">
        <f ca="1">SUM(OFFSET(Demand!$E149,0,(COLUMN(E137)-1)*5,1,3))*R$2</f>
        <v>0</v>
      </c>
      <c r="S140" s="5">
        <f ca="1">SUM(OFFSET(Demand!$E149,0,(COLUMN(F137)-1)*5,1,3))*S$2</f>
        <v>0</v>
      </c>
      <c r="T140" s="5">
        <f ca="1">SUM(OFFSET(Demand!$E149,0,(COLUMN(G137)-1)*5,1,3))*T$2</f>
        <v>0</v>
      </c>
      <c r="U140" s="5">
        <f ca="1">SUM(OFFSET(Demand!$E149,0,(COLUMN(H137)-1)*5,1,3))*U$2</f>
        <v>0</v>
      </c>
      <c r="V140" s="5">
        <f ca="1">SUM(OFFSET(Demand!$E149,0,(COLUMN(I137)-1)*5,1,3))*V$2</f>
        <v>0</v>
      </c>
      <c r="W140" s="5">
        <f ca="1">SUM(OFFSET(Demand!$E149,0,(COLUMN(J137)-1)*5,1,3))*W$2</f>
        <v>0</v>
      </c>
      <c r="X140" s="5">
        <f t="shared" ca="1" si="44"/>
        <v>0</v>
      </c>
      <c r="Y140">
        <f t="shared" ca="1" si="45"/>
        <v>0</v>
      </c>
      <c r="Z140" s="5">
        <f ca="1">SUM(OFFSET(Demand!$H149,0,(COLUMN(A137)-1)*5,1,1))*N$2</f>
        <v>0</v>
      </c>
      <c r="AA140" s="5">
        <f ca="1">SUM(OFFSET(Demand!$H149,0,(COLUMN(B137)-1)*5,1,1))*O$2</f>
        <v>0</v>
      </c>
      <c r="AB140" s="5">
        <f ca="1">SUM(OFFSET(Demand!$H149,0,(COLUMN(C137)-1)*5,1,1))*P$2</f>
        <v>0</v>
      </c>
      <c r="AC140" s="5">
        <f ca="1">SUM(OFFSET(Demand!$H149,0,(COLUMN(D137)-1)*5,1,1))*Q$2</f>
        <v>0</v>
      </c>
      <c r="AD140" s="5">
        <f ca="1">SUM(OFFSET(Demand!$H149,0,(COLUMN(E137)-1)*5,1,1))*R$2</f>
        <v>0</v>
      </c>
      <c r="AE140" s="5">
        <f ca="1">SUM(OFFSET(Demand!$H149,0,(COLUMN(F137)-1)*5,1,1))*S$2</f>
        <v>0</v>
      </c>
      <c r="AF140" s="5">
        <f ca="1">SUM(OFFSET(Demand!$H149,0,(COLUMN(G137)-1)*5,1,1))*T$2</f>
        <v>0</v>
      </c>
      <c r="AG140" s="5">
        <f ca="1">SUM(OFFSET(Demand!$H149,0,(COLUMN(H137)-1)*5,1,1))*U$2</f>
        <v>0</v>
      </c>
      <c r="AH140" s="5">
        <f ca="1">SUM(OFFSET(Demand!$H149,0,(COLUMN(I137)-1)*5,1,1))*V$2</f>
        <v>0</v>
      </c>
      <c r="AI140" s="5">
        <f ca="1">SUM(OFFSET(Demand!$H149,0,(COLUMN(J137)-1)*5,1,1))*W$2</f>
        <v>0</v>
      </c>
      <c r="AJ140" s="5">
        <f t="shared" ca="1" si="46"/>
        <v>0</v>
      </c>
      <c r="AL140" s="5">
        <f t="shared" ca="1" si="47"/>
        <v>0</v>
      </c>
      <c r="AM140" s="5">
        <f t="shared" ca="1" si="48"/>
        <v>0</v>
      </c>
      <c r="AN140" s="5" t="str">
        <f>IF(Demand!BE149="Yes","Yes","")</f>
        <v/>
      </c>
      <c r="AP140" s="36" t="str">
        <f ca="1">Demand!B149</f>
        <v xml:space="preserve"> </v>
      </c>
      <c r="AQ140" t="str">
        <f ca="1">IF(TEXT(Demand!D149,"MMM")&lt;&gt;TEXT(Demand!D148,"MMM"),TEXT(Demand!D149,"MMM"),"")</f>
        <v/>
      </c>
      <c r="AT140" s="5">
        <f t="shared" ca="1" si="49"/>
        <v>0</v>
      </c>
      <c r="BQ140">
        <f ca="1">IF($AN140="",OFFSET(Demand!$A$13,ROW(A137)-1,4+((QUOTIENT(COLUMN(BQ$2)-69,3))*5)+MOD(COLUMN(BQ$2),3),1,1),"")</f>
        <v>0</v>
      </c>
      <c r="BR140">
        <f ca="1">IF($AN140="",OFFSET(Demand!$A$13,ROW(B137)-1,4+((QUOTIENT(COLUMN(BR$2)-69,3))*5)+MOD(COLUMN(BR$2),3),1,1),"")</f>
        <v>0</v>
      </c>
      <c r="BS140">
        <f ca="1">IF($AN140="",OFFSET(Demand!$A$13,ROW(C137)-1,4+((QUOTIENT(COLUMN(BS$2)-69,3))*5)+MOD(COLUMN(BS$2),3),1,1),"")</f>
        <v>0</v>
      </c>
      <c r="BT140">
        <f ca="1">IF($AN140="",OFFSET(Demand!$A$13,ROW(D137)-1,4+((QUOTIENT(COLUMN(BT$2)-69,3))*5)+MOD(COLUMN(BT$2),3),1,1),"")</f>
        <v>0</v>
      </c>
      <c r="BU140">
        <f ca="1">IF($AN140="",OFFSET(Demand!$A$13,ROW(E137)-1,4+((QUOTIENT(COLUMN(BU$2)-69,3))*5)+MOD(COLUMN(BU$2),3),1,1),"")</f>
        <v>0</v>
      </c>
      <c r="BV140">
        <f ca="1">IF($AN140="",OFFSET(Demand!$A$13,ROW(F137)-1,4+((QUOTIENT(COLUMN(BV$2)-69,3))*5)+MOD(COLUMN(BV$2),3),1,1),"")</f>
        <v>0</v>
      </c>
      <c r="BW140">
        <f ca="1">IF($AN140="",OFFSET(Demand!$A$13,ROW(G137)-1,4+((QUOTIENT(COLUMN(BW$2)-69,3))*5)+MOD(COLUMN(BW$2),3),1,1),"")</f>
        <v>0</v>
      </c>
      <c r="BX140">
        <f ca="1">IF($AN140="",OFFSET(Demand!$A$13,ROW(H137)-1,4+((QUOTIENT(COLUMN(BX$2)-69,3))*5)+MOD(COLUMN(BX$2),3),1,1),"")</f>
        <v>0</v>
      </c>
      <c r="BY140">
        <f ca="1">IF($AN140="",OFFSET(Demand!$A$13,ROW(I137)-1,4+((QUOTIENT(COLUMN(BY$2)-69,3))*5)+MOD(COLUMN(BY$2),3),1,1),"")</f>
        <v>0</v>
      </c>
      <c r="BZ140">
        <f ca="1">IF($AN140="",OFFSET(Demand!$A$13,ROW(J137)-1,4+((QUOTIENT(COLUMN(BZ$2)-69,3))*5)+MOD(COLUMN(BZ$2),3),1,1),"")</f>
        <v>0</v>
      </c>
      <c r="CA140">
        <f ca="1">IF($AN140="",OFFSET(Demand!$A$13,ROW(K137)-1,4+((QUOTIENT(COLUMN(CA$2)-69,3))*5)+MOD(COLUMN(CA$2),3),1,1),"")</f>
        <v>0</v>
      </c>
      <c r="CB140">
        <f ca="1">IF($AN140="",OFFSET(Demand!$A$13,ROW(L137)-1,4+((QUOTIENT(COLUMN(CB$2)-69,3))*5)+MOD(COLUMN(CB$2),3),1,1),"")</f>
        <v>0</v>
      </c>
      <c r="CC140">
        <f ca="1">IF($AN140="",OFFSET(Demand!$A$13,ROW(M137)-1,4+((QUOTIENT(COLUMN(CC$2)-69,3))*5)+MOD(COLUMN(CC$2),3),1,1),"")</f>
        <v>0</v>
      </c>
      <c r="CD140">
        <f ca="1">IF($AN140="",OFFSET(Demand!$A$13,ROW(N137)-1,4+((QUOTIENT(COLUMN(CD$2)-69,3))*5)+MOD(COLUMN(CD$2),3),1,1),"")</f>
        <v>0</v>
      </c>
      <c r="CE140">
        <f ca="1">IF($AN140="",OFFSET(Demand!$A$13,ROW(O137)-1,4+((QUOTIENT(COLUMN(CE$2)-69,3))*5)+MOD(COLUMN(CE$2),3),1,1),"")</f>
        <v>0</v>
      </c>
      <c r="CF140">
        <f ca="1">IF($AN140="",OFFSET(Demand!$A$13,ROW(P137)-1,4+((QUOTIENT(COLUMN(CF$2)-69,3))*5)+MOD(COLUMN(CF$2),3),1,1),"")</f>
        <v>0</v>
      </c>
      <c r="CG140">
        <f ca="1">IF($AN140="",OFFSET(Demand!$A$13,ROW(Q137)-1,4+((QUOTIENT(COLUMN(CG$2)-69,3))*5)+MOD(COLUMN(CG$2),3),1,1),"")</f>
        <v>0</v>
      </c>
      <c r="CH140">
        <f ca="1">IF($AN140="",OFFSET(Demand!$A$13,ROW(R137)-1,4+((QUOTIENT(COLUMN(CH$2)-69,3))*5)+MOD(COLUMN(CH$2),3),1,1),"")</f>
        <v>0</v>
      </c>
      <c r="CI140">
        <f ca="1">IF($AN140="",OFFSET(Demand!$A$13,ROW(S137)-1,4+((QUOTIENT(COLUMN(CI$2)-69,3))*5)+MOD(COLUMN(CI$2),3),1,1),"")</f>
        <v>0</v>
      </c>
      <c r="CJ140">
        <f ca="1">IF($AN140="",OFFSET(Demand!$A$13,ROW(T137)-1,4+((QUOTIENT(COLUMN(CJ$2)-69,3))*5)+MOD(COLUMN(CJ$2),3),1,1),"")</f>
        <v>0</v>
      </c>
      <c r="CK140">
        <f ca="1">IF($AN140="",OFFSET(Demand!$A$13,ROW(U137)-1,4+((QUOTIENT(COLUMN(CK$2)-69,3))*5)+MOD(COLUMN(CK$2),3),1,1),"")</f>
        <v>0</v>
      </c>
      <c r="CL140">
        <f ca="1">IF($AN140="",OFFSET(Demand!$A$13,ROW(V137)-1,4+((QUOTIENT(COLUMN(CL$2)-69,3))*5)+MOD(COLUMN(CL$2),3),1,1),"")</f>
        <v>0</v>
      </c>
      <c r="CM140">
        <f ca="1">IF($AN140="",OFFSET(Demand!$A$13,ROW(W137)-1,4+((QUOTIENT(COLUMN(CM$2)-69,3))*5)+MOD(COLUMN(CM$2),3),1,1),"")</f>
        <v>0</v>
      </c>
      <c r="CN140">
        <f ca="1">IF($AN140="",OFFSET(Demand!$A$13,ROW(X137)-1,4+((QUOTIENT(COLUMN(CN$2)-69,3))*5)+MOD(COLUMN(CN$2),3),1,1),"")</f>
        <v>0</v>
      </c>
      <c r="CO140">
        <f ca="1">IF($AN140="",OFFSET(Demand!$A$13,ROW(Y137)-1,4+((QUOTIENT(COLUMN(CO$2)-69,3))*5)+MOD(COLUMN(CO$2),3),1,1),"")</f>
        <v>0</v>
      </c>
      <c r="CP140">
        <f ca="1">IF($AN140="",OFFSET(Demand!$A$13,ROW(Z137)-1,4+((QUOTIENT(COLUMN(CP$2)-69,3))*5)+MOD(COLUMN(CP$2),3),1,1),"")</f>
        <v>0</v>
      </c>
      <c r="CQ140">
        <f ca="1">IF($AN140="",OFFSET(Demand!$A$13,ROW(AA137)-1,4+((QUOTIENT(COLUMN(CQ$2)-69,3))*5)+MOD(COLUMN(CQ$2),3),1,1),"")</f>
        <v>0</v>
      </c>
      <c r="CR140">
        <f ca="1">IF($AN140="",OFFSET(Demand!$A$13,ROW(AB137)-1,4+((QUOTIENT(COLUMN(CR$2)-69,3))*5)+MOD(COLUMN(CR$2),3),1,1),"")</f>
        <v>0</v>
      </c>
      <c r="CS140">
        <f ca="1">IF($AN140="",OFFSET(Demand!$A$13,ROW(AC137)-1,4+((QUOTIENT(COLUMN(CS$2)-69,3))*5)+MOD(COLUMN(CS$2),3),1,1),"")</f>
        <v>0</v>
      </c>
      <c r="CT140">
        <f ca="1">IF($AN140="",OFFSET(Demand!$A$13,ROW(AD137)-1,4+((QUOTIENT(COLUMN(CT$2)-69,3))*5)+MOD(COLUMN(CT$2),3),1,1),"")</f>
        <v>0</v>
      </c>
      <c r="CW140" s="5">
        <f ca="1">SUM(OFFSET(Demand!$H$43,ROW(A137)-1,(COLUMN(A137)-1)*5,1,1))*N$2</f>
        <v>0</v>
      </c>
      <c r="CX140" s="5">
        <f ca="1">SUM(OFFSET(Demand!$H$43,ROW(B137)-1,(COLUMN(B137)-1)*5,1,1))*O$2</f>
        <v>0</v>
      </c>
      <c r="CY140" s="5">
        <f ca="1">SUM(OFFSET(Demand!$H$43,ROW(C137)-1,(COLUMN(C137)-1)*5,1,1))*P$2</f>
        <v>0</v>
      </c>
      <c r="CZ140" s="5">
        <f ca="1">SUM(OFFSET(Demand!$H$43,ROW(D137)-1,(COLUMN(D137)-1)*5,1,1))*Q$2</f>
        <v>0</v>
      </c>
      <c r="DA140" s="5">
        <f ca="1">SUM(OFFSET(Demand!$H$43,ROW(E137)-1,(COLUMN(E137)-1)*5,1,1))*R$2</f>
        <v>0</v>
      </c>
      <c r="DB140" s="5">
        <f ca="1">SUM(OFFSET(Demand!$H$43,ROW(F137)-1,(COLUMN(F137)-1)*5,1,1))*S$2</f>
        <v>0</v>
      </c>
      <c r="DC140" s="5">
        <f ca="1">SUM(OFFSET(Demand!$H$43,ROW(G137)-1,(COLUMN(G137)-1)*5,1,1))*T$2</f>
        <v>0</v>
      </c>
      <c r="DD140" s="5">
        <f ca="1">SUM(OFFSET(Demand!$H$43,ROW(H137)-1,(COLUMN(H137)-1)*5,1,1))*U$2</f>
        <v>0</v>
      </c>
      <c r="DE140" s="5">
        <f ca="1">SUM(OFFSET(Demand!$H$43,ROW(I137)-1,(COLUMN(I137)-1)*5,1,1))*V$2</f>
        <v>0</v>
      </c>
      <c r="DF140" s="5">
        <f ca="1">SUM(OFFSET(Demand!$H$43,ROW(J137)-1,(COLUMN(J137)-1)*5,1,1))*W$2</f>
        <v>0</v>
      </c>
      <c r="DG140" s="5">
        <f ca="1">IF(OR(AN140&lt;&gt;"",AND('Demand adjustments for Covid'!$F$9="Yes",'Demand adjustments for Covid'!$F$20="Yes")),"",SUM(CW140:DF140))</f>
        <v>0</v>
      </c>
    </row>
    <row r="141" spans="1:111" x14ac:dyDescent="0.25">
      <c r="A141" s="5">
        <f t="shared" ca="1" si="43"/>
        <v>1</v>
      </c>
      <c r="B141" s="5">
        <f ca="1">COUNTBLANK(OFFSET(Demand!$I150,0,(COLUMN(A138)-1)*5,1,1))</f>
        <v>1</v>
      </c>
      <c r="C141" s="5">
        <f ca="1">COUNTBLANK(OFFSET(Demand!$I150,0,(COLUMN(B138)-1)*5,1,1))</f>
        <v>1</v>
      </c>
      <c r="D141" s="5">
        <f ca="1">COUNTBLANK(OFFSET(Demand!$I150,0,(COLUMN(C138)-1)*5,1,1))</f>
        <v>1</v>
      </c>
      <c r="E141" s="5">
        <f ca="1">COUNTBLANK(OFFSET(Demand!$I150,0,(COLUMN(D138)-1)*5,1,1))</f>
        <v>1</v>
      </c>
      <c r="F141" s="5">
        <f ca="1">COUNTBLANK(OFFSET(Demand!$I150,0,(COLUMN(E138)-1)*5,1,1))</f>
        <v>1</v>
      </c>
      <c r="G141" s="5">
        <f ca="1">COUNTBLANK(OFFSET(Demand!$I150,0,(COLUMN(F138)-1)*5,1,1))</f>
        <v>1</v>
      </c>
      <c r="H141" s="5">
        <f ca="1">COUNTBLANK(OFFSET(Demand!$I150,0,(COLUMN(G138)-1)*5,1,1))</f>
        <v>1</v>
      </c>
      <c r="I141" s="5">
        <f ca="1">COUNTBLANK(OFFSET(Demand!$I150,0,(COLUMN(H138)-1)*5,1,1))</f>
        <v>1</v>
      </c>
      <c r="J141" s="5">
        <f ca="1">COUNTBLANK(OFFSET(Demand!$I150,0,(COLUMN(I138)-1)*5,1,1))</f>
        <v>1</v>
      </c>
      <c r="K141" s="5">
        <f ca="1">COUNTBLANK(OFFSET(Demand!$I150,0,(COLUMN(J138)-1)*5,1,1))</f>
        <v>1</v>
      </c>
      <c r="N141" s="5">
        <f ca="1">SUM(OFFSET(Demand!$E150,0,(COLUMN(A138)-1)*5,1,3))*N$2</f>
        <v>0</v>
      </c>
      <c r="O141" s="5">
        <f ca="1">SUM(OFFSET(Demand!$E150,0,(COLUMN(B138)-1)*5,1,3))*O$2</f>
        <v>0</v>
      </c>
      <c r="P141" s="5">
        <f ca="1">SUM(OFFSET(Demand!$E150,0,(COLUMN(C138)-1)*5,1,3))*P$2</f>
        <v>0</v>
      </c>
      <c r="Q141" s="5">
        <f ca="1">SUM(OFFSET(Demand!$E150,0,(COLUMN(D138)-1)*5,1,3))*Q$2</f>
        <v>0</v>
      </c>
      <c r="R141" s="5">
        <f ca="1">SUM(OFFSET(Demand!$E150,0,(COLUMN(E138)-1)*5,1,3))*R$2</f>
        <v>0</v>
      </c>
      <c r="S141" s="5">
        <f ca="1">SUM(OFFSET(Demand!$E150,0,(COLUMN(F138)-1)*5,1,3))*S$2</f>
        <v>0</v>
      </c>
      <c r="T141" s="5">
        <f ca="1">SUM(OFFSET(Demand!$E150,0,(COLUMN(G138)-1)*5,1,3))*T$2</f>
        <v>0</v>
      </c>
      <c r="U141" s="5">
        <f ca="1">SUM(OFFSET(Demand!$E150,0,(COLUMN(H138)-1)*5,1,3))*U$2</f>
        <v>0</v>
      </c>
      <c r="V141" s="5">
        <f ca="1">SUM(OFFSET(Demand!$E150,0,(COLUMN(I138)-1)*5,1,3))*V$2</f>
        <v>0</v>
      </c>
      <c r="W141" s="5">
        <f ca="1">SUM(OFFSET(Demand!$E150,0,(COLUMN(J138)-1)*5,1,3))*W$2</f>
        <v>0</v>
      </c>
      <c r="X141" s="5">
        <f t="shared" ca="1" si="44"/>
        <v>0</v>
      </c>
      <c r="Y141">
        <f t="shared" ca="1" si="45"/>
        <v>0</v>
      </c>
      <c r="Z141" s="5">
        <f ca="1">SUM(OFFSET(Demand!$H150,0,(COLUMN(A138)-1)*5,1,1))*N$2</f>
        <v>0</v>
      </c>
      <c r="AA141" s="5">
        <f ca="1">SUM(OFFSET(Demand!$H150,0,(COLUMN(B138)-1)*5,1,1))*O$2</f>
        <v>0</v>
      </c>
      <c r="AB141" s="5">
        <f ca="1">SUM(OFFSET(Demand!$H150,0,(COLUMN(C138)-1)*5,1,1))*P$2</f>
        <v>0</v>
      </c>
      <c r="AC141" s="5">
        <f ca="1">SUM(OFFSET(Demand!$H150,0,(COLUMN(D138)-1)*5,1,1))*Q$2</f>
        <v>0</v>
      </c>
      <c r="AD141" s="5">
        <f ca="1">SUM(OFFSET(Demand!$H150,0,(COLUMN(E138)-1)*5,1,1))*R$2</f>
        <v>0</v>
      </c>
      <c r="AE141" s="5">
        <f ca="1">SUM(OFFSET(Demand!$H150,0,(COLUMN(F138)-1)*5,1,1))*S$2</f>
        <v>0</v>
      </c>
      <c r="AF141" s="5">
        <f ca="1">SUM(OFFSET(Demand!$H150,0,(COLUMN(G138)-1)*5,1,1))*T$2</f>
        <v>0</v>
      </c>
      <c r="AG141" s="5">
        <f ca="1">SUM(OFFSET(Demand!$H150,0,(COLUMN(H138)-1)*5,1,1))*U$2</f>
        <v>0</v>
      </c>
      <c r="AH141" s="5">
        <f ca="1">SUM(OFFSET(Demand!$H150,0,(COLUMN(I138)-1)*5,1,1))*V$2</f>
        <v>0</v>
      </c>
      <c r="AI141" s="5">
        <f ca="1">SUM(OFFSET(Demand!$H150,0,(COLUMN(J138)-1)*5,1,1))*W$2</f>
        <v>0</v>
      </c>
      <c r="AJ141" s="5">
        <f t="shared" ca="1" si="46"/>
        <v>0</v>
      </c>
      <c r="AL141" s="5">
        <f t="shared" ca="1" si="47"/>
        <v>0</v>
      </c>
      <c r="AM141" s="5">
        <f t="shared" ca="1" si="48"/>
        <v>0</v>
      </c>
      <c r="AN141" s="5" t="str">
        <f>IF(Demand!BE150="Yes","Yes","")</f>
        <v/>
      </c>
      <c r="AP141" s="36" t="str">
        <f ca="1">Demand!B150</f>
        <v xml:space="preserve"> </v>
      </c>
      <c r="AQ141" t="str">
        <f ca="1">IF(TEXT(Demand!D150,"MMM")&lt;&gt;TEXT(Demand!D149,"MMM"),TEXT(Demand!D150,"MMM"),"")</f>
        <v/>
      </c>
      <c r="AT141" s="5">
        <f t="shared" ca="1" si="49"/>
        <v>0</v>
      </c>
      <c r="BQ141">
        <f ca="1">IF($AN141="",OFFSET(Demand!$A$13,ROW(A138)-1,4+((QUOTIENT(COLUMN(BQ$2)-69,3))*5)+MOD(COLUMN(BQ$2),3),1,1),"")</f>
        <v>0</v>
      </c>
      <c r="BR141">
        <f ca="1">IF($AN141="",OFFSET(Demand!$A$13,ROW(B138)-1,4+((QUOTIENT(COLUMN(BR$2)-69,3))*5)+MOD(COLUMN(BR$2),3),1,1),"")</f>
        <v>0</v>
      </c>
      <c r="BS141">
        <f ca="1">IF($AN141="",OFFSET(Demand!$A$13,ROW(C138)-1,4+((QUOTIENT(COLUMN(BS$2)-69,3))*5)+MOD(COLUMN(BS$2),3),1,1),"")</f>
        <v>0</v>
      </c>
      <c r="BT141">
        <f ca="1">IF($AN141="",OFFSET(Demand!$A$13,ROW(D138)-1,4+((QUOTIENT(COLUMN(BT$2)-69,3))*5)+MOD(COLUMN(BT$2),3),1,1),"")</f>
        <v>0</v>
      </c>
      <c r="BU141">
        <f ca="1">IF($AN141="",OFFSET(Demand!$A$13,ROW(E138)-1,4+((QUOTIENT(COLUMN(BU$2)-69,3))*5)+MOD(COLUMN(BU$2),3),1,1),"")</f>
        <v>0</v>
      </c>
      <c r="BV141">
        <f ca="1">IF($AN141="",OFFSET(Demand!$A$13,ROW(F138)-1,4+((QUOTIENT(COLUMN(BV$2)-69,3))*5)+MOD(COLUMN(BV$2),3),1,1),"")</f>
        <v>0</v>
      </c>
      <c r="BW141">
        <f ca="1">IF($AN141="",OFFSET(Demand!$A$13,ROW(G138)-1,4+((QUOTIENT(COLUMN(BW$2)-69,3))*5)+MOD(COLUMN(BW$2),3),1,1),"")</f>
        <v>0</v>
      </c>
      <c r="BX141">
        <f ca="1">IF($AN141="",OFFSET(Demand!$A$13,ROW(H138)-1,4+((QUOTIENT(COLUMN(BX$2)-69,3))*5)+MOD(COLUMN(BX$2),3),1,1),"")</f>
        <v>0</v>
      </c>
      <c r="BY141">
        <f ca="1">IF($AN141="",OFFSET(Demand!$A$13,ROW(I138)-1,4+((QUOTIENT(COLUMN(BY$2)-69,3))*5)+MOD(COLUMN(BY$2),3),1,1),"")</f>
        <v>0</v>
      </c>
      <c r="BZ141">
        <f ca="1">IF($AN141="",OFFSET(Demand!$A$13,ROW(J138)-1,4+((QUOTIENT(COLUMN(BZ$2)-69,3))*5)+MOD(COLUMN(BZ$2),3),1,1),"")</f>
        <v>0</v>
      </c>
      <c r="CA141">
        <f ca="1">IF($AN141="",OFFSET(Demand!$A$13,ROW(K138)-1,4+((QUOTIENT(COLUMN(CA$2)-69,3))*5)+MOD(COLUMN(CA$2),3),1,1),"")</f>
        <v>0</v>
      </c>
      <c r="CB141">
        <f ca="1">IF($AN141="",OFFSET(Demand!$A$13,ROW(L138)-1,4+((QUOTIENT(COLUMN(CB$2)-69,3))*5)+MOD(COLUMN(CB$2),3),1,1),"")</f>
        <v>0</v>
      </c>
      <c r="CC141">
        <f ca="1">IF($AN141="",OFFSET(Demand!$A$13,ROW(M138)-1,4+((QUOTIENT(COLUMN(CC$2)-69,3))*5)+MOD(COLUMN(CC$2),3),1,1),"")</f>
        <v>0</v>
      </c>
      <c r="CD141">
        <f ca="1">IF($AN141="",OFFSET(Demand!$A$13,ROW(N138)-1,4+((QUOTIENT(COLUMN(CD$2)-69,3))*5)+MOD(COLUMN(CD$2),3),1,1),"")</f>
        <v>0</v>
      </c>
      <c r="CE141">
        <f ca="1">IF($AN141="",OFFSET(Demand!$A$13,ROW(O138)-1,4+((QUOTIENT(COLUMN(CE$2)-69,3))*5)+MOD(COLUMN(CE$2),3),1,1),"")</f>
        <v>0</v>
      </c>
      <c r="CF141">
        <f ca="1">IF($AN141="",OFFSET(Demand!$A$13,ROW(P138)-1,4+((QUOTIENT(COLUMN(CF$2)-69,3))*5)+MOD(COLUMN(CF$2),3),1,1),"")</f>
        <v>0</v>
      </c>
      <c r="CG141">
        <f ca="1">IF($AN141="",OFFSET(Demand!$A$13,ROW(Q138)-1,4+((QUOTIENT(COLUMN(CG$2)-69,3))*5)+MOD(COLUMN(CG$2),3),1,1),"")</f>
        <v>0</v>
      </c>
      <c r="CH141">
        <f ca="1">IF($AN141="",OFFSET(Demand!$A$13,ROW(R138)-1,4+((QUOTIENT(COLUMN(CH$2)-69,3))*5)+MOD(COLUMN(CH$2),3),1,1),"")</f>
        <v>0</v>
      </c>
      <c r="CI141">
        <f ca="1">IF($AN141="",OFFSET(Demand!$A$13,ROW(S138)-1,4+((QUOTIENT(COLUMN(CI$2)-69,3))*5)+MOD(COLUMN(CI$2),3),1,1),"")</f>
        <v>0</v>
      </c>
      <c r="CJ141">
        <f ca="1">IF($AN141="",OFFSET(Demand!$A$13,ROW(T138)-1,4+((QUOTIENT(COLUMN(CJ$2)-69,3))*5)+MOD(COLUMN(CJ$2),3),1,1),"")</f>
        <v>0</v>
      </c>
      <c r="CK141">
        <f ca="1">IF($AN141="",OFFSET(Demand!$A$13,ROW(U138)-1,4+((QUOTIENT(COLUMN(CK$2)-69,3))*5)+MOD(COLUMN(CK$2),3),1,1),"")</f>
        <v>0</v>
      </c>
      <c r="CL141">
        <f ca="1">IF($AN141="",OFFSET(Demand!$A$13,ROW(V138)-1,4+((QUOTIENT(COLUMN(CL$2)-69,3))*5)+MOD(COLUMN(CL$2),3),1,1),"")</f>
        <v>0</v>
      </c>
      <c r="CM141">
        <f ca="1">IF($AN141="",OFFSET(Demand!$A$13,ROW(W138)-1,4+((QUOTIENT(COLUMN(CM$2)-69,3))*5)+MOD(COLUMN(CM$2),3),1,1),"")</f>
        <v>0</v>
      </c>
      <c r="CN141">
        <f ca="1">IF($AN141="",OFFSET(Demand!$A$13,ROW(X138)-1,4+((QUOTIENT(COLUMN(CN$2)-69,3))*5)+MOD(COLUMN(CN$2),3),1,1),"")</f>
        <v>0</v>
      </c>
      <c r="CO141">
        <f ca="1">IF($AN141="",OFFSET(Demand!$A$13,ROW(Y138)-1,4+((QUOTIENT(COLUMN(CO$2)-69,3))*5)+MOD(COLUMN(CO$2),3),1,1),"")</f>
        <v>0</v>
      </c>
      <c r="CP141">
        <f ca="1">IF($AN141="",OFFSET(Demand!$A$13,ROW(Z138)-1,4+((QUOTIENT(COLUMN(CP$2)-69,3))*5)+MOD(COLUMN(CP$2),3),1,1),"")</f>
        <v>0</v>
      </c>
      <c r="CQ141">
        <f ca="1">IF($AN141="",OFFSET(Demand!$A$13,ROW(AA138)-1,4+((QUOTIENT(COLUMN(CQ$2)-69,3))*5)+MOD(COLUMN(CQ$2),3),1,1),"")</f>
        <v>0</v>
      </c>
      <c r="CR141">
        <f ca="1">IF($AN141="",OFFSET(Demand!$A$13,ROW(AB138)-1,4+((QUOTIENT(COLUMN(CR$2)-69,3))*5)+MOD(COLUMN(CR$2),3),1,1),"")</f>
        <v>0</v>
      </c>
      <c r="CS141">
        <f ca="1">IF($AN141="",OFFSET(Demand!$A$13,ROW(AC138)-1,4+((QUOTIENT(COLUMN(CS$2)-69,3))*5)+MOD(COLUMN(CS$2),3),1,1),"")</f>
        <v>0</v>
      </c>
      <c r="CT141">
        <f ca="1">IF($AN141="",OFFSET(Demand!$A$13,ROW(AD138)-1,4+((QUOTIENT(COLUMN(CT$2)-69,3))*5)+MOD(COLUMN(CT$2),3),1,1),"")</f>
        <v>0</v>
      </c>
      <c r="CW141" s="5">
        <f ca="1">SUM(OFFSET(Demand!$H$43,ROW(A138)-1,(COLUMN(A138)-1)*5,1,1))*N$2</f>
        <v>0</v>
      </c>
      <c r="CX141" s="5">
        <f ca="1">SUM(OFFSET(Demand!$H$43,ROW(B138)-1,(COLUMN(B138)-1)*5,1,1))*O$2</f>
        <v>0</v>
      </c>
      <c r="CY141" s="5">
        <f ca="1">SUM(OFFSET(Demand!$H$43,ROW(C138)-1,(COLUMN(C138)-1)*5,1,1))*P$2</f>
        <v>0</v>
      </c>
      <c r="CZ141" s="5">
        <f ca="1">SUM(OFFSET(Demand!$H$43,ROW(D138)-1,(COLUMN(D138)-1)*5,1,1))*Q$2</f>
        <v>0</v>
      </c>
      <c r="DA141" s="5">
        <f ca="1">SUM(OFFSET(Demand!$H$43,ROW(E138)-1,(COLUMN(E138)-1)*5,1,1))*R$2</f>
        <v>0</v>
      </c>
      <c r="DB141" s="5">
        <f ca="1">SUM(OFFSET(Demand!$H$43,ROW(F138)-1,(COLUMN(F138)-1)*5,1,1))*S$2</f>
        <v>0</v>
      </c>
      <c r="DC141" s="5">
        <f ca="1">SUM(OFFSET(Demand!$H$43,ROW(G138)-1,(COLUMN(G138)-1)*5,1,1))*T$2</f>
        <v>0</v>
      </c>
      <c r="DD141" s="5">
        <f ca="1">SUM(OFFSET(Demand!$H$43,ROW(H138)-1,(COLUMN(H138)-1)*5,1,1))*U$2</f>
        <v>0</v>
      </c>
      <c r="DE141" s="5">
        <f ca="1">SUM(OFFSET(Demand!$H$43,ROW(I138)-1,(COLUMN(I138)-1)*5,1,1))*V$2</f>
        <v>0</v>
      </c>
      <c r="DF141" s="5">
        <f ca="1">SUM(OFFSET(Demand!$H$43,ROW(J138)-1,(COLUMN(J138)-1)*5,1,1))*W$2</f>
        <v>0</v>
      </c>
      <c r="DG141" s="5">
        <f ca="1">IF(OR(AN141&lt;&gt;"",AND('Demand adjustments for Covid'!$F$9="Yes",'Demand adjustments for Covid'!$F$20="Yes")),"",SUM(CW141:DF141))</f>
        <v>0</v>
      </c>
    </row>
    <row r="142" spans="1:111" x14ac:dyDescent="0.25">
      <c r="A142" s="5">
        <f t="shared" ca="1" si="43"/>
        <v>1</v>
      </c>
      <c r="B142" s="5">
        <f ca="1">COUNTBLANK(OFFSET(Demand!$I151,0,(COLUMN(A139)-1)*5,1,1))</f>
        <v>1</v>
      </c>
      <c r="C142" s="5">
        <f ca="1">COUNTBLANK(OFFSET(Demand!$I151,0,(COLUMN(B139)-1)*5,1,1))</f>
        <v>1</v>
      </c>
      <c r="D142" s="5">
        <f ca="1">COUNTBLANK(OFFSET(Demand!$I151,0,(COLUMN(C139)-1)*5,1,1))</f>
        <v>1</v>
      </c>
      <c r="E142" s="5">
        <f ca="1">COUNTBLANK(OFFSET(Demand!$I151,0,(COLUMN(D139)-1)*5,1,1))</f>
        <v>1</v>
      </c>
      <c r="F142" s="5">
        <f ca="1">COUNTBLANK(OFFSET(Demand!$I151,0,(COLUMN(E139)-1)*5,1,1))</f>
        <v>1</v>
      </c>
      <c r="G142" s="5">
        <f ca="1">COUNTBLANK(OFFSET(Demand!$I151,0,(COLUMN(F139)-1)*5,1,1))</f>
        <v>1</v>
      </c>
      <c r="H142" s="5">
        <f ca="1">COUNTBLANK(OFFSET(Demand!$I151,0,(COLUMN(G139)-1)*5,1,1))</f>
        <v>1</v>
      </c>
      <c r="I142" s="5">
        <f ca="1">COUNTBLANK(OFFSET(Demand!$I151,0,(COLUMN(H139)-1)*5,1,1))</f>
        <v>1</v>
      </c>
      <c r="J142" s="5">
        <f ca="1">COUNTBLANK(OFFSET(Demand!$I151,0,(COLUMN(I139)-1)*5,1,1))</f>
        <v>1</v>
      </c>
      <c r="K142" s="5">
        <f ca="1">COUNTBLANK(OFFSET(Demand!$I151,0,(COLUMN(J139)-1)*5,1,1))</f>
        <v>1</v>
      </c>
      <c r="N142" s="5">
        <f ca="1">SUM(OFFSET(Demand!$E151,0,(COLUMN(A139)-1)*5,1,3))*N$2</f>
        <v>0</v>
      </c>
      <c r="O142" s="5">
        <f ca="1">SUM(OFFSET(Demand!$E151,0,(COLUMN(B139)-1)*5,1,3))*O$2</f>
        <v>0</v>
      </c>
      <c r="P142" s="5">
        <f ca="1">SUM(OFFSET(Demand!$E151,0,(COLUMN(C139)-1)*5,1,3))*P$2</f>
        <v>0</v>
      </c>
      <c r="Q142" s="5">
        <f ca="1">SUM(OFFSET(Demand!$E151,0,(COLUMN(D139)-1)*5,1,3))*Q$2</f>
        <v>0</v>
      </c>
      <c r="R142" s="5">
        <f ca="1">SUM(OFFSET(Demand!$E151,0,(COLUMN(E139)-1)*5,1,3))*R$2</f>
        <v>0</v>
      </c>
      <c r="S142" s="5">
        <f ca="1">SUM(OFFSET(Demand!$E151,0,(COLUMN(F139)-1)*5,1,3))*S$2</f>
        <v>0</v>
      </c>
      <c r="T142" s="5">
        <f ca="1">SUM(OFFSET(Demand!$E151,0,(COLUMN(G139)-1)*5,1,3))*T$2</f>
        <v>0</v>
      </c>
      <c r="U142" s="5">
        <f ca="1">SUM(OFFSET(Demand!$E151,0,(COLUMN(H139)-1)*5,1,3))*U$2</f>
        <v>0</v>
      </c>
      <c r="V142" s="5">
        <f ca="1">SUM(OFFSET(Demand!$E151,0,(COLUMN(I139)-1)*5,1,3))*V$2</f>
        <v>0</v>
      </c>
      <c r="W142" s="5">
        <f ca="1">SUM(OFFSET(Demand!$E151,0,(COLUMN(J139)-1)*5,1,3))*W$2</f>
        <v>0</v>
      </c>
      <c r="X142" s="5">
        <f t="shared" ca="1" si="44"/>
        <v>0</v>
      </c>
      <c r="Y142">
        <f t="shared" ca="1" si="45"/>
        <v>0</v>
      </c>
      <c r="Z142" s="5">
        <f ca="1">SUM(OFFSET(Demand!$H151,0,(COLUMN(A139)-1)*5,1,1))*N$2</f>
        <v>0</v>
      </c>
      <c r="AA142" s="5">
        <f ca="1">SUM(OFFSET(Demand!$H151,0,(COLUMN(B139)-1)*5,1,1))*O$2</f>
        <v>0</v>
      </c>
      <c r="AB142" s="5">
        <f ca="1">SUM(OFFSET(Demand!$H151,0,(COLUMN(C139)-1)*5,1,1))*P$2</f>
        <v>0</v>
      </c>
      <c r="AC142" s="5">
        <f ca="1">SUM(OFFSET(Demand!$H151,0,(COLUMN(D139)-1)*5,1,1))*Q$2</f>
        <v>0</v>
      </c>
      <c r="AD142" s="5">
        <f ca="1">SUM(OFFSET(Demand!$H151,0,(COLUMN(E139)-1)*5,1,1))*R$2</f>
        <v>0</v>
      </c>
      <c r="AE142" s="5">
        <f ca="1">SUM(OFFSET(Demand!$H151,0,(COLUMN(F139)-1)*5,1,1))*S$2</f>
        <v>0</v>
      </c>
      <c r="AF142" s="5">
        <f ca="1">SUM(OFFSET(Demand!$H151,0,(COLUMN(G139)-1)*5,1,1))*T$2</f>
        <v>0</v>
      </c>
      <c r="AG142" s="5">
        <f ca="1">SUM(OFFSET(Demand!$H151,0,(COLUMN(H139)-1)*5,1,1))*U$2</f>
        <v>0</v>
      </c>
      <c r="AH142" s="5">
        <f ca="1">SUM(OFFSET(Demand!$H151,0,(COLUMN(I139)-1)*5,1,1))*V$2</f>
        <v>0</v>
      </c>
      <c r="AI142" s="5">
        <f ca="1">SUM(OFFSET(Demand!$H151,0,(COLUMN(J139)-1)*5,1,1))*W$2</f>
        <v>0</v>
      </c>
      <c r="AJ142" s="5">
        <f t="shared" ca="1" si="46"/>
        <v>0</v>
      </c>
      <c r="AL142" s="5">
        <f t="shared" ca="1" si="47"/>
        <v>0</v>
      </c>
      <c r="AM142" s="5">
        <f t="shared" ca="1" si="48"/>
        <v>0</v>
      </c>
      <c r="AN142" s="5" t="str">
        <f>IF(Demand!BE151="Yes","Yes","")</f>
        <v/>
      </c>
      <c r="AP142" s="36" t="str">
        <f ca="1">Demand!B151</f>
        <v xml:space="preserve"> </v>
      </c>
      <c r="AQ142" t="str">
        <f ca="1">IF(TEXT(Demand!D151,"MMM")&lt;&gt;TEXT(Demand!D150,"MMM"),TEXT(Demand!D151,"MMM"),"")</f>
        <v/>
      </c>
      <c r="AT142" s="5">
        <f t="shared" ca="1" si="49"/>
        <v>0</v>
      </c>
      <c r="BQ142">
        <f ca="1">IF($AN142="",OFFSET(Demand!$A$13,ROW(A139)-1,4+((QUOTIENT(COLUMN(BQ$2)-69,3))*5)+MOD(COLUMN(BQ$2),3),1,1),"")</f>
        <v>0</v>
      </c>
      <c r="BR142">
        <f ca="1">IF($AN142="",OFFSET(Demand!$A$13,ROW(B139)-1,4+((QUOTIENT(COLUMN(BR$2)-69,3))*5)+MOD(COLUMN(BR$2),3),1,1),"")</f>
        <v>0</v>
      </c>
      <c r="BS142">
        <f ca="1">IF($AN142="",OFFSET(Demand!$A$13,ROW(C139)-1,4+((QUOTIENT(COLUMN(BS$2)-69,3))*5)+MOD(COLUMN(BS$2),3),1,1),"")</f>
        <v>0</v>
      </c>
      <c r="BT142">
        <f ca="1">IF($AN142="",OFFSET(Demand!$A$13,ROW(D139)-1,4+((QUOTIENT(COLUMN(BT$2)-69,3))*5)+MOD(COLUMN(BT$2),3),1,1),"")</f>
        <v>0</v>
      </c>
      <c r="BU142">
        <f ca="1">IF($AN142="",OFFSET(Demand!$A$13,ROW(E139)-1,4+((QUOTIENT(COLUMN(BU$2)-69,3))*5)+MOD(COLUMN(BU$2),3),1,1),"")</f>
        <v>0</v>
      </c>
      <c r="BV142">
        <f ca="1">IF($AN142="",OFFSET(Demand!$A$13,ROW(F139)-1,4+((QUOTIENT(COLUMN(BV$2)-69,3))*5)+MOD(COLUMN(BV$2),3),1,1),"")</f>
        <v>0</v>
      </c>
      <c r="BW142">
        <f ca="1">IF($AN142="",OFFSET(Demand!$A$13,ROW(G139)-1,4+((QUOTIENT(COLUMN(BW$2)-69,3))*5)+MOD(COLUMN(BW$2),3),1,1),"")</f>
        <v>0</v>
      </c>
      <c r="BX142">
        <f ca="1">IF($AN142="",OFFSET(Demand!$A$13,ROW(H139)-1,4+((QUOTIENT(COLUMN(BX$2)-69,3))*5)+MOD(COLUMN(BX$2),3),1,1),"")</f>
        <v>0</v>
      </c>
      <c r="BY142">
        <f ca="1">IF($AN142="",OFFSET(Demand!$A$13,ROW(I139)-1,4+((QUOTIENT(COLUMN(BY$2)-69,3))*5)+MOD(COLUMN(BY$2),3),1,1),"")</f>
        <v>0</v>
      </c>
      <c r="BZ142">
        <f ca="1">IF($AN142="",OFFSET(Demand!$A$13,ROW(J139)-1,4+((QUOTIENT(COLUMN(BZ$2)-69,3))*5)+MOD(COLUMN(BZ$2),3),1,1),"")</f>
        <v>0</v>
      </c>
      <c r="CA142">
        <f ca="1">IF($AN142="",OFFSET(Demand!$A$13,ROW(K139)-1,4+((QUOTIENT(COLUMN(CA$2)-69,3))*5)+MOD(COLUMN(CA$2),3),1,1),"")</f>
        <v>0</v>
      </c>
      <c r="CB142">
        <f ca="1">IF($AN142="",OFFSET(Demand!$A$13,ROW(L139)-1,4+((QUOTIENT(COLUMN(CB$2)-69,3))*5)+MOD(COLUMN(CB$2),3),1,1),"")</f>
        <v>0</v>
      </c>
      <c r="CC142">
        <f ca="1">IF($AN142="",OFFSET(Demand!$A$13,ROW(M139)-1,4+((QUOTIENT(COLUMN(CC$2)-69,3))*5)+MOD(COLUMN(CC$2),3),1,1),"")</f>
        <v>0</v>
      </c>
      <c r="CD142">
        <f ca="1">IF($AN142="",OFFSET(Demand!$A$13,ROW(N139)-1,4+((QUOTIENT(COLUMN(CD$2)-69,3))*5)+MOD(COLUMN(CD$2),3),1,1),"")</f>
        <v>0</v>
      </c>
      <c r="CE142">
        <f ca="1">IF($AN142="",OFFSET(Demand!$A$13,ROW(O139)-1,4+((QUOTIENT(COLUMN(CE$2)-69,3))*5)+MOD(COLUMN(CE$2),3),1,1),"")</f>
        <v>0</v>
      </c>
      <c r="CF142">
        <f ca="1">IF($AN142="",OFFSET(Demand!$A$13,ROW(P139)-1,4+((QUOTIENT(COLUMN(CF$2)-69,3))*5)+MOD(COLUMN(CF$2),3),1,1),"")</f>
        <v>0</v>
      </c>
      <c r="CG142">
        <f ca="1">IF($AN142="",OFFSET(Demand!$A$13,ROW(Q139)-1,4+((QUOTIENT(COLUMN(CG$2)-69,3))*5)+MOD(COLUMN(CG$2),3),1,1),"")</f>
        <v>0</v>
      </c>
      <c r="CH142">
        <f ca="1">IF($AN142="",OFFSET(Demand!$A$13,ROW(R139)-1,4+((QUOTIENT(COLUMN(CH$2)-69,3))*5)+MOD(COLUMN(CH$2),3),1,1),"")</f>
        <v>0</v>
      </c>
      <c r="CI142">
        <f ca="1">IF($AN142="",OFFSET(Demand!$A$13,ROW(S139)-1,4+((QUOTIENT(COLUMN(CI$2)-69,3))*5)+MOD(COLUMN(CI$2),3),1,1),"")</f>
        <v>0</v>
      </c>
      <c r="CJ142">
        <f ca="1">IF($AN142="",OFFSET(Demand!$A$13,ROW(T139)-1,4+((QUOTIENT(COLUMN(CJ$2)-69,3))*5)+MOD(COLUMN(CJ$2),3),1,1),"")</f>
        <v>0</v>
      </c>
      <c r="CK142">
        <f ca="1">IF($AN142="",OFFSET(Demand!$A$13,ROW(U139)-1,4+((QUOTIENT(COLUMN(CK$2)-69,3))*5)+MOD(COLUMN(CK$2),3),1,1),"")</f>
        <v>0</v>
      </c>
      <c r="CL142">
        <f ca="1">IF($AN142="",OFFSET(Demand!$A$13,ROW(V139)-1,4+((QUOTIENT(COLUMN(CL$2)-69,3))*5)+MOD(COLUMN(CL$2),3),1,1),"")</f>
        <v>0</v>
      </c>
      <c r="CM142">
        <f ca="1">IF($AN142="",OFFSET(Demand!$A$13,ROW(W139)-1,4+((QUOTIENT(COLUMN(CM$2)-69,3))*5)+MOD(COLUMN(CM$2),3),1,1),"")</f>
        <v>0</v>
      </c>
      <c r="CN142">
        <f ca="1">IF($AN142="",OFFSET(Demand!$A$13,ROW(X139)-1,4+((QUOTIENT(COLUMN(CN$2)-69,3))*5)+MOD(COLUMN(CN$2),3),1,1),"")</f>
        <v>0</v>
      </c>
      <c r="CO142">
        <f ca="1">IF($AN142="",OFFSET(Demand!$A$13,ROW(Y139)-1,4+((QUOTIENT(COLUMN(CO$2)-69,3))*5)+MOD(COLUMN(CO$2),3),1,1),"")</f>
        <v>0</v>
      </c>
      <c r="CP142">
        <f ca="1">IF($AN142="",OFFSET(Demand!$A$13,ROW(Z139)-1,4+((QUOTIENT(COLUMN(CP$2)-69,3))*5)+MOD(COLUMN(CP$2),3),1,1),"")</f>
        <v>0</v>
      </c>
      <c r="CQ142">
        <f ca="1">IF($AN142="",OFFSET(Demand!$A$13,ROW(AA139)-1,4+((QUOTIENT(COLUMN(CQ$2)-69,3))*5)+MOD(COLUMN(CQ$2),3),1,1),"")</f>
        <v>0</v>
      </c>
      <c r="CR142">
        <f ca="1">IF($AN142="",OFFSET(Demand!$A$13,ROW(AB139)-1,4+((QUOTIENT(COLUMN(CR$2)-69,3))*5)+MOD(COLUMN(CR$2),3),1,1),"")</f>
        <v>0</v>
      </c>
      <c r="CS142">
        <f ca="1">IF($AN142="",OFFSET(Demand!$A$13,ROW(AC139)-1,4+((QUOTIENT(COLUMN(CS$2)-69,3))*5)+MOD(COLUMN(CS$2),3),1,1),"")</f>
        <v>0</v>
      </c>
      <c r="CT142">
        <f ca="1">IF($AN142="",OFFSET(Demand!$A$13,ROW(AD139)-1,4+((QUOTIENT(COLUMN(CT$2)-69,3))*5)+MOD(COLUMN(CT$2),3),1,1),"")</f>
        <v>0</v>
      </c>
      <c r="CW142" s="5">
        <f ca="1">SUM(OFFSET(Demand!$H$43,ROW(A139)-1,(COLUMN(A139)-1)*5,1,1))*N$2</f>
        <v>0</v>
      </c>
      <c r="CX142" s="5">
        <f ca="1">SUM(OFFSET(Demand!$H$43,ROW(B139)-1,(COLUMN(B139)-1)*5,1,1))*O$2</f>
        <v>0</v>
      </c>
      <c r="CY142" s="5">
        <f ca="1">SUM(OFFSET(Demand!$H$43,ROW(C139)-1,(COLUMN(C139)-1)*5,1,1))*P$2</f>
        <v>0</v>
      </c>
      <c r="CZ142" s="5">
        <f ca="1">SUM(OFFSET(Demand!$H$43,ROW(D139)-1,(COLUMN(D139)-1)*5,1,1))*Q$2</f>
        <v>0</v>
      </c>
      <c r="DA142" s="5">
        <f ca="1">SUM(OFFSET(Demand!$H$43,ROW(E139)-1,(COLUMN(E139)-1)*5,1,1))*R$2</f>
        <v>0</v>
      </c>
      <c r="DB142" s="5">
        <f ca="1">SUM(OFFSET(Demand!$H$43,ROW(F139)-1,(COLUMN(F139)-1)*5,1,1))*S$2</f>
        <v>0</v>
      </c>
      <c r="DC142" s="5">
        <f ca="1">SUM(OFFSET(Demand!$H$43,ROW(G139)-1,(COLUMN(G139)-1)*5,1,1))*T$2</f>
        <v>0</v>
      </c>
      <c r="DD142" s="5">
        <f ca="1">SUM(OFFSET(Demand!$H$43,ROW(H139)-1,(COLUMN(H139)-1)*5,1,1))*U$2</f>
        <v>0</v>
      </c>
      <c r="DE142" s="5">
        <f ca="1">SUM(OFFSET(Demand!$H$43,ROW(I139)-1,(COLUMN(I139)-1)*5,1,1))*V$2</f>
        <v>0</v>
      </c>
      <c r="DF142" s="5">
        <f ca="1">SUM(OFFSET(Demand!$H$43,ROW(J139)-1,(COLUMN(J139)-1)*5,1,1))*W$2</f>
        <v>0</v>
      </c>
      <c r="DG142" s="5">
        <f ca="1">IF(OR(AN142&lt;&gt;"",AND('Demand adjustments for Covid'!$F$9="Yes",'Demand adjustments for Covid'!$F$20="Yes")),"",SUM(CW142:DF142))</f>
        <v>0</v>
      </c>
    </row>
    <row r="143" spans="1:111" x14ac:dyDescent="0.25">
      <c r="A143" s="5">
        <f t="shared" ca="1" si="43"/>
        <v>1</v>
      </c>
      <c r="B143" s="5">
        <f ca="1">COUNTBLANK(OFFSET(Demand!$I152,0,(COLUMN(A140)-1)*5,1,1))</f>
        <v>1</v>
      </c>
      <c r="C143" s="5">
        <f ca="1">COUNTBLANK(OFFSET(Demand!$I152,0,(COLUMN(B140)-1)*5,1,1))</f>
        <v>1</v>
      </c>
      <c r="D143" s="5">
        <f ca="1">COUNTBLANK(OFFSET(Demand!$I152,0,(COLUMN(C140)-1)*5,1,1))</f>
        <v>1</v>
      </c>
      <c r="E143" s="5">
        <f ca="1">COUNTBLANK(OFFSET(Demand!$I152,0,(COLUMN(D140)-1)*5,1,1))</f>
        <v>1</v>
      </c>
      <c r="F143" s="5">
        <f ca="1">COUNTBLANK(OFFSET(Demand!$I152,0,(COLUMN(E140)-1)*5,1,1))</f>
        <v>1</v>
      </c>
      <c r="G143" s="5">
        <f ca="1">COUNTBLANK(OFFSET(Demand!$I152,0,(COLUMN(F140)-1)*5,1,1))</f>
        <v>1</v>
      </c>
      <c r="H143" s="5">
        <f ca="1">COUNTBLANK(OFFSET(Demand!$I152,0,(COLUMN(G140)-1)*5,1,1))</f>
        <v>1</v>
      </c>
      <c r="I143" s="5">
        <f ca="1">COUNTBLANK(OFFSET(Demand!$I152,0,(COLUMN(H140)-1)*5,1,1))</f>
        <v>1</v>
      </c>
      <c r="J143" s="5">
        <f ca="1">COUNTBLANK(OFFSET(Demand!$I152,0,(COLUMN(I140)-1)*5,1,1))</f>
        <v>1</v>
      </c>
      <c r="K143" s="5">
        <f ca="1">COUNTBLANK(OFFSET(Demand!$I152,0,(COLUMN(J140)-1)*5,1,1))</f>
        <v>1</v>
      </c>
      <c r="N143" s="5">
        <f ca="1">SUM(OFFSET(Demand!$E152,0,(COLUMN(A140)-1)*5,1,3))*N$2</f>
        <v>0</v>
      </c>
      <c r="O143" s="5">
        <f ca="1">SUM(OFFSET(Demand!$E152,0,(COLUMN(B140)-1)*5,1,3))*O$2</f>
        <v>0</v>
      </c>
      <c r="P143" s="5">
        <f ca="1">SUM(OFFSET(Demand!$E152,0,(COLUMN(C140)-1)*5,1,3))*P$2</f>
        <v>0</v>
      </c>
      <c r="Q143" s="5">
        <f ca="1">SUM(OFFSET(Demand!$E152,0,(COLUMN(D140)-1)*5,1,3))*Q$2</f>
        <v>0</v>
      </c>
      <c r="R143" s="5">
        <f ca="1">SUM(OFFSET(Demand!$E152,0,(COLUMN(E140)-1)*5,1,3))*R$2</f>
        <v>0</v>
      </c>
      <c r="S143" s="5">
        <f ca="1">SUM(OFFSET(Demand!$E152,0,(COLUMN(F140)-1)*5,1,3))*S$2</f>
        <v>0</v>
      </c>
      <c r="T143" s="5">
        <f ca="1">SUM(OFFSET(Demand!$E152,0,(COLUMN(G140)-1)*5,1,3))*T$2</f>
        <v>0</v>
      </c>
      <c r="U143" s="5">
        <f ca="1">SUM(OFFSET(Demand!$E152,0,(COLUMN(H140)-1)*5,1,3))*U$2</f>
        <v>0</v>
      </c>
      <c r="V143" s="5">
        <f ca="1">SUM(OFFSET(Demand!$E152,0,(COLUMN(I140)-1)*5,1,3))*V$2</f>
        <v>0</v>
      </c>
      <c r="W143" s="5">
        <f ca="1">SUM(OFFSET(Demand!$E152,0,(COLUMN(J140)-1)*5,1,3))*W$2</f>
        <v>0</v>
      </c>
      <c r="X143" s="5">
        <f t="shared" ca="1" si="44"/>
        <v>0</v>
      </c>
      <c r="Y143">
        <f t="shared" ca="1" si="45"/>
        <v>0</v>
      </c>
      <c r="Z143" s="5">
        <f ca="1">SUM(OFFSET(Demand!$H152,0,(COLUMN(A140)-1)*5,1,1))*N$2</f>
        <v>0</v>
      </c>
      <c r="AA143" s="5">
        <f ca="1">SUM(OFFSET(Demand!$H152,0,(COLUMN(B140)-1)*5,1,1))*O$2</f>
        <v>0</v>
      </c>
      <c r="AB143" s="5">
        <f ca="1">SUM(OFFSET(Demand!$H152,0,(COLUMN(C140)-1)*5,1,1))*P$2</f>
        <v>0</v>
      </c>
      <c r="AC143" s="5">
        <f ca="1">SUM(OFFSET(Demand!$H152,0,(COLUMN(D140)-1)*5,1,1))*Q$2</f>
        <v>0</v>
      </c>
      <c r="AD143" s="5">
        <f ca="1">SUM(OFFSET(Demand!$H152,0,(COLUMN(E140)-1)*5,1,1))*R$2</f>
        <v>0</v>
      </c>
      <c r="AE143" s="5">
        <f ca="1">SUM(OFFSET(Demand!$H152,0,(COLUMN(F140)-1)*5,1,1))*S$2</f>
        <v>0</v>
      </c>
      <c r="AF143" s="5">
        <f ca="1">SUM(OFFSET(Demand!$H152,0,(COLUMN(G140)-1)*5,1,1))*T$2</f>
        <v>0</v>
      </c>
      <c r="AG143" s="5">
        <f ca="1">SUM(OFFSET(Demand!$H152,0,(COLUMN(H140)-1)*5,1,1))*U$2</f>
        <v>0</v>
      </c>
      <c r="AH143" s="5">
        <f ca="1">SUM(OFFSET(Demand!$H152,0,(COLUMN(I140)-1)*5,1,1))*V$2</f>
        <v>0</v>
      </c>
      <c r="AI143" s="5">
        <f ca="1">SUM(OFFSET(Demand!$H152,0,(COLUMN(J140)-1)*5,1,1))*W$2</f>
        <v>0</v>
      </c>
      <c r="AJ143" s="5">
        <f t="shared" ca="1" si="46"/>
        <v>0</v>
      </c>
      <c r="AL143" s="5">
        <f t="shared" ca="1" si="47"/>
        <v>0</v>
      </c>
      <c r="AM143" s="5">
        <f t="shared" ca="1" si="48"/>
        <v>0</v>
      </c>
      <c r="AN143" s="5" t="str">
        <f>IF(Demand!BE152="Yes","Yes","")</f>
        <v/>
      </c>
      <c r="AP143" s="36" t="str">
        <f ca="1">Demand!B152</f>
        <v xml:space="preserve"> </v>
      </c>
      <c r="AQ143" t="str">
        <f ca="1">IF(TEXT(Demand!D152,"MMM")&lt;&gt;TEXT(Demand!D151,"MMM"),TEXT(Demand!D152,"MMM"),"")</f>
        <v/>
      </c>
      <c r="AT143" s="5">
        <f t="shared" ca="1" si="49"/>
        <v>0</v>
      </c>
      <c r="BQ143">
        <f ca="1">IF($AN143="",OFFSET(Demand!$A$13,ROW(A140)-1,4+((QUOTIENT(COLUMN(BQ$2)-69,3))*5)+MOD(COLUMN(BQ$2),3),1,1),"")</f>
        <v>0</v>
      </c>
      <c r="BR143">
        <f ca="1">IF($AN143="",OFFSET(Demand!$A$13,ROW(B140)-1,4+((QUOTIENT(COLUMN(BR$2)-69,3))*5)+MOD(COLUMN(BR$2),3),1,1),"")</f>
        <v>0</v>
      </c>
      <c r="BS143">
        <f ca="1">IF($AN143="",OFFSET(Demand!$A$13,ROW(C140)-1,4+((QUOTIENT(COLUMN(BS$2)-69,3))*5)+MOD(COLUMN(BS$2),3),1,1),"")</f>
        <v>0</v>
      </c>
      <c r="BT143">
        <f ca="1">IF($AN143="",OFFSET(Demand!$A$13,ROW(D140)-1,4+((QUOTIENT(COLUMN(BT$2)-69,3))*5)+MOD(COLUMN(BT$2),3),1,1),"")</f>
        <v>0</v>
      </c>
      <c r="BU143">
        <f ca="1">IF($AN143="",OFFSET(Demand!$A$13,ROW(E140)-1,4+((QUOTIENT(COLUMN(BU$2)-69,3))*5)+MOD(COLUMN(BU$2),3),1,1),"")</f>
        <v>0</v>
      </c>
      <c r="BV143">
        <f ca="1">IF($AN143="",OFFSET(Demand!$A$13,ROW(F140)-1,4+((QUOTIENT(COLUMN(BV$2)-69,3))*5)+MOD(COLUMN(BV$2),3),1,1),"")</f>
        <v>0</v>
      </c>
      <c r="BW143">
        <f ca="1">IF($AN143="",OFFSET(Demand!$A$13,ROW(G140)-1,4+((QUOTIENT(COLUMN(BW$2)-69,3))*5)+MOD(COLUMN(BW$2),3),1,1),"")</f>
        <v>0</v>
      </c>
      <c r="BX143">
        <f ca="1">IF($AN143="",OFFSET(Demand!$A$13,ROW(H140)-1,4+((QUOTIENT(COLUMN(BX$2)-69,3))*5)+MOD(COLUMN(BX$2),3),1,1),"")</f>
        <v>0</v>
      </c>
      <c r="BY143">
        <f ca="1">IF($AN143="",OFFSET(Demand!$A$13,ROW(I140)-1,4+((QUOTIENT(COLUMN(BY$2)-69,3))*5)+MOD(COLUMN(BY$2),3),1,1),"")</f>
        <v>0</v>
      </c>
      <c r="BZ143">
        <f ca="1">IF($AN143="",OFFSET(Demand!$A$13,ROW(J140)-1,4+((QUOTIENT(COLUMN(BZ$2)-69,3))*5)+MOD(COLUMN(BZ$2),3),1,1),"")</f>
        <v>0</v>
      </c>
      <c r="CA143">
        <f ca="1">IF($AN143="",OFFSET(Demand!$A$13,ROW(K140)-1,4+((QUOTIENT(COLUMN(CA$2)-69,3))*5)+MOD(COLUMN(CA$2),3),1,1),"")</f>
        <v>0</v>
      </c>
      <c r="CB143">
        <f ca="1">IF($AN143="",OFFSET(Demand!$A$13,ROW(L140)-1,4+((QUOTIENT(COLUMN(CB$2)-69,3))*5)+MOD(COLUMN(CB$2),3),1,1),"")</f>
        <v>0</v>
      </c>
      <c r="CC143">
        <f ca="1">IF($AN143="",OFFSET(Demand!$A$13,ROW(M140)-1,4+((QUOTIENT(COLUMN(CC$2)-69,3))*5)+MOD(COLUMN(CC$2),3),1,1),"")</f>
        <v>0</v>
      </c>
      <c r="CD143">
        <f ca="1">IF($AN143="",OFFSET(Demand!$A$13,ROW(N140)-1,4+((QUOTIENT(COLUMN(CD$2)-69,3))*5)+MOD(COLUMN(CD$2),3),1,1),"")</f>
        <v>0</v>
      </c>
      <c r="CE143">
        <f ca="1">IF($AN143="",OFFSET(Demand!$A$13,ROW(O140)-1,4+((QUOTIENT(COLUMN(CE$2)-69,3))*5)+MOD(COLUMN(CE$2),3),1,1),"")</f>
        <v>0</v>
      </c>
      <c r="CF143">
        <f ca="1">IF($AN143="",OFFSET(Demand!$A$13,ROW(P140)-1,4+((QUOTIENT(COLUMN(CF$2)-69,3))*5)+MOD(COLUMN(CF$2),3),1,1),"")</f>
        <v>0</v>
      </c>
      <c r="CG143">
        <f ca="1">IF($AN143="",OFFSET(Demand!$A$13,ROW(Q140)-1,4+((QUOTIENT(COLUMN(CG$2)-69,3))*5)+MOD(COLUMN(CG$2),3),1,1),"")</f>
        <v>0</v>
      </c>
      <c r="CH143">
        <f ca="1">IF($AN143="",OFFSET(Demand!$A$13,ROW(R140)-1,4+((QUOTIENT(COLUMN(CH$2)-69,3))*5)+MOD(COLUMN(CH$2),3),1,1),"")</f>
        <v>0</v>
      </c>
      <c r="CI143">
        <f ca="1">IF($AN143="",OFFSET(Demand!$A$13,ROW(S140)-1,4+((QUOTIENT(COLUMN(CI$2)-69,3))*5)+MOD(COLUMN(CI$2),3),1,1),"")</f>
        <v>0</v>
      </c>
      <c r="CJ143">
        <f ca="1">IF($AN143="",OFFSET(Demand!$A$13,ROW(T140)-1,4+((QUOTIENT(COLUMN(CJ$2)-69,3))*5)+MOD(COLUMN(CJ$2),3),1,1),"")</f>
        <v>0</v>
      </c>
      <c r="CK143">
        <f ca="1">IF($AN143="",OFFSET(Demand!$A$13,ROW(U140)-1,4+((QUOTIENT(COLUMN(CK$2)-69,3))*5)+MOD(COLUMN(CK$2),3),1,1),"")</f>
        <v>0</v>
      </c>
      <c r="CL143">
        <f ca="1">IF($AN143="",OFFSET(Demand!$A$13,ROW(V140)-1,4+((QUOTIENT(COLUMN(CL$2)-69,3))*5)+MOD(COLUMN(CL$2),3),1,1),"")</f>
        <v>0</v>
      </c>
      <c r="CM143">
        <f ca="1">IF($AN143="",OFFSET(Demand!$A$13,ROW(W140)-1,4+((QUOTIENT(COLUMN(CM$2)-69,3))*5)+MOD(COLUMN(CM$2),3),1,1),"")</f>
        <v>0</v>
      </c>
      <c r="CN143">
        <f ca="1">IF($AN143="",OFFSET(Demand!$A$13,ROW(X140)-1,4+((QUOTIENT(COLUMN(CN$2)-69,3))*5)+MOD(COLUMN(CN$2),3),1,1),"")</f>
        <v>0</v>
      </c>
      <c r="CO143">
        <f ca="1">IF($AN143="",OFFSET(Demand!$A$13,ROW(Y140)-1,4+((QUOTIENT(COLUMN(CO$2)-69,3))*5)+MOD(COLUMN(CO$2),3),1,1),"")</f>
        <v>0</v>
      </c>
      <c r="CP143">
        <f ca="1">IF($AN143="",OFFSET(Demand!$A$13,ROW(Z140)-1,4+((QUOTIENT(COLUMN(CP$2)-69,3))*5)+MOD(COLUMN(CP$2),3),1,1),"")</f>
        <v>0</v>
      </c>
      <c r="CQ143">
        <f ca="1">IF($AN143="",OFFSET(Demand!$A$13,ROW(AA140)-1,4+((QUOTIENT(COLUMN(CQ$2)-69,3))*5)+MOD(COLUMN(CQ$2),3),1,1),"")</f>
        <v>0</v>
      </c>
      <c r="CR143">
        <f ca="1">IF($AN143="",OFFSET(Demand!$A$13,ROW(AB140)-1,4+((QUOTIENT(COLUMN(CR$2)-69,3))*5)+MOD(COLUMN(CR$2),3),1,1),"")</f>
        <v>0</v>
      </c>
      <c r="CS143">
        <f ca="1">IF($AN143="",OFFSET(Demand!$A$13,ROW(AC140)-1,4+((QUOTIENT(COLUMN(CS$2)-69,3))*5)+MOD(COLUMN(CS$2),3),1,1),"")</f>
        <v>0</v>
      </c>
      <c r="CT143">
        <f ca="1">IF($AN143="",OFFSET(Demand!$A$13,ROW(AD140)-1,4+((QUOTIENT(COLUMN(CT$2)-69,3))*5)+MOD(COLUMN(CT$2),3),1,1),"")</f>
        <v>0</v>
      </c>
      <c r="CW143" s="5">
        <f ca="1">SUM(OFFSET(Demand!$H$43,ROW(A140)-1,(COLUMN(A140)-1)*5,1,1))*N$2</f>
        <v>0</v>
      </c>
      <c r="CX143" s="5">
        <f ca="1">SUM(OFFSET(Demand!$H$43,ROW(B140)-1,(COLUMN(B140)-1)*5,1,1))*O$2</f>
        <v>0</v>
      </c>
      <c r="CY143" s="5">
        <f ca="1">SUM(OFFSET(Demand!$H$43,ROW(C140)-1,(COLUMN(C140)-1)*5,1,1))*P$2</f>
        <v>0</v>
      </c>
      <c r="CZ143" s="5">
        <f ca="1">SUM(OFFSET(Demand!$H$43,ROW(D140)-1,(COLUMN(D140)-1)*5,1,1))*Q$2</f>
        <v>0</v>
      </c>
      <c r="DA143" s="5">
        <f ca="1">SUM(OFFSET(Demand!$H$43,ROW(E140)-1,(COLUMN(E140)-1)*5,1,1))*R$2</f>
        <v>0</v>
      </c>
      <c r="DB143" s="5">
        <f ca="1">SUM(OFFSET(Demand!$H$43,ROW(F140)-1,(COLUMN(F140)-1)*5,1,1))*S$2</f>
        <v>0</v>
      </c>
      <c r="DC143" s="5">
        <f ca="1">SUM(OFFSET(Demand!$H$43,ROW(G140)-1,(COLUMN(G140)-1)*5,1,1))*T$2</f>
        <v>0</v>
      </c>
      <c r="DD143" s="5">
        <f ca="1">SUM(OFFSET(Demand!$H$43,ROW(H140)-1,(COLUMN(H140)-1)*5,1,1))*U$2</f>
        <v>0</v>
      </c>
      <c r="DE143" s="5">
        <f ca="1">SUM(OFFSET(Demand!$H$43,ROW(I140)-1,(COLUMN(I140)-1)*5,1,1))*V$2</f>
        <v>0</v>
      </c>
      <c r="DF143" s="5">
        <f ca="1">SUM(OFFSET(Demand!$H$43,ROW(J140)-1,(COLUMN(J140)-1)*5,1,1))*W$2</f>
        <v>0</v>
      </c>
      <c r="DG143" s="5">
        <f ca="1">IF(OR(AN143&lt;&gt;"",AND('Demand adjustments for Covid'!$F$9="Yes",'Demand adjustments for Covid'!$F$20="Yes")),"",SUM(CW143:DF143))</f>
        <v>0</v>
      </c>
    </row>
    <row r="144" spans="1:111" x14ac:dyDescent="0.25">
      <c r="A144" s="5">
        <f t="shared" ca="1" si="43"/>
        <v>1</v>
      </c>
      <c r="B144" s="5">
        <f ca="1">COUNTBLANK(OFFSET(Demand!$I153,0,(COLUMN(A141)-1)*5,1,1))</f>
        <v>1</v>
      </c>
      <c r="C144" s="5">
        <f ca="1">COUNTBLANK(OFFSET(Demand!$I153,0,(COLUMN(B141)-1)*5,1,1))</f>
        <v>1</v>
      </c>
      <c r="D144" s="5">
        <f ca="1">COUNTBLANK(OFFSET(Demand!$I153,0,(COLUMN(C141)-1)*5,1,1))</f>
        <v>1</v>
      </c>
      <c r="E144" s="5">
        <f ca="1">COUNTBLANK(OFFSET(Demand!$I153,0,(COLUMN(D141)-1)*5,1,1))</f>
        <v>1</v>
      </c>
      <c r="F144" s="5">
        <f ca="1">COUNTBLANK(OFFSET(Demand!$I153,0,(COLUMN(E141)-1)*5,1,1))</f>
        <v>1</v>
      </c>
      <c r="G144" s="5">
        <f ca="1">COUNTBLANK(OFFSET(Demand!$I153,0,(COLUMN(F141)-1)*5,1,1))</f>
        <v>1</v>
      </c>
      <c r="H144" s="5">
        <f ca="1">COUNTBLANK(OFFSET(Demand!$I153,0,(COLUMN(G141)-1)*5,1,1))</f>
        <v>1</v>
      </c>
      <c r="I144" s="5">
        <f ca="1">COUNTBLANK(OFFSET(Demand!$I153,0,(COLUMN(H141)-1)*5,1,1))</f>
        <v>1</v>
      </c>
      <c r="J144" s="5">
        <f ca="1">COUNTBLANK(OFFSET(Demand!$I153,0,(COLUMN(I141)-1)*5,1,1))</f>
        <v>1</v>
      </c>
      <c r="K144" s="5">
        <f ca="1">COUNTBLANK(OFFSET(Demand!$I153,0,(COLUMN(J141)-1)*5,1,1))</f>
        <v>1</v>
      </c>
      <c r="N144" s="5">
        <f ca="1">SUM(OFFSET(Demand!$E153,0,(COLUMN(A141)-1)*5,1,3))*N$2</f>
        <v>0</v>
      </c>
      <c r="O144" s="5">
        <f ca="1">SUM(OFFSET(Demand!$E153,0,(COLUMN(B141)-1)*5,1,3))*O$2</f>
        <v>0</v>
      </c>
      <c r="P144" s="5">
        <f ca="1">SUM(OFFSET(Demand!$E153,0,(COLUMN(C141)-1)*5,1,3))*P$2</f>
        <v>0</v>
      </c>
      <c r="Q144" s="5">
        <f ca="1">SUM(OFFSET(Demand!$E153,0,(COLUMN(D141)-1)*5,1,3))*Q$2</f>
        <v>0</v>
      </c>
      <c r="R144" s="5">
        <f ca="1">SUM(OFFSET(Demand!$E153,0,(COLUMN(E141)-1)*5,1,3))*R$2</f>
        <v>0</v>
      </c>
      <c r="S144" s="5">
        <f ca="1">SUM(OFFSET(Demand!$E153,0,(COLUMN(F141)-1)*5,1,3))*S$2</f>
        <v>0</v>
      </c>
      <c r="T144" s="5">
        <f ca="1">SUM(OFFSET(Demand!$E153,0,(COLUMN(G141)-1)*5,1,3))*T$2</f>
        <v>0</v>
      </c>
      <c r="U144" s="5">
        <f ca="1">SUM(OFFSET(Demand!$E153,0,(COLUMN(H141)-1)*5,1,3))*U$2</f>
        <v>0</v>
      </c>
      <c r="V144" s="5">
        <f ca="1">SUM(OFFSET(Demand!$E153,0,(COLUMN(I141)-1)*5,1,3))*V$2</f>
        <v>0</v>
      </c>
      <c r="W144" s="5">
        <f ca="1">SUM(OFFSET(Demand!$E153,0,(COLUMN(J141)-1)*5,1,3))*W$2</f>
        <v>0</v>
      </c>
      <c r="X144" s="5">
        <f t="shared" ca="1" si="44"/>
        <v>0</v>
      </c>
      <c r="Y144">
        <f t="shared" ca="1" si="45"/>
        <v>0</v>
      </c>
      <c r="Z144" s="5">
        <f ca="1">SUM(OFFSET(Demand!$H153,0,(COLUMN(A141)-1)*5,1,1))*N$2</f>
        <v>0</v>
      </c>
      <c r="AA144" s="5">
        <f ca="1">SUM(OFFSET(Demand!$H153,0,(COLUMN(B141)-1)*5,1,1))*O$2</f>
        <v>0</v>
      </c>
      <c r="AB144" s="5">
        <f ca="1">SUM(OFFSET(Demand!$H153,0,(COLUMN(C141)-1)*5,1,1))*P$2</f>
        <v>0</v>
      </c>
      <c r="AC144" s="5">
        <f ca="1">SUM(OFFSET(Demand!$H153,0,(COLUMN(D141)-1)*5,1,1))*Q$2</f>
        <v>0</v>
      </c>
      <c r="AD144" s="5">
        <f ca="1">SUM(OFFSET(Demand!$H153,0,(COLUMN(E141)-1)*5,1,1))*R$2</f>
        <v>0</v>
      </c>
      <c r="AE144" s="5">
        <f ca="1">SUM(OFFSET(Demand!$H153,0,(COLUMN(F141)-1)*5,1,1))*S$2</f>
        <v>0</v>
      </c>
      <c r="AF144" s="5">
        <f ca="1">SUM(OFFSET(Demand!$H153,0,(COLUMN(G141)-1)*5,1,1))*T$2</f>
        <v>0</v>
      </c>
      <c r="AG144" s="5">
        <f ca="1">SUM(OFFSET(Demand!$H153,0,(COLUMN(H141)-1)*5,1,1))*U$2</f>
        <v>0</v>
      </c>
      <c r="AH144" s="5">
        <f ca="1">SUM(OFFSET(Demand!$H153,0,(COLUMN(I141)-1)*5,1,1))*V$2</f>
        <v>0</v>
      </c>
      <c r="AI144" s="5">
        <f ca="1">SUM(OFFSET(Demand!$H153,0,(COLUMN(J141)-1)*5,1,1))*W$2</f>
        <v>0</v>
      </c>
      <c r="AJ144" s="5">
        <f t="shared" ca="1" si="46"/>
        <v>0</v>
      </c>
      <c r="AL144" s="5">
        <f t="shared" ca="1" si="47"/>
        <v>0</v>
      </c>
      <c r="AM144" s="5">
        <f t="shared" ca="1" si="48"/>
        <v>0</v>
      </c>
      <c r="AN144" s="5" t="str">
        <f>IF(Demand!BE153="Yes","Yes","")</f>
        <v/>
      </c>
      <c r="AP144" s="36" t="str">
        <f ca="1">Demand!B153</f>
        <v xml:space="preserve"> </v>
      </c>
      <c r="AQ144" t="str">
        <f ca="1">IF(TEXT(Demand!D153,"MMM")&lt;&gt;TEXT(Demand!D152,"MMM"),TEXT(Demand!D153,"MMM"),"")</f>
        <v/>
      </c>
      <c r="AT144" s="5">
        <f t="shared" ca="1" si="49"/>
        <v>0</v>
      </c>
      <c r="BQ144">
        <f ca="1">IF($AN144="",OFFSET(Demand!$A$13,ROW(A141)-1,4+((QUOTIENT(COLUMN(BQ$2)-69,3))*5)+MOD(COLUMN(BQ$2),3),1,1),"")</f>
        <v>0</v>
      </c>
      <c r="BR144">
        <f ca="1">IF($AN144="",OFFSET(Demand!$A$13,ROW(B141)-1,4+((QUOTIENT(COLUMN(BR$2)-69,3))*5)+MOD(COLUMN(BR$2),3),1,1),"")</f>
        <v>0</v>
      </c>
      <c r="BS144">
        <f ca="1">IF($AN144="",OFFSET(Demand!$A$13,ROW(C141)-1,4+((QUOTIENT(COLUMN(BS$2)-69,3))*5)+MOD(COLUMN(BS$2),3),1,1),"")</f>
        <v>0</v>
      </c>
      <c r="BT144">
        <f ca="1">IF($AN144="",OFFSET(Demand!$A$13,ROW(D141)-1,4+((QUOTIENT(COLUMN(BT$2)-69,3))*5)+MOD(COLUMN(BT$2),3),1,1),"")</f>
        <v>0</v>
      </c>
      <c r="BU144">
        <f ca="1">IF($AN144="",OFFSET(Demand!$A$13,ROW(E141)-1,4+((QUOTIENT(COLUMN(BU$2)-69,3))*5)+MOD(COLUMN(BU$2),3),1,1),"")</f>
        <v>0</v>
      </c>
      <c r="BV144">
        <f ca="1">IF($AN144="",OFFSET(Demand!$A$13,ROW(F141)-1,4+((QUOTIENT(COLUMN(BV$2)-69,3))*5)+MOD(COLUMN(BV$2),3),1,1),"")</f>
        <v>0</v>
      </c>
      <c r="BW144">
        <f ca="1">IF($AN144="",OFFSET(Demand!$A$13,ROW(G141)-1,4+((QUOTIENT(COLUMN(BW$2)-69,3))*5)+MOD(COLUMN(BW$2),3),1,1),"")</f>
        <v>0</v>
      </c>
      <c r="BX144">
        <f ca="1">IF($AN144="",OFFSET(Demand!$A$13,ROW(H141)-1,4+((QUOTIENT(COLUMN(BX$2)-69,3))*5)+MOD(COLUMN(BX$2),3),1,1),"")</f>
        <v>0</v>
      </c>
      <c r="BY144">
        <f ca="1">IF($AN144="",OFFSET(Demand!$A$13,ROW(I141)-1,4+((QUOTIENT(COLUMN(BY$2)-69,3))*5)+MOD(COLUMN(BY$2),3),1,1),"")</f>
        <v>0</v>
      </c>
      <c r="BZ144">
        <f ca="1">IF($AN144="",OFFSET(Demand!$A$13,ROW(J141)-1,4+((QUOTIENT(COLUMN(BZ$2)-69,3))*5)+MOD(COLUMN(BZ$2),3),1,1),"")</f>
        <v>0</v>
      </c>
      <c r="CA144">
        <f ca="1">IF($AN144="",OFFSET(Demand!$A$13,ROW(K141)-1,4+((QUOTIENT(COLUMN(CA$2)-69,3))*5)+MOD(COLUMN(CA$2),3),1,1),"")</f>
        <v>0</v>
      </c>
      <c r="CB144">
        <f ca="1">IF($AN144="",OFFSET(Demand!$A$13,ROW(L141)-1,4+((QUOTIENT(COLUMN(CB$2)-69,3))*5)+MOD(COLUMN(CB$2),3),1,1),"")</f>
        <v>0</v>
      </c>
      <c r="CC144">
        <f ca="1">IF($AN144="",OFFSET(Demand!$A$13,ROW(M141)-1,4+((QUOTIENT(COLUMN(CC$2)-69,3))*5)+MOD(COLUMN(CC$2),3),1,1),"")</f>
        <v>0</v>
      </c>
      <c r="CD144">
        <f ca="1">IF($AN144="",OFFSET(Demand!$A$13,ROW(N141)-1,4+((QUOTIENT(COLUMN(CD$2)-69,3))*5)+MOD(COLUMN(CD$2),3),1,1),"")</f>
        <v>0</v>
      </c>
      <c r="CE144">
        <f ca="1">IF($AN144="",OFFSET(Demand!$A$13,ROW(O141)-1,4+((QUOTIENT(COLUMN(CE$2)-69,3))*5)+MOD(COLUMN(CE$2),3),1,1),"")</f>
        <v>0</v>
      </c>
      <c r="CF144">
        <f ca="1">IF($AN144="",OFFSET(Demand!$A$13,ROW(P141)-1,4+((QUOTIENT(COLUMN(CF$2)-69,3))*5)+MOD(COLUMN(CF$2),3),1,1),"")</f>
        <v>0</v>
      </c>
      <c r="CG144">
        <f ca="1">IF($AN144="",OFFSET(Demand!$A$13,ROW(Q141)-1,4+((QUOTIENT(COLUMN(CG$2)-69,3))*5)+MOD(COLUMN(CG$2),3),1,1),"")</f>
        <v>0</v>
      </c>
      <c r="CH144">
        <f ca="1">IF($AN144="",OFFSET(Demand!$A$13,ROW(R141)-1,4+((QUOTIENT(COLUMN(CH$2)-69,3))*5)+MOD(COLUMN(CH$2),3),1,1),"")</f>
        <v>0</v>
      </c>
      <c r="CI144">
        <f ca="1">IF($AN144="",OFFSET(Demand!$A$13,ROW(S141)-1,4+((QUOTIENT(COLUMN(CI$2)-69,3))*5)+MOD(COLUMN(CI$2),3),1,1),"")</f>
        <v>0</v>
      </c>
      <c r="CJ144">
        <f ca="1">IF($AN144="",OFFSET(Demand!$A$13,ROW(T141)-1,4+((QUOTIENT(COLUMN(CJ$2)-69,3))*5)+MOD(COLUMN(CJ$2),3),1,1),"")</f>
        <v>0</v>
      </c>
      <c r="CK144">
        <f ca="1">IF($AN144="",OFFSET(Demand!$A$13,ROW(U141)-1,4+((QUOTIENT(COLUMN(CK$2)-69,3))*5)+MOD(COLUMN(CK$2),3),1,1),"")</f>
        <v>0</v>
      </c>
      <c r="CL144">
        <f ca="1">IF($AN144="",OFFSET(Demand!$A$13,ROW(V141)-1,4+((QUOTIENT(COLUMN(CL$2)-69,3))*5)+MOD(COLUMN(CL$2),3),1,1),"")</f>
        <v>0</v>
      </c>
      <c r="CM144">
        <f ca="1">IF($AN144="",OFFSET(Demand!$A$13,ROW(W141)-1,4+((QUOTIENT(COLUMN(CM$2)-69,3))*5)+MOD(COLUMN(CM$2),3),1,1),"")</f>
        <v>0</v>
      </c>
      <c r="CN144">
        <f ca="1">IF($AN144="",OFFSET(Demand!$A$13,ROW(X141)-1,4+((QUOTIENT(COLUMN(CN$2)-69,3))*5)+MOD(COLUMN(CN$2),3),1,1),"")</f>
        <v>0</v>
      </c>
      <c r="CO144">
        <f ca="1">IF($AN144="",OFFSET(Demand!$A$13,ROW(Y141)-1,4+((QUOTIENT(COLUMN(CO$2)-69,3))*5)+MOD(COLUMN(CO$2),3),1,1),"")</f>
        <v>0</v>
      </c>
      <c r="CP144">
        <f ca="1">IF($AN144="",OFFSET(Demand!$A$13,ROW(Z141)-1,4+((QUOTIENT(COLUMN(CP$2)-69,3))*5)+MOD(COLUMN(CP$2),3),1,1),"")</f>
        <v>0</v>
      </c>
      <c r="CQ144">
        <f ca="1">IF($AN144="",OFFSET(Demand!$A$13,ROW(AA141)-1,4+((QUOTIENT(COLUMN(CQ$2)-69,3))*5)+MOD(COLUMN(CQ$2),3),1,1),"")</f>
        <v>0</v>
      </c>
      <c r="CR144">
        <f ca="1">IF($AN144="",OFFSET(Demand!$A$13,ROW(AB141)-1,4+((QUOTIENT(COLUMN(CR$2)-69,3))*5)+MOD(COLUMN(CR$2),3),1,1),"")</f>
        <v>0</v>
      </c>
      <c r="CS144">
        <f ca="1">IF($AN144="",OFFSET(Demand!$A$13,ROW(AC141)-1,4+((QUOTIENT(COLUMN(CS$2)-69,3))*5)+MOD(COLUMN(CS$2),3),1,1),"")</f>
        <v>0</v>
      </c>
      <c r="CT144">
        <f ca="1">IF($AN144="",OFFSET(Demand!$A$13,ROW(AD141)-1,4+((QUOTIENT(COLUMN(CT$2)-69,3))*5)+MOD(COLUMN(CT$2),3),1,1),"")</f>
        <v>0</v>
      </c>
      <c r="CW144" s="5">
        <f ca="1">SUM(OFFSET(Demand!$H$43,ROW(A141)-1,(COLUMN(A141)-1)*5,1,1))*N$2</f>
        <v>0</v>
      </c>
      <c r="CX144" s="5">
        <f ca="1">SUM(OFFSET(Demand!$H$43,ROW(B141)-1,(COLUMN(B141)-1)*5,1,1))*O$2</f>
        <v>0</v>
      </c>
      <c r="CY144" s="5">
        <f ca="1">SUM(OFFSET(Demand!$H$43,ROW(C141)-1,(COLUMN(C141)-1)*5,1,1))*P$2</f>
        <v>0</v>
      </c>
      <c r="CZ144" s="5">
        <f ca="1">SUM(OFFSET(Demand!$H$43,ROW(D141)-1,(COLUMN(D141)-1)*5,1,1))*Q$2</f>
        <v>0</v>
      </c>
      <c r="DA144" s="5">
        <f ca="1">SUM(OFFSET(Demand!$H$43,ROW(E141)-1,(COLUMN(E141)-1)*5,1,1))*R$2</f>
        <v>0</v>
      </c>
      <c r="DB144" s="5">
        <f ca="1">SUM(OFFSET(Demand!$H$43,ROW(F141)-1,(COLUMN(F141)-1)*5,1,1))*S$2</f>
        <v>0</v>
      </c>
      <c r="DC144" s="5">
        <f ca="1">SUM(OFFSET(Demand!$H$43,ROW(G141)-1,(COLUMN(G141)-1)*5,1,1))*T$2</f>
        <v>0</v>
      </c>
      <c r="DD144" s="5">
        <f ca="1">SUM(OFFSET(Demand!$H$43,ROW(H141)-1,(COLUMN(H141)-1)*5,1,1))*U$2</f>
        <v>0</v>
      </c>
      <c r="DE144" s="5">
        <f ca="1">SUM(OFFSET(Demand!$H$43,ROW(I141)-1,(COLUMN(I141)-1)*5,1,1))*V$2</f>
        <v>0</v>
      </c>
      <c r="DF144" s="5">
        <f ca="1">SUM(OFFSET(Demand!$H$43,ROW(J141)-1,(COLUMN(J141)-1)*5,1,1))*W$2</f>
        <v>0</v>
      </c>
      <c r="DG144" s="5">
        <f ca="1">IF(OR(AN144&lt;&gt;"",AND('Demand adjustments for Covid'!$F$9="Yes",'Demand adjustments for Covid'!$F$20="Yes")),"",SUM(CW144:DF144))</f>
        <v>0</v>
      </c>
    </row>
    <row r="145" spans="1:111" x14ac:dyDescent="0.25">
      <c r="A145" s="5">
        <f t="shared" ca="1" si="43"/>
        <v>1</v>
      </c>
      <c r="B145" s="5">
        <f ca="1">COUNTBLANK(OFFSET(Demand!$I154,0,(COLUMN(A142)-1)*5,1,1))</f>
        <v>1</v>
      </c>
      <c r="C145" s="5">
        <f ca="1">COUNTBLANK(OFFSET(Demand!$I154,0,(COLUMN(B142)-1)*5,1,1))</f>
        <v>1</v>
      </c>
      <c r="D145" s="5">
        <f ca="1">COUNTBLANK(OFFSET(Demand!$I154,0,(COLUMN(C142)-1)*5,1,1))</f>
        <v>1</v>
      </c>
      <c r="E145" s="5">
        <f ca="1">COUNTBLANK(OFFSET(Demand!$I154,0,(COLUMN(D142)-1)*5,1,1))</f>
        <v>1</v>
      </c>
      <c r="F145" s="5">
        <f ca="1">COUNTBLANK(OFFSET(Demand!$I154,0,(COLUMN(E142)-1)*5,1,1))</f>
        <v>1</v>
      </c>
      <c r="G145" s="5">
        <f ca="1">COUNTBLANK(OFFSET(Demand!$I154,0,(COLUMN(F142)-1)*5,1,1))</f>
        <v>1</v>
      </c>
      <c r="H145" s="5">
        <f ca="1">COUNTBLANK(OFFSET(Demand!$I154,0,(COLUMN(G142)-1)*5,1,1))</f>
        <v>1</v>
      </c>
      <c r="I145" s="5">
        <f ca="1">COUNTBLANK(OFFSET(Demand!$I154,0,(COLUMN(H142)-1)*5,1,1))</f>
        <v>1</v>
      </c>
      <c r="J145" s="5">
        <f ca="1">COUNTBLANK(OFFSET(Demand!$I154,0,(COLUMN(I142)-1)*5,1,1))</f>
        <v>1</v>
      </c>
      <c r="K145" s="5">
        <f ca="1">COUNTBLANK(OFFSET(Demand!$I154,0,(COLUMN(J142)-1)*5,1,1))</f>
        <v>1</v>
      </c>
      <c r="N145" s="5">
        <f ca="1">SUM(OFFSET(Demand!$E154,0,(COLUMN(A142)-1)*5,1,3))*N$2</f>
        <v>0</v>
      </c>
      <c r="O145" s="5">
        <f ca="1">SUM(OFFSET(Demand!$E154,0,(COLUMN(B142)-1)*5,1,3))*O$2</f>
        <v>0</v>
      </c>
      <c r="P145" s="5">
        <f ca="1">SUM(OFFSET(Demand!$E154,0,(COLUMN(C142)-1)*5,1,3))*P$2</f>
        <v>0</v>
      </c>
      <c r="Q145" s="5">
        <f ca="1">SUM(OFFSET(Demand!$E154,0,(COLUMN(D142)-1)*5,1,3))*Q$2</f>
        <v>0</v>
      </c>
      <c r="R145" s="5">
        <f ca="1">SUM(OFFSET(Demand!$E154,0,(COLUMN(E142)-1)*5,1,3))*R$2</f>
        <v>0</v>
      </c>
      <c r="S145" s="5">
        <f ca="1">SUM(OFFSET(Demand!$E154,0,(COLUMN(F142)-1)*5,1,3))*S$2</f>
        <v>0</v>
      </c>
      <c r="T145" s="5">
        <f ca="1">SUM(OFFSET(Demand!$E154,0,(COLUMN(G142)-1)*5,1,3))*T$2</f>
        <v>0</v>
      </c>
      <c r="U145" s="5">
        <f ca="1">SUM(OFFSET(Demand!$E154,0,(COLUMN(H142)-1)*5,1,3))*U$2</f>
        <v>0</v>
      </c>
      <c r="V145" s="5">
        <f ca="1">SUM(OFFSET(Demand!$E154,0,(COLUMN(I142)-1)*5,1,3))*V$2</f>
        <v>0</v>
      </c>
      <c r="W145" s="5">
        <f ca="1">SUM(OFFSET(Demand!$E154,0,(COLUMN(J142)-1)*5,1,3))*W$2</f>
        <v>0</v>
      </c>
      <c r="X145" s="5">
        <f t="shared" ca="1" si="44"/>
        <v>0</v>
      </c>
      <c r="Y145">
        <f t="shared" ca="1" si="45"/>
        <v>0</v>
      </c>
      <c r="Z145" s="5">
        <f ca="1">SUM(OFFSET(Demand!$H154,0,(COLUMN(A142)-1)*5,1,1))*N$2</f>
        <v>0</v>
      </c>
      <c r="AA145" s="5">
        <f ca="1">SUM(OFFSET(Demand!$H154,0,(COLUMN(B142)-1)*5,1,1))*O$2</f>
        <v>0</v>
      </c>
      <c r="AB145" s="5">
        <f ca="1">SUM(OFFSET(Demand!$H154,0,(COLUMN(C142)-1)*5,1,1))*P$2</f>
        <v>0</v>
      </c>
      <c r="AC145" s="5">
        <f ca="1">SUM(OFFSET(Demand!$H154,0,(COLUMN(D142)-1)*5,1,1))*Q$2</f>
        <v>0</v>
      </c>
      <c r="AD145" s="5">
        <f ca="1">SUM(OFFSET(Demand!$H154,0,(COLUMN(E142)-1)*5,1,1))*R$2</f>
        <v>0</v>
      </c>
      <c r="AE145" s="5">
        <f ca="1">SUM(OFFSET(Demand!$H154,0,(COLUMN(F142)-1)*5,1,1))*S$2</f>
        <v>0</v>
      </c>
      <c r="AF145" s="5">
        <f ca="1">SUM(OFFSET(Demand!$H154,0,(COLUMN(G142)-1)*5,1,1))*T$2</f>
        <v>0</v>
      </c>
      <c r="AG145" s="5">
        <f ca="1">SUM(OFFSET(Demand!$H154,0,(COLUMN(H142)-1)*5,1,1))*U$2</f>
        <v>0</v>
      </c>
      <c r="AH145" s="5">
        <f ca="1">SUM(OFFSET(Demand!$H154,0,(COLUMN(I142)-1)*5,1,1))*V$2</f>
        <v>0</v>
      </c>
      <c r="AI145" s="5">
        <f ca="1">SUM(OFFSET(Demand!$H154,0,(COLUMN(J142)-1)*5,1,1))*W$2</f>
        <v>0</v>
      </c>
      <c r="AJ145" s="5">
        <f t="shared" ca="1" si="46"/>
        <v>0</v>
      </c>
      <c r="AL145" s="5">
        <f t="shared" ca="1" si="47"/>
        <v>0</v>
      </c>
      <c r="AM145" s="5">
        <f t="shared" ca="1" si="48"/>
        <v>0</v>
      </c>
      <c r="AN145" s="5" t="str">
        <f>IF(Demand!BE154="Yes","Yes","")</f>
        <v/>
      </c>
      <c r="AP145" s="36" t="str">
        <f ca="1">Demand!B154</f>
        <v xml:space="preserve"> </v>
      </c>
      <c r="AQ145" t="str">
        <f ca="1">IF(TEXT(Demand!D154,"MMM")&lt;&gt;TEXT(Demand!D153,"MMM"),TEXT(Demand!D154,"MMM"),"")</f>
        <v/>
      </c>
      <c r="AT145" s="5">
        <f t="shared" ca="1" si="49"/>
        <v>0</v>
      </c>
      <c r="BQ145">
        <f ca="1">IF($AN145="",OFFSET(Demand!$A$13,ROW(A142)-1,4+((QUOTIENT(COLUMN(BQ$2)-69,3))*5)+MOD(COLUMN(BQ$2),3),1,1),"")</f>
        <v>0</v>
      </c>
      <c r="BR145">
        <f ca="1">IF($AN145="",OFFSET(Demand!$A$13,ROW(B142)-1,4+((QUOTIENT(COLUMN(BR$2)-69,3))*5)+MOD(COLUMN(BR$2),3),1,1),"")</f>
        <v>0</v>
      </c>
      <c r="BS145">
        <f ca="1">IF($AN145="",OFFSET(Demand!$A$13,ROW(C142)-1,4+((QUOTIENT(COLUMN(BS$2)-69,3))*5)+MOD(COLUMN(BS$2),3),1,1),"")</f>
        <v>0</v>
      </c>
      <c r="BT145">
        <f ca="1">IF($AN145="",OFFSET(Demand!$A$13,ROW(D142)-1,4+((QUOTIENT(COLUMN(BT$2)-69,3))*5)+MOD(COLUMN(BT$2),3),1,1),"")</f>
        <v>0</v>
      </c>
      <c r="BU145">
        <f ca="1">IF($AN145="",OFFSET(Demand!$A$13,ROW(E142)-1,4+((QUOTIENT(COLUMN(BU$2)-69,3))*5)+MOD(COLUMN(BU$2),3),1,1),"")</f>
        <v>0</v>
      </c>
      <c r="BV145">
        <f ca="1">IF($AN145="",OFFSET(Demand!$A$13,ROW(F142)-1,4+((QUOTIENT(COLUMN(BV$2)-69,3))*5)+MOD(COLUMN(BV$2),3),1,1),"")</f>
        <v>0</v>
      </c>
      <c r="BW145">
        <f ca="1">IF($AN145="",OFFSET(Demand!$A$13,ROW(G142)-1,4+((QUOTIENT(COLUMN(BW$2)-69,3))*5)+MOD(COLUMN(BW$2),3),1,1),"")</f>
        <v>0</v>
      </c>
      <c r="BX145">
        <f ca="1">IF($AN145="",OFFSET(Demand!$A$13,ROW(H142)-1,4+((QUOTIENT(COLUMN(BX$2)-69,3))*5)+MOD(COLUMN(BX$2),3),1,1),"")</f>
        <v>0</v>
      </c>
      <c r="BY145">
        <f ca="1">IF($AN145="",OFFSET(Demand!$A$13,ROW(I142)-1,4+((QUOTIENT(COLUMN(BY$2)-69,3))*5)+MOD(COLUMN(BY$2),3),1,1),"")</f>
        <v>0</v>
      </c>
      <c r="BZ145">
        <f ca="1">IF($AN145="",OFFSET(Demand!$A$13,ROW(J142)-1,4+((QUOTIENT(COLUMN(BZ$2)-69,3))*5)+MOD(COLUMN(BZ$2),3),1,1),"")</f>
        <v>0</v>
      </c>
      <c r="CA145">
        <f ca="1">IF($AN145="",OFFSET(Demand!$A$13,ROW(K142)-1,4+((QUOTIENT(COLUMN(CA$2)-69,3))*5)+MOD(COLUMN(CA$2),3),1,1),"")</f>
        <v>0</v>
      </c>
      <c r="CB145">
        <f ca="1">IF($AN145="",OFFSET(Demand!$A$13,ROW(L142)-1,4+((QUOTIENT(COLUMN(CB$2)-69,3))*5)+MOD(COLUMN(CB$2),3),1,1),"")</f>
        <v>0</v>
      </c>
      <c r="CC145">
        <f ca="1">IF($AN145="",OFFSET(Demand!$A$13,ROW(M142)-1,4+((QUOTIENT(COLUMN(CC$2)-69,3))*5)+MOD(COLUMN(CC$2),3),1,1),"")</f>
        <v>0</v>
      </c>
      <c r="CD145">
        <f ca="1">IF($AN145="",OFFSET(Demand!$A$13,ROW(N142)-1,4+((QUOTIENT(COLUMN(CD$2)-69,3))*5)+MOD(COLUMN(CD$2),3),1,1),"")</f>
        <v>0</v>
      </c>
      <c r="CE145">
        <f ca="1">IF($AN145="",OFFSET(Demand!$A$13,ROW(O142)-1,4+((QUOTIENT(COLUMN(CE$2)-69,3))*5)+MOD(COLUMN(CE$2),3),1,1),"")</f>
        <v>0</v>
      </c>
      <c r="CF145">
        <f ca="1">IF($AN145="",OFFSET(Demand!$A$13,ROW(P142)-1,4+((QUOTIENT(COLUMN(CF$2)-69,3))*5)+MOD(COLUMN(CF$2),3),1,1),"")</f>
        <v>0</v>
      </c>
      <c r="CG145">
        <f ca="1">IF($AN145="",OFFSET(Demand!$A$13,ROW(Q142)-1,4+((QUOTIENT(COLUMN(CG$2)-69,3))*5)+MOD(COLUMN(CG$2),3),1,1),"")</f>
        <v>0</v>
      </c>
      <c r="CH145">
        <f ca="1">IF($AN145="",OFFSET(Demand!$A$13,ROW(R142)-1,4+((QUOTIENT(COLUMN(CH$2)-69,3))*5)+MOD(COLUMN(CH$2),3),1,1),"")</f>
        <v>0</v>
      </c>
      <c r="CI145">
        <f ca="1">IF($AN145="",OFFSET(Demand!$A$13,ROW(S142)-1,4+((QUOTIENT(COLUMN(CI$2)-69,3))*5)+MOD(COLUMN(CI$2),3),1,1),"")</f>
        <v>0</v>
      </c>
      <c r="CJ145">
        <f ca="1">IF($AN145="",OFFSET(Demand!$A$13,ROW(T142)-1,4+((QUOTIENT(COLUMN(CJ$2)-69,3))*5)+MOD(COLUMN(CJ$2),3),1,1),"")</f>
        <v>0</v>
      </c>
      <c r="CK145">
        <f ca="1">IF($AN145="",OFFSET(Demand!$A$13,ROW(U142)-1,4+((QUOTIENT(COLUMN(CK$2)-69,3))*5)+MOD(COLUMN(CK$2),3),1,1),"")</f>
        <v>0</v>
      </c>
      <c r="CL145">
        <f ca="1">IF($AN145="",OFFSET(Demand!$A$13,ROW(V142)-1,4+((QUOTIENT(COLUMN(CL$2)-69,3))*5)+MOD(COLUMN(CL$2),3),1,1),"")</f>
        <v>0</v>
      </c>
      <c r="CM145">
        <f ca="1">IF($AN145="",OFFSET(Demand!$A$13,ROW(W142)-1,4+((QUOTIENT(COLUMN(CM$2)-69,3))*5)+MOD(COLUMN(CM$2),3),1,1),"")</f>
        <v>0</v>
      </c>
      <c r="CN145">
        <f ca="1">IF($AN145="",OFFSET(Demand!$A$13,ROW(X142)-1,4+((QUOTIENT(COLUMN(CN$2)-69,3))*5)+MOD(COLUMN(CN$2),3),1,1),"")</f>
        <v>0</v>
      </c>
      <c r="CO145">
        <f ca="1">IF($AN145="",OFFSET(Demand!$A$13,ROW(Y142)-1,4+((QUOTIENT(COLUMN(CO$2)-69,3))*5)+MOD(COLUMN(CO$2),3),1,1),"")</f>
        <v>0</v>
      </c>
      <c r="CP145">
        <f ca="1">IF($AN145="",OFFSET(Demand!$A$13,ROW(Z142)-1,4+((QUOTIENT(COLUMN(CP$2)-69,3))*5)+MOD(COLUMN(CP$2),3),1,1),"")</f>
        <v>0</v>
      </c>
      <c r="CQ145">
        <f ca="1">IF($AN145="",OFFSET(Demand!$A$13,ROW(AA142)-1,4+((QUOTIENT(COLUMN(CQ$2)-69,3))*5)+MOD(COLUMN(CQ$2),3),1,1),"")</f>
        <v>0</v>
      </c>
      <c r="CR145">
        <f ca="1">IF($AN145="",OFFSET(Demand!$A$13,ROW(AB142)-1,4+((QUOTIENT(COLUMN(CR$2)-69,3))*5)+MOD(COLUMN(CR$2),3),1,1),"")</f>
        <v>0</v>
      </c>
      <c r="CS145">
        <f ca="1">IF($AN145="",OFFSET(Demand!$A$13,ROW(AC142)-1,4+((QUOTIENT(COLUMN(CS$2)-69,3))*5)+MOD(COLUMN(CS$2),3),1,1),"")</f>
        <v>0</v>
      </c>
      <c r="CT145">
        <f ca="1">IF($AN145="",OFFSET(Demand!$A$13,ROW(AD142)-1,4+((QUOTIENT(COLUMN(CT$2)-69,3))*5)+MOD(COLUMN(CT$2),3),1,1),"")</f>
        <v>0</v>
      </c>
      <c r="CW145" s="5">
        <f ca="1">SUM(OFFSET(Demand!$H$43,ROW(A142)-1,(COLUMN(A142)-1)*5,1,1))*N$2</f>
        <v>0</v>
      </c>
      <c r="CX145" s="5">
        <f ca="1">SUM(OFFSET(Demand!$H$43,ROW(B142)-1,(COLUMN(B142)-1)*5,1,1))*O$2</f>
        <v>0</v>
      </c>
      <c r="CY145" s="5">
        <f ca="1">SUM(OFFSET(Demand!$H$43,ROW(C142)-1,(COLUMN(C142)-1)*5,1,1))*P$2</f>
        <v>0</v>
      </c>
      <c r="CZ145" s="5">
        <f ca="1">SUM(OFFSET(Demand!$H$43,ROW(D142)-1,(COLUMN(D142)-1)*5,1,1))*Q$2</f>
        <v>0</v>
      </c>
      <c r="DA145" s="5">
        <f ca="1">SUM(OFFSET(Demand!$H$43,ROW(E142)-1,(COLUMN(E142)-1)*5,1,1))*R$2</f>
        <v>0</v>
      </c>
      <c r="DB145" s="5">
        <f ca="1">SUM(OFFSET(Demand!$H$43,ROW(F142)-1,(COLUMN(F142)-1)*5,1,1))*S$2</f>
        <v>0</v>
      </c>
      <c r="DC145" s="5">
        <f ca="1">SUM(OFFSET(Demand!$H$43,ROW(G142)-1,(COLUMN(G142)-1)*5,1,1))*T$2</f>
        <v>0</v>
      </c>
      <c r="DD145" s="5">
        <f ca="1">SUM(OFFSET(Demand!$H$43,ROW(H142)-1,(COLUMN(H142)-1)*5,1,1))*U$2</f>
        <v>0</v>
      </c>
      <c r="DE145" s="5">
        <f ca="1">SUM(OFFSET(Demand!$H$43,ROW(I142)-1,(COLUMN(I142)-1)*5,1,1))*V$2</f>
        <v>0</v>
      </c>
      <c r="DF145" s="5">
        <f ca="1">SUM(OFFSET(Demand!$H$43,ROW(J142)-1,(COLUMN(J142)-1)*5,1,1))*W$2</f>
        <v>0</v>
      </c>
      <c r="DG145" s="5">
        <f ca="1">IF(OR(AN145&lt;&gt;"",AND('Demand adjustments for Covid'!$F$9="Yes",'Demand adjustments for Covid'!$F$20="Yes")),"",SUM(CW145:DF145))</f>
        <v>0</v>
      </c>
    </row>
    <row r="146" spans="1:111" x14ac:dyDescent="0.25">
      <c r="A146" s="5">
        <f t="shared" ca="1" si="43"/>
        <v>1</v>
      </c>
      <c r="B146" s="5">
        <f ca="1">COUNTBLANK(OFFSET(Demand!$I155,0,(COLUMN(A143)-1)*5,1,1))</f>
        <v>1</v>
      </c>
      <c r="C146" s="5">
        <f ca="1">COUNTBLANK(OFFSET(Demand!$I155,0,(COLUMN(B143)-1)*5,1,1))</f>
        <v>1</v>
      </c>
      <c r="D146" s="5">
        <f ca="1">COUNTBLANK(OFFSET(Demand!$I155,0,(COLUMN(C143)-1)*5,1,1))</f>
        <v>1</v>
      </c>
      <c r="E146" s="5">
        <f ca="1">COUNTBLANK(OFFSET(Demand!$I155,0,(COLUMN(D143)-1)*5,1,1))</f>
        <v>1</v>
      </c>
      <c r="F146" s="5">
        <f ca="1">COUNTBLANK(OFFSET(Demand!$I155,0,(COLUMN(E143)-1)*5,1,1))</f>
        <v>1</v>
      </c>
      <c r="G146" s="5">
        <f ca="1">COUNTBLANK(OFFSET(Demand!$I155,0,(COLUMN(F143)-1)*5,1,1))</f>
        <v>1</v>
      </c>
      <c r="H146" s="5">
        <f ca="1">COUNTBLANK(OFFSET(Demand!$I155,0,(COLUMN(G143)-1)*5,1,1))</f>
        <v>1</v>
      </c>
      <c r="I146" s="5">
        <f ca="1">COUNTBLANK(OFFSET(Demand!$I155,0,(COLUMN(H143)-1)*5,1,1))</f>
        <v>1</v>
      </c>
      <c r="J146" s="5">
        <f ca="1">COUNTBLANK(OFFSET(Demand!$I155,0,(COLUMN(I143)-1)*5,1,1))</f>
        <v>1</v>
      </c>
      <c r="K146" s="5">
        <f ca="1">COUNTBLANK(OFFSET(Demand!$I155,0,(COLUMN(J143)-1)*5,1,1))</f>
        <v>1</v>
      </c>
      <c r="N146" s="5">
        <f ca="1">SUM(OFFSET(Demand!$E155,0,(COLUMN(A143)-1)*5,1,3))*N$2</f>
        <v>0</v>
      </c>
      <c r="O146" s="5">
        <f ca="1">SUM(OFFSET(Demand!$E155,0,(COLUMN(B143)-1)*5,1,3))*O$2</f>
        <v>0</v>
      </c>
      <c r="P146" s="5">
        <f ca="1">SUM(OFFSET(Demand!$E155,0,(COLUMN(C143)-1)*5,1,3))*P$2</f>
        <v>0</v>
      </c>
      <c r="Q146" s="5">
        <f ca="1">SUM(OFFSET(Demand!$E155,0,(COLUMN(D143)-1)*5,1,3))*Q$2</f>
        <v>0</v>
      </c>
      <c r="R146" s="5">
        <f ca="1">SUM(OFFSET(Demand!$E155,0,(COLUMN(E143)-1)*5,1,3))*R$2</f>
        <v>0</v>
      </c>
      <c r="S146" s="5">
        <f ca="1">SUM(OFFSET(Demand!$E155,0,(COLUMN(F143)-1)*5,1,3))*S$2</f>
        <v>0</v>
      </c>
      <c r="T146" s="5">
        <f ca="1">SUM(OFFSET(Demand!$E155,0,(COLUMN(G143)-1)*5,1,3))*T$2</f>
        <v>0</v>
      </c>
      <c r="U146" s="5">
        <f ca="1">SUM(OFFSET(Demand!$E155,0,(COLUMN(H143)-1)*5,1,3))*U$2</f>
        <v>0</v>
      </c>
      <c r="V146" s="5">
        <f ca="1">SUM(OFFSET(Demand!$E155,0,(COLUMN(I143)-1)*5,1,3))*V$2</f>
        <v>0</v>
      </c>
      <c r="W146" s="5">
        <f ca="1">SUM(OFFSET(Demand!$E155,0,(COLUMN(J143)-1)*5,1,3))*W$2</f>
        <v>0</v>
      </c>
      <c r="X146" s="5">
        <f t="shared" ca="1" si="44"/>
        <v>0</v>
      </c>
      <c r="Y146">
        <f t="shared" ca="1" si="45"/>
        <v>0</v>
      </c>
      <c r="Z146" s="5">
        <f ca="1">SUM(OFFSET(Demand!$H155,0,(COLUMN(A143)-1)*5,1,1))*N$2</f>
        <v>0</v>
      </c>
      <c r="AA146" s="5">
        <f ca="1">SUM(OFFSET(Demand!$H155,0,(COLUMN(B143)-1)*5,1,1))*O$2</f>
        <v>0</v>
      </c>
      <c r="AB146" s="5">
        <f ca="1">SUM(OFFSET(Demand!$H155,0,(COLUMN(C143)-1)*5,1,1))*P$2</f>
        <v>0</v>
      </c>
      <c r="AC146" s="5">
        <f ca="1">SUM(OFFSET(Demand!$H155,0,(COLUMN(D143)-1)*5,1,1))*Q$2</f>
        <v>0</v>
      </c>
      <c r="AD146" s="5">
        <f ca="1">SUM(OFFSET(Demand!$H155,0,(COLUMN(E143)-1)*5,1,1))*R$2</f>
        <v>0</v>
      </c>
      <c r="AE146" s="5">
        <f ca="1">SUM(OFFSET(Demand!$H155,0,(COLUMN(F143)-1)*5,1,1))*S$2</f>
        <v>0</v>
      </c>
      <c r="AF146" s="5">
        <f ca="1">SUM(OFFSET(Demand!$H155,0,(COLUMN(G143)-1)*5,1,1))*T$2</f>
        <v>0</v>
      </c>
      <c r="AG146" s="5">
        <f ca="1">SUM(OFFSET(Demand!$H155,0,(COLUMN(H143)-1)*5,1,1))*U$2</f>
        <v>0</v>
      </c>
      <c r="AH146" s="5">
        <f ca="1">SUM(OFFSET(Demand!$H155,0,(COLUMN(I143)-1)*5,1,1))*V$2</f>
        <v>0</v>
      </c>
      <c r="AI146" s="5">
        <f ca="1">SUM(OFFSET(Demand!$H155,0,(COLUMN(J143)-1)*5,1,1))*W$2</f>
        <v>0</v>
      </c>
      <c r="AJ146" s="5">
        <f t="shared" ca="1" si="46"/>
        <v>0</v>
      </c>
      <c r="AL146" s="5">
        <f t="shared" ca="1" si="47"/>
        <v>0</v>
      </c>
      <c r="AM146" s="5">
        <f t="shared" ca="1" si="48"/>
        <v>0</v>
      </c>
      <c r="AN146" s="5" t="str">
        <f>IF(Demand!BE155="Yes","Yes","")</f>
        <v/>
      </c>
      <c r="AP146" s="36" t="str">
        <f ca="1">Demand!B155</f>
        <v xml:space="preserve"> </v>
      </c>
      <c r="AQ146" t="str">
        <f ca="1">IF(TEXT(Demand!D155,"MMM")&lt;&gt;TEXT(Demand!D154,"MMM"),TEXT(Demand!D155,"MMM"),"")</f>
        <v/>
      </c>
      <c r="AT146" s="5">
        <f t="shared" ca="1" si="49"/>
        <v>0</v>
      </c>
      <c r="BQ146">
        <f ca="1">IF($AN146="",OFFSET(Demand!$A$13,ROW(A143)-1,4+((QUOTIENT(COLUMN(BQ$2)-69,3))*5)+MOD(COLUMN(BQ$2),3),1,1),"")</f>
        <v>0</v>
      </c>
      <c r="BR146">
        <f ca="1">IF($AN146="",OFFSET(Demand!$A$13,ROW(B143)-1,4+((QUOTIENT(COLUMN(BR$2)-69,3))*5)+MOD(COLUMN(BR$2),3),1,1),"")</f>
        <v>0</v>
      </c>
      <c r="BS146">
        <f ca="1">IF($AN146="",OFFSET(Demand!$A$13,ROW(C143)-1,4+((QUOTIENT(COLUMN(BS$2)-69,3))*5)+MOD(COLUMN(BS$2),3),1,1),"")</f>
        <v>0</v>
      </c>
      <c r="BT146">
        <f ca="1">IF($AN146="",OFFSET(Demand!$A$13,ROW(D143)-1,4+((QUOTIENT(COLUMN(BT$2)-69,3))*5)+MOD(COLUMN(BT$2),3),1,1),"")</f>
        <v>0</v>
      </c>
      <c r="BU146">
        <f ca="1">IF($AN146="",OFFSET(Demand!$A$13,ROW(E143)-1,4+((QUOTIENT(COLUMN(BU$2)-69,3))*5)+MOD(COLUMN(BU$2),3),1,1),"")</f>
        <v>0</v>
      </c>
      <c r="BV146">
        <f ca="1">IF($AN146="",OFFSET(Demand!$A$13,ROW(F143)-1,4+((QUOTIENT(COLUMN(BV$2)-69,3))*5)+MOD(COLUMN(BV$2),3),1,1),"")</f>
        <v>0</v>
      </c>
      <c r="BW146">
        <f ca="1">IF($AN146="",OFFSET(Demand!$A$13,ROW(G143)-1,4+((QUOTIENT(COLUMN(BW$2)-69,3))*5)+MOD(COLUMN(BW$2),3),1,1),"")</f>
        <v>0</v>
      </c>
      <c r="BX146">
        <f ca="1">IF($AN146="",OFFSET(Demand!$A$13,ROW(H143)-1,4+((QUOTIENT(COLUMN(BX$2)-69,3))*5)+MOD(COLUMN(BX$2),3),1,1),"")</f>
        <v>0</v>
      </c>
      <c r="BY146">
        <f ca="1">IF($AN146="",OFFSET(Demand!$A$13,ROW(I143)-1,4+((QUOTIENT(COLUMN(BY$2)-69,3))*5)+MOD(COLUMN(BY$2),3),1,1),"")</f>
        <v>0</v>
      </c>
      <c r="BZ146">
        <f ca="1">IF($AN146="",OFFSET(Demand!$A$13,ROW(J143)-1,4+((QUOTIENT(COLUMN(BZ$2)-69,3))*5)+MOD(COLUMN(BZ$2),3),1,1),"")</f>
        <v>0</v>
      </c>
      <c r="CA146">
        <f ca="1">IF($AN146="",OFFSET(Demand!$A$13,ROW(K143)-1,4+((QUOTIENT(COLUMN(CA$2)-69,3))*5)+MOD(COLUMN(CA$2),3),1,1),"")</f>
        <v>0</v>
      </c>
      <c r="CB146">
        <f ca="1">IF($AN146="",OFFSET(Demand!$A$13,ROW(L143)-1,4+((QUOTIENT(COLUMN(CB$2)-69,3))*5)+MOD(COLUMN(CB$2),3),1,1),"")</f>
        <v>0</v>
      </c>
      <c r="CC146">
        <f ca="1">IF($AN146="",OFFSET(Demand!$A$13,ROW(M143)-1,4+((QUOTIENT(COLUMN(CC$2)-69,3))*5)+MOD(COLUMN(CC$2),3),1,1),"")</f>
        <v>0</v>
      </c>
      <c r="CD146">
        <f ca="1">IF($AN146="",OFFSET(Demand!$A$13,ROW(N143)-1,4+((QUOTIENT(COLUMN(CD$2)-69,3))*5)+MOD(COLUMN(CD$2),3),1,1),"")</f>
        <v>0</v>
      </c>
      <c r="CE146">
        <f ca="1">IF($AN146="",OFFSET(Demand!$A$13,ROW(O143)-1,4+((QUOTIENT(COLUMN(CE$2)-69,3))*5)+MOD(COLUMN(CE$2),3),1,1),"")</f>
        <v>0</v>
      </c>
      <c r="CF146">
        <f ca="1">IF($AN146="",OFFSET(Demand!$A$13,ROW(P143)-1,4+((QUOTIENT(COLUMN(CF$2)-69,3))*5)+MOD(COLUMN(CF$2),3),1,1),"")</f>
        <v>0</v>
      </c>
      <c r="CG146">
        <f ca="1">IF($AN146="",OFFSET(Demand!$A$13,ROW(Q143)-1,4+((QUOTIENT(COLUMN(CG$2)-69,3))*5)+MOD(COLUMN(CG$2),3),1,1),"")</f>
        <v>0</v>
      </c>
      <c r="CH146">
        <f ca="1">IF($AN146="",OFFSET(Demand!$A$13,ROW(R143)-1,4+((QUOTIENT(COLUMN(CH$2)-69,3))*5)+MOD(COLUMN(CH$2),3),1,1),"")</f>
        <v>0</v>
      </c>
      <c r="CI146">
        <f ca="1">IF($AN146="",OFFSET(Demand!$A$13,ROW(S143)-1,4+((QUOTIENT(COLUMN(CI$2)-69,3))*5)+MOD(COLUMN(CI$2),3),1,1),"")</f>
        <v>0</v>
      </c>
      <c r="CJ146">
        <f ca="1">IF($AN146="",OFFSET(Demand!$A$13,ROW(T143)-1,4+((QUOTIENT(COLUMN(CJ$2)-69,3))*5)+MOD(COLUMN(CJ$2),3),1,1),"")</f>
        <v>0</v>
      </c>
      <c r="CK146">
        <f ca="1">IF($AN146="",OFFSET(Demand!$A$13,ROW(U143)-1,4+((QUOTIENT(COLUMN(CK$2)-69,3))*5)+MOD(COLUMN(CK$2),3),1,1),"")</f>
        <v>0</v>
      </c>
      <c r="CL146">
        <f ca="1">IF($AN146="",OFFSET(Demand!$A$13,ROW(V143)-1,4+((QUOTIENT(COLUMN(CL$2)-69,3))*5)+MOD(COLUMN(CL$2),3),1,1),"")</f>
        <v>0</v>
      </c>
      <c r="CM146">
        <f ca="1">IF($AN146="",OFFSET(Demand!$A$13,ROW(W143)-1,4+((QUOTIENT(COLUMN(CM$2)-69,3))*5)+MOD(COLUMN(CM$2),3),1,1),"")</f>
        <v>0</v>
      </c>
      <c r="CN146">
        <f ca="1">IF($AN146="",OFFSET(Demand!$A$13,ROW(X143)-1,4+((QUOTIENT(COLUMN(CN$2)-69,3))*5)+MOD(COLUMN(CN$2),3),1,1),"")</f>
        <v>0</v>
      </c>
      <c r="CO146">
        <f ca="1">IF($AN146="",OFFSET(Demand!$A$13,ROW(Y143)-1,4+((QUOTIENT(COLUMN(CO$2)-69,3))*5)+MOD(COLUMN(CO$2),3),1,1),"")</f>
        <v>0</v>
      </c>
      <c r="CP146">
        <f ca="1">IF($AN146="",OFFSET(Demand!$A$13,ROW(Z143)-1,4+((QUOTIENT(COLUMN(CP$2)-69,3))*5)+MOD(COLUMN(CP$2),3),1,1),"")</f>
        <v>0</v>
      </c>
      <c r="CQ146">
        <f ca="1">IF($AN146="",OFFSET(Demand!$A$13,ROW(AA143)-1,4+((QUOTIENT(COLUMN(CQ$2)-69,3))*5)+MOD(COLUMN(CQ$2),3),1,1),"")</f>
        <v>0</v>
      </c>
      <c r="CR146">
        <f ca="1">IF($AN146="",OFFSET(Demand!$A$13,ROW(AB143)-1,4+((QUOTIENT(COLUMN(CR$2)-69,3))*5)+MOD(COLUMN(CR$2),3),1,1),"")</f>
        <v>0</v>
      </c>
      <c r="CS146">
        <f ca="1">IF($AN146="",OFFSET(Demand!$A$13,ROW(AC143)-1,4+((QUOTIENT(COLUMN(CS$2)-69,3))*5)+MOD(COLUMN(CS$2),3),1,1),"")</f>
        <v>0</v>
      </c>
      <c r="CT146">
        <f ca="1">IF($AN146="",OFFSET(Demand!$A$13,ROW(AD143)-1,4+((QUOTIENT(COLUMN(CT$2)-69,3))*5)+MOD(COLUMN(CT$2),3),1,1),"")</f>
        <v>0</v>
      </c>
      <c r="CW146" s="5">
        <f ca="1">SUM(OFFSET(Demand!$H$43,ROW(A143)-1,(COLUMN(A143)-1)*5,1,1))*N$2</f>
        <v>0</v>
      </c>
      <c r="CX146" s="5">
        <f ca="1">SUM(OFFSET(Demand!$H$43,ROW(B143)-1,(COLUMN(B143)-1)*5,1,1))*O$2</f>
        <v>0</v>
      </c>
      <c r="CY146" s="5">
        <f ca="1">SUM(OFFSET(Demand!$H$43,ROW(C143)-1,(COLUMN(C143)-1)*5,1,1))*P$2</f>
        <v>0</v>
      </c>
      <c r="CZ146" s="5">
        <f ca="1">SUM(OFFSET(Demand!$H$43,ROW(D143)-1,(COLUMN(D143)-1)*5,1,1))*Q$2</f>
        <v>0</v>
      </c>
      <c r="DA146" s="5">
        <f ca="1">SUM(OFFSET(Demand!$H$43,ROW(E143)-1,(COLUMN(E143)-1)*5,1,1))*R$2</f>
        <v>0</v>
      </c>
      <c r="DB146" s="5">
        <f ca="1">SUM(OFFSET(Demand!$H$43,ROW(F143)-1,(COLUMN(F143)-1)*5,1,1))*S$2</f>
        <v>0</v>
      </c>
      <c r="DC146" s="5">
        <f ca="1">SUM(OFFSET(Demand!$H$43,ROW(G143)-1,(COLUMN(G143)-1)*5,1,1))*T$2</f>
        <v>0</v>
      </c>
      <c r="DD146" s="5">
        <f ca="1">SUM(OFFSET(Demand!$H$43,ROW(H143)-1,(COLUMN(H143)-1)*5,1,1))*U$2</f>
        <v>0</v>
      </c>
      <c r="DE146" s="5">
        <f ca="1">SUM(OFFSET(Demand!$H$43,ROW(I143)-1,(COLUMN(I143)-1)*5,1,1))*V$2</f>
        <v>0</v>
      </c>
      <c r="DF146" s="5">
        <f ca="1">SUM(OFFSET(Demand!$H$43,ROW(J143)-1,(COLUMN(J143)-1)*5,1,1))*W$2</f>
        <v>0</v>
      </c>
      <c r="DG146" s="5">
        <f ca="1">IF(OR(AN146&lt;&gt;"",AND('Demand adjustments for Covid'!$F$9="Yes",'Demand adjustments for Covid'!$F$20="Yes")),"",SUM(CW146:DF146))</f>
        <v>0</v>
      </c>
    </row>
    <row r="147" spans="1:111" x14ac:dyDescent="0.25">
      <c r="A147" s="5">
        <f t="shared" ca="1" si="43"/>
        <v>1</v>
      </c>
      <c r="B147" s="5">
        <f ca="1">COUNTBLANK(OFFSET(Demand!$I156,0,(COLUMN(A144)-1)*5,1,1))</f>
        <v>1</v>
      </c>
      <c r="C147" s="5">
        <f ca="1">COUNTBLANK(OFFSET(Demand!$I156,0,(COLUMN(B144)-1)*5,1,1))</f>
        <v>1</v>
      </c>
      <c r="D147" s="5">
        <f ca="1">COUNTBLANK(OFFSET(Demand!$I156,0,(COLUMN(C144)-1)*5,1,1))</f>
        <v>1</v>
      </c>
      <c r="E147" s="5">
        <f ca="1">COUNTBLANK(OFFSET(Demand!$I156,0,(COLUMN(D144)-1)*5,1,1))</f>
        <v>1</v>
      </c>
      <c r="F147" s="5">
        <f ca="1">COUNTBLANK(OFFSET(Demand!$I156,0,(COLUMN(E144)-1)*5,1,1))</f>
        <v>1</v>
      </c>
      <c r="G147" s="5">
        <f ca="1">COUNTBLANK(OFFSET(Demand!$I156,0,(COLUMN(F144)-1)*5,1,1))</f>
        <v>1</v>
      </c>
      <c r="H147" s="5">
        <f ca="1">COUNTBLANK(OFFSET(Demand!$I156,0,(COLUMN(G144)-1)*5,1,1))</f>
        <v>1</v>
      </c>
      <c r="I147" s="5">
        <f ca="1">COUNTBLANK(OFFSET(Demand!$I156,0,(COLUMN(H144)-1)*5,1,1))</f>
        <v>1</v>
      </c>
      <c r="J147" s="5">
        <f ca="1">COUNTBLANK(OFFSET(Demand!$I156,0,(COLUMN(I144)-1)*5,1,1))</f>
        <v>1</v>
      </c>
      <c r="K147" s="5">
        <f ca="1">COUNTBLANK(OFFSET(Demand!$I156,0,(COLUMN(J144)-1)*5,1,1))</f>
        <v>1</v>
      </c>
      <c r="N147" s="5">
        <f ca="1">SUM(OFFSET(Demand!$E156,0,(COLUMN(A144)-1)*5,1,3))*N$2</f>
        <v>0</v>
      </c>
      <c r="O147" s="5">
        <f ca="1">SUM(OFFSET(Demand!$E156,0,(COLUMN(B144)-1)*5,1,3))*O$2</f>
        <v>0</v>
      </c>
      <c r="P147" s="5">
        <f ca="1">SUM(OFFSET(Demand!$E156,0,(COLUMN(C144)-1)*5,1,3))*P$2</f>
        <v>0</v>
      </c>
      <c r="Q147" s="5">
        <f ca="1">SUM(OFFSET(Demand!$E156,0,(COLUMN(D144)-1)*5,1,3))*Q$2</f>
        <v>0</v>
      </c>
      <c r="R147" s="5">
        <f ca="1">SUM(OFFSET(Demand!$E156,0,(COLUMN(E144)-1)*5,1,3))*R$2</f>
        <v>0</v>
      </c>
      <c r="S147" s="5">
        <f ca="1">SUM(OFFSET(Demand!$E156,0,(COLUMN(F144)-1)*5,1,3))*S$2</f>
        <v>0</v>
      </c>
      <c r="T147" s="5">
        <f ca="1">SUM(OFFSET(Demand!$E156,0,(COLUMN(G144)-1)*5,1,3))*T$2</f>
        <v>0</v>
      </c>
      <c r="U147" s="5">
        <f ca="1">SUM(OFFSET(Demand!$E156,0,(COLUMN(H144)-1)*5,1,3))*U$2</f>
        <v>0</v>
      </c>
      <c r="V147" s="5">
        <f ca="1">SUM(OFFSET(Demand!$E156,0,(COLUMN(I144)-1)*5,1,3))*V$2</f>
        <v>0</v>
      </c>
      <c r="W147" s="5">
        <f ca="1">SUM(OFFSET(Demand!$E156,0,(COLUMN(J144)-1)*5,1,3))*W$2</f>
        <v>0</v>
      </c>
      <c r="X147" s="5">
        <f t="shared" ca="1" si="44"/>
        <v>0</v>
      </c>
      <c r="Y147">
        <f t="shared" ca="1" si="45"/>
        <v>0</v>
      </c>
      <c r="Z147" s="5">
        <f ca="1">SUM(OFFSET(Demand!$H156,0,(COLUMN(A144)-1)*5,1,1))*N$2</f>
        <v>0</v>
      </c>
      <c r="AA147" s="5">
        <f ca="1">SUM(OFFSET(Demand!$H156,0,(COLUMN(B144)-1)*5,1,1))*O$2</f>
        <v>0</v>
      </c>
      <c r="AB147" s="5">
        <f ca="1">SUM(OFFSET(Demand!$H156,0,(COLUMN(C144)-1)*5,1,1))*P$2</f>
        <v>0</v>
      </c>
      <c r="AC147" s="5">
        <f ca="1">SUM(OFFSET(Demand!$H156,0,(COLUMN(D144)-1)*5,1,1))*Q$2</f>
        <v>0</v>
      </c>
      <c r="AD147" s="5">
        <f ca="1">SUM(OFFSET(Demand!$H156,0,(COLUMN(E144)-1)*5,1,1))*R$2</f>
        <v>0</v>
      </c>
      <c r="AE147" s="5">
        <f ca="1">SUM(OFFSET(Demand!$H156,0,(COLUMN(F144)-1)*5,1,1))*S$2</f>
        <v>0</v>
      </c>
      <c r="AF147" s="5">
        <f ca="1">SUM(OFFSET(Demand!$H156,0,(COLUMN(G144)-1)*5,1,1))*T$2</f>
        <v>0</v>
      </c>
      <c r="AG147" s="5">
        <f ca="1">SUM(OFFSET(Demand!$H156,0,(COLUMN(H144)-1)*5,1,1))*U$2</f>
        <v>0</v>
      </c>
      <c r="AH147" s="5">
        <f ca="1">SUM(OFFSET(Demand!$H156,0,(COLUMN(I144)-1)*5,1,1))*V$2</f>
        <v>0</v>
      </c>
      <c r="AI147" s="5">
        <f ca="1">SUM(OFFSET(Demand!$H156,0,(COLUMN(J144)-1)*5,1,1))*W$2</f>
        <v>0</v>
      </c>
      <c r="AJ147" s="5">
        <f t="shared" ca="1" si="46"/>
        <v>0</v>
      </c>
      <c r="AL147" s="5">
        <f t="shared" ca="1" si="47"/>
        <v>0</v>
      </c>
      <c r="AM147" s="5">
        <f t="shared" ca="1" si="48"/>
        <v>0</v>
      </c>
      <c r="AN147" s="5" t="str">
        <f>IF(Demand!BE156="Yes","Yes","")</f>
        <v/>
      </c>
      <c r="AP147" s="36" t="str">
        <f ca="1">Demand!B156</f>
        <v xml:space="preserve"> </v>
      </c>
      <c r="AQ147" t="str">
        <f ca="1">IF(TEXT(Demand!D156,"MMM")&lt;&gt;TEXT(Demand!D155,"MMM"),TEXT(Demand!D156,"MMM"),"")</f>
        <v/>
      </c>
      <c r="AT147" s="5">
        <f t="shared" ca="1" si="49"/>
        <v>0</v>
      </c>
      <c r="BQ147">
        <f ca="1">IF($AN147="",OFFSET(Demand!$A$13,ROW(A144)-1,4+((QUOTIENT(COLUMN(BQ$2)-69,3))*5)+MOD(COLUMN(BQ$2),3),1,1),"")</f>
        <v>0</v>
      </c>
      <c r="BR147">
        <f ca="1">IF($AN147="",OFFSET(Demand!$A$13,ROW(B144)-1,4+((QUOTIENT(COLUMN(BR$2)-69,3))*5)+MOD(COLUMN(BR$2),3),1,1),"")</f>
        <v>0</v>
      </c>
      <c r="BS147">
        <f ca="1">IF($AN147="",OFFSET(Demand!$A$13,ROW(C144)-1,4+((QUOTIENT(COLUMN(BS$2)-69,3))*5)+MOD(COLUMN(BS$2),3),1,1),"")</f>
        <v>0</v>
      </c>
      <c r="BT147">
        <f ca="1">IF($AN147="",OFFSET(Demand!$A$13,ROW(D144)-1,4+((QUOTIENT(COLUMN(BT$2)-69,3))*5)+MOD(COLUMN(BT$2),3),1,1),"")</f>
        <v>0</v>
      </c>
      <c r="BU147">
        <f ca="1">IF($AN147="",OFFSET(Demand!$A$13,ROW(E144)-1,4+((QUOTIENT(COLUMN(BU$2)-69,3))*5)+MOD(COLUMN(BU$2),3),1,1),"")</f>
        <v>0</v>
      </c>
      <c r="BV147">
        <f ca="1">IF($AN147="",OFFSET(Demand!$A$13,ROW(F144)-1,4+((QUOTIENT(COLUMN(BV$2)-69,3))*5)+MOD(COLUMN(BV$2),3),1,1),"")</f>
        <v>0</v>
      </c>
      <c r="BW147">
        <f ca="1">IF($AN147="",OFFSET(Demand!$A$13,ROW(G144)-1,4+((QUOTIENT(COLUMN(BW$2)-69,3))*5)+MOD(COLUMN(BW$2),3),1,1),"")</f>
        <v>0</v>
      </c>
      <c r="BX147">
        <f ca="1">IF($AN147="",OFFSET(Demand!$A$13,ROW(H144)-1,4+((QUOTIENT(COLUMN(BX$2)-69,3))*5)+MOD(COLUMN(BX$2),3),1,1),"")</f>
        <v>0</v>
      </c>
      <c r="BY147">
        <f ca="1">IF($AN147="",OFFSET(Demand!$A$13,ROW(I144)-1,4+((QUOTIENT(COLUMN(BY$2)-69,3))*5)+MOD(COLUMN(BY$2),3),1,1),"")</f>
        <v>0</v>
      </c>
      <c r="BZ147">
        <f ca="1">IF($AN147="",OFFSET(Demand!$A$13,ROW(J144)-1,4+((QUOTIENT(COLUMN(BZ$2)-69,3))*5)+MOD(COLUMN(BZ$2),3),1,1),"")</f>
        <v>0</v>
      </c>
      <c r="CA147">
        <f ca="1">IF($AN147="",OFFSET(Demand!$A$13,ROW(K144)-1,4+((QUOTIENT(COLUMN(CA$2)-69,3))*5)+MOD(COLUMN(CA$2),3),1,1),"")</f>
        <v>0</v>
      </c>
      <c r="CB147">
        <f ca="1">IF($AN147="",OFFSET(Demand!$A$13,ROW(L144)-1,4+((QUOTIENT(COLUMN(CB$2)-69,3))*5)+MOD(COLUMN(CB$2),3),1,1),"")</f>
        <v>0</v>
      </c>
      <c r="CC147">
        <f ca="1">IF($AN147="",OFFSET(Demand!$A$13,ROW(M144)-1,4+((QUOTIENT(COLUMN(CC$2)-69,3))*5)+MOD(COLUMN(CC$2),3),1,1),"")</f>
        <v>0</v>
      </c>
      <c r="CD147">
        <f ca="1">IF($AN147="",OFFSET(Demand!$A$13,ROW(N144)-1,4+((QUOTIENT(COLUMN(CD$2)-69,3))*5)+MOD(COLUMN(CD$2),3),1,1),"")</f>
        <v>0</v>
      </c>
      <c r="CE147">
        <f ca="1">IF($AN147="",OFFSET(Demand!$A$13,ROW(O144)-1,4+((QUOTIENT(COLUMN(CE$2)-69,3))*5)+MOD(COLUMN(CE$2),3),1,1),"")</f>
        <v>0</v>
      </c>
      <c r="CF147">
        <f ca="1">IF($AN147="",OFFSET(Demand!$A$13,ROW(P144)-1,4+((QUOTIENT(COLUMN(CF$2)-69,3))*5)+MOD(COLUMN(CF$2),3),1,1),"")</f>
        <v>0</v>
      </c>
      <c r="CG147">
        <f ca="1">IF($AN147="",OFFSET(Demand!$A$13,ROW(Q144)-1,4+((QUOTIENT(COLUMN(CG$2)-69,3))*5)+MOD(COLUMN(CG$2),3),1,1),"")</f>
        <v>0</v>
      </c>
      <c r="CH147">
        <f ca="1">IF($AN147="",OFFSET(Demand!$A$13,ROW(R144)-1,4+((QUOTIENT(COLUMN(CH$2)-69,3))*5)+MOD(COLUMN(CH$2),3),1,1),"")</f>
        <v>0</v>
      </c>
      <c r="CI147">
        <f ca="1">IF($AN147="",OFFSET(Demand!$A$13,ROW(S144)-1,4+((QUOTIENT(COLUMN(CI$2)-69,3))*5)+MOD(COLUMN(CI$2),3),1,1),"")</f>
        <v>0</v>
      </c>
      <c r="CJ147">
        <f ca="1">IF($AN147="",OFFSET(Demand!$A$13,ROW(T144)-1,4+((QUOTIENT(COLUMN(CJ$2)-69,3))*5)+MOD(COLUMN(CJ$2),3),1,1),"")</f>
        <v>0</v>
      </c>
      <c r="CK147">
        <f ca="1">IF($AN147="",OFFSET(Demand!$A$13,ROW(U144)-1,4+((QUOTIENT(COLUMN(CK$2)-69,3))*5)+MOD(COLUMN(CK$2),3),1,1),"")</f>
        <v>0</v>
      </c>
      <c r="CL147">
        <f ca="1">IF($AN147="",OFFSET(Demand!$A$13,ROW(V144)-1,4+((QUOTIENT(COLUMN(CL$2)-69,3))*5)+MOD(COLUMN(CL$2),3),1,1),"")</f>
        <v>0</v>
      </c>
      <c r="CM147">
        <f ca="1">IF($AN147="",OFFSET(Demand!$A$13,ROW(W144)-1,4+((QUOTIENT(COLUMN(CM$2)-69,3))*5)+MOD(COLUMN(CM$2),3),1,1),"")</f>
        <v>0</v>
      </c>
      <c r="CN147">
        <f ca="1">IF($AN147="",OFFSET(Demand!$A$13,ROW(X144)-1,4+((QUOTIENT(COLUMN(CN$2)-69,3))*5)+MOD(COLUMN(CN$2),3),1,1),"")</f>
        <v>0</v>
      </c>
      <c r="CO147">
        <f ca="1">IF($AN147="",OFFSET(Demand!$A$13,ROW(Y144)-1,4+((QUOTIENT(COLUMN(CO$2)-69,3))*5)+MOD(COLUMN(CO$2),3),1,1),"")</f>
        <v>0</v>
      </c>
      <c r="CP147">
        <f ca="1">IF($AN147="",OFFSET(Demand!$A$13,ROW(Z144)-1,4+((QUOTIENT(COLUMN(CP$2)-69,3))*5)+MOD(COLUMN(CP$2),3),1,1),"")</f>
        <v>0</v>
      </c>
      <c r="CQ147">
        <f ca="1">IF($AN147="",OFFSET(Demand!$A$13,ROW(AA144)-1,4+((QUOTIENT(COLUMN(CQ$2)-69,3))*5)+MOD(COLUMN(CQ$2),3),1,1),"")</f>
        <v>0</v>
      </c>
      <c r="CR147">
        <f ca="1">IF($AN147="",OFFSET(Demand!$A$13,ROW(AB144)-1,4+((QUOTIENT(COLUMN(CR$2)-69,3))*5)+MOD(COLUMN(CR$2),3),1,1),"")</f>
        <v>0</v>
      </c>
      <c r="CS147">
        <f ca="1">IF($AN147="",OFFSET(Demand!$A$13,ROW(AC144)-1,4+((QUOTIENT(COLUMN(CS$2)-69,3))*5)+MOD(COLUMN(CS$2),3),1,1),"")</f>
        <v>0</v>
      </c>
      <c r="CT147">
        <f ca="1">IF($AN147="",OFFSET(Demand!$A$13,ROW(AD144)-1,4+((QUOTIENT(COLUMN(CT$2)-69,3))*5)+MOD(COLUMN(CT$2),3),1,1),"")</f>
        <v>0</v>
      </c>
      <c r="CW147" s="5">
        <f ca="1">SUM(OFFSET(Demand!$H$43,ROW(A144)-1,(COLUMN(A144)-1)*5,1,1))*N$2</f>
        <v>0</v>
      </c>
      <c r="CX147" s="5">
        <f ca="1">SUM(OFFSET(Demand!$H$43,ROW(B144)-1,(COLUMN(B144)-1)*5,1,1))*O$2</f>
        <v>0</v>
      </c>
      <c r="CY147" s="5">
        <f ca="1">SUM(OFFSET(Demand!$H$43,ROW(C144)-1,(COLUMN(C144)-1)*5,1,1))*P$2</f>
        <v>0</v>
      </c>
      <c r="CZ147" s="5">
        <f ca="1">SUM(OFFSET(Demand!$H$43,ROW(D144)-1,(COLUMN(D144)-1)*5,1,1))*Q$2</f>
        <v>0</v>
      </c>
      <c r="DA147" s="5">
        <f ca="1">SUM(OFFSET(Demand!$H$43,ROW(E144)-1,(COLUMN(E144)-1)*5,1,1))*R$2</f>
        <v>0</v>
      </c>
      <c r="DB147" s="5">
        <f ca="1">SUM(OFFSET(Demand!$H$43,ROW(F144)-1,(COLUMN(F144)-1)*5,1,1))*S$2</f>
        <v>0</v>
      </c>
      <c r="DC147" s="5">
        <f ca="1">SUM(OFFSET(Demand!$H$43,ROW(G144)-1,(COLUMN(G144)-1)*5,1,1))*T$2</f>
        <v>0</v>
      </c>
      <c r="DD147" s="5">
        <f ca="1">SUM(OFFSET(Demand!$H$43,ROW(H144)-1,(COLUMN(H144)-1)*5,1,1))*U$2</f>
        <v>0</v>
      </c>
      <c r="DE147" s="5">
        <f ca="1">SUM(OFFSET(Demand!$H$43,ROW(I144)-1,(COLUMN(I144)-1)*5,1,1))*V$2</f>
        <v>0</v>
      </c>
      <c r="DF147" s="5">
        <f ca="1">SUM(OFFSET(Demand!$H$43,ROW(J144)-1,(COLUMN(J144)-1)*5,1,1))*W$2</f>
        <v>0</v>
      </c>
      <c r="DG147" s="5">
        <f ca="1">IF(OR(AN147&lt;&gt;"",AND('Demand adjustments for Covid'!$F$9="Yes",'Demand adjustments for Covid'!$F$20="Yes")),"",SUM(CW147:DF147))</f>
        <v>0</v>
      </c>
    </row>
    <row r="148" spans="1:111" x14ac:dyDescent="0.25">
      <c r="A148" s="5">
        <f t="shared" ca="1" si="43"/>
        <v>1</v>
      </c>
      <c r="B148" s="5">
        <f ca="1">COUNTBLANK(OFFSET(Demand!$I157,0,(COLUMN(A145)-1)*5,1,1))</f>
        <v>1</v>
      </c>
      <c r="C148" s="5">
        <f ca="1">COUNTBLANK(OFFSET(Demand!$I157,0,(COLUMN(B145)-1)*5,1,1))</f>
        <v>1</v>
      </c>
      <c r="D148" s="5">
        <f ca="1">COUNTBLANK(OFFSET(Demand!$I157,0,(COLUMN(C145)-1)*5,1,1))</f>
        <v>1</v>
      </c>
      <c r="E148" s="5">
        <f ca="1">COUNTBLANK(OFFSET(Demand!$I157,0,(COLUMN(D145)-1)*5,1,1))</f>
        <v>1</v>
      </c>
      <c r="F148" s="5">
        <f ca="1">COUNTBLANK(OFFSET(Demand!$I157,0,(COLUMN(E145)-1)*5,1,1))</f>
        <v>1</v>
      </c>
      <c r="G148" s="5">
        <f ca="1">COUNTBLANK(OFFSET(Demand!$I157,0,(COLUMN(F145)-1)*5,1,1))</f>
        <v>1</v>
      </c>
      <c r="H148" s="5">
        <f ca="1">COUNTBLANK(OFFSET(Demand!$I157,0,(COLUMN(G145)-1)*5,1,1))</f>
        <v>1</v>
      </c>
      <c r="I148" s="5">
        <f ca="1">COUNTBLANK(OFFSET(Demand!$I157,0,(COLUMN(H145)-1)*5,1,1))</f>
        <v>1</v>
      </c>
      <c r="J148" s="5">
        <f ca="1">COUNTBLANK(OFFSET(Demand!$I157,0,(COLUMN(I145)-1)*5,1,1))</f>
        <v>1</v>
      </c>
      <c r="K148" s="5">
        <f ca="1">COUNTBLANK(OFFSET(Demand!$I157,0,(COLUMN(J145)-1)*5,1,1))</f>
        <v>1</v>
      </c>
      <c r="N148" s="5">
        <f ca="1">SUM(OFFSET(Demand!$E157,0,(COLUMN(A145)-1)*5,1,3))*N$2</f>
        <v>0</v>
      </c>
      <c r="O148" s="5">
        <f ca="1">SUM(OFFSET(Demand!$E157,0,(COLUMN(B145)-1)*5,1,3))*O$2</f>
        <v>0</v>
      </c>
      <c r="P148" s="5">
        <f ca="1">SUM(OFFSET(Demand!$E157,0,(COLUMN(C145)-1)*5,1,3))*P$2</f>
        <v>0</v>
      </c>
      <c r="Q148" s="5">
        <f ca="1">SUM(OFFSET(Demand!$E157,0,(COLUMN(D145)-1)*5,1,3))*Q$2</f>
        <v>0</v>
      </c>
      <c r="R148" s="5">
        <f ca="1">SUM(OFFSET(Demand!$E157,0,(COLUMN(E145)-1)*5,1,3))*R$2</f>
        <v>0</v>
      </c>
      <c r="S148" s="5">
        <f ca="1">SUM(OFFSET(Demand!$E157,0,(COLUMN(F145)-1)*5,1,3))*S$2</f>
        <v>0</v>
      </c>
      <c r="T148" s="5">
        <f ca="1">SUM(OFFSET(Demand!$E157,0,(COLUMN(G145)-1)*5,1,3))*T$2</f>
        <v>0</v>
      </c>
      <c r="U148" s="5">
        <f ca="1">SUM(OFFSET(Demand!$E157,0,(COLUMN(H145)-1)*5,1,3))*U$2</f>
        <v>0</v>
      </c>
      <c r="V148" s="5">
        <f ca="1">SUM(OFFSET(Demand!$E157,0,(COLUMN(I145)-1)*5,1,3))*V$2</f>
        <v>0</v>
      </c>
      <c r="W148" s="5">
        <f ca="1">SUM(OFFSET(Demand!$E157,0,(COLUMN(J145)-1)*5,1,3))*W$2</f>
        <v>0</v>
      </c>
      <c r="X148" s="5">
        <f t="shared" ca="1" si="44"/>
        <v>0</v>
      </c>
      <c r="Y148">
        <f t="shared" ca="1" si="45"/>
        <v>0</v>
      </c>
      <c r="Z148" s="5">
        <f ca="1">SUM(OFFSET(Demand!$H157,0,(COLUMN(A145)-1)*5,1,1))*N$2</f>
        <v>0</v>
      </c>
      <c r="AA148" s="5">
        <f ca="1">SUM(OFFSET(Demand!$H157,0,(COLUMN(B145)-1)*5,1,1))*O$2</f>
        <v>0</v>
      </c>
      <c r="AB148" s="5">
        <f ca="1">SUM(OFFSET(Demand!$H157,0,(COLUMN(C145)-1)*5,1,1))*P$2</f>
        <v>0</v>
      </c>
      <c r="AC148" s="5">
        <f ca="1">SUM(OFFSET(Demand!$H157,0,(COLUMN(D145)-1)*5,1,1))*Q$2</f>
        <v>0</v>
      </c>
      <c r="AD148" s="5">
        <f ca="1">SUM(OFFSET(Demand!$H157,0,(COLUMN(E145)-1)*5,1,1))*R$2</f>
        <v>0</v>
      </c>
      <c r="AE148" s="5">
        <f ca="1">SUM(OFFSET(Demand!$H157,0,(COLUMN(F145)-1)*5,1,1))*S$2</f>
        <v>0</v>
      </c>
      <c r="AF148" s="5">
        <f ca="1">SUM(OFFSET(Demand!$H157,0,(COLUMN(G145)-1)*5,1,1))*T$2</f>
        <v>0</v>
      </c>
      <c r="AG148" s="5">
        <f ca="1">SUM(OFFSET(Demand!$H157,0,(COLUMN(H145)-1)*5,1,1))*U$2</f>
        <v>0</v>
      </c>
      <c r="AH148" s="5">
        <f ca="1">SUM(OFFSET(Demand!$H157,0,(COLUMN(I145)-1)*5,1,1))*V$2</f>
        <v>0</v>
      </c>
      <c r="AI148" s="5">
        <f ca="1">SUM(OFFSET(Demand!$H157,0,(COLUMN(J145)-1)*5,1,1))*W$2</f>
        <v>0</v>
      </c>
      <c r="AJ148" s="5">
        <f t="shared" ca="1" si="46"/>
        <v>0</v>
      </c>
      <c r="AL148" s="5">
        <f t="shared" ca="1" si="47"/>
        <v>0</v>
      </c>
      <c r="AM148" s="5">
        <f t="shared" ca="1" si="48"/>
        <v>0</v>
      </c>
      <c r="AN148" s="5" t="str">
        <f>IF(Demand!BE157="Yes","Yes","")</f>
        <v/>
      </c>
      <c r="AP148" s="36" t="str">
        <f ca="1">Demand!B157</f>
        <v xml:space="preserve"> </v>
      </c>
      <c r="AQ148" t="str">
        <f ca="1">IF(TEXT(Demand!D157,"MMM")&lt;&gt;TEXT(Demand!D156,"MMM"),TEXT(Demand!D157,"MMM"),"")</f>
        <v/>
      </c>
      <c r="AT148" s="5">
        <f t="shared" ca="1" si="49"/>
        <v>0</v>
      </c>
      <c r="BQ148">
        <f ca="1">IF($AN148="",OFFSET(Demand!$A$13,ROW(A145)-1,4+((QUOTIENT(COLUMN(BQ$2)-69,3))*5)+MOD(COLUMN(BQ$2),3),1,1),"")</f>
        <v>0</v>
      </c>
      <c r="BR148">
        <f ca="1">IF($AN148="",OFFSET(Demand!$A$13,ROW(B145)-1,4+((QUOTIENT(COLUMN(BR$2)-69,3))*5)+MOD(COLUMN(BR$2),3),1,1),"")</f>
        <v>0</v>
      </c>
      <c r="BS148">
        <f ca="1">IF($AN148="",OFFSET(Demand!$A$13,ROW(C145)-1,4+((QUOTIENT(COLUMN(BS$2)-69,3))*5)+MOD(COLUMN(BS$2),3),1,1),"")</f>
        <v>0</v>
      </c>
      <c r="BT148">
        <f ca="1">IF($AN148="",OFFSET(Demand!$A$13,ROW(D145)-1,4+((QUOTIENT(COLUMN(BT$2)-69,3))*5)+MOD(COLUMN(BT$2),3),1,1),"")</f>
        <v>0</v>
      </c>
      <c r="BU148">
        <f ca="1">IF($AN148="",OFFSET(Demand!$A$13,ROW(E145)-1,4+((QUOTIENT(COLUMN(BU$2)-69,3))*5)+MOD(COLUMN(BU$2),3),1,1),"")</f>
        <v>0</v>
      </c>
      <c r="BV148">
        <f ca="1">IF($AN148="",OFFSET(Demand!$A$13,ROW(F145)-1,4+((QUOTIENT(COLUMN(BV$2)-69,3))*5)+MOD(COLUMN(BV$2),3),1,1),"")</f>
        <v>0</v>
      </c>
      <c r="BW148">
        <f ca="1">IF($AN148="",OFFSET(Demand!$A$13,ROW(G145)-1,4+((QUOTIENT(COLUMN(BW$2)-69,3))*5)+MOD(COLUMN(BW$2),3),1,1),"")</f>
        <v>0</v>
      </c>
      <c r="BX148">
        <f ca="1">IF($AN148="",OFFSET(Demand!$A$13,ROW(H145)-1,4+((QUOTIENT(COLUMN(BX$2)-69,3))*5)+MOD(COLUMN(BX$2),3),1,1),"")</f>
        <v>0</v>
      </c>
      <c r="BY148">
        <f ca="1">IF($AN148="",OFFSET(Demand!$A$13,ROW(I145)-1,4+((QUOTIENT(COLUMN(BY$2)-69,3))*5)+MOD(COLUMN(BY$2),3),1,1),"")</f>
        <v>0</v>
      </c>
      <c r="BZ148">
        <f ca="1">IF($AN148="",OFFSET(Demand!$A$13,ROW(J145)-1,4+((QUOTIENT(COLUMN(BZ$2)-69,3))*5)+MOD(COLUMN(BZ$2),3),1,1),"")</f>
        <v>0</v>
      </c>
      <c r="CA148">
        <f ca="1">IF($AN148="",OFFSET(Demand!$A$13,ROW(K145)-1,4+((QUOTIENT(COLUMN(CA$2)-69,3))*5)+MOD(COLUMN(CA$2),3),1,1),"")</f>
        <v>0</v>
      </c>
      <c r="CB148">
        <f ca="1">IF($AN148="",OFFSET(Demand!$A$13,ROW(L145)-1,4+((QUOTIENT(COLUMN(CB$2)-69,3))*5)+MOD(COLUMN(CB$2),3),1,1),"")</f>
        <v>0</v>
      </c>
      <c r="CC148">
        <f ca="1">IF($AN148="",OFFSET(Demand!$A$13,ROW(M145)-1,4+((QUOTIENT(COLUMN(CC$2)-69,3))*5)+MOD(COLUMN(CC$2),3),1,1),"")</f>
        <v>0</v>
      </c>
      <c r="CD148">
        <f ca="1">IF($AN148="",OFFSET(Demand!$A$13,ROW(N145)-1,4+((QUOTIENT(COLUMN(CD$2)-69,3))*5)+MOD(COLUMN(CD$2),3),1,1),"")</f>
        <v>0</v>
      </c>
      <c r="CE148">
        <f ca="1">IF($AN148="",OFFSET(Demand!$A$13,ROW(O145)-1,4+((QUOTIENT(COLUMN(CE$2)-69,3))*5)+MOD(COLUMN(CE$2),3),1,1),"")</f>
        <v>0</v>
      </c>
      <c r="CF148">
        <f ca="1">IF($AN148="",OFFSET(Demand!$A$13,ROW(P145)-1,4+((QUOTIENT(COLUMN(CF$2)-69,3))*5)+MOD(COLUMN(CF$2),3),1,1),"")</f>
        <v>0</v>
      </c>
      <c r="CG148">
        <f ca="1">IF($AN148="",OFFSET(Demand!$A$13,ROW(Q145)-1,4+((QUOTIENT(COLUMN(CG$2)-69,3))*5)+MOD(COLUMN(CG$2),3),1,1),"")</f>
        <v>0</v>
      </c>
      <c r="CH148">
        <f ca="1">IF($AN148="",OFFSET(Demand!$A$13,ROW(R145)-1,4+((QUOTIENT(COLUMN(CH$2)-69,3))*5)+MOD(COLUMN(CH$2),3),1,1),"")</f>
        <v>0</v>
      </c>
      <c r="CI148">
        <f ca="1">IF($AN148="",OFFSET(Demand!$A$13,ROW(S145)-1,4+((QUOTIENT(COLUMN(CI$2)-69,3))*5)+MOD(COLUMN(CI$2),3),1,1),"")</f>
        <v>0</v>
      </c>
      <c r="CJ148">
        <f ca="1">IF($AN148="",OFFSET(Demand!$A$13,ROW(T145)-1,4+((QUOTIENT(COLUMN(CJ$2)-69,3))*5)+MOD(COLUMN(CJ$2),3),1,1),"")</f>
        <v>0</v>
      </c>
      <c r="CK148">
        <f ca="1">IF($AN148="",OFFSET(Demand!$A$13,ROW(U145)-1,4+((QUOTIENT(COLUMN(CK$2)-69,3))*5)+MOD(COLUMN(CK$2),3),1,1),"")</f>
        <v>0</v>
      </c>
      <c r="CL148">
        <f ca="1">IF($AN148="",OFFSET(Demand!$A$13,ROW(V145)-1,4+((QUOTIENT(COLUMN(CL$2)-69,3))*5)+MOD(COLUMN(CL$2),3),1,1),"")</f>
        <v>0</v>
      </c>
      <c r="CM148">
        <f ca="1">IF($AN148="",OFFSET(Demand!$A$13,ROW(W145)-1,4+((QUOTIENT(COLUMN(CM$2)-69,3))*5)+MOD(COLUMN(CM$2),3),1,1),"")</f>
        <v>0</v>
      </c>
      <c r="CN148">
        <f ca="1">IF($AN148="",OFFSET(Demand!$A$13,ROW(X145)-1,4+((QUOTIENT(COLUMN(CN$2)-69,3))*5)+MOD(COLUMN(CN$2),3),1,1),"")</f>
        <v>0</v>
      </c>
      <c r="CO148">
        <f ca="1">IF($AN148="",OFFSET(Demand!$A$13,ROW(Y145)-1,4+((QUOTIENT(COLUMN(CO$2)-69,3))*5)+MOD(COLUMN(CO$2),3),1,1),"")</f>
        <v>0</v>
      </c>
      <c r="CP148">
        <f ca="1">IF($AN148="",OFFSET(Demand!$A$13,ROW(Z145)-1,4+((QUOTIENT(COLUMN(CP$2)-69,3))*5)+MOD(COLUMN(CP$2),3),1,1),"")</f>
        <v>0</v>
      </c>
      <c r="CQ148">
        <f ca="1">IF($AN148="",OFFSET(Demand!$A$13,ROW(AA145)-1,4+((QUOTIENT(COLUMN(CQ$2)-69,3))*5)+MOD(COLUMN(CQ$2),3),1,1),"")</f>
        <v>0</v>
      </c>
      <c r="CR148">
        <f ca="1">IF($AN148="",OFFSET(Demand!$A$13,ROW(AB145)-1,4+((QUOTIENT(COLUMN(CR$2)-69,3))*5)+MOD(COLUMN(CR$2),3),1,1),"")</f>
        <v>0</v>
      </c>
      <c r="CS148">
        <f ca="1">IF($AN148="",OFFSET(Demand!$A$13,ROW(AC145)-1,4+((QUOTIENT(COLUMN(CS$2)-69,3))*5)+MOD(COLUMN(CS$2),3),1,1),"")</f>
        <v>0</v>
      </c>
      <c r="CT148">
        <f ca="1">IF($AN148="",OFFSET(Demand!$A$13,ROW(AD145)-1,4+((QUOTIENT(COLUMN(CT$2)-69,3))*5)+MOD(COLUMN(CT$2),3),1,1),"")</f>
        <v>0</v>
      </c>
      <c r="CW148" s="5">
        <f ca="1">SUM(OFFSET(Demand!$H$43,ROW(A145)-1,(COLUMN(A145)-1)*5,1,1))*N$2</f>
        <v>0</v>
      </c>
      <c r="CX148" s="5">
        <f ca="1">SUM(OFFSET(Demand!$H$43,ROW(B145)-1,(COLUMN(B145)-1)*5,1,1))*O$2</f>
        <v>0</v>
      </c>
      <c r="CY148" s="5">
        <f ca="1">SUM(OFFSET(Demand!$H$43,ROW(C145)-1,(COLUMN(C145)-1)*5,1,1))*P$2</f>
        <v>0</v>
      </c>
      <c r="CZ148" s="5">
        <f ca="1">SUM(OFFSET(Demand!$H$43,ROW(D145)-1,(COLUMN(D145)-1)*5,1,1))*Q$2</f>
        <v>0</v>
      </c>
      <c r="DA148" s="5">
        <f ca="1">SUM(OFFSET(Demand!$H$43,ROW(E145)-1,(COLUMN(E145)-1)*5,1,1))*R$2</f>
        <v>0</v>
      </c>
      <c r="DB148" s="5">
        <f ca="1">SUM(OFFSET(Demand!$H$43,ROW(F145)-1,(COLUMN(F145)-1)*5,1,1))*S$2</f>
        <v>0</v>
      </c>
      <c r="DC148" s="5">
        <f ca="1">SUM(OFFSET(Demand!$H$43,ROW(G145)-1,(COLUMN(G145)-1)*5,1,1))*T$2</f>
        <v>0</v>
      </c>
      <c r="DD148" s="5">
        <f ca="1">SUM(OFFSET(Demand!$H$43,ROW(H145)-1,(COLUMN(H145)-1)*5,1,1))*U$2</f>
        <v>0</v>
      </c>
      <c r="DE148" s="5">
        <f ca="1">SUM(OFFSET(Demand!$H$43,ROW(I145)-1,(COLUMN(I145)-1)*5,1,1))*V$2</f>
        <v>0</v>
      </c>
      <c r="DF148" s="5">
        <f ca="1">SUM(OFFSET(Demand!$H$43,ROW(J145)-1,(COLUMN(J145)-1)*5,1,1))*W$2</f>
        <v>0</v>
      </c>
      <c r="DG148" s="5">
        <f ca="1">IF(OR(AN148&lt;&gt;"",AND('Demand adjustments for Covid'!$F$9="Yes",'Demand adjustments for Covid'!$F$20="Yes")),"",SUM(CW148:DF148))</f>
        <v>0</v>
      </c>
    </row>
    <row r="149" spans="1:111" x14ac:dyDescent="0.25">
      <c r="A149" s="5">
        <f t="shared" ca="1" si="43"/>
        <v>1</v>
      </c>
      <c r="B149" s="5">
        <f ca="1">COUNTBLANK(OFFSET(Demand!$I158,0,(COLUMN(A146)-1)*5,1,1))</f>
        <v>1</v>
      </c>
      <c r="C149" s="5">
        <f ca="1">COUNTBLANK(OFFSET(Demand!$I158,0,(COLUMN(B146)-1)*5,1,1))</f>
        <v>1</v>
      </c>
      <c r="D149" s="5">
        <f ca="1">COUNTBLANK(OFFSET(Demand!$I158,0,(COLUMN(C146)-1)*5,1,1))</f>
        <v>1</v>
      </c>
      <c r="E149" s="5">
        <f ca="1">COUNTBLANK(OFFSET(Demand!$I158,0,(COLUMN(D146)-1)*5,1,1))</f>
        <v>1</v>
      </c>
      <c r="F149" s="5">
        <f ca="1">COUNTBLANK(OFFSET(Demand!$I158,0,(COLUMN(E146)-1)*5,1,1))</f>
        <v>1</v>
      </c>
      <c r="G149" s="5">
        <f ca="1">COUNTBLANK(OFFSET(Demand!$I158,0,(COLUMN(F146)-1)*5,1,1))</f>
        <v>1</v>
      </c>
      <c r="H149" s="5">
        <f ca="1">COUNTBLANK(OFFSET(Demand!$I158,0,(COLUMN(G146)-1)*5,1,1))</f>
        <v>1</v>
      </c>
      <c r="I149" s="5">
        <f ca="1">COUNTBLANK(OFFSET(Demand!$I158,0,(COLUMN(H146)-1)*5,1,1))</f>
        <v>1</v>
      </c>
      <c r="J149" s="5">
        <f ca="1">COUNTBLANK(OFFSET(Demand!$I158,0,(COLUMN(I146)-1)*5,1,1))</f>
        <v>1</v>
      </c>
      <c r="K149" s="5">
        <f ca="1">COUNTBLANK(OFFSET(Demand!$I158,0,(COLUMN(J146)-1)*5,1,1))</f>
        <v>1</v>
      </c>
      <c r="N149" s="5">
        <f ca="1">SUM(OFFSET(Demand!$E158,0,(COLUMN(A146)-1)*5,1,3))*N$2</f>
        <v>0</v>
      </c>
      <c r="O149" s="5">
        <f ca="1">SUM(OFFSET(Demand!$E158,0,(COLUMN(B146)-1)*5,1,3))*O$2</f>
        <v>0</v>
      </c>
      <c r="P149" s="5">
        <f ca="1">SUM(OFFSET(Demand!$E158,0,(COLUMN(C146)-1)*5,1,3))*P$2</f>
        <v>0</v>
      </c>
      <c r="Q149" s="5">
        <f ca="1">SUM(OFFSET(Demand!$E158,0,(COLUMN(D146)-1)*5,1,3))*Q$2</f>
        <v>0</v>
      </c>
      <c r="R149" s="5">
        <f ca="1">SUM(OFFSET(Demand!$E158,0,(COLUMN(E146)-1)*5,1,3))*R$2</f>
        <v>0</v>
      </c>
      <c r="S149" s="5">
        <f ca="1">SUM(OFFSET(Demand!$E158,0,(COLUMN(F146)-1)*5,1,3))*S$2</f>
        <v>0</v>
      </c>
      <c r="T149" s="5">
        <f ca="1">SUM(OFFSET(Demand!$E158,0,(COLUMN(G146)-1)*5,1,3))*T$2</f>
        <v>0</v>
      </c>
      <c r="U149" s="5">
        <f ca="1">SUM(OFFSET(Demand!$E158,0,(COLUMN(H146)-1)*5,1,3))*U$2</f>
        <v>0</v>
      </c>
      <c r="V149" s="5">
        <f ca="1">SUM(OFFSET(Demand!$E158,0,(COLUMN(I146)-1)*5,1,3))*V$2</f>
        <v>0</v>
      </c>
      <c r="W149" s="5">
        <f ca="1">SUM(OFFSET(Demand!$E158,0,(COLUMN(J146)-1)*5,1,3))*W$2</f>
        <v>0</v>
      </c>
      <c r="X149" s="5">
        <f t="shared" ca="1" si="44"/>
        <v>0</v>
      </c>
      <c r="Y149">
        <f t="shared" ca="1" si="45"/>
        <v>0</v>
      </c>
      <c r="Z149" s="5">
        <f ca="1">SUM(OFFSET(Demand!$H158,0,(COLUMN(A146)-1)*5,1,1))*N$2</f>
        <v>0</v>
      </c>
      <c r="AA149" s="5">
        <f ca="1">SUM(OFFSET(Demand!$H158,0,(COLUMN(B146)-1)*5,1,1))*O$2</f>
        <v>0</v>
      </c>
      <c r="AB149" s="5">
        <f ca="1">SUM(OFFSET(Demand!$H158,0,(COLUMN(C146)-1)*5,1,1))*P$2</f>
        <v>0</v>
      </c>
      <c r="AC149" s="5">
        <f ca="1">SUM(OFFSET(Demand!$H158,0,(COLUMN(D146)-1)*5,1,1))*Q$2</f>
        <v>0</v>
      </c>
      <c r="AD149" s="5">
        <f ca="1">SUM(OFFSET(Demand!$H158,0,(COLUMN(E146)-1)*5,1,1))*R$2</f>
        <v>0</v>
      </c>
      <c r="AE149" s="5">
        <f ca="1">SUM(OFFSET(Demand!$H158,0,(COLUMN(F146)-1)*5,1,1))*S$2</f>
        <v>0</v>
      </c>
      <c r="AF149" s="5">
        <f ca="1">SUM(OFFSET(Demand!$H158,0,(COLUMN(G146)-1)*5,1,1))*T$2</f>
        <v>0</v>
      </c>
      <c r="AG149" s="5">
        <f ca="1">SUM(OFFSET(Demand!$H158,0,(COLUMN(H146)-1)*5,1,1))*U$2</f>
        <v>0</v>
      </c>
      <c r="AH149" s="5">
        <f ca="1">SUM(OFFSET(Demand!$H158,0,(COLUMN(I146)-1)*5,1,1))*V$2</f>
        <v>0</v>
      </c>
      <c r="AI149" s="5">
        <f ca="1">SUM(OFFSET(Demand!$H158,0,(COLUMN(J146)-1)*5,1,1))*W$2</f>
        <v>0</v>
      </c>
      <c r="AJ149" s="5">
        <f t="shared" ca="1" si="46"/>
        <v>0</v>
      </c>
      <c r="AL149" s="5">
        <f t="shared" ca="1" si="47"/>
        <v>0</v>
      </c>
      <c r="AM149" s="5">
        <f t="shared" ca="1" si="48"/>
        <v>0</v>
      </c>
      <c r="AN149" s="5" t="str">
        <f>IF(Demand!BE158="Yes","Yes","")</f>
        <v/>
      </c>
      <c r="AP149" s="36" t="str">
        <f ca="1">Demand!B158</f>
        <v xml:space="preserve"> </v>
      </c>
      <c r="AQ149" t="str">
        <f ca="1">IF(TEXT(Demand!D158,"MMM")&lt;&gt;TEXT(Demand!D157,"MMM"),TEXT(Demand!D158,"MMM"),"")</f>
        <v/>
      </c>
      <c r="AT149" s="5">
        <f t="shared" ca="1" si="49"/>
        <v>0</v>
      </c>
      <c r="BQ149">
        <f ca="1">IF($AN149="",OFFSET(Demand!$A$13,ROW(A146)-1,4+((QUOTIENT(COLUMN(BQ$2)-69,3))*5)+MOD(COLUMN(BQ$2),3),1,1),"")</f>
        <v>0</v>
      </c>
      <c r="BR149">
        <f ca="1">IF($AN149="",OFFSET(Demand!$A$13,ROW(B146)-1,4+((QUOTIENT(COLUMN(BR$2)-69,3))*5)+MOD(COLUMN(BR$2),3),1,1),"")</f>
        <v>0</v>
      </c>
      <c r="BS149">
        <f ca="1">IF($AN149="",OFFSET(Demand!$A$13,ROW(C146)-1,4+((QUOTIENT(COLUMN(BS$2)-69,3))*5)+MOD(COLUMN(BS$2),3),1,1),"")</f>
        <v>0</v>
      </c>
      <c r="BT149">
        <f ca="1">IF($AN149="",OFFSET(Demand!$A$13,ROW(D146)-1,4+((QUOTIENT(COLUMN(BT$2)-69,3))*5)+MOD(COLUMN(BT$2),3),1,1),"")</f>
        <v>0</v>
      </c>
      <c r="BU149">
        <f ca="1">IF($AN149="",OFFSET(Demand!$A$13,ROW(E146)-1,4+((QUOTIENT(COLUMN(BU$2)-69,3))*5)+MOD(COLUMN(BU$2),3),1,1),"")</f>
        <v>0</v>
      </c>
      <c r="BV149">
        <f ca="1">IF($AN149="",OFFSET(Demand!$A$13,ROW(F146)-1,4+((QUOTIENT(COLUMN(BV$2)-69,3))*5)+MOD(COLUMN(BV$2),3),1,1),"")</f>
        <v>0</v>
      </c>
      <c r="BW149">
        <f ca="1">IF($AN149="",OFFSET(Demand!$A$13,ROW(G146)-1,4+((QUOTIENT(COLUMN(BW$2)-69,3))*5)+MOD(COLUMN(BW$2),3),1,1),"")</f>
        <v>0</v>
      </c>
      <c r="BX149">
        <f ca="1">IF($AN149="",OFFSET(Demand!$A$13,ROW(H146)-1,4+((QUOTIENT(COLUMN(BX$2)-69,3))*5)+MOD(COLUMN(BX$2),3),1,1),"")</f>
        <v>0</v>
      </c>
      <c r="BY149">
        <f ca="1">IF($AN149="",OFFSET(Demand!$A$13,ROW(I146)-1,4+((QUOTIENT(COLUMN(BY$2)-69,3))*5)+MOD(COLUMN(BY$2),3),1,1),"")</f>
        <v>0</v>
      </c>
      <c r="BZ149">
        <f ca="1">IF($AN149="",OFFSET(Demand!$A$13,ROW(J146)-1,4+((QUOTIENT(COLUMN(BZ$2)-69,3))*5)+MOD(COLUMN(BZ$2),3),1,1),"")</f>
        <v>0</v>
      </c>
      <c r="CA149">
        <f ca="1">IF($AN149="",OFFSET(Demand!$A$13,ROW(K146)-1,4+((QUOTIENT(COLUMN(CA$2)-69,3))*5)+MOD(COLUMN(CA$2),3),1,1),"")</f>
        <v>0</v>
      </c>
      <c r="CB149">
        <f ca="1">IF($AN149="",OFFSET(Demand!$A$13,ROW(L146)-1,4+((QUOTIENT(COLUMN(CB$2)-69,3))*5)+MOD(COLUMN(CB$2),3),1,1),"")</f>
        <v>0</v>
      </c>
      <c r="CC149">
        <f ca="1">IF($AN149="",OFFSET(Demand!$A$13,ROW(M146)-1,4+((QUOTIENT(COLUMN(CC$2)-69,3))*5)+MOD(COLUMN(CC$2),3),1,1),"")</f>
        <v>0</v>
      </c>
      <c r="CD149">
        <f ca="1">IF($AN149="",OFFSET(Demand!$A$13,ROW(N146)-1,4+((QUOTIENT(COLUMN(CD$2)-69,3))*5)+MOD(COLUMN(CD$2),3),1,1),"")</f>
        <v>0</v>
      </c>
      <c r="CE149">
        <f ca="1">IF($AN149="",OFFSET(Demand!$A$13,ROW(O146)-1,4+((QUOTIENT(COLUMN(CE$2)-69,3))*5)+MOD(COLUMN(CE$2),3),1,1),"")</f>
        <v>0</v>
      </c>
      <c r="CF149">
        <f ca="1">IF($AN149="",OFFSET(Demand!$A$13,ROW(P146)-1,4+((QUOTIENT(COLUMN(CF$2)-69,3))*5)+MOD(COLUMN(CF$2),3),1,1),"")</f>
        <v>0</v>
      </c>
      <c r="CG149">
        <f ca="1">IF($AN149="",OFFSET(Demand!$A$13,ROW(Q146)-1,4+((QUOTIENT(COLUMN(CG$2)-69,3))*5)+MOD(COLUMN(CG$2),3),1,1),"")</f>
        <v>0</v>
      </c>
      <c r="CH149">
        <f ca="1">IF($AN149="",OFFSET(Demand!$A$13,ROW(R146)-1,4+((QUOTIENT(COLUMN(CH$2)-69,3))*5)+MOD(COLUMN(CH$2),3),1,1),"")</f>
        <v>0</v>
      </c>
      <c r="CI149">
        <f ca="1">IF($AN149="",OFFSET(Demand!$A$13,ROW(S146)-1,4+((QUOTIENT(COLUMN(CI$2)-69,3))*5)+MOD(COLUMN(CI$2),3),1,1),"")</f>
        <v>0</v>
      </c>
      <c r="CJ149">
        <f ca="1">IF($AN149="",OFFSET(Demand!$A$13,ROW(T146)-1,4+((QUOTIENT(COLUMN(CJ$2)-69,3))*5)+MOD(COLUMN(CJ$2),3),1,1),"")</f>
        <v>0</v>
      </c>
      <c r="CK149">
        <f ca="1">IF($AN149="",OFFSET(Demand!$A$13,ROW(U146)-1,4+((QUOTIENT(COLUMN(CK$2)-69,3))*5)+MOD(COLUMN(CK$2),3),1,1),"")</f>
        <v>0</v>
      </c>
      <c r="CL149">
        <f ca="1">IF($AN149="",OFFSET(Demand!$A$13,ROW(V146)-1,4+((QUOTIENT(COLUMN(CL$2)-69,3))*5)+MOD(COLUMN(CL$2),3),1,1),"")</f>
        <v>0</v>
      </c>
      <c r="CM149">
        <f ca="1">IF($AN149="",OFFSET(Demand!$A$13,ROW(W146)-1,4+((QUOTIENT(COLUMN(CM$2)-69,3))*5)+MOD(COLUMN(CM$2),3),1,1),"")</f>
        <v>0</v>
      </c>
      <c r="CN149">
        <f ca="1">IF($AN149="",OFFSET(Demand!$A$13,ROW(X146)-1,4+((QUOTIENT(COLUMN(CN$2)-69,3))*5)+MOD(COLUMN(CN$2),3),1,1),"")</f>
        <v>0</v>
      </c>
      <c r="CO149">
        <f ca="1">IF($AN149="",OFFSET(Demand!$A$13,ROW(Y146)-1,4+((QUOTIENT(COLUMN(CO$2)-69,3))*5)+MOD(COLUMN(CO$2),3),1,1),"")</f>
        <v>0</v>
      </c>
      <c r="CP149">
        <f ca="1">IF($AN149="",OFFSET(Demand!$A$13,ROW(Z146)-1,4+((QUOTIENT(COLUMN(CP$2)-69,3))*5)+MOD(COLUMN(CP$2),3),1,1),"")</f>
        <v>0</v>
      </c>
      <c r="CQ149">
        <f ca="1">IF($AN149="",OFFSET(Demand!$A$13,ROW(AA146)-1,4+((QUOTIENT(COLUMN(CQ$2)-69,3))*5)+MOD(COLUMN(CQ$2),3),1,1),"")</f>
        <v>0</v>
      </c>
      <c r="CR149">
        <f ca="1">IF($AN149="",OFFSET(Demand!$A$13,ROW(AB146)-1,4+((QUOTIENT(COLUMN(CR$2)-69,3))*5)+MOD(COLUMN(CR$2),3),1,1),"")</f>
        <v>0</v>
      </c>
      <c r="CS149">
        <f ca="1">IF($AN149="",OFFSET(Demand!$A$13,ROW(AC146)-1,4+((QUOTIENT(COLUMN(CS$2)-69,3))*5)+MOD(COLUMN(CS$2),3),1,1),"")</f>
        <v>0</v>
      </c>
      <c r="CT149">
        <f ca="1">IF($AN149="",OFFSET(Demand!$A$13,ROW(AD146)-1,4+((QUOTIENT(COLUMN(CT$2)-69,3))*5)+MOD(COLUMN(CT$2),3),1,1),"")</f>
        <v>0</v>
      </c>
      <c r="CW149" s="5">
        <f ca="1">SUM(OFFSET(Demand!$H$43,ROW(A146)-1,(COLUMN(A146)-1)*5,1,1))*N$2</f>
        <v>0</v>
      </c>
      <c r="CX149" s="5">
        <f ca="1">SUM(OFFSET(Demand!$H$43,ROW(B146)-1,(COLUMN(B146)-1)*5,1,1))*O$2</f>
        <v>0</v>
      </c>
      <c r="CY149" s="5">
        <f ca="1">SUM(OFFSET(Demand!$H$43,ROW(C146)-1,(COLUMN(C146)-1)*5,1,1))*P$2</f>
        <v>0</v>
      </c>
      <c r="CZ149" s="5">
        <f ca="1">SUM(OFFSET(Demand!$H$43,ROW(D146)-1,(COLUMN(D146)-1)*5,1,1))*Q$2</f>
        <v>0</v>
      </c>
      <c r="DA149" s="5">
        <f ca="1">SUM(OFFSET(Demand!$H$43,ROW(E146)-1,(COLUMN(E146)-1)*5,1,1))*R$2</f>
        <v>0</v>
      </c>
      <c r="DB149" s="5">
        <f ca="1">SUM(OFFSET(Demand!$H$43,ROW(F146)-1,(COLUMN(F146)-1)*5,1,1))*S$2</f>
        <v>0</v>
      </c>
      <c r="DC149" s="5">
        <f ca="1">SUM(OFFSET(Demand!$H$43,ROW(G146)-1,(COLUMN(G146)-1)*5,1,1))*T$2</f>
        <v>0</v>
      </c>
      <c r="DD149" s="5">
        <f ca="1">SUM(OFFSET(Demand!$H$43,ROW(H146)-1,(COLUMN(H146)-1)*5,1,1))*U$2</f>
        <v>0</v>
      </c>
      <c r="DE149" s="5">
        <f ca="1">SUM(OFFSET(Demand!$H$43,ROW(I146)-1,(COLUMN(I146)-1)*5,1,1))*V$2</f>
        <v>0</v>
      </c>
      <c r="DF149" s="5">
        <f ca="1">SUM(OFFSET(Demand!$H$43,ROW(J146)-1,(COLUMN(J146)-1)*5,1,1))*W$2</f>
        <v>0</v>
      </c>
      <c r="DG149" s="5">
        <f ca="1">IF(OR(AN149&lt;&gt;"",AND('Demand adjustments for Covid'!$F$9="Yes",'Demand adjustments for Covid'!$F$20="Yes")),"",SUM(CW149:DF149))</f>
        <v>0</v>
      </c>
    </row>
    <row r="150" spans="1:111" x14ac:dyDescent="0.25">
      <c r="A150" s="5">
        <f t="shared" ca="1" si="43"/>
        <v>1</v>
      </c>
      <c r="B150" s="5">
        <f ca="1">COUNTBLANK(OFFSET(Demand!$I159,0,(COLUMN(A147)-1)*5,1,1))</f>
        <v>1</v>
      </c>
      <c r="C150" s="5">
        <f ca="1">COUNTBLANK(OFFSET(Demand!$I159,0,(COLUMN(B147)-1)*5,1,1))</f>
        <v>1</v>
      </c>
      <c r="D150" s="5">
        <f ca="1">COUNTBLANK(OFFSET(Demand!$I159,0,(COLUMN(C147)-1)*5,1,1))</f>
        <v>1</v>
      </c>
      <c r="E150" s="5">
        <f ca="1">COUNTBLANK(OFFSET(Demand!$I159,0,(COLUMN(D147)-1)*5,1,1))</f>
        <v>1</v>
      </c>
      <c r="F150" s="5">
        <f ca="1">COUNTBLANK(OFFSET(Demand!$I159,0,(COLUMN(E147)-1)*5,1,1))</f>
        <v>1</v>
      </c>
      <c r="G150" s="5">
        <f ca="1">COUNTBLANK(OFFSET(Demand!$I159,0,(COLUMN(F147)-1)*5,1,1))</f>
        <v>1</v>
      </c>
      <c r="H150" s="5">
        <f ca="1">COUNTBLANK(OFFSET(Demand!$I159,0,(COLUMN(G147)-1)*5,1,1))</f>
        <v>1</v>
      </c>
      <c r="I150" s="5">
        <f ca="1">COUNTBLANK(OFFSET(Demand!$I159,0,(COLUMN(H147)-1)*5,1,1))</f>
        <v>1</v>
      </c>
      <c r="J150" s="5">
        <f ca="1">COUNTBLANK(OFFSET(Demand!$I159,0,(COLUMN(I147)-1)*5,1,1))</f>
        <v>1</v>
      </c>
      <c r="K150" s="5">
        <f ca="1">COUNTBLANK(OFFSET(Demand!$I159,0,(COLUMN(J147)-1)*5,1,1))</f>
        <v>1</v>
      </c>
      <c r="N150" s="5">
        <f ca="1">SUM(OFFSET(Demand!$E159,0,(COLUMN(A147)-1)*5,1,3))*N$2</f>
        <v>0</v>
      </c>
      <c r="O150" s="5">
        <f ca="1">SUM(OFFSET(Demand!$E159,0,(COLUMN(B147)-1)*5,1,3))*O$2</f>
        <v>0</v>
      </c>
      <c r="P150" s="5">
        <f ca="1">SUM(OFFSET(Demand!$E159,0,(COLUMN(C147)-1)*5,1,3))*P$2</f>
        <v>0</v>
      </c>
      <c r="Q150" s="5">
        <f ca="1">SUM(OFFSET(Demand!$E159,0,(COLUMN(D147)-1)*5,1,3))*Q$2</f>
        <v>0</v>
      </c>
      <c r="R150" s="5">
        <f ca="1">SUM(OFFSET(Demand!$E159,0,(COLUMN(E147)-1)*5,1,3))*R$2</f>
        <v>0</v>
      </c>
      <c r="S150" s="5">
        <f ca="1">SUM(OFFSET(Demand!$E159,0,(COLUMN(F147)-1)*5,1,3))*S$2</f>
        <v>0</v>
      </c>
      <c r="T150" s="5">
        <f ca="1">SUM(OFFSET(Demand!$E159,0,(COLUMN(G147)-1)*5,1,3))*T$2</f>
        <v>0</v>
      </c>
      <c r="U150" s="5">
        <f ca="1">SUM(OFFSET(Demand!$E159,0,(COLUMN(H147)-1)*5,1,3))*U$2</f>
        <v>0</v>
      </c>
      <c r="V150" s="5">
        <f ca="1">SUM(OFFSET(Demand!$E159,0,(COLUMN(I147)-1)*5,1,3))*V$2</f>
        <v>0</v>
      </c>
      <c r="W150" s="5">
        <f ca="1">SUM(OFFSET(Demand!$E159,0,(COLUMN(J147)-1)*5,1,3))*W$2</f>
        <v>0</v>
      </c>
      <c r="X150" s="5">
        <f t="shared" ca="1" si="44"/>
        <v>0</v>
      </c>
      <c r="Y150">
        <f t="shared" ca="1" si="45"/>
        <v>0</v>
      </c>
      <c r="Z150" s="5">
        <f ca="1">SUM(OFFSET(Demand!$H159,0,(COLUMN(A147)-1)*5,1,1))*N$2</f>
        <v>0</v>
      </c>
      <c r="AA150" s="5">
        <f ca="1">SUM(OFFSET(Demand!$H159,0,(COLUMN(B147)-1)*5,1,1))*O$2</f>
        <v>0</v>
      </c>
      <c r="AB150" s="5">
        <f ca="1">SUM(OFFSET(Demand!$H159,0,(COLUMN(C147)-1)*5,1,1))*P$2</f>
        <v>0</v>
      </c>
      <c r="AC150" s="5">
        <f ca="1">SUM(OFFSET(Demand!$H159,0,(COLUMN(D147)-1)*5,1,1))*Q$2</f>
        <v>0</v>
      </c>
      <c r="AD150" s="5">
        <f ca="1">SUM(OFFSET(Demand!$H159,0,(COLUMN(E147)-1)*5,1,1))*R$2</f>
        <v>0</v>
      </c>
      <c r="AE150" s="5">
        <f ca="1">SUM(OFFSET(Demand!$H159,0,(COLUMN(F147)-1)*5,1,1))*S$2</f>
        <v>0</v>
      </c>
      <c r="AF150" s="5">
        <f ca="1">SUM(OFFSET(Demand!$H159,0,(COLUMN(G147)-1)*5,1,1))*T$2</f>
        <v>0</v>
      </c>
      <c r="AG150" s="5">
        <f ca="1">SUM(OFFSET(Demand!$H159,0,(COLUMN(H147)-1)*5,1,1))*U$2</f>
        <v>0</v>
      </c>
      <c r="AH150" s="5">
        <f ca="1">SUM(OFFSET(Demand!$H159,0,(COLUMN(I147)-1)*5,1,1))*V$2</f>
        <v>0</v>
      </c>
      <c r="AI150" s="5">
        <f ca="1">SUM(OFFSET(Demand!$H159,0,(COLUMN(J147)-1)*5,1,1))*W$2</f>
        <v>0</v>
      </c>
      <c r="AJ150" s="5">
        <f t="shared" ca="1" si="46"/>
        <v>0</v>
      </c>
      <c r="AL150" s="5">
        <f t="shared" ca="1" si="47"/>
        <v>0</v>
      </c>
      <c r="AM150" s="5">
        <f t="shared" ca="1" si="48"/>
        <v>0</v>
      </c>
      <c r="AN150" s="5" t="str">
        <f>IF(Demand!BE159="Yes","Yes","")</f>
        <v/>
      </c>
      <c r="AP150" s="36" t="str">
        <f ca="1">Demand!B159</f>
        <v xml:space="preserve"> </v>
      </c>
      <c r="AQ150" t="str">
        <f ca="1">IF(TEXT(Demand!D159,"MMM")&lt;&gt;TEXT(Demand!D158,"MMM"),TEXT(Demand!D159,"MMM"),"")</f>
        <v/>
      </c>
      <c r="AT150" s="5">
        <f t="shared" ca="1" si="49"/>
        <v>0</v>
      </c>
      <c r="BQ150">
        <f ca="1">IF($AN150="",OFFSET(Demand!$A$13,ROW(A147)-1,4+((QUOTIENT(COLUMN(BQ$2)-69,3))*5)+MOD(COLUMN(BQ$2),3),1,1),"")</f>
        <v>0</v>
      </c>
      <c r="BR150">
        <f ca="1">IF($AN150="",OFFSET(Demand!$A$13,ROW(B147)-1,4+((QUOTIENT(COLUMN(BR$2)-69,3))*5)+MOD(COLUMN(BR$2),3),1,1),"")</f>
        <v>0</v>
      </c>
      <c r="BS150">
        <f ca="1">IF($AN150="",OFFSET(Demand!$A$13,ROW(C147)-1,4+((QUOTIENT(COLUMN(BS$2)-69,3))*5)+MOD(COLUMN(BS$2),3),1,1),"")</f>
        <v>0</v>
      </c>
      <c r="BT150">
        <f ca="1">IF($AN150="",OFFSET(Demand!$A$13,ROW(D147)-1,4+((QUOTIENT(COLUMN(BT$2)-69,3))*5)+MOD(COLUMN(BT$2),3),1,1),"")</f>
        <v>0</v>
      </c>
      <c r="BU150">
        <f ca="1">IF($AN150="",OFFSET(Demand!$A$13,ROW(E147)-1,4+((QUOTIENT(COLUMN(BU$2)-69,3))*5)+MOD(COLUMN(BU$2),3),1,1),"")</f>
        <v>0</v>
      </c>
      <c r="BV150">
        <f ca="1">IF($AN150="",OFFSET(Demand!$A$13,ROW(F147)-1,4+((QUOTIENT(COLUMN(BV$2)-69,3))*5)+MOD(COLUMN(BV$2),3),1,1),"")</f>
        <v>0</v>
      </c>
      <c r="BW150">
        <f ca="1">IF($AN150="",OFFSET(Demand!$A$13,ROW(G147)-1,4+((QUOTIENT(COLUMN(BW$2)-69,3))*5)+MOD(COLUMN(BW$2),3),1,1),"")</f>
        <v>0</v>
      </c>
      <c r="BX150">
        <f ca="1">IF($AN150="",OFFSET(Demand!$A$13,ROW(H147)-1,4+((QUOTIENT(COLUMN(BX$2)-69,3))*5)+MOD(COLUMN(BX$2),3),1,1),"")</f>
        <v>0</v>
      </c>
      <c r="BY150">
        <f ca="1">IF($AN150="",OFFSET(Demand!$A$13,ROW(I147)-1,4+((QUOTIENT(COLUMN(BY$2)-69,3))*5)+MOD(COLUMN(BY$2),3),1,1),"")</f>
        <v>0</v>
      </c>
      <c r="BZ150">
        <f ca="1">IF($AN150="",OFFSET(Demand!$A$13,ROW(J147)-1,4+((QUOTIENT(COLUMN(BZ$2)-69,3))*5)+MOD(COLUMN(BZ$2),3),1,1),"")</f>
        <v>0</v>
      </c>
      <c r="CA150">
        <f ca="1">IF($AN150="",OFFSET(Demand!$A$13,ROW(K147)-1,4+((QUOTIENT(COLUMN(CA$2)-69,3))*5)+MOD(COLUMN(CA$2),3),1,1),"")</f>
        <v>0</v>
      </c>
      <c r="CB150">
        <f ca="1">IF($AN150="",OFFSET(Demand!$A$13,ROW(L147)-1,4+((QUOTIENT(COLUMN(CB$2)-69,3))*5)+MOD(COLUMN(CB$2),3),1,1),"")</f>
        <v>0</v>
      </c>
      <c r="CC150">
        <f ca="1">IF($AN150="",OFFSET(Demand!$A$13,ROW(M147)-1,4+((QUOTIENT(COLUMN(CC$2)-69,3))*5)+MOD(COLUMN(CC$2),3),1,1),"")</f>
        <v>0</v>
      </c>
      <c r="CD150">
        <f ca="1">IF($AN150="",OFFSET(Demand!$A$13,ROW(N147)-1,4+((QUOTIENT(COLUMN(CD$2)-69,3))*5)+MOD(COLUMN(CD$2),3),1,1),"")</f>
        <v>0</v>
      </c>
      <c r="CE150">
        <f ca="1">IF($AN150="",OFFSET(Demand!$A$13,ROW(O147)-1,4+((QUOTIENT(COLUMN(CE$2)-69,3))*5)+MOD(COLUMN(CE$2),3),1,1),"")</f>
        <v>0</v>
      </c>
      <c r="CF150">
        <f ca="1">IF($AN150="",OFFSET(Demand!$A$13,ROW(P147)-1,4+((QUOTIENT(COLUMN(CF$2)-69,3))*5)+MOD(COLUMN(CF$2),3),1,1),"")</f>
        <v>0</v>
      </c>
      <c r="CG150">
        <f ca="1">IF($AN150="",OFFSET(Demand!$A$13,ROW(Q147)-1,4+((QUOTIENT(COLUMN(CG$2)-69,3))*5)+MOD(COLUMN(CG$2),3),1,1),"")</f>
        <v>0</v>
      </c>
      <c r="CH150">
        <f ca="1">IF($AN150="",OFFSET(Demand!$A$13,ROW(R147)-1,4+((QUOTIENT(COLUMN(CH$2)-69,3))*5)+MOD(COLUMN(CH$2),3),1,1),"")</f>
        <v>0</v>
      </c>
      <c r="CI150">
        <f ca="1">IF($AN150="",OFFSET(Demand!$A$13,ROW(S147)-1,4+((QUOTIENT(COLUMN(CI$2)-69,3))*5)+MOD(COLUMN(CI$2),3),1,1),"")</f>
        <v>0</v>
      </c>
      <c r="CJ150">
        <f ca="1">IF($AN150="",OFFSET(Demand!$A$13,ROW(T147)-1,4+((QUOTIENT(COLUMN(CJ$2)-69,3))*5)+MOD(COLUMN(CJ$2),3),1,1),"")</f>
        <v>0</v>
      </c>
      <c r="CK150">
        <f ca="1">IF($AN150="",OFFSET(Demand!$A$13,ROW(U147)-1,4+((QUOTIENT(COLUMN(CK$2)-69,3))*5)+MOD(COLUMN(CK$2),3),1,1),"")</f>
        <v>0</v>
      </c>
      <c r="CL150">
        <f ca="1">IF($AN150="",OFFSET(Demand!$A$13,ROW(V147)-1,4+((QUOTIENT(COLUMN(CL$2)-69,3))*5)+MOD(COLUMN(CL$2),3),1,1),"")</f>
        <v>0</v>
      </c>
      <c r="CM150">
        <f ca="1">IF($AN150="",OFFSET(Demand!$A$13,ROW(W147)-1,4+((QUOTIENT(COLUMN(CM$2)-69,3))*5)+MOD(COLUMN(CM$2),3),1,1),"")</f>
        <v>0</v>
      </c>
      <c r="CN150">
        <f ca="1">IF($AN150="",OFFSET(Demand!$A$13,ROW(X147)-1,4+((QUOTIENT(COLUMN(CN$2)-69,3))*5)+MOD(COLUMN(CN$2),3),1,1),"")</f>
        <v>0</v>
      </c>
      <c r="CO150">
        <f ca="1">IF($AN150="",OFFSET(Demand!$A$13,ROW(Y147)-1,4+((QUOTIENT(COLUMN(CO$2)-69,3))*5)+MOD(COLUMN(CO$2),3),1,1),"")</f>
        <v>0</v>
      </c>
      <c r="CP150">
        <f ca="1">IF($AN150="",OFFSET(Demand!$A$13,ROW(Z147)-1,4+((QUOTIENT(COLUMN(CP$2)-69,3))*5)+MOD(COLUMN(CP$2),3),1,1),"")</f>
        <v>0</v>
      </c>
      <c r="CQ150">
        <f ca="1">IF($AN150="",OFFSET(Demand!$A$13,ROW(AA147)-1,4+((QUOTIENT(COLUMN(CQ$2)-69,3))*5)+MOD(COLUMN(CQ$2),3),1,1),"")</f>
        <v>0</v>
      </c>
      <c r="CR150">
        <f ca="1">IF($AN150="",OFFSET(Demand!$A$13,ROW(AB147)-1,4+((QUOTIENT(COLUMN(CR$2)-69,3))*5)+MOD(COLUMN(CR$2),3),1,1),"")</f>
        <v>0</v>
      </c>
      <c r="CS150">
        <f ca="1">IF($AN150="",OFFSET(Demand!$A$13,ROW(AC147)-1,4+((QUOTIENT(COLUMN(CS$2)-69,3))*5)+MOD(COLUMN(CS$2),3),1,1),"")</f>
        <v>0</v>
      </c>
      <c r="CT150">
        <f ca="1">IF($AN150="",OFFSET(Demand!$A$13,ROW(AD147)-1,4+((QUOTIENT(COLUMN(CT$2)-69,3))*5)+MOD(COLUMN(CT$2),3),1,1),"")</f>
        <v>0</v>
      </c>
      <c r="CW150" s="5">
        <f ca="1">SUM(OFFSET(Demand!$H$43,ROW(A147)-1,(COLUMN(A147)-1)*5,1,1))*N$2</f>
        <v>0</v>
      </c>
      <c r="CX150" s="5">
        <f ca="1">SUM(OFFSET(Demand!$H$43,ROW(B147)-1,(COLUMN(B147)-1)*5,1,1))*O$2</f>
        <v>0</v>
      </c>
      <c r="CY150" s="5">
        <f ca="1">SUM(OFFSET(Demand!$H$43,ROW(C147)-1,(COLUMN(C147)-1)*5,1,1))*P$2</f>
        <v>0</v>
      </c>
      <c r="CZ150" s="5">
        <f ca="1">SUM(OFFSET(Demand!$H$43,ROW(D147)-1,(COLUMN(D147)-1)*5,1,1))*Q$2</f>
        <v>0</v>
      </c>
      <c r="DA150" s="5">
        <f ca="1">SUM(OFFSET(Demand!$H$43,ROW(E147)-1,(COLUMN(E147)-1)*5,1,1))*R$2</f>
        <v>0</v>
      </c>
      <c r="DB150" s="5">
        <f ca="1">SUM(OFFSET(Demand!$H$43,ROW(F147)-1,(COLUMN(F147)-1)*5,1,1))*S$2</f>
        <v>0</v>
      </c>
      <c r="DC150" s="5">
        <f ca="1">SUM(OFFSET(Demand!$H$43,ROW(G147)-1,(COLUMN(G147)-1)*5,1,1))*T$2</f>
        <v>0</v>
      </c>
      <c r="DD150" s="5">
        <f ca="1">SUM(OFFSET(Demand!$H$43,ROW(H147)-1,(COLUMN(H147)-1)*5,1,1))*U$2</f>
        <v>0</v>
      </c>
      <c r="DE150" s="5">
        <f ca="1">SUM(OFFSET(Demand!$H$43,ROW(I147)-1,(COLUMN(I147)-1)*5,1,1))*V$2</f>
        <v>0</v>
      </c>
      <c r="DF150" s="5">
        <f ca="1">SUM(OFFSET(Demand!$H$43,ROW(J147)-1,(COLUMN(J147)-1)*5,1,1))*W$2</f>
        <v>0</v>
      </c>
      <c r="DG150" s="5">
        <f ca="1">IF(OR(AN150&lt;&gt;"",AND('Demand adjustments for Covid'!$F$9="Yes",'Demand adjustments for Covid'!$F$20="Yes")),"",SUM(CW150:DF150))</f>
        <v>0</v>
      </c>
    </row>
    <row r="151" spans="1:111" x14ac:dyDescent="0.25">
      <c r="A151" s="5">
        <f t="shared" ca="1" si="43"/>
        <v>1</v>
      </c>
      <c r="B151" s="5">
        <f ca="1">COUNTBLANK(OFFSET(Demand!$I160,0,(COLUMN(A148)-1)*5,1,1))</f>
        <v>1</v>
      </c>
      <c r="C151" s="5">
        <f ca="1">COUNTBLANK(OFFSET(Demand!$I160,0,(COLUMN(B148)-1)*5,1,1))</f>
        <v>1</v>
      </c>
      <c r="D151" s="5">
        <f ca="1">COUNTBLANK(OFFSET(Demand!$I160,0,(COLUMN(C148)-1)*5,1,1))</f>
        <v>1</v>
      </c>
      <c r="E151" s="5">
        <f ca="1">COUNTBLANK(OFFSET(Demand!$I160,0,(COLUMN(D148)-1)*5,1,1))</f>
        <v>1</v>
      </c>
      <c r="F151" s="5">
        <f ca="1">COUNTBLANK(OFFSET(Demand!$I160,0,(COLUMN(E148)-1)*5,1,1))</f>
        <v>1</v>
      </c>
      <c r="G151" s="5">
        <f ca="1">COUNTBLANK(OFFSET(Demand!$I160,0,(COLUMN(F148)-1)*5,1,1))</f>
        <v>1</v>
      </c>
      <c r="H151" s="5">
        <f ca="1">COUNTBLANK(OFFSET(Demand!$I160,0,(COLUMN(G148)-1)*5,1,1))</f>
        <v>1</v>
      </c>
      <c r="I151" s="5">
        <f ca="1">COUNTBLANK(OFFSET(Demand!$I160,0,(COLUMN(H148)-1)*5,1,1))</f>
        <v>1</v>
      </c>
      <c r="J151" s="5">
        <f ca="1">COUNTBLANK(OFFSET(Demand!$I160,0,(COLUMN(I148)-1)*5,1,1))</f>
        <v>1</v>
      </c>
      <c r="K151" s="5">
        <f ca="1">COUNTBLANK(OFFSET(Demand!$I160,0,(COLUMN(J148)-1)*5,1,1))</f>
        <v>1</v>
      </c>
      <c r="N151" s="5">
        <f ca="1">SUM(OFFSET(Demand!$E160,0,(COLUMN(A148)-1)*5,1,3))*N$2</f>
        <v>0</v>
      </c>
      <c r="O151" s="5">
        <f ca="1">SUM(OFFSET(Demand!$E160,0,(COLUMN(B148)-1)*5,1,3))*O$2</f>
        <v>0</v>
      </c>
      <c r="P151" s="5">
        <f ca="1">SUM(OFFSET(Demand!$E160,0,(COLUMN(C148)-1)*5,1,3))*P$2</f>
        <v>0</v>
      </c>
      <c r="Q151" s="5">
        <f ca="1">SUM(OFFSET(Demand!$E160,0,(COLUMN(D148)-1)*5,1,3))*Q$2</f>
        <v>0</v>
      </c>
      <c r="R151" s="5">
        <f ca="1">SUM(OFFSET(Demand!$E160,0,(COLUMN(E148)-1)*5,1,3))*R$2</f>
        <v>0</v>
      </c>
      <c r="S151" s="5">
        <f ca="1">SUM(OFFSET(Demand!$E160,0,(COLUMN(F148)-1)*5,1,3))*S$2</f>
        <v>0</v>
      </c>
      <c r="T151" s="5">
        <f ca="1">SUM(OFFSET(Demand!$E160,0,(COLUMN(G148)-1)*5,1,3))*T$2</f>
        <v>0</v>
      </c>
      <c r="U151" s="5">
        <f ca="1">SUM(OFFSET(Demand!$E160,0,(COLUMN(H148)-1)*5,1,3))*U$2</f>
        <v>0</v>
      </c>
      <c r="V151" s="5">
        <f ca="1">SUM(OFFSET(Demand!$E160,0,(COLUMN(I148)-1)*5,1,3))*V$2</f>
        <v>0</v>
      </c>
      <c r="W151" s="5">
        <f ca="1">SUM(OFFSET(Demand!$E160,0,(COLUMN(J148)-1)*5,1,3))*W$2</f>
        <v>0</v>
      </c>
      <c r="X151" s="5">
        <f t="shared" ca="1" si="44"/>
        <v>0</v>
      </c>
      <c r="Y151">
        <f t="shared" ca="1" si="45"/>
        <v>0</v>
      </c>
      <c r="Z151" s="5">
        <f ca="1">SUM(OFFSET(Demand!$H160,0,(COLUMN(A148)-1)*5,1,1))*N$2</f>
        <v>0</v>
      </c>
      <c r="AA151" s="5">
        <f ca="1">SUM(OFFSET(Demand!$H160,0,(COLUMN(B148)-1)*5,1,1))*O$2</f>
        <v>0</v>
      </c>
      <c r="AB151" s="5">
        <f ca="1">SUM(OFFSET(Demand!$H160,0,(COLUMN(C148)-1)*5,1,1))*P$2</f>
        <v>0</v>
      </c>
      <c r="AC151" s="5">
        <f ca="1">SUM(OFFSET(Demand!$H160,0,(COLUMN(D148)-1)*5,1,1))*Q$2</f>
        <v>0</v>
      </c>
      <c r="AD151" s="5">
        <f ca="1">SUM(OFFSET(Demand!$H160,0,(COLUMN(E148)-1)*5,1,1))*R$2</f>
        <v>0</v>
      </c>
      <c r="AE151" s="5">
        <f ca="1">SUM(OFFSET(Demand!$H160,0,(COLUMN(F148)-1)*5,1,1))*S$2</f>
        <v>0</v>
      </c>
      <c r="AF151" s="5">
        <f ca="1">SUM(OFFSET(Demand!$H160,0,(COLUMN(G148)-1)*5,1,1))*T$2</f>
        <v>0</v>
      </c>
      <c r="AG151" s="5">
        <f ca="1">SUM(OFFSET(Demand!$H160,0,(COLUMN(H148)-1)*5,1,1))*U$2</f>
        <v>0</v>
      </c>
      <c r="AH151" s="5">
        <f ca="1">SUM(OFFSET(Demand!$H160,0,(COLUMN(I148)-1)*5,1,1))*V$2</f>
        <v>0</v>
      </c>
      <c r="AI151" s="5">
        <f ca="1">SUM(OFFSET(Demand!$H160,0,(COLUMN(J148)-1)*5,1,1))*W$2</f>
        <v>0</v>
      </c>
      <c r="AJ151" s="5">
        <f t="shared" ca="1" si="46"/>
        <v>0</v>
      </c>
      <c r="AL151" s="5">
        <f t="shared" ca="1" si="47"/>
        <v>0</v>
      </c>
      <c r="AM151" s="5">
        <f t="shared" ca="1" si="48"/>
        <v>0</v>
      </c>
      <c r="AN151" s="5" t="str">
        <f>IF(Demand!BE160="Yes","Yes","")</f>
        <v/>
      </c>
      <c r="AP151" s="36" t="str">
        <f ca="1">Demand!B160</f>
        <v xml:space="preserve"> </v>
      </c>
      <c r="AQ151" t="str">
        <f ca="1">IF(TEXT(Demand!D160,"MMM")&lt;&gt;TEXT(Demand!D159,"MMM"),TEXT(Demand!D160,"MMM"),"")</f>
        <v/>
      </c>
      <c r="AT151" s="5">
        <f t="shared" ca="1" si="49"/>
        <v>0</v>
      </c>
      <c r="BQ151">
        <f ca="1">IF($AN151="",OFFSET(Demand!$A$13,ROW(A148)-1,4+((QUOTIENT(COLUMN(BQ$2)-69,3))*5)+MOD(COLUMN(BQ$2),3),1,1),"")</f>
        <v>0</v>
      </c>
      <c r="BR151">
        <f ca="1">IF($AN151="",OFFSET(Demand!$A$13,ROW(B148)-1,4+((QUOTIENT(COLUMN(BR$2)-69,3))*5)+MOD(COLUMN(BR$2),3),1,1),"")</f>
        <v>0</v>
      </c>
      <c r="BS151">
        <f ca="1">IF($AN151="",OFFSET(Demand!$A$13,ROW(C148)-1,4+((QUOTIENT(COLUMN(BS$2)-69,3))*5)+MOD(COLUMN(BS$2),3),1,1),"")</f>
        <v>0</v>
      </c>
      <c r="BT151">
        <f ca="1">IF($AN151="",OFFSET(Demand!$A$13,ROW(D148)-1,4+((QUOTIENT(COLUMN(BT$2)-69,3))*5)+MOD(COLUMN(BT$2),3),1,1),"")</f>
        <v>0</v>
      </c>
      <c r="BU151">
        <f ca="1">IF($AN151="",OFFSET(Demand!$A$13,ROW(E148)-1,4+((QUOTIENT(COLUMN(BU$2)-69,3))*5)+MOD(COLUMN(BU$2),3),1,1),"")</f>
        <v>0</v>
      </c>
      <c r="BV151">
        <f ca="1">IF($AN151="",OFFSET(Demand!$A$13,ROW(F148)-1,4+((QUOTIENT(COLUMN(BV$2)-69,3))*5)+MOD(COLUMN(BV$2),3),1,1),"")</f>
        <v>0</v>
      </c>
      <c r="BW151">
        <f ca="1">IF($AN151="",OFFSET(Demand!$A$13,ROW(G148)-1,4+((QUOTIENT(COLUMN(BW$2)-69,3))*5)+MOD(COLUMN(BW$2),3),1,1),"")</f>
        <v>0</v>
      </c>
      <c r="BX151">
        <f ca="1">IF($AN151="",OFFSET(Demand!$A$13,ROW(H148)-1,4+((QUOTIENT(COLUMN(BX$2)-69,3))*5)+MOD(COLUMN(BX$2),3),1,1),"")</f>
        <v>0</v>
      </c>
      <c r="BY151">
        <f ca="1">IF($AN151="",OFFSET(Demand!$A$13,ROW(I148)-1,4+((QUOTIENT(COLUMN(BY$2)-69,3))*5)+MOD(COLUMN(BY$2),3),1,1),"")</f>
        <v>0</v>
      </c>
      <c r="BZ151">
        <f ca="1">IF($AN151="",OFFSET(Demand!$A$13,ROW(J148)-1,4+((QUOTIENT(COLUMN(BZ$2)-69,3))*5)+MOD(COLUMN(BZ$2),3),1,1),"")</f>
        <v>0</v>
      </c>
      <c r="CA151">
        <f ca="1">IF($AN151="",OFFSET(Demand!$A$13,ROW(K148)-1,4+((QUOTIENT(COLUMN(CA$2)-69,3))*5)+MOD(COLUMN(CA$2),3),1,1),"")</f>
        <v>0</v>
      </c>
      <c r="CB151">
        <f ca="1">IF($AN151="",OFFSET(Demand!$A$13,ROW(L148)-1,4+((QUOTIENT(COLUMN(CB$2)-69,3))*5)+MOD(COLUMN(CB$2),3),1,1),"")</f>
        <v>0</v>
      </c>
      <c r="CC151">
        <f ca="1">IF($AN151="",OFFSET(Demand!$A$13,ROW(M148)-1,4+((QUOTIENT(COLUMN(CC$2)-69,3))*5)+MOD(COLUMN(CC$2),3),1,1),"")</f>
        <v>0</v>
      </c>
      <c r="CD151">
        <f ca="1">IF($AN151="",OFFSET(Demand!$A$13,ROW(N148)-1,4+((QUOTIENT(COLUMN(CD$2)-69,3))*5)+MOD(COLUMN(CD$2),3),1,1),"")</f>
        <v>0</v>
      </c>
      <c r="CE151">
        <f ca="1">IF($AN151="",OFFSET(Demand!$A$13,ROW(O148)-1,4+((QUOTIENT(COLUMN(CE$2)-69,3))*5)+MOD(COLUMN(CE$2),3),1,1),"")</f>
        <v>0</v>
      </c>
      <c r="CF151">
        <f ca="1">IF($AN151="",OFFSET(Demand!$A$13,ROW(P148)-1,4+((QUOTIENT(COLUMN(CF$2)-69,3))*5)+MOD(COLUMN(CF$2),3),1,1),"")</f>
        <v>0</v>
      </c>
      <c r="CG151">
        <f ca="1">IF($AN151="",OFFSET(Demand!$A$13,ROW(Q148)-1,4+((QUOTIENT(COLUMN(CG$2)-69,3))*5)+MOD(COLUMN(CG$2),3),1,1),"")</f>
        <v>0</v>
      </c>
      <c r="CH151">
        <f ca="1">IF($AN151="",OFFSET(Demand!$A$13,ROW(R148)-1,4+((QUOTIENT(COLUMN(CH$2)-69,3))*5)+MOD(COLUMN(CH$2),3),1,1),"")</f>
        <v>0</v>
      </c>
      <c r="CI151">
        <f ca="1">IF($AN151="",OFFSET(Demand!$A$13,ROW(S148)-1,4+((QUOTIENT(COLUMN(CI$2)-69,3))*5)+MOD(COLUMN(CI$2),3),1,1),"")</f>
        <v>0</v>
      </c>
      <c r="CJ151">
        <f ca="1">IF($AN151="",OFFSET(Demand!$A$13,ROW(T148)-1,4+((QUOTIENT(COLUMN(CJ$2)-69,3))*5)+MOD(COLUMN(CJ$2),3),1,1),"")</f>
        <v>0</v>
      </c>
      <c r="CK151">
        <f ca="1">IF($AN151="",OFFSET(Demand!$A$13,ROW(U148)-1,4+((QUOTIENT(COLUMN(CK$2)-69,3))*5)+MOD(COLUMN(CK$2),3),1,1),"")</f>
        <v>0</v>
      </c>
      <c r="CL151">
        <f ca="1">IF($AN151="",OFFSET(Demand!$A$13,ROW(V148)-1,4+((QUOTIENT(COLUMN(CL$2)-69,3))*5)+MOD(COLUMN(CL$2),3),1,1),"")</f>
        <v>0</v>
      </c>
      <c r="CM151">
        <f ca="1">IF($AN151="",OFFSET(Demand!$A$13,ROW(W148)-1,4+((QUOTIENT(COLUMN(CM$2)-69,3))*5)+MOD(COLUMN(CM$2),3),1,1),"")</f>
        <v>0</v>
      </c>
      <c r="CN151">
        <f ca="1">IF($AN151="",OFFSET(Demand!$A$13,ROW(X148)-1,4+((QUOTIENT(COLUMN(CN$2)-69,3))*5)+MOD(COLUMN(CN$2),3),1,1),"")</f>
        <v>0</v>
      </c>
      <c r="CO151">
        <f ca="1">IF($AN151="",OFFSET(Demand!$A$13,ROW(Y148)-1,4+((QUOTIENT(COLUMN(CO$2)-69,3))*5)+MOD(COLUMN(CO$2),3),1,1),"")</f>
        <v>0</v>
      </c>
      <c r="CP151">
        <f ca="1">IF($AN151="",OFFSET(Demand!$A$13,ROW(Z148)-1,4+((QUOTIENT(COLUMN(CP$2)-69,3))*5)+MOD(COLUMN(CP$2),3),1,1),"")</f>
        <v>0</v>
      </c>
      <c r="CQ151">
        <f ca="1">IF($AN151="",OFFSET(Demand!$A$13,ROW(AA148)-1,4+((QUOTIENT(COLUMN(CQ$2)-69,3))*5)+MOD(COLUMN(CQ$2),3),1,1),"")</f>
        <v>0</v>
      </c>
      <c r="CR151">
        <f ca="1">IF($AN151="",OFFSET(Demand!$A$13,ROW(AB148)-1,4+((QUOTIENT(COLUMN(CR$2)-69,3))*5)+MOD(COLUMN(CR$2),3),1,1),"")</f>
        <v>0</v>
      </c>
      <c r="CS151">
        <f ca="1">IF($AN151="",OFFSET(Demand!$A$13,ROW(AC148)-1,4+((QUOTIENT(COLUMN(CS$2)-69,3))*5)+MOD(COLUMN(CS$2),3),1,1),"")</f>
        <v>0</v>
      </c>
      <c r="CT151">
        <f ca="1">IF($AN151="",OFFSET(Demand!$A$13,ROW(AD148)-1,4+((QUOTIENT(COLUMN(CT$2)-69,3))*5)+MOD(COLUMN(CT$2),3),1,1),"")</f>
        <v>0</v>
      </c>
      <c r="CW151" s="5">
        <f ca="1">SUM(OFFSET(Demand!$H$43,ROW(A148)-1,(COLUMN(A148)-1)*5,1,1))*N$2</f>
        <v>0</v>
      </c>
      <c r="CX151" s="5">
        <f ca="1">SUM(OFFSET(Demand!$H$43,ROW(B148)-1,(COLUMN(B148)-1)*5,1,1))*O$2</f>
        <v>0</v>
      </c>
      <c r="CY151" s="5">
        <f ca="1">SUM(OFFSET(Demand!$H$43,ROW(C148)-1,(COLUMN(C148)-1)*5,1,1))*P$2</f>
        <v>0</v>
      </c>
      <c r="CZ151" s="5">
        <f ca="1">SUM(OFFSET(Demand!$H$43,ROW(D148)-1,(COLUMN(D148)-1)*5,1,1))*Q$2</f>
        <v>0</v>
      </c>
      <c r="DA151" s="5">
        <f ca="1">SUM(OFFSET(Demand!$H$43,ROW(E148)-1,(COLUMN(E148)-1)*5,1,1))*R$2</f>
        <v>0</v>
      </c>
      <c r="DB151" s="5">
        <f ca="1">SUM(OFFSET(Demand!$H$43,ROW(F148)-1,(COLUMN(F148)-1)*5,1,1))*S$2</f>
        <v>0</v>
      </c>
      <c r="DC151" s="5">
        <f ca="1">SUM(OFFSET(Demand!$H$43,ROW(G148)-1,(COLUMN(G148)-1)*5,1,1))*T$2</f>
        <v>0</v>
      </c>
      <c r="DD151" s="5">
        <f ca="1">SUM(OFFSET(Demand!$H$43,ROW(H148)-1,(COLUMN(H148)-1)*5,1,1))*U$2</f>
        <v>0</v>
      </c>
      <c r="DE151" s="5">
        <f ca="1">SUM(OFFSET(Demand!$H$43,ROW(I148)-1,(COLUMN(I148)-1)*5,1,1))*V$2</f>
        <v>0</v>
      </c>
      <c r="DF151" s="5">
        <f ca="1">SUM(OFFSET(Demand!$H$43,ROW(J148)-1,(COLUMN(J148)-1)*5,1,1))*W$2</f>
        <v>0</v>
      </c>
      <c r="DG151" s="5">
        <f ca="1">IF(OR(AN151&lt;&gt;"",AND('Demand adjustments for Covid'!$F$9="Yes",'Demand adjustments for Covid'!$F$20="Yes")),"",SUM(CW151:DF151))</f>
        <v>0</v>
      </c>
    </row>
    <row r="152" spans="1:111" x14ac:dyDescent="0.25">
      <c r="A152" s="5">
        <f t="shared" ca="1" si="43"/>
        <v>1</v>
      </c>
      <c r="B152" s="5">
        <f ca="1">COUNTBLANK(OFFSET(Demand!$I161,0,(COLUMN(A149)-1)*5,1,1))</f>
        <v>1</v>
      </c>
      <c r="C152" s="5">
        <f ca="1">COUNTBLANK(OFFSET(Demand!$I161,0,(COLUMN(B149)-1)*5,1,1))</f>
        <v>1</v>
      </c>
      <c r="D152" s="5">
        <f ca="1">COUNTBLANK(OFFSET(Demand!$I161,0,(COLUMN(C149)-1)*5,1,1))</f>
        <v>1</v>
      </c>
      <c r="E152" s="5">
        <f ca="1">COUNTBLANK(OFFSET(Demand!$I161,0,(COLUMN(D149)-1)*5,1,1))</f>
        <v>1</v>
      </c>
      <c r="F152" s="5">
        <f ca="1">COUNTBLANK(OFFSET(Demand!$I161,0,(COLUMN(E149)-1)*5,1,1))</f>
        <v>1</v>
      </c>
      <c r="G152" s="5">
        <f ca="1">COUNTBLANK(OFFSET(Demand!$I161,0,(COLUMN(F149)-1)*5,1,1))</f>
        <v>1</v>
      </c>
      <c r="H152" s="5">
        <f ca="1">COUNTBLANK(OFFSET(Demand!$I161,0,(COLUMN(G149)-1)*5,1,1))</f>
        <v>1</v>
      </c>
      <c r="I152" s="5">
        <f ca="1">COUNTBLANK(OFFSET(Demand!$I161,0,(COLUMN(H149)-1)*5,1,1))</f>
        <v>1</v>
      </c>
      <c r="J152" s="5">
        <f ca="1">COUNTBLANK(OFFSET(Demand!$I161,0,(COLUMN(I149)-1)*5,1,1))</f>
        <v>1</v>
      </c>
      <c r="K152" s="5">
        <f ca="1">COUNTBLANK(OFFSET(Demand!$I161,0,(COLUMN(J149)-1)*5,1,1))</f>
        <v>1</v>
      </c>
      <c r="N152" s="5">
        <f ca="1">SUM(OFFSET(Demand!$E161,0,(COLUMN(A149)-1)*5,1,3))*N$2</f>
        <v>0</v>
      </c>
      <c r="O152" s="5">
        <f ca="1">SUM(OFFSET(Demand!$E161,0,(COLUMN(B149)-1)*5,1,3))*O$2</f>
        <v>0</v>
      </c>
      <c r="P152" s="5">
        <f ca="1">SUM(OFFSET(Demand!$E161,0,(COLUMN(C149)-1)*5,1,3))*P$2</f>
        <v>0</v>
      </c>
      <c r="Q152" s="5">
        <f ca="1">SUM(OFFSET(Demand!$E161,0,(COLUMN(D149)-1)*5,1,3))*Q$2</f>
        <v>0</v>
      </c>
      <c r="R152" s="5">
        <f ca="1">SUM(OFFSET(Demand!$E161,0,(COLUMN(E149)-1)*5,1,3))*R$2</f>
        <v>0</v>
      </c>
      <c r="S152" s="5">
        <f ca="1">SUM(OFFSET(Demand!$E161,0,(COLUMN(F149)-1)*5,1,3))*S$2</f>
        <v>0</v>
      </c>
      <c r="T152" s="5">
        <f ca="1">SUM(OFFSET(Demand!$E161,0,(COLUMN(G149)-1)*5,1,3))*T$2</f>
        <v>0</v>
      </c>
      <c r="U152" s="5">
        <f ca="1">SUM(OFFSET(Demand!$E161,0,(COLUMN(H149)-1)*5,1,3))*U$2</f>
        <v>0</v>
      </c>
      <c r="V152" s="5">
        <f ca="1">SUM(OFFSET(Demand!$E161,0,(COLUMN(I149)-1)*5,1,3))*V$2</f>
        <v>0</v>
      </c>
      <c r="W152" s="5">
        <f ca="1">SUM(OFFSET(Demand!$E161,0,(COLUMN(J149)-1)*5,1,3))*W$2</f>
        <v>0</v>
      </c>
      <c r="X152" s="5">
        <f t="shared" ca="1" si="44"/>
        <v>0</v>
      </c>
      <c r="Y152">
        <f t="shared" ca="1" si="45"/>
        <v>0</v>
      </c>
      <c r="Z152" s="5">
        <f ca="1">SUM(OFFSET(Demand!$H161,0,(COLUMN(A149)-1)*5,1,1))*N$2</f>
        <v>0</v>
      </c>
      <c r="AA152" s="5">
        <f ca="1">SUM(OFFSET(Demand!$H161,0,(COLUMN(B149)-1)*5,1,1))*O$2</f>
        <v>0</v>
      </c>
      <c r="AB152" s="5">
        <f ca="1">SUM(OFFSET(Demand!$H161,0,(COLUMN(C149)-1)*5,1,1))*P$2</f>
        <v>0</v>
      </c>
      <c r="AC152" s="5">
        <f ca="1">SUM(OFFSET(Demand!$H161,0,(COLUMN(D149)-1)*5,1,1))*Q$2</f>
        <v>0</v>
      </c>
      <c r="AD152" s="5">
        <f ca="1">SUM(OFFSET(Demand!$H161,0,(COLUMN(E149)-1)*5,1,1))*R$2</f>
        <v>0</v>
      </c>
      <c r="AE152" s="5">
        <f ca="1">SUM(OFFSET(Demand!$H161,0,(COLUMN(F149)-1)*5,1,1))*S$2</f>
        <v>0</v>
      </c>
      <c r="AF152" s="5">
        <f ca="1">SUM(OFFSET(Demand!$H161,0,(COLUMN(G149)-1)*5,1,1))*T$2</f>
        <v>0</v>
      </c>
      <c r="AG152" s="5">
        <f ca="1">SUM(OFFSET(Demand!$H161,0,(COLUMN(H149)-1)*5,1,1))*U$2</f>
        <v>0</v>
      </c>
      <c r="AH152" s="5">
        <f ca="1">SUM(OFFSET(Demand!$H161,0,(COLUMN(I149)-1)*5,1,1))*V$2</f>
        <v>0</v>
      </c>
      <c r="AI152" s="5">
        <f ca="1">SUM(OFFSET(Demand!$H161,0,(COLUMN(J149)-1)*5,1,1))*W$2</f>
        <v>0</v>
      </c>
      <c r="AJ152" s="5">
        <f t="shared" ca="1" si="46"/>
        <v>0</v>
      </c>
      <c r="AL152" s="5">
        <f t="shared" ca="1" si="47"/>
        <v>0</v>
      </c>
      <c r="AM152" s="5">
        <f t="shared" ca="1" si="48"/>
        <v>0</v>
      </c>
      <c r="AN152" s="5" t="str">
        <f>IF(Demand!BE161="Yes","Yes","")</f>
        <v/>
      </c>
      <c r="AP152" s="36" t="str">
        <f ca="1">Demand!B161</f>
        <v xml:space="preserve"> </v>
      </c>
      <c r="AQ152" t="str">
        <f ca="1">IF(TEXT(Demand!D161,"MMM")&lt;&gt;TEXT(Demand!D160,"MMM"),TEXT(Demand!D161,"MMM"),"")</f>
        <v/>
      </c>
      <c r="AT152" s="5">
        <f t="shared" ca="1" si="49"/>
        <v>0</v>
      </c>
      <c r="BQ152">
        <f ca="1">IF($AN152="",OFFSET(Demand!$A$13,ROW(A149)-1,4+((QUOTIENT(COLUMN(BQ$2)-69,3))*5)+MOD(COLUMN(BQ$2),3),1,1),"")</f>
        <v>0</v>
      </c>
      <c r="BR152">
        <f ca="1">IF($AN152="",OFFSET(Demand!$A$13,ROW(B149)-1,4+((QUOTIENT(COLUMN(BR$2)-69,3))*5)+MOD(COLUMN(BR$2),3),1,1),"")</f>
        <v>0</v>
      </c>
      <c r="BS152">
        <f ca="1">IF($AN152="",OFFSET(Demand!$A$13,ROW(C149)-1,4+((QUOTIENT(COLUMN(BS$2)-69,3))*5)+MOD(COLUMN(BS$2),3),1,1),"")</f>
        <v>0</v>
      </c>
      <c r="BT152">
        <f ca="1">IF($AN152="",OFFSET(Demand!$A$13,ROW(D149)-1,4+((QUOTIENT(COLUMN(BT$2)-69,3))*5)+MOD(COLUMN(BT$2),3),1,1),"")</f>
        <v>0</v>
      </c>
      <c r="BU152">
        <f ca="1">IF($AN152="",OFFSET(Demand!$A$13,ROW(E149)-1,4+((QUOTIENT(COLUMN(BU$2)-69,3))*5)+MOD(COLUMN(BU$2),3),1,1),"")</f>
        <v>0</v>
      </c>
      <c r="BV152">
        <f ca="1">IF($AN152="",OFFSET(Demand!$A$13,ROW(F149)-1,4+((QUOTIENT(COLUMN(BV$2)-69,3))*5)+MOD(COLUMN(BV$2),3),1,1),"")</f>
        <v>0</v>
      </c>
      <c r="BW152">
        <f ca="1">IF($AN152="",OFFSET(Demand!$A$13,ROW(G149)-1,4+((QUOTIENT(COLUMN(BW$2)-69,3))*5)+MOD(COLUMN(BW$2),3),1,1),"")</f>
        <v>0</v>
      </c>
      <c r="BX152">
        <f ca="1">IF($AN152="",OFFSET(Demand!$A$13,ROW(H149)-1,4+((QUOTIENT(COLUMN(BX$2)-69,3))*5)+MOD(COLUMN(BX$2),3),1,1),"")</f>
        <v>0</v>
      </c>
      <c r="BY152">
        <f ca="1">IF($AN152="",OFFSET(Demand!$A$13,ROW(I149)-1,4+((QUOTIENT(COLUMN(BY$2)-69,3))*5)+MOD(COLUMN(BY$2),3),1,1),"")</f>
        <v>0</v>
      </c>
      <c r="BZ152">
        <f ca="1">IF($AN152="",OFFSET(Demand!$A$13,ROW(J149)-1,4+((QUOTIENT(COLUMN(BZ$2)-69,3))*5)+MOD(COLUMN(BZ$2),3),1,1),"")</f>
        <v>0</v>
      </c>
      <c r="CA152">
        <f ca="1">IF($AN152="",OFFSET(Demand!$A$13,ROW(K149)-1,4+((QUOTIENT(COLUMN(CA$2)-69,3))*5)+MOD(COLUMN(CA$2),3),1,1),"")</f>
        <v>0</v>
      </c>
      <c r="CB152">
        <f ca="1">IF($AN152="",OFFSET(Demand!$A$13,ROW(L149)-1,4+((QUOTIENT(COLUMN(CB$2)-69,3))*5)+MOD(COLUMN(CB$2),3),1,1),"")</f>
        <v>0</v>
      </c>
      <c r="CC152">
        <f ca="1">IF($AN152="",OFFSET(Demand!$A$13,ROW(M149)-1,4+((QUOTIENT(COLUMN(CC$2)-69,3))*5)+MOD(COLUMN(CC$2),3),1,1),"")</f>
        <v>0</v>
      </c>
      <c r="CD152">
        <f ca="1">IF($AN152="",OFFSET(Demand!$A$13,ROW(N149)-1,4+((QUOTIENT(COLUMN(CD$2)-69,3))*5)+MOD(COLUMN(CD$2),3),1,1),"")</f>
        <v>0</v>
      </c>
      <c r="CE152">
        <f ca="1">IF($AN152="",OFFSET(Demand!$A$13,ROW(O149)-1,4+((QUOTIENT(COLUMN(CE$2)-69,3))*5)+MOD(COLUMN(CE$2),3),1,1),"")</f>
        <v>0</v>
      </c>
      <c r="CF152">
        <f ca="1">IF($AN152="",OFFSET(Demand!$A$13,ROW(P149)-1,4+((QUOTIENT(COLUMN(CF$2)-69,3))*5)+MOD(COLUMN(CF$2),3),1,1),"")</f>
        <v>0</v>
      </c>
      <c r="CG152">
        <f ca="1">IF($AN152="",OFFSET(Demand!$A$13,ROW(Q149)-1,4+((QUOTIENT(COLUMN(CG$2)-69,3))*5)+MOD(COLUMN(CG$2),3),1,1),"")</f>
        <v>0</v>
      </c>
      <c r="CH152">
        <f ca="1">IF($AN152="",OFFSET(Demand!$A$13,ROW(R149)-1,4+((QUOTIENT(COLUMN(CH$2)-69,3))*5)+MOD(COLUMN(CH$2),3),1,1),"")</f>
        <v>0</v>
      </c>
      <c r="CI152">
        <f ca="1">IF($AN152="",OFFSET(Demand!$A$13,ROW(S149)-1,4+((QUOTIENT(COLUMN(CI$2)-69,3))*5)+MOD(COLUMN(CI$2),3),1,1),"")</f>
        <v>0</v>
      </c>
      <c r="CJ152">
        <f ca="1">IF($AN152="",OFFSET(Demand!$A$13,ROW(T149)-1,4+((QUOTIENT(COLUMN(CJ$2)-69,3))*5)+MOD(COLUMN(CJ$2),3),1,1),"")</f>
        <v>0</v>
      </c>
      <c r="CK152">
        <f ca="1">IF($AN152="",OFFSET(Demand!$A$13,ROW(U149)-1,4+((QUOTIENT(COLUMN(CK$2)-69,3))*5)+MOD(COLUMN(CK$2),3),1,1),"")</f>
        <v>0</v>
      </c>
      <c r="CL152">
        <f ca="1">IF($AN152="",OFFSET(Demand!$A$13,ROW(V149)-1,4+((QUOTIENT(COLUMN(CL$2)-69,3))*5)+MOD(COLUMN(CL$2),3),1,1),"")</f>
        <v>0</v>
      </c>
      <c r="CM152">
        <f ca="1">IF($AN152="",OFFSET(Demand!$A$13,ROW(W149)-1,4+((QUOTIENT(COLUMN(CM$2)-69,3))*5)+MOD(COLUMN(CM$2),3),1,1),"")</f>
        <v>0</v>
      </c>
      <c r="CN152">
        <f ca="1">IF($AN152="",OFFSET(Demand!$A$13,ROW(X149)-1,4+((QUOTIENT(COLUMN(CN$2)-69,3))*5)+MOD(COLUMN(CN$2),3),1,1),"")</f>
        <v>0</v>
      </c>
      <c r="CO152">
        <f ca="1">IF($AN152="",OFFSET(Demand!$A$13,ROW(Y149)-1,4+((QUOTIENT(COLUMN(CO$2)-69,3))*5)+MOD(COLUMN(CO$2),3),1,1),"")</f>
        <v>0</v>
      </c>
      <c r="CP152">
        <f ca="1">IF($AN152="",OFFSET(Demand!$A$13,ROW(Z149)-1,4+((QUOTIENT(COLUMN(CP$2)-69,3))*5)+MOD(COLUMN(CP$2),3),1,1),"")</f>
        <v>0</v>
      </c>
      <c r="CQ152">
        <f ca="1">IF($AN152="",OFFSET(Demand!$A$13,ROW(AA149)-1,4+((QUOTIENT(COLUMN(CQ$2)-69,3))*5)+MOD(COLUMN(CQ$2),3),1,1),"")</f>
        <v>0</v>
      </c>
      <c r="CR152">
        <f ca="1">IF($AN152="",OFFSET(Demand!$A$13,ROW(AB149)-1,4+((QUOTIENT(COLUMN(CR$2)-69,3))*5)+MOD(COLUMN(CR$2),3),1,1),"")</f>
        <v>0</v>
      </c>
      <c r="CS152">
        <f ca="1">IF($AN152="",OFFSET(Demand!$A$13,ROW(AC149)-1,4+((QUOTIENT(COLUMN(CS$2)-69,3))*5)+MOD(COLUMN(CS$2),3),1,1),"")</f>
        <v>0</v>
      </c>
      <c r="CT152">
        <f ca="1">IF($AN152="",OFFSET(Demand!$A$13,ROW(AD149)-1,4+((QUOTIENT(COLUMN(CT$2)-69,3))*5)+MOD(COLUMN(CT$2),3),1,1),"")</f>
        <v>0</v>
      </c>
      <c r="CW152" s="5">
        <f ca="1">SUM(OFFSET(Demand!$H$43,ROW(A149)-1,(COLUMN(A149)-1)*5,1,1))*N$2</f>
        <v>0</v>
      </c>
      <c r="CX152" s="5">
        <f ca="1">SUM(OFFSET(Demand!$H$43,ROW(B149)-1,(COLUMN(B149)-1)*5,1,1))*O$2</f>
        <v>0</v>
      </c>
      <c r="CY152" s="5">
        <f ca="1">SUM(OFFSET(Demand!$H$43,ROW(C149)-1,(COLUMN(C149)-1)*5,1,1))*P$2</f>
        <v>0</v>
      </c>
      <c r="CZ152" s="5">
        <f ca="1">SUM(OFFSET(Demand!$H$43,ROW(D149)-1,(COLUMN(D149)-1)*5,1,1))*Q$2</f>
        <v>0</v>
      </c>
      <c r="DA152" s="5">
        <f ca="1">SUM(OFFSET(Demand!$H$43,ROW(E149)-1,(COLUMN(E149)-1)*5,1,1))*R$2</f>
        <v>0</v>
      </c>
      <c r="DB152" s="5">
        <f ca="1">SUM(OFFSET(Demand!$H$43,ROW(F149)-1,(COLUMN(F149)-1)*5,1,1))*S$2</f>
        <v>0</v>
      </c>
      <c r="DC152" s="5">
        <f ca="1">SUM(OFFSET(Demand!$H$43,ROW(G149)-1,(COLUMN(G149)-1)*5,1,1))*T$2</f>
        <v>0</v>
      </c>
      <c r="DD152" s="5">
        <f ca="1">SUM(OFFSET(Demand!$H$43,ROW(H149)-1,(COLUMN(H149)-1)*5,1,1))*U$2</f>
        <v>0</v>
      </c>
      <c r="DE152" s="5">
        <f ca="1">SUM(OFFSET(Demand!$H$43,ROW(I149)-1,(COLUMN(I149)-1)*5,1,1))*V$2</f>
        <v>0</v>
      </c>
      <c r="DF152" s="5">
        <f ca="1">SUM(OFFSET(Demand!$H$43,ROW(J149)-1,(COLUMN(J149)-1)*5,1,1))*W$2</f>
        <v>0</v>
      </c>
      <c r="DG152" s="5">
        <f ca="1">IF(OR(AN152&lt;&gt;"",AND('Demand adjustments for Covid'!$F$9="Yes",'Demand adjustments for Covid'!$F$20="Yes")),"",SUM(CW152:DF152))</f>
        <v>0</v>
      </c>
    </row>
    <row r="153" spans="1:111" x14ac:dyDescent="0.25">
      <c r="A153" s="5">
        <f t="shared" ca="1" si="43"/>
        <v>1</v>
      </c>
      <c r="B153" s="5">
        <f ca="1">COUNTBLANK(OFFSET(Demand!$I162,0,(COLUMN(A150)-1)*5,1,1))</f>
        <v>1</v>
      </c>
      <c r="C153" s="5">
        <f ca="1">COUNTBLANK(OFFSET(Demand!$I162,0,(COLUMN(B150)-1)*5,1,1))</f>
        <v>1</v>
      </c>
      <c r="D153" s="5">
        <f ca="1">COUNTBLANK(OFFSET(Demand!$I162,0,(COLUMN(C150)-1)*5,1,1))</f>
        <v>1</v>
      </c>
      <c r="E153" s="5">
        <f ca="1">COUNTBLANK(OFFSET(Demand!$I162,0,(COLUMN(D150)-1)*5,1,1))</f>
        <v>1</v>
      </c>
      <c r="F153" s="5">
        <f ca="1">COUNTBLANK(OFFSET(Demand!$I162,0,(COLUMN(E150)-1)*5,1,1))</f>
        <v>1</v>
      </c>
      <c r="G153" s="5">
        <f ca="1">COUNTBLANK(OFFSET(Demand!$I162,0,(COLUMN(F150)-1)*5,1,1))</f>
        <v>1</v>
      </c>
      <c r="H153" s="5">
        <f ca="1">COUNTBLANK(OFFSET(Demand!$I162,0,(COLUMN(G150)-1)*5,1,1))</f>
        <v>1</v>
      </c>
      <c r="I153" s="5">
        <f ca="1">COUNTBLANK(OFFSET(Demand!$I162,0,(COLUMN(H150)-1)*5,1,1))</f>
        <v>1</v>
      </c>
      <c r="J153" s="5">
        <f ca="1">COUNTBLANK(OFFSET(Demand!$I162,0,(COLUMN(I150)-1)*5,1,1))</f>
        <v>1</v>
      </c>
      <c r="K153" s="5">
        <f ca="1">COUNTBLANK(OFFSET(Demand!$I162,0,(COLUMN(J150)-1)*5,1,1))</f>
        <v>1</v>
      </c>
      <c r="N153" s="5">
        <f ca="1">SUM(OFFSET(Demand!$E162,0,(COLUMN(A150)-1)*5,1,3))*N$2</f>
        <v>0</v>
      </c>
      <c r="O153" s="5">
        <f ca="1">SUM(OFFSET(Demand!$E162,0,(COLUMN(B150)-1)*5,1,3))*O$2</f>
        <v>0</v>
      </c>
      <c r="P153" s="5">
        <f ca="1">SUM(OFFSET(Demand!$E162,0,(COLUMN(C150)-1)*5,1,3))*P$2</f>
        <v>0</v>
      </c>
      <c r="Q153" s="5">
        <f ca="1">SUM(OFFSET(Demand!$E162,0,(COLUMN(D150)-1)*5,1,3))*Q$2</f>
        <v>0</v>
      </c>
      <c r="R153" s="5">
        <f ca="1">SUM(OFFSET(Demand!$E162,0,(COLUMN(E150)-1)*5,1,3))*R$2</f>
        <v>0</v>
      </c>
      <c r="S153" s="5">
        <f ca="1">SUM(OFFSET(Demand!$E162,0,(COLUMN(F150)-1)*5,1,3))*S$2</f>
        <v>0</v>
      </c>
      <c r="T153" s="5">
        <f ca="1">SUM(OFFSET(Demand!$E162,0,(COLUMN(G150)-1)*5,1,3))*T$2</f>
        <v>0</v>
      </c>
      <c r="U153" s="5">
        <f ca="1">SUM(OFFSET(Demand!$E162,0,(COLUMN(H150)-1)*5,1,3))*U$2</f>
        <v>0</v>
      </c>
      <c r="V153" s="5">
        <f ca="1">SUM(OFFSET(Demand!$E162,0,(COLUMN(I150)-1)*5,1,3))*V$2</f>
        <v>0</v>
      </c>
      <c r="W153" s="5">
        <f ca="1">SUM(OFFSET(Demand!$E162,0,(COLUMN(J150)-1)*5,1,3))*W$2</f>
        <v>0</v>
      </c>
      <c r="X153" s="5">
        <f t="shared" ca="1" si="44"/>
        <v>0</v>
      </c>
      <c r="Y153">
        <f t="shared" ca="1" si="45"/>
        <v>0</v>
      </c>
      <c r="Z153" s="5">
        <f ca="1">SUM(OFFSET(Demand!$H162,0,(COLUMN(A150)-1)*5,1,1))*N$2</f>
        <v>0</v>
      </c>
      <c r="AA153" s="5">
        <f ca="1">SUM(OFFSET(Demand!$H162,0,(COLUMN(B150)-1)*5,1,1))*O$2</f>
        <v>0</v>
      </c>
      <c r="AB153" s="5">
        <f ca="1">SUM(OFFSET(Demand!$H162,0,(COLUMN(C150)-1)*5,1,1))*P$2</f>
        <v>0</v>
      </c>
      <c r="AC153" s="5">
        <f ca="1">SUM(OFFSET(Demand!$H162,0,(COLUMN(D150)-1)*5,1,1))*Q$2</f>
        <v>0</v>
      </c>
      <c r="AD153" s="5">
        <f ca="1">SUM(OFFSET(Demand!$H162,0,(COLUMN(E150)-1)*5,1,1))*R$2</f>
        <v>0</v>
      </c>
      <c r="AE153" s="5">
        <f ca="1">SUM(OFFSET(Demand!$H162,0,(COLUMN(F150)-1)*5,1,1))*S$2</f>
        <v>0</v>
      </c>
      <c r="AF153" s="5">
        <f ca="1">SUM(OFFSET(Demand!$H162,0,(COLUMN(G150)-1)*5,1,1))*T$2</f>
        <v>0</v>
      </c>
      <c r="AG153" s="5">
        <f ca="1">SUM(OFFSET(Demand!$H162,0,(COLUMN(H150)-1)*5,1,1))*U$2</f>
        <v>0</v>
      </c>
      <c r="AH153" s="5">
        <f ca="1">SUM(OFFSET(Demand!$H162,0,(COLUMN(I150)-1)*5,1,1))*V$2</f>
        <v>0</v>
      </c>
      <c r="AI153" s="5">
        <f ca="1">SUM(OFFSET(Demand!$H162,0,(COLUMN(J150)-1)*5,1,1))*W$2</f>
        <v>0</v>
      </c>
      <c r="AJ153" s="5">
        <f t="shared" ca="1" si="46"/>
        <v>0</v>
      </c>
      <c r="AL153" s="5">
        <f t="shared" ca="1" si="47"/>
        <v>0</v>
      </c>
      <c r="AM153" s="5">
        <f t="shared" ca="1" si="48"/>
        <v>0</v>
      </c>
      <c r="AN153" s="5" t="str">
        <f>IF(Demand!BE162="Yes","Yes","")</f>
        <v/>
      </c>
      <c r="AP153" s="36" t="str">
        <f ca="1">Demand!B162</f>
        <v xml:space="preserve"> </v>
      </c>
      <c r="AQ153" t="str">
        <f ca="1">IF(TEXT(Demand!D162,"MMM")&lt;&gt;TEXT(Demand!D161,"MMM"),TEXT(Demand!D162,"MMM"),"")</f>
        <v/>
      </c>
      <c r="AT153" s="5">
        <f t="shared" ca="1" si="49"/>
        <v>0</v>
      </c>
      <c r="BQ153">
        <f ca="1">IF($AN153="",OFFSET(Demand!$A$13,ROW(A150)-1,4+((QUOTIENT(COLUMN(BQ$2)-69,3))*5)+MOD(COLUMN(BQ$2),3),1,1),"")</f>
        <v>0</v>
      </c>
      <c r="BR153">
        <f ca="1">IF($AN153="",OFFSET(Demand!$A$13,ROW(B150)-1,4+((QUOTIENT(COLUMN(BR$2)-69,3))*5)+MOD(COLUMN(BR$2),3),1,1),"")</f>
        <v>0</v>
      </c>
      <c r="BS153">
        <f ca="1">IF($AN153="",OFFSET(Demand!$A$13,ROW(C150)-1,4+((QUOTIENT(COLUMN(BS$2)-69,3))*5)+MOD(COLUMN(BS$2),3),1,1),"")</f>
        <v>0</v>
      </c>
      <c r="BT153">
        <f ca="1">IF($AN153="",OFFSET(Demand!$A$13,ROW(D150)-1,4+((QUOTIENT(COLUMN(BT$2)-69,3))*5)+MOD(COLUMN(BT$2),3),1,1),"")</f>
        <v>0</v>
      </c>
      <c r="BU153">
        <f ca="1">IF($AN153="",OFFSET(Demand!$A$13,ROW(E150)-1,4+((QUOTIENT(COLUMN(BU$2)-69,3))*5)+MOD(COLUMN(BU$2),3),1,1),"")</f>
        <v>0</v>
      </c>
      <c r="BV153">
        <f ca="1">IF($AN153="",OFFSET(Demand!$A$13,ROW(F150)-1,4+((QUOTIENT(COLUMN(BV$2)-69,3))*5)+MOD(COLUMN(BV$2),3),1,1),"")</f>
        <v>0</v>
      </c>
      <c r="BW153">
        <f ca="1">IF($AN153="",OFFSET(Demand!$A$13,ROW(G150)-1,4+((QUOTIENT(COLUMN(BW$2)-69,3))*5)+MOD(COLUMN(BW$2),3),1,1),"")</f>
        <v>0</v>
      </c>
      <c r="BX153">
        <f ca="1">IF($AN153="",OFFSET(Demand!$A$13,ROW(H150)-1,4+((QUOTIENT(COLUMN(BX$2)-69,3))*5)+MOD(COLUMN(BX$2),3),1,1),"")</f>
        <v>0</v>
      </c>
      <c r="BY153">
        <f ca="1">IF($AN153="",OFFSET(Demand!$A$13,ROW(I150)-1,4+((QUOTIENT(COLUMN(BY$2)-69,3))*5)+MOD(COLUMN(BY$2),3),1,1),"")</f>
        <v>0</v>
      </c>
      <c r="BZ153">
        <f ca="1">IF($AN153="",OFFSET(Demand!$A$13,ROW(J150)-1,4+((QUOTIENT(COLUMN(BZ$2)-69,3))*5)+MOD(COLUMN(BZ$2),3),1,1),"")</f>
        <v>0</v>
      </c>
      <c r="CA153">
        <f ca="1">IF($AN153="",OFFSET(Demand!$A$13,ROW(K150)-1,4+((QUOTIENT(COLUMN(CA$2)-69,3))*5)+MOD(COLUMN(CA$2),3),1,1),"")</f>
        <v>0</v>
      </c>
      <c r="CB153">
        <f ca="1">IF($AN153="",OFFSET(Demand!$A$13,ROW(L150)-1,4+((QUOTIENT(COLUMN(CB$2)-69,3))*5)+MOD(COLUMN(CB$2),3),1,1),"")</f>
        <v>0</v>
      </c>
      <c r="CC153">
        <f ca="1">IF($AN153="",OFFSET(Demand!$A$13,ROW(M150)-1,4+((QUOTIENT(COLUMN(CC$2)-69,3))*5)+MOD(COLUMN(CC$2),3),1,1),"")</f>
        <v>0</v>
      </c>
      <c r="CD153">
        <f ca="1">IF($AN153="",OFFSET(Demand!$A$13,ROW(N150)-1,4+((QUOTIENT(COLUMN(CD$2)-69,3))*5)+MOD(COLUMN(CD$2),3),1,1),"")</f>
        <v>0</v>
      </c>
      <c r="CE153">
        <f ca="1">IF($AN153="",OFFSET(Demand!$A$13,ROW(O150)-1,4+((QUOTIENT(COLUMN(CE$2)-69,3))*5)+MOD(COLUMN(CE$2),3),1,1),"")</f>
        <v>0</v>
      </c>
      <c r="CF153">
        <f ca="1">IF($AN153="",OFFSET(Demand!$A$13,ROW(P150)-1,4+((QUOTIENT(COLUMN(CF$2)-69,3))*5)+MOD(COLUMN(CF$2),3),1,1),"")</f>
        <v>0</v>
      </c>
      <c r="CG153">
        <f ca="1">IF($AN153="",OFFSET(Demand!$A$13,ROW(Q150)-1,4+((QUOTIENT(COLUMN(CG$2)-69,3))*5)+MOD(COLUMN(CG$2),3),1,1),"")</f>
        <v>0</v>
      </c>
      <c r="CH153">
        <f ca="1">IF($AN153="",OFFSET(Demand!$A$13,ROW(R150)-1,4+((QUOTIENT(COLUMN(CH$2)-69,3))*5)+MOD(COLUMN(CH$2),3),1,1),"")</f>
        <v>0</v>
      </c>
      <c r="CI153">
        <f ca="1">IF($AN153="",OFFSET(Demand!$A$13,ROW(S150)-1,4+((QUOTIENT(COLUMN(CI$2)-69,3))*5)+MOD(COLUMN(CI$2),3),1,1),"")</f>
        <v>0</v>
      </c>
      <c r="CJ153">
        <f ca="1">IF($AN153="",OFFSET(Demand!$A$13,ROW(T150)-1,4+((QUOTIENT(COLUMN(CJ$2)-69,3))*5)+MOD(COLUMN(CJ$2),3),1,1),"")</f>
        <v>0</v>
      </c>
      <c r="CK153">
        <f ca="1">IF($AN153="",OFFSET(Demand!$A$13,ROW(U150)-1,4+((QUOTIENT(COLUMN(CK$2)-69,3))*5)+MOD(COLUMN(CK$2),3),1,1),"")</f>
        <v>0</v>
      </c>
      <c r="CL153">
        <f ca="1">IF($AN153="",OFFSET(Demand!$A$13,ROW(V150)-1,4+((QUOTIENT(COLUMN(CL$2)-69,3))*5)+MOD(COLUMN(CL$2),3),1,1),"")</f>
        <v>0</v>
      </c>
      <c r="CM153">
        <f ca="1">IF($AN153="",OFFSET(Demand!$A$13,ROW(W150)-1,4+((QUOTIENT(COLUMN(CM$2)-69,3))*5)+MOD(COLUMN(CM$2),3),1,1),"")</f>
        <v>0</v>
      </c>
      <c r="CN153">
        <f ca="1">IF($AN153="",OFFSET(Demand!$A$13,ROW(X150)-1,4+((QUOTIENT(COLUMN(CN$2)-69,3))*5)+MOD(COLUMN(CN$2),3),1,1),"")</f>
        <v>0</v>
      </c>
      <c r="CO153">
        <f ca="1">IF($AN153="",OFFSET(Demand!$A$13,ROW(Y150)-1,4+((QUOTIENT(COLUMN(CO$2)-69,3))*5)+MOD(COLUMN(CO$2),3),1,1),"")</f>
        <v>0</v>
      </c>
      <c r="CP153">
        <f ca="1">IF($AN153="",OFFSET(Demand!$A$13,ROW(Z150)-1,4+((QUOTIENT(COLUMN(CP$2)-69,3))*5)+MOD(COLUMN(CP$2),3),1,1),"")</f>
        <v>0</v>
      </c>
      <c r="CQ153">
        <f ca="1">IF($AN153="",OFFSET(Demand!$A$13,ROW(AA150)-1,4+((QUOTIENT(COLUMN(CQ$2)-69,3))*5)+MOD(COLUMN(CQ$2),3),1,1),"")</f>
        <v>0</v>
      </c>
      <c r="CR153">
        <f ca="1">IF($AN153="",OFFSET(Demand!$A$13,ROW(AB150)-1,4+((QUOTIENT(COLUMN(CR$2)-69,3))*5)+MOD(COLUMN(CR$2),3),1,1),"")</f>
        <v>0</v>
      </c>
      <c r="CS153">
        <f ca="1">IF($AN153="",OFFSET(Demand!$A$13,ROW(AC150)-1,4+((QUOTIENT(COLUMN(CS$2)-69,3))*5)+MOD(COLUMN(CS$2),3),1,1),"")</f>
        <v>0</v>
      </c>
      <c r="CT153">
        <f ca="1">IF($AN153="",OFFSET(Demand!$A$13,ROW(AD150)-1,4+((QUOTIENT(COLUMN(CT$2)-69,3))*5)+MOD(COLUMN(CT$2),3),1,1),"")</f>
        <v>0</v>
      </c>
      <c r="CW153" s="5">
        <f ca="1">SUM(OFFSET(Demand!$H$43,ROW(A150)-1,(COLUMN(A150)-1)*5,1,1))*N$2</f>
        <v>0</v>
      </c>
      <c r="CX153" s="5">
        <f ca="1">SUM(OFFSET(Demand!$H$43,ROW(B150)-1,(COLUMN(B150)-1)*5,1,1))*O$2</f>
        <v>0</v>
      </c>
      <c r="CY153" s="5">
        <f ca="1">SUM(OFFSET(Demand!$H$43,ROW(C150)-1,(COLUMN(C150)-1)*5,1,1))*P$2</f>
        <v>0</v>
      </c>
      <c r="CZ153" s="5">
        <f ca="1">SUM(OFFSET(Demand!$H$43,ROW(D150)-1,(COLUMN(D150)-1)*5,1,1))*Q$2</f>
        <v>0</v>
      </c>
      <c r="DA153" s="5">
        <f ca="1">SUM(OFFSET(Demand!$H$43,ROW(E150)-1,(COLUMN(E150)-1)*5,1,1))*R$2</f>
        <v>0</v>
      </c>
      <c r="DB153" s="5">
        <f ca="1">SUM(OFFSET(Demand!$H$43,ROW(F150)-1,(COLUMN(F150)-1)*5,1,1))*S$2</f>
        <v>0</v>
      </c>
      <c r="DC153" s="5">
        <f ca="1">SUM(OFFSET(Demand!$H$43,ROW(G150)-1,(COLUMN(G150)-1)*5,1,1))*T$2</f>
        <v>0</v>
      </c>
      <c r="DD153" s="5">
        <f ca="1">SUM(OFFSET(Demand!$H$43,ROW(H150)-1,(COLUMN(H150)-1)*5,1,1))*U$2</f>
        <v>0</v>
      </c>
      <c r="DE153" s="5">
        <f ca="1">SUM(OFFSET(Demand!$H$43,ROW(I150)-1,(COLUMN(I150)-1)*5,1,1))*V$2</f>
        <v>0</v>
      </c>
      <c r="DF153" s="5">
        <f ca="1">SUM(OFFSET(Demand!$H$43,ROW(J150)-1,(COLUMN(J150)-1)*5,1,1))*W$2</f>
        <v>0</v>
      </c>
      <c r="DG153" s="5">
        <f ca="1">IF(OR(AN153&lt;&gt;"",AND('Demand adjustments for Covid'!$F$9="Yes",'Demand adjustments for Covid'!$F$20="Yes")),"",SUM(CW153:DF153))</f>
        <v>0</v>
      </c>
    </row>
    <row r="154" spans="1:111" x14ac:dyDescent="0.25">
      <c r="A154" s="5">
        <f t="shared" ca="1" si="43"/>
        <v>1</v>
      </c>
      <c r="B154" s="5">
        <f ca="1">COUNTBLANK(OFFSET(Demand!$I163,0,(COLUMN(A151)-1)*5,1,1))</f>
        <v>1</v>
      </c>
      <c r="C154" s="5">
        <f ca="1">COUNTBLANK(OFFSET(Demand!$I163,0,(COLUMN(B151)-1)*5,1,1))</f>
        <v>1</v>
      </c>
      <c r="D154" s="5">
        <f ca="1">COUNTBLANK(OFFSET(Demand!$I163,0,(COLUMN(C151)-1)*5,1,1))</f>
        <v>1</v>
      </c>
      <c r="E154" s="5">
        <f ca="1">COUNTBLANK(OFFSET(Demand!$I163,0,(COLUMN(D151)-1)*5,1,1))</f>
        <v>1</v>
      </c>
      <c r="F154" s="5">
        <f ca="1">COUNTBLANK(OFFSET(Demand!$I163,0,(COLUMN(E151)-1)*5,1,1))</f>
        <v>1</v>
      </c>
      <c r="G154" s="5">
        <f ca="1">COUNTBLANK(OFFSET(Demand!$I163,0,(COLUMN(F151)-1)*5,1,1))</f>
        <v>1</v>
      </c>
      <c r="H154" s="5">
        <f ca="1">COUNTBLANK(OFFSET(Demand!$I163,0,(COLUMN(G151)-1)*5,1,1))</f>
        <v>1</v>
      </c>
      <c r="I154" s="5">
        <f ca="1">COUNTBLANK(OFFSET(Demand!$I163,0,(COLUMN(H151)-1)*5,1,1))</f>
        <v>1</v>
      </c>
      <c r="J154" s="5">
        <f ca="1">COUNTBLANK(OFFSET(Demand!$I163,0,(COLUMN(I151)-1)*5,1,1))</f>
        <v>1</v>
      </c>
      <c r="K154" s="5">
        <f ca="1">COUNTBLANK(OFFSET(Demand!$I163,0,(COLUMN(J151)-1)*5,1,1))</f>
        <v>1</v>
      </c>
      <c r="N154" s="5">
        <f ca="1">SUM(OFFSET(Demand!$E163,0,(COLUMN(A151)-1)*5,1,3))*N$2</f>
        <v>0</v>
      </c>
      <c r="O154" s="5">
        <f ca="1">SUM(OFFSET(Demand!$E163,0,(COLUMN(B151)-1)*5,1,3))*O$2</f>
        <v>0</v>
      </c>
      <c r="P154" s="5">
        <f ca="1">SUM(OFFSET(Demand!$E163,0,(COLUMN(C151)-1)*5,1,3))*P$2</f>
        <v>0</v>
      </c>
      <c r="Q154" s="5">
        <f ca="1">SUM(OFFSET(Demand!$E163,0,(COLUMN(D151)-1)*5,1,3))*Q$2</f>
        <v>0</v>
      </c>
      <c r="R154" s="5">
        <f ca="1">SUM(OFFSET(Demand!$E163,0,(COLUMN(E151)-1)*5,1,3))*R$2</f>
        <v>0</v>
      </c>
      <c r="S154" s="5">
        <f ca="1">SUM(OFFSET(Demand!$E163,0,(COLUMN(F151)-1)*5,1,3))*S$2</f>
        <v>0</v>
      </c>
      <c r="T154" s="5">
        <f ca="1">SUM(OFFSET(Demand!$E163,0,(COLUMN(G151)-1)*5,1,3))*T$2</f>
        <v>0</v>
      </c>
      <c r="U154" s="5">
        <f ca="1">SUM(OFFSET(Demand!$E163,0,(COLUMN(H151)-1)*5,1,3))*U$2</f>
        <v>0</v>
      </c>
      <c r="V154" s="5">
        <f ca="1">SUM(OFFSET(Demand!$E163,0,(COLUMN(I151)-1)*5,1,3))*V$2</f>
        <v>0</v>
      </c>
      <c r="W154" s="5">
        <f ca="1">SUM(OFFSET(Demand!$E163,0,(COLUMN(J151)-1)*5,1,3))*W$2</f>
        <v>0</v>
      </c>
      <c r="X154" s="5">
        <f t="shared" ca="1" si="44"/>
        <v>0</v>
      </c>
      <c r="Y154">
        <f t="shared" ca="1" si="45"/>
        <v>0</v>
      </c>
      <c r="Z154" s="5">
        <f ca="1">SUM(OFFSET(Demand!$H163,0,(COLUMN(A151)-1)*5,1,1))*N$2</f>
        <v>0</v>
      </c>
      <c r="AA154" s="5">
        <f ca="1">SUM(OFFSET(Demand!$H163,0,(COLUMN(B151)-1)*5,1,1))*O$2</f>
        <v>0</v>
      </c>
      <c r="AB154" s="5">
        <f ca="1">SUM(OFFSET(Demand!$H163,0,(COLUMN(C151)-1)*5,1,1))*P$2</f>
        <v>0</v>
      </c>
      <c r="AC154" s="5">
        <f ca="1">SUM(OFFSET(Demand!$H163,0,(COLUMN(D151)-1)*5,1,1))*Q$2</f>
        <v>0</v>
      </c>
      <c r="AD154" s="5">
        <f ca="1">SUM(OFFSET(Demand!$H163,0,(COLUMN(E151)-1)*5,1,1))*R$2</f>
        <v>0</v>
      </c>
      <c r="AE154" s="5">
        <f ca="1">SUM(OFFSET(Demand!$H163,0,(COLUMN(F151)-1)*5,1,1))*S$2</f>
        <v>0</v>
      </c>
      <c r="AF154" s="5">
        <f ca="1">SUM(OFFSET(Demand!$H163,0,(COLUMN(G151)-1)*5,1,1))*T$2</f>
        <v>0</v>
      </c>
      <c r="AG154" s="5">
        <f ca="1">SUM(OFFSET(Demand!$H163,0,(COLUMN(H151)-1)*5,1,1))*U$2</f>
        <v>0</v>
      </c>
      <c r="AH154" s="5">
        <f ca="1">SUM(OFFSET(Demand!$H163,0,(COLUMN(I151)-1)*5,1,1))*V$2</f>
        <v>0</v>
      </c>
      <c r="AI154" s="5">
        <f ca="1">SUM(OFFSET(Demand!$H163,0,(COLUMN(J151)-1)*5,1,1))*W$2</f>
        <v>0</v>
      </c>
      <c r="AJ154" s="5">
        <f t="shared" ca="1" si="46"/>
        <v>0</v>
      </c>
      <c r="AL154" s="5">
        <f t="shared" ca="1" si="47"/>
        <v>0</v>
      </c>
      <c r="AM154" s="5">
        <f t="shared" ca="1" si="48"/>
        <v>0</v>
      </c>
      <c r="AN154" s="5" t="str">
        <f>IF(Demand!BE163="Yes","Yes","")</f>
        <v/>
      </c>
      <c r="AP154" s="36" t="str">
        <f ca="1">Demand!B163</f>
        <v xml:space="preserve"> </v>
      </c>
      <c r="AQ154" t="str">
        <f ca="1">IF(TEXT(Demand!D163,"MMM")&lt;&gt;TEXT(Demand!D162,"MMM"),TEXT(Demand!D163,"MMM"),"")</f>
        <v/>
      </c>
      <c r="AT154" s="5">
        <f t="shared" ca="1" si="49"/>
        <v>0</v>
      </c>
      <c r="BQ154">
        <f ca="1">IF($AN154="",OFFSET(Demand!$A$13,ROW(A151)-1,4+((QUOTIENT(COLUMN(BQ$2)-69,3))*5)+MOD(COLUMN(BQ$2),3),1,1),"")</f>
        <v>0</v>
      </c>
      <c r="BR154">
        <f ca="1">IF($AN154="",OFFSET(Demand!$A$13,ROW(B151)-1,4+((QUOTIENT(COLUMN(BR$2)-69,3))*5)+MOD(COLUMN(BR$2),3),1,1),"")</f>
        <v>0</v>
      </c>
      <c r="BS154">
        <f ca="1">IF($AN154="",OFFSET(Demand!$A$13,ROW(C151)-1,4+((QUOTIENT(COLUMN(BS$2)-69,3))*5)+MOD(COLUMN(BS$2),3),1,1),"")</f>
        <v>0</v>
      </c>
      <c r="BT154">
        <f ca="1">IF($AN154="",OFFSET(Demand!$A$13,ROW(D151)-1,4+((QUOTIENT(COLUMN(BT$2)-69,3))*5)+MOD(COLUMN(BT$2),3),1,1),"")</f>
        <v>0</v>
      </c>
      <c r="BU154">
        <f ca="1">IF($AN154="",OFFSET(Demand!$A$13,ROW(E151)-1,4+((QUOTIENT(COLUMN(BU$2)-69,3))*5)+MOD(COLUMN(BU$2),3),1,1),"")</f>
        <v>0</v>
      </c>
      <c r="BV154">
        <f ca="1">IF($AN154="",OFFSET(Demand!$A$13,ROW(F151)-1,4+((QUOTIENT(COLUMN(BV$2)-69,3))*5)+MOD(COLUMN(BV$2),3),1,1),"")</f>
        <v>0</v>
      </c>
      <c r="BW154">
        <f ca="1">IF($AN154="",OFFSET(Demand!$A$13,ROW(G151)-1,4+((QUOTIENT(COLUMN(BW$2)-69,3))*5)+MOD(COLUMN(BW$2),3),1,1),"")</f>
        <v>0</v>
      </c>
      <c r="BX154">
        <f ca="1">IF($AN154="",OFFSET(Demand!$A$13,ROW(H151)-1,4+((QUOTIENT(COLUMN(BX$2)-69,3))*5)+MOD(COLUMN(BX$2),3),1,1),"")</f>
        <v>0</v>
      </c>
      <c r="BY154">
        <f ca="1">IF($AN154="",OFFSET(Demand!$A$13,ROW(I151)-1,4+((QUOTIENT(COLUMN(BY$2)-69,3))*5)+MOD(COLUMN(BY$2),3),1,1),"")</f>
        <v>0</v>
      </c>
      <c r="BZ154">
        <f ca="1">IF($AN154="",OFFSET(Demand!$A$13,ROW(J151)-1,4+((QUOTIENT(COLUMN(BZ$2)-69,3))*5)+MOD(COLUMN(BZ$2),3),1,1),"")</f>
        <v>0</v>
      </c>
      <c r="CA154">
        <f ca="1">IF($AN154="",OFFSET(Demand!$A$13,ROW(K151)-1,4+((QUOTIENT(COLUMN(CA$2)-69,3))*5)+MOD(COLUMN(CA$2),3),1,1),"")</f>
        <v>0</v>
      </c>
      <c r="CB154">
        <f ca="1">IF($AN154="",OFFSET(Demand!$A$13,ROW(L151)-1,4+((QUOTIENT(COLUMN(CB$2)-69,3))*5)+MOD(COLUMN(CB$2),3),1,1),"")</f>
        <v>0</v>
      </c>
      <c r="CC154">
        <f ca="1">IF($AN154="",OFFSET(Demand!$A$13,ROW(M151)-1,4+((QUOTIENT(COLUMN(CC$2)-69,3))*5)+MOD(COLUMN(CC$2),3),1,1),"")</f>
        <v>0</v>
      </c>
      <c r="CD154">
        <f ca="1">IF($AN154="",OFFSET(Demand!$A$13,ROW(N151)-1,4+((QUOTIENT(COLUMN(CD$2)-69,3))*5)+MOD(COLUMN(CD$2),3),1,1),"")</f>
        <v>0</v>
      </c>
      <c r="CE154">
        <f ca="1">IF($AN154="",OFFSET(Demand!$A$13,ROW(O151)-1,4+((QUOTIENT(COLUMN(CE$2)-69,3))*5)+MOD(COLUMN(CE$2),3),1,1),"")</f>
        <v>0</v>
      </c>
      <c r="CF154">
        <f ca="1">IF($AN154="",OFFSET(Demand!$A$13,ROW(P151)-1,4+((QUOTIENT(COLUMN(CF$2)-69,3))*5)+MOD(COLUMN(CF$2),3),1,1),"")</f>
        <v>0</v>
      </c>
      <c r="CG154">
        <f ca="1">IF($AN154="",OFFSET(Demand!$A$13,ROW(Q151)-1,4+((QUOTIENT(COLUMN(CG$2)-69,3))*5)+MOD(COLUMN(CG$2),3),1,1),"")</f>
        <v>0</v>
      </c>
      <c r="CH154">
        <f ca="1">IF($AN154="",OFFSET(Demand!$A$13,ROW(R151)-1,4+((QUOTIENT(COLUMN(CH$2)-69,3))*5)+MOD(COLUMN(CH$2),3),1,1),"")</f>
        <v>0</v>
      </c>
      <c r="CI154">
        <f ca="1">IF($AN154="",OFFSET(Demand!$A$13,ROW(S151)-1,4+((QUOTIENT(COLUMN(CI$2)-69,3))*5)+MOD(COLUMN(CI$2),3),1,1),"")</f>
        <v>0</v>
      </c>
      <c r="CJ154">
        <f ca="1">IF($AN154="",OFFSET(Demand!$A$13,ROW(T151)-1,4+((QUOTIENT(COLUMN(CJ$2)-69,3))*5)+MOD(COLUMN(CJ$2),3),1,1),"")</f>
        <v>0</v>
      </c>
      <c r="CK154">
        <f ca="1">IF($AN154="",OFFSET(Demand!$A$13,ROW(U151)-1,4+((QUOTIENT(COLUMN(CK$2)-69,3))*5)+MOD(COLUMN(CK$2),3),1,1),"")</f>
        <v>0</v>
      </c>
      <c r="CL154">
        <f ca="1">IF($AN154="",OFFSET(Demand!$A$13,ROW(V151)-1,4+((QUOTIENT(COLUMN(CL$2)-69,3))*5)+MOD(COLUMN(CL$2),3),1,1),"")</f>
        <v>0</v>
      </c>
      <c r="CM154">
        <f ca="1">IF($AN154="",OFFSET(Demand!$A$13,ROW(W151)-1,4+((QUOTIENT(COLUMN(CM$2)-69,3))*5)+MOD(COLUMN(CM$2),3),1,1),"")</f>
        <v>0</v>
      </c>
      <c r="CN154">
        <f ca="1">IF($AN154="",OFFSET(Demand!$A$13,ROW(X151)-1,4+((QUOTIENT(COLUMN(CN$2)-69,3))*5)+MOD(COLUMN(CN$2),3),1,1),"")</f>
        <v>0</v>
      </c>
      <c r="CO154">
        <f ca="1">IF($AN154="",OFFSET(Demand!$A$13,ROW(Y151)-1,4+((QUOTIENT(COLUMN(CO$2)-69,3))*5)+MOD(COLUMN(CO$2),3),1,1),"")</f>
        <v>0</v>
      </c>
      <c r="CP154">
        <f ca="1">IF($AN154="",OFFSET(Demand!$A$13,ROW(Z151)-1,4+((QUOTIENT(COLUMN(CP$2)-69,3))*5)+MOD(COLUMN(CP$2),3),1,1),"")</f>
        <v>0</v>
      </c>
      <c r="CQ154">
        <f ca="1">IF($AN154="",OFFSET(Demand!$A$13,ROW(AA151)-1,4+((QUOTIENT(COLUMN(CQ$2)-69,3))*5)+MOD(COLUMN(CQ$2),3),1,1),"")</f>
        <v>0</v>
      </c>
      <c r="CR154">
        <f ca="1">IF($AN154="",OFFSET(Demand!$A$13,ROW(AB151)-1,4+((QUOTIENT(COLUMN(CR$2)-69,3))*5)+MOD(COLUMN(CR$2),3),1,1),"")</f>
        <v>0</v>
      </c>
      <c r="CS154">
        <f ca="1">IF($AN154="",OFFSET(Demand!$A$13,ROW(AC151)-1,4+((QUOTIENT(COLUMN(CS$2)-69,3))*5)+MOD(COLUMN(CS$2),3),1,1),"")</f>
        <v>0</v>
      </c>
      <c r="CT154">
        <f ca="1">IF($AN154="",OFFSET(Demand!$A$13,ROW(AD151)-1,4+((QUOTIENT(COLUMN(CT$2)-69,3))*5)+MOD(COLUMN(CT$2),3),1,1),"")</f>
        <v>0</v>
      </c>
      <c r="CW154" s="5">
        <f ca="1">SUM(OFFSET(Demand!$H$43,ROW(A151)-1,(COLUMN(A151)-1)*5,1,1))*N$2</f>
        <v>0</v>
      </c>
      <c r="CX154" s="5">
        <f ca="1">SUM(OFFSET(Demand!$H$43,ROW(B151)-1,(COLUMN(B151)-1)*5,1,1))*O$2</f>
        <v>0</v>
      </c>
      <c r="CY154" s="5">
        <f ca="1">SUM(OFFSET(Demand!$H$43,ROW(C151)-1,(COLUMN(C151)-1)*5,1,1))*P$2</f>
        <v>0</v>
      </c>
      <c r="CZ154" s="5">
        <f ca="1">SUM(OFFSET(Demand!$H$43,ROW(D151)-1,(COLUMN(D151)-1)*5,1,1))*Q$2</f>
        <v>0</v>
      </c>
      <c r="DA154" s="5">
        <f ca="1">SUM(OFFSET(Demand!$H$43,ROW(E151)-1,(COLUMN(E151)-1)*5,1,1))*R$2</f>
        <v>0</v>
      </c>
      <c r="DB154" s="5">
        <f ca="1">SUM(OFFSET(Demand!$H$43,ROW(F151)-1,(COLUMN(F151)-1)*5,1,1))*S$2</f>
        <v>0</v>
      </c>
      <c r="DC154" s="5">
        <f ca="1">SUM(OFFSET(Demand!$H$43,ROW(G151)-1,(COLUMN(G151)-1)*5,1,1))*T$2</f>
        <v>0</v>
      </c>
      <c r="DD154" s="5">
        <f ca="1">SUM(OFFSET(Demand!$H$43,ROW(H151)-1,(COLUMN(H151)-1)*5,1,1))*U$2</f>
        <v>0</v>
      </c>
      <c r="DE154" s="5">
        <f ca="1">SUM(OFFSET(Demand!$H$43,ROW(I151)-1,(COLUMN(I151)-1)*5,1,1))*V$2</f>
        <v>0</v>
      </c>
      <c r="DF154" s="5">
        <f ca="1">SUM(OFFSET(Demand!$H$43,ROW(J151)-1,(COLUMN(J151)-1)*5,1,1))*W$2</f>
        <v>0</v>
      </c>
      <c r="DG154" s="5">
        <f ca="1">IF(OR(AN154&lt;&gt;"",AND('Demand adjustments for Covid'!$F$9="Yes",'Demand adjustments for Covid'!$F$20="Yes")),"",SUM(CW154:DF154))</f>
        <v>0</v>
      </c>
    </row>
    <row r="155" spans="1:111" x14ac:dyDescent="0.25">
      <c r="A155" s="5">
        <f t="shared" ca="1" si="43"/>
        <v>1</v>
      </c>
      <c r="B155" s="5">
        <f ca="1">COUNTBLANK(OFFSET(Demand!$I164,0,(COLUMN(A152)-1)*5,1,1))</f>
        <v>1</v>
      </c>
      <c r="C155" s="5">
        <f ca="1">COUNTBLANK(OFFSET(Demand!$I164,0,(COLUMN(B152)-1)*5,1,1))</f>
        <v>1</v>
      </c>
      <c r="D155" s="5">
        <f ca="1">COUNTBLANK(OFFSET(Demand!$I164,0,(COLUMN(C152)-1)*5,1,1))</f>
        <v>1</v>
      </c>
      <c r="E155" s="5">
        <f ca="1">COUNTBLANK(OFFSET(Demand!$I164,0,(COLUMN(D152)-1)*5,1,1))</f>
        <v>1</v>
      </c>
      <c r="F155" s="5">
        <f ca="1">COUNTBLANK(OFFSET(Demand!$I164,0,(COLUMN(E152)-1)*5,1,1))</f>
        <v>1</v>
      </c>
      <c r="G155" s="5">
        <f ca="1">COUNTBLANK(OFFSET(Demand!$I164,0,(COLUMN(F152)-1)*5,1,1))</f>
        <v>1</v>
      </c>
      <c r="H155" s="5">
        <f ca="1">COUNTBLANK(OFFSET(Demand!$I164,0,(COLUMN(G152)-1)*5,1,1))</f>
        <v>1</v>
      </c>
      <c r="I155" s="5">
        <f ca="1">COUNTBLANK(OFFSET(Demand!$I164,0,(COLUMN(H152)-1)*5,1,1))</f>
        <v>1</v>
      </c>
      <c r="J155" s="5">
        <f ca="1">COUNTBLANK(OFFSET(Demand!$I164,0,(COLUMN(I152)-1)*5,1,1))</f>
        <v>1</v>
      </c>
      <c r="K155" s="5">
        <f ca="1">COUNTBLANK(OFFSET(Demand!$I164,0,(COLUMN(J152)-1)*5,1,1))</f>
        <v>1</v>
      </c>
      <c r="N155" s="5">
        <f ca="1">SUM(OFFSET(Demand!$E164,0,(COLUMN(A152)-1)*5,1,3))*N$2</f>
        <v>0</v>
      </c>
      <c r="O155" s="5">
        <f ca="1">SUM(OFFSET(Demand!$E164,0,(COLUMN(B152)-1)*5,1,3))*O$2</f>
        <v>0</v>
      </c>
      <c r="P155" s="5">
        <f ca="1">SUM(OFFSET(Demand!$E164,0,(COLUMN(C152)-1)*5,1,3))*P$2</f>
        <v>0</v>
      </c>
      <c r="Q155" s="5">
        <f ca="1">SUM(OFFSET(Demand!$E164,0,(COLUMN(D152)-1)*5,1,3))*Q$2</f>
        <v>0</v>
      </c>
      <c r="R155" s="5">
        <f ca="1">SUM(OFFSET(Demand!$E164,0,(COLUMN(E152)-1)*5,1,3))*R$2</f>
        <v>0</v>
      </c>
      <c r="S155" s="5">
        <f ca="1">SUM(OFFSET(Demand!$E164,0,(COLUMN(F152)-1)*5,1,3))*S$2</f>
        <v>0</v>
      </c>
      <c r="T155" s="5">
        <f ca="1">SUM(OFFSET(Demand!$E164,0,(COLUMN(G152)-1)*5,1,3))*T$2</f>
        <v>0</v>
      </c>
      <c r="U155" s="5">
        <f ca="1">SUM(OFFSET(Demand!$E164,0,(COLUMN(H152)-1)*5,1,3))*U$2</f>
        <v>0</v>
      </c>
      <c r="V155" s="5">
        <f ca="1">SUM(OFFSET(Demand!$E164,0,(COLUMN(I152)-1)*5,1,3))*V$2</f>
        <v>0</v>
      </c>
      <c r="W155" s="5">
        <f ca="1">SUM(OFFSET(Demand!$E164,0,(COLUMN(J152)-1)*5,1,3))*W$2</f>
        <v>0</v>
      </c>
      <c r="X155" s="5">
        <f t="shared" ca="1" si="44"/>
        <v>0</v>
      </c>
      <c r="Y155">
        <f t="shared" ca="1" si="45"/>
        <v>0</v>
      </c>
      <c r="Z155" s="5">
        <f ca="1">SUM(OFFSET(Demand!$H164,0,(COLUMN(A152)-1)*5,1,1))*N$2</f>
        <v>0</v>
      </c>
      <c r="AA155" s="5">
        <f ca="1">SUM(OFFSET(Demand!$H164,0,(COLUMN(B152)-1)*5,1,1))*O$2</f>
        <v>0</v>
      </c>
      <c r="AB155" s="5">
        <f ca="1">SUM(OFFSET(Demand!$H164,0,(COLUMN(C152)-1)*5,1,1))*P$2</f>
        <v>0</v>
      </c>
      <c r="AC155" s="5">
        <f ca="1">SUM(OFFSET(Demand!$H164,0,(COLUMN(D152)-1)*5,1,1))*Q$2</f>
        <v>0</v>
      </c>
      <c r="AD155" s="5">
        <f ca="1">SUM(OFFSET(Demand!$H164,0,(COLUMN(E152)-1)*5,1,1))*R$2</f>
        <v>0</v>
      </c>
      <c r="AE155" s="5">
        <f ca="1">SUM(OFFSET(Demand!$H164,0,(COLUMN(F152)-1)*5,1,1))*S$2</f>
        <v>0</v>
      </c>
      <c r="AF155" s="5">
        <f ca="1">SUM(OFFSET(Demand!$H164,0,(COLUMN(G152)-1)*5,1,1))*T$2</f>
        <v>0</v>
      </c>
      <c r="AG155" s="5">
        <f ca="1">SUM(OFFSET(Demand!$H164,0,(COLUMN(H152)-1)*5,1,1))*U$2</f>
        <v>0</v>
      </c>
      <c r="AH155" s="5">
        <f ca="1">SUM(OFFSET(Demand!$H164,0,(COLUMN(I152)-1)*5,1,1))*V$2</f>
        <v>0</v>
      </c>
      <c r="AI155" s="5">
        <f ca="1">SUM(OFFSET(Demand!$H164,0,(COLUMN(J152)-1)*5,1,1))*W$2</f>
        <v>0</v>
      </c>
      <c r="AJ155" s="5">
        <f t="shared" ca="1" si="46"/>
        <v>0</v>
      </c>
      <c r="AL155" s="5">
        <f t="shared" ca="1" si="47"/>
        <v>0</v>
      </c>
      <c r="AM155" s="5">
        <f t="shared" ca="1" si="48"/>
        <v>0</v>
      </c>
      <c r="AN155" s="5" t="str">
        <f>IF(Demand!BE164="Yes","Yes","")</f>
        <v/>
      </c>
      <c r="AP155" s="36" t="str">
        <f ca="1">Demand!B164</f>
        <v xml:space="preserve"> </v>
      </c>
      <c r="AQ155" t="str">
        <f ca="1">IF(TEXT(Demand!D164,"MMM")&lt;&gt;TEXT(Demand!D163,"MMM"),TEXT(Demand!D164,"MMM"),"")</f>
        <v/>
      </c>
      <c r="AT155" s="5">
        <f t="shared" ca="1" si="49"/>
        <v>0</v>
      </c>
      <c r="BQ155">
        <f ca="1">IF($AN155="",OFFSET(Demand!$A$13,ROW(A152)-1,4+((QUOTIENT(COLUMN(BQ$2)-69,3))*5)+MOD(COLUMN(BQ$2),3),1,1),"")</f>
        <v>0</v>
      </c>
      <c r="BR155">
        <f ca="1">IF($AN155="",OFFSET(Demand!$A$13,ROW(B152)-1,4+((QUOTIENT(COLUMN(BR$2)-69,3))*5)+MOD(COLUMN(BR$2),3),1,1),"")</f>
        <v>0</v>
      </c>
      <c r="BS155">
        <f ca="1">IF($AN155="",OFFSET(Demand!$A$13,ROW(C152)-1,4+((QUOTIENT(COLUMN(BS$2)-69,3))*5)+MOD(COLUMN(BS$2),3),1,1),"")</f>
        <v>0</v>
      </c>
      <c r="BT155">
        <f ca="1">IF($AN155="",OFFSET(Demand!$A$13,ROW(D152)-1,4+((QUOTIENT(COLUMN(BT$2)-69,3))*5)+MOD(COLUMN(BT$2),3),1,1),"")</f>
        <v>0</v>
      </c>
      <c r="BU155">
        <f ca="1">IF($AN155="",OFFSET(Demand!$A$13,ROW(E152)-1,4+((QUOTIENT(COLUMN(BU$2)-69,3))*5)+MOD(COLUMN(BU$2),3),1,1),"")</f>
        <v>0</v>
      </c>
      <c r="BV155">
        <f ca="1">IF($AN155="",OFFSET(Demand!$A$13,ROW(F152)-1,4+((QUOTIENT(COLUMN(BV$2)-69,3))*5)+MOD(COLUMN(BV$2),3),1,1),"")</f>
        <v>0</v>
      </c>
      <c r="BW155">
        <f ca="1">IF($AN155="",OFFSET(Demand!$A$13,ROW(G152)-1,4+((QUOTIENT(COLUMN(BW$2)-69,3))*5)+MOD(COLUMN(BW$2),3),1,1),"")</f>
        <v>0</v>
      </c>
      <c r="BX155">
        <f ca="1">IF($AN155="",OFFSET(Demand!$A$13,ROW(H152)-1,4+((QUOTIENT(COLUMN(BX$2)-69,3))*5)+MOD(COLUMN(BX$2),3),1,1),"")</f>
        <v>0</v>
      </c>
      <c r="BY155">
        <f ca="1">IF($AN155="",OFFSET(Demand!$A$13,ROW(I152)-1,4+((QUOTIENT(COLUMN(BY$2)-69,3))*5)+MOD(COLUMN(BY$2),3),1,1),"")</f>
        <v>0</v>
      </c>
      <c r="BZ155">
        <f ca="1">IF($AN155="",OFFSET(Demand!$A$13,ROW(J152)-1,4+((QUOTIENT(COLUMN(BZ$2)-69,3))*5)+MOD(COLUMN(BZ$2),3),1,1),"")</f>
        <v>0</v>
      </c>
      <c r="CA155">
        <f ca="1">IF($AN155="",OFFSET(Demand!$A$13,ROW(K152)-1,4+((QUOTIENT(COLUMN(CA$2)-69,3))*5)+MOD(COLUMN(CA$2),3),1,1),"")</f>
        <v>0</v>
      </c>
      <c r="CB155">
        <f ca="1">IF($AN155="",OFFSET(Demand!$A$13,ROW(L152)-1,4+((QUOTIENT(COLUMN(CB$2)-69,3))*5)+MOD(COLUMN(CB$2),3),1,1),"")</f>
        <v>0</v>
      </c>
      <c r="CC155">
        <f ca="1">IF($AN155="",OFFSET(Demand!$A$13,ROW(M152)-1,4+((QUOTIENT(COLUMN(CC$2)-69,3))*5)+MOD(COLUMN(CC$2),3),1,1),"")</f>
        <v>0</v>
      </c>
      <c r="CD155">
        <f ca="1">IF($AN155="",OFFSET(Demand!$A$13,ROW(N152)-1,4+((QUOTIENT(COLUMN(CD$2)-69,3))*5)+MOD(COLUMN(CD$2),3),1,1),"")</f>
        <v>0</v>
      </c>
      <c r="CE155">
        <f ca="1">IF($AN155="",OFFSET(Demand!$A$13,ROW(O152)-1,4+((QUOTIENT(COLUMN(CE$2)-69,3))*5)+MOD(COLUMN(CE$2),3),1,1),"")</f>
        <v>0</v>
      </c>
      <c r="CF155">
        <f ca="1">IF($AN155="",OFFSET(Demand!$A$13,ROW(P152)-1,4+((QUOTIENT(COLUMN(CF$2)-69,3))*5)+MOD(COLUMN(CF$2),3),1,1),"")</f>
        <v>0</v>
      </c>
      <c r="CG155">
        <f ca="1">IF($AN155="",OFFSET(Demand!$A$13,ROW(Q152)-1,4+((QUOTIENT(COLUMN(CG$2)-69,3))*5)+MOD(COLUMN(CG$2),3),1,1),"")</f>
        <v>0</v>
      </c>
      <c r="CH155">
        <f ca="1">IF($AN155="",OFFSET(Demand!$A$13,ROW(R152)-1,4+((QUOTIENT(COLUMN(CH$2)-69,3))*5)+MOD(COLUMN(CH$2),3),1,1),"")</f>
        <v>0</v>
      </c>
      <c r="CI155">
        <f ca="1">IF($AN155="",OFFSET(Demand!$A$13,ROW(S152)-1,4+((QUOTIENT(COLUMN(CI$2)-69,3))*5)+MOD(COLUMN(CI$2),3),1,1),"")</f>
        <v>0</v>
      </c>
      <c r="CJ155">
        <f ca="1">IF($AN155="",OFFSET(Demand!$A$13,ROW(T152)-1,4+((QUOTIENT(COLUMN(CJ$2)-69,3))*5)+MOD(COLUMN(CJ$2),3),1,1),"")</f>
        <v>0</v>
      </c>
      <c r="CK155">
        <f ca="1">IF($AN155="",OFFSET(Demand!$A$13,ROW(U152)-1,4+((QUOTIENT(COLUMN(CK$2)-69,3))*5)+MOD(COLUMN(CK$2),3),1,1),"")</f>
        <v>0</v>
      </c>
      <c r="CL155">
        <f ca="1">IF($AN155="",OFFSET(Demand!$A$13,ROW(V152)-1,4+((QUOTIENT(COLUMN(CL$2)-69,3))*5)+MOD(COLUMN(CL$2),3),1,1),"")</f>
        <v>0</v>
      </c>
      <c r="CM155">
        <f ca="1">IF($AN155="",OFFSET(Demand!$A$13,ROW(W152)-1,4+((QUOTIENT(COLUMN(CM$2)-69,3))*5)+MOD(COLUMN(CM$2),3),1,1),"")</f>
        <v>0</v>
      </c>
      <c r="CN155">
        <f ca="1">IF($AN155="",OFFSET(Demand!$A$13,ROW(X152)-1,4+((QUOTIENT(COLUMN(CN$2)-69,3))*5)+MOD(COLUMN(CN$2),3),1,1),"")</f>
        <v>0</v>
      </c>
      <c r="CO155">
        <f ca="1">IF($AN155="",OFFSET(Demand!$A$13,ROW(Y152)-1,4+((QUOTIENT(COLUMN(CO$2)-69,3))*5)+MOD(COLUMN(CO$2),3),1,1),"")</f>
        <v>0</v>
      </c>
      <c r="CP155">
        <f ca="1">IF($AN155="",OFFSET(Demand!$A$13,ROW(Z152)-1,4+((QUOTIENT(COLUMN(CP$2)-69,3))*5)+MOD(COLUMN(CP$2),3),1,1),"")</f>
        <v>0</v>
      </c>
      <c r="CQ155">
        <f ca="1">IF($AN155="",OFFSET(Demand!$A$13,ROW(AA152)-1,4+((QUOTIENT(COLUMN(CQ$2)-69,3))*5)+MOD(COLUMN(CQ$2),3),1,1),"")</f>
        <v>0</v>
      </c>
      <c r="CR155">
        <f ca="1">IF($AN155="",OFFSET(Demand!$A$13,ROW(AB152)-1,4+((QUOTIENT(COLUMN(CR$2)-69,3))*5)+MOD(COLUMN(CR$2),3),1,1),"")</f>
        <v>0</v>
      </c>
      <c r="CS155">
        <f ca="1">IF($AN155="",OFFSET(Demand!$A$13,ROW(AC152)-1,4+((QUOTIENT(COLUMN(CS$2)-69,3))*5)+MOD(COLUMN(CS$2),3),1,1),"")</f>
        <v>0</v>
      </c>
      <c r="CT155">
        <f ca="1">IF($AN155="",OFFSET(Demand!$A$13,ROW(AD152)-1,4+((QUOTIENT(COLUMN(CT$2)-69,3))*5)+MOD(COLUMN(CT$2),3),1,1),"")</f>
        <v>0</v>
      </c>
      <c r="CW155" s="5">
        <f ca="1">SUM(OFFSET(Demand!$H$43,ROW(A152)-1,(COLUMN(A152)-1)*5,1,1))*N$2</f>
        <v>0</v>
      </c>
      <c r="CX155" s="5">
        <f ca="1">SUM(OFFSET(Demand!$H$43,ROW(B152)-1,(COLUMN(B152)-1)*5,1,1))*O$2</f>
        <v>0</v>
      </c>
      <c r="CY155" s="5">
        <f ca="1">SUM(OFFSET(Demand!$H$43,ROW(C152)-1,(COLUMN(C152)-1)*5,1,1))*P$2</f>
        <v>0</v>
      </c>
      <c r="CZ155" s="5">
        <f ca="1">SUM(OFFSET(Demand!$H$43,ROW(D152)-1,(COLUMN(D152)-1)*5,1,1))*Q$2</f>
        <v>0</v>
      </c>
      <c r="DA155" s="5">
        <f ca="1">SUM(OFFSET(Demand!$H$43,ROW(E152)-1,(COLUMN(E152)-1)*5,1,1))*R$2</f>
        <v>0</v>
      </c>
      <c r="DB155" s="5">
        <f ca="1">SUM(OFFSET(Demand!$H$43,ROW(F152)-1,(COLUMN(F152)-1)*5,1,1))*S$2</f>
        <v>0</v>
      </c>
      <c r="DC155" s="5">
        <f ca="1">SUM(OFFSET(Demand!$H$43,ROW(G152)-1,(COLUMN(G152)-1)*5,1,1))*T$2</f>
        <v>0</v>
      </c>
      <c r="DD155" s="5">
        <f ca="1">SUM(OFFSET(Demand!$H$43,ROW(H152)-1,(COLUMN(H152)-1)*5,1,1))*U$2</f>
        <v>0</v>
      </c>
      <c r="DE155" s="5">
        <f ca="1">SUM(OFFSET(Demand!$H$43,ROW(I152)-1,(COLUMN(I152)-1)*5,1,1))*V$2</f>
        <v>0</v>
      </c>
      <c r="DF155" s="5">
        <f ca="1">SUM(OFFSET(Demand!$H$43,ROW(J152)-1,(COLUMN(J152)-1)*5,1,1))*W$2</f>
        <v>0</v>
      </c>
      <c r="DG155" s="5">
        <f ca="1">IF(OR(AN155&lt;&gt;"",AND('Demand adjustments for Covid'!$F$9="Yes",'Demand adjustments for Covid'!$F$20="Yes")),"",SUM(CW155:DF155))</f>
        <v>0</v>
      </c>
    </row>
    <row r="156" spans="1:111" x14ac:dyDescent="0.25">
      <c r="A156" s="5">
        <f t="shared" ca="1" si="43"/>
        <v>1</v>
      </c>
      <c r="B156" s="5">
        <f ca="1">COUNTBLANK(OFFSET(Demand!$I165,0,(COLUMN(A153)-1)*5,1,1))</f>
        <v>1</v>
      </c>
      <c r="C156" s="5">
        <f ca="1">COUNTBLANK(OFFSET(Demand!$I165,0,(COLUMN(B153)-1)*5,1,1))</f>
        <v>1</v>
      </c>
      <c r="D156" s="5">
        <f ca="1">COUNTBLANK(OFFSET(Demand!$I165,0,(COLUMN(C153)-1)*5,1,1))</f>
        <v>1</v>
      </c>
      <c r="E156" s="5">
        <f ca="1">COUNTBLANK(OFFSET(Demand!$I165,0,(COLUMN(D153)-1)*5,1,1))</f>
        <v>1</v>
      </c>
      <c r="F156" s="5">
        <f ca="1">COUNTBLANK(OFFSET(Demand!$I165,0,(COLUMN(E153)-1)*5,1,1))</f>
        <v>1</v>
      </c>
      <c r="G156" s="5">
        <f ca="1">COUNTBLANK(OFFSET(Demand!$I165,0,(COLUMN(F153)-1)*5,1,1))</f>
        <v>1</v>
      </c>
      <c r="H156" s="5">
        <f ca="1">COUNTBLANK(OFFSET(Demand!$I165,0,(COLUMN(G153)-1)*5,1,1))</f>
        <v>1</v>
      </c>
      <c r="I156" s="5">
        <f ca="1">COUNTBLANK(OFFSET(Demand!$I165,0,(COLUMN(H153)-1)*5,1,1))</f>
        <v>1</v>
      </c>
      <c r="J156" s="5">
        <f ca="1">COUNTBLANK(OFFSET(Demand!$I165,0,(COLUMN(I153)-1)*5,1,1))</f>
        <v>1</v>
      </c>
      <c r="K156" s="5">
        <f ca="1">COUNTBLANK(OFFSET(Demand!$I165,0,(COLUMN(J153)-1)*5,1,1))</f>
        <v>1</v>
      </c>
      <c r="N156" s="5">
        <f ca="1">SUM(OFFSET(Demand!$E165,0,(COLUMN(A153)-1)*5,1,3))*N$2</f>
        <v>0</v>
      </c>
      <c r="O156" s="5">
        <f ca="1">SUM(OFFSET(Demand!$E165,0,(COLUMN(B153)-1)*5,1,3))*O$2</f>
        <v>0</v>
      </c>
      <c r="P156" s="5">
        <f ca="1">SUM(OFFSET(Demand!$E165,0,(COLUMN(C153)-1)*5,1,3))*P$2</f>
        <v>0</v>
      </c>
      <c r="Q156" s="5">
        <f ca="1">SUM(OFFSET(Demand!$E165,0,(COLUMN(D153)-1)*5,1,3))*Q$2</f>
        <v>0</v>
      </c>
      <c r="R156" s="5">
        <f ca="1">SUM(OFFSET(Demand!$E165,0,(COLUMN(E153)-1)*5,1,3))*R$2</f>
        <v>0</v>
      </c>
      <c r="S156" s="5">
        <f ca="1">SUM(OFFSET(Demand!$E165,0,(COLUMN(F153)-1)*5,1,3))*S$2</f>
        <v>0</v>
      </c>
      <c r="T156" s="5">
        <f ca="1">SUM(OFFSET(Demand!$E165,0,(COLUMN(G153)-1)*5,1,3))*T$2</f>
        <v>0</v>
      </c>
      <c r="U156" s="5">
        <f ca="1">SUM(OFFSET(Demand!$E165,0,(COLUMN(H153)-1)*5,1,3))*U$2</f>
        <v>0</v>
      </c>
      <c r="V156" s="5">
        <f ca="1">SUM(OFFSET(Demand!$E165,0,(COLUMN(I153)-1)*5,1,3))*V$2</f>
        <v>0</v>
      </c>
      <c r="W156" s="5">
        <f ca="1">SUM(OFFSET(Demand!$E165,0,(COLUMN(J153)-1)*5,1,3))*W$2</f>
        <v>0</v>
      </c>
      <c r="X156" s="5">
        <f t="shared" ca="1" si="44"/>
        <v>0</v>
      </c>
      <c r="Y156">
        <f t="shared" ca="1" si="45"/>
        <v>0</v>
      </c>
      <c r="Z156" s="5">
        <f ca="1">SUM(OFFSET(Demand!$H165,0,(COLUMN(A153)-1)*5,1,1))*N$2</f>
        <v>0</v>
      </c>
      <c r="AA156" s="5">
        <f ca="1">SUM(OFFSET(Demand!$H165,0,(COLUMN(B153)-1)*5,1,1))*O$2</f>
        <v>0</v>
      </c>
      <c r="AB156" s="5">
        <f ca="1">SUM(OFFSET(Demand!$H165,0,(COLUMN(C153)-1)*5,1,1))*P$2</f>
        <v>0</v>
      </c>
      <c r="AC156" s="5">
        <f ca="1">SUM(OFFSET(Demand!$H165,0,(COLUMN(D153)-1)*5,1,1))*Q$2</f>
        <v>0</v>
      </c>
      <c r="AD156" s="5">
        <f ca="1">SUM(OFFSET(Demand!$H165,0,(COLUMN(E153)-1)*5,1,1))*R$2</f>
        <v>0</v>
      </c>
      <c r="AE156" s="5">
        <f ca="1">SUM(OFFSET(Demand!$H165,0,(COLUMN(F153)-1)*5,1,1))*S$2</f>
        <v>0</v>
      </c>
      <c r="AF156" s="5">
        <f ca="1">SUM(OFFSET(Demand!$H165,0,(COLUMN(G153)-1)*5,1,1))*T$2</f>
        <v>0</v>
      </c>
      <c r="AG156" s="5">
        <f ca="1">SUM(OFFSET(Demand!$H165,0,(COLUMN(H153)-1)*5,1,1))*U$2</f>
        <v>0</v>
      </c>
      <c r="AH156" s="5">
        <f ca="1">SUM(OFFSET(Demand!$H165,0,(COLUMN(I153)-1)*5,1,1))*V$2</f>
        <v>0</v>
      </c>
      <c r="AI156" s="5">
        <f ca="1">SUM(OFFSET(Demand!$H165,0,(COLUMN(J153)-1)*5,1,1))*W$2</f>
        <v>0</v>
      </c>
      <c r="AJ156" s="5">
        <f t="shared" ca="1" si="46"/>
        <v>0</v>
      </c>
      <c r="AL156" s="5">
        <f t="shared" ca="1" si="47"/>
        <v>0</v>
      </c>
      <c r="AM156" s="5">
        <f t="shared" ca="1" si="48"/>
        <v>0</v>
      </c>
      <c r="AN156" s="5" t="str">
        <f>IF(Demand!BE165="Yes","Yes","")</f>
        <v/>
      </c>
      <c r="AP156" s="36" t="str">
        <f ca="1">Demand!B165</f>
        <v xml:space="preserve"> </v>
      </c>
      <c r="AQ156" t="str">
        <f ca="1">IF(TEXT(Demand!D165,"MMM")&lt;&gt;TEXT(Demand!D164,"MMM"),TEXT(Demand!D165,"MMM"),"")</f>
        <v/>
      </c>
      <c r="AT156" s="5">
        <f t="shared" ca="1" si="49"/>
        <v>0</v>
      </c>
      <c r="BQ156">
        <f ca="1">IF($AN156="",OFFSET(Demand!$A$13,ROW(A153)-1,4+((QUOTIENT(COLUMN(BQ$2)-69,3))*5)+MOD(COLUMN(BQ$2),3),1,1),"")</f>
        <v>0</v>
      </c>
      <c r="BR156">
        <f ca="1">IF($AN156="",OFFSET(Demand!$A$13,ROW(B153)-1,4+((QUOTIENT(COLUMN(BR$2)-69,3))*5)+MOD(COLUMN(BR$2),3),1,1),"")</f>
        <v>0</v>
      </c>
      <c r="BS156">
        <f ca="1">IF($AN156="",OFFSET(Demand!$A$13,ROW(C153)-1,4+((QUOTIENT(COLUMN(BS$2)-69,3))*5)+MOD(COLUMN(BS$2),3),1,1),"")</f>
        <v>0</v>
      </c>
      <c r="BT156">
        <f ca="1">IF($AN156="",OFFSET(Demand!$A$13,ROW(D153)-1,4+((QUOTIENT(COLUMN(BT$2)-69,3))*5)+MOD(COLUMN(BT$2),3),1,1),"")</f>
        <v>0</v>
      </c>
      <c r="BU156">
        <f ca="1">IF($AN156="",OFFSET(Demand!$A$13,ROW(E153)-1,4+((QUOTIENT(COLUMN(BU$2)-69,3))*5)+MOD(COLUMN(BU$2),3),1,1),"")</f>
        <v>0</v>
      </c>
      <c r="BV156">
        <f ca="1">IF($AN156="",OFFSET(Demand!$A$13,ROW(F153)-1,4+((QUOTIENT(COLUMN(BV$2)-69,3))*5)+MOD(COLUMN(BV$2),3),1,1),"")</f>
        <v>0</v>
      </c>
      <c r="BW156">
        <f ca="1">IF($AN156="",OFFSET(Demand!$A$13,ROW(G153)-1,4+((QUOTIENT(COLUMN(BW$2)-69,3))*5)+MOD(COLUMN(BW$2),3),1,1),"")</f>
        <v>0</v>
      </c>
      <c r="BX156">
        <f ca="1">IF($AN156="",OFFSET(Demand!$A$13,ROW(H153)-1,4+((QUOTIENT(COLUMN(BX$2)-69,3))*5)+MOD(COLUMN(BX$2),3),1,1),"")</f>
        <v>0</v>
      </c>
      <c r="BY156">
        <f ca="1">IF($AN156="",OFFSET(Demand!$A$13,ROW(I153)-1,4+((QUOTIENT(COLUMN(BY$2)-69,3))*5)+MOD(COLUMN(BY$2),3),1,1),"")</f>
        <v>0</v>
      </c>
      <c r="BZ156">
        <f ca="1">IF($AN156="",OFFSET(Demand!$A$13,ROW(J153)-1,4+((QUOTIENT(COLUMN(BZ$2)-69,3))*5)+MOD(COLUMN(BZ$2),3),1,1),"")</f>
        <v>0</v>
      </c>
      <c r="CA156">
        <f ca="1">IF($AN156="",OFFSET(Demand!$A$13,ROW(K153)-1,4+((QUOTIENT(COLUMN(CA$2)-69,3))*5)+MOD(COLUMN(CA$2),3),1,1),"")</f>
        <v>0</v>
      </c>
      <c r="CB156">
        <f ca="1">IF($AN156="",OFFSET(Demand!$A$13,ROW(L153)-1,4+((QUOTIENT(COLUMN(CB$2)-69,3))*5)+MOD(COLUMN(CB$2),3),1,1),"")</f>
        <v>0</v>
      </c>
      <c r="CC156">
        <f ca="1">IF($AN156="",OFFSET(Demand!$A$13,ROW(M153)-1,4+((QUOTIENT(COLUMN(CC$2)-69,3))*5)+MOD(COLUMN(CC$2),3),1,1),"")</f>
        <v>0</v>
      </c>
      <c r="CD156">
        <f ca="1">IF($AN156="",OFFSET(Demand!$A$13,ROW(N153)-1,4+((QUOTIENT(COLUMN(CD$2)-69,3))*5)+MOD(COLUMN(CD$2),3),1,1),"")</f>
        <v>0</v>
      </c>
      <c r="CE156">
        <f ca="1">IF($AN156="",OFFSET(Demand!$A$13,ROW(O153)-1,4+((QUOTIENT(COLUMN(CE$2)-69,3))*5)+MOD(COLUMN(CE$2),3),1,1),"")</f>
        <v>0</v>
      </c>
      <c r="CF156">
        <f ca="1">IF($AN156="",OFFSET(Demand!$A$13,ROW(P153)-1,4+((QUOTIENT(COLUMN(CF$2)-69,3))*5)+MOD(COLUMN(CF$2),3),1,1),"")</f>
        <v>0</v>
      </c>
      <c r="CG156">
        <f ca="1">IF($AN156="",OFFSET(Demand!$A$13,ROW(Q153)-1,4+((QUOTIENT(COLUMN(CG$2)-69,3))*5)+MOD(COLUMN(CG$2),3),1,1),"")</f>
        <v>0</v>
      </c>
      <c r="CH156">
        <f ca="1">IF($AN156="",OFFSET(Demand!$A$13,ROW(R153)-1,4+((QUOTIENT(COLUMN(CH$2)-69,3))*5)+MOD(COLUMN(CH$2),3),1,1),"")</f>
        <v>0</v>
      </c>
      <c r="CI156">
        <f ca="1">IF($AN156="",OFFSET(Demand!$A$13,ROW(S153)-1,4+((QUOTIENT(COLUMN(CI$2)-69,3))*5)+MOD(COLUMN(CI$2),3),1,1),"")</f>
        <v>0</v>
      </c>
      <c r="CJ156">
        <f ca="1">IF($AN156="",OFFSET(Demand!$A$13,ROW(T153)-1,4+((QUOTIENT(COLUMN(CJ$2)-69,3))*5)+MOD(COLUMN(CJ$2),3),1,1),"")</f>
        <v>0</v>
      </c>
      <c r="CK156">
        <f ca="1">IF($AN156="",OFFSET(Demand!$A$13,ROW(U153)-1,4+((QUOTIENT(COLUMN(CK$2)-69,3))*5)+MOD(COLUMN(CK$2),3),1,1),"")</f>
        <v>0</v>
      </c>
      <c r="CL156">
        <f ca="1">IF($AN156="",OFFSET(Demand!$A$13,ROW(V153)-1,4+((QUOTIENT(COLUMN(CL$2)-69,3))*5)+MOD(COLUMN(CL$2),3),1,1),"")</f>
        <v>0</v>
      </c>
      <c r="CM156">
        <f ca="1">IF($AN156="",OFFSET(Demand!$A$13,ROW(W153)-1,4+((QUOTIENT(COLUMN(CM$2)-69,3))*5)+MOD(COLUMN(CM$2),3),1,1),"")</f>
        <v>0</v>
      </c>
      <c r="CN156">
        <f ca="1">IF($AN156="",OFFSET(Demand!$A$13,ROW(X153)-1,4+((QUOTIENT(COLUMN(CN$2)-69,3))*5)+MOD(COLUMN(CN$2),3),1,1),"")</f>
        <v>0</v>
      </c>
      <c r="CO156">
        <f ca="1">IF($AN156="",OFFSET(Demand!$A$13,ROW(Y153)-1,4+((QUOTIENT(COLUMN(CO$2)-69,3))*5)+MOD(COLUMN(CO$2),3),1,1),"")</f>
        <v>0</v>
      </c>
      <c r="CP156">
        <f ca="1">IF($AN156="",OFFSET(Demand!$A$13,ROW(Z153)-1,4+((QUOTIENT(COLUMN(CP$2)-69,3))*5)+MOD(COLUMN(CP$2),3),1,1),"")</f>
        <v>0</v>
      </c>
      <c r="CQ156">
        <f ca="1">IF($AN156="",OFFSET(Demand!$A$13,ROW(AA153)-1,4+((QUOTIENT(COLUMN(CQ$2)-69,3))*5)+MOD(COLUMN(CQ$2),3),1,1),"")</f>
        <v>0</v>
      </c>
      <c r="CR156">
        <f ca="1">IF($AN156="",OFFSET(Demand!$A$13,ROW(AB153)-1,4+((QUOTIENT(COLUMN(CR$2)-69,3))*5)+MOD(COLUMN(CR$2),3),1,1),"")</f>
        <v>0</v>
      </c>
      <c r="CS156">
        <f ca="1">IF($AN156="",OFFSET(Demand!$A$13,ROW(AC153)-1,4+((QUOTIENT(COLUMN(CS$2)-69,3))*5)+MOD(COLUMN(CS$2),3),1,1),"")</f>
        <v>0</v>
      </c>
      <c r="CT156">
        <f ca="1">IF($AN156="",OFFSET(Demand!$A$13,ROW(AD153)-1,4+((QUOTIENT(COLUMN(CT$2)-69,3))*5)+MOD(COLUMN(CT$2),3),1,1),"")</f>
        <v>0</v>
      </c>
      <c r="CW156" s="5">
        <f ca="1">SUM(OFFSET(Demand!$H$43,ROW(A153)-1,(COLUMN(A153)-1)*5,1,1))*N$2</f>
        <v>0</v>
      </c>
      <c r="CX156" s="5">
        <f ca="1">SUM(OFFSET(Demand!$H$43,ROW(B153)-1,(COLUMN(B153)-1)*5,1,1))*O$2</f>
        <v>0</v>
      </c>
      <c r="CY156" s="5">
        <f ca="1">SUM(OFFSET(Demand!$H$43,ROW(C153)-1,(COLUMN(C153)-1)*5,1,1))*P$2</f>
        <v>0</v>
      </c>
      <c r="CZ156" s="5">
        <f ca="1">SUM(OFFSET(Demand!$H$43,ROW(D153)-1,(COLUMN(D153)-1)*5,1,1))*Q$2</f>
        <v>0</v>
      </c>
      <c r="DA156" s="5">
        <f ca="1">SUM(OFFSET(Demand!$H$43,ROW(E153)-1,(COLUMN(E153)-1)*5,1,1))*R$2</f>
        <v>0</v>
      </c>
      <c r="DB156" s="5">
        <f ca="1">SUM(OFFSET(Demand!$H$43,ROW(F153)-1,(COLUMN(F153)-1)*5,1,1))*S$2</f>
        <v>0</v>
      </c>
      <c r="DC156" s="5">
        <f ca="1">SUM(OFFSET(Demand!$H$43,ROW(G153)-1,(COLUMN(G153)-1)*5,1,1))*T$2</f>
        <v>0</v>
      </c>
      <c r="DD156" s="5">
        <f ca="1">SUM(OFFSET(Demand!$H$43,ROW(H153)-1,(COLUMN(H153)-1)*5,1,1))*U$2</f>
        <v>0</v>
      </c>
      <c r="DE156" s="5">
        <f ca="1">SUM(OFFSET(Demand!$H$43,ROW(I153)-1,(COLUMN(I153)-1)*5,1,1))*V$2</f>
        <v>0</v>
      </c>
      <c r="DF156" s="5">
        <f ca="1">SUM(OFFSET(Demand!$H$43,ROW(J153)-1,(COLUMN(J153)-1)*5,1,1))*W$2</f>
        <v>0</v>
      </c>
      <c r="DG156" s="5">
        <f ca="1">IF(OR(AN156&lt;&gt;"",AND('Demand adjustments for Covid'!$F$9="Yes",'Demand adjustments for Covid'!$F$20="Yes")),"",SUM(CW156:DF156))</f>
        <v>0</v>
      </c>
    </row>
    <row r="157" spans="1:111" x14ac:dyDescent="0.25">
      <c r="A157" s="5">
        <f t="shared" ca="1" si="43"/>
        <v>1</v>
      </c>
      <c r="B157" s="5">
        <f ca="1">COUNTBLANK(OFFSET(Demand!$I166,0,(COLUMN(A154)-1)*5,1,1))</f>
        <v>1</v>
      </c>
      <c r="C157" s="5">
        <f ca="1">COUNTBLANK(OFFSET(Demand!$I166,0,(COLUMN(B154)-1)*5,1,1))</f>
        <v>1</v>
      </c>
      <c r="D157" s="5">
        <f ca="1">COUNTBLANK(OFFSET(Demand!$I166,0,(COLUMN(C154)-1)*5,1,1))</f>
        <v>1</v>
      </c>
      <c r="E157" s="5">
        <f ca="1">COUNTBLANK(OFFSET(Demand!$I166,0,(COLUMN(D154)-1)*5,1,1))</f>
        <v>1</v>
      </c>
      <c r="F157" s="5">
        <f ca="1">COUNTBLANK(OFFSET(Demand!$I166,0,(COLUMN(E154)-1)*5,1,1))</f>
        <v>1</v>
      </c>
      <c r="G157" s="5">
        <f ca="1">COUNTBLANK(OFFSET(Demand!$I166,0,(COLUMN(F154)-1)*5,1,1))</f>
        <v>1</v>
      </c>
      <c r="H157" s="5">
        <f ca="1">COUNTBLANK(OFFSET(Demand!$I166,0,(COLUMN(G154)-1)*5,1,1))</f>
        <v>1</v>
      </c>
      <c r="I157" s="5">
        <f ca="1">COUNTBLANK(OFFSET(Demand!$I166,0,(COLUMN(H154)-1)*5,1,1))</f>
        <v>1</v>
      </c>
      <c r="J157" s="5">
        <f ca="1">COUNTBLANK(OFFSET(Demand!$I166,0,(COLUMN(I154)-1)*5,1,1))</f>
        <v>1</v>
      </c>
      <c r="K157" s="5">
        <f ca="1">COUNTBLANK(OFFSET(Demand!$I166,0,(COLUMN(J154)-1)*5,1,1))</f>
        <v>1</v>
      </c>
      <c r="N157" s="5">
        <f ca="1">SUM(OFFSET(Demand!$E166,0,(COLUMN(A154)-1)*5,1,3))*N$2</f>
        <v>0</v>
      </c>
      <c r="O157" s="5">
        <f ca="1">SUM(OFFSET(Demand!$E166,0,(COLUMN(B154)-1)*5,1,3))*O$2</f>
        <v>0</v>
      </c>
      <c r="P157" s="5">
        <f ca="1">SUM(OFFSET(Demand!$E166,0,(COLUMN(C154)-1)*5,1,3))*P$2</f>
        <v>0</v>
      </c>
      <c r="Q157" s="5">
        <f ca="1">SUM(OFFSET(Demand!$E166,0,(COLUMN(D154)-1)*5,1,3))*Q$2</f>
        <v>0</v>
      </c>
      <c r="R157" s="5">
        <f ca="1">SUM(OFFSET(Demand!$E166,0,(COLUMN(E154)-1)*5,1,3))*R$2</f>
        <v>0</v>
      </c>
      <c r="S157" s="5">
        <f ca="1">SUM(OFFSET(Demand!$E166,0,(COLUMN(F154)-1)*5,1,3))*S$2</f>
        <v>0</v>
      </c>
      <c r="T157" s="5">
        <f ca="1">SUM(OFFSET(Demand!$E166,0,(COLUMN(G154)-1)*5,1,3))*T$2</f>
        <v>0</v>
      </c>
      <c r="U157" s="5">
        <f ca="1">SUM(OFFSET(Demand!$E166,0,(COLUMN(H154)-1)*5,1,3))*U$2</f>
        <v>0</v>
      </c>
      <c r="V157" s="5">
        <f ca="1">SUM(OFFSET(Demand!$E166,0,(COLUMN(I154)-1)*5,1,3))*V$2</f>
        <v>0</v>
      </c>
      <c r="W157" s="5">
        <f ca="1">SUM(OFFSET(Demand!$E166,0,(COLUMN(J154)-1)*5,1,3))*W$2</f>
        <v>0</v>
      </c>
      <c r="X157" s="5">
        <f t="shared" ca="1" si="44"/>
        <v>0</v>
      </c>
      <c r="Y157">
        <f t="shared" ca="1" si="45"/>
        <v>0</v>
      </c>
      <c r="Z157" s="5">
        <f ca="1">SUM(OFFSET(Demand!$H166,0,(COLUMN(A154)-1)*5,1,1))*N$2</f>
        <v>0</v>
      </c>
      <c r="AA157" s="5">
        <f ca="1">SUM(OFFSET(Demand!$H166,0,(COLUMN(B154)-1)*5,1,1))*O$2</f>
        <v>0</v>
      </c>
      <c r="AB157" s="5">
        <f ca="1">SUM(OFFSET(Demand!$H166,0,(COLUMN(C154)-1)*5,1,1))*P$2</f>
        <v>0</v>
      </c>
      <c r="AC157" s="5">
        <f ca="1">SUM(OFFSET(Demand!$H166,0,(COLUMN(D154)-1)*5,1,1))*Q$2</f>
        <v>0</v>
      </c>
      <c r="AD157" s="5">
        <f ca="1">SUM(OFFSET(Demand!$H166,0,(COLUMN(E154)-1)*5,1,1))*R$2</f>
        <v>0</v>
      </c>
      <c r="AE157" s="5">
        <f ca="1">SUM(OFFSET(Demand!$H166,0,(COLUMN(F154)-1)*5,1,1))*S$2</f>
        <v>0</v>
      </c>
      <c r="AF157" s="5">
        <f ca="1">SUM(OFFSET(Demand!$H166,0,(COLUMN(G154)-1)*5,1,1))*T$2</f>
        <v>0</v>
      </c>
      <c r="AG157" s="5">
        <f ca="1">SUM(OFFSET(Demand!$H166,0,(COLUMN(H154)-1)*5,1,1))*U$2</f>
        <v>0</v>
      </c>
      <c r="AH157" s="5">
        <f ca="1">SUM(OFFSET(Demand!$H166,0,(COLUMN(I154)-1)*5,1,1))*V$2</f>
        <v>0</v>
      </c>
      <c r="AI157" s="5">
        <f ca="1">SUM(OFFSET(Demand!$H166,0,(COLUMN(J154)-1)*5,1,1))*W$2</f>
        <v>0</v>
      </c>
      <c r="AJ157" s="5">
        <f t="shared" ca="1" si="46"/>
        <v>0</v>
      </c>
      <c r="AL157" s="5">
        <f t="shared" ca="1" si="47"/>
        <v>0</v>
      </c>
      <c r="AM157" s="5">
        <f t="shared" ca="1" si="48"/>
        <v>0</v>
      </c>
      <c r="AN157" s="5" t="str">
        <f>IF(Demand!BE166="Yes","Yes","")</f>
        <v/>
      </c>
      <c r="AP157" s="36" t="str">
        <f ca="1">Demand!B166</f>
        <v xml:space="preserve"> </v>
      </c>
      <c r="AQ157" t="str">
        <f ca="1">IF(TEXT(Demand!D166,"MMM")&lt;&gt;TEXT(Demand!D165,"MMM"),TEXT(Demand!D166,"MMM"),"")</f>
        <v/>
      </c>
      <c r="AT157" s="5">
        <f t="shared" ca="1" si="49"/>
        <v>0</v>
      </c>
      <c r="BQ157">
        <f ca="1">IF($AN157="",OFFSET(Demand!$A$13,ROW(A154)-1,4+((QUOTIENT(COLUMN(BQ$2)-69,3))*5)+MOD(COLUMN(BQ$2),3),1,1),"")</f>
        <v>0</v>
      </c>
      <c r="BR157">
        <f ca="1">IF($AN157="",OFFSET(Demand!$A$13,ROW(B154)-1,4+((QUOTIENT(COLUMN(BR$2)-69,3))*5)+MOD(COLUMN(BR$2),3),1,1),"")</f>
        <v>0</v>
      </c>
      <c r="BS157">
        <f ca="1">IF($AN157="",OFFSET(Demand!$A$13,ROW(C154)-1,4+((QUOTIENT(COLUMN(BS$2)-69,3))*5)+MOD(COLUMN(BS$2),3),1,1),"")</f>
        <v>0</v>
      </c>
      <c r="BT157">
        <f ca="1">IF($AN157="",OFFSET(Demand!$A$13,ROW(D154)-1,4+((QUOTIENT(COLUMN(BT$2)-69,3))*5)+MOD(COLUMN(BT$2),3),1,1),"")</f>
        <v>0</v>
      </c>
      <c r="BU157">
        <f ca="1">IF($AN157="",OFFSET(Demand!$A$13,ROW(E154)-1,4+((QUOTIENT(COLUMN(BU$2)-69,3))*5)+MOD(COLUMN(BU$2),3),1,1),"")</f>
        <v>0</v>
      </c>
      <c r="BV157">
        <f ca="1">IF($AN157="",OFFSET(Demand!$A$13,ROW(F154)-1,4+((QUOTIENT(COLUMN(BV$2)-69,3))*5)+MOD(COLUMN(BV$2),3),1,1),"")</f>
        <v>0</v>
      </c>
      <c r="BW157">
        <f ca="1">IF($AN157="",OFFSET(Demand!$A$13,ROW(G154)-1,4+((QUOTIENT(COLUMN(BW$2)-69,3))*5)+MOD(COLUMN(BW$2),3),1,1),"")</f>
        <v>0</v>
      </c>
      <c r="BX157">
        <f ca="1">IF($AN157="",OFFSET(Demand!$A$13,ROW(H154)-1,4+((QUOTIENT(COLUMN(BX$2)-69,3))*5)+MOD(COLUMN(BX$2),3),1,1),"")</f>
        <v>0</v>
      </c>
      <c r="BY157">
        <f ca="1">IF($AN157="",OFFSET(Demand!$A$13,ROW(I154)-1,4+((QUOTIENT(COLUMN(BY$2)-69,3))*5)+MOD(COLUMN(BY$2),3),1,1),"")</f>
        <v>0</v>
      </c>
      <c r="BZ157">
        <f ca="1">IF($AN157="",OFFSET(Demand!$A$13,ROW(J154)-1,4+((QUOTIENT(COLUMN(BZ$2)-69,3))*5)+MOD(COLUMN(BZ$2),3),1,1),"")</f>
        <v>0</v>
      </c>
      <c r="CA157">
        <f ca="1">IF($AN157="",OFFSET(Demand!$A$13,ROW(K154)-1,4+((QUOTIENT(COLUMN(CA$2)-69,3))*5)+MOD(COLUMN(CA$2),3),1,1),"")</f>
        <v>0</v>
      </c>
      <c r="CB157">
        <f ca="1">IF($AN157="",OFFSET(Demand!$A$13,ROW(L154)-1,4+((QUOTIENT(COLUMN(CB$2)-69,3))*5)+MOD(COLUMN(CB$2),3),1,1),"")</f>
        <v>0</v>
      </c>
      <c r="CC157">
        <f ca="1">IF($AN157="",OFFSET(Demand!$A$13,ROW(M154)-1,4+((QUOTIENT(COLUMN(CC$2)-69,3))*5)+MOD(COLUMN(CC$2),3),1,1),"")</f>
        <v>0</v>
      </c>
      <c r="CD157">
        <f ca="1">IF($AN157="",OFFSET(Demand!$A$13,ROW(N154)-1,4+((QUOTIENT(COLUMN(CD$2)-69,3))*5)+MOD(COLUMN(CD$2),3),1,1),"")</f>
        <v>0</v>
      </c>
      <c r="CE157">
        <f ca="1">IF($AN157="",OFFSET(Demand!$A$13,ROW(O154)-1,4+((QUOTIENT(COLUMN(CE$2)-69,3))*5)+MOD(COLUMN(CE$2),3),1,1),"")</f>
        <v>0</v>
      </c>
      <c r="CF157">
        <f ca="1">IF($AN157="",OFFSET(Demand!$A$13,ROW(P154)-1,4+((QUOTIENT(COLUMN(CF$2)-69,3))*5)+MOD(COLUMN(CF$2),3),1,1),"")</f>
        <v>0</v>
      </c>
      <c r="CG157">
        <f ca="1">IF($AN157="",OFFSET(Demand!$A$13,ROW(Q154)-1,4+((QUOTIENT(COLUMN(CG$2)-69,3))*5)+MOD(COLUMN(CG$2),3),1,1),"")</f>
        <v>0</v>
      </c>
      <c r="CH157">
        <f ca="1">IF($AN157="",OFFSET(Demand!$A$13,ROW(R154)-1,4+((QUOTIENT(COLUMN(CH$2)-69,3))*5)+MOD(COLUMN(CH$2),3),1,1),"")</f>
        <v>0</v>
      </c>
      <c r="CI157">
        <f ca="1">IF($AN157="",OFFSET(Demand!$A$13,ROW(S154)-1,4+((QUOTIENT(COLUMN(CI$2)-69,3))*5)+MOD(COLUMN(CI$2),3),1,1),"")</f>
        <v>0</v>
      </c>
      <c r="CJ157">
        <f ca="1">IF($AN157="",OFFSET(Demand!$A$13,ROW(T154)-1,4+((QUOTIENT(COLUMN(CJ$2)-69,3))*5)+MOD(COLUMN(CJ$2),3),1,1),"")</f>
        <v>0</v>
      </c>
      <c r="CK157">
        <f ca="1">IF($AN157="",OFFSET(Demand!$A$13,ROW(U154)-1,4+((QUOTIENT(COLUMN(CK$2)-69,3))*5)+MOD(COLUMN(CK$2),3),1,1),"")</f>
        <v>0</v>
      </c>
      <c r="CL157">
        <f ca="1">IF($AN157="",OFFSET(Demand!$A$13,ROW(V154)-1,4+((QUOTIENT(COLUMN(CL$2)-69,3))*5)+MOD(COLUMN(CL$2),3),1,1),"")</f>
        <v>0</v>
      </c>
      <c r="CM157">
        <f ca="1">IF($AN157="",OFFSET(Demand!$A$13,ROW(W154)-1,4+((QUOTIENT(COLUMN(CM$2)-69,3))*5)+MOD(COLUMN(CM$2),3),1,1),"")</f>
        <v>0</v>
      </c>
      <c r="CN157">
        <f ca="1">IF($AN157="",OFFSET(Demand!$A$13,ROW(X154)-1,4+((QUOTIENT(COLUMN(CN$2)-69,3))*5)+MOD(COLUMN(CN$2),3),1,1),"")</f>
        <v>0</v>
      </c>
      <c r="CO157">
        <f ca="1">IF($AN157="",OFFSET(Demand!$A$13,ROW(Y154)-1,4+((QUOTIENT(COLUMN(CO$2)-69,3))*5)+MOD(COLUMN(CO$2),3),1,1),"")</f>
        <v>0</v>
      </c>
      <c r="CP157">
        <f ca="1">IF($AN157="",OFFSET(Demand!$A$13,ROW(Z154)-1,4+((QUOTIENT(COLUMN(CP$2)-69,3))*5)+MOD(COLUMN(CP$2),3),1,1),"")</f>
        <v>0</v>
      </c>
      <c r="CQ157">
        <f ca="1">IF($AN157="",OFFSET(Demand!$A$13,ROW(AA154)-1,4+((QUOTIENT(COLUMN(CQ$2)-69,3))*5)+MOD(COLUMN(CQ$2),3),1,1),"")</f>
        <v>0</v>
      </c>
      <c r="CR157">
        <f ca="1">IF($AN157="",OFFSET(Demand!$A$13,ROW(AB154)-1,4+((QUOTIENT(COLUMN(CR$2)-69,3))*5)+MOD(COLUMN(CR$2),3),1,1),"")</f>
        <v>0</v>
      </c>
      <c r="CS157">
        <f ca="1">IF($AN157="",OFFSET(Demand!$A$13,ROW(AC154)-1,4+((QUOTIENT(COLUMN(CS$2)-69,3))*5)+MOD(COLUMN(CS$2),3),1,1),"")</f>
        <v>0</v>
      </c>
      <c r="CT157">
        <f ca="1">IF($AN157="",OFFSET(Demand!$A$13,ROW(AD154)-1,4+((QUOTIENT(COLUMN(CT$2)-69,3))*5)+MOD(COLUMN(CT$2),3),1,1),"")</f>
        <v>0</v>
      </c>
      <c r="CW157" s="5">
        <f ca="1">SUM(OFFSET(Demand!$H$43,ROW(A154)-1,(COLUMN(A154)-1)*5,1,1))*N$2</f>
        <v>0</v>
      </c>
      <c r="CX157" s="5">
        <f ca="1">SUM(OFFSET(Demand!$H$43,ROW(B154)-1,(COLUMN(B154)-1)*5,1,1))*O$2</f>
        <v>0</v>
      </c>
      <c r="CY157" s="5">
        <f ca="1">SUM(OFFSET(Demand!$H$43,ROW(C154)-1,(COLUMN(C154)-1)*5,1,1))*P$2</f>
        <v>0</v>
      </c>
      <c r="CZ157" s="5">
        <f ca="1">SUM(OFFSET(Demand!$H$43,ROW(D154)-1,(COLUMN(D154)-1)*5,1,1))*Q$2</f>
        <v>0</v>
      </c>
      <c r="DA157" s="5">
        <f ca="1">SUM(OFFSET(Demand!$H$43,ROW(E154)-1,(COLUMN(E154)-1)*5,1,1))*R$2</f>
        <v>0</v>
      </c>
      <c r="DB157" s="5">
        <f ca="1">SUM(OFFSET(Demand!$H$43,ROW(F154)-1,(COLUMN(F154)-1)*5,1,1))*S$2</f>
        <v>0</v>
      </c>
      <c r="DC157" s="5">
        <f ca="1">SUM(OFFSET(Demand!$H$43,ROW(G154)-1,(COLUMN(G154)-1)*5,1,1))*T$2</f>
        <v>0</v>
      </c>
      <c r="DD157" s="5">
        <f ca="1">SUM(OFFSET(Demand!$H$43,ROW(H154)-1,(COLUMN(H154)-1)*5,1,1))*U$2</f>
        <v>0</v>
      </c>
      <c r="DE157" s="5">
        <f ca="1">SUM(OFFSET(Demand!$H$43,ROW(I154)-1,(COLUMN(I154)-1)*5,1,1))*V$2</f>
        <v>0</v>
      </c>
      <c r="DF157" s="5">
        <f ca="1">SUM(OFFSET(Demand!$H$43,ROW(J154)-1,(COLUMN(J154)-1)*5,1,1))*W$2</f>
        <v>0</v>
      </c>
      <c r="DG157" s="5">
        <f ca="1">IF(OR(AN157&lt;&gt;"",AND('Demand adjustments for Covid'!$F$9="Yes",'Demand adjustments for Covid'!$F$20="Yes")),"",SUM(CW157:DF157))</f>
        <v>0</v>
      </c>
    </row>
    <row r="158" spans="1:111" x14ac:dyDescent="0.25">
      <c r="A158" s="5">
        <f t="shared" ca="1" si="43"/>
        <v>1</v>
      </c>
      <c r="B158" s="5">
        <f ca="1">COUNTBLANK(OFFSET(Demand!$I167,0,(COLUMN(A155)-1)*5,1,1))</f>
        <v>1</v>
      </c>
      <c r="C158" s="5">
        <f ca="1">COUNTBLANK(OFFSET(Demand!$I167,0,(COLUMN(B155)-1)*5,1,1))</f>
        <v>1</v>
      </c>
      <c r="D158" s="5">
        <f ca="1">COUNTBLANK(OFFSET(Demand!$I167,0,(COLUMN(C155)-1)*5,1,1))</f>
        <v>1</v>
      </c>
      <c r="E158" s="5">
        <f ca="1">COUNTBLANK(OFFSET(Demand!$I167,0,(COLUMN(D155)-1)*5,1,1))</f>
        <v>1</v>
      </c>
      <c r="F158" s="5">
        <f ca="1">COUNTBLANK(OFFSET(Demand!$I167,0,(COLUMN(E155)-1)*5,1,1))</f>
        <v>1</v>
      </c>
      <c r="G158" s="5">
        <f ca="1">COUNTBLANK(OFFSET(Demand!$I167,0,(COLUMN(F155)-1)*5,1,1))</f>
        <v>1</v>
      </c>
      <c r="H158" s="5">
        <f ca="1">COUNTBLANK(OFFSET(Demand!$I167,0,(COLUMN(G155)-1)*5,1,1))</f>
        <v>1</v>
      </c>
      <c r="I158" s="5">
        <f ca="1">COUNTBLANK(OFFSET(Demand!$I167,0,(COLUMN(H155)-1)*5,1,1))</f>
        <v>1</v>
      </c>
      <c r="J158" s="5">
        <f ca="1">COUNTBLANK(OFFSET(Demand!$I167,0,(COLUMN(I155)-1)*5,1,1))</f>
        <v>1</v>
      </c>
      <c r="K158" s="5">
        <f ca="1">COUNTBLANK(OFFSET(Demand!$I167,0,(COLUMN(J155)-1)*5,1,1))</f>
        <v>1</v>
      </c>
      <c r="N158" s="5">
        <f ca="1">SUM(OFFSET(Demand!$E167,0,(COLUMN(A155)-1)*5,1,3))*N$2</f>
        <v>0</v>
      </c>
      <c r="O158" s="5">
        <f ca="1">SUM(OFFSET(Demand!$E167,0,(COLUMN(B155)-1)*5,1,3))*O$2</f>
        <v>0</v>
      </c>
      <c r="P158" s="5">
        <f ca="1">SUM(OFFSET(Demand!$E167,0,(COLUMN(C155)-1)*5,1,3))*P$2</f>
        <v>0</v>
      </c>
      <c r="Q158" s="5">
        <f ca="1">SUM(OFFSET(Demand!$E167,0,(COLUMN(D155)-1)*5,1,3))*Q$2</f>
        <v>0</v>
      </c>
      <c r="R158" s="5">
        <f ca="1">SUM(OFFSET(Demand!$E167,0,(COLUMN(E155)-1)*5,1,3))*R$2</f>
        <v>0</v>
      </c>
      <c r="S158" s="5">
        <f ca="1">SUM(OFFSET(Demand!$E167,0,(COLUMN(F155)-1)*5,1,3))*S$2</f>
        <v>0</v>
      </c>
      <c r="T158" s="5">
        <f ca="1">SUM(OFFSET(Demand!$E167,0,(COLUMN(G155)-1)*5,1,3))*T$2</f>
        <v>0</v>
      </c>
      <c r="U158" s="5">
        <f ca="1">SUM(OFFSET(Demand!$E167,0,(COLUMN(H155)-1)*5,1,3))*U$2</f>
        <v>0</v>
      </c>
      <c r="V158" s="5">
        <f ca="1">SUM(OFFSET(Demand!$E167,0,(COLUMN(I155)-1)*5,1,3))*V$2</f>
        <v>0</v>
      </c>
      <c r="W158" s="5">
        <f ca="1">SUM(OFFSET(Demand!$E167,0,(COLUMN(J155)-1)*5,1,3))*W$2</f>
        <v>0</v>
      </c>
      <c r="X158" s="5">
        <f t="shared" ca="1" si="44"/>
        <v>0</v>
      </c>
      <c r="Y158">
        <f t="shared" ca="1" si="45"/>
        <v>0</v>
      </c>
      <c r="Z158" s="5">
        <f ca="1">SUM(OFFSET(Demand!$H167,0,(COLUMN(A155)-1)*5,1,1))*N$2</f>
        <v>0</v>
      </c>
      <c r="AA158" s="5">
        <f ca="1">SUM(OFFSET(Demand!$H167,0,(COLUMN(B155)-1)*5,1,1))*O$2</f>
        <v>0</v>
      </c>
      <c r="AB158" s="5">
        <f ca="1">SUM(OFFSET(Demand!$H167,0,(COLUMN(C155)-1)*5,1,1))*P$2</f>
        <v>0</v>
      </c>
      <c r="AC158" s="5">
        <f ca="1">SUM(OFFSET(Demand!$H167,0,(COLUMN(D155)-1)*5,1,1))*Q$2</f>
        <v>0</v>
      </c>
      <c r="AD158" s="5">
        <f ca="1">SUM(OFFSET(Demand!$H167,0,(COLUMN(E155)-1)*5,1,1))*R$2</f>
        <v>0</v>
      </c>
      <c r="AE158" s="5">
        <f ca="1">SUM(OFFSET(Demand!$H167,0,(COLUMN(F155)-1)*5,1,1))*S$2</f>
        <v>0</v>
      </c>
      <c r="AF158" s="5">
        <f ca="1">SUM(OFFSET(Demand!$H167,0,(COLUMN(G155)-1)*5,1,1))*T$2</f>
        <v>0</v>
      </c>
      <c r="AG158" s="5">
        <f ca="1">SUM(OFFSET(Demand!$H167,0,(COLUMN(H155)-1)*5,1,1))*U$2</f>
        <v>0</v>
      </c>
      <c r="AH158" s="5">
        <f ca="1">SUM(OFFSET(Demand!$H167,0,(COLUMN(I155)-1)*5,1,1))*V$2</f>
        <v>0</v>
      </c>
      <c r="AI158" s="5">
        <f ca="1">SUM(OFFSET(Demand!$H167,0,(COLUMN(J155)-1)*5,1,1))*W$2</f>
        <v>0</v>
      </c>
      <c r="AJ158" s="5">
        <f t="shared" ca="1" si="46"/>
        <v>0</v>
      </c>
      <c r="AL158" s="5">
        <f t="shared" ca="1" si="47"/>
        <v>0</v>
      </c>
      <c r="AM158" s="5">
        <f t="shared" ca="1" si="48"/>
        <v>0</v>
      </c>
      <c r="AN158" s="5" t="str">
        <f>IF(Demand!BE167="Yes","Yes","")</f>
        <v/>
      </c>
      <c r="AP158" s="36" t="str">
        <f ca="1">Demand!B167</f>
        <v xml:space="preserve"> </v>
      </c>
      <c r="AQ158" t="str">
        <f ca="1">IF(TEXT(Demand!D167,"MMM")&lt;&gt;TEXT(Demand!D166,"MMM"),TEXT(Demand!D167,"MMM"),"")</f>
        <v/>
      </c>
      <c r="AT158" s="5">
        <f t="shared" ca="1" si="49"/>
        <v>0</v>
      </c>
      <c r="BQ158">
        <f ca="1">IF($AN158="",OFFSET(Demand!$A$13,ROW(A155)-1,4+((QUOTIENT(COLUMN(BQ$2)-69,3))*5)+MOD(COLUMN(BQ$2),3),1,1),"")</f>
        <v>0</v>
      </c>
      <c r="BR158">
        <f ca="1">IF($AN158="",OFFSET(Demand!$A$13,ROW(B155)-1,4+((QUOTIENT(COLUMN(BR$2)-69,3))*5)+MOD(COLUMN(BR$2),3),1,1),"")</f>
        <v>0</v>
      </c>
      <c r="BS158">
        <f ca="1">IF($AN158="",OFFSET(Demand!$A$13,ROW(C155)-1,4+((QUOTIENT(COLUMN(BS$2)-69,3))*5)+MOD(COLUMN(BS$2),3),1,1),"")</f>
        <v>0</v>
      </c>
      <c r="BT158">
        <f ca="1">IF($AN158="",OFFSET(Demand!$A$13,ROW(D155)-1,4+((QUOTIENT(COLUMN(BT$2)-69,3))*5)+MOD(COLUMN(BT$2),3),1,1),"")</f>
        <v>0</v>
      </c>
      <c r="BU158">
        <f ca="1">IF($AN158="",OFFSET(Demand!$A$13,ROW(E155)-1,4+((QUOTIENT(COLUMN(BU$2)-69,3))*5)+MOD(COLUMN(BU$2),3),1,1),"")</f>
        <v>0</v>
      </c>
      <c r="BV158">
        <f ca="1">IF($AN158="",OFFSET(Demand!$A$13,ROW(F155)-1,4+((QUOTIENT(COLUMN(BV$2)-69,3))*5)+MOD(COLUMN(BV$2),3),1,1),"")</f>
        <v>0</v>
      </c>
      <c r="BW158">
        <f ca="1">IF($AN158="",OFFSET(Demand!$A$13,ROW(G155)-1,4+((QUOTIENT(COLUMN(BW$2)-69,3))*5)+MOD(COLUMN(BW$2),3),1,1),"")</f>
        <v>0</v>
      </c>
      <c r="BX158">
        <f ca="1">IF($AN158="",OFFSET(Demand!$A$13,ROW(H155)-1,4+((QUOTIENT(COLUMN(BX$2)-69,3))*5)+MOD(COLUMN(BX$2),3),1,1),"")</f>
        <v>0</v>
      </c>
      <c r="BY158">
        <f ca="1">IF($AN158="",OFFSET(Demand!$A$13,ROW(I155)-1,4+((QUOTIENT(COLUMN(BY$2)-69,3))*5)+MOD(COLUMN(BY$2),3),1,1),"")</f>
        <v>0</v>
      </c>
      <c r="BZ158">
        <f ca="1">IF($AN158="",OFFSET(Demand!$A$13,ROW(J155)-1,4+((QUOTIENT(COLUMN(BZ$2)-69,3))*5)+MOD(COLUMN(BZ$2),3),1,1),"")</f>
        <v>0</v>
      </c>
      <c r="CA158">
        <f ca="1">IF($AN158="",OFFSET(Demand!$A$13,ROW(K155)-1,4+((QUOTIENT(COLUMN(CA$2)-69,3))*5)+MOD(COLUMN(CA$2),3),1,1),"")</f>
        <v>0</v>
      </c>
      <c r="CB158">
        <f ca="1">IF($AN158="",OFFSET(Demand!$A$13,ROW(L155)-1,4+((QUOTIENT(COLUMN(CB$2)-69,3))*5)+MOD(COLUMN(CB$2),3),1,1),"")</f>
        <v>0</v>
      </c>
      <c r="CC158">
        <f ca="1">IF($AN158="",OFFSET(Demand!$A$13,ROW(M155)-1,4+((QUOTIENT(COLUMN(CC$2)-69,3))*5)+MOD(COLUMN(CC$2),3),1,1),"")</f>
        <v>0</v>
      </c>
      <c r="CD158">
        <f ca="1">IF($AN158="",OFFSET(Demand!$A$13,ROW(N155)-1,4+((QUOTIENT(COLUMN(CD$2)-69,3))*5)+MOD(COLUMN(CD$2),3),1,1),"")</f>
        <v>0</v>
      </c>
      <c r="CE158">
        <f ca="1">IF($AN158="",OFFSET(Demand!$A$13,ROW(O155)-1,4+((QUOTIENT(COLUMN(CE$2)-69,3))*5)+MOD(COLUMN(CE$2),3),1,1),"")</f>
        <v>0</v>
      </c>
      <c r="CF158">
        <f ca="1">IF($AN158="",OFFSET(Demand!$A$13,ROW(P155)-1,4+((QUOTIENT(COLUMN(CF$2)-69,3))*5)+MOD(COLUMN(CF$2),3),1,1),"")</f>
        <v>0</v>
      </c>
      <c r="CG158">
        <f ca="1">IF($AN158="",OFFSET(Demand!$A$13,ROW(Q155)-1,4+((QUOTIENT(COLUMN(CG$2)-69,3))*5)+MOD(COLUMN(CG$2),3),1,1),"")</f>
        <v>0</v>
      </c>
      <c r="CH158">
        <f ca="1">IF($AN158="",OFFSET(Demand!$A$13,ROW(R155)-1,4+((QUOTIENT(COLUMN(CH$2)-69,3))*5)+MOD(COLUMN(CH$2),3),1,1),"")</f>
        <v>0</v>
      </c>
      <c r="CI158">
        <f ca="1">IF($AN158="",OFFSET(Demand!$A$13,ROW(S155)-1,4+((QUOTIENT(COLUMN(CI$2)-69,3))*5)+MOD(COLUMN(CI$2),3),1,1),"")</f>
        <v>0</v>
      </c>
      <c r="CJ158">
        <f ca="1">IF($AN158="",OFFSET(Demand!$A$13,ROW(T155)-1,4+((QUOTIENT(COLUMN(CJ$2)-69,3))*5)+MOD(COLUMN(CJ$2),3),1,1),"")</f>
        <v>0</v>
      </c>
      <c r="CK158">
        <f ca="1">IF($AN158="",OFFSET(Demand!$A$13,ROW(U155)-1,4+((QUOTIENT(COLUMN(CK$2)-69,3))*5)+MOD(COLUMN(CK$2),3),1,1),"")</f>
        <v>0</v>
      </c>
      <c r="CL158">
        <f ca="1">IF($AN158="",OFFSET(Demand!$A$13,ROW(V155)-1,4+((QUOTIENT(COLUMN(CL$2)-69,3))*5)+MOD(COLUMN(CL$2),3),1,1),"")</f>
        <v>0</v>
      </c>
      <c r="CM158">
        <f ca="1">IF($AN158="",OFFSET(Demand!$A$13,ROW(W155)-1,4+((QUOTIENT(COLUMN(CM$2)-69,3))*5)+MOD(COLUMN(CM$2),3),1,1),"")</f>
        <v>0</v>
      </c>
      <c r="CN158">
        <f ca="1">IF($AN158="",OFFSET(Demand!$A$13,ROW(X155)-1,4+((QUOTIENT(COLUMN(CN$2)-69,3))*5)+MOD(COLUMN(CN$2),3),1,1),"")</f>
        <v>0</v>
      </c>
      <c r="CO158">
        <f ca="1">IF($AN158="",OFFSET(Demand!$A$13,ROW(Y155)-1,4+((QUOTIENT(COLUMN(CO$2)-69,3))*5)+MOD(COLUMN(CO$2),3),1,1),"")</f>
        <v>0</v>
      </c>
      <c r="CP158">
        <f ca="1">IF($AN158="",OFFSET(Demand!$A$13,ROW(Z155)-1,4+((QUOTIENT(COLUMN(CP$2)-69,3))*5)+MOD(COLUMN(CP$2),3),1,1),"")</f>
        <v>0</v>
      </c>
      <c r="CQ158">
        <f ca="1">IF($AN158="",OFFSET(Demand!$A$13,ROW(AA155)-1,4+((QUOTIENT(COLUMN(CQ$2)-69,3))*5)+MOD(COLUMN(CQ$2),3),1,1),"")</f>
        <v>0</v>
      </c>
      <c r="CR158">
        <f ca="1">IF($AN158="",OFFSET(Demand!$A$13,ROW(AB155)-1,4+((QUOTIENT(COLUMN(CR$2)-69,3))*5)+MOD(COLUMN(CR$2),3),1,1),"")</f>
        <v>0</v>
      </c>
      <c r="CS158">
        <f ca="1">IF($AN158="",OFFSET(Demand!$A$13,ROW(AC155)-1,4+((QUOTIENT(COLUMN(CS$2)-69,3))*5)+MOD(COLUMN(CS$2),3),1,1),"")</f>
        <v>0</v>
      </c>
      <c r="CT158">
        <f ca="1">IF($AN158="",OFFSET(Demand!$A$13,ROW(AD155)-1,4+((QUOTIENT(COLUMN(CT$2)-69,3))*5)+MOD(COLUMN(CT$2),3),1,1),"")</f>
        <v>0</v>
      </c>
      <c r="CW158" s="5">
        <f ca="1">SUM(OFFSET(Demand!$H$43,ROW(A155)-1,(COLUMN(A155)-1)*5,1,1))*N$2</f>
        <v>0</v>
      </c>
      <c r="CX158" s="5">
        <f ca="1">SUM(OFFSET(Demand!$H$43,ROW(B155)-1,(COLUMN(B155)-1)*5,1,1))*O$2</f>
        <v>0</v>
      </c>
      <c r="CY158" s="5">
        <f ca="1">SUM(OFFSET(Demand!$H$43,ROW(C155)-1,(COLUMN(C155)-1)*5,1,1))*P$2</f>
        <v>0</v>
      </c>
      <c r="CZ158" s="5">
        <f ca="1">SUM(OFFSET(Demand!$H$43,ROW(D155)-1,(COLUMN(D155)-1)*5,1,1))*Q$2</f>
        <v>0</v>
      </c>
      <c r="DA158" s="5">
        <f ca="1">SUM(OFFSET(Demand!$H$43,ROW(E155)-1,(COLUMN(E155)-1)*5,1,1))*R$2</f>
        <v>0</v>
      </c>
      <c r="DB158" s="5">
        <f ca="1">SUM(OFFSET(Demand!$H$43,ROW(F155)-1,(COLUMN(F155)-1)*5,1,1))*S$2</f>
        <v>0</v>
      </c>
      <c r="DC158" s="5">
        <f ca="1">SUM(OFFSET(Demand!$H$43,ROW(G155)-1,(COLUMN(G155)-1)*5,1,1))*T$2</f>
        <v>0</v>
      </c>
      <c r="DD158" s="5">
        <f ca="1">SUM(OFFSET(Demand!$H$43,ROW(H155)-1,(COLUMN(H155)-1)*5,1,1))*U$2</f>
        <v>0</v>
      </c>
      <c r="DE158" s="5">
        <f ca="1">SUM(OFFSET(Demand!$H$43,ROW(I155)-1,(COLUMN(I155)-1)*5,1,1))*V$2</f>
        <v>0</v>
      </c>
      <c r="DF158" s="5">
        <f ca="1">SUM(OFFSET(Demand!$H$43,ROW(J155)-1,(COLUMN(J155)-1)*5,1,1))*W$2</f>
        <v>0</v>
      </c>
      <c r="DG158" s="5">
        <f ca="1">IF(OR(AN158&lt;&gt;"",AND('Demand adjustments for Covid'!$F$9="Yes",'Demand adjustments for Covid'!$F$20="Yes")),"",SUM(CW158:DF158))</f>
        <v>0</v>
      </c>
    </row>
    <row r="159" spans="1:111" x14ac:dyDescent="0.25">
      <c r="A159" s="5">
        <f t="shared" ca="1" si="43"/>
        <v>1</v>
      </c>
      <c r="B159" s="5">
        <f ca="1">COUNTBLANK(OFFSET(Demand!$I168,0,(COLUMN(A156)-1)*5,1,1))</f>
        <v>1</v>
      </c>
      <c r="C159" s="5">
        <f ca="1">COUNTBLANK(OFFSET(Demand!$I168,0,(COLUMN(B156)-1)*5,1,1))</f>
        <v>1</v>
      </c>
      <c r="D159" s="5">
        <f ca="1">COUNTBLANK(OFFSET(Demand!$I168,0,(COLUMN(C156)-1)*5,1,1))</f>
        <v>1</v>
      </c>
      <c r="E159" s="5">
        <f ca="1">COUNTBLANK(OFFSET(Demand!$I168,0,(COLUMN(D156)-1)*5,1,1))</f>
        <v>1</v>
      </c>
      <c r="F159" s="5">
        <f ca="1">COUNTBLANK(OFFSET(Demand!$I168,0,(COLUMN(E156)-1)*5,1,1))</f>
        <v>1</v>
      </c>
      <c r="G159" s="5">
        <f ca="1">COUNTBLANK(OFFSET(Demand!$I168,0,(COLUMN(F156)-1)*5,1,1))</f>
        <v>1</v>
      </c>
      <c r="H159" s="5">
        <f ca="1">COUNTBLANK(OFFSET(Demand!$I168,0,(COLUMN(G156)-1)*5,1,1))</f>
        <v>1</v>
      </c>
      <c r="I159" s="5">
        <f ca="1">COUNTBLANK(OFFSET(Demand!$I168,0,(COLUMN(H156)-1)*5,1,1))</f>
        <v>1</v>
      </c>
      <c r="J159" s="5">
        <f ca="1">COUNTBLANK(OFFSET(Demand!$I168,0,(COLUMN(I156)-1)*5,1,1))</f>
        <v>1</v>
      </c>
      <c r="K159" s="5">
        <f ca="1">COUNTBLANK(OFFSET(Demand!$I168,0,(COLUMN(J156)-1)*5,1,1))</f>
        <v>1</v>
      </c>
      <c r="N159" s="5">
        <f ca="1">SUM(OFFSET(Demand!$E168,0,(COLUMN(A156)-1)*5,1,3))*N$2</f>
        <v>0</v>
      </c>
      <c r="O159" s="5">
        <f ca="1">SUM(OFFSET(Demand!$E168,0,(COLUMN(B156)-1)*5,1,3))*O$2</f>
        <v>0</v>
      </c>
      <c r="P159" s="5">
        <f ca="1">SUM(OFFSET(Demand!$E168,0,(COLUMN(C156)-1)*5,1,3))*P$2</f>
        <v>0</v>
      </c>
      <c r="Q159" s="5">
        <f ca="1">SUM(OFFSET(Demand!$E168,0,(COLUMN(D156)-1)*5,1,3))*Q$2</f>
        <v>0</v>
      </c>
      <c r="R159" s="5">
        <f ca="1">SUM(OFFSET(Demand!$E168,0,(COLUMN(E156)-1)*5,1,3))*R$2</f>
        <v>0</v>
      </c>
      <c r="S159" s="5">
        <f ca="1">SUM(OFFSET(Demand!$E168,0,(COLUMN(F156)-1)*5,1,3))*S$2</f>
        <v>0</v>
      </c>
      <c r="T159" s="5">
        <f ca="1">SUM(OFFSET(Demand!$E168,0,(COLUMN(G156)-1)*5,1,3))*T$2</f>
        <v>0</v>
      </c>
      <c r="U159" s="5">
        <f ca="1">SUM(OFFSET(Demand!$E168,0,(COLUMN(H156)-1)*5,1,3))*U$2</f>
        <v>0</v>
      </c>
      <c r="V159" s="5">
        <f ca="1">SUM(OFFSET(Demand!$E168,0,(COLUMN(I156)-1)*5,1,3))*V$2</f>
        <v>0</v>
      </c>
      <c r="W159" s="5">
        <f ca="1">SUM(OFFSET(Demand!$E168,0,(COLUMN(J156)-1)*5,1,3))*W$2</f>
        <v>0</v>
      </c>
      <c r="X159" s="5">
        <f t="shared" ca="1" si="44"/>
        <v>0</v>
      </c>
      <c r="Y159">
        <f t="shared" ca="1" si="45"/>
        <v>0</v>
      </c>
      <c r="Z159" s="5">
        <f ca="1">SUM(OFFSET(Demand!$H168,0,(COLUMN(A156)-1)*5,1,1))*N$2</f>
        <v>0</v>
      </c>
      <c r="AA159" s="5">
        <f ca="1">SUM(OFFSET(Demand!$H168,0,(COLUMN(B156)-1)*5,1,1))*O$2</f>
        <v>0</v>
      </c>
      <c r="AB159" s="5">
        <f ca="1">SUM(OFFSET(Demand!$H168,0,(COLUMN(C156)-1)*5,1,1))*P$2</f>
        <v>0</v>
      </c>
      <c r="AC159" s="5">
        <f ca="1">SUM(OFFSET(Demand!$H168,0,(COLUMN(D156)-1)*5,1,1))*Q$2</f>
        <v>0</v>
      </c>
      <c r="AD159" s="5">
        <f ca="1">SUM(OFFSET(Demand!$H168,0,(COLUMN(E156)-1)*5,1,1))*R$2</f>
        <v>0</v>
      </c>
      <c r="AE159" s="5">
        <f ca="1">SUM(OFFSET(Demand!$H168,0,(COLUMN(F156)-1)*5,1,1))*S$2</f>
        <v>0</v>
      </c>
      <c r="AF159" s="5">
        <f ca="1">SUM(OFFSET(Demand!$H168,0,(COLUMN(G156)-1)*5,1,1))*T$2</f>
        <v>0</v>
      </c>
      <c r="AG159" s="5">
        <f ca="1">SUM(OFFSET(Demand!$H168,0,(COLUMN(H156)-1)*5,1,1))*U$2</f>
        <v>0</v>
      </c>
      <c r="AH159" s="5">
        <f ca="1">SUM(OFFSET(Demand!$H168,0,(COLUMN(I156)-1)*5,1,1))*V$2</f>
        <v>0</v>
      </c>
      <c r="AI159" s="5">
        <f ca="1">SUM(OFFSET(Demand!$H168,0,(COLUMN(J156)-1)*5,1,1))*W$2</f>
        <v>0</v>
      </c>
      <c r="AJ159" s="5">
        <f t="shared" ca="1" si="46"/>
        <v>0</v>
      </c>
      <c r="AL159" s="5">
        <f t="shared" ca="1" si="47"/>
        <v>0</v>
      </c>
      <c r="AM159" s="5">
        <f t="shared" ca="1" si="48"/>
        <v>0</v>
      </c>
      <c r="AN159" s="5" t="str">
        <f>IF(Demand!BE168="Yes","Yes","")</f>
        <v/>
      </c>
      <c r="AP159" s="36" t="str">
        <f ca="1">Demand!B168</f>
        <v xml:space="preserve"> </v>
      </c>
      <c r="AQ159" t="str">
        <f ca="1">IF(TEXT(Demand!D168,"MMM")&lt;&gt;TEXT(Demand!D167,"MMM"),TEXT(Demand!D168,"MMM"),"")</f>
        <v/>
      </c>
      <c r="AT159" s="5">
        <f t="shared" ca="1" si="49"/>
        <v>0</v>
      </c>
      <c r="BQ159">
        <f ca="1">IF($AN159="",OFFSET(Demand!$A$13,ROW(A156)-1,4+((QUOTIENT(COLUMN(BQ$2)-69,3))*5)+MOD(COLUMN(BQ$2),3),1,1),"")</f>
        <v>0</v>
      </c>
      <c r="BR159">
        <f ca="1">IF($AN159="",OFFSET(Demand!$A$13,ROW(B156)-1,4+((QUOTIENT(COLUMN(BR$2)-69,3))*5)+MOD(COLUMN(BR$2),3),1,1),"")</f>
        <v>0</v>
      </c>
      <c r="BS159">
        <f ca="1">IF($AN159="",OFFSET(Demand!$A$13,ROW(C156)-1,4+((QUOTIENT(COLUMN(BS$2)-69,3))*5)+MOD(COLUMN(BS$2),3),1,1),"")</f>
        <v>0</v>
      </c>
      <c r="BT159">
        <f ca="1">IF($AN159="",OFFSET(Demand!$A$13,ROW(D156)-1,4+((QUOTIENT(COLUMN(BT$2)-69,3))*5)+MOD(COLUMN(BT$2),3),1,1),"")</f>
        <v>0</v>
      </c>
      <c r="BU159">
        <f ca="1">IF($AN159="",OFFSET(Demand!$A$13,ROW(E156)-1,4+((QUOTIENT(COLUMN(BU$2)-69,3))*5)+MOD(COLUMN(BU$2),3),1,1),"")</f>
        <v>0</v>
      </c>
      <c r="BV159">
        <f ca="1">IF($AN159="",OFFSET(Demand!$A$13,ROW(F156)-1,4+((QUOTIENT(COLUMN(BV$2)-69,3))*5)+MOD(COLUMN(BV$2),3),1,1),"")</f>
        <v>0</v>
      </c>
      <c r="BW159">
        <f ca="1">IF($AN159="",OFFSET(Demand!$A$13,ROW(G156)-1,4+((QUOTIENT(COLUMN(BW$2)-69,3))*5)+MOD(COLUMN(BW$2),3),1,1),"")</f>
        <v>0</v>
      </c>
      <c r="BX159">
        <f ca="1">IF($AN159="",OFFSET(Demand!$A$13,ROW(H156)-1,4+((QUOTIENT(COLUMN(BX$2)-69,3))*5)+MOD(COLUMN(BX$2),3),1,1),"")</f>
        <v>0</v>
      </c>
      <c r="BY159">
        <f ca="1">IF($AN159="",OFFSET(Demand!$A$13,ROW(I156)-1,4+((QUOTIENT(COLUMN(BY$2)-69,3))*5)+MOD(COLUMN(BY$2),3),1,1),"")</f>
        <v>0</v>
      </c>
      <c r="BZ159">
        <f ca="1">IF($AN159="",OFFSET(Demand!$A$13,ROW(J156)-1,4+((QUOTIENT(COLUMN(BZ$2)-69,3))*5)+MOD(COLUMN(BZ$2),3),1,1),"")</f>
        <v>0</v>
      </c>
      <c r="CA159">
        <f ca="1">IF($AN159="",OFFSET(Demand!$A$13,ROW(K156)-1,4+((QUOTIENT(COLUMN(CA$2)-69,3))*5)+MOD(COLUMN(CA$2),3),1,1),"")</f>
        <v>0</v>
      </c>
      <c r="CB159">
        <f ca="1">IF($AN159="",OFFSET(Demand!$A$13,ROW(L156)-1,4+((QUOTIENT(COLUMN(CB$2)-69,3))*5)+MOD(COLUMN(CB$2),3),1,1),"")</f>
        <v>0</v>
      </c>
      <c r="CC159">
        <f ca="1">IF($AN159="",OFFSET(Demand!$A$13,ROW(M156)-1,4+((QUOTIENT(COLUMN(CC$2)-69,3))*5)+MOD(COLUMN(CC$2),3),1,1),"")</f>
        <v>0</v>
      </c>
      <c r="CD159">
        <f ca="1">IF($AN159="",OFFSET(Demand!$A$13,ROW(N156)-1,4+((QUOTIENT(COLUMN(CD$2)-69,3))*5)+MOD(COLUMN(CD$2),3),1,1),"")</f>
        <v>0</v>
      </c>
      <c r="CE159">
        <f ca="1">IF($AN159="",OFFSET(Demand!$A$13,ROW(O156)-1,4+((QUOTIENT(COLUMN(CE$2)-69,3))*5)+MOD(COLUMN(CE$2),3),1,1),"")</f>
        <v>0</v>
      </c>
      <c r="CF159">
        <f ca="1">IF($AN159="",OFFSET(Demand!$A$13,ROW(P156)-1,4+((QUOTIENT(COLUMN(CF$2)-69,3))*5)+MOD(COLUMN(CF$2),3),1,1),"")</f>
        <v>0</v>
      </c>
      <c r="CG159">
        <f ca="1">IF($AN159="",OFFSET(Demand!$A$13,ROW(Q156)-1,4+((QUOTIENT(COLUMN(CG$2)-69,3))*5)+MOD(COLUMN(CG$2),3),1,1),"")</f>
        <v>0</v>
      </c>
      <c r="CH159">
        <f ca="1">IF($AN159="",OFFSET(Demand!$A$13,ROW(R156)-1,4+((QUOTIENT(COLUMN(CH$2)-69,3))*5)+MOD(COLUMN(CH$2),3),1,1),"")</f>
        <v>0</v>
      </c>
      <c r="CI159">
        <f ca="1">IF($AN159="",OFFSET(Demand!$A$13,ROW(S156)-1,4+((QUOTIENT(COLUMN(CI$2)-69,3))*5)+MOD(COLUMN(CI$2),3),1,1),"")</f>
        <v>0</v>
      </c>
      <c r="CJ159">
        <f ca="1">IF($AN159="",OFFSET(Demand!$A$13,ROW(T156)-1,4+((QUOTIENT(COLUMN(CJ$2)-69,3))*5)+MOD(COLUMN(CJ$2),3),1,1),"")</f>
        <v>0</v>
      </c>
      <c r="CK159">
        <f ca="1">IF($AN159="",OFFSET(Demand!$A$13,ROW(U156)-1,4+((QUOTIENT(COLUMN(CK$2)-69,3))*5)+MOD(COLUMN(CK$2),3),1,1),"")</f>
        <v>0</v>
      </c>
      <c r="CL159">
        <f ca="1">IF($AN159="",OFFSET(Demand!$A$13,ROW(V156)-1,4+((QUOTIENT(COLUMN(CL$2)-69,3))*5)+MOD(COLUMN(CL$2),3),1,1),"")</f>
        <v>0</v>
      </c>
      <c r="CM159">
        <f ca="1">IF($AN159="",OFFSET(Demand!$A$13,ROW(W156)-1,4+((QUOTIENT(COLUMN(CM$2)-69,3))*5)+MOD(COLUMN(CM$2),3),1,1),"")</f>
        <v>0</v>
      </c>
      <c r="CN159">
        <f ca="1">IF($AN159="",OFFSET(Demand!$A$13,ROW(X156)-1,4+((QUOTIENT(COLUMN(CN$2)-69,3))*5)+MOD(COLUMN(CN$2),3),1,1),"")</f>
        <v>0</v>
      </c>
      <c r="CO159">
        <f ca="1">IF($AN159="",OFFSET(Demand!$A$13,ROW(Y156)-1,4+((QUOTIENT(COLUMN(CO$2)-69,3))*5)+MOD(COLUMN(CO$2),3),1,1),"")</f>
        <v>0</v>
      </c>
      <c r="CP159">
        <f ca="1">IF($AN159="",OFFSET(Demand!$A$13,ROW(Z156)-1,4+((QUOTIENT(COLUMN(CP$2)-69,3))*5)+MOD(COLUMN(CP$2),3),1,1),"")</f>
        <v>0</v>
      </c>
      <c r="CQ159">
        <f ca="1">IF($AN159="",OFFSET(Demand!$A$13,ROW(AA156)-1,4+((QUOTIENT(COLUMN(CQ$2)-69,3))*5)+MOD(COLUMN(CQ$2),3),1,1),"")</f>
        <v>0</v>
      </c>
      <c r="CR159">
        <f ca="1">IF($AN159="",OFFSET(Demand!$A$13,ROW(AB156)-1,4+((QUOTIENT(COLUMN(CR$2)-69,3))*5)+MOD(COLUMN(CR$2),3),1,1),"")</f>
        <v>0</v>
      </c>
      <c r="CS159">
        <f ca="1">IF($AN159="",OFFSET(Demand!$A$13,ROW(AC156)-1,4+((QUOTIENT(COLUMN(CS$2)-69,3))*5)+MOD(COLUMN(CS$2),3),1,1),"")</f>
        <v>0</v>
      </c>
      <c r="CT159">
        <f ca="1">IF($AN159="",OFFSET(Demand!$A$13,ROW(AD156)-1,4+((QUOTIENT(COLUMN(CT$2)-69,3))*5)+MOD(COLUMN(CT$2),3),1,1),"")</f>
        <v>0</v>
      </c>
      <c r="CW159" s="5">
        <f ca="1">SUM(OFFSET(Demand!$H$43,ROW(A156)-1,(COLUMN(A156)-1)*5,1,1))*N$2</f>
        <v>0</v>
      </c>
      <c r="CX159" s="5">
        <f ca="1">SUM(OFFSET(Demand!$H$43,ROW(B156)-1,(COLUMN(B156)-1)*5,1,1))*O$2</f>
        <v>0</v>
      </c>
      <c r="CY159" s="5">
        <f ca="1">SUM(OFFSET(Demand!$H$43,ROW(C156)-1,(COLUMN(C156)-1)*5,1,1))*P$2</f>
        <v>0</v>
      </c>
      <c r="CZ159" s="5">
        <f ca="1">SUM(OFFSET(Demand!$H$43,ROW(D156)-1,(COLUMN(D156)-1)*5,1,1))*Q$2</f>
        <v>0</v>
      </c>
      <c r="DA159" s="5">
        <f ca="1">SUM(OFFSET(Demand!$H$43,ROW(E156)-1,(COLUMN(E156)-1)*5,1,1))*R$2</f>
        <v>0</v>
      </c>
      <c r="DB159" s="5">
        <f ca="1">SUM(OFFSET(Demand!$H$43,ROW(F156)-1,(COLUMN(F156)-1)*5,1,1))*S$2</f>
        <v>0</v>
      </c>
      <c r="DC159" s="5">
        <f ca="1">SUM(OFFSET(Demand!$H$43,ROW(G156)-1,(COLUMN(G156)-1)*5,1,1))*T$2</f>
        <v>0</v>
      </c>
      <c r="DD159" s="5">
        <f ca="1">SUM(OFFSET(Demand!$H$43,ROW(H156)-1,(COLUMN(H156)-1)*5,1,1))*U$2</f>
        <v>0</v>
      </c>
      <c r="DE159" s="5">
        <f ca="1">SUM(OFFSET(Demand!$H$43,ROW(I156)-1,(COLUMN(I156)-1)*5,1,1))*V$2</f>
        <v>0</v>
      </c>
      <c r="DF159" s="5">
        <f ca="1">SUM(OFFSET(Demand!$H$43,ROW(J156)-1,(COLUMN(J156)-1)*5,1,1))*W$2</f>
        <v>0</v>
      </c>
      <c r="DG159" s="5">
        <f ca="1">IF(OR(AN159&lt;&gt;"",AND('Demand adjustments for Covid'!$F$9="Yes",'Demand adjustments for Covid'!$F$20="Yes")),"",SUM(CW159:DF159))</f>
        <v>0</v>
      </c>
    </row>
    <row r="160" spans="1:111" x14ac:dyDescent="0.25">
      <c r="A160" s="5">
        <f t="shared" ca="1" si="43"/>
        <v>1</v>
      </c>
      <c r="B160" s="5">
        <f ca="1">COUNTBLANK(OFFSET(Demand!$I169,0,(COLUMN(A157)-1)*5,1,1))</f>
        <v>1</v>
      </c>
      <c r="C160" s="5">
        <f ca="1">COUNTBLANK(OFFSET(Demand!$I169,0,(COLUMN(B157)-1)*5,1,1))</f>
        <v>1</v>
      </c>
      <c r="D160" s="5">
        <f ca="1">COUNTBLANK(OFFSET(Demand!$I169,0,(COLUMN(C157)-1)*5,1,1))</f>
        <v>1</v>
      </c>
      <c r="E160" s="5">
        <f ca="1">COUNTBLANK(OFFSET(Demand!$I169,0,(COLUMN(D157)-1)*5,1,1))</f>
        <v>1</v>
      </c>
      <c r="F160" s="5">
        <f ca="1">COUNTBLANK(OFFSET(Demand!$I169,0,(COLUMN(E157)-1)*5,1,1))</f>
        <v>1</v>
      </c>
      <c r="G160" s="5">
        <f ca="1">COUNTBLANK(OFFSET(Demand!$I169,0,(COLUMN(F157)-1)*5,1,1))</f>
        <v>1</v>
      </c>
      <c r="H160" s="5">
        <f ca="1">COUNTBLANK(OFFSET(Demand!$I169,0,(COLUMN(G157)-1)*5,1,1))</f>
        <v>1</v>
      </c>
      <c r="I160" s="5">
        <f ca="1">COUNTBLANK(OFFSET(Demand!$I169,0,(COLUMN(H157)-1)*5,1,1))</f>
        <v>1</v>
      </c>
      <c r="J160" s="5">
        <f ca="1">COUNTBLANK(OFFSET(Demand!$I169,0,(COLUMN(I157)-1)*5,1,1))</f>
        <v>1</v>
      </c>
      <c r="K160" s="5">
        <f ca="1">COUNTBLANK(OFFSET(Demand!$I169,0,(COLUMN(J157)-1)*5,1,1))</f>
        <v>1</v>
      </c>
      <c r="N160" s="5">
        <f ca="1">SUM(OFFSET(Demand!$E169,0,(COLUMN(A157)-1)*5,1,3))*N$2</f>
        <v>0</v>
      </c>
      <c r="O160" s="5">
        <f ca="1">SUM(OFFSET(Demand!$E169,0,(COLUMN(B157)-1)*5,1,3))*O$2</f>
        <v>0</v>
      </c>
      <c r="P160" s="5">
        <f ca="1">SUM(OFFSET(Demand!$E169,0,(COLUMN(C157)-1)*5,1,3))*P$2</f>
        <v>0</v>
      </c>
      <c r="Q160" s="5">
        <f ca="1">SUM(OFFSET(Demand!$E169,0,(COLUMN(D157)-1)*5,1,3))*Q$2</f>
        <v>0</v>
      </c>
      <c r="R160" s="5">
        <f ca="1">SUM(OFFSET(Demand!$E169,0,(COLUMN(E157)-1)*5,1,3))*R$2</f>
        <v>0</v>
      </c>
      <c r="S160" s="5">
        <f ca="1">SUM(OFFSET(Demand!$E169,0,(COLUMN(F157)-1)*5,1,3))*S$2</f>
        <v>0</v>
      </c>
      <c r="T160" s="5">
        <f ca="1">SUM(OFFSET(Demand!$E169,0,(COLUMN(G157)-1)*5,1,3))*T$2</f>
        <v>0</v>
      </c>
      <c r="U160" s="5">
        <f ca="1">SUM(OFFSET(Demand!$E169,0,(COLUMN(H157)-1)*5,1,3))*U$2</f>
        <v>0</v>
      </c>
      <c r="V160" s="5">
        <f ca="1">SUM(OFFSET(Demand!$E169,0,(COLUMN(I157)-1)*5,1,3))*V$2</f>
        <v>0</v>
      </c>
      <c r="W160" s="5">
        <f ca="1">SUM(OFFSET(Demand!$E169,0,(COLUMN(J157)-1)*5,1,3))*W$2</f>
        <v>0</v>
      </c>
      <c r="X160" s="5">
        <f t="shared" ca="1" si="44"/>
        <v>0</v>
      </c>
      <c r="Y160">
        <f t="shared" ca="1" si="45"/>
        <v>0</v>
      </c>
      <c r="Z160" s="5">
        <f ca="1">SUM(OFFSET(Demand!$H169,0,(COLUMN(A157)-1)*5,1,1))*N$2</f>
        <v>0</v>
      </c>
      <c r="AA160" s="5">
        <f ca="1">SUM(OFFSET(Demand!$H169,0,(COLUMN(B157)-1)*5,1,1))*O$2</f>
        <v>0</v>
      </c>
      <c r="AB160" s="5">
        <f ca="1">SUM(OFFSET(Demand!$H169,0,(COLUMN(C157)-1)*5,1,1))*P$2</f>
        <v>0</v>
      </c>
      <c r="AC160" s="5">
        <f ca="1">SUM(OFFSET(Demand!$H169,0,(COLUMN(D157)-1)*5,1,1))*Q$2</f>
        <v>0</v>
      </c>
      <c r="AD160" s="5">
        <f ca="1">SUM(OFFSET(Demand!$H169,0,(COLUMN(E157)-1)*5,1,1))*R$2</f>
        <v>0</v>
      </c>
      <c r="AE160" s="5">
        <f ca="1">SUM(OFFSET(Demand!$H169,0,(COLUMN(F157)-1)*5,1,1))*S$2</f>
        <v>0</v>
      </c>
      <c r="AF160" s="5">
        <f ca="1">SUM(OFFSET(Demand!$H169,0,(COLUMN(G157)-1)*5,1,1))*T$2</f>
        <v>0</v>
      </c>
      <c r="AG160" s="5">
        <f ca="1">SUM(OFFSET(Demand!$H169,0,(COLUMN(H157)-1)*5,1,1))*U$2</f>
        <v>0</v>
      </c>
      <c r="AH160" s="5">
        <f ca="1">SUM(OFFSET(Demand!$H169,0,(COLUMN(I157)-1)*5,1,1))*V$2</f>
        <v>0</v>
      </c>
      <c r="AI160" s="5">
        <f ca="1">SUM(OFFSET(Demand!$H169,0,(COLUMN(J157)-1)*5,1,1))*W$2</f>
        <v>0</v>
      </c>
      <c r="AJ160" s="5">
        <f t="shared" ca="1" si="46"/>
        <v>0</v>
      </c>
      <c r="AL160" s="5">
        <f t="shared" ca="1" si="47"/>
        <v>0</v>
      </c>
      <c r="AM160" s="5">
        <f t="shared" ca="1" si="48"/>
        <v>0</v>
      </c>
      <c r="AN160" s="5" t="str">
        <f>IF(Demand!BE169="Yes","Yes","")</f>
        <v/>
      </c>
      <c r="AP160" s="36" t="str">
        <f ca="1">Demand!B169</f>
        <v xml:space="preserve"> </v>
      </c>
      <c r="AQ160" t="str">
        <f ca="1">IF(TEXT(Demand!D169,"MMM")&lt;&gt;TEXT(Demand!D168,"MMM"),TEXT(Demand!D169,"MMM"),"")</f>
        <v/>
      </c>
      <c r="AT160" s="5">
        <f t="shared" ca="1" si="49"/>
        <v>0</v>
      </c>
      <c r="BQ160">
        <f ca="1">IF($AN160="",OFFSET(Demand!$A$13,ROW(A157)-1,4+((QUOTIENT(COLUMN(BQ$2)-69,3))*5)+MOD(COLUMN(BQ$2),3),1,1),"")</f>
        <v>0</v>
      </c>
      <c r="BR160">
        <f ca="1">IF($AN160="",OFFSET(Demand!$A$13,ROW(B157)-1,4+((QUOTIENT(COLUMN(BR$2)-69,3))*5)+MOD(COLUMN(BR$2),3),1,1),"")</f>
        <v>0</v>
      </c>
      <c r="BS160">
        <f ca="1">IF($AN160="",OFFSET(Demand!$A$13,ROW(C157)-1,4+((QUOTIENT(COLUMN(BS$2)-69,3))*5)+MOD(COLUMN(BS$2),3),1,1),"")</f>
        <v>0</v>
      </c>
      <c r="BT160">
        <f ca="1">IF($AN160="",OFFSET(Demand!$A$13,ROW(D157)-1,4+((QUOTIENT(COLUMN(BT$2)-69,3))*5)+MOD(COLUMN(BT$2),3),1,1),"")</f>
        <v>0</v>
      </c>
      <c r="BU160">
        <f ca="1">IF($AN160="",OFFSET(Demand!$A$13,ROW(E157)-1,4+((QUOTIENT(COLUMN(BU$2)-69,3))*5)+MOD(COLUMN(BU$2),3),1,1),"")</f>
        <v>0</v>
      </c>
      <c r="BV160">
        <f ca="1">IF($AN160="",OFFSET(Demand!$A$13,ROW(F157)-1,4+((QUOTIENT(COLUMN(BV$2)-69,3))*5)+MOD(COLUMN(BV$2),3),1,1),"")</f>
        <v>0</v>
      </c>
      <c r="BW160">
        <f ca="1">IF($AN160="",OFFSET(Demand!$A$13,ROW(G157)-1,4+((QUOTIENT(COLUMN(BW$2)-69,3))*5)+MOD(COLUMN(BW$2),3),1,1),"")</f>
        <v>0</v>
      </c>
      <c r="BX160">
        <f ca="1">IF($AN160="",OFFSET(Demand!$A$13,ROW(H157)-1,4+((QUOTIENT(COLUMN(BX$2)-69,3))*5)+MOD(COLUMN(BX$2),3),1,1),"")</f>
        <v>0</v>
      </c>
      <c r="BY160">
        <f ca="1">IF($AN160="",OFFSET(Demand!$A$13,ROW(I157)-1,4+((QUOTIENT(COLUMN(BY$2)-69,3))*5)+MOD(COLUMN(BY$2),3),1,1),"")</f>
        <v>0</v>
      </c>
      <c r="BZ160">
        <f ca="1">IF($AN160="",OFFSET(Demand!$A$13,ROW(J157)-1,4+((QUOTIENT(COLUMN(BZ$2)-69,3))*5)+MOD(COLUMN(BZ$2),3),1,1),"")</f>
        <v>0</v>
      </c>
      <c r="CA160">
        <f ca="1">IF($AN160="",OFFSET(Demand!$A$13,ROW(K157)-1,4+((QUOTIENT(COLUMN(CA$2)-69,3))*5)+MOD(COLUMN(CA$2),3),1,1),"")</f>
        <v>0</v>
      </c>
      <c r="CB160">
        <f ca="1">IF($AN160="",OFFSET(Demand!$A$13,ROW(L157)-1,4+((QUOTIENT(COLUMN(CB$2)-69,3))*5)+MOD(COLUMN(CB$2),3),1,1),"")</f>
        <v>0</v>
      </c>
      <c r="CC160">
        <f ca="1">IF($AN160="",OFFSET(Demand!$A$13,ROW(M157)-1,4+((QUOTIENT(COLUMN(CC$2)-69,3))*5)+MOD(COLUMN(CC$2),3),1,1),"")</f>
        <v>0</v>
      </c>
      <c r="CD160">
        <f ca="1">IF($AN160="",OFFSET(Demand!$A$13,ROW(N157)-1,4+((QUOTIENT(COLUMN(CD$2)-69,3))*5)+MOD(COLUMN(CD$2),3),1,1),"")</f>
        <v>0</v>
      </c>
      <c r="CE160">
        <f ca="1">IF($AN160="",OFFSET(Demand!$A$13,ROW(O157)-1,4+((QUOTIENT(COLUMN(CE$2)-69,3))*5)+MOD(COLUMN(CE$2),3),1,1),"")</f>
        <v>0</v>
      </c>
      <c r="CF160">
        <f ca="1">IF($AN160="",OFFSET(Demand!$A$13,ROW(P157)-1,4+((QUOTIENT(COLUMN(CF$2)-69,3))*5)+MOD(COLUMN(CF$2),3),1,1),"")</f>
        <v>0</v>
      </c>
      <c r="CG160">
        <f ca="1">IF($AN160="",OFFSET(Demand!$A$13,ROW(Q157)-1,4+((QUOTIENT(COLUMN(CG$2)-69,3))*5)+MOD(COLUMN(CG$2),3),1,1),"")</f>
        <v>0</v>
      </c>
      <c r="CH160">
        <f ca="1">IF($AN160="",OFFSET(Demand!$A$13,ROW(R157)-1,4+((QUOTIENT(COLUMN(CH$2)-69,3))*5)+MOD(COLUMN(CH$2),3),1,1),"")</f>
        <v>0</v>
      </c>
      <c r="CI160">
        <f ca="1">IF($AN160="",OFFSET(Demand!$A$13,ROW(S157)-1,4+((QUOTIENT(COLUMN(CI$2)-69,3))*5)+MOD(COLUMN(CI$2),3),1,1),"")</f>
        <v>0</v>
      </c>
      <c r="CJ160">
        <f ca="1">IF($AN160="",OFFSET(Demand!$A$13,ROW(T157)-1,4+((QUOTIENT(COLUMN(CJ$2)-69,3))*5)+MOD(COLUMN(CJ$2),3),1,1),"")</f>
        <v>0</v>
      </c>
      <c r="CK160">
        <f ca="1">IF($AN160="",OFFSET(Demand!$A$13,ROW(U157)-1,4+((QUOTIENT(COLUMN(CK$2)-69,3))*5)+MOD(COLUMN(CK$2),3),1,1),"")</f>
        <v>0</v>
      </c>
      <c r="CL160">
        <f ca="1">IF($AN160="",OFFSET(Demand!$A$13,ROW(V157)-1,4+((QUOTIENT(COLUMN(CL$2)-69,3))*5)+MOD(COLUMN(CL$2),3),1,1),"")</f>
        <v>0</v>
      </c>
      <c r="CM160">
        <f ca="1">IF($AN160="",OFFSET(Demand!$A$13,ROW(W157)-1,4+((QUOTIENT(COLUMN(CM$2)-69,3))*5)+MOD(COLUMN(CM$2),3),1,1),"")</f>
        <v>0</v>
      </c>
      <c r="CN160">
        <f ca="1">IF($AN160="",OFFSET(Demand!$A$13,ROW(X157)-1,4+((QUOTIENT(COLUMN(CN$2)-69,3))*5)+MOD(COLUMN(CN$2),3),1,1),"")</f>
        <v>0</v>
      </c>
      <c r="CO160">
        <f ca="1">IF($AN160="",OFFSET(Demand!$A$13,ROW(Y157)-1,4+((QUOTIENT(COLUMN(CO$2)-69,3))*5)+MOD(COLUMN(CO$2),3),1,1),"")</f>
        <v>0</v>
      </c>
      <c r="CP160">
        <f ca="1">IF($AN160="",OFFSET(Demand!$A$13,ROW(Z157)-1,4+((QUOTIENT(COLUMN(CP$2)-69,3))*5)+MOD(COLUMN(CP$2),3),1,1),"")</f>
        <v>0</v>
      </c>
      <c r="CQ160">
        <f ca="1">IF($AN160="",OFFSET(Demand!$A$13,ROW(AA157)-1,4+((QUOTIENT(COLUMN(CQ$2)-69,3))*5)+MOD(COLUMN(CQ$2),3),1,1),"")</f>
        <v>0</v>
      </c>
      <c r="CR160">
        <f ca="1">IF($AN160="",OFFSET(Demand!$A$13,ROW(AB157)-1,4+((QUOTIENT(COLUMN(CR$2)-69,3))*5)+MOD(COLUMN(CR$2),3),1,1),"")</f>
        <v>0</v>
      </c>
      <c r="CS160">
        <f ca="1">IF($AN160="",OFFSET(Demand!$A$13,ROW(AC157)-1,4+((QUOTIENT(COLUMN(CS$2)-69,3))*5)+MOD(COLUMN(CS$2),3),1,1),"")</f>
        <v>0</v>
      </c>
      <c r="CT160">
        <f ca="1">IF($AN160="",OFFSET(Demand!$A$13,ROW(AD157)-1,4+((QUOTIENT(COLUMN(CT$2)-69,3))*5)+MOD(COLUMN(CT$2),3),1,1),"")</f>
        <v>0</v>
      </c>
      <c r="CW160" s="5">
        <f ca="1">SUM(OFFSET(Demand!$H$43,ROW(A157)-1,(COLUMN(A157)-1)*5,1,1))*N$2</f>
        <v>0</v>
      </c>
      <c r="CX160" s="5">
        <f ca="1">SUM(OFFSET(Demand!$H$43,ROW(B157)-1,(COLUMN(B157)-1)*5,1,1))*O$2</f>
        <v>0</v>
      </c>
      <c r="CY160" s="5">
        <f ca="1">SUM(OFFSET(Demand!$H$43,ROW(C157)-1,(COLUMN(C157)-1)*5,1,1))*P$2</f>
        <v>0</v>
      </c>
      <c r="CZ160" s="5">
        <f ca="1">SUM(OFFSET(Demand!$H$43,ROW(D157)-1,(COLUMN(D157)-1)*5,1,1))*Q$2</f>
        <v>0</v>
      </c>
      <c r="DA160" s="5">
        <f ca="1">SUM(OFFSET(Demand!$H$43,ROW(E157)-1,(COLUMN(E157)-1)*5,1,1))*R$2</f>
        <v>0</v>
      </c>
      <c r="DB160" s="5">
        <f ca="1">SUM(OFFSET(Demand!$H$43,ROW(F157)-1,(COLUMN(F157)-1)*5,1,1))*S$2</f>
        <v>0</v>
      </c>
      <c r="DC160" s="5">
        <f ca="1">SUM(OFFSET(Demand!$H$43,ROW(G157)-1,(COLUMN(G157)-1)*5,1,1))*T$2</f>
        <v>0</v>
      </c>
      <c r="DD160" s="5">
        <f ca="1">SUM(OFFSET(Demand!$H$43,ROW(H157)-1,(COLUMN(H157)-1)*5,1,1))*U$2</f>
        <v>0</v>
      </c>
      <c r="DE160" s="5">
        <f ca="1">SUM(OFFSET(Demand!$H$43,ROW(I157)-1,(COLUMN(I157)-1)*5,1,1))*V$2</f>
        <v>0</v>
      </c>
      <c r="DF160" s="5">
        <f ca="1">SUM(OFFSET(Demand!$H$43,ROW(J157)-1,(COLUMN(J157)-1)*5,1,1))*W$2</f>
        <v>0</v>
      </c>
      <c r="DG160" s="5">
        <f ca="1">IF(OR(AN160&lt;&gt;"",AND('Demand adjustments for Covid'!$F$9="Yes",'Demand adjustments for Covid'!$F$20="Yes")),"",SUM(CW160:DF160))</f>
        <v>0</v>
      </c>
    </row>
    <row r="161" spans="1:111" x14ac:dyDescent="0.25">
      <c r="A161" s="5">
        <f t="shared" ca="1" si="43"/>
        <v>1</v>
      </c>
      <c r="B161" s="5">
        <f ca="1">COUNTBLANK(OFFSET(Demand!$I170,0,(COLUMN(A158)-1)*5,1,1))</f>
        <v>1</v>
      </c>
      <c r="C161" s="5">
        <f ca="1">COUNTBLANK(OFFSET(Demand!$I170,0,(COLUMN(B158)-1)*5,1,1))</f>
        <v>1</v>
      </c>
      <c r="D161" s="5">
        <f ca="1">COUNTBLANK(OFFSET(Demand!$I170,0,(COLUMN(C158)-1)*5,1,1))</f>
        <v>1</v>
      </c>
      <c r="E161" s="5">
        <f ca="1">COUNTBLANK(OFFSET(Demand!$I170,0,(COLUMN(D158)-1)*5,1,1))</f>
        <v>1</v>
      </c>
      <c r="F161" s="5">
        <f ca="1">COUNTBLANK(OFFSET(Demand!$I170,0,(COLUMN(E158)-1)*5,1,1))</f>
        <v>1</v>
      </c>
      <c r="G161" s="5">
        <f ca="1">COUNTBLANK(OFFSET(Demand!$I170,0,(COLUMN(F158)-1)*5,1,1))</f>
        <v>1</v>
      </c>
      <c r="H161" s="5">
        <f ca="1">COUNTBLANK(OFFSET(Demand!$I170,0,(COLUMN(G158)-1)*5,1,1))</f>
        <v>1</v>
      </c>
      <c r="I161" s="5">
        <f ca="1">COUNTBLANK(OFFSET(Demand!$I170,0,(COLUMN(H158)-1)*5,1,1))</f>
        <v>1</v>
      </c>
      <c r="J161" s="5">
        <f ca="1">COUNTBLANK(OFFSET(Demand!$I170,0,(COLUMN(I158)-1)*5,1,1))</f>
        <v>1</v>
      </c>
      <c r="K161" s="5">
        <f ca="1">COUNTBLANK(OFFSET(Demand!$I170,0,(COLUMN(J158)-1)*5,1,1))</f>
        <v>1</v>
      </c>
      <c r="N161" s="5">
        <f ca="1">SUM(OFFSET(Demand!$E170,0,(COLUMN(A158)-1)*5,1,3))*N$2</f>
        <v>0</v>
      </c>
      <c r="O161" s="5">
        <f ca="1">SUM(OFFSET(Demand!$E170,0,(COLUMN(B158)-1)*5,1,3))*O$2</f>
        <v>0</v>
      </c>
      <c r="P161" s="5">
        <f ca="1">SUM(OFFSET(Demand!$E170,0,(COLUMN(C158)-1)*5,1,3))*P$2</f>
        <v>0</v>
      </c>
      <c r="Q161" s="5">
        <f ca="1">SUM(OFFSET(Demand!$E170,0,(COLUMN(D158)-1)*5,1,3))*Q$2</f>
        <v>0</v>
      </c>
      <c r="R161" s="5">
        <f ca="1">SUM(OFFSET(Demand!$E170,0,(COLUMN(E158)-1)*5,1,3))*R$2</f>
        <v>0</v>
      </c>
      <c r="S161" s="5">
        <f ca="1">SUM(OFFSET(Demand!$E170,0,(COLUMN(F158)-1)*5,1,3))*S$2</f>
        <v>0</v>
      </c>
      <c r="T161" s="5">
        <f ca="1">SUM(OFFSET(Demand!$E170,0,(COLUMN(G158)-1)*5,1,3))*T$2</f>
        <v>0</v>
      </c>
      <c r="U161" s="5">
        <f ca="1">SUM(OFFSET(Demand!$E170,0,(COLUMN(H158)-1)*5,1,3))*U$2</f>
        <v>0</v>
      </c>
      <c r="V161" s="5">
        <f ca="1">SUM(OFFSET(Demand!$E170,0,(COLUMN(I158)-1)*5,1,3))*V$2</f>
        <v>0</v>
      </c>
      <c r="W161" s="5">
        <f ca="1">SUM(OFFSET(Demand!$E170,0,(COLUMN(J158)-1)*5,1,3))*W$2</f>
        <v>0</v>
      </c>
      <c r="X161" s="5">
        <f t="shared" ca="1" si="44"/>
        <v>0</v>
      </c>
      <c r="Y161">
        <f t="shared" ca="1" si="45"/>
        <v>0</v>
      </c>
      <c r="Z161" s="5">
        <f ca="1">SUM(OFFSET(Demand!$H170,0,(COLUMN(A158)-1)*5,1,1))*N$2</f>
        <v>0</v>
      </c>
      <c r="AA161" s="5">
        <f ca="1">SUM(OFFSET(Demand!$H170,0,(COLUMN(B158)-1)*5,1,1))*O$2</f>
        <v>0</v>
      </c>
      <c r="AB161" s="5">
        <f ca="1">SUM(OFFSET(Demand!$H170,0,(COLUMN(C158)-1)*5,1,1))*P$2</f>
        <v>0</v>
      </c>
      <c r="AC161" s="5">
        <f ca="1">SUM(OFFSET(Demand!$H170,0,(COLUMN(D158)-1)*5,1,1))*Q$2</f>
        <v>0</v>
      </c>
      <c r="AD161" s="5">
        <f ca="1">SUM(OFFSET(Demand!$H170,0,(COLUMN(E158)-1)*5,1,1))*R$2</f>
        <v>0</v>
      </c>
      <c r="AE161" s="5">
        <f ca="1">SUM(OFFSET(Demand!$H170,0,(COLUMN(F158)-1)*5,1,1))*S$2</f>
        <v>0</v>
      </c>
      <c r="AF161" s="5">
        <f ca="1">SUM(OFFSET(Demand!$H170,0,(COLUMN(G158)-1)*5,1,1))*T$2</f>
        <v>0</v>
      </c>
      <c r="AG161" s="5">
        <f ca="1">SUM(OFFSET(Demand!$H170,0,(COLUMN(H158)-1)*5,1,1))*U$2</f>
        <v>0</v>
      </c>
      <c r="AH161" s="5">
        <f ca="1">SUM(OFFSET(Demand!$H170,0,(COLUMN(I158)-1)*5,1,1))*V$2</f>
        <v>0</v>
      </c>
      <c r="AI161" s="5">
        <f ca="1">SUM(OFFSET(Demand!$H170,0,(COLUMN(J158)-1)*5,1,1))*W$2</f>
        <v>0</v>
      </c>
      <c r="AJ161" s="5">
        <f t="shared" ca="1" si="46"/>
        <v>0</v>
      </c>
      <c r="AL161" s="5">
        <f t="shared" ca="1" si="47"/>
        <v>0</v>
      </c>
      <c r="AM161" s="5">
        <f t="shared" ca="1" si="48"/>
        <v>0</v>
      </c>
      <c r="AN161" s="5" t="str">
        <f>IF(Demand!BE170="Yes","Yes","")</f>
        <v/>
      </c>
      <c r="AP161" s="36" t="str">
        <f ca="1">Demand!B170</f>
        <v xml:space="preserve"> </v>
      </c>
      <c r="AQ161" t="str">
        <f ca="1">IF(TEXT(Demand!D170,"MMM")&lt;&gt;TEXT(Demand!D169,"MMM"),TEXT(Demand!D170,"MMM"),"")</f>
        <v/>
      </c>
      <c r="AT161" s="5">
        <f t="shared" ca="1" si="49"/>
        <v>0</v>
      </c>
      <c r="BQ161">
        <f ca="1">IF($AN161="",OFFSET(Demand!$A$13,ROW(A158)-1,4+((QUOTIENT(COLUMN(BQ$2)-69,3))*5)+MOD(COLUMN(BQ$2),3),1,1),"")</f>
        <v>0</v>
      </c>
      <c r="BR161">
        <f ca="1">IF($AN161="",OFFSET(Demand!$A$13,ROW(B158)-1,4+((QUOTIENT(COLUMN(BR$2)-69,3))*5)+MOD(COLUMN(BR$2),3),1,1),"")</f>
        <v>0</v>
      </c>
      <c r="BS161">
        <f ca="1">IF($AN161="",OFFSET(Demand!$A$13,ROW(C158)-1,4+((QUOTIENT(COLUMN(BS$2)-69,3))*5)+MOD(COLUMN(BS$2),3),1,1),"")</f>
        <v>0</v>
      </c>
      <c r="BT161">
        <f ca="1">IF($AN161="",OFFSET(Demand!$A$13,ROW(D158)-1,4+((QUOTIENT(COLUMN(BT$2)-69,3))*5)+MOD(COLUMN(BT$2),3),1,1),"")</f>
        <v>0</v>
      </c>
      <c r="BU161">
        <f ca="1">IF($AN161="",OFFSET(Demand!$A$13,ROW(E158)-1,4+((QUOTIENT(COLUMN(BU$2)-69,3))*5)+MOD(COLUMN(BU$2),3),1,1),"")</f>
        <v>0</v>
      </c>
      <c r="BV161">
        <f ca="1">IF($AN161="",OFFSET(Demand!$A$13,ROW(F158)-1,4+((QUOTIENT(COLUMN(BV$2)-69,3))*5)+MOD(COLUMN(BV$2),3),1,1),"")</f>
        <v>0</v>
      </c>
      <c r="BW161">
        <f ca="1">IF($AN161="",OFFSET(Demand!$A$13,ROW(G158)-1,4+((QUOTIENT(COLUMN(BW$2)-69,3))*5)+MOD(COLUMN(BW$2),3),1,1),"")</f>
        <v>0</v>
      </c>
      <c r="BX161">
        <f ca="1">IF($AN161="",OFFSET(Demand!$A$13,ROW(H158)-1,4+((QUOTIENT(COLUMN(BX$2)-69,3))*5)+MOD(COLUMN(BX$2),3),1,1),"")</f>
        <v>0</v>
      </c>
      <c r="BY161">
        <f ca="1">IF($AN161="",OFFSET(Demand!$A$13,ROW(I158)-1,4+((QUOTIENT(COLUMN(BY$2)-69,3))*5)+MOD(COLUMN(BY$2),3),1,1),"")</f>
        <v>0</v>
      </c>
      <c r="BZ161">
        <f ca="1">IF($AN161="",OFFSET(Demand!$A$13,ROW(J158)-1,4+((QUOTIENT(COLUMN(BZ$2)-69,3))*5)+MOD(COLUMN(BZ$2),3),1,1),"")</f>
        <v>0</v>
      </c>
      <c r="CA161">
        <f ca="1">IF($AN161="",OFFSET(Demand!$A$13,ROW(K158)-1,4+((QUOTIENT(COLUMN(CA$2)-69,3))*5)+MOD(COLUMN(CA$2),3),1,1),"")</f>
        <v>0</v>
      </c>
      <c r="CB161">
        <f ca="1">IF($AN161="",OFFSET(Demand!$A$13,ROW(L158)-1,4+((QUOTIENT(COLUMN(CB$2)-69,3))*5)+MOD(COLUMN(CB$2),3),1,1),"")</f>
        <v>0</v>
      </c>
      <c r="CC161">
        <f ca="1">IF($AN161="",OFFSET(Demand!$A$13,ROW(M158)-1,4+((QUOTIENT(COLUMN(CC$2)-69,3))*5)+MOD(COLUMN(CC$2),3),1,1),"")</f>
        <v>0</v>
      </c>
      <c r="CD161">
        <f ca="1">IF($AN161="",OFFSET(Demand!$A$13,ROW(N158)-1,4+((QUOTIENT(COLUMN(CD$2)-69,3))*5)+MOD(COLUMN(CD$2),3),1,1),"")</f>
        <v>0</v>
      </c>
      <c r="CE161">
        <f ca="1">IF($AN161="",OFFSET(Demand!$A$13,ROW(O158)-1,4+((QUOTIENT(COLUMN(CE$2)-69,3))*5)+MOD(COLUMN(CE$2),3),1,1),"")</f>
        <v>0</v>
      </c>
      <c r="CF161">
        <f ca="1">IF($AN161="",OFFSET(Demand!$A$13,ROW(P158)-1,4+((QUOTIENT(COLUMN(CF$2)-69,3))*5)+MOD(COLUMN(CF$2),3),1,1),"")</f>
        <v>0</v>
      </c>
      <c r="CG161">
        <f ca="1">IF($AN161="",OFFSET(Demand!$A$13,ROW(Q158)-1,4+((QUOTIENT(COLUMN(CG$2)-69,3))*5)+MOD(COLUMN(CG$2),3),1,1),"")</f>
        <v>0</v>
      </c>
      <c r="CH161">
        <f ca="1">IF($AN161="",OFFSET(Demand!$A$13,ROW(R158)-1,4+((QUOTIENT(COLUMN(CH$2)-69,3))*5)+MOD(COLUMN(CH$2),3),1,1),"")</f>
        <v>0</v>
      </c>
      <c r="CI161">
        <f ca="1">IF($AN161="",OFFSET(Demand!$A$13,ROW(S158)-1,4+((QUOTIENT(COLUMN(CI$2)-69,3))*5)+MOD(COLUMN(CI$2),3),1,1),"")</f>
        <v>0</v>
      </c>
      <c r="CJ161">
        <f ca="1">IF($AN161="",OFFSET(Demand!$A$13,ROW(T158)-1,4+((QUOTIENT(COLUMN(CJ$2)-69,3))*5)+MOD(COLUMN(CJ$2),3),1,1),"")</f>
        <v>0</v>
      </c>
      <c r="CK161">
        <f ca="1">IF($AN161="",OFFSET(Demand!$A$13,ROW(U158)-1,4+((QUOTIENT(COLUMN(CK$2)-69,3))*5)+MOD(COLUMN(CK$2),3),1,1),"")</f>
        <v>0</v>
      </c>
      <c r="CL161">
        <f ca="1">IF($AN161="",OFFSET(Demand!$A$13,ROW(V158)-1,4+((QUOTIENT(COLUMN(CL$2)-69,3))*5)+MOD(COLUMN(CL$2),3),1,1),"")</f>
        <v>0</v>
      </c>
      <c r="CM161">
        <f ca="1">IF($AN161="",OFFSET(Demand!$A$13,ROW(W158)-1,4+((QUOTIENT(COLUMN(CM$2)-69,3))*5)+MOD(COLUMN(CM$2),3),1,1),"")</f>
        <v>0</v>
      </c>
      <c r="CN161">
        <f ca="1">IF($AN161="",OFFSET(Demand!$A$13,ROW(X158)-1,4+((QUOTIENT(COLUMN(CN$2)-69,3))*5)+MOD(COLUMN(CN$2),3),1,1),"")</f>
        <v>0</v>
      </c>
      <c r="CO161">
        <f ca="1">IF($AN161="",OFFSET(Demand!$A$13,ROW(Y158)-1,4+((QUOTIENT(COLUMN(CO$2)-69,3))*5)+MOD(COLUMN(CO$2),3),1,1),"")</f>
        <v>0</v>
      </c>
      <c r="CP161">
        <f ca="1">IF($AN161="",OFFSET(Demand!$A$13,ROW(Z158)-1,4+((QUOTIENT(COLUMN(CP$2)-69,3))*5)+MOD(COLUMN(CP$2),3),1,1),"")</f>
        <v>0</v>
      </c>
      <c r="CQ161">
        <f ca="1">IF($AN161="",OFFSET(Demand!$A$13,ROW(AA158)-1,4+((QUOTIENT(COLUMN(CQ$2)-69,3))*5)+MOD(COLUMN(CQ$2),3),1,1),"")</f>
        <v>0</v>
      </c>
      <c r="CR161">
        <f ca="1">IF($AN161="",OFFSET(Demand!$A$13,ROW(AB158)-1,4+((QUOTIENT(COLUMN(CR$2)-69,3))*5)+MOD(COLUMN(CR$2),3),1,1),"")</f>
        <v>0</v>
      </c>
      <c r="CS161">
        <f ca="1">IF($AN161="",OFFSET(Demand!$A$13,ROW(AC158)-1,4+((QUOTIENT(COLUMN(CS$2)-69,3))*5)+MOD(COLUMN(CS$2),3),1,1),"")</f>
        <v>0</v>
      </c>
      <c r="CT161">
        <f ca="1">IF($AN161="",OFFSET(Demand!$A$13,ROW(AD158)-1,4+((QUOTIENT(COLUMN(CT$2)-69,3))*5)+MOD(COLUMN(CT$2),3),1,1),"")</f>
        <v>0</v>
      </c>
      <c r="CW161" s="5">
        <f ca="1">SUM(OFFSET(Demand!$H$43,ROW(A158)-1,(COLUMN(A158)-1)*5,1,1))*N$2</f>
        <v>0</v>
      </c>
      <c r="CX161" s="5">
        <f ca="1">SUM(OFFSET(Demand!$H$43,ROW(B158)-1,(COLUMN(B158)-1)*5,1,1))*O$2</f>
        <v>0</v>
      </c>
      <c r="CY161" s="5">
        <f ca="1">SUM(OFFSET(Demand!$H$43,ROW(C158)-1,(COLUMN(C158)-1)*5,1,1))*P$2</f>
        <v>0</v>
      </c>
      <c r="CZ161" s="5">
        <f ca="1">SUM(OFFSET(Demand!$H$43,ROW(D158)-1,(COLUMN(D158)-1)*5,1,1))*Q$2</f>
        <v>0</v>
      </c>
      <c r="DA161" s="5">
        <f ca="1">SUM(OFFSET(Demand!$H$43,ROW(E158)-1,(COLUMN(E158)-1)*5,1,1))*R$2</f>
        <v>0</v>
      </c>
      <c r="DB161" s="5">
        <f ca="1">SUM(OFFSET(Demand!$H$43,ROW(F158)-1,(COLUMN(F158)-1)*5,1,1))*S$2</f>
        <v>0</v>
      </c>
      <c r="DC161" s="5">
        <f ca="1">SUM(OFFSET(Demand!$H$43,ROW(G158)-1,(COLUMN(G158)-1)*5,1,1))*T$2</f>
        <v>0</v>
      </c>
      <c r="DD161" s="5">
        <f ca="1">SUM(OFFSET(Demand!$H$43,ROW(H158)-1,(COLUMN(H158)-1)*5,1,1))*U$2</f>
        <v>0</v>
      </c>
      <c r="DE161" s="5">
        <f ca="1">SUM(OFFSET(Demand!$H$43,ROW(I158)-1,(COLUMN(I158)-1)*5,1,1))*V$2</f>
        <v>0</v>
      </c>
      <c r="DF161" s="5">
        <f ca="1">SUM(OFFSET(Demand!$H$43,ROW(J158)-1,(COLUMN(J158)-1)*5,1,1))*W$2</f>
        <v>0</v>
      </c>
      <c r="DG161" s="5">
        <f ca="1">IF(OR(AN161&lt;&gt;"",AND('Demand adjustments for Covid'!$F$9="Yes",'Demand adjustments for Covid'!$F$20="Yes")),"",SUM(CW161:DF161))</f>
        <v>0</v>
      </c>
    </row>
    <row r="162" spans="1:111" x14ac:dyDescent="0.25">
      <c r="A162" s="5">
        <f t="shared" ca="1" si="43"/>
        <v>1</v>
      </c>
      <c r="B162" s="5">
        <f ca="1">COUNTBLANK(OFFSET(Demand!$I171,0,(COLUMN(A159)-1)*5,1,1))</f>
        <v>1</v>
      </c>
      <c r="C162" s="5">
        <f ca="1">COUNTBLANK(OFFSET(Demand!$I171,0,(COLUMN(B159)-1)*5,1,1))</f>
        <v>1</v>
      </c>
      <c r="D162" s="5">
        <f ca="1">COUNTBLANK(OFFSET(Demand!$I171,0,(COLUMN(C159)-1)*5,1,1))</f>
        <v>1</v>
      </c>
      <c r="E162" s="5">
        <f ca="1">COUNTBLANK(OFFSET(Demand!$I171,0,(COLUMN(D159)-1)*5,1,1))</f>
        <v>1</v>
      </c>
      <c r="F162" s="5">
        <f ca="1">COUNTBLANK(OFFSET(Demand!$I171,0,(COLUMN(E159)-1)*5,1,1))</f>
        <v>1</v>
      </c>
      <c r="G162" s="5">
        <f ca="1">COUNTBLANK(OFFSET(Demand!$I171,0,(COLUMN(F159)-1)*5,1,1))</f>
        <v>1</v>
      </c>
      <c r="H162" s="5">
        <f ca="1">COUNTBLANK(OFFSET(Demand!$I171,0,(COLUMN(G159)-1)*5,1,1))</f>
        <v>1</v>
      </c>
      <c r="I162" s="5">
        <f ca="1">COUNTBLANK(OFFSET(Demand!$I171,0,(COLUMN(H159)-1)*5,1,1))</f>
        <v>1</v>
      </c>
      <c r="J162" s="5">
        <f ca="1">COUNTBLANK(OFFSET(Demand!$I171,0,(COLUMN(I159)-1)*5,1,1))</f>
        <v>1</v>
      </c>
      <c r="K162" s="5">
        <f ca="1">COUNTBLANK(OFFSET(Demand!$I171,0,(COLUMN(J159)-1)*5,1,1))</f>
        <v>1</v>
      </c>
      <c r="N162" s="5">
        <f ca="1">SUM(OFFSET(Demand!$E171,0,(COLUMN(A159)-1)*5,1,3))*N$2</f>
        <v>0</v>
      </c>
      <c r="O162" s="5">
        <f ca="1">SUM(OFFSET(Demand!$E171,0,(COLUMN(B159)-1)*5,1,3))*O$2</f>
        <v>0</v>
      </c>
      <c r="P162" s="5">
        <f ca="1">SUM(OFFSET(Demand!$E171,0,(COLUMN(C159)-1)*5,1,3))*P$2</f>
        <v>0</v>
      </c>
      <c r="Q162" s="5">
        <f ca="1">SUM(OFFSET(Demand!$E171,0,(COLUMN(D159)-1)*5,1,3))*Q$2</f>
        <v>0</v>
      </c>
      <c r="R162" s="5">
        <f ca="1">SUM(OFFSET(Demand!$E171,0,(COLUMN(E159)-1)*5,1,3))*R$2</f>
        <v>0</v>
      </c>
      <c r="S162" s="5">
        <f ca="1">SUM(OFFSET(Demand!$E171,0,(COLUMN(F159)-1)*5,1,3))*S$2</f>
        <v>0</v>
      </c>
      <c r="T162" s="5">
        <f ca="1">SUM(OFFSET(Demand!$E171,0,(COLUMN(G159)-1)*5,1,3))*T$2</f>
        <v>0</v>
      </c>
      <c r="U162" s="5">
        <f ca="1">SUM(OFFSET(Demand!$E171,0,(COLUMN(H159)-1)*5,1,3))*U$2</f>
        <v>0</v>
      </c>
      <c r="V162" s="5">
        <f ca="1">SUM(OFFSET(Demand!$E171,0,(COLUMN(I159)-1)*5,1,3))*V$2</f>
        <v>0</v>
      </c>
      <c r="W162" s="5">
        <f ca="1">SUM(OFFSET(Demand!$E171,0,(COLUMN(J159)-1)*5,1,3))*W$2</f>
        <v>0</v>
      </c>
      <c r="X162" s="5">
        <f t="shared" ca="1" si="44"/>
        <v>0</v>
      </c>
      <c r="Y162">
        <f t="shared" ca="1" si="45"/>
        <v>0</v>
      </c>
      <c r="Z162" s="5">
        <f ca="1">SUM(OFFSET(Demand!$H171,0,(COLUMN(A159)-1)*5,1,1))*N$2</f>
        <v>0</v>
      </c>
      <c r="AA162" s="5">
        <f ca="1">SUM(OFFSET(Demand!$H171,0,(COLUMN(B159)-1)*5,1,1))*O$2</f>
        <v>0</v>
      </c>
      <c r="AB162" s="5">
        <f ca="1">SUM(OFFSET(Demand!$H171,0,(COLUMN(C159)-1)*5,1,1))*P$2</f>
        <v>0</v>
      </c>
      <c r="AC162" s="5">
        <f ca="1">SUM(OFFSET(Demand!$H171,0,(COLUMN(D159)-1)*5,1,1))*Q$2</f>
        <v>0</v>
      </c>
      <c r="AD162" s="5">
        <f ca="1">SUM(OFFSET(Demand!$H171,0,(COLUMN(E159)-1)*5,1,1))*R$2</f>
        <v>0</v>
      </c>
      <c r="AE162" s="5">
        <f ca="1">SUM(OFFSET(Demand!$H171,0,(COLUMN(F159)-1)*5,1,1))*S$2</f>
        <v>0</v>
      </c>
      <c r="AF162" s="5">
        <f ca="1">SUM(OFFSET(Demand!$H171,0,(COLUMN(G159)-1)*5,1,1))*T$2</f>
        <v>0</v>
      </c>
      <c r="AG162" s="5">
        <f ca="1">SUM(OFFSET(Demand!$H171,0,(COLUMN(H159)-1)*5,1,1))*U$2</f>
        <v>0</v>
      </c>
      <c r="AH162" s="5">
        <f ca="1">SUM(OFFSET(Demand!$H171,0,(COLUMN(I159)-1)*5,1,1))*V$2</f>
        <v>0</v>
      </c>
      <c r="AI162" s="5">
        <f ca="1">SUM(OFFSET(Demand!$H171,0,(COLUMN(J159)-1)*5,1,1))*W$2</f>
        <v>0</v>
      </c>
      <c r="AJ162" s="5">
        <f t="shared" ca="1" si="46"/>
        <v>0</v>
      </c>
      <c r="AL162" s="5">
        <f t="shared" ca="1" si="47"/>
        <v>0</v>
      </c>
      <c r="AM162" s="5">
        <f t="shared" ca="1" si="48"/>
        <v>0</v>
      </c>
      <c r="AN162" s="5" t="str">
        <f>IF(Demand!BE171="Yes","Yes","")</f>
        <v/>
      </c>
      <c r="AP162" s="36" t="str">
        <f ca="1">Demand!B171</f>
        <v xml:space="preserve"> </v>
      </c>
      <c r="AQ162" t="str">
        <f ca="1">IF(TEXT(Demand!D171,"MMM")&lt;&gt;TEXT(Demand!D170,"MMM"),TEXT(Demand!D171,"MMM"),"")</f>
        <v/>
      </c>
      <c r="AT162" s="5">
        <f t="shared" ca="1" si="49"/>
        <v>0</v>
      </c>
      <c r="BQ162">
        <f ca="1">IF($AN162="",OFFSET(Demand!$A$13,ROW(A159)-1,4+((QUOTIENT(COLUMN(BQ$2)-69,3))*5)+MOD(COLUMN(BQ$2),3),1,1),"")</f>
        <v>0</v>
      </c>
      <c r="BR162">
        <f ca="1">IF($AN162="",OFFSET(Demand!$A$13,ROW(B159)-1,4+((QUOTIENT(COLUMN(BR$2)-69,3))*5)+MOD(COLUMN(BR$2),3),1,1),"")</f>
        <v>0</v>
      </c>
      <c r="BS162">
        <f ca="1">IF($AN162="",OFFSET(Demand!$A$13,ROW(C159)-1,4+((QUOTIENT(COLUMN(BS$2)-69,3))*5)+MOD(COLUMN(BS$2),3),1,1),"")</f>
        <v>0</v>
      </c>
      <c r="BT162">
        <f ca="1">IF($AN162="",OFFSET(Demand!$A$13,ROW(D159)-1,4+((QUOTIENT(COLUMN(BT$2)-69,3))*5)+MOD(COLUMN(BT$2),3),1,1),"")</f>
        <v>0</v>
      </c>
      <c r="BU162">
        <f ca="1">IF($AN162="",OFFSET(Demand!$A$13,ROW(E159)-1,4+((QUOTIENT(COLUMN(BU$2)-69,3))*5)+MOD(COLUMN(BU$2),3),1,1),"")</f>
        <v>0</v>
      </c>
      <c r="BV162">
        <f ca="1">IF($AN162="",OFFSET(Demand!$A$13,ROW(F159)-1,4+((QUOTIENT(COLUMN(BV$2)-69,3))*5)+MOD(COLUMN(BV$2),3),1,1),"")</f>
        <v>0</v>
      </c>
      <c r="BW162">
        <f ca="1">IF($AN162="",OFFSET(Demand!$A$13,ROW(G159)-1,4+((QUOTIENT(COLUMN(BW$2)-69,3))*5)+MOD(COLUMN(BW$2),3),1,1),"")</f>
        <v>0</v>
      </c>
      <c r="BX162">
        <f ca="1">IF($AN162="",OFFSET(Demand!$A$13,ROW(H159)-1,4+((QUOTIENT(COLUMN(BX$2)-69,3))*5)+MOD(COLUMN(BX$2),3),1,1),"")</f>
        <v>0</v>
      </c>
      <c r="BY162">
        <f ca="1">IF($AN162="",OFFSET(Demand!$A$13,ROW(I159)-1,4+((QUOTIENT(COLUMN(BY$2)-69,3))*5)+MOD(COLUMN(BY$2),3),1,1),"")</f>
        <v>0</v>
      </c>
      <c r="BZ162">
        <f ca="1">IF($AN162="",OFFSET(Demand!$A$13,ROW(J159)-1,4+((QUOTIENT(COLUMN(BZ$2)-69,3))*5)+MOD(COLUMN(BZ$2),3),1,1),"")</f>
        <v>0</v>
      </c>
      <c r="CA162">
        <f ca="1">IF($AN162="",OFFSET(Demand!$A$13,ROW(K159)-1,4+((QUOTIENT(COLUMN(CA$2)-69,3))*5)+MOD(COLUMN(CA$2),3),1,1),"")</f>
        <v>0</v>
      </c>
      <c r="CB162">
        <f ca="1">IF($AN162="",OFFSET(Demand!$A$13,ROW(L159)-1,4+((QUOTIENT(COLUMN(CB$2)-69,3))*5)+MOD(COLUMN(CB$2),3),1,1),"")</f>
        <v>0</v>
      </c>
      <c r="CC162">
        <f ca="1">IF($AN162="",OFFSET(Demand!$A$13,ROW(M159)-1,4+((QUOTIENT(COLUMN(CC$2)-69,3))*5)+MOD(COLUMN(CC$2),3),1,1),"")</f>
        <v>0</v>
      </c>
      <c r="CD162">
        <f ca="1">IF($AN162="",OFFSET(Demand!$A$13,ROW(N159)-1,4+((QUOTIENT(COLUMN(CD$2)-69,3))*5)+MOD(COLUMN(CD$2),3),1,1),"")</f>
        <v>0</v>
      </c>
      <c r="CE162">
        <f ca="1">IF($AN162="",OFFSET(Demand!$A$13,ROW(O159)-1,4+((QUOTIENT(COLUMN(CE$2)-69,3))*5)+MOD(COLUMN(CE$2),3),1,1),"")</f>
        <v>0</v>
      </c>
      <c r="CF162">
        <f ca="1">IF($AN162="",OFFSET(Demand!$A$13,ROW(P159)-1,4+((QUOTIENT(COLUMN(CF$2)-69,3))*5)+MOD(COLUMN(CF$2),3),1,1),"")</f>
        <v>0</v>
      </c>
      <c r="CG162">
        <f ca="1">IF($AN162="",OFFSET(Demand!$A$13,ROW(Q159)-1,4+((QUOTIENT(COLUMN(CG$2)-69,3))*5)+MOD(COLUMN(CG$2),3),1,1),"")</f>
        <v>0</v>
      </c>
      <c r="CH162">
        <f ca="1">IF($AN162="",OFFSET(Demand!$A$13,ROW(R159)-1,4+((QUOTIENT(COLUMN(CH$2)-69,3))*5)+MOD(COLUMN(CH$2),3),1,1),"")</f>
        <v>0</v>
      </c>
      <c r="CI162">
        <f ca="1">IF($AN162="",OFFSET(Demand!$A$13,ROW(S159)-1,4+((QUOTIENT(COLUMN(CI$2)-69,3))*5)+MOD(COLUMN(CI$2),3),1,1),"")</f>
        <v>0</v>
      </c>
      <c r="CJ162">
        <f ca="1">IF($AN162="",OFFSET(Demand!$A$13,ROW(T159)-1,4+((QUOTIENT(COLUMN(CJ$2)-69,3))*5)+MOD(COLUMN(CJ$2),3),1,1),"")</f>
        <v>0</v>
      </c>
      <c r="CK162">
        <f ca="1">IF($AN162="",OFFSET(Demand!$A$13,ROW(U159)-1,4+((QUOTIENT(COLUMN(CK$2)-69,3))*5)+MOD(COLUMN(CK$2),3),1,1),"")</f>
        <v>0</v>
      </c>
      <c r="CL162">
        <f ca="1">IF($AN162="",OFFSET(Demand!$A$13,ROW(V159)-1,4+((QUOTIENT(COLUMN(CL$2)-69,3))*5)+MOD(COLUMN(CL$2),3),1,1),"")</f>
        <v>0</v>
      </c>
      <c r="CM162">
        <f ca="1">IF($AN162="",OFFSET(Demand!$A$13,ROW(W159)-1,4+((QUOTIENT(COLUMN(CM$2)-69,3))*5)+MOD(COLUMN(CM$2),3),1,1),"")</f>
        <v>0</v>
      </c>
      <c r="CN162">
        <f ca="1">IF($AN162="",OFFSET(Demand!$A$13,ROW(X159)-1,4+((QUOTIENT(COLUMN(CN$2)-69,3))*5)+MOD(COLUMN(CN$2),3),1,1),"")</f>
        <v>0</v>
      </c>
      <c r="CO162">
        <f ca="1">IF($AN162="",OFFSET(Demand!$A$13,ROW(Y159)-1,4+((QUOTIENT(COLUMN(CO$2)-69,3))*5)+MOD(COLUMN(CO$2),3),1,1),"")</f>
        <v>0</v>
      </c>
      <c r="CP162">
        <f ca="1">IF($AN162="",OFFSET(Demand!$A$13,ROW(Z159)-1,4+((QUOTIENT(COLUMN(CP$2)-69,3))*5)+MOD(COLUMN(CP$2),3),1,1),"")</f>
        <v>0</v>
      </c>
      <c r="CQ162">
        <f ca="1">IF($AN162="",OFFSET(Demand!$A$13,ROW(AA159)-1,4+((QUOTIENT(COLUMN(CQ$2)-69,3))*5)+MOD(COLUMN(CQ$2),3),1,1),"")</f>
        <v>0</v>
      </c>
      <c r="CR162">
        <f ca="1">IF($AN162="",OFFSET(Demand!$A$13,ROW(AB159)-1,4+((QUOTIENT(COLUMN(CR$2)-69,3))*5)+MOD(COLUMN(CR$2),3),1,1),"")</f>
        <v>0</v>
      </c>
      <c r="CS162">
        <f ca="1">IF($AN162="",OFFSET(Demand!$A$13,ROW(AC159)-1,4+((QUOTIENT(COLUMN(CS$2)-69,3))*5)+MOD(COLUMN(CS$2),3),1,1),"")</f>
        <v>0</v>
      </c>
      <c r="CT162">
        <f ca="1">IF($AN162="",OFFSET(Demand!$A$13,ROW(AD159)-1,4+((QUOTIENT(COLUMN(CT$2)-69,3))*5)+MOD(COLUMN(CT$2),3),1,1),"")</f>
        <v>0</v>
      </c>
      <c r="CW162" s="5">
        <f ca="1">SUM(OFFSET(Demand!$H$43,ROW(A159)-1,(COLUMN(A159)-1)*5,1,1))*N$2</f>
        <v>0</v>
      </c>
      <c r="CX162" s="5">
        <f ca="1">SUM(OFFSET(Demand!$H$43,ROW(B159)-1,(COLUMN(B159)-1)*5,1,1))*O$2</f>
        <v>0</v>
      </c>
      <c r="CY162" s="5">
        <f ca="1">SUM(OFFSET(Demand!$H$43,ROW(C159)-1,(COLUMN(C159)-1)*5,1,1))*P$2</f>
        <v>0</v>
      </c>
      <c r="CZ162" s="5">
        <f ca="1">SUM(OFFSET(Demand!$H$43,ROW(D159)-1,(COLUMN(D159)-1)*5,1,1))*Q$2</f>
        <v>0</v>
      </c>
      <c r="DA162" s="5">
        <f ca="1">SUM(OFFSET(Demand!$H$43,ROW(E159)-1,(COLUMN(E159)-1)*5,1,1))*R$2</f>
        <v>0</v>
      </c>
      <c r="DB162" s="5">
        <f ca="1">SUM(OFFSET(Demand!$H$43,ROW(F159)-1,(COLUMN(F159)-1)*5,1,1))*S$2</f>
        <v>0</v>
      </c>
      <c r="DC162" s="5">
        <f ca="1">SUM(OFFSET(Demand!$H$43,ROW(G159)-1,(COLUMN(G159)-1)*5,1,1))*T$2</f>
        <v>0</v>
      </c>
      <c r="DD162" s="5">
        <f ca="1">SUM(OFFSET(Demand!$H$43,ROW(H159)-1,(COLUMN(H159)-1)*5,1,1))*U$2</f>
        <v>0</v>
      </c>
      <c r="DE162" s="5">
        <f ca="1">SUM(OFFSET(Demand!$H$43,ROW(I159)-1,(COLUMN(I159)-1)*5,1,1))*V$2</f>
        <v>0</v>
      </c>
      <c r="DF162" s="5">
        <f ca="1">SUM(OFFSET(Demand!$H$43,ROW(J159)-1,(COLUMN(J159)-1)*5,1,1))*W$2</f>
        <v>0</v>
      </c>
      <c r="DG162" s="5">
        <f ca="1">IF(OR(AN162&lt;&gt;"",AND('Demand adjustments for Covid'!$F$9="Yes",'Demand adjustments for Covid'!$F$20="Yes")),"",SUM(CW162:DF162))</f>
        <v>0</v>
      </c>
    </row>
    <row r="163" spans="1:111" x14ac:dyDescent="0.25">
      <c r="A163" s="5">
        <f t="shared" ca="1" si="43"/>
        <v>1</v>
      </c>
      <c r="B163" s="5">
        <f ca="1">COUNTBLANK(OFFSET(Demand!$I172,0,(COLUMN(A160)-1)*5,1,1))</f>
        <v>1</v>
      </c>
      <c r="C163" s="5">
        <f ca="1">COUNTBLANK(OFFSET(Demand!$I172,0,(COLUMN(B160)-1)*5,1,1))</f>
        <v>1</v>
      </c>
      <c r="D163" s="5">
        <f ca="1">COUNTBLANK(OFFSET(Demand!$I172,0,(COLUMN(C160)-1)*5,1,1))</f>
        <v>1</v>
      </c>
      <c r="E163" s="5">
        <f ca="1">COUNTBLANK(OFFSET(Demand!$I172,0,(COLUMN(D160)-1)*5,1,1))</f>
        <v>1</v>
      </c>
      <c r="F163" s="5">
        <f ca="1">COUNTBLANK(OFFSET(Demand!$I172,0,(COLUMN(E160)-1)*5,1,1))</f>
        <v>1</v>
      </c>
      <c r="G163" s="5">
        <f ca="1">COUNTBLANK(OFFSET(Demand!$I172,0,(COLUMN(F160)-1)*5,1,1))</f>
        <v>1</v>
      </c>
      <c r="H163" s="5">
        <f ca="1">COUNTBLANK(OFFSET(Demand!$I172,0,(COLUMN(G160)-1)*5,1,1))</f>
        <v>1</v>
      </c>
      <c r="I163" s="5">
        <f ca="1">COUNTBLANK(OFFSET(Demand!$I172,0,(COLUMN(H160)-1)*5,1,1))</f>
        <v>1</v>
      </c>
      <c r="J163" s="5">
        <f ca="1">COUNTBLANK(OFFSET(Demand!$I172,0,(COLUMN(I160)-1)*5,1,1))</f>
        <v>1</v>
      </c>
      <c r="K163" s="5">
        <f ca="1">COUNTBLANK(OFFSET(Demand!$I172,0,(COLUMN(J160)-1)*5,1,1))</f>
        <v>1</v>
      </c>
      <c r="N163" s="5">
        <f ca="1">SUM(OFFSET(Demand!$E172,0,(COLUMN(A160)-1)*5,1,3))*N$2</f>
        <v>0</v>
      </c>
      <c r="O163" s="5">
        <f ca="1">SUM(OFFSET(Demand!$E172,0,(COLUMN(B160)-1)*5,1,3))*O$2</f>
        <v>0</v>
      </c>
      <c r="P163" s="5">
        <f ca="1">SUM(OFFSET(Demand!$E172,0,(COLUMN(C160)-1)*5,1,3))*P$2</f>
        <v>0</v>
      </c>
      <c r="Q163" s="5">
        <f ca="1">SUM(OFFSET(Demand!$E172,0,(COLUMN(D160)-1)*5,1,3))*Q$2</f>
        <v>0</v>
      </c>
      <c r="R163" s="5">
        <f ca="1">SUM(OFFSET(Demand!$E172,0,(COLUMN(E160)-1)*5,1,3))*R$2</f>
        <v>0</v>
      </c>
      <c r="S163" s="5">
        <f ca="1">SUM(OFFSET(Demand!$E172,0,(COLUMN(F160)-1)*5,1,3))*S$2</f>
        <v>0</v>
      </c>
      <c r="T163" s="5">
        <f ca="1">SUM(OFFSET(Demand!$E172,0,(COLUMN(G160)-1)*5,1,3))*T$2</f>
        <v>0</v>
      </c>
      <c r="U163" s="5">
        <f ca="1">SUM(OFFSET(Demand!$E172,0,(COLUMN(H160)-1)*5,1,3))*U$2</f>
        <v>0</v>
      </c>
      <c r="V163" s="5">
        <f ca="1">SUM(OFFSET(Demand!$E172,0,(COLUMN(I160)-1)*5,1,3))*V$2</f>
        <v>0</v>
      </c>
      <c r="W163" s="5">
        <f ca="1">SUM(OFFSET(Demand!$E172,0,(COLUMN(J160)-1)*5,1,3))*W$2</f>
        <v>0</v>
      </c>
      <c r="X163" s="5">
        <f t="shared" ca="1" si="44"/>
        <v>0</v>
      </c>
      <c r="Y163">
        <f t="shared" ca="1" si="45"/>
        <v>0</v>
      </c>
      <c r="Z163" s="5">
        <f ca="1">SUM(OFFSET(Demand!$H172,0,(COLUMN(A160)-1)*5,1,1))*N$2</f>
        <v>0</v>
      </c>
      <c r="AA163" s="5">
        <f ca="1">SUM(OFFSET(Demand!$H172,0,(COLUMN(B160)-1)*5,1,1))*O$2</f>
        <v>0</v>
      </c>
      <c r="AB163" s="5">
        <f ca="1">SUM(OFFSET(Demand!$H172,0,(COLUMN(C160)-1)*5,1,1))*P$2</f>
        <v>0</v>
      </c>
      <c r="AC163" s="5">
        <f ca="1">SUM(OFFSET(Demand!$H172,0,(COLUMN(D160)-1)*5,1,1))*Q$2</f>
        <v>0</v>
      </c>
      <c r="AD163" s="5">
        <f ca="1">SUM(OFFSET(Demand!$H172,0,(COLUMN(E160)-1)*5,1,1))*R$2</f>
        <v>0</v>
      </c>
      <c r="AE163" s="5">
        <f ca="1">SUM(OFFSET(Demand!$H172,0,(COLUMN(F160)-1)*5,1,1))*S$2</f>
        <v>0</v>
      </c>
      <c r="AF163" s="5">
        <f ca="1">SUM(OFFSET(Demand!$H172,0,(COLUMN(G160)-1)*5,1,1))*T$2</f>
        <v>0</v>
      </c>
      <c r="AG163" s="5">
        <f ca="1">SUM(OFFSET(Demand!$H172,0,(COLUMN(H160)-1)*5,1,1))*U$2</f>
        <v>0</v>
      </c>
      <c r="AH163" s="5">
        <f ca="1">SUM(OFFSET(Demand!$H172,0,(COLUMN(I160)-1)*5,1,1))*V$2</f>
        <v>0</v>
      </c>
      <c r="AI163" s="5">
        <f ca="1">SUM(OFFSET(Demand!$H172,0,(COLUMN(J160)-1)*5,1,1))*W$2</f>
        <v>0</v>
      </c>
      <c r="AJ163" s="5">
        <f t="shared" ca="1" si="46"/>
        <v>0</v>
      </c>
      <c r="AL163" s="5">
        <f t="shared" ca="1" si="47"/>
        <v>0</v>
      </c>
      <c r="AM163" s="5">
        <f t="shared" ca="1" si="48"/>
        <v>0</v>
      </c>
      <c r="AN163" s="5" t="str">
        <f>IF(Demand!BE172="Yes","Yes","")</f>
        <v/>
      </c>
      <c r="AP163" s="36" t="str">
        <f ca="1">Demand!B172</f>
        <v xml:space="preserve"> </v>
      </c>
      <c r="AQ163" t="str">
        <f ca="1">IF(TEXT(Demand!D172,"MMM")&lt;&gt;TEXT(Demand!D171,"MMM"),TEXT(Demand!D172,"MMM"),"")</f>
        <v/>
      </c>
      <c r="AT163" s="5">
        <f t="shared" ca="1" si="49"/>
        <v>0</v>
      </c>
      <c r="BQ163">
        <f ca="1">IF($AN163="",OFFSET(Demand!$A$13,ROW(A160)-1,4+((QUOTIENT(COLUMN(BQ$2)-69,3))*5)+MOD(COLUMN(BQ$2),3),1,1),"")</f>
        <v>0</v>
      </c>
      <c r="BR163">
        <f ca="1">IF($AN163="",OFFSET(Demand!$A$13,ROW(B160)-1,4+((QUOTIENT(COLUMN(BR$2)-69,3))*5)+MOD(COLUMN(BR$2),3),1,1),"")</f>
        <v>0</v>
      </c>
      <c r="BS163">
        <f ca="1">IF($AN163="",OFFSET(Demand!$A$13,ROW(C160)-1,4+((QUOTIENT(COLUMN(BS$2)-69,3))*5)+MOD(COLUMN(BS$2),3),1,1),"")</f>
        <v>0</v>
      </c>
      <c r="BT163">
        <f ca="1">IF($AN163="",OFFSET(Demand!$A$13,ROW(D160)-1,4+((QUOTIENT(COLUMN(BT$2)-69,3))*5)+MOD(COLUMN(BT$2),3),1,1),"")</f>
        <v>0</v>
      </c>
      <c r="BU163">
        <f ca="1">IF($AN163="",OFFSET(Demand!$A$13,ROW(E160)-1,4+((QUOTIENT(COLUMN(BU$2)-69,3))*5)+MOD(COLUMN(BU$2),3),1,1),"")</f>
        <v>0</v>
      </c>
      <c r="BV163">
        <f ca="1">IF($AN163="",OFFSET(Demand!$A$13,ROW(F160)-1,4+((QUOTIENT(COLUMN(BV$2)-69,3))*5)+MOD(COLUMN(BV$2),3),1,1),"")</f>
        <v>0</v>
      </c>
      <c r="BW163">
        <f ca="1">IF($AN163="",OFFSET(Demand!$A$13,ROW(G160)-1,4+((QUOTIENT(COLUMN(BW$2)-69,3))*5)+MOD(COLUMN(BW$2),3),1,1),"")</f>
        <v>0</v>
      </c>
      <c r="BX163">
        <f ca="1">IF($AN163="",OFFSET(Demand!$A$13,ROW(H160)-1,4+((QUOTIENT(COLUMN(BX$2)-69,3))*5)+MOD(COLUMN(BX$2),3),1,1),"")</f>
        <v>0</v>
      </c>
      <c r="BY163">
        <f ca="1">IF($AN163="",OFFSET(Demand!$A$13,ROW(I160)-1,4+((QUOTIENT(COLUMN(BY$2)-69,3))*5)+MOD(COLUMN(BY$2),3),1,1),"")</f>
        <v>0</v>
      </c>
      <c r="BZ163">
        <f ca="1">IF($AN163="",OFFSET(Demand!$A$13,ROW(J160)-1,4+((QUOTIENT(COLUMN(BZ$2)-69,3))*5)+MOD(COLUMN(BZ$2),3),1,1),"")</f>
        <v>0</v>
      </c>
      <c r="CA163">
        <f ca="1">IF($AN163="",OFFSET(Demand!$A$13,ROW(K160)-1,4+((QUOTIENT(COLUMN(CA$2)-69,3))*5)+MOD(COLUMN(CA$2),3),1,1),"")</f>
        <v>0</v>
      </c>
      <c r="CB163">
        <f ca="1">IF($AN163="",OFFSET(Demand!$A$13,ROW(L160)-1,4+((QUOTIENT(COLUMN(CB$2)-69,3))*5)+MOD(COLUMN(CB$2),3),1,1),"")</f>
        <v>0</v>
      </c>
      <c r="CC163">
        <f ca="1">IF($AN163="",OFFSET(Demand!$A$13,ROW(M160)-1,4+((QUOTIENT(COLUMN(CC$2)-69,3))*5)+MOD(COLUMN(CC$2),3),1,1),"")</f>
        <v>0</v>
      </c>
      <c r="CD163">
        <f ca="1">IF($AN163="",OFFSET(Demand!$A$13,ROW(N160)-1,4+((QUOTIENT(COLUMN(CD$2)-69,3))*5)+MOD(COLUMN(CD$2),3),1,1),"")</f>
        <v>0</v>
      </c>
      <c r="CE163">
        <f ca="1">IF($AN163="",OFFSET(Demand!$A$13,ROW(O160)-1,4+((QUOTIENT(COLUMN(CE$2)-69,3))*5)+MOD(COLUMN(CE$2),3),1,1),"")</f>
        <v>0</v>
      </c>
      <c r="CF163">
        <f ca="1">IF($AN163="",OFFSET(Demand!$A$13,ROW(P160)-1,4+((QUOTIENT(COLUMN(CF$2)-69,3))*5)+MOD(COLUMN(CF$2),3),1,1),"")</f>
        <v>0</v>
      </c>
      <c r="CG163">
        <f ca="1">IF($AN163="",OFFSET(Demand!$A$13,ROW(Q160)-1,4+((QUOTIENT(COLUMN(CG$2)-69,3))*5)+MOD(COLUMN(CG$2),3),1,1),"")</f>
        <v>0</v>
      </c>
      <c r="CH163">
        <f ca="1">IF($AN163="",OFFSET(Demand!$A$13,ROW(R160)-1,4+((QUOTIENT(COLUMN(CH$2)-69,3))*5)+MOD(COLUMN(CH$2),3),1,1),"")</f>
        <v>0</v>
      </c>
      <c r="CI163">
        <f ca="1">IF($AN163="",OFFSET(Demand!$A$13,ROW(S160)-1,4+((QUOTIENT(COLUMN(CI$2)-69,3))*5)+MOD(COLUMN(CI$2),3),1,1),"")</f>
        <v>0</v>
      </c>
      <c r="CJ163">
        <f ca="1">IF($AN163="",OFFSET(Demand!$A$13,ROW(T160)-1,4+((QUOTIENT(COLUMN(CJ$2)-69,3))*5)+MOD(COLUMN(CJ$2),3),1,1),"")</f>
        <v>0</v>
      </c>
      <c r="CK163">
        <f ca="1">IF($AN163="",OFFSET(Demand!$A$13,ROW(U160)-1,4+((QUOTIENT(COLUMN(CK$2)-69,3))*5)+MOD(COLUMN(CK$2),3),1,1),"")</f>
        <v>0</v>
      </c>
      <c r="CL163">
        <f ca="1">IF($AN163="",OFFSET(Demand!$A$13,ROW(V160)-1,4+((QUOTIENT(COLUMN(CL$2)-69,3))*5)+MOD(COLUMN(CL$2),3),1,1),"")</f>
        <v>0</v>
      </c>
      <c r="CM163">
        <f ca="1">IF($AN163="",OFFSET(Demand!$A$13,ROW(W160)-1,4+((QUOTIENT(COLUMN(CM$2)-69,3))*5)+MOD(COLUMN(CM$2),3),1,1),"")</f>
        <v>0</v>
      </c>
      <c r="CN163">
        <f ca="1">IF($AN163="",OFFSET(Demand!$A$13,ROW(X160)-1,4+((QUOTIENT(COLUMN(CN$2)-69,3))*5)+MOD(COLUMN(CN$2),3),1,1),"")</f>
        <v>0</v>
      </c>
      <c r="CO163">
        <f ca="1">IF($AN163="",OFFSET(Demand!$A$13,ROW(Y160)-1,4+((QUOTIENT(COLUMN(CO$2)-69,3))*5)+MOD(COLUMN(CO$2),3),1,1),"")</f>
        <v>0</v>
      </c>
      <c r="CP163">
        <f ca="1">IF($AN163="",OFFSET(Demand!$A$13,ROW(Z160)-1,4+((QUOTIENT(COLUMN(CP$2)-69,3))*5)+MOD(COLUMN(CP$2),3),1,1),"")</f>
        <v>0</v>
      </c>
      <c r="CQ163">
        <f ca="1">IF($AN163="",OFFSET(Demand!$A$13,ROW(AA160)-1,4+((QUOTIENT(COLUMN(CQ$2)-69,3))*5)+MOD(COLUMN(CQ$2),3),1,1),"")</f>
        <v>0</v>
      </c>
      <c r="CR163">
        <f ca="1">IF($AN163="",OFFSET(Demand!$A$13,ROW(AB160)-1,4+((QUOTIENT(COLUMN(CR$2)-69,3))*5)+MOD(COLUMN(CR$2),3),1,1),"")</f>
        <v>0</v>
      </c>
      <c r="CS163">
        <f ca="1">IF($AN163="",OFFSET(Demand!$A$13,ROW(AC160)-1,4+((QUOTIENT(COLUMN(CS$2)-69,3))*5)+MOD(COLUMN(CS$2),3),1,1),"")</f>
        <v>0</v>
      </c>
      <c r="CT163">
        <f ca="1">IF($AN163="",OFFSET(Demand!$A$13,ROW(AD160)-1,4+((QUOTIENT(COLUMN(CT$2)-69,3))*5)+MOD(COLUMN(CT$2),3),1,1),"")</f>
        <v>0</v>
      </c>
      <c r="CW163" s="5">
        <f ca="1">SUM(OFFSET(Demand!$H$43,ROW(A160)-1,(COLUMN(A160)-1)*5,1,1))*N$2</f>
        <v>0</v>
      </c>
      <c r="CX163" s="5">
        <f ca="1">SUM(OFFSET(Demand!$H$43,ROW(B160)-1,(COLUMN(B160)-1)*5,1,1))*O$2</f>
        <v>0</v>
      </c>
      <c r="CY163" s="5">
        <f ca="1">SUM(OFFSET(Demand!$H$43,ROW(C160)-1,(COLUMN(C160)-1)*5,1,1))*P$2</f>
        <v>0</v>
      </c>
      <c r="CZ163" s="5">
        <f ca="1">SUM(OFFSET(Demand!$H$43,ROW(D160)-1,(COLUMN(D160)-1)*5,1,1))*Q$2</f>
        <v>0</v>
      </c>
      <c r="DA163" s="5">
        <f ca="1">SUM(OFFSET(Demand!$H$43,ROW(E160)-1,(COLUMN(E160)-1)*5,1,1))*R$2</f>
        <v>0</v>
      </c>
      <c r="DB163" s="5">
        <f ca="1">SUM(OFFSET(Demand!$H$43,ROW(F160)-1,(COLUMN(F160)-1)*5,1,1))*S$2</f>
        <v>0</v>
      </c>
      <c r="DC163" s="5">
        <f ca="1">SUM(OFFSET(Demand!$H$43,ROW(G160)-1,(COLUMN(G160)-1)*5,1,1))*T$2</f>
        <v>0</v>
      </c>
      <c r="DD163" s="5">
        <f ca="1">SUM(OFFSET(Demand!$H$43,ROW(H160)-1,(COLUMN(H160)-1)*5,1,1))*U$2</f>
        <v>0</v>
      </c>
      <c r="DE163" s="5">
        <f ca="1">SUM(OFFSET(Demand!$H$43,ROW(I160)-1,(COLUMN(I160)-1)*5,1,1))*V$2</f>
        <v>0</v>
      </c>
      <c r="DF163" s="5">
        <f ca="1">SUM(OFFSET(Demand!$H$43,ROW(J160)-1,(COLUMN(J160)-1)*5,1,1))*W$2</f>
        <v>0</v>
      </c>
      <c r="DG163" s="5">
        <f ca="1">IF(OR(AN163&lt;&gt;"",AND('Demand adjustments for Covid'!$F$9="Yes",'Demand adjustments for Covid'!$F$20="Yes")),"",SUM(CW163:DF163))</f>
        <v>0</v>
      </c>
    </row>
    <row r="164" spans="1:111" x14ac:dyDescent="0.25">
      <c r="A164" s="5">
        <f t="shared" ca="1" si="43"/>
        <v>1</v>
      </c>
      <c r="B164" s="5">
        <f ca="1">COUNTBLANK(OFFSET(Demand!$I173,0,(COLUMN(A161)-1)*5,1,1))</f>
        <v>1</v>
      </c>
      <c r="C164" s="5">
        <f ca="1">COUNTBLANK(OFFSET(Demand!$I173,0,(COLUMN(B161)-1)*5,1,1))</f>
        <v>1</v>
      </c>
      <c r="D164" s="5">
        <f ca="1">COUNTBLANK(OFFSET(Demand!$I173,0,(COLUMN(C161)-1)*5,1,1))</f>
        <v>1</v>
      </c>
      <c r="E164" s="5">
        <f ca="1">COUNTBLANK(OFFSET(Demand!$I173,0,(COLUMN(D161)-1)*5,1,1))</f>
        <v>1</v>
      </c>
      <c r="F164" s="5">
        <f ca="1">COUNTBLANK(OFFSET(Demand!$I173,0,(COLUMN(E161)-1)*5,1,1))</f>
        <v>1</v>
      </c>
      <c r="G164" s="5">
        <f ca="1">COUNTBLANK(OFFSET(Demand!$I173,0,(COLUMN(F161)-1)*5,1,1))</f>
        <v>1</v>
      </c>
      <c r="H164" s="5">
        <f ca="1">COUNTBLANK(OFFSET(Demand!$I173,0,(COLUMN(G161)-1)*5,1,1))</f>
        <v>1</v>
      </c>
      <c r="I164" s="5">
        <f ca="1">COUNTBLANK(OFFSET(Demand!$I173,0,(COLUMN(H161)-1)*5,1,1))</f>
        <v>1</v>
      </c>
      <c r="J164" s="5">
        <f ca="1">COUNTBLANK(OFFSET(Demand!$I173,0,(COLUMN(I161)-1)*5,1,1))</f>
        <v>1</v>
      </c>
      <c r="K164" s="5">
        <f ca="1">COUNTBLANK(OFFSET(Demand!$I173,0,(COLUMN(J161)-1)*5,1,1))</f>
        <v>1</v>
      </c>
      <c r="N164" s="5">
        <f ca="1">SUM(OFFSET(Demand!$E173,0,(COLUMN(A161)-1)*5,1,3))*N$2</f>
        <v>0</v>
      </c>
      <c r="O164" s="5">
        <f ca="1">SUM(OFFSET(Demand!$E173,0,(COLUMN(B161)-1)*5,1,3))*O$2</f>
        <v>0</v>
      </c>
      <c r="P164" s="5">
        <f ca="1">SUM(OFFSET(Demand!$E173,0,(COLUMN(C161)-1)*5,1,3))*P$2</f>
        <v>0</v>
      </c>
      <c r="Q164" s="5">
        <f ca="1">SUM(OFFSET(Demand!$E173,0,(COLUMN(D161)-1)*5,1,3))*Q$2</f>
        <v>0</v>
      </c>
      <c r="R164" s="5">
        <f ca="1">SUM(OFFSET(Demand!$E173,0,(COLUMN(E161)-1)*5,1,3))*R$2</f>
        <v>0</v>
      </c>
      <c r="S164" s="5">
        <f ca="1">SUM(OFFSET(Demand!$E173,0,(COLUMN(F161)-1)*5,1,3))*S$2</f>
        <v>0</v>
      </c>
      <c r="T164" s="5">
        <f ca="1">SUM(OFFSET(Demand!$E173,0,(COLUMN(G161)-1)*5,1,3))*T$2</f>
        <v>0</v>
      </c>
      <c r="U164" s="5">
        <f ca="1">SUM(OFFSET(Demand!$E173,0,(COLUMN(H161)-1)*5,1,3))*U$2</f>
        <v>0</v>
      </c>
      <c r="V164" s="5">
        <f ca="1">SUM(OFFSET(Demand!$E173,0,(COLUMN(I161)-1)*5,1,3))*V$2</f>
        <v>0</v>
      </c>
      <c r="W164" s="5">
        <f ca="1">SUM(OFFSET(Demand!$E173,0,(COLUMN(J161)-1)*5,1,3))*W$2</f>
        <v>0</v>
      </c>
      <c r="X164" s="5">
        <f t="shared" ca="1" si="44"/>
        <v>0</v>
      </c>
      <c r="Y164">
        <f t="shared" ca="1" si="45"/>
        <v>0</v>
      </c>
      <c r="Z164" s="5">
        <f ca="1">SUM(OFFSET(Demand!$H173,0,(COLUMN(A161)-1)*5,1,1))*N$2</f>
        <v>0</v>
      </c>
      <c r="AA164" s="5">
        <f ca="1">SUM(OFFSET(Demand!$H173,0,(COLUMN(B161)-1)*5,1,1))*O$2</f>
        <v>0</v>
      </c>
      <c r="AB164" s="5">
        <f ca="1">SUM(OFFSET(Demand!$H173,0,(COLUMN(C161)-1)*5,1,1))*P$2</f>
        <v>0</v>
      </c>
      <c r="AC164" s="5">
        <f ca="1">SUM(OFFSET(Demand!$H173,0,(COLUMN(D161)-1)*5,1,1))*Q$2</f>
        <v>0</v>
      </c>
      <c r="AD164" s="5">
        <f ca="1">SUM(OFFSET(Demand!$H173,0,(COLUMN(E161)-1)*5,1,1))*R$2</f>
        <v>0</v>
      </c>
      <c r="AE164" s="5">
        <f ca="1">SUM(OFFSET(Demand!$H173,0,(COLUMN(F161)-1)*5,1,1))*S$2</f>
        <v>0</v>
      </c>
      <c r="AF164" s="5">
        <f ca="1">SUM(OFFSET(Demand!$H173,0,(COLUMN(G161)-1)*5,1,1))*T$2</f>
        <v>0</v>
      </c>
      <c r="AG164" s="5">
        <f ca="1">SUM(OFFSET(Demand!$H173,0,(COLUMN(H161)-1)*5,1,1))*U$2</f>
        <v>0</v>
      </c>
      <c r="AH164" s="5">
        <f ca="1">SUM(OFFSET(Demand!$H173,0,(COLUMN(I161)-1)*5,1,1))*V$2</f>
        <v>0</v>
      </c>
      <c r="AI164" s="5">
        <f ca="1">SUM(OFFSET(Demand!$H173,0,(COLUMN(J161)-1)*5,1,1))*W$2</f>
        <v>0</v>
      </c>
      <c r="AJ164" s="5">
        <f t="shared" ca="1" si="46"/>
        <v>0</v>
      </c>
      <c r="AL164" s="5">
        <f t="shared" ca="1" si="47"/>
        <v>0</v>
      </c>
      <c r="AM164" s="5">
        <f t="shared" ca="1" si="48"/>
        <v>0</v>
      </c>
      <c r="AN164" s="5" t="str">
        <f>IF(Demand!BE173="Yes","Yes","")</f>
        <v/>
      </c>
      <c r="AP164" s="36" t="str">
        <f ca="1">Demand!B173</f>
        <v xml:space="preserve"> </v>
      </c>
      <c r="AQ164" t="str">
        <f ca="1">IF(TEXT(Demand!D173,"MMM")&lt;&gt;TEXT(Demand!D172,"MMM"),TEXT(Demand!D173,"MMM"),"")</f>
        <v/>
      </c>
      <c r="AT164" s="5">
        <f t="shared" ca="1" si="49"/>
        <v>0</v>
      </c>
      <c r="BQ164">
        <f ca="1">IF($AN164="",OFFSET(Demand!$A$13,ROW(A161)-1,4+((QUOTIENT(COLUMN(BQ$2)-69,3))*5)+MOD(COLUMN(BQ$2),3),1,1),"")</f>
        <v>0</v>
      </c>
      <c r="BR164">
        <f ca="1">IF($AN164="",OFFSET(Demand!$A$13,ROW(B161)-1,4+((QUOTIENT(COLUMN(BR$2)-69,3))*5)+MOD(COLUMN(BR$2),3),1,1),"")</f>
        <v>0</v>
      </c>
      <c r="BS164">
        <f ca="1">IF($AN164="",OFFSET(Demand!$A$13,ROW(C161)-1,4+((QUOTIENT(COLUMN(BS$2)-69,3))*5)+MOD(COLUMN(BS$2),3),1,1),"")</f>
        <v>0</v>
      </c>
      <c r="BT164">
        <f ca="1">IF($AN164="",OFFSET(Demand!$A$13,ROW(D161)-1,4+((QUOTIENT(COLUMN(BT$2)-69,3))*5)+MOD(COLUMN(BT$2),3),1,1),"")</f>
        <v>0</v>
      </c>
      <c r="BU164">
        <f ca="1">IF($AN164="",OFFSET(Demand!$A$13,ROW(E161)-1,4+((QUOTIENT(COLUMN(BU$2)-69,3))*5)+MOD(COLUMN(BU$2),3),1,1),"")</f>
        <v>0</v>
      </c>
      <c r="BV164">
        <f ca="1">IF($AN164="",OFFSET(Demand!$A$13,ROW(F161)-1,4+((QUOTIENT(COLUMN(BV$2)-69,3))*5)+MOD(COLUMN(BV$2),3),1,1),"")</f>
        <v>0</v>
      </c>
      <c r="BW164">
        <f ca="1">IF($AN164="",OFFSET(Demand!$A$13,ROW(G161)-1,4+((QUOTIENT(COLUMN(BW$2)-69,3))*5)+MOD(COLUMN(BW$2),3),1,1),"")</f>
        <v>0</v>
      </c>
      <c r="BX164">
        <f ca="1">IF($AN164="",OFFSET(Demand!$A$13,ROW(H161)-1,4+((QUOTIENT(COLUMN(BX$2)-69,3))*5)+MOD(COLUMN(BX$2),3),1,1),"")</f>
        <v>0</v>
      </c>
      <c r="BY164">
        <f ca="1">IF($AN164="",OFFSET(Demand!$A$13,ROW(I161)-1,4+((QUOTIENT(COLUMN(BY$2)-69,3))*5)+MOD(COLUMN(BY$2),3),1,1),"")</f>
        <v>0</v>
      </c>
      <c r="BZ164">
        <f ca="1">IF($AN164="",OFFSET(Demand!$A$13,ROW(J161)-1,4+((QUOTIENT(COLUMN(BZ$2)-69,3))*5)+MOD(COLUMN(BZ$2),3),1,1),"")</f>
        <v>0</v>
      </c>
      <c r="CA164">
        <f ca="1">IF($AN164="",OFFSET(Demand!$A$13,ROW(K161)-1,4+((QUOTIENT(COLUMN(CA$2)-69,3))*5)+MOD(COLUMN(CA$2),3),1,1),"")</f>
        <v>0</v>
      </c>
      <c r="CB164">
        <f ca="1">IF($AN164="",OFFSET(Demand!$A$13,ROW(L161)-1,4+((QUOTIENT(COLUMN(CB$2)-69,3))*5)+MOD(COLUMN(CB$2),3),1,1),"")</f>
        <v>0</v>
      </c>
      <c r="CC164">
        <f ca="1">IF($AN164="",OFFSET(Demand!$A$13,ROW(M161)-1,4+((QUOTIENT(COLUMN(CC$2)-69,3))*5)+MOD(COLUMN(CC$2),3),1,1),"")</f>
        <v>0</v>
      </c>
      <c r="CD164">
        <f ca="1">IF($AN164="",OFFSET(Demand!$A$13,ROW(N161)-1,4+((QUOTIENT(COLUMN(CD$2)-69,3))*5)+MOD(COLUMN(CD$2),3),1,1),"")</f>
        <v>0</v>
      </c>
      <c r="CE164">
        <f ca="1">IF($AN164="",OFFSET(Demand!$A$13,ROW(O161)-1,4+((QUOTIENT(COLUMN(CE$2)-69,3))*5)+MOD(COLUMN(CE$2),3),1,1),"")</f>
        <v>0</v>
      </c>
      <c r="CF164">
        <f ca="1">IF($AN164="",OFFSET(Demand!$A$13,ROW(P161)-1,4+((QUOTIENT(COLUMN(CF$2)-69,3))*5)+MOD(COLUMN(CF$2),3),1,1),"")</f>
        <v>0</v>
      </c>
      <c r="CG164">
        <f ca="1">IF($AN164="",OFFSET(Demand!$A$13,ROW(Q161)-1,4+((QUOTIENT(COLUMN(CG$2)-69,3))*5)+MOD(COLUMN(CG$2),3),1,1),"")</f>
        <v>0</v>
      </c>
      <c r="CH164">
        <f ca="1">IF($AN164="",OFFSET(Demand!$A$13,ROW(R161)-1,4+((QUOTIENT(COLUMN(CH$2)-69,3))*5)+MOD(COLUMN(CH$2),3),1,1),"")</f>
        <v>0</v>
      </c>
      <c r="CI164">
        <f ca="1">IF($AN164="",OFFSET(Demand!$A$13,ROW(S161)-1,4+((QUOTIENT(COLUMN(CI$2)-69,3))*5)+MOD(COLUMN(CI$2),3),1,1),"")</f>
        <v>0</v>
      </c>
      <c r="CJ164">
        <f ca="1">IF($AN164="",OFFSET(Demand!$A$13,ROW(T161)-1,4+((QUOTIENT(COLUMN(CJ$2)-69,3))*5)+MOD(COLUMN(CJ$2),3),1,1),"")</f>
        <v>0</v>
      </c>
      <c r="CK164">
        <f ca="1">IF($AN164="",OFFSET(Demand!$A$13,ROW(U161)-1,4+((QUOTIENT(COLUMN(CK$2)-69,3))*5)+MOD(COLUMN(CK$2),3),1,1),"")</f>
        <v>0</v>
      </c>
      <c r="CL164">
        <f ca="1">IF($AN164="",OFFSET(Demand!$A$13,ROW(V161)-1,4+((QUOTIENT(COLUMN(CL$2)-69,3))*5)+MOD(COLUMN(CL$2),3),1,1),"")</f>
        <v>0</v>
      </c>
      <c r="CM164">
        <f ca="1">IF($AN164="",OFFSET(Demand!$A$13,ROW(W161)-1,4+((QUOTIENT(COLUMN(CM$2)-69,3))*5)+MOD(COLUMN(CM$2),3),1,1),"")</f>
        <v>0</v>
      </c>
      <c r="CN164">
        <f ca="1">IF($AN164="",OFFSET(Demand!$A$13,ROW(X161)-1,4+((QUOTIENT(COLUMN(CN$2)-69,3))*5)+MOD(COLUMN(CN$2),3),1,1),"")</f>
        <v>0</v>
      </c>
      <c r="CO164">
        <f ca="1">IF($AN164="",OFFSET(Demand!$A$13,ROW(Y161)-1,4+((QUOTIENT(COLUMN(CO$2)-69,3))*5)+MOD(COLUMN(CO$2),3),1,1),"")</f>
        <v>0</v>
      </c>
      <c r="CP164">
        <f ca="1">IF($AN164="",OFFSET(Demand!$A$13,ROW(Z161)-1,4+((QUOTIENT(COLUMN(CP$2)-69,3))*5)+MOD(COLUMN(CP$2),3),1,1),"")</f>
        <v>0</v>
      </c>
      <c r="CQ164">
        <f ca="1">IF($AN164="",OFFSET(Demand!$A$13,ROW(AA161)-1,4+((QUOTIENT(COLUMN(CQ$2)-69,3))*5)+MOD(COLUMN(CQ$2),3),1,1),"")</f>
        <v>0</v>
      </c>
      <c r="CR164">
        <f ca="1">IF($AN164="",OFFSET(Demand!$A$13,ROW(AB161)-1,4+((QUOTIENT(COLUMN(CR$2)-69,3))*5)+MOD(COLUMN(CR$2),3),1,1),"")</f>
        <v>0</v>
      </c>
      <c r="CS164">
        <f ca="1">IF($AN164="",OFFSET(Demand!$A$13,ROW(AC161)-1,4+((QUOTIENT(COLUMN(CS$2)-69,3))*5)+MOD(COLUMN(CS$2),3),1,1),"")</f>
        <v>0</v>
      </c>
      <c r="CT164">
        <f ca="1">IF($AN164="",OFFSET(Demand!$A$13,ROW(AD161)-1,4+((QUOTIENT(COLUMN(CT$2)-69,3))*5)+MOD(COLUMN(CT$2),3),1,1),"")</f>
        <v>0</v>
      </c>
      <c r="CW164" s="5">
        <f ca="1">SUM(OFFSET(Demand!$H$43,ROW(A161)-1,(COLUMN(A161)-1)*5,1,1))*N$2</f>
        <v>0</v>
      </c>
      <c r="CX164" s="5">
        <f ca="1">SUM(OFFSET(Demand!$H$43,ROW(B161)-1,(COLUMN(B161)-1)*5,1,1))*O$2</f>
        <v>0</v>
      </c>
      <c r="CY164" s="5">
        <f ca="1">SUM(OFFSET(Demand!$H$43,ROW(C161)-1,(COLUMN(C161)-1)*5,1,1))*P$2</f>
        <v>0</v>
      </c>
      <c r="CZ164" s="5">
        <f ca="1">SUM(OFFSET(Demand!$H$43,ROW(D161)-1,(COLUMN(D161)-1)*5,1,1))*Q$2</f>
        <v>0</v>
      </c>
      <c r="DA164" s="5">
        <f ca="1">SUM(OFFSET(Demand!$H$43,ROW(E161)-1,(COLUMN(E161)-1)*5,1,1))*R$2</f>
        <v>0</v>
      </c>
      <c r="DB164" s="5">
        <f ca="1">SUM(OFFSET(Demand!$H$43,ROW(F161)-1,(COLUMN(F161)-1)*5,1,1))*S$2</f>
        <v>0</v>
      </c>
      <c r="DC164" s="5">
        <f ca="1">SUM(OFFSET(Demand!$H$43,ROW(G161)-1,(COLUMN(G161)-1)*5,1,1))*T$2</f>
        <v>0</v>
      </c>
      <c r="DD164" s="5">
        <f ca="1">SUM(OFFSET(Demand!$H$43,ROW(H161)-1,(COLUMN(H161)-1)*5,1,1))*U$2</f>
        <v>0</v>
      </c>
      <c r="DE164" s="5">
        <f ca="1">SUM(OFFSET(Demand!$H$43,ROW(I161)-1,(COLUMN(I161)-1)*5,1,1))*V$2</f>
        <v>0</v>
      </c>
      <c r="DF164" s="5">
        <f ca="1">SUM(OFFSET(Demand!$H$43,ROW(J161)-1,(COLUMN(J161)-1)*5,1,1))*W$2</f>
        <v>0</v>
      </c>
      <c r="DG164" s="5">
        <f ca="1">IF(OR(AN164&lt;&gt;"",AND('Demand adjustments for Covid'!$F$9="Yes",'Demand adjustments for Covid'!$F$20="Yes")),"",SUM(CW164:DF164))</f>
        <v>0</v>
      </c>
    </row>
    <row r="165" spans="1:111" x14ac:dyDescent="0.25">
      <c r="A165" s="5">
        <f t="shared" ca="1" si="43"/>
        <v>1</v>
      </c>
      <c r="B165" s="5">
        <f ca="1">COUNTBLANK(OFFSET(Demand!$I174,0,(COLUMN(A162)-1)*5,1,1))</f>
        <v>1</v>
      </c>
      <c r="C165" s="5">
        <f ca="1">COUNTBLANK(OFFSET(Demand!$I174,0,(COLUMN(B162)-1)*5,1,1))</f>
        <v>1</v>
      </c>
      <c r="D165" s="5">
        <f ca="1">COUNTBLANK(OFFSET(Demand!$I174,0,(COLUMN(C162)-1)*5,1,1))</f>
        <v>1</v>
      </c>
      <c r="E165" s="5">
        <f ca="1">COUNTBLANK(OFFSET(Demand!$I174,0,(COLUMN(D162)-1)*5,1,1))</f>
        <v>1</v>
      </c>
      <c r="F165" s="5">
        <f ca="1">COUNTBLANK(OFFSET(Demand!$I174,0,(COLUMN(E162)-1)*5,1,1))</f>
        <v>1</v>
      </c>
      <c r="G165" s="5">
        <f ca="1">COUNTBLANK(OFFSET(Demand!$I174,0,(COLUMN(F162)-1)*5,1,1))</f>
        <v>1</v>
      </c>
      <c r="H165" s="5">
        <f ca="1">COUNTBLANK(OFFSET(Demand!$I174,0,(COLUMN(G162)-1)*5,1,1))</f>
        <v>1</v>
      </c>
      <c r="I165" s="5">
        <f ca="1">COUNTBLANK(OFFSET(Demand!$I174,0,(COLUMN(H162)-1)*5,1,1))</f>
        <v>1</v>
      </c>
      <c r="J165" s="5">
        <f ca="1">COUNTBLANK(OFFSET(Demand!$I174,0,(COLUMN(I162)-1)*5,1,1))</f>
        <v>1</v>
      </c>
      <c r="K165" s="5">
        <f ca="1">COUNTBLANK(OFFSET(Demand!$I174,0,(COLUMN(J162)-1)*5,1,1))</f>
        <v>1</v>
      </c>
      <c r="N165" s="5">
        <f ca="1">SUM(OFFSET(Demand!$E174,0,(COLUMN(A162)-1)*5,1,3))*N$2</f>
        <v>0</v>
      </c>
      <c r="O165" s="5">
        <f ca="1">SUM(OFFSET(Demand!$E174,0,(COLUMN(B162)-1)*5,1,3))*O$2</f>
        <v>0</v>
      </c>
      <c r="P165" s="5">
        <f ca="1">SUM(OFFSET(Demand!$E174,0,(COLUMN(C162)-1)*5,1,3))*P$2</f>
        <v>0</v>
      </c>
      <c r="Q165" s="5">
        <f ca="1">SUM(OFFSET(Demand!$E174,0,(COLUMN(D162)-1)*5,1,3))*Q$2</f>
        <v>0</v>
      </c>
      <c r="R165" s="5">
        <f ca="1">SUM(OFFSET(Demand!$E174,0,(COLUMN(E162)-1)*5,1,3))*R$2</f>
        <v>0</v>
      </c>
      <c r="S165" s="5">
        <f ca="1">SUM(OFFSET(Demand!$E174,0,(COLUMN(F162)-1)*5,1,3))*S$2</f>
        <v>0</v>
      </c>
      <c r="T165" s="5">
        <f ca="1">SUM(OFFSET(Demand!$E174,0,(COLUMN(G162)-1)*5,1,3))*T$2</f>
        <v>0</v>
      </c>
      <c r="U165" s="5">
        <f ca="1">SUM(OFFSET(Demand!$E174,0,(COLUMN(H162)-1)*5,1,3))*U$2</f>
        <v>0</v>
      </c>
      <c r="V165" s="5">
        <f ca="1">SUM(OFFSET(Demand!$E174,0,(COLUMN(I162)-1)*5,1,3))*V$2</f>
        <v>0</v>
      </c>
      <c r="W165" s="5">
        <f ca="1">SUM(OFFSET(Demand!$E174,0,(COLUMN(J162)-1)*5,1,3))*W$2</f>
        <v>0</v>
      </c>
      <c r="X165" s="5">
        <f t="shared" ca="1" si="44"/>
        <v>0</v>
      </c>
      <c r="Y165">
        <f t="shared" ca="1" si="45"/>
        <v>0</v>
      </c>
      <c r="Z165" s="5">
        <f ca="1">SUM(OFFSET(Demand!$H174,0,(COLUMN(A162)-1)*5,1,1))*N$2</f>
        <v>0</v>
      </c>
      <c r="AA165" s="5">
        <f ca="1">SUM(OFFSET(Demand!$H174,0,(COLUMN(B162)-1)*5,1,1))*O$2</f>
        <v>0</v>
      </c>
      <c r="AB165" s="5">
        <f ca="1">SUM(OFFSET(Demand!$H174,0,(COLUMN(C162)-1)*5,1,1))*P$2</f>
        <v>0</v>
      </c>
      <c r="AC165" s="5">
        <f ca="1">SUM(OFFSET(Demand!$H174,0,(COLUMN(D162)-1)*5,1,1))*Q$2</f>
        <v>0</v>
      </c>
      <c r="AD165" s="5">
        <f ca="1">SUM(OFFSET(Demand!$H174,0,(COLUMN(E162)-1)*5,1,1))*R$2</f>
        <v>0</v>
      </c>
      <c r="AE165" s="5">
        <f ca="1">SUM(OFFSET(Demand!$H174,0,(COLUMN(F162)-1)*5,1,1))*S$2</f>
        <v>0</v>
      </c>
      <c r="AF165" s="5">
        <f ca="1">SUM(OFFSET(Demand!$H174,0,(COLUMN(G162)-1)*5,1,1))*T$2</f>
        <v>0</v>
      </c>
      <c r="AG165" s="5">
        <f ca="1">SUM(OFFSET(Demand!$H174,0,(COLUMN(H162)-1)*5,1,1))*U$2</f>
        <v>0</v>
      </c>
      <c r="AH165" s="5">
        <f ca="1">SUM(OFFSET(Demand!$H174,0,(COLUMN(I162)-1)*5,1,1))*V$2</f>
        <v>0</v>
      </c>
      <c r="AI165" s="5">
        <f ca="1">SUM(OFFSET(Demand!$H174,0,(COLUMN(J162)-1)*5,1,1))*W$2</f>
        <v>0</v>
      </c>
      <c r="AJ165" s="5">
        <f t="shared" ca="1" si="46"/>
        <v>0</v>
      </c>
      <c r="AL165" s="5">
        <f t="shared" ca="1" si="47"/>
        <v>0</v>
      </c>
      <c r="AM165" s="5">
        <f t="shared" ca="1" si="48"/>
        <v>0</v>
      </c>
      <c r="AN165" s="5" t="str">
        <f>IF(Demand!BE174="Yes","Yes","")</f>
        <v/>
      </c>
      <c r="AP165" s="36" t="str">
        <f ca="1">Demand!B174</f>
        <v xml:space="preserve"> </v>
      </c>
      <c r="AQ165" t="str">
        <f ca="1">IF(TEXT(Demand!D174,"MMM")&lt;&gt;TEXT(Demand!D173,"MMM"),TEXT(Demand!D174,"MMM"),"")</f>
        <v/>
      </c>
      <c r="AT165" s="5">
        <f t="shared" ca="1" si="49"/>
        <v>0</v>
      </c>
      <c r="BQ165">
        <f ca="1">IF($AN165="",OFFSET(Demand!$A$13,ROW(A162)-1,4+((QUOTIENT(COLUMN(BQ$2)-69,3))*5)+MOD(COLUMN(BQ$2),3),1,1),"")</f>
        <v>0</v>
      </c>
      <c r="BR165">
        <f ca="1">IF($AN165="",OFFSET(Demand!$A$13,ROW(B162)-1,4+((QUOTIENT(COLUMN(BR$2)-69,3))*5)+MOD(COLUMN(BR$2),3),1,1),"")</f>
        <v>0</v>
      </c>
      <c r="BS165">
        <f ca="1">IF($AN165="",OFFSET(Demand!$A$13,ROW(C162)-1,4+((QUOTIENT(COLUMN(BS$2)-69,3))*5)+MOD(COLUMN(BS$2),3),1,1),"")</f>
        <v>0</v>
      </c>
      <c r="BT165">
        <f ca="1">IF($AN165="",OFFSET(Demand!$A$13,ROW(D162)-1,4+((QUOTIENT(COLUMN(BT$2)-69,3))*5)+MOD(COLUMN(BT$2),3),1,1),"")</f>
        <v>0</v>
      </c>
      <c r="BU165">
        <f ca="1">IF($AN165="",OFFSET(Demand!$A$13,ROW(E162)-1,4+((QUOTIENT(COLUMN(BU$2)-69,3))*5)+MOD(COLUMN(BU$2),3),1,1),"")</f>
        <v>0</v>
      </c>
      <c r="BV165">
        <f ca="1">IF($AN165="",OFFSET(Demand!$A$13,ROW(F162)-1,4+((QUOTIENT(COLUMN(BV$2)-69,3))*5)+MOD(COLUMN(BV$2),3),1,1),"")</f>
        <v>0</v>
      </c>
      <c r="BW165">
        <f ca="1">IF($AN165="",OFFSET(Demand!$A$13,ROW(G162)-1,4+((QUOTIENT(COLUMN(BW$2)-69,3))*5)+MOD(COLUMN(BW$2),3),1,1),"")</f>
        <v>0</v>
      </c>
      <c r="BX165">
        <f ca="1">IF($AN165="",OFFSET(Demand!$A$13,ROW(H162)-1,4+((QUOTIENT(COLUMN(BX$2)-69,3))*5)+MOD(COLUMN(BX$2),3),1,1),"")</f>
        <v>0</v>
      </c>
      <c r="BY165">
        <f ca="1">IF($AN165="",OFFSET(Demand!$A$13,ROW(I162)-1,4+((QUOTIENT(COLUMN(BY$2)-69,3))*5)+MOD(COLUMN(BY$2),3),1,1),"")</f>
        <v>0</v>
      </c>
      <c r="BZ165">
        <f ca="1">IF($AN165="",OFFSET(Demand!$A$13,ROW(J162)-1,4+((QUOTIENT(COLUMN(BZ$2)-69,3))*5)+MOD(COLUMN(BZ$2),3),1,1),"")</f>
        <v>0</v>
      </c>
      <c r="CA165">
        <f ca="1">IF($AN165="",OFFSET(Demand!$A$13,ROW(K162)-1,4+((QUOTIENT(COLUMN(CA$2)-69,3))*5)+MOD(COLUMN(CA$2),3),1,1),"")</f>
        <v>0</v>
      </c>
      <c r="CB165">
        <f ca="1">IF($AN165="",OFFSET(Demand!$A$13,ROW(L162)-1,4+((QUOTIENT(COLUMN(CB$2)-69,3))*5)+MOD(COLUMN(CB$2),3),1,1),"")</f>
        <v>0</v>
      </c>
      <c r="CC165">
        <f ca="1">IF($AN165="",OFFSET(Demand!$A$13,ROW(M162)-1,4+((QUOTIENT(COLUMN(CC$2)-69,3))*5)+MOD(COLUMN(CC$2),3),1,1),"")</f>
        <v>0</v>
      </c>
      <c r="CD165">
        <f ca="1">IF($AN165="",OFFSET(Demand!$A$13,ROW(N162)-1,4+((QUOTIENT(COLUMN(CD$2)-69,3))*5)+MOD(COLUMN(CD$2),3),1,1),"")</f>
        <v>0</v>
      </c>
      <c r="CE165">
        <f ca="1">IF($AN165="",OFFSET(Demand!$A$13,ROW(O162)-1,4+((QUOTIENT(COLUMN(CE$2)-69,3))*5)+MOD(COLUMN(CE$2),3),1,1),"")</f>
        <v>0</v>
      </c>
      <c r="CF165">
        <f ca="1">IF($AN165="",OFFSET(Demand!$A$13,ROW(P162)-1,4+((QUOTIENT(COLUMN(CF$2)-69,3))*5)+MOD(COLUMN(CF$2),3),1,1),"")</f>
        <v>0</v>
      </c>
      <c r="CG165">
        <f ca="1">IF($AN165="",OFFSET(Demand!$A$13,ROW(Q162)-1,4+((QUOTIENT(COLUMN(CG$2)-69,3))*5)+MOD(COLUMN(CG$2),3),1,1),"")</f>
        <v>0</v>
      </c>
      <c r="CH165">
        <f ca="1">IF($AN165="",OFFSET(Demand!$A$13,ROW(R162)-1,4+((QUOTIENT(COLUMN(CH$2)-69,3))*5)+MOD(COLUMN(CH$2),3),1,1),"")</f>
        <v>0</v>
      </c>
      <c r="CI165">
        <f ca="1">IF($AN165="",OFFSET(Demand!$A$13,ROW(S162)-1,4+((QUOTIENT(COLUMN(CI$2)-69,3))*5)+MOD(COLUMN(CI$2),3),1,1),"")</f>
        <v>0</v>
      </c>
      <c r="CJ165">
        <f ca="1">IF($AN165="",OFFSET(Demand!$A$13,ROW(T162)-1,4+((QUOTIENT(COLUMN(CJ$2)-69,3))*5)+MOD(COLUMN(CJ$2),3),1,1),"")</f>
        <v>0</v>
      </c>
      <c r="CK165">
        <f ca="1">IF($AN165="",OFFSET(Demand!$A$13,ROW(U162)-1,4+((QUOTIENT(COLUMN(CK$2)-69,3))*5)+MOD(COLUMN(CK$2),3),1,1),"")</f>
        <v>0</v>
      </c>
      <c r="CL165">
        <f ca="1">IF($AN165="",OFFSET(Demand!$A$13,ROW(V162)-1,4+((QUOTIENT(COLUMN(CL$2)-69,3))*5)+MOD(COLUMN(CL$2),3),1,1),"")</f>
        <v>0</v>
      </c>
      <c r="CM165">
        <f ca="1">IF($AN165="",OFFSET(Demand!$A$13,ROW(W162)-1,4+((QUOTIENT(COLUMN(CM$2)-69,3))*5)+MOD(COLUMN(CM$2),3),1,1),"")</f>
        <v>0</v>
      </c>
      <c r="CN165">
        <f ca="1">IF($AN165="",OFFSET(Demand!$A$13,ROW(X162)-1,4+((QUOTIENT(COLUMN(CN$2)-69,3))*5)+MOD(COLUMN(CN$2),3),1,1),"")</f>
        <v>0</v>
      </c>
      <c r="CO165">
        <f ca="1">IF($AN165="",OFFSET(Demand!$A$13,ROW(Y162)-1,4+((QUOTIENT(COLUMN(CO$2)-69,3))*5)+MOD(COLUMN(CO$2),3),1,1),"")</f>
        <v>0</v>
      </c>
      <c r="CP165">
        <f ca="1">IF($AN165="",OFFSET(Demand!$A$13,ROW(Z162)-1,4+((QUOTIENT(COLUMN(CP$2)-69,3))*5)+MOD(COLUMN(CP$2),3),1,1),"")</f>
        <v>0</v>
      </c>
      <c r="CQ165">
        <f ca="1">IF($AN165="",OFFSET(Demand!$A$13,ROW(AA162)-1,4+((QUOTIENT(COLUMN(CQ$2)-69,3))*5)+MOD(COLUMN(CQ$2),3),1,1),"")</f>
        <v>0</v>
      </c>
      <c r="CR165">
        <f ca="1">IF($AN165="",OFFSET(Demand!$A$13,ROW(AB162)-1,4+((QUOTIENT(COLUMN(CR$2)-69,3))*5)+MOD(COLUMN(CR$2),3),1,1),"")</f>
        <v>0</v>
      </c>
      <c r="CS165">
        <f ca="1">IF($AN165="",OFFSET(Demand!$A$13,ROW(AC162)-1,4+((QUOTIENT(COLUMN(CS$2)-69,3))*5)+MOD(COLUMN(CS$2),3),1,1),"")</f>
        <v>0</v>
      </c>
      <c r="CT165">
        <f ca="1">IF($AN165="",OFFSET(Demand!$A$13,ROW(AD162)-1,4+((QUOTIENT(COLUMN(CT$2)-69,3))*5)+MOD(COLUMN(CT$2),3),1,1),"")</f>
        <v>0</v>
      </c>
      <c r="CW165" s="5">
        <f ca="1">SUM(OFFSET(Demand!$H$43,ROW(A162)-1,(COLUMN(A162)-1)*5,1,1))*N$2</f>
        <v>0</v>
      </c>
      <c r="CX165" s="5">
        <f ca="1">SUM(OFFSET(Demand!$H$43,ROW(B162)-1,(COLUMN(B162)-1)*5,1,1))*O$2</f>
        <v>0</v>
      </c>
      <c r="CY165" s="5">
        <f ca="1">SUM(OFFSET(Demand!$H$43,ROW(C162)-1,(COLUMN(C162)-1)*5,1,1))*P$2</f>
        <v>0</v>
      </c>
      <c r="CZ165" s="5">
        <f ca="1">SUM(OFFSET(Demand!$H$43,ROW(D162)-1,(COLUMN(D162)-1)*5,1,1))*Q$2</f>
        <v>0</v>
      </c>
      <c r="DA165" s="5">
        <f ca="1">SUM(OFFSET(Demand!$H$43,ROW(E162)-1,(COLUMN(E162)-1)*5,1,1))*R$2</f>
        <v>0</v>
      </c>
      <c r="DB165" s="5">
        <f ca="1">SUM(OFFSET(Demand!$H$43,ROW(F162)-1,(COLUMN(F162)-1)*5,1,1))*S$2</f>
        <v>0</v>
      </c>
      <c r="DC165" s="5">
        <f ca="1">SUM(OFFSET(Demand!$H$43,ROW(G162)-1,(COLUMN(G162)-1)*5,1,1))*T$2</f>
        <v>0</v>
      </c>
      <c r="DD165" s="5">
        <f ca="1">SUM(OFFSET(Demand!$H$43,ROW(H162)-1,(COLUMN(H162)-1)*5,1,1))*U$2</f>
        <v>0</v>
      </c>
      <c r="DE165" s="5">
        <f ca="1">SUM(OFFSET(Demand!$H$43,ROW(I162)-1,(COLUMN(I162)-1)*5,1,1))*V$2</f>
        <v>0</v>
      </c>
      <c r="DF165" s="5">
        <f ca="1">SUM(OFFSET(Demand!$H$43,ROW(J162)-1,(COLUMN(J162)-1)*5,1,1))*W$2</f>
        <v>0</v>
      </c>
      <c r="DG165" s="5">
        <f ca="1">IF(OR(AN165&lt;&gt;"",AND('Demand adjustments for Covid'!$F$9="Yes",'Demand adjustments for Covid'!$F$20="Yes")),"",SUM(CW165:DF165))</f>
        <v>0</v>
      </c>
    </row>
    <row r="166" spans="1:111" x14ac:dyDescent="0.25">
      <c r="A166" s="5">
        <f t="shared" ca="1" si="43"/>
        <v>1</v>
      </c>
      <c r="B166" s="5">
        <f ca="1">COUNTBLANK(OFFSET(Demand!$I175,0,(COLUMN(A163)-1)*5,1,1))</f>
        <v>1</v>
      </c>
      <c r="C166" s="5">
        <f ca="1">COUNTBLANK(OFFSET(Demand!$I175,0,(COLUMN(B163)-1)*5,1,1))</f>
        <v>1</v>
      </c>
      <c r="D166" s="5">
        <f ca="1">COUNTBLANK(OFFSET(Demand!$I175,0,(COLUMN(C163)-1)*5,1,1))</f>
        <v>1</v>
      </c>
      <c r="E166" s="5">
        <f ca="1">COUNTBLANK(OFFSET(Demand!$I175,0,(COLUMN(D163)-1)*5,1,1))</f>
        <v>1</v>
      </c>
      <c r="F166" s="5">
        <f ca="1">COUNTBLANK(OFFSET(Demand!$I175,0,(COLUMN(E163)-1)*5,1,1))</f>
        <v>1</v>
      </c>
      <c r="G166" s="5">
        <f ca="1">COUNTBLANK(OFFSET(Demand!$I175,0,(COLUMN(F163)-1)*5,1,1))</f>
        <v>1</v>
      </c>
      <c r="H166" s="5">
        <f ca="1">COUNTBLANK(OFFSET(Demand!$I175,0,(COLUMN(G163)-1)*5,1,1))</f>
        <v>1</v>
      </c>
      <c r="I166" s="5">
        <f ca="1">COUNTBLANK(OFFSET(Demand!$I175,0,(COLUMN(H163)-1)*5,1,1))</f>
        <v>1</v>
      </c>
      <c r="J166" s="5">
        <f ca="1">COUNTBLANK(OFFSET(Demand!$I175,0,(COLUMN(I163)-1)*5,1,1))</f>
        <v>1</v>
      </c>
      <c r="K166" s="5">
        <f ca="1">COUNTBLANK(OFFSET(Demand!$I175,0,(COLUMN(J163)-1)*5,1,1))</f>
        <v>1</v>
      </c>
      <c r="N166" s="5">
        <f ca="1">SUM(OFFSET(Demand!$E175,0,(COLUMN(A163)-1)*5,1,3))*N$2</f>
        <v>0</v>
      </c>
      <c r="O166" s="5">
        <f ca="1">SUM(OFFSET(Demand!$E175,0,(COLUMN(B163)-1)*5,1,3))*O$2</f>
        <v>0</v>
      </c>
      <c r="P166" s="5">
        <f ca="1">SUM(OFFSET(Demand!$E175,0,(COLUMN(C163)-1)*5,1,3))*P$2</f>
        <v>0</v>
      </c>
      <c r="Q166" s="5">
        <f ca="1">SUM(OFFSET(Demand!$E175,0,(COLUMN(D163)-1)*5,1,3))*Q$2</f>
        <v>0</v>
      </c>
      <c r="R166" s="5">
        <f ca="1">SUM(OFFSET(Demand!$E175,0,(COLUMN(E163)-1)*5,1,3))*R$2</f>
        <v>0</v>
      </c>
      <c r="S166" s="5">
        <f ca="1">SUM(OFFSET(Demand!$E175,0,(COLUMN(F163)-1)*5,1,3))*S$2</f>
        <v>0</v>
      </c>
      <c r="T166" s="5">
        <f ca="1">SUM(OFFSET(Demand!$E175,0,(COLUMN(G163)-1)*5,1,3))*T$2</f>
        <v>0</v>
      </c>
      <c r="U166" s="5">
        <f ca="1">SUM(OFFSET(Demand!$E175,0,(COLUMN(H163)-1)*5,1,3))*U$2</f>
        <v>0</v>
      </c>
      <c r="V166" s="5">
        <f ca="1">SUM(OFFSET(Demand!$E175,0,(COLUMN(I163)-1)*5,1,3))*V$2</f>
        <v>0</v>
      </c>
      <c r="W166" s="5">
        <f ca="1">SUM(OFFSET(Demand!$E175,0,(COLUMN(J163)-1)*5,1,3))*W$2</f>
        <v>0</v>
      </c>
      <c r="X166" s="5">
        <f t="shared" ca="1" si="44"/>
        <v>0</v>
      </c>
      <c r="Y166">
        <f t="shared" ca="1" si="45"/>
        <v>0</v>
      </c>
      <c r="Z166" s="5">
        <f ca="1">SUM(OFFSET(Demand!$H175,0,(COLUMN(A163)-1)*5,1,1))*N$2</f>
        <v>0</v>
      </c>
      <c r="AA166" s="5">
        <f ca="1">SUM(OFFSET(Demand!$H175,0,(COLUMN(B163)-1)*5,1,1))*O$2</f>
        <v>0</v>
      </c>
      <c r="AB166" s="5">
        <f ca="1">SUM(OFFSET(Demand!$H175,0,(COLUMN(C163)-1)*5,1,1))*P$2</f>
        <v>0</v>
      </c>
      <c r="AC166" s="5">
        <f ca="1">SUM(OFFSET(Demand!$H175,0,(COLUMN(D163)-1)*5,1,1))*Q$2</f>
        <v>0</v>
      </c>
      <c r="AD166" s="5">
        <f ca="1">SUM(OFFSET(Demand!$H175,0,(COLUMN(E163)-1)*5,1,1))*R$2</f>
        <v>0</v>
      </c>
      <c r="AE166" s="5">
        <f ca="1">SUM(OFFSET(Demand!$H175,0,(COLUMN(F163)-1)*5,1,1))*S$2</f>
        <v>0</v>
      </c>
      <c r="AF166" s="5">
        <f ca="1">SUM(OFFSET(Demand!$H175,0,(COLUMN(G163)-1)*5,1,1))*T$2</f>
        <v>0</v>
      </c>
      <c r="AG166" s="5">
        <f ca="1">SUM(OFFSET(Demand!$H175,0,(COLUMN(H163)-1)*5,1,1))*U$2</f>
        <v>0</v>
      </c>
      <c r="AH166" s="5">
        <f ca="1">SUM(OFFSET(Demand!$H175,0,(COLUMN(I163)-1)*5,1,1))*V$2</f>
        <v>0</v>
      </c>
      <c r="AI166" s="5">
        <f ca="1">SUM(OFFSET(Demand!$H175,0,(COLUMN(J163)-1)*5,1,1))*W$2</f>
        <v>0</v>
      </c>
      <c r="AJ166" s="5">
        <f t="shared" ca="1" si="46"/>
        <v>0</v>
      </c>
      <c r="AL166" s="5">
        <f t="shared" ca="1" si="47"/>
        <v>0</v>
      </c>
      <c r="AM166" s="5">
        <f t="shared" ca="1" si="48"/>
        <v>0</v>
      </c>
      <c r="AN166" s="5" t="str">
        <f>IF(Demand!BE175="Yes","Yes","")</f>
        <v/>
      </c>
      <c r="AP166" s="36" t="str">
        <f ca="1">Demand!B175</f>
        <v xml:space="preserve"> </v>
      </c>
      <c r="AQ166" t="str">
        <f ca="1">IF(TEXT(Demand!D175,"MMM")&lt;&gt;TEXT(Demand!D174,"MMM"),TEXT(Demand!D175,"MMM"),"")</f>
        <v/>
      </c>
      <c r="AT166" s="5">
        <f t="shared" ca="1" si="49"/>
        <v>0</v>
      </c>
      <c r="BQ166">
        <f ca="1">IF($AN166="",OFFSET(Demand!$A$13,ROW(A163)-1,4+((QUOTIENT(COLUMN(BQ$2)-69,3))*5)+MOD(COLUMN(BQ$2),3),1,1),"")</f>
        <v>0</v>
      </c>
      <c r="BR166">
        <f ca="1">IF($AN166="",OFFSET(Demand!$A$13,ROW(B163)-1,4+((QUOTIENT(COLUMN(BR$2)-69,3))*5)+MOD(COLUMN(BR$2),3),1,1),"")</f>
        <v>0</v>
      </c>
      <c r="BS166">
        <f ca="1">IF($AN166="",OFFSET(Demand!$A$13,ROW(C163)-1,4+((QUOTIENT(COLUMN(BS$2)-69,3))*5)+MOD(COLUMN(BS$2),3),1,1),"")</f>
        <v>0</v>
      </c>
      <c r="BT166">
        <f ca="1">IF($AN166="",OFFSET(Demand!$A$13,ROW(D163)-1,4+((QUOTIENT(COLUMN(BT$2)-69,3))*5)+MOD(COLUMN(BT$2),3),1,1),"")</f>
        <v>0</v>
      </c>
      <c r="BU166">
        <f ca="1">IF($AN166="",OFFSET(Demand!$A$13,ROW(E163)-1,4+((QUOTIENT(COLUMN(BU$2)-69,3))*5)+MOD(COLUMN(BU$2),3),1,1),"")</f>
        <v>0</v>
      </c>
      <c r="BV166">
        <f ca="1">IF($AN166="",OFFSET(Demand!$A$13,ROW(F163)-1,4+((QUOTIENT(COLUMN(BV$2)-69,3))*5)+MOD(COLUMN(BV$2),3),1,1),"")</f>
        <v>0</v>
      </c>
      <c r="BW166">
        <f ca="1">IF($AN166="",OFFSET(Demand!$A$13,ROW(G163)-1,4+((QUOTIENT(COLUMN(BW$2)-69,3))*5)+MOD(COLUMN(BW$2),3),1,1),"")</f>
        <v>0</v>
      </c>
      <c r="BX166">
        <f ca="1">IF($AN166="",OFFSET(Demand!$A$13,ROW(H163)-1,4+((QUOTIENT(COLUMN(BX$2)-69,3))*5)+MOD(COLUMN(BX$2),3),1,1),"")</f>
        <v>0</v>
      </c>
      <c r="BY166">
        <f ca="1">IF($AN166="",OFFSET(Demand!$A$13,ROW(I163)-1,4+((QUOTIENT(COLUMN(BY$2)-69,3))*5)+MOD(COLUMN(BY$2),3),1,1),"")</f>
        <v>0</v>
      </c>
      <c r="BZ166">
        <f ca="1">IF($AN166="",OFFSET(Demand!$A$13,ROW(J163)-1,4+((QUOTIENT(COLUMN(BZ$2)-69,3))*5)+MOD(COLUMN(BZ$2),3),1,1),"")</f>
        <v>0</v>
      </c>
      <c r="CA166">
        <f ca="1">IF($AN166="",OFFSET(Demand!$A$13,ROW(K163)-1,4+((QUOTIENT(COLUMN(CA$2)-69,3))*5)+MOD(COLUMN(CA$2),3),1,1),"")</f>
        <v>0</v>
      </c>
      <c r="CB166">
        <f ca="1">IF($AN166="",OFFSET(Demand!$A$13,ROW(L163)-1,4+((QUOTIENT(COLUMN(CB$2)-69,3))*5)+MOD(COLUMN(CB$2),3),1,1),"")</f>
        <v>0</v>
      </c>
      <c r="CC166">
        <f ca="1">IF($AN166="",OFFSET(Demand!$A$13,ROW(M163)-1,4+((QUOTIENT(COLUMN(CC$2)-69,3))*5)+MOD(COLUMN(CC$2),3),1,1),"")</f>
        <v>0</v>
      </c>
      <c r="CD166">
        <f ca="1">IF($AN166="",OFFSET(Demand!$A$13,ROW(N163)-1,4+((QUOTIENT(COLUMN(CD$2)-69,3))*5)+MOD(COLUMN(CD$2),3),1,1),"")</f>
        <v>0</v>
      </c>
      <c r="CE166">
        <f ca="1">IF($AN166="",OFFSET(Demand!$A$13,ROW(O163)-1,4+((QUOTIENT(COLUMN(CE$2)-69,3))*5)+MOD(COLUMN(CE$2),3),1,1),"")</f>
        <v>0</v>
      </c>
      <c r="CF166">
        <f ca="1">IF($AN166="",OFFSET(Demand!$A$13,ROW(P163)-1,4+((QUOTIENT(COLUMN(CF$2)-69,3))*5)+MOD(COLUMN(CF$2),3),1,1),"")</f>
        <v>0</v>
      </c>
      <c r="CG166">
        <f ca="1">IF($AN166="",OFFSET(Demand!$A$13,ROW(Q163)-1,4+((QUOTIENT(COLUMN(CG$2)-69,3))*5)+MOD(COLUMN(CG$2),3),1,1),"")</f>
        <v>0</v>
      </c>
      <c r="CH166">
        <f ca="1">IF($AN166="",OFFSET(Demand!$A$13,ROW(R163)-1,4+((QUOTIENT(COLUMN(CH$2)-69,3))*5)+MOD(COLUMN(CH$2),3),1,1),"")</f>
        <v>0</v>
      </c>
      <c r="CI166">
        <f ca="1">IF($AN166="",OFFSET(Demand!$A$13,ROW(S163)-1,4+((QUOTIENT(COLUMN(CI$2)-69,3))*5)+MOD(COLUMN(CI$2),3),1,1),"")</f>
        <v>0</v>
      </c>
      <c r="CJ166">
        <f ca="1">IF($AN166="",OFFSET(Demand!$A$13,ROW(T163)-1,4+((QUOTIENT(COLUMN(CJ$2)-69,3))*5)+MOD(COLUMN(CJ$2),3),1,1),"")</f>
        <v>0</v>
      </c>
      <c r="CK166">
        <f ca="1">IF($AN166="",OFFSET(Demand!$A$13,ROW(U163)-1,4+((QUOTIENT(COLUMN(CK$2)-69,3))*5)+MOD(COLUMN(CK$2),3),1,1),"")</f>
        <v>0</v>
      </c>
      <c r="CL166">
        <f ca="1">IF($AN166="",OFFSET(Demand!$A$13,ROW(V163)-1,4+((QUOTIENT(COLUMN(CL$2)-69,3))*5)+MOD(COLUMN(CL$2),3),1,1),"")</f>
        <v>0</v>
      </c>
      <c r="CM166">
        <f ca="1">IF($AN166="",OFFSET(Demand!$A$13,ROW(W163)-1,4+((QUOTIENT(COLUMN(CM$2)-69,3))*5)+MOD(COLUMN(CM$2),3),1,1),"")</f>
        <v>0</v>
      </c>
      <c r="CN166">
        <f ca="1">IF($AN166="",OFFSET(Demand!$A$13,ROW(X163)-1,4+((QUOTIENT(COLUMN(CN$2)-69,3))*5)+MOD(COLUMN(CN$2),3),1,1),"")</f>
        <v>0</v>
      </c>
      <c r="CO166">
        <f ca="1">IF($AN166="",OFFSET(Demand!$A$13,ROW(Y163)-1,4+((QUOTIENT(COLUMN(CO$2)-69,3))*5)+MOD(COLUMN(CO$2),3),1,1),"")</f>
        <v>0</v>
      </c>
      <c r="CP166">
        <f ca="1">IF($AN166="",OFFSET(Demand!$A$13,ROW(Z163)-1,4+((QUOTIENT(COLUMN(CP$2)-69,3))*5)+MOD(COLUMN(CP$2),3),1,1),"")</f>
        <v>0</v>
      </c>
      <c r="CQ166">
        <f ca="1">IF($AN166="",OFFSET(Demand!$A$13,ROW(AA163)-1,4+((QUOTIENT(COLUMN(CQ$2)-69,3))*5)+MOD(COLUMN(CQ$2),3),1,1),"")</f>
        <v>0</v>
      </c>
      <c r="CR166">
        <f ca="1">IF($AN166="",OFFSET(Demand!$A$13,ROW(AB163)-1,4+((QUOTIENT(COLUMN(CR$2)-69,3))*5)+MOD(COLUMN(CR$2),3),1,1),"")</f>
        <v>0</v>
      </c>
      <c r="CS166">
        <f ca="1">IF($AN166="",OFFSET(Demand!$A$13,ROW(AC163)-1,4+((QUOTIENT(COLUMN(CS$2)-69,3))*5)+MOD(COLUMN(CS$2),3),1,1),"")</f>
        <v>0</v>
      </c>
      <c r="CT166">
        <f ca="1">IF($AN166="",OFFSET(Demand!$A$13,ROW(AD163)-1,4+((QUOTIENT(COLUMN(CT$2)-69,3))*5)+MOD(COLUMN(CT$2),3),1,1),"")</f>
        <v>0</v>
      </c>
      <c r="CW166" s="5">
        <f ca="1">SUM(OFFSET(Demand!$H$43,ROW(A163)-1,(COLUMN(A163)-1)*5,1,1))*N$2</f>
        <v>0</v>
      </c>
      <c r="CX166" s="5">
        <f ca="1">SUM(OFFSET(Demand!$H$43,ROW(B163)-1,(COLUMN(B163)-1)*5,1,1))*O$2</f>
        <v>0</v>
      </c>
      <c r="CY166" s="5">
        <f ca="1">SUM(OFFSET(Demand!$H$43,ROW(C163)-1,(COLUMN(C163)-1)*5,1,1))*P$2</f>
        <v>0</v>
      </c>
      <c r="CZ166" s="5">
        <f ca="1">SUM(OFFSET(Demand!$H$43,ROW(D163)-1,(COLUMN(D163)-1)*5,1,1))*Q$2</f>
        <v>0</v>
      </c>
      <c r="DA166" s="5">
        <f ca="1">SUM(OFFSET(Demand!$H$43,ROW(E163)-1,(COLUMN(E163)-1)*5,1,1))*R$2</f>
        <v>0</v>
      </c>
      <c r="DB166" s="5">
        <f ca="1">SUM(OFFSET(Demand!$H$43,ROW(F163)-1,(COLUMN(F163)-1)*5,1,1))*S$2</f>
        <v>0</v>
      </c>
      <c r="DC166" s="5">
        <f ca="1">SUM(OFFSET(Demand!$H$43,ROW(G163)-1,(COLUMN(G163)-1)*5,1,1))*T$2</f>
        <v>0</v>
      </c>
      <c r="DD166" s="5">
        <f ca="1">SUM(OFFSET(Demand!$H$43,ROW(H163)-1,(COLUMN(H163)-1)*5,1,1))*U$2</f>
        <v>0</v>
      </c>
      <c r="DE166" s="5">
        <f ca="1">SUM(OFFSET(Demand!$H$43,ROW(I163)-1,(COLUMN(I163)-1)*5,1,1))*V$2</f>
        <v>0</v>
      </c>
      <c r="DF166" s="5">
        <f ca="1">SUM(OFFSET(Demand!$H$43,ROW(J163)-1,(COLUMN(J163)-1)*5,1,1))*W$2</f>
        <v>0</v>
      </c>
      <c r="DG166" s="5">
        <f ca="1">IF(OR(AN166&lt;&gt;"",AND('Demand adjustments for Covid'!$F$9="Yes",'Demand adjustments for Covid'!$F$20="Yes")),"",SUM(CW166:DF166))</f>
        <v>0</v>
      </c>
    </row>
    <row r="167" spans="1:111" x14ac:dyDescent="0.25">
      <c r="A167" s="5">
        <f t="shared" ca="1" si="43"/>
        <v>1</v>
      </c>
      <c r="B167" s="5">
        <f ca="1">COUNTBLANK(OFFSET(Demand!$I176,0,(COLUMN(A164)-1)*5,1,1))</f>
        <v>1</v>
      </c>
      <c r="C167" s="5">
        <f ca="1">COUNTBLANK(OFFSET(Demand!$I176,0,(COLUMN(B164)-1)*5,1,1))</f>
        <v>1</v>
      </c>
      <c r="D167" s="5">
        <f ca="1">COUNTBLANK(OFFSET(Demand!$I176,0,(COLUMN(C164)-1)*5,1,1))</f>
        <v>1</v>
      </c>
      <c r="E167" s="5">
        <f ca="1">COUNTBLANK(OFFSET(Demand!$I176,0,(COLUMN(D164)-1)*5,1,1))</f>
        <v>1</v>
      </c>
      <c r="F167" s="5">
        <f ca="1">COUNTBLANK(OFFSET(Demand!$I176,0,(COLUMN(E164)-1)*5,1,1))</f>
        <v>1</v>
      </c>
      <c r="G167" s="5">
        <f ca="1">COUNTBLANK(OFFSET(Demand!$I176,0,(COLUMN(F164)-1)*5,1,1))</f>
        <v>1</v>
      </c>
      <c r="H167" s="5">
        <f ca="1">COUNTBLANK(OFFSET(Demand!$I176,0,(COLUMN(G164)-1)*5,1,1))</f>
        <v>1</v>
      </c>
      <c r="I167" s="5">
        <f ca="1">COUNTBLANK(OFFSET(Demand!$I176,0,(COLUMN(H164)-1)*5,1,1))</f>
        <v>1</v>
      </c>
      <c r="J167" s="5">
        <f ca="1">COUNTBLANK(OFFSET(Demand!$I176,0,(COLUMN(I164)-1)*5,1,1))</f>
        <v>1</v>
      </c>
      <c r="K167" s="5">
        <f ca="1">COUNTBLANK(OFFSET(Demand!$I176,0,(COLUMN(J164)-1)*5,1,1))</f>
        <v>1</v>
      </c>
      <c r="N167" s="5">
        <f ca="1">SUM(OFFSET(Demand!$E176,0,(COLUMN(A164)-1)*5,1,3))*N$2</f>
        <v>0</v>
      </c>
      <c r="O167" s="5">
        <f ca="1">SUM(OFFSET(Demand!$E176,0,(COLUMN(B164)-1)*5,1,3))*O$2</f>
        <v>0</v>
      </c>
      <c r="P167" s="5">
        <f ca="1">SUM(OFFSET(Demand!$E176,0,(COLUMN(C164)-1)*5,1,3))*P$2</f>
        <v>0</v>
      </c>
      <c r="Q167" s="5">
        <f ca="1">SUM(OFFSET(Demand!$E176,0,(COLUMN(D164)-1)*5,1,3))*Q$2</f>
        <v>0</v>
      </c>
      <c r="R167" s="5">
        <f ca="1">SUM(OFFSET(Demand!$E176,0,(COLUMN(E164)-1)*5,1,3))*R$2</f>
        <v>0</v>
      </c>
      <c r="S167" s="5">
        <f ca="1">SUM(OFFSET(Demand!$E176,0,(COLUMN(F164)-1)*5,1,3))*S$2</f>
        <v>0</v>
      </c>
      <c r="T167" s="5">
        <f ca="1">SUM(OFFSET(Demand!$E176,0,(COLUMN(G164)-1)*5,1,3))*T$2</f>
        <v>0</v>
      </c>
      <c r="U167" s="5">
        <f ca="1">SUM(OFFSET(Demand!$E176,0,(COLUMN(H164)-1)*5,1,3))*U$2</f>
        <v>0</v>
      </c>
      <c r="V167" s="5">
        <f ca="1">SUM(OFFSET(Demand!$E176,0,(COLUMN(I164)-1)*5,1,3))*V$2</f>
        <v>0</v>
      </c>
      <c r="W167" s="5">
        <f ca="1">SUM(OFFSET(Demand!$E176,0,(COLUMN(J164)-1)*5,1,3))*W$2</f>
        <v>0</v>
      </c>
      <c r="X167" s="5">
        <f t="shared" ca="1" si="44"/>
        <v>0</v>
      </c>
      <c r="Y167">
        <f t="shared" ca="1" si="45"/>
        <v>0</v>
      </c>
      <c r="Z167" s="5">
        <f ca="1">SUM(OFFSET(Demand!$H176,0,(COLUMN(A164)-1)*5,1,1))*N$2</f>
        <v>0</v>
      </c>
      <c r="AA167" s="5">
        <f ca="1">SUM(OFFSET(Demand!$H176,0,(COLUMN(B164)-1)*5,1,1))*O$2</f>
        <v>0</v>
      </c>
      <c r="AB167" s="5">
        <f ca="1">SUM(OFFSET(Demand!$H176,0,(COLUMN(C164)-1)*5,1,1))*P$2</f>
        <v>0</v>
      </c>
      <c r="AC167" s="5">
        <f ca="1">SUM(OFFSET(Demand!$H176,0,(COLUMN(D164)-1)*5,1,1))*Q$2</f>
        <v>0</v>
      </c>
      <c r="AD167" s="5">
        <f ca="1">SUM(OFFSET(Demand!$H176,0,(COLUMN(E164)-1)*5,1,1))*R$2</f>
        <v>0</v>
      </c>
      <c r="AE167" s="5">
        <f ca="1">SUM(OFFSET(Demand!$H176,0,(COLUMN(F164)-1)*5,1,1))*S$2</f>
        <v>0</v>
      </c>
      <c r="AF167" s="5">
        <f ca="1">SUM(OFFSET(Demand!$H176,0,(COLUMN(G164)-1)*5,1,1))*T$2</f>
        <v>0</v>
      </c>
      <c r="AG167" s="5">
        <f ca="1">SUM(OFFSET(Demand!$H176,0,(COLUMN(H164)-1)*5,1,1))*U$2</f>
        <v>0</v>
      </c>
      <c r="AH167" s="5">
        <f ca="1">SUM(OFFSET(Demand!$H176,0,(COLUMN(I164)-1)*5,1,1))*V$2</f>
        <v>0</v>
      </c>
      <c r="AI167" s="5">
        <f ca="1">SUM(OFFSET(Demand!$H176,0,(COLUMN(J164)-1)*5,1,1))*W$2</f>
        <v>0</v>
      </c>
      <c r="AJ167" s="5">
        <f t="shared" ca="1" si="46"/>
        <v>0</v>
      </c>
      <c r="AL167" s="5">
        <f t="shared" ca="1" si="47"/>
        <v>0</v>
      </c>
      <c r="AM167" s="5">
        <f t="shared" ca="1" si="48"/>
        <v>0</v>
      </c>
      <c r="AN167" s="5" t="str">
        <f>IF(Demand!BE176="Yes","Yes","")</f>
        <v/>
      </c>
      <c r="AP167" s="36" t="str">
        <f ca="1">Demand!B176</f>
        <v xml:space="preserve"> </v>
      </c>
      <c r="AQ167" t="str">
        <f ca="1">IF(TEXT(Demand!D176,"MMM")&lt;&gt;TEXT(Demand!D175,"MMM"),TEXT(Demand!D176,"MMM"),"")</f>
        <v/>
      </c>
      <c r="AT167" s="5">
        <f t="shared" ca="1" si="49"/>
        <v>0</v>
      </c>
      <c r="BQ167">
        <f ca="1">IF($AN167="",OFFSET(Demand!$A$13,ROW(A164)-1,4+((QUOTIENT(COLUMN(BQ$2)-69,3))*5)+MOD(COLUMN(BQ$2),3),1,1),"")</f>
        <v>0</v>
      </c>
      <c r="BR167">
        <f ca="1">IF($AN167="",OFFSET(Demand!$A$13,ROW(B164)-1,4+((QUOTIENT(COLUMN(BR$2)-69,3))*5)+MOD(COLUMN(BR$2),3),1,1),"")</f>
        <v>0</v>
      </c>
      <c r="BS167">
        <f ca="1">IF($AN167="",OFFSET(Demand!$A$13,ROW(C164)-1,4+((QUOTIENT(COLUMN(BS$2)-69,3))*5)+MOD(COLUMN(BS$2),3),1,1),"")</f>
        <v>0</v>
      </c>
      <c r="BT167">
        <f ca="1">IF($AN167="",OFFSET(Demand!$A$13,ROW(D164)-1,4+((QUOTIENT(COLUMN(BT$2)-69,3))*5)+MOD(COLUMN(BT$2),3),1,1),"")</f>
        <v>0</v>
      </c>
      <c r="BU167">
        <f ca="1">IF($AN167="",OFFSET(Demand!$A$13,ROW(E164)-1,4+((QUOTIENT(COLUMN(BU$2)-69,3))*5)+MOD(COLUMN(BU$2),3),1,1),"")</f>
        <v>0</v>
      </c>
      <c r="BV167">
        <f ca="1">IF($AN167="",OFFSET(Demand!$A$13,ROW(F164)-1,4+((QUOTIENT(COLUMN(BV$2)-69,3))*5)+MOD(COLUMN(BV$2),3),1,1),"")</f>
        <v>0</v>
      </c>
      <c r="BW167">
        <f ca="1">IF($AN167="",OFFSET(Demand!$A$13,ROW(G164)-1,4+((QUOTIENT(COLUMN(BW$2)-69,3))*5)+MOD(COLUMN(BW$2),3),1,1),"")</f>
        <v>0</v>
      </c>
      <c r="BX167">
        <f ca="1">IF($AN167="",OFFSET(Demand!$A$13,ROW(H164)-1,4+((QUOTIENT(COLUMN(BX$2)-69,3))*5)+MOD(COLUMN(BX$2),3),1,1),"")</f>
        <v>0</v>
      </c>
      <c r="BY167">
        <f ca="1">IF($AN167="",OFFSET(Demand!$A$13,ROW(I164)-1,4+((QUOTIENT(COLUMN(BY$2)-69,3))*5)+MOD(COLUMN(BY$2),3),1,1),"")</f>
        <v>0</v>
      </c>
      <c r="BZ167">
        <f ca="1">IF($AN167="",OFFSET(Demand!$A$13,ROW(J164)-1,4+((QUOTIENT(COLUMN(BZ$2)-69,3))*5)+MOD(COLUMN(BZ$2),3),1,1),"")</f>
        <v>0</v>
      </c>
      <c r="CA167">
        <f ca="1">IF($AN167="",OFFSET(Demand!$A$13,ROW(K164)-1,4+((QUOTIENT(COLUMN(CA$2)-69,3))*5)+MOD(COLUMN(CA$2),3),1,1),"")</f>
        <v>0</v>
      </c>
      <c r="CB167">
        <f ca="1">IF($AN167="",OFFSET(Demand!$A$13,ROW(L164)-1,4+((QUOTIENT(COLUMN(CB$2)-69,3))*5)+MOD(COLUMN(CB$2),3),1,1),"")</f>
        <v>0</v>
      </c>
      <c r="CC167">
        <f ca="1">IF($AN167="",OFFSET(Demand!$A$13,ROW(M164)-1,4+((QUOTIENT(COLUMN(CC$2)-69,3))*5)+MOD(COLUMN(CC$2),3),1,1),"")</f>
        <v>0</v>
      </c>
      <c r="CD167">
        <f ca="1">IF($AN167="",OFFSET(Demand!$A$13,ROW(N164)-1,4+((QUOTIENT(COLUMN(CD$2)-69,3))*5)+MOD(COLUMN(CD$2),3),1,1),"")</f>
        <v>0</v>
      </c>
      <c r="CE167">
        <f ca="1">IF($AN167="",OFFSET(Demand!$A$13,ROW(O164)-1,4+((QUOTIENT(COLUMN(CE$2)-69,3))*5)+MOD(COLUMN(CE$2),3),1,1),"")</f>
        <v>0</v>
      </c>
      <c r="CF167">
        <f ca="1">IF($AN167="",OFFSET(Demand!$A$13,ROW(P164)-1,4+((QUOTIENT(COLUMN(CF$2)-69,3))*5)+MOD(COLUMN(CF$2),3),1,1),"")</f>
        <v>0</v>
      </c>
      <c r="CG167">
        <f ca="1">IF($AN167="",OFFSET(Demand!$A$13,ROW(Q164)-1,4+((QUOTIENT(COLUMN(CG$2)-69,3))*5)+MOD(COLUMN(CG$2),3),1,1),"")</f>
        <v>0</v>
      </c>
      <c r="CH167">
        <f ca="1">IF($AN167="",OFFSET(Demand!$A$13,ROW(R164)-1,4+((QUOTIENT(COLUMN(CH$2)-69,3))*5)+MOD(COLUMN(CH$2),3),1,1),"")</f>
        <v>0</v>
      </c>
      <c r="CI167">
        <f ca="1">IF($AN167="",OFFSET(Demand!$A$13,ROW(S164)-1,4+((QUOTIENT(COLUMN(CI$2)-69,3))*5)+MOD(COLUMN(CI$2),3),1,1),"")</f>
        <v>0</v>
      </c>
      <c r="CJ167">
        <f ca="1">IF($AN167="",OFFSET(Demand!$A$13,ROW(T164)-1,4+((QUOTIENT(COLUMN(CJ$2)-69,3))*5)+MOD(COLUMN(CJ$2),3),1,1),"")</f>
        <v>0</v>
      </c>
      <c r="CK167">
        <f ca="1">IF($AN167="",OFFSET(Demand!$A$13,ROW(U164)-1,4+((QUOTIENT(COLUMN(CK$2)-69,3))*5)+MOD(COLUMN(CK$2),3),1,1),"")</f>
        <v>0</v>
      </c>
      <c r="CL167">
        <f ca="1">IF($AN167="",OFFSET(Demand!$A$13,ROW(V164)-1,4+((QUOTIENT(COLUMN(CL$2)-69,3))*5)+MOD(COLUMN(CL$2),3),1,1),"")</f>
        <v>0</v>
      </c>
      <c r="CM167">
        <f ca="1">IF($AN167="",OFFSET(Demand!$A$13,ROW(W164)-1,4+((QUOTIENT(COLUMN(CM$2)-69,3))*5)+MOD(COLUMN(CM$2),3),1,1),"")</f>
        <v>0</v>
      </c>
      <c r="CN167">
        <f ca="1">IF($AN167="",OFFSET(Demand!$A$13,ROW(X164)-1,4+((QUOTIENT(COLUMN(CN$2)-69,3))*5)+MOD(COLUMN(CN$2),3),1,1),"")</f>
        <v>0</v>
      </c>
      <c r="CO167">
        <f ca="1">IF($AN167="",OFFSET(Demand!$A$13,ROW(Y164)-1,4+((QUOTIENT(COLUMN(CO$2)-69,3))*5)+MOD(COLUMN(CO$2),3),1,1),"")</f>
        <v>0</v>
      </c>
      <c r="CP167">
        <f ca="1">IF($AN167="",OFFSET(Demand!$A$13,ROW(Z164)-1,4+((QUOTIENT(COLUMN(CP$2)-69,3))*5)+MOD(COLUMN(CP$2),3),1,1),"")</f>
        <v>0</v>
      </c>
      <c r="CQ167">
        <f ca="1">IF($AN167="",OFFSET(Demand!$A$13,ROW(AA164)-1,4+((QUOTIENT(COLUMN(CQ$2)-69,3))*5)+MOD(COLUMN(CQ$2),3),1,1),"")</f>
        <v>0</v>
      </c>
      <c r="CR167">
        <f ca="1">IF($AN167="",OFFSET(Demand!$A$13,ROW(AB164)-1,4+((QUOTIENT(COLUMN(CR$2)-69,3))*5)+MOD(COLUMN(CR$2),3),1,1),"")</f>
        <v>0</v>
      </c>
      <c r="CS167">
        <f ca="1">IF($AN167="",OFFSET(Demand!$A$13,ROW(AC164)-1,4+((QUOTIENT(COLUMN(CS$2)-69,3))*5)+MOD(COLUMN(CS$2),3),1,1),"")</f>
        <v>0</v>
      </c>
      <c r="CT167">
        <f ca="1">IF($AN167="",OFFSET(Demand!$A$13,ROW(AD164)-1,4+((QUOTIENT(COLUMN(CT$2)-69,3))*5)+MOD(COLUMN(CT$2),3),1,1),"")</f>
        <v>0</v>
      </c>
      <c r="CW167" s="5">
        <f ca="1">SUM(OFFSET(Demand!$H$43,ROW(A164)-1,(COLUMN(A164)-1)*5,1,1))*N$2</f>
        <v>0</v>
      </c>
      <c r="CX167" s="5">
        <f ca="1">SUM(OFFSET(Demand!$H$43,ROW(B164)-1,(COLUMN(B164)-1)*5,1,1))*O$2</f>
        <v>0</v>
      </c>
      <c r="CY167" s="5">
        <f ca="1">SUM(OFFSET(Demand!$H$43,ROW(C164)-1,(COLUMN(C164)-1)*5,1,1))*P$2</f>
        <v>0</v>
      </c>
      <c r="CZ167" s="5">
        <f ca="1">SUM(OFFSET(Demand!$H$43,ROW(D164)-1,(COLUMN(D164)-1)*5,1,1))*Q$2</f>
        <v>0</v>
      </c>
      <c r="DA167" s="5">
        <f ca="1">SUM(OFFSET(Demand!$H$43,ROW(E164)-1,(COLUMN(E164)-1)*5,1,1))*R$2</f>
        <v>0</v>
      </c>
      <c r="DB167" s="5">
        <f ca="1">SUM(OFFSET(Demand!$H$43,ROW(F164)-1,(COLUMN(F164)-1)*5,1,1))*S$2</f>
        <v>0</v>
      </c>
      <c r="DC167" s="5">
        <f ca="1">SUM(OFFSET(Demand!$H$43,ROW(G164)-1,(COLUMN(G164)-1)*5,1,1))*T$2</f>
        <v>0</v>
      </c>
      <c r="DD167" s="5">
        <f ca="1">SUM(OFFSET(Demand!$H$43,ROW(H164)-1,(COLUMN(H164)-1)*5,1,1))*U$2</f>
        <v>0</v>
      </c>
      <c r="DE167" s="5">
        <f ca="1">SUM(OFFSET(Demand!$H$43,ROW(I164)-1,(COLUMN(I164)-1)*5,1,1))*V$2</f>
        <v>0</v>
      </c>
      <c r="DF167" s="5">
        <f ca="1">SUM(OFFSET(Demand!$H$43,ROW(J164)-1,(COLUMN(J164)-1)*5,1,1))*W$2</f>
        <v>0</v>
      </c>
      <c r="DG167" s="5">
        <f ca="1">IF(OR(AN167&lt;&gt;"",AND('Demand adjustments for Covid'!$F$9="Yes",'Demand adjustments for Covid'!$F$20="Yes")),"",SUM(CW167:DF167))</f>
        <v>0</v>
      </c>
    </row>
    <row r="168" spans="1:111" x14ac:dyDescent="0.25">
      <c r="A168" s="5">
        <f t="shared" ca="1" si="43"/>
        <v>1</v>
      </c>
      <c r="B168" s="5">
        <f ca="1">COUNTBLANK(OFFSET(Demand!$I177,0,(COLUMN(A165)-1)*5,1,1))</f>
        <v>1</v>
      </c>
      <c r="C168" s="5">
        <f ca="1">COUNTBLANK(OFFSET(Demand!$I177,0,(COLUMN(B165)-1)*5,1,1))</f>
        <v>1</v>
      </c>
      <c r="D168" s="5">
        <f ca="1">COUNTBLANK(OFFSET(Demand!$I177,0,(COLUMN(C165)-1)*5,1,1))</f>
        <v>1</v>
      </c>
      <c r="E168" s="5">
        <f ca="1">COUNTBLANK(OFFSET(Demand!$I177,0,(COLUMN(D165)-1)*5,1,1))</f>
        <v>1</v>
      </c>
      <c r="F168" s="5">
        <f ca="1">COUNTBLANK(OFFSET(Demand!$I177,0,(COLUMN(E165)-1)*5,1,1))</f>
        <v>1</v>
      </c>
      <c r="G168" s="5">
        <f ca="1">COUNTBLANK(OFFSET(Demand!$I177,0,(COLUMN(F165)-1)*5,1,1))</f>
        <v>1</v>
      </c>
      <c r="H168" s="5">
        <f ca="1">COUNTBLANK(OFFSET(Demand!$I177,0,(COLUMN(G165)-1)*5,1,1))</f>
        <v>1</v>
      </c>
      <c r="I168" s="5">
        <f ca="1">COUNTBLANK(OFFSET(Demand!$I177,0,(COLUMN(H165)-1)*5,1,1))</f>
        <v>1</v>
      </c>
      <c r="J168" s="5">
        <f ca="1">COUNTBLANK(OFFSET(Demand!$I177,0,(COLUMN(I165)-1)*5,1,1))</f>
        <v>1</v>
      </c>
      <c r="K168" s="5">
        <f ca="1">COUNTBLANK(OFFSET(Demand!$I177,0,(COLUMN(J165)-1)*5,1,1))</f>
        <v>1</v>
      </c>
      <c r="N168" s="5">
        <f ca="1">SUM(OFFSET(Demand!$E177,0,(COLUMN(A165)-1)*5,1,3))*N$2</f>
        <v>0</v>
      </c>
      <c r="O168" s="5">
        <f ca="1">SUM(OFFSET(Demand!$E177,0,(COLUMN(B165)-1)*5,1,3))*O$2</f>
        <v>0</v>
      </c>
      <c r="P168" s="5">
        <f ca="1">SUM(OFFSET(Demand!$E177,0,(COLUMN(C165)-1)*5,1,3))*P$2</f>
        <v>0</v>
      </c>
      <c r="Q168" s="5">
        <f ca="1">SUM(OFFSET(Demand!$E177,0,(COLUMN(D165)-1)*5,1,3))*Q$2</f>
        <v>0</v>
      </c>
      <c r="R168" s="5">
        <f ca="1">SUM(OFFSET(Demand!$E177,0,(COLUMN(E165)-1)*5,1,3))*R$2</f>
        <v>0</v>
      </c>
      <c r="S168" s="5">
        <f ca="1">SUM(OFFSET(Demand!$E177,0,(COLUMN(F165)-1)*5,1,3))*S$2</f>
        <v>0</v>
      </c>
      <c r="T168" s="5">
        <f ca="1">SUM(OFFSET(Demand!$E177,0,(COLUMN(G165)-1)*5,1,3))*T$2</f>
        <v>0</v>
      </c>
      <c r="U168" s="5">
        <f ca="1">SUM(OFFSET(Demand!$E177,0,(COLUMN(H165)-1)*5,1,3))*U$2</f>
        <v>0</v>
      </c>
      <c r="V168" s="5">
        <f ca="1">SUM(OFFSET(Demand!$E177,0,(COLUMN(I165)-1)*5,1,3))*V$2</f>
        <v>0</v>
      </c>
      <c r="W168" s="5">
        <f ca="1">SUM(OFFSET(Demand!$E177,0,(COLUMN(J165)-1)*5,1,3))*W$2</f>
        <v>0</v>
      </c>
      <c r="X168" s="5">
        <f t="shared" ca="1" si="44"/>
        <v>0</v>
      </c>
      <c r="Y168">
        <f t="shared" ca="1" si="45"/>
        <v>0</v>
      </c>
      <c r="Z168" s="5">
        <f ca="1">SUM(OFFSET(Demand!$H177,0,(COLUMN(A165)-1)*5,1,1))*N$2</f>
        <v>0</v>
      </c>
      <c r="AA168" s="5">
        <f ca="1">SUM(OFFSET(Demand!$H177,0,(COLUMN(B165)-1)*5,1,1))*O$2</f>
        <v>0</v>
      </c>
      <c r="AB168" s="5">
        <f ca="1">SUM(OFFSET(Demand!$H177,0,(COLUMN(C165)-1)*5,1,1))*P$2</f>
        <v>0</v>
      </c>
      <c r="AC168" s="5">
        <f ca="1">SUM(OFFSET(Demand!$H177,0,(COLUMN(D165)-1)*5,1,1))*Q$2</f>
        <v>0</v>
      </c>
      <c r="AD168" s="5">
        <f ca="1">SUM(OFFSET(Demand!$H177,0,(COLUMN(E165)-1)*5,1,1))*R$2</f>
        <v>0</v>
      </c>
      <c r="AE168" s="5">
        <f ca="1">SUM(OFFSET(Demand!$H177,0,(COLUMN(F165)-1)*5,1,1))*S$2</f>
        <v>0</v>
      </c>
      <c r="AF168" s="5">
        <f ca="1">SUM(OFFSET(Demand!$H177,0,(COLUMN(G165)-1)*5,1,1))*T$2</f>
        <v>0</v>
      </c>
      <c r="AG168" s="5">
        <f ca="1">SUM(OFFSET(Demand!$H177,0,(COLUMN(H165)-1)*5,1,1))*U$2</f>
        <v>0</v>
      </c>
      <c r="AH168" s="5">
        <f ca="1">SUM(OFFSET(Demand!$H177,0,(COLUMN(I165)-1)*5,1,1))*V$2</f>
        <v>0</v>
      </c>
      <c r="AI168" s="5">
        <f ca="1">SUM(OFFSET(Demand!$H177,0,(COLUMN(J165)-1)*5,1,1))*W$2</f>
        <v>0</v>
      </c>
      <c r="AJ168" s="5">
        <f t="shared" ca="1" si="46"/>
        <v>0</v>
      </c>
      <c r="AL168" s="5">
        <f t="shared" ca="1" si="47"/>
        <v>0</v>
      </c>
      <c r="AM168" s="5">
        <f t="shared" ca="1" si="48"/>
        <v>0</v>
      </c>
      <c r="AN168" s="5" t="str">
        <f>IF(Demand!BE177="Yes","Yes","")</f>
        <v/>
      </c>
      <c r="AP168" s="36" t="str">
        <f ca="1">Demand!B177</f>
        <v xml:space="preserve"> </v>
      </c>
      <c r="AQ168" t="str">
        <f ca="1">IF(TEXT(Demand!D177,"MMM")&lt;&gt;TEXT(Demand!D176,"MMM"),TEXT(Demand!D177,"MMM"),"")</f>
        <v/>
      </c>
      <c r="AT168" s="5">
        <f t="shared" ca="1" si="49"/>
        <v>0</v>
      </c>
      <c r="BQ168">
        <f ca="1">IF($AN168="",OFFSET(Demand!$A$13,ROW(A165)-1,4+((QUOTIENT(COLUMN(BQ$2)-69,3))*5)+MOD(COLUMN(BQ$2),3),1,1),"")</f>
        <v>0</v>
      </c>
      <c r="BR168">
        <f ca="1">IF($AN168="",OFFSET(Demand!$A$13,ROW(B165)-1,4+((QUOTIENT(COLUMN(BR$2)-69,3))*5)+MOD(COLUMN(BR$2),3),1,1),"")</f>
        <v>0</v>
      </c>
      <c r="BS168">
        <f ca="1">IF($AN168="",OFFSET(Demand!$A$13,ROW(C165)-1,4+((QUOTIENT(COLUMN(BS$2)-69,3))*5)+MOD(COLUMN(BS$2),3),1,1),"")</f>
        <v>0</v>
      </c>
      <c r="BT168">
        <f ca="1">IF($AN168="",OFFSET(Demand!$A$13,ROW(D165)-1,4+((QUOTIENT(COLUMN(BT$2)-69,3))*5)+MOD(COLUMN(BT$2),3),1,1),"")</f>
        <v>0</v>
      </c>
      <c r="BU168">
        <f ca="1">IF($AN168="",OFFSET(Demand!$A$13,ROW(E165)-1,4+((QUOTIENT(COLUMN(BU$2)-69,3))*5)+MOD(COLUMN(BU$2),3),1,1),"")</f>
        <v>0</v>
      </c>
      <c r="BV168">
        <f ca="1">IF($AN168="",OFFSET(Demand!$A$13,ROW(F165)-1,4+((QUOTIENT(COLUMN(BV$2)-69,3))*5)+MOD(COLUMN(BV$2),3),1,1),"")</f>
        <v>0</v>
      </c>
      <c r="BW168">
        <f ca="1">IF($AN168="",OFFSET(Demand!$A$13,ROW(G165)-1,4+((QUOTIENT(COLUMN(BW$2)-69,3))*5)+MOD(COLUMN(BW$2),3),1,1),"")</f>
        <v>0</v>
      </c>
      <c r="BX168">
        <f ca="1">IF($AN168="",OFFSET(Demand!$A$13,ROW(H165)-1,4+((QUOTIENT(COLUMN(BX$2)-69,3))*5)+MOD(COLUMN(BX$2),3),1,1),"")</f>
        <v>0</v>
      </c>
      <c r="BY168">
        <f ca="1">IF($AN168="",OFFSET(Demand!$A$13,ROW(I165)-1,4+((QUOTIENT(COLUMN(BY$2)-69,3))*5)+MOD(COLUMN(BY$2),3),1,1),"")</f>
        <v>0</v>
      </c>
      <c r="BZ168">
        <f ca="1">IF($AN168="",OFFSET(Demand!$A$13,ROW(J165)-1,4+((QUOTIENT(COLUMN(BZ$2)-69,3))*5)+MOD(COLUMN(BZ$2),3),1,1),"")</f>
        <v>0</v>
      </c>
      <c r="CA168">
        <f ca="1">IF($AN168="",OFFSET(Demand!$A$13,ROW(K165)-1,4+((QUOTIENT(COLUMN(CA$2)-69,3))*5)+MOD(COLUMN(CA$2),3),1,1),"")</f>
        <v>0</v>
      </c>
      <c r="CB168">
        <f ca="1">IF($AN168="",OFFSET(Demand!$A$13,ROW(L165)-1,4+((QUOTIENT(COLUMN(CB$2)-69,3))*5)+MOD(COLUMN(CB$2),3),1,1),"")</f>
        <v>0</v>
      </c>
      <c r="CC168">
        <f ca="1">IF($AN168="",OFFSET(Demand!$A$13,ROW(M165)-1,4+((QUOTIENT(COLUMN(CC$2)-69,3))*5)+MOD(COLUMN(CC$2),3),1,1),"")</f>
        <v>0</v>
      </c>
      <c r="CD168">
        <f ca="1">IF($AN168="",OFFSET(Demand!$A$13,ROW(N165)-1,4+((QUOTIENT(COLUMN(CD$2)-69,3))*5)+MOD(COLUMN(CD$2),3),1,1),"")</f>
        <v>0</v>
      </c>
      <c r="CE168">
        <f ca="1">IF($AN168="",OFFSET(Demand!$A$13,ROW(O165)-1,4+((QUOTIENT(COLUMN(CE$2)-69,3))*5)+MOD(COLUMN(CE$2),3),1,1),"")</f>
        <v>0</v>
      </c>
      <c r="CF168">
        <f ca="1">IF($AN168="",OFFSET(Demand!$A$13,ROW(P165)-1,4+((QUOTIENT(COLUMN(CF$2)-69,3))*5)+MOD(COLUMN(CF$2),3),1,1),"")</f>
        <v>0</v>
      </c>
      <c r="CG168">
        <f ca="1">IF($AN168="",OFFSET(Demand!$A$13,ROW(Q165)-1,4+((QUOTIENT(COLUMN(CG$2)-69,3))*5)+MOD(COLUMN(CG$2),3),1,1),"")</f>
        <v>0</v>
      </c>
      <c r="CH168">
        <f ca="1">IF($AN168="",OFFSET(Demand!$A$13,ROW(R165)-1,4+((QUOTIENT(COLUMN(CH$2)-69,3))*5)+MOD(COLUMN(CH$2),3),1,1),"")</f>
        <v>0</v>
      </c>
      <c r="CI168">
        <f ca="1">IF($AN168="",OFFSET(Demand!$A$13,ROW(S165)-1,4+((QUOTIENT(COLUMN(CI$2)-69,3))*5)+MOD(COLUMN(CI$2),3),1,1),"")</f>
        <v>0</v>
      </c>
      <c r="CJ168">
        <f ca="1">IF($AN168="",OFFSET(Demand!$A$13,ROW(T165)-1,4+((QUOTIENT(COLUMN(CJ$2)-69,3))*5)+MOD(COLUMN(CJ$2),3),1,1),"")</f>
        <v>0</v>
      </c>
      <c r="CK168">
        <f ca="1">IF($AN168="",OFFSET(Demand!$A$13,ROW(U165)-1,4+((QUOTIENT(COLUMN(CK$2)-69,3))*5)+MOD(COLUMN(CK$2),3),1,1),"")</f>
        <v>0</v>
      </c>
      <c r="CL168">
        <f ca="1">IF($AN168="",OFFSET(Demand!$A$13,ROW(V165)-1,4+((QUOTIENT(COLUMN(CL$2)-69,3))*5)+MOD(COLUMN(CL$2),3),1,1),"")</f>
        <v>0</v>
      </c>
      <c r="CM168">
        <f ca="1">IF($AN168="",OFFSET(Demand!$A$13,ROW(W165)-1,4+((QUOTIENT(COLUMN(CM$2)-69,3))*5)+MOD(COLUMN(CM$2),3),1,1),"")</f>
        <v>0</v>
      </c>
      <c r="CN168">
        <f ca="1">IF($AN168="",OFFSET(Demand!$A$13,ROW(X165)-1,4+((QUOTIENT(COLUMN(CN$2)-69,3))*5)+MOD(COLUMN(CN$2),3),1,1),"")</f>
        <v>0</v>
      </c>
      <c r="CO168">
        <f ca="1">IF($AN168="",OFFSET(Demand!$A$13,ROW(Y165)-1,4+((QUOTIENT(COLUMN(CO$2)-69,3))*5)+MOD(COLUMN(CO$2),3),1,1),"")</f>
        <v>0</v>
      </c>
      <c r="CP168">
        <f ca="1">IF($AN168="",OFFSET(Demand!$A$13,ROW(Z165)-1,4+((QUOTIENT(COLUMN(CP$2)-69,3))*5)+MOD(COLUMN(CP$2),3),1,1),"")</f>
        <v>0</v>
      </c>
      <c r="CQ168">
        <f ca="1">IF($AN168="",OFFSET(Demand!$A$13,ROW(AA165)-1,4+((QUOTIENT(COLUMN(CQ$2)-69,3))*5)+MOD(COLUMN(CQ$2),3),1,1),"")</f>
        <v>0</v>
      </c>
      <c r="CR168">
        <f ca="1">IF($AN168="",OFFSET(Demand!$A$13,ROW(AB165)-1,4+((QUOTIENT(COLUMN(CR$2)-69,3))*5)+MOD(COLUMN(CR$2),3),1,1),"")</f>
        <v>0</v>
      </c>
      <c r="CS168">
        <f ca="1">IF($AN168="",OFFSET(Demand!$A$13,ROW(AC165)-1,4+((QUOTIENT(COLUMN(CS$2)-69,3))*5)+MOD(COLUMN(CS$2),3),1,1),"")</f>
        <v>0</v>
      </c>
      <c r="CT168">
        <f ca="1">IF($AN168="",OFFSET(Demand!$A$13,ROW(AD165)-1,4+((QUOTIENT(COLUMN(CT$2)-69,3))*5)+MOD(COLUMN(CT$2),3),1,1),"")</f>
        <v>0</v>
      </c>
      <c r="CW168" s="5">
        <f ca="1">SUM(OFFSET(Demand!$H$43,ROW(A165)-1,(COLUMN(A165)-1)*5,1,1))*N$2</f>
        <v>0</v>
      </c>
      <c r="CX168" s="5">
        <f ca="1">SUM(OFFSET(Demand!$H$43,ROW(B165)-1,(COLUMN(B165)-1)*5,1,1))*O$2</f>
        <v>0</v>
      </c>
      <c r="CY168" s="5">
        <f ca="1">SUM(OFFSET(Demand!$H$43,ROW(C165)-1,(COLUMN(C165)-1)*5,1,1))*P$2</f>
        <v>0</v>
      </c>
      <c r="CZ168" s="5">
        <f ca="1">SUM(OFFSET(Demand!$H$43,ROW(D165)-1,(COLUMN(D165)-1)*5,1,1))*Q$2</f>
        <v>0</v>
      </c>
      <c r="DA168" s="5">
        <f ca="1">SUM(OFFSET(Demand!$H$43,ROW(E165)-1,(COLUMN(E165)-1)*5,1,1))*R$2</f>
        <v>0</v>
      </c>
      <c r="DB168" s="5">
        <f ca="1">SUM(OFFSET(Demand!$H$43,ROW(F165)-1,(COLUMN(F165)-1)*5,1,1))*S$2</f>
        <v>0</v>
      </c>
      <c r="DC168" s="5">
        <f ca="1">SUM(OFFSET(Demand!$H$43,ROW(G165)-1,(COLUMN(G165)-1)*5,1,1))*T$2</f>
        <v>0</v>
      </c>
      <c r="DD168" s="5">
        <f ca="1">SUM(OFFSET(Demand!$H$43,ROW(H165)-1,(COLUMN(H165)-1)*5,1,1))*U$2</f>
        <v>0</v>
      </c>
      <c r="DE168" s="5">
        <f ca="1">SUM(OFFSET(Demand!$H$43,ROW(I165)-1,(COLUMN(I165)-1)*5,1,1))*V$2</f>
        <v>0</v>
      </c>
      <c r="DF168" s="5">
        <f ca="1">SUM(OFFSET(Demand!$H$43,ROW(J165)-1,(COLUMN(J165)-1)*5,1,1))*W$2</f>
        <v>0</v>
      </c>
      <c r="DG168" s="5">
        <f ca="1">IF(OR(AN168&lt;&gt;"",AND('Demand adjustments for Covid'!$F$9="Yes",'Demand adjustments for Covid'!$F$20="Yes")),"",SUM(CW168:DF168))</f>
        <v>0</v>
      </c>
    </row>
    <row r="169" spans="1:111" x14ac:dyDescent="0.25">
      <c r="A169" s="5">
        <f t="shared" ca="1" si="43"/>
        <v>1</v>
      </c>
      <c r="B169" s="5">
        <f ca="1">COUNTBLANK(OFFSET(Demand!$I178,0,(COLUMN(A166)-1)*5,1,1))</f>
        <v>1</v>
      </c>
      <c r="C169" s="5">
        <f ca="1">COUNTBLANK(OFFSET(Demand!$I178,0,(COLUMN(B166)-1)*5,1,1))</f>
        <v>1</v>
      </c>
      <c r="D169" s="5">
        <f ca="1">COUNTBLANK(OFFSET(Demand!$I178,0,(COLUMN(C166)-1)*5,1,1))</f>
        <v>1</v>
      </c>
      <c r="E169" s="5">
        <f ca="1">COUNTBLANK(OFFSET(Demand!$I178,0,(COLUMN(D166)-1)*5,1,1))</f>
        <v>1</v>
      </c>
      <c r="F169" s="5">
        <f ca="1">COUNTBLANK(OFFSET(Demand!$I178,0,(COLUMN(E166)-1)*5,1,1))</f>
        <v>1</v>
      </c>
      <c r="G169" s="5">
        <f ca="1">COUNTBLANK(OFFSET(Demand!$I178,0,(COLUMN(F166)-1)*5,1,1))</f>
        <v>1</v>
      </c>
      <c r="H169" s="5">
        <f ca="1">COUNTBLANK(OFFSET(Demand!$I178,0,(COLUMN(G166)-1)*5,1,1))</f>
        <v>1</v>
      </c>
      <c r="I169" s="5">
        <f ca="1">COUNTBLANK(OFFSET(Demand!$I178,0,(COLUMN(H166)-1)*5,1,1))</f>
        <v>1</v>
      </c>
      <c r="J169" s="5">
        <f ca="1">COUNTBLANK(OFFSET(Demand!$I178,0,(COLUMN(I166)-1)*5,1,1))</f>
        <v>1</v>
      </c>
      <c r="K169" s="5">
        <f ca="1">COUNTBLANK(OFFSET(Demand!$I178,0,(COLUMN(J166)-1)*5,1,1))</f>
        <v>1</v>
      </c>
      <c r="N169" s="5">
        <f ca="1">SUM(OFFSET(Demand!$E178,0,(COLUMN(A166)-1)*5,1,3))*N$2</f>
        <v>0</v>
      </c>
      <c r="O169" s="5">
        <f ca="1">SUM(OFFSET(Demand!$E178,0,(COLUMN(B166)-1)*5,1,3))*O$2</f>
        <v>0</v>
      </c>
      <c r="P169" s="5">
        <f ca="1">SUM(OFFSET(Demand!$E178,0,(COLUMN(C166)-1)*5,1,3))*P$2</f>
        <v>0</v>
      </c>
      <c r="Q169" s="5">
        <f ca="1">SUM(OFFSET(Demand!$E178,0,(COLUMN(D166)-1)*5,1,3))*Q$2</f>
        <v>0</v>
      </c>
      <c r="R169" s="5">
        <f ca="1">SUM(OFFSET(Demand!$E178,0,(COLUMN(E166)-1)*5,1,3))*R$2</f>
        <v>0</v>
      </c>
      <c r="S169" s="5">
        <f ca="1">SUM(OFFSET(Demand!$E178,0,(COLUMN(F166)-1)*5,1,3))*S$2</f>
        <v>0</v>
      </c>
      <c r="T169" s="5">
        <f ca="1">SUM(OFFSET(Demand!$E178,0,(COLUMN(G166)-1)*5,1,3))*T$2</f>
        <v>0</v>
      </c>
      <c r="U169" s="5">
        <f ca="1">SUM(OFFSET(Demand!$E178,0,(COLUMN(H166)-1)*5,1,3))*U$2</f>
        <v>0</v>
      </c>
      <c r="V169" s="5">
        <f ca="1">SUM(OFFSET(Demand!$E178,0,(COLUMN(I166)-1)*5,1,3))*V$2</f>
        <v>0</v>
      </c>
      <c r="W169" s="5">
        <f ca="1">SUM(OFFSET(Demand!$E178,0,(COLUMN(J166)-1)*5,1,3))*W$2</f>
        <v>0</v>
      </c>
      <c r="X169" s="5">
        <f t="shared" ca="1" si="44"/>
        <v>0</v>
      </c>
      <c r="Y169">
        <f t="shared" ca="1" si="45"/>
        <v>0</v>
      </c>
      <c r="Z169" s="5">
        <f ca="1">SUM(OFFSET(Demand!$H178,0,(COLUMN(A166)-1)*5,1,1))*N$2</f>
        <v>0</v>
      </c>
      <c r="AA169" s="5">
        <f ca="1">SUM(OFFSET(Demand!$H178,0,(COLUMN(B166)-1)*5,1,1))*O$2</f>
        <v>0</v>
      </c>
      <c r="AB169" s="5">
        <f ca="1">SUM(OFFSET(Demand!$H178,0,(COLUMN(C166)-1)*5,1,1))*P$2</f>
        <v>0</v>
      </c>
      <c r="AC169" s="5">
        <f ca="1">SUM(OFFSET(Demand!$H178,0,(COLUMN(D166)-1)*5,1,1))*Q$2</f>
        <v>0</v>
      </c>
      <c r="AD169" s="5">
        <f ca="1">SUM(OFFSET(Demand!$H178,0,(COLUMN(E166)-1)*5,1,1))*R$2</f>
        <v>0</v>
      </c>
      <c r="AE169" s="5">
        <f ca="1">SUM(OFFSET(Demand!$H178,0,(COLUMN(F166)-1)*5,1,1))*S$2</f>
        <v>0</v>
      </c>
      <c r="AF169" s="5">
        <f ca="1">SUM(OFFSET(Demand!$H178,0,(COLUMN(G166)-1)*5,1,1))*T$2</f>
        <v>0</v>
      </c>
      <c r="AG169" s="5">
        <f ca="1">SUM(OFFSET(Demand!$H178,0,(COLUMN(H166)-1)*5,1,1))*U$2</f>
        <v>0</v>
      </c>
      <c r="AH169" s="5">
        <f ca="1">SUM(OFFSET(Demand!$H178,0,(COLUMN(I166)-1)*5,1,1))*V$2</f>
        <v>0</v>
      </c>
      <c r="AI169" s="5">
        <f ca="1">SUM(OFFSET(Demand!$H178,0,(COLUMN(J166)-1)*5,1,1))*W$2</f>
        <v>0</v>
      </c>
      <c r="AJ169" s="5">
        <f t="shared" ca="1" si="46"/>
        <v>0</v>
      </c>
      <c r="AL169" s="5">
        <f t="shared" ca="1" si="47"/>
        <v>0</v>
      </c>
      <c r="AM169" s="5">
        <f t="shared" ca="1" si="48"/>
        <v>0</v>
      </c>
      <c r="AN169" s="5" t="str">
        <f>IF(Demand!BE178="Yes","Yes","")</f>
        <v/>
      </c>
      <c r="AP169" s="36" t="str">
        <f ca="1">Demand!B178</f>
        <v xml:space="preserve"> </v>
      </c>
      <c r="AQ169" t="str">
        <f ca="1">IF(TEXT(Demand!D178,"MMM")&lt;&gt;TEXT(Demand!D177,"MMM"),TEXT(Demand!D178,"MMM"),"")</f>
        <v/>
      </c>
      <c r="AT169" s="5">
        <f t="shared" ca="1" si="49"/>
        <v>0</v>
      </c>
      <c r="BQ169">
        <f ca="1">IF($AN169="",OFFSET(Demand!$A$13,ROW(A166)-1,4+((QUOTIENT(COLUMN(BQ$2)-69,3))*5)+MOD(COLUMN(BQ$2),3),1,1),"")</f>
        <v>0</v>
      </c>
      <c r="BR169">
        <f ca="1">IF($AN169="",OFFSET(Demand!$A$13,ROW(B166)-1,4+((QUOTIENT(COLUMN(BR$2)-69,3))*5)+MOD(COLUMN(BR$2),3),1,1),"")</f>
        <v>0</v>
      </c>
      <c r="BS169">
        <f ca="1">IF($AN169="",OFFSET(Demand!$A$13,ROW(C166)-1,4+((QUOTIENT(COLUMN(BS$2)-69,3))*5)+MOD(COLUMN(BS$2),3),1,1),"")</f>
        <v>0</v>
      </c>
      <c r="BT169">
        <f ca="1">IF($AN169="",OFFSET(Demand!$A$13,ROW(D166)-1,4+((QUOTIENT(COLUMN(BT$2)-69,3))*5)+MOD(COLUMN(BT$2),3),1,1),"")</f>
        <v>0</v>
      </c>
      <c r="BU169">
        <f ca="1">IF($AN169="",OFFSET(Demand!$A$13,ROW(E166)-1,4+((QUOTIENT(COLUMN(BU$2)-69,3))*5)+MOD(COLUMN(BU$2),3),1,1),"")</f>
        <v>0</v>
      </c>
      <c r="BV169">
        <f ca="1">IF($AN169="",OFFSET(Demand!$A$13,ROW(F166)-1,4+((QUOTIENT(COLUMN(BV$2)-69,3))*5)+MOD(COLUMN(BV$2),3),1,1),"")</f>
        <v>0</v>
      </c>
      <c r="BW169">
        <f ca="1">IF($AN169="",OFFSET(Demand!$A$13,ROW(G166)-1,4+((QUOTIENT(COLUMN(BW$2)-69,3))*5)+MOD(COLUMN(BW$2),3),1,1),"")</f>
        <v>0</v>
      </c>
      <c r="BX169">
        <f ca="1">IF($AN169="",OFFSET(Demand!$A$13,ROW(H166)-1,4+((QUOTIENT(COLUMN(BX$2)-69,3))*5)+MOD(COLUMN(BX$2),3),1,1),"")</f>
        <v>0</v>
      </c>
      <c r="BY169">
        <f ca="1">IF($AN169="",OFFSET(Demand!$A$13,ROW(I166)-1,4+((QUOTIENT(COLUMN(BY$2)-69,3))*5)+MOD(COLUMN(BY$2),3),1,1),"")</f>
        <v>0</v>
      </c>
      <c r="BZ169">
        <f ca="1">IF($AN169="",OFFSET(Demand!$A$13,ROW(J166)-1,4+((QUOTIENT(COLUMN(BZ$2)-69,3))*5)+MOD(COLUMN(BZ$2),3),1,1),"")</f>
        <v>0</v>
      </c>
      <c r="CA169">
        <f ca="1">IF($AN169="",OFFSET(Demand!$A$13,ROW(K166)-1,4+((QUOTIENT(COLUMN(CA$2)-69,3))*5)+MOD(COLUMN(CA$2),3),1,1),"")</f>
        <v>0</v>
      </c>
      <c r="CB169">
        <f ca="1">IF($AN169="",OFFSET(Demand!$A$13,ROW(L166)-1,4+((QUOTIENT(COLUMN(CB$2)-69,3))*5)+MOD(COLUMN(CB$2),3),1,1),"")</f>
        <v>0</v>
      </c>
      <c r="CC169">
        <f ca="1">IF($AN169="",OFFSET(Demand!$A$13,ROW(M166)-1,4+((QUOTIENT(COLUMN(CC$2)-69,3))*5)+MOD(COLUMN(CC$2),3),1,1),"")</f>
        <v>0</v>
      </c>
      <c r="CD169">
        <f ca="1">IF($AN169="",OFFSET(Demand!$A$13,ROW(N166)-1,4+((QUOTIENT(COLUMN(CD$2)-69,3))*5)+MOD(COLUMN(CD$2),3),1,1),"")</f>
        <v>0</v>
      </c>
      <c r="CE169">
        <f ca="1">IF($AN169="",OFFSET(Demand!$A$13,ROW(O166)-1,4+((QUOTIENT(COLUMN(CE$2)-69,3))*5)+MOD(COLUMN(CE$2),3),1,1),"")</f>
        <v>0</v>
      </c>
      <c r="CF169">
        <f ca="1">IF($AN169="",OFFSET(Demand!$A$13,ROW(P166)-1,4+((QUOTIENT(COLUMN(CF$2)-69,3))*5)+MOD(COLUMN(CF$2),3),1,1),"")</f>
        <v>0</v>
      </c>
      <c r="CG169">
        <f ca="1">IF($AN169="",OFFSET(Demand!$A$13,ROW(Q166)-1,4+((QUOTIENT(COLUMN(CG$2)-69,3))*5)+MOD(COLUMN(CG$2),3),1,1),"")</f>
        <v>0</v>
      </c>
      <c r="CH169">
        <f ca="1">IF($AN169="",OFFSET(Demand!$A$13,ROW(R166)-1,4+((QUOTIENT(COLUMN(CH$2)-69,3))*5)+MOD(COLUMN(CH$2),3),1,1),"")</f>
        <v>0</v>
      </c>
      <c r="CI169">
        <f ca="1">IF($AN169="",OFFSET(Demand!$A$13,ROW(S166)-1,4+((QUOTIENT(COLUMN(CI$2)-69,3))*5)+MOD(COLUMN(CI$2),3),1,1),"")</f>
        <v>0</v>
      </c>
      <c r="CJ169">
        <f ca="1">IF($AN169="",OFFSET(Demand!$A$13,ROW(T166)-1,4+((QUOTIENT(COLUMN(CJ$2)-69,3))*5)+MOD(COLUMN(CJ$2),3),1,1),"")</f>
        <v>0</v>
      </c>
      <c r="CK169">
        <f ca="1">IF($AN169="",OFFSET(Demand!$A$13,ROW(U166)-1,4+((QUOTIENT(COLUMN(CK$2)-69,3))*5)+MOD(COLUMN(CK$2),3),1,1),"")</f>
        <v>0</v>
      </c>
      <c r="CL169">
        <f ca="1">IF($AN169="",OFFSET(Demand!$A$13,ROW(V166)-1,4+((QUOTIENT(COLUMN(CL$2)-69,3))*5)+MOD(COLUMN(CL$2),3),1,1),"")</f>
        <v>0</v>
      </c>
      <c r="CM169">
        <f ca="1">IF($AN169="",OFFSET(Demand!$A$13,ROW(W166)-1,4+((QUOTIENT(COLUMN(CM$2)-69,3))*5)+MOD(COLUMN(CM$2),3),1,1),"")</f>
        <v>0</v>
      </c>
      <c r="CN169">
        <f ca="1">IF($AN169="",OFFSET(Demand!$A$13,ROW(X166)-1,4+((QUOTIENT(COLUMN(CN$2)-69,3))*5)+MOD(COLUMN(CN$2),3),1,1),"")</f>
        <v>0</v>
      </c>
      <c r="CO169">
        <f ca="1">IF($AN169="",OFFSET(Demand!$A$13,ROW(Y166)-1,4+((QUOTIENT(COLUMN(CO$2)-69,3))*5)+MOD(COLUMN(CO$2),3),1,1),"")</f>
        <v>0</v>
      </c>
      <c r="CP169">
        <f ca="1">IF($AN169="",OFFSET(Demand!$A$13,ROW(Z166)-1,4+((QUOTIENT(COLUMN(CP$2)-69,3))*5)+MOD(COLUMN(CP$2),3),1,1),"")</f>
        <v>0</v>
      </c>
      <c r="CQ169">
        <f ca="1">IF($AN169="",OFFSET(Demand!$A$13,ROW(AA166)-1,4+((QUOTIENT(COLUMN(CQ$2)-69,3))*5)+MOD(COLUMN(CQ$2),3),1,1),"")</f>
        <v>0</v>
      </c>
      <c r="CR169">
        <f ca="1">IF($AN169="",OFFSET(Demand!$A$13,ROW(AB166)-1,4+((QUOTIENT(COLUMN(CR$2)-69,3))*5)+MOD(COLUMN(CR$2),3),1,1),"")</f>
        <v>0</v>
      </c>
      <c r="CS169">
        <f ca="1">IF($AN169="",OFFSET(Demand!$A$13,ROW(AC166)-1,4+((QUOTIENT(COLUMN(CS$2)-69,3))*5)+MOD(COLUMN(CS$2),3),1,1),"")</f>
        <v>0</v>
      </c>
      <c r="CT169">
        <f ca="1">IF($AN169="",OFFSET(Demand!$A$13,ROW(AD166)-1,4+((QUOTIENT(COLUMN(CT$2)-69,3))*5)+MOD(COLUMN(CT$2),3),1,1),"")</f>
        <v>0</v>
      </c>
      <c r="CW169" s="5">
        <f ca="1">SUM(OFFSET(Demand!$H$43,ROW(A166)-1,(COLUMN(A166)-1)*5,1,1))*N$2</f>
        <v>0</v>
      </c>
      <c r="CX169" s="5">
        <f ca="1">SUM(OFFSET(Demand!$H$43,ROW(B166)-1,(COLUMN(B166)-1)*5,1,1))*O$2</f>
        <v>0</v>
      </c>
      <c r="CY169" s="5">
        <f ca="1">SUM(OFFSET(Demand!$H$43,ROW(C166)-1,(COLUMN(C166)-1)*5,1,1))*P$2</f>
        <v>0</v>
      </c>
      <c r="CZ169" s="5">
        <f ca="1">SUM(OFFSET(Demand!$H$43,ROW(D166)-1,(COLUMN(D166)-1)*5,1,1))*Q$2</f>
        <v>0</v>
      </c>
      <c r="DA169" s="5">
        <f ca="1">SUM(OFFSET(Demand!$H$43,ROW(E166)-1,(COLUMN(E166)-1)*5,1,1))*R$2</f>
        <v>0</v>
      </c>
      <c r="DB169" s="5">
        <f ca="1">SUM(OFFSET(Demand!$H$43,ROW(F166)-1,(COLUMN(F166)-1)*5,1,1))*S$2</f>
        <v>0</v>
      </c>
      <c r="DC169" s="5">
        <f ca="1">SUM(OFFSET(Demand!$H$43,ROW(G166)-1,(COLUMN(G166)-1)*5,1,1))*T$2</f>
        <v>0</v>
      </c>
      <c r="DD169" s="5">
        <f ca="1">SUM(OFFSET(Demand!$H$43,ROW(H166)-1,(COLUMN(H166)-1)*5,1,1))*U$2</f>
        <v>0</v>
      </c>
      <c r="DE169" s="5">
        <f ca="1">SUM(OFFSET(Demand!$H$43,ROW(I166)-1,(COLUMN(I166)-1)*5,1,1))*V$2</f>
        <v>0</v>
      </c>
      <c r="DF169" s="5">
        <f ca="1">SUM(OFFSET(Demand!$H$43,ROW(J166)-1,(COLUMN(J166)-1)*5,1,1))*W$2</f>
        <v>0</v>
      </c>
      <c r="DG169" s="5">
        <f ca="1">IF(OR(AN169&lt;&gt;"",AND('Demand adjustments for Covid'!$F$9="Yes",'Demand adjustments for Covid'!$F$20="Yes")),"",SUM(CW169:DF169))</f>
        <v>0</v>
      </c>
    </row>
    <row r="170" spans="1:111" x14ac:dyDescent="0.25">
      <c r="A170" s="5">
        <f t="shared" ca="1" si="43"/>
        <v>1</v>
      </c>
      <c r="B170" s="5">
        <f ca="1">COUNTBLANK(OFFSET(Demand!$I179,0,(COLUMN(A167)-1)*5,1,1))</f>
        <v>1</v>
      </c>
      <c r="C170" s="5">
        <f ca="1">COUNTBLANK(OFFSET(Demand!$I179,0,(COLUMN(B167)-1)*5,1,1))</f>
        <v>1</v>
      </c>
      <c r="D170" s="5">
        <f ca="1">COUNTBLANK(OFFSET(Demand!$I179,0,(COLUMN(C167)-1)*5,1,1))</f>
        <v>1</v>
      </c>
      <c r="E170" s="5">
        <f ca="1">COUNTBLANK(OFFSET(Demand!$I179,0,(COLUMN(D167)-1)*5,1,1))</f>
        <v>1</v>
      </c>
      <c r="F170" s="5">
        <f ca="1">COUNTBLANK(OFFSET(Demand!$I179,0,(COLUMN(E167)-1)*5,1,1))</f>
        <v>1</v>
      </c>
      <c r="G170" s="5">
        <f ca="1">COUNTBLANK(OFFSET(Demand!$I179,0,(COLUMN(F167)-1)*5,1,1))</f>
        <v>1</v>
      </c>
      <c r="H170" s="5">
        <f ca="1">COUNTBLANK(OFFSET(Demand!$I179,0,(COLUMN(G167)-1)*5,1,1))</f>
        <v>1</v>
      </c>
      <c r="I170" s="5">
        <f ca="1">COUNTBLANK(OFFSET(Demand!$I179,0,(COLUMN(H167)-1)*5,1,1))</f>
        <v>1</v>
      </c>
      <c r="J170" s="5">
        <f ca="1">COUNTBLANK(OFFSET(Demand!$I179,0,(COLUMN(I167)-1)*5,1,1))</f>
        <v>1</v>
      </c>
      <c r="K170" s="5">
        <f ca="1">COUNTBLANK(OFFSET(Demand!$I179,0,(COLUMN(J167)-1)*5,1,1))</f>
        <v>1</v>
      </c>
      <c r="N170" s="5">
        <f ca="1">SUM(OFFSET(Demand!$E179,0,(COLUMN(A167)-1)*5,1,3))*N$2</f>
        <v>0</v>
      </c>
      <c r="O170" s="5">
        <f ca="1">SUM(OFFSET(Demand!$E179,0,(COLUMN(B167)-1)*5,1,3))*O$2</f>
        <v>0</v>
      </c>
      <c r="P170" s="5">
        <f ca="1">SUM(OFFSET(Demand!$E179,0,(COLUMN(C167)-1)*5,1,3))*P$2</f>
        <v>0</v>
      </c>
      <c r="Q170" s="5">
        <f ca="1">SUM(OFFSET(Demand!$E179,0,(COLUMN(D167)-1)*5,1,3))*Q$2</f>
        <v>0</v>
      </c>
      <c r="R170" s="5">
        <f ca="1">SUM(OFFSET(Demand!$E179,0,(COLUMN(E167)-1)*5,1,3))*R$2</f>
        <v>0</v>
      </c>
      <c r="S170" s="5">
        <f ca="1">SUM(OFFSET(Demand!$E179,0,(COLUMN(F167)-1)*5,1,3))*S$2</f>
        <v>0</v>
      </c>
      <c r="T170" s="5">
        <f ca="1">SUM(OFFSET(Demand!$E179,0,(COLUMN(G167)-1)*5,1,3))*T$2</f>
        <v>0</v>
      </c>
      <c r="U170" s="5">
        <f ca="1">SUM(OFFSET(Demand!$E179,0,(COLUMN(H167)-1)*5,1,3))*U$2</f>
        <v>0</v>
      </c>
      <c r="V170" s="5">
        <f ca="1">SUM(OFFSET(Demand!$E179,0,(COLUMN(I167)-1)*5,1,3))*V$2</f>
        <v>0</v>
      </c>
      <c r="W170" s="5">
        <f ca="1">SUM(OFFSET(Demand!$E179,0,(COLUMN(J167)-1)*5,1,3))*W$2</f>
        <v>0</v>
      </c>
      <c r="X170" s="5">
        <f t="shared" ca="1" si="44"/>
        <v>0</v>
      </c>
      <c r="Y170">
        <f t="shared" ca="1" si="45"/>
        <v>0</v>
      </c>
      <c r="Z170" s="5">
        <f ca="1">SUM(OFFSET(Demand!$H179,0,(COLUMN(A167)-1)*5,1,1))*N$2</f>
        <v>0</v>
      </c>
      <c r="AA170" s="5">
        <f ca="1">SUM(OFFSET(Demand!$H179,0,(COLUMN(B167)-1)*5,1,1))*O$2</f>
        <v>0</v>
      </c>
      <c r="AB170" s="5">
        <f ca="1">SUM(OFFSET(Demand!$H179,0,(COLUMN(C167)-1)*5,1,1))*P$2</f>
        <v>0</v>
      </c>
      <c r="AC170" s="5">
        <f ca="1">SUM(OFFSET(Demand!$H179,0,(COLUMN(D167)-1)*5,1,1))*Q$2</f>
        <v>0</v>
      </c>
      <c r="AD170" s="5">
        <f ca="1">SUM(OFFSET(Demand!$H179,0,(COLUMN(E167)-1)*5,1,1))*R$2</f>
        <v>0</v>
      </c>
      <c r="AE170" s="5">
        <f ca="1">SUM(OFFSET(Demand!$H179,0,(COLUMN(F167)-1)*5,1,1))*S$2</f>
        <v>0</v>
      </c>
      <c r="AF170" s="5">
        <f ca="1">SUM(OFFSET(Demand!$H179,0,(COLUMN(G167)-1)*5,1,1))*T$2</f>
        <v>0</v>
      </c>
      <c r="AG170" s="5">
        <f ca="1">SUM(OFFSET(Demand!$H179,0,(COLUMN(H167)-1)*5,1,1))*U$2</f>
        <v>0</v>
      </c>
      <c r="AH170" s="5">
        <f ca="1">SUM(OFFSET(Demand!$H179,0,(COLUMN(I167)-1)*5,1,1))*V$2</f>
        <v>0</v>
      </c>
      <c r="AI170" s="5">
        <f ca="1">SUM(OFFSET(Demand!$H179,0,(COLUMN(J167)-1)*5,1,1))*W$2</f>
        <v>0</v>
      </c>
      <c r="AJ170" s="5">
        <f t="shared" ca="1" si="46"/>
        <v>0</v>
      </c>
      <c r="AL170" s="5">
        <f t="shared" ca="1" si="47"/>
        <v>0</v>
      </c>
      <c r="AM170" s="5">
        <f t="shared" ca="1" si="48"/>
        <v>0</v>
      </c>
      <c r="AN170" s="5" t="str">
        <f>IF(Demand!BE179="Yes","Yes","")</f>
        <v/>
      </c>
      <c r="AP170" s="36" t="str">
        <f ca="1">Demand!B179</f>
        <v xml:space="preserve"> </v>
      </c>
      <c r="AQ170" t="str">
        <f ca="1">IF(TEXT(Demand!D179,"MMM")&lt;&gt;TEXT(Demand!D178,"MMM"),TEXT(Demand!D179,"MMM"),"")</f>
        <v/>
      </c>
      <c r="AT170" s="5">
        <f t="shared" ca="1" si="49"/>
        <v>0</v>
      </c>
      <c r="BQ170">
        <f ca="1">IF($AN170="",OFFSET(Demand!$A$13,ROW(A167)-1,4+((QUOTIENT(COLUMN(BQ$2)-69,3))*5)+MOD(COLUMN(BQ$2),3),1,1),"")</f>
        <v>0</v>
      </c>
      <c r="BR170">
        <f ca="1">IF($AN170="",OFFSET(Demand!$A$13,ROW(B167)-1,4+((QUOTIENT(COLUMN(BR$2)-69,3))*5)+MOD(COLUMN(BR$2),3),1,1),"")</f>
        <v>0</v>
      </c>
      <c r="BS170">
        <f ca="1">IF($AN170="",OFFSET(Demand!$A$13,ROW(C167)-1,4+((QUOTIENT(COLUMN(BS$2)-69,3))*5)+MOD(COLUMN(BS$2),3),1,1),"")</f>
        <v>0</v>
      </c>
      <c r="BT170">
        <f ca="1">IF($AN170="",OFFSET(Demand!$A$13,ROW(D167)-1,4+((QUOTIENT(COLUMN(BT$2)-69,3))*5)+MOD(COLUMN(BT$2),3),1,1),"")</f>
        <v>0</v>
      </c>
      <c r="BU170">
        <f ca="1">IF($AN170="",OFFSET(Demand!$A$13,ROW(E167)-1,4+((QUOTIENT(COLUMN(BU$2)-69,3))*5)+MOD(COLUMN(BU$2),3),1,1),"")</f>
        <v>0</v>
      </c>
      <c r="BV170">
        <f ca="1">IF($AN170="",OFFSET(Demand!$A$13,ROW(F167)-1,4+((QUOTIENT(COLUMN(BV$2)-69,3))*5)+MOD(COLUMN(BV$2),3),1,1),"")</f>
        <v>0</v>
      </c>
      <c r="BW170">
        <f ca="1">IF($AN170="",OFFSET(Demand!$A$13,ROW(G167)-1,4+((QUOTIENT(COLUMN(BW$2)-69,3))*5)+MOD(COLUMN(BW$2),3),1,1),"")</f>
        <v>0</v>
      </c>
      <c r="BX170">
        <f ca="1">IF($AN170="",OFFSET(Demand!$A$13,ROW(H167)-1,4+((QUOTIENT(COLUMN(BX$2)-69,3))*5)+MOD(COLUMN(BX$2),3),1,1),"")</f>
        <v>0</v>
      </c>
      <c r="BY170">
        <f ca="1">IF($AN170="",OFFSET(Demand!$A$13,ROW(I167)-1,4+((QUOTIENT(COLUMN(BY$2)-69,3))*5)+MOD(COLUMN(BY$2),3),1,1),"")</f>
        <v>0</v>
      </c>
      <c r="BZ170">
        <f ca="1">IF($AN170="",OFFSET(Demand!$A$13,ROW(J167)-1,4+((QUOTIENT(COLUMN(BZ$2)-69,3))*5)+MOD(COLUMN(BZ$2),3),1,1),"")</f>
        <v>0</v>
      </c>
      <c r="CA170">
        <f ca="1">IF($AN170="",OFFSET(Demand!$A$13,ROW(K167)-1,4+((QUOTIENT(COLUMN(CA$2)-69,3))*5)+MOD(COLUMN(CA$2),3),1,1),"")</f>
        <v>0</v>
      </c>
      <c r="CB170">
        <f ca="1">IF($AN170="",OFFSET(Demand!$A$13,ROW(L167)-1,4+((QUOTIENT(COLUMN(CB$2)-69,3))*5)+MOD(COLUMN(CB$2),3),1,1),"")</f>
        <v>0</v>
      </c>
      <c r="CC170">
        <f ca="1">IF($AN170="",OFFSET(Demand!$A$13,ROW(M167)-1,4+((QUOTIENT(COLUMN(CC$2)-69,3))*5)+MOD(COLUMN(CC$2),3),1,1),"")</f>
        <v>0</v>
      </c>
      <c r="CD170">
        <f ca="1">IF($AN170="",OFFSET(Demand!$A$13,ROW(N167)-1,4+((QUOTIENT(COLUMN(CD$2)-69,3))*5)+MOD(COLUMN(CD$2),3),1,1),"")</f>
        <v>0</v>
      </c>
      <c r="CE170">
        <f ca="1">IF($AN170="",OFFSET(Demand!$A$13,ROW(O167)-1,4+((QUOTIENT(COLUMN(CE$2)-69,3))*5)+MOD(COLUMN(CE$2),3),1,1),"")</f>
        <v>0</v>
      </c>
      <c r="CF170">
        <f ca="1">IF($AN170="",OFFSET(Demand!$A$13,ROW(P167)-1,4+((QUOTIENT(COLUMN(CF$2)-69,3))*5)+MOD(COLUMN(CF$2),3),1,1),"")</f>
        <v>0</v>
      </c>
      <c r="CG170">
        <f ca="1">IF($AN170="",OFFSET(Demand!$A$13,ROW(Q167)-1,4+((QUOTIENT(COLUMN(CG$2)-69,3))*5)+MOD(COLUMN(CG$2),3),1,1),"")</f>
        <v>0</v>
      </c>
      <c r="CH170">
        <f ca="1">IF($AN170="",OFFSET(Demand!$A$13,ROW(R167)-1,4+((QUOTIENT(COLUMN(CH$2)-69,3))*5)+MOD(COLUMN(CH$2),3),1,1),"")</f>
        <v>0</v>
      </c>
      <c r="CI170">
        <f ca="1">IF($AN170="",OFFSET(Demand!$A$13,ROW(S167)-1,4+((QUOTIENT(COLUMN(CI$2)-69,3))*5)+MOD(COLUMN(CI$2),3),1,1),"")</f>
        <v>0</v>
      </c>
      <c r="CJ170">
        <f ca="1">IF($AN170="",OFFSET(Demand!$A$13,ROW(T167)-1,4+((QUOTIENT(COLUMN(CJ$2)-69,3))*5)+MOD(COLUMN(CJ$2),3),1,1),"")</f>
        <v>0</v>
      </c>
      <c r="CK170">
        <f ca="1">IF($AN170="",OFFSET(Demand!$A$13,ROW(U167)-1,4+((QUOTIENT(COLUMN(CK$2)-69,3))*5)+MOD(COLUMN(CK$2),3),1,1),"")</f>
        <v>0</v>
      </c>
      <c r="CL170">
        <f ca="1">IF($AN170="",OFFSET(Demand!$A$13,ROW(V167)-1,4+((QUOTIENT(COLUMN(CL$2)-69,3))*5)+MOD(COLUMN(CL$2),3),1,1),"")</f>
        <v>0</v>
      </c>
      <c r="CM170">
        <f ca="1">IF($AN170="",OFFSET(Demand!$A$13,ROW(W167)-1,4+((QUOTIENT(COLUMN(CM$2)-69,3))*5)+MOD(COLUMN(CM$2),3),1,1),"")</f>
        <v>0</v>
      </c>
      <c r="CN170">
        <f ca="1">IF($AN170="",OFFSET(Demand!$A$13,ROW(X167)-1,4+((QUOTIENT(COLUMN(CN$2)-69,3))*5)+MOD(COLUMN(CN$2),3),1,1),"")</f>
        <v>0</v>
      </c>
      <c r="CO170">
        <f ca="1">IF($AN170="",OFFSET(Demand!$A$13,ROW(Y167)-1,4+((QUOTIENT(COLUMN(CO$2)-69,3))*5)+MOD(COLUMN(CO$2),3),1,1),"")</f>
        <v>0</v>
      </c>
      <c r="CP170">
        <f ca="1">IF($AN170="",OFFSET(Demand!$A$13,ROW(Z167)-1,4+((QUOTIENT(COLUMN(CP$2)-69,3))*5)+MOD(COLUMN(CP$2),3),1,1),"")</f>
        <v>0</v>
      </c>
      <c r="CQ170">
        <f ca="1">IF($AN170="",OFFSET(Demand!$A$13,ROW(AA167)-1,4+((QUOTIENT(COLUMN(CQ$2)-69,3))*5)+MOD(COLUMN(CQ$2),3),1,1),"")</f>
        <v>0</v>
      </c>
      <c r="CR170">
        <f ca="1">IF($AN170="",OFFSET(Demand!$A$13,ROW(AB167)-1,4+((QUOTIENT(COLUMN(CR$2)-69,3))*5)+MOD(COLUMN(CR$2),3),1,1),"")</f>
        <v>0</v>
      </c>
      <c r="CS170">
        <f ca="1">IF($AN170="",OFFSET(Demand!$A$13,ROW(AC167)-1,4+((QUOTIENT(COLUMN(CS$2)-69,3))*5)+MOD(COLUMN(CS$2),3),1,1),"")</f>
        <v>0</v>
      </c>
      <c r="CT170">
        <f ca="1">IF($AN170="",OFFSET(Demand!$A$13,ROW(AD167)-1,4+((QUOTIENT(COLUMN(CT$2)-69,3))*5)+MOD(COLUMN(CT$2),3),1,1),"")</f>
        <v>0</v>
      </c>
      <c r="CW170" s="5">
        <f ca="1">SUM(OFFSET(Demand!$H$43,ROW(A167)-1,(COLUMN(A167)-1)*5,1,1))*N$2</f>
        <v>0</v>
      </c>
      <c r="CX170" s="5">
        <f ca="1">SUM(OFFSET(Demand!$H$43,ROW(B167)-1,(COLUMN(B167)-1)*5,1,1))*O$2</f>
        <v>0</v>
      </c>
      <c r="CY170" s="5">
        <f ca="1">SUM(OFFSET(Demand!$H$43,ROW(C167)-1,(COLUMN(C167)-1)*5,1,1))*P$2</f>
        <v>0</v>
      </c>
      <c r="CZ170" s="5">
        <f ca="1">SUM(OFFSET(Demand!$H$43,ROW(D167)-1,(COLUMN(D167)-1)*5,1,1))*Q$2</f>
        <v>0</v>
      </c>
      <c r="DA170" s="5">
        <f ca="1">SUM(OFFSET(Demand!$H$43,ROW(E167)-1,(COLUMN(E167)-1)*5,1,1))*R$2</f>
        <v>0</v>
      </c>
      <c r="DB170" s="5">
        <f ca="1">SUM(OFFSET(Demand!$H$43,ROW(F167)-1,(COLUMN(F167)-1)*5,1,1))*S$2</f>
        <v>0</v>
      </c>
      <c r="DC170" s="5">
        <f ca="1">SUM(OFFSET(Demand!$H$43,ROW(G167)-1,(COLUMN(G167)-1)*5,1,1))*T$2</f>
        <v>0</v>
      </c>
      <c r="DD170" s="5">
        <f ca="1">SUM(OFFSET(Demand!$H$43,ROW(H167)-1,(COLUMN(H167)-1)*5,1,1))*U$2</f>
        <v>0</v>
      </c>
      <c r="DE170" s="5">
        <f ca="1">SUM(OFFSET(Demand!$H$43,ROW(I167)-1,(COLUMN(I167)-1)*5,1,1))*V$2</f>
        <v>0</v>
      </c>
      <c r="DF170" s="5">
        <f ca="1">SUM(OFFSET(Demand!$H$43,ROW(J167)-1,(COLUMN(J167)-1)*5,1,1))*W$2</f>
        <v>0</v>
      </c>
      <c r="DG170" s="5">
        <f ca="1">IF(OR(AN170&lt;&gt;"",AND('Demand adjustments for Covid'!$F$9="Yes",'Demand adjustments for Covid'!$F$20="Yes")),"",SUM(CW170:DF170))</f>
        <v>0</v>
      </c>
    </row>
    <row r="171" spans="1:111" x14ac:dyDescent="0.25">
      <c r="A171" s="5">
        <f t="shared" ca="1" si="43"/>
        <v>1</v>
      </c>
      <c r="B171" s="5">
        <f ca="1">COUNTBLANK(OFFSET(Demand!$I180,0,(COLUMN(A168)-1)*5,1,1))</f>
        <v>1</v>
      </c>
      <c r="C171" s="5">
        <f ca="1">COUNTBLANK(OFFSET(Demand!$I180,0,(COLUMN(B168)-1)*5,1,1))</f>
        <v>1</v>
      </c>
      <c r="D171" s="5">
        <f ca="1">COUNTBLANK(OFFSET(Demand!$I180,0,(COLUMN(C168)-1)*5,1,1))</f>
        <v>1</v>
      </c>
      <c r="E171" s="5">
        <f ca="1">COUNTBLANK(OFFSET(Demand!$I180,0,(COLUMN(D168)-1)*5,1,1))</f>
        <v>1</v>
      </c>
      <c r="F171" s="5">
        <f ca="1">COUNTBLANK(OFFSET(Demand!$I180,0,(COLUMN(E168)-1)*5,1,1))</f>
        <v>1</v>
      </c>
      <c r="G171" s="5">
        <f ca="1">COUNTBLANK(OFFSET(Demand!$I180,0,(COLUMN(F168)-1)*5,1,1))</f>
        <v>1</v>
      </c>
      <c r="H171" s="5">
        <f ca="1">COUNTBLANK(OFFSET(Demand!$I180,0,(COLUMN(G168)-1)*5,1,1))</f>
        <v>1</v>
      </c>
      <c r="I171" s="5">
        <f ca="1">COUNTBLANK(OFFSET(Demand!$I180,0,(COLUMN(H168)-1)*5,1,1))</f>
        <v>1</v>
      </c>
      <c r="J171" s="5">
        <f ca="1">COUNTBLANK(OFFSET(Demand!$I180,0,(COLUMN(I168)-1)*5,1,1))</f>
        <v>1</v>
      </c>
      <c r="K171" s="5">
        <f ca="1">COUNTBLANK(OFFSET(Demand!$I180,0,(COLUMN(J168)-1)*5,1,1))</f>
        <v>1</v>
      </c>
      <c r="N171" s="5">
        <f ca="1">SUM(OFFSET(Demand!$E180,0,(COLUMN(A168)-1)*5,1,3))*N$2</f>
        <v>0</v>
      </c>
      <c r="O171" s="5">
        <f ca="1">SUM(OFFSET(Demand!$E180,0,(COLUMN(B168)-1)*5,1,3))*O$2</f>
        <v>0</v>
      </c>
      <c r="P171" s="5">
        <f ca="1">SUM(OFFSET(Demand!$E180,0,(COLUMN(C168)-1)*5,1,3))*P$2</f>
        <v>0</v>
      </c>
      <c r="Q171" s="5">
        <f ca="1">SUM(OFFSET(Demand!$E180,0,(COLUMN(D168)-1)*5,1,3))*Q$2</f>
        <v>0</v>
      </c>
      <c r="R171" s="5">
        <f ca="1">SUM(OFFSET(Demand!$E180,0,(COLUMN(E168)-1)*5,1,3))*R$2</f>
        <v>0</v>
      </c>
      <c r="S171" s="5">
        <f ca="1">SUM(OFFSET(Demand!$E180,0,(COLUMN(F168)-1)*5,1,3))*S$2</f>
        <v>0</v>
      </c>
      <c r="T171" s="5">
        <f ca="1">SUM(OFFSET(Demand!$E180,0,(COLUMN(G168)-1)*5,1,3))*T$2</f>
        <v>0</v>
      </c>
      <c r="U171" s="5">
        <f ca="1">SUM(OFFSET(Demand!$E180,0,(COLUMN(H168)-1)*5,1,3))*U$2</f>
        <v>0</v>
      </c>
      <c r="V171" s="5">
        <f ca="1">SUM(OFFSET(Demand!$E180,0,(COLUMN(I168)-1)*5,1,3))*V$2</f>
        <v>0</v>
      </c>
      <c r="W171" s="5">
        <f ca="1">SUM(OFFSET(Demand!$E180,0,(COLUMN(J168)-1)*5,1,3))*W$2</f>
        <v>0</v>
      </c>
      <c r="X171" s="5">
        <f t="shared" ca="1" si="44"/>
        <v>0</v>
      </c>
      <c r="Y171">
        <f t="shared" ca="1" si="45"/>
        <v>0</v>
      </c>
      <c r="Z171" s="5">
        <f ca="1">SUM(OFFSET(Demand!$H180,0,(COLUMN(A168)-1)*5,1,1))*N$2</f>
        <v>0</v>
      </c>
      <c r="AA171" s="5">
        <f ca="1">SUM(OFFSET(Demand!$H180,0,(COLUMN(B168)-1)*5,1,1))*O$2</f>
        <v>0</v>
      </c>
      <c r="AB171" s="5">
        <f ca="1">SUM(OFFSET(Demand!$H180,0,(COLUMN(C168)-1)*5,1,1))*P$2</f>
        <v>0</v>
      </c>
      <c r="AC171" s="5">
        <f ca="1">SUM(OFFSET(Demand!$H180,0,(COLUMN(D168)-1)*5,1,1))*Q$2</f>
        <v>0</v>
      </c>
      <c r="AD171" s="5">
        <f ca="1">SUM(OFFSET(Demand!$H180,0,(COLUMN(E168)-1)*5,1,1))*R$2</f>
        <v>0</v>
      </c>
      <c r="AE171" s="5">
        <f ca="1">SUM(OFFSET(Demand!$H180,0,(COLUMN(F168)-1)*5,1,1))*S$2</f>
        <v>0</v>
      </c>
      <c r="AF171" s="5">
        <f ca="1">SUM(OFFSET(Demand!$H180,0,(COLUMN(G168)-1)*5,1,1))*T$2</f>
        <v>0</v>
      </c>
      <c r="AG171" s="5">
        <f ca="1">SUM(OFFSET(Demand!$H180,0,(COLUMN(H168)-1)*5,1,1))*U$2</f>
        <v>0</v>
      </c>
      <c r="AH171" s="5">
        <f ca="1">SUM(OFFSET(Demand!$H180,0,(COLUMN(I168)-1)*5,1,1))*V$2</f>
        <v>0</v>
      </c>
      <c r="AI171" s="5">
        <f ca="1">SUM(OFFSET(Demand!$H180,0,(COLUMN(J168)-1)*5,1,1))*W$2</f>
        <v>0</v>
      </c>
      <c r="AJ171" s="5">
        <f t="shared" ca="1" si="46"/>
        <v>0</v>
      </c>
      <c r="AL171" s="5">
        <f t="shared" ca="1" si="47"/>
        <v>0</v>
      </c>
      <c r="AM171" s="5">
        <f t="shared" ca="1" si="48"/>
        <v>0</v>
      </c>
      <c r="AN171" s="5" t="str">
        <f>IF(Demand!BE180="Yes","Yes","")</f>
        <v/>
      </c>
      <c r="AP171" s="36" t="str">
        <f ca="1">Demand!B180</f>
        <v xml:space="preserve"> </v>
      </c>
      <c r="AQ171" t="str">
        <f ca="1">IF(TEXT(Demand!D180,"MMM")&lt;&gt;TEXT(Demand!D179,"MMM"),TEXT(Demand!D180,"MMM"),"")</f>
        <v/>
      </c>
      <c r="AT171" s="5">
        <f t="shared" ca="1" si="49"/>
        <v>0</v>
      </c>
      <c r="BQ171">
        <f ca="1">IF($AN171="",OFFSET(Demand!$A$13,ROW(A168)-1,4+((QUOTIENT(COLUMN(BQ$2)-69,3))*5)+MOD(COLUMN(BQ$2),3),1,1),"")</f>
        <v>0</v>
      </c>
      <c r="BR171">
        <f ca="1">IF($AN171="",OFFSET(Demand!$A$13,ROW(B168)-1,4+((QUOTIENT(COLUMN(BR$2)-69,3))*5)+MOD(COLUMN(BR$2),3),1,1),"")</f>
        <v>0</v>
      </c>
      <c r="BS171">
        <f ca="1">IF($AN171="",OFFSET(Demand!$A$13,ROW(C168)-1,4+((QUOTIENT(COLUMN(BS$2)-69,3))*5)+MOD(COLUMN(BS$2),3),1,1),"")</f>
        <v>0</v>
      </c>
      <c r="BT171">
        <f ca="1">IF($AN171="",OFFSET(Demand!$A$13,ROW(D168)-1,4+((QUOTIENT(COLUMN(BT$2)-69,3))*5)+MOD(COLUMN(BT$2),3),1,1),"")</f>
        <v>0</v>
      </c>
      <c r="BU171">
        <f ca="1">IF($AN171="",OFFSET(Demand!$A$13,ROW(E168)-1,4+((QUOTIENT(COLUMN(BU$2)-69,3))*5)+MOD(COLUMN(BU$2),3),1,1),"")</f>
        <v>0</v>
      </c>
      <c r="BV171">
        <f ca="1">IF($AN171="",OFFSET(Demand!$A$13,ROW(F168)-1,4+((QUOTIENT(COLUMN(BV$2)-69,3))*5)+MOD(COLUMN(BV$2),3),1,1),"")</f>
        <v>0</v>
      </c>
      <c r="BW171">
        <f ca="1">IF($AN171="",OFFSET(Demand!$A$13,ROW(G168)-1,4+((QUOTIENT(COLUMN(BW$2)-69,3))*5)+MOD(COLUMN(BW$2),3),1,1),"")</f>
        <v>0</v>
      </c>
      <c r="BX171">
        <f ca="1">IF($AN171="",OFFSET(Demand!$A$13,ROW(H168)-1,4+((QUOTIENT(COLUMN(BX$2)-69,3))*5)+MOD(COLUMN(BX$2),3),1,1),"")</f>
        <v>0</v>
      </c>
      <c r="BY171">
        <f ca="1">IF($AN171="",OFFSET(Demand!$A$13,ROW(I168)-1,4+((QUOTIENT(COLUMN(BY$2)-69,3))*5)+MOD(COLUMN(BY$2),3),1,1),"")</f>
        <v>0</v>
      </c>
      <c r="BZ171">
        <f ca="1">IF($AN171="",OFFSET(Demand!$A$13,ROW(J168)-1,4+((QUOTIENT(COLUMN(BZ$2)-69,3))*5)+MOD(COLUMN(BZ$2),3),1,1),"")</f>
        <v>0</v>
      </c>
      <c r="CA171">
        <f ca="1">IF($AN171="",OFFSET(Demand!$A$13,ROW(K168)-1,4+((QUOTIENT(COLUMN(CA$2)-69,3))*5)+MOD(COLUMN(CA$2),3),1,1),"")</f>
        <v>0</v>
      </c>
      <c r="CB171">
        <f ca="1">IF($AN171="",OFFSET(Demand!$A$13,ROW(L168)-1,4+((QUOTIENT(COLUMN(CB$2)-69,3))*5)+MOD(COLUMN(CB$2),3),1,1),"")</f>
        <v>0</v>
      </c>
      <c r="CC171">
        <f ca="1">IF($AN171="",OFFSET(Demand!$A$13,ROW(M168)-1,4+((QUOTIENT(COLUMN(CC$2)-69,3))*5)+MOD(COLUMN(CC$2),3),1,1),"")</f>
        <v>0</v>
      </c>
      <c r="CD171">
        <f ca="1">IF($AN171="",OFFSET(Demand!$A$13,ROW(N168)-1,4+((QUOTIENT(COLUMN(CD$2)-69,3))*5)+MOD(COLUMN(CD$2),3),1,1),"")</f>
        <v>0</v>
      </c>
      <c r="CE171">
        <f ca="1">IF($AN171="",OFFSET(Demand!$A$13,ROW(O168)-1,4+((QUOTIENT(COLUMN(CE$2)-69,3))*5)+MOD(COLUMN(CE$2),3),1,1),"")</f>
        <v>0</v>
      </c>
      <c r="CF171">
        <f ca="1">IF($AN171="",OFFSET(Demand!$A$13,ROW(P168)-1,4+((QUOTIENT(COLUMN(CF$2)-69,3))*5)+MOD(COLUMN(CF$2),3),1,1),"")</f>
        <v>0</v>
      </c>
      <c r="CG171">
        <f ca="1">IF($AN171="",OFFSET(Demand!$A$13,ROW(Q168)-1,4+((QUOTIENT(COLUMN(CG$2)-69,3))*5)+MOD(COLUMN(CG$2),3),1,1),"")</f>
        <v>0</v>
      </c>
      <c r="CH171">
        <f ca="1">IF($AN171="",OFFSET(Demand!$A$13,ROW(R168)-1,4+((QUOTIENT(COLUMN(CH$2)-69,3))*5)+MOD(COLUMN(CH$2),3),1,1),"")</f>
        <v>0</v>
      </c>
      <c r="CI171">
        <f ca="1">IF($AN171="",OFFSET(Demand!$A$13,ROW(S168)-1,4+((QUOTIENT(COLUMN(CI$2)-69,3))*5)+MOD(COLUMN(CI$2),3),1,1),"")</f>
        <v>0</v>
      </c>
      <c r="CJ171">
        <f ca="1">IF($AN171="",OFFSET(Demand!$A$13,ROW(T168)-1,4+((QUOTIENT(COLUMN(CJ$2)-69,3))*5)+MOD(COLUMN(CJ$2),3),1,1),"")</f>
        <v>0</v>
      </c>
      <c r="CK171">
        <f ca="1">IF($AN171="",OFFSET(Demand!$A$13,ROW(U168)-1,4+((QUOTIENT(COLUMN(CK$2)-69,3))*5)+MOD(COLUMN(CK$2),3),1,1),"")</f>
        <v>0</v>
      </c>
      <c r="CL171">
        <f ca="1">IF($AN171="",OFFSET(Demand!$A$13,ROW(V168)-1,4+((QUOTIENT(COLUMN(CL$2)-69,3))*5)+MOD(COLUMN(CL$2),3),1,1),"")</f>
        <v>0</v>
      </c>
      <c r="CM171">
        <f ca="1">IF($AN171="",OFFSET(Demand!$A$13,ROW(W168)-1,4+((QUOTIENT(COLUMN(CM$2)-69,3))*5)+MOD(COLUMN(CM$2),3),1,1),"")</f>
        <v>0</v>
      </c>
      <c r="CN171">
        <f ca="1">IF($AN171="",OFFSET(Demand!$A$13,ROW(X168)-1,4+((QUOTIENT(COLUMN(CN$2)-69,3))*5)+MOD(COLUMN(CN$2),3),1,1),"")</f>
        <v>0</v>
      </c>
      <c r="CO171">
        <f ca="1">IF($AN171="",OFFSET(Demand!$A$13,ROW(Y168)-1,4+((QUOTIENT(COLUMN(CO$2)-69,3))*5)+MOD(COLUMN(CO$2),3),1,1),"")</f>
        <v>0</v>
      </c>
      <c r="CP171">
        <f ca="1">IF($AN171="",OFFSET(Demand!$A$13,ROW(Z168)-1,4+((QUOTIENT(COLUMN(CP$2)-69,3))*5)+MOD(COLUMN(CP$2),3),1,1),"")</f>
        <v>0</v>
      </c>
      <c r="CQ171">
        <f ca="1">IF($AN171="",OFFSET(Demand!$A$13,ROW(AA168)-1,4+((QUOTIENT(COLUMN(CQ$2)-69,3))*5)+MOD(COLUMN(CQ$2),3),1,1),"")</f>
        <v>0</v>
      </c>
      <c r="CR171">
        <f ca="1">IF($AN171="",OFFSET(Demand!$A$13,ROW(AB168)-1,4+((QUOTIENT(COLUMN(CR$2)-69,3))*5)+MOD(COLUMN(CR$2),3),1,1),"")</f>
        <v>0</v>
      </c>
      <c r="CS171">
        <f ca="1">IF($AN171="",OFFSET(Demand!$A$13,ROW(AC168)-1,4+((QUOTIENT(COLUMN(CS$2)-69,3))*5)+MOD(COLUMN(CS$2),3),1,1),"")</f>
        <v>0</v>
      </c>
      <c r="CT171">
        <f ca="1">IF($AN171="",OFFSET(Demand!$A$13,ROW(AD168)-1,4+((QUOTIENT(COLUMN(CT$2)-69,3))*5)+MOD(COLUMN(CT$2),3),1,1),"")</f>
        <v>0</v>
      </c>
      <c r="CW171" s="5">
        <f ca="1">SUM(OFFSET(Demand!$H$43,ROW(A168)-1,(COLUMN(A168)-1)*5,1,1))*N$2</f>
        <v>0</v>
      </c>
      <c r="CX171" s="5">
        <f ca="1">SUM(OFFSET(Demand!$H$43,ROW(B168)-1,(COLUMN(B168)-1)*5,1,1))*O$2</f>
        <v>0</v>
      </c>
      <c r="CY171" s="5">
        <f ca="1">SUM(OFFSET(Demand!$H$43,ROW(C168)-1,(COLUMN(C168)-1)*5,1,1))*P$2</f>
        <v>0</v>
      </c>
      <c r="CZ171" s="5">
        <f ca="1">SUM(OFFSET(Demand!$H$43,ROW(D168)-1,(COLUMN(D168)-1)*5,1,1))*Q$2</f>
        <v>0</v>
      </c>
      <c r="DA171" s="5">
        <f ca="1">SUM(OFFSET(Demand!$H$43,ROW(E168)-1,(COLUMN(E168)-1)*5,1,1))*R$2</f>
        <v>0</v>
      </c>
      <c r="DB171" s="5">
        <f ca="1">SUM(OFFSET(Demand!$H$43,ROW(F168)-1,(COLUMN(F168)-1)*5,1,1))*S$2</f>
        <v>0</v>
      </c>
      <c r="DC171" s="5">
        <f ca="1">SUM(OFFSET(Demand!$H$43,ROW(G168)-1,(COLUMN(G168)-1)*5,1,1))*T$2</f>
        <v>0</v>
      </c>
      <c r="DD171" s="5">
        <f ca="1">SUM(OFFSET(Demand!$H$43,ROW(H168)-1,(COLUMN(H168)-1)*5,1,1))*U$2</f>
        <v>0</v>
      </c>
      <c r="DE171" s="5">
        <f ca="1">SUM(OFFSET(Demand!$H$43,ROW(I168)-1,(COLUMN(I168)-1)*5,1,1))*V$2</f>
        <v>0</v>
      </c>
      <c r="DF171" s="5">
        <f ca="1">SUM(OFFSET(Demand!$H$43,ROW(J168)-1,(COLUMN(J168)-1)*5,1,1))*W$2</f>
        <v>0</v>
      </c>
      <c r="DG171" s="5">
        <f ca="1">IF(OR(AN171&lt;&gt;"",AND('Demand adjustments for Covid'!$F$9="Yes",'Demand adjustments for Covid'!$F$20="Yes")),"",SUM(CW171:DF171))</f>
        <v>0</v>
      </c>
    </row>
    <row r="172" spans="1:111" x14ac:dyDescent="0.25">
      <c r="A172" s="5">
        <f t="shared" ca="1" si="43"/>
        <v>1</v>
      </c>
      <c r="B172" s="5">
        <f ca="1">COUNTBLANK(OFFSET(Demand!$I181,0,(COLUMN(A169)-1)*5,1,1))</f>
        <v>1</v>
      </c>
      <c r="C172" s="5">
        <f ca="1">COUNTBLANK(OFFSET(Demand!$I181,0,(COLUMN(B169)-1)*5,1,1))</f>
        <v>1</v>
      </c>
      <c r="D172" s="5">
        <f ca="1">COUNTBLANK(OFFSET(Demand!$I181,0,(COLUMN(C169)-1)*5,1,1))</f>
        <v>1</v>
      </c>
      <c r="E172" s="5">
        <f ca="1">COUNTBLANK(OFFSET(Demand!$I181,0,(COLUMN(D169)-1)*5,1,1))</f>
        <v>1</v>
      </c>
      <c r="F172" s="5">
        <f ca="1">COUNTBLANK(OFFSET(Demand!$I181,0,(COLUMN(E169)-1)*5,1,1))</f>
        <v>1</v>
      </c>
      <c r="G172" s="5">
        <f ca="1">COUNTBLANK(OFFSET(Demand!$I181,0,(COLUMN(F169)-1)*5,1,1))</f>
        <v>1</v>
      </c>
      <c r="H172" s="5">
        <f ca="1">COUNTBLANK(OFFSET(Demand!$I181,0,(COLUMN(G169)-1)*5,1,1))</f>
        <v>1</v>
      </c>
      <c r="I172" s="5">
        <f ca="1">COUNTBLANK(OFFSET(Demand!$I181,0,(COLUMN(H169)-1)*5,1,1))</f>
        <v>1</v>
      </c>
      <c r="J172" s="5">
        <f ca="1">COUNTBLANK(OFFSET(Demand!$I181,0,(COLUMN(I169)-1)*5,1,1))</f>
        <v>1</v>
      </c>
      <c r="K172" s="5">
        <f ca="1">COUNTBLANK(OFFSET(Demand!$I181,0,(COLUMN(J169)-1)*5,1,1))</f>
        <v>1</v>
      </c>
      <c r="N172" s="5">
        <f ca="1">SUM(OFFSET(Demand!$E181,0,(COLUMN(A169)-1)*5,1,3))*N$2</f>
        <v>0</v>
      </c>
      <c r="O172" s="5">
        <f ca="1">SUM(OFFSET(Demand!$E181,0,(COLUMN(B169)-1)*5,1,3))*O$2</f>
        <v>0</v>
      </c>
      <c r="P172" s="5">
        <f ca="1">SUM(OFFSET(Demand!$E181,0,(COLUMN(C169)-1)*5,1,3))*P$2</f>
        <v>0</v>
      </c>
      <c r="Q172" s="5">
        <f ca="1">SUM(OFFSET(Demand!$E181,0,(COLUMN(D169)-1)*5,1,3))*Q$2</f>
        <v>0</v>
      </c>
      <c r="R172" s="5">
        <f ca="1">SUM(OFFSET(Demand!$E181,0,(COLUMN(E169)-1)*5,1,3))*R$2</f>
        <v>0</v>
      </c>
      <c r="S172" s="5">
        <f ca="1">SUM(OFFSET(Demand!$E181,0,(COLUMN(F169)-1)*5,1,3))*S$2</f>
        <v>0</v>
      </c>
      <c r="T172" s="5">
        <f ca="1">SUM(OFFSET(Demand!$E181,0,(COLUMN(G169)-1)*5,1,3))*T$2</f>
        <v>0</v>
      </c>
      <c r="U172" s="5">
        <f ca="1">SUM(OFFSET(Demand!$E181,0,(COLUMN(H169)-1)*5,1,3))*U$2</f>
        <v>0</v>
      </c>
      <c r="V172" s="5">
        <f ca="1">SUM(OFFSET(Demand!$E181,0,(COLUMN(I169)-1)*5,1,3))*V$2</f>
        <v>0</v>
      </c>
      <c r="W172" s="5">
        <f ca="1">SUM(OFFSET(Demand!$E181,0,(COLUMN(J169)-1)*5,1,3))*W$2</f>
        <v>0</v>
      </c>
      <c r="X172" s="5">
        <f t="shared" ca="1" si="44"/>
        <v>0</v>
      </c>
      <c r="Y172">
        <f t="shared" ca="1" si="45"/>
        <v>0</v>
      </c>
      <c r="Z172" s="5">
        <f ca="1">SUM(OFFSET(Demand!$H181,0,(COLUMN(A169)-1)*5,1,1))*N$2</f>
        <v>0</v>
      </c>
      <c r="AA172" s="5">
        <f ca="1">SUM(OFFSET(Demand!$H181,0,(COLUMN(B169)-1)*5,1,1))*O$2</f>
        <v>0</v>
      </c>
      <c r="AB172" s="5">
        <f ca="1">SUM(OFFSET(Demand!$H181,0,(COLUMN(C169)-1)*5,1,1))*P$2</f>
        <v>0</v>
      </c>
      <c r="AC172" s="5">
        <f ca="1">SUM(OFFSET(Demand!$H181,0,(COLUMN(D169)-1)*5,1,1))*Q$2</f>
        <v>0</v>
      </c>
      <c r="AD172" s="5">
        <f ca="1">SUM(OFFSET(Demand!$H181,0,(COLUMN(E169)-1)*5,1,1))*R$2</f>
        <v>0</v>
      </c>
      <c r="AE172" s="5">
        <f ca="1">SUM(OFFSET(Demand!$H181,0,(COLUMN(F169)-1)*5,1,1))*S$2</f>
        <v>0</v>
      </c>
      <c r="AF172" s="5">
        <f ca="1">SUM(OFFSET(Demand!$H181,0,(COLUMN(G169)-1)*5,1,1))*T$2</f>
        <v>0</v>
      </c>
      <c r="AG172" s="5">
        <f ca="1">SUM(OFFSET(Demand!$H181,0,(COLUMN(H169)-1)*5,1,1))*U$2</f>
        <v>0</v>
      </c>
      <c r="AH172" s="5">
        <f ca="1">SUM(OFFSET(Demand!$H181,0,(COLUMN(I169)-1)*5,1,1))*V$2</f>
        <v>0</v>
      </c>
      <c r="AI172" s="5">
        <f ca="1">SUM(OFFSET(Demand!$H181,0,(COLUMN(J169)-1)*5,1,1))*W$2</f>
        <v>0</v>
      </c>
      <c r="AJ172" s="5">
        <f t="shared" ca="1" si="46"/>
        <v>0</v>
      </c>
      <c r="AL172" s="5">
        <f t="shared" ca="1" si="47"/>
        <v>0</v>
      </c>
      <c r="AM172" s="5">
        <f t="shared" ca="1" si="48"/>
        <v>0</v>
      </c>
      <c r="AN172" s="5" t="str">
        <f>IF(Demand!BE181="Yes","Yes","")</f>
        <v/>
      </c>
      <c r="AP172" s="36" t="str">
        <f ca="1">Demand!B181</f>
        <v xml:space="preserve"> </v>
      </c>
      <c r="AQ172" t="str">
        <f ca="1">IF(TEXT(Demand!D181,"MMM")&lt;&gt;TEXT(Demand!D180,"MMM"),TEXT(Demand!D181,"MMM"),"")</f>
        <v/>
      </c>
      <c r="AT172" s="5">
        <f t="shared" ca="1" si="49"/>
        <v>0</v>
      </c>
      <c r="BQ172">
        <f ca="1">IF($AN172="",OFFSET(Demand!$A$13,ROW(A169)-1,4+((QUOTIENT(COLUMN(BQ$2)-69,3))*5)+MOD(COLUMN(BQ$2),3),1,1),"")</f>
        <v>0</v>
      </c>
      <c r="BR172">
        <f ca="1">IF($AN172="",OFFSET(Demand!$A$13,ROW(B169)-1,4+((QUOTIENT(COLUMN(BR$2)-69,3))*5)+MOD(COLUMN(BR$2),3),1,1),"")</f>
        <v>0</v>
      </c>
      <c r="BS172">
        <f ca="1">IF($AN172="",OFFSET(Demand!$A$13,ROW(C169)-1,4+((QUOTIENT(COLUMN(BS$2)-69,3))*5)+MOD(COLUMN(BS$2),3),1,1),"")</f>
        <v>0</v>
      </c>
      <c r="BT172">
        <f ca="1">IF($AN172="",OFFSET(Demand!$A$13,ROW(D169)-1,4+((QUOTIENT(COLUMN(BT$2)-69,3))*5)+MOD(COLUMN(BT$2),3),1,1),"")</f>
        <v>0</v>
      </c>
      <c r="BU172">
        <f ca="1">IF($AN172="",OFFSET(Demand!$A$13,ROW(E169)-1,4+((QUOTIENT(COLUMN(BU$2)-69,3))*5)+MOD(COLUMN(BU$2),3),1,1),"")</f>
        <v>0</v>
      </c>
      <c r="BV172">
        <f ca="1">IF($AN172="",OFFSET(Demand!$A$13,ROW(F169)-1,4+((QUOTIENT(COLUMN(BV$2)-69,3))*5)+MOD(COLUMN(BV$2),3),1,1),"")</f>
        <v>0</v>
      </c>
      <c r="BW172">
        <f ca="1">IF($AN172="",OFFSET(Demand!$A$13,ROW(G169)-1,4+((QUOTIENT(COLUMN(BW$2)-69,3))*5)+MOD(COLUMN(BW$2),3),1,1),"")</f>
        <v>0</v>
      </c>
      <c r="BX172">
        <f ca="1">IF($AN172="",OFFSET(Demand!$A$13,ROW(H169)-1,4+((QUOTIENT(COLUMN(BX$2)-69,3))*5)+MOD(COLUMN(BX$2),3),1,1),"")</f>
        <v>0</v>
      </c>
      <c r="BY172">
        <f ca="1">IF($AN172="",OFFSET(Demand!$A$13,ROW(I169)-1,4+((QUOTIENT(COLUMN(BY$2)-69,3))*5)+MOD(COLUMN(BY$2),3),1,1),"")</f>
        <v>0</v>
      </c>
      <c r="BZ172">
        <f ca="1">IF($AN172="",OFFSET(Demand!$A$13,ROW(J169)-1,4+((QUOTIENT(COLUMN(BZ$2)-69,3))*5)+MOD(COLUMN(BZ$2),3),1,1),"")</f>
        <v>0</v>
      </c>
      <c r="CA172">
        <f ca="1">IF($AN172="",OFFSET(Demand!$A$13,ROW(K169)-1,4+((QUOTIENT(COLUMN(CA$2)-69,3))*5)+MOD(COLUMN(CA$2),3),1,1),"")</f>
        <v>0</v>
      </c>
      <c r="CB172">
        <f ca="1">IF($AN172="",OFFSET(Demand!$A$13,ROW(L169)-1,4+((QUOTIENT(COLUMN(CB$2)-69,3))*5)+MOD(COLUMN(CB$2),3),1,1),"")</f>
        <v>0</v>
      </c>
      <c r="CC172">
        <f ca="1">IF($AN172="",OFFSET(Demand!$A$13,ROW(M169)-1,4+((QUOTIENT(COLUMN(CC$2)-69,3))*5)+MOD(COLUMN(CC$2),3),1,1),"")</f>
        <v>0</v>
      </c>
      <c r="CD172">
        <f ca="1">IF($AN172="",OFFSET(Demand!$A$13,ROW(N169)-1,4+((QUOTIENT(COLUMN(CD$2)-69,3))*5)+MOD(COLUMN(CD$2),3),1,1),"")</f>
        <v>0</v>
      </c>
      <c r="CE172">
        <f ca="1">IF($AN172="",OFFSET(Demand!$A$13,ROW(O169)-1,4+((QUOTIENT(COLUMN(CE$2)-69,3))*5)+MOD(COLUMN(CE$2),3),1,1),"")</f>
        <v>0</v>
      </c>
      <c r="CF172">
        <f ca="1">IF($AN172="",OFFSET(Demand!$A$13,ROW(P169)-1,4+((QUOTIENT(COLUMN(CF$2)-69,3))*5)+MOD(COLUMN(CF$2),3),1,1),"")</f>
        <v>0</v>
      </c>
      <c r="CG172">
        <f ca="1">IF($AN172="",OFFSET(Demand!$A$13,ROW(Q169)-1,4+((QUOTIENT(COLUMN(CG$2)-69,3))*5)+MOD(COLUMN(CG$2),3),1,1),"")</f>
        <v>0</v>
      </c>
      <c r="CH172">
        <f ca="1">IF($AN172="",OFFSET(Demand!$A$13,ROW(R169)-1,4+((QUOTIENT(COLUMN(CH$2)-69,3))*5)+MOD(COLUMN(CH$2),3),1,1),"")</f>
        <v>0</v>
      </c>
      <c r="CI172">
        <f ca="1">IF($AN172="",OFFSET(Demand!$A$13,ROW(S169)-1,4+((QUOTIENT(COLUMN(CI$2)-69,3))*5)+MOD(COLUMN(CI$2),3),1,1),"")</f>
        <v>0</v>
      </c>
      <c r="CJ172">
        <f ca="1">IF($AN172="",OFFSET(Demand!$A$13,ROW(T169)-1,4+((QUOTIENT(COLUMN(CJ$2)-69,3))*5)+MOD(COLUMN(CJ$2),3),1,1),"")</f>
        <v>0</v>
      </c>
      <c r="CK172">
        <f ca="1">IF($AN172="",OFFSET(Demand!$A$13,ROW(U169)-1,4+((QUOTIENT(COLUMN(CK$2)-69,3))*5)+MOD(COLUMN(CK$2),3),1,1),"")</f>
        <v>0</v>
      </c>
      <c r="CL172">
        <f ca="1">IF($AN172="",OFFSET(Demand!$A$13,ROW(V169)-1,4+((QUOTIENT(COLUMN(CL$2)-69,3))*5)+MOD(COLUMN(CL$2),3),1,1),"")</f>
        <v>0</v>
      </c>
      <c r="CM172">
        <f ca="1">IF($AN172="",OFFSET(Demand!$A$13,ROW(W169)-1,4+((QUOTIENT(COLUMN(CM$2)-69,3))*5)+MOD(COLUMN(CM$2),3),1,1),"")</f>
        <v>0</v>
      </c>
      <c r="CN172">
        <f ca="1">IF($AN172="",OFFSET(Demand!$A$13,ROW(X169)-1,4+((QUOTIENT(COLUMN(CN$2)-69,3))*5)+MOD(COLUMN(CN$2),3),1,1),"")</f>
        <v>0</v>
      </c>
      <c r="CO172">
        <f ca="1">IF($AN172="",OFFSET(Demand!$A$13,ROW(Y169)-1,4+((QUOTIENT(COLUMN(CO$2)-69,3))*5)+MOD(COLUMN(CO$2),3),1,1),"")</f>
        <v>0</v>
      </c>
      <c r="CP172">
        <f ca="1">IF($AN172="",OFFSET(Demand!$A$13,ROW(Z169)-1,4+((QUOTIENT(COLUMN(CP$2)-69,3))*5)+MOD(COLUMN(CP$2),3),1,1),"")</f>
        <v>0</v>
      </c>
      <c r="CQ172">
        <f ca="1">IF($AN172="",OFFSET(Demand!$A$13,ROW(AA169)-1,4+((QUOTIENT(COLUMN(CQ$2)-69,3))*5)+MOD(COLUMN(CQ$2),3),1,1),"")</f>
        <v>0</v>
      </c>
      <c r="CR172">
        <f ca="1">IF($AN172="",OFFSET(Demand!$A$13,ROW(AB169)-1,4+((QUOTIENT(COLUMN(CR$2)-69,3))*5)+MOD(COLUMN(CR$2),3),1,1),"")</f>
        <v>0</v>
      </c>
      <c r="CS172">
        <f ca="1">IF($AN172="",OFFSET(Demand!$A$13,ROW(AC169)-1,4+((QUOTIENT(COLUMN(CS$2)-69,3))*5)+MOD(COLUMN(CS$2),3),1,1),"")</f>
        <v>0</v>
      </c>
      <c r="CT172">
        <f ca="1">IF($AN172="",OFFSET(Demand!$A$13,ROW(AD169)-1,4+((QUOTIENT(COLUMN(CT$2)-69,3))*5)+MOD(COLUMN(CT$2),3),1,1),"")</f>
        <v>0</v>
      </c>
      <c r="CW172" s="5">
        <f ca="1">SUM(OFFSET(Demand!$H$43,ROW(A169)-1,(COLUMN(A169)-1)*5,1,1))*N$2</f>
        <v>0</v>
      </c>
      <c r="CX172" s="5">
        <f ca="1">SUM(OFFSET(Demand!$H$43,ROW(B169)-1,(COLUMN(B169)-1)*5,1,1))*O$2</f>
        <v>0</v>
      </c>
      <c r="CY172" s="5">
        <f ca="1">SUM(OFFSET(Demand!$H$43,ROW(C169)-1,(COLUMN(C169)-1)*5,1,1))*P$2</f>
        <v>0</v>
      </c>
      <c r="CZ172" s="5">
        <f ca="1">SUM(OFFSET(Demand!$H$43,ROW(D169)-1,(COLUMN(D169)-1)*5,1,1))*Q$2</f>
        <v>0</v>
      </c>
      <c r="DA172" s="5">
        <f ca="1">SUM(OFFSET(Demand!$H$43,ROW(E169)-1,(COLUMN(E169)-1)*5,1,1))*R$2</f>
        <v>0</v>
      </c>
      <c r="DB172" s="5">
        <f ca="1">SUM(OFFSET(Demand!$H$43,ROW(F169)-1,(COLUMN(F169)-1)*5,1,1))*S$2</f>
        <v>0</v>
      </c>
      <c r="DC172" s="5">
        <f ca="1">SUM(OFFSET(Demand!$H$43,ROW(G169)-1,(COLUMN(G169)-1)*5,1,1))*T$2</f>
        <v>0</v>
      </c>
      <c r="DD172" s="5">
        <f ca="1">SUM(OFFSET(Demand!$H$43,ROW(H169)-1,(COLUMN(H169)-1)*5,1,1))*U$2</f>
        <v>0</v>
      </c>
      <c r="DE172" s="5">
        <f ca="1">SUM(OFFSET(Demand!$H$43,ROW(I169)-1,(COLUMN(I169)-1)*5,1,1))*V$2</f>
        <v>0</v>
      </c>
      <c r="DF172" s="5">
        <f ca="1">SUM(OFFSET(Demand!$H$43,ROW(J169)-1,(COLUMN(J169)-1)*5,1,1))*W$2</f>
        <v>0</v>
      </c>
      <c r="DG172" s="5">
        <f ca="1">IF(OR(AN172&lt;&gt;"",AND('Demand adjustments for Covid'!$F$9="Yes",'Demand adjustments for Covid'!$F$20="Yes")),"",SUM(CW172:DF172))</f>
        <v>0</v>
      </c>
    </row>
    <row r="173" spans="1:111" x14ac:dyDescent="0.25">
      <c r="A173" s="5">
        <f t="shared" ca="1" si="43"/>
        <v>1</v>
      </c>
      <c r="B173" s="5">
        <f ca="1">COUNTBLANK(OFFSET(Demand!$I182,0,(COLUMN(A170)-1)*5,1,1))</f>
        <v>1</v>
      </c>
      <c r="C173" s="5">
        <f ca="1">COUNTBLANK(OFFSET(Demand!$I182,0,(COLUMN(B170)-1)*5,1,1))</f>
        <v>1</v>
      </c>
      <c r="D173" s="5">
        <f ca="1">COUNTBLANK(OFFSET(Demand!$I182,0,(COLUMN(C170)-1)*5,1,1))</f>
        <v>1</v>
      </c>
      <c r="E173" s="5">
        <f ca="1">COUNTBLANK(OFFSET(Demand!$I182,0,(COLUMN(D170)-1)*5,1,1))</f>
        <v>1</v>
      </c>
      <c r="F173" s="5">
        <f ca="1">COUNTBLANK(OFFSET(Demand!$I182,0,(COLUMN(E170)-1)*5,1,1))</f>
        <v>1</v>
      </c>
      <c r="G173" s="5">
        <f ca="1">COUNTBLANK(OFFSET(Demand!$I182,0,(COLUMN(F170)-1)*5,1,1))</f>
        <v>1</v>
      </c>
      <c r="H173" s="5">
        <f ca="1">COUNTBLANK(OFFSET(Demand!$I182,0,(COLUMN(G170)-1)*5,1,1))</f>
        <v>1</v>
      </c>
      <c r="I173" s="5">
        <f ca="1">COUNTBLANK(OFFSET(Demand!$I182,0,(COLUMN(H170)-1)*5,1,1))</f>
        <v>1</v>
      </c>
      <c r="J173" s="5">
        <f ca="1">COUNTBLANK(OFFSET(Demand!$I182,0,(COLUMN(I170)-1)*5,1,1))</f>
        <v>1</v>
      </c>
      <c r="K173" s="5">
        <f ca="1">COUNTBLANK(OFFSET(Demand!$I182,0,(COLUMN(J170)-1)*5,1,1))</f>
        <v>1</v>
      </c>
      <c r="N173" s="5">
        <f ca="1">SUM(OFFSET(Demand!$E182,0,(COLUMN(A170)-1)*5,1,3))*N$2</f>
        <v>0</v>
      </c>
      <c r="O173" s="5">
        <f ca="1">SUM(OFFSET(Demand!$E182,0,(COLUMN(B170)-1)*5,1,3))*O$2</f>
        <v>0</v>
      </c>
      <c r="P173" s="5">
        <f ca="1">SUM(OFFSET(Demand!$E182,0,(COLUMN(C170)-1)*5,1,3))*P$2</f>
        <v>0</v>
      </c>
      <c r="Q173" s="5">
        <f ca="1">SUM(OFFSET(Demand!$E182,0,(COLUMN(D170)-1)*5,1,3))*Q$2</f>
        <v>0</v>
      </c>
      <c r="R173" s="5">
        <f ca="1">SUM(OFFSET(Demand!$E182,0,(COLUMN(E170)-1)*5,1,3))*R$2</f>
        <v>0</v>
      </c>
      <c r="S173" s="5">
        <f ca="1">SUM(OFFSET(Demand!$E182,0,(COLUMN(F170)-1)*5,1,3))*S$2</f>
        <v>0</v>
      </c>
      <c r="T173" s="5">
        <f ca="1">SUM(OFFSET(Demand!$E182,0,(COLUMN(G170)-1)*5,1,3))*T$2</f>
        <v>0</v>
      </c>
      <c r="U173" s="5">
        <f ca="1">SUM(OFFSET(Demand!$E182,0,(COLUMN(H170)-1)*5,1,3))*U$2</f>
        <v>0</v>
      </c>
      <c r="V173" s="5">
        <f ca="1">SUM(OFFSET(Demand!$E182,0,(COLUMN(I170)-1)*5,1,3))*V$2</f>
        <v>0</v>
      </c>
      <c r="W173" s="5">
        <f ca="1">SUM(OFFSET(Demand!$E182,0,(COLUMN(J170)-1)*5,1,3))*W$2</f>
        <v>0</v>
      </c>
      <c r="X173" s="5">
        <f t="shared" ca="1" si="44"/>
        <v>0</v>
      </c>
      <c r="Y173">
        <f t="shared" ca="1" si="45"/>
        <v>0</v>
      </c>
      <c r="Z173" s="5">
        <f ca="1">SUM(OFFSET(Demand!$H182,0,(COLUMN(A170)-1)*5,1,1))*N$2</f>
        <v>0</v>
      </c>
      <c r="AA173" s="5">
        <f ca="1">SUM(OFFSET(Demand!$H182,0,(COLUMN(B170)-1)*5,1,1))*O$2</f>
        <v>0</v>
      </c>
      <c r="AB173" s="5">
        <f ca="1">SUM(OFFSET(Demand!$H182,0,(COLUMN(C170)-1)*5,1,1))*P$2</f>
        <v>0</v>
      </c>
      <c r="AC173" s="5">
        <f ca="1">SUM(OFFSET(Demand!$H182,0,(COLUMN(D170)-1)*5,1,1))*Q$2</f>
        <v>0</v>
      </c>
      <c r="AD173" s="5">
        <f ca="1">SUM(OFFSET(Demand!$H182,0,(COLUMN(E170)-1)*5,1,1))*R$2</f>
        <v>0</v>
      </c>
      <c r="AE173" s="5">
        <f ca="1">SUM(OFFSET(Demand!$H182,0,(COLUMN(F170)-1)*5,1,1))*S$2</f>
        <v>0</v>
      </c>
      <c r="AF173" s="5">
        <f ca="1">SUM(OFFSET(Demand!$H182,0,(COLUMN(G170)-1)*5,1,1))*T$2</f>
        <v>0</v>
      </c>
      <c r="AG173" s="5">
        <f ca="1">SUM(OFFSET(Demand!$H182,0,(COLUMN(H170)-1)*5,1,1))*U$2</f>
        <v>0</v>
      </c>
      <c r="AH173" s="5">
        <f ca="1">SUM(OFFSET(Demand!$H182,0,(COLUMN(I170)-1)*5,1,1))*V$2</f>
        <v>0</v>
      </c>
      <c r="AI173" s="5">
        <f ca="1">SUM(OFFSET(Demand!$H182,0,(COLUMN(J170)-1)*5,1,1))*W$2</f>
        <v>0</v>
      </c>
      <c r="AJ173" s="5">
        <f t="shared" ca="1" si="46"/>
        <v>0</v>
      </c>
      <c r="AL173" s="5">
        <f t="shared" ca="1" si="47"/>
        <v>0</v>
      </c>
      <c r="AM173" s="5">
        <f t="shared" ca="1" si="48"/>
        <v>0</v>
      </c>
      <c r="AN173" s="5" t="str">
        <f>IF(Demand!BE182="Yes","Yes","")</f>
        <v/>
      </c>
      <c r="AP173" s="36" t="str">
        <f ca="1">Demand!B182</f>
        <v xml:space="preserve"> </v>
      </c>
      <c r="AQ173" t="str">
        <f ca="1">IF(TEXT(Demand!D182,"MMM")&lt;&gt;TEXT(Demand!D181,"MMM"),TEXT(Demand!D182,"MMM"),"")</f>
        <v/>
      </c>
      <c r="AT173" s="5">
        <f t="shared" ca="1" si="49"/>
        <v>0</v>
      </c>
      <c r="BQ173">
        <f ca="1">IF($AN173="",OFFSET(Demand!$A$13,ROW(A170)-1,4+((QUOTIENT(COLUMN(BQ$2)-69,3))*5)+MOD(COLUMN(BQ$2),3),1,1),"")</f>
        <v>0</v>
      </c>
      <c r="BR173">
        <f ca="1">IF($AN173="",OFFSET(Demand!$A$13,ROW(B170)-1,4+((QUOTIENT(COLUMN(BR$2)-69,3))*5)+MOD(COLUMN(BR$2),3),1,1),"")</f>
        <v>0</v>
      </c>
      <c r="BS173">
        <f ca="1">IF($AN173="",OFFSET(Demand!$A$13,ROW(C170)-1,4+((QUOTIENT(COLUMN(BS$2)-69,3))*5)+MOD(COLUMN(BS$2),3),1,1),"")</f>
        <v>0</v>
      </c>
      <c r="BT173">
        <f ca="1">IF($AN173="",OFFSET(Demand!$A$13,ROW(D170)-1,4+((QUOTIENT(COLUMN(BT$2)-69,3))*5)+MOD(COLUMN(BT$2),3),1,1),"")</f>
        <v>0</v>
      </c>
      <c r="BU173">
        <f ca="1">IF($AN173="",OFFSET(Demand!$A$13,ROW(E170)-1,4+((QUOTIENT(COLUMN(BU$2)-69,3))*5)+MOD(COLUMN(BU$2),3),1,1),"")</f>
        <v>0</v>
      </c>
      <c r="BV173">
        <f ca="1">IF($AN173="",OFFSET(Demand!$A$13,ROW(F170)-1,4+((QUOTIENT(COLUMN(BV$2)-69,3))*5)+MOD(COLUMN(BV$2),3),1,1),"")</f>
        <v>0</v>
      </c>
      <c r="BW173">
        <f ca="1">IF($AN173="",OFFSET(Demand!$A$13,ROW(G170)-1,4+((QUOTIENT(COLUMN(BW$2)-69,3))*5)+MOD(COLUMN(BW$2),3),1,1),"")</f>
        <v>0</v>
      </c>
      <c r="BX173">
        <f ca="1">IF($AN173="",OFFSET(Demand!$A$13,ROW(H170)-1,4+((QUOTIENT(COLUMN(BX$2)-69,3))*5)+MOD(COLUMN(BX$2),3),1,1),"")</f>
        <v>0</v>
      </c>
      <c r="BY173">
        <f ca="1">IF($AN173="",OFFSET(Demand!$A$13,ROW(I170)-1,4+((QUOTIENT(COLUMN(BY$2)-69,3))*5)+MOD(COLUMN(BY$2),3),1,1),"")</f>
        <v>0</v>
      </c>
      <c r="BZ173">
        <f ca="1">IF($AN173="",OFFSET(Demand!$A$13,ROW(J170)-1,4+((QUOTIENT(COLUMN(BZ$2)-69,3))*5)+MOD(COLUMN(BZ$2),3),1,1),"")</f>
        <v>0</v>
      </c>
      <c r="CA173">
        <f ca="1">IF($AN173="",OFFSET(Demand!$A$13,ROW(K170)-1,4+((QUOTIENT(COLUMN(CA$2)-69,3))*5)+MOD(COLUMN(CA$2),3),1,1),"")</f>
        <v>0</v>
      </c>
      <c r="CB173">
        <f ca="1">IF($AN173="",OFFSET(Demand!$A$13,ROW(L170)-1,4+((QUOTIENT(COLUMN(CB$2)-69,3))*5)+MOD(COLUMN(CB$2),3),1,1),"")</f>
        <v>0</v>
      </c>
      <c r="CC173">
        <f ca="1">IF($AN173="",OFFSET(Demand!$A$13,ROW(M170)-1,4+((QUOTIENT(COLUMN(CC$2)-69,3))*5)+MOD(COLUMN(CC$2),3),1,1),"")</f>
        <v>0</v>
      </c>
      <c r="CD173">
        <f ca="1">IF($AN173="",OFFSET(Demand!$A$13,ROW(N170)-1,4+((QUOTIENT(COLUMN(CD$2)-69,3))*5)+MOD(COLUMN(CD$2),3),1,1),"")</f>
        <v>0</v>
      </c>
      <c r="CE173">
        <f ca="1">IF($AN173="",OFFSET(Demand!$A$13,ROW(O170)-1,4+((QUOTIENT(COLUMN(CE$2)-69,3))*5)+MOD(COLUMN(CE$2),3),1,1),"")</f>
        <v>0</v>
      </c>
      <c r="CF173">
        <f ca="1">IF($AN173="",OFFSET(Demand!$A$13,ROW(P170)-1,4+((QUOTIENT(COLUMN(CF$2)-69,3))*5)+MOD(COLUMN(CF$2),3),1,1),"")</f>
        <v>0</v>
      </c>
      <c r="CG173">
        <f ca="1">IF($AN173="",OFFSET(Demand!$A$13,ROW(Q170)-1,4+((QUOTIENT(COLUMN(CG$2)-69,3))*5)+MOD(COLUMN(CG$2),3),1,1),"")</f>
        <v>0</v>
      </c>
      <c r="CH173">
        <f ca="1">IF($AN173="",OFFSET(Demand!$A$13,ROW(R170)-1,4+((QUOTIENT(COLUMN(CH$2)-69,3))*5)+MOD(COLUMN(CH$2),3),1,1),"")</f>
        <v>0</v>
      </c>
      <c r="CI173">
        <f ca="1">IF($AN173="",OFFSET(Demand!$A$13,ROW(S170)-1,4+((QUOTIENT(COLUMN(CI$2)-69,3))*5)+MOD(COLUMN(CI$2),3),1,1),"")</f>
        <v>0</v>
      </c>
      <c r="CJ173">
        <f ca="1">IF($AN173="",OFFSET(Demand!$A$13,ROW(T170)-1,4+((QUOTIENT(COLUMN(CJ$2)-69,3))*5)+MOD(COLUMN(CJ$2),3),1,1),"")</f>
        <v>0</v>
      </c>
      <c r="CK173">
        <f ca="1">IF($AN173="",OFFSET(Demand!$A$13,ROW(U170)-1,4+((QUOTIENT(COLUMN(CK$2)-69,3))*5)+MOD(COLUMN(CK$2),3),1,1),"")</f>
        <v>0</v>
      </c>
      <c r="CL173">
        <f ca="1">IF($AN173="",OFFSET(Demand!$A$13,ROW(V170)-1,4+((QUOTIENT(COLUMN(CL$2)-69,3))*5)+MOD(COLUMN(CL$2),3),1,1),"")</f>
        <v>0</v>
      </c>
      <c r="CM173">
        <f ca="1">IF($AN173="",OFFSET(Demand!$A$13,ROW(W170)-1,4+((QUOTIENT(COLUMN(CM$2)-69,3))*5)+MOD(COLUMN(CM$2),3),1,1),"")</f>
        <v>0</v>
      </c>
      <c r="CN173">
        <f ca="1">IF($AN173="",OFFSET(Demand!$A$13,ROW(X170)-1,4+((QUOTIENT(COLUMN(CN$2)-69,3))*5)+MOD(COLUMN(CN$2),3),1,1),"")</f>
        <v>0</v>
      </c>
      <c r="CO173">
        <f ca="1">IF($AN173="",OFFSET(Demand!$A$13,ROW(Y170)-1,4+((QUOTIENT(COLUMN(CO$2)-69,3))*5)+MOD(COLUMN(CO$2),3),1,1),"")</f>
        <v>0</v>
      </c>
      <c r="CP173">
        <f ca="1">IF($AN173="",OFFSET(Demand!$A$13,ROW(Z170)-1,4+((QUOTIENT(COLUMN(CP$2)-69,3))*5)+MOD(COLUMN(CP$2),3),1,1),"")</f>
        <v>0</v>
      </c>
      <c r="CQ173">
        <f ca="1">IF($AN173="",OFFSET(Demand!$A$13,ROW(AA170)-1,4+((QUOTIENT(COLUMN(CQ$2)-69,3))*5)+MOD(COLUMN(CQ$2),3),1,1),"")</f>
        <v>0</v>
      </c>
      <c r="CR173">
        <f ca="1">IF($AN173="",OFFSET(Demand!$A$13,ROW(AB170)-1,4+((QUOTIENT(COLUMN(CR$2)-69,3))*5)+MOD(COLUMN(CR$2),3),1,1),"")</f>
        <v>0</v>
      </c>
      <c r="CS173">
        <f ca="1">IF($AN173="",OFFSET(Demand!$A$13,ROW(AC170)-1,4+((QUOTIENT(COLUMN(CS$2)-69,3))*5)+MOD(COLUMN(CS$2),3),1,1),"")</f>
        <v>0</v>
      </c>
      <c r="CT173">
        <f ca="1">IF($AN173="",OFFSET(Demand!$A$13,ROW(AD170)-1,4+((QUOTIENT(COLUMN(CT$2)-69,3))*5)+MOD(COLUMN(CT$2),3),1,1),"")</f>
        <v>0</v>
      </c>
      <c r="CW173" s="5">
        <f ca="1">SUM(OFFSET(Demand!$H$43,ROW(A170)-1,(COLUMN(A170)-1)*5,1,1))*N$2</f>
        <v>0</v>
      </c>
      <c r="CX173" s="5">
        <f ca="1">SUM(OFFSET(Demand!$H$43,ROW(B170)-1,(COLUMN(B170)-1)*5,1,1))*O$2</f>
        <v>0</v>
      </c>
      <c r="CY173" s="5">
        <f ca="1">SUM(OFFSET(Demand!$H$43,ROW(C170)-1,(COLUMN(C170)-1)*5,1,1))*P$2</f>
        <v>0</v>
      </c>
      <c r="CZ173" s="5">
        <f ca="1">SUM(OFFSET(Demand!$H$43,ROW(D170)-1,(COLUMN(D170)-1)*5,1,1))*Q$2</f>
        <v>0</v>
      </c>
      <c r="DA173" s="5">
        <f ca="1">SUM(OFFSET(Demand!$H$43,ROW(E170)-1,(COLUMN(E170)-1)*5,1,1))*R$2</f>
        <v>0</v>
      </c>
      <c r="DB173" s="5">
        <f ca="1">SUM(OFFSET(Demand!$H$43,ROW(F170)-1,(COLUMN(F170)-1)*5,1,1))*S$2</f>
        <v>0</v>
      </c>
      <c r="DC173" s="5">
        <f ca="1">SUM(OFFSET(Demand!$H$43,ROW(G170)-1,(COLUMN(G170)-1)*5,1,1))*T$2</f>
        <v>0</v>
      </c>
      <c r="DD173" s="5">
        <f ca="1">SUM(OFFSET(Demand!$H$43,ROW(H170)-1,(COLUMN(H170)-1)*5,1,1))*U$2</f>
        <v>0</v>
      </c>
      <c r="DE173" s="5">
        <f ca="1">SUM(OFFSET(Demand!$H$43,ROW(I170)-1,(COLUMN(I170)-1)*5,1,1))*V$2</f>
        <v>0</v>
      </c>
      <c r="DF173" s="5">
        <f ca="1">SUM(OFFSET(Demand!$H$43,ROW(J170)-1,(COLUMN(J170)-1)*5,1,1))*W$2</f>
        <v>0</v>
      </c>
      <c r="DG173" s="5">
        <f ca="1">IF(OR(AN173&lt;&gt;"",AND('Demand adjustments for Covid'!$F$9="Yes",'Demand adjustments for Covid'!$F$20="Yes")),"",SUM(CW173:DF173))</f>
        <v>0</v>
      </c>
    </row>
    <row r="174" spans="1:111" x14ac:dyDescent="0.25">
      <c r="A174" s="5">
        <f t="shared" ca="1" si="43"/>
        <v>1</v>
      </c>
      <c r="B174" s="5">
        <f ca="1">COUNTBLANK(OFFSET(Demand!$I183,0,(COLUMN(A171)-1)*5,1,1))</f>
        <v>1</v>
      </c>
      <c r="C174" s="5">
        <f ca="1">COUNTBLANK(OFFSET(Demand!$I183,0,(COLUMN(B171)-1)*5,1,1))</f>
        <v>1</v>
      </c>
      <c r="D174" s="5">
        <f ca="1">COUNTBLANK(OFFSET(Demand!$I183,0,(COLUMN(C171)-1)*5,1,1))</f>
        <v>1</v>
      </c>
      <c r="E174" s="5">
        <f ca="1">COUNTBLANK(OFFSET(Demand!$I183,0,(COLUMN(D171)-1)*5,1,1))</f>
        <v>1</v>
      </c>
      <c r="F174" s="5">
        <f ca="1">COUNTBLANK(OFFSET(Demand!$I183,0,(COLUMN(E171)-1)*5,1,1))</f>
        <v>1</v>
      </c>
      <c r="G174" s="5">
        <f ca="1">COUNTBLANK(OFFSET(Demand!$I183,0,(COLUMN(F171)-1)*5,1,1))</f>
        <v>1</v>
      </c>
      <c r="H174" s="5">
        <f ca="1">COUNTBLANK(OFFSET(Demand!$I183,0,(COLUMN(G171)-1)*5,1,1))</f>
        <v>1</v>
      </c>
      <c r="I174" s="5">
        <f ca="1">COUNTBLANK(OFFSET(Demand!$I183,0,(COLUMN(H171)-1)*5,1,1))</f>
        <v>1</v>
      </c>
      <c r="J174" s="5">
        <f ca="1">COUNTBLANK(OFFSET(Demand!$I183,0,(COLUMN(I171)-1)*5,1,1))</f>
        <v>1</v>
      </c>
      <c r="K174" s="5">
        <f ca="1">COUNTBLANK(OFFSET(Demand!$I183,0,(COLUMN(J171)-1)*5,1,1))</f>
        <v>1</v>
      </c>
      <c r="N174" s="5">
        <f ca="1">SUM(OFFSET(Demand!$E183,0,(COLUMN(A171)-1)*5,1,3))*N$2</f>
        <v>0</v>
      </c>
      <c r="O174" s="5">
        <f ca="1">SUM(OFFSET(Demand!$E183,0,(COLUMN(B171)-1)*5,1,3))*O$2</f>
        <v>0</v>
      </c>
      <c r="P174" s="5">
        <f ca="1">SUM(OFFSET(Demand!$E183,0,(COLUMN(C171)-1)*5,1,3))*P$2</f>
        <v>0</v>
      </c>
      <c r="Q174" s="5">
        <f ca="1">SUM(OFFSET(Demand!$E183,0,(COLUMN(D171)-1)*5,1,3))*Q$2</f>
        <v>0</v>
      </c>
      <c r="R174" s="5">
        <f ca="1">SUM(OFFSET(Demand!$E183,0,(COLUMN(E171)-1)*5,1,3))*R$2</f>
        <v>0</v>
      </c>
      <c r="S174" s="5">
        <f ca="1">SUM(OFFSET(Demand!$E183,0,(COLUMN(F171)-1)*5,1,3))*S$2</f>
        <v>0</v>
      </c>
      <c r="T174" s="5">
        <f ca="1">SUM(OFFSET(Demand!$E183,0,(COLUMN(G171)-1)*5,1,3))*T$2</f>
        <v>0</v>
      </c>
      <c r="U174" s="5">
        <f ca="1">SUM(OFFSET(Demand!$E183,0,(COLUMN(H171)-1)*5,1,3))*U$2</f>
        <v>0</v>
      </c>
      <c r="V174" s="5">
        <f ca="1">SUM(OFFSET(Demand!$E183,0,(COLUMN(I171)-1)*5,1,3))*V$2</f>
        <v>0</v>
      </c>
      <c r="W174" s="5">
        <f ca="1">SUM(OFFSET(Demand!$E183,0,(COLUMN(J171)-1)*5,1,3))*W$2</f>
        <v>0</v>
      </c>
      <c r="X174" s="5">
        <f t="shared" ca="1" si="44"/>
        <v>0</v>
      </c>
      <c r="Y174">
        <f t="shared" ca="1" si="45"/>
        <v>0</v>
      </c>
      <c r="Z174" s="5">
        <f ca="1">SUM(OFFSET(Demand!$H183,0,(COLUMN(A171)-1)*5,1,1))*N$2</f>
        <v>0</v>
      </c>
      <c r="AA174" s="5">
        <f ca="1">SUM(OFFSET(Demand!$H183,0,(COLUMN(B171)-1)*5,1,1))*O$2</f>
        <v>0</v>
      </c>
      <c r="AB174" s="5">
        <f ca="1">SUM(OFFSET(Demand!$H183,0,(COLUMN(C171)-1)*5,1,1))*P$2</f>
        <v>0</v>
      </c>
      <c r="AC174" s="5">
        <f ca="1">SUM(OFFSET(Demand!$H183,0,(COLUMN(D171)-1)*5,1,1))*Q$2</f>
        <v>0</v>
      </c>
      <c r="AD174" s="5">
        <f ca="1">SUM(OFFSET(Demand!$H183,0,(COLUMN(E171)-1)*5,1,1))*R$2</f>
        <v>0</v>
      </c>
      <c r="AE174" s="5">
        <f ca="1">SUM(OFFSET(Demand!$H183,0,(COLUMN(F171)-1)*5,1,1))*S$2</f>
        <v>0</v>
      </c>
      <c r="AF174" s="5">
        <f ca="1">SUM(OFFSET(Demand!$H183,0,(COLUMN(G171)-1)*5,1,1))*T$2</f>
        <v>0</v>
      </c>
      <c r="AG174" s="5">
        <f ca="1">SUM(OFFSET(Demand!$H183,0,(COLUMN(H171)-1)*5,1,1))*U$2</f>
        <v>0</v>
      </c>
      <c r="AH174" s="5">
        <f ca="1">SUM(OFFSET(Demand!$H183,0,(COLUMN(I171)-1)*5,1,1))*V$2</f>
        <v>0</v>
      </c>
      <c r="AI174" s="5">
        <f ca="1">SUM(OFFSET(Demand!$H183,0,(COLUMN(J171)-1)*5,1,1))*W$2</f>
        <v>0</v>
      </c>
      <c r="AJ174" s="5">
        <f t="shared" ca="1" si="46"/>
        <v>0</v>
      </c>
      <c r="AL174" s="5">
        <f t="shared" ca="1" si="47"/>
        <v>0</v>
      </c>
      <c r="AM174" s="5">
        <f t="shared" ca="1" si="48"/>
        <v>0</v>
      </c>
      <c r="AN174" s="5" t="str">
        <f>IF(Demand!BE183="Yes","Yes","")</f>
        <v/>
      </c>
      <c r="AP174" s="36" t="str">
        <f ca="1">Demand!B183</f>
        <v xml:space="preserve"> </v>
      </c>
      <c r="AQ174" t="str">
        <f ca="1">IF(TEXT(Demand!D183,"MMM")&lt;&gt;TEXT(Demand!D182,"MMM"),TEXT(Demand!D183,"MMM"),"")</f>
        <v/>
      </c>
      <c r="AT174" s="5">
        <f t="shared" ca="1" si="49"/>
        <v>0</v>
      </c>
      <c r="BQ174">
        <f ca="1">IF($AN174="",OFFSET(Demand!$A$13,ROW(A171)-1,4+((QUOTIENT(COLUMN(BQ$2)-69,3))*5)+MOD(COLUMN(BQ$2),3),1,1),"")</f>
        <v>0</v>
      </c>
      <c r="BR174">
        <f ca="1">IF($AN174="",OFFSET(Demand!$A$13,ROW(B171)-1,4+((QUOTIENT(COLUMN(BR$2)-69,3))*5)+MOD(COLUMN(BR$2),3),1,1),"")</f>
        <v>0</v>
      </c>
      <c r="BS174">
        <f ca="1">IF($AN174="",OFFSET(Demand!$A$13,ROW(C171)-1,4+((QUOTIENT(COLUMN(BS$2)-69,3))*5)+MOD(COLUMN(BS$2),3),1,1),"")</f>
        <v>0</v>
      </c>
      <c r="BT174">
        <f ca="1">IF($AN174="",OFFSET(Demand!$A$13,ROW(D171)-1,4+((QUOTIENT(COLUMN(BT$2)-69,3))*5)+MOD(COLUMN(BT$2),3),1,1),"")</f>
        <v>0</v>
      </c>
      <c r="BU174">
        <f ca="1">IF($AN174="",OFFSET(Demand!$A$13,ROW(E171)-1,4+((QUOTIENT(COLUMN(BU$2)-69,3))*5)+MOD(COLUMN(BU$2),3),1,1),"")</f>
        <v>0</v>
      </c>
      <c r="BV174">
        <f ca="1">IF($AN174="",OFFSET(Demand!$A$13,ROW(F171)-1,4+((QUOTIENT(COLUMN(BV$2)-69,3))*5)+MOD(COLUMN(BV$2),3),1,1),"")</f>
        <v>0</v>
      </c>
      <c r="BW174">
        <f ca="1">IF($AN174="",OFFSET(Demand!$A$13,ROW(G171)-1,4+((QUOTIENT(COLUMN(BW$2)-69,3))*5)+MOD(COLUMN(BW$2),3),1,1),"")</f>
        <v>0</v>
      </c>
      <c r="BX174">
        <f ca="1">IF($AN174="",OFFSET(Demand!$A$13,ROW(H171)-1,4+((QUOTIENT(COLUMN(BX$2)-69,3))*5)+MOD(COLUMN(BX$2),3),1,1),"")</f>
        <v>0</v>
      </c>
      <c r="BY174">
        <f ca="1">IF($AN174="",OFFSET(Demand!$A$13,ROW(I171)-1,4+((QUOTIENT(COLUMN(BY$2)-69,3))*5)+MOD(COLUMN(BY$2),3),1,1),"")</f>
        <v>0</v>
      </c>
      <c r="BZ174">
        <f ca="1">IF($AN174="",OFFSET(Demand!$A$13,ROW(J171)-1,4+((QUOTIENT(COLUMN(BZ$2)-69,3))*5)+MOD(COLUMN(BZ$2),3),1,1),"")</f>
        <v>0</v>
      </c>
      <c r="CA174">
        <f ca="1">IF($AN174="",OFFSET(Demand!$A$13,ROW(K171)-1,4+((QUOTIENT(COLUMN(CA$2)-69,3))*5)+MOD(COLUMN(CA$2),3),1,1),"")</f>
        <v>0</v>
      </c>
      <c r="CB174">
        <f ca="1">IF($AN174="",OFFSET(Demand!$A$13,ROW(L171)-1,4+((QUOTIENT(COLUMN(CB$2)-69,3))*5)+MOD(COLUMN(CB$2),3),1,1),"")</f>
        <v>0</v>
      </c>
      <c r="CC174">
        <f ca="1">IF($AN174="",OFFSET(Demand!$A$13,ROW(M171)-1,4+((QUOTIENT(COLUMN(CC$2)-69,3))*5)+MOD(COLUMN(CC$2),3),1,1),"")</f>
        <v>0</v>
      </c>
      <c r="CD174">
        <f ca="1">IF($AN174="",OFFSET(Demand!$A$13,ROW(N171)-1,4+((QUOTIENT(COLUMN(CD$2)-69,3))*5)+MOD(COLUMN(CD$2),3),1,1),"")</f>
        <v>0</v>
      </c>
      <c r="CE174">
        <f ca="1">IF($AN174="",OFFSET(Demand!$A$13,ROW(O171)-1,4+((QUOTIENT(COLUMN(CE$2)-69,3))*5)+MOD(COLUMN(CE$2),3),1,1),"")</f>
        <v>0</v>
      </c>
      <c r="CF174">
        <f ca="1">IF($AN174="",OFFSET(Demand!$A$13,ROW(P171)-1,4+((QUOTIENT(COLUMN(CF$2)-69,3))*5)+MOD(COLUMN(CF$2),3),1,1),"")</f>
        <v>0</v>
      </c>
      <c r="CG174">
        <f ca="1">IF($AN174="",OFFSET(Demand!$A$13,ROW(Q171)-1,4+((QUOTIENT(COLUMN(CG$2)-69,3))*5)+MOD(COLUMN(CG$2),3),1,1),"")</f>
        <v>0</v>
      </c>
      <c r="CH174">
        <f ca="1">IF($AN174="",OFFSET(Demand!$A$13,ROW(R171)-1,4+((QUOTIENT(COLUMN(CH$2)-69,3))*5)+MOD(COLUMN(CH$2),3),1,1),"")</f>
        <v>0</v>
      </c>
      <c r="CI174">
        <f ca="1">IF($AN174="",OFFSET(Demand!$A$13,ROW(S171)-1,4+((QUOTIENT(COLUMN(CI$2)-69,3))*5)+MOD(COLUMN(CI$2),3),1,1),"")</f>
        <v>0</v>
      </c>
      <c r="CJ174">
        <f ca="1">IF($AN174="",OFFSET(Demand!$A$13,ROW(T171)-1,4+((QUOTIENT(COLUMN(CJ$2)-69,3))*5)+MOD(COLUMN(CJ$2),3),1,1),"")</f>
        <v>0</v>
      </c>
      <c r="CK174">
        <f ca="1">IF($AN174="",OFFSET(Demand!$A$13,ROW(U171)-1,4+((QUOTIENT(COLUMN(CK$2)-69,3))*5)+MOD(COLUMN(CK$2),3),1,1),"")</f>
        <v>0</v>
      </c>
      <c r="CL174">
        <f ca="1">IF($AN174="",OFFSET(Demand!$A$13,ROW(V171)-1,4+((QUOTIENT(COLUMN(CL$2)-69,3))*5)+MOD(COLUMN(CL$2),3),1,1),"")</f>
        <v>0</v>
      </c>
      <c r="CM174">
        <f ca="1">IF($AN174="",OFFSET(Demand!$A$13,ROW(W171)-1,4+((QUOTIENT(COLUMN(CM$2)-69,3))*5)+MOD(COLUMN(CM$2),3),1,1),"")</f>
        <v>0</v>
      </c>
      <c r="CN174">
        <f ca="1">IF($AN174="",OFFSET(Demand!$A$13,ROW(X171)-1,4+((QUOTIENT(COLUMN(CN$2)-69,3))*5)+MOD(COLUMN(CN$2),3),1,1),"")</f>
        <v>0</v>
      </c>
      <c r="CO174">
        <f ca="1">IF($AN174="",OFFSET(Demand!$A$13,ROW(Y171)-1,4+((QUOTIENT(COLUMN(CO$2)-69,3))*5)+MOD(COLUMN(CO$2),3),1,1),"")</f>
        <v>0</v>
      </c>
      <c r="CP174">
        <f ca="1">IF($AN174="",OFFSET(Demand!$A$13,ROW(Z171)-1,4+((QUOTIENT(COLUMN(CP$2)-69,3))*5)+MOD(COLUMN(CP$2),3),1,1),"")</f>
        <v>0</v>
      </c>
      <c r="CQ174">
        <f ca="1">IF($AN174="",OFFSET(Demand!$A$13,ROW(AA171)-1,4+((QUOTIENT(COLUMN(CQ$2)-69,3))*5)+MOD(COLUMN(CQ$2),3),1,1),"")</f>
        <v>0</v>
      </c>
      <c r="CR174">
        <f ca="1">IF($AN174="",OFFSET(Demand!$A$13,ROW(AB171)-1,4+((QUOTIENT(COLUMN(CR$2)-69,3))*5)+MOD(COLUMN(CR$2),3),1,1),"")</f>
        <v>0</v>
      </c>
      <c r="CS174">
        <f ca="1">IF($AN174="",OFFSET(Demand!$A$13,ROW(AC171)-1,4+((QUOTIENT(COLUMN(CS$2)-69,3))*5)+MOD(COLUMN(CS$2),3),1,1),"")</f>
        <v>0</v>
      </c>
      <c r="CT174">
        <f ca="1">IF($AN174="",OFFSET(Demand!$A$13,ROW(AD171)-1,4+((QUOTIENT(COLUMN(CT$2)-69,3))*5)+MOD(COLUMN(CT$2),3),1,1),"")</f>
        <v>0</v>
      </c>
      <c r="CW174" s="5">
        <f ca="1">SUM(OFFSET(Demand!$H$43,ROW(A171)-1,(COLUMN(A171)-1)*5,1,1))*N$2</f>
        <v>0</v>
      </c>
      <c r="CX174" s="5">
        <f ca="1">SUM(OFFSET(Demand!$H$43,ROW(B171)-1,(COLUMN(B171)-1)*5,1,1))*O$2</f>
        <v>0</v>
      </c>
      <c r="CY174" s="5">
        <f ca="1">SUM(OFFSET(Demand!$H$43,ROW(C171)-1,(COLUMN(C171)-1)*5,1,1))*P$2</f>
        <v>0</v>
      </c>
      <c r="CZ174" s="5">
        <f ca="1">SUM(OFFSET(Demand!$H$43,ROW(D171)-1,(COLUMN(D171)-1)*5,1,1))*Q$2</f>
        <v>0</v>
      </c>
      <c r="DA174" s="5">
        <f ca="1">SUM(OFFSET(Demand!$H$43,ROW(E171)-1,(COLUMN(E171)-1)*5,1,1))*R$2</f>
        <v>0</v>
      </c>
      <c r="DB174" s="5">
        <f ca="1">SUM(OFFSET(Demand!$H$43,ROW(F171)-1,(COLUMN(F171)-1)*5,1,1))*S$2</f>
        <v>0</v>
      </c>
      <c r="DC174" s="5">
        <f ca="1">SUM(OFFSET(Demand!$H$43,ROW(G171)-1,(COLUMN(G171)-1)*5,1,1))*T$2</f>
        <v>0</v>
      </c>
      <c r="DD174" s="5">
        <f ca="1">SUM(OFFSET(Demand!$H$43,ROW(H171)-1,(COLUMN(H171)-1)*5,1,1))*U$2</f>
        <v>0</v>
      </c>
      <c r="DE174" s="5">
        <f ca="1">SUM(OFFSET(Demand!$H$43,ROW(I171)-1,(COLUMN(I171)-1)*5,1,1))*V$2</f>
        <v>0</v>
      </c>
      <c r="DF174" s="5">
        <f ca="1">SUM(OFFSET(Demand!$H$43,ROW(J171)-1,(COLUMN(J171)-1)*5,1,1))*W$2</f>
        <v>0</v>
      </c>
      <c r="DG174" s="5">
        <f ca="1">IF(OR(AN174&lt;&gt;"",AND('Demand adjustments for Covid'!$F$9="Yes",'Demand adjustments for Covid'!$F$20="Yes")),"",SUM(CW174:DF174))</f>
        <v>0</v>
      </c>
    </row>
    <row r="175" spans="1:111" x14ac:dyDescent="0.25">
      <c r="A175" s="5">
        <f t="shared" ca="1" si="43"/>
        <v>1</v>
      </c>
      <c r="B175" s="5">
        <f ca="1">COUNTBLANK(OFFSET(Demand!$I184,0,(COLUMN(A172)-1)*5,1,1))</f>
        <v>1</v>
      </c>
      <c r="C175" s="5">
        <f ca="1">COUNTBLANK(OFFSET(Demand!$I184,0,(COLUMN(B172)-1)*5,1,1))</f>
        <v>1</v>
      </c>
      <c r="D175" s="5">
        <f ca="1">COUNTBLANK(OFFSET(Demand!$I184,0,(COLUMN(C172)-1)*5,1,1))</f>
        <v>1</v>
      </c>
      <c r="E175" s="5">
        <f ca="1">COUNTBLANK(OFFSET(Demand!$I184,0,(COLUMN(D172)-1)*5,1,1))</f>
        <v>1</v>
      </c>
      <c r="F175" s="5">
        <f ca="1">COUNTBLANK(OFFSET(Demand!$I184,0,(COLUMN(E172)-1)*5,1,1))</f>
        <v>1</v>
      </c>
      <c r="G175" s="5">
        <f ca="1">COUNTBLANK(OFFSET(Demand!$I184,0,(COLUMN(F172)-1)*5,1,1))</f>
        <v>1</v>
      </c>
      <c r="H175" s="5">
        <f ca="1">COUNTBLANK(OFFSET(Demand!$I184,0,(COLUMN(G172)-1)*5,1,1))</f>
        <v>1</v>
      </c>
      <c r="I175" s="5">
        <f ca="1">COUNTBLANK(OFFSET(Demand!$I184,0,(COLUMN(H172)-1)*5,1,1))</f>
        <v>1</v>
      </c>
      <c r="J175" s="5">
        <f ca="1">COUNTBLANK(OFFSET(Demand!$I184,0,(COLUMN(I172)-1)*5,1,1))</f>
        <v>1</v>
      </c>
      <c r="K175" s="5">
        <f ca="1">COUNTBLANK(OFFSET(Demand!$I184,0,(COLUMN(J172)-1)*5,1,1))</f>
        <v>1</v>
      </c>
      <c r="N175" s="5">
        <f ca="1">SUM(OFFSET(Demand!$E184,0,(COLUMN(A172)-1)*5,1,3))*N$2</f>
        <v>0</v>
      </c>
      <c r="O175" s="5">
        <f ca="1">SUM(OFFSET(Demand!$E184,0,(COLUMN(B172)-1)*5,1,3))*O$2</f>
        <v>0</v>
      </c>
      <c r="P175" s="5">
        <f ca="1">SUM(OFFSET(Demand!$E184,0,(COLUMN(C172)-1)*5,1,3))*P$2</f>
        <v>0</v>
      </c>
      <c r="Q175" s="5">
        <f ca="1">SUM(OFFSET(Demand!$E184,0,(COLUMN(D172)-1)*5,1,3))*Q$2</f>
        <v>0</v>
      </c>
      <c r="R175" s="5">
        <f ca="1">SUM(OFFSET(Demand!$E184,0,(COLUMN(E172)-1)*5,1,3))*R$2</f>
        <v>0</v>
      </c>
      <c r="S175" s="5">
        <f ca="1">SUM(OFFSET(Demand!$E184,0,(COLUMN(F172)-1)*5,1,3))*S$2</f>
        <v>0</v>
      </c>
      <c r="T175" s="5">
        <f ca="1">SUM(OFFSET(Demand!$E184,0,(COLUMN(G172)-1)*5,1,3))*T$2</f>
        <v>0</v>
      </c>
      <c r="U175" s="5">
        <f ca="1">SUM(OFFSET(Demand!$E184,0,(COLUMN(H172)-1)*5,1,3))*U$2</f>
        <v>0</v>
      </c>
      <c r="V175" s="5">
        <f ca="1">SUM(OFFSET(Demand!$E184,0,(COLUMN(I172)-1)*5,1,3))*V$2</f>
        <v>0</v>
      </c>
      <c r="W175" s="5">
        <f ca="1">SUM(OFFSET(Demand!$E184,0,(COLUMN(J172)-1)*5,1,3))*W$2</f>
        <v>0</v>
      </c>
      <c r="X175" s="5">
        <f t="shared" ca="1" si="44"/>
        <v>0</v>
      </c>
      <c r="Y175">
        <f t="shared" ca="1" si="45"/>
        <v>0</v>
      </c>
      <c r="Z175" s="5">
        <f ca="1">SUM(OFFSET(Demand!$H184,0,(COLUMN(A172)-1)*5,1,1))*N$2</f>
        <v>0</v>
      </c>
      <c r="AA175" s="5">
        <f ca="1">SUM(OFFSET(Demand!$H184,0,(COLUMN(B172)-1)*5,1,1))*O$2</f>
        <v>0</v>
      </c>
      <c r="AB175" s="5">
        <f ca="1">SUM(OFFSET(Demand!$H184,0,(COLUMN(C172)-1)*5,1,1))*P$2</f>
        <v>0</v>
      </c>
      <c r="AC175" s="5">
        <f ca="1">SUM(OFFSET(Demand!$H184,0,(COLUMN(D172)-1)*5,1,1))*Q$2</f>
        <v>0</v>
      </c>
      <c r="AD175" s="5">
        <f ca="1">SUM(OFFSET(Demand!$H184,0,(COLUMN(E172)-1)*5,1,1))*R$2</f>
        <v>0</v>
      </c>
      <c r="AE175" s="5">
        <f ca="1">SUM(OFFSET(Demand!$H184,0,(COLUMN(F172)-1)*5,1,1))*S$2</f>
        <v>0</v>
      </c>
      <c r="AF175" s="5">
        <f ca="1">SUM(OFFSET(Demand!$H184,0,(COLUMN(G172)-1)*5,1,1))*T$2</f>
        <v>0</v>
      </c>
      <c r="AG175" s="5">
        <f ca="1">SUM(OFFSET(Demand!$H184,0,(COLUMN(H172)-1)*5,1,1))*U$2</f>
        <v>0</v>
      </c>
      <c r="AH175" s="5">
        <f ca="1">SUM(OFFSET(Demand!$H184,0,(COLUMN(I172)-1)*5,1,1))*V$2</f>
        <v>0</v>
      </c>
      <c r="AI175" s="5">
        <f ca="1">SUM(OFFSET(Demand!$H184,0,(COLUMN(J172)-1)*5,1,1))*W$2</f>
        <v>0</v>
      </c>
      <c r="AJ175" s="5">
        <f t="shared" ca="1" si="46"/>
        <v>0</v>
      </c>
      <c r="AL175" s="5">
        <f t="shared" ca="1" si="47"/>
        <v>0</v>
      </c>
      <c r="AM175" s="5">
        <f t="shared" ca="1" si="48"/>
        <v>0</v>
      </c>
      <c r="AN175" s="5" t="str">
        <f>IF(Demand!BE184="Yes","Yes","")</f>
        <v/>
      </c>
      <c r="AP175" s="36" t="str">
        <f ca="1">Demand!B184</f>
        <v xml:space="preserve"> </v>
      </c>
      <c r="AQ175" t="str">
        <f ca="1">IF(TEXT(Demand!D184,"MMM")&lt;&gt;TEXT(Demand!D183,"MMM"),TEXT(Demand!D184,"MMM"),"")</f>
        <v/>
      </c>
      <c r="AT175" s="5">
        <f t="shared" ca="1" si="49"/>
        <v>0</v>
      </c>
      <c r="BQ175">
        <f ca="1">IF($AN175="",OFFSET(Demand!$A$13,ROW(A172)-1,4+((QUOTIENT(COLUMN(BQ$2)-69,3))*5)+MOD(COLUMN(BQ$2),3),1,1),"")</f>
        <v>0</v>
      </c>
      <c r="BR175">
        <f ca="1">IF($AN175="",OFFSET(Demand!$A$13,ROW(B172)-1,4+((QUOTIENT(COLUMN(BR$2)-69,3))*5)+MOD(COLUMN(BR$2),3),1,1),"")</f>
        <v>0</v>
      </c>
      <c r="BS175">
        <f ca="1">IF($AN175="",OFFSET(Demand!$A$13,ROW(C172)-1,4+((QUOTIENT(COLUMN(BS$2)-69,3))*5)+MOD(COLUMN(BS$2),3),1,1),"")</f>
        <v>0</v>
      </c>
      <c r="BT175">
        <f ca="1">IF($AN175="",OFFSET(Demand!$A$13,ROW(D172)-1,4+((QUOTIENT(COLUMN(BT$2)-69,3))*5)+MOD(COLUMN(BT$2),3),1,1),"")</f>
        <v>0</v>
      </c>
      <c r="BU175">
        <f ca="1">IF($AN175="",OFFSET(Demand!$A$13,ROW(E172)-1,4+((QUOTIENT(COLUMN(BU$2)-69,3))*5)+MOD(COLUMN(BU$2),3),1,1),"")</f>
        <v>0</v>
      </c>
      <c r="BV175">
        <f ca="1">IF($AN175="",OFFSET(Demand!$A$13,ROW(F172)-1,4+((QUOTIENT(COLUMN(BV$2)-69,3))*5)+MOD(COLUMN(BV$2),3),1,1),"")</f>
        <v>0</v>
      </c>
      <c r="BW175">
        <f ca="1">IF($AN175="",OFFSET(Demand!$A$13,ROW(G172)-1,4+((QUOTIENT(COLUMN(BW$2)-69,3))*5)+MOD(COLUMN(BW$2),3),1,1),"")</f>
        <v>0</v>
      </c>
      <c r="BX175">
        <f ca="1">IF($AN175="",OFFSET(Demand!$A$13,ROW(H172)-1,4+((QUOTIENT(COLUMN(BX$2)-69,3))*5)+MOD(COLUMN(BX$2),3),1,1),"")</f>
        <v>0</v>
      </c>
      <c r="BY175">
        <f ca="1">IF($AN175="",OFFSET(Demand!$A$13,ROW(I172)-1,4+((QUOTIENT(COLUMN(BY$2)-69,3))*5)+MOD(COLUMN(BY$2),3),1,1),"")</f>
        <v>0</v>
      </c>
      <c r="BZ175">
        <f ca="1">IF($AN175="",OFFSET(Demand!$A$13,ROW(J172)-1,4+((QUOTIENT(COLUMN(BZ$2)-69,3))*5)+MOD(COLUMN(BZ$2),3),1,1),"")</f>
        <v>0</v>
      </c>
      <c r="CA175">
        <f ca="1">IF($AN175="",OFFSET(Demand!$A$13,ROW(K172)-1,4+((QUOTIENT(COLUMN(CA$2)-69,3))*5)+MOD(COLUMN(CA$2),3),1,1),"")</f>
        <v>0</v>
      </c>
      <c r="CB175">
        <f ca="1">IF($AN175="",OFFSET(Demand!$A$13,ROW(L172)-1,4+((QUOTIENT(COLUMN(CB$2)-69,3))*5)+MOD(COLUMN(CB$2),3),1,1),"")</f>
        <v>0</v>
      </c>
      <c r="CC175">
        <f ca="1">IF($AN175="",OFFSET(Demand!$A$13,ROW(M172)-1,4+((QUOTIENT(COLUMN(CC$2)-69,3))*5)+MOD(COLUMN(CC$2),3),1,1),"")</f>
        <v>0</v>
      </c>
      <c r="CD175">
        <f ca="1">IF($AN175="",OFFSET(Demand!$A$13,ROW(N172)-1,4+((QUOTIENT(COLUMN(CD$2)-69,3))*5)+MOD(COLUMN(CD$2),3),1,1),"")</f>
        <v>0</v>
      </c>
      <c r="CE175">
        <f ca="1">IF($AN175="",OFFSET(Demand!$A$13,ROW(O172)-1,4+((QUOTIENT(COLUMN(CE$2)-69,3))*5)+MOD(COLUMN(CE$2),3),1,1),"")</f>
        <v>0</v>
      </c>
      <c r="CF175">
        <f ca="1">IF($AN175="",OFFSET(Demand!$A$13,ROW(P172)-1,4+((QUOTIENT(COLUMN(CF$2)-69,3))*5)+MOD(COLUMN(CF$2),3),1,1),"")</f>
        <v>0</v>
      </c>
      <c r="CG175">
        <f ca="1">IF($AN175="",OFFSET(Demand!$A$13,ROW(Q172)-1,4+((QUOTIENT(COLUMN(CG$2)-69,3))*5)+MOD(COLUMN(CG$2),3),1,1),"")</f>
        <v>0</v>
      </c>
      <c r="CH175">
        <f ca="1">IF($AN175="",OFFSET(Demand!$A$13,ROW(R172)-1,4+((QUOTIENT(COLUMN(CH$2)-69,3))*5)+MOD(COLUMN(CH$2),3),1,1),"")</f>
        <v>0</v>
      </c>
      <c r="CI175">
        <f ca="1">IF($AN175="",OFFSET(Demand!$A$13,ROW(S172)-1,4+((QUOTIENT(COLUMN(CI$2)-69,3))*5)+MOD(COLUMN(CI$2),3),1,1),"")</f>
        <v>0</v>
      </c>
      <c r="CJ175">
        <f ca="1">IF($AN175="",OFFSET(Demand!$A$13,ROW(T172)-1,4+((QUOTIENT(COLUMN(CJ$2)-69,3))*5)+MOD(COLUMN(CJ$2),3),1,1),"")</f>
        <v>0</v>
      </c>
      <c r="CK175">
        <f ca="1">IF($AN175="",OFFSET(Demand!$A$13,ROW(U172)-1,4+((QUOTIENT(COLUMN(CK$2)-69,3))*5)+MOD(COLUMN(CK$2),3),1,1),"")</f>
        <v>0</v>
      </c>
      <c r="CL175">
        <f ca="1">IF($AN175="",OFFSET(Demand!$A$13,ROW(V172)-1,4+((QUOTIENT(COLUMN(CL$2)-69,3))*5)+MOD(COLUMN(CL$2),3),1,1),"")</f>
        <v>0</v>
      </c>
      <c r="CM175">
        <f ca="1">IF($AN175="",OFFSET(Demand!$A$13,ROW(W172)-1,4+((QUOTIENT(COLUMN(CM$2)-69,3))*5)+MOD(COLUMN(CM$2),3),1,1),"")</f>
        <v>0</v>
      </c>
      <c r="CN175">
        <f ca="1">IF($AN175="",OFFSET(Demand!$A$13,ROW(X172)-1,4+((QUOTIENT(COLUMN(CN$2)-69,3))*5)+MOD(COLUMN(CN$2),3),1,1),"")</f>
        <v>0</v>
      </c>
      <c r="CO175">
        <f ca="1">IF($AN175="",OFFSET(Demand!$A$13,ROW(Y172)-1,4+((QUOTIENT(COLUMN(CO$2)-69,3))*5)+MOD(COLUMN(CO$2),3),1,1),"")</f>
        <v>0</v>
      </c>
      <c r="CP175">
        <f ca="1">IF($AN175="",OFFSET(Demand!$A$13,ROW(Z172)-1,4+((QUOTIENT(COLUMN(CP$2)-69,3))*5)+MOD(COLUMN(CP$2),3),1,1),"")</f>
        <v>0</v>
      </c>
      <c r="CQ175">
        <f ca="1">IF($AN175="",OFFSET(Demand!$A$13,ROW(AA172)-1,4+((QUOTIENT(COLUMN(CQ$2)-69,3))*5)+MOD(COLUMN(CQ$2),3),1,1),"")</f>
        <v>0</v>
      </c>
      <c r="CR175">
        <f ca="1">IF($AN175="",OFFSET(Demand!$A$13,ROW(AB172)-1,4+((QUOTIENT(COLUMN(CR$2)-69,3))*5)+MOD(COLUMN(CR$2),3),1,1),"")</f>
        <v>0</v>
      </c>
      <c r="CS175">
        <f ca="1">IF($AN175="",OFFSET(Demand!$A$13,ROW(AC172)-1,4+((QUOTIENT(COLUMN(CS$2)-69,3))*5)+MOD(COLUMN(CS$2),3),1,1),"")</f>
        <v>0</v>
      </c>
      <c r="CT175">
        <f ca="1">IF($AN175="",OFFSET(Demand!$A$13,ROW(AD172)-1,4+((QUOTIENT(COLUMN(CT$2)-69,3))*5)+MOD(COLUMN(CT$2),3),1,1),"")</f>
        <v>0</v>
      </c>
      <c r="CW175" s="5">
        <f ca="1">SUM(OFFSET(Demand!$H$43,ROW(A172)-1,(COLUMN(A172)-1)*5,1,1))*N$2</f>
        <v>0</v>
      </c>
      <c r="CX175" s="5">
        <f ca="1">SUM(OFFSET(Demand!$H$43,ROW(B172)-1,(COLUMN(B172)-1)*5,1,1))*O$2</f>
        <v>0</v>
      </c>
      <c r="CY175" s="5">
        <f ca="1">SUM(OFFSET(Demand!$H$43,ROW(C172)-1,(COLUMN(C172)-1)*5,1,1))*P$2</f>
        <v>0</v>
      </c>
      <c r="CZ175" s="5">
        <f ca="1">SUM(OFFSET(Demand!$H$43,ROW(D172)-1,(COLUMN(D172)-1)*5,1,1))*Q$2</f>
        <v>0</v>
      </c>
      <c r="DA175" s="5">
        <f ca="1">SUM(OFFSET(Demand!$H$43,ROW(E172)-1,(COLUMN(E172)-1)*5,1,1))*R$2</f>
        <v>0</v>
      </c>
      <c r="DB175" s="5">
        <f ca="1">SUM(OFFSET(Demand!$H$43,ROW(F172)-1,(COLUMN(F172)-1)*5,1,1))*S$2</f>
        <v>0</v>
      </c>
      <c r="DC175" s="5">
        <f ca="1">SUM(OFFSET(Demand!$H$43,ROW(G172)-1,(COLUMN(G172)-1)*5,1,1))*T$2</f>
        <v>0</v>
      </c>
      <c r="DD175" s="5">
        <f ca="1">SUM(OFFSET(Demand!$H$43,ROW(H172)-1,(COLUMN(H172)-1)*5,1,1))*U$2</f>
        <v>0</v>
      </c>
      <c r="DE175" s="5">
        <f ca="1">SUM(OFFSET(Demand!$H$43,ROW(I172)-1,(COLUMN(I172)-1)*5,1,1))*V$2</f>
        <v>0</v>
      </c>
      <c r="DF175" s="5">
        <f ca="1">SUM(OFFSET(Demand!$H$43,ROW(J172)-1,(COLUMN(J172)-1)*5,1,1))*W$2</f>
        <v>0</v>
      </c>
      <c r="DG175" s="5">
        <f ca="1">IF(OR(AN175&lt;&gt;"",AND('Demand adjustments for Covid'!$F$9="Yes",'Demand adjustments for Covid'!$F$20="Yes")),"",SUM(CW175:DF175))</f>
        <v>0</v>
      </c>
    </row>
    <row r="176" spans="1:111" x14ac:dyDescent="0.25">
      <c r="A176" s="5">
        <f t="shared" ca="1" si="43"/>
        <v>1</v>
      </c>
      <c r="B176" s="5">
        <f ca="1">COUNTBLANK(OFFSET(Demand!$I185,0,(COLUMN(A173)-1)*5,1,1))</f>
        <v>1</v>
      </c>
      <c r="C176" s="5">
        <f ca="1">COUNTBLANK(OFFSET(Demand!$I185,0,(COLUMN(B173)-1)*5,1,1))</f>
        <v>1</v>
      </c>
      <c r="D176" s="5">
        <f ca="1">COUNTBLANK(OFFSET(Demand!$I185,0,(COLUMN(C173)-1)*5,1,1))</f>
        <v>1</v>
      </c>
      <c r="E176" s="5">
        <f ca="1">COUNTBLANK(OFFSET(Demand!$I185,0,(COLUMN(D173)-1)*5,1,1))</f>
        <v>1</v>
      </c>
      <c r="F176" s="5">
        <f ca="1">COUNTBLANK(OFFSET(Demand!$I185,0,(COLUMN(E173)-1)*5,1,1))</f>
        <v>1</v>
      </c>
      <c r="G176" s="5">
        <f ca="1">COUNTBLANK(OFFSET(Demand!$I185,0,(COLUMN(F173)-1)*5,1,1))</f>
        <v>1</v>
      </c>
      <c r="H176" s="5">
        <f ca="1">COUNTBLANK(OFFSET(Demand!$I185,0,(COLUMN(G173)-1)*5,1,1))</f>
        <v>1</v>
      </c>
      <c r="I176" s="5">
        <f ca="1">COUNTBLANK(OFFSET(Demand!$I185,0,(COLUMN(H173)-1)*5,1,1))</f>
        <v>1</v>
      </c>
      <c r="J176" s="5">
        <f ca="1">COUNTBLANK(OFFSET(Demand!$I185,0,(COLUMN(I173)-1)*5,1,1))</f>
        <v>1</v>
      </c>
      <c r="K176" s="5">
        <f ca="1">COUNTBLANK(OFFSET(Demand!$I185,0,(COLUMN(J173)-1)*5,1,1))</f>
        <v>1</v>
      </c>
      <c r="N176" s="5">
        <f ca="1">SUM(OFFSET(Demand!$E185,0,(COLUMN(A173)-1)*5,1,3))*N$2</f>
        <v>0</v>
      </c>
      <c r="O176" s="5">
        <f ca="1">SUM(OFFSET(Demand!$E185,0,(COLUMN(B173)-1)*5,1,3))*O$2</f>
        <v>0</v>
      </c>
      <c r="P176" s="5">
        <f ca="1">SUM(OFFSET(Demand!$E185,0,(COLUMN(C173)-1)*5,1,3))*P$2</f>
        <v>0</v>
      </c>
      <c r="Q176" s="5">
        <f ca="1">SUM(OFFSET(Demand!$E185,0,(COLUMN(D173)-1)*5,1,3))*Q$2</f>
        <v>0</v>
      </c>
      <c r="R176" s="5">
        <f ca="1">SUM(OFFSET(Demand!$E185,0,(COLUMN(E173)-1)*5,1,3))*R$2</f>
        <v>0</v>
      </c>
      <c r="S176" s="5">
        <f ca="1">SUM(OFFSET(Demand!$E185,0,(COLUMN(F173)-1)*5,1,3))*S$2</f>
        <v>0</v>
      </c>
      <c r="T176" s="5">
        <f ca="1">SUM(OFFSET(Demand!$E185,0,(COLUMN(G173)-1)*5,1,3))*T$2</f>
        <v>0</v>
      </c>
      <c r="U176" s="5">
        <f ca="1">SUM(OFFSET(Demand!$E185,0,(COLUMN(H173)-1)*5,1,3))*U$2</f>
        <v>0</v>
      </c>
      <c r="V176" s="5">
        <f ca="1">SUM(OFFSET(Demand!$E185,0,(COLUMN(I173)-1)*5,1,3))*V$2</f>
        <v>0</v>
      </c>
      <c r="W176" s="5">
        <f ca="1">SUM(OFFSET(Demand!$E185,0,(COLUMN(J173)-1)*5,1,3))*W$2</f>
        <v>0</v>
      </c>
      <c r="X176" s="5">
        <f t="shared" ca="1" si="44"/>
        <v>0</v>
      </c>
      <c r="Y176">
        <f t="shared" ca="1" si="45"/>
        <v>0</v>
      </c>
      <c r="Z176" s="5">
        <f ca="1">SUM(OFFSET(Demand!$H185,0,(COLUMN(A173)-1)*5,1,1))*N$2</f>
        <v>0</v>
      </c>
      <c r="AA176" s="5">
        <f ca="1">SUM(OFFSET(Demand!$H185,0,(COLUMN(B173)-1)*5,1,1))*O$2</f>
        <v>0</v>
      </c>
      <c r="AB176" s="5">
        <f ca="1">SUM(OFFSET(Demand!$H185,0,(COLUMN(C173)-1)*5,1,1))*P$2</f>
        <v>0</v>
      </c>
      <c r="AC176" s="5">
        <f ca="1">SUM(OFFSET(Demand!$H185,0,(COLUMN(D173)-1)*5,1,1))*Q$2</f>
        <v>0</v>
      </c>
      <c r="AD176" s="5">
        <f ca="1">SUM(OFFSET(Demand!$H185,0,(COLUMN(E173)-1)*5,1,1))*R$2</f>
        <v>0</v>
      </c>
      <c r="AE176" s="5">
        <f ca="1">SUM(OFFSET(Demand!$H185,0,(COLUMN(F173)-1)*5,1,1))*S$2</f>
        <v>0</v>
      </c>
      <c r="AF176" s="5">
        <f ca="1">SUM(OFFSET(Demand!$H185,0,(COLUMN(G173)-1)*5,1,1))*T$2</f>
        <v>0</v>
      </c>
      <c r="AG176" s="5">
        <f ca="1">SUM(OFFSET(Demand!$H185,0,(COLUMN(H173)-1)*5,1,1))*U$2</f>
        <v>0</v>
      </c>
      <c r="AH176" s="5">
        <f ca="1">SUM(OFFSET(Demand!$H185,0,(COLUMN(I173)-1)*5,1,1))*V$2</f>
        <v>0</v>
      </c>
      <c r="AI176" s="5">
        <f ca="1">SUM(OFFSET(Demand!$H185,0,(COLUMN(J173)-1)*5,1,1))*W$2</f>
        <v>0</v>
      </c>
      <c r="AJ176" s="5">
        <f t="shared" ca="1" si="46"/>
        <v>0</v>
      </c>
      <c r="AL176" s="5">
        <f t="shared" ca="1" si="47"/>
        <v>0</v>
      </c>
      <c r="AM176" s="5">
        <f t="shared" ca="1" si="48"/>
        <v>0</v>
      </c>
      <c r="AN176" s="5" t="str">
        <f>IF(Demand!BE185="Yes","Yes","")</f>
        <v/>
      </c>
      <c r="AP176" s="36" t="str">
        <f ca="1">Demand!B185</f>
        <v xml:space="preserve"> </v>
      </c>
      <c r="AQ176" t="str">
        <f ca="1">IF(TEXT(Demand!D185,"MMM")&lt;&gt;TEXT(Demand!D184,"MMM"),TEXT(Demand!D185,"MMM"),"")</f>
        <v/>
      </c>
      <c r="AT176" s="5">
        <f t="shared" ca="1" si="49"/>
        <v>0</v>
      </c>
      <c r="BQ176">
        <f ca="1">IF($AN176="",OFFSET(Demand!$A$13,ROW(A173)-1,4+((QUOTIENT(COLUMN(BQ$2)-69,3))*5)+MOD(COLUMN(BQ$2),3),1,1),"")</f>
        <v>0</v>
      </c>
      <c r="BR176">
        <f ca="1">IF($AN176="",OFFSET(Demand!$A$13,ROW(B173)-1,4+((QUOTIENT(COLUMN(BR$2)-69,3))*5)+MOD(COLUMN(BR$2),3),1,1),"")</f>
        <v>0</v>
      </c>
      <c r="BS176">
        <f ca="1">IF($AN176="",OFFSET(Demand!$A$13,ROW(C173)-1,4+((QUOTIENT(COLUMN(BS$2)-69,3))*5)+MOD(COLUMN(BS$2),3),1,1),"")</f>
        <v>0</v>
      </c>
      <c r="BT176">
        <f ca="1">IF($AN176="",OFFSET(Demand!$A$13,ROW(D173)-1,4+((QUOTIENT(COLUMN(BT$2)-69,3))*5)+MOD(COLUMN(BT$2),3),1,1),"")</f>
        <v>0</v>
      </c>
      <c r="BU176">
        <f ca="1">IF($AN176="",OFFSET(Demand!$A$13,ROW(E173)-1,4+((QUOTIENT(COLUMN(BU$2)-69,3))*5)+MOD(COLUMN(BU$2),3),1,1),"")</f>
        <v>0</v>
      </c>
      <c r="BV176">
        <f ca="1">IF($AN176="",OFFSET(Demand!$A$13,ROW(F173)-1,4+((QUOTIENT(COLUMN(BV$2)-69,3))*5)+MOD(COLUMN(BV$2),3),1,1),"")</f>
        <v>0</v>
      </c>
      <c r="BW176">
        <f ca="1">IF($AN176="",OFFSET(Demand!$A$13,ROW(G173)-1,4+((QUOTIENT(COLUMN(BW$2)-69,3))*5)+MOD(COLUMN(BW$2),3),1,1),"")</f>
        <v>0</v>
      </c>
      <c r="BX176">
        <f ca="1">IF($AN176="",OFFSET(Demand!$A$13,ROW(H173)-1,4+((QUOTIENT(COLUMN(BX$2)-69,3))*5)+MOD(COLUMN(BX$2),3),1,1),"")</f>
        <v>0</v>
      </c>
      <c r="BY176">
        <f ca="1">IF($AN176="",OFFSET(Demand!$A$13,ROW(I173)-1,4+((QUOTIENT(COLUMN(BY$2)-69,3))*5)+MOD(COLUMN(BY$2),3),1,1),"")</f>
        <v>0</v>
      </c>
      <c r="BZ176">
        <f ca="1">IF($AN176="",OFFSET(Demand!$A$13,ROW(J173)-1,4+((QUOTIENT(COLUMN(BZ$2)-69,3))*5)+MOD(COLUMN(BZ$2),3),1,1),"")</f>
        <v>0</v>
      </c>
      <c r="CA176">
        <f ca="1">IF($AN176="",OFFSET(Demand!$A$13,ROW(K173)-1,4+((QUOTIENT(COLUMN(CA$2)-69,3))*5)+MOD(COLUMN(CA$2),3),1,1),"")</f>
        <v>0</v>
      </c>
      <c r="CB176">
        <f ca="1">IF($AN176="",OFFSET(Demand!$A$13,ROW(L173)-1,4+((QUOTIENT(COLUMN(CB$2)-69,3))*5)+MOD(COLUMN(CB$2),3),1,1),"")</f>
        <v>0</v>
      </c>
      <c r="CC176">
        <f ca="1">IF($AN176="",OFFSET(Demand!$A$13,ROW(M173)-1,4+((QUOTIENT(COLUMN(CC$2)-69,3))*5)+MOD(COLUMN(CC$2),3),1,1),"")</f>
        <v>0</v>
      </c>
      <c r="CD176">
        <f ca="1">IF($AN176="",OFFSET(Demand!$A$13,ROW(N173)-1,4+((QUOTIENT(COLUMN(CD$2)-69,3))*5)+MOD(COLUMN(CD$2),3),1,1),"")</f>
        <v>0</v>
      </c>
      <c r="CE176">
        <f ca="1">IF($AN176="",OFFSET(Demand!$A$13,ROW(O173)-1,4+((QUOTIENT(COLUMN(CE$2)-69,3))*5)+MOD(COLUMN(CE$2),3),1,1),"")</f>
        <v>0</v>
      </c>
      <c r="CF176">
        <f ca="1">IF($AN176="",OFFSET(Demand!$A$13,ROW(P173)-1,4+((QUOTIENT(COLUMN(CF$2)-69,3))*5)+MOD(COLUMN(CF$2),3),1,1),"")</f>
        <v>0</v>
      </c>
      <c r="CG176">
        <f ca="1">IF($AN176="",OFFSET(Demand!$A$13,ROW(Q173)-1,4+((QUOTIENT(COLUMN(CG$2)-69,3))*5)+MOD(COLUMN(CG$2),3),1,1),"")</f>
        <v>0</v>
      </c>
      <c r="CH176">
        <f ca="1">IF($AN176="",OFFSET(Demand!$A$13,ROW(R173)-1,4+((QUOTIENT(COLUMN(CH$2)-69,3))*5)+MOD(COLUMN(CH$2),3),1,1),"")</f>
        <v>0</v>
      </c>
      <c r="CI176">
        <f ca="1">IF($AN176="",OFFSET(Demand!$A$13,ROW(S173)-1,4+((QUOTIENT(COLUMN(CI$2)-69,3))*5)+MOD(COLUMN(CI$2),3),1,1),"")</f>
        <v>0</v>
      </c>
      <c r="CJ176">
        <f ca="1">IF($AN176="",OFFSET(Demand!$A$13,ROW(T173)-1,4+((QUOTIENT(COLUMN(CJ$2)-69,3))*5)+MOD(COLUMN(CJ$2),3),1,1),"")</f>
        <v>0</v>
      </c>
      <c r="CK176">
        <f ca="1">IF($AN176="",OFFSET(Demand!$A$13,ROW(U173)-1,4+((QUOTIENT(COLUMN(CK$2)-69,3))*5)+MOD(COLUMN(CK$2),3),1,1),"")</f>
        <v>0</v>
      </c>
      <c r="CL176">
        <f ca="1">IF($AN176="",OFFSET(Demand!$A$13,ROW(V173)-1,4+((QUOTIENT(COLUMN(CL$2)-69,3))*5)+MOD(COLUMN(CL$2),3),1,1),"")</f>
        <v>0</v>
      </c>
      <c r="CM176">
        <f ca="1">IF($AN176="",OFFSET(Demand!$A$13,ROW(W173)-1,4+((QUOTIENT(COLUMN(CM$2)-69,3))*5)+MOD(COLUMN(CM$2),3),1,1),"")</f>
        <v>0</v>
      </c>
      <c r="CN176">
        <f ca="1">IF($AN176="",OFFSET(Demand!$A$13,ROW(X173)-1,4+((QUOTIENT(COLUMN(CN$2)-69,3))*5)+MOD(COLUMN(CN$2),3),1,1),"")</f>
        <v>0</v>
      </c>
      <c r="CO176">
        <f ca="1">IF($AN176="",OFFSET(Demand!$A$13,ROW(Y173)-1,4+((QUOTIENT(COLUMN(CO$2)-69,3))*5)+MOD(COLUMN(CO$2),3),1,1),"")</f>
        <v>0</v>
      </c>
      <c r="CP176">
        <f ca="1">IF($AN176="",OFFSET(Demand!$A$13,ROW(Z173)-1,4+((QUOTIENT(COLUMN(CP$2)-69,3))*5)+MOD(COLUMN(CP$2),3),1,1),"")</f>
        <v>0</v>
      </c>
      <c r="CQ176">
        <f ca="1">IF($AN176="",OFFSET(Demand!$A$13,ROW(AA173)-1,4+((QUOTIENT(COLUMN(CQ$2)-69,3))*5)+MOD(COLUMN(CQ$2),3),1,1),"")</f>
        <v>0</v>
      </c>
      <c r="CR176">
        <f ca="1">IF($AN176="",OFFSET(Demand!$A$13,ROW(AB173)-1,4+((QUOTIENT(COLUMN(CR$2)-69,3))*5)+MOD(COLUMN(CR$2),3),1,1),"")</f>
        <v>0</v>
      </c>
      <c r="CS176">
        <f ca="1">IF($AN176="",OFFSET(Demand!$A$13,ROW(AC173)-1,4+((QUOTIENT(COLUMN(CS$2)-69,3))*5)+MOD(COLUMN(CS$2),3),1,1),"")</f>
        <v>0</v>
      </c>
      <c r="CT176">
        <f ca="1">IF($AN176="",OFFSET(Demand!$A$13,ROW(AD173)-1,4+((QUOTIENT(COLUMN(CT$2)-69,3))*5)+MOD(COLUMN(CT$2),3),1,1),"")</f>
        <v>0</v>
      </c>
      <c r="CW176" s="5">
        <f ca="1">SUM(OFFSET(Demand!$H$43,ROW(A173)-1,(COLUMN(A173)-1)*5,1,1))*N$2</f>
        <v>0</v>
      </c>
      <c r="CX176" s="5">
        <f ca="1">SUM(OFFSET(Demand!$H$43,ROW(B173)-1,(COLUMN(B173)-1)*5,1,1))*O$2</f>
        <v>0</v>
      </c>
      <c r="CY176" s="5">
        <f ca="1">SUM(OFFSET(Demand!$H$43,ROW(C173)-1,(COLUMN(C173)-1)*5,1,1))*P$2</f>
        <v>0</v>
      </c>
      <c r="CZ176" s="5">
        <f ca="1">SUM(OFFSET(Demand!$H$43,ROW(D173)-1,(COLUMN(D173)-1)*5,1,1))*Q$2</f>
        <v>0</v>
      </c>
      <c r="DA176" s="5">
        <f ca="1">SUM(OFFSET(Demand!$H$43,ROW(E173)-1,(COLUMN(E173)-1)*5,1,1))*R$2</f>
        <v>0</v>
      </c>
      <c r="DB176" s="5">
        <f ca="1">SUM(OFFSET(Demand!$H$43,ROW(F173)-1,(COLUMN(F173)-1)*5,1,1))*S$2</f>
        <v>0</v>
      </c>
      <c r="DC176" s="5">
        <f ca="1">SUM(OFFSET(Demand!$H$43,ROW(G173)-1,(COLUMN(G173)-1)*5,1,1))*T$2</f>
        <v>0</v>
      </c>
      <c r="DD176" s="5">
        <f ca="1">SUM(OFFSET(Demand!$H$43,ROW(H173)-1,(COLUMN(H173)-1)*5,1,1))*U$2</f>
        <v>0</v>
      </c>
      <c r="DE176" s="5">
        <f ca="1">SUM(OFFSET(Demand!$H$43,ROW(I173)-1,(COLUMN(I173)-1)*5,1,1))*V$2</f>
        <v>0</v>
      </c>
      <c r="DF176" s="5">
        <f ca="1">SUM(OFFSET(Demand!$H$43,ROW(J173)-1,(COLUMN(J173)-1)*5,1,1))*W$2</f>
        <v>0</v>
      </c>
      <c r="DG176" s="5">
        <f ca="1">IF(OR(AN176&lt;&gt;"",AND('Demand adjustments for Covid'!$F$9="Yes",'Demand adjustments for Covid'!$F$20="Yes")),"",SUM(CW176:DF176))</f>
        <v>0</v>
      </c>
    </row>
    <row r="177" spans="1:111" x14ac:dyDescent="0.25">
      <c r="A177" s="5">
        <f t="shared" ca="1" si="43"/>
        <v>1</v>
      </c>
      <c r="B177" s="5">
        <f ca="1">COUNTBLANK(OFFSET(Demand!$I186,0,(COLUMN(A174)-1)*5,1,1))</f>
        <v>1</v>
      </c>
      <c r="C177" s="5">
        <f ca="1">COUNTBLANK(OFFSET(Demand!$I186,0,(COLUMN(B174)-1)*5,1,1))</f>
        <v>1</v>
      </c>
      <c r="D177" s="5">
        <f ca="1">COUNTBLANK(OFFSET(Demand!$I186,0,(COLUMN(C174)-1)*5,1,1))</f>
        <v>1</v>
      </c>
      <c r="E177" s="5">
        <f ca="1">COUNTBLANK(OFFSET(Demand!$I186,0,(COLUMN(D174)-1)*5,1,1))</f>
        <v>1</v>
      </c>
      <c r="F177" s="5">
        <f ca="1">COUNTBLANK(OFFSET(Demand!$I186,0,(COLUMN(E174)-1)*5,1,1))</f>
        <v>1</v>
      </c>
      <c r="G177" s="5">
        <f ca="1">COUNTBLANK(OFFSET(Demand!$I186,0,(COLUMN(F174)-1)*5,1,1))</f>
        <v>1</v>
      </c>
      <c r="H177" s="5">
        <f ca="1">COUNTBLANK(OFFSET(Demand!$I186,0,(COLUMN(G174)-1)*5,1,1))</f>
        <v>1</v>
      </c>
      <c r="I177" s="5">
        <f ca="1">COUNTBLANK(OFFSET(Demand!$I186,0,(COLUMN(H174)-1)*5,1,1))</f>
        <v>1</v>
      </c>
      <c r="J177" s="5">
        <f ca="1">COUNTBLANK(OFFSET(Demand!$I186,0,(COLUMN(I174)-1)*5,1,1))</f>
        <v>1</v>
      </c>
      <c r="K177" s="5">
        <f ca="1">COUNTBLANK(OFFSET(Demand!$I186,0,(COLUMN(J174)-1)*5,1,1))</f>
        <v>1</v>
      </c>
      <c r="N177" s="5">
        <f ca="1">SUM(OFFSET(Demand!$E186,0,(COLUMN(A174)-1)*5,1,3))*N$2</f>
        <v>0</v>
      </c>
      <c r="O177" s="5">
        <f ca="1">SUM(OFFSET(Demand!$E186,0,(COLUMN(B174)-1)*5,1,3))*O$2</f>
        <v>0</v>
      </c>
      <c r="P177" s="5">
        <f ca="1">SUM(OFFSET(Demand!$E186,0,(COLUMN(C174)-1)*5,1,3))*P$2</f>
        <v>0</v>
      </c>
      <c r="Q177" s="5">
        <f ca="1">SUM(OFFSET(Demand!$E186,0,(COLUMN(D174)-1)*5,1,3))*Q$2</f>
        <v>0</v>
      </c>
      <c r="R177" s="5">
        <f ca="1">SUM(OFFSET(Demand!$E186,0,(COLUMN(E174)-1)*5,1,3))*R$2</f>
        <v>0</v>
      </c>
      <c r="S177" s="5">
        <f ca="1">SUM(OFFSET(Demand!$E186,0,(COLUMN(F174)-1)*5,1,3))*S$2</f>
        <v>0</v>
      </c>
      <c r="T177" s="5">
        <f ca="1">SUM(OFFSET(Demand!$E186,0,(COLUMN(G174)-1)*5,1,3))*T$2</f>
        <v>0</v>
      </c>
      <c r="U177" s="5">
        <f ca="1">SUM(OFFSET(Demand!$E186,0,(COLUMN(H174)-1)*5,1,3))*U$2</f>
        <v>0</v>
      </c>
      <c r="V177" s="5">
        <f ca="1">SUM(OFFSET(Demand!$E186,0,(COLUMN(I174)-1)*5,1,3))*V$2</f>
        <v>0</v>
      </c>
      <c r="W177" s="5">
        <f ca="1">SUM(OFFSET(Demand!$E186,0,(COLUMN(J174)-1)*5,1,3))*W$2</f>
        <v>0</v>
      </c>
      <c r="X177" s="5">
        <f t="shared" ca="1" si="44"/>
        <v>0</v>
      </c>
      <c r="Y177">
        <f t="shared" ca="1" si="45"/>
        <v>0</v>
      </c>
      <c r="Z177" s="5">
        <f ca="1">SUM(OFFSET(Demand!$H186,0,(COLUMN(A174)-1)*5,1,1))*N$2</f>
        <v>0</v>
      </c>
      <c r="AA177" s="5">
        <f ca="1">SUM(OFFSET(Demand!$H186,0,(COLUMN(B174)-1)*5,1,1))*O$2</f>
        <v>0</v>
      </c>
      <c r="AB177" s="5">
        <f ca="1">SUM(OFFSET(Demand!$H186,0,(COLUMN(C174)-1)*5,1,1))*P$2</f>
        <v>0</v>
      </c>
      <c r="AC177" s="5">
        <f ca="1">SUM(OFFSET(Demand!$H186,0,(COLUMN(D174)-1)*5,1,1))*Q$2</f>
        <v>0</v>
      </c>
      <c r="AD177" s="5">
        <f ca="1">SUM(OFFSET(Demand!$H186,0,(COLUMN(E174)-1)*5,1,1))*R$2</f>
        <v>0</v>
      </c>
      <c r="AE177" s="5">
        <f ca="1">SUM(OFFSET(Demand!$H186,0,(COLUMN(F174)-1)*5,1,1))*S$2</f>
        <v>0</v>
      </c>
      <c r="AF177" s="5">
        <f ca="1">SUM(OFFSET(Demand!$H186,0,(COLUMN(G174)-1)*5,1,1))*T$2</f>
        <v>0</v>
      </c>
      <c r="AG177" s="5">
        <f ca="1">SUM(OFFSET(Demand!$H186,0,(COLUMN(H174)-1)*5,1,1))*U$2</f>
        <v>0</v>
      </c>
      <c r="AH177" s="5">
        <f ca="1">SUM(OFFSET(Demand!$H186,0,(COLUMN(I174)-1)*5,1,1))*V$2</f>
        <v>0</v>
      </c>
      <c r="AI177" s="5">
        <f ca="1">SUM(OFFSET(Demand!$H186,0,(COLUMN(J174)-1)*5,1,1))*W$2</f>
        <v>0</v>
      </c>
      <c r="AJ177" s="5">
        <f t="shared" ca="1" si="46"/>
        <v>0</v>
      </c>
      <c r="AL177" s="5">
        <f t="shared" ca="1" si="47"/>
        <v>0</v>
      </c>
      <c r="AM177" s="5">
        <f t="shared" ca="1" si="48"/>
        <v>0</v>
      </c>
      <c r="AN177" s="5" t="str">
        <f>IF(Demand!BE186="Yes","Yes","")</f>
        <v/>
      </c>
      <c r="AP177" s="36" t="str">
        <f ca="1">Demand!B186</f>
        <v xml:space="preserve"> </v>
      </c>
      <c r="AQ177" t="str">
        <f ca="1">IF(TEXT(Demand!D186,"MMM")&lt;&gt;TEXT(Demand!D185,"MMM"),TEXT(Demand!D186,"MMM"),"")</f>
        <v/>
      </c>
      <c r="AT177" s="5">
        <f t="shared" ca="1" si="49"/>
        <v>0</v>
      </c>
      <c r="BQ177">
        <f ca="1">IF($AN177="",OFFSET(Demand!$A$13,ROW(A174)-1,4+((QUOTIENT(COLUMN(BQ$2)-69,3))*5)+MOD(COLUMN(BQ$2),3),1,1),"")</f>
        <v>0</v>
      </c>
      <c r="BR177">
        <f ca="1">IF($AN177="",OFFSET(Demand!$A$13,ROW(B174)-1,4+((QUOTIENT(COLUMN(BR$2)-69,3))*5)+MOD(COLUMN(BR$2),3),1,1),"")</f>
        <v>0</v>
      </c>
      <c r="BS177">
        <f ca="1">IF($AN177="",OFFSET(Demand!$A$13,ROW(C174)-1,4+((QUOTIENT(COLUMN(BS$2)-69,3))*5)+MOD(COLUMN(BS$2),3),1,1),"")</f>
        <v>0</v>
      </c>
      <c r="BT177">
        <f ca="1">IF($AN177="",OFFSET(Demand!$A$13,ROW(D174)-1,4+((QUOTIENT(COLUMN(BT$2)-69,3))*5)+MOD(COLUMN(BT$2),3),1,1),"")</f>
        <v>0</v>
      </c>
      <c r="BU177">
        <f ca="1">IF($AN177="",OFFSET(Demand!$A$13,ROW(E174)-1,4+((QUOTIENT(COLUMN(BU$2)-69,3))*5)+MOD(COLUMN(BU$2),3),1,1),"")</f>
        <v>0</v>
      </c>
      <c r="BV177">
        <f ca="1">IF($AN177="",OFFSET(Demand!$A$13,ROW(F174)-1,4+((QUOTIENT(COLUMN(BV$2)-69,3))*5)+MOD(COLUMN(BV$2),3),1,1),"")</f>
        <v>0</v>
      </c>
      <c r="BW177">
        <f ca="1">IF($AN177="",OFFSET(Demand!$A$13,ROW(G174)-1,4+((QUOTIENT(COLUMN(BW$2)-69,3))*5)+MOD(COLUMN(BW$2),3),1,1),"")</f>
        <v>0</v>
      </c>
      <c r="BX177">
        <f ca="1">IF($AN177="",OFFSET(Demand!$A$13,ROW(H174)-1,4+((QUOTIENT(COLUMN(BX$2)-69,3))*5)+MOD(COLUMN(BX$2),3),1,1),"")</f>
        <v>0</v>
      </c>
      <c r="BY177">
        <f ca="1">IF($AN177="",OFFSET(Demand!$A$13,ROW(I174)-1,4+((QUOTIENT(COLUMN(BY$2)-69,3))*5)+MOD(COLUMN(BY$2),3),1,1),"")</f>
        <v>0</v>
      </c>
      <c r="BZ177">
        <f ca="1">IF($AN177="",OFFSET(Demand!$A$13,ROW(J174)-1,4+((QUOTIENT(COLUMN(BZ$2)-69,3))*5)+MOD(COLUMN(BZ$2),3),1,1),"")</f>
        <v>0</v>
      </c>
      <c r="CA177">
        <f ca="1">IF($AN177="",OFFSET(Demand!$A$13,ROW(K174)-1,4+((QUOTIENT(COLUMN(CA$2)-69,3))*5)+MOD(COLUMN(CA$2),3),1,1),"")</f>
        <v>0</v>
      </c>
      <c r="CB177">
        <f ca="1">IF($AN177="",OFFSET(Demand!$A$13,ROW(L174)-1,4+((QUOTIENT(COLUMN(CB$2)-69,3))*5)+MOD(COLUMN(CB$2),3),1,1),"")</f>
        <v>0</v>
      </c>
      <c r="CC177">
        <f ca="1">IF($AN177="",OFFSET(Demand!$A$13,ROW(M174)-1,4+((QUOTIENT(COLUMN(CC$2)-69,3))*5)+MOD(COLUMN(CC$2),3),1,1),"")</f>
        <v>0</v>
      </c>
      <c r="CD177">
        <f ca="1">IF($AN177="",OFFSET(Demand!$A$13,ROW(N174)-1,4+((QUOTIENT(COLUMN(CD$2)-69,3))*5)+MOD(COLUMN(CD$2),3),1,1),"")</f>
        <v>0</v>
      </c>
      <c r="CE177">
        <f ca="1">IF($AN177="",OFFSET(Demand!$A$13,ROW(O174)-1,4+((QUOTIENT(COLUMN(CE$2)-69,3))*5)+MOD(COLUMN(CE$2),3),1,1),"")</f>
        <v>0</v>
      </c>
      <c r="CF177">
        <f ca="1">IF($AN177="",OFFSET(Demand!$A$13,ROW(P174)-1,4+((QUOTIENT(COLUMN(CF$2)-69,3))*5)+MOD(COLUMN(CF$2),3),1,1),"")</f>
        <v>0</v>
      </c>
      <c r="CG177">
        <f ca="1">IF($AN177="",OFFSET(Demand!$A$13,ROW(Q174)-1,4+((QUOTIENT(COLUMN(CG$2)-69,3))*5)+MOD(COLUMN(CG$2),3),1,1),"")</f>
        <v>0</v>
      </c>
      <c r="CH177">
        <f ca="1">IF($AN177="",OFFSET(Demand!$A$13,ROW(R174)-1,4+((QUOTIENT(COLUMN(CH$2)-69,3))*5)+MOD(COLUMN(CH$2),3),1,1),"")</f>
        <v>0</v>
      </c>
      <c r="CI177">
        <f ca="1">IF($AN177="",OFFSET(Demand!$A$13,ROW(S174)-1,4+((QUOTIENT(COLUMN(CI$2)-69,3))*5)+MOD(COLUMN(CI$2),3),1,1),"")</f>
        <v>0</v>
      </c>
      <c r="CJ177">
        <f ca="1">IF($AN177="",OFFSET(Demand!$A$13,ROW(T174)-1,4+((QUOTIENT(COLUMN(CJ$2)-69,3))*5)+MOD(COLUMN(CJ$2),3),1,1),"")</f>
        <v>0</v>
      </c>
      <c r="CK177">
        <f ca="1">IF($AN177="",OFFSET(Demand!$A$13,ROW(U174)-1,4+((QUOTIENT(COLUMN(CK$2)-69,3))*5)+MOD(COLUMN(CK$2),3),1,1),"")</f>
        <v>0</v>
      </c>
      <c r="CL177">
        <f ca="1">IF($AN177="",OFFSET(Demand!$A$13,ROW(V174)-1,4+((QUOTIENT(COLUMN(CL$2)-69,3))*5)+MOD(COLUMN(CL$2),3),1,1),"")</f>
        <v>0</v>
      </c>
      <c r="CM177">
        <f ca="1">IF($AN177="",OFFSET(Demand!$A$13,ROW(W174)-1,4+((QUOTIENT(COLUMN(CM$2)-69,3))*5)+MOD(COLUMN(CM$2),3),1,1),"")</f>
        <v>0</v>
      </c>
      <c r="CN177">
        <f ca="1">IF($AN177="",OFFSET(Demand!$A$13,ROW(X174)-1,4+((QUOTIENT(COLUMN(CN$2)-69,3))*5)+MOD(COLUMN(CN$2),3),1,1),"")</f>
        <v>0</v>
      </c>
      <c r="CO177">
        <f ca="1">IF($AN177="",OFFSET(Demand!$A$13,ROW(Y174)-1,4+((QUOTIENT(COLUMN(CO$2)-69,3))*5)+MOD(COLUMN(CO$2),3),1,1),"")</f>
        <v>0</v>
      </c>
      <c r="CP177">
        <f ca="1">IF($AN177="",OFFSET(Demand!$A$13,ROW(Z174)-1,4+((QUOTIENT(COLUMN(CP$2)-69,3))*5)+MOD(COLUMN(CP$2),3),1,1),"")</f>
        <v>0</v>
      </c>
      <c r="CQ177">
        <f ca="1">IF($AN177="",OFFSET(Demand!$A$13,ROW(AA174)-1,4+((QUOTIENT(COLUMN(CQ$2)-69,3))*5)+MOD(COLUMN(CQ$2),3),1,1),"")</f>
        <v>0</v>
      </c>
      <c r="CR177">
        <f ca="1">IF($AN177="",OFFSET(Demand!$A$13,ROW(AB174)-1,4+((QUOTIENT(COLUMN(CR$2)-69,3))*5)+MOD(COLUMN(CR$2),3),1,1),"")</f>
        <v>0</v>
      </c>
      <c r="CS177">
        <f ca="1">IF($AN177="",OFFSET(Demand!$A$13,ROW(AC174)-1,4+((QUOTIENT(COLUMN(CS$2)-69,3))*5)+MOD(COLUMN(CS$2),3),1,1),"")</f>
        <v>0</v>
      </c>
      <c r="CT177">
        <f ca="1">IF($AN177="",OFFSET(Demand!$A$13,ROW(AD174)-1,4+((QUOTIENT(COLUMN(CT$2)-69,3))*5)+MOD(COLUMN(CT$2),3),1,1),"")</f>
        <v>0</v>
      </c>
      <c r="CW177" s="5">
        <f ca="1">SUM(OFFSET(Demand!$H$43,ROW(A174)-1,(COLUMN(A174)-1)*5,1,1))*N$2</f>
        <v>0</v>
      </c>
      <c r="CX177" s="5">
        <f ca="1">SUM(OFFSET(Demand!$H$43,ROW(B174)-1,(COLUMN(B174)-1)*5,1,1))*O$2</f>
        <v>0</v>
      </c>
      <c r="CY177" s="5">
        <f ca="1">SUM(OFFSET(Demand!$H$43,ROW(C174)-1,(COLUMN(C174)-1)*5,1,1))*P$2</f>
        <v>0</v>
      </c>
      <c r="CZ177" s="5">
        <f ca="1">SUM(OFFSET(Demand!$H$43,ROW(D174)-1,(COLUMN(D174)-1)*5,1,1))*Q$2</f>
        <v>0</v>
      </c>
      <c r="DA177" s="5">
        <f ca="1">SUM(OFFSET(Demand!$H$43,ROW(E174)-1,(COLUMN(E174)-1)*5,1,1))*R$2</f>
        <v>0</v>
      </c>
      <c r="DB177" s="5">
        <f ca="1">SUM(OFFSET(Demand!$H$43,ROW(F174)-1,(COLUMN(F174)-1)*5,1,1))*S$2</f>
        <v>0</v>
      </c>
      <c r="DC177" s="5">
        <f ca="1">SUM(OFFSET(Demand!$H$43,ROW(G174)-1,(COLUMN(G174)-1)*5,1,1))*T$2</f>
        <v>0</v>
      </c>
      <c r="DD177" s="5">
        <f ca="1">SUM(OFFSET(Demand!$H$43,ROW(H174)-1,(COLUMN(H174)-1)*5,1,1))*U$2</f>
        <v>0</v>
      </c>
      <c r="DE177" s="5">
        <f ca="1">SUM(OFFSET(Demand!$H$43,ROW(I174)-1,(COLUMN(I174)-1)*5,1,1))*V$2</f>
        <v>0</v>
      </c>
      <c r="DF177" s="5">
        <f ca="1">SUM(OFFSET(Demand!$H$43,ROW(J174)-1,(COLUMN(J174)-1)*5,1,1))*W$2</f>
        <v>0</v>
      </c>
      <c r="DG177" s="5">
        <f ca="1">IF(OR(AN177&lt;&gt;"",AND('Demand adjustments for Covid'!$F$9="Yes",'Demand adjustments for Covid'!$F$20="Yes")),"",SUM(CW177:DF177))</f>
        <v>0</v>
      </c>
    </row>
    <row r="178" spans="1:111" x14ac:dyDescent="0.25">
      <c r="A178" s="5">
        <f t="shared" ca="1" si="43"/>
        <v>1</v>
      </c>
      <c r="B178" s="5">
        <f ca="1">COUNTBLANK(OFFSET(Demand!$I187,0,(COLUMN(A175)-1)*5,1,1))</f>
        <v>1</v>
      </c>
      <c r="C178" s="5">
        <f ca="1">COUNTBLANK(OFFSET(Demand!$I187,0,(COLUMN(B175)-1)*5,1,1))</f>
        <v>1</v>
      </c>
      <c r="D178" s="5">
        <f ca="1">COUNTBLANK(OFFSET(Demand!$I187,0,(COLUMN(C175)-1)*5,1,1))</f>
        <v>1</v>
      </c>
      <c r="E178" s="5">
        <f ca="1">COUNTBLANK(OFFSET(Demand!$I187,0,(COLUMN(D175)-1)*5,1,1))</f>
        <v>1</v>
      </c>
      <c r="F178" s="5">
        <f ca="1">COUNTBLANK(OFFSET(Demand!$I187,0,(COLUMN(E175)-1)*5,1,1))</f>
        <v>1</v>
      </c>
      <c r="G178" s="5">
        <f ca="1">COUNTBLANK(OFFSET(Demand!$I187,0,(COLUMN(F175)-1)*5,1,1))</f>
        <v>1</v>
      </c>
      <c r="H178" s="5">
        <f ca="1">COUNTBLANK(OFFSET(Demand!$I187,0,(COLUMN(G175)-1)*5,1,1))</f>
        <v>1</v>
      </c>
      <c r="I178" s="5">
        <f ca="1">COUNTBLANK(OFFSET(Demand!$I187,0,(COLUMN(H175)-1)*5,1,1))</f>
        <v>1</v>
      </c>
      <c r="J178" s="5">
        <f ca="1">COUNTBLANK(OFFSET(Demand!$I187,0,(COLUMN(I175)-1)*5,1,1))</f>
        <v>1</v>
      </c>
      <c r="K178" s="5">
        <f ca="1">COUNTBLANK(OFFSET(Demand!$I187,0,(COLUMN(J175)-1)*5,1,1))</f>
        <v>1</v>
      </c>
      <c r="N178" s="5">
        <f ca="1">SUM(OFFSET(Demand!$E187,0,(COLUMN(A175)-1)*5,1,3))*N$2</f>
        <v>0</v>
      </c>
      <c r="O178" s="5">
        <f ca="1">SUM(OFFSET(Demand!$E187,0,(COLUMN(B175)-1)*5,1,3))*O$2</f>
        <v>0</v>
      </c>
      <c r="P178" s="5">
        <f ca="1">SUM(OFFSET(Demand!$E187,0,(COLUMN(C175)-1)*5,1,3))*P$2</f>
        <v>0</v>
      </c>
      <c r="Q178" s="5">
        <f ca="1">SUM(OFFSET(Demand!$E187,0,(COLUMN(D175)-1)*5,1,3))*Q$2</f>
        <v>0</v>
      </c>
      <c r="R178" s="5">
        <f ca="1">SUM(OFFSET(Demand!$E187,0,(COLUMN(E175)-1)*5,1,3))*R$2</f>
        <v>0</v>
      </c>
      <c r="S178" s="5">
        <f ca="1">SUM(OFFSET(Demand!$E187,0,(COLUMN(F175)-1)*5,1,3))*S$2</f>
        <v>0</v>
      </c>
      <c r="T178" s="5">
        <f ca="1">SUM(OFFSET(Demand!$E187,0,(COLUMN(G175)-1)*5,1,3))*T$2</f>
        <v>0</v>
      </c>
      <c r="U178" s="5">
        <f ca="1">SUM(OFFSET(Demand!$E187,0,(COLUMN(H175)-1)*5,1,3))*U$2</f>
        <v>0</v>
      </c>
      <c r="V178" s="5">
        <f ca="1">SUM(OFFSET(Demand!$E187,0,(COLUMN(I175)-1)*5,1,3))*V$2</f>
        <v>0</v>
      </c>
      <c r="W178" s="5">
        <f ca="1">SUM(OFFSET(Demand!$E187,0,(COLUMN(J175)-1)*5,1,3))*W$2</f>
        <v>0</v>
      </c>
      <c r="X178" s="5">
        <f t="shared" ca="1" si="44"/>
        <v>0</v>
      </c>
      <c r="Y178">
        <f t="shared" ca="1" si="45"/>
        <v>0</v>
      </c>
      <c r="Z178" s="5">
        <f ca="1">SUM(OFFSET(Demand!$H187,0,(COLUMN(A175)-1)*5,1,1))*N$2</f>
        <v>0</v>
      </c>
      <c r="AA178" s="5">
        <f ca="1">SUM(OFFSET(Demand!$H187,0,(COLUMN(B175)-1)*5,1,1))*O$2</f>
        <v>0</v>
      </c>
      <c r="AB178" s="5">
        <f ca="1">SUM(OFFSET(Demand!$H187,0,(COLUMN(C175)-1)*5,1,1))*P$2</f>
        <v>0</v>
      </c>
      <c r="AC178" s="5">
        <f ca="1">SUM(OFFSET(Demand!$H187,0,(COLUMN(D175)-1)*5,1,1))*Q$2</f>
        <v>0</v>
      </c>
      <c r="AD178" s="5">
        <f ca="1">SUM(OFFSET(Demand!$H187,0,(COLUMN(E175)-1)*5,1,1))*R$2</f>
        <v>0</v>
      </c>
      <c r="AE178" s="5">
        <f ca="1">SUM(OFFSET(Demand!$H187,0,(COLUMN(F175)-1)*5,1,1))*S$2</f>
        <v>0</v>
      </c>
      <c r="AF178" s="5">
        <f ca="1">SUM(OFFSET(Demand!$H187,0,(COLUMN(G175)-1)*5,1,1))*T$2</f>
        <v>0</v>
      </c>
      <c r="AG178" s="5">
        <f ca="1">SUM(OFFSET(Demand!$H187,0,(COLUMN(H175)-1)*5,1,1))*U$2</f>
        <v>0</v>
      </c>
      <c r="AH178" s="5">
        <f ca="1">SUM(OFFSET(Demand!$H187,0,(COLUMN(I175)-1)*5,1,1))*V$2</f>
        <v>0</v>
      </c>
      <c r="AI178" s="5">
        <f ca="1">SUM(OFFSET(Demand!$H187,0,(COLUMN(J175)-1)*5,1,1))*W$2</f>
        <v>0</v>
      </c>
      <c r="AJ178" s="5">
        <f t="shared" ca="1" si="46"/>
        <v>0</v>
      </c>
      <c r="AL178" s="5">
        <f t="shared" ca="1" si="47"/>
        <v>0</v>
      </c>
      <c r="AM178" s="5">
        <f t="shared" ca="1" si="48"/>
        <v>0</v>
      </c>
      <c r="AN178" s="5" t="str">
        <f>IF(Demand!BE187="Yes","Yes","")</f>
        <v/>
      </c>
      <c r="AP178" s="36" t="str">
        <f ca="1">Demand!B187</f>
        <v xml:space="preserve"> </v>
      </c>
      <c r="AQ178" t="str">
        <f ca="1">IF(TEXT(Demand!D187,"MMM")&lt;&gt;TEXT(Demand!D186,"MMM"),TEXT(Demand!D187,"MMM"),"")</f>
        <v/>
      </c>
      <c r="AT178" s="5">
        <f t="shared" ca="1" si="49"/>
        <v>0</v>
      </c>
      <c r="BQ178">
        <f ca="1">IF($AN178="",OFFSET(Demand!$A$13,ROW(A175)-1,4+((QUOTIENT(COLUMN(BQ$2)-69,3))*5)+MOD(COLUMN(BQ$2),3),1,1),"")</f>
        <v>0</v>
      </c>
      <c r="BR178">
        <f ca="1">IF($AN178="",OFFSET(Demand!$A$13,ROW(B175)-1,4+((QUOTIENT(COLUMN(BR$2)-69,3))*5)+MOD(COLUMN(BR$2),3),1,1),"")</f>
        <v>0</v>
      </c>
      <c r="BS178">
        <f ca="1">IF($AN178="",OFFSET(Demand!$A$13,ROW(C175)-1,4+((QUOTIENT(COLUMN(BS$2)-69,3))*5)+MOD(COLUMN(BS$2),3),1,1),"")</f>
        <v>0</v>
      </c>
      <c r="BT178">
        <f ca="1">IF($AN178="",OFFSET(Demand!$A$13,ROW(D175)-1,4+((QUOTIENT(COLUMN(BT$2)-69,3))*5)+MOD(COLUMN(BT$2),3),1,1),"")</f>
        <v>0</v>
      </c>
      <c r="BU178">
        <f ca="1">IF($AN178="",OFFSET(Demand!$A$13,ROW(E175)-1,4+((QUOTIENT(COLUMN(BU$2)-69,3))*5)+MOD(COLUMN(BU$2),3),1,1),"")</f>
        <v>0</v>
      </c>
      <c r="BV178">
        <f ca="1">IF($AN178="",OFFSET(Demand!$A$13,ROW(F175)-1,4+((QUOTIENT(COLUMN(BV$2)-69,3))*5)+MOD(COLUMN(BV$2),3),1,1),"")</f>
        <v>0</v>
      </c>
      <c r="BW178">
        <f ca="1">IF($AN178="",OFFSET(Demand!$A$13,ROW(G175)-1,4+((QUOTIENT(COLUMN(BW$2)-69,3))*5)+MOD(COLUMN(BW$2),3),1,1),"")</f>
        <v>0</v>
      </c>
      <c r="BX178">
        <f ca="1">IF($AN178="",OFFSET(Demand!$A$13,ROW(H175)-1,4+((QUOTIENT(COLUMN(BX$2)-69,3))*5)+MOD(COLUMN(BX$2),3),1,1),"")</f>
        <v>0</v>
      </c>
      <c r="BY178">
        <f ca="1">IF($AN178="",OFFSET(Demand!$A$13,ROW(I175)-1,4+((QUOTIENT(COLUMN(BY$2)-69,3))*5)+MOD(COLUMN(BY$2),3),1,1),"")</f>
        <v>0</v>
      </c>
      <c r="BZ178">
        <f ca="1">IF($AN178="",OFFSET(Demand!$A$13,ROW(J175)-1,4+((QUOTIENT(COLUMN(BZ$2)-69,3))*5)+MOD(COLUMN(BZ$2),3),1,1),"")</f>
        <v>0</v>
      </c>
      <c r="CA178">
        <f ca="1">IF($AN178="",OFFSET(Demand!$A$13,ROW(K175)-1,4+((QUOTIENT(COLUMN(CA$2)-69,3))*5)+MOD(COLUMN(CA$2),3),1,1),"")</f>
        <v>0</v>
      </c>
      <c r="CB178">
        <f ca="1">IF($AN178="",OFFSET(Demand!$A$13,ROW(L175)-1,4+((QUOTIENT(COLUMN(CB$2)-69,3))*5)+MOD(COLUMN(CB$2),3),1,1),"")</f>
        <v>0</v>
      </c>
      <c r="CC178">
        <f ca="1">IF($AN178="",OFFSET(Demand!$A$13,ROW(M175)-1,4+((QUOTIENT(COLUMN(CC$2)-69,3))*5)+MOD(COLUMN(CC$2),3),1,1),"")</f>
        <v>0</v>
      </c>
      <c r="CD178">
        <f ca="1">IF($AN178="",OFFSET(Demand!$A$13,ROW(N175)-1,4+((QUOTIENT(COLUMN(CD$2)-69,3))*5)+MOD(COLUMN(CD$2),3),1,1),"")</f>
        <v>0</v>
      </c>
      <c r="CE178">
        <f ca="1">IF($AN178="",OFFSET(Demand!$A$13,ROW(O175)-1,4+((QUOTIENT(COLUMN(CE$2)-69,3))*5)+MOD(COLUMN(CE$2),3),1,1),"")</f>
        <v>0</v>
      </c>
      <c r="CF178">
        <f ca="1">IF($AN178="",OFFSET(Demand!$A$13,ROW(P175)-1,4+((QUOTIENT(COLUMN(CF$2)-69,3))*5)+MOD(COLUMN(CF$2),3),1,1),"")</f>
        <v>0</v>
      </c>
      <c r="CG178">
        <f ca="1">IF($AN178="",OFFSET(Demand!$A$13,ROW(Q175)-1,4+((QUOTIENT(COLUMN(CG$2)-69,3))*5)+MOD(COLUMN(CG$2),3),1,1),"")</f>
        <v>0</v>
      </c>
      <c r="CH178">
        <f ca="1">IF($AN178="",OFFSET(Demand!$A$13,ROW(R175)-1,4+((QUOTIENT(COLUMN(CH$2)-69,3))*5)+MOD(COLUMN(CH$2),3),1,1),"")</f>
        <v>0</v>
      </c>
      <c r="CI178">
        <f ca="1">IF($AN178="",OFFSET(Demand!$A$13,ROW(S175)-1,4+((QUOTIENT(COLUMN(CI$2)-69,3))*5)+MOD(COLUMN(CI$2),3),1,1),"")</f>
        <v>0</v>
      </c>
      <c r="CJ178">
        <f ca="1">IF($AN178="",OFFSET(Demand!$A$13,ROW(T175)-1,4+((QUOTIENT(COLUMN(CJ$2)-69,3))*5)+MOD(COLUMN(CJ$2),3),1,1),"")</f>
        <v>0</v>
      </c>
      <c r="CK178">
        <f ca="1">IF($AN178="",OFFSET(Demand!$A$13,ROW(U175)-1,4+((QUOTIENT(COLUMN(CK$2)-69,3))*5)+MOD(COLUMN(CK$2),3),1,1),"")</f>
        <v>0</v>
      </c>
      <c r="CL178">
        <f ca="1">IF($AN178="",OFFSET(Demand!$A$13,ROW(V175)-1,4+((QUOTIENT(COLUMN(CL$2)-69,3))*5)+MOD(COLUMN(CL$2),3),1,1),"")</f>
        <v>0</v>
      </c>
      <c r="CM178">
        <f ca="1">IF($AN178="",OFFSET(Demand!$A$13,ROW(W175)-1,4+((QUOTIENT(COLUMN(CM$2)-69,3))*5)+MOD(COLUMN(CM$2),3),1,1),"")</f>
        <v>0</v>
      </c>
      <c r="CN178">
        <f ca="1">IF($AN178="",OFFSET(Demand!$A$13,ROW(X175)-1,4+((QUOTIENT(COLUMN(CN$2)-69,3))*5)+MOD(COLUMN(CN$2),3),1,1),"")</f>
        <v>0</v>
      </c>
      <c r="CO178">
        <f ca="1">IF($AN178="",OFFSET(Demand!$A$13,ROW(Y175)-1,4+((QUOTIENT(COLUMN(CO$2)-69,3))*5)+MOD(COLUMN(CO$2),3),1,1),"")</f>
        <v>0</v>
      </c>
      <c r="CP178">
        <f ca="1">IF($AN178="",OFFSET(Demand!$A$13,ROW(Z175)-1,4+((QUOTIENT(COLUMN(CP$2)-69,3))*5)+MOD(COLUMN(CP$2),3),1,1),"")</f>
        <v>0</v>
      </c>
      <c r="CQ178">
        <f ca="1">IF($AN178="",OFFSET(Demand!$A$13,ROW(AA175)-1,4+((QUOTIENT(COLUMN(CQ$2)-69,3))*5)+MOD(COLUMN(CQ$2),3),1,1),"")</f>
        <v>0</v>
      </c>
      <c r="CR178">
        <f ca="1">IF($AN178="",OFFSET(Demand!$A$13,ROW(AB175)-1,4+((QUOTIENT(COLUMN(CR$2)-69,3))*5)+MOD(COLUMN(CR$2),3),1,1),"")</f>
        <v>0</v>
      </c>
      <c r="CS178">
        <f ca="1">IF($AN178="",OFFSET(Demand!$A$13,ROW(AC175)-1,4+((QUOTIENT(COLUMN(CS$2)-69,3))*5)+MOD(COLUMN(CS$2),3),1,1),"")</f>
        <v>0</v>
      </c>
      <c r="CT178">
        <f ca="1">IF($AN178="",OFFSET(Demand!$A$13,ROW(AD175)-1,4+((QUOTIENT(COLUMN(CT$2)-69,3))*5)+MOD(COLUMN(CT$2),3),1,1),"")</f>
        <v>0</v>
      </c>
      <c r="CW178" s="5">
        <f ca="1">SUM(OFFSET(Demand!$H$43,ROW(A175)-1,(COLUMN(A175)-1)*5,1,1))*N$2</f>
        <v>0</v>
      </c>
      <c r="CX178" s="5">
        <f ca="1">SUM(OFFSET(Demand!$H$43,ROW(B175)-1,(COLUMN(B175)-1)*5,1,1))*O$2</f>
        <v>0</v>
      </c>
      <c r="CY178" s="5">
        <f ca="1">SUM(OFFSET(Demand!$H$43,ROW(C175)-1,(COLUMN(C175)-1)*5,1,1))*P$2</f>
        <v>0</v>
      </c>
      <c r="CZ178" s="5">
        <f ca="1">SUM(OFFSET(Demand!$H$43,ROW(D175)-1,(COLUMN(D175)-1)*5,1,1))*Q$2</f>
        <v>0</v>
      </c>
      <c r="DA178" s="5">
        <f ca="1">SUM(OFFSET(Demand!$H$43,ROW(E175)-1,(COLUMN(E175)-1)*5,1,1))*R$2</f>
        <v>0</v>
      </c>
      <c r="DB178" s="5">
        <f ca="1">SUM(OFFSET(Demand!$H$43,ROW(F175)-1,(COLUMN(F175)-1)*5,1,1))*S$2</f>
        <v>0</v>
      </c>
      <c r="DC178" s="5">
        <f ca="1">SUM(OFFSET(Demand!$H$43,ROW(G175)-1,(COLUMN(G175)-1)*5,1,1))*T$2</f>
        <v>0</v>
      </c>
      <c r="DD178" s="5">
        <f ca="1">SUM(OFFSET(Demand!$H$43,ROW(H175)-1,(COLUMN(H175)-1)*5,1,1))*U$2</f>
        <v>0</v>
      </c>
      <c r="DE178" s="5">
        <f ca="1">SUM(OFFSET(Demand!$H$43,ROW(I175)-1,(COLUMN(I175)-1)*5,1,1))*V$2</f>
        <v>0</v>
      </c>
      <c r="DF178" s="5">
        <f ca="1">SUM(OFFSET(Demand!$H$43,ROW(J175)-1,(COLUMN(J175)-1)*5,1,1))*W$2</f>
        <v>0</v>
      </c>
      <c r="DG178" s="5">
        <f ca="1">IF(OR(AN178&lt;&gt;"",AND('Demand adjustments for Covid'!$F$9="Yes",'Demand adjustments for Covid'!$F$20="Yes")),"",SUM(CW178:DF178))</f>
        <v>0</v>
      </c>
    </row>
    <row r="179" spans="1:111" x14ac:dyDescent="0.25">
      <c r="A179" s="5">
        <f t="shared" ca="1" si="43"/>
        <v>1</v>
      </c>
      <c r="B179" s="5">
        <f ca="1">COUNTBLANK(OFFSET(Demand!$I188,0,(COLUMN(A176)-1)*5,1,1))</f>
        <v>1</v>
      </c>
      <c r="C179" s="5">
        <f ca="1">COUNTBLANK(OFFSET(Demand!$I188,0,(COLUMN(B176)-1)*5,1,1))</f>
        <v>1</v>
      </c>
      <c r="D179" s="5">
        <f ca="1">COUNTBLANK(OFFSET(Demand!$I188,0,(COLUMN(C176)-1)*5,1,1))</f>
        <v>1</v>
      </c>
      <c r="E179" s="5">
        <f ca="1">COUNTBLANK(OFFSET(Demand!$I188,0,(COLUMN(D176)-1)*5,1,1))</f>
        <v>1</v>
      </c>
      <c r="F179" s="5">
        <f ca="1">COUNTBLANK(OFFSET(Demand!$I188,0,(COLUMN(E176)-1)*5,1,1))</f>
        <v>1</v>
      </c>
      <c r="G179" s="5">
        <f ca="1">COUNTBLANK(OFFSET(Demand!$I188,0,(COLUMN(F176)-1)*5,1,1))</f>
        <v>1</v>
      </c>
      <c r="H179" s="5">
        <f ca="1">COUNTBLANK(OFFSET(Demand!$I188,0,(COLUMN(G176)-1)*5,1,1))</f>
        <v>1</v>
      </c>
      <c r="I179" s="5">
        <f ca="1">COUNTBLANK(OFFSET(Demand!$I188,0,(COLUMN(H176)-1)*5,1,1))</f>
        <v>1</v>
      </c>
      <c r="J179" s="5">
        <f ca="1">COUNTBLANK(OFFSET(Demand!$I188,0,(COLUMN(I176)-1)*5,1,1))</f>
        <v>1</v>
      </c>
      <c r="K179" s="5">
        <f ca="1">COUNTBLANK(OFFSET(Demand!$I188,0,(COLUMN(J176)-1)*5,1,1))</f>
        <v>1</v>
      </c>
      <c r="N179" s="5">
        <f ca="1">SUM(OFFSET(Demand!$E188,0,(COLUMN(A176)-1)*5,1,3))*N$2</f>
        <v>0</v>
      </c>
      <c r="O179" s="5">
        <f ca="1">SUM(OFFSET(Demand!$E188,0,(COLUMN(B176)-1)*5,1,3))*O$2</f>
        <v>0</v>
      </c>
      <c r="P179" s="5">
        <f ca="1">SUM(OFFSET(Demand!$E188,0,(COLUMN(C176)-1)*5,1,3))*P$2</f>
        <v>0</v>
      </c>
      <c r="Q179" s="5">
        <f ca="1">SUM(OFFSET(Demand!$E188,0,(COLUMN(D176)-1)*5,1,3))*Q$2</f>
        <v>0</v>
      </c>
      <c r="R179" s="5">
        <f ca="1">SUM(OFFSET(Demand!$E188,0,(COLUMN(E176)-1)*5,1,3))*R$2</f>
        <v>0</v>
      </c>
      <c r="S179" s="5">
        <f ca="1">SUM(OFFSET(Demand!$E188,0,(COLUMN(F176)-1)*5,1,3))*S$2</f>
        <v>0</v>
      </c>
      <c r="T179" s="5">
        <f ca="1">SUM(OFFSET(Demand!$E188,0,(COLUMN(G176)-1)*5,1,3))*T$2</f>
        <v>0</v>
      </c>
      <c r="U179" s="5">
        <f ca="1">SUM(OFFSET(Demand!$E188,0,(COLUMN(H176)-1)*5,1,3))*U$2</f>
        <v>0</v>
      </c>
      <c r="V179" s="5">
        <f ca="1">SUM(OFFSET(Demand!$E188,0,(COLUMN(I176)-1)*5,1,3))*V$2</f>
        <v>0</v>
      </c>
      <c r="W179" s="5">
        <f ca="1">SUM(OFFSET(Demand!$E188,0,(COLUMN(J176)-1)*5,1,3))*W$2</f>
        <v>0</v>
      </c>
      <c r="X179" s="5">
        <f t="shared" ca="1" si="44"/>
        <v>0</v>
      </c>
      <c r="Y179">
        <f t="shared" ca="1" si="45"/>
        <v>0</v>
      </c>
      <c r="Z179" s="5">
        <f ca="1">SUM(OFFSET(Demand!$H188,0,(COLUMN(A176)-1)*5,1,1))*N$2</f>
        <v>0</v>
      </c>
      <c r="AA179" s="5">
        <f ca="1">SUM(OFFSET(Demand!$H188,0,(COLUMN(B176)-1)*5,1,1))*O$2</f>
        <v>0</v>
      </c>
      <c r="AB179" s="5">
        <f ca="1">SUM(OFFSET(Demand!$H188,0,(COLUMN(C176)-1)*5,1,1))*P$2</f>
        <v>0</v>
      </c>
      <c r="AC179" s="5">
        <f ca="1">SUM(OFFSET(Demand!$H188,0,(COLUMN(D176)-1)*5,1,1))*Q$2</f>
        <v>0</v>
      </c>
      <c r="AD179" s="5">
        <f ca="1">SUM(OFFSET(Demand!$H188,0,(COLUMN(E176)-1)*5,1,1))*R$2</f>
        <v>0</v>
      </c>
      <c r="AE179" s="5">
        <f ca="1">SUM(OFFSET(Demand!$H188,0,(COLUMN(F176)-1)*5,1,1))*S$2</f>
        <v>0</v>
      </c>
      <c r="AF179" s="5">
        <f ca="1">SUM(OFFSET(Demand!$H188,0,(COLUMN(G176)-1)*5,1,1))*T$2</f>
        <v>0</v>
      </c>
      <c r="AG179" s="5">
        <f ca="1">SUM(OFFSET(Demand!$H188,0,(COLUMN(H176)-1)*5,1,1))*U$2</f>
        <v>0</v>
      </c>
      <c r="AH179" s="5">
        <f ca="1">SUM(OFFSET(Demand!$H188,0,(COLUMN(I176)-1)*5,1,1))*V$2</f>
        <v>0</v>
      </c>
      <c r="AI179" s="5">
        <f ca="1">SUM(OFFSET(Demand!$H188,0,(COLUMN(J176)-1)*5,1,1))*W$2</f>
        <v>0</v>
      </c>
      <c r="AJ179" s="5">
        <f t="shared" ca="1" si="46"/>
        <v>0</v>
      </c>
      <c r="AL179" s="5">
        <f t="shared" ca="1" si="47"/>
        <v>0</v>
      </c>
      <c r="AM179" s="5">
        <f t="shared" ca="1" si="48"/>
        <v>0</v>
      </c>
      <c r="AN179" s="5" t="str">
        <f>IF(Demand!BE188="Yes","Yes","")</f>
        <v/>
      </c>
      <c r="AP179" s="36" t="str">
        <f ca="1">Demand!B188</f>
        <v xml:space="preserve"> </v>
      </c>
      <c r="AQ179" t="str">
        <f ca="1">IF(TEXT(Demand!D188,"MMM")&lt;&gt;TEXT(Demand!D187,"MMM"),TEXT(Demand!D188,"MMM"),"")</f>
        <v/>
      </c>
      <c r="AT179" s="5">
        <f t="shared" ca="1" si="49"/>
        <v>0</v>
      </c>
      <c r="BQ179">
        <f ca="1">IF($AN179="",OFFSET(Demand!$A$13,ROW(A176)-1,4+((QUOTIENT(COLUMN(BQ$2)-69,3))*5)+MOD(COLUMN(BQ$2),3),1,1),"")</f>
        <v>0</v>
      </c>
      <c r="BR179">
        <f ca="1">IF($AN179="",OFFSET(Demand!$A$13,ROW(B176)-1,4+((QUOTIENT(COLUMN(BR$2)-69,3))*5)+MOD(COLUMN(BR$2),3),1,1),"")</f>
        <v>0</v>
      </c>
      <c r="BS179">
        <f ca="1">IF($AN179="",OFFSET(Demand!$A$13,ROW(C176)-1,4+((QUOTIENT(COLUMN(BS$2)-69,3))*5)+MOD(COLUMN(BS$2),3),1,1),"")</f>
        <v>0</v>
      </c>
      <c r="BT179">
        <f ca="1">IF($AN179="",OFFSET(Demand!$A$13,ROW(D176)-1,4+((QUOTIENT(COLUMN(BT$2)-69,3))*5)+MOD(COLUMN(BT$2),3),1,1),"")</f>
        <v>0</v>
      </c>
      <c r="BU179">
        <f ca="1">IF($AN179="",OFFSET(Demand!$A$13,ROW(E176)-1,4+((QUOTIENT(COLUMN(BU$2)-69,3))*5)+MOD(COLUMN(BU$2),3),1,1),"")</f>
        <v>0</v>
      </c>
      <c r="BV179">
        <f ca="1">IF($AN179="",OFFSET(Demand!$A$13,ROW(F176)-1,4+((QUOTIENT(COLUMN(BV$2)-69,3))*5)+MOD(COLUMN(BV$2),3),1,1),"")</f>
        <v>0</v>
      </c>
      <c r="BW179">
        <f ca="1">IF($AN179="",OFFSET(Demand!$A$13,ROW(G176)-1,4+((QUOTIENT(COLUMN(BW$2)-69,3))*5)+MOD(COLUMN(BW$2),3),1,1),"")</f>
        <v>0</v>
      </c>
      <c r="BX179">
        <f ca="1">IF($AN179="",OFFSET(Demand!$A$13,ROW(H176)-1,4+((QUOTIENT(COLUMN(BX$2)-69,3))*5)+MOD(COLUMN(BX$2),3),1,1),"")</f>
        <v>0</v>
      </c>
      <c r="BY179">
        <f ca="1">IF($AN179="",OFFSET(Demand!$A$13,ROW(I176)-1,4+((QUOTIENT(COLUMN(BY$2)-69,3))*5)+MOD(COLUMN(BY$2),3),1,1),"")</f>
        <v>0</v>
      </c>
      <c r="BZ179">
        <f ca="1">IF($AN179="",OFFSET(Demand!$A$13,ROW(J176)-1,4+((QUOTIENT(COLUMN(BZ$2)-69,3))*5)+MOD(COLUMN(BZ$2),3),1,1),"")</f>
        <v>0</v>
      </c>
      <c r="CA179">
        <f ca="1">IF($AN179="",OFFSET(Demand!$A$13,ROW(K176)-1,4+((QUOTIENT(COLUMN(CA$2)-69,3))*5)+MOD(COLUMN(CA$2),3),1,1),"")</f>
        <v>0</v>
      </c>
      <c r="CB179">
        <f ca="1">IF($AN179="",OFFSET(Demand!$A$13,ROW(L176)-1,4+((QUOTIENT(COLUMN(CB$2)-69,3))*5)+MOD(COLUMN(CB$2),3),1,1),"")</f>
        <v>0</v>
      </c>
      <c r="CC179">
        <f ca="1">IF($AN179="",OFFSET(Demand!$A$13,ROW(M176)-1,4+((QUOTIENT(COLUMN(CC$2)-69,3))*5)+MOD(COLUMN(CC$2),3),1,1),"")</f>
        <v>0</v>
      </c>
      <c r="CD179">
        <f ca="1">IF($AN179="",OFFSET(Demand!$A$13,ROW(N176)-1,4+((QUOTIENT(COLUMN(CD$2)-69,3))*5)+MOD(COLUMN(CD$2),3),1,1),"")</f>
        <v>0</v>
      </c>
      <c r="CE179">
        <f ca="1">IF($AN179="",OFFSET(Demand!$A$13,ROW(O176)-1,4+((QUOTIENT(COLUMN(CE$2)-69,3))*5)+MOD(COLUMN(CE$2),3),1,1),"")</f>
        <v>0</v>
      </c>
      <c r="CF179">
        <f ca="1">IF($AN179="",OFFSET(Demand!$A$13,ROW(P176)-1,4+((QUOTIENT(COLUMN(CF$2)-69,3))*5)+MOD(COLUMN(CF$2),3),1,1),"")</f>
        <v>0</v>
      </c>
      <c r="CG179">
        <f ca="1">IF($AN179="",OFFSET(Demand!$A$13,ROW(Q176)-1,4+((QUOTIENT(COLUMN(CG$2)-69,3))*5)+MOD(COLUMN(CG$2),3),1,1),"")</f>
        <v>0</v>
      </c>
      <c r="CH179">
        <f ca="1">IF($AN179="",OFFSET(Demand!$A$13,ROW(R176)-1,4+((QUOTIENT(COLUMN(CH$2)-69,3))*5)+MOD(COLUMN(CH$2),3),1,1),"")</f>
        <v>0</v>
      </c>
      <c r="CI179">
        <f ca="1">IF($AN179="",OFFSET(Demand!$A$13,ROW(S176)-1,4+((QUOTIENT(COLUMN(CI$2)-69,3))*5)+MOD(COLUMN(CI$2),3),1,1),"")</f>
        <v>0</v>
      </c>
      <c r="CJ179">
        <f ca="1">IF($AN179="",OFFSET(Demand!$A$13,ROW(T176)-1,4+((QUOTIENT(COLUMN(CJ$2)-69,3))*5)+MOD(COLUMN(CJ$2),3),1,1),"")</f>
        <v>0</v>
      </c>
      <c r="CK179">
        <f ca="1">IF($AN179="",OFFSET(Demand!$A$13,ROW(U176)-1,4+((QUOTIENT(COLUMN(CK$2)-69,3))*5)+MOD(COLUMN(CK$2),3),1,1),"")</f>
        <v>0</v>
      </c>
      <c r="CL179">
        <f ca="1">IF($AN179="",OFFSET(Demand!$A$13,ROW(V176)-1,4+((QUOTIENT(COLUMN(CL$2)-69,3))*5)+MOD(COLUMN(CL$2),3),1,1),"")</f>
        <v>0</v>
      </c>
      <c r="CM179">
        <f ca="1">IF($AN179="",OFFSET(Demand!$A$13,ROW(W176)-1,4+((QUOTIENT(COLUMN(CM$2)-69,3))*5)+MOD(COLUMN(CM$2),3),1,1),"")</f>
        <v>0</v>
      </c>
      <c r="CN179">
        <f ca="1">IF($AN179="",OFFSET(Demand!$A$13,ROW(X176)-1,4+((QUOTIENT(COLUMN(CN$2)-69,3))*5)+MOD(COLUMN(CN$2),3),1,1),"")</f>
        <v>0</v>
      </c>
      <c r="CO179">
        <f ca="1">IF($AN179="",OFFSET(Demand!$A$13,ROW(Y176)-1,4+((QUOTIENT(COLUMN(CO$2)-69,3))*5)+MOD(COLUMN(CO$2),3),1,1),"")</f>
        <v>0</v>
      </c>
      <c r="CP179">
        <f ca="1">IF($AN179="",OFFSET(Demand!$A$13,ROW(Z176)-1,4+((QUOTIENT(COLUMN(CP$2)-69,3))*5)+MOD(COLUMN(CP$2),3),1,1),"")</f>
        <v>0</v>
      </c>
      <c r="CQ179">
        <f ca="1">IF($AN179="",OFFSET(Demand!$A$13,ROW(AA176)-1,4+((QUOTIENT(COLUMN(CQ$2)-69,3))*5)+MOD(COLUMN(CQ$2),3),1,1),"")</f>
        <v>0</v>
      </c>
      <c r="CR179">
        <f ca="1">IF($AN179="",OFFSET(Demand!$A$13,ROW(AB176)-1,4+((QUOTIENT(COLUMN(CR$2)-69,3))*5)+MOD(COLUMN(CR$2),3),1,1),"")</f>
        <v>0</v>
      </c>
      <c r="CS179">
        <f ca="1">IF($AN179="",OFFSET(Demand!$A$13,ROW(AC176)-1,4+((QUOTIENT(COLUMN(CS$2)-69,3))*5)+MOD(COLUMN(CS$2),3),1,1),"")</f>
        <v>0</v>
      </c>
      <c r="CT179">
        <f ca="1">IF($AN179="",OFFSET(Demand!$A$13,ROW(AD176)-1,4+((QUOTIENT(COLUMN(CT$2)-69,3))*5)+MOD(COLUMN(CT$2),3),1,1),"")</f>
        <v>0</v>
      </c>
      <c r="CW179" s="5">
        <f ca="1">SUM(OFFSET(Demand!$H$43,ROW(A176)-1,(COLUMN(A176)-1)*5,1,1))*N$2</f>
        <v>0</v>
      </c>
      <c r="CX179" s="5">
        <f ca="1">SUM(OFFSET(Demand!$H$43,ROW(B176)-1,(COLUMN(B176)-1)*5,1,1))*O$2</f>
        <v>0</v>
      </c>
      <c r="CY179" s="5">
        <f ca="1">SUM(OFFSET(Demand!$H$43,ROW(C176)-1,(COLUMN(C176)-1)*5,1,1))*P$2</f>
        <v>0</v>
      </c>
      <c r="CZ179" s="5">
        <f ca="1">SUM(OFFSET(Demand!$H$43,ROW(D176)-1,(COLUMN(D176)-1)*5,1,1))*Q$2</f>
        <v>0</v>
      </c>
      <c r="DA179" s="5">
        <f ca="1">SUM(OFFSET(Demand!$H$43,ROW(E176)-1,(COLUMN(E176)-1)*5,1,1))*R$2</f>
        <v>0</v>
      </c>
      <c r="DB179" s="5">
        <f ca="1">SUM(OFFSET(Demand!$H$43,ROW(F176)-1,(COLUMN(F176)-1)*5,1,1))*S$2</f>
        <v>0</v>
      </c>
      <c r="DC179" s="5">
        <f ca="1">SUM(OFFSET(Demand!$H$43,ROW(G176)-1,(COLUMN(G176)-1)*5,1,1))*T$2</f>
        <v>0</v>
      </c>
      <c r="DD179" s="5">
        <f ca="1">SUM(OFFSET(Demand!$H$43,ROW(H176)-1,(COLUMN(H176)-1)*5,1,1))*U$2</f>
        <v>0</v>
      </c>
      <c r="DE179" s="5">
        <f ca="1">SUM(OFFSET(Demand!$H$43,ROW(I176)-1,(COLUMN(I176)-1)*5,1,1))*V$2</f>
        <v>0</v>
      </c>
      <c r="DF179" s="5">
        <f ca="1">SUM(OFFSET(Demand!$H$43,ROW(J176)-1,(COLUMN(J176)-1)*5,1,1))*W$2</f>
        <v>0</v>
      </c>
      <c r="DG179" s="5">
        <f ca="1">IF(OR(AN179&lt;&gt;"",AND('Demand adjustments for Covid'!$F$9="Yes",'Demand adjustments for Covid'!$F$20="Yes")),"",SUM(CW179:DF179))</f>
        <v>0</v>
      </c>
    </row>
    <row r="180" spans="1:111" x14ac:dyDescent="0.25">
      <c r="A180" s="5">
        <f t="shared" ca="1" si="43"/>
        <v>1</v>
      </c>
      <c r="B180" s="5">
        <f ca="1">COUNTBLANK(OFFSET(Demand!$I189,0,(COLUMN(A177)-1)*5,1,1))</f>
        <v>1</v>
      </c>
      <c r="C180" s="5">
        <f ca="1">COUNTBLANK(OFFSET(Demand!$I189,0,(COLUMN(B177)-1)*5,1,1))</f>
        <v>1</v>
      </c>
      <c r="D180" s="5">
        <f ca="1">COUNTBLANK(OFFSET(Demand!$I189,0,(COLUMN(C177)-1)*5,1,1))</f>
        <v>1</v>
      </c>
      <c r="E180" s="5">
        <f ca="1">COUNTBLANK(OFFSET(Demand!$I189,0,(COLUMN(D177)-1)*5,1,1))</f>
        <v>1</v>
      </c>
      <c r="F180" s="5">
        <f ca="1">COUNTBLANK(OFFSET(Demand!$I189,0,(COLUMN(E177)-1)*5,1,1))</f>
        <v>1</v>
      </c>
      <c r="G180" s="5">
        <f ca="1">COUNTBLANK(OFFSET(Demand!$I189,0,(COLUMN(F177)-1)*5,1,1))</f>
        <v>1</v>
      </c>
      <c r="H180" s="5">
        <f ca="1">COUNTBLANK(OFFSET(Demand!$I189,0,(COLUMN(G177)-1)*5,1,1))</f>
        <v>1</v>
      </c>
      <c r="I180" s="5">
        <f ca="1">COUNTBLANK(OFFSET(Demand!$I189,0,(COLUMN(H177)-1)*5,1,1))</f>
        <v>1</v>
      </c>
      <c r="J180" s="5">
        <f ca="1">COUNTBLANK(OFFSET(Demand!$I189,0,(COLUMN(I177)-1)*5,1,1))</f>
        <v>1</v>
      </c>
      <c r="K180" s="5">
        <f ca="1">COUNTBLANK(OFFSET(Demand!$I189,0,(COLUMN(J177)-1)*5,1,1))</f>
        <v>1</v>
      </c>
      <c r="N180" s="5">
        <f ca="1">SUM(OFFSET(Demand!$E189,0,(COLUMN(A177)-1)*5,1,3))*N$2</f>
        <v>0</v>
      </c>
      <c r="O180" s="5">
        <f ca="1">SUM(OFFSET(Demand!$E189,0,(COLUMN(B177)-1)*5,1,3))*O$2</f>
        <v>0</v>
      </c>
      <c r="P180" s="5">
        <f ca="1">SUM(OFFSET(Demand!$E189,0,(COLUMN(C177)-1)*5,1,3))*P$2</f>
        <v>0</v>
      </c>
      <c r="Q180" s="5">
        <f ca="1">SUM(OFFSET(Demand!$E189,0,(COLUMN(D177)-1)*5,1,3))*Q$2</f>
        <v>0</v>
      </c>
      <c r="R180" s="5">
        <f ca="1">SUM(OFFSET(Demand!$E189,0,(COLUMN(E177)-1)*5,1,3))*R$2</f>
        <v>0</v>
      </c>
      <c r="S180" s="5">
        <f ca="1">SUM(OFFSET(Demand!$E189,0,(COLUMN(F177)-1)*5,1,3))*S$2</f>
        <v>0</v>
      </c>
      <c r="T180" s="5">
        <f ca="1">SUM(OFFSET(Demand!$E189,0,(COLUMN(G177)-1)*5,1,3))*T$2</f>
        <v>0</v>
      </c>
      <c r="U180" s="5">
        <f ca="1">SUM(OFFSET(Demand!$E189,0,(COLUMN(H177)-1)*5,1,3))*U$2</f>
        <v>0</v>
      </c>
      <c r="V180" s="5">
        <f ca="1">SUM(OFFSET(Demand!$E189,0,(COLUMN(I177)-1)*5,1,3))*V$2</f>
        <v>0</v>
      </c>
      <c r="W180" s="5">
        <f ca="1">SUM(OFFSET(Demand!$E189,0,(COLUMN(J177)-1)*5,1,3))*W$2</f>
        <v>0</v>
      </c>
      <c r="X180" s="5">
        <f t="shared" ca="1" si="44"/>
        <v>0</v>
      </c>
      <c r="Y180">
        <f t="shared" ca="1" si="45"/>
        <v>0</v>
      </c>
      <c r="Z180" s="5">
        <f ca="1">SUM(OFFSET(Demand!$H189,0,(COLUMN(A177)-1)*5,1,1))*N$2</f>
        <v>0</v>
      </c>
      <c r="AA180" s="5">
        <f ca="1">SUM(OFFSET(Demand!$H189,0,(COLUMN(B177)-1)*5,1,1))*O$2</f>
        <v>0</v>
      </c>
      <c r="AB180" s="5">
        <f ca="1">SUM(OFFSET(Demand!$H189,0,(COLUMN(C177)-1)*5,1,1))*P$2</f>
        <v>0</v>
      </c>
      <c r="AC180" s="5">
        <f ca="1">SUM(OFFSET(Demand!$H189,0,(COLUMN(D177)-1)*5,1,1))*Q$2</f>
        <v>0</v>
      </c>
      <c r="AD180" s="5">
        <f ca="1">SUM(OFFSET(Demand!$H189,0,(COLUMN(E177)-1)*5,1,1))*R$2</f>
        <v>0</v>
      </c>
      <c r="AE180" s="5">
        <f ca="1">SUM(OFFSET(Demand!$H189,0,(COLUMN(F177)-1)*5,1,1))*S$2</f>
        <v>0</v>
      </c>
      <c r="AF180" s="5">
        <f ca="1">SUM(OFFSET(Demand!$H189,0,(COLUMN(G177)-1)*5,1,1))*T$2</f>
        <v>0</v>
      </c>
      <c r="AG180" s="5">
        <f ca="1">SUM(OFFSET(Demand!$H189,0,(COLUMN(H177)-1)*5,1,1))*U$2</f>
        <v>0</v>
      </c>
      <c r="AH180" s="5">
        <f ca="1">SUM(OFFSET(Demand!$H189,0,(COLUMN(I177)-1)*5,1,1))*V$2</f>
        <v>0</v>
      </c>
      <c r="AI180" s="5">
        <f ca="1">SUM(OFFSET(Demand!$H189,0,(COLUMN(J177)-1)*5,1,1))*W$2</f>
        <v>0</v>
      </c>
      <c r="AJ180" s="5">
        <f t="shared" ca="1" si="46"/>
        <v>0</v>
      </c>
      <c r="AL180" s="5">
        <f t="shared" ca="1" si="47"/>
        <v>0</v>
      </c>
      <c r="AM180" s="5">
        <f t="shared" ca="1" si="48"/>
        <v>0</v>
      </c>
      <c r="AN180" s="5" t="str">
        <f>IF(Demand!BE189="Yes","Yes","")</f>
        <v/>
      </c>
      <c r="AP180" s="36" t="str">
        <f ca="1">Demand!B189</f>
        <v xml:space="preserve"> </v>
      </c>
      <c r="AQ180" t="str">
        <f ca="1">IF(TEXT(Demand!D189,"MMM")&lt;&gt;TEXT(Demand!D188,"MMM"),TEXT(Demand!D189,"MMM"),"")</f>
        <v/>
      </c>
      <c r="AT180" s="5">
        <f t="shared" ca="1" si="49"/>
        <v>0</v>
      </c>
      <c r="BQ180">
        <f ca="1">IF($AN180="",OFFSET(Demand!$A$13,ROW(A177)-1,4+((QUOTIENT(COLUMN(BQ$2)-69,3))*5)+MOD(COLUMN(BQ$2),3),1,1),"")</f>
        <v>0</v>
      </c>
      <c r="BR180">
        <f ca="1">IF($AN180="",OFFSET(Demand!$A$13,ROW(B177)-1,4+((QUOTIENT(COLUMN(BR$2)-69,3))*5)+MOD(COLUMN(BR$2),3),1,1),"")</f>
        <v>0</v>
      </c>
      <c r="BS180">
        <f ca="1">IF($AN180="",OFFSET(Demand!$A$13,ROW(C177)-1,4+((QUOTIENT(COLUMN(BS$2)-69,3))*5)+MOD(COLUMN(BS$2),3),1,1),"")</f>
        <v>0</v>
      </c>
      <c r="BT180">
        <f ca="1">IF($AN180="",OFFSET(Demand!$A$13,ROW(D177)-1,4+((QUOTIENT(COLUMN(BT$2)-69,3))*5)+MOD(COLUMN(BT$2),3),1,1),"")</f>
        <v>0</v>
      </c>
      <c r="BU180">
        <f ca="1">IF($AN180="",OFFSET(Demand!$A$13,ROW(E177)-1,4+((QUOTIENT(COLUMN(BU$2)-69,3))*5)+MOD(COLUMN(BU$2),3),1,1),"")</f>
        <v>0</v>
      </c>
      <c r="BV180">
        <f ca="1">IF($AN180="",OFFSET(Demand!$A$13,ROW(F177)-1,4+((QUOTIENT(COLUMN(BV$2)-69,3))*5)+MOD(COLUMN(BV$2),3),1,1),"")</f>
        <v>0</v>
      </c>
      <c r="BW180">
        <f ca="1">IF($AN180="",OFFSET(Demand!$A$13,ROW(G177)-1,4+((QUOTIENT(COLUMN(BW$2)-69,3))*5)+MOD(COLUMN(BW$2),3),1,1),"")</f>
        <v>0</v>
      </c>
      <c r="BX180">
        <f ca="1">IF($AN180="",OFFSET(Demand!$A$13,ROW(H177)-1,4+((QUOTIENT(COLUMN(BX$2)-69,3))*5)+MOD(COLUMN(BX$2),3),1,1),"")</f>
        <v>0</v>
      </c>
      <c r="BY180">
        <f ca="1">IF($AN180="",OFFSET(Demand!$A$13,ROW(I177)-1,4+((QUOTIENT(COLUMN(BY$2)-69,3))*5)+MOD(COLUMN(BY$2),3),1,1),"")</f>
        <v>0</v>
      </c>
      <c r="BZ180">
        <f ca="1">IF($AN180="",OFFSET(Demand!$A$13,ROW(J177)-1,4+((QUOTIENT(COLUMN(BZ$2)-69,3))*5)+MOD(COLUMN(BZ$2),3),1,1),"")</f>
        <v>0</v>
      </c>
      <c r="CA180">
        <f ca="1">IF($AN180="",OFFSET(Demand!$A$13,ROW(K177)-1,4+((QUOTIENT(COLUMN(CA$2)-69,3))*5)+MOD(COLUMN(CA$2),3),1,1),"")</f>
        <v>0</v>
      </c>
      <c r="CB180">
        <f ca="1">IF($AN180="",OFFSET(Demand!$A$13,ROW(L177)-1,4+((QUOTIENT(COLUMN(CB$2)-69,3))*5)+MOD(COLUMN(CB$2),3),1,1),"")</f>
        <v>0</v>
      </c>
      <c r="CC180">
        <f ca="1">IF($AN180="",OFFSET(Demand!$A$13,ROW(M177)-1,4+((QUOTIENT(COLUMN(CC$2)-69,3))*5)+MOD(COLUMN(CC$2),3),1,1),"")</f>
        <v>0</v>
      </c>
      <c r="CD180">
        <f ca="1">IF($AN180="",OFFSET(Demand!$A$13,ROW(N177)-1,4+((QUOTIENT(COLUMN(CD$2)-69,3))*5)+MOD(COLUMN(CD$2),3),1,1),"")</f>
        <v>0</v>
      </c>
      <c r="CE180">
        <f ca="1">IF($AN180="",OFFSET(Demand!$A$13,ROW(O177)-1,4+((QUOTIENT(COLUMN(CE$2)-69,3))*5)+MOD(COLUMN(CE$2),3),1,1),"")</f>
        <v>0</v>
      </c>
      <c r="CF180">
        <f ca="1">IF($AN180="",OFFSET(Demand!$A$13,ROW(P177)-1,4+((QUOTIENT(COLUMN(CF$2)-69,3))*5)+MOD(COLUMN(CF$2),3),1,1),"")</f>
        <v>0</v>
      </c>
      <c r="CG180">
        <f ca="1">IF($AN180="",OFFSET(Demand!$A$13,ROW(Q177)-1,4+((QUOTIENT(COLUMN(CG$2)-69,3))*5)+MOD(COLUMN(CG$2),3),1,1),"")</f>
        <v>0</v>
      </c>
      <c r="CH180">
        <f ca="1">IF($AN180="",OFFSET(Demand!$A$13,ROW(R177)-1,4+((QUOTIENT(COLUMN(CH$2)-69,3))*5)+MOD(COLUMN(CH$2),3),1,1),"")</f>
        <v>0</v>
      </c>
      <c r="CI180">
        <f ca="1">IF($AN180="",OFFSET(Demand!$A$13,ROW(S177)-1,4+((QUOTIENT(COLUMN(CI$2)-69,3))*5)+MOD(COLUMN(CI$2),3),1,1),"")</f>
        <v>0</v>
      </c>
      <c r="CJ180">
        <f ca="1">IF($AN180="",OFFSET(Demand!$A$13,ROW(T177)-1,4+((QUOTIENT(COLUMN(CJ$2)-69,3))*5)+MOD(COLUMN(CJ$2),3),1,1),"")</f>
        <v>0</v>
      </c>
      <c r="CK180">
        <f ca="1">IF($AN180="",OFFSET(Demand!$A$13,ROW(U177)-1,4+((QUOTIENT(COLUMN(CK$2)-69,3))*5)+MOD(COLUMN(CK$2),3),1,1),"")</f>
        <v>0</v>
      </c>
      <c r="CL180">
        <f ca="1">IF($AN180="",OFFSET(Demand!$A$13,ROW(V177)-1,4+((QUOTIENT(COLUMN(CL$2)-69,3))*5)+MOD(COLUMN(CL$2),3),1,1),"")</f>
        <v>0</v>
      </c>
      <c r="CM180">
        <f ca="1">IF($AN180="",OFFSET(Demand!$A$13,ROW(W177)-1,4+((QUOTIENT(COLUMN(CM$2)-69,3))*5)+MOD(COLUMN(CM$2),3),1,1),"")</f>
        <v>0</v>
      </c>
      <c r="CN180">
        <f ca="1">IF($AN180="",OFFSET(Demand!$A$13,ROW(X177)-1,4+((QUOTIENT(COLUMN(CN$2)-69,3))*5)+MOD(COLUMN(CN$2),3),1,1),"")</f>
        <v>0</v>
      </c>
      <c r="CO180">
        <f ca="1">IF($AN180="",OFFSET(Demand!$A$13,ROW(Y177)-1,4+((QUOTIENT(COLUMN(CO$2)-69,3))*5)+MOD(COLUMN(CO$2),3),1,1),"")</f>
        <v>0</v>
      </c>
      <c r="CP180">
        <f ca="1">IF($AN180="",OFFSET(Demand!$A$13,ROW(Z177)-1,4+((QUOTIENT(COLUMN(CP$2)-69,3))*5)+MOD(COLUMN(CP$2),3),1,1),"")</f>
        <v>0</v>
      </c>
      <c r="CQ180">
        <f ca="1">IF($AN180="",OFFSET(Demand!$A$13,ROW(AA177)-1,4+((QUOTIENT(COLUMN(CQ$2)-69,3))*5)+MOD(COLUMN(CQ$2),3),1,1),"")</f>
        <v>0</v>
      </c>
      <c r="CR180">
        <f ca="1">IF($AN180="",OFFSET(Demand!$A$13,ROW(AB177)-1,4+((QUOTIENT(COLUMN(CR$2)-69,3))*5)+MOD(COLUMN(CR$2),3),1,1),"")</f>
        <v>0</v>
      </c>
      <c r="CS180">
        <f ca="1">IF($AN180="",OFFSET(Demand!$A$13,ROW(AC177)-1,4+((QUOTIENT(COLUMN(CS$2)-69,3))*5)+MOD(COLUMN(CS$2),3),1,1),"")</f>
        <v>0</v>
      </c>
      <c r="CT180">
        <f ca="1">IF($AN180="",OFFSET(Demand!$A$13,ROW(AD177)-1,4+((QUOTIENT(COLUMN(CT$2)-69,3))*5)+MOD(COLUMN(CT$2),3),1,1),"")</f>
        <v>0</v>
      </c>
      <c r="CW180" s="5">
        <f ca="1">SUM(OFFSET(Demand!$H$43,ROW(A177)-1,(COLUMN(A177)-1)*5,1,1))*N$2</f>
        <v>0</v>
      </c>
      <c r="CX180" s="5">
        <f ca="1">SUM(OFFSET(Demand!$H$43,ROW(B177)-1,(COLUMN(B177)-1)*5,1,1))*O$2</f>
        <v>0</v>
      </c>
      <c r="CY180" s="5">
        <f ca="1">SUM(OFFSET(Demand!$H$43,ROW(C177)-1,(COLUMN(C177)-1)*5,1,1))*P$2</f>
        <v>0</v>
      </c>
      <c r="CZ180" s="5">
        <f ca="1">SUM(OFFSET(Demand!$H$43,ROW(D177)-1,(COLUMN(D177)-1)*5,1,1))*Q$2</f>
        <v>0</v>
      </c>
      <c r="DA180" s="5">
        <f ca="1">SUM(OFFSET(Demand!$H$43,ROW(E177)-1,(COLUMN(E177)-1)*5,1,1))*R$2</f>
        <v>0</v>
      </c>
      <c r="DB180" s="5">
        <f ca="1">SUM(OFFSET(Demand!$H$43,ROW(F177)-1,(COLUMN(F177)-1)*5,1,1))*S$2</f>
        <v>0</v>
      </c>
      <c r="DC180" s="5">
        <f ca="1">SUM(OFFSET(Demand!$H$43,ROW(G177)-1,(COLUMN(G177)-1)*5,1,1))*T$2</f>
        <v>0</v>
      </c>
      <c r="DD180" s="5">
        <f ca="1">SUM(OFFSET(Demand!$H$43,ROW(H177)-1,(COLUMN(H177)-1)*5,1,1))*U$2</f>
        <v>0</v>
      </c>
      <c r="DE180" s="5">
        <f ca="1">SUM(OFFSET(Demand!$H$43,ROW(I177)-1,(COLUMN(I177)-1)*5,1,1))*V$2</f>
        <v>0</v>
      </c>
      <c r="DF180" s="5">
        <f ca="1">SUM(OFFSET(Demand!$H$43,ROW(J177)-1,(COLUMN(J177)-1)*5,1,1))*W$2</f>
        <v>0</v>
      </c>
      <c r="DG180" s="5">
        <f ca="1">IF(OR(AN180&lt;&gt;"",AND('Demand adjustments for Covid'!$F$9="Yes",'Demand adjustments for Covid'!$F$20="Yes")),"",SUM(CW180:DF180))</f>
        <v>0</v>
      </c>
    </row>
    <row r="181" spans="1:111" x14ac:dyDescent="0.25">
      <c r="A181" s="5">
        <f t="shared" ca="1" si="43"/>
        <v>1</v>
      </c>
      <c r="B181" s="5">
        <f ca="1">COUNTBLANK(OFFSET(Demand!$I190,0,(COLUMN(A178)-1)*5,1,1))</f>
        <v>1</v>
      </c>
      <c r="C181" s="5">
        <f ca="1">COUNTBLANK(OFFSET(Demand!$I190,0,(COLUMN(B178)-1)*5,1,1))</f>
        <v>1</v>
      </c>
      <c r="D181" s="5">
        <f ca="1">COUNTBLANK(OFFSET(Demand!$I190,0,(COLUMN(C178)-1)*5,1,1))</f>
        <v>1</v>
      </c>
      <c r="E181" s="5">
        <f ca="1">COUNTBLANK(OFFSET(Demand!$I190,0,(COLUMN(D178)-1)*5,1,1))</f>
        <v>1</v>
      </c>
      <c r="F181" s="5">
        <f ca="1">COUNTBLANK(OFFSET(Demand!$I190,0,(COLUMN(E178)-1)*5,1,1))</f>
        <v>1</v>
      </c>
      <c r="G181" s="5">
        <f ca="1">COUNTBLANK(OFFSET(Demand!$I190,0,(COLUMN(F178)-1)*5,1,1))</f>
        <v>1</v>
      </c>
      <c r="H181" s="5">
        <f ca="1">COUNTBLANK(OFFSET(Demand!$I190,0,(COLUMN(G178)-1)*5,1,1))</f>
        <v>1</v>
      </c>
      <c r="I181" s="5">
        <f ca="1">COUNTBLANK(OFFSET(Demand!$I190,0,(COLUMN(H178)-1)*5,1,1))</f>
        <v>1</v>
      </c>
      <c r="J181" s="5">
        <f ca="1">COUNTBLANK(OFFSET(Demand!$I190,0,(COLUMN(I178)-1)*5,1,1))</f>
        <v>1</v>
      </c>
      <c r="K181" s="5">
        <f ca="1">COUNTBLANK(OFFSET(Demand!$I190,0,(COLUMN(J178)-1)*5,1,1))</f>
        <v>1</v>
      </c>
      <c r="N181" s="5">
        <f ca="1">SUM(OFFSET(Demand!$E190,0,(COLUMN(A178)-1)*5,1,3))*N$2</f>
        <v>0</v>
      </c>
      <c r="O181" s="5">
        <f ca="1">SUM(OFFSET(Demand!$E190,0,(COLUMN(B178)-1)*5,1,3))*O$2</f>
        <v>0</v>
      </c>
      <c r="P181" s="5">
        <f ca="1">SUM(OFFSET(Demand!$E190,0,(COLUMN(C178)-1)*5,1,3))*P$2</f>
        <v>0</v>
      </c>
      <c r="Q181" s="5">
        <f ca="1">SUM(OFFSET(Demand!$E190,0,(COLUMN(D178)-1)*5,1,3))*Q$2</f>
        <v>0</v>
      </c>
      <c r="R181" s="5">
        <f ca="1">SUM(OFFSET(Demand!$E190,0,(COLUMN(E178)-1)*5,1,3))*R$2</f>
        <v>0</v>
      </c>
      <c r="S181" s="5">
        <f ca="1">SUM(OFFSET(Demand!$E190,0,(COLUMN(F178)-1)*5,1,3))*S$2</f>
        <v>0</v>
      </c>
      <c r="T181" s="5">
        <f ca="1">SUM(OFFSET(Demand!$E190,0,(COLUMN(G178)-1)*5,1,3))*T$2</f>
        <v>0</v>
      </c>
      <c r="U181" s="5">
        <f ca="1">SUM(OFFSET(Demand!$E190,0,(COLUMN(H178)-1)*5,1,3))*U$2</f>
        <v>0</v>
      </c>
      <c r="V181" s="5">
        <f ca="1">SUM(OFFSET(Demand!$E190,0,(COLUMN(I178)-1)*5,1,3))*V$2</f>
        <v>0</v>
      </c>
      <c r="W181" s="5">
        <f ca="1">SUM(OFFSET(Demand!$E190,0,(COLUMN(J178)-1)*5,1,3))*W$2</f>
        <v>0</v>
      </c>
      <c r="X181" s="5">
        <f t="shared" ca="1" si="44"/>
        <v>0</v>
      </c>
      <c r="Y181">
        <f t="shared" ca="1" si="45"/>
        <v>0</v>
      </c>
      <c r="Z181" s="5">
        <f ca="1">SUM(OFFSET(Demand!$H190,0,(COLUMN(A178)-1)*5,1,1))*N$2</f>
        <v>0</v>
      </c>
      <c r="AA181" s="5">
        <f ca="1">SUM(OFFSET(Demand!$H190,0,(COLUMN(B178)-1)*5,1,1))*O$2</f>
        <v>0</v>
      </c>
      <c r="AB181" s="5">
        <f ca="1">SUM(OFFSET(Demand!$H190,0,(COLUMN(C178)-1)*5,1,1))*P$2</f>
        <v>0</v>
      </c>
      <c r="AC181" s="5">
        <f ca="1">SUM(OFFSET(Demand!$H190,0,(COLUMN(D178)-1)*5,1,1))*Q$2</f>
        <v>0</v>
      </c>
      <c r="AD181" s="5">
        <f ca="1">SUM(OFFSET(Demand!$H190,0,(COLUMN(E178)-1)*5,1,1))*R$2</f>
        <v>0</v>
      </c>
      <c r="AE181" s="5">
        <f ca="1">SUM(OFFSET(Demand!$H190,0,(COLUMN(F178)-1)*5,1,1))*S$2</f>
        <v>0</v>
      </c>
      <c r="AF181" s="5">
        <f ca="1">SUM(OFFSET(Demand!$H190,0,(COLUMN(G178)-1)*5,1,1))*T$2</f>
        <v>0</v>
      </c>
      <c r="AG181" s="5">
        <f ca="1">SUM(OFFSET(Demand!$H190,0,(COLUMN(H178)-1)*5,1,1))*U$2</f>
        <v>0</v>
      </c>
      <c r="AH181" s="5">
        <f ca="1">SUM(OFFSET(Demand!$H190,0,(COLUMN(I178)-1)*5,1,1))*V$2</f>
        <v>0</v>
      </c>
      <c r="AI181" s="5">
        <f ca="1">SUM(OFFSET(Demand!$H190,0,(COLUMN(J178)-1)*5,1,1))*W$2</f>
        <v>0</v>
      </c>
      <c r="AJ181" s="5">
        <f t="shared" ca="1" si="46"/>
        <v>0</v>
      </c>
      <c r="AL181" s="5">
        <f t="shared" ca="1" si="47"/>
        <v>0</v>
      </c>
      <c r="AM181" s="5">
        <f t="shared" ca="1" si="48"/>
        <v>0</v>
      </c>
      <c r="AN181" s="5" t="str">
        <f>IF(Demand!BE190="Yes","Yes","")</f>
        <v/>
      </c>
      <c r="AP181" s="36" t="str">
        <f ca="1">Demand!B190</f>
        <v xml:space="preserve"> </v>
      </c>
      <c r="AQ181" t="str">
        <f ca="1">IF(TEXT(Demand!D190,"MMM")&lt;&gt;TEXT(Demand!D189,"MMM"),TEXT(Demand!D190,"MMM"),"")</f>
        <v/>
      </c>
      <c r="AT181" s="5">
        <f t="shared" ca="1" si="49"/>
        <v>0</v>
      </c>
      <c r="BQ181">
        <f ca="1">IF($AN181="",OFFSET(Demand!$A$13,ROW(A178)-1,4+((QUOTIENT(COLUMN(BQ$2)-69,3))*5)+MOD(COLUMN(BQ$2),3),1,1),"")</f>
        <v>0</v>
      </c>
      <c r="BR181">
        <f ca="1">IF($AN181="",OFFSET(Demand!$A$13,ROW(B178)-1,4+((QUOTIENT(COLUMN(BR$2)-69,3))*5)+MOD(COLUMN(BR$2),3),1,1),"")</f>
        <v>0</v>
      </c>
      <c r="BS181">
        <f ca="1">IF($AN181="",OFFSET(Demand!$A$13,ROW(C178)-1,4+((QUOTIENT(COLUMN(BS$2)-69,3))*5)+MOD(COLUMN(BS$2),3),1,1),"")</f>
        <v>0</v>
      </c>
      <c r="BT181">
        <f ca="1">IF($AN181="",OFFSET(Demand!$A$13,ROW(D178)-1,4+((QUOTIENT(COLUMN(BT$2)-69,3))*5)+MOD(COLUMN(BT$2),3),1,1),"")</f>
        <v>0</v>
      </c>
      <c r="BU181">
        <f ca="1">IF($AN181="",OFFSET(Demand!$A$13,ROW(E178)-1,4+((QUOTIENT(COLUMN(BU$2)-69,3))*5)+MOD(COLUMN(BU$2),3),1,1),"")</f>
        <v>0</v>
      </c>
      <c r="BV181">
        <f ca="1">IF($AN181="",OFFSET(Demand!$A$13,ROW(F178)-1,4+((QUOTIENT(COLUMN(BV$2)-69,3))*5)+MOD(COLUMN(BV$2),3),1,1),"")</f>
        <v>0</v>
      </c>
      <c r="BW181">
        <f ca="1">IF($AN181="",OFFSET(Demand!$A$13,ROW(G178)-1,4+((QUOTIENT(COLUMN(BW$2)-69,3))*5)+MOD(COLUMN(BW$2),3),1,1),"")</f>
        <v>0</v>
      </c>
      <c r="BX181">
        <f ca="1">IF($AN181="",OFFSET(Demand!$A$13,ROW(H178)-1,4+((QUOTIENT(COLUMN(BX$2)-69,3))*5)+MOD(COLUMN(BX$2),3),1,1),"")</f>
        <v>0</v>
      </c>
      <c r="BY181">
        <f ca="1">IF($AN181="",OFFSET(Demand!$A$13,ROW(I178)-1,4+((QUOTIENT(COLUMN(BY$2)-69,3))*5)+MOD(COLUMN(BY$2),3),1,1),"")</f>
        <v>0</v>
      </c>
      <c r="BZ181">
        <f ca="1">IF($AN181="",OFFSET(Demand!$A$13,ROW(J178)-1,4+((QUOTIENT(COLUMN(BZ$2)-69,3))*5)+MOD(COLUMN(BZ$2),3),1,1),"")</f>
        <v>0</v>
      </c>
      <c r="CA181">
        <f ca="1">IF($AN181="",OFFSET(Demand!$A$13,ROW(K178)-1,4+((QUOTIENT(COLUMN(CA$2)-69,3))*5)+MOD(COLUMN(CA$2),3),1,1),"")</f>
        <v>0</v>
      </c>
      <c r="CB181">
        <f ca="1">IF($AN181="",OFFSET(Demand!$A$13,ROW(L178)-1,4+((QUOTIENT(COLUMN(CB$2)-69,3))*5)+MOD(COLUMN(CB$2),3),1,1),"")</f>
        <v>0</v>
      </c>
      <c r="CC181">
        <f ca="1">IF($AN181="",OFFSET(Demand!$A$13,ROW(M178)-1,4+((QUOTIENT(COLUMN(CC$2)-69,3))*5)+MOD(COLUMN(CC$2),3),1,1),"")</f>
        <v>0</v>
      </c>
      <c r="CD181">
        <f ca="1">IF($AN181="",OFFSET(Demand!$A$13,ROW(N178)-1,4+((QUOTIENT(COLUMN(CD$2)-69,3))*5)+MOD(COLUMN(CD$2),3),1,1),"")</f>
        <v>0</v>
      </c>
      <c r="CE181">
        <f ca="1">IF($AN181="",OFFSET(Demand!$A$13,ROW(O178)-1,4+((QUOTIENT(COLUMN(CE$2)-69,3))*5)+MOD(COLUMN(CE$2),3),1,1),"")</f>
        <v>0</v>
      </c>
      <c r="CF181">
        <f ca="1">IF($AN181="",OFFSET(Demand!$A$13,ROW(P178)-1,4+((QUOTIENT(COLUMN(CF$2)-69,3))*5)+MOD(COLUMN(CF$2),3),1,1),"")</f>
        <v>0</v>
      </c>
      <c r="CG181">
        <f ca="1">IF($AN181="",OFFSET(Demand!$A$13,ROW(Q178)-1,4+((QUOTIENT(COLUMN(CG$2)-69,3))*5)+MOD(COLUMN(CG$2),3),1,1),"")</f>
        <v>0</v>
      </c>
      <c r="CH181">
        <f ca="1">IF($AN181="",OFFSET(Demand!$A$13,ROW(R178)-1,4+((QUOTIENT(COLUMN(CH$2)-69,3))*5)+MOD(COLUMN(CH$2),3),1,1),"")</f>
        <v>0</v>
      </c>
      <c r="CI181">
        <f ca="1">IF($AN181="",OFFSET(Demand!$A$13,ROW(S178)-1,4+((QUOTIENT(COLUMN(CI$2)-69,3))*5)+MOD(COLUMN(CI$2),3),1,1),"")</f>
        <v>0</v>
      </c>
      <c r="CJ181">
        <f ca="1">IF($AN181="",OFFSET(Demand!$A$13,ROW(T178)-1,4+((QUOTIENT(COLUMN(CJ$2)-69,3))*5)+MOD(COLUMN(CJ$2),3),1,1),"")</f>
        <v>0</v>
      </c>
      <c r="CK181">
        <f ca="1">IF($AN181="",OFFSET(Demand!$A$13,ROW(U178)-1,4+((QUOTIENT(COLUMN(CK$2)-69,3))*5)+MOD(COLUMN(CK$2),3),1,1),"")</f>
        <v>0</v>
      </c>
      <c r="CL181">
        <f ca="1">IF($AN181="",OFFSET(Demand!$A$13,ROW(V178)-1,4+((QUOTIENT(COLUMN(CL$2)-69,3))*5)+MOD(COLUMN(CL$2),3),1,1),"")</f>
        <v>0</v>
      </c>
      <c r="CM181">
        <f ca="1">IF($AN181="",OFFSET(Demand!$A$13,ROW(W178)-1,4+((QUOTIENT(COLUMN(CM$2)-69,3))*5)+MOD(COLUMN(CM$2),3),1,1),"")</f>
        <v>0</v>
      </c>
      <c r="CN181">
        <f ca="1">IF($AN181="",OFFSET(Demand!$A$13,ROW(X178)-1,4+((QUOTIENT(COLUMN(CN$2)-69,3))*5)+MOD(COLUMN(CN$2),3),1,1),"")</f>
        <v>0</v>
      </c>
      <c r="CO181">
        <f ca="1">IF($AN181="",OFFSET(Demand!$A$13,ROW(Y178)-1,4+((QUOTIENT(COLUMN(CO$2)-69,3))*5)+MOD(COLUMN(CO$2),3),1,1),"")</f>
        <v>0</v>
      </c>
      <c r="CP181">
        <f ca="1">IF($AN181="",OFFSET(Demand!$A$13,ROW(Z178)-1,4+((QUOTIENT(COLUMN(CP$2)-69,3))*5)+MOD(COLUMN(CP$2),3),1,1),"")</f>
        <v>0</v>
      </c>
      <c r="CQ181">
        <f ca="1">IF($AN181="",OFFSET(Demand!$A$13,ROW(AA178)-1,4+((QUOTIENT(COLUMN(CQ$2)-69,3))*5)+MOD(COLUMN(CQ$2),3),1,1),"")</f>
        <v>0</v>
      </c>
      <c r="CR181">
        <f ca="1">IF($AN181="",OFFSET(Demand!$A$13,ROW(AB178)-1,4+((QUOTIENT(COLUMN(CR$2)-69,3))*5)+MOD(COLUMN(CR$2),3),1,1),"")</f>
        <v>0</v>
      </c>
      <c r="CS181">
        <f ca="1">IF($AN181="",OFFSET(Demand!$A$13,ROW(AC178)-1,4+((QUOTIENT(COLUMN(CS$2)-69,3))*5)+MOD(COLUMN(CS$2),3),1,1),"")</f>
        <v>0</v>
      </c>
      <c r="CT181">
        <f ca="1">IF($AN181="",OFFSET(Demand!$A$13,ROW(AD178)-1,4+((QUOTIENT(COLUMN(CT$2)-69,3))*5)+MOD(COLUMN(CT$2),3),1,1),"")</f>
        <v>0</v>
      </c>
      <c r="CW181" s="5">
        <f ca="1">SUM(OFFSET(Demand!$H$43,ROW(A178)-1,(COLUMN(A178)-1)*5,1,1))*N$2</f>
        <v>0</v>
      </c>
      <c r="CX181" s="5">
        <f ca="1">SUM(OFFSET(Demand!$H$43,ROW(B178)-1,(COLUMN(B178)-1)*5,1,1))*O$2</f>
        <v>0</v>
      </c>
      <c r="CY181" s="5">
        <f ca="1">SUM(OFFSET(Demand!$H$43,ROW(C178)-1,(COLUMN(C178)-1)*5,1,1))*P$2</f>
        <v>0</v>
      </c>
      <c r="CZ181" s="5">
        <f ca="1">SUM(OFFSET(Demand!$H$43,ROW(D178)-1,(COLUMN(D178)-1)*5,1,1))*Q$2</f>
        <v>0</v>
      </c>
      <c r="DA181" s="5">
        <f ca="1">SUM(OFFSET(Demand!$H$43,ROW(E178)-1,(COLUMN(E178)-1)*5,1,1))*R$2</f>
        <v>0</v>
      </c>
      <c r="DB181" s="5">
        <f ca="1">SUM(OFFSET(Demand!$H$43,ROW(F178)-1,(COLUMN(F178)-1)*5,1,1))*S$2</f>
        <v>0</v>
      </c>
      <c r="DC181" s="5">
        <f ca="1">SUM(OFFSET(Demand!$H$43,ROW(G178)-1,(COLUMN(G178)-1)*5,1,1))*T$2</f>
        <v>0</v>
      </c>
      <c r="DD181" s="5">
        <f ca="1">SUM(OFFSET(Demand!$H$43,ROW(H178)-1,(COLUMN(H178)-1)*5,1,1))*U$2</f>
        <v>0</v>
      </c>
      <c r="DE181" s="5">
        <f ca="1">SUM(OFFSET(Demand!$H$43,ROW(I178)-1,(COLUMN(I178)-1)*5,1,1))*V$2</f>
        <v>0</v>
      </c>
      <c r="DF181" s="5">
        <f ca="1">SUM(OFFSET(Demand!$H$43,ROW(J178)-1,(COLUMN(J178)-1)*5,1,1))*W$2</f>
        <v>0</v>
      </c>
      <c r="DG181" s="5">
        <f ca="1">IF(OR(AN181&lt;&gt;"",AND('Demand adjustments for Covid'!$F$9="Yes",'Demand adjustments for Covid'!$F$20="Yes")),"",SUM(CW181:DF181))</f>
        <v>0</v>
      </c>
    </row>
    <row r="182" spans="1:111" x14ac:dyDescent="0.25">
      <c r="A182" s="5">
        <f t="shared" ca="1" si="43"/>
        <v>1</v>
      </c>
      <c r="B182" s="5">
        <f ca="1">COUNTBLANK(OFFSET(Demand!$I191,0,(COLUMN(A179)-1)*5,1,1))</f>
        <v>1</v>
      </c>
      <c r="C182" s="5">
        <f ca="1">COUNTBLANK(OFFSET(Demand!$I191,0,(COLUMN(B179)-1)*5,1,1))</f>
        <v>1</v>
      </c>
      <c r="D182" s="5">
        <f ca="1">COUNTBLANK(OFFSET(Demand!$I191,0,(COLUMN(C179)-1)*5,1,1))</f>
        <v>1</v>
      </c>
      <c r="E182" s="5">
        <f ca="1">COUNTBLANK(OFFSET(Demand!$I191,0,(COLUMN(D179)-1)*5,1,1))</f>
        <v>1</v>
      </c>
      <c r="F182" s="5">
        <f ca="1">COUNTBLANK(OFFSET(Demand!$I191,0,(COLUMN(E179)-1)*5,1,1))</f>
        <v>1</v>
      </c>
      <c r="G182" s="5">
        <f ca="1">COUNTBLANK(OFFSET(Demand!$I191,0,(COLUMN(F179)-1)*5,1,1))</f>
        <v>1</v>
      </c>
      <c r="H182" s="5">
        <f ca="1">COUNTBLANK(OFFSET(Demand!$I191,0,(COLUMN(G179)-1)*5,1,1))</f>
        <v>1</v>
      </c>
      <c r="I182" s="5">
        <f ca="1">COUNTBLANK(OFFSET(Demand!$I191,0,(COLUMN(H179)-1)*5,1,1))</f>
        <v>1</v>
      </c>
      <c r="J182" s="5">
        <f ca="1">COUNTBLANK(OFFSET(Demand!$I191,0,(COLUMN(I179)-1)*5,1,1))</f>
        <v>1</v>
      </c>
      <c r="K182" s="5">
        <f ca="1">COUNTBLANK(OFFSET(Demand!$I191,0,(COLUMN(J179)-1)*5,1,1))</f>
        <v>1</v>
      </c>
      <c r="N182" s="5">
        <f ca="1">SUM(OFFSET(Demand!$E191,0,(COLUMN(A179)-1)*5,1,3))*N$2</f>
        <v>0</v>
      </c>
      <c r="O182" s="5">
        <f ca="1">SUM(OFFSET(Demand!$E191,0,(COLUMN(B179)-1)*5,1,3))*O$2</f>
        <v>0</v>
      </c>
      <c r="P182" s="5">
        <f ca="1">SUM(OFFSET(Demand!$E191,0,(COLUMN(C179)-1)*5,1,3))*P$2</f>
        <v>0</v>
      </c>
      <c r="Q182" s="5">
        <f ca="1">SUM(OFFSET(Demand!$E191,0,(COLUMN(D179)-1)*5,1,3))*Q$2</f>
        <v>0</v>
      </c>
      <c r="R182" s="5">
        <f ca="1">SUM(OFFSET(Demand!$E191,0,(COLUMN(E179)-1)*5,1,3))*R$2</f>
        <v>0</v>
      </c>
      <c r="S182" s="5">
        <f ca="1">SUM(OFFSET(Demand!$E191,0,(COLUMN(F179)-1)*5,1,3))*S$2</f>
        <v>0</v>
      </c>
      <c r="T182" s="5">
        <f ca="1">SUM(OFFSET(Demand!$E191,0,(COLUMN(G179)-1)*5,1,3))*T$2</f>
        <v>0</v>
      </c>
      <c r="U182" s="5">
        <f ca="1">SUM(OFFSET(Demand!$E191,0,(COLUMN(H179)-1)*5,1,3))*U$2</f>
        <v>0</v>
      </c>
      <c r="V182" s="5">
        <f ca="1">SUM(OFFSET(Demand!$E191,0,(COLUMN(I179)-1)*5,1,3))*V$2</f>
        <v>0</v>
      </c>
      <c r="W182" s="5">
        <f ca="1">SUM(OFFSET(Demand!$E191,0,(COLUMN(J179)-1)*5,1,3))*W$2</f>
        <v>0</v>
      </c>
      <c r="X182" s="5">
        <f t="shared" ca="1" si="44"/>
        <v>0</v>
      </c>
      <c r="Y182">
        <f t="shared" ca="1" si="45"/>
        <v>0</v>
      </c>
      <c r="Z182" s="5">
        <f ca="1">SUM(OFFSET(Demand!$H191,0,(COLUMN(A179)-1)*5,1,1))*N$2</f>
        <v>0</v>
      </c>
      <c r="AA182" s="5">
        <f ca="1">SUM(OFFSET(Demand!$H191,0,(COLUMN(B179)-1)*5,1,1))*O$2</f>
        <v>0</v>
      </c>
      <c r="AB182" s="5">
        <f ca="1">SUM(OFFSET(Demand!$H191,0,(COLUMN(C179)-1)*5,1,1))*P$2</f>
        <v>0</v>
      </c>
      <c r="AC182" s="5">
        <f ca="1">SUM(OFFSET(Demand!$H191,0,(COLUMN(D179)-1)*5,1,1))*Q$2</f>
        <v>0</v>
      </c>
      <c r="AD182" s="5">
        <f ca="1">SUM(OFFSET(Demand!$H191,0,(COLUMN(E179)-1)*5,1,1))*R$2</f>
        <v>0</v>
      </c>
      <c r="AE182" s="5">
        <f ca="1">SUM(OFFSET(Demand!$H191,0,(COLUMN(F179)-1)*5,1,1))*S$2</f>
        <v>0</v>
      </c>
      <c r="AF182" s="5">
        <f ca="1">SUM(OFFSET(Demand!$H191,0,(COLUMN(G179)-1)*5,1,1))*T$2</f>
        <v>0</v>
      </c>
      <c r="AG182" s="5">
        <f ca="1">SUM(OFFSET(Demand!$H191,0,(COLUMN(H179)-1)*5,1,1))*U$2</f>
        <v>0</v>
      </c>
      <c r="AH182" s="5">
        <f ca="1">SUM(OFFSET(Demand!$H191,0,(COLUMN(I179)-1)*5,1,1))*V$2</f>
        <v>0</v>
      </c>
      <c r="AI182" s="5">
        <f ca="1">SUM(OFFSET(Demand!$H191,0,(COLUMN(J179)-1)*5,1,1))*W$2</f>
        <v>0</v>
      </c>
      <c r="AJ182" s="5">
        <f t="shared" ca="1" si="46"/>
        <v>0</v>
      </c>
      <c r="AL182" s="5">
        <f t="shared" ca="1" si="47"/>
        <v>0</v>
      </c>
      <c r="AM182" s="5">
        <f t="shared" ca="1" si="48"/>
        <v>0</v>
      </c>
      <c r="AN182" s="5" t="str">
        <f>IF(Demand!BE191="Yes","Yes","")</f>
        <v/>
      </c>
      <c r="AP182" s="36" t="str">
        <f ca="1">Demand!B191</f>
        <v xml:space="preserve"> </v>
      </c>
      <c r="AQ182" t="str">
        <f ca="1">IF(TEXT(Demand!D191,"MMM")&lt;&gt;TEXT(Demand!D190,"MMM"),TEXT(Demand!D191,"MMM"),"")</f>
        <v/>
      </c>
      <c r="AT182" s="5">
        <f t="shared" ca="1" si="49"/>
        <v>0</v>
      </c>
      <c r="BQ182">
        <f ca="1">IF($AN182="",OFFSET(Demand!$A$13,ROW(A179)-1,4+((QUOTIENT(COLUMN(BQ$2)-69,3))*5)+MOD(COLUMN(BQ$2),3),1,1),"")</f>
        <v>0</v>
      </c>
      <c r="BR182">
        <f ca="1">IF($AN182="",OFFSET(Demand!$A$13,ROW(B179)-1,4+((QUOTIENT(COLUMN(BR$2)-69,3))*5)+MOD(COLUMN(BR$2),3),1,1),"")</f>
        <v>0</v>
      </c>
      <c r="BS182">
        <f ca="1">IF($AN182="",OFFSET(Demand!$A$13,ROW(C179)-1,4+((QUOTIENT(COLUMN(BS$2)-69,3))*5)+MOD(COLUMN(BS$2),3),1,1),"")</f>
        <v>0</v>
      </c>
      <c r="BT182">
        <f ca="1">IF($AN182="",OFFSET(Demand!$A$13,ROW(D179)-1,4+((QUOTIENT(COLUMN(BT$2)-69,3))*5)+MOD(COLUMN(BT$2),3),1,1),"")</f>
        <v>0</v>
      </c>
      <c r="BU182">
        <f ca="1">IF($AN182="",OFFSET(Demand!$A$13,ROW(E179)-1,4+((QUOTIENT(COLUMN(BU$2)-69,3))*5)+MOD(COLUMN(BU$2),3),1,1),"")</f>
        <v>0</v>
      </c>
      <c r="BV182">
        <f ca="1">IF($AN182="",OFFSET(Demand!$A$13,ROW(F179)-1,4+((QUOTIENT(COLUMN(BV$2)-69,3))*5)+MOD(COLUMN(BV$2),3),1,1),"")</f>
        <v>0</v>
      </c>
      <c r="BW182">
        <f ca="1">IF($AN182="",OFFSET(Demand!$A$13,ROW(G179)-1,4+((QUOTIENT(COLUMN(BW$2)-69,3))*5)+MOD(COLUMN(BW$2),3),1,1),"")</f>
        <v>0</v>
      </c>
      <c r="BX182">
        <f ca="1">IF($AN182="",OFFSET(Demand!$A$13,ROW(H179)-1,4+((QUOTIENT(COLUMN(BX$2)-69,3))*5)+MOD(COLUMN(BX$2),3),1,1),"")</f>
        <v>0</v>
      </c>
      <c r="BY182">
        <f ca="1">IF($AN182="",OFFSET(Demand!$A$13,ROW(I179)-1,4+((QUOTIENT(COLUMN(BY$2)-69,3))*5)+MOD(COLUMN(BY$2),3),1,1),"")</f>
        <v>0</v>
      </c>
      <c r="BZ182">
        <f ca="1">IF($AN182="",OFFSET(Demand!$A$13,ROW(J179)-1,4+((QUOTIENT(COLUMN(BZ$2)-69,3))*5)+MOD(COLUMN(BZ$2),3),1,1),"")</f>
        <v>0</v>
      </c>
      <c r="CA182">
        <f ca="1">IF($AN182="",OFFSET(Demand!$A$13,ROW(K179)-1,4+((QUOTIENT(COLUMN(CA$2)-69,3))*5)+MOD(COLUMN(CA$2),3),1,1),"")</f>
        <v>0</v>
      </c>
      <c r="CB182">
        <f ca="1">IF($AN182="",OFFSET(Demand!$A$13,ROW(L179)-1,4+((QUOTIENT(COLUMN(CB$2)-69,3))*5)+MOD(COLUMN(CB$2),3),1,1),"")</f>
        <v>0</v>
      </c>
      <c r="CC182">
        <f ca="1">IF($AN182="",OFFSET(Demand!$A$13,ROW(M179)-1,4+((QUOTIENT(COLUMN(CC$2)-69,3))*5)+MOD(COLUMN(CC$2),3),1,1),"")</f>
        <v>0</v>
      </c>
      <c r="CD182">
        <f ca="1">IF($AN182="",OFFSET(Demand!$A$13,ROW(N179)-1,4+((QUOTIENT(COLUMN(CD$2)-69,3))*5)+MOD(COLUMN(CD$2),3),1,1),"")</f>
        <v>0</v>
      </c>
      <c r="CE182">
        <f ca="1">IF($AN182="",OFFSET(Demand!$A$13,ROW(O179)-1,4+((QUOTIENT(COLUMN(CE$2)-69,3))*5)+MOD(COLUMN(CE$2),3),1,1),"")</f>
        <v>0</v>
      </c>
      <c r="CF182">
        <f ca="1">IF($AN182="",OFFSET(Demand!$A$13,ROW(P179)-1,4+((QUOTIENT(COLUMN(CF$2)-69,3))*5)+MOD(COLUMN(CF$2),3),1,1),"")</f>
        <v>0</v>
      </c>
      <c r="CG182">
        <f ca="1">IF($AN182="",OFFSET(Demand!$A$13,ROW(Q179)-1,4+((QUOTIENT(COLUMN(CG$2)-69,3))*5)+MOD(COLUMN(CG$2),3),1,1),"")</f>
        <v>0</v>
      </c>
      <c r="CH182">
        <f ca="1">IF($AN182="",OFFSET(Demand!$A$13,ROW(R179)-1,4+((QUOTIENT(COLUMN(CH$2)-69,3))*5)+MOD(COLUMN(CH$2),3),1,1),"")</f>
        <v>0</v>
      </c>
      <c r="CI182">
        <f ca="1">IF($AN182="",OFFSET(Demand!$A$13,ROW(S179)-1,4+((QUOTIENT(COLUMN(CI$2)-69,3))*5)+MOD(COLUMN(CI$2),3),1,1),"")</f>
        <v>0</v>
      </c>
      <c r="CJ182">
        <f ca="1">IF($AN182="",OFFSET(Demand!$A$13,ROW(T179)-1,4+((QUOTIENT(COLUMN(CJ$2)-69,3))*5)+MOD(COLUMN(CJ$2),3),1,1),"")</f>
        <v>0</v>
      </c>
      <c r="CK182">
        <f ca="1">IF($AN182="",OFFSET(Demand!$A$13,ROW(U179)-1,4+((QUOTIENT(COLUMN(CK$2)-69,3))*5)+MOD(COLUMN(CK$2),3),1,1),"")</f>
        <v>0</v>
      </c>
      <c r="CL182">
        <f ca="1">IF($AN182="",OFFSET(Demand!$A$13,ROW(V179)-1,4+((QUOTIENT(COLUMN(CL$2)-69,3))*5)+MOD(COLUMN(CL$2),3),1,1),"")</f>
        <v>0</v>
      </c>
      <c r="CM182">
        <f ca="1">IF($AN182="",OFFSET(Demand!$A$13,ROW(W179)-1,4+((QUOTIENT(COLUMN(CM$2)-69,3))*5)+MOD(COLUMN(CM$2),3),1,1),"")</f>
        <v>0</v>
      </c>
      <c r="CN182">
        <f ca="1">IF($AN182="",OFFSET(Demand!$A$13,ROW(X179)-1,4+((QUOTIENT(COLUMN(CN$2)-69,3))*5)+MOD(COLUMN(CN$2),3),1,1),"")</f>
        <v>0</v>
      </c>
      <c r="CO182">
        <f ca="1">IF($AN182="",OFFSET(Demand!$A$13,ROW(Y179)-1,4+((QUOTIENT(COLUMN(CO$2)-69,3))*5)+MOD(COLUMN(CO$2),3),1,1),"")</f>
        <v>0</v>
      </c>
      <c r="CP182">
        <f ca="1">IF($AN182="",OFFSET(Demand!$A$13,ROW(Z179)-1,4+((QUOTIENT(COLUMN(CP$2)-69,3))*5)+MOD(COLUMN(CP$2),3),1,1),"")</f>
        <v>0</v>
      </c>
      <c r="CQ182">
        <f ca="1">IF($AN182="",OFFSET(Demand!$A$13,ROW(AA179)-1,4+((QUOTIENT(COLUMN(CQ$2)-69,3))*5)+MOD(COLUMN(CQ$2),3),1,1),"")</f>
        <v>0</v>
      </c>
      <c r="CR182">
        <f ca="1">IF($AN182="",OFFSET(Demand!$A$13,ROW(AB179)-1,4+((QUOTIENT(COLUMN(CR$2)-69,3))*5)+MOD(COLUMN(CR$2),3),1,1),"")</f>
        <v>0</v>
      </c>
      <c r="CS182">
        <f ca="1">IF($AN182="",OFFSET(Demand!$A$13,ROW(AC179)-1,4+((QUOTIENT(COLUMN(CS$2)-69,3))*5)+MOD(COLUMN(CS$2),3),1,1),"")</f>
        <v>0</v>
      </c>
      <c r="CT182">
        <f ca="1">IF($AN182="",OFFSET(Demand!$A$13,ROW(AD179)-1,4+((QUOTIENT(COLUMN(CT$2)-69,3))*5)+MOD(COLUMN(CT$2),3),1,1),"")</f>
        <v>0</v>
      </c>
      <c r="CW182" s="5">
        <f ca="1">SUM(OFFSET(Demand!$H$43,ROW(A179)-1,(COLUMN(A179)-1)*5,1,1))*N$2</f>
        <v>0</v>
      </c>
      <c r="CX182" s="5">
        <f ca="1">SUM(OFFSET(Demand!$H$43,ROW(B179)-1,(COLUMN(B179)-1)*5,1,1))*O$2</f>
        <v>0</v>
      </c>
      <c r="CY182" s="5">
        <f ca="1">SUM(OFFSET(Demand!$H$43,ROW(C179)-1,(COLUMN(C179)-1)*5,1,1))*P$2</f>
        <v>0</v>
      </c>
      <c r="CZ182" s="5">
        <f ca="1">SUM(OFFSET(Demand!$H$43,ROW(D179)-1,(COLUMN(D179)-1)*5,1,1))*Q$2</f>
        <v>0</v>
      </c>
      <c r="DA182" s="5">
        <f ca="1">SUM(OFFSET(Demand!$H$43,ROW(E179)-1,(COLUMN(E179)-1)*5,1,1))*R$2</f>
        <v>0</v>
      </c>
      <c r="DB182" s="5">
        <f ca="1">SUM(OFFSET(Demand!$H$43,ROW(F179)-1,(COLUMN(F179)-1)*5,1,1))*S$2</f>
        <v>0</v>
      </c>
      <c r="DC182" s="5">
        <f ca="1">SUM(OFFSET(Demand!$H$43,ROW(G179)-1,(COLUMN(G179)-1)*5,1,1))*T$2</f>
        <v>0</v>
      </c>
      <c r="DD182" s="5">
        <f ca="1">SUM(OFFSET(Demand!$H$43,ROW(H179)-1,(COLUMN(H179)-1)*5,1,1))*U$2</f>
        <v>0</v>
      </c>
      <c r="DE182" s="5">
        <f ca="1">SUM(OFFSET(Demand!$H$43,ROW(I179)-1,(COLUMN(I179)-1)*5,1,1))*V$2</f>
        <v>0</v>
      </c>
      <c r="DF182" s="5">
        <f ca="1">SUM(OFFSET(Demand!$H$43,ROW(J179)-1,(COLUMN(J179)-1)*5,1,1))*W$2</f>
        <v>0</v>
      </c>
      <c r="DG182" s="5">
        <f ca="1">IF(OR(AN182&lt;&gt;"",AND('Demand adjustments for Covid'!$F$9="Yes",'Demand adjustments for Covid'!$F$20="Yes")),"",SUM(CW182:DF182))</f>
        <v>0</v>
      </c>
    </row>
    <row r="183" spans="1:111" x14ac:dyDescent="0.25">
      <c r="A183" s="5">
        <f t="shared" ca="1" si="43"/>
        <v>1</v>
      </c>
      <c r="B183" s="5">
        <f ca="1">COUNTBLANK(OFFSET(Demand!$I192,0,(COLUMN(A180)-1)*5,1,1))</f>
        <v>1</v>
      </c>
      <c r="C183" s="5">
        <f ca="1">COUNTBLANK(OFFSET(Demand!$I192,0,(COLUMN(B180)-1)*5,1,1))</f>
        <v>1</v>
      </c>
      <c r="D183" s="5">
        <f ca="1">COUNTBLANK(OFFSET(Demand!$I192,0,(COLUMN(C180)-1)*5,1,1))</f>
        <v>1</v>
      </c>
      <c r="E183" s="5">
        <f ca="1">COUNTBLANK(OFFSET(Demand!$I192,0,(COLUMN(D180)-1)*5,1,1))</f>
        <v>1</v>
      </c>
      <c r="F183" s="5">
        <f ca="1">COUNTBLANK(OFFSET(Demand!$I192,0,(COLUMN(E180)-1)*5,1,1))</f>
        <v>1</v>
      </c>
      <c r="G183" s="5">
        <f ca="1">COUNTBLANK(OFFSET(Demand!$I192,0,(COLUMN(F180)-1)*5,1,1))</f>
        <v>1</v>
      </c>
      <c r="H183" s="5">
        <f ca="1">COUNTBLANK(OFFSET(Demand!$I192,0,(COLUMN(G180)-1)*5,1,1))</f>
        <v>1</v>
      </c>
      <c r="I183" s="5">
        <f ca="1">COUNTBLANK(OFFSET(Demand!$I192,0,(COLUMN(H180)-1)*5,1,1))</f>
        <v>1</v>
      </c>
      <c r="J183" s="5">
        <f ca="1">COUNTBLANK(OFFSET(Demand!$I192,0,(COLUMN(I180)-1)*5,1,1))</f>
        <v>1</v>
      </c>
      <c r="K183" s="5">
        <f ca="1">COUNTBLANK(OFFSET(Demand!$I192,0,(COLUMN(J180)-1)*5,1,1))</f>
        <v>1</v>
      </c>
      <c r="N183" s="5">
        <f ca="1">SUM(OFFSET(Demand!$E192,0,(COLUMN(A180)-1)*5,1,3))*N$2</f>
        <v>0</v>
      </c>
      <c r="O183" s="5">
        <f ca="1">SUM(OFFSET(Demand!$E192,0,(COLUMN(B180)-1)*5,1,3))*O$2</f>
        <v>0</v>
      </c>
      <c r="P183" s="5">
        <f ca="1">SUM(OFFSET(Demand!$E192,0,(COLUMN(C180)-1)*5,1,3))*P$2</f>
        <v>0</v>
      </c>
      <c r="Q183" s="5">
        <f ca="1">SUM(OFFSET(Demand!$E192,0,(COLUMN(D180)-1)*5,1,3))*Q$2</f>
        <v>0</v>
      </c>
      <c r="R183" s="5">
        <f ca="1">SUM(OFFSET(Demand!$E192,0,(COLUMN(E180)-1)*5,1,3))*R$2</f>
        <v>0</v>
      </c>
      <c r="S183" s="5">
        <f ca="1">SUM(OFFSET(Demand!$E192,0,(COLUMN(F180)-1)*5,1,3))*S$2</f>
        <v>0</v>
      </c>
      <c r="T183" s="5">
        <f ca="1">SUM(OFFSET(Demand!$E192,0,(COLUMN(G180)-1)*5,1,3))*T$2</f>
        <v>0</v>
      </c>
      <c r="U183" s="5">
        <f ca="1">SUM(OFFSET(Demand!$E192,0,(COLUMN(H180)-1)*5,1,3))*U$2</f>
        <v>0</v>
      </c>
      <c r="V183" s="5">
        <f ca="1">SUM(OFFSET(Demand!$E192,0,(COLUMN(I180)-1)*5,1,3))*V$2</f>
        <v>0</v>
      </c>
      <c r="W183" s="5">
        <f ca="1">SUM(OFFSET(Demand!$E192,0,(COLUMN(J180)-1)*5,1,3))*W$2</f>
        <v>0</v>
      </c>
      <c r="X183" s="5">
        <f t="shared" ca="1" si="44"/>
        <v>0</v>
      </c>
      <c r="Y183">
        <f t="shared" ca="1" si="45"/>
        <v>0</v>
      </c>
      <c r="Z183" s="5">
        <f ca="1">SUM(OFFSET(Demand!$H192,0,(COLUMN(A180)-1)*5,1,1))*N$2</f>
        <v>0</v>
      </c>
      <c r="AA183" s="5">
        <f ca="1">SUM(OFFSET(Demand!$H192,0,(COLUMN(B180)-1)*5,1,1))*O$2</f>
        <v>0</v>
      </c>
      <c r="AB183" s="5">
        <f ca="1">SUM(OFFSET(Demand!$H192,0,(COLUMN(C180)-1)*5,1,1))*P$2</f>
        <v>0</v>
      </c>
      <c r="AC183" s="5">
        <f ca="1">SUM(OFFSET(Demand!$H192,0,(COLUMN(D180)-1)*5,1,1))*Q$2</f>
        <v>0</v>
      </c>
      <c r="AD183" s="5">
        <f ca="1">SUM(OFFSET(Demand!$H192,0,(COLUMN(E180)-1)*5,1,1))*R$2</f>
        <v>0</v>
      </c>
      <c r="AE183" s="5">
        <f ca="1">SUM(OFFSET(Demand!$H192,0,(COLUMN(F180)-1)*5,1,1))*S$2</f>
        <v>0</v>
      </c>
      <c r="AF183" s="5">
        <f ca="1">SUM(OFFSET(Demand!$H192,0,(COLUMN(G180)-1)*5,1,1))*T$2</f>
        <v>0</v>
      </c>
      <c r="AG183" s="5">
        <f ca="1">SUM(OFFSET(Demand!$H192,0,(COLUMN(H180)-1)*5,1,1))*U$2</f>
        <v>0</v>
      </c>
      <c r="AH183" s="5">
        <f ca="1">SUM(OFFSET(Demand!$H192,0,(COLUMN(I180)-1)*5,1,1))*V$2</f>
        <v>0</v>
      </c>
      <c r="AI183" s="5">
        <f ca="1">SUM(OFFSET(Demand!$H192,0,(COLUMN(J180)-1)*5,1,1))*W$2</f>
        <v>0</v>
      </c>
      <c r="AJ183" s="5">
        <f t="shared" ca="1" si="46"/>
        <v>0</v>
      </c>
      <c r="AL183" s="5">
        <f t="shared" ca="1" si="47"/>
        <v>0</v>
      </c>
      <c r="AM183" s="5">
        <f t="shared" ca="1" si="48"/>
        <v>0</v>
      </c>
      <c r="AN183" s="5" t="str">
        <f>IF(Demand!BE192="Yes","Yes","")</f>
        <v/>
      </c>
      <c r="AP183" s="36" t="str">
        <f ca="1">Demand!B192</f>
        <v xml:space="preserve"> </v>
      </c>
      <c r="AQ183" t="str">
        <f ca="1">IF(TEXT(Demand!D192,"MMM")&lt;&gt;TEXT(Demand!D191,"MMM"),TEXT(Demand!D192,"MMM"),"")</f>
        <v/>
      </c>
      <c r="AT183" s="5">
        <f t="shared" ca="1" si="49"/>
        <v>0</v>
      </c>
      <c r="BQ183">
        <f ca="1">IF($AN183="",OFFSET(Demand!$A$13,ROW(A180)-1,4+((QUOTIENT(COLUMN(BQ$2)-69,3))*5)+MOD(COLUMN(BQ$2),3),1,1),"")</f>
        <v>0</v>
      </c>
      <c r="BR183">
        <f ca="1">IF($AN183="",OFFSET(Demand!$A$13,ROW(B180)-1,4+((QUOTIENT(COLUMN(BR$2)-69,3))*5)+MOD(COLUMN(BR$2),3),1,1),"")</f>
        <v>0</v>
      </c>
      <c r="BS183">
        <f ca="1">IF($AN183="",OFFSET(Demand!$A$13,ROW(C180)-1,4+((QUOTIENT(COLUMN(BS$2)-69,3))*5)+MOD(COLUMN(BS$2),3),1,1),"")</f>
        <v>0</v>
      </c>
      <c r="BT183">
        <f ca="1">IF($AN183="",OFFSET(Demand!$A$13,ROW(D180)-1,4+((QUOTIENT(COLUMN(BT$2)-69,3))*5)+MOD(COLUMN(BT$2),3),1,1),"")</f>
        <v>0</v>
      </c>
      <c r="BU183">
        <f ca="1">IF($AN183="",OFFSET(Demand!$A$13,ROW(E180)-1,4+((QUOTIENT(COLUMN(BU$2)-69,3))*5)+MOD(COLUMN(BU$2),3),1,1),"")</f>
        <v>0</v>
      </c>
      <c r="BV183">
        <f ca="1">IF($AN183="",OFFSET(Demand!$A$13,ROW(F180)-1,4+((QUOTIENT(COLUMN(BV$2)-69,3))*5)+MOD(COLUMN(BV$2),3),1,1),"")</f>
        <v>0</v>
      </c>
      <c r="BW183">
        <f ca="1">IF($AN183="",OFFSET(Demand!$A$13,ROW(G180)-1,4+((QUOTIENT(COLUMN(BW$2)-69,3))*5)+MOD(COLUMN(BW$2),3),1,1),"")</f>
        <v>0</v>
      </c>
      <c r="BX183">
        <f ca="1">IF($AN183="",OFFSET(Demand!$A$13,ROW(H180)-1,4+((QUOTIENT(COLUMN(BX$2)-69,3))*5)+MOD(COLUMN(BX$2),3),1,1),"")</f>
        <v>0</v>
      </c>
      <c r="BY183">
        <f ca="1">IF($AN183="",OFFSET(Demand!$A$13,ROW(I180)-1,4+((QUOTIENT(COLUMN(BY$2)-69,3))*5)+MOD(COLUMN(BY$2),3),1,1),"")</f>
        <v>0</v>
      </c>
      <c r="BZ183">
        <f ca="1">IF($AN183="",OFFSET(Demand!$A$13,ROW(J180)-1,4+((QUOTIENT(COLUMN(BZ$2)-69,3))*5)+MOD(COLUMN(BZ$2),3),1,1),"")</f>
        <v>0</v>
      </c>
      <c r="CA183">
        <f ca="1">IF($AN183="",OFFSET(Demand!$A$13,ROW(K180)-1,4+((QUOTIENT(COLUMN(CA$2)-69,3))*5)+MOD(COLUMN(CA$2),3),1,1),"")</f>
        <v>0</v>
      </c>
      <c r="CB183">
        <f ca="1">IF($AN183="",OFFSET(Demand!$A$13,ROW(L180)-1,4+((QUOTIENT(COLUMN(CB$2)-69,3))*5)+MOD(COLUMN(CB$2),3),1,1),"")</f>
        <v>0</v>
      </c>
      <c r="CC183">
        <f ca="1">IF($AN183="",OFFSET(Demand!$A$13,ROW(M180)-1,4+((QUOTIENT(COLUMN(CC$2)-69,3))*5)+MOD(COLUMN(CC$2),3),1,1),"")</f>
        <v>0</v>
      </c>
      <c r="CD183">
        <f ca="1">IF($AN183="",OFFSET(Demand!$A$13,ROW(N180)-1,4+((QUOTIENT(COLUMN(CD$2)-69,3))*5)+MOD(COLUMN(CD$2),3),1,1),"")</f>
        <v>0</v>
      </c>
      <c r="CE183">
        <f ca="1">IF($AN183="",OFFSET(Demand!$A$13,ROW(O180)-1,4+((QUOTIENT(COLUMN(CE$2)-69,3))*5)+MOD(COLUMN(CE$2),3),1,1),"")</f>
        <v>0</v>
      </c>
      <c r="CF183">
        <f ca="1">IF($AN183="",OFFSET(Demand!$A$13,ROW(P180)-1,4+((QUOTIENT(COLUMN(CF$2)-69,3))*5)+MOD(COLUMN(CF$2),3),1,1),"")</f>
        <v>0</v>
      </c>
      <c r="CG183">
        <f ca="1">IF($AN183="",OFFSET(Demand!$A$13,ROW(Q180)-1,4+((QUOTIENT(COLUMN(CG$2)-69,3))*5)+MOD(COLUMN(CG$2),3),1,1),"")</f>
        <v>0</v>
      </c>
      <c r="CH183">
        <f ca="1">IF($AN183="",OFFSET(Demand!$A$13,ROW(R180)-1,4+((QUOTIENT(COLUMN(CH$2)-69,3))*5)+MOD(COLUMN(CH$2),3),1,1),"")</f>
        <v>0</v>
      </c>
      <c r="CI183">
        <f ca="1">IF($AN183="",OFFSET(Demand!$A$13,ROW(S180)-1,4+((QUOTIENT(COLUMN(CI$2)-69,3))*5)+MOD(COLUMN(CI$2),3),1,1),"")</f>
        <v>0</v>
      </c>
      <c r="CJ183">
        <f ca="1">IF($AN183="",OFFSET(Demand!$A$13,ROW(T180)-1,4+((QUOTIENT(COLUMN(CJ$2)-69,3))*5)+MOD(COLUMN(CJ$2),3),1,1),"")</f>
        <v>0</v>
      </c>
      <c r="CK183">
        <f ca="1">IF($AN183="",OFFSET(Demand!$A$13,ROW(U180)-1,4+((QUOTIENT(COLUMN(CK$2)-69,3))*5)+MOD(COLUMN(CK$2),3),1,1),"")</f>
        <v>0</v>
      </c>
      <c r="CL183">
        <f ca="1">IF($AN183="",OFFSET(Demand!$A$13,ROW(V180)-1,4+((QUOTIENT(COLUMN(CL$2)-69,3))*5)+MOD(COLUMN(CL$2),3),1,1),"")</f>
        <v>0</v>
      </c>
      <c r="CM183">
        <f ca="1">IF($AN183="",OFFSET(Demand!$A$13,ROW(W180)-1,4+((QUOTIENT(COLUMN(CM$2)-69,3))*5)+MOD(COLUMN(CM$2),3),1,1),"")</f>
        <v>0</v>
      </c>
      <c r="CN183">
        <f ca="1">IF($AN183="",OFFSET(Demand!$A$13,ROW(X180)-1,4+((QUOTIENT(COLUMN(CN$2)-69,3))*5)+MOD(COLUMN(CN$2),3),1,1),"")</f>
        <v>0</v>
      </c>
      <c r="CO183">
        <f ca="1">IF($AN183="",OFFSET(Demand!$A$13,ROW(Y180)-1,4+((QUOTIENT(COLUMN(CO$2)-69,3))*5)+MOD(COLUMN(CO$2),3),1,1),"")</f>
        <v>0</v>
      </c>
      <c r="CP183">
        <f ca="1">IF($AN183="",OFFSET(Demand!$A$13,ROW(Z180)-1,4+((QUOTIENT(COLUMN(CP$2)-69,3))*5)+MOD(COLUMN(CP$2),3),1,1),"")</f>
        <v>0</v>
      </c>
      <c r="CQ183">
        <f ca="1">IF($AN183="",OFFSET(Demand!$A$13,ROW(AA180)-1,4+((QUOTIENT(COLUMN(CQ$2)-69,3))*5)+MOD(COLUMN(CQ$2),3),1,1),"")</f>
        <v>0</v>
      </c>
      <c r="CR183">
        <f ca="1">IF($AN183="",OFFSET(Demand!$A$13,ROW(AB180)-1,4+((QUOTIENT(COLUMN(CR$2)-69,3))*5)+MOD(COLUMN(CR$2),3),1,1),"")</f>
        <v>0</v>
      </c>
      <c r="CS183">
        <f ca="1">IF($AN183="",OFFSET(Demand!$A$13,ROW(AC180)-1,4+((QUOTIENT(COLUMN(CS$2)-69,3))*5)+MOD(COLUMN(CS$2),3),1,1),"")</f>
        <v>0</v>
      </c>
      <c r="CT183">
        <f ca="1">IF($AN183="",OFFSET(Demand!$A$13,ROW(AD180)-1,4+((QUOTIENT(COLUMN(CT$2)-69,3))*5)+MOD(COLUMN(CT$2),3),1,1),"")</f>
        <v>0</v>
      </c>
      <c r="CW183" s="5">
        <f ca="1">SUM(OFFSET(Demand!$H$43,ROW(A180)-1,(COLUMN(A180)-1)*5,1,1))*N$2</f>
        <v>0</v>
      </c>
      <c r="CX183" s="5">
        <f ca="1">SUM(OFFSET(Demand!$H$43,ROW(B180)-1,(COLUMN(B180)-1)*5,1,1))*O$2</f>
        <v>0</v>
      </c>
      <c r="CY183" s="5">
        <f ca="1">SUM(OFFSET(Demand!$H$43,ROW(C180)-1,(COLUMN(C180)-1)*5,1,1))*P$2</f>
        <v>0</v>
      </c>
      <c r="CZ183" s="5">
        <f ca="1">SUM(OFFSET(Demand!$H$43,ROW(D180)-1,(COLUMN(D180)-1)*5,1,1))*Q$2</f>
        <v>0</v>
      </c>
      <c r="DA183" s="5">
        <f ca="1">SUM(OFFSET(Demand!$H$43,ROW(E180)-1,(COLUMN(E180)-1)*5,1,1))*R$2</f>
        <v>0</v>
      </c>
      <c r="DB183" s="5">
        <f ca="1">SUM(OFFSET(Demand!$H$43,ROW(F180)-1,(COLUMN(F180)-1)*5,1,1))*S$2</f>
        <v>0</v>
      </c>
      <c r="DC183" s="5">
        <f ca="1">SUM(OFFSET(Demand!$H$43,ROW(G180)-1,(COLUMN(G180)-1)*5,1,1))*T$2</f>
        <v>0</v>
      </c>
      <c r="DD183" s="5">
        <f ca="1">SUM(OFFSET(Demand!$H$43,ROW(H180)-1,(COLUMN(H180)-1)*5,1,1))*U$2</f>
        <v>0</v>
      </c>
      <c r="DE183" s="5">
        <f ca="1">SUM(OFFSET(Demand!$H$43,ROW(I180)-1,(COLUMN(I180)-1)*5,1,1))*V$2</f>
        <v>0</v>
      </c>
      <c r="DF183" s="5">
        <f ca="1">SUM(OFFSET(Demand!$H$43,ROW(J180)-1,(COLUMN(J180)-1)*5,1,1))*W$2</f>
        <v>0</v>
      </c>
      <c r="DG183" s="5">
        <f ca="1">IF(OR(AN183&lt;&gt;"",AND('Demand adjustments for Covid'!$F$9="Yes",'Demand adjustments for Covid'!$F$20="Yes")),"",SUM(CW183:DF183))</f>
        <v>0</v>
      </c>
    </row>
    <row r="184" spans="1:111" x14ac:dyDescent="0.25">
      <c r="A184" s="5">
        <f t="shared" ref="A184:A247" ca="1" si="50">SUM(OFFSET(B184,0,0,1,Num_Modalities))</f>
        <v>1</v>
      </c>
      <c r="B184" s="5">
        <f ca="1">COUNTBLANK(OFFSET(Demand!$I193,0,(COLUMN(A181)-1)*5,1,1))</f>
        <v>1</v>
      </c>
      <c r="C184" s="5">
        <f ca="1">COUNTBLANK(OFFSET(Demand!$I193,0,(COLUMN(B181)-1)*5,1,1))</f>
        <v>1</v>
      </c>
      <c r="D184" s="5">
        <f ca="1">COUNTBLANK(OFFSET(Demand!$I193,0,(COLUMN(C181)-1)*5,1,1))</f>
        <v>1</v>
      </c>
      <c r="E184" s="5">
        <f ca="1">COUNTBLANK(OFFSET(Demand!$I193,0,(COLUMN(D181)-1)*5,1,1))</f>
        <v>1</v>
      </c>
      <c r="F184" s="5">
        <f ca="1">COUNTBLANK(OFFSET(Demand!$I193,0,(COLUMN(E181)-1)*5,1,1))</f>
        <v>1</v>
      </c>
      <c r="G184" s="5">
        <f ca="1">COUNTBLANK(OFFSET(Demand!$I193,0,(COLUMN(F181)-1)*5,1,1))</f>
        <v>1</v>
      </c>
      <c r="H184" s="5">
        <f ca="1">COUNTBLANK(OFFSET(Demand!$I193,0,(COLUMN(G181)-1)*5,1,1))</f>
        <v>1</v>
      </c>
      <c r="I184" s="5">
        <f ca="1">COUNTBLANK(OFFSET(Demand!$I193,0,(COLUMN(H181)-1)*5,1,1))</f>
        <v>1</v>
      </c>
      <c r="J184" s="5">
        <f ca="1">COUNTBLANK(OFFSET(Demand!$I193,0,(COLUMN(I181)-1)*5,1,1))</f>
        <v>1</v>
      </c>
      <c r="K184" s="5">
        <f ca="1">COUNTBLANK(OFFSET(Demand!$I193,0,(COLUMN(J181)-1)*5,1,1))</f>
        <v>1</v>
      </c>
      <c r="N184" s="5">
        <f ca="1">SUM(OFFSET(Demand!$E193,0,(COLUMN(A181)-1)*5,1,3))*N$2</f>
        <v>0</v>
      </c>
      <c r="O184" s="5">
        <f ca="1">SUM(OFFSET(Demand!$E193,0,(COLUMN(B181)-1)*5,1,3))*O$2</f>
        <v>0</v>
      </c>
      <c r="P184" s="5">
        <f ca="1">SUM(OFFSET(Demand!$E193,0,(COLUMN(C181)-1)*5,1,3))*P$2</f>
        <v>0</v>
      </c>
      <c r="Q184" s="5">
        <f ca="1">SUM(OFFSET(Demand!$E193,0,(COLUMN(D181)-1)*5,1,3))*Q$2</f>
        <v>0</v>
      </c>
      <c r="R184" s="5">
        <f ca="1">SUM(OFFSET(Demand!$E193,0,(COLUMN(E181)-1)*5,1,3))*R$2</f>
        <v>0</v>
      </c>
      <c r="S184" s="5">
        <f ca="1">SUM(OFFSET(Demand!$E193,0,(COLUMN(F181)-1)*5,1,3))*S$2</f>
        <v>0</v>
      </c>
      <c r="T184" s="5">
        <f ca="1">SUM(OFFSET(Demand!$E193,0,(COLUMN(G181)-1)*5,1,3))*T$2</f>
        <v>0</v>
      </c>
      <c r="U184" s="5">
        <f ca="1">SUM(OFFSET(Demand!$E193,0,(COLUMN(H181)-1)*5,1,3))*U$2</f>
        <v>0</v>
      </c>
      <c r="V184" s="5">
        <f ca="1">SUM(OFFSET(Demand!$E193,0,(COLUMN(I181)-1)*5,1,3))*V$2</f>
        <v>0</v>
      </c>
      <c r="W184" s="5">
        <f ca="1">SUM(OFFSET(Demand!$E193,0,(COLUMN(J181)-1)*5,1,3))*W$2</f>
        <v>0</v>
      </c>
      <c r="X184" s="5">
        <f t="shared" ca="1" si="44"/>
        <v>0</v>
      </c>
      <c r="Y184">
        <f t="shared" ca="1" si="45"/>
        <v>0</v>
      </c>
      <c r="Z184" s="5">
        <f ca="1">SUM(OFFSET(Demand!$H193,0,(COLUMN(A181)-1)*5,1,1))*N$2</f>
        <v>0</v>
      </c>
      <c r="AA184" s="5">
        <f ca="1">SUM(OFFSET(Demand!$H193,0,(COLUMN(B181)-1)*5,1,1))*O$2</f>
        <v>0</v>
      </c>
      <c r="AB184" s="5">
        <f ca="1">SUM(OFFSET(Demand!$H193,0,(COLUMN(C181)-1)*5,1,1))*P$2</f>
        <v>0</v>
      </c>
      <c r="AC184" s="5">
        <f ca="1">SUM(OFFSET(Demand!$H193,0,(COLUMN(D181)-1)*5,1,1))*Q$2</f>
        <v>0</v>
      </c>
      <c r="AD184" s="5">
        <f ca="1">SUM(OFFSET(Demand!$H193,0,(COLUMN(E181)-1)*5,1,1))*R$2</f>
        <v>0</v>
      </c>
      <c r="AE184" s="5">
        <f ca="1">SUM(OFFSET(Demand!$H193,0,(COLUMN(F181)-1)*5,1,1))*S$2</f>
        <v>0</v>
      </c>
      <c r="AF184" s="5">
        <f ca="1">SUM(OFFSET(Demand!$H193,0,(COLUMN(G181)-1)*5,1,1))*T$2</f>
        <v>0</v>
      </c>
      <c r="AG184" s="5">
        <f ca="1">SUM(OFFSET(Demand!$H193,0,(COLUMN(H181)-1)*5,1,1))*U$2</f>
        <v>0</v>
      </c>
      <c r="AH184" s="5">
        <f ca="1">SUM(OFFSET(Demand!$H193,0,(COLUMN(I181)-1)*5,1,1))*V$2</f>
        <v>0</v>
      </c>
      <c r="AI184" s="5">
        <f ca="1">SUM(OFFSET(Demand!$H193,0,(COLUMN(J181)-1)*5,1,1))*W$2</f>
        <v>0</v>
      </c>
      <c r="AJ184" s="5">
        <f t="shared" ca="1" si="46"/>
        <v>0</v>
      </c>
      <c r="AL184" s="5">
        <f t="shared" ca="1" si="47"/>
        <v>0</v>
      </c>
      <c r="AM184" s="5">
        <f t="shared" ca="1" si="48"/>
        <v>0</v>
      </c>
      <c r="AN184" s="5" t="str">
        <f>IF(Demand!BE193="Yes","Yes","")</f>
        <v/>
      </c>
      <c r="AP184" s="36" t="str">
        <f ca="1">Demand!B193</f>
        <v xml:space="preserve"> </v>
      </c>
      <c r="AQ184" t="str">
        <f ca="1">IF(TEXT(Demand!D193,"MMM")&lt;&gt;TEXT(Demand!D192,"MMM"),TEXT(Demand!D193,"MMM"),"")</f>
        <v/>
      </c>
      <c r="AT184" s="5">
        <f t="shared" ca="1" si="49"/>
        <v>0</v>
      </c>
      <c r="BQ184">
        <f ca="1">IF($AN184="",OFFSET(Demand!$A$13,ROW(A181)-1,4+((QUOTIENT(COLUMN(BQ$2)-69,3))*5)+MOD(COLUMN(BQ$2),3),1,1),"")</f>
        <v>0</v>
      </c>
      <c r="BR184">
        <f ca="1">IF($AN184="",OFFSET(Demand!$A$13,ROW(B181)-1,4+((QUOTIENT(COLUMN(BR$2)-69,3))*5)+MOD(COLUMN(BR$2),3),1,1),"")</f>
        <v>0</v>
      </c>
      <c r="BS184">
        <f ca="1">IF($AN184="",OFFSET(Demand!$A$13,ROW(C181)-1,4+((QUOTIENT(COLUMN(BS$2)-69,3))*5)+MOD(COLUMN(BS$2),3),1,1),"")</f>
        <v>0</v>
      </c>
      <c r="BT184">
        <f ca="1">IF($AN184="",OFFSET(Demand!$A$13,ROW(D181)-1,4+((QUOTIENT(COLUMN(BT$2)-69,3))*5)+MOD(COLUMN(BT$2),3),1,1),"")</f>
        <v>0</v>
      </c>
      <c r="BU184">
        <f ca="1">IF($AN184="",OFFSET(Demand!$A$13,ROW(E181)-1,4+((QUOTIENT(COLUMN(BU$2)-69,3))*5)+MOD(COLUMN(BU$2),3),1,1),"")</f>
        <v>0</v>
      </c>
      <c r="BV184">
        <f ca="1">IF($AN184="",OFFSET(Demand!$A$13,ROW(F181)-1,4+((QUOTIENT(COLUMN(BV$2)-69,3))*5)+MOD(COLUMN(BV$2),3),1,1),"")</f>
        <v>0</v>
      </c>
      <c r="BW184">
        <f ca="1">IF($AN184="",OFFSET(Demand!$A$13,ROW(G181)-1,4+((QUOTIENT(COLUMN(BW$2)-69,3))*5)+MOD(COLUMN(BW$2),3),1,1),"")</f>
        <v>0</v>
      </c>
      <c r="BX184">
        <f ca="1">IF($AN184="",OFFSET(Demand!$A$13,ROW(H181)-1,4+((QUOTIENT(COLUMN(BX$2)-69,3))*5)+MOD(COLUMN(BX$2),3),1,1),"")</f>
        <v>0</v>
      </c>
      <c r="BY184">
        <f ca="1">IF($AN184="",OFFSET(Demand!$A$13,ROW(I181)-1,4+((QUOTIENT(COLUMN(BY$2)-69,3))*5)+MOD(COLUMN(BY$2),3),1,1),"")</f>
        <v>0</v>
      </c>
      <c r="BZ184">
        <f ca="1">IF($AN184="",OFFSET(Demand!$A$13,ROW(J181)-1,4+((QUOTIENT(COLUMN(BZ$2)-69,3))*5)+MOD(COLUMN(BZ$2),3),1,1),"")</f>
        <v>0</v>
      </c>
      <c r="CA184">
        <f ca="1">IF($AN184="",OFFSET(Demand!$A$13,ROW(K181)-1,4+((QUOTIENT(COLUMN(CA$2)-69,3))*5)+MOD(COLUMN(CA$2),3),1,1),"")</f>
        <v>0</v>
      </c>
      <c r="CB184">
        <f ca="1">IF($AN184="",OFFSET(Demand!$A$13,ROW(L181)-1,4+((QUOTIENT(COLUMN(CB$2)-69,3))*5)+MOD(COLUMN(CB$2),3),1,1),"")</f>
        <v>0</v>
      </c>
      <c r="CC184">
        <f ca="1">IF($AN184="",OFFSET(Demand!$A$13,ROW(M181)-1,4+((QUOTIENT(COLUMN(CC$2)-69,3))*5)+MOD(COLUMN(CC$2),3),1,1),"")</f>
        <v>0</v>
      </c>
      <c r="CD184">
        <f ca="1">IF($AN184="",OFFSET(Demand!$A$13,ROW(N181)-1,4+((QUOTIENT(COLUMN(CD$2)-69,3))*5)+MOD(COLUMN(CD$2),3),1,1),"")</f>
        <v>0</v>
      </c>
      <c r="CE184">
        <f ca="1">IF($AN184="",OFFSET(Demand!$A$13,ROW(O181)-1,4+((QUOTIENT(COLUMN(CE$2)-69,3))*5)+MOD(COLUMN(CE$2),3),1,1),"")</f>
        <v>0</v>
      </c>
      <c r="CF184">
        <f ca="1">IF($AN184="",OFFSET(Demand!$A$13,ROW(P181)-1,4+((QUOTIENT(COLUMN(CF$2)-69,3))*5)+MOD(COLUMN(CF$2),3),1,1),"")</f>
        <v>0</v>
      </c>
      <c r="CG184">
        <f ca="1">IF($AN184="",OFFSET(Demand!$A$13,ROW(Q181)-1,4+((QUOTIENT(COLUMN(CG$2)-69,3))*5)+MOD(COLUMN(CG$2),3),1,1),"")</f>
        <v>0</v>
      </c>
      <c r="CH184">
        <f ca="1">IF($AN184="",OFFSET(Demand!$A$13,ROW(R181)-1,4+((QUOTIENT(COLUMN(CH$2)-69,3))*5)+MOD(COLUMN(CH$2),3),1,1),"")</f>
        <v>0</v>
      </c>
      <c r="CI184">
        <f ca="1">IF($AN184="",OFFSET(Demand!$A$13,ROW(S181)-1,4+((QUOTIENT(COLUMN(CI$2)-69,3))*5)+MOD(COLUMN(CI$2),3),1,1),"")</f>
        <v>0</v>
      </c>
      <c r="CJ184">
        <f ca="1">IF($AN184="",OFFSET(Demand!$A$13,ROW(T181)-1,4+((QUOTIENT(COLUMN(CJ$2)-69,3))*5)+MOD(COLUMN(CJ$2),3),1,1),"")</f>
        <v>0</v>
      </c>
      <c r="CK184">
        <f ca="1">IF($AN184="",OFFSET(Demand!$A$13,ROW(U181)-1,4+((QUOTIENT(COLUMN(CK$2)-69,3))*5)+MOD(COLUMN(CK$2),3),1,1),"")</f>
        <v>0</v>
      </c>
      <c r="CL184">
        <f ca="1">IF($AN184="",OFFSET(Demand!$A$13,ROW(V181)-1,4+((QUOTIENT(COLUMN(CL$2)-69,3))*5)+MOD(COLUMN(CL$2),3),1,1),"")</f>
        <v>0</v>
      </c>
      <c r="CM184">
        <f ca="1">IF($AN184="",OFFSET(Demand!$A$13,ROW(W181)-1,4+((QUOTIENT(COLUMN(CM$2)-69,3))*5)+MOD(COLUMN(CM$2),3),1,1),"")</f>
        <v>0</v>
      </c>
      <c r="CN184">
        <f ca="1">IF($AN184="",OFFSET(Demand!$A$13,ROW(X181)-1,4+((QUOTIENT(COLUMN(CN$2)-69,3))*5)+MOD(COLUMN(CN$2),3),1,1),"")</f>
        <v>0</v>
      </c>
      <c r="CO184">
        <f ca="1">IF($AN184="",OFFSET(Demand!$A$13,ROW(Y181)-1,4+((QUOTIENT(COLUMN(CO$2)-69,3))*5)+MOD(COLUMN(CO$2),3),1,1),"")</f>
        <v>0</v>
      </c>
      <c r="CP184">
        <f ca="1">IF($AN184="",OFFSET(Demand!$A$13,ROW(Z181)-1,4+((QUOTIENT(COLUMN(CP$2)-69,3))*5)+MOD(COLUMN(CP$2),3),1,1),"")</f>
        <v>0</v>
      </c>
      <c r="CQ184">
        <f ca="1">IF($AN184="",OFFSET(Demand!$A$13,ROW(AA181)-1,4+((QUOTIENT(COLUMN(CQ$2)-69,3))*5)+MOD(COLUMN(CQ$2),3),1,1),"")</f>
        <v>0</v>
      </c>
      <c r="CR184">
        <f ca="1">IF($AN184="",OFFSET(Demand!$A$13,ROW(AB181)-1,4+((QUOTIENT(COLUMN(CR$2)-69,3))*5)+MOD(COLUMN(CR$2),3),1,1),"")</f>
        <v>0</v>
      </c>
      <c r="CS184">
        <f ca="1">IF($AN184="",OFFSET(Demand!$A$13,ROW(AC181)-1,4+((QUOTIENT(COLUMN(CS$2)-69,3))*5)+MOD(COLUMN(CS$2),3),1,1),"")</f>
        <v>0</v>
      </c>
      <c r="CT184">
        <f ca="1">IF($AN184="",OFFSET(Demand!$A$13,ROW(AD181)-1,4+((QUOTIENT(COLUMN(CT$2)-69,3))*5)+MOD(COLUMN(CT$2),3),1,1),"")</f>
        <v>0</v>
      </c>
      <c r="CW184" s="5">
        <f ca="1">SUM(OFFSET(Demand!$H$43,ROW(A181)-1,(COLUMN(A181)-1)*5,1,1))*N$2</f>
        <v>0</v>
      </c>
      <c r="CX184" s="5">
        <f ca="1">SUM(OFFSET(Demand!$H$43,ROW(B181)-1,(COLUMN(B181)-1)*5,1,1))*O$2</f>
        <v>0</v>
      </c>
      <c r="CY184" s="5">
        <f ca="1">SUM(OFFSET(Demand!$H$43,ROW(C181)-1,(COLUMN(C181)-1)*5,1,1))*P$2</f>
        <v>0</v>
      </c>
      <c r="CZ184" s="5">
        <f ca="1">SUM(OFFSET(Demand!$H$43,ROW(D181)-1,(COLUMN(D181)-1)*5,1,1))*Q$2</f>
        <v>0</v>
      </c>
      <c r="DA184" s="5">
        <f ca="1">SUM(OFFSET(Demand!$H$43,ROW(E181)-1,(COLUMN(E181)-1)*5,1,1))*R$2</f>
        <v>0</v>
      </c>
      <c r="DB184" s="5">
        <f ca="1">SUM(OFFSET(Demand!$H$43,ROW(F181)-1,(COLUMN(F181)-1)*5,1,1))*S$2</f>
        <v>0</v>
      </c>
      <c r="DC184" s="5">
        <f ca="1">SUM(OFFSET(Demand!$H$43,ROW(G181)-1,(COLUMN(G181)-1)*5,1,1))*T$2</f>
        <v>0</v>
      </c>
      <c r="DD184" s="5">
        <f ca="1">SUM(OFFSET(Demand!$H$43,ROW(H181)-1,(COLUMN(H181)-1)*5,1,1))*U$2</f>
        <v>0</v>
      </c>
      <c r="DE184" s="5">
        <f ca="1">SUM(OFFSET(Demand!$H$43,ROW(I181)-1,(COLUMN(I181)-1)*5,1,1))*V$2</f>
        <v>0</v>
      </c>
      <c r="DF184" s="5">
        <f ca="1">SUM(OFFSET(Demand!$H$43,ROW(J181)-1,(COLUMN(J181)-1)*5,1,1))*W$2</f>
        <v>0</v>
      </c>
      <c r="DG184" s="5">
        <f ca="1">IF(OR(AN184&lt;&gt;"",AND('Demand adjustments for Covid'!$F$9="Yes",'Demand adjustments for Covid'!$F$20="Yes")),"",SUM(CW184:DF184))</f>
        <v>0</v>
      </c>
    </row>
    <row r="185" spans="1:111" x14ac:dyDescent="0.25">
      <c r="A185" s="5">
        <f t="shared" ca="1" si="50"/>
        <v>1</v>
      </c>
      <c r="B185" s="5">
        <f ca="1">COUNTBLANK(OFFSET(Demand!$I194,0,(COLUMN(A182)-1)*5,1,1))</f>
        <v>1</v>
      </c>
      <c r="C185" s="5">
        <f ca="1">COUNTBLANK(OFFSET(Demand!$I194,0,(COLUMN(B182)-1)*5,1,1))</f>
        <v>1</v>
      </c>
      <c r="D185" s="5">
        <f ca="1">COUNTBLANK(OFFSET(Demand!$I194,0,(COLUMN(C182)-1)*5,1,1))</f>
        <v>1</v>
      </c>
      <c r="E185" s="5">
        <f ca="1">COUNTBLANK(OFFSET(Demand!$I194,0,(COLUMN(D182)-1)*5,1,1))</f>
        <v>1</v>
      </c>
      <c r="F185" s="5">
        <f ca="1">COUNTBLANK(OFFSET(Demand!$I194,0,(COLUMN(E182)-1)*5,1,1))</f>
        <v>1</v>
      </c>
      <c r="G185" s="5">
        <f ca="1">COUNTBLANK(OFFSET(Demand!$I194,0,(COLUMN(F182)-1)*5,1,1))</f>
        <v>1</v>
      </c>
      <c r="H185" s="5">
        <f ca="1">COUNTBLANK(OFFSET(Demand!$I194,0,(COLUMN(G182)-1)*5,1,1))</f>
        <v>1</v>
      </c>
      <c r="I185" s="5">
        <f ca="1">COUNTBLANK(OFFSET(Demand!$I194,0,(COLUMN(H182)-1)*5,1,1))</f>
        <v>1</v>
      </c>
      <c r="J185" s="5">
        <f ca="1">COUNTBLANK(OFFSET(Demand!$I194,0,(COLUMN(I182)-1)*5,1,1))</f>
        <v>1</v>
      </c>
      <c r="K185" s="5">
        <f ca="1">COUNTBLANK(OFFSET(Demand!$I194,0,(COLUMN(J182)-1)*5,1,1))</f>
        <v>1</v>
      </c>
      <c r="N185" s="5">
        <f ca="1">SUM(OFFSET(Demand!$E194,0,(COLUMN(A182)-1)*5,1,3))*N$2</f>
        <v>0</v>
      </c>
      <c r="O185" s="5">
        <f ca="1">SUM(OFFSET(Demand!$E194,0,(COLUMN(B182)-1)*5,1,3))*O$2</f>
        <v>0</v>
      </c>
      <c r="P185" s="5">
        <f ca="1">SUM(OFFSET(Demand!$E194,0,(COLUMN(C182)-1)*5,1,3))*P$2</f>
        <v>0</v>
      </c>
      <c r="Q185" s="5">
        <f ca="1">SUM(OFFSET(Demand!$E194,0,(COLUMN(D182)-1)*5,1,3))*Q$2</f>
        <v>0</v>
      </c>
      <c r="R185" s="5">
        <f ca="1">SUM(OFFSET(Demand!$E194,0,(COLUMN(E182)-1)*5,1,3))*R$2</f>
        <v>0</v>
      </c>
      <c r="S185" s="5">
        <f ca="1">SUM(OFFSET(Demand!$E194,0,(COLUMN(F182)-1)*5,1,3))*S$2</f>
        <v>0</v>
      </c>
      <c r="T185" s="5">
        <f ca="1">SUM(OFFSET(Demand!$E194,0,(COLUMN(G182)-1)*5,1,3))*T$2</f>
        <v>0</v>
      </c>
      <c r="U185" s="5">
        <f ca="1">SUM(OFFSET(Demand!$E194,0,(COLUMN(H182)-1)*5,1,3))*U$2</f>
        <v>0</v>
      </c>
      <c r="V185" s="5">
        <f ca="1">SUM(OFFSET(Demand!$E194,0,(COLUMN(I182)-1)*5,1,3))*V$2</f>
        <v>0</v>
      </c>
      <c r="W185" s="5">
        <f ca="1">SUM(OFFSET(Demand!$E194,0,(COLUMN(J182)-1)*5,1,3))*W$2</f>
        <v>0</v>
      </c>
      <c r="X185" s="5">
        <f t="shared" ca="1" si="44"/>
        <v>0</v>
      </c>
      <c r="Y185">
        <f t="shared" ca="1" si="45"/>
        <v>0</v>
      </c>
      <c r="Z185" s="5">
        <f ca="1">SUM(OFFSET(Demand!$H194,0,(COLUMN(A182)-1)*5,1,1))*N$2</f>
        <v>0</v>
      </c>
      <c r="AA185" s="5">
        <f ca="1">SUM(OFFSET(Demand!$H194,0,(COLUMN(B182)-1)*5,1,1))*O$2</f>
        <v>0</v>
      </c>
      <c r="AB185" s="5">
        <f ca="1">SUM(OFFSET(Demand!$H194,0,(COLUMN(C182)-1)*5,1,1))*P$2</f>
        <v>0</v>
      </c>
      <c r="AC185" s="5">
        <f ca="1">SUM(OFFSET(Demand!$H194,0,(COLUMN(D182)-1)*5,1,1))*Q$2</f>
        <v>0</v>
      </c>
      <c r="AD185" s="5">
        <f ca="1">SUM(OFFSET(Demand!$H194,0,(COLUMN(E182)-1)*5,1,1))*R$2</f>
        <v>0</v>
      </c>
      <c r="AE185" s="5">
        <f ca="1">SUM(OFFSET(Demand!$H194,0,(COLUMN(F182)-1)*5,1,1))*S$2</f>
        <v>0</v>
      </c>
      <c r="AF185" s="5">
        <f ca="1">SUM(OFFSET(Demand!$H194,0,(COLUMN(G182)-1)*5,1,1))*T$2</f>
        <v>0</v>
      </c>
      <c r="AG185" s="5">
        <f ca="1">SUM(OFFSET(Demand!$H194,0,(COLUMN(H182)-1)*5,1,1))*U$2</f>
        <v>0</v>
      </c>
      <c r="AH185" s="5">
        <f ca="1">SUM(OFFSET(Demand!$H194,0,(COLUMN(I182)-1)*5,1,1))*V$2</f>
        <v>0</v>
      </c>
      <c r="AI185" s="5">
        <f ca="1">SUM(OFFSET(Demand!$H194,0,(COLUMN(J182)-1)*5,1,1))*W$2</f>
        <v>0</v>
      </c>
      <c r="AJ185" s="5">
        <f t="shared" ca="1" si="46"/>
        <v>0</v>
      </c>
      <c r="AL185" s="5">
        <f t="shared" ca="1" si="47"/>
        <v>0</v>
      </c>
      <c r="AM185" s="5">
        <f t="shared" ca="1" si="48"/>
        <v>0</v>
      </c>
      <c r="AN185" s="5" t="str">
        <f>IF(Demand!BE194="Yes","Yes","")</f>
        <v/>
      </c>
      <c r="AP185" s="36" t="str">
        <f ca="1">Demand!B194</f>
        <v xml:space="preserve"> </v>
      </c>
      <c r="AQ185" t="str">
        <f ca="1">IF(TEXT(Demand!D194,"MMM")&lt;&gt;TEXT(Demand!D193,"MMM"),TEXT(Demand!D194,"MMM"),"")</f>
        <v/>
      </c>
      <c r="AT185" s="5">
        <f t="shared" ca="1" si="49"/>
        <v>0</v>
      </c>
      <c r="BQ185">
        <f ca="1">IF($AN185="",OFFSET(Demand!$A$13,ROW(A182)-1,4+((QUOTIENT(COLUMN(BQ$2)-69,3))*5)+MOD(COLUMN(BQ$2),3),1,1),"")</f>
        <v>0</v>
      </c>
      <c r="BR185">
        <f ca="1">IF($AN185="",OFFSET(Demand!$A$13,ROW(B182)-1,4+((QUOTIENT(COLUMN(BR$2)-69,3))*5)+MOD(COLUMN(BR$2),3),1,1),"")</f>
        <v>0</v>
      </c>
      <c r="BS185">
        <f ca="1">IF($AN185="",OFFSET(Demand!$A$13,ROW(C182)-1,4+((QUOTIENT(COLUMN(BS$2)-69,3))*5)+MOD(COLUMN(BS$2),3),1,1),"")</f>
        <v>0</v>
      </c>
      <c r="BT185">
        <f ca="1">IF($AN185="",OFFSET(Demand!$A$13,ROW(D182)-1,4+((QUOTIENT(COLUMN(BT$2)-69,3))*5)+MOD(COLUMN(BT$2),3),1,1),"")</f>
        <v>0</v>
      </c>
      <c r="BU185">
        <f ca="1">IF($AN185="",OFFSET(Demand!$A$13,ROW(E182)-1,4+((QUOTIENT(COLUMN(BU$2)-69,3))*5)+MOD(COLUMN(BU$2),3),1,1),"")</f>
        <v>0</v>
      </c>
      <c r="BV185">
        <f ca="1">IF($AN185="",OFFSET(Demand!$A$13,ROW(F182)-1,4+((QUOTIENT(COLUMN(BV$2)-69,3))*5)+MOD(COLUMN(BV$2),3),1,1),"")</f>
        <v>0</v>
      </c>
      <c r="BW185">
        <f ca="1">IF($AN185="",OFFSET(Demand!$A$13,ROW(G182)-1,4+((QUOTIENT(COLUMN(BW$2)-69,3))*5)+MOD(COLUMN(BW$2),3),1,1),"")</f>
        <v>0</v>
      </c>
      <c r="BX185">
        <f ca="1">IF($AN185="",OFFSET(Demand!$A$13,ROW(H182)-1,4+((QUOTIENT(COLUMN(BX$2)-69,3))*5)+MOD(COLUMN(BX$2),3),1,1),"")</f>
        <v>0</v>
      </c>
      <c r="BY185">
        <f ca="1">IF($AN185="",OFFSET(Demand!$A$13,ROW(I182)-1,4+((QUOTIENT(COLUMN(BY$2)-69,3))*5)+MOD(COLUMN(BY$2),3),1,1),"")</f>
        <v>0</v>
      </c>
      <c r="BZ185">
        <f ca="1">IF($AN185="",OFFSET(Demand!$A$13,ROW(J182)-1,4+((QUOTIENT(COLUMN(BZ$2)-69,3))*5)+MOD(COLUMN(BZ$2),3),1,1),"")</f>
        <v>0</v>
      </c>
      <c r="CA185">
        <f ca="1">IF($AN185="",OFFSET(Demand!$A$13,ROW(K182)-1,4+((QUOTIENT(COLUMN(CA$2)-69,3))*5)+MOD(COLUMN(CA$2),3),1,1),"")</f>
        <v>0</v>
      </c>
      <c r="CB185">
        <f ca="1">IF($AN185="",OFFSET(Demand!$A$13,ROW(L182)-1,4+((QUOTIENT(COLUMN(CB$2)-69,3))*5)+MOD(COLUMN(CB$2),3),1,1),"")</f>
        <v>0</v>
      </c>
      <c r="CC185">
        <f ca="1">IF($AN185="",OFFSET(Demand!$A$13,ROW(M182)-1,4+((QUOTIENT(COLUMN(CC$2)-69,3))*5)+MOD(COLUMN(CC$2),3),1,1),"")</f>
        <v>0</v>
      </c>
      <c r="CD185">
        <f ca="1">IF($AN185="",OFFSET(Demand!$A$13,ROW(N182)-1,4+((QUOTIENT(COLUMN(CD$2)-69,3))*5)+MOD(COLUMN(CD$2),3),1,1),"")</f>
        <v>0</v>
      </c>
      <c r="CE185">
        <f ca="1">IF($AN185="",OFFSET(Demand!$A$13,ROW(O182)-1,4+((QUOTIENT(COLUMN(CE$2)-69,3))*5)+MOD(COLUMN(CE$2),3),1,1),"")</f>
        <v>0</v>
      </c>
      <c r="CF185">
        <f ca="1">IF($AN185="",OFFSET(Demand!$A$13,ROW(P182)-1,4+((QUOTIENT(COLUMN(CF$2)-69,3))*5)+MOD(COLUMN(CF$2),3),1,1),"")</f>
        <v>0</v>
      </c>
      <c r="CG185">
        <f ca="1">IF($AN185="",OFFSET(Demand!$A$13,ROW(Q182)-1,4+((QUOTIENT(COLUMN(CG$2)-69,3))*5)+MOD(COLUMN(CG$2),3),1,1),"")</f>
        <v>0</v>
      </c>
      <c r="CH185">
        <f ca="1">IF($AN185="",OFFSET(Demand!$A$13,ROW(R182)-1,4+((QUOTIENT(COLUMN(CH$2)-69,3))*5)+MOD(COLUMN(CH$2),3),1,1),"")</f>
        <v>0</v>
      </c>
      <c r="CI185">
        <f ca="1">IF($AN185="",OFFSET(Demand!$A$13,ROW(S182)-1,4+((QUOTIENT(COLUMN(CI$2)-69,3))*5)+MOD(COLUMN(CI$2),3),1,1),"")</f>
        <v>0</v>
      </c>
      <c r="CJ185">
        <f ca="1">IF($AN185="",OFFSET(Demand!$A$13,ROW(T182)-1,4+((QUOTIENT(COLUMN(CJ$2)-69,3))*5)+MOD(COLUMN(CJ$2),3),1,1),"")</f>
        <v>0</v>
      </c>
      <c r="CK185">
        <f ca="1">IF($AN185="",OFFSET(Demand!$A$13,ROW(U182)-1,4+((QUOTIENT(COLUMN(CK$2)-69,3))*5)+MOD(COLUMN(CK$2),3),1,1),"")</f>
        <v>0</v>
      </c>
      <c r="CL185">
        <f ca="1">IF($AN185="",OFFSET(Demand!$A$13,ROW(V182)-1,4+((QUOTIENT(COLUMN(CL$2)-69,3))*5)+MOD(COLUMN(CL$2),3),1,1),"")</f>
        <v>0</v>
      </c>
      <c r="CM185">
        <f ca="1">IF($AN185="",OFFSET(Demand!$A$13,ROW(W182)-1,4+((QUOTIENT(COLUMN(CM$2)-69,3))*5)+MOD(COLUMN(CM$2),3),1,1),"")</f>
        <v>0</v>
      </c>
      <c r="CN185">
        <f ca="1">IF($AN185="",OFFSET(Demand!$A$13,ROW(X182)-1,4+((QUOTIENT(COLUMN(CN$2)-69,3))*5)+MOD(COLUMN(CN$2),3),1,1),"")</f>
        <v>0</v>
      </c>
      <c r="CO185">
        <f ca="1">IF($AN185="",OFFSET(Demand!$A$13,ROW(Y182)-1,4+((QUOTIENT(COLUMN(CO$2)-69,3))*5)+MOD(COLUMN(CO$2),3),1,1),"")</f>
        <v>0</v>
      </c>
      <c r="CP185">
        <f ca="1">IF($AN185="",OFFSET(Demand!$A$13,ROW(Z182)-1,4+((QUOTIENT(COLUMN(CP$2)-69,3))*5)+MOD(COLUMN(CP$2),3),1,1),"")</f>
        <v>0</v>
      </c>
      <c r="CQ185">
        <f ca="1">IF($AN185="",OFFSET(Demand!$A$13,ROW(AA182)-1,4+((QUOTIENT(COLUMN(CQ$2)-69,3))*5)+MOD(COLUMN(CQ$2),3),1,1),"")</f>
        <v>0</v>
      </c>
      <c r="CR185">
        <f ca="1">IF($AN185="",OFFSET(Demand!$A$13,ROW(AB182)-1,4+((QUOTIENT(COLUMN(CR$2)-69,3))*5)+MOD(COLUMN(CR$2),3),1,1),"")</f>
        <v>0</v>
      </c>
      <c r="CS185">
        <f ca="1">IF($AN185="",OFFSET(Demand!$A$13,ROW(AC182)-1,4+((QUOTIENT(COLUMN(CS$2)-69,3))*5)+MOD(COLUMN(CS$2),3),1,1),"")</f>
        <v>0</v>
      </c>
      <c r="CT185">
        <f ca="1">IF($AN185="",OFFSET(Demand!$A$13,ROW(AD182)-1,4+((QUOTIENT(COLUMN(CT$2)-69,3))*5)+MOD(COLUMN(CT$2),3),1,1),"")</f>
        <v>0</v>
      </c>
      <c r="CW185" s="5">
        <f ca="1">SUM(OFFSET(Demand!$H$43,ROW(A182)-1,(COLUMN(A182)-1)*5,1,1))*N$2</f>
        <v>0</v>
      </c>
      <c r="CX185" s="5">
        <f ca="1">SUM(OFFSET(Demand!$H$43,ROW(B182)-1,(COLUMN(B182)-1)*5,1,1))*O$2</f>
        <v>0</v>
      </c>
      <c r="CY185" s="5">
        <f ca="1">SUM(OFFSET(Demand!$H$43,ROW(C182)-1,(COLUMN(C182)-1)*5,1,1))*P$2</f>
        <v>0</v>
      </c>
      <c r="CZ185" s="5">
        <f ca="1">SUM(OFFSET(Demand!$H$43,ROW(D182)-1,(COLUMN(D182)-1)*5,1,1))*Q$2</f>
        <v>0</v>
      </c>
      <c r="DA185" s="5">
        <f ca="1">SUM(OFFSET(Demand!$H$43,ROW(E182)-1,(COLUMN(E182)-1)*5,1,1))*R$2</f>
        <v>0</v>
      </c>
      <c r="DB185" s="5">
        <f ca="1">SUM(OFFSET(Demand!$H$43,ROW(F182)-1,(COLUMN(F182)-1)*5,1,1))*S$2</f>
        <v>0</v>
      </c>
      <c r="DC185" s="5">
        <f ca="1">SUM(OFFSET(Demand!$H$43,ROW(G182)-1,(COLUMN(G182)-1)*5,1,1))*T$2</f>
        <v>0</v>
      </c>
      <c r="DD185" s="5">
        <f ca="1">SUM(OFFSET(Demand!$H$43,ROW(H182)-1,(COLUMN(H182)-1)*5,1,1))*U$2</f>
        <v>0</v>
      </c>
      <c r="DE185" s="5">
        <f ca="1">SUM(OFFSET(Demand!$H$43,ROW(I182)-1,(COLUMN(I182)-1)*5,1,1))*V$2</f>
        <v>0</v>
      </c>
      <c r="DF185" s="5">
        <f ca="1">SUM(OFFSET(Demand!$H$43,ROW(J182)-1,(COLUMN(J182)-1)*5,1,1))*W$2</f>
        <v>0</v>
      </c>
      <c r="DG185" s="5">
        <f ca="1">IF(OR(AN185&lt;&gt;"",AND('Demand adjustments for Covid'!$F$9="Yes",'Demand adjustments for Covid'!$F$20="Yes")),"",SUM(CW185:DF185))</f>
        <v>0</v>
      </c>
    </row>
    <row r="186" spans="1:111" x14ac:dyDescent="0.25">
      <c r="A186" s="5">
        <f t="shared" ca="1" si="50"/>
        <v>1</v>
      </c>
      <c r="B186" s="5">
        <f ca="1">COUNTBLANK(OFFSET(Demand!$I195,0,(COLUMN(A183)-1)*5,1,1))</f>
        <v>1</v>
      </c>
      <c r="C186" s="5">
        <f ca="1">COUNTBLANK(OFFSET(Demand!$I195,0,(COLUMN(B183)-1)*5,1,1))</f>
        <v>1</v>
      </c>
      <c r="D186" s="5">
        <f ca="1">COUNTBLANK(OFFSET(Demand!$I195,0,(COLUMN(C183)-1)*5,1,1))</f>
        <v>1</v>
      </c>
      <c r="E186" s="5">
        <f ca="1">COUNTBLANK(OFFSET(Demand!$I195,0,(COLUMN(D183)-1)*5,1,1))</f>
        <v>1</v>
      </c>
      <c r="F186" s="5">
        <f ca="1">COUNTBLANK(OFFSET(Demand!$I195,0,(COLUMN(E183)-1)*5,1,1))</f>
        <v>1</v>
      </c>
      <c r="G186" s="5">
        <f ca="1">COUNTBLANK(OFFSET(Demand!$I195,0,(COLUMN(F183)-1)*5,1,1))</f>
        <v>1</v>
      </c>
      <c r="H186" s="5">
        <f ca="1">COUNTBLANK(OFFSET(Demand!$I195,0,(COLUMN(G183)-1)*5,1,1))</f>
        <v>1</v>
      </c>
      <c r="I186" s="5">
        <f ca="1">COUNTBLANK(OFFSET(Demand!$I195,0,(COLUMN(H183)-1)*5,1,1))</f>
        <v>1</v>
      </c>
      <c r="J186" s="5">
        <f ca="1">COUNTBLANK(OFFSET(Demand!$I195,0,(COLUMN(I183)-1)*5,1,1))</f>
        <v>1</v>
      </c>
      <c r="K186" s="5">
        <f ca="1">COUNTBLANK(OFFSET(Demand!$I195,0,(COLUMN(J183)-1)*5,1,1))</f>
        <v>1</v>
      </c>
      <c r="N186" s="5">
        <f ca="1">SUM(OFFSET(Demand!$E195,0,(COLUMN(A183)-1)*5,1,3))*N$2</f>
        <v>0</v>
      </c>
      <c r="O186" s="5">
        <f ca="1">SUM(OFFSET(Demand!$E195,0,(COLUMN(B183)-1)*5,1,3))*O$2</f>
        <v>0</v>
      </c>
      <c r="P186" s="5">
        <f ca="1">SUM(OFFSET(Demand!$E195,0,(COLUMN(C183)-1)*5,1,3))*P$2</f>
        <v>0</v>
      </c>
      <c r="Q186" s="5">
        <f ca="1">SUM(OFFSET(Demand!$E195,0,(COLUMN(D183)-1)*5,1,3))*Q$2</f>
        <v>0</v>
      </c>
      <c r="R186" s="5">
        <f ca="1">SUM(OFFSET(Demand!$E195,0,(COLUMN(E183)-1)*5,1,3))*R$2</f>
        <v>0</v>
      </c>
      <c r="S186" s="5">
        <f ca="1">SUM(OFFSET(Demand!$E195,0,(COLUMN(F183)-1)*5,1,3))*S$2</f>
        <v>0</v>
      </c>
      <c r="T186" s="5">
        <f ca="1">SUM(OFFSET(Demand!$E195,0,(COLUMN(G183)-1)*5,1,3))*T$2</f>
        <v>0</v>
      </c>
      <c r="U186" s="5">
        <f ca="1">SUM(OFFSET(Demand!$E195,0,(COLUMN(H183)-1)*5,1,3))*U$2</f>
        <v>0</v>
      </c>
      <c r="V186" s="5">
        <f ca="1">SUM(OFFSET(Demand!$E195,0,(COLUMN(I183)-1)*5,1,3))*V$2</f>
        <v>0</v>
      </c>
      <c r="W186" s="5">
        <f ca="1">SUM(OFFSET(Demand!$E195,0,(COLUMN(J183)-1)*5,1,3))*W$2</f>
        <v>0</v>
      </c>
      <c r="X186" s="5">
        <f t="shared" ca="1" si="44"/>
        <v>0</v>
      </c>
      <c r="Y186">
        <f t="shared" ca="1" si="45"/>
        <v>0</v>
      </c>
      <c r="Z186" s="5">
        <f ca="1">SUM(OFFSET(Demand!$H195,0,(COLUMN(A183)-1)*5,1,1))*N$2</f>
        <v>0</v>
      </c>
      <c r="AA186" s="5">
        <f ca="1">SUM(OFFSET(Demand!$H195,0,(COLUMN(B183)-1)*5,1,1))*O$2</f>
        <v>0</v>
      </c>
      <c r="AB186" s="5">
        <f ca="1">SUM(OFFSET(Demand!$H195,0,(COLUMN(C183)-1)*5,1,1))*P$2</f>
        <v>0</v>
      </c>
      <c r="AC186" s="5">
        <f ca="1">SUM(OFFSET(Demand!$H195,0,(COLUMN(D183)-1)*5,1,1))*Q$2</f>
        <v>0</v>
      </c>
      <c r="AD186" s="5">
        <f ca="1">SUM(OFFSET(Demand!$H195,0,(COLUMN(E183)-1)*5,1,1))*R$2</f>
        <v>0</v>
      </c>
      <c r="AE186" s="5">
        <f ca="1">SUM(OFFSET(Demand!$H195,0,(COLUMN(F183)-1)*5,1,1))*S$2</f>
        <v>0</v>
      </c>
      <c r="AF186" s="5">
        <f ca="1">SUM(OFFSET(Demand!$H195,0,(COLUMN(G183)-1)*5,1,1))*T$2</f>
        <v>0</v>
      </c>
      <c r="AG186" s="5">
        <f ca="1">SUM(OFFSET(Demand!$H195,0,(COLUMN(H183)-1)*5,1,1))*U$2</f>
        <v>0</v>
      </c>
      <c r="AH186" s="5">
        <f ca="1">SUM(OFFSET(Demand!$H195,0,(COLUMN(I183)-1)*5,1,1))*V$2</f>
        <v>0</v>
      </c>
      <c r="AI186" s="5">
        <f ca="1">SUM(OFFSET(Demand!$H195,0,(COLUMN(J183)-1)*5,1,1))*W$2</f>
        <v>0</v>
      </c>
      <c r="AJ186" s="5">
        <f t="shared" ca="1" si="46"/>
        <v>0</v>
      </c>
      <c r="AL186" s="5">
        <f t="shared" ca="1" si="47"/>
        <v>0</v>
      </c>
      <c r="AM186" s="5">
        <f t="shared" ca="1" si="48"/>
        <v>0</v>
      </c>
      <c r="AN186" s="5" t="str">
        <f>IF(Demand!BE195="Yes","Yes","")</f>
        <v/>
      </c>
      <c r="AP186" s="36" t="str">
        <f ca="1">Demand!B195</f>
        <v xml:space="preserve"> </v>
      </c>
      <c r="AQ186" t="str">
        <f ca="1">IF(TEXT(Demand!D195,"MMM")&lt;&gt;TEXT(Demand!D194,"MMM"),TEXT(Demand!D195,"MMM"),"")</f>
        <v/>
      </c>
      <c r="AT186" s="5">
        <f t="shared" ca="1" si="49"/>
        <v>0</v>
      </c>
      <c r="BQ186">
        <f ca="1">IF($AN186="",OFFSET(Demand!$A$13,ROW(A183)-1,4+((QUOTIENT(COLUMN(BQ$2)-69,3))*5)+MOD(COLUMN(BQ$2),3),1,1),"")</f>
        <v>0</v>
      </c>
      <c r="BR186">
        <f ca="1">IF($AN186="",OFFSET(Demand!$A$13,ROW(B183)-1,4+((QUOTIENT(COLUMN(BR$2)-69,3))*5)+MOD(COLUMN(BR$2),3),1,1),"")</f>
        <v>0</v>
      </c>
      <c r="BS186">
        <f ca="1">IF($AN186="",OFFSET(Demand!$A$13,ROW(C183)-1,4+((QUOTIENT(COLUMN(BS$2)-69,3))*5)+MOD(COLUMN(BS$2),3),1,1),"")</f>
        <v>0</v>
      </c>
      <c r="BT186">
        <f ca="1">IF($AN186="",OFFSET(Demand!$A$13,ROW(D183)-1,4+((QUOTIENT(COLUMN(BT$2)-69,3))*5)+MOD(COLUMN(BT$2),3),1,1),"")</f>
        <v>0</v>
      </c>
      <c r="BU186">
        <f ca="1">IF($AN186="",OFFSET(Demand!$A$13,ROW(E183)-1,4+((QUOTIENT(COLUMN(BU$2)-69,3))*5)+MOD(COLUMN(BU$2),3),1,1),"")</f>
        <v>0</v>
      </c>
      <c r="BV186">
        <f ca="1">IF($AN186="",OFFSET(Demand!$A$13,ROW(F183)-1,4+((QUOTIENT(COLUMN(BV$2)-69,3))*5)+MOD(COLUMN(BV$2),3),1,1),"")</f>
        <v>0</v>
      </c>
      <c r="BW186">
        <f ca="1">IF($AN186="",OFFSET(Demand!$A$13,ROW(G183)-1,4+((QUOTIENT(COLUMN(BW$2)-69,3))*5)+MOD(COLUMN(BW$2),3),1,1),"")</f>
        <v>0</v>
      </c>
      <c r="BX186">
        <f ca="1">IF($AN186="",OFFSET(Demand!$A$13,ROW(H183)-1,4+((QUOTIENT(COLUMN(BX$2)-69,3))*5)+MOD(COLUMN(BX$2),3),1,1),"")</f>
        <v>0</v>
      </c>
      <c r="BY186">
        <f ca="1">IF($AN186="",OFFSET(Demand!$A$13,ROW(I183)-1,4+((QUOTIENT(COLUMN(BY$2)-69,3))*5)+MOD(COLUMN(BY$2),3),1,1),"")</f>
        <v>0</v>
      </c>
      <c r="BZ186">
        <f ca="1">IF($AN186="",OFFSET(Demand!$A$13,ROW(J183)-1,4+((QUOTIENT(COLUMN(BZ$2)-69,3))*5)+MOD(COLUMN(BZ$2),3),1,1),"")</f>
        <v>0</v>
      </c>
      <c r="CA186">
        <f ca="1">IF($AN186="",OFFSET(Demand!$A$13,ROW(K183)-1,4+((QUOTIENT(COLUMN(CA$2)-69,3))*5)+MOD(COLUMN(CA$2),3),1,1),"")</f>
        <v>0</v>
      </c>
      <c r="CB186">
        <f ca="1">IF($AN186="",OFFSET(Demand!$A$13,ROW(L183)-1,4+((QUOTIENT(COLUMN(CB$2)-69,3))*5)+MOD(COLUMN(CB$2),3),1,1),"")</f>
        <v>0</v>
      </c>
      <c r="CC186">
        <f ca="1">IF($AN186="",OFFSET(Demand!$A$13,ROW(M183)-1,4+((QUOTIENT(COLUMN(CC$2)-69,3))*5)+MOD(COLUMN(CC$2),3),1,1),"")</f>
        <v>0</v>
      </c>
      <c r="CD186">
        <f ca="1">IF($AN186="",OFFSET(Demand!$A$13,ROW(N183)-1,4+((QUOTIENT(COLUMN(CD$2)-69,3))*5)+MOD(COLUMN(CD$2),3),1,1),"")</f>
        <v>0</v>
      </c>
      <c r="CE186">
        <f ca="1">IF($AN186="",OFFSET(Demand!$A$13,ROW(O183)-1,4+((QUOTIENT(COLUMN(CE$2)-69,3))*5)+MOD(COLUMN(CE$2),3),1,1),"")</f>
        <v>0</v>
      </c>
      <c r="CF186">
        <f ca="1">IF($AN186="",OFFSET(Demand!$A$13,ROW(P183)-1,4+((QUOTIENT(COLUMN(CF$2)-69,3))*5)+MOD(COLUMN(CF$2),3),1,1),"")</f>
        <v>0</v>
      </c>
      <c r="CG186">
        <f ca="1">IF($AN186="",OFFSET(Demand!$A$13,ROW(Q183)-1,4+((QUOTIENT(COLUMN(CG$2)-69,3))*5)+MOD(COLUMN(CG$2),3),1,1),"")</f>
        <v>0</v>
      </c>
      <c r="CH186">
        <f ca="1">IF($AN186="",OFFSET(Demand!$A$13,ROW(R183)-1,4+((QUOTIENT(COLUMN(CH$2)-69,3))*5)+MOD(COLUMN(CH$2),3),1,1),"")</f>
        <v>0</v>
      </c>
      <c r="CI186">
        <f ca="1">IF($AN186="",OFFSET(Demand!$A$13,ROW(S183)-1,4+((QUOTIENT(COLUMN(CI$2)-69,3))*5)+MOD(COLUMN(CI$2),3),1,1),"")</f>
        <v>0</v>
      </c>
      <c r="CJ186">
        <f ca="1">IF($AN186="",OFFSET(Demand!$A$13,ROW(T183)-1,4+((QUOTIENT(COLUMN(CJ$2)-69,3))*5)+MOD(COLUMN(CJ$2),3),1,1),"")</f>
        <v>0</v>
      </c>
      <c r="CK186">
        <f ca="1">IF($AN186="",OFFSET(Demand!$A$13,ROW(U183)-1,4+((QUOTIENT(COLUMN(CK$2)-69,3))*5)+MOD(COLUMN(CK$2),3),1,1),"")</f>
        <v>0</v>
      </c>
      <c r="CL186">
        <f ca="1">IF($AN186="",OFFSET(Demand!$A$13,ROW(V183)-1,4+((QUOTIENT(COLUMN(CL$2)-69,3))*5)+MOD(COLUMN(CL$2),3),1,1),"")</f>
        <v>0</v>
      </c>
      <c r="CM186">
        <f ca="1">IF($AN186="",OFFSET(Demand!$A$13,ROW(W183)-1,4+((QUOTIENT(COLUMN(CM$2)-69,3))*5)+MOD(COLUMN(CM$2),3),1,1),"")</f>
        <v>0</v>
      </c>
      <c r="CN186">
        <f ca="1">IF($AN186="",OFFSET(Demand!$A$13,ROW(X183)-1,4+((QUOTIENT(COLUMN(CN$2)-69,3))*5)+MOD(COLUMN(CN$2),3),1,1),"")</f>
        <v>0</v>
      </c>
      <c r="CO186">
        <f ca="1">IF($AN186="",OFFSET(Demand!$A$13,ROW(Y183)-1,4+((QUOTIENT(COLUMN(CO$2)-69,3))*5)+MOD(COLUMN(CO$2),3),1,1),"")</f>
        <v>0</v>
      </c>
      <c r="CP186">
        <f ca="1">IF($AN186="",OFFSET(Demand!$A$13,ROW(Z183)-1,4+((QUOTIENT(COLUMN(CP$2)-69,3))*5)+MOD(COLUMN(CP$2),3),1,1),"")</f>
        <v>0</v>
      </c>
      <c r="CQ186">
        <f ca="1">IF($AN186="",OFFSET(Demand!$A$13,ROW(AA183)-1,4+((QUOTIENT(COLUMN(CQ$2)-69,3))*5)+MOD(COLUMN(CQ$2),3),1,1),"")</f>
        <v>0</v>
      </c>
      <c r="CR186">
        <f ca="1">IF($AN186="",OFFSET(Demand!$A$13,ROW(AB183)-1,4+((QUOTIENT(COLUMN(CR$2)-69,3))*5)+MOD(COLUMN(CR$2),3),1,1),"")</f>
        <v>0</v>
      </c>
      <c r="CS186">
        <f ca="1">IF($AN186="",OFFSET(Demand!$A$13,ROW(AC183)-1,4+((QUOTIENT(COLUMN(CS$2)-69,3))*5)+MOD(COLUMN(CS$2),3),1,1),"")</f>
        <v>0</v>
      </c>
      <c r="CT186">
        <f ca="1">IF($AN186="",OFFSET(Demand!$A$13,ROW(AD183)-1,4+((QUOTIENT(COLUMN(CT$2)-69,3))*5)+MOD(COLUMN(CT$2),3),1,1),"")</f>
        <v>0</v>
      </c>
      <c r="CW186" s="5">
        <f ca="1">SUM(OFFSET(Demand!$H$43,ROW(A183)-1,(COLUMN(A183)-1)*5,1,1))*N$2</f>
        <v>0</v>
      </c>
      <c r="CX186" s="5">
        <f ca="1">SUM(OFFSET(Demand!$H$43,ROW(B183)-1,(COLUMN(B183)-1)*5,1,1))*O$2</f>
        <v>0</v>
      </c>
      <c r="CY186" s="5">
        <f ca="1">SUM(OFFSET(Demand!$H$43,ROW(C183)-1,(COLUMN(C183)-1)*5,1,1))*P$2</f>
        <v>0</v>
      </c>
      <c r="CZ186" s="5">
        <f ca="1">SUM(OFFSET(Demand!$H$43,ROW(D183)-1,(COLUMN(D183)-1)*5,1,1))*Q$2</f>
        <v>0</v>
      </c>
      <c r="DA186" s="5">
        <f ca="1">SUM(OFFSET(Demand!$H$43,ROW(E183)-1,(COLUMN(E183)-1)*5,1,1))*R$2</f>
        <v>0</v>
      </c>
      <c r="DB186" s="5">
        <f ca="1">SUM(OFFSET(Demand!$H$43,ROW(F183)-1,(COLUMN(F183)-1)*5,1,1))*S$2</f>
        <v>0</v>
      </c>
      <c r="DC186" s="5">
        <f ca="1">SUM(OFFSET(Demand!$H$43,ROW(G183)-1,(COLUMN(G183)-1)*5,1,1))*T$2</f>
        <v>0</v>
      </c>
      <c r="DD186" s="5">
        <f ca="1">SUM(OFFSET(Demand!$H$43,ROW(H183)-1,(COLUMN(H183)-1)*5,1,1))*U$2</f>
        <v>0</v>
      </c>
      <c r="DE186" s="5">
        <f ca="1">SUM(OFFSET(Demand!$H$43,ROW(I183)-1,(COLUMN(I183)-1)*5,1,1))*V$2</f>
        <v>0</v>
      </c>
      <c r="DF186" s="5">
        <f ca="1">SUM(OFFSET(Demand!$H$43,ROW(J183)-1,(COLUMN(J183)-1)*5,1,1))*W$2</f>
        <v>0</v>
      </c>
      <c r="DG186" s="5">
        <f ca="1">IF(OR(AN186&lt;&gt;"",AND('Demand adjustments for Covid'!$F$9="Yes",'Demand adjustments for Covid'!$F$20="Yes")),"",SUM(CW186:DF186))</f>
        <v>0</v>
      </c>
    </row>
    <row r="187" spans="1:111" x14ac:dyDescent="0.25">
      <c r="A187" s="5">
        <f t="shared" ca="1" si="50"/>
        <v>1</v>
      </c>
      <c r="B187" s="5">
        <f ca="1">COUNTBLANK(OFFSET(Demand!$I196,0,(COLUMN(A184)-1)*5,1,1))</f>
        <v>1</v>
      </c>
      <c r="C187" s="5">
        <f ca="1">COUNTBLANK(OFFSET(Demand!$I196,0,(COLUMN(B184)-1)*5,1,1))</f>
        <v>1</v>
      </c>
      <c r="D187" s="5">
        <f ca="1">COUNTBLANK(OFFSET(Demand!$I196,0,(COLUMN(C184)-1)*5,1,1))</f>
        <v>1</v>
      </c>
      <c r="E187" s="5">
        <f ca="1">COUNTBLANK(OFFSET(Demand!$I196,0,(COLUMN(D184)-1)*5,1,1))</f>
        <v>1</v>
      </c>
      <c r="F187" s="5">
        <f ca="1">COUNTBLANK(OFFSET(Demand!$I196,0,(COLUMN(E184)-1)*5,1,1))</f>
        <v>1</v>
      </c>
      <c r="G187" s="5">
        <f ca="1">COUNTBLANK(OFFSET(Demand!$I196,0,(COLUMN(F184)-1)*5,1,1))</f>
        <v>1</v>
      </c>
      <c r="H187" s="5">
        <f ca="1">COUNTBLANK(OFFSET(Demand!$I196,0,(COLUMN(G184)-1)*5,1,1))</f>
        <v>1</v>
      </c>
      <c r="I187" s="5">
        <f ca="1">COUNTBLANK(OFFSET(Demand!$I196,0,(COLUMN(H184)-1)*5,1,1))</f>
        <v>1</v>
      </c>
      <c r="J187" s="5">
        <f ca="1">COUNTBLANK(OFFSET(Demand!$I196,0,(COLUMN(I184)-1)*5,1,1))</f>
        <v>1</v>
      </c>
      <c r="K187" s="5">
        <f ca="1">COUNTBLANK(OFFSET(Demand!$I196,0,(COLUMN(J184)-1)*5,1,1))</f>
        <v>1</v>
      </c>
      <c r="N187" s="5">
        <f ca="1">SUM(OFFSET(Demand!$E196,0,(COLUMN(A184)-1)*5,1,3))*N$2</f>
        <v>0</v>
      </c>
      <c r="O187" s="5">
        <f ca="1">SUM(OFFSET(Demand!$E196,0,(COLUMN(B184)-1)*5,1,3))*O$2</f>
        <v>0</v>
      </c>
      <c r="P187" s="5">
        <f ca="1">SUM(OFFSET(Demand!$E196,0,(COLUMN(C184)-1)*5,1,3))*P$2</f>
        <v>0</v>
      </c>
      <c r="Q187" s="5">
        <f ca="1">SUM(OFFSET(Demand!$E196,0,(COLUMN(D184)-1)*5,1,3))*Q$2</f>
        <v>0</v>
      </c>
      <c r="R187" s="5">
        <f ca="1">SUM(OFFSET(Demand!$E196,0,(COLUMN(E184)-1)*5,1,3))*R$2</f>
        <v>0</v>
      </c>
      <c r="S187" s="5">
        <f ca="1">SUM(OFFSET(Demand!$E196,0,(COLUMN(F184)-1)*5,1,3))*S$2</f>
        <v>0</v>
      </c>
      <c r="T187" s="5">
        <f ca="1">SUM(OFFSET(Demand!$E196,0,(COLUMN(G184)-1)*5,1,3))*T$2</f>
        <v>0</v>
      </c>
      <c r="U187" s="5">
        <f ca="1">SUM(OFFSET(Demand!$E196,0,(COLUMN(H184)-1)*5,1,3))*U$2</f>
        <v>0</v>
      </c>
      <c r="V187" s="5">
        <f ca="1">SUM(OFFSET(Demand!$E196,0,(COLUMN(I184)-1)*5,1,3))*V$2</f>
        <v>0</v>
      </c>
      <c r="W187" s="5">
        <f ca="1">SUM(OFFSET(Demand!$E196,0,(COLUMN(J184)-1)*5,1,3))*W$2</f>
        <v>0</v>
      </c>
      <c r="X187" s="5">
        <f t="shared" ca="1" si="44"/>
        <v>0</v>
      </c>
      <c r="Y187">
        <f t="shared" ca="1" si="45"/>
        <v>0</v>
      </c>
      <c r="Z187" s="5">
        <f ca="1">SUM(OFFSET(Demand!$H196,0,(COLUMN(A184)-1)*5,1,1))*N$2</f>
        <v>0</v>
      </c>
      <c r="AA187" s="5">
        <f ca="1">SUM(OFFSET(Demand!$H196,0,(COLUMN(B184)-1)*5,1,1))*O$2</f>
        <v>0</v>
      </c>
      <c r="AB187" s="5">
        <f ca="1">SUM(OFFSET(Demand!$H196,0,(COLUMN(C184)-1)*5,1,1))*P$2</f>
        <v>0</v>
      </c>
      <c r="AC187" s="5">
        <f ca="1">SUM(OFFSET(Demand!$H196,0,(COLUMN(D184)-1)*5,1,1))*Q$2</f>
        <v>0</v>
      </c>
      <c r="AD187" s="5">
        <f ca="1">SUM(OFFSET(Demand!$H196,0,(COLUMN(E184)-1)*5,1,1))*R$2</f>
        <v>0</v>
      </c>
      <c r="AE187" s="5">
        <f ca="1">SUM(OFFSET(Demand!$H196,0,(COLUMN(F184)-1)*5,1,1))*S$2</f>
        <v>0</v>
      </c>
      <c r="AF187" s="5">
        <f ca="1">SUM(OFFSET(Demand!$H196,0,(COLUMN(G184)-1)*5,1,1))*T$2</f>
        <v>0</v>
      </c>
      <c r="AG187" s="5">
        <f ca="1">SUM(OFFSET(Demand!$H196,0,(COLUMN(H184)-1)*5,1,1))*U$2</f>
        <v>0</v>
      </c>
      <c r="AH187" s="5">
        <f ca="1">SUM(OFFSET(Demand!$H196,0,(COLUMN(I184)-1)*5,1,1))*V$2</f>
        <v>0</v>
      </c>
      <c r="AI187" s="5">
        <f ca="1">SUM(OFFSET(Demand!$H196,0,(COLUMN(J184)-1)*5,1,1))*W$2</f>
        <v>0</v>
      </c>
      <c r="AJ187" s="5">
        <f t="shared" ca="1" si="46"/>
        <v>0</v>
      </c>
      <c r="AL187" s="5">
        <f t="shared" ca="1" si="47"/>
        <v>0</v>
      </c>
      <c r="AM187" s="5">
        <f t="shared" ca="1" si="48"/>
        <v>0</v>
      </c>
      <c r="AN187" s="5" t="str">
        <f>IF(Demand!BE196="Yes","Yes","")</f>
        <v/>
      </c>
      <c r="AP187" s="36" t="str">
        <f ca="1">Demand!B196</f>
        <v xml:space="preserve"> </v>
      </c>
      <c r="AQ187" t="str">
        <f ca="1">IF(TEXT(Demand!D196,"MMM")&lt;&gt;TEXT(Demand!D195,"MMM"),TEXT(Demand!D196,"MMM"),"")</f>
        <v/>
      </c>
      <c r="AT187" s="5">
        <f t="shared" ca="1" si="49"/>
        <v>0</v>
      </c>
      <c r="BQ187">
        <f ca="1">IF($AN187="",OFFSET(Demand!$A$13,ROW(A184)-1,4+((QUOTIENT(COLUMN(BQ$2)-69,3))*5)+MOD(COLUMN(BQ$2),3),1,1),"")</f>
        <v>0</v>
      </c>
      <c r="BR187">
        <f ca="1">IF($AN187="",OFFSET(Demand!$A$13,ROW(B184)-1,4+((QUOTIENT(COLUMN(BR$2)-69,3))*5)+MOD(COLUMN(BR$2),3),1,1),"")</f>
        <v>0</v>
      </c>
      <c r="BS187">
        <f ca="1">IF($AN187="",OFFSET(Demand!$A$13,ROW(C184)-1,4+((QUOTIENT(COLUMN(BS$2)-69,3))*5)+MOD(COLUMN(BS$2),3),1,1),"")</f>
        <v>0</v>
      </c>
      <c r="BT187">
        <f ca="1">IF($AN187="",OFFSET(Demand!$A$13,ROW(D184)-1,4+((QUOTIENT(COLUMN(BT$2)-69,3))*5)+MOD(COLUMN(BT$2),3),1,1),"")</f>
        <v>0</v>
      </c>
      <c r="BU187">
        <f ca="1">IF($AN187="",OFFSET(Demand!$A$13,ROW(E184)-1,4+((QUOTIENT(COLUMN(BU$2)-69,3))*5)+MOD(COLUMN(BU$2),3),1,1),"")</f>
        <v>0</v>
      </c>
      <c r="BV187">
        <f ca="1">IF($AN187="",OFFSET(Demand!$A$13,ROW(F184)-1,4+((QUOTIENT(COLUMN(BV$2)-69,3))*5)+MOD(COLUMN(BV$2),3),1,1),"")</f>
        <v>0</v>
      </c>
      <c r="BW187">
        <f ca="1">IF($AN187="",OFFSET(Demand!$A$13,ROW(G184)-1,4+((QUOTIENT(COLUMN(BW$2)-69,3))*5)+MOD(COLUMN(BW$2),3),1,1),"")</f>
        <v>0</v>
      </c>
      <c r="BX187">
        <f ca="1">IF($AN187="",OFFSET(Demand!$A$13,ROW(H184)-1,4+((QUOTIENT(COLUMN(BX$2)-69,3))*5)+MOD(COLUMN(BX$2),3),1,1),"")</f>
        <v>0</v>
      </c>
      <c r="BY187">
        <f ca="1">IF($AN187="",OFFSET(Demand!$A$13,ROW(I184)-1,4+((QUOTIENT(COLUMN(BY$2)-69,3))*5)+MOD(COLUMN(BY$2),3),1,1),"")</f>
        <v>0</v>
      </c>
      <c r="BZ187">
        <f ca="1">IF($AN187="",OFFSET(Demand!$A$13,ROW(J184)-1,4+((QUOTIENT(COLUMN(BZ$2)-69,3))*5)+MOD(COLUMN(BZ$2),3),1,1),"")</f>
        <v>0</v>
      </c>
      <c r="CA187">
        <f ca="1">IF($AN187="",OFFSET(Demand!$A$13,ROW(K184)-1,4+((QUOTIENT(COLUMN(CA$2)-69,3))*5)+MOD(COLUMN(CA$2),3),1,1),"")</f>
        <v>0</v>
      </c>
      <c r="CB187">
        <f ca="1">IF($AN187="",OFFSET(Demand!$A$13,ROW(L184)-1,4+((QUOTIENT(COLUMN(CB$2)-69,3))*5)+MOD(COLUMN(CB$2),3),1,1),"")</f>
        <v>0</v>
      </c>
      <c r="CC187">
        <f ca="1">IF($AN187="",OFFSET(Demand!$A$13,ROW(M184)-1,4+((QUOTIENT(COLUMN(CC$2)-69,3))*5)+MOD(COLUMN(CC$2),3),1,1),"")</f>
        <v>0</v>
      </c>
      <c r="CD187">
        <f ca="1">IF($AN187="",OFFSET(Demand!$A$13,ROW(N184)-1,4+((QUOTIENT(COLUMN(CD$2)-69,3))*5)+MOD(COLUMN(CD$2),3),1,1),"")</f>
        <v>0</v>
      </c>
      <c r="CE187">
        <f ca="1">IF($AN187="",OFFSET(Demand!$A$13,ROW(O184)-1,4+((QUOTIENT(COLUMN(CE$2)-69,3))*5)+MOD(COLUMN(CE$2),3),1,1),"")</f>
        <v>0</v>
      </c>
      <c r="CF187">
        <f ca="1">IF($AN187="",OFFSET(Demand!$A$13,ROW(P184)-1,4+((QUOTIENT(COLUMN(CF$2)-69,3))*5)+MOD(COLUMN(CF$2),3),1,1),"")</f>
        <v>0</v>
      </c>
      <c r="CG187">
        <f ca="1">IF($AN187="",OFFSET(Demand!$A$13,ROW(Q184)-1,4+((QUOTIENT(COLUMN(CG$2)-69,3))*5)+MOD(COLUMN(CG$2),3),1,1),"")</f>
        <v>0</v>
      </c>
      <c r="CH187">
        <f ca="1">IF($AN187="",OFFSET(Demand!$A$13,ROW(R184)-1,4+((QUOTIENT(COLUMN(CH$2)-69,3))*5)+MOD(COLUMN(CH$2),3),1,1),"")</f>
        <v>0</v>
      </c>
      <c r="CI187">
        <f ca="1">IF($AN187="",OFFSET(Demand!$A$13,ROW(S184)-1,4+((QUOTIENT(COLUMN(CI$2)-69,3))*5)+MOD(COLUMN(CI$2),3),1,1),"")</f>
        <v>0</v>
      </c>
      <c r="CJ187">
        <f ca="1">IF($AN187="",OFFSET(Demand!$A$13,ROW(T184)-1,4+((QUOTIENT(COLUMN(CJ$2)-69,3))*5)+MOD(COLUMN(CJ$2),3),1,1),"")</f>
        <v>0</v>
      </c>
      <c r="CK187">
        <f ca="1">IF($AN187="",OFFSET(Demand!$A$13,ROW(U184)-1,4+((QUOTIENT(COLUMN(CK$2)-69,3))*5)+MOD(COLUMN(CK$2),3),1,1),"")</f>
        <v>0</v>
      </c>
      <c r="CL187">
        <f ca="1">IF($AN187="",OFFSET(Demand!$A$13,ROW(V184)-1,4+((QUOTIENT(COLUMN(CL$2)-69,3))*5)+MOD(COLUMN(CL$2),3),1,1),"")</f>
        <v>0</v>
      </c>
      <c r="CM187">
        <f ca="1">IF($AN187="",OFFSET(Demand!$A$13,ROW(W184)-1,4+((QUOTIENT(COLUMN(CM$2)-69,3))*5)+MOD(COLUMN(CM$2),3),1,1),"")</f>
        <v>0</v>
      </c>
      <c r="CN187">
        <f ca="1">IF($AN187="",OFFSET(Demand!$A$13,ROW(X184)-1,4+((QUOTIENT(COLUMN(CN$2)-69,3))*5)+MOD(COLUMN(CN$2),3),1,1),"")</f>
        <v>0</v>
      </c>
      <c r="CO187">
        <f ca="1">IF($AN187="",OFFSET(Demand!$A$13,ROW(Y184)-1,4+((QUOTIENT(COLUMN(CO$2)-69,3))*5)+MOD(COLUMN(CO$2),3),1,1),"")</f>
        <v>0</v>
      </c>
      <c r="CP187">
        <f ca="1">IF($AN187="",OFFSET(Demand!$A$13,ROW(Z184)-1,4+((QUOTIENT(COLUMN(CP$2)-69,3))*5)+MOD(COLUMN(CP$2),3),1,1),"")</f>
        <v>0</v>
      </c>
      <c r="CQ187">
        <f ca="1">IF($AN187="",OFFSET(Demand!$A$13,ROW(AA184)-1,4+((QUOTIENT(COLUMN(CQ$2)-69,3))*5)+MOD(COLUMN(CQ$2),3),1,1),"")</f>
        <v>0</v>
      </c>
      <c r="CR187">
        <f ca="1">IF($AN187="",OFFSET(Demand!$A$13,ROW(AB184)-1,4+((QUOTIENT(COLUMN(CR$2)-69,3))*5)+MOD(COLUMN(CR$2),3),1,1),"")</f>
        <v>0</v>
      </c>
      <c r="CS187">
        <f ca="1">IF($AN187="",OFFSET(Demand!$A$13,ROW(AC184)-1,4+((QUOTIENT(COLUMN(CS$2)-69,3))*5)+MOD(COLUMN(CS$2),3),1,1),"")</f>
        <v>0</v>
      </c>
      <c r="CT187">
        <f ca="1">IF($AN187="",OFFSET(Demand!$A$13,ROW(AD184)-1,4+((QUOTIENT(COLUMN(CT$2)-69,3))*5)+MOD(COLUMN(CT$2),3),1,1),"")</f>
        <v>0</v>
      </c>
      <c r="CW187" s="5">
        <f ca="1">SUM(OFFSET(Demand!$H$43,ROW(A184)-1,(COLUMN(A184)-1)*5,1,1))*N$2</f>
        <v>0</v>
      </c>
      <c r="CX187" s="5">
        <f ca="1">SUM(OFFSET(Demand!$H$43,ROW(B184)-1,(COLUMN(B184)-1)*5,1,1))*O$2</f>
        <v>0</v>
      </c>
      <c r="CY187" s="5">
        <f ca="1">SUM(OFFSET(Demand!$H$43,ROW(C184)-1,(COLUMN(C184)-1)*5,1,1))*P$2</f>
        <v>0</v>
      </c>
      <c r="CZ187" s="5">
        <f ca="1">SUM(OFFSET(Demand!$H$43,ROW(D184)-1,(COLUMN(D184)-1)*5,1,1))*Q$2</f>
        <v>0</v>
      </c>
      <c r="DA187" s="5">
        <f ca="1">SUM(OFFSET(Demand!$H$43,ROW(E184)-1,(COLUMN(E184)-1)*5,1,1))*R$2</f>
        <v>0</v>
      </c>
      <c r="DB187" s="5">
        <f ca="1">SUM(OFFSET(Demand!$H$43,ROW(F184)-1,(COLUMN(F184)-1)*5,1,1))*S$2</f>
        <v>0</v>
      </c>
      <c r="DC187" s="5">
        <f ca="1">SUM(OFFSET(Demand!$H$43,ROW(G184)-1,(COLUMN(G184)-1)*5,1,1))*T$2</f>
        <v>0</v>
      </c>
      <c r="DD187" s="5">
        <f ca="1">SUM(OFFSET(Demand!$H$43,ROW(H184)-1,(COLUMN(H184)-1)*5,1,1))*U$2</f>
        <v>0</v>
      </c>
      <c r="DE187" s="5">
        <f ca="1">SUM(OFFSET(Demand!$H$43,ROW(I184)-1,(COLUMN(I184)-1)*5,1,1))*V$2</f>
        <v>0</v>
      </c>
      <c r="DF187" s="5">
        <f ca="1">SUM(OFFSET(Demand!$H$43,ROW(J184)-1,(COLUMN(J184)-1)*5,1,1))*W$2</f>
        <v>0</v>
      </c>
      <c r="DG187" s="5">
        <f ca="1">IF(OR(AN187&lt;&gt;"",AND('Demand adjustments for Covid'!$F$9="Yes",'Demand adjustments for Covid'!$F$20="Yes")),"",SUM(CW187:DF187))</f>
        <v>0</v>
      </c>
    </row>
    <row r="188" spans="1:111" x14ac:dyDescent="0.25">
      <c r="A188" s="5">
        <f t="shared" ca="1" si="50"/>
        <v>1</v>
      </c>
      <c r="B188" s="5">
        <f ca="1">COUNTBLANK(OFFSET(Demand!$I197,0,(COLUMN(A185)-1)*5,1,1))</f>
        <v>1</v>
      </c>
      <c r="C188" s="5">
        <f ca="1">COUNTBLANK(OFFSET(Demand!$I197,0,(COLUMN(B185)-1)*5,1,1))</f>
        <v>1</v>
      </c>
      <c r="D188" s="5">
        <f ca="1">COUNTBLANK(OFFSET(Demand!$I197,0,(COLUMN(C185)-1)*5,1,1))</f>
        <v>1</v>
      </c>
      <c r="E188" s="5">
        <f ca="1">COUNTBLANK(OFFSET(Demand!$I197,0,(COLUMN(D185)-1)*5,1,1))</f>
        <v>1</v>
      </c>
      <c r="F188" s="5">
        <f ca="1">COUNTBLANK(OFFSET(Demand!$I197,0,(COLUMN(E185)-1)*5,1,1))</f>
        <v>1</v>
      </c>
      <c r="G188" s="5">
        <f ca="1">COUNTBLANK(OFFSET(Demand!$I197,0,(COLUMN(F185)-1)*5,1,1))</f>
        <v>1</v>
      </c>
      <c r="H188" s="5">
        <f ca="1">COUNTBLANK(OFFSET(Demand!$I197,0,(COLUMN(G185)-1)*5,1,1))</f>
        <v>1</v>
      </c>
      <c r="I188" s="5">
        <f ca="1">COUNTBLANK(OFFSET(Demand!$I197,0,(COLUMN(H185)-1)*5,1,1))</f>
        <v>1</v>
      </c>
      <c r="J188" s="5">
        <f ca="1">COUNTBLANK(OFFSET(Demand!$I197,0,(COLUMN(I185)-1)*5,1,1))</f>
        <v>1</v>
      </c>
      <c r="K188" s="5">
        <f ca="1">COUNTBLANK(OFFSET(Demand!$I197,0,(COLUMN(J185)-1)*5,1,1))</f>
        <v>1</v>
      </c>
      <c r="N188" s="5">
        <f ca="1">SUM(OFFSET(Demand!$E197,0,(COLUMN(A185)-1)*5,1,3))*N$2</f>
        <v>0</v>
      </c>
      <c r="O188" s="5">
        <f ca="1">SUM(OFFSET(Demand!$E197,0,(COLUMN(B185)-1)*5,1,3))*O$2</f>
        <v>0</v>
      </c>
      <c r="P188" s="5">
        <f ca="1">SUM(OFFSET(Demand!$E197,0,(COLUMN(C185)-1)*5,1,3))*P$2</f>
        <v>0</v>
      </c>
      <c r="Q188" s="5">
        <f ca="1">SUM(OFFSET(Demand!$E197,0,(COLUMN(D185)-1)*5,1,3))*Q$2</f>
        <v>0</v>
      </c>
      <c r="R188" s="5">
        <f ca="1">SUM(OFFSET(Demand!$E197,0,(COLUMN(E185)-1)*5,1,3))*R$2</f>
        <v>0</v>
      </c>
      <c r="S188" s="5">
        <f ca="1">SUM(OFFSET(Demand!$E197,0,(COLUMN(F185)-1)*5,1,3))*S$2</f>
        <v>0</v>
      </c>
      <c r="T188" s="5">
        <f ca="1">SUM(OFFSET(Demand!$E197,0,(COLUMN(G185)-1)*5,1,3))*T$2</f>
        <v>0</v>
      </c>
      <c r="U188" s="5">
        <f ca="1">SUM(OFFSET(Demand!$E197,0,(COLUMN(H185)-1)*5,1,3))*U$2</f>
        <v>0</v>
      </c>
      <c r="V188" s="5">
        <f ca="1">SUM(OFFSET(Demand!$E197,0,(COLUMN(I185)-1)*5,1,3))*V$2</f>
        <v>0</v>
      </c>
      <c r="W188" s="5">
        <f ca="1">SUM(OFFSET(Demand!$E197,0,(COLUMN(J185)-1)*5,1,3))*W$2</f>
        <v>0</v>
      </c>
      <c r="X188" s="5">
        <f t="shared" ca="1" si="44"/>
        <v>0</v>
      </c>
      <c r="Y188">
        <f t="shared" ca="1" si="45"/>
        <v>0</v>
      </c>
      <c r="Z188" s="5">
        <f ca="1">SUM(OFFSET(Demand!$H197,0,(COLUMN(A185)-1)*5,1,1))*N$2</f>
        <v>0</v>
      </c>
      <c r="AA188" s="5">
        <f ca="1">SUM(OFFSET(Demand!$H197,0,(COLUMN(B185)-1)*5,1,1))*O$2</f>
        <v>0</v>
      </c>
      <c r="AB188" s="5">
        <f ca="1">SUM(OFFSET(Demand!$H197,0,(COLUMN(C185)-1)*5,1,1))*P$2</f>
        <v>0</v>
      </c>
      <c r="AC188" s="5">
        <f ca="1">SUM(OFFSET(Demand!$H197,0,(COLUMN(D185)-1)*5,1,1))*Q$2</f>
        <v>0</v>
      </c>
      <c r="AD188" s="5">
        <f ca="1">SUM(OFFSET(Demand!$H197,0,(COLUMN(E185)-1)*5,1,1))*R$2</f>
        <v>0</v>
      </c>
      <c r="AE188" s="5">
        <f ca="1">SUM(OFFSET(Demand!$H197,0,(COLUMN(F185)-1)*5,1,1))*S$2</f>
        <v>0</v>
      </c>
      <c r="AF188" s="5">
        <f ca="1">SUM(OFFSET(Demand!$H197,0,(COLUMN(G185)-1)*5,1,1))*T$2</f>
        <v>0</v>
      </c>
      <c r="AG188" s="5">
        <f ca="1">SUM(OFFSET(Demand!$H197,0,(COLUMN(H185)-1)*5,1,1))*U$2</f>
        <v>0</v>
      </c>
      <c r="AH188" s="5">
        <f ca="1">SUM(OFFSET(Demand!$H197,0,(COLUMN(I185)-1)*5,1,1))*V$2</f>
        <v>0</v>
      </c>
      <c r="AI188" s="5">
        <f ca="1">SUM(OFFSET(Demand!$H197,0,(COLUMN(J185)-1)*5,1,1))*W$2</f>
        <v>0</v>
      </c>
      <c r="AJ188" s="5">
        <f t="shared" ca="1" si="46"/>
        <v>0</v>
      </c>
      <c r="AL188" s="5">
        <f t="shared" ca="1" si="47"/>
        <v>0</v>
      </c>
      <c r="AM188" s="5">
        <f t="shared" ca="1" si="48"/>
        <v>0</v>
      </c>
      <c r="AN188" s="5" t="str">
        <f>IF(Demand!BE197="Yes","Yes","")</f>
        <v/>
      </c>
      <c r="AP188" s="36" t="str">
        <f ca="1">Demand!B197</f>
        <v xml:space="preserve"> </v>
      </c>
      <c r="AQ188" t="str">
        <f ca="1">IF(TEXT(Demand!D197,"MMM")&lt;&gt;TEXT(Demand!D196,"MMM"),TEXT(Demand!D197,"MMM"),"")</f>
        <v/>
      </c>
      <c r="AT188" s="5">
        <f t="shared" ca="1" si="49"/>
        <v>0</v>
      </c>
      <c r="BQ188">
        <f ca="1">IF($AN188="",OFFSET(Demand!$A$13,ROW(A185)-1,4+((QUOTIENT(COLUMN(BQ$2)-69,3))*5)+MOD(COLUMN(BQ$2),3),1,1),"")</f>
        <v>0</v>
      </c>
      <c r="BR188">
        <f ca="1">IF($AN188="",OFFSET(Demand!$A$13,ROW(B185)-1,4+((QUOTIENT(COLUMN(BR$2)-69,3))*5)+MOD(COLUMN(BR$2),3),1,1),"")</f>
        <v>0</v>
      </c>
      <c r="BS188">
        <f ca="1">IF($AN188="",OFFSET(Demand!$A$13,ROW(C185)-1,4+((QUOTIENT(COLUMN(BS$2)-69,3))*5)+MOD(COLUMN(BS$2),3),1,1),"")</f>
        <v>0</v>
      </c>
      <c r="BT188">
        <f ca="1">IF($AN188="",OFFSET(Demand!$A$13,ROW(D185)-1,4+((QUOTIENT(COLUMN(BT$2)-69,3))*5)+MOD(COLUMN(BT$2),3),1,1),"")</f>
        <v>0</v>
      </c>
      <c r="BU188">
        <f ca="1">IF($AN188="",OFFSET(Demand!$A$13,ROW(E185)-1,4+((QUOTIENT(COLUMN(BU$2)-69,3))*5)+MOD(COLUMN(BU$2),3),1,1),"")</f>
        <v>0</v>
      </c>
      <c r="BV188">
        <f ca="1">IF($AN188="",OFFSET(Demand!$A$13,ROW(F185)-1,4+((QUOTIENT(COLUMN(BV$2)-69,3))*5)+MOD(COLUMN(BV$2),3),1,1),"")</f>
        <v>0</v>
      </c>
      <c r="BW188">
        <f ca="1">IF($AN188="",OFFSET(Demand!$A$13,ROW(G185)-1,4+((QUOTIENT(COLUMN(BW$2)-69,3))*5)+MOD(COLUMN(BW$2),3),1,1),"")</f>
        <v>0</v>
      </c>
      <c r="BX188">
        <f ca="1">IF($AN188="",OFFSET(Demand!$A$13,ROW(H185)-1,4+((QUOTIENT(COLUMN(BX$2)-69,3))*5)+MOD(COLUMN(BX$2),3),1,1),"")</f>
        <v>0</v>
      </c>
      <c r="BY188">
        <f ca="1">IF($AN188="",OFFSET(Demand!$A$13,ROW(I185)-1,4+((QUOTIENT(COLUMN(BY$2)-69,3))*5)+MOD(COLUMN(BY$2),3),1,1),"")</f>
        <v>0</v>
      </c>
      <c r="BZ188">
        <f ca="1">IF($AN188="",OFFSET(Demand!$A$13,ROW(J185)-1,4+((QUOTIENT(COLUMN(BZ$2)-69,3))*5)+MOD(COLUMN(BZ$2),3),1,1),"")</f>
        <v>0</v>
      </c>
      <c r="CA188">
        <f ca="1">IF($AN188="",OFFSET(Demand!$A$13,ROW(K185)-1,4+((QUOTIENT(COLUMN(CA$2)-69,3))*5)+MOD(COLUMN(CA$2),3),1,1),"")</f>
        <v>0</v>
      </c>
      <c r="CB188">
        <f ca="1">IF($AN188="",OFFSET(Demand!$A$13,ROW(L185)-1,4+((QUOTIENT(COLUMN(CB$2)-69,3))*5)+MOD(COLUMN(CB$2),3),1,1),"")</f>
        <v>0</v>
      </c>
      <c r="CC188">
        <f ca="1">IF($AN188="",OFFSET(Demand!$A$13,ROW(M185)-1,4+((QUOTIENT(COLUMN(CC$2)-69,3))*5)+MOD(COLUMN(CC$2),3),1,1),"")</f>
        <v>0</v>
      </c>
      <c r="CD188">
        <f ca="1">IF($AN188="",OFFSET(Demand!$A$13,ROW(N185)-1,4+((QUOTIENT(COLUMN(CD$2)-69,3))*5)+MOD(COLUMN(CD$2),3),1,1),"")</f>
        <v>0</v>
      </c>
      <c r="CE188">
        <f ca="1">IF($AN188="",OFFSET(Demand!$A$13,ROW(O185)-1,4+((QUOTIENT(COLUMN(CE$2)-69,3))*5)+MOD(COLUMN(CE$2),3),1,1),"")</f>
        <v>0</v>
      </c>
      <c r="CF188">
        <f ca="1">IF($AN188="",OFFSET(Demand!$A$13,ROW(P185)-1,4+((QUOTIENT(COLUMN(CF$2)-69,3))*5)+MOD(COLUMN(CF$2),3),1,1),"")</f>
        <v>0</v>
      </c>
      <c r="CG188">
        <f ca="1">IF($AN188="",OFFSET(Demand!$A$13,ROW(Q185)-1,4+((QUOTIENT(COLUMN(CG$2)-69,3))*5)+MOD(COLUMN(CG$2),3),1,1),"")</f>
        <v>0</v>
      </c>
      <c r="CH188">
        <f ca="1">IF($AN188="",OFFSET(Demand!$A$13,ROW(R185)-1,4+((QUOTIENT(COLUMN(CH$2)-69,3))*5)+MOD(COLUMN(CH$2),3),1,1),"")</f>
        <v>0</v>
      </c>
      <c r="CI188">
        <f ca="1">IF($AN188="",OFFSET(Demand!$A$13,ROW(S185)-1,4+((QUOTIENT(COLUMN(CI$2)-69,3))*5)+MOD(COLUMN(CI$2),3),1,1),"")</f>
        <v>0</v>
      </c>
      <c r="CJ188">
        <f ca="1">IF($AN188="",OFFSET(Demand!$A$13,ROW(T185)-1,4+((QUOTIENT(COLUMN(CJ$2)-69,3))*5)+MOD(COLUMN(CJ$2),3),1,1),"")</f>
        <v>0</v>
      </c>
      <c r="CK188">
        <f ca="1">IF($AN188="",OFFSET(Demand!$A$13,ROW(U185)-1,4+((QUOTIENT(COLUMN(CK$2)-69,3))*5)+MOD(COLUMN(CK$2),3),1,1),"")</f>
        <v>0</v>
      </c>
      <c r="CL188">
        <f ca="1">IF($AN188="",OFFSET(Demand!$A$13,ROW(V185)-1,4+((QUOTIENT(COLUMN(CL$2)-69,3))*5)+MOD(COLUMN(CL$2),3),1,1),"")</f>
        <v>0</v>
      </c>
      <c r="CM188">
        <f ca="1">IF($AN188="",OFFSET(Demand!$A$13,ROW(W185)-1,4+((QUOTIENT(COLUMN(CM$2)-69,3))*5)+MOD(COLUMN(CM$2),3),1,1),"")</f>
        <v>0</v>
      </c>
      <c r="CN188">
        <f ca="1">IF($AN188="",OFFSET(Demand!$A$13,ROW(X185)-1,4+((QUOTIENT(COLUMN(CN$2)-69,3))*5)+MOD(COLUMN(CN$2),3),1,1),"")</f>
        <v>0</v>
      </c>
      <c r="CO188">
        <f ca="1">IF($AN188="",OFFSET(Demand!$A$13,ROW(Y185)-1,4+((QUOTIENT(COLUMN(CO$2)-69,3))*5)+MOD(COLUMN(CO$2),3),1,1),"")</f>
        <v>0</v>
      </c>
      <c r="CP188">
        <f ca="1">IF($AN188="",OFFSET(Demand!$A$13,ROW(Z185)-1,4+((QUOTIENT(COLUMN(CP$2)-69,3))*5)+MOD(COLUMN(CP$2),3),1,1),"")</f>
        <v>0</v>
      </c>
      <c r="CQ188">
        <f ca="1">IF($AN188="",OFFSET(Demand!$A$13,ROW(AA185)-1,4+((QUOTIENT(COLUMN(CQ$2)-69,3))*5)+MOD(COLUMN(CQ$2),3),1,1),"")</f>
        <v>0</v>
      </c>
      <c r="CR188">
        <f ca="1">IF($AN188="",OFFSET(Demand!$A$13,ROW(AB185)-1,4+((QUOTIENT(COLUMN(CR$2)-69,3))*5)+MOD(COLUMN(CR$2),3),1,1),"")</f>
        <v>0</v>
      </c>
      <c r="CS188">
        <f ca="1">IF($AN188="",OFFSET(Demand!$A$13,ROW(AC185)-1,4+((QUOTIENT(COLUMN(CS$2)-69,3))*5)+MOD(COLUMN(CS$2),3),1,1),"")</f>
        <v>0</v>
      </c>
      <c r="CT188">
        <f ca="1">IF($AN188="",OFFSET(Demand!$A$13,ROW(AD185)-1,4+((QUOTIENT(COLUMN(CT$2)-69,3))*5)+MOD(COLUMN(CT$2),3),1,1),"")</f>
        <v>0</v>
      </c>
      <c r="CW188" s="5">
        <f ca="1">SUM(OFFSET(Demand!$H$43,ROW(A185)-1,(COLUMN(A185)-1)*5,1,1))*N$2</f>
        <v>0</v>
      </c>
      <c r="CX188" s="5">
        <f ca="1">SUM(OFFSET(Demand!$H$43,ROW(B185)-1,(COLUMN(B185)-1)*5,1,1))*O$2</f>
        <v>0</v>
      </c>
      <c r="CY188" s="5">
        <f ca="1">SUM(OFFSET(Demand!$H$43,ROW(C185)-1,(COLUMN(C185)-1)*5,1,1))*P$2</f>
        <v>0</v>
      </c>
      <c r="CZ188" s="5">
        <f ca="1">SUM(OFFSET(Demand!$H$43,ROW(D185)-1,(COLUMN(D185)-1)*5,1,1))*Q$2</f>
        <v>0</v>
      </c>
      <c r="DA188" s="5">
        <f ca="1">SUM(OFFSET(Demand!$H$43,ROW(E185)-1,(COLUMN(E185)-1)*5,1,1))*R$2</f>
        <v>0</v>
      </c>
      <c r="DB188" s="5">
        <f ca="1">SUM(OFFSET(Demand!$H$43,ROW(F185)-1,(COLUMN(F185)-1)*5,1,1))*S$2</f>
        <v>0</v>
      </c>
      <c r="DC188" s="5">
        <f ca="1">SUM(OFFSET(Demand!$H$43,ROW(G185)-1,(COLUMN(G185)-1)*5,1,1))*T$2</f>
        <v>0</v>
      </c>
      <c r="DD188" s="5">
        <f ca="1">SUM(OFFSET(Demand!$H$43,ROW(H185)-1,(COLUMN(H185)-1)*5,1,1))*U$2</f>
        <v>0</v>
      </c>
      <c r="DE188" s="5">
        <f ca="1">SUM(OFFSET(Demand!$H$43,ROW(I185)-1,(COLUMN(I185)-1)*5,1,1))*V$2</f>
        <v>0</v>
      </c>
      <c r="DF188" s="5">
        <f ca="1">SUM(OFFSET(Demand!$H$43,ROW(J185)-1,(COLUMN(J185)-1)*5,1,1))*W$2</f>
        <v>0</v>
      </c>
      <c r="DG188" s="5">
        <f ca="1">IF(OR(AN188&lt;&gt;"",AND('Demand adjustments for Covid'!$F$9="Yes",'Demand adjustments for Covid'!$F$20="Yes")),"",SUM(CW188:DF188))</f>
        <v>0</v>
      </c>
    </row>
    <row r="189" spans="1:111" x14ac:dyDescent="0.25">
      <c r="A189" s="5">
        <f t="shared" ca="1" si="50"/>
        <v>1</v>
      </c>
      <c r="B189" s="5">
        <f ca="1">COUNTBLANK(OFFSET(Demand!$I198,0,(COLUMN(A186)-1)*5,1,1))</f>
        <v>1</v>
      </c>
      <c r="C189" s="5">
        <f ca="1">COUNTBLANK(OFFSET(Demand!$I198,0,(COLUMN(B186)-1)*5,1,1))</f>
        <v>1</v>
      </c>
      <c r="D189" s="5">
        <f ca="1">COUNTBLANK(OFFSET(Demand!$I198,0,(COLUMN(C186)-1)*5,1,1))</f>
        <v>1</v>
      </c>
      <c r="E189" s="5">
        <f ca="1">COUNTBLANK(OFFSET(Demand!$I198,0,(COLUMN(D186)-1)*5,1,1))</f>
        <v>1</v>
      </c>
      <c r="F189" s="5">
        <f ca="1">COUNTBLANK(OFFSET(Demand!$I198,0,(COLUMN(E186)-1)*5,1,1))</f>
        <v>1</v>
      </c>
      <c r="G189" s="5">
        <f ca="1">COUNTBLANK(OFFSET(Demand!$I198,0,(COLUMN(F186)-1)*5,1,1))</f>
        <v>1</v>
      </c>
      <c r="H189" s="5">
        <f ca="1">COUNTBLANK(OFFSET(Demand!$I198,0,(COLUMN(G186)-1)*5,1,1))</f>
        <v>1</v>
      </c>
      <c r="I189" s="5">
        <f ca="1">COUNTBLANK(OFFSET(Demand!$I198,0,(COLUMN(H186)-1)*5,1,1))</f>
        <v>1</v>
      </c>
      <c r="J189" s="5">
        <f ca="1">COUNTBLANK(OFFSET(Demand!$I198,0,(COLUMN(I186)-1)*5,1,1))</f>
        <v>1</v>
      </c>
      <c r="K189" s="5">
        <f ca="1">COUNTBLANK(OFFSET(Demand!$I198,0,(COLUMN(J186)-1)*5,1,1))</f>
        <v>1</v>
      </c>
      <c r="N189" s="5">
        <f ca="1">SUM(OFFSET(Demand!$E198,0,(COLUMN(A186)-1)*5,1,3))*N$2</f>
        <v>0</v>
      </c>
      <c r="O189" s="5">
        <f ca="1">SUM(OFFSET(Demand!$E198,0,(COLUMN(B186)-1)*5,1,3))*O$2</f>
        <v>0</v>
      </c>
      <c r="P189" s="5">
        <f ca="1">SUM(OFFSET(Demand!$E198,0,(COLUMN(C186)-1)*5,1,3))*P$2</f>
        <v>0</v>
      </c>
      <c r="Q189" s="5">
        <f ca="1">SUM(OFFSET(Demand!$E198,0,(COLUMN(D186)-1)*5,1,3))*Q$2</f>
        <v>0</v>
      </c>
      <c r="R189" s="5">
        <f ca="1">SUM(OFFSET(Demand!$E198,0,(COLUMN(E186)-1)*5,1,3))*R$2</f>
        <v>0</v>
      </c>
      <c r="S189" s="5">
        <f ca="1">SUM(OFFSET(Demand!$E198,0,(COLUMN(F186)-1)*5,1,3))*S$2</f>
        <v>0</v>
      </c>
      <c r="T189" s="5">
        <f ca="1">SUM(OFFSET(Demand!$E198,0,(COLUMN(G186)-1)*5,1,3))*T$2</f>
        <v>0</v>
      </c>
      <c r="U189" s="5">
        <f ca="1">SUM(OFFSET(Demand!$E198,0,(COLUMN(H186)-1)*5,1,3))*U$2</f>
        <v>0</v>
      </c>
      <c r="V189" s="5">
        <f ca="1">SUM(OFFSET(Demand!$E198,0,(COLUMN(I186)-1)*5,1,3))*V$2</f>
        <v>0</v>
      </c>
      <c r="W189" s="5">
        <f ca="1">SUM(OFFSET(Demand!$E198,0,(COLUMN(J186)-1)*5,1,3))*W$2</f>
        <v>0</v>
      </c>
      <c r="X189" s="5">
        <f t="shared" ca="1" si="44"/>
        <v>0</v>
      </c>
      <c r="Y189">
        <f t="shared" ca="1" si="45"/>
        <v>0</v>
      </c>
      <c r="Z189" s="5">
        <f ca="1">SUM(OFFSET(Demand!$H198,0,(COLUMN(A186)-1)*5,1,1))*N$2</f>
        <v>0</v>
      </c>
      <c r="AA189" s="5">
        <f ca="1">SUM(OFFSET(Demand!$H198,0,(COLUMN(B186)-1)*5,1,1))*O$2</f>
        <v>0</v>
      </c>
      <c r="AB189" s="5">
        <f ca="1">SUM(OFFSET(Demand!$H198,0,(COLUMN(C186)-1)*5,1,1))*P$2</f>
        <v>0</v>
      </c>
      <c r="AC189" s="5">
        <f ca="1">SUM(OFFSET(Demand!$H198,0,(COLUMN(D186)-1)*5,1,1))*Q$2</f>
        <v>0</v>
      </c>
      <c r="AD189" s="5">
        <f ca="1">SUM(OFFSET(Demand!$H198,0,(COLUMN(E186)-1)*5,1,1))*R$2</f>
        <v>0</v>
      </c>
      <c r="AE189" s="5">
        <f ca="1">SUM(OFFSET(Demand!$H198,0,(COLUMN(F186)-1)*5,1,1))*S$2</f>
        <v>0</v>
      </c>
      <c r="AF189" s="5">
        <f ca="1">SUM(OFFSET(Demand!$H198,0,(COLUMN(G186)-1)*5,1,1))*T$2</f>
        <v>0</v>
      </c>
      <c r="AG189" s="5">
        <f ca="1">SUM(OFFSET(Demand!$H198,0,(COLUMN(H186)-1)*5,1,1))*U$2</f>
        <v>0</v>
      </c>
      <c r="AH189" s="5">
        <f ca="1">SUM(OFFSET(Demand!$H198,0,(COLUMN(I186)-1)*5,1,1))*V$2</f>
        <v>0</v>
      </c>
      <c r="AI189" s="5">
        <f ca="1">SUM(OFFSET(Demand!$H198,0,(COLUMN(J186)-1)*5,1,1))*W$2</f>
        <v>0</v>
      </c>
      <c r="AJ189" s="5">
        <f t="shared" ca="1" si="46"/>
        <v>0</v>
      </c>
      <c r="AL189" s="5">
        <f t="shared" ca="1" si="47"/>
        <v>0</v>
      </c>
      <c r="AM189" s="5">
        <f t="shared" ca="1" si="48"/>
        <v>0</v>
      </c>
      <c r="AN189" s="5" t="str">
        <f>IF(Demand!BE198="Yes","Yes","")</f>
        <v/>
      </c>
      <c r="AP189" s="36" t="str">
        <f ca="1">Demand!B198</f>
        <v xml:space="preserve"> </v>
      </c>
      <c r="AQ189" t="str">
        <f ca="1">IF(TEXT(Demand!D198,"MMM")&lt;&gt;TEXT(Demand!D197,"MMM"),TEXT(Demand!D198,"MMM"),"")</f>
        <v/>
      </c>
      <c r="AT189" s="5">
        <f t="shared" ca="1" si="49"/>
        <v>0</v>
      </c>
      <c r="BQ189">
        <f ca="1">IF($AN189="",OFFSET(Demand!$A$13,ROW(A186)-1,4+((QUOTIENT(COLUMN(BQ$2)-69,3))*5)+MOD(COLUMN(BQ$2),3),1,1),"")</f>
        <v>0</v>
      </c>
      <c r="BR189">
        <f ca="1">IF($AN189="",OFFSET(Demand!$A$13,ROW(B186)-1,4+((QUOTIENT(COLUMN(BR$2)-69,3))*5)+MOD(COLUMN(BR$2),3),1,1),"")</f>
        <v>0</v>
      </c>
      <c r="BS189">
        <f ca="1">IF($AN189="",OFFSET(Demand!$A$13,ROW(C186)-1,4+((QUOTIENT(COLUMN(BS$2)-69,3))*5)+MOD(COLUMN(BS$2),3),1,1),"")</f>
        <v>0</v>
      </c>
      <c r="BT189">
        <f ca="1">IF($AN189="",OFFSET(Demand!$A$13,ROW(D186)-1,4+((QUOTIENT(COLUMN(BT$2)-69,3))*5)+MOD(COLUMN(BT$2),3),1,1),"")</f>
        <v>0</v>
      </c>
      <c r="BU189">
        <f ca="1">IF($AN189="",OFFSET(Demand!$A$13,ROW(E186)-1,4+((QUOTIENT(COLUMN(BU$2)-69,3))*5)+MOD(COLUMN(BU$2),3),1,1),"")</f>
        <v>0</v>
      </c>
      <c r="BV189">
        <f ca="1">IF($AN189="",OFFSET(Demand!$A$13,ROW(F186)-1,4+((QUOTIENT(COLUMN(BV$2)-69,3))*5)+MOD(COLUMN(BV$2),3),1,1),"")</f>
        <v>0</v>
      </c>
      <c r="BW189">
        <f ca="1">IF($AN189="",OFFSET(Demand!$A$13,ROW(G186)-1,4+((QUOTIENT(COLUMN(BW$2)-69,3))*5)+MOD(COLUMN(BW$2),3),1,1),"")</f>
        <v>0</v>
      </c>
      <c r="BX189">
        <f ca="1">IF($AN189="",OFFSET(Demand!$A$13,ROW(H186)-1,4+((QUOTIENT(COLUMN(BX$2)-69,3))*5)+MOD(COLUMN(BX$2),3),1,1),"")</f>
        <v>0</v>
      </c>
      <c r="BY189">
        <f ca="1">IF($AN189="",OFFSET(Demand!$A$13,ROW(I186)-1,4+((QUOTIENT(COLUMN(BY$2)-69,3))*5)+MOD(COLUMN(BY$2),3),1,1),"")</f>
        <v>0</v>
      </c>
      <c r="BZ189">
        <f ca="1">IF($AN189="",OFFSET(Demand!$A$13,ROW(J186)-1,4+((QUOTIENT(COLUMN(BZ$2)-69,3))*5)+MOD(COLUMN(BZ$2),3),1,1),"")</f>
        <v>0</v>
      </c>
      <c r="CA189">
        <f ca="1">IF($AN189="",OFFSET(Demand!$A$13,ROW(K186)-1,4+((QUOTIENT(COLUMN(CA$2)-69,3))*5)+MOD(COLUMN(CA$2),3),1,1),"")</f>
        <v>0</v>
      </c>
      <c r="CB189">
        <f ca="1">IF($AN189="",OFFSET(Demand!$A$13,ROW(L186)-1,4+((QUOTIENT(COLUMN(CB$2)-69,3))*5)+MOD(COLUMN(CB$2),3),1,1),"")</f>
        <v>0</v>
      </c>
      <c r="CC189">
        <f ca="1">IF($AN189="",OFFSET(Demand!$A$13,ROW(M186)-1,4+((QUOTIENT(COLUMN(CC$2)-69,3))*5)+MOD(COLUMN(CC$2),3),1,1),"")</f>
        <v>0</v>
      </c>
      <c r="CD189">
        <f ca="1">IF($AN189="",OFFSET(Demand!$A$13,ROW(N186)-1,4+((QUOTIENT(COLUMN(CD$2)-69,3))*5)+MOD(COLUMN(CD$2),3),1,1),"")</f>
        <v>0</v>
      </c>
      <c r="CE189">
        <f ca="1">IF($AN189="",OFFSET(Demand!$A$13,ROW(O186)-1,4+((QUOTIENT(COLUMN(CE$2)-69,3))*5)+MOD(COLUMN(CE$2),3),1,1),"")</f>
        <v>0</v>
      </c>
      <c r="CF189">
        <f ca="1">IF($AN189="",OFFSET(Demand!$A$13,ROW(P186)-1,4+((QUOTIENT(COLUMN(CF$2)-69,3))*5)+MOD(COLUMN(CF$2),3),1,1),"")</f>
        <v>0</v>
      </c>
      <c r="CG189">
        <f ca="1">IF($AN189="",OFFSET(Demand!$A$13,ROW(Q186)-1,4+((QUOTIENT(COLUMN(CG$2)-69,3))*5)+MOD(COLUMN(CG$2),3),1,1),"")</f>
        <v>0</v>
      </c>
      <c r="CH189">
        <f ca="1">IF($AN189="",OFFSET(Demand!$A$13,ROW(R186)-1,4+((QUOTIENT(COLUMN(CH$2)-69,3))*5)+MOD(COLUMN(CH$2),3),1,1),"")</f>
        <v>0</v>
      </c>
      <c r="CI189">
        <f ca="1">IF($AN189="",OFFSET(Demand!$A$13,ROW(S186)-1,4+((QUOTIENT(COLUMN(CI$2)-69,3))*5)+MOD(COLUMN(CI$2),3),1,1),"")</f>
        <v>0</v>
      </c>
      <c r="CJ189">
        <f ca="1">IF($AN189="",OFFSET(Demand!$A$13,ROW(T186)-1,4+((QUOTIENT(COLUMN(CJ$2)-69,3))*5)+MOD(COLUMN(CJ$2),3),1,1),"")</f>
        <v>0</v>
      </c>
      <c r="CK189">
        <f ca="1">IF($AN189="",OFFSET(Demand!$A$13,ROW(U186)-1,4+((QUOTIENT(COLUMN(CK$2)-69,3))*5)+MOD(COLUMN(CK$2),3),1,1),"")</f>
        <v>0</v>
      </c>
      <c r="CL189">
        <f ca="1">IF($AN189="",OFFSET(Demand!$A$13,ROW(V186)-1,4+((QUOTIENT(COLUMN(CL$2)-69,3))*5)+MOD(COLUMN(CL$2),3),1,1),"")</f>
        <v>0</v>
      </c>
      <c r="CM189">
        <f ca="1">IF($AN189="",OFFSET(Demand!$A$13,ROW(W186)-1,4+((QUOTIENT(COLUMN(CM$2)-69,3))*5)+MOD(COLUMN(CM$2),3),1,1),"")</f>
        <v>0</v>
      </c>
      <c r="CN189">
        <f ca="1">IF($AN189="",OFFSET(Demand!$A$13,ROW(X186)-1,4+((QUOTIENT(COLUMN(CN$2)-69,3))*5)+MOD(COLUMN(CN$2),3),1,1),"")</f>
        <v>0</v>
      </c>
      <c r="CO189">
        <f ca="1">IF($AN189="",OFFSET(Demand!$A$13,ROW(Y186)-1,4+((QUOTIENT(COLUMN(CO$2)-69,3))*5)+MOD(COLUMN(CO$2),3),1,1),"")</f>
        <v>0</v>
      </c>
      <c r="CP189">
        <f ca="1">IF($AN189="",OFFSET(Demand!$A$13,ROW(Z186)-1,4+((QUOTIENT(COLUMN(CP$2)-69,3))*5)+MOD(COLUMN(CP$2),3),1,1),"")</f>
        <v>0</v>
      </c>
      <c r="CQ189">
        <f ca="1">IF($AN189="",OFFSET(Demand!$A$13,ROW(AA186)-1,4+((QUOTIENT(COLUMN(CQ$2)-69,3))*5)+MOD(COLUMN(CQ$2),3),1,1),"")</f>
        <v>0</v>
      </c>
      <c r="CR189">
        <f ca="1">IF($AN189="",OFFSET(Demand!$A$13,ROW(AB186)-1,4+((QUOTIENT(COLUMN(CR$2)-69,3))*5)+MOD(COLUMN(CR$2),3),1,1),"")</f>
        <v>0</v>
      </c>
      <c r="CS189">
        <f ca="1">IF($AN189="",OFFSET(Demand!$A$13,ROW(AC186)-1,4+((QUOTIENT(COLUMN(CS$2)-69,3))*5)+MOD(COLUMN(CS$2),3),1,1),"")</f>
        <v>0</v>
      </c>
      <c r="CT189">
        <f ca="1">IF($AN189="",OFFSET(Demand!$A$13,ROW(AD186)-1,4+((QUOTIENT(COLUMN(CT$2)-69,3))*5)+MOD(COLUMN(CT$2),3),1,1),"")</f>
        <v>0</v>
      </c>
      <c r="CW189" s="5">
        <f ca="1">SUM(OFFSET(Demand!$H$43,ROW(A186)-1,(COLUMN(A186)-1)*5,1,1))*N$2</f>
        <v>0</v>
      </c>
      <c r="CX189" s="5">
        <f ca="1">SUM(OFFSET(Demand!$H$43,ROW(B186)-1,(COLUMN(B186)-1)*5,1,1))*O$2</f>
        <v>0</v>
      </c>
      <c r="CY189" s="5">
        <f ca="1">SUM(OFFSET(Demand!$H$43,ROW(C186)-1,(COLUMN(C186)-1)*5,1,1))*P$2</f>
        <v>0</v>
      </c>
      <c r="CZ189" s="5">
        <f ca="1">SUM(OFFSET(Demand!$H$43,ROW(D186)-1,(COLUMN(D186)-1)*5,1,1))*Q$2</f>
        <v>0</v>
      </c>
      <c r="DA189" s="5">
        <f ca="1">SUM(OFFSET(Demand!$H$43,ROW(E186)-1,(COLUMN(E186)-1)*5,1,1))*R$2</f>
        <v>0</v>
      </c>
      <c r="DB189" s="5">
        <f ca="1">SUM(OFFSET(Demand!$H$43,ROW(F186)-1,(COLUMN(F186)-1)*5,1,1))*S$2</f>
        <v>0</v>
      </c>
      <c r="DC189" s="5">
        <f ca="1">SUM(OFFSET(Demand!$H$43,ROW(G186)-1,(COLUMN(G186)-1)*5,1,1))*T$2</f>
        <v>0</v>
      </c>
      <c r="DD189" s="5">
        <f ca="1">SUM(OFFSET(Demand!$H$43,ROW(H186)-1,(COLUMN(H186)-1)*5,1,1))*U$2</f>
        <v>0</v>
      </c>
      <c r="DE189" s="5">
        <f ca="1">SUM(OFFSET(Demand!$H$43,ROW(I186)-1,(COLUMN(I186)-1)*5,1,1))*V$2</f>
        <v>0</v>
      </c>
      <c r="DF189" s="5">
        <f ca="1">SUM(OFFSET(Demand!$H$43,ROW(J186)-1,(COLUMN(J186)-1)*5,1,1))*W$2</f>
        <v>0</v>
      </c>
      <c r="DG189" s="5">
        <f ca="1">IF(OR(AN189&lt;&gt;"",AND('Demand adjustments for Covid'!$F$9="Yes",'Demand adjustments for Covid'!$F$20="Yes")),"",SUM(CW189:DF189))</f>
        <v>0</v>
      </c>
    </row>
    <row r="190" spans="1:111" x14ac:dyDescent="0.25">
      <c r="A190" s="5">
        <f t="shared" ca="1" si="50"/>
        <v>1</v>
      </c>
      <c r="B190" s="5">
        <f ca="1">COUNTBLANK(OFFSET(Demand!$I199,0,(COLUMN(A187)-1)*5,1,1))</f>
        <v>1</v>
      </c>
      <c r="C190" s="5">
        <f ca="1">COUNTBLANK(OFFSET(Demand!$I199,0,(COLUMN(B187)-1)*5,1,1))</f>
        <v>1</v>
      </c>
      <c r="D190" s="5">
        <f ca="1">COUNTBLANK(OFFSET(Demand!$I199,0,(COLUMN(C187)-1)*5,1,1))</f>
        <v>1</v>
      </c>
      <c r="E190" s="5">
        <f ca="1">COUNTBLANK(OFFSET(Demand!$I199,0,(COLUMN(D187)-1)*5,1,1))</f>
        <v>1</v>
      </c>
      <c r="F190" s="5">
        <f ca="1">COUNTBLANK(OFFSET(Demand!$I199,0,(COLUMN(E187)-1)*5,1,1))</f>
        <v>1</v>
      </c>
      <c r="G190" s="5">
        <f ca="1">COUNTBLANK(OFFSET(Demand!$I199,0,(COLUMN(F187)-1)*5,1,1))</f>
        <v>1</v>
      </c>
      <c r="H190" s="5">
        <f ca="1">COUNTBLANK(OFFSET(Demand!$I199,0,(COLUMN(G187)-1)*5,1,1))</f>
        <v>1</v>
      </c>
      <c r="I190" s="5">
        <f ca="1">COUNTBLANK(OFFSET(Demand!$I199,0,(COLUMN(H187)-1)*5,1,1))</f>
        <v>1</v>
      </c>
      <c r="J190" s="5">
        <f ca="1">COUNTBLANK(OFFSET(Demand!$I199,0,(COLUMN(I187)-1)*5,1,1))</f>
        <v>1</v>
      </c>
      <c r="K190" s="5">
        <f ca="1">COUNTBLANK(OFFSET(Demand!$I199,0,(COLUMN(J187)-1)*5,1,1))</f>
        <v>1</v>
      </c>
      <c r="N190" s="5">
        <f ca="1">SUM(OFFSET(Demand!$E199,0,(COLUMN(A187)-1)*5,1,3))*N$2</f>
        <v>0</v>
      </c>
      <c r="O190" s="5">
        <f ca="1">SUM(OFFSET(Demand!$E199,0,(COLUMN(B187)-1)*5,1,3))*O$2</f>
        <v>0</v>
      </c>
      <c r="P190" s="5">
        <f ca="1">SUM(OFFSET(Demand!$E199,0,(COLUMN(C187)-1)*5,1,3))*P$2</f>
        <v>0</v>
      </c>
      <c r="Q190" s="5">
        <f ca="1">SUM(OFFSET(Demand!$E199,0,(COLUMN(D187)-1)*5,1,3))*Q$2</f>
        <v>0</v>
      </c>
      <c r="R190" s="5">
        <f ca="1">SUM(OFFSET(Demand!$E199,0,(COLUMN(E187)-1)*5,1,3))*R$2</f>
        <v>0</v>
      </c>
      <c r="S190" s="5">
        <f ca="1">SUM(OFFSET(Demand!$E199,0,(COLUMN(F187)-1)*5,1,3))*S$2</f>
        <v>0</v>
      </c>
      <c r="T190" s="5">
        <f ca="1">SUM(OFFSET(Demand!$E199,0,(COLUMN(G187)-1)*5,1,3))*T$2</f>
        <v>0</v>
      </c>
      <c r="U190" s="5">
        <f ca="1">SUM(OFFSET(Demand!$E199,0,(COLUMN(H187)-1)*5,1,3))*U$2</f>
        <v>0</v>
      </c>
      <c r="V190" s="5">
        <f ca="1">SUM(OFFSET(Demand!$E199,0,(COLUMN(I187)-1)*5,1,3))*V$2</f>
        <v>0</v>
      </c>
      <c r="W190" s="5">
        <f ca="1">SUM(OFFSET(Demand!$E199,0,(COLUMN(J187)-1)*5,1,3))*W$2</f>
        <v>0</v>
      </c>
      <c r="X190" s="5">
        <f t="shared" ca="1" si="44"/>
        <v>0</v>
      </c>
      <c r="Y190">
        <f t="shared" ca="1" si="45"/>
        <v>0</v>
      </c>
      <c r="Z190" s="5">
        <f ca="1">SUM(OFFSET(Demand!$H199,0,(COLUMN(A187)-1)*5,1,1))*N$2</f>
        <v>0</v>
      </c>
      <c r="AA190" s="5">
        <f ca="1">SUM(OFFSET(Demand!$H199,0,(COLUMN(B187)-1)*5,1,1))*O$2</f>
        <v>0</v>
      </c>
      <c r="AB190" s="5">
        <f ca="1">SUM(OFFSET(Demand!$H199,0,(COLUMN(C187)-1)*5,1,1))*P$2</f>
        <v>0</v>
      </c>
      <c r="AC190" s="5">
        <f ca="1">SUM(OFFSET(Demand!$H199,0,(COLUMN(D187)-1)*5,1,1))*Q$2</f>
        <v>0</v>
      </c>
      <c r="AD190" s="5">
        <f ca="1">SUM(OFFSET(Demand!$H199,0,(COLUMN(E187)-1)*5,1,1))*R$2</f>
        <v>0</v>
      </c>
      <c r="AE190" s="5">
        <f ca="1">SUM(OFFSET(Demand!$H199,0,(COLUMN(F187)-1)*5,1,1))*S$2</f>
        <v>0</v>
      </c>
      <c r="AF190" s="5">
        <f ca="1">SUM(OFFSET(Demand!$H199,0,(COLUMN(G187)-1)*5,1,1))*T$2</f>
        <v>0</v>
      </c>
      <c r="AG190" s="5">
        <f ca="1">SUM(OFFSET(Demand!$H199,0,(COLUMN(H187)-1)*5,1,1))*U$2</f>
        <v>0</v>
      </c>
      <c r="AH190" s="5">
        <f ca="1">SUM(OFFSET(Demand!$H199,0,(COLUMN(I187)-1)*5,1,1))*V$2</f>
        <v>0</v>
      </c>
      <c r="AI190" s="5">
        <f ca="1">SUM(OFFSET(Demand!$H199,0,(COLUMN(J187)-1)*5,1,1))*W$2</f>
        <v>0</v>
      </c>
      <c r="AJ190" s="5">
        <f t="shared" ca="1" si="46"/>
        <v>0</v>
      </c>
      <c r="AL190" s="5">
        <f t="shared" ca="1" si="47"/>
        <v>0</v>
      </c>
      <c r="AM190" s="5">
        <f t="shared" ca="1" si="48"/>
        <v>0</v>
      </c>
      <c r="AN190" s="5" t="str">
        <f>IF(Demand!BE199="Yes","Yes","")</f>
        <v/>
      </c>
      <c r="AP190" s="36" t="str">
        <f ca="1">Demand!B199</f>
        <v xml:space="preserve"> </v>
      </c>
      <c r="AQ190" t="str">
        <f ca="1">IF(TEXT(Demand!D199,"MMM")&lt;&gt;TEXT(Demand!D198,"MMM"),TEXT(Demand!D199,"MMM"),"")</f>
        <v/>
      </c>
      <c r="AT190" s="5">
        <f t="shared" ca="1" si="49"/>
        <v>0</v>
      </c>
      <c r="BQ190">
        <f ca="1">IF($AN190="",OFFSET(Demand!$A$13,ROW(A187)-1,4+((QUOTIENT(COLUMN(BQ$2)-69,3))*5)+MOD(COLUMN(BQ$2),3),1,1),"")</f>
        <v>0</v>
      </c>
      <c r="BR190">
        <f ca="1">IF($AN190="",OFFSET(Demand!$A$13,ROW(B187)-1,4+((QUOTIENT(COLUMN(BR$2)-69,3))*5)+MOD(COLUMN(BR$2),3),1,1),"")</f>
        <v>0</v>
      </c>
      <c r="BS190">
        <f ca="1">IF($AN190="",OFFSET(Demand!$A$13,ROW(C187)-1,4+((QUOTIENT(COLUMN(BS$2)-69,3))*5)+MOD(COLUMN(BS$2),3),1,1),"")</f>
        <v>0</v>
      </c>
      <c r="BT190">
        <f ca="1">IF($AN190="",OFFSET(Demand!$A$13,ROW(D187)-1,4+((QUOTIENT(COLUMN(BT$2)-69,3))*5)+MOD(COLUMN(BT$2),3),1,1),"")</f>
        <v>0</v>
      </c>
      <c r="BU190">
        <f ca="1">IF($AN190="",OFFSET(Demand!$A$13,ROW(E187)-1,4+((QUOTIENT(COLUMN(BU$2)-69,3))*5)+MOD(COLUMN(BU$2),3),1,1),"")</f>
        <v>0</v>
      </c>
      <c r="BV190">
        <f ca="1">IF($AN190="",OFFSET(Demand!$A$13,ROW(F187)-1,4+((QUOTIENT(COLUMN(BV$2)-69,3))*5)+MOD(COLUMN(BV$2),3),1,1),"")</f>
        <v>0</v>
      </c>
      <c r="BW190">
        <f ca="1">IF($AN190="",OFFSET(Demand!$A$13,ROW(G187)-1,4+((QUOTIENT(COLUMN(BW$2)-69,3))*5)+MOD(COLUMN(BW$2),3),1,1),"")</f>
        <v>0</v>
      </c>
      <c r="BX190">
        <f ca="1">IF($AN190="",OFFSET(Demand!$A$13,ROW(H187)-1,4+((QUOTIENT(COLUMN(BX$2)-69,3))*5)+MOD(COLUMN(BX$2),3),1,1),"")</f>
        <v>0</v>
      </c>
      <c r="BY190">
        <f ca="1">IF($AN190="",OFFSET(Demand!$A$13,ROW(I187)-1,4+((QUOTIENT(COLUMN(BY$2)-69,3))*5)+MOD(COLUMN(BY$2),3),1,1),"")</f>
        <v>0</v>
      </c>
      <c r="BZ190">
        <f ca="1">IF($AN190="",OFFSET(Demand!$A$13,ROW(J187)-1,4+((QUOTIENT(COLUMN(BZ$2)-69,3))*5)+MOD(COLUMN(BZ$2),3),1,1),"")</f>
        <v>0</v>
      </c>
      <c r="CA190">
        <f ca="1">IF($AN190="",OFFSET(Demand!$A$13,ROW(K187)-1,4+((QUOTIENT(COLUMN(CA$2)-69,3))*5)+MOD(COLUMN(CA$2),3),1,1),"")</f>
        <v>0</v>
      </c>
      <c r="CB190">
        <f ca="1">IF($AN190="",OFFSET(Demand!$A$13,ROW(L187)-1,4+((QUOTIENT(COLUMN(CB$2)-69,3))*5)+MOD(COLUMN(CB$2),3),1,1),"")</f>
        <v>0</v>
      </c>
      <c r="CC190">
        <f ca="1">IF($AN190="",OFFSET(Demand!$A$13,ROW(M187)-1,4+((QUOTIENT(COLUMN(CC$2)-69,3))*5)+MOD(COLUMN(CC$2),3),1,1),"")</f>
        <v>0</v>
      </c>
      <c r="CD190">
        <f ca="1">IF($AN190="",OFFSET(Demand!$A$13,ROW(N187)-1,4+((QUOTIENT(COLUMN(CD$2)-69,3))*5)+MOD(COLUMN(CD$2),3),1,1),"")</f>
        <v>0</v>
      </c>
      <c r="CE190">
        <f ca="1">IF($AN190="",OFFSET(Demand!$A$13,ROW(O187)-1,4+((QUOTIENT(COLUMN(CE$2)-69,3))*5)+MOD(COLUMN(CE$2),3),1,1),"")</f>
        <v>0</v>
      </c>
      <c r="CF190">
        <f ca="1">IF($AN190="",OFFSET(Demand!$A$13,ROW(P187)-1,4+((QUOTIENT(COLUMN(CF$2)-69,3))*5)+MOD(COLUMN(CF$2),3),1,1),"")</f>
        <v>0</v>
      </c>
      <c r="CG190">
        <f ca="1">IF($AN190="",OFFSET(Demand!$A$13,ROW(Q187)-1,4+((QUOTIENT(COLUMN(CG$2)-69,3))*5)+MOD(COLUMN(CG$2),3),1,1),"")</f>
        <v>0</v>
      </c>
      <c r="CH190">
        <f ca="1">IF($AN190="",OFFSET(Demand!$A$13,ROW(R187)-1,4+((QUOTIENT(COLUMN(CH$2)-69,3))*5)+MOD(COLUMN(CH$2),3),1,1),"")</f>
        <v>0</v>
      </c>
      <c r="CI190">
        <f ca="1">IF($AN190="",OFFSET(Demand!$A$13,ROW(S187)-1,4+((QUOTIENT(COLUMN(CI$2)-69,3))*5)+MOD(COLUMN(CI$2),3),1,1),"")</f>
        <v>0</v>
      </c>
      <c r="CJ190">
        <f ca="1">IF($AN190="",OFFSET(Demand!$A$13,ROW(T187)-1,4+((QUOTIENT(COLUMN(CJ$2)-69,3))*5)+MOD(COLUMN(CJ$2),3),1,1),"")</f>
        <v>0</v>
      </c>
      <c r="CK190">
        <f ca="1">IF($AN190="",OFFSET(Demand!$A$13,ROW(U187)-1,4+((QUOTIENT(COLUMN(CK$2)-69,3))*5)+MOD(COLUMN(CK$2),3),1,1),"")</f>
        <v>0</v>
      </c>
      <c r="CL190">
        <f ca="1">IF($AN190="",OFFSET(Demand!$A$13,ROW(V187)-1,4+((QUOTIENT(COLUMN(CL$2)-69,3))*5)+MOD(COLUMN(CL$2),3),1,1),"")</f>
        <v>0</v>
      </c>
      <c r="CM190">
        <f ca="1">IF($AN190="",OFFSET(Demand!$A$13,ROW(W187)-1,4+((QUOTIENT(COLUMN(CM$2)-69,3))*5)+MOD(COLUMN(CM$2),3),1,1),"")</f>
        <v>0</v>
      </c>
      <c r="CN190">
        <f ca="1">IF($AN190="",OFFSET(Demand!$A$13,ROW(X187)-1,4+((QUOTIENT(COLUMN(CN$2)-69,3))*5)+MOD(COLUMN(CN$2),3),1,1),"")</f>
        <v>0</v>
      </c>
      <c r="CO190">
        <f ca="1">IF($AN190="",OFFSET(Demand!$A$13,ROW(Y187)-1,4+((QUOTIENT(COLUMN(CO$2)-69,3))*5)+MOD(COLUMN(CO$2),3),1,1),"")</f>
        <v>0</v>
      </c>
      <c r="CP190">
        <f ca="1">IF($AN190="",OFFSET(Demand!$A$13,ROW(Z187)-1,4+((QUOTIENT(COLUMN(CP$2)-69,3))*5)+MOD(COLUMN(CP$2),3),1,1),"")</f>
        <v>0</v>
      </c>
      <c r="CQ190">
        <f ca="1">IF($AN190="",OFFSET(Demand!$A$13,ROW(AA187)-1,4+((QUOTIENT(COLUMN(CQ$2)-69,3))*5)+MOD(COLUMN(CQ$2),3),1,1),"")</f>
        <v>0</v>
      </c>
      <c r="CR190">
        <f ca="1">IF($AN190="",OFFSET(Demand!$A$13,ROW(AB187)-1,4+((QUOTIENT(COLUMN(CR$2)-69,3))*5)+MOD(COLUMN(CR$2),3),1,1),"")</f>
        <v>0</v>
      </c>
      <c r="CS190">
        <f ca="1">IF($AN190="",OFFSET(Demand!$A$13,ROW(AC187)-1,4+((QUOTIENT(COLUMN(CS$2)-69,3))*5)+MOD(COLUMN(CS$2),3),1,1),"")</f>
        <v>0</v>
      </c>
      <c r="CT190">
        <f ca="1">IF($AN190="",OFFSET(Demand!$A$13,ROW(AD187)-1,4+((QUOTIENT(COLUMN(CT$2)-69,3))*5)+MOD(COLUMN(CT$2),3),1,1),"")</f>
        <v>0</v>
      </c>
      <c r="CW190" s="5">
        <f ca="1">SUM(OFFSET(Demand!$H$43,ROW(A187)-1,(COLUMN(A187)-1)*5,1,1))*N$2</f>
        <v>0</v>
      </c>
      <c r="CX190" s="5">
        <f ca="1">SUM(OFFSET(Demand!$H$43,ROW(B187)-1,(COLUMN(B187)-1)*5,1,1))*O$2</f>
        <v>0</v>
      </c>
      <c r="CY190" s="5">
        <f ca="1">SUM(OFFSET(Demand!$H$43,ROW(C187)-1,(COLUMN(C187)-1)*5,1,1))*P$2</f>
        <v>0</v>
      </c>
      <c r="CZ190" s="5">
        <f ca="1">SUM(OFFSET(Demand!$H$43,ROW(D187)-1,(COLUMN(D187)-1)*5,1,1))*Q$2</f>
        <v>0</v>
      </c>
      <c r="DA190" s="5">
        <f ca="1">SUM(OFFSET(Demand!$H$43,ROW(E187)-1,(COLUMN(E187)-1)*5,1,1))*R$2</f>
        <v>0</v>
      </c>
      <c r="DB190" s="5">
        <f ca="1">SUM(OFFSET(Demand!$H$43,ROW(F187)-1,(COLUMN(F187)-1)*5,1,1))*S$2</f>
        <v>0</v>
      </c>
      <c r="DC190" s="5">
        <f ca="1">SUM(OFFSET(Demand!$H$43,ROW(G187)-1,(COLUMN(G187)-1)*5,1,1))*T$2</f>
        <v>0</v>
      </c>
      <c r="DD190" s="5">
        <f ca="1">SUM(OFFSET(Demand!$H$43,ROW(H187)-1,(COLUMN(H187)-1)*5,1,1))*U$2</f>
        <v>0</v>
      </c>
      <c r="DE190" s="5">
        <f ca="1">SUM(OFFSET(Demand!$H$43,ROW(I187)-1,(COLUMN(I187)-1)*5,1,1))*V$2</f>
        <v>0</v>
      </c>
      <c r="DF190" s="5">
        <f ca="1">SUM(OFFSET(Demand!$H$43,ROW(J187)-1,(COLUMN(J187)-1)*5,1,1))*W$2</f>
        <v>0</v>
      </c>
      <c r="DG190" s="5">
        <f ca="1">IF(OR(AN190&lt;&gt;"",AND('Demand adjustments for Covid'!$F$9="Yes",'Demand adjustments for Covid'!$F$20="Yes")),"",SUM(CW190:DF190))</f>
        <v>0</v>
      </c>
    </row>
    <row r="191" spans="1:111" x14ac:dyDescent="0.25">
      <c r="A191" s="5">
        <f t="shared" ca="1" si="50"/>
        <v>1</v>
      </c>
      <c r="B191" s="5">
        <f ca="1">COUNTBLANK(OFFSET(Demand!$I200,0,(COLUMN(A188)-1)*5,1,1))</f>
        <v>1</v>
      </c>
      <c r="C191" s="5">
        <f ca="1">COUNTBLANK(OFFSET(Demand!$I200,0,(COLUMN(B188)-1)*5,1,1))</f>
        <v>1</v>
      </c>
      <c r="D191" s="5">
        <f ca="1">COUNTBLANK(OFFSET(Demand!$I200,0,(COLUMN(C188)-1)*5,1,1))</f>
        <v>1</v>
      </c>
      <c r="E191" s="5">
        <f ca="1">COUNTBLANK(OFFSET(Demand!$I200,0,(COLUMN(D188)-1)*5,1,1))</f>
        <v>1</v>
      </c>
      <c r="F191" s="5">
        <f ca="1">COUNTBLANK(OFFSET(Demand!$I200,0,(COLUMN(E188)-1)*5,1,1))</f>
        <v>1</v>
      </c>
      <c r="G191" s="5">
        <f ca="1">COUNTBLANK(OFFSET(Demand!$I200,0,(COLUMN(F188)-1)*5,1,1))</f>
        <v>1</v>
      </c>
      <c r="H191" s="5">
        <f ca="1">COUNTBLANK(OFFSET(Demand!$I200,0,(COLUMN(G188)-1)*5,1,1))</f>
        <v>1</v>
      </c>
      <c r="I191" s="5">
        <f ca="1">COUNTBLANK(OFFSET(Demand!$I200,0,(COLUMN(H188)-1)*5,1,1))</f>
        <v>1</v>
      </c>
      <c r="J191" s="5">
        <f ca="1">COUNTBLANK(OFFSET(Demand!$I200,0,(COLUMN(I188)-1)*5,1,1))</f>
        <v>1</v>
      </c>
      <c r="K191" s="5">
        <f ca="1">COUNTBLANK(OFFSET(Demand!$I200,0,(COLUMN(J188)-1)*5,1,1))</f>
        <v>1</v>
      </c>
      <c r="N191" s="5">
        <f ca="1">SUM(OFFSET(Demand!$E200,0,(COLUMN(A188)-1)*5,1,3))*N$2</f>
        <v>0</v>
      </c>
      <c r="O191" s="5">
        <f ca="1">SUM(OFFSET(Demand!$E200,0,(COLUMN(B188)-1)*5,1,3))*O$2</f>
        <v>0</v>
      </c>
      <c r="P191" s="5">
        <f ca="1">SUM(OFFSET(Demand!$E200,0,(COLUMN(C188)-1)*5,1,3))*P$2</f>
        <v>0</v>
      </c>
      <c r="Q191" s="5">
        <f ca="1">SUM(OFFSET(Demand!$E200,0,(COLUMN(D188)-1)*5,1,3))*Q$2</f>
        <v>0</v>
      </c>
      <c r="R191" s="5">
        <f ca="1">SUM(OFFSET(Demand!$E200,0,(COLUMN(E188)-1)*5,1,3))*R$2</f>
        <v>0</v>
      </c>
      <c r="S191" s="5">
        <f ca="1">SUM(OFFSET(Demand!$E200,0,(COLUMN(F188)-1)*5,1,3))*S$2</f>
        <v>0</v>
      </c>
      <c r="T191" s="5">
        <f ca="1">SUM(OFFSET(Demand!$E200,0,(COLUMN(G188)-1)*5,1,3))*T$2</f>
        <v>0</v>
      </c>
      <c r="U191" s="5">
        <f ca="1">SUM(OFFSET(Demand!$E200,0,(COLUMN(H188)-1)*5,1,3))*U$2</f>
        <v>0</v>
      </c>
      <c r="V191" s="5">
        <f ca="1">SUM(OFFSET(Demand!$E200,0,(COLUMN(I188)-1)*5,1,3))*V$2</f>
        <v>0</v>
      </c>
      <c r="W191" s="5">
        <f ca="1">SUM(OFFSET(Demand!$E200,0,(COLUMN(J188)-1)*5,1,3))*W$2</f>
        <v>0</v>
      </c>
      <c r="X191" s="5">
        <f t="shared" ca="1" si="44"/>
        <v>0</v>
      </c>
      <c r="Y191">
        <f t="shared" ca="1" si="45"/>
        <v>0</v>
      </c>
      <c r="Z191" s="5">
        <f ca="1">SUM(OFFSET(Demand!$H200,0,(COLUMN(A188)-1)*5,1,1))*N$2</f>
        <v>0</v>
      </c>
      <c r="AA191" s="5">
        <f ca="1">SUM(OFFSET(Demand!$H200,0,(COLUMN(B188)-1)*5,1,1))*O$2</f>
        <v>0</v>
      </c>
      <c r="AB191" s="5">
        <f ca="1">SUM(OFFSET(Demand!$H200,0,(COLUMN(C188)-1)*5,1,1))*P$2</f>
        <v>0</v>
      </c>
      <c r="AC191" s="5">
        <f ca="1">SUM(OFFSET(Demand!$H200,0,(COLUMN(D188)-1)*5,1,1))*Q$2</f>
        <v>0</v>
      </c>
      <c r="AD191" s="5">
        <f ca="1">SUM(OFFSET(Demand!$H200,0,(COLUMN(E188)-1)*5,1,1))*R$2</f>
        <v>0</v>
      </c>
      <c r="AE191" s="5">
        <f ca="1">SUM(OFFSET(Demand!$H200,0,(COLUMN(F188)-1)*5,1,1))*S$2</f>
        <v>0</v>
      </c>
      <c r="AF191" s="5">
        <f ca="1">SUM(OFFSET(Demand!$H200,0,(COLUMN(G188)-1)*5,1,1))*T$2</f>
        <v>0</v>
      </c>
      <c r="AG191" s="5">
        <f ca="1">SUM(OFFSET(Demand!$H200,0,(COLUMN(H188)-1)*5,1,1))*U$2</f>
        <v>0</v>
      </c>
      <c r="AH191" s="5">
        <f ca="1">SUM(OFFSET(Demand!$H200,0,(COLUMN(I188)-1)*5,1,1))*V$2</f>
        <v>0</v>
      </c>
      <c r="AI191" s="5">
        <f ca="1">SUM(OFFSET(Demand!$H200,0,(COLUMN(J188)-1)*5,1,1))*W$2</f>
        <v>0</v>
      </c>
      <c r="AJ191" s="5">
        <f t="shared" ca="1" si="46"/>
        <v>0</v>
      </c>
      <c r="AL191" s="5">
        <f t="shared" ca="1" si="47"/>
        <v>0</v>
      </c>
      <c r="AM191" s="5">
        <f t="shared" ca="1" si="48"/>
        <v>0</v>
      </c>
      <c r="AN191" s="5" t="str">
        <f>IF(Demand!BE200="Yes","Yes","")</f>
        <v/>
      </c>
      <c r="AP191" s="36" t="str">
        <f ca="1">Demand!B200</f>
        <v xml:space="preserve"> </v>
      </c>
      <c r="AQ191" t="str">
        <f ca="1">IF(TEXT(Demand!D200,"MMM")&lt;&gt;TEXT(Demand!D199,"MMM"),TEXT(Demand!D200,"MMM"),"")</f>
        <v/>
      </c>
      <c r="AT191" s="5">
        <f t="shared" ca="1" si="49"/>
        <v>0</v>
      </c>
      <c r="BQ191">
        <f ca="1">IF($AN191="",OFFSET(Demand!$A$13,ROW(A188)-1,4+((QUOTIENT(COLUMN(BQ$2)-69,3))*5)+MOD(COLUMN(BQ$2),3),1,1),"")</f>
        <v>0</v>
      </c>
      <c r="BR191">
        <f ca="1">IF($AN191="",OFFSET(Demand!$A$13,ROW(B188)-1,4+((QUOTIENT(COLUMN(BR$2)-69,3))*5)+MOD(COLUMN(BR$2),3),1,1),"")</f>
        <v>0</v>
      </c>
      <c r="BS191">
        <f ca="1">IF($AN191="",OFFSET(Demand!$A$13,ROW(C188)-1,4+((QUOTIENT(COLUMN(BS$2)-69,3))*5)+MOD(COLUMN(BS$2),3),1,1),"")</f>
        <v>0</v>
      </c>
      <c r="BT191">
        <f ca="1">IF($AN191="",OFFSET(Demand!$A$13,ROW(D188)-1,4+((QUOTIENT(COLUMN(BT$2)-69,3))*5)+MOD(COLUMN(BT$2),3),1,1),"")</f>
        <v>0</v>
      </c>
      <c r="BU191">
        <f ca="1">IF($AN191="",OFFSET(Demand!$A$13,ROW(E188)-1,4+((QUOTIENT(COLUMN(BU$2)-69,3))*5)+MOD(COLUMN(BU$2),3),1,1),"")</f>
        <v>0</v>
      </c>
      <c r="BV191">
        <f ca="1">IF($AN191="",OFFSET(Demand!$A$13,ROW(F188)-1,4+((QUOTIENT(COLUMN(BV$2)-69,3))*5)+MOD(COLUMN(BV$2),3),1,1),"")</f>
        <v>0</v>
      </c>
      <c r="BW191">
        <f ca="1">IF($AN191="",OFFSET(Demand!$A$13,ROW(G188)-1,4+((QUOTIENT(COLUMN(BW$2)-69,3))*5)+MOD(COLUMN(BW$2),3),1,1),"")</f>
        <v>0</v>
      </c>
      <c r="BX191">
        <f ca="1">IF($AN191="",OFFSET(Demand!$A$13,ROW(H188)-1,4+((QUOTIENT(COLUMN(BX$2)-69,3))*5)+MOD(COLUMN(BX$2),3),1,1),"")</f>
        <v>0</v>
      </c>
      <c r="BY191">
        <f ca="1">IF($AN191="",OFFSET(Demand!$A$13,ROW(I188)-1,4+((QUOTIENT(COLUMN(BY$2)-69,3))*5)+MOD(COLUMN(BY$2),3),1,1),"")</f>
        <v>0</v>
      </c>
      <c r="BZ191">
        <f ca="1">IF($AN191="",OFFSET(Demand!$A$13,ROW(J188)-1,4+((QUOTIENT(COLUMN(BZ$2)-69,3))*5)+MOD(COLUMN(BZ$2),3),1,1),"")</f>
        <v>0</v>
      </c>
      <c r="CA191">
        <f ca="1">IF($AN191="",OFFSET(Demand!$A$13,ROW(K188)-1,4+((QUOTIENT(COLUMN(CA$2)-69,3))*5)+MOD(COLUMN(CA$2),3),1,1),"")</f>
        <v>0</v>
      </c>
      <c r="CB191">
        <f ca="1">IF($AN191="",OFFSET(Demand!$A$13,ROW(L188)-1,4+((QUOTIENT(COLUMN(CB$2)-69,3))*5)+MOD(COLUMN(CB$2),3),1,1),"")</f>
        <v>0</v>
      </c>
      <c r="CC191">
        <f ca="1">IF($AN191="",OFFSET(Demand!$A$13,ROW(M188)-1,4+((QUOTIENT(COLUMN(CC$2)-69,3))*5)+MOD(COLUMN(CC$2),3),1,1),"")</f>
        <v>0</v>
      </c>
      <c r="CD191">
        <f ca="1">IF($AN191="",OFFSET(Demand!$A$13,ROW(N188)-1,4+((QUOTIENT(COLUMN(CD$2)-69,3))*5)+MOD(COLUMN(CD$2),3),1,1),"")</f>
        <v>0</v>
      </c>
      <c r="CE191">
        <f ca="1">IF($AN191="",OFFSET(Demand!$A$13,ROW(O188)-1,4+((QUOTIENT(COLUMN(CE$2)-69,3))*5)+MOD(COLUMN(CE$2),3),1,1),"")</f>
        <v>0</v>
      </c>
      <c r="CF191">
        <f ca="1">IF($AN191="",OFFSET(Demand!$A$13,ROW(P188)-1,4+((QUOTIENT(COLUMN(CF$2)-69,3))*5)+MOD(COLUMN(CF$2),3),1,1),"")</f>
        <v>0</v>
      </c>
      <c r="CG191">
        <f ca="1">IF($AN191="",OFFSET(Demand!$A$13,ROW(Q188)-1,4+((QUOTIENT(COLUMN(CG$2)-69,3))*5)+MOD(COLUMN(CG$2),3),1,1),"")</f>
        <v>0</v>
      </c>
      <c r="CH191">
        <f ca="1">IF($AN191="",OFFSET(Demand!$A$13,ROW(R188)-1,4+((QUOTIENT(COLUMN(CH$2)-69,3))*5)+MOD(COLUMN(CH$2),3),1,1),"")</f>
        <v>0</v>
      </c>
      <c r="CI191">
        <f ca="1">IF($AN191="",OFFSET(Demand!$A$13,ROW(S188)-1,4+((QUOTIENT(COLUMN(CI$2)-69,3))*5)+MOD(COLUMN(CI$2),3),1,1),"")</f>
        <v>0</v>
      </c>
      <c r="CJ191">
        <f ca="1">IF($AN191="",OFFSET(Demand!$A$13,ROW(T188)-1,4+((QUOTIENT(COLUMN(CJ$2)-69,3))*5)+MOD(COLUMN(CJ$2),3),1,1),"")</f>
        <v>0</v>
      </c>
      <c r="CK191">
        <f ca="1">IF($AN191="",OFFSET(Demand!$A$13,ROW(U188)-1,4+((QUOTIENT(COLUMN(CK$2)-69,3))*5)+MOD(COLUMN(CK$2),3),1,1),"")</f>
        <v>0</v>
      </c>
      <c r="CL191">
        <f ca="1">IF($AN191="",OFFSET(Demand!$A$13,ROW(V188)-1,4+((QUOTIENT(COLUMN(CL$2)-69,3))*5)+MOD(COLUMN(CL$2),3),1,1),"")</f>
        <v>0</v>
      </c>
      <c r="CM191">
        <f ca="1">IF($AN191="",OFFSET(Demand!$A$13,ROW(W188)-1,4+((QUOTIENT(COLUMN(CM$2)-69,3))*5)+MOD(COLUMN(CM$2),3),1,1),"")</f>
        <v>0</v>
      </c>
      <c r="CN191">
        <f ca="1">IF($AN191="",OFFSET(Demand!$A$13,ROW(X188)-1,4+((QUOTIENT(COLUMN(CN$2)-69,3))*5)+MOD(COLUMN(CN$2),3),1,1),"")</f>
        <v>0</v>
      </c>
      <c r="CO191">
        <f ca="1">IF($AN191="",OFFSET(Demand!$A$13,ROW(Y188)-1,4+((QUOTIENT(COLUMN(CO$2)-69,3))*5)+MOD(COLUMN(CO$2),3),1,1),"")</f>
        <v>0</v>
      </c>
      <c r="CP191">
        <f ca="1">IF($AN191="",OFFSET(Demand!$A$13,ROW(Z188)-1,4+((QUOTIENT(COLUMN(CP$2)-69,3))*5)+MOD(COLUMN(CP$2),3),1,1),"")</f>
        <v>0</v>
      </c>
      <c r="CQ191">
        <f ca="1">IF($AN191="",OFFSET(Demand!$A$13,ROW(AA188)-1,4+((QUOTIENT(COLUMN(CQ$2)-69,3))*5)+MOD(COLUMN(CQ$2),3),1,1),"")</f>
        <v>0</v>
      </c>
      <c r="CR191">
        <f ca="1">IF($AN191="",OFFSET(Demand!$A$13,ROW(AB188)-1,4+((QUOTIENT(COLUMN(CR$2)-69,3))*5)+MOD(COLUMN(CR$2),3),1,1),"")</f>
        <v>0</v>
      </c>
      <c r="CS191">
        <f ca="1">IF($AN191="",OFFSET(Demand!$A$13,ROW(AC188)-1,4+((QUOTIENT(COLUMN(CS$2)-69,3))*5)+MOD(COLUMN(CS$2),3),1,1),"")</f>
        <v>0</v>
      </c>
      <c r="CT191">
        <f ca="1">IF($AN191="",OFFSET(Demand!$A$13,ROW(AD188)-1,4+((QUOTIENT(COLUMN(CT$2)-69,3))*5)+MOD(COLUMN(CT$2),3),1,1),"")</f>
        <v>0</v>
      </c>
      <c r="CW191" s="5">
        <f ca="1">SUM(OFFSET(Demand!$H$43,ROW(A188)-1,(COLUMN(A188)-1)*5,1,1))*N$2</f>
        <v>0</v>
      </c>
      <c r="CX191" s="5">
        <f ca="1">SUM(OFFSET(Demand!$H$43,ROW(B188)-1,(COLUMN(B188)-1)*5,1,1))*O$2</f>
        <v>0</v>
      </c>
      <c r="CY191" s="5">
        <f ca="1">SUM(OFFSET(Demand!$H$43,ROW(C188)-1,(COLUMN(C188)-1)*5,1,1))*P$2</f>
        <v>0</v>
      </c>
      <c r="CZ191" s="5">
        <f ca="1">SUM(OFFSET(Demand!$H$43,ROW(D188)-1,(COLUMN(D188)-1)*5,1,1))*Q$2</f>
        <v>0</v>
      </c>
      <c r="DA191" s="5">
        <f ca="1">SUM(OFFSET(Demand!$H$43,ROW(E188)-1,(COLUMN(E188)-1)*5,1,1))*R$2</f>
        <v>0</v>
      </c>
      <c r="DB191" s="5">
        <f ca="1">SUM(OFFSET(Demand!$H$43,ROW(F188)-1,(COLUMN(F188)-1)*5,1,1))*S$2</f>
        <v>0</v>
      </c>
      <c r="DC191" s="5">
        <f ca="1">SUM(OFFSET(Demand!$H$43,ROW(G188)-1,(COLUMN(G188)-1)*5,1,1))*T$2</f>
        <v>0</v>
      </c>
      <c r="DD191" s="5">
        <f ca="1">SUM(OFFSET(Demand!$H$43,ROW(H188)-1,(COLUMN(H188)-1)*5,1,1))*U$2</f>
        <v>0</v>
      </c>
      <c r="DE191" s="5">
        <f ca="1">SUM(OFFSET(Demand!$H$43,ROW(I188)-1,(COLUMN(I188)-1)*5,1,1))*V$2</f>
        <v>0</v>
      </c>
      <c r="DF191" s="5">
        <f ca="1">SUM(OFFSET(Demand!$H$43,ROW(J188)-1,(COLUMN(J188)-1)*5,1,1))*W$2</f>
        <v>0</v>
      </c>
      <c r="DG191" s="5">
        <f ca="1">IF(OR(AN191&lt;&gt;"",AND('Demand adjustments for Covid'!$F$9="Yes",'Demand adjustments for Covid'!$F$20="Yes")),"",SUM(CW191:DF191))</f>
        <v>0</v>
      </c>
    </row>
    <row r="192" spans="1:111" x14ac:dyDescent="0.25">
      <c r="A192" s="5">
        <f t="shared" ca="1" si="50"/>
        <v>1</v>
      </c>
      <c r="B192" s="5">
        <f ca="1">COUNTBLANK(OFFSET(Demand!$I201,0,(COLUMN(A189)-1)*5,1,1))</f>
        <v>1</v>
      </c>
      <c r="C192" s="5">
        <f ca="1">COUNTBLANK(OFFSET(Demand!$I201,0,(COLUMN(B189)-1)*5,1,1))</f>
        <v>1</v>
      </c>
      <c r="D192" s="5">
        <f ca="1">COUNTBLANK(OFFSET(Demand!$I201,0,(COLUMN(C189)-1)*5,1,1))</f>
        <v>1</v>
      </c>
      <c r="E192" s="5">
        <f ca="1">COUNTBLANK(OFFSET(Demand!$I201,0,(COLUMN(D189)-1)*5,1,1))</f>
        <v>1</v>
      </c>
      <c r="F192" s="5">
        <f ca="1">COUNTBLANK(OFFSET(Demand!$I201,0,(COLUMN(E189)-1)*5,1,1))</f>
        <v>1</v>
      </c>
      <c r="G192" s="5">
        <f ca="1">COUNTBLANK(OFFSET(Demand!$I201,0,(COLUMN(F189)-1)*5,1,1))</f>
        <v>1</v>
      </c>
      <c r="H192" s="5">
        <f ca="1">COUNTBLANK(OFFSET(Demand!$I201,0,(COLUMN(G189)-1)*5,1,1))</f>
        <v>1</v>
      </c>
      <c r="I192" s="5">
        <f ca="1">COUNTBLANK(OFFSET(Demand!$I201,0,(COLUMN(H189)-1)*5,1,1))</f>
        <v>1</v>
      </c>
      <c r="J192" s="5">
        <f ca="1">COUNTBLANK(OFFSET(Demand!$I201,0,(COLUMN(I189)-1)*5,1,1))</f>
        <v>1</v>
      </c>
      <c r="K192" s="5">
        <f ca="1">COUNTBLANK(OFFSET(Demand!$I201,0,(COLUMN(J189)-1)*5,1,1))</f>
        <v>1</v>
      </c>
      <c r="N192" s="5">
        <f ca="1">SUM(OFFSET(Demand!$E201,0,(COLUMN(A189)-1)*5,1,3))*N$2</f>
        <v>0</v>
      </c>
      <c r="O192" s="5">
        <f ca="1">SUM(OFFSET(Demand!$E201,0,(COLUMN(B189)-1)*5,1,3))*O$2</f>
        <v>0</v>
      </c>
      <c r="P192" s="5">
        <f ca="1">SUM(OFFSET(Demand!$E201,0,(COLUMN(C189)-1)*5,1,3))*P$2</f>
        <v>0</v>
      </c>
      <c r="Q192" s="5">
        <f ca="1">SUM(OFFSET(Demand!$E201,0,(COLUMN(D189)-1)*5,1,3))*Q$2</f>
        <v>0</v>
      </c>
      <c r="R192" s="5">
        <f ca="1">SUM(OFFSET(Demand!$E201,0,(COLUMN(E189)-1)*5,1,3))*R$2</f>
        <v>0</v>
      </c>
      <c r="S192" s="5">
        <f ca="1">SUM(OFFSET(Demand!$E201,0,(COLUMN(F189)-1)*5,1,3))*S$2</f>
        <v>0</v>
      </c>
      <c r="T192" s="5">
        <f ca="1">SUM(OFFSET(Demand!$E201,0,(COLUMN(G189)-1)*5,1,3))*T$2</f>
        <v>0</v>
      </c>
      <c r="U192" s="5">
        <f ca="1">SUM(OFFSET(Demand!$E201,0,(COLUMN(H189)-1)*5,1,3))*U$2</f>
        <v>0</v>
      </c>
      <c r="V192" s="5">
        <f ca="1">SUM(OFFSET(Demand!$E201,0,(COLUMN(I189)-1)*5,1,3))*V$2</f>
        <v>0</v>
      </c>
      <c r="W192" s="5">
        <f ca="1">SUM(OFFSET(Demand!$E201,0,(COLUMN(J189)-1)*5,1,3))*W$2</f>
        <v>0</v>
      </c>
      <c r="X192" s="5">
        <f t="shared" ca="1" si="44"/>
        <v>0</v>
      </c>
      <c r="Y192">
        <f t="shared" ca="1" si="45"/>
        <v>0</v>
      </c>
      <c r="Z192" s="5">
        <f ca="1">SUM(OFFSET(Demand!$H201,0,(COLUMN(A189)-1)*5,1,1))*N$2</f>
        <v>0</v>
      </c>
      <c r="AA192" s="5">
        <f ca="1">SUM(OFFSET(Demand!$H201,0,(COLUMN(B189)-1)*5,1,1))*O$2</f>
        <v>0</v>
      </c>
      <c r="AB192" s="5">
        <f ca="1">SUM(OFFSET(Demand!$H201,0,(COLUMN(C189)-1)*5,1,1))*P$2</f>
        <v>0</v>
      </c>
      <c r="AC192" s="5">
        <f ca="1">SUM(OFFSET(Demand!$H201,0,(COLUMN(D189)-1)*5,1,1))*Q$2</f>
        <v>0</v>
      </c>
      <c r="AD192" s="5">
        <f ca="1">SUM(OFFSET(Demand!$H201,0,(COLUMN(E189)-1)*5,1,1))*R$2</f>
        <v>0</v>
      </c>
      <c r="AE192" s="5">
        <f ca="1">SUM(OFFSET(Demand!$H201,0,(COLUMN(F189)-1)*5,1,1))*S$2</f>
        <v>0</v>
      </c>
      <c r="AF192" s="5">
        <f ca="1">SUM(OFFSET(Demand!$H201,0,(COLUMN(G189)-1)*5,1,1))*T$2</f>
        <v>0</v>
      </c>
      <c r="AG192" s="5">
        <f ca="1">SUM(OFFSET(Demand!$H201,0,(COLUMN(H189)-1)*5,1,1))*U$2</f>
        <v>0</v>
      </c>
      <c r="AH192" s="5">
        <f ca="1">SUM(OFFSET(Demand!$H201,0,(COLUMN(I189)-1)*5,1,1))*V$2</f>
        <v>0</v>
      </c>
      <c r="AI192" s="5">
        <f ca="1">SUM(OFFSET(Demand!$H201,0,(COLUMN(J189)-1)*5,1,1))*W$2</f>
        <v>0</v>
      </c>
      <c r="AJ192" s="5">
        <f t="shared" ca="1" si="46"/>
        <v>0</v>
      </c>
      <c r="AL192" s="5">
        <f t="shared" ca="1" si="47"/>
        <v>0</v>
      </c>
      <c r="AM192" s="5">
        <f t="shared" ca="1" si="48"/>
        <v>0</v>
      </c>
      <c r="AN192" s="5" t="str">
        <f>IF(Demand!BE201="Yes","Yes","")</f>
        <v/>
      </c>
      <c r="AP192" s="36" t="str">
        <f ca="1">Demand!B201</f>
        <v xml:space="preserve"> </v>
      </c>
      <c r="AQ192" t="str">
        <f ca="1">IF(TEXT(Demand!D201,"MMM")&lt;&gt;TEXT(Demand!D200,"MMM"),TEXT(Demand!D201,"MMM"),"")</f>
        <v/>
      </c>
      <c r="AT192" s="5">
        <f t="shared" ca="1" si="49"/>
        <v>0</v>
      </c>
      <c r="BQ192">
        <f ca="1">IF($AN192="",OFFSET(Demand!$A$13,ROW(A189)-1,4+((QUOTIENT(COLUMN(BQ$2)-69,3))*5)+MOD(COLUMN(BQ$2),3),1,1),"")</f>
        <v>0</v>
      </c>
      <c r="BR192">
        <f ca="1">IF($AN192="",OFFSET(Demand!$A$13,ROW(B189)-1,4+((QUOTIENT(COLUMN(BR$2)-69,3))*5)+MOD(COLUMN(BR$2),3),1,1),"")</f>
        <v>0</v>
      </c>
      <c r="BS192">
        <f ca="1">IF($AN192="",OFFSET(Demand!$A$13,ROW(C189)-1,4+((QUOTIENT(COLUMN(BS$2)-69,3))*5)+MOD(COLUMN(BS$2),3),1,1),"")</f>
        <v>0</v>
      </c>
      <c r="BT192">
        <f ca="1">IF($AN192="",OFFSET(Demand!$A$13,ROW(D189)-1,4+((QUOTIENT(COLUMN(BT$2)-69,3))*5)+MOD(COLUMN(BT$2),3),1,1),"")</f>
        <v>0</v>
      </c>
      <c r="BU192">
        <f ca="1">IF($AN192="",OFFSET(Demand!$A$13,ROW(E189)-1,4+((QUOTIENT(COLUMN(BU$2)-69,3))*5)+MOD(COLUMN(BU$2),3),1,1),"")</f>
        <v>0</v>
      </c>
      <c r="BV192">
        <f ca="1">IF($AN192="",OFFSET(Demand!$A$13,ROW(F189)-1,4+((QUOTIENT(COLUMN(BV$2)-69,3))*5)+MOD(COLUMN(BV$2),3),1,1),"")</f>
        <v>0</v>
      </c>
      <c r="BW192">
        <f ca="1">IF($AN192="",OFFSET(Demand!$A$13,ROW(G189)-1,4+((QUOTIENT(COLUMN(BW$2)-69,3))*5)+MOD(COLUMN(BW$2),3),1,1),"")</f>
        <v>0</v>
      </c>
      <c r="BX192">
        <f ca="1">IF($AN192="",OFFSET(Demand!$A$13,ROW(H189)-1,4+((QUOTIENT(COLUMN(BX$2)-69,3))*5)+MOD(COLUMN(BX$2),3),1,1),"")</f>
        <v>0</v>
      </c>
      <c r="BY192">
        <f ca="1">IF($AN192="",OFFSET(Demand!$A$13,ROW(I189)-1,4+((QUOTIENT(COLUMN(BY$2)-69,3))*5)+MOD(COLUMN(BY$2),3),1,1),"")</f>
        <v>0</v>
      </c>
      <c r="BZ192">
        <f ca="1">IF($AN192="",OFFSET(Demand!$A$13,ROW(J189)-1,4+((QUOTIENT(COLUMN(BZ$2)-69,3))*5)+MOD(COLUMN(BZ$2),3),1,1),"")</f>
        <v>0</v>
      </c>
      <c r="CA192">
        <f ca="1">IF($AN192="",OFFSET(Demand!$A$13,ROW(K189)-1,4+((QUOTIENT(COLUMN(CA$2)-69,3))*5)+MOD(COLUMN(CA$2),3),1,1),"")</f>
        <v>0</v>
      </c>
      <c r="CB192">
        <f ca="1">IF($AN192="",OFFSET(Demand!$A$13,ROW(L189)-1,4+((QUOTIENT(COLUMN(CB$2)-69,3))*5)+MOD(COLUMN(CB$2),3),1,1),"")</f>
        <v>0</v>
      </c>
      <c r="CC192">
        <f ca="1">IF($AN192="",OFFSET(Demand!$A$13,ROW(M189)-1,4+((QUOTIENT(COLUMN(CC$2)-69,3))*5)+MOD(COLUMN(CC$2),3),1,1),"")</f>
        <v>0</v>
      </c>
      <c r="CD192">
        <f ca="1">IF($AN192="",OFFSET(Demand!$A$13,ROW(N189)-1,4+((QUOTIENT(COLUMN(CD$2)-69,3))*5)+MOD(COLUMN(CD$2),3),1,1),"")</f>
        <v>0</v>
      </c>
      <c r="CE192">
        <f ca="1">IF($AN192="",OFFSET(Demand!$A$13,ROW(O189)-1,4+((QUOTIENT(COLUMN(CE$2)-69,3))*5)+MOD(COLUMN(CE$2),3),1,1),"")</f>
        <v>0</v>
      </c>
      <c r="CF192">
        <f ca="1">IF($AN192="",OFFSET(Demand!$A$13,ROW(P189)-1,4+((QUOTIENT(COLUMN(CF$2)-69,3))*5)+MOD(COLUMN(CF$2),3),1,1),"")</f>
        <v>0</v>
      </c>
      <c r="CG192">
        <f ca="1">IF($AN192="",OFFSET(Demand!$A$13,ROW(Q189)-1,4+((QUOTIENT(COLUMN(CG$2)-69,3))*5)+MOD(COLUMN(CG$2),3),1,1),"")</f>
        <v>0</v>
      </c>
      <c r="CH192">
        <f ca="1">IF($AN192="",OFFSET(Demand!$A$13,ROW(R189)-1,4+((QUOTIENT(COLUMN(CH$2)-69,3))*5)+MOD(COLUMN(CH$2),3),1,1),"")</f>
        <v>0</v>
      </c>
      <c r="CI192">
        <f ca="1">IF($AN192="",OFFSET(Demand!$A$13,ROW(S189)-1,4+((QUOTIENT(COLUMN(CI$2)-69,3))*5)+MOD(COLUMN(CI$2),3),1,1),"")</f>
        <v>0</v>
      </c>
      <c r="CJ192">
        <f ca="1">IF($AN192="",OFFSET(Demand!$A$13,ROW(T189)-1,4+((QUOTIENT(COLUMN(CJ$2)-69,3))*5)+MOD(COLUMN(CJ$2),3),1,1),"")</f>
        <v>0</v>
      </c>
      <c r="CK192">
        <f ca="1">IF($AN192="",OFFSET(Demand!$A$13,ROW(U189)-1,4+((QUOTIENT(COLUMN(CK$2)-69,3))*5)+MOD(COLUMN(CK$2),3),1,1),"")</f>
        <v>0</v>
      </c>
      <c r="CL192">
        <f ca="1">IF($AN192="",OFFSET(Demand!$A$13,ROW(V189)-1,4+((QUOTIENT(COLUMN(CL$2)-69,3))*5)+MOD(COLUMN(CL$2),3),1,1),"")</f>
        <v>0</v>
      </c>
      <c r="CM192">
        <f ca="1">IF($AN192="",OFFSET(Demand!$A$13,ROW(W189)-1,4+((QUOTIENT(COLUMN(CM$2)-69,3))*5)+MOD(COLUMN(CM$2),3),1,1),"")</f>
        <v>0</v>
      </c>
      <c r="CN192">
        <f ca="1">IF($AN192="",OFFSET(Demand!$A$13,ROW(X189)-1,4+((QUOTIENT(COLUMN(CN$2)-69,3))*5)+MOD(COLUMN(CN$2),3),1,1),"")</f>
        <v>0</v>
      </c>
      <c r="CO192">
        <f ca="1">IF($AN192="",OFFSET(Demand!$A$13,ROW(Y189)-1,4+((QUOTIENT(COLUMN(CO$2)-69,3))*5)+MOD(COLUMN(CO$2),3),1,1),"")</f>
        <v>0</v>
      </c>
      <c r="CP192">
        <f ca="1">IF($AN192="",OFFSET(Demand!$A$13,ROW(Z189)-1,4+((QUOTIENT(COLUMN(CP$2)-69,3))*5)+MOD(COLUMN(CP$2),3),1,1),"")</f>
        <v>0</v>
      </c>
      <c r="CQ192">
        <f ca="1">IF($AN192="",OFFSET(Demand!$A$13,ROW(AA189)-1,4+((QUOTIENT(COLUMN(CQ$2)-69,3))*5)+MOD(COLUMN(CQ$2),3),1,1),"")</f>
        <v>0</v>
      </c>
      <c r="CR192">
        <f ca="1">IF($AN192="",OFFSET(Demand!$A$13,ROW(AB189)-1,4+((QUOTIENT(COLUMN(CR$2)-69,3))*5)+MOD(COLUMN(CR$2),3),1,1),"")</f>
        <v>0</v>
      </c>
      <c r="CS192">
        <f ca="1">IF($AN192="",OFFSET(Demand!$A$13,ROW(AC189)-1,4+((QUOTIENT(COLUMN(CS$2)-69,3))*5)+MOD(COLUMN(CS$2),3),1,1),"")</f>
        <v>0</v>
      </c>
      <c r="CT192">
        <f ca="1">IF($AN192="",OFFSET(Demand!$A$13,ROW(AD189)-1,4+((QUOTIENT(COLUMN(CT$2)-69,3))*5)+MOD(COLUMN(CT$2),3),1,1),"")</f>
        <v>0</v>
      </c>
      <c r="CW192" s="5">
        <f ca="1">SUM(OFFSET(Demand!$H$43,ROW(A189)-1,(COLUMN(A189)-1)*5,1,1))*N$2</f>
        <v>0</v>
      </c>
      <c r="CX192" s="5">
        <f ca="1">SUM(OFFSET(Demand!$H$43,ROW(B189)-1,(COLUMN(B189)-1)*5,1,1))*O$2</f>
        <v>0</v>
      </c>
      <c r="CY192" s="5">
        <f ca="1">SUM(OFFSET(Demand!$H$43,ROW(C189)-1,(COLUMN(C189)-1)*5,1,1))*P$2</f>
        <v>0</v>
      </c>
      <c r="CZ192" s="5">
        <f ca="1">SUM(OFFSET(Demand!$H$43,ROW(D189)-1,(COLUMN(D189)-1)*5,1,1))*Q$2</f>
        <v>0</v>
      </c>
      <c r="DA192" s="5">
        <f ca="1">SUM(OFFSET(Demand!$H$43,ROW(E189)-1,(COLUMN(E189)-1)*5,1,1))*R$2</f>
        <v>0</v>
      </c>
      <c r="DB192" s="5">
        <f ca="1">SUM(OFFSET(Demand!$H$43,ROW(F189)-1,(COLUMN(F189)-1)*5,1,1))*S$2</f>
        <v>0</v>
      </c>
      <c r="DC192" s="5">
        <f ca="1">SUM(OFFSET(Demand!$H$43,ROW(G189)-1,(COLUMN(G189)-1)*5,1,1))*T$2</f>
        <v>0</v>
      </c>
      <c r="DD192" s="5">
        <f ca="1">SUM(OFFSET(Demand!$H$43,ROW(H189)-1,(COLUMN(H189)-1)*5,1,1))*U$2</f>
        <v>0</v>
      </c>
      <c r="DE192" s="5">
        <f ca="1">SUM(OFFSET(Demand!$H$43,ROW(I189)-1,(COLUMN(I189)-1)*5,1,1))*V$2</f>
        <v>0</v>
      </c>
      <c r="DF192" s="5">
        <f ca="1">SUM(OFFSET(Demand!$H$43,ROW(J189)-1,(COLUMN(J189)-1)*5,1,1))*W$2</f>
        <v>0</v>
      </c>
      <c r="DG192" s="5">
        <f ca="1">IF(OR(AN192&lt;&gt;"",AND('Demand adjustments for Covid'!$F$9="Yes",'Demand adjustments for Covid'!$F$20="Yes")),"",SUM(CW192:DF192))</f>
        <v>0</v>
      </c>
    </row>
    <row r="193" spans="1:111" x14ac:dyDescent="0.25">
      <c r="A193" s="5">
        <f t="shared" ca="1" si="50"/>
        <v>1</v>
      </c>
      <c r="B193" s="5">
        <f ca="1">COUNTBLANK(OFFSET(Demand!$I202,0,(COLUMN(A190)-1)*5,1,1))</f>
        <v>1</v>
      </c>
      <c r="C193" s="5">
        <f ca="1">COUNTBLANK(OFFSET(Demand!$I202,0,(COLUMN(B190)-1)*5,1,1))</f>
        <v>1</v>
      </c>
      <c r="D193" s="5">
        <f ca="1">COUNTBLANK(OFFSET(Demand!$I202,0,(COLUMN(C190)-1)*5,1,1))</f>
        <v>1</v>
      </c>
      <c r="E193" s="5">
        <f ca="1">COUNTBLANK(OFFSET(Demand!$I202,0,(COLUMN(D190)-1)*5,1,1))</f>
        <v>1</v>
      </c>
      <c r="F193" s="5">
        <f ca="1">COUNTBLANK(OFFSET(Demand!$I202,0,(COLUMN(E190)-1)*5,1,1))</f>
        <v>1</v>
      </c>
      <c r="G193" s="5">
        <f ca="1">COUNTBLANK(OFFSET(Demand!$I202,0,(COLUMN(F190)-1)*5,1,1))</f>
        <v>1</v>
      </c>
      <c r="H193" s="5">
        <f ca="1">COUNTBLANK(OFFSET(Demand!$I202,0,(COLUMN(G190)-1)*5,1,1))</f>
        <v>1</v>
      </c>
      <c r="I193" s="5">
        <f ca="1">COUNTBLANK(OFFSET(Demand!$I202,0,(COLUMN(H190)-1)*5,1,1))</f>
        <v>1</v>
      </c>
      <c r="J193" s="5">
        <f ca="1">COUNTBLANK(OFFSET(Demand!$I202,0,(COLUMN(I190)-1)*5,1,1))</f>
        <v>1</v>
      </c>
      <c r="K193" s="5">
        <f ca="1">COUNTBLANK(OFFSET(Demand!$I202,0,(COLUMN(J190)-1)*5,1,1))</f>
        <v>1</v>
      </c>
      <c r="N193" s="5">
        <f ca="1">SUM(OFFSET(Demand!$E202,0,(COLUMN(A190)-1)*5,1,3))*N$2</f>
        <v>0</v>
      </c>
      <c r="O193" s="5">
        <f ca="1">SUM(OFFSET(Demand!$E202,0,(COLUMN(B190)-1)*5,1,3))*O$2</f>
        <v>0</v>
      </c>
      <c r="P193" s="5">
        <f ca="1">SUM(OFFSET(Demand!$E202,0,(COLUMN(C190)-1)*5,1,3))*P$2</f>
        <v>0</v>
      </c>
      <c r="Q193" s="5">
        <f ca="1">SUM(OFFSET(Demand!$E202,0,(COLUMN(D190)-1)*5,1,3))*Q$2</f>
        <v>0</v>
      </c>
      <c r="R193" s="5">
        <f ca="1">SUM(OFFSET(Demand!$E202,0,(COLUMN(E190)-1)*5,1,3))*R$2</f>
        <v>0</v>
      </c>
      <c r="S193" s="5">
        <f ca="1">SUM(OFFSET(Demand!$E202,0,(COLUMN(F190)-1)*5,1,3))*S$2</f>
        <v>0</v>
      </c>
      <c r="T193" s="5">
        <f ca="1">SUM(OFFSET(Demand!$E202,0,(COLUMN(G190)-1)*5,1,3))*T$2</f>
        <v>0</v>
      </c>
      <c r="U193" s="5">
        <f ca="1">SUM(OFFSET(Demand!$E202,0,(COLUMN(H190)-1)*5,1,3))*U$2</f>
        <v>0</v>
      </c>
      <c r="V193" s="5">
        <f ca="1">SUM(OFFSET(Demand!$E202,0,(COLUMN(I190)-1)*5,1,3))*V$2</f>
        <v>0</v>
      </c>
      <c r="W193" s="5">
        <f ca="1">SUM(OFFSET(Demand!$E202,0,(COLUMN(J190)-1)*5,1,3))*W$2</f>
        <v>0</v>
      </c>
      <c r="X193" s="5">
        <f t="shared" ca="1" si="44"/>
        <v>0</v>
      </c>
      <c r="Y193">
        <f t="shared" ca="1" si="45"/>
        <v>0</v>
      </c>
      <c r="Z193" s="5">
        <f ca="1">SUM(OFFSET(Demand!$H202,0,(COLUMN(A190)-1)*5,1,1))*N$2</f>
        <v>0</v>
      </c>
      <c r="AA193" s="5">
        <f ca="1">SUM(OFFSET(Demand!$H202,0,(COLUMN(B190)-1)*5,1,1))*O$2</f>
        <v>0</v>
      </c>
      <c r="AB193" s="5">
        <f ca="1">SUM(OFFSET(Demand!$H202,0,(COLUMN(C190)-1)*5,1,1))*P$2</f>
        <v>0</v>
      </c>
      <c r="AC193" s="5">
        <f ca="1">SUM(OFFSET(Demand!$H202,0,(COLUMN(D190)-1)*5,1,1))*Q$2</f>
        <v>0</v>
      </c>
      <c r="AD193" s="5">
        <f ca="1">SUM(OFFSET(Demand!$H202,0,(COLUMN(E190)-1)*5,1,1))*R$2</f>
        <v>0</v>
      </c>
      <c r="AE193" s="5">
        <f ca="1">SUM(OFFSET(Demand!$H202,0,(COLUMN(F190)-1)*5,1,1))*S$2</f>
        <v>0</v>
      </c>
      <c r="AF193" s="5">
        <f ca="1">SUM(OFFSET(Demand!$H202,0,(COLUMN(G190)-1)*5,1,1))*T$2</f>
        <v>0</v>
      </c>
      <c r="AG193" s="5">
        <f ca="1">SUM(OFFSET(Demand!$H202,0,(COLUMN(H190)-1)*5,1,1))*U$2</f>
        <v>0</v>
      </c>
      <c r="AH193" s="5">
        <f ca="1">SUM(OFFSET(Demand!$H202,0,(COLUMN(I190)-1)*5,1,1))*V$2</f>
        <v>0</v>
      </c>
      <c r="AI193" s="5">
        <f ca="1">SUM(OFFSET(Demand!$H202,0,(COLUMN(J190)-1)*5,1,1))*W$2</f>
        <v>0</v>
      </c>
      <c r="AJ193" s="5">
        <f t="shared" ca="1" si="46"/>
        <v>0</v>
      </c>
      <c r="AL193" s="5">
        <f t="shared" ca="1" si="47"/>
        <v>0</v>
      </c>
      <c r="AM193" s="5">
        <f t="shared" ca="1" si="48"/>
        <v>0</v>
      </c>
      <c r="AN193" s="5" t="str">
        <f>IF(Demand!BE202="Yes","Yes","")</f>
        <v/>
      </c>
      <c r="AP193" s="36" t="str">
        <f ca="1">Demand!B202</f>
        <v xml:space="preserve"> </v>
      </c>
      <c r="AQ193" t="str">
        <f ca="1">IF(TEXT(Demand!D202,"MMM")&lt;&gt;TEXT(Demand!D201,"MMM"),TEXT(Demand!D202,"MMM"),"")</f>
        <v/>
      </c>
      <c r="AT193" s="5">
        <f t="shared" ca="1" si="49"/>
        <v>0</v>
      </c>
      <c r="BQ193">
        <f ca="1">IF($AN193="",OFFSET(Demand!$A$13,ROW(A190)-1,4+((QUOTIENT(COLUMN(BQ$2)-69,3))*5)+MOD(COLUMN(BQ$2),3),1,1),"")</f>
        <v>0</v>
      </c>
      <c r="BR193">
        <f ca="1">IF($AN193="",OFFSET(Demand!$A$13,ROW(B190)-1,4+((QUOTIENT(COLUMN(BR$2)-69,3))*5)+MOD(COLUMN(BR$2),3),1,1),"")</f>
        <v>0</v>
      </c>
      <c r="BS193">
        <f ca="1">IF($AN193="",OFFSET(Demand!$A$13,ROW(C190)-1,4+((QUOTIENT(COLUMN(BS$2)-69,3))*5)+MOD(COLUMN(BS$2),3),1,1),"")</f>
        <v>0</v>
      </c>
      <c r="BT193">
        <f ca="1">IF($AN193="",OFFSET(Demand!$A$13,ROW(D190)-1,4+((QUOTIENT(COLUMN(BT$2)-69,3))*5)+MOD(COLUMN(BT$2),3),1,1),"")</f>
        <v>0</v>
      </c>
      <c r="BU193">
        <f ca="1">IF($AN193="",OFFSET(Demand!$A$13,ROW(E190)-1,4+((QUOTIENT(COLUMN(BU$2)-69,3))*5)+MOD(COLUMN(BU$2),3),1,1),"")</f>
        <v>0</v>
      </c>
      <c r="BV193">
        <f ca="1">IF($AN193="",OFFSET(Demand!$A$13,ROW(F190)-1,4+((QUOTIENT(COLUMN(BV$2)-69,3))*5)+MOD(COLUMN(BV$2),3),1,1),"")</f>
        <v>0</v>
      </c>
      <c r="BW193">
        <f ca="1">IF($AN193="",OFFSET(Demand!$A$13,ROW(G190)-1,4+((QUOTIENT(COLUMN(BW$2)-69,3))*5)+MOD(COLUMN(BW$2),3),1,1),"")</f>
        <v>0</v>
      </c>
      <c r="BX193">
        <f ca="1">IF($AN193="",OFFSET(Demand!$A$13,ROW(H190)-1,4+((QUOTIENT(COLUMN(BX$2)-69,3))*5)+MOD(COLUMN(BX$2),3),1,1),"")</f>
        <v>0</v>
      </c>
      <c r="BY193">
        <f ca="1">IF($AN193="",OFFSET(Demand!$A$13,ROW(I190)-1,4+((QUOTIENT(COLUMN(BY$2)-69,3))*5)+MOD(COLUMN(BY$2),3),1,1),"")</f>
        <v>0</v>
      </c>
      <c r="BZ193">
        <f ca="1">IF($AN193="",OFFSET(Demand!$A$13,ROW(J190)-1,4+((QUOTIENT(COLUMN(BZ$2)-69,3))*5)+MOD(COLUMN(BZ$2),3),1,1),"")</f>
        <v>0</v>
      </c>
      <c r="CA193">
        <f ca="1">IF($AN193="",OFFSET(Demand!$A$13,ROW(K190)-1,4+((QUOTIENT(COLUMN(CA$2)-69,3))*5)+MOD(COLUMN(CA$2),3),1,1),"")</f>
        <v>0</v>
      </c>
      <c r="CB193">
        <f ca="1">IF($AN193="",OFFSET(Demand!$A$13,ROW(L190)-1,4+((QUOTIENT(COLUMN(CB$2)-69,3))*5)+MOD(COLUMN(CB$2),3),1,1),"")</f>
        <v>0</v>
      </c>
      <c r="CC193">
        <f ca="1">IF($AN193="",OFFSET(Demand!$A$13,ROW(M190)-1,4+((QUOTIENT(COLUMN(CC$2)-69,3))*5)+MOD(COLUMN(CC$2),3),1,1),"")</f>
        <v>0</v>
      </c>
      <c r="CD193">
        <f ca="1">IF($AN193="",OFFSET(Demand!$A$13,ROW(N190)-1,4+((QUOTIENT(COLUMN(CD$2)-69,3))*5)+MOD(COLUMN(CD$2),3),1,1),"")</f>
        <v>0</v>
      </c>
      <c r="CE193">
        <f ca="1">IF($AN193="",OFFSET(Demand!$A$13,ROW(O190)-1,4+((QUOTIENT(COLUMN(CE$2)-69,3))*5)+MOD(COLUMN(CE$2),3),1,1),"")</f>
        <v>0</v>
      </c>
      <c r="CF193">
        <f ca="1">IF($AN193="",OFFSET(Demand!$A$13,ROW(P190)-1,4+((QUOTIENT(COLUMN(CF$2)-69,3))*5)+MOD(COLUMN(CF$2),3),1,1),"")</f>
        <v>0</v>
      </c>
      <c r="CG193">
        <f ca="1">IF($AN193="",OFFSET(Demand!$A$13,ROW(Q190)-1,4+((QUOTIENT(COLUMN(CG$2)-69,3))*5)+MOD(COLUMN(CG$2),3),1,1),"")</f>
        <v>0</v>
      </c>
      <c r="CH193">
        <f ca="1">IF($AN193="",OFFSET(Demand!$A$13,ROW(R190)-1,4+((QUOTIENT(COLUMN(CH$2)-69,3))*5)+MOD(COLUMN(CH$2),3),1,1),"")</f>
        <v>0</v>
      </c>
      <c r="CI193">
        <f ca="1">IF($AN193="",OFFSET(Demand!$A$13,ROW(S190)-1,4+((QUOTIENT(COLUMN(CI$2)-69,3))*5)+MOD(COLUMN(CI$2),3),1,1),"")</f>
        <v>0</v>
      </c>
      <c r="CJ193">
        <f ca="1">IF($AN193="",OFFSET(Demand!$A$13,ROW(T190)-1,4+((QUOTIENT(COLUMN(CJ$2)-69,3))*5)+MOD(COLUMN(CJ$2),3),1,1),"")</f>
        <v>0</v>
      </c>
      <c r="CK193">
        <f ca="1">IF($AN193="",OFFSET(Demand!$A$13,ROW(U190)-1,4+((QUOTIENT(COLUMN(CK$2)-69,3))*5)+MOD(COLUMN(CK$2),3),1,1),"")</f>
        <v>0</v>
      </c>
      <c r="CL193">
        <f ca="1">IF($AN193="",OFFSET(Demand!$A$13,ROW(V190)-1,4+((QUOTIENT(COLUMN(CL$2)-69,3))*5)+MOD(COLUMN(CL$2),3),1,1),"")</f>
        <v>0</v>
      </c>
      <c r="CM193">
        <f ca="1">IF($AN193="",OFFSET(Demand!$A$13,ROW(W190)-1,4+((QUOTIENT(COLUMN(CM$2)-69,3))*5)+MOD(COLUMN(CM$2),3),1,1),"")</f>
        <v>0</v>
      </c>
      <c r="CN193">
        <f ca="1">IF($AN193="",OFFSET(Demand!$A$13,ROW(X190)-1,4+((QUOTIENT(COLUMN(CN$2)-69,3))*5)+MOD(COLUMN(CN$2),3),1,1),"")</f>
        <v>0</v>
      </c>
      <c r="CO193">
        <f ca="1">IF($AN193="",OFFSET(Demand!$A$13,ROW(Y190)-1,4+((QUOTIENT(COLUMN(CO$2)-69,3))*5)+MOD(COLUMN(CO$2),3),1,1),"")</f>
        <v>0</v>
      </c>
      <c r="CP193">
        <f ca="1">IF($AN193="",OFFSET(Demand!$A$13,ROW(Z190)-1,4+((QUOTIENT(COLUMN(CP$2)-69,3))*5)+MOD(COLUMN(CP$2),3),1,1),"")</f>
        <v>0</v>
      </c>
      <c r="CQ193">
        <f ca="1">IF($AN193="",OFFSET(Demand!$A$13,ROW(AA190)-1,4+((QUOTIENT(COLUMN(CQ$2)-69,3))*5)+MOD(COLUMN(CQ$2),3),1,1),"")</f>
        <v>0</v>
      </c>
      <c r="CR193">
        <f ca="1">IF($AN193="",OFFSET(Demand!$A$13,ROW(AB190)-1,4+((QUOTIENT(COLUMN(CR$2)-69,3))*5)+MOD(COLUMN(CR$2),3),1,1),"")</f>
        <v>0</v>
      </c>
      <c r="CS193">
        <f ca="1">IF($AN193="",OFFSET(Demand!$A$13,ROW(AC190)-1,4+((QUOTIENT(COLUMN(CS$2)-69,3))*5)+MOD(COLUMN(CS$2),3),1,1),"")</f>
        <v>0</v>
      </c>
      <c r="CT193">
        <f ca="1">IF($AN193="",OFFSET(Demand!$A$13,ROW(AD190)-1,4+((QUOTIENT(COLUMN(CT$2)-69,3))*5)+MOD(COLUMN(CT$2),3),1,1),"")</f>
        <v>0</v>
      </c>
      <c r="CW193" s="5">
        <f ca="1">SUM(OFFSET(Demand!$H$43,ROW(A190)-1,(COLUMN(A190)-1)*5,1,1))*N$2</f>
        <v>0</v>
      </c>
      <c r="CX193" s="5">
        <f ca="1">SUM(OFFSET(Demand!$H$43,ROW(B190)-1,(COLUMN(B190)-1)*5,1,1))*O$2</f>
        <v>0</v>
      </c>
      <c r="CY193" s="5">
        <f ca="1">SUM(OFFSET(Demand!$H$43,ROW(C190)-1,(COLUMN(C190)-1)*5,1,1))*P$2</f>
        <v>0</v>
      </c>
      <c r="CZ193" s="5">
        <f ca="1">SUM(OFFSET(Demand!$H$43,ROW(D190)-1,(COLUMN(D190)-1)*5,1,1))*Q$2</f>
        <v>0</v>
      </c>
      <c r="DA193" s="5">
        <f ca="1">SUM(OFFSET(Demand!$H$43,ROW(E190)-1,(COLUMN(E190)-1)*5,1,1))*R$2</f>
        <v>0</v>
      </c>
      <c r="DB193" s="5">
        <f ca="1">SUM(OFFSET(Demand!$H$43,ROW(F190)-1,(COLUMN(F190)-1)*5,1,1))*S$2</f>
        <v>0</v>
      </c>
      <c r="DC193" s="5">
        <f ca="1">SUM(OFFSET(Demand!$H$43,ROW(G190)-1,(COLUMN(G190)-1)*5,1,1))*T$2</f>
        <v>0</v>
      </c>
      <c r="DD193" s="5">
        <f ca="1">SUM(OFFSET(Demand!$H$43,ROW(H190)-1,(COLUMN(H190)-1)*5,1,1))*U$2</f>
        <v>0</v>
      </c>
      <c r="DE193" s="5">
        <f ca="1">SUM(OFFSET(Demand!$H$43,ROW(I190)-1,(COLUMN(I190)-1)*5,1,1))*V$2</f>
        <v>0</v>
      </c>
      <c r="DF193" s="5">
        <f ca="1">SUM(OFFSET(Demand!$H$43,ROW(J190)-1,(COLUMN(J190)-1)*5,1,1))*W$2</f>
        <v>0</v>
      </c>
      <c r="DG193" s="5">
        <f ca="1">IF(OR(AN193&lt;&gt;"",AND('Demand adjustments for Covid'!$F$9="Yes",'Demand adjustments for Covid'!$F$20="Yes")),"",SUM(CW193:DF193))</f>
        <v>0</v>
      </c>
    </row>
    <row r="194" spans="1:111" x14ac:dyDescent="0.25">
      <c r="A194" s="5">
        <f t="shared" ca="1" si="50"/>
        <v>1</v>
      </c>
      <c r="B194" s="5">
        <f ca="1">COUNTBLANK(OFFSET(Demand!$I203,0,(COLUMN(A191)-1)*5,1,1))</f>
        <v>1</v>
      </c>
      <c r="C194" s="5">
        <f ca="1">COUNTBLANK(OFFSET(Demand!$I203,0,(COLUMN(B191)-1)*5,1,1))</f>
        <v>1</v>
      </c>
      <c r="D194" s="5">
        <f ca="1">COUNTBLANK(OFFSET(Demand!$I203,0,(COLUMN(C191)-1)*5,1,1))</f>
        <v>1</v>
      </c>
      <c r="E194" s="5">
        <f ca="1">COUNTBLANK(OFFSET(Demand!$I203,0,(COLUMN(D191)-1)*5,1,1))</f>
        <v>1</v>
      </c>
      <c r="F194" s="5">
        <f ca="1">COUNTBLANK(OFFSET(Demand!$I203,0,(COLUMN(E191)-1)*5,1,1))</f>
        <v>1</v>
      </c>
      <c r="G194" s="5">
        <f ca="1">COUNTBLANK(OFFSET(Demand!$I203,0,(COLUMN(F191)-1)*5,1,1))</f>
        <v>1</v>
      </c>
      <c r="H194" s="5">
        <f ca="1">COUNTBLANK(OFFSET(Demand!$I203,0,(COLUMN(G191)-1)*5,1,1))</f>
        <v>1</v>
      </c>
      <c r="I194" s="5">
        <f ca="1">COUNTBLANK(OFFSET(Demand!$I203,0,(COLUMN(H191)-1)*5,1,1))</f>
        <v>1</v>
      </c>
      <c r="J194" s="5">
        <f ca="1">COUNTBLANK(OFFSET(Demand!$I203,0,(COLUMN(I191)-1)*5,1,1))</f>
        <v>1</v>
      </c>
      <c r="K194" s="5">
        <f ca="1">COUNTBLANK(OFFSET(Demand!$I203,0,(COLUMN(J191)-1)*5,1,1))</f>
        <v>1</v>
      </c>
      <c r="N194" s="5">
        <f ca="1">SUM(OFFSET(Demand!$E203,0,(COLUMN(A191)-1)*5,1,3))*N$2</f>
        <v>0</v>
      </c>
      <c r="O194" s="5">
        <f ca="1">SUM(OFFSET(Demand!$E203,0,(COLUMN(B191)-1)*5,1,3))*O$2</f>
        <v>0</v>
      </c>
      <c r="P194" s="5">
        <f ca="1">SUM(OFFSET(Demand!$E203,0,(COLUMN(C191)-1)*5,1,3))*P$2</f>
        <v>0</v>
      </c>
      <c r="Q194" s="5">
        <f ca="1">SUM(OFFSET(Demand!$E203,0,(COLUMN(D191)-1)*5,1,3))*Q$2</f>
        <v>0</v>
      </c>
      <c r="R194" s="5">
        <f ca="1">SUM(OFFSET(Demand!$E203,0,(COLUMN(E191)-1)*5,1,3))*R$2</f>
        <v>0</v>
      </c>
      <c r="S194" s="5">
        <f ca="1">SUM(OFFSET(Demand!$E203,0,(COLUMN(F191)-1)*5,1,3))*S$2</f>
        <v>0</v>
      </c>
      <c r="T194" s="5">
        <f ca="1">SUM(OFFSET(Demand!$E203,0,(COLUMN(G191)-1)*5,1,3))*T$2</f>
        <v>0</v>
      </c>
      <c r="U194" s="5">
        <f ca="1">SUM(OFFSET(Demand!$E203,0,(COLUMN(H191)-1)*5,1,3))*U$2</f>
        <v>0</v>
      </c>
      <c r="V194" s="5">
        <f ca="1">SUM(OFFSET(Demand!$E203,0,(COLUMN(I191)-1)*5,1,3))*V$2</f>
        <v>0</v>
      </c>
      <c r="W194" s="5">
        <f ca="1">SUM(OFFSET(Demand!$E203,0,(COLUMN(J191)-1)*5,1,3))*W$2</f>
        <v>0</v>
      </c>
      <c r="X194" s="5">
        <f t="shared" ca="1" si="44"/>
        <v>0</v>
      </c>
      <c r="Y194">
        <f t="shared" ca="1" si="45"/>
        <v>0</v>
      </c>
      <c r="Z194" s="5">
        <f ca="1">SUM(OFFSET(Demand!$H203,0,(COLUMN(A191)-1)*5,1,1))*N$2</f>
        <v>0</v>
      </c>
      <c r="AA194" s="5">
        <f ca="1">SUM(OFFSET(Demand!$H203,0,(COLUMN(B191)-1)*5,1,1))*O$2</f>
        <v>0</v>
      </c>
      <c r="AB194" s="5">
        <f ca="1">SUM(OFFSET(Demand!$H203,0,(COLUMN(C191)-1)*5,1,1))*P$2</f>
        <v>0</v>
      </c>
      <c r="AC194" s="5">
        <f ca="1">SUM(OFFSET(Demand!$H203,0,(COLUMN(D191)-1)*5,1,1))*Q$2</f>
        <v>0</v>
      </c>
      <c r="AD194" s="5">
        <f ca="1">SUM(OFFSET(Demand!$H203,0,(COLUMN(E191)-1)*5,1,1))*R$2</f>
        <v>0</v>
      </c>
      <c r="AE194" s="5">
        <f ca="1">SUM(OFFSET(Demand!$H203,0,(COLUMN(F191)-1)*5,1,1))*S$2</f>
        <v>0</v>
      </c>
      <c r="AF194" s="5">
        <f ca="1">SUM(OFFSET(Demand!$H203,0,(COLUMN(G191)-1)*5,1,1))*T$2</f>
        <v>0</v>
      </c>
      <c r="AG194" s="5">
        <f ca="1">SUM(OFFSET(Demand!$H203,0,(COLUMN(H191)-1)*5,1,1))*U$2</f>
        <v>0</v>
      </c>
      <c r="AH194" s="5">
        <f ca="1">SUM(OFFSET(Demand!$H203,0,(COLUMN(I191)-1)*5,1,1))*V$2</f>
        <v>0</v>
      </c>
      <c r="AI194" s="5">
        <f ca="1">SUM(OFFSET(Demand!$H203,0,(COLUMN(J191)-1)*5,1,1))*W$2</f>
        <v>0</v>
      </c>
      <c r="AJ194" s="5">
        <f t="shared" ca="1" si="46"/>
        <v>0</v>
      </c>
      <c r="AL194" s="5">
        <f t="shared" ca="1" si="47"/>
        <v>0</v>
      </c>
      <c r="AM194" s="5">
        <f t="shared" ca="1" si="48"/>
        <v>0</v>
      </c>
      <c r="AN194" s="5" t="str">
        <f>IF(Demand!BE203="Yes","Yes","")</f>
        <v/>
      </c>
      <c r="AP194" s="36" t="str">
        <f ca="1">Demand!B203</f>
        <v xml:space="preserve"> </v>
      </c>
      <c r="AQ194" t="str">
        <f ca="1">IF(TEXT(Demand!D203,"MMM")&lt;&gt;TEXT(Demand!D202,"MMM"),TEXT(Demand!D203,"MMM"),"")</f>
        <v/>
      </c>
      <c r="AT194" s="5">
        <f t="shared" ca="1" si="49"/>
        <v>0</v>
      </c>
      <c r="BQ194">
        <f ca="1">IF($AN194="",OFFSET(Demand!$A$13,ROW(A191)-1,4+((QUOTIENT(COLUMN(BQ$2)-69,3))*5)+MOD(COLUMN(BQ$2),3),1,1),"")</f>
        <v>0</v>
      </c>
      <c r="BR194">
        <f ca="1">IF($AN194="",OFFSET(Demand!$A$13,ROW(B191)-1,4+((QUOTIENT(COLUMN(BR$2)-69,3))*5)+MOD(COLUMN(BR$2),3),1,1),"")</f>
        <v>0</v>
      </c>
      <c r="BS194">
        <f ca="1">IF($AN194="",OFFSET(Demand!$A$13,ROW(C191)-1,4+((QUOTIENT(COLUMN(BS$2)-69,3))*5)+MOD(COLUMN(BS$2),3),1,1),"")</f>
        <v>0</v>
      </c>
      <c r="BT194">
        <f ca="1">IF($AN194="",OFFSET(Demand!$A$13,ROW(D191)-1,4+((QUOTIENT(COLUMN(BT$2)-69,3))*5)+MOD(COLUMN(BT$2),3),1,1),"")</f>
        <v>0</v>
      </c>
      <c r="BU194">
        <f ca="1">IF($AN194="",OFFSET(Demand!$A$13,ROW(E191)-1,4+((QUOTIENT(COLUMN(BU$2)-69,3))*5)+MOD(COLUMN(BU$2),3),1,1),"")</f>
        <v>0</v>
      </c>
      <c r="BV194">
        <f ca="1">IF($AN194="",OFFSET(Demand!$A$13,ROW(F191)-1,4+((QUOTIENT(COLUMN(BV$2)-69,3))*5)+MOD(COLUMN(BV$2),3),1,1),"")</f>
        <v>0</v>
      </c>
      <c r="BW194">
        <f ca="1">IF($AN194="",OFFSET(Demand!$A$13,ROW(G191)-1,4+((QUOTIENT(COLUMN(BW$2)-69,3))*5)+MOD(COLUMN(BW$2),3),1,1),"")</f>
        <v>0</v>
      </c>
      <c r="BX194">
        <f ca="1">IF($AN194="",OFFSET(Demand!$A$13,ROW(H191)-1,4+((QUOTIENT(COLUMN(BX$2)-69,3))*5)+MOD(COLUMN(BX$2),3),1,1),"")</f>
        <v>0</v>
      </c>
      <c r="BY194">
        <f ca="1">IF($AN194="",OFFSET(Demand!$A$13,ROW(I191)-1,4+((QUOTIENT(COLUMN(BY$2)-69,3))*5)+MOD(COLUMN(BY$2),3),1,1),"")</f>
        <v>0</v>
      </c>
      <c r="BZ194">
        <f ca="1">IF($AN194="",OFFSET(Demand!$A$13,ROW(J191)-1,4+((QUOTIENT(COLUMN(BZ$2)-69,3))*5)+MOD(COLUMN(BZ$2),3),1,1),"")</f>
        <v>0</v>
      </c>
      <c r="CA194">
        <f ca="1">IF($AN194="",OFFSET(Demand!$A$13,ROW(K191)-1,4+((QUOTIENT(COLUMN(CA$2)-69,3))*5)+MOD(COLUMN(CA$2),3),1,1),"")</f>
        <v>0</v>
      </c>
      <c r="CB194">
        <f ca="1">IF($AN194="",OFFSET(Demand!$A$13,ROW(L191)-1,4+((QUOTIENT(COLUMN(CB$2)-69,3))*5)+MOD(COLUMN(CB$2),3),1,1),"")</f>
        <v>0</v>
      </c>
      <c r="CC194">
        <f ca="1">IF($AN194="",OFFSET(Demand!$A$13,ROW(M191)-1,4+((QUOTIENT(COLUMN(CC$2)-69,3))*5)+MOD(COLUMN(CC$2),3),1,1),"")</f>
        <v>0</v>
      </c>
      <c r="CD194">
        <f ca="1">IF($AN194="",OFFSET(Demand!$A$13,ROW(N191)-1,4+((QUOTIENT(COLUMN(CD$2)-69,3))*5)+MOD(COLUMN(CD$2),3),1,1),"")</f>
        <v>0</v>
      </c>
      <c r="CE194">
        <f ca="1">IF($AN194="",OFFSET(Demand!$A$13,ROW(O191)-1,4+((QUOTIENT(COLUMN(CE$2)-69,3))*5)+MOD(COLUMN(CE$2),3),1,1),"")</f>
        <v>0</v>
      </c>
      <c r="CF194">
        <f ca="1">IF($AN194="",OFFSET(Demand!$A$13,ROW(P191)-1,4+((QUOTIENT(COLUMN(CF$2)-69,3))*5)+MOD(COLUMN(CF$2),3),1,1),"")</f>
        <v>0</v>
      </c>
      <c r="CG194">
        <f ca="1">IF($AN194="",OFFSET(Demand!$A$13,ROW(Q191)-1,4+((QUOTIENT(COLUMN(CG$2)-69,3))*5)+MOD(COLUMN(CG$2),3),1,1),"")</f>
        <v>0</v>
      </c>
      <c r="CH194">
        <f ca="1">IF($AN194="",OFFSET(Demand!$A$13,ROW(R191)-1,4+((QUOTIENT(COLUMN(CH$2)-69,3))*5)+MOD(COLUMN(CH$2),3),1,1),"")</f>
        <v>0</v>
      </c>
      <c r="CI194">
        <f ca="1">IF($AN194="",OFFSET(Demand!$A$13,ROW(S191)-1,4+((QUOTIENT(COLUMN(CI$2)-69,3))*5)+MOD(COLUMN(CI$2),3),1,1),"")</f>
        <v>0</v>
      </c>
      <c r="CJ194">
        <f ca="1">IF($AN194="",OFFSET(Demand!$A$13,ROW(T191)-1,4+((QUOTIENT(COLUMN(CJ$2)-69,3))*5)+MOD(COLUMN(CJ$2),3),1,1),"")</f>
        <v>0</v>
      </c>
      <c r="CK194">
        <f ca="1">IF($AN194="",OFFSET(Demand!$A$13,ROW(U191)-1,4+((QUOTIENT(COLUMN(CK$2)-69,3))*5)+MOD(COLUMN(CK$2),3),1,1),"")</f>
        <v>0</v>
      </c>
      <c r="CL194">
        <f ca="1">IF($AN194="",OFFSET(Demand!$A$13,ROW(V191)-1,4+((QUOTIENT(COLUMN(CL$2)-69,3))*5)+MOD(COLUMN(CL$2),3),1,1),"")</f>
        <v>0</v>
      </c>
      <c r="CM194">
        <f ca="1">IF($AN194="",OFFSET(Demand!$A$13,ROW(W191)-1,4+((QUOTIENT(COLUMN(CM$2)-69,3))*5)+MOD(COLUMN(CM$2),3),1,1),"")</f>
        <v>0</v>
      </c>
      <c r="CN194">
        <f ca="1">IF($AN194="",OFFSET(Demand!$A$13,ROW(X191)-1,4+((QUOTIENT(COLUMN(CN$2)-69,3))*5)+MOD(COLUMN(CN$2),3),1,1),"")</f>
        <v>0</v>
      </c>
      <c r="CO194">
        <f ca="1">IF($AN194="",OFFSET(Demand!$A$13,ROW(Y191)-1,4+((QUOTIENT(COLUMN(CO$2)-69,3))*5)+MOD(COLUMN(CO$2),3),1,1),"")</f>
        <v>0</v>
      </c>
      <c r="CP194">
        <f ca="1">IF($AN194="",OFFSET(Demand!$A$13,ROW(Z191)-1,4+((QUOTIENT(COLUMN(CP$2)-69,3))*5)+MOD(COLUMN(CP$2),3),1,1),"")</f>
        <v>0</v>
      </c>
      <c r="CQ194">
        <f ca="1">IF($AN194="",OFFSET(Demand!$A$13,ROW(AA191)-1,4+((QUOTIENT(COLUMN(CQ$2)-69,3))*5)+MOD(COLUMN(CQ$2),3),1,1),"")</f>
        <v>0</v>
      </c>
      <c r="CR194">
        <f ca="1">IF($AN194="",OFFSET(Demand!$A$13,ROW(AB191)-1,4+((QUOTIENT(COLUMN(CR$2)-69,3))*5)+MOD(COLUMN(CR$2),3),1,1),"")</f>
        <v>0</v>
      </c>
      <c r="CS194">
        <f ca="1">IF($AN194="",OFFSET(Demand!$A$13,ROW(AC191)-1,4+((QUOTIENT(COLUMN(CS$2)-69,3))*5)+MOD(COLUMN(CS$2),3),1,1),"")</f>
        <v>0</v>
      </c>
      <c r="CT194">
        <f ca="1">IF($AN194="",OFFSET(Demand!$A$13,ROW(AD191)-1,4+((QUOTIENT(COLUMN(CT$2)-69,3))*5)+MOD(COLUMN(CT$2),3),1,1),"")</f>
        <v>0</v>
      </c>
      <c r="CW194" s="5">
        <f ca="1">SUM(OFFSET(Demand!$H$43,ROW(A191)-1,(COLUMN(A191)-1)*5,1,1))*N$2</f>
        <v>0</v>
      </c>
      <c r="CX194" s="5">
        <f ca="1">SUM(OFFSET(Demand!$H$43,ROW(B191)-1,(COLUMN(B191)-1)*5,1,1))*O$2</f>
        <v>0</v>
      </c>
      <c r="CY194" s="5">
        <f ca="1">SUM(OFFSET(Demand!$H$43,ROW(C191)-1,(COLUMN(C191)-1)*5,1,1))*P$2</f>
        <v>0</v>
      </c>
      <c r="CZ194" s="5">
        <f ca="1">SUM(OFFSET(Demand!$H$43,ROW(D191)-1,(COLUMN(D191)-1)*5,1,1))*Q$2</f>
        <v>0</v>
      </c>
      <c r="DA194" s="5">
        <f ca="1">SUM(OFFSET(Demand!$H$43,ROW(E191)-1,(COLUMN(E191)-1)*5,1,1))*R$2</f>
        <v>0</v>
      </c>
      <c r="DB194" s="5">
        <f ca="1">SUM(OFFSET(Demand!$H$43,ROW(F191)-1,(COLUMN(F191)-1)*5,1,1))*S$2</f>
        <v>0</v>
      </c>
      <c r="DC194" s="5">
        <f ca="1">SUM(OFFSET(Demand!$H$43,ROW(G191)-1,(COLUMN(G191)-1)*5,1,1))*T$2</f>
        <v>0</v>
      </c>
      <c r="DD194" s="5">
        <f ca="1">SUM(OFFSET(Demand!$H$43,ROW(H191)-1,(COLUMN(H191)-1)*5,1,1))*U$2</f>
        <v>0</v>
      </c>
      <c r="DE194" s="5">
        <f ca="1">SUM(OFFSET(Demand!$H$43,ROW(I191)-1,(COLUMN(I191)-1)*5,1,1))*V$2</f>
        <v>0</v>
      </c>
      <c r="DF194" s="5">
        <f ca="1">SUM(OFFSET(Demand!$H$43,ROW(J191)-1,(COLUMN(J191)-1)*5,1,1))*W$2</f>
        <v>0</v>
      </c>
      <c r="DG194" s="5">
        <f ca="1">IF(OR(AN194&lt;&gt;"",AND('Demand adjustments for Covid'!$F$9="Yes",'Demand adjustments for Covid'!$F$20="Yes")),"",SUM(CW194:DF194))</f>
        <v>0</v>
      </c>
    </row>
    <row r="195" spans="1:111" x14ac:dyDescent="0.25">
      <c r="A195" s="5">
        <f t="shared" ca="1" si="50"/>
        <v>1</v>
      </c>
      <c r="B195" s="5">
        <f ca="1">COUNTBLANK(OFFSET(Demand!$I204,0,(COLUMN(A192)-1)*5,1,1))</f>
        <v>1</v>
      </c>
      <c r="C195" s="5">
        <f ca="1">COUNTBLANK(OFFSET(Demand!$I204,0,(COLUMN(B192)-1)*5,1,1))</f>
        <v>1</v>
      </c>
      <c r="D195" s="5">
        <f ca="1">COUNTBLANK(OFFSET(Demand!$I204,0,(COLUMN(C192)-1)*5,1,1))</f>
        <v>1</v>
      </c>
      <c r="E195" s="5">
        <f ca="1">COUNTBLANK(OFFSET(Demand!$I204,0,(COLUMN(D192)-1)*5,1,1))</f>
        <v>1</v>
      </c>
      <c r="F195" s="5">
        <f ca="1">COUNTBLANK(OFFSET(Demand!$I204,0,(COLUMN(E192)-1)*5,1,1))</f>
        <v>1</v>
      </c>
      <c r="G195" s="5">
        <f ca="1">COUNTBLANK(OFFSET(Demand!$I204,0,(COLUMN(F192)-1)*5,1,1))</f>
        <v>1</v>
      </c>
      <c r="H195" s="5">
        <f ca="1">COUNTBLANK(OFFSET(Demand!$I204,0,(COLUMN(G192)-1)*5,1,1))</f>
        <v>1</v>
      </c>
      <c r="I195" s="5">
        <f ca="1">COUNTBLANK(OFFSET(Demand!$I204,0,(COLUMN(H192)-1)*5,1,1))</f>
        <v>1</v>
      </c>
      <c r="J195" s="5">
        <f ca="1">COUNTBLANK(OFFSET(Demand!$I204,0,(COLUMN(I192)-1)*5,1,1))</f>
        <v>1</v>
      </c>
      <c r="K195" s="5">
        <f ca="1">COUNTBLANK(OFFSET(Demand!$I204,0,(COLUMN(J192)-1)*5,1,1))</f>
        <v>1</v>
      </c>
      <c r="N195" s="5">
        <f ca="1">SUM(OFFSET(Demand!$E204,0,(COLUMN(A192)-1)*5,1,3))*N$2</f>
        <v>0</v>
      </c>
      <c r="O195" s="5">
        <f ca="1">SUM(OFFSET(Demand!$E204,0,(COLUMN(B192)-1)*5,1,3))*O$2</f>
        <v>0</v>
      </c>
      <c r="P195" s="5">
        <f ca="1">SUM(OFFSET(Demand!$E204,0,(COLUMN(C192)-1)*5,1,3))*P$2</f>
        <v>0</v>
      </c>
      <c r="Q195" s="5">
        <f ca="1">SUM(OFFSET(Demand!$E204,0,(COLUMN(D192)-1)*5,1,3))*Q$2</f>
        <v>0</v>
      </c>
      <c r="R195" s="5">
        <f ca="1">SUM(OFFSET(Demand!$E204,0,(COLUMN(E192)-1)*5,1,3))*R$2</f>
        <v>0</v>
      </c>
      <c r="S195" s="5">
        <f ca="1">SUM(OFFSET(Demand!$E204,0,(COLUMN(F192)-1)*5,1,3))*S$2</f>
        <v>0</v>
      </c>
      <c r="T195" s="5">
        <f ca="1">SUM(OFFSET(Demand!$E204,0,(COLUMN(G192)-1)*5,1,3))*T$2</f>
        <v>0</v>
      </c>
      <c r="U195" s="5">
        <f ca="1">SUM(OFFSET(Demand!$E204,0,(COLUMN(H192)-1)*5,1,3))*U$2</f>
        <v>0</v>
      </c>
      <c r="V195" s="5">
        <f ca="1">SUM(OFFSET(Demand!$E204,0,(COLUMN(I192)-1)*5,1,3))*V$2</f>
        <v>0</v>
      </c>
      <c r="W195" s="5">
        <f ca="1">SUM(OFFSET(Demand!$E204,0,(COLUMN(J192)-1)*5,1,3))*W$2</f>
        <v>0</v>
      </c>
      <c r="X195" s="5">
        <f t="shared" ca="1" si="44"/>
        <v>0</v>
      </c>
      <c r="Y195">
        <f t="shared" ca="1" si="45"/>
        <v>0</v>
      </c>
      <c r="Z195" s="5">
        <f ca="1">SUM(OFFSET(Demand!$H204,0,(COLUMN(A192)-1)*5,1,1))*N$2</f>
        <v>0</v>
      </c>
      <c r="AA195" s="5">
        <f ca="1">SUM(OFFSET(Demand!$H204,0,(COLUMN(B192)-1)*5,1,1))*O$2</f>
        <v>0</v>
      </c>
      <c r="AB195" s="5">
        <f ca="1">SUM(OFFSET(Demand!$H204,0,(COLUMN(C192)-1)*5,1,1))*P$2</f>
        <v>0</v>
      </c>
      <c r="AC195" s="5">
        <f ca="1">SUM(OFFSET(Demand!$H204,0,(COLUMN(D192)-1)*5,1,1))*Q$2</f>
        <v>0</v>
      </c>
      <c r="AD195" s="5">
        <f ca="1">SUM(OFFSET(Demand!$H204,0,(COLUMN(E192)-1)*5,1,1))*R$2</f>
        <v>0</v>
      </c>
      <c r="AE195" s="5">
        <f ca="1">SUM(OFFSET(Demand!$H204,0,(COLUMN(F192)-1)*5,1,1))*S$2</f>
        <v>0</v>
      </c>
      <c r="AF195" s="5">
        <f ca="1">SUM(OFFSET(Demand!$H204,0,(COLUMN(G192)-1)*5,1,1))*T$2</f>
        <v>0</v>
      </c>
      <c r="AG195" s="5">
        <f ca="1">SUM(OFFSET(Demand!$H204,0,(COLUMN(H192)-1)*5,1,1))*U$2</f>
        <v>0</v>
      </c>
      <c r="AH195" s="5">
        <f ca="1">SUM(OFFSET(Demand!$H204,0,(COLUMN(I192)-1)*5,1,1))*V$2</f>
        <v>0</v>
      </c>
      <c r="AI195" s="5">
        <f ca="1">SUM(OFFSET(Demand!$H204,0,(COLUMN(J192)-1)*5,1,1))*W$2</f>
        <v>0</v>
      </c>
      <c r="AJ195" s="5">
        <f t="shared" ca="1" si="46"/>
        <v>0</v>
      </c>
      <c r="AL195" s="5">
        <f t="shared" ca="1" si="47"/>
        <v>0</v>
      </c>
      <c r="AM195" s="5">
        <f t="shared" ca="1" si="48"/>
        <v>0</v>
      </c>
      <c r="AN195" s="5" t="str">
        <f>IF(Demand!BE204="Yes","Yes","")</f>
        <v/>
      </c>
      <c r="AP195" s="36" t="str">
        <f ca="1">Demand!B204</f>
        <v xml:space="preserve"> </v>
      </c>
      <c r="AQ195" t="str">
        <f ca="1">IF(TEXT(Demand!D204,"MMM")&lt;&gt;TEXT(Demand!D203,"MMM"),TEXT(Demand!D204,"MMM"),"")</f>
        <v/>
      </c>
      <c r="AT195" s="5">
        <f t="shared" ca="1" si="49"/>
        <v>0</v>
      </c>
      <c r="BQ195">
        <f ca="1">IF($AN195="",OFFSET(Demand!$A$13,ROW(A192)-1,4+((QUOTIENT(COLUMN(BQ$2)-69,3))*5)+MOD(COLUMN(BQ$2),3),1,1),"")</f>
        <v>0</v>
      </c>
      <c r="BR195">
        <f ca="1">IF($AN195="",OFFSET(Demand!$A$13,ROW(B192)-1,4+((QUOTIENT(COLUMN(BR$2)-69,3))*5)+MOD(COLUMN(BR$2),3),1,1),"")</f>
        <v>0</v>
      </c>
      <c r="BS195">
        <f ca="1">IF($AN195="",OFFSET(Demand!$A$13,ROW(C192)-1,4+((QUOTIENT(COLUMN(BS$2)-69,3))*5)+MOD(COLUMN(BS$2),3),1,1),"")</f>
        <v>0</v>
      </c>
      <c r="BT195">
        <f ca="1">IF($AN195="",OFFSET(Demand!$A$13,ROW(D192)-1,4+((QUOTIENT(COLUMN(BT$2)-69,3))*5)+MOD(COLUMN(BT$2),3),1,1),"")</f>
        <v>0</v>
      </c>
      <c r="BU195">
        <f ca="1">IF($AN195="",OFFSET(Demand!$A$13,ROW(E192)-1,4+((QUOTIENT(COLUMN(BU$2)-69,3))*5)+MOD(COLUMN(BU$2),3),1,1),"")</f>
        <v>0</v>
      </c>
      <c r="BV195">
        <f ca="1">IF($AN195="",OFFSET(Demand!$A$13,ROW(F192)-1,4+((QUOTIENT(COLUMN(BV$2)-69,3))*5)+MOD(COLUMN(BV$2),3),1,1),"")</f>
        <v>0</v>
      </c>
      <c r="BW195">
        <f ca="1">IF($AN195="",OFFSET(Demand!$A$13,ROW(G192)-1,4+((QUOTIENT(COLUMN(BW$2)-69,3))*5)+MOD(COLUMN(BW$2),3),1,1),"")</f>
        <v>0</v>
      </c>
      <c r="BX195">
        <f ca="1">IF($AN195="",OFFSET(Demand!$A$13,ROW(H192)-1,4+((QUOTIENT(COLUMN(BX$2)-69,3))*5)+MOD(COLUMN(BX$2),3),1,1),"")</f>
        <v>0</v>
      </c>
      <c r="BY195">
        <f ca="1">IF($AN195="",OFFSET(Demand!$A$13,ROW(I192)-1,4+((QUOTIENT(COLUMN(BY$2)-69,3))*5)+MOD(COLUMN(BY$2),3),1,1),"")</f>
        <v>0</v>
      </c>
      <c r="BZ195">
        <f ca="1">IF($AN195="",OFFSET(Demand!$A$13,ROW(J192)-1,4+((QUOTIENT(COLUMN(BZ$2)-69,3))*5)+MOD(COLUMN(BZ$2),3),1,1),"")</f>
        <v>0</v>
      </c>
      <c r="CA195">
        <f ca="1">IF($AN195="",OFFSET(Demand!$A$13,ROW(K192)-1,4+((QUOTIENT(COLUMN(CA$2)-69,3))*5)+MOD(COLUMN(CA$2),3),1,1),"")</f>
        <v>0</v>
      </c>
      <c r="CB195">
        <f ca="1">IF($AN195="",OFFSET(Demand!$A$13,ROW(L192)-1,4+((QUOTIENT(COLUMN(CB$2)-69,3))*5)+MOD(COLUMN(CB$2),3),1,1),"")</f>
        <v>0</v>
      </c>
      <c r="CC195">
        <f ca="1">IF($AN195="",OFFSET(Demand!$A$13,ROW(M192)-1,4+((QUOTIENT(COLUMN(CC$2)-69,3))*5)+MOD(COLUMN(CC$2),3),1,1),"")</f>
        <v>0</v>
      </c>
      <c r="CD195">
        <f ca="1">IF($AN195="",OFFSET(Demand!$A$13,ROW(N192)-1,4+((QUOTIENT(COLUMN(CD$2)-69,3))*5)+MOD(COLUMN(CD$2),3),1,1),"")</f>
        <v>0</v>
      </c>
      <c r="CE195">
        <f ca="1">IF($AN195="",OFFSET(Demand!$A$13,ROW(O192)-1,4+((QUOTIENT(COLUMN(CE$2)-69,3))*5)+MOD(COLUMN(CE$2),3),1,1),"")</f>
        <v>0</v>
      </c>
      <c r="CF195">
        <f ca="1">IF($AN195="",OFFSET(Demand!$A$13,ROW(P192)-1,4+((QUOTIENT(COLUMN(CF$2)-69,3))*5)+MOD(COLUMN(CF$2),3),1,1),"")</f>
        <v>0</v>
      </c>
      <c r="CG195">
        <f ca="1">IF($AN195="",OFFSET(Demand!$A$13,ROW(Q192)-1,4+((QUOTIENT(COLUMN(CG$2)-69,3))*5)+MOD(COLUMN(CG$2),3),1,1),"")</f>
        <v>0</v>
      </c>
      <c r="CH195">
        <f ca="1">IF($AN195="",OFFSET(Demand!$A$13,ROW(R192)-1,4+((QUOTIENT(COLUMN(CH$2)-69,3))*5)+MOD(COLUMN(CH$2),3),1,1),"")</f>
        <v>0</v>
      </c>
      <c r="CI195">
        <f ca="1">IF($AN195="",OFFSET(Demand!$A$13,ROW(S192)-1,4+((QUOTIENT(COLUMN(CI$2)-69,3))*5)+MOD(COLUMN(CI$2),3),1,1),"")</f>
        <v>0</v>
      </c>
      <c r="CJ195">
        <f ca="1">IF($AN195="",OFFSET(Demand!$A$13,ROW(T192)-1,4+((QUOTIENT(COLUMN(CJ$2)-69,3))*5)+MOD(COLUMN(CJ$2),3),1,1),"")</f>
        <v>0</v>
      </c>
      <c r="CK195">
        <f ca="1">IF($AN195="",OFFSET(Demand!$A$13,ROW(U192)-1,4+((QUOTIENT(COLUMN(CK$2)-69,3))*5)+MOD(COLUMN(CK$2),3),1,1),"")</f>
        <v>0</v>
      </c>
      <c r="CL195">
        <f ca="1">IF($AN195="",OFFSET(Demand!$A$13,ROW(V192)-1,4+((QUOTIENT(COLUMN(CL$2)-69,3))*5)+MOD(COLUMN(CL$2),3),1,1),"")</f>
        <v>0</v>
      </c>
      <c r="CM195">
        <f ca="1">IF($AN195="",OFFSET(Demand!$A$13,ROW(W192)-1,4+((QUOTIENT(COLUMN(CM$2)-69,3))*5)+MOD(COLUMN(CM$2),3),1,1),"")</f>
        <v>0</v>
      </c>
      <c r="CN195">
        <f ca="1">IF($AN195="",OFFSET(Demand!$A$13,ROW(X192)-1,4+((QUOTIENT(COLUMN(CN$2)-69,3))*5)+MOD(COLUMN(CN$2),3),1,1),"")</f>
        <v>0</v>
      </c>
      <c r="CO195">
        <f ca="1">IF($AN195="",OFFSET(Demand!$A$13,ROW(Y192)-1,4+((QUOTIENT(COLUMN(CO$2)-69,3))*5)+MOD(COLUMN(CO$2),3),1,1),"")</f>
        <v>0</v>
      </c>
      <c r="CP195">
        <f ca="1">IF($AN195="",OFFSET(Demand!$A$13,ROW(Z192)-1,4+((QUOTIENT(COLUMN(CP$2)-69,3))*5)+MOD(COLUMN(CP$2),3),1,1),"")</f>
        <v>0</v>
      </c>
      <c r="CQ195">
        <f ca="1">IF($AN195="",OFFSET(Demand!$A$13,ROW(AA192)-1,4+((QUOTIENT(COLUMN(CQ$2)-69,3))*5)+MOD(COLUMN(CQ$2),3),1,1),"")</f>
        <v>0</v>
      </c>
      <c r="CR195">
        <f ca="1">IF($AN195="",OFFSET(Demand!$A$13,ROW(AB192)-1,4+((QUOTIENT(COLUMN(CR$2)-69,3))*5)+MOD(COLUMN(CR$2),3),1,1),"")</f>
        <v>0</v>
      </c>
      <c r="CS195">
        <f ca="1">IF($AN195="",OFFSET(Demand!$A$13,ROW(AC192)-1,4+((QUOTIENT(COLUMN(CS$2)-69,3))*5)+MOD(COLUMN(CS$2),3),1,1),"")</f>
        <v>0</v>
      </c>
      <c r="CT195">
        <f ca="1">IF($AN195="",OFFSET(Demand!$A$13,ROW(AD192)-1,4+((QUOTIENT(COLUMN(CT$2)-69,3))*5)+MOD(COLUMN(CT$2),3),1,1),"")</f>
        <v>0</v>
      </c>
      <c r="CW195" s="5">
        <f ca="1">SUM(OFFSET(Demand!$H$43,ROW(A192)-1,(COLUMN(A192)-1)*5,1,1))*N$2</f>
        <v>0</v>
      </c>
      <c r="CX195" s="5">
        <f ca="1">SUM(OFFSET(Demand!$H$43,ROW(B192)-1,(COLUMN(B192)-1)*5,1,1))*O$2</f>
        <v>0</v>
      </c>
      <c r="CY195" s="5">
        <f ca="1">SUM(OFFSET(Demand!$H$43,ROW(C192)-1,(COLUMN(C192)-1)*5,1,1))*P$2</f>
        <v>0</v>
      </c>
      <c r="CZ195" s="5">
        <f ca="1">SUM(OFFSET(Demand!$H$43,ROW(D192)-1,(COLUMN(D192)-1)*5,1,1))*Q$2</f>
        <v>0</v>
      </c>
      <c r="DA195" s="5">
        <f ca="1">SUM(OFFSET(Demand!$H$43,ROW(E192)-1,(COLUMN(E192)-1)*5,1,1))*R$2</f>
        <v>0</v>
      </c>
      <c r="DB195" s="5">
        <f ca="1">SUM(OFFSET(Demand!$H$43,ROW(F192)-1,(COLUMN(F192)-1)*5,1,1))*S$2</f>
        <v>0</v>
      </c>
      <c r="DC195" s="5">
        <f ca="1">SUM(OFFSET(Demand!$H$43,ROW(G192)-1,(COLUMN(G192)-1)*5,1,1))*T$2</f>
        <v>0</v>
      </c>
      <c r="DD195" s="5">
        <f ca="1">SUM(OFFSET(Demand!$H$43,ROW(H192)-1,(COLUMN(H192)-1)*5,1,1))*U$2</f>
        <v>0</v>
      </c>
      <c r="DE195" s="5">
        <f ca="1">SUM(OFFSET(Demand!$H$43,ROW(I192)-1,(COLUMN(I192)-1)*5,1,1))*V$2</f>
        <v>0</v>
      </c>
      <c r="DF195" s="5">
        <f ca="1">SUM(OFFSET(Demand!$H$43,ROW(J192)-1,(COLUMN(J192)-1)*5,1,1))*W$2</f>
        <v>0</v>
      </c>
      <c r="DG195" s="5">
        <f ca="1">IF(OR(AN195&lt;&gt;"",AND('Demand adjustments for Covid'!$F$9="Yes",'Demand adjustments for Covid'!$F$20="Yes")),"",SUM(CW195:DF195))</f>
        <v>0</v>
      </c>
    </row>
    <row r="196" spans="1:111" x14ac:dyDescent="0.25">
      <c r="A196" s="5">
        <f t="shared" ca="1" si="50"/>
        <v>1</v>
      </c>
      <c r="B196" s="5">
        <f ca="1">COUNTBLANK(OFFSET(Demand!$I205,0,(COLUMN(A193)-1)*5,1,1))</f>
        <v>1</v>
      </c>
      <c r="C196" s="5">
        <f ca="1">COUNTBLANK(OFFSET(Demand!$I205,0,(COLUMN(B193)-1)*5,1,1))</f>
        <v>1</v>
      </c>
      <c r="D196" s="5">
        <f ca="1">COUNTBLANK(OFFSET(Demand!$I205,0,(COLUMN(C193)-1)*5,1,1))</f>
        <v>1</v>
      </c>
      <c r="E196" s="5">
        <f ca="1">COUNTBLANK(OFFSET(Demand!$I205,0,(COLUMN(D193)-1)*5,1,1))</f>
        <v>1</v>
      </c>
      <c r="F196" s="5">
        <f ca="1">COUNTBLANK(OFFSET(Demand!$I205,0,(COLUMN(E193)-1)*5,1,1))</f>
        <v>1</v>
      </c>
      <c r="G196" s="5">
        <f ca="1">COUNTBLANK(OFFSET(Demand!$I205,0,(COLUMN(F193)-1)*5,1,1))</f>
        <v>1</v>
      </c>
      <c r="H196" s="5">
        <f ca="1">COUNTBLANK(OFFSET(Demand!$I205,0,(COLUMN(G193)-1)*5,1,1))</f>
        <v>1</v>
      </c>
      <c r="I196" s="5">
        <f ca="1">COUNTBLANK(OFFSET(Demand!$I205,0,(COLUMN(H193)-1)*5,1,1))</f>
        <v>1</v>
      </c>
      <c r="J196" s="5">
        <f ca="1">COUNTBLANK(OFFSET(Demand!$I205,0,(COLUMN(I193)-1)*5,1,1))</f>
        <v>1</v>
      </c>
      <c r="K196" s="5">
        <f ca="1">COUNTBLANK(OFFSET(Demand!$I205,0,(COLUMN(J193)-1)*5,1,1))</f>
        <v>1</v>
      </c>
      <c r="N196" s="5">
        <f ca="1">SUM(OFFSET(Demand!$E205,0,(COLUMN(A193)-1)*5,1,3))*N$2</f>
        <v>0</v>
      </c>
      <c r="O196" s="5">
        <f ca="1">SUM(OFFSET(Demand!$E205,0,(COLUMN(B193)-1)*5,1,3))*O$2</f>
        <v>0</v>
      </c>
      <c r="P196" s="5">
        <f ca="1">SUM(OFFSET(Demand!$E205,0,(COLUMN(C193)-1)*5,1,3))*P$2</f>
        <v>0</v>
      </c>
      <c r="Q196" s="5">
        <f ca="1">SUM(OFFSET(Demand!$E205,0,(COLUMN(D193)-1)*5,1,3))*Q$2</f>
        <v>0</v>
      </c>
      <c r="R196" s="5">
        <f ca="1">SUM(OFFSET(Demand!$E205,0,(COLUMN(E193)-1)*5,1,3))*R$2</f>
        <v>0</v>
      </c>
      <c r="S196" s="5">
        <f ca="1">SUM(OFFSET(Demand!$E205,0,(COLUMN(F193)-1)*5,1,3))*S$2</f>
        <v>0</v>
      </c>
      <c r="T196" s="5">
        <f ca="1">SUM(OFFSET(Demand!$E205,0,(COLUMN(G193)-1)*5,1,3))*T$2</f>
        <v>0</v>
      </c>
      <c r="U196" s="5">
        <f ca="1">SUM(OFFSET(Demand!$E205,0,(COLUMN(H193)-1)*5,1,3))*U$2</f>
        <v>0</v>
      </c>
      <c r="V196" s="5">
        <f ca="1">SUM(OFFSET(Demand!$E205,0,(COLUMN(I193)-1)*5,1,3))*V$2</f>
        <v>0</v>
      </c>
      <c r="W196" s="5">
        <f ca="1">SUM(OFFSET(Demand!$E205,0,(COLUMN(J193)-1)*5,1,3))*W$2</f>
        <v>0</v>
      </c>
      <c r="X196" s="5">
        <f t="shared" ref="X196:X263" ca="1" si="51">IF(AN196="",SUM(OFFSET(N196,0,0,1,Num_Modalities)),"")</f>
        <v>0</v>
      </c>
      <c r="Y196">
        <f t="shared" ref="Y196:Y263" ca="1" si="52">SUM(OFFSET(N196,0,0,1,Num_Modalities))</f>
        <v>0</v>
      </c>
      <c r="Z196" s="5">
        <f ca="1">SUM(OFFSET(Demand!$H205,0,(COLUMN(A193)-1)*5,1,1))*N$2</f>
        <v>0</v>
      </c>
      <c r="AA196" s="5">
        <f ca="1">SUM(OFFSET(Demand!$H205,0,(COLUMN(B193)-1)*5,1,1))*O$2</f>
        <v>0</v>
      </c>
      <c r="AB196" s="5">
        <f ca="1">SUM(OFFSET(Demand!$H205,0,(COLUMN(C193)-1)*5,1,1))*P$2</f>
        <v>0</v>
      </c>
      <c r="AC196" s="5">
        <f ca="1">SUM(OFFSET(Demand!$H205,0,(COLUMN(D193)-1)*5,1,1))*Q$2</f>
        <v>0</v>
      </c>
      <c r="AD196" s="5">
        <f ca="1">SUM(OFFSET(Demand!$H205,0,(COLUMN(E193)-1)*5,1,1))*R$2</f>
        <v>0</v>
      </c>
      <c r="AE196" s="5">
        <f ca="1">SUM(OFFSET(Demand!$H205,0,(COLUMN(F193)-1)*5,1,1))*S$2</f>
        <v>0</v>
      </c>
      <c r="AF196" s="5">
        <f ca="1">SUM(OFFSET(Demand!$H205,0,(COLUMN(G193)-1)*5,1,1))*T$2</f>
        <v>0</v>
      </c>
      <c r="AG196" s="5">
        <f ca="1">SUM(OFFSET(Demand!$H205,0,(COLUMN(H193)-1)*5,1,1))*U$2</f>
        <v>0</v>
      </c>
      <c r="AH196" s="5">
        <f ca="1">SUM(OFFSET(Demand!$H205,0,(COLUMN(I193)-1)*5,1,1))*V$2</f>
        <v>0</v>
      </c>
      <c r="AI196" s="5">
        <f ca="1">SUM(OFFSET(Demand!$H205,0,(COLUMN(J193)-1)*5,1,1))*W$2</f>
        <v>0</v>
      </c>
      <c r="AJ196" s="5">
        <f t="shared" ref="AJ196:AJ263" ca="1" si="53">SUM(OFFSET(Z196,0,0,1,Num_Modalities))</f>
        <v>0</v>
      </c>
      <c r="AL196" s="5">
        <f t="shared" ca="1" si="47"/>
        <v>0</v>
      </c>
      <c r="AM196" s="5">
        <f t="shared" ca="1" si="48"/>
        <v>0</v>
      </c>
      <c r="AN196" s="5" t="str">
        <f>IF(Demand!BE205="Yes","Yes","")</f>
        <v/>
      </c>
      <c r="AP196" s="36" t="str">
        <f ca="1">Demand!B205</f>
        <v xml:space="preserve"> </v>
      </c>
      <c r="AQ196" t="str">
        <f ca="1">IF(TEXT(Demand!D205,"MMM")&lt;&gt;TEXT(Demand!D204,"MMM"),TEXT(Demand!D205,"MMM"),"")</f>
        <v/>
      </c>
      <c r="AT196" s="5">
        <f t="shared" ca="1" si="49"/>
        <v>0</v>
      </c>
      <c r="BQ196">
        <f ca="1">IF($AN196="",OFFSET(Demand!$A$13,ROW(A193)-1,4+((QUOTIENT(COLUMN(BQ$2)-69,3))*5)+MOD(COLUMN(BQ$2),3),1,1),"")</f>
        <v>0</v>
      </c>
      <c r="BR196">
        <f ca="1">IF($AN196="",OFFSET(Demand!$A$13,ROW(B193)-1,4+((QUOTIENT(COLUMN(BR$2)-69,3))*5)+MOD(COLUMN(BR$2),3),1,1),"")</f>
        <v>0</v>
      </c>
      <c r="BS196">
        <f ca="1">IF($AN196="",OFFSET(Demand!$A$13,ROW(C193)-1,4+((QUOTIENT(COLUMN(BS$2)-69,3))*5)+MOD(COLUMN(BS$2),3),1,1),"")</f>
        <v>0</v>
      </c>
      <c r="BT196">
        <f ca="1">IF($AN196="",OFFSET(Demand!$A$13,ROW(D193)-1,4+((QUOTIENT(COLUMN(BT$2)-69,3))*5)+MOD(COLUMN(BT$2),3),1,1),"")</f>
        <v>0</v>
      </c>
      <c r="BU196">
        <f ca="1">IF($AN196="",OFFSET(Demand!$A$13,ROW(E193)-1,4+((QUOTIENT(COLUMN(BU$2)-69,3))*5)+MOD(COLUMN(BU$2),3),1,1),"")</f>
        <v>0</v>
      </c>
      <c r="BV196">
        <f ca="1">IF($AN196="",OFFSET(Demand!$A$13,ROW(F193)-1,4+((QUOTIENT(COLUMN(BV$2)-69,3))*5)+MOD(COLUMN(BV$2),3),1,1),"")</f>
        <v>0</v>
      </c>
      <c r="BW196">
        <f ca="1">IF($AN196="",OFFSET(Demand!$A$13,ROW(G193)-1,4+((QUOTIENT(COLUMN(BW$2)-69,3))*5)+MOD(COLUMN(BW$2),3),1,1),"")</f>
        <v>0</v>
      </c>
      <c r="BX196">
        <f ca="1">IF($AN196="",OFFSET(Demand!$A$13,ROW(H193)-1,4+((QUOTIENT(COLUMN(BX$2)-69,3))*5)+MOD(COLUMN(BX$2),3),1,1),"")</f>
        <v>0</v>
      </c>
      <c r="BY196">
        <f ca="1">IF($AN196="",OFFSET(Demand!$A$13,ROW(I193)-1,4+((QUOTIENT(COLUMN(BY$2)-69,3))*5)+MOD(COLUMN(BY$2),3),1,1),"")</f>
        <v>0</v>
      </c>
      <c r="BZ196">
        <f ca="1">IF($AN196="",OFFSET(Demand!$A$13,ROW(J193)-1,4+((QUOTIENT(COLUMN(BZ$2)-69,3))*5)+MOD(COLUMN(BZ$2),3),1,1),"")</f>
        <v>0</v>
      </c>
      <c r="CA196">
        <f ca="1">IF($AN196="",OFFSET(Demand!$A$13,ROW(K193)-1,4+((QUOTIENT(COLUMN(CA$2)-69,3))*5)+MOD(COLUMN(CA$2),3),1,1),"")</f>
        <v>0</v>
      </c>
      <c r="CB196">
        <f ca="1">IF($AN196="",OFFSET(Demand!$A$13,ROW(L193)-1,4+((QUOTIENT(COLUMN(CB$2)-69,3))*5)+MOD(COLUMN(CB$2),3),1,1),"")</f>
        <v>0</v>
      </c>
      <c r="CC196">
        <f ca="1">IF($AN196="",OFFSET(Demand!$A$13,ROW(M193)-1,4+((QUOTIENT(COLUMN(CC$2)-69,3))*5)+MOD(COLUMN(CC$2),3),1,1),"")</f>
        <v>0</v>
      </c>
      <c r="CD196">
        <f ca="1">IF($AN196="",OFFSET(Demand!$A$13,ROW(N193)-1,4+((QUOTIENT(COLUMN(CD$2)-69,3))*5)+MOD(COLUMN(CD$2),3),1,1),"")</f>
        <v>0</v>
      </c>
      <c r="CE196">
        <f ca="1">IF($AN196="",OFFSET(Demand!$A$13,ROW(O193)-1,4+((QUOTIENT(COLUMN(CE$2)-69,3))*5)+MOD(COLUMN(CE$2),3),1,1),"")</f>
        <v>0</v>
      </c>
      <c r="CF196">
        <f ca="1">IF($AN196="",OFFSET(Demand!$A$13,ROW(P193)-1,4+((QUOTIENT(COLUMN(CF$2)-69,3))*5)+MOD(COLUMN(CF$2),3),1,1),"")</f>
        <v>0</v>
      </c>
      <c r="CG196">
        <f ca="1">IF($AN196="",OFFSET(Demand!$A$13,ROW(Q193)-1,4+((QUOTIENT(COLUMN(CG$2)-69,3))*5)+MOD(COLUMN(CG$2),3),1,1),"")</f>
        <v>0</v>
      </c>
      <c r="CH196">
        <f ca="1">IF($AN196="",OFFSET(Demand!$A$13,ROW(R193)-1,4+((QUOTIENT(COLUMN(CH$2)-69,3))*5)+MOD(COLUMN(CH$2),3),1,1),"")</f>
        <v>0</v>
      </c>
      <c r="CI196">
        <f ca="1">IF($AN196="",OFFSET(Demand!$A$13,ROW(S193)-1,4+((QUOTIENT(COLUMN(CI$2)-69,3))*5)+MOD(COLUMN(CI$2),3),1,1),"")</f>
        <v>0</v>
      </c>
      <c r="CJ196">
        <f ca="1">IF($AN196="",OFFSET(Demand!$A$13,ROW(T193)-1,4+((QUOTIENT(COLUMN(CJ$2)-69,3))*5)+MOD(COLUMN(CJ$2),3),1,1),"")</f>
        <v>0</v>
      </c>
      <c r="CK196">
        <f ca="1">IF($AN196="",OFFSET(Demand!$A$13,ROW(U193)-1,4+((QUOTIENT(COLUMN(CK$2)-69,3))*5)+MOD(COLUMN(CK$2),3),1,1),"")</f>
        <v>0</v>
      </c>
      <c r="CL196">
        <f ca="1">IF($AN196="",OFFSET(Demand!$A$13,ROW(V193)-1,4+((QUOTIENT(COLUMN(CL$2)-69,3))*5)+MOD(COLUMN(CL$2),3),1,1),"")</f>
        <v>0</v>
      </c>
      <c r="CM196">
        <f ca="1">IF($AN196="",OFFSET(Demand!$A$13,ROW(W193)-1,4+((QUOTIENT(COLUMN(CM$2)-69,3))*5)+MOD(COLUMN(CM$2),3),1,1),"")</f>
        <v>0</v>
      </c>
      <c r="CN196">
        <f ca="1">IF($AN196="",OFFSET(Demand!$A$13,ROW(X193)-1,4+((QUOTIENT(COLUMN(CN$2)-69,3))*5)+MOD(COLUMN(CN$2),3),1,1),"")</f>
        <v>0</v>
      </c>
      <c r="CO196">
        <f ca="1">IF($AN196="",OFFSET(Demand!$A$13,ROW(Y193)-1,4+((QUOTIENT(COLUMN(CO$2)-69,3))*5)+MOD(COLUMN(CO$2),3),1,1),"")</f>
        <v>0</v>
      </c>
      <c r="CP196">
        <f ca="1">IF($AN196="",OFFSET(Demand!$A$13,ROW(Z193)-1,4+((QUOTIENT(COLUMN(CP$2)-69,3))*5)+MOD(COLUMN(CP$2),3),1,1),"")</f>
        <v>0</v>
      </c>
      <c r="CQ196">
        <f ca="1">IF($AN196="",OFFSET(Demand!$A$13,ROW(AA193)-1,4+((QUOTIENT(COLUMN(CQ$2)-69,3))*5)+MOD(COLUMN(CQ$2),3),1,1),"")</f>
        <v>0</v>
      </c>
      <c r="CR196">
        <f ca="1">IF($AN196="",OFFSET(Demand!$A$13,ROW(AB193)-1,4+((QUOTIENT(COLUMN(CR$2)-69,3))*5)+MOD(COLUMN(CR$2),3),1,1),"")</f>
        <v>0</v>
      </c>
      <c r="CS196">
        <f ca="1">IF($AN196="",OFFSET(Demand!$A$13,ROW(AC193)-1,4+((QUOTIENT(COLUMN(CS$2)-69,3))*5)+MOD(COLUMN(CS$2),3),1,1),"")</f>
        <v>0</v>
      </c>
      <c r="CT196">
        <f ca="1">IF($AN196="",OFFSET(Demand!$A$13,ROW(AD193)-1,4+((QUOTIENT(COLUMN(CT$2)-69,3))*5)+MOD(COLUMN(CT$2),3),1,1),"")</f>
        <v>0</v>
      </c>
      <c r="CW196" s="5">
        <f ca="1">SUM(OFFSET(Demand!$H$43,ROW(A193)-1,(COLUMN(A193)-1)*5,1,1))*N$2</f>
        <v>0</v>
      </c>
      <c r="CX196" s="5">
        <f ca="1">SUM(OFFSET(Demand!$H$43,ROW(B193)-1,(COLUMN(B193)-1)*5,1,1))*O$2</f>
        <v>0</v>
      </c>
      <c r="CY196" s="5">
        <f ca="1">SUM(OFFSET(Demand!$H$43,ROW(C193)-1,(COLUMN(C193)-1)*5,1,1))*P$2</f>
        <v>0</v>
      </c>
      <c r="CZ196" s="5">
        <f ca="1">SUM(OFFSET(Demand!$H$43,ROW(D193)-1,(COLUMN(D193)-1)*5,1,1))*Q$2</f>
        <v>0</v>
      </c>
      <c r="DA196" s="5">
        <f ca="1">SUM(OFFSET(Demand!$H$43,ROW(E193)-1,(COLUMN(E193)-1)*5,1,1))*R$2</f>
        <v>0</v>
      </c>
      <c r="DB196" s="5">
        <f ca="1">SUM(OFFSET(Demand!$H$43,ROW(F193)-1,(COLUMN(F193)-1)*5,1,1))*S$2</f>
        <v>0</v>
      </c>
      <c r="DC196" s="5">
        <f ca="1">SUM(OFFSET(Demand!$H$43,ROW(G193)-1,(COLUMN(G193)-1)*5,1,1))*T$2</f>
        <v>0</v>
      </c>
      <c r="DD196" s="5">
        <f ca="1">SUM(OFFSET(Demand!$H$43,ROW(H193)-1,(COLUMN(H193)-1)*5,1,1))*U$2</f>
        <v>0</v>
      </c>
      <c r="DE196" s="5">
        <f ca="1">SUM(OFFSET(Demand!$H$43,ROW(I193)-1,(COLUMN(I193)-1)*5,1,1))*V$2</f>
        <v>0</v>
      </c>
      <c r="DF196" s="5">
        <f ca="1">SUM(OFFSET(Demand!$H$43,ROW(J193)-1,(COLUMN(J193)-1)*5,1,1))*W$2</f>
        <v>0</v>
      </c>
      <c r="DG196" s="5">
        <f ca="1">IF(OR(AN196&lt;&gt;"",AND('Demand adjustments for Covid'!$F$9="Yes",'Demand adjustments for Covid'!$F$20="Yes")),"",SUM(CW196:DF196))</f>
        <v>0</v>
      </c>
    </row>
    <row r="197" spans="1:111" x14ac:dyDescent="0.25">
      <c r="A197" s="5">
        <f t="shared" ca="1" si="50"/>
        <v>1</v>
      </c>
      <c r="B197" s="5">
        <f ca="1">COUNTBLANK(OFFSET(Demand!$I206,0,(COLUMN(A194)-1)*5,1,1))</f>
        <v>1</v>
      </c>
      <c r="C197" s="5">
        <f ca="1">COUNTBLANK(OFFSET(Demand!$I206,0,(COLUMN(B194)-1)*5,1,1))</f>
        <v>1</v>
      </c>
      <c r="D197" s="5">
        <f ca="1">COUNTBLANK(OFFSET(Demand!$I206,0,(COLUMN(C194)-1)*5,1,1))</f>
        <v>1</v>
      </c>
      <c r="E197" s="5">
        <f ca="1">COUNTBLANK(OFFSET(Demand!$I206,0,(COLUMN(D194)-1)*5,1,1))</f>
        <v>1</v>
      </c>
      <c r="F197" s="5">
        <f ca="1">COUNTBLANK(OFFSET(Demand!$I206,0,(COLUMN(E194)-1)*5,1,1))</f>
        <v>1</v>
      </c>
      <c r="G197" s="5">
        <f ca="1">COUNTBLANK(OFFSET(Demand!$I206,0,(COLUMN(F194)-1)*5,1,1))</f>
        <v>1</v>
      </c>
      <c r="H197" s="5">
        <f ca="1">COUNTBLANK(OFFSET(Demand!$I206,0,(COLUMN(G194)-1)*5,1,1))</f>
        <v>1</v>
      </c>
      <c r="I197" s="5">
        <f ca="1">COUNTBLANK(OFFSET(Demand!$I206,0,(COLUMN(H194)-1)*5,1,1))</f>
        <v>1</v>
      </c>
      <c r="J197" s="5">
        <f ca="1">COUNTBLANK(OFFSET(Demand!$I206,0,(COLUMN(I194)-1)*5,1,1))</f>
        <v>1</v>
      </c>
      <c r="K197" s="5">
        <f ca="1">COUNTBLANK(OFFSET(Demand!$I206,0,(COLUMN(J194)-1)*5,1,1))</f>
        <v>1</v>
      </c>
      <c r="N197" s="5">
        <f ca="1">SUM(OFFSET(Demand!$E206,0,(COLUMN(A194)-1)*5,1,3))*N$2</f>
        <v>0</v>
      </c>
      <c r="O197" s="5">
        <f ca="1">SUM(OFFSET(Demand!$E206,0,(COLUMN(B194)-1)*5,1,3))*O$2</f>
        <v>0</v>
      </c>
      <c r="P197" s="5">
        <f ca="1">SUM(OFFSET(Demand!$E206,0,(COLUMN(C194)-1)*5,1,3))*P$2</f>
        <v>0</v>
      </c>
      <c r="Q197" s="5">
        <f ca="1">SUM(OFFSET(Demand!$E206,0,(COLUMN(D194)-1)*5,1,3))*Q$2</f>
        <v>0</v>
      </c>
      <c r="R197" s="5">
        <f ca="1">SUM(OFFSET(Demand!$E206,0,(COLUMN(E194)-1)*5,1,3))*R$2</f>
        <v>0</v>
      </c>
      <c r="S197" s="5">
        <f ca="1">SUM(OFFSET(Demand!$E206,0,(COLUMN(F194)-1)*5,1,3))*S$2</f>
        <v>0</v>
      </c>
      <c r="T197" s="5">
        <f ca="1">SUM(OFFSET(Demand!$E206,0,(COLUMN(G194)-1)*5,1,3))*T$2</f>
        <v>0</v>
      </c>
      <c r="U197" s="5">
        <f ca="1">SUM(OFFSET(Demand!$E206,0,(COLUMN(H194)-1)*5,1,3))*U$2</f>
        <v>0</v>
      </c>
      <c r="V197" s="5">
        <f ca="1">SUM(OFFSET(Demand!$E206,0,(COLUMN(I194)-1)*5,1,3))*V$2</f>
        <v>0</v>
      </c>
      <c r="W197" s="5">
        <f ca="1">SUM(OFFSET(Demand!$E206,0,(COLUMN(J194)-1)*5,1,3))*W$2</f>
        <v>0</v>
      </c>
      <c r="X197" s="5">
        <f t="shared" ca="1" si="51"/>
        <v>0</v>
      </c>
      <c r="Y197">
        <f t="shared" ca="1" si="52"/>
        <v>0</v>
      </c>
      <c r="Z197" s="5">
        <f ca="1">SUM(OFFSET(Demand!$H206,0,(COLUMN(A194)-1)*5,1,1))*N$2</f>
        <v>0</v>
      </c>
      <c r="AA197" s="5">
        <f ca="1">SUM(OFFSET(Demand!$H206,0,(COLUMN(B194)-1)*5,1,1))*O$2</f>
        <v>0</v>
      </c>
      <c r="AB197" s="5">
        <f ca="1">SUM(OFFSET(Demand!$H206,0,(COLUMN(C194)-1)*5,1,1))*P$2</f>
        <v>0</v>
      </c>
      <c r="AC197" s="5">
        <f ca="1">SUM(OFFSET(Demand!$H206,0,(COLUMN(D194)-1)*5,1,1))*Q$2</f>
        <v>0</v>
      </c>
      <c r="AD197" s="5">
        <f ca="1">SUM(OFFSET(Demand!$H206,0,(COLUMN(E194)-1)*5,1,1))*R$2</f>
        <v>0</v>
      </c>
      <c r="AE197" s="5">
        <f ca="1">SUM(OFFSET(Demand!$H206,0,(COLUMN(F194)-1)*5,1,1))*S$2</f>
        <v>0</v>
      </c>
      <c r="AF197" s="5">
        <f ca="1">SUM(OFFSET(Demand!$H206,0,(COLUMN(G194)-1)*5,1,1))*T$2</f>
        <v>0</v>
      </c>
      <c r="AG197" s="5">
        <f ca="1">SUM(OFFSET(Demand!$H206,0,(COLUMN(H194)-1)*5,1,1))*U$2</f>
        <v>0</v>
      </c>
      <c r="AH197" s="5">
        <f ca="1">SUM(OFFSET(Demand!$H206,0,(COLUMN(I194)-1)*5,1,1))*V$2</f>
        <v>0</v>
      </c>
      <c r="AI197" s="5">
        <f ca="1">SUM(OFFSET(Demand!$H206,0,(COLUMN(J194)-1)*5,1,1))*W$2</f>
        <v>0</v>
      </c>
      <c r="AJ197" s="5">
        <f t="shared" ca="1" si="53"/>
        <v>0</v>
      </c>
      <c r="AL197" s="5">
        <f t="shared" ref="AL197:AL260" ca="1" si="54">X197</f>
        <v>0</v>
      </c>
      <c r="AM197" s="5">
        <f t="shared" ref="AM197:AM260" ca="1" si="55">IF(AN197&lt;&gt;"","",AJ197)</f>
        <v>0</v>
      </c>
      <c r="AN197" s="5" t="str">
        <f>IF(Demand!BE206="Yes","Yes","")</f>
        <v/>
      </c>
      <c r="AP197" s="36" t="str">
        <f ca="1">Demand!B206</f>
        <v xml:space="preserve"> </v>
      </c>
      <c r="AQ197" t="str">
        <f ca="1">IF(TEXT(Demand!D206,"MMM")&lt;&gt;TEXT(Demand!D205,"MMM"),TEXT(Demand!D206,"MMM"),"")</f>
        <v/>
      </c>
      <c r="AT197" s="5">
        <f t="shared" ca="1" si="49"/>
        <v>0</v>
      </c>
      <c r="BQ197">
        <f ca="1">IF($AN197="",OFFSET(Demand!$A$13,ROW(A194)-1,4+((QUOTIENT(COLUMN(BQ$2)-69,3))*5)+MOD(COLUMN(BQ$2),3),1,1),"")</f>
        <v>0</v>
      </c>
      <c r="BR197">
        <f ca="1">IF($AN197="",OFFSET(Demand!$A$13,ROW(B194)-1,4+((QUOTIENT(COLUMN(BR$2)-69,3))*5)+MOD(COLUMN(BR$2),3),1,1),"")</f>
        <v>0</v>
      </c>
      <c r="BS197">
        <f ca="1">IF($AN197="",OFFSET(Demand!$A$13,ROW(C194)-1,4+((QUOTIENT(COLUMN(BS$2)-69,3))*5)+MOD(COLUMN(BS$2),3),1,1),"")</f>
        <v>0</v>
      </c>
      <c r="BT197">
        <f ca="1">IF($AN197="",OFFSET(Demand!$A$13,ROW(D194)-1,4+((QUOTIENT(COLUMN(BT$2)-69,3))*5)+MOD(COLUMN(BT$2),3),1,1),"")</f>
        <v>0</v>
      </c>
      <c r="BU197">
        <f ca="1">IF($AN197="",OFFSET(Demand!$A$13,ROW(E194)-1,4+((QUOTIENT(COLUMN(BU$2)-69,3))*5)+MOD(COLUMN(BU$2),3),1,1),"")</f>
        <v>0</v>
      </c>
      <c r="BV197">
        <f ca="1">IF($AN197="",OFFSET(Demand!$A$13,ROW(F194)-1,4+((QUOTIENT(COLUMN(BV$2)-69,3))*5)+MOD(COLUMN(BV$2),3),1,1),"")</f>
        <v>0</v>
      </c>
      <c r="BW197">
        <f ca="1">IF($AN197="",OFFSET(Demand!$A$13,ROW(G194)-1,4+((QUOTIENT(COLUMN(BW$2)-69,3))*5)+MOD(COLUMN(BW$2),3),1,1),"")</f>
        <v>0</v>
      </c>
      <c r="BX197">
        <f ca="1">IF($AN197="",OFFSET(Demand!$A$13,ROW(H194)-1,4+((QUOTIENT(COLUMN(BX$2)-69,3))*5)+MOD(COLUMN(BX$2),3),1,1),"")</f>
        <v>0</v>
      </c>
      <c r="BY197">
        <f ca="1">IF($AN197="",OFFSET(Demand!$A$13,ROW(I194)-1,4+((QUOTIENT(COLUMN(BY$2)-69,3))*5)+MOD(COLUMN(BY$2),3),1,1),"")</f>
        <v>0</v>
      </c>
      <c r="BZ197">
        <f ca="1">IF($AN197="",OFFSET(Demand!$A$13,ROW(J194)-1,4+((QUOTIENT(COLUMN(BZ$2)-69,3))*5)+MOD(COLUMN(BZ$2),3),1,1),"")</f>
        <v>0</v>
      </c>
      <c r="CA197">
        <f ca="1">IF($AN197="",OFFSET(Demand!$A$13,ROW(K194)-1,4+((QUOTIENT(COLUMN(CA$2)-69,3))*5)+MOD(COLUMN(CA$2),3),1,1),"")</f>
        <v>0</v>
      </c>
      <c r="CB197">
        <f ca="1">IF($AN197="",OFFSET(Demand!$A$13,ROW(L194)-1,4+((QUOTIENT(COLUMN(CB$2)-69,3))*5)+MOD(COLUMN(CB$2),3),1,1),"")</f>
        <v>0</v>
      </c>
      <c r="CC197">
        <f ca="1">IF($AN197="",OFFSET(Demand!$A$13,ROW(M194)-1,4+((QUOTIENT(COLUMN(CC$2)-69,3))*5)+MOD(COLUMN(CC$2),3),1,1),"")</f>
        <v>0</v>
      </c>
      <c r="CD197">
        <f ca="1">IF($AN197="",OFFSET(Demand!$A$13,ROW(N194)-1,4+((QUOTIENT(COLUMN(CD$2)-69,3))*5)+MOD(COLUMN(CD$2),3),1,1),"")</f>
        <v>0</v>
      </c>
      <c r="CE197">
        <f ca="1">IF($AN197="",OFFSET(Demand!$A$13,ROW(O194)-1,4+((QUOTIENT(COLUMN(CE$2)-69,3))*5)+MOD(COLUMN(CE$2),3),1,1),"")</f>
        <v>0</v>
      </c>
      <c r="CF197">
        <f ca="1">IF($AN197="",OFFSET(Demand!$A$13,ROW(P194)-1,4+((QUOTIENT(COLUMN(CF$2)-69,3))*5)+MOD(COLUMN(CF$2),3),1,1),"")</f>
        <v>0</v>
      </c>
      <c r="CG197">
        <f ca="1">IF($AN197="",OFFSET(Demand!$A$13,ROW(Q194)-1,4+((QUOTIENT(COLUMN(CG$2)-69,3))*5)+MOD(COLUMN(CG$2),3),1,1),"")</f>
        <v>0</v>
      </c>
      <c r="CH197">
        <f ca="1">IF($AN197="",OFFSET(Demand!$A$13,ROW(R194)-1,4+((QUOTIENT(COLUMN(CH$2)-69,3))*5)+MOD(COLUMN(CH$2),3),1,1),"")</f>
        <v>0</v>
      </c>
      <c r="CI197">
        <f ca="1">IF($AN197="",OFFSET(Demand!$A$13,ROW(S194)-1,4+((QUOTIENT(COLUMN(CI$2)-69,3))*5)+MOD(COLUMN(CI$2),3),1,1),"")</f>
        <v>0</v>
      </c>
      <c r="CJ197">
        <f ca="1">IF($AN197="",OFFSET(Demand!$A$13,ROW(T194)-1,4+((QUOTIENT(COLUMN(CJ$2)-69,3))*5)+MOD(COLUMN(CJ$2),3),1,1),"")</f>
        <v>0</v>
      </c>
      <c r="CK197">
        <f ca="1">IF($AN197="",OFFSET(Demand!$A$13,ROW(U194)-1,4+((QUOTIENT(COLUMN(CK$2)-69,3))*5)+MOD(COLUMN(CK$2),3),1,1),"")</f>
        <v>0</v>
      </c>
      <c r="CL197">
        <f ca="1">IF($AN197="",OFFSET(Demand!$A$13,ROW(V194)-1,4+((QUOTIENT(COLUMN(CL$2)-69,3))*5)+MOD(COLUMN(CL$2),3),1,1),"")</f>
        <v>0</v>
      </c>
      <c r="CM197">
        <f ca="1">IF($AN197="",OFFSET(Demand!$A$13,ROW(W194)-1,4+((QUOTIENT(COLUMN(CM$2)-69,3))*5)+MOD(COLUMN(CM$2),3),1,1),"")</f>
        <v>0</v>
      </c>
      <c r="CN197">
        <f ca="1">IF($AN197="",OFFSET(Demand!$A$13,ROW(X194)-1,4+((QUOTIENT(COLUMN(CN$2)-69,3))*5)+MOD(COLUMN(CN$2),3),1,1),"")</f>
        <v>0</v>
      </c>
      <c r="CO197">
        <f ca="1">IF($AN197="",OFFSET(Demand!$A$13,ROW(Y194)-1,4+((QUOTIENT(COLUMN(CO$2)-69,3))*5)+MOD(COLUMN(CO$2),3),1,1),"")</f>
        <v>0</v>
      </c>
      <c r="CP197">
        <f ca="1">IF($AN197="",OFFSET(Demand!$A$13,ROW(Z194)-1,4+((QUOTIENT(COLUMN(CP$2)-69,3))*5)+MOD(COLUMN(CP$2),3),1,1),"")</f>
        <v>0</v>
      </c>
      <c r="CQ197">
        <f ca="1">IF($AN197="",OFFSET(Demand!$A$13,ROW(AA194)-1,4+((QUOTIENT(COLUMN(CQ$2)-69,3))*5)+MOD(COLUMN(CQ$2),3),1,1),"")</f>
        <v>0</v>
      </c>
      <c r="CR197">
        <f ca="1">IF($AN197="",OFFSET(Demand!$A$13,ROW(AB194)-1,4+((QUOTIENT(COLUMN(CR$2)-69,3))*5)+MOD(COLUMN(CR$2),3),1,1),"")</f>
        <v>0</v>
      </c>
      <c r="CS197">
        <f ca="1">IF($AN197="",OFFSET(Demand!$A$13,ROW(AC194)-1,4+((QUOTIENT(COLUMN(CS$2)-69,3))*5)+MOD(COLUMN(CS$2),3),1,1),"")</f>
        <v>0</v>
      </c>
      <c r="CT197">
        <f ca="1">IF($AN197="",OFFSET(Demand!$A$13,ROW(AD194)-1,4+((QUOTIENT(COLUMN(CT$2)-69,3))*5)+MOD(COLUMN(CT$2),3),1,1),"")</f>
        <v>0</v>
      </c>
      <c r="CW197" s="5">
        <f ca="1">SUM(OFFSET(Demand!$H$43,ROW(A194)-1,(COLUMN(A194)-1)*5,1,1))*N$2</f>
        <v>0</v>
      </c>
      <c r="CX197" s="5">
        <f ca="1">SUM(OFFSET(Demand!$H$43,ROW(B194)-1,(COLUMN(B194)-1)*5,1,1))*O$2</f>
        <v>0</v>
      </c>
      <c r="CY197" s="5">
        <f ca="1">SUM(OFFSET(Demand!$H$43,ROW(C194)-1,(COLUMN(C194)-1)*5,1,1))*P$2</f>
        <v>0</v>
      </c>
      <c r="CZ197" s="5">
        <f ca="1">SUM(OFFSET(Demand!$H$43,ROW(D194)-1,(COLUMN(D194)-1)*5,1,1))*Q$2</f>
        <v>0</v>
      </c>
      <c r="DA197" s="5">
        <f ca="1">SUM(OFFSET(Demand!$H$43,ROW(E194)-1,(COLUMN(E194)-1)*5,1,1))*R$2</f>
        <v>0</v>
      </c>
      <c r="DB197" s="5">
        <f ca="1">SUM(OFFSET(Demand!$H$43,ROW(F194)-1,(COLUMN(F194)-1)*5,1,1))*S$2</f>
        <v>0</v>
      </c>
      <c r="DC197" s="5">
        <f ca="1">SUM(OFFSET(Demand!$H$43,ROW(G194)-1,(COLUMN(G194)-1)*5,1,1))*T$2</f>
        <v>0</v>
      </c>
      <c r="DD197" s="5">
        <f ca="1">SUM(OFFSET(Demand!$H$43,ROW(H194)-1,(COLUMN(H194)-1)*5,1,1))*U$2</f>
        <v>0</v>
      </c>
      <c r="DE197" s="5">
        <f ca="1">SUM(OFFSET(Demand!$H$43,ROW(I194)-1,(COLUMN(I194)-1)*5,1,1))*V$2</f>
        <v>0</v>
      </c>
      <c r="DF197" s="5">
        <f ca="1">SUM(OFFSET(Demand!$H$43,ROW(J194)-1,(COLUMN(J194)-1)*5,1,1))*W$2</f>
        <v>0</v>
      </c>
      <c r="DG197" s="5">
        <f ca="1">IF(OR(AN197&lt;&gt;"",AND('Demand adjustments for Covid'!$F$9="Yes",'Demand adjustments for Covid'!$F$20="Yes")),"",SUM(CW197:DF197))</f>
        <v>0</v>
      </c>
    </row>
    <row r="198" spans="1:111" x14ac:dyDescent="0.25">
      <c r="A198" s="5">
        <f t="shared" ca="1" si="50"/>
        <v>1</v>
      </c>
      <c r="B198" s="5">
        <f ca="1">COUNTBLANK(OFFSET(Demand!$I207,0,(COLUMN(A195)-1)*5,1,1))</f>
        <v>1</v>
      </c>
      <c r="C198" s="5">
        <f ca="1">COUNTBLANK(OFFSET(Demand!$I207,0,(COLUMN(B195)-1)*5,1,1))</f>
        <v>1</v>
      </c>
      <c r="D198" s="5">
        <f ca="1">COUNTBLANK(OFFSET(Demand!$I207,0,(COLUMN(C195)-1)*5,1,1))</f>
        <v>1</v>
      </c>
      <c r="E198" s="5">
        <f ca="1">COUNTBLANK(OFFSET(Demand!$I207,0,(COLUMN(D195)-1)*5,1,1))</f>
        <v>1</v>
      </c>
      <c r="F198" s="5">
        <f ca="1">COUNTBLANK(OFFSET(Demand!$I207,0,(COLUMN(E195)-1)*5,1,1))</f>
        <v>1</v>
      </c>
      <c r="G198" s="5">
        <f ca="1">COUNTBLANK(OFFSET(Demand!$I207,0,(COLUMN(F195)-1)*5,1,1))</f>
        <v>1</v>
      </c>
      <c r="H198" s="5">
        <f ca="1">COUNTBLANK(OFFSET(Demand!$I207,0,(COLUMN(G195)-1)*5,1,1))</f>
        <v>1</v>
      </c>
      <c r="I198" s="5">
        <f ca="1">COUNTBLANK(OFFSET(Demand!$I207,0,(COLUMN(H195)-1)*5,1,1))</f>
        <v>1</v>
      </c>
      <c r="J198" s="5">
        <f ca="1">COUNTBLANK(OFFSET(Demand!$I207,0,(COLUMN(I195)-1)*5,1,1))</f>
        <v>1</v>
      </c>
      <c r="K198" s="5">
        <f ca="1">COUNTBLANK(OFFSET(Demand!$I207,0,(COLUMN(J195)-1)*5,1,1))</f>
        <v>1</v>
      </c>
      <c r="N198" s="5">
        <f ca="1">SUM(OFFSET(Demand!$E207,0,(COLUMN(A195)-1)*5,1,3))*N$2</f>
        <v>0</v>
      </c>
      <c r="O198" s="5">
        <f ca="1">SUM(OFFSET(Demand!$E207,0,(COLUMN(B195)-1)*5,1,3))*O$2</f>
        <v>0</v>
      </c>
      <c r="P198" s="5">
        <f ca="1">SUM(OFFSET(Demand!$E207,0,(COLUMN(C195)-1)*5,1,3))*P$2</f>
        <v>0</v>
      </c>
      <c r="Q198" s="5">
        <f ca="1">SUM(OFFSET(Demand!$E207,0,(COLUMN(D195)-1)*5,1,3))*Q$2</f>
        <v>0</v>
      </c>
      <c r="R198" s="5">
        <f ca="1">SUM(OFFSET(Demand!$E207,0,(COLUMN(E195)-1)*5,1,3))*R$2</f>
        <v>0</v>
      </c>
      <c r="S198" s="5">
        <f ca="1">SUM(OFFSET(Demand!$E207,0,(COLUMN(F195)-1)*5,1,3))*S$2</f>
        <v>0</v>
      </c>
      <c r="T198" s="5">
        <f ca="1">SUM(OFFSET(Demand!$E207,0,(COLUMN(G195)-1)*5,1,3))*T$2</f>
        <v>0</v>
      </c>
      <c r="U198" s="5">
        <f ca="1">SUM(OFFSET(Demand!$E207,0,(COLUMN(H195)-1)*5,1,3))*U$2</f>
        <v>0</v>
      </c>
      <c r="V198" s="5">
        <f ca="1">SUM(OFFSET(Demand!$E207,0,(COLUMN(I195)-1)*5,1,3))*V$2</f>
        <v>0</v>
      </c>
      <c r="W198" s="5">
        <f ca="1">SUM(OFFSET(Demand!$E207,0,(COLUMN(J195)-1)*5,1,3))*W$2</f>
        <v>0</v>
      </c>
      <c r="X198" s="5">
        <f t="shared" ca="1" si="51"/>
        <v>0</v>
      </c>
      <c r="Y198">
        <f t="shared" ca="1" si="52"/>
        <v>0</v>
      </c>
      <c r="Z198" s="5">
        <f ca="1">SUM(OFFSET(Demand!$H207,0,(COLUMN(A195)-1)*5,1,1))*N$2</f>
        <v>0</v>
      </c>
      <c r="AA198" s="5">
        <f ca="1">SUM(OFFSET(Demand!$H207,0,(COLUMN(B195)-1)*5,1,1))*O$2</f>
        <v>0</v>
      </c>
      <c r="AB198" s="5">
        <f ca="1">SUM(OFFSET(Demand!$H207,0,(COLUMN(C195)-1)*5,1,1))*P$2</f>
        <v>0</v>
      </c>
      <c r="AC198" s="5">
        <f ca="1">SUM(OFFSET(Demand!$H207,0,(COLUMN(D195)-1)*5,1,1))*Q$2</f>
        <v>0</v>
      </c>
      <c r="AD198" s="5">
        <f ca="1">SUM(OFFSET(Demand!$H207,0,(COLUMN(E195)-1)*5,1,1))*R$2</f>
        <v>0</v>
      </c>
      <c r="AE198" s="5">
        <f ca="1">SUM(OFFSET(Demand!$H207,0,(COLUMN(F195)-1)*5,1,1))*S$2</f>
        <v>0</v>
      </c>
      <c r="AF198" s="5">
        <f ca="1">SUM(OFFSET(Demand!$H207,0,(COLUMN(G195)-1)*5,1,1))*T$2</f>
        <v>0</v>
      </c>
      <c r="AG198" s="5">
        <f ca="1">SUM(OFFSET(Demand!$H207,0,(COLUMN(H195)-1)*5,1,1))*U$2</f>
        <v>0</v>
      </c>
      <c r="AH198" s="5">
        <f ca="1">SUM(OFFSET(Demand!$H207,0,(COLUMN(I195)-1)*5,1,1))*V$2</f>
        <v>0</v>
      </c>
      <c r="AI198" s="5">
        <f ca="1">SUM(OFFSET(Demand!$H207,0,(COLUMN(J195)-1)*5,1,1))*W$2</f>
        <v>0</v>
      </c>
      <c r="AJ198" s="5">
        <f t="shared" ca="1" si="53"/>
        <v>0</v>
      </c>
      <c r="AL198" s="5">
        <f t="shared" ca="1" si="54"/>
        <v>0</v>
      </c>
      <c r="AM198" s="5">
        <f t="shared" ca="1" si="55"/>
        <v>0</v>
      </c>
      <c r="AN198" s="5" t="str">
        <f>IF(Demand!BE207="Yes","Yes","")</f>
        <v/>
      </c>
      <c r="AP198" s="36" t="str">
        <f ca="1">Demand!B207</f>
        <v xml:space="preserve"> </v>
      </c>
      <c r="AQ198" t="str">
        <f ca="1">IF(TEXT(Demand!D207,"MMM")&lt;&gt;TEXT(Demand!D206,"MMM"),TEXT(Demand!D207,"MMM"),"")</f>
        <v/>
      </c>
      <c r="AT198" s="5">
        <f t="shared" ref="AT198:AT261" ca="1" si="56">IF(OR(AL198="",AL197=""),"",ABS(AL198-AL197))</f>
        <v>0</v>
      </c>
      <c r="BQ198">
        <f ca="1">IF($AN198="",OFFSET(Demand!$A$13,ROW(A195)-1,4+((QUOTIENT(COLUMN(BQ$2)-69,3))*5)+MOD(COLUMN(BQ$2),3),1,1),"")</f>
        <v>0</v>
      </c>
      <c r="BR198">
        <f ca="1">IF($AN198="",OFFSET(Demand!$A$13,ROW(B195)-1,4+((QUOTIENT(COLUMN(BR$2)-69,3))*5)+MOD(COLUMN(BR$2),3),1,1),"")</f>
        <v>0</v>
      </c>
      <c r="BS198">
        <f ca="1">IF($AN198="",OFFSET(Demand!$A$13,ROW(C195)-1,4+((QUOTIENT(COLUMN(BS$2)-69,3))*5)+MOD(COLUMN(BS$2),3),1,1),"")</f>
        <v>0</v>
      </c>
      <c r="BT198">
        <f ca="1">IF($AN198="",OFFSET(Demand!$A$13,ROW(D195)-1,4+((QUOTIENT(COLUMN(BT$2)-69,3))*5)+MOD(COLUMN(BT$2),3),1,1),"")</f>
        <v>0</v>
      </c>
      <c r="BU198">
        <f ca="1">IF($AN198="",OFFSET(Demand!$A$13,ROW(E195)-1,4+((QUOTIENT(COLUMN(BU$2)-69,3))*5)+MOD(COLUMN(BU$2),3),1,1),"")</f>
        <v>0</v>
      </c>
      <c r="BV198">
        <f ca="1">IF($AN198="",OFFSET(Demand!$A$13,ROW(F195)-1,4+((QUOTIENT(COLUMN(BV$2)-69,3))*5)+MOD(COLUMN(BV$2),3),1,1),"")</f>
        <v>0</v>
      </c>
      <c r="BW198">
        <f ca="1">IF($AN198="",OFFSET(Demand!$A$13,ROW(G195)-1,4+((QUOTIENT(COLUMN(BW$2)-69,3))*5)+MOD(COLUMN(BW$2),3),1,1),"")</f>
        <v>0</v>
      </c>
      <c r="BX198">
        <f ca="1">IF($AN198="",OFFSET(Demand!$A$13,ROW(H195)-1,4+((QUOTIENT(COLUMN(BX$2)-69,3))*5)+MOD(COLUMN(BX$2),3),1,1),"")</f>
        <v>0</v>
      </c>
      <c r="BY198">
        <f ca="1">IF($AN198="",OFFSET(Demand!$A$13,ROW(I195)-1,4+((QUOTIENT(COLUMN(BY$2)-69,3))*5)+MOD(COLUMN(BY$2),3),1,1),"")</f>
        <v>0</v>
      </c>
      <c r="BZ198">
        <f ca="1">IF($AN198="",OFFSET(Demand!$A$13,ROW(J195)-1,4+((QUOTIENT(COLUMN(BZ$2)-69,3))*5)+MOD(COLUMN(BZ$2),3),1,1),"")</f>
        <v>0</v>
      </c>
      <c r="CA198">
        <f ca="1">IF($AN198="",OFFSET(Demand!$A$13,ROW(K195)-1,4+((QUOTIENT(COLUMN(CA$2)-69,3))*5)+MOD(COLUMN(CA$2),3),1,1),"")</f>
        <v>0</v>
      </c>
      <c r="CB198">
        <f ca="1">IF($AN198="",OFFSET(Demand!$A$13,ROW(L195)-1,4+((QUOTIENT(COLUMN(CB$2)-69,3))*5)+MOD(COLUMN(CB$2),3),1,1),"")</f>
        <v>0</v>
      </c>
      <c r="CC198">
        <f ca="1">IF($AN198="",OFFSET(Demand!$A$13,ROW(M195)-1,4+((QUOTIENT(COLUMN(CC$2)-69,3))*5)+MOD(COLUMN(CC$2),3),1,1),"")</f>
        <v>0</v>
      </c>
      <c r="CD198">
        <f ca="1">IF($AN198="",OFFSET(Demand!$A$13,ROW(N195)-1,4+((QUOTIENT(COLUMN(CD$2)-69,3))*5)+MOD(COLUMN(CD$2),3),1,1),"")</f>
        <v>0</v>
      </c>
      <c r="CE198">
        <f ca="1">IF($AN198="",OFFSET(Demand!$A$13,ROW(O195)-1,4+((QUOTIENT(COLUMN(CE$2)-69,3))*5)+MOD(COLUMN(CE$2),3),1,1),"")</f>
        <v>0</v>
      </c>
      <c r="CF198">
        <f ca="1">IF($AN198="",OFFSET(Demand!$A$13,ROW(P195)-1,4+((QUOTIENT(COLUMN(CF$2)-69,3))*5)+MOD(COLUMN(CF$2),3),1,1),"")</f>
        <v>0</v>
      </c>
      <c r="CG198">
        <f ca="1">IF($AN198="",OFFSET(Demand!$A$13,ROW(Q195)-1,4+((QUOTIENT(COLUMN(CG$2)-69,3))*5)+MOD(COLUMN(CG$2),3),1,1),"")</f>
        <v>0</v>
      </c>
      <c r="CH198">
        <f ca="1">IF($AN198="",OFFSET(Demand!$A$13,ROW(R195)-1,4+((QUOTIENT(COLUMN(CH$2)-69,3))*5)+MOD(COLUMN(CH$2),3),1,1),"")</f>
        <v>0</v>
      </c>
      <c r="CI198">
        <f ca="1">IF($AN198="",OFFSET(Demand!$A$13,ROW(S195)-1,4+((QUOTIENT(COLUMN(CI$2)-69,3))*5)+MOD(COLUMN(CI$2),3),1,1),"")</f>
        <v>0</v>
      </c>
      <c r="CJ198">
        <f ca="1">IF($AN198="",OFFSET(Demand!$A$13,ROW(T195)-1,4+((QUOTIENT(COLUMN(CJ$2)-69,3))*5)+MOD(COLUMN(CJ$2),3),1,1),"")</f>
        <v>0</v>
      </c>
      <c r="CK198">
        <f ca="1">IF($AN198="",OFFSET(Demand!$A$13,ROW(U195)-1,4+((QUOTIENT(COLUMN(CK$2)-69,3))*5)+MOD(COLUMN(CK$2),3),1,1),"")</f>
        <v>0</v>
      </c>
      <c r="CL198">
        <f ca="1">IF($AN198="",OFFSET(Demand!$A$13,ROW(V195)-1,4+((QUOTIENT(COLUMN(CL$2)-69,3))*5)+MOD(COLUMN(CL$2),3),1,1),"")</f>
        <v>0</v>
      </c>
      <c r="CM198">
        <f ca="1">IF($AN198="",OFFSET(Demand!$A$13,ROW(W195)-1,4+((QUOTIENT(COLUMN(CM$2)-69,3))*5)+MOD(COLUMN(CM$2),3),1,1),"")</f>
        <v>0</v>
      </c>
      <c r="CN198">
        <f ca="1">IF($AN198="",OFFSET(Demand!$A$13,ROW(X195)-1,4+((QUOTIENT(COLUMN(CN$2)-69,3))*5)+MOD(COLUMN(CN$2),3),1,1),"")</f>
        <v>0</v>
      </c>
      <c r="CO198">
        <f ca="1">IF($AN198="",OFFSET(Demand!$A$13,ROW(Y195)-1,4+((QUOTIENT(COLUMN(CO$2)-69,3))*5)+MOD(COLUMN(CO$2),3),1,1),"")</f>
        <v>0</v>
      </c>
      <c r="CP198">
        <f ca="1">IF($AN198="",OFFSET(Demand!$A$13,ROW(Z195)-1,4+((QUOTIENT(COLUMN(CP$2)-69,3))*5)+MOD(COLUMN(CP$2),3),1,1),"")</f>
        <v>0</v>
      </c>
      <c r="CQ198">
        <f ca="1">IF($AN198="",OFFSET(Demand!$A$13,ROW(AA195)-1,4+((QUOTIENT(COLUMN(CQ$2)-69,3))*5)+MOD(COLUMN(CQ$2),3),1,1),"")</f>
        <v>0</v>
      </c>
      <c r="CR198">
        <f ca="1">IF($AN198="",OFFSET(Demand!$A$13,ROW(AB195)-1,4+((QUOTIENT(COLUMN(CR$2)-69,3))*5)+MOD(COLUMN(CR$2),3),1,1),"")</f>
        <v>0</v>
      </c>
      <c r="CS198">
        <f ca="1">IF($AN198="",OFFSET(Demand!$A$13,ROW(AC195)-1,4+((QUOTIENT(COLUMN(CS$2)-69,3))*5)+MOD(COLUMN(CS$2),3),1,1),"")</f>
        <v>0</v>
      </c>
      <c r="CT198">
        <f ca="1">IF($AN198="",OFFSET(Demand!$A$13,ROW(AD195)-1,4+((QUOTIENT(COLUMN(CT$2)-69,3))*5)+MOD(COLUMN(CT$2),3),1,1),"")</f>
        <v>0</v>
      </c>
      <c r="CW198" s="5">
        <f ca="1">SUM(OFFSET(Demand!$H$43,ROW(A195)-1,(COLUMN(A195)-1)*5,1,1))*N$2</f>
        <v>0</v>
      </c>
      <c r="CX198" s="5">
        <f ca="1">SUM(OFFSET(Demand!$H$43,ROW(B195)-1,(COLUMN(B195)-1)*5,1,1))*O$2</f>
        <v>0</v>
      </c>
      <c r="CY198" s="5">
        <f ca="1">SUM(OFFSET(Demand!$H$43,ROW(C195)-1,(COLUMN(C195)-1)*5,1,1))*P$2</f>
        <v>0</v>
      </c>
      <c r="CZ198" s="5">
        <f ca="1">SUM(OFFSET(Demand!$H$43,ROW(D195)-1,(COLUMN(D195)-1)*5,1,1))*Q$2</f>
        <v>0</v>
      </c>
      <c r="DA198" s="5">
        <f ca="1">SUM(OFFSET(Demand!$H$43,ROW(E195)-1,(COLUMN(E195)-1)*5,1,1))*R$2</f>
        <v>0</v>
      </c>
      <c r="DB198" s="5">
        <f ca="1">SUM(OFFSET(Demand!$H$43,ROW(F195)-1,(COLUMN(F195)-1)*5,1,1))*S$2</f>
        <v>0</v>
      </c>
      <c r="DC198" s="5">
        <f ca="1">SUM(OFFSET(Demand!$H$43,ROW(G195)-1,(COLUMN(G195)-1)*5,1,1))*T$2</f>
        <v>0</v>
      </c>
      <c r="DD198" s="5">
        <f ca="1">SUM(OFFSET(Demand!$H$43,ROW(H195)-1,(COLUMN(H195)-1)*5,1,1))*U$2</f>
        <v>0</v>
      </c>
      <c r="DE198" s="5">
        <f ca="1">SUM(OFFSET(Demand!$H$43,ROW(I195)-1,(COLUMN(I195)-1)*5,1,1))*V$2</f>
        <v>0</v>
      </c>
      <c r="DF198" s="5">
        <f ca="1">SUM(OFFSET(Demand!$H$43,ROW(J195)-1,(COLUMN(J195)-1)*5,1,1))*W$2</f>
        <v>0</v>
      </c>
      <c r="DG198" s="5">
        <f ca="1">IF(OR(AN198&lt;&gt;"",AND('Demand adjustments for Covid'!$F$9="Yes",'Demand adjustments for Covid'!$F$20="Yes")),"",SUM(CW198:DF198))</f>
        <v>0</v>
      </c>
    </row>
    <row r="199" spans="1:111" x14ac:dyDescent="0.25">
      <c r="A199" s="5">
        <f t="shared" ca="1" si="50"/>
        <v>1</v>
      </c>
      <c r="B199" s="5">
        <f ca="1">COUNTBLANK(OFFSET(Demand!$I208,0,(COLUMN(A196)-1)*5,1,1))</f>
        <v>1</v>
      </c>
      <c r="C199" s="5">
        <f ca="1">COUNTBLANK(OFFSET(Demand!$I208,0,(COLUMN(B196)-1)*5,1,1))</f>
        <v>1</v>
      </c>
      <c r="D199" s="5">
        <f ca="1">COUNTBLANK(OFFSET(Demand!$I208,0,(COLUMN(C196)-1)*5,1,1))</f>
        <v>1</v>
      </c>
      <c r="E199" s="5">
        <f ca="1">COUNTBLANK(OFFSET(Demand!$I208,0,(COLUMN(D196)-1)*5,1,1))</f>
        <v>1</v>
      </c>
      <c r="F199" s="5">
        <f ca="1">COUNTBLANK(OFFSET(Demand!$I208,0,(COLUMN(E196)-1)*5,1,1))</f>
        <v>1</v>
      </c>
      <c r="G199" s="5">
        <f ca="1">COUNTBLANK(OFFSET(Demand!$I208,0,(COLUMN(F196)-1)*5,1,1))</f>
        <v>1</v>
      </c>
      <c r="H199" s="5">
        <f ca="1">COUNTBLANK(OFFSET(Demand!$I208,0,(COLUMN(G196)-1)*5,1,1))</f>
        <v>1</v>
      </c>
      <c r="I199" s="5">
        <f ca="1">COUNTBLANK(OFFSET(Demand!$I208,0,(COLUMN(H196)-1)*5,1,1))</f>
        <v>1</v>
      </c>
      <c r="J199" s="5">
        <f ca="1">COUNTBLANK(OFFSET(Demand!$I208,0,(COLUMN(I196)-1)*5,1,1))</f>
        <v>1</v>
      </c>
      <c r="K199" s="5">
        <f ca="1">COUNTBLANK(OFFSET(Demand!$I208,0,(COLUMN(J196)-1)*5,1,1))</f>
        <v>1</v>
      </c>
      <c r="N199" s="5">
        <f ca="1">SUM(OFFSET(Demand!$E208,0,(COLUMN(A196)-1)*5,1,3))*N$2</f>
        <v>0</v>
      </c>
      <c r="O199" s="5">
        <f ca="1">SUM(OFFSET(Demand!$E208,0,(COLUMN(B196)-1)*5,1,3))*O$2</f>
        <v>0</v>
      </c>
      <c r="P199" s="5">
        <f ca="1">SUM(OFFSET(Demand!$E208,0,(COLUMN(C196)-1)*5,1,3))*P$2</f>
        <v>0</v>
      </c>
      <c r="Q199" s="5">
        <f ca="1">SUM(OFFSET(Demand!$E208,0,(COLUMN(D196)-1)*5,1,3))*Q$2</f>
        <v>0</v>
      </c>
      <c r="R199" s="5">
        <f ca="1">SUM(OFFSET(Demand!$E208,0,(COLUMN(E196)-1)*5,1,3))*R$2</f>
        <v>0</v>
      </c>
      <c r="S199" s="5">
        <f ca="1">SUM(OFFSET(Demand!$E208,0,(COLUMN(F196)-1)*5,1,3))*S$2</f>
        <v>0</v>
      </c>
      <c r="T199" s="5">
        <f ca="1">SUM(OFFSET(Demand!$E208,0,(COLUMN(G196)-1)*5,1,3))*T$2</f>
        <v>0</v>
      </c>
      <c r="U199" s="5">
        <f ca="1">SUM(OFFSET(Demand!$E208,0,(COLUMN(H196)-1)*5,1,3))*U$2</f>
        <v>0</v>
      </c>
      <c r="V199" s="5">
        <f ca="1">SUM(OFFSET(Demand!$E208,0,(COLUMN(I196)-1)*5,1,3))*V$2</f>
        <v>0</v>
      </c>
      <c r="W199" s="5">
        <f ca="1">SUM(OFFSET(Demand!$E208,0,(COLUMN(J196)-1)*5,1,3))*W$2</f>
        <v>0</v>
      </c>
      <c r="X199" s="5">
        <f t="shared" ca="1" si="51"/>
        <v>0</v>
      </c>
      <c r="Y199">
        <f t="shared" ca="1" si="52"/>
        <v>0</v>
      </c>
      <c r="Z199" s="5">
        <f ca="1">SUM(OFFSET(Demand!$H208,0,(COLUMN(A196)-1)*5,1,1))*N$2</f>
        <v>0</v>
      </c>
      <c r="AA199" s="5">
        <f ca="1">SUM(OFFSET(Demand!$H208,0,(COLUMN(B196)-1)*5,1,1))*O$2</f>
        <v>0</v>
      </c>
      <c r="AB199" s="5">
        <f ca="1">SUM(OFFSET(Demand!$H208,0,(COLUMN(C196)-1)*5,1,1))*P$2</f>
        <v>0</v>
      </c>
      <c r="AC199" s="5">
        <f ca="1">SUM(OFFSET(Demand!$H208,0,(COLUMN(D196)-1)*5,1,1))*Q$2</f>
        <v>0</v>
      </c>
      <c r="AD199" s="5">
        <f ca="1">SUM(OFFSET(Demand!$H208,0,(COLUMN(E196)-1)*5,1,1))*R$2</f>
        <v>0</v>
      </c>
      <c r="AE199" s="5">
        <f ca="1">SUM(OFFSET(Demand!$H208,0,(COLUMN(F196)-1)*5,1,1))*S$2</f>
        <v>0</v>
      </c>
      <c r="AF199" s="5">
        <f ca="1">SUM(OFFSET(Demand!$H208,0,(COLUMN(G196)-1)*5,1,1))*T$2</f>
        <v>0</v>
      </c>
      <c r="AG199" s="5">
        <f ca="1">SUM(OFFSET(Demand!$H208,0,(COLUMN(H196)-1)*5,1,1))*U$2</f>
        <v>0</v>
      </c>
      <c r="AH199" s="5">
        <f ca="1">SUM(OFFSET(Demand!$H208,0,(COLUMN(I196)-1)*5,1,1))*V$2</f>
        <v>0</v>
      </c>
      <c r="AI199" s="5">
        <f ca="1">SUM(OFFSET(Demand!$H208,0,(COLUMN(J196)-1)*5,1,1))*W$2</f>
        <v>0</v>
      </c>
      <c r="AJ199" s="5">
        <f t="shared" ca="1" si="53"/>
        <v>0</v>
      </c>
      <c r="AL199" s="5">
        <f t="shared" ca="1" si="54"/>
        <v>0</v>
      </c>
      <c r="AM199" s="5">
        <f t="shared" ca="1" si="55"/>
        <v>0</v>
      </c>
      <c r="AN199" s="5" t="str">
        <f>IF(Demand!BE208="Yes","Yes","")</f>
        <v/>
      </c>
      <c r="AP199" s="36" t="str">
        <f ca="1">Demand!B208</f>
        <v xml:space="preserve"> </v>
      </c>
      <c r="AQ199" t="str">
        <f ca="1">IF(TEXT(Demand!D208,"MMM")&lt;&gt;TEXT(Demand!D207,"MMM"),TEXT(Demand!D208,"MMM"),"")</f>
        <v/>
      </c>
      <c r="AT199" s="5">
        <f t="shared" ca="1" si="56"/>
        <v>0</v>
      </c>
      <c r="BQ199">
        <f ca="1">IF($AN199="",OFFSET(Demand!$A$13,ROW(A196)-1,4+((QUOTIENT(COLUMN(BQ$2)-69,3))*5)+MOD(COLUMN(BQ$2),3),1,1),"")</f>
        <v>0</v>
      </c>
      <c r="BR199">
        <f ca="1">IF($AN199="",OFFSET(Demand!$A$13,ROW(B196)-1,4+((QUOTIENT(COLUMN(BR$2)-69,3))*5)+MOD(COLUMN(BR$2),3),1,1),"")</f>
        <v>0</v>
      </c>
      <c r="BS199">
        <f ca="1">IF($AN199="",OFFSET(Demand!$A$13,ROW(C196)-1,4+((QUOTIENT(COLUMN(BS$2)-69,3))*5)+MOD(COLUMN(BS$2),3),1,1),"")</f>
        <v>0</v>
      </c>
      <c r="BT199">
        <f ca="1">IF($AN199="",OFFSET(Demand!$A$13,ROW(D196)-1,4+((QUOTIENT(COLUMN(BT$2)-69,3))*5)+MOD(COLUMN(BT$2),3),1,1),"")</f>
        <v>0</v>
      </c>
      <c r="BU199">
        <f ca="1">IF($AN199="",OFFSET(Demand!$A$13,ROW(E196)-1,4+((QUOTIENT(COLUMN(BU$2)-69,3))*5)+MOD(COLUMN(BU$2),3),1,1),"")</f>
        <v>0</v>
      </c>
      <c r="BV199">
        <f ca="1">IF($AN199="",OFFSET(Demand!$A$13,ROW(F196)-1,4+((QUOTIENT(COLUMN(BV$2)-69,3))*5)+MOD(COLUMN(BV$2),3),1,1),"")</f>
        <v>0</v>
      </c>
      <c r="BW199">
        <f ca="1">IF($AN199="",OFFSET(Demand!$A$13,ROW(G196)-1,4+((QUOTIENT(COLUMN(BW$2)-69,3))*5)+MOD(COLUMN(BW$2),3),1,1),"")</f>
        <v>0</v>
      </c>
      <c r="BX199">
        <f ca="1">IF($AN199="",OFFSET(Demand!$A$13,ROW(H196)-1,4+((QUOTIENT(COLUMN(BX$2)-69,3))*5)+MOD(COLUMN(BX$2),3),1,1),"")</f>
        <v>0</v>
      </c>
      <c r="BY199">
        <f ca="1">IF($AN199="",OFFSET(Demand!$A$13,ROW(I196)-1,4+((QUOTIENT(COLUMN(BY$2)-69,3))*5)+MOD(COLUMN(BY$2),3),1,1),"")</f>
        <v>0</v>
      </c>
      <c r="BZ199">
        <f ca="1">IF($AN199="",OFFSET(Demand!$A$13,ROW(J196)-1,4+((QUOTIENT(COLUMN(BZ$2)-69,3))*5)+MOD(COLUMN(BZ$2),3),1,1),"")</f>
        <v>0</v>
      </c>
      <c r="CA199">
        <f ca="1">IF($AN199="",OFFSET(Demand!$A$13,ROW(K196)-1,4+((QUOTIENT(COLUMN(CA$2)-69,3))*5)+MOD(COLUMN(CA$2),3),1,1),"")</f>
        <v>0</v>
      </c>
      <c r="CB199">
        <f ca="1">IF($AN199="",OFFSET(Demand!$A$13,ROW(L196)-1,4+((QUOTIENT(COLUMN(CB$2)-69,3))*5)+MOD(COLUMN(CB$2),3),1,1),"")</f>
        <v>0</v>
      </c>
      <c r="CC199">
        <f ca="1">IF($AN199="",OFFSET(Demand!$A$13,ROW(M196)-1,4+((QUOTIENT(COLUMN(CC$2)-69,3))*5)+MOD(COLUMN(CC$2),3),1,1),"")</f>
        <v>0</v>
      </c>
      <c r="CD199">
        <f ca="1">IF($AN199="",OFFSET(Demand!$A$13,ROW(N196)-1,4+((QUOTIENT(COLUMN(CD$2)-69,3))*5)+MOD(COLUMN(CD$2),3),1,1),"")</f>
        <v>0</v>
      </c>
      <c r="CE199">
        <f ca="1">IF($AN199="",OFFSET(Demand!$A$13,ROW(O196)-1,4+((QUOTIENT(COLUMN(CE$2)-69,3))*5)+MOD(COLUMN(CE$2),3),1,1),"")</f>
        <v>0</v>
      </c>
      <c r="CF199">
        <f ca="1">IF($AN199="",OFFSET(Demand!$A$13,ROW(P196)-1,4+((QUOTIENT(COLUMN(CF$2)-69,3))*5)+MOD(COLUMN(CF$2),3),1,1),"")</f>
        <v>0</v>
      </c>
      <c r="CG199">
        <f ca="1">IF($AN199="",OFFSET(Demand!$A$13,ROW(Q196)-1,4+((QUOTIENT(COLUMN(CG$2)-69,3))*5)+MOD(COLUMN(CG$2),3),1,1),"")</f>
        <v>0</v>
      </c>
      <c r="CH199">
        <f ca="1">IF($AN199="",OFFSET(Demand!$A$13,ROW(R196)-1,4+((QUOTIENT(COLUMN(CH$2)-69,3))*5)+MOD(COLUMN(CH$2),3),1,1),"")</f>
        <v>0</v>
      </c>
      <c r="CI199">
        <f ca="1">IF($AN199="",OFFSET(Demand!$A$13,ROW(S196)-1,4+((QUOTIENT(COLUMN(CI$2)-69,3))*5)+MOD(COLUMN(CI$2),3),1,1),"")</f>
        <v>0</v>
      </c>
      <c r="CJ199">
        <f ca="1">IF($AN199="",OFFSET(Demand!$A$13,ROW(T196)-1,4+((QUOTIENT(COLUMN(CJ$2)-69,3))*5)+MOD(COLUMN(CJ$2),3),1,1),"")</f>
        <v>0</v>
      </c>
      <c r="CK199">
        <f ca="1">IF($AN199="",OFFSET(Demand!$A$13,ROW(U196)-1,4+((QUOTIENT(COLUMN(CK$2)-69,3))*5)+MOD(COLUMN(CK$2),3),1,1),"")</f>
        <v>0</v>
      </c>
      <c r="CL199">
        <f ca="1">IF($AN199="",OFFSET(Demand!$A$13,ROW(V196)-1,4+((QUOTIENT(COLUMN(CL$2)-69,3))*5)+MOD(COLUMN(CL$2),3),1,1),"")</f>
        <v>0</v>
      </c>
      <c r="CM199">
        <f ca="1">IF($AN199="",OFFSET(Demand!$A$13,ROW(W196)-1,4+((QUOTIENT(COLUMN(CM$2)-69,3))*5)+MOD(COLUMN(CM$2),3),1,1),"")</f>
        <v>0</v>
      </c>
      <c r="CN199">
        <f ca="1">IF($AN199="",OFFSET(Demand!$A$13,ROW(X196)-1,4+((QUOTIENT(COLUMN(CN$2)-69,3))*5)+MOD(COLUMN(CN$2),3),1,1),"")</f>
        <v>0</v>
      </c>
      <c r="CO199">
        <f ca="1">IF($AN199="",OFFSET(Demand!$A$13,ROW(Y196)-1,4+((QUOTIENT(COLUMN(CO$2)-69,3))*5)+MOD(COLUMN(CO$2),3),1,1),"")</f>
        <v>0</v>
      </c>
      <c r="CP199">
        <f ca="1">IF($AN199="",OFFSET(Demand!$A$13,ROW(Z196)-1,4+((QUOTIENT(COLUMN(CP$2)-69,3))*5)+MOD(COLUMN(CP$2),3),1,1),"")</f>
        <v>0</v>
      </c>
      <c r="CQ199">
        <f ca="1">IF($AN199="",OFFSET(Demand!$A$13,ROW(AA196)-1,4+((QUOTIENT(COLUMN(CQ$2)-69,3))*5)+MOD(COLUMN(CQ$2),3),1,1),"")</f>
        <v>0</v>
      </c>
      <c r="CR199">
        <f ca="1">IF($AN199="",OFFSET(Demand!$A$13,ROW(AB196)-1,4+((QUOTIENT(COLUMN(CR$2)-69,3))*5)+MOD(COLUMN(CR$2),3),1,1),"")</f>
        <v>0</v>
      </c>
      <c r="CS199">
        <f ca="1">IF($AN199="",OFFSET(Demand!$A$13,ROW(AC196)-1,4+((QUOTIENT(COLUMN(CS$2)-69,3))*5)+MOD(COLUMN(CS$2),3),1,1),"")</f>
        <v>0</v>
      </c>
      <c r="CT199">
        <f ca="1">IF($AN199="",OFFSET(Demand!$A$13,ROW(AD196)-1,4+((QUOTIENT(COLUMN(CT$2)-69,3))*5)+MOD(COLUMN(CT$2),3),1,1),"")</f>
        <v>0</v>
      </c>
      <c r="CW199" s="5">
        <f ca="1">SUM(OFFSET(Demand!$H$43,ROW(A196)-1,(COLUMN(A196)-1)*5,1,1))*N$2</f>
        <v>0</v>
      </c>
      <c r="CX199" s="5">
        <f ca="1">SUM(OFFSET(Demand!$H$43,ROW(B196)-1,(COLUMN(B196)-1)*5,1,1))*O$2</f>
        <v>0</v>
      </c>
      <c r="CY199" s="5">
        <f ca="1">SUM(OFFSET(Demand!$H$43,ROW(C196)-1,(COLUMN(C196)-1)*5,1,1))*P$2</f>
        <v>0</v>
      </c>
      <c r="CZ199" s="5">
        <f ca="1">SUM(OFFSET(Demand!$H$43,ROW(D196)-1,(COLUMN(D196)-1)*5,1,1))*Q$2</f>
        <v>0</v>
      </c>
      <c r="DA199" s="5">
        <f ca="1">SUM(OFFSET(Demand!$H$43,ROW(E196)-1,(COLUMN(E196)-1)*5,1,1))*R$2</f>
        <v>0</v>
      </c>
      <c r="DB199" s="5">
        <f ca="1">SUM(OFFSET(Demand!$H$43,ROW(F196)-1,(COLUMN(F196)-1)*5,1,1))*S$2</f>
        <v>0</v>
      </c>
      <c r="DC199" s="5">
        <f ca="1">SUM(OFFSET(Demand!$H$43,ROW(G196)-1,(COLUMN(G196)-1)*5,1,1))*T$2</f>
        <v>0</v>
      </c>
      <c r="DD199" s="5">
        <f ca="1">SUM(OFFSET(Demand!$H$43,ROW(H196)-1,(COLUMN(H196)-1)*5,1,1))*U$2</f>
        <v>0</v>
      </c>
      <c r="DE199" s="5">
        <f ca="1">SUM(OFFSET(Demand!$H$43,ROW(I196)-1,(COLUMN(I196)-1)*5,1,1))*V$2</f>
        <v>0</v>
      </c>
      <c r="DF199" s="5">
        <f ca="1">SUM(OFFSET(Demand!$H$43,ROW(J196)-1,(COLUMN(J196)-1)*5,1,1))*W$2</f>
        <v>0</v>
      </c>
      <c r="DG199" s="5">
        <f ca="1">IF(OR(AN199&lt;&gt;"",AND('Demand adjustments for Covid'!$F$9="Yes",'Demand adjustments for Covid'!$F$20="Yes")),"",SUM(CW199:DF199))</f>
        <v>0</v>
      </c>
    </row>
    <row r="200" spans="1:111" x14ac:dyDescent="0.25">
      <c r="A200" s="5">
        <f t="shared" ca="1" si="50"/>
        <v>1</v>
      </c>
      <c r="B200" s="5">
        <f ca="1">COUNTBLANK(OFFSET(Demand!$I209,0,(COLUMN(A197)-1)*5,1,1))</f>
        <v>1</v>
      </c>
      <c r="C200" s="5">
        <f ca="1">COUNTBLANK(OFFSET(Demand!$I209,0,(COLUMN(B197)-1)*5,1,1))</f>
        <v>1</v>
      </c>
      <c r="D200" s="5">
        <f ca="1">COUNTBLANK(OFFSET(Demand!$I209,0,(COLUMN(C197)-1)*5,1,1))</f>
        <v>1</v>
      </c>
      <c r="E200" s="5">
        <f ca="1">COUNTBLANK(OFFSET(Demand!$I209,0,(COLUMN(D197)-1)*5,1,1))</f>
        <v>1</v>
      </c>
      <c r="F200" s="5">
        <f ca="1">COUNTBLANK(OFFSET(Demand!$I209,0,(COLUMN(E197)-1)*5,1,1))</f>
        <v>1</v>
      </c>
      <c r="G200" s="5">
        <f ca="1">COUNTBLANK(OFFSET(Demand!$I209,0,(COLUMN(F197)-1)*5,1,1))</f>
        <v>1</v>
      </c>
      <c r="H200" s="5">
        <f ca="1">COUNTBLANK(OFFSET(Demand!$I209,0,(COLUMN(G197)-1)*5,1,1))</f>
        <v>1</v>
      </c>
      <c r="I200" s="5">
        <f ca="1">COUNTBLANK(OFFSET(Demand!$I209,0,(COLUMN(H197)-1)*5,1,1))</f>
        <v>1</v>
      </c>
      <c r="J200" s="5">
        <f ca="1">COUNTBLANK(OFFSET(Demand!$I209,0,(COLUMN(I197)-1)*5,1,1))</f>
        <v>1</v>
      </c>
      <c r="K200" s="5">
        <f ca="1">COUNTBLANK(OFFSET(Demand!$I209,0,(COLUMN(J197)-1)*5,1,1))</f>
        <v>1</v>
      </c>
      <c r="N200" s="5">
        <f ca="1">SUM(OFFSET(Demand!$E209,0,(COLUMN(A197)-1)*5,1,3))*N$2</f>
        <v>0</v>
      </c>
      <c r="O200" s="5">
        <f ca="1">SUM(OFFSET(Demand!$E209,0,(COLUMN(B197)-1)*5,1,3))*O$2</f>
        <v>0</v>
      </c>
      <c r="P200" s="5">
        <f ca="1">SUM(OFFSET(Demand!$E209,0,(COLUMN(C197)-1)*5,1,3))*P$2</f>
        <v>0</v>
      </c>
      <c r="Q200" s="5">
        <f ca="1">SUM(OFFSET(Demand!$E209,0,(COLUMN(D197)-1)*5,1,3))*Q$2</f>
        <v>0</v>
      </c>
      <c r="R200" s="5">
        <f ca="1">SUM(OFFSET(Demand!$E209,0,(COLUMN(E197)-1)*5,1,3))*R$2</f>
        <v>0</v>
      </c>
      <c r="S200" s="5">
        <f ca="1">SUM(OFFSET(Demand!$E209,0,(COLUMN(F197)-1)*5,1,3))*S$2</f>
        <v>0</v>
      </c>
      <c r="T200" s="5">
        <f ca="1">SUM(OFFSET(Demand!$E209,0,(COLUMN(G197)-1)*5,1,3))*T$2</f>
        <v>0</v>
      </c>
      <c r="U200" s="5">
        <f ca="1">SUM(OFFSET(Demand!$E209,0,(COLUMN(H197)-1)*5,1,3))*U$2</f>
        <v>0</v>
      </c>
      <c r="V200" s="5">
        <f ca="1">SUM(OFFSET(Demand!$E209,0,(COLUMN(I197)-1)*5,1,3))*V$2</f>
        <v>0</v>
      </c>
      <c r="W200" s="5">
        <f ca="1">SUM(OFFSET(Demand!$E209,0,(COLUMN(J197)-1)*5,1,3))*W$2</f>
        <v>0</v>
      </c>
      <c r="X200" s="5">
        <f t="shared" ca="1" si="51"/>
        <v>0</v>
      </c>
      <c r="Y200">
        <f t="shared" ca="1" si="52"/>
        <v>0</v>
      </c>
      <c r="Z200" s="5">
        <f ca="1">SUM(OFFSET(Demand!$H209,0,(COLUMN(A197)-1)*5,1,1))*N$2</f>
        <v>0</v>
      </c>
      <c r="AA200" s="5">
        <f ca="1">SUM(OFFSET(Demand!$H209,0,(COLUMN(B197)-1)*5,1,1))*O$2</f>
        <v>0</v>
      </c>
      <c r="AB200" s="5">
        <f ca="1">SUM(OFFSET(Demand!$H209,0,(COLUMN(C197)-1)*5,1,1))*P$2</f>
        <v>0</v>
      </c>
      <c r="AC200" s="5">
        <f ca="1">SUM(OFFSET(Demand!$H209,0,(COLUMN(D197)-1)*5,1,1))*Q$2</f>
        <v>0</v>
      </c>
      <c r="AD200" s="5">
        <f ca="1">SUM(OFFSET(Demand!$H209,0,(COLUMN(E197)-1)*5,1,1))*R$2</f>
        <v>0</v>
      </c>
      <c r="AE200" s="5">
        <f ca="1">SUM(OFFSET(Demand!$H209,0,(COLUMN(F197)-1)*5,1,1))*S$2</f>
        <v>0</v>
      </c>
      <c r="AF200" s="5">
        <f ca="1">SUM(OFFSET(Demand!$H209,0,(COLUMN(G197)-1)*5,1,1))*T$2</f>
        <v>0</v>
      </c>
      <c r="AG200" s="5">
        <f ca="1">SUM(OFFSET(Demand!$H209,0,(COLUMN(H197)-1)*5,1,1))*U$2</f>
        <v>0</v>
      </c>
      <c r="AH200" s="5">
        <f ca="1">SUM(OFFSET(Demand!$H209,0,(COLUMN(I197)-1)*5,1,1))*V$2</f>
        <v>0</v>
      </c>
      <c r="AI200" s="5">
        <f ca="1">SUM(OFFSET(Demand!$H209,0,(COLUMN(J197)-1)*5,1,1))*W$2</f>
        <v>0</v>
      </c>
      <c r="AJ200" s="5">
        <f t="shared" ca="1" si="53"/>
        <v>0</v>
      </c>
      <c r="AL200" s="5">
        <f t="shared" ca="1" si="54"/>
        <v>0</v>
      </c>
      <c r="AM200" s="5">
        <f t="shared" ca="1" si="55"/>
        <v>0</v>
      </c>
      <c r="AN200" s="5" t="str">
        <f>IF(Demand!BE209="Yes","Yes","")</f>
        <v/>
      </c>
      <c r="AP200" s="36" t="str">
        <f ca="1">Demand!B209</f>
        <v xml:space="preserve"> </v>
      </c>
      <c r="AQ200" t="str">
        <f ca="1">IF(TEXT(Demand!D209,"MMM")&lt;&gt;TEXT(Demand!D208,"MMM"),TEXT(Demand!D209,"MMM"),"")</f>
        <v/>
      </c>
      <c r="AT200" s="5">
        <f t="shared" ca="1" si="56"/>
        <v>0</v>
      </c>
      <c r="BQ200">
        <f ca="1">IF($AN200="",OFFSET(Demand!$A$13,ROW(A197)-1,4+((QUOTIENT(COLUMN(BQ$2)-69,3))*5)+MOD(COLUMN(BQ$2),3),1,1),"")</f>
        <v>0</v>
      </c>
      <c r="BR200">
        <f ca="1">IF($AN200="",OFFSET(Demand!$A$13,ROW(B197)-1,4+((QUOTIENT(COLUMN(BR$2)-69,3))*5)+MOD(COLUMN(BR$2),3),1,1),"")</f>
        <v>0</v>
      </c>
      <c r="BS200">
        <f ca="1">IF($AN200="",OFFSET(Demand!$A$13,ROW(C197)-1,4+((QUOTIENT(COLUMN(BS$2)-69,3))*5)+MOD(COLUMN(BS$2),3),1,1),"")</f>
        <v>0</v>
      </c>
      <c r="BT200">
        <f ca="1">IF($AN200="",OFFSET(Demand!$A$13,ROW(D197)-1,4+((QUOTIENT(COLUMN(BT$2)-69,3))*5)+MOD(COLUMN(BT$2),3),1,1),"")</f>
        <v>0</v>
      </c>
      <c r="BU200">
        <f ca="1">IF($AN200="",OFFSET(Demand!$A$13,ROW(E197)-1,4+((QUOTIENT(COLUMN(BU$2)-69,3))*5)+MOD(COLUMN(BU$2),3),1,1),"")</f>
        <v>0</v>
      </c>
      <c r="BV200">
        <f ca="1">IF($AN200="",OFFSET(Demand!$A$13,ROW(F197)-1,4+((QUOTIENT(COLUMN(BV$2)-69,3))*5)+MOD(COLUMN(BV$2),3),1,1),"")</f>
        <v>0</v>
      </c>
      <c r="BW200">
        <f ca="1">IF($AN200="",OFFSET(Demand!$A$13,ROW(G197)-1,4+((QUOTIENT(COLUMN(BW$2)-69,3))*5)+MOD(COLUMN(BW$2),3),1,1),"")</f>
        <v>0</v>
      </c>
      <c r="BX200">
        <f ca="1">IF($AN200="",OFFSET(Demand!$A$13,ROW(H197)-1,4+((QUOTIENT(COLUMN(BX$2)-69,3))*5)+MOD(COLUMN(BX$2),3),1,1),"")</f>
        <v>0</v>
      </c>
      <c r="BY200">
        <f ca="1">IF($AN200="",OFFSET(Demand!$A$13,ROW(I197)-1,4+((QUOTIENT(COLUMN(BY$2)-69,3))*5)+MOD(COLUMN(BY$2),3),1,1),"")</f>
        <v>0</v>
      </c>
      <c r="BZ200">
        <f ca="1">IF($AN200="",OFFSET(Demand!$A$13,ROW(J197)-1,4+((QUOTIENT(COLUMN(BZ$2)-69,3))*5)+MOD(COLUMN(BZ$2),3),1,1),"")</f>
        <v>0</v>
      </c>
      <c r="CA200">
        <f ca="1">IF($AN200="",OFFSET(Demand!$A$13,ROW(K197)-1,4+((QUOTIENT(COLUMN(CA$2)-69,3))*5)+MOD(COLUMN(CA$2),3),1,1),"")</f>
        <v>0</v>
      </c>
      <c r="CB200">
        <f ca="1">IF($AN200="",OFFSET(Demand!$A$13,ROW(L197)-1,4+((QUOTIENT(COLUMN(CB$2)-69,3))*5)+MOD(COLUMN(CB$2),3),1,1),"")</f>
        <v>0</v>
      </c>
      <c r="CC200">
        <f ca="1">IF($AN200="",OFFSET(Demand!$A$13,ROW(M197)-1,4+((QUOTIENT(COLUMN(CC$2)-69,3))*5)+MOD(COLUMN(CC$2),3),1,1),"")</f>
        <v>0</v>
      </c>
      <c r="CD200">
        <f ca="1">IF($AN200="",OFFSET(Demand!$A$13,ROW(N197)-1,4+((QUOTIENT(COLUMN(CD$2)-69,3))*5)+MOD(COLUMN(CD$2),3),1,1),"")</f>
        <v>0</v>
      </c>
      <c r="CE200">
        <f ca="1">IF($AN200="",OFFSET(Demand!$A$13,ROW(O197)-1,4+((QUOTIENT(COLUMN(CE$2)-69,3))*5)+MOD(COLUMN(CE$2),3),1,1),"")</f>
        <v>0</v>
      </c>
      <c r="CF200">
        <f ca="1">IF($AN200="",OFFSET(Demand!$A$13,ROW(P197)-1,4+((QUOTIENT(COLUMN(CF$2)-69,3))*5)+MOD(COLUMN(CF$2),3),1,1),"")</f>
        <v>0</v>
      </c>
      <c r="CG200">
        <f ca="1">IF($AN200="",OFFSET(Demand!$A$13,ROW(Q197)-1,4+((QUOTIENT(COLUMN(CG$2)-69,3))*5)+MOD(COLUMN(CG$2),3),1,1),"")</f>
        <v>0</v>
      </c>
      <c r="CH200">
        <f ca="1">IF($AN200="",OFFSET(Demand!$A$13,ROW(R197)-1,4+((QUOTIENT(COLUMN(CH$2)-69,3))*5)+MOD(COLUMN(CH$2),3),1,1),"")</f>
        <v>0</v>
      </c>
      <c r="CI200">
        <f ca="1">IF($AN200="",OFFSET(Demand!$A$13,ROW(S197)-1,4+((QUOTIENT(COLUMN(CI$2)-69,3))*5)+MOD(COLUMN(CI$2),3),1,1),"")</f>
        <v>0</v>
      </c>
      <c r="CJ200">
        <f ca="1">IF($AN200="",OFFSET(Demand!$A$13,ROW(T197)-1,4+((QUOTIENT(COLUMN(CJ$2)-69,3))*5)+MOD(COLUMN(CJ$2),3),1,1),"")</f>
        <v>0</v>
      </c>
      <c r="CK200">
        <f ca="1">IF($AN200="",OFFSET(Demand!$A$13,ROW(U197)-1,4+((QUOTIENT(COLUMN(CK$2)-69,3))*5)+MOD(COLUMN(CK$2),3),1,1),"")</f>
        <v>0</v>
      </c>
      <c r="CL200">
        <f ca="1">IF($AN200="",OFFSET(Demand!$A$13,ROW(V197)-1,4+((QUOTIENT(COLUMN(CL$2)-69,3))*5)+MOD(COLUMN(CL$2),3),1,1),"")</f>
        <v>0</v>
      </c>
      <c r="CM200">
        <f ca="1">IF($AN200="",OFFSET(Demand!$A$13,ROW(W197)-1,4+((QUOTIENT(COLUMN(CM$2)-69,3))*5)+MOD(COLUMN(CM$2),3),1,1),"")</f>
        <v>0</v>
      </c>
      <c r="CN200">
        <f ca="1">IF($AN200="",OFFSET(Demand!$A$13,ROW(X197)-1,4+((QUOTIENT(COLUMN(CN$2)-69,3))*5)+MOD(COLUMN(CN$2),3),1,1),"")</f>
        <v>0</v>
      </c>
      <c r="CO200">
        <f ca="1">IF($AN200="",OFFSET(Demand!$A$13,ROW(Y197)-1,4+((QUOTIENT(COLUMN(CO$2)-69,3))*5)+MOD(COLUMN(CO$2),3),1,1),"")</f>
        <v>0</v>
      </c>
      <c r="CP200">
        <f ca="1">IF($AN200="",OFFSET(Demand!$A$13,ROW(Z197)-1,4+((QUOTIENT(COLUMN(CP$2)-69,3))*5)+MOD(COLUMN(CP$2),3),1,1),"")</f>
        <v>0</v>
      </c>
      <c r="CQ200">
        <f ca="1">IF($AN200="",OFFSET(Demand!$A$13,ROW(AA197)-1,4+((QUOTIENT(COLUMN(CQ$2)-69,3))*5)+MOD(COLUMN(CQ$2),3),1,1),"")</f>
        <v>0</v>
      </c>
      <c r="CR200">
        <f ca="1">IF($AN200="",OFFSET(Demand!$A$13,ROW(AB197)-1,4+((QUOTIENT(COLUMN(CR$2)-69,3))*5)+MOD(COLUMN(CR$2),3),1,1),"")</f>
        <v>0</v>
      </c>
      <c r="CS200">
        <f ca="1">IF($AN200="",OFFSET(Demand!$A$13,ROW(AC197)-1,4+((QUOTIENT(COLUMN(CS$2)-69,3))*5)+MOD(COLUMN(CS$2),3),1,1),"")</f>
        <v>0</v>
      </c>
      <c r="CT200">
        <f ca="1">IF($AN200="",OFFSET(Demand!$A$13,ROW(AD197)-1,4+((QUOTIENT(COLUMN(CT$2)-69,3))*5)+MOD(COLUMN(CT$2),3),1,1),"")</f>
        <v>0</v>
      </c>
      <c r="CW200" s="5">
        <f ca="1">SUM(OFFSET(Demand!$H$43,ROW(A197)-1,(COLUMN(A197)-1)*5,1,1))*N$2</f>
        <v>0</v>
      </c>
      <c r="CX200" s="5">
        <f ca="1">SUM(OFFSET(Demand!$H$43,ROW(B197)-1,(COLUMN(B197)-1)*5,1,1))*O$2</f>
        <v>0</v>
      </c>
      <c r="CY200" s="5">
        <f ca="1">SUM(OFFSET(Demand!$H$43,ROW(C197)-1,(COLUMN(C197)-1)*5,1,1))*P$2</f>
        <v>0</v>
      </c>
      <c r="CZ200" s="5">
        <f ca="1">SUM(OFFSET(Demand!$H$43,ROW(D197)-1,(COLUMN(D197)-1)*5,1,1))*Q$2</f>
        <v>0</v>
      </c>
      <c r="DA200" s="5">
        <f ca="1">SUM(OFFSET(Demand!$H$43,ROW(E197)-1,(COLUMN(E197)-1)*5,1,1))*R$2</f>
        <v>0</v>
      </c>
      <c r="DB200" s="5">
        <f ca="1">SUM(OFFSET(Demand!$H$43,ROW(F197)-1,(COLUMN(F197)-1)*5,1,1))*S$2</f>
        <v>0</v>
      </c>
      <c r="DC200" s="5">
        <f ca="1">SUM(OFFSET(Demand!$H$43,ROW(G197)-1,(COLUMN(G197)-1)*5,1,1))*T$2</f>
        <v>0</v>
      </c>
      <c r="DD200" s="5">
        <f ca="1">SUM(OFFSET(Demand!$H$43,ROW(H197)-1,(COLUMN(H197)-1)*5,1,1))*U$2</f>
        <v>0</v>
      </c>
      <c r="DE200" s="5">
        <f ca="1">SUM(OFFSET(Demand!$H$43,ROW(I197)-1,(COLUMN(I197)-1)*5,1,1))*V$2</f>
        <v>0</v>
      </c>
      <c r="DF200" s="5">
        <f ca="1">SUM(OFFSET(Demand!$H$43,ROW(J197)-1,(COLUMN(J197)-1)*5,1,1))*W$2</f>
        <v>0</v>
      </c>
      <c r="DG200" s="5">
        <f ca="1">IF(OR(AN200&lt;&gt;"",AND('Demand adjustments for Covid'!$F$9="Yes",'Demand adjustments for Covid'!$F$20="Yes")),"",SUM(CW200:DF200))</f>
        <v>0</v>
      </c>
    </row>
    <row r="201" spans="1:111" x14ac:dyDescent="0.25">
      <c r="A201" s="5">
        <f t="shared" ca="1" si="50"/>
        <v>1</v>
      </c>
      <c r="B201" s="5">
        <f ca="1">COUNTBLANK(OFFSET(Demand!$I210,0,(COLUMN(A198)-1)*5,1,1))</f>
        <v>1</v>
      </c>
      <c r="C201" s="5">
        <f ca="1">COUNTBLANK(OFFSET(Demand!$I210,0,(COLUMN(B198)-1)*5,1,1))</f>
        <v>1</v>
      </c>
      <c r="D201" s="5">
        <f ca="1">COUNTBLANK(OFFSET(Demand!$I210,0,(COLUMN(C198)-1)*5,1,1))</f>
        <v>1</v>
      </c>
      <c r="E201" s="5">
        <f ca="1">COUNTBLANK(OFFSET(Demand!$I210,0,(COLUMN(D198)-1)*5,1,1))</f>
        <v>1</v>
      </c>
      <c r="F201" s="5">
        <f ca="1">COUNTBLANK(OFFSET(Demand!$I210,0,(COLUMN(E198)-1)*5,1,1))</f>
        <v>1</v>
      </c>
      <c r="G201" s="5">
        <f ca="1">COUNTBLANK(OFFSET(Demand!$I210,0,(COLUMN(F198)-1)*5,1,1))</f>
        <v>1</v>
      </c>
      <c r="H201" s="5">
        <f ca="1">COUNTBLANK(OFFSET(Demand!$I210,0,(COLUMN(G198)-1)*5,1,1))</f>
        <v>1</v>
      </c>
      <c r="I201" s="5">
        <f ca="1">COUNTBLANK(OFFSET(Demand!$I210,0,(COLUMN(H198)-1)*5,1,1))</f>
        <v>1</v>
      </c>
      <c r="J201" s="5">
        <f ca="1">COUNTBLANK(OFFSET(Demand!$I210,0,(COLUMN(I198)-1)*5,1,1))</f>
        <v>1</v>
      </c>
      <c r="K201" s="5">
        <f ca="1">COUNTBLANK(OFFSET(Demand!$I210,0,(COLUMN(J198)-1)*5,1,1))</f>
        <v>1</v>
      </c>
      <c r="N201" s="5">
        <f ca="1">SUM(OFFSET(Demand!$E210,0,(COLUMN(A198)-1)*5,1,3))*N$2</f>
        <v>0</v>
      </c>
      <c r="O201" s="5">
        <f ca="1">SUM(OFFSET(Demand!$E210,0,(COLUMN(B198)-1)*5,1,3))*O$2</f>
        <v>0</v>
      </c>
      <c r="P201" s="5">
        <f ca="1">SUM(OFFSET(Demand!$E210,0,(COLUMN(C198)-1)*5,1,3))*P$2</f>
        <v>0</v>
      </c>
      <c r="Q201" s="5">
        <f ca="1">SUM(OFFSET(Demand!$E210,0,(COLUMN(D198)-1)*5,1,3))*Q$2</f>
        <v>0</v>
      </c>
      <c r="R201" s="5">
        <f ca="1">SUM(OFFSET(Demand!$E210,0,(COLUMN(E198)-1)*5,1,3))*R$2</f>
        <v>0</v>
      </c>
      <c r="S201" s="5">
        <f ca="1">SUM(OFFSET(Demand!$E210,0,(COLUMN(F198)-1)*5,1,3))*S$2</f>
        <v>0</v>
      </c>
      <c r="T201" s="5">
        <f ca="1">SUM(OFFSET(Demand!$E210,0,(COLUMN(G198)-1)*5,1,3))*T$2</f>
        <v>0</v>
      </c>
      <c r="U201" s="5">
        <f ca="1">SUM(OFFSET(Demand!$E210,0,(COLUMN(H198)-1)*5,1,3))*U$2</f>
        <v>0</v>
      </c>
      <c r="V201" s="5">
        <f ca="1">SUM(OFFSET(Demand!$E210,0,(COLUMN(I198)-1)*5,1,3))*V$2</f>
        <v>0</v>
      </c>
      <c r="W201" s="5">
        <f ca="1">SUM(OFFSET(Demand!$E210,0,(COLUMN(J198)-1)*5,1,3))*W$2</f>
        <v>0</v>
      </c>
      <c r="X201" s="5">
        <f t="shared" ca="1" si="51"/>
        <v>0</v>
      </c>
      <c r="Y201">
        <f t="shared" ca="1" si="52"/>
        <v>0</v>
      </c>
      <c r="Z201" s="5">
        <f ca="1">SUM(OFFSET(Demand!$H210,0,(COLUMN(A198)-1)*5,1,1))*N$2</f>
        <v>0</v>
      </c>
      <c r="AA201" s="5">
        <f ca="1">SUM(OFFSET(Demand!$H210,0,(COLUMN(B198)-1)*5,1,1))*O$2</f>
        <v>0</v>
      </c>
      <c r="AB201" s="5">
        <f ca="1">SUM(OFFSET(Demand!$H210,0,(COLUMN(C198)-1)*5,1,1))*P$2</f>
        <v>0</v>
      </c>
      <c r="AC201" s="5">
        <f ca="1">SUM(OFFSET(Demand!$H210,0,(COLUMN(D198)-1)*5,1,1))*Q$2</f>
        <v>0</v>
      </c>
      <c r="AD201" s="5">
        <f ca="1">SUM(OFFSET(Demand!$H210,0,(COLUMN(E198)-1)*5,1,1))*R$2</f>
        <v>0</v>
      </c>
      <c r="AE201" s="5">
        <f ca="1">SUM(OFFSET(Demand!$H210,0,(COLUMN(F198)-1)*5,1,1))*S$2</f>
        <v>0</v>
      </c>
      <c r="AF201" s="5">
        <f ca="1">SUM(OFFSET(Demand!$H210,0,(COLUMN(G198)-1)*5,1,1))*T$2</f>
        <v>0</v>
      </c>
      <c r="AG201" s="5">
        <f ca="1">SUM(OFFSET(Demand!$H210,0,(COLUMN(H198)-1)*5,1,1))*U$2</f>
        <v>0</v>
      </c>
      <c r="AH201" s="5">
        <f ca="1">SUM(OFFSET(Demand!$H210,0,(COLUMN(I198)-1)*5,1,1))*V$2</f>
        <v>0</v>
      </c>
      <c r="AI201" s="5">
        <f ca="1">SUM(OFFSET(Demand!$H210,0,(COLUMN(J198)-1)*5,1,1))*W$2</f>
        <v>0</v>
      </c>
      <c r="AJ201" s="5">
        <f t="shared" ca="1" si="53"/>
        <v>0</v>
      </c>
      <c r="AL201" s="5">
        <f t="shared" ca="1" si="54"/>
        <v>0</v>
      </c>
      <c r="AM201" s="5">
        <f t="shared" ca="1" si="55"/>
        <v>0</v>
      </c>
      <c r="AN201" s="5" t="str">
        <f>IF(Demand!BE210="Yes","Yes","")</f>
        <v/>
      </c>
      <c r="AP201" s="36" t="str">
        <f ca="1">Demand!B210</f>
        <v xml:space="preserve"> </v>
      </c>
      <c r="AQ201" t="str">
        <f ca="1">IF(TEXT(Demand!D210,"MMM")&lt;&gt;TEXT(Demand!D209,"MMM"),TEXT(Demand!D210,"MMM"),"")</f>
        <v/>
      </c>
      <c r="AT201" s="5">
        <f t="shared" ca="1" si="56"/>
        <v>0</v>
      </c>
      <c r="BQ201">
        <f ca="1">IF($AN201="",OFFSET(Demand!$A$13,ROW(A198)-1,4+((QUOTIENT(COLUMN(BQ$2)-69,3))*5)+MOD(COLUMN(BQ$2),3),1,1),"")</f>
        <v>0</v>
      </c>
      <c r="BR201">
        <f ca="1">IF($AN201="",OFFSET(Demand!$A$13,ROW(B198)-1,4+((QUOTIENT(COLUMN(BR$2)-69,3))*5)+MOD(COLUMN(BR$2),3),1,1),"")</f>
        <v>0</v>
      </c>
      <c r="BS201">
        <f ca="1">IF($AN201="",OFFSET(Demand!$A$13,ROW(C198)-1,4+((QUOTIENT(COLUMN(BS$2)-69,3))*5)+MOD(COLUMN(BS$2),3),1,1),"")</f>
        <v>0</v>
      </c>
      <c r="BT201">
        <f ca="1">IF($AN201="",OFFSET(Demand!$A$13,ROW(D198)-1,4+((QUOTIENT(COLUMN(BT$2)-69,3))*5)+MOD(COLUMN(BT$2),3),1,1),"")</f>
        <v>0</v>
      </c>
      <c r="BU201">
        <f ca="1">IF($AN201="",OFFSET(Demand!$A$13,ROW(E198)-1,4+((QUOTIENT(COLUMN(BU$2)-69,3))*5)+MOD(COLUMN(BU$2),3),1,1),"")</f>
        <v>0</v>
      </c>
      <c r="BV201">
        <f ca="1">IF($AN201="",OFFSET(Demand!$A$13,ROW(F198)-1,4+((QUOTIENT(COLUMN(BV$2)-69,3))*5)+MOD(COLUMN(BV$2),3),1,1),"")</f>
        <v>0</v>
      </c>
      <c r="BW201">
        <f ca="1">IF($AN201="",OFFSET(Demand!$A$13,ROW(G198)-1,4+((QUOTIENT(COLUMN(BW$2)-69,3))*5)+MOD(COLUMN(BW$2),3),1,1),"")</f>
        <v>0</v>
      </c>
      <c r="BX201">
        <f ca="1">IF($AN201="",OFFSET(Demand!$A$13,ROW(H198)-1,4+((QUOTIENT(COLUMN(BX$2)-69,3))*5)+MOD(COLUMN(BX$2),3),1,1),"")</f>
        <v>0</v>
      </c>
      <c r="BY201">
        <f ca="1">IF($AN201="",OFFSET(Demand!$A$13,ROW(I198)-1,4+((QUOTIENT(COLUMN(BY$2)-69,3))*5)+MOD(COLUMN(BY$2),3),1,1),"")</f>
        <v>0</v>
      </c>
      <c r="BZ201">
        <f ca="1">IF($AN201="",OFFSET(Demand!$A$13,ROW(J198)-1,4+((QUOTIENT(COLUMN(BZ$2)-69,3))*5)+MOD(COLUMN(BZ$2),3),1,1),"")</f>
        <v>0</v>
      </c>
      <c r="CA201">
        <f ca="1">IF($AN201="",OFFSET(Demand!$A$13,ROW(K198)-1,4+((QUOTIENT(COLUMN(CA$2)-69,3))*5)+MOD(COLUMN(CA$2),3),1,1),"")</f>
        <v>0</v>
      </c>
      <c r="CB201">
        <f ca="1">IF($AN201="",OFFSET(Demand!$A$13,ROW(L198)-1,4+((QUOTIENT(COLUMN(CB$2)-69,3))*5)+MOD(COLUMN(CB$2),3),1,1),"")</f>
        <v>0</v>
      </c>
      <c r="CC201">
        <f ca="1">IF($AN201="",OFFSET(Demand!$A$13,ROW(M198)-1,4+((QUOTIENT(COLUMN(CC$2)-69,3))*5)+MOD(COLUMN(CC$2),3),1,1),"")</f>
        <v>0</v>
      </c>
      <c r="CD201">
        <f ca="1">IF($AN201="",OFFSET(Demand!$A$13,ROW(N198)-1,4+((QUOTIENT(COLUMN(CD$2)-69,3))*5)+MOD(COLUMN(CD$2),3),1,1),"")</f>
        <v>0</v>
      </c>
      <c r="CE201">
        <f ca="1">IF($AN201="",OFFSET(Demand!$A$13,ROW(O198)-1,4+((QUOTIENT(COLUMN(CE$2)-69,3))*5)+MOD(COLUMN(CE$2),3),1,1),"")</f>
        <v>0</v>
      </c>
      <c r="CF201">
        <f ca="1">IF($AN201="",OFFSET(Demand!$A$13,ROW(P198)-1,4+((QUOTIENT(COLUMN(CF$2)-69,3))*5)+MOD(COLUMN(CF$2),3),1,1),"")</f>
        <v>0</v>
      </c>
      <c r="CG201">
        <f ca="1">IF($AN201="",OFFSET(Demand!$A$13,ROW(Q198)-1,4+((QUOTIENT(COLUMN(CG$2)-69,3))*5)+MOD(COLUMN(CG$2),3),1,1),"")</f>
        <v>0</v>
      </c>
      <c r="CH201">
        <f ca="1">IF($AN201="",OFFSET(Demand!$A$13,ROW(R198)-1,4+((QUOTIENT(COLUMN(CH$2)-69,3))*5)+MOD(COLUMN(CH$2),3),1,1),"")</f>
        <v>0</v>
      </c>
      <c r="CI201">
        <f ca="1">IF($AN201="",OFFSET(Demand!$A$13,ROW(S198)-1,4+((QUOTIENT(COLUMN(CI$2)-69,3))*5)+MOD(COLUMN(CI$2),3),1,1),"")</f>
        <v>0</v>
      </c>
      <c r="CJ201">
        <f ca="1">IF($AN201="",OFFSET(Demand!$A$13,ROW(T198)-1,4+((QUOTIENT(COLUMN(CJ$2)-69,3))*5)+MOD(COLUMN(CJ$2),3),1,1),"")</f>
        <v>0</v>
      </c>
      <c r="CK201">
        <f ca="1">IF($AN201="",OFFSET(Demand!$A$13,ROW(U198)-1,4+((QUOTIENT(COLUMN(CK$2)-69,3))*5)+MOD(COLUMN(CK$2),3),1,1),"")</f>
        <v>0</v>
      </c>
      <c r="CL201">
        <f ca="1">IF($AN201="",OFFSET(Demand!$A$13,ROW(V198)-1,4+((QUOTIENT(COLUMN(CL$2)-69,3))*5)+MOD(COLUMN(CL$2),3),1,1),"")</f>
        <v>0</v>
      </c>
      <c r="CM201">
        <f ca="1">IF($AN201="",OFFSET(Demand!$A$13,ROW(W198)-1,4+((QUOTIENT(COLUMN(CM$2)-69,3))*5)+MOD(COLUMN(CM$2),3),1,1),"")</f>
        <v>0</v>
      </c>
      <c r="CN201">
        <f ca="1">IF($AN201="",OFFSET(Demand!$A$13,ROW(X198)-1,4+((QUOTIENT(COLUMN(CN$2)-69,3))*5)+MOD(COLUMN(CN$2),3),1,1),"")</f>
        <v>0</v>
      </c>
      <c r="CO201">
        <f ca="1">IF($AN201="",OFFSET(Demand!$A$13,ROW(Y198)-1,4+((QUOTIENT(COLUMN(CO$2)-69,3))*5)+MOD(COLUMN(CO$2),3),1,1),"")</f>
        <v>0</v>
      </c>
      <c r="CP201">
        <f ca="1">IF($AN201="",OFFSET(Demand!$A$13,ROW(Z198)-1,4+((QUOTIENT(COLUMN(CP$2)-69,3))*5)+MOD(COLUMN(CP$2),3),1,1),"")</f>
        <v>0</v>
      </c>
      <c r="CQ201">
        <f ca="1">IF($AN201="",OFFSET(Demand!$A$13,ROW(AA198)-1,4+((QUOTIENT(COLUMN(CQ$2)-69,3))*5)+MOD(COLUMN(CQ$2),3),1,1),"")</f>
        <v>0</v>
      </c>
      <c r="CR201">
        <f ca="1">IF($AN201="",OFFSET(Demand!$A$13,ROW(AB198)-1,4+((QUOTIENT(COLUMN(CR$2)-69,3))*5)+MOD(COLUMN(CR$2),3),1,1),"")</f>
        <v>0</v>
      </c>
      <c r="CS201">
        <f ca="1">IF($AN201="",OFFSET(Demand!$A$13,ROW(AC198)-1,4+((QUOTIENT(COLUMN(CS$2)-69,3))*5)+MOD(COLUMN(CS$2),3),1,1),"")</f>
        <v>0</v>
      </c>
      <c r="CT201">
        <f ca="1">IF($AN201="",OFFSET(Demand!$A$13,ROW(AD198)-1,4+((QUOTIENT(COLUMN(CT$2)-69,3))*5)+MOD(COLUMN(CT$2),3),1,1),"")</f>
        <v>0</v>
      </c>
      <c r="CW201" s="5">
        <f ca="1">SUM(OFFSET(Demand!$H$43,ROW(A198)-1,(COLUMN(A198)-1)*5,1,1))*N$2</f>
        <v>0</v>
      </c>
      <c r="CX201" s="5">
        <f ca="1">SUM(OFFSET(Demand!$H$43,ROW(B198)-1,(COLUMN(B198)-1)*5,1,1))*O$2</f>
        <v>0</v>
      </c>
      <c r="CY201" s="5">
        <f ca="1">SUM(OFFSET(Demand!$H$43,ROW(C198)-1,(COLUMN(C198)-1)*5,1,1))*P$2</f>
        <v>0</v>
      </c>
      <c r="CZ201" s="5">
        <f ca="1">SUM(OFFSET(Demand!$H$43,ROW(D198)-1,(COLUMN(D198)-1)*5,1,1))*Q$2</f>
        <v>0</v>
      </c>
      <c r="DA201" s="5">
        <f ca="1">SUM(OFFSET(Demand!$H$43,ROW(E198)-1,(COLUMN(E198)-1)*5,1,1))*R$2</f>
        <v>0</v>
      </c>
      <c r="DB201" s="5">
        <f ca="1">SUM(OFFSET(Demand!$H$43,ROW(F198)-1,(COLUMN(F198)-1)*5,1,1))*S$2</f>
        <v>0</v>
      </c>
      <c r="DC201" s="5">
        <f ca="1">SUM(OFFSET(Demand!$H$43,ROW(G198)-1,(COLUMN(G198)-1)*5,1,1))*T$2</f>
        <v>0</v>
      </c>
      <c r="DD201" s="5">
        <f ca="1">SUM(OFFSET(Demand!$H$43,ROW(H198)-1,(COLUMN(H198)-1)*5,1,1))*U$2</f>
        <v>0</v>
      </c>
      <c r="DE201" s="5">
        <f ca="1">SUM(OFFSET(Demand!$H$43,ROW(I198)-1,(COLUMN(I198)-1)*5,1,1))*V$2</f>
        <v>0</v>
      </c>
      <c r="DF201" s="5">
        <f ca="1">SUM(OFFSET(Demand!$H$43,ROW(J198)-1,(COLUMN(J198)-1)*5,1,1))*W$2</f>
        <v>0</v>
      </c>
      <c r="DG201" s="5">
        <f ca="1">IF(OR(AN201&lt;&gt;"",AND('Demand adjustments for Covid'!$F$9="Yes",'Demand adjustments for Covid'!$F$20="Yes")),"",SUM(CW201:DF201))</f>
        <v>0</v>
      </c>
    </row>
    <row r="202" spans="1:111" x14ac:dyDescent="0.25">
      <c r="A202" s="5">
        <f t="shared" ca="1" si="50"/>
        <v>1</v>
      </c>
      <c r="B202" s="5">
        <f ca="1">COUNTBLANK(OFFSET(Demand!$I211,0,(COLUMN(A199)-1)*5,1,1))</f>
        <v>1</v>
      </c>
      <c r="C202" s="5">
        <f ca="1">COUNTBLANK(OFFSET(Demand!$I211,0,(COLUMN(B199)-1)*5,1,1))</f>
        <v>1</v>
      </c>
      <c r="D202" s="5">
        <f ca="1">COUNTBLANK(OFFSET(Demand!$I211,0,(COLUMN(C199)-1)*5,1,1))</f>
        <v>1</v>
      </c>
      <c r="E202" s="5">
        <f ca="1">COUNTBLANK(OFFSET(Demand!$I211,0,(COLUMN(D199)-1)*5,1,1))</f>
        <v>1</v>
      </c>
      <c r="F202" s="5">
        <f ca="1">COUNTBLANK(OFFSET(Demand!$I211,0,(COLUMN(E199)-1)*5,1,1))</f>
        <v>1</v>
      </c>
      <c r="G202" s="5">
        <f ca="1">COUNTBLANK(OFFSET(Demand!$I211,0,(COLUMN(F199)-1)*5,1,1))</f>
        <v>1</v>
      </c>
      <c r="H202" s="5">
        <f ca="1">COUNTBLANK(OFFSET(Demand!$I211,0,(COLUMN(G199)-1)*5,1,1))</f>
        <v>1</v>
      </c>
      <c r="I202" s="5">
        <f ca="1">COUNTBLANK(OFFSET(Demand!$I211,0,(COLUMN(H199)-1)*5,1,1))</f>
        <v>1</v>
      </c>
      <c r="J202" s="5">
        <f ca="1">COUNTBLANK(OFFSET(Demand!$I211,0,(COLUMN(I199)-1)*5,1,1))</f>
        <v>1</v>
      </c>
      <c r="K202" s="5">
        <f ca="1">COUNTBLANK(OFFSET(Demand!$I211,0,(COLUMN(J199)-1)*5,1,1))</f>
        <v>1</v>
      </c>
      <c r="N202" s="5">
        <f ca="1">SUM(OFFSET(Demand!$E211,0,(COLUMN(A199)-1)*5,1,3))*N$2</f>
        <v>0</v>
      </c>
      <c r="O202" s="5">
        <f ca="1">SUM(OFFSET(Demand!$E211,0,(COLUMN(B199)-1)*5,1,3))*O$2</f>
        <v>0</v>
      </c>
      <c r="P202" s="5">
        <f ca="1">SUM(OFFSET(Demand!$E211,0,(COLUMN(C199)-1)*5,1,3))*P$2</f>
        <v>0</v>
      </c>
      <c r="Q202" s="5">
        <f ca="1">SUM(OFFSET(Demand!$E211,0,(COLUMN(D199)-1)*5,1,3))*Q$2</f>
        <v>0</v>
      </c>
      <c r="R202" s="5">
        <f ca="1">SUM(OFFSET(Demand!$E211,0,(COLUMN(E199)-1)*5,1,3))*R$2</f>
        <v>0</v>
      </c>
      <c r="S202" s="5">
        <f ca="1">SUM(OFFSET(Demand!$E211,0,(COLUMN(F199)-1)*5,1,3))*S$2</f>
        <v>0</v>
      </c>
      <c r="T202" s="5">
        <f ca="1">SUM(OFFSET(Demand!$E211,0,(COLUMN(G199)-1)*5,1,3))*T$2</f>
        <v>0</v>
      </c>
      <c r="U202" s="5">
        <f ca="1">SUM(OFFSET(Demand!$E211,0,(COLUMN(H199)-1)*5,1,3))*U$2</f>
        <v>0</v>
      </c>
      <c r="V202" s="5">
        <f ca="1">SUM(OFFSET(Demand!$E211,0,(COLUMN(I199)-1)*5,1,3))*V$2</f>
        <v>0</v>
      </c>
      <c r="W202" s="5">
        <f ca="1">SUM(OFFSET(Demand!$E211,0,(COLUMN(J199)-1)*5,1,3))*W$2</f>
        <v>0</v>
      </c>
      <c r="X202" s="5">
        <f t="shared" ca="1" si="51"/>
        <v>0</v>
      </c>
      <c r="Y202">
        <f t="shared" ca="1" si="52"/>
        <v>0</v>
      </c>
      <c r="Z202" s="5">
        <f ca="1">SUM(OFFSET(Demand!$H211,0,(COLUMN(A199)-1)*5,1,1))*N$2</f>
        <v>0</v>
      </c>
      <c r="AA202" s="5">
        <f ca="1">SUM(OFFSET(Demand!$H211,0,(COLUMN(B199)-1)*5,1,1))*O$2</f>
        <v>0</v>
      </c>
      <c r="AB202" s="5">
        <f ca="1">SUM(OFFSET(Demand!$H211,0,(COLUMN(C199)-1)*5,1,1))*P$2</f>
        <v>0</v>
      </c>
      <c r="AC202" s="5">
        <f ca="1">SUM(OFFSET(Demand!$H211,0,(COLUMN(D199)-1)*5,1,1))*Q$2</f>
        <v>0</v>
      </c>
      <c r="AD202" s="5">
        <f ca="1">SUM(OFFSET(Demand!$H211,0,(COLUMN(E199)-1)*5,1,1))*R$2</f>
        <v>0</v>
      </c>
      <c r="AE202" s="5">
        <f ca="1">SUM(OFFSET(Demand!$H211,0,(COLUMN(F199)-1)*5,1,1))*S$2</f>
        <v>0</v>
      </c>
      <c r="AF202" s="5">
        <f ca="1">SUM(OFFSET(Demand!$H211,0,(COLUMN(G199)-1)*5,1,1))*T$2</f>
        <v>0</v>
      </c>
      <c r="AG202" s="5">
        <f ca="1">SUM(OFFSET(Demand!$H211,0,(COLUMN(H199)-1)*5,1,1))*U$2</f>
        <v>0</v>
      </c>
      <c r="AH202" s="5">
        <f ca="1">SUM(OFFSET(Demand!$H211,0,(COLUMN(I199)-1)*5,1,1))*V$2</f>
        <v>0</v>
      </c>
      <c r="AI202" s="5">
        <f ca="1">SUM(OFFSET(Demand!$H211,0,(COLUMN(J199)-1)*5,1,1))*W$2</f>
        <v>0</v>
      </c>
      <c r="AJ202" s="5">
        <f t="shared" ca="1" si="53"/>
        <v>0</v>
      </c>
      <c r="AL202" s="5">
        <f t="shared" ca="1" si="54"/>
        <v>0</v>
      </c>
      <c r="AM202" s="5">
        <f t="shared" ca="1" si="55"/>
        <v>0</v>
      </c>
      <c r="AN202" s="5" t="str">
        <f>IF(Demand!BE211="Yes","Yes","")</f>
        <v/>
      </c>
      <c r="AP202" s="36" t="str">
        <f ca="1">Demand!B211</f>
        <v xml:space="preserve"> </v>
      </c>
      <c r="AQ202" t="str">
        <f ca="1">IF(TEXT(Demand!D211,"MMM")&lt;&gt;TEXT(Demand!D210,"MMM"),TEXT(Demand!D211,"MMM"),"")</f>
        <v/>
      </c>
      <c r="AT202" s="5">
        <f t="shared" ca="1" si="56"/>
        <v>0</v>
      </c>
      <c r="BQ202">
        <f ca="1">IF($AN202="",OFFSET(Demand!$A$13,ROW(A199)-1,4+((QUOTIENT(COLUMN(BQ$2)-69,3))*5)+MOD(COLUMN(BQ$2),3),1,1),"")</f>
        <v>0</v>
      </c>
      <c r="BR202">
        <f ca="1">IF($AN202="",OFFSET(Demand!$A$13,ROW(B199)-1,4+((QUOTIENT(COLUMN(BR$2)-69,3))*5)+MOD(COLUMN(BR$2),3),1,1),"")</f>
        <v>0</v>
      </c>
      <c r="BS202">
        <f ca="1">IF($AN202="",OFFSET(Demand!$A$13,ROW(C199)-1,4+((QUOTIENT(COLUMN(BS$2)-69,3))*5)+MOD(COLUMN(BS$2),3),1,1),"")</f>
        <v>0</v>
      </c>
      <c r="BT202">
        <f ca="1">IF($AN202="",OFFSET(Demand!$A$13,ROW(D199)-1,4+((QUOTIENT(COLUMN(BT$2)-69,3))*5)+MOD(COLUMN(BT$2),3),1,1),"")</f>
        <v>0</v>
      </c>
      <c r="BU202">
        <f ca="1">IF($AN202="",OFFSET(Demand!$A$13,ROW(E199)-1,4+((QUOTIENT(COLUMN(BU$2)-69,3))*5)+MOD(COLUMN(BU$2),3),1,1),"")</f>
        <v>0</v>
      </c>
      <c r="BV202">
        <f ca="1">IF($AN202="",OFFSET(Demand!$A$13,ROW(F199)-1,4+((QUOTIENT(COLUMN(BV$2)-69,3))*5)+MOD(COLUMN(BV$2),3),1,1),"")</f>
        <v>0</v>
      </c>
      <c r="BW202">
        <f ca="1">IF($AN202="",OFFSET(Demand!$A$13,ROW(G199)-1,4+((QUOTIENT(COLUMN(BW$2)-69,3))*5)+MOD(COLUMN(BW$2),3),1,1),"")</f>
        <v>0</v>
      </c>
      <c r="BX202">
        <f ca="1">IF($AN202="",OFFSET(Demand!$A$13,ROW(H199)-1,4+((QUOTIENT(COLUMN(BX$2)-69,3))*5)+MOD(COLUMN(BX$2),3),1,1),"")</f>
        <v>0</v>
      </c>
      <c r="BY202">
        <f ca="1">IF($AN202="",OFFSET(Demand!$A$13,ROW(I199)-1,4+((QUOTIENT(COLUMN(BY$2)-69,3))*5)+MOD(COLUMN(BY$2),3),1,1),"")</f>
        <v>0</v>
      </c>
      <c r="BZ202">
        <f ca="1">IF($AN202="",OFFSET(Demand!$A$13,ROW(J199)-1,4+((QUOTIENT(COLUMN(BZ$2)-69,3))*5)+MOD(COLUMN(BZ$2),3),1,1),"")</f>
        <v>0</v>
      </c>
      <c r="CA202">
        <f ca="1">IF($AN202="",OFFSET(Demand!$A$13,ROW(K199)-1,4+((QUOTIENT(COLUMN(CA$2)-69,3))*5)+MOD(COLUMN(CA$2),3),1,1),"")</f>
        <v>0</v>
      </c>
      <c r="CB202">
        <f ca="1">IF($AN202="",OFFSET(Demand!$A$13,ROW(L199)-1,4+((QUOTIENT(COLUMN(CB$2)-69,3))*5)+MOD(COLUMN(CB$2),3),1,1),"")</f>
        <v>0</v>
      </c>
      <c r="CC202">
        <f ca="1">IF($AN202="",OFFSET(Demand!$A$13,ROW(M199)-1,4+((QUOTIENT(COLUMN(CC$2)-69,3))*5)+MOD(COLUMN(CC$2),3),1,1),"")</f>
        <v>0</v>
      </c>
      <c r="CD202">
        <f ca="1">IF($AN202="",OFFSET(Demand!$A$13,ROW(N199)-1,4+((QUOTIENT(COLUMN(CD$2)-69,3))*5)+MOD(COLUMN(CD$2),3),1,1),"")</f>
        <v>0</v>
      </c>
      <c r="CE202">
        <f ca="1">IF($AN202="",OFFSET(Demand!$A$13,ROW(O199)-1,4+((QUOTIENT(COLUMN(CE$2)-69,3))*5)+MOD(COLUMN(CE$2),3),1,1),"")</f>
        <v>0</v>
      </c>
      <c r="CF202">
        <f ca="1">IF($AN202="",OFFSET(Demand!$A$13,ROW(P199)-1,4+((QUOTIENT(COLUMN(CF$2)-69,3))*5)+MOD(COLUMN(CF$2),3),1,1),"")</f>
        <v>0</v>
      </c>
      <c r="CG202">
        <f ca="1">IF($AN202="",OFFSET(Demand!$A$13,ROW(Q199)-1,4+((QUOTIENT(COLUMN(CG$2)-69,3))*5)+MOD(COLUMN(CG$2),3),1,1),"")</f>
        <v>0</v>
      </c>
      <c r="CH202">
        <f ca="1">IF($AN202="",OFFSET(Demand!$A$13,ROW(R199)-1,4+((QUOTIENT(COLUMN(CH$2)-69,3))*5)+MOD(COLUMN(CH$2),3),1,1),"")</f>
        <v>0</v>
      </c>
      <c r="CI202">
        <f ca="1">IF($AN202="",OFFSET(Demand!$A$13,ROW(S199)-1,4+((QUOTIENT(COLUMN(CI$2)-69,3))*5)+MOD(COLUMN(CI$2),3),1,1),"")</f>
        <v>0</v>
      </c>
      <c r="CJ202">
        <f ca="1">IF($AN202="",OFFSET(Demand!$A$13,ROW(T199)-1,4+((QUOTIENT(COLUMN(CJ$2)-69,3))*5)+MOD(COLUMN(CJ$2),3),1,1),"")</f>
        <v>0</v>
      </c>
      <c r="CK202">
        <f ca="1">IF($AN202="",OFFSET(Demand!$A$13,ROW(U199)-1,4+((QUOTIENT(COLUMN(CK$2)-69,3))*5)+MOD(COLUMN(CK$2),3),1,1),"")</f>
        <v>0</v>
      </c>
      <c r="CL202">
        <f ca="1">IF($AN202="",OFFSET(Demand!$A$13,ROW(V199)-1,4+((QUOTIENT(COLUMN(CL$2)-69,3))*5)+MOD(COLUMN(CL$2),3),1,1),"")</f>
        <v>0</v>
      </c>
      <c r="CM202">
        <f ca="1">IF($AN202="",OFFSET(Demand!$A$13,ROW(W199)-1,4+((QUOTIENT(COLUMN(CM$2)-69,3))*5)+MOD(COLUMN(CM$2),3),1,1),"")</f>
        <v>0</v>
      </c>
      <c r="CN202">
        <f ca="1">IF($AN202="",OFFSET(Demand!$A$13,ROW(X199)-1,4+((QUOTIENT(COLUMN(CN$2)-69,3))*5)+MOD(COLUMN(CN$2),3),1,1),"")</f>
        <v>0</v>
      </c>
      <c r="CO202">
        <f ca="1">IF($AN202="",OFFSET(Demand!$A$13,ROW(Y199)-1,4+((QUOTIENT(COLUMN(CO$2)-69,3))*5)+MOD(COLUMN(CO$2),3),1,1),"")</f>
        <v>0</v>
      </c>
      <c r="CP202">
        <f ca="1">IF($AN202="",OFFSET(Demand!$A$13,ROW(Z199)-1,4+((QUOTIENT(COLUMN(CP$2)-69,3))*5)+MOD(COLUMN(CP$2),3),1,1),"")</f>
        <v>0</v>
      </c>
      <c r="CQ202">
        <f ca="1">IF($AN202="",OFFSET(Demand!$A$13,ROW(AA199)-1,4+((QUOTIENT(COLUMN(CQ$2)-69,3))*5)+MOD(COLUMN(CQ$2),3),1,1),"")</f>
        <v>0</v>
      </c>
      <c r="CR202">
        <f ca="1">IF($AN202="",OFFSET(Demand!$A$13,ROW(AB199)-1,4+((QUOTIENT(COLUMN(CR$2)-69,3))*5)+MOD(COLUMN(CR$2),3),1,1),"")</f>
        <v>0</v>
      </c>
      <c r="CS202">
        <f ca="1">IF($AN202="",OFFSET(Demand!$A$13,ROW(AC199)-1,4+((QUOTIENT(COLUMN(CS$2)-69,3))*5)+MOD(COLUMN(CS$2),3),1,1),"")</f>
        <v>0</v>
      </c>
      <c r="CT202">
        <f ca="1">IF($AN202="",OFFSET(Demand!$A$13,ROW(AD199)-1,4+((QUOTIENT(COLUMN(CT$2)-69,3))*5)+MOD(COLUMN(CT$2),3),1,1),"")</f>
        <v>0</v>
      </c>
      <c r="CW202" s="5">
        <f ca="1">SUM(OFFSET(Demand!$H$43,ROW(A199)-1,(COLUMN(A199)-1)*5,1,1))*N$2</f>
        <v>0</v>
      </c>
      <c r="CX202" s="5">
        <f ca="1">SUM(OFFSET(Demand!$H$43,ROW(B199)-1,(COLUMN(B199)-1)*5,1,1))*O$2</f>
        <v>0</v>
      </c>
      <c r="CY202" s="5">
        <f ca="1">SUM(OFFSET(Demand!$H$43,ROW(C199)-1,(COLUMN(C199)-1)*5,1,1))*P$2</f>
        <v>0</v>
      </c>
      <c r="CZ202" s="5">
        <f ca="1">SUM(OFFSET(Demand!$H$43,ROW(D199)-1,(COLUMN(D199)-1)*5,1,1))*Q$2</f>
        <v>0</v>
      </c>
      <c r="DA202" s="5">
        <f ca="1">SUM(OFFSET(Demand!$H$43,ROW(E199)-1,(COLUMN(E199)-1)*5,1,1))*R$2</f>
        <v>0</v>
      </c>
      <c r="DB202" s="5">
        <f ca="1">SUM(OFFSET(Demand!$H$43,ROW(F199)-1,(COLUMN(F199)-1)*5,1,1))*S$2</f>
        <v>0</v>
      </c>
      <c r="DC202" s="5">
        <f ca="1">SUM(OFFSET(Demand!$H$43,ROW(G199)-1,(COLUMN(G199)-1)*5,1,1))*T$2</f>
        <v>0</v>
      </c>
      <c r="DD202" s="5">
        <f ca="1">SUM(OFFSET(Demand!$H$43,ROW(H199)-1,(COLUMN(H199)-1)*5,1,1))*U$2</f>
        <v>0</v>
      </c>
      <c r="DE202" s="5">
        <f ca="1">SUM(OFFSET(Demand!$H$43,ROW(I199)-1,(COLUMN(I199)-1)*5,1,1))*V$2</f>
        <v>0</v>
      </c>
      <c r="DF202" s="5">
        <f ca="1">SUM(OFFSET(Demand!$H$43,ROW(J199)-1,(COLUMN(J199)-1)*5,1,1))*W$2</f>
        <v>0</v>
      </c>
      <c r="DG202" s="5">
        <f ca="1">IF(OR(AN202&lt;&gt;"",AND('Demand adjustments for Covid'!$F$9="Yes",'Demand adjustments for Covid'!$F$20="Yes")),"",SUM(CW202:DF202))</f>
        <v>0</v>
      </c>
    </row>
    <row r="203" spans="1:111" x14ac:dyDescent="0.25">
      <c r="A203" s="5">
        <f t="shared" ca="1" si="50"/>
        <v>1</v>
      </c>
      <c r="B203" s="5">
        <f ca="1">COUNTBLANK(OFFSET(Demand!$I212,0,(COLUMN(A200)-1)*5,1,1))</f>
        <v>1</v>
      </c>
      <c r="C203" s="5">
        <f ca="1">COUNTBLANK(OFFSET(Demand!$I212,0,(COLUMN(B200)-1)*5,1,1))</f>
        <v>1</v>
      </c>
      <c r="D203" s="5">
        <f ca="1">COUNTBLANK(OFFSET(Demand!$I212,0,(COLUMN(C200)-1)*5,1,1))</f>
        <v>1</v>
      </c>
      <c r="E203" s="5">
        <f ca="1">COUNTBLANK(OFFSET(Demand!$I212,0,(COLUMN(D200)-1)*5,1,1))</f>
        <v>1</v>
      </c>
      <c r="F203" s="5">
        <f ca="1">COUNTBLANK(OFFSET(Demand!$I212,0,(COLUMN(E200)-1)*5,1,1))</f>
        <v>1</v>
      </c>
      <c r="G203" s="5">
        <f ca="1">COUNTBLANK(OFFSET(Demand!$I212,0,(COLUMN(F200)-1)*5,1,1))</f>
        <v>1</v>
      </c>
      <c r="H203" s="5">
        <f ca="1">COUNTBLANK(OFFSET(Demand!$I212,0,(COLUMN(G200)-1)*5,1,1))</f>
        <v>1</v>
      </c>
      <c r="I203" s="5">
        <f ca="1">COUNTBLANK(OFFSET(Demand!$I212,0,(COLUMN(H200)-1)*5,1,1))</f>
        <v>1</v>
      </c>
      <c r="J203" s="5">
        <f ca="1">COUNTBLANK(OFFSET(Demand!$I212,0,(COLUMN(I200)-1)*5,1,1))</f>
        <v>1</v>
      </c>
      <c r="K203" s="5">
        <f ca="1">COUNTBLANK(OFFSET(Demand!$I212,0,(COLUMN(J200)-1)*5,1,1))</f>
        <v>1</v>
      </c>
      <c r="N203" s="5">
        <f ca="1">SUM(OFFSET(Demand!$E212,0,(COLUMN(A200)-1)*5,1,3))*N$2</f>
        <v>0</v>
      </c>
      <c r="O203" s="5">
        <f ca="1">SUM(OFFSET(Demand!$E212,0,(COLUMN(B200)-1)*5,1,3))*O$2</f>
        <v>0</v>
      </c>
      <c r="P203" s="5">
        <f ca="1">SUM(OFFSET(Demand!$E212,0,(COLUMN(C200)-1)*5,1,3))*P$2</f>
        <v>0</v>
      </c>
      <c r="Q203" s="5">
        <f ca="1">SUM(OFFSET(Demand!$E212,0,(COLUMN(D200)-1)*5,1,3))*Q$2</f>
        <v>0</v>
      </c>
      <c r="R203" s="5">
        <f ca="1">SUM(OFFSET(Demand!$E212,0,(COLUMN(E200)-1)*5,1,3))*R$2</f>
        <v>0</v>
      </c>
      <c r="S203" s="5">
        <f ca="1">SUM(OFFSET(Demand!$E212,0,(COLUMN(F200)-1)*5,1,3))*S$2</f>
        <v>0</v>
      </c>
      <c r="T203" s="5">
        <f ca="1">SUM(OFFSET(Demand!$E212,0,(COLUMN(G200)-1)*5,1,3))*T$2</f>
        <v>0</v>
      </c>
      <c r="U203" s="5">
        <f ca="1">SUM(OFFSET(Demand!$E212,0,(COLUMN(H200)-1)*5,1,3))*U$2</f>
        <v>0</v>
      </c>
      <c r="V203" s="5">
        <f ca="1">SUM(OFFSET(Demand!$E212,0,(COLUMN(I200)-1)*5,1,3))*V$2</f>
        <v>0</v>
      </c>
      <c r="W203" s="5">
        <f ca="1">SUM(OFFSET(Demand!$E212,0,(COLUMN(J200)-1)*5,1,3))*W$2</f>
        <v>0</v>
      </c>
      <c r="X203" s="5">
        <f t="shared" ca="1" si="51"/>
        <v>0</v>
      </c>
      <c r="Y203">
        <f t="shared" ca="1" si="52"/>
        <v>0</v>
      </c>
      <c r="Z203" s="5">
        <f ca="1">SUM(OFFSET(Demand!$H212,0,(COLUMN(A200)-1)*5,1,1))*N$2</f>
        <v>0</v>
      </c>
      <c r="AA203" s="5">
        <f ca="1">SUM(OFFSET(Demand!$H212,0,(COLUMN(B200)-1)*5,1,1))*O$2</f>
        <v>0</v>
      </c>
      <c r="AB203" s="5">
        <f ca="1">SUM(OFFSET(Demand!$H212,0,(COLUMN(C200)-1)*5,1,1))*P$2</f>
        <v>0</v>
      </c>
      <c r="AC203" s="5">
        <f ca="1">SUM(OFFSET(Demand!$H212,0,(COLUMN(D200)-1)*5,1,1))*Q$2</f>
        <v>0</v>
      </c>
      <c r="AD203" s="5">
        <f ca="1">SUM(OFFSET(Demand!$H212,0,(COLUMN(E200)-1)*5,1,1))*R$2</f>
        <v>0</v>
      </c>
      <c r="AE203" s="5">
        <f ca="1">SUM(OFFSET(Demand!$H212,0,(COLUMN(F200)-1)*5,1,1))*S$2</f>
        <v>0</v>
      </c>
      <c r="AF203" s="5">
        <f ca="1">SUM(OFFSET(Demand!$H212,0,(COLUMN(G200)-1)*5,1,1))*T$2</f>
        <v>0</v>
      </c>
      <c r="AG203" s="5">
        <f ca="1">SUM(OFFSET(Demand!$H212,0,(COLUMN(H200)-1)*5,1,1))*U$2</f>
        <v>0</v>
      </c>
      <c r="AH203" s="5">
        <f ca="1">SUM(OFFSET(Demand!$H212,0,(COLUMN(I200)-1)*5,1,1))*V$2</f>
        <v>0</v>
      </c>
      <c r="AI203" s="5">
        <f ca="1">SUM(OFFSET(Demand!$H212,0,(COLUMN(J200)-1)*5,1,1))*W$2</f>
        <v>0</v>
      </c>
      <c r="AJ203" s="5">
        <f t="shared" ca="1" si="53"/>
        <v>0</v>
      </c>
      <c r="AL203" s="5">
        <f t="shared" ca="1" si="54"/>
        <v>0</v>
      </c>
      <c r="AM203" s="5">
        <f t="shared" ca="1" si="55"/>
        <v>0</v>
      </c>
      <c r="AN203" s="5" t="str">
        <f>IF(Demand!BE212="Yes","Yes","")</f>
        <v/>
      </c>
      <c r="AP203" s="36" t="str">
        <f ca="1">Demand!B212</f>
        <v xml:space="preserve"> </v>
      </c>
      <c r="AQ203" t="str">
        <f ca="1">IF(TEXT(Demand!D212,"MMM")&lt;&gt;TEXT(Demand!D211,"MMM"),TEXT(Demand!D212,"MMM"),"")</f>
        <v/>
      </c>
      <c r="AT203" s="5">
        <f t="shared" ca="1" si="56"/>
        <v>0</v>
      </c>
      <c r="BQ203">
        <f ca="1">IF($AN203="",OFFSET(Demand!$A$13,ROW(A200)-1,4+((QUOTIENT(COLUMN(BQ$2)-69,3))*5)+MOD(COLUMN(BQ$2),3),1,1),"")</f>
        <v>0</v>
      </c>
      <c r="BR203">
        <f ca="1">IF($AN203="",OFFSET(Demand!$A$13,ROW(B200)-1,4+((QUOTIENT(COLUMN(BR$2)-69,3))*5)+MOD(COLUMN(BR$2),3),1,1),"")</f>
        <v>0</v>
      </c>
      <c r="BS203">
        <f ca="1">IF($AN203="",OFFSET(Demand!$A$13,ROW(C200)-1,4+((QUOTIENT(COLUMN(BS$2)-69,3))*5)+MOD(COLUMN(BS$2),3),1,1),"")</f>
        <v>0</v>
      </c>
      <c r="BT203">
        <f ca="1">IF($AN203="",OFFSET(Demand!$A$13,ROW(D200)-1,4+((QUOTIENT(COLUMN(BT$2)-69,3))*5)+MOD(COLUMN(BT$2),3),1,1),"")</f>
        <v>0</v>
      </c>
      <c r="BU203">
        <f ca="1">IF($AN203="",OFFSET(Demand!$A$13,ROW(E200)-1,4+((QUOTIENT(COLUMN(BU$2)-69,3))*5)+MOD(COLUMN(BU$2),3),1,1),"")</f>
        <v>0</v>
      </c>
      <c r="BV203">
        <f ca="1">IF($AN203="",OFFSET(Demand!$A$13,ROW(F200)-1,4+((QUOTIENT(COLUMN(BV$2)-69,3))*5)+MOD(COLUMN(BV$2),3),1,1),"")</f>
        <v>0</v>
      </c>
      <c r="BW203">
        <f ca="1">IF($AN203="",OFFSET(Demand!$A$13,ROW(G200)-1,4+((QUOTIENT(COLUMN(BW$2)-69,3))*5)+MOD(COLUMN(BW$2),3),1,1),"")</f>
        <v>0</v>
      </c>
      <c r="BX203">
        <f ca="1">IF($AN203="",OFFSET(Demand!$A$13,ROW(H200)-1,4+((QUOTIENT(COLUMN(BX$2)-69,3))*5)+MOD(COLUMN(BX$2),3),1,1),"")</f>
        <v>0</v>
      </c>
      <c r="BY203">
        <f ca="1">IF($AN203="",OFFSET(Demand!$A$13,ROW(I200)-1,4+((QUOTIENT(COLUMN(BY$2)-69,3))*5)+MOD(COLUMN(BY$2),3),1,1),"")</f>
        <v>0</v>
      </c>
      <c r="BZ203">
        <f ca="1">IF($AN203="",OFFSET(Demand!$A$13,ROW(J200)-1,4+((QUOTIENT(COLUMN(BZ$2)-69,3))*5)+MOD(COLUMN(BZ$2),3),1,1),"")</f>
        <v>0</v>
      </c>
      <c r="CA203">
        <f ca="1">IF($AN203="",OFFSET(Demand!$A$13,ROW(K200)-1,4+((QUOTIENT(COLUMN(CA$2)-69,3))*5)+MOD(COLUMN(CA$2),3),1,1),"")</f>
        <v>0</v>
      </c>
      <c r="CB203">
        <f ca="1">IF($AN203="",OFFSET(Demand!$A$13,ROW(L200)-1,4+((QUOTIENT(COLUMN(CB$2)-69,3))*5)+MOD(COLUMN(CB$2),3),1,1),"")</f>
        <v>0</v>
      </c>
      <c r="CC203">
        <f ca="1">IF($AN203="",OFFSET(Demand!$A$13,ROW(M200)-1,4+((QUOTIENT(COLUMN(CC$2)-69,3))*5)+MOD(COLUMN(CC$2),3),1,1),"")</f>
        <v>0</v>
      </c>
      <c r="CD203">
        <f ca="1">IF($AN203="",OFFSET(Demand!$A$13,ROW(N200)-1,4+((QUOTIENT(COLUMN(CD$2)-69,3))*5)+MOD(COLUMN(CD$2),3),1,1),"")</f>
        <v>0</v>
      </c>
      <c r="CE203">
        <f ca="1">IF($AN203="",OFFSET(Demand!$A$13,ROW(O200)-1,4+((QUOTIENT(COLUMN(CE$2)-69,3))*5)+MOD(COLUMN(CE$2),3),1,1),"")</f>
        <v>0</v>
      </c>
      <c r="CF203">
        <f ca="1">IF($AN203="",OFFSET(Demand!$A$13,ROW(P200)-1,4+((QUOTIENT(COLUMN(CF$2)-69,3))*5)+MOD(COLUMN(CF$2),3),1,1),"")</f>
        <v>0</v>
      </c>
      <c r="CG203">
        <f ca="1">IF($AN203="",OFFSET(Demand!$A$13,ROW(Q200)-1,4+((QUOTIENT(COLUMN(CG$2)-69,3))*5)+MOD(COLUMN(CG$2),3),1,1),"")</f>
        <v>0</v>
      </c>
      <c r="CH203">
        <f ca="1">IF($AN203="",OFFSET(Demand!$A$13,ROW(R200)-1,4+((QUOTIENT(COLUMN(CH$2)-69,3))*5)+MOD(COLUMN(CH$2),3),1,1),"")</f>
        <v>0</v>
      </c>
      <c r="CI203">
        <f ca="1">IF($AN203="",OFFSET(Demand!$A$13,ROW(S200)-1,4+((QUOTIENT(COLUMN(CI$2)-69,3))*5)+MOD(COLUMN(CI$2),3),1,1),"")</f>
        <v>0</v>
      </c>
      <c r="CJ203">
        <f ca="1">IF($AN203="",OFFSET(Demand!$A$13,ROW(T200)-1,4+((QUOTIENT(COLUMN(CJ$2)-69,3))*5)+MOD(COLUMN(CJ$2),3),1,1),"")</f>
        <v>0</v>
      </c>
      <c r="CK203">
        <f ca="1">IF($AN203="",OFFSET(Demand!$A$13,ROW(U200)-1,4+((QUOTIENT(COLUMN(CK$2)-69,3))*5)+MOD(COLUMN(CK$2),3),1,1),"")</f>
        <v>0</v>
      </c>
      <c r="CL203">
        <f ca="1">IF($AN203="",OFFSET(Demand!$A$13,ROW(V200)-1,4+((QUOTIENT(COLUMN(CL$2)-69,3))*5)+MOD(COLUMN(CL$2),3),1,1),"")</f>
        <v>0</v>
      </c>
      <c r="CM203">
        <f ca="1">IF($AN203="",OFFSET(Demand!$A$13,ROW(W200)-1,4+((QUOTIENT(COLUMN(CM$2)-69,3))*5)+MOD(COLUMN(CM$2),3),1,1),"")</f>
        <v>0</v>
      </c>
      <c r="CN203">
        <f ca="1">IF($AN203="",OFFSET(Demand!$A$13,ROW(X200)-1,4+((QUOTIENT(COLUMN(CN$2)-69,3))*5)+MOD(COLUMN(CN$2),3),1,1),"")</f>
        <v>0</v>
      </c>
      <c r="CO203">
        <f ca="1">IF($AN203="",OFFSET(Demand!$A$13,ROW(Y200)-1,4+((QUOTIENT(COLUMN(CO$2)-69,3))*5)+MOD(COLUMN(CO$2),3),1,1),"")</f>
        <v>0</v>
      </c>
      <c r="CP203">
        <f ca="1">IF($AN203="",OFFSET(Demand!$A$13,ROW(Z200)-1,4+((QUOTIENT(COLUMN(CP$2)-69,3))*5)+MOD(COLUMN(CP$2),3),1,1),"")</f>
        <v>0</v>
      </c>
      <c r="CQ203">
        <f ca="1">IF($AN203="",OFFSET(Demand!$A$13,ROW(AA200)-1,4+((QUOTIENT(COLUMN(CQ$2)-69,3))*5)+MOD(COLUMN(CQ$2),3),1,1),"")</f>
        <v>0</v>
      </c>
      <c r="CR203">
        <f ca="1">IF($AN203="",OFFSET(Demand!$A$13,ROW(AB200)-1,4+((QUOTIENT(COLUMN(CR$2)-69,3))*5)+MOD(COLUMN(CR$2),3),1,1),"")</f>
        <v>0</v>
      </c>
      <c r="CS203">
        <f ca="1">IF($AN203="",OFFSET(Demand!$A$13,ROW(AC200)-1,4+((QUOTIENT(COLUMN(CS$2)-69,3))*5)+MOD(COLUMN(CS$2),3),1,1),"")</f>
        <v>0</v>
      </c>
      <c r="CT203">
        <f ca="1">IF($AN203="",OFFSET(Demand!$A$13,ROW(AD200)-1,4+((QUOTIENT(COLUMN(CT$2)-69,3))*5)+MOD(COLUMN(CT$2),3),1,1),"")</f>
        <v>0</v>
      </c>
      <c r="CW203" s="5">
        <f ca="1">SUM(OFFSET(Demand!$H$43,ROW(A200)-1,(COLUMN(A200)-1)*5,1,1))*N$2</f>
        <v>0</v>
      </c>
      <c r="CX203" s="5">
        <f ca="1">SUM(OFFSET(Demand!$H$43,ROW(B200)-1,(COLUMN(B200)-1)*5,1,1))*O$2</f>
        <v>0</v>
      </c>
      <c r="CY203" s="5">
        <f ca="1">SUM(OFFSET(Demand!$H$43,ROW(C200)-1,(COLUMN(C200)-1)*5,1,1))*P$2</f>
        <v>0</v>
      </c>
      <c r="CZ203" s="5">
        <f ca="1">SUM(OFFSET(Demand!$H$43,ROW(D200)-1,(COLUMN(D200)-1)*5,1,1))*Q$2</f>
        <v>0</v>
      </c>
      <c r="DA203" s="5">
        <f ca="1">SUM(OFFSET(Demand!$H$43,ROW(E200)-1,(COLUMN(E200)-1)*5,1,1))*R$2</f>
        <v>0</v>
      </c>
      <c r="DB203" s="5">
        <f ca="1">SUM(OFFSET(Demand!$H$43,ROW(F200)-1,(COLUMN(F200)-1)*5,1,1))*S$2</f>
        <v>0</v>
      </c>
      <c r="DC203" s="5">
        <f ca="1">SUM(OFFSET(Demand!$H$43,ROW(G200)-1,(COLUMN(G200)-1)*5,1,1))*T$2</f>
        <v>0</v>
      </c>
      <c r="DD203" s="5">
        <f ca="1">SUM(OFFSET(Demand!$H$43,ROW(H200)-1,(COLUMN(H200)-1)*5,1,1))*U$2</f>
        <v>0</v>
      </c>
      <c r="DE203" s="5">
        <f ca="1">SUM(OFFSET(Demand!$H$43,ROW(I200)-1,(COLUMN(I200)-1)*5,1,1))*V$2</f>
        <v>0</v>
      </c>
      <c r="DF203" s="5">
        <f ca="1">SUM(OFFSET(Demand!$H$43,ROW(J200)-1,(COLUMN(J200)-1)*5,1,1))*W$2</f>
        <v>0</v>
      </c>
      <c r="DG203" s="5">
        <f ca="1">IF(OR(AN203&lt;&gt;"",AND('Demand adjustments for Covid'!$F$9="Yes",'Demand adjustments for Covid'!$F$20="Yes")),"",SUM(CW203:DF203))</f>
        <v>0</v>
      </c>
    </row>
    <row r="204" spans="1:111" x14ac:dyDescent="0.25">
      <c r="A204" s="5">
        <f t="shared" ca="1" si="50"/>
        <v>1</v>
      </c>
      <c r="B204" s="5">
        <f ca="1">COUNTBLANK(OFFSET(Demand!$I213,0,(COLUMN(A201)-1)*5,1,1))</f>
        <v>1</v>
      </c>
      <c r="C204" s="5">
        <f ca="1">COUNTBLANK(OFFSET(Demand!$I213,0,(COLUMN(B201)-1)*5,1,1))</f>
        <v>1</v>
      </c>
      <c r="D204" s="5">
        <f ca="1">COUNTBLANK(OFFSET(Demand!$I213,0,(COLUMN(C201)-1)*5,1,1))</f>
        <v>1</v>
      </c>
      <c r="E204" s="5">
        <f ca="1">COUNTBLANK(OFFSET(Demand!$I213,0,(COLUMN(D201)-1)*5,1,1))</f>
        <v>1</v>
      </c>
      <c r="F204" s="5">
        <f ca="1">COUNTBLANK(OFFSET(Demand!$I213,0,(COLUMN(E201)-1)*5,1,1))</f>
        <v>1</v>
      </c>
      <c r="G204" s="5">
        <f ca="1">COUNTBLANK(OFFSET(Demand!$I213,0,(COLUMN(F201)-1)*5,1,1))</f>
        <v>1</v>
      </c>
      <c r="H204" s="5">
        <f ca="1">COUNTBLANK(OFFSET(Demand!$I213,0,(COLUMN(G201)-1)*5,1,1))</f>
        <v>1</v>
      </c>
      <c r="I204" s="5">
        <f ca="1">COUNTBLANK(OFFSET(Demand!$I213,0,(COLUMN(H201)-1)*5,1,1))</f>
        <v>1</v>
      </c>
      <c r="J204" s="5">
        <f ca="1">COUNTBLANK(OFFSET(Demand!$I213,0,(COLUMN(I201)-1)*5,1,1))</f>
        <v>1</v>
      </c>
      <c r="K204" s="5">
        <f ca="1">COUNTBLANK(OFFSET(Demand!$I213,0,(COLUMN(J201)-1)*5,1,1))</f>
        <v>1</v>
      </c>
      <c r="N204" s="5">
        <f ca="1">SUM(OFFSET(Demand!$E213,0,(COLUMN(A201)-1)*5,1,3))*N$2</f>
        <v>0</v>
      </c>
      <c r="O204" s="5">
        <f ca="1">SUM(OFFSET(Demand!$E213,0,(COLUMN(B201)-1)*5,1,3))*O$2</f>
        <v>0</v>
      </c>
      <c r="P204" s="5">
        <f ca="1">SUM(OFFSET(Demand!$E213,0,(COLUMN(C201)-1)*5,1,3))*P$2</f>
        <v>0</v>
      </c>
      <c r="Q204" s="5">
        <f ca="1">SUM(OFFSET(Demand!$E213,0,(COLUMN(D201)-1)*5,1,3))*Q$2</f>
        <v>0</v>
      </c>
      <c r="R204" s="5">
        <f ca="1">SUM(OFFSET(Demand!$E213,0,(COLUMN(E201)-1)*5,1,3))*R$2</f>
        <v>0</v>
      </c>
      <c r="S204" s="5">
        <f ca="1">SUM(OFFSET(Demand!$E213,0,(COLUMN(F201)-1)*5,1,3))*S$2</f>
        <v>0</v>
      </c>
      <c r="T204" s="5">
        <f ca="1">SUM(OFFSET(Demand!$E213,0,(COLUMN(G201)-1)*5,1,3))*T$2</f>
        <v>0</v>
      </c>
      <c r="U204" s="5">
        <f ca="1">SUM(OFFSET(Demand!$E213,0,(COLUMN(H201)-1)*5,1,3))*U$2</f>
        <v>0</v>
      </c>
      <c r="V204" s="5">
        <f ca="1">SUM(OFFSET(Demand!$E213,0,(COLUMN(I201)-1)*5,1,3))*V$2</f>
        <v>0</v>
      </c>
      <c r="W204" s="5">
        <f ca="1">SUM(OFFSET(Demand!$E213,0,(COLUMN(J201)-1)*5,1,3))*W$2</f>
        <v>0</v>
      </c>
      <c r="X204" s="5">
        <f t="shared" ca="1" si="51"/>
        <v>0</v>
      </c>
      <c r="Y204">
        <f t="shared" ca="1" si="52"/>
        <v>0</v>
      </c>
      <c r="Z204" s="5">
        <f ca="1">SUM(OFFSET(Demand!$H213,0,(COLUMN(A201)-1)*5,1,1))*N$2</f>
        <v>0</v>
      </c>
      <c r="AA204" s="5">
        <f ca="1">SUM(OFFSET(Demand!$H213,0,(COLUMN(B201)-1)*5,1,1))*O$2</f>
        <v>0</v>
      </c>
      <c r="AB204" s="5">
        <f ca="1">SUM(OFFSET(Demand!$H213,0,(COLUMN(C201)-1)*5,1,1))*P$2</f>
        <v>0</v>
      </c>
      <c r="AC204" s="5">
        <f ca="1">SUM(OFFSET(Demand!$H213,0,(COLUMN(D201)-1)*5,1,1))*Q$2</f>
        <v>0</v>
      </c>
      <c r="AD204" s="5">
        <f ca="1">SUM(OFFSET(Demand!$H213,0,(COLUMN(E201)-1)*5,1,1))*R$2</f>
        <v>0</v>
      </c>
      <c r="AE204" s="5">
        <f ca="1">SUM(OFFSET(Demand!$H213,0,(COLUMN(F201)-1)*5,1,1))*S$2</f>
        <v>0</v>
      </c>
      <c r="AF204" s="5">
        <f ca="1">SUM(OFFSET(Demand!$H213,0,(COLUMN(G201)-1)*5,1,1))*T$2</f>
        <v>0</v>
      </c>
      <c r="AG204" s="5">
        <f ca="1">SUM(OFFSET(Demand!$H213,0,(COLUMN(H201)-1)*5,1,1))*U$2</f>
        <v>0</v>
      </c>
      <c r="AH204" s="5">
        <f ca="1">SUM(OFFSET(Demand!$H213,0,(COLUMN(I201)-1)*5,1,1))*V$2</f>
        <v>0</v>
      </c>
      <c r="AI204" s="5">
        <f ca="1">SUM(OFFSET(Demand!$H213,0,(COLUMN(J201)-1)*5,1,1))*W$2</f>
        <v>0</v>
      </c>
      <c r="AJ204" s="5">
        <f t="shared" ca="1" si="53"/>
        <v>0</v>
      </c>
      <c r="AL204" s="5">
        <f t="shared" ca="1" si="54"/>
        <v>0</v>
      </c>
      <c r="AM204" s="5">
        <f t="shared" ca="1" si="55"/>
        <v>0</v>
      </c>
      <c r="AN204" s="5" t="str">
        <f>IF(Demand!BE213="Yes","Yes","")</f>
        <v/>
      </c>
      <c r="AP204" s="36" t="str">
        <f ca="1">Demand!B213</f>
        <v xml:space="preserve"> </v>
      </c>
      <c r="AQ204" t="str">
        <f ca="1">IF(TEXT(Demand!D213,"MMM")&lt;&gt;TEXT(Demand!D212,"MMM"),TEXT(Demand!D213,"MMM"),"")</f>
        <v/>
      </c>
      <c r="AT204" s="5">
        <f t="shared" ca="1" si="56"/>
        <v>0</v>
      </c>
      <c r="BQ204">
        <f ca="1">IF($AN204="",OFFSET(Demand!$A$13,ROW(A201)-1,4+((QUOTIENT(COLUMN(BQ$2)-69,3))*5)+MOD(COLUMN(BQ$2),3),1,1),"")</f>
        <v>0</v>
      </c>
      <c r="BR204">
        <f ca="1">IF($AN204="",OFFSET(Demand!$A$13,ROW(B201)-1,4+((QUOTIENT(COLUMN(BR$2)-69,3))*5)+MOD(COLUMN(BR$2),3),1,1),"")</f>
        <v>0</v>
      </c>
      <c r="BS204">
        <f ca="1">IF($AN204="",OFFSET(Demand!$A$13,ROW(C201)-1,4+((QUOTIENT(COLUMN(BS$2)-69,3))*5)+MOD(COLUMN(BS$2),3),1,1),"")</f>
        <v>0</v>
      </c>
      <c r="BT204">
        <f ca="1">IF($AN204="",OFFSET(Demand!$A$13,ROW(D201)-1,4+((QUOTIENT(COLUMN(BT$2)-69,3))*5)+MOD(COLUMN(BT$2),3),1,1),"")</f>
        <v>0</v>
      </c>
      <c r="BU204">
        <f ca="1">IF($AN204="",OFFSET(Demand!$A$13,ROW(E201)-1,4+((QUOTIENT(COLUMN(BU$2)-69,3))*5)+MOD(COLUMN(BU$2),3),1,1),"")</f>
        <v>0</v>
      </c>
      <c r="BV204">
        <f ca="1">IF($AN204="",OFFSET(Demand!$A$13,ROW(F201)-1,4+((QUOTIENT(COLUMN(BV$2)-69,3))*5)+MOD(COLUMN(BV$2),3),1,1),"")</f>
        <v>0</v>
      </c>
      <c r="BW204">
        <f ca="1">IF($AN204="",OFFSET(Demand!$A$13,ROW(G201)-1,4+((QUOTIENT(COLUMN(BW$2)-69,3))*5)+MOD(COLUMN(BW$2),3),1,1),"")</f>
        <v>0</v>
      </c>
      <c r="BX204">
        <f ca="1">IF($AN204="",OFFSET(Demand!$A$13,ROW(H201)-1,4+((QUOTIENT(COLUMN(BX$2)-69,3))*5)+MOD(COLUMN(BX$2),3),1,1),"")</f>
        <v>0</v>
      </c>
      <c r="BY204">
        <f ca="1">IF($AN204="",OFFSET(Demand!$A$13,ROW(I201)-1,4+((QUOTIENT(COLUMN(BY$2)-69,3))*5)+MOD(COLUMN(BY$2),3),1,1),"")</f>
        <v>0</v>
      </c>
      <c r="BZ204">
        <f ca="1">IF($AN204="",OFFSET(Demand!$A$13,ROW(J201)-1,4+((QUOTIENT(COLUMN(BZ$2)-69,3))*5)+MOD(COLUMN(BZ$2),3),1,1),"")</f>
        <v>0</v>
      </c>
      <c r="CA204">
        <f ca="1">IF($AN204="",OFFSET(Demand!$A$13,ROW(K201)-1,4+((QUOTIENT(COLUMN(CA$2)-69,3))*5)+MOD(COLUMN(CA$2),3),1,1),"")</f>
        <v>0</v>
      </c>
      <c r="CB204">
        <f ca="1">IF($AN204="",OFFSET(Demand!$A$13,ROW(L201)-1,4+((QUOTIENT(COLUMN(CB$2)-69,3))*5)+MOD(COLUMN(CB$2),3),1,1),"")</f>
        <v>0</v>
      </c>
      <c r="CC204">
        <f ca="1">IF($AN204="",OFFSET(Demand!$A$13,ROW(M201)-1,4+((QUOTIENT(COLUMN(CC$2)-69,3))*5)+MOD(COLUMN(CC$2),3),1,1),"")</f>
        <v>0</v>
      </c>
      <c r="CD204">
        <f ca="1">IF($AN204="",OFFSET(Demand!$A$13,ROW(N201)-1,4+((QUOTIENT(COLUMN(CD$2)-69,3))*5)+MOD(COLUMN(CD$2),3),1,1),"")</f>
        <v>0</v>
      </c>
      <c r="CE204">
        <f ca="1">IF($AN204="",OFFSET(Demand!$A$13,ROW(O201)-1,4+((QUOTIENT(COLUMN(CE$2)-69,3))*5)+MOD(COLUMN(CE$2),3),1,1),"")</f>
        <v>0</v>
      </c>
      <c r="CF204">
        <f ca="1">IF($AN204="",OFFSET(Demand!$A$13,ROW(P201)-1,4+((QUOTIENT(COLUMN(CF$2)-69,3))*5)+MOD(COLUMN(CF$2),3),1,1),"")</f>
        <v>0</v>
      </c>
      <c r="CG204">
        <f ca="1">IF($AN204="",OFFSET(Demand!$A$13,ROW(Q201)-1,4+((QUOTIENT(COLUMN(CG$2)-69,3))*5)+MOD(COLUMN(CG$2),3),1,1),"")</f>
        <v>0</v>
      </c>
      <c r="CH204">
        <f ca="1">IF($AN204="",OFFSET(Demand!$A$13,ROW(R201)-1,4+((QUOTIENT(COLUMN(CH$2)-69,3))*5)+MOD(COLUMN(CH$2),3),1,1),"")</f>
        <v>0</v>
      </c>
      <c r="CI204">
        <f ca="1">IF($AN204="",OFFSET(Demand!$A$13,ROW(S201)-1,4+((QUOTIENT(COLUMN(CI$2)-69,3))*5)+MOD(COLUMN(CI$2),3),1,1),"")</f>
        <v>0</v>
      </c>
      <c r="CJ204">
        <f ca="1">IF($AN204="",OFFSET(Demand!$A$13,ROW(T201)-1,4+((QUOTIENT(COLUMN(CJ$2)-69,3))*5)+MOD(COLUMN(CJ$2),3),1,1),"")</f>
        <v>0</v>
      </c>
      <c r="CK204">
        <f ca="1">IF($AN204="",OFFSET(Demand!$A$13,ROW(U201)-1,4+((QUOTIENT(COLUMN(CK$2)-69,3))*5)+MOD(COLUMN(CK$2),3),1,1),"")</f>
        <v>0</v>
      </c>
      <c r="CL204">
        <f ca="1">IF($AN204="",OFFSET(Demand!$A$13,ROW(V201)-1,4+((QUOTIENT(COLUMN(CL$2)-69,3))*5)+MOD(COLUMN(CL$2),3),1,1),"")</f>
        <v>0</v>
      </c>
      <c r="CM204">
        <f ca="1">IF($AN204="",OFFSET(Demand!$A$13,ROW(W201)-1,4+((QUOTIENT(COLUMN(CM$2)-69,3))*5)+MOD(COLUMN(CM$2),3),1,1),"")</f>
        <v>0</v>
      </c>
      <c r="CN204">
        <f ca="1">IF($AN204="",OFFSET(Demand!$A$13,ROW(X201)-1,4+((QUOTIENT(COLUMN(CN$2)-69,3))*5)+MOD(COLUMN(CN$2),3),1,1),"")</f>
        <v>0</v>
      </c>
      <c r="CO204">
        <f ca="1">IF($AN204="",OFFSET(Demand!$A$13,ROW(Y201)-1,4+((QUOTIENT(COLUMN(CO$2)-69,3))*5)+MOD(COLUMN(CO$2),3),1,1),"")</f>
        <v>0</v>
      </c>
      <c r="CP204">
        <f ca="1">IF($AN204="",OFFSET(Demand!$A$13,ROW(Z201)-1,4+((QUOTIENT(COLUMN(CP$2)-69,3))*5)+MOD(COLUMN(CP$2),3),1,1),"")</f>
        <v>0</v>
      </c>
      <c r="CQ204">
        <f ca="1">IF($AN204="",OFFSET(Demand!$A$13,ROW(AA201)-1,4+((QUOTIENT(COLUMN(CQ$2)-69,3))*5)+MOD(COLUMN(CQ$2),3),1,1),"")</f>
        <v>0</v>
      </c>
      <c r="CR204">
        <f ca="1">IF($AN204="",OFFSET(Demand!$A$13,ROW(AB201)-1,4+((QUOTIENT(COLUMN(CR$2)-69,3))*5)+MOD(COLUMN(CR$2),3),1,1),"")</f>
        <v>0</v>
      </c>
      <c r="CS204">
        <f ca="1">IF($AN204="",OFFSET(Demand!$A$13,ROW(AC201)-1,4+((QUOTIENT(COLUMN(CS$2)-69,3))*5)+MOD(COLUMN(CS$2),3),1,1),"")</f>
        <v>0</v>
      </c>
      <c r="CT204">
        <f ca="1">IF($AN204="",OFFSET(Demand!$A$13,ROW(AD201)-1,4+((QUOTIENT(COLUMN(CT$2)-69,3))*5)+MOD(COLUMN(CT$2),3),1,1),"")</f>
        <v>0</v>
      </c>
      <c r="CW204" s="5">
        <f ca="1">SUM(OFFSET(Demand!$H$43,ROW(A201)-1,(COLUMN(A201)-1)*5,1,1))*N$2</f>
        <v>0</v>
      </c>
      <c r="CX204" s="5">
        <f ca="1">SUM(OFFSET(Demand!$H$43,ROW(B201)-1,(COLUMN(B201)-1)*5,1,1))*O$2</f>
        <v>0</v>
      </c>
      <c r="CY204" s="5">
        <f ca="1">SUM(OFFSET(Demand!$H$43,ROW(C201)-1,(COLUMN(C201)-1)*5,1,1))*P$2</f>
        <v>0</v>
      </c>
      <c r="CZ204" s="5">
        <f ca="1">SUM(OFFSET(Demand!$H$43,ROW(D201)-1,(COLUMN(D201)-1)*5,1,1))*Q$2</f>
        <v>0</v>
      </c>
      <c r="DA204" s="5">
        <f ca="1">SUM(OFFSET(Demand!$H$43,ROW(E201)-1,(COLUMN(E201)-1)*5,1,1))*R$2</f>
        <v>0</v>
      </c>
      <c r="DB204" s="5">
        <f ca="1">SUM(OFFSET(Demand!$H$43,ROW(F201)-1,(COLUMN(F201)-1)*5,1,1))*S$2</f>
        <v>0</v>
      </c>
      <c r="DC204" s="5">
        <f ca="1">SUM(OFFSET(Demand!$H$43,ROW(G201)-1,(COLUMN(G201)-1)*5,1,1))*T$2</f>
        <v>0</v>
      </c>
      <c r="DD204" s="5">
        <f ca="1">SUM(OFFSET(Demand!$H$43,ROW(H201)-1,(COLUMN(H201)-1)*5,1,1))*U$2</f>
        <v>0</v>
      </c>
      <c r="DE204" s="5">
        <f ca="1">SUM(OFFSET(Demand!$H$43,ROW(I201)-1,(COLUMN(I201)-1)*5,1,1))*V$2</f>
        <v>0</v>
      </c>
      <c r="DF204" s="5">
        <f ca="1">SUM(OFFSET(Demand!$H$43,ROW(J201)-1,(COLUMN(J201)-1)*5,1,1))*W$2</f>
        <v>0</v>
      </c>
      <c r="DG204" s="5">
        <f ca="1">IF(OR(AN204&lt;&gt;"",AND('Demand adjustments for Covid'!$F$9="Yes",'Demand adjustments for Covid'!$F$20="Yes")),"",SUM(CW204:DF204))</f>
        <v>0</v>
      </c>
    </row>
    <row r="205" spans="1:111" x14ac:dyDescent="0.25">
      <c r="A205" s="5">
        <f t="shared" ca="1" si="50"/>
        <v>1</v>
      </c>
      <c r="B205" s="5">
        <f ca="1">COUNTBLANK(OFFSET(Demand!$I214,0,(COLUMN(A202)-1)*5,1,1))</f>
        <v>1</v>
      </c>
      <c r="C205" s="5">
        <f ca="1">COUNTBLANK(OFFSET(Demand!$I214,0,(COLUMN(B202)-1)*5,1,1))</f>
        <v>1</v>
      </c>
      <c r="D205" s="5">
        <f ca="1">COUNTBLANK(OFFSET(Demand!$I214,0,(COLUMN(C202)-1)*5,1,1))</f>
        <v>1</v>
      </c>
      <c r="E205" s="5">
        <f ca="1">COUNTBLANK(OFFSET(Demand!$I214,0,(COLUMN(D202)-1)*5,1,1))</f>
        <v>1</v>
      </c>
      <c r="F205" s="5">
        <f ca="1">COUNTBLANK(OFFSET(Demand!$I214,0,(COLUMN(E202)-1)*5,1,1))</f>
        <v>1</v>
      </c>
      <c r="G205" s="5">
        <f ca="1">COUNTBLANK(OFFSET(Demand!$I214,0,(COLUMN(F202)-1)*5,1,1))</f>
        <v>1</v>
      </c>
      <c r="H205" s="5">
        <f ca="1">COUNTBLANK(OFFSET(Demand!$I214,0,(COLUMN(G202)-1)*5,1,1))</f>
        <v>1</v>
      </c>
      <c r="I205" s="5">
        <f ca="1">COUNTBLANK(OFFSET(Demand!$I214,0,(COLUMN(H202)-1)*5,1,1))</f>
        <v>1</v>
      </c>
      <c r="J205" s="5">
        <f ca="1">COUNTBLANK(OFFSET(Demand!$I214,0,(COLUMN(I202)-1)*5,1,1))</f>
        <v>1</v>
      </c>
      <c r="K205" s="5">
        <f ca="1">COUNTBLANK(OFFSET(Demand!$I214,0,(COLUMN(J202)-1)*5,1,1))</f>
        <v>1</v>
      </c>
      <c r="N205" s="5">
        <f ca="1">SUM(OFFSET(Demand!$E214,0,(COLUMN(A202)-1)*5,1,3))*N$2</f>
        <v>0</v>
      </c>
      <c r="O205" s="5">
        <f ca="1">SUM(OFFSET(Demand!$E214,0,(COLUMN(B202)-1)*5,1,3))*O$2</f>
        <v>0</v>
      </c>
      <c r="P205" s="5">
        <f ca="1">SUM(OFFSET(Demand!$E214,0,(COLUMN(C202)-1)*5,1,3))*P$2</f>
        <v>0</v>
      </c>
      <c r="Q205" s="5">
        <f ca="1">SUM(OFFSET(Demand!$E214,0,(COLUMN(D202)-1)*5,1,3))*Q$2</f>
        <v>0</v>
      </c>
      <c r="R205" s="5">
        <f ca="1">SUM(OFFSET(Demand!$E214,0,(COLUMN(E202)-1)*5,1,3))*R$2</f>
        <v>0</v>
      </c>
      <c r="S205" s="5">
        <f ca="1">SUM(OFFSET(Demand!$E214,0,(COLUMN(F202)-1)*5,1,3))*S$2</f>
        <v>0</v>
      </c>
      <c r="T205" s="5">
        <f ca="1">SUM(OFFSET(Demand!$E214,0,(COLUMN(G202)-1)*5,1,3))*T$2</f>
        <v>0</v>
      </c>
      <c r="U205" s="5">
        <f ca="1">SUM(OFFSET(Demand!$E214,0,(COLUMN(H202)-1)*5,1,3))*U$2</f>
        <v>0</v>
      </c>
      <c r="V205" s="5">
        <f ca="1">SUM(OFFSET(Demand!$E214,0,(COLUMN(I202)-1)*5,1,3))*V$2</f>
        <v>0</v>
      </c>
      <c r="W205" s="5">
        <f ca="1">SUM(OFFSET(Demand!$E214,0,(COLUMN(J202)-1)*5,1,3))*W$2</f>
        <v>0</v>
      </c>
      <c r="X205" s="5">
        <f t="shared" ca="1" si="51"/>
        <v>0</v>
      </c>
      <c r="Y205">
        <f t="shared" ca="1" si="52"/>
        <v>0</v>
      </c>
      <c r="Z205" s="5">
        <f ca="1">SUM(OFFSET(Demand!$H214,0,(COLUMN(A202)-1)*5,1,1))*N$2</f>
        <v>0</v>
      </c>
      <c r="AA205" s="5">
        <f ca="1">SUM(OFFSET(Demand!$H214,0,(COLUMN(B202)-1)*5,1,1))*O$2</f>
        <v>0</v>
      </c>
      <c r="AB205" s="5">
        <f ca="1">SUM(OFFSET(Demand!$H214,0,(COLUMN(C202)-1)*5,1,1))*P$2</f>
        <v>0</v>
      </c>
      <c r="AC205" s="5">
        <f ca="1">SUM(OFFSET(Demand!$H214,0,(COLUMN(D202)-1)*5,1,1))*Q$2</f>
        <v>0</v>
      </c>
      <c r="AD205" s="5">
        <f ca="1">SUM(OFFSET(Demand!$H214,0,(COLUMN(E202)-1)*5,1,1))*R$2</f>
        <v>0</v>
      </c>
      <c r="AE205" s="5">
        <f ca="1">SUM(OFFSET(Demand!$H214,0,(COLUMN(F202)-1)*5,1,1))*S$2</f>
        <v>0</v>
      </c>
      <c r="AF205" s="5">
        <f ca="1">SUM(OFFSET(Demand!$H214,0,(COLUMN(G202)-1)*5,1,1))*T$2</f>
        <v>0</v>
      </c>
      <c r="AG205" s="5">
        <f ca="1">SUM(OFFSET(Demand!$H214,0,(COLUMN(H202)-1)*5,1,1))*U$2</f>
        <v>0</v>
      </c>
      <c r="AH205" s="5">
        <f ca="1">SUM(OFFSET(Demand!$H214,0,(COLUMN(I202)-1)*5,1,1))*V$2</f>
        <v>0</v>
      </c>
      <c r="AI205" s="5">
        <f ca="1">SUM(OFFSET(Demand!$H214,0,(COLUMN(J202)-1)*5,1,1))*W$2</f>
        <v>0</v>
      </c>
      <c r="AJ205" s="5">
        <f t="shared" ca="1" si="53"/>
        <v>0</v>
      </c>
      <c r="AL205" s="5">
        <f t="shared" ca="1" si="54"/>
        <v>0</v>
      </c>
      <c r="AM205" s="5">
        <f t="shared" ca="1" si="55"/>
        <v>0</v>
      </c>
      <c r="AN205" s="5" t="str">
        <f>IF(Demand!BE214="Yes","Yes","")</f>
        <v/>
      </c>
      <c r="AP205" s="36" t="str">
        <f ca="1">Demand!B214</f>
        <v xml:space="preserve"> </v>
      </c>
      <c r="AQ205" t="str">
        <f ca="1">IF(TEXT(Demand!D214,"MMM")&lt;&gt;TEXT(Demand!D213,"MMM"),TEXT(Demand!D214,"MMM"),"")</f>
        <v/>
      </c>
      <c r="AT205" s="5">
        <f t="shared" ca="1" si="56"/>
        <v>0</v>
      </c>
      <c r="BQ205">
        <f ca="1">IF($AN205="",OFFSET(Demand!$A$13,ROW(A202)-1,4+((QUOTIENT(COLUMN(BQ$2)-69,3))*5)+MOD(COLUMN(BQ$2),3),1,1),"")</f>
        <v>0</v>
      </c>
      <c r="BR205">
        <f ca="1">IF($AN205="",OFFSET(Demand!$A$13,ROW(B202)-1,4+((QUOTIENT(COLUMN(BR$2)-69,3))*5)+MOD(COLUMN(BR$2),3),1,1),"")</f>
        <v>0</v>
      </c>
      <c r="BS205">
        <f ca="1">IF($AN205="",OFFSET(Demand!$A$13,ROW(C202)-1,4+((QUOTIENT(COLUMN(BS$2)-69,3))*5)+MOD(COLUMN(BS$2),3),1,1),"")</f>
        <v>0</v>
      </c>
      <c r="BT205">
        <f ca="1">IF($AN205="",OFFSET(Demand!$A$13,ROW(D202)-1,4+((QUOTIENT(COLUMN(BT$2)-69,3))*5)+MOD(COLUMN(BT$2),3),1,1),"")</f>
        <v>0</v>
      </c>
      <c r="BU205">
        <f ca="1">IF($AN205="",OFFSET(Demand!$A$13,ROW(E202)-1,4+((QUOTIENT(COLUMN(BU$2)-69,3))*5)+MOD(COLUMN(BU$2),3),1,1),"")</f>
        <v>0</v>
      </c>
      <c r="BV205">
        <f ca="1">IF($AN205="",OFFSET(Demand!$A$13,ROW(F202)-1,4+((QUOTIENT(COLUMN(BV$2)-69,3))*5)+MOD(COLUMN(BV$2),3),1,1),"")</f>
        <v>0</v>
      </c>
      <c r="BW205">
        <f ca="1">IF($AN205="",OFFSET(Demand!$A$13,ROW(G202)-1,4+((QUOTIENT(COLUMN(BW$2)-69,3))*5)+MOD(COLUMN(BW$2),3),1,1),"")</f>
        <v>0</v>
      </c>
      <c r="BX205">
        <f ca="1">IF($AN205="",OFFSET(Demand!$A$13,ROW(H202)-1,4+((QUOTIENT(COLUMN(BX$2)-69,3))*5)+MOD(COLUMN(BX$2),3),1,1),"")</f>
        <v>0</v>
      </c>
      <c r="BY205">
        <f ca="1">IF($AN205="",OFFSET(Demand!$A$13,ROW(I202)-1,4+((QUOTIENT(COLUMN(BY$2)-69,3))*5)+MOD(COLUMN(BY$2),3),1,1),"")</f>
        <v>0</v>
      </c>
      <c r="BZ205">
        <f ca="1">IF($AN205="",OFFSET(Demand!$A$13,ROW(J202)-1,4+((QUOTIENT(COLUMN(BZ$2)-69,3))*5)+MOD(COLUMN(BZ$2),3),1,1),"")</f>
        <v>0</v>
      </c>
      <c r="CA205">
        <f ca="1">IF($AN205="",OFFSET(Demand!$A$13,ROW(K202)-1,4+((QUOTIENT(COLUMN(CA$2)-69,3))*5)+MOD(COLUMN(CA$2),3),1,1),"")</f>
        <v>0</v>
      </c>
      <c r="CB205">
        <f ca="1">IF($AN205="",OFFSET(Demand!$A$13,ROW(L202)-1,4+((QUOTIENT(COLUMN(CB$2)-69,3))*5)+MOD(COLUMN(CB$2),3),1,1),"")</f>
        <v>0</v>
      </c>
      <c r="CC205">
        <f ca="1">IF($AN205="",OFFSET(Demand!$A$13,ROW(M202)-1,4+((QUOTIENT(COLUMN(CC$2)-69,3))*5)+MOD(COLUMN(CC$2),3),1,1),"")</f>
        <v>0</v>
      </c>
      <c r="CD205">
        <f ca="1">IF($AN205="",OFFSET(Demand!$A$13,ROW(N202)-1,4+((QUOTIENT(COLUMN(CD$2)-69,3))*5)+MOD(COLUMN(CD$2),3),1,1),"")</f>
        <v>0</v>
      </c>
      <c r="CE205">
        <f ca="1">IF($AN205="",OFFSET(Demand!$A$13,ROW(O202)-1,4+((QUOTIENT(COLUMN(CE$2)-69,3))*5)+MOD(COLUMN(CE$2),3),1,1),"")</f>
        <v>0</v>
      </c>
      <c r="CF205">
        <f ca="1">IF($AN205="",OFFSET(Demand!$A$13,ROW(P202)-1,4+((QUOTIENT(COLUMN(CF$2)-69,3))*5)+MOD(COLUMN(CF$2),3),1,1),"")</f>
        <v>0</v>
      </c>
      <c r="CG205">
        <f ca="1">IF($AN205="",OFFSET(Demand!$A$13,ROW(Q202)-1,4+((QUOTIENT(COLUMN(CG$2)-69,3))*5)+MOD(COLUMN(CG$2),3),1,1),"")</f>
        <v>0</v>
      </c>
      <c r="CH205">
        <f ca="1">IF($AN205="",OFFSET(Demand!$A$13,ROW(R202)-1,4+((QUOTIENT(COLUMN(CH$2)-69,3))*5)+MOD(COLUMN(CH$2),3),1,1),"")</f>
        <v>0</v>
      </c>
      <c r="CI205">
        <f ca="1">IF($AN205="",OFFSET(Demand!$A$13,ROW(S202)-1,4+((QUOTIENT(COLUMN(CI$2)-69,3))*5)+MOD(COLUMN(CI$2),3),1,1),"")</f>
        <v>0</v>
      </c>
      <c r="CJ205">
        <f ca="1">IF($AN205="",OFFSET(Demand!$A$13,ROW(T202)-1,4+((QUOTIENT(COLUMN(CJ$2)-69,3))*5)+MOD(COLUMN(CJ$2),3),1,1),"")</f>
        <v>0</v>
      </c>
      <c r="CK205">
        <f ca="1">IF($AN205="",OFFSET(Demand!$A$13,ROW(U202)-1,4+((QUOTIENT(COLUMN(CK$2)-69,3))*5)+MOD(COLUMN(CK$2),3),1,1),"")</f>
        <v>0</v>
      </c>
      <c r="CL205">
        <f ca="1">IF($AN205="",OFFSET(Demand!$A$13,ROW(V202)-1,4+((QUOTIENT(COLUMN(CL$2)-69,3))*5)+MOD(COLUMN(CL$2),3),1,1),"")</f>
        <v>0</v>
      </c>
      <c r="CM205">
        <f ca="1">IF($AN205="",OFFSET(Demand!$A$13,ROW(W202)-1,4+((QUOTIENT(COLUMN(CM$2)-69,3))*5)+MOD(COLUMN(CM$2),3),1,1),"")</f>
        <v>0</v>
      </c>
      <c r="CN205">
        <f ca="1">IF($AN205="",OFFSET(Demand!$A$13,ROW(X202)-1,4+((QUOTIENT(COLUMN(CN$2)-69,3))*5)+MOD(COLUMN(CN$2),3),1,1),"")</f>
        <v>0</v>
      </c>
      <c r="CO205">
        <f ca="1">IF($AN205="",OFFSET(Demand!$A$13,ROW(Y202)-1,4+((QUOTIENT(COLUMN(CO$2)-69,3))*5)+MOD(COLUMN(CO$2),3),1,1),"")</f>
        <v>0</v>
      </c>
      <c r="CP205">
        <f ca="1">IF($AN205="",OFFSET(Demand!$A$13,ROW(Z202)-1,4+((QUOTIENT(COLUMN(CP$2)-69,3))*5)+MOD(COLUMN(CP$2),3),1,1),"")</f>
        <v>0</v>
      </c>
      <c r="CQ205">
        <f ca="1">IF($AN205="",OFFSET(Demand!$A$13,ROW(AA202)-1,4+((QUOTIENT(COLUMN(CQ$2)-69,3))*5)+MOD(COLUMN(CQ$2),3),1,1),"")</f>
        <v>0</v>
      </c>
      <c r="CR205">
        <f ca="1">IF($AN205="",OFFSET(Demand!$A$13,ROW(AB202)-1,4+((QUOTIENT(COLUMN(CR$2)-69,3))*5)+MOD(COLUMN(CR$2),3),1,1),"")</f>
        <v>0</v>
      </c>
      <c r="CS205">
        <f ca="1">IF($AN205="",OFFSET(Demand!$A$13,ROW(AC202)-1,4+((QUOTIENT(COLUMN(CS$2)-69,3))*5)+MOD(COLUMN(CS$2),3),1,1),"")</f>
        <v>0</v>
      </c>
      <c r="CT205">
        <f ca="1">IF($AN205="",OFFSET(Demand!$A$13,ROW(AD202)-1,4+((QUOTIENT(COLUMN(CT$2)-69,3))*5)+MOD(COLUMN(CT$2),3),1,1),"")</f>
        <v>0</v>
      </c>
      <c r="CW205" s="5">
        <f ca="1">SUM(OFFSET(Demand!$H$43,ROW(A202)-1,(COLUMN(A202)-1)*5,1,1))*N$2</f>
        <v>0</v>
      </c>
      <c r="CX205" s="5">
        <f ca="1">SUM(OFFSET(Demand!$H$43,ROW(B202)-1,(COLUMN(B202)-1)*5,1,1))*O$2</f>
        <v>0</v>
      </c>
      <c r="CY205" s="5">
        <f ca="1">SUM(OFFSET(Demand!$H$43,ROW(C202)-1,(COLUMN(C202)-1)*5,1,1))*P$2</f>
        <v>0</v>
      </c>
      <c r="CZ205" s="5">
        <f ca="1">SUM(OFFSET(Demand!$H$43,ROW(D202)-1,(COLUMN(D202)-1)*5,1,1))*Q$2</f>
        <v>0</v>
      </c>
      <c r="DA205" s="5">
        <f ca="1">SUM(OFFSET(Demand!$H$43,ROW(E202)-1,(COLUMN(E202)-1)*5,1,1))*R$2</f>
        <v>0</v>
      </c>
      <c r="DB205" s="5">
        <f ca="1">SUM(OFFSET(Demand!$H$43,ROW(F202)-1,(COLUMN(F202)-1)*5,1,1))*S$2</f>
        <v>0</v>
      </c>
      <c r="DC205" s="5">
        <f ca="1">SUM(OFFSET(Demand!$H$43,ROW(G202)-1,(COLUMN(G202)-1)*5,1,1))*T$2</f>
        <v>0</v>
      </c>
      <c r="DD205" s="5">
        <f ca="1">SUM(OFFSET(Demand!$H$43,ROW(H202)-1,(COLUMN(H202)-1)*5,1,1))*U$2</f>
        <v>0</v>
      </c>
      <c r="DE205" s="5">
        <f ca="1">SUM(OFFSET(Demand!$H$43,ROW(I202)-1,(COLUMN(I202)-1)*5,1,1))*V$2</f>
        <v>0</v>
      </c>
      <c r="DF205" s="5">
        <f ca="1">SUM(OFFSET(Demand!$H$43,ROW(J202)-1,(COLUMN(J202)-1)*5,1,1))*W$2</f>
        <v>0</v>
      </c>
      <c r="DG205" s="5">
        <f ca="1">IF(OR(AN205&lt;&gt;"",AND('Demand adjustments for Covid'!$F$9="Yes",'Demand adjustments for Covid'!$F$20="Yes")),"",SUM(CW205:DF205))</f>
        <v>0</v>
      </c>
    </row>
    <row r="206" spans="1:111" x14ac:dyDescent="0.25">
      <c r="A206" s="5">
        <f t="shared" ca="1" si="50"/>
        <v>1</v>
      </c>
      <c r="B206" s="5">
        <f ca="1">COUNTBLANK(OFFSET(Demand!$I215,0,(COLUMN(A203)-1)*5,1,1))</f>
        <v>1</v>
      </c>
      <c r="C206" s="5">
        <f ca="1">COUNTBLANK(OFFSET(Demand!$I215,0,(COLUMN(B203)-1)*5,1,1))</f>
        <v>1</v>
      </c>
      <c r="D206" s="5">
        <f ca="1">COUNTBLANK(OFFSET(Demand!$I215,0,(COLUMN(C203)-1)*5,1,1))</f>
        <v>1</v>
      </c>
      <c r="E206" s="5">
        <f ca="1">COUNTBLANK(OFFSET(Demand!$I215,0,(COLUMN(D203)-1)*5,1,1))</f>
        <v>1</v>
      </c>
      <c r="F206" s="5">
        <f ca="1">COUNTBLANK(OFFSET(Demand!$I215,0,(COLUMN(E203)-1)*5,1,1))</f>
        <v>1</v>
      </c>
      <c r="G206" s="5">
        <f ca="1">COUNTBLANK(OFFSET(Demand!$I215,0,(COLUMN(F203)-1)*5,1,1))</f>
        <v>1</v>
      </c>
      <c r="H206" s="5">
        <f ca="1">COUNTBLANK(OFFSET(Demand!$I215,0,(COLUMN(G203)-1)*5,1,1))</f>
        <v>1</v>
      </c>
      <c r="I206" s="5">
        <f ca="1">COUNTBLANK(OFFSET(Demand!$I215,0,(COLUMN(H203)-1)*5,1,1))</f>
        <v>1</v>
      </c>
      <c r="J206" s="5">
        <f ca="1">COUNTBLANK(OFFSET(Demand!$I215,0,(COLUMN(I203)-1)*5,1,1))</f>
        <v>1</v>
      </c>
      <c r="K206" s="5">
        <f ca="1">COUNTBLANK(OFFSET(Demand!$I215,0,(COLUMN(J203)-1)*5,1,1))</f>
        <v>1</v>
      </c>
      <c r="N206" s="5">
        <f ca="1">SUM(OFFSET(Demand!$E215,0,(COLUMN(A203)-1)*5,1,3))*N$2</f>
        <v>0</v>
      </c>
      <c r="O206" s="5">
        <f ca="1">SUM(OFFSET(Demand!$E215,0,(COLUMN(B203)-1)*5,1,3))*O$2</f>
        <v>0</v>
      </c>
      <c r="P206" s="5">
        <f ca="1">SUM(OFFSET(Demand!$E215,0,(COLUMN(C203)-1)*5,1,3))*P$2</f>
        <v>0</v>
      </c>
      <c r="Q206" s="5">
        <f ca="1">SUM(OFFSET(Demand!$E215,0,(COLUMN(D203)-1)*5,1,3))*Q$2</f>
        <v>0</v>
      </c>
      <c r="R206" s="5">
        <f ca="1">SUM(OFFSET(Demand!$E215,0,(COLUMN(E203)-1)*5,1,3))*R$2</f>
        <v>0</v>
      </c>
      <c r="S206" s="5">
        <f ca="1">SUM(OFFSET(Demand!$E215,0,(COLUMN(F203)-1)*5,1,3))*S$2</f>
        <v>0</v>
      </c>
      <c r="T206" s="5">
        <f ca="1">SUM(OFFSET(Demand!$E215,0,(COLUMN(G203)-1)*5,1,3))*T$2</f>
        <v>0</v>
      </c>
      <c r="U206" s="5">
        <f ca="1">SUM(OFFSET(Demand!$E215,0,(COLUMN(H203)-1)*5,1,3))*U$2</f>
        <v>0</v>
      </c>
      <c r="V206" s="5">
        <f ca="1">SUM(OFFSET(Demand!$E215,0,(COLUMN(I203)-1)*5,1,3))*V$2</f>
        <v>0</v>
      </c>
      <c r="W206" s="5">
        <f ca="1">SUM(OFFSET(Demand!$E215,0,(COLUMN(J203)-1)*5,1,3))*W$2</f>
        <v>0</v>
      </c>
      <c r="X206" s="5">
        <f t="shared" ca="1" si="51"/>
        <v>0</v>
      </c>
      <c r="Y206">
        <f t="shared" ca="1" si="52"/>
        <v>0</v>
      </c>
      <c r="Z206" s="5">
        <f ca="1">SUM(OFFSET(Demand!$H215,0,(COLUMN(A203)-1)*5,1,1))*N$2</f>
        <v>0</v>
      </c>
      <c r="AA206" s="5">
        <f ca="1">SUM(OFFSET(Demand!$H215,0,(COLUMN(B203)-1)*5,1,1))*O$2</f>
        <v>0</v>
      </c>
      <c r="AB206" s="5">
        <f ca="1">SUM(OFFSET(Demand!$H215,0,(COLUMN(C203)-1)*5,1,1))*P$2</f>
        <v>0</v>
      </c>
      <c r="AC206" s="5">
        <f ca="1">SUM(OFFSET(Demand!$H215,0,(COLUMN(D203)-1)*5,1,1))*Q$2</f>
        <v>0</v>
      </c>
      <c r="AD206" s="5">
        <f ca="1">SUM(OFFSET(Demand!$H215,0,(COLUMN(E203)-1)*5,1,1))*R$2</f>
        <v>0</v>
      </c>
      <c r="AE206" s="5">
        <f ca="1">SUM(OFFSET(Demand!$H215,0,(COLUMN(F203)-1)*5,1,1))*S$2</f>
        <v>0</v>
      </c>
      <c r="AF206" s="5">
        <f ca="1">SUM(OFFSET(Demand!$H215,0,(COLUMN(G203)-1)*5,1,1))*T$2</f>
        <v>0</v>
      </c>
      <c r="AG206" s="5">
        <f ca="1">SUM(OFFSET(Demand!$H215,0,(COLUMN(H203)-1)*5,1,1))*U$2</f>
        <v>0</v>
      </c>
      <c r="AH206" s="5">
        <f ca="1">SUM(OFFSET(Demand!$H215,0,(COLUMN(I203)-1)*5,1,1))*V$2</f>
        <v>0</v>
      </c>
      <c r="AI206" s="5">
        <f ca="1">SUM(OFFSET(Demand!$H215,0,(COLUMN(J203)-1)*5,1,1))*W$2</f>
        <v>0</v>
      </c>
      <c r="AJ206" s="5">
        <f t="shared" ca="1" si="53"/>
        <v>0</v>
      </c>
      <c r="AL206" s="5">
        <f t="shared" ca="1" si="54"/>
        <v>0</v>
      </c>
      <c r="AM206" s="5">
        <f t="shared" ca="1" si="55"/>
        <v>0</v>
      </c>
      <c r="AN206" s="5" t="str">
        <f>IF(Demand!BE215="Yes","Yes","")</f>
        <v/>
      </c>
      <c r="AP206" s="36" t="str">
        <f ca="1">Demand!B215</f>
        <v xml:space="preserve"> </v>
      </c>
      <c r="AQ206" t="str">
        <f ca="1">IF(TEXT(Demand!D215,"MMM")&lt;&gt;TEXT(Demand!D214,"MMM"),TEXT(Demand!D215,"MMM"),"")</f>
        <v/>
      </c>
      <c r="AT206" s="5">
        <f t="shared" ca="1" si="56"/>
        <v>0</v>
      </c>
      <c r="BQ206">
        <f ca="1">IF($AN206="",OFFSET(Demand!$A$13,ROW(A203)-1,4+((QUOTIENT(COLUMN(BQ$2)-69,3))*5)+MOD(COLUMN(BQ$2),3),1,1),"")</f>
        <v>0</v>
      </c>
      <c r="BR206">
        <f ca="1">IF($AN206="",OFFSET(Demand!$A$13,ROW(B203)-1,4+((QUOTIENT(COLUMN(BR$2)-69,3))*5)+MOD(COLUMN(BR$2),3),1,1),"")</f>
        <v>0</v>
      </c>
      <c r="BS206">
        <f ca="1">IF($AN206="",OFFSET(Demand!$A$13,ROW(C203)-1,4+((QUOTIENT(COLUMN(BS$2)-69,3))*5)+MOD(COLUMN(BS$2),3),1,1),"")</f>
        <v>0</v>
      </c>
      <c r="BT206">
        <f ca="1">IF($AN206="",OFFSET(Demand!$A$13,ROW(D203)-1,4+((QUOTIENT(COLUMN(BT$2)-69,3))*5)+MOD(COLUMN(BT$2),3),1,1),"")</f>
        <v>0</v>
      </c>
      <c r="BU206">
        <f ca="1">IF($AN206="",OFFSET(Demand!$A$13,ROW(E203)-1,4+((QUOTIENT(COLUMN(BU$2)-69,3))*5)+MOD(COLUMN(BU$2),3),1,1),"")</f>
        <v>0</v>
      </c>
      <c r="BV206">
        <f ca="1">IF($AN206="",OFFSET(Demand!$A$13,ROW(F203)-1,4+((QUOTIENT(COLUMN(BV$2)-69,3))*5)+MOD(COLUMN(BV$2),3),1,1),"")</f>
        <v>0</v>
      </c>
      <c r="BW206">
        <f ca="1">IF($AN206="",OFFSET(Demand!$A$13,ROW(G203)-1,4+((QUOTIENT(COLUMN(BW$2)-69,3))*5)+MOD(COLUMN(BW$2),3),1,1),"")</f>
        <v>0</v>
      </c>
      <c r="BX206">
        <f ca="1">IF($AN206="",OFFSET(Demand!$A$13,ROW(H203)-1,4+((QUOTIENT(COLUMN(BX$2)-69,3))*5)+MOD(COLUMN(BX$2),3),1,1),"")</f>
        <v>0</v>
      </c>
      <c r="BY206">
        <f ca="1">IF($AN206="",OFFSET(Demand!$A$13,ROW(I203)-1,4+((QUOTIENT(COLUMN(BY$2)-69,3))*5)+MOD(COLUMN(BY$2),3),1,1),"")</f>
        <v>0</v>
      </c>
      <c r="BZ206">
        <f ca="1">IF($AN206="",OFFSET(Demand!$A$13,ROW(J203)-1,4+((QUOTIENT(COLUMN(BZ$2)-69,3))*5)+MOD(COLUMN(BZ$2),3),1,1),"")</f>
        <v>0</v>
      </c>
      <c r="CA206">
        <f ca="1">IF($AN206="",OFFSET(Demand!$A$13,ROW(K203)-1,4+((QUOTIENT(COLUMN(CA$2)-69,3))*5)+MOD(COLUMN(CA$2),3),1,1),"")</f>
        <v>0</v>
      </c>
      <c r="CB206">
        <f ca="1">IF($AN206="",OFFSET(Demand!$A$13,ROW(L203)-1,4+((QUOTIENT(COLUMN(CB$2)-69,3))*5)+MOD(COLUMN(CB$2),3),1,1),"")</f>
        <v>0</v>
      </c>
      <c r="CC206">
        <f ca="1">IF($AN206="",OFFSET(Demand!$A$13,ROW(M203)-1,4+((QUOTIENT(COLUMN(CC$2)-69,3))*5)+MOD(COLUMN(CC$2),3),1,1),"")</f>
        <v>0</v>
      </c>
      <c r="CD206">
        <f ca="1">IF($AN206="",OFFSET(Demand!$A$13,ROW(N203)-1,4+((QUOTIENT(COLUMN(CD$2)-69,3))*5)+MOD(COLUMN(CD$2),3),1,1),"")</f>
        <v>0</v>
      </c>
      <c r="CE206">
        <f ca="1">IF($AN206="",OFFSET(Demand!$A$13,ROW(O203)-1,4+((QUOTIENT(COLUMN(CE$2)-69,3))*5)+MOD(COLUMN(CE$2),3),1,1),"")</f>
        <v>0</v>
      </c>
      <c r="CF206">
        <f ca="1">IF($AN206="",OFFSET(Demand!$A$13,ROW(P203)-1,4+((QUOTIENT(COLUMN(CF$2)-69,3))*5)+MOD(COLUMN(CF$2),3),1,1),"")</f>
        <v>0</v>
      </c>
      <c r="CG206">
        <f ca="1">IF($AN206="",OFFSET(Demand!$A$13,ROW(Q203)-1,4+((QUOTIENT(COLUMN(CG$2)-69,3))*5)+MOD(COLUMN(CG$2),3),1,1),"")</f>
        <v>0</v>
      </c>
      <c r="CH206">
        <f ca="1">IF($AN206="",OFFSET(Demand!$A$13,ROW(R203)-1,4+((QUOTIENT(COLUMN(CH$2)-69,3))*5)+MOD(COLUMN(CH$2),3),1,1),"")</f>
        <v>0</v>
      </c>
      <c r="CI206">
        <f ca="1">IF($AN206="",OFFSET(Demand!$A$13,ROW(S203)-1,4+((QUOTIENT(COLUMN(CI$2)-69,3))*5)+MOD(COLUMN(CI$2),3),1,1),"")</f>
        <v>0</v>
      </c>
      <c r="CJ206">
        <f ca="1">IF($AN206="",OFFSET(Demand!$A$13,ROW(T203)-1,4+((QUOTIENT(COLUMN(CJ$2)-69,3))*5)+MOD(COLUMN(CJ$2),3),1,1),"")</f>
        <v>0</v>
      </c>
      <c r="CK206">
        <f ca="1">IF($AN206="",OFFSET(Demand!$A$13,ROW(U203)-1,4+((QUOTIENT(COLUMN(CK$2)-69,3))*5)+MOD(COLUMN(CK$2),3),1,1),"")</f>
        <v>0</v>
      </c>
      <c r="CL206">
        <f ca="1">IF($AN206="",OFFSET(Demand!$A$13,ROW(V203)-1,4+((QUOTIENT(COLUMN(CL$2)-69,3))*5)+MOD(COLUMN(CL$2),3),1,1),"")</f>
        <v>0</v>
      </c>
      <c r="CM206">
        <f ca="1">IF($AN206="",OFFSET(Demand!$A$13,ROW(W203)-1,4+((QUOTIENT(COLUMN(CM$2)-69,3))*5)+MOD(COLUMN(CM$2),3),1,1),"")</f>
        <v>0</v>
      </c>
      <c r="CN206">
        <f ca="1">IF($AN206="",OFFSET(Demand!$A$13,ROW(X203)-1,4+((QUOTIENT(COLUMN(CN$2)-69,3))*5)+MOD(COLUMN(CN$2),3),1,1),"")</f>
        <v>0</v>
      </c>
      <c r="CO206">
        <f ca="1">IF($AN206="",OFFSET(Demand!$A$13,ROW(Y203)-1,4+((QUOTIENT(COLUMN(CO$2)-69,3))*5)+MOD(COLUMN(CO$2),3),1,1),"")</f>
        <v>0</v>
      </c>
      <c r="CP206">
        <f ca="1">IF($AN206="",OFFSET(Demand!$A$13,ROW(Z203)-1,4+((QUOTIENT(COLUMN(CP$2)-69,3))*5)+MOD(COLUMN(CP$2),3),1,1),"")</f>
        <v>0</v>
      </c>
      <c r="CQ206">
        <f ca="1">IF($AN206="",OFFSET(Demand!$A$13,ROW(AA203)-1,4+((QUOTIENT(COLUMN(CQ$2)-69,3))*5)+MOD(COLUMN(CQ$2),3),1,1),"")</f>
        <v>0</v>
      </c>
      <c r="CR206">
        <f ca="1">IF($AN206="",OFFSET(Demand!$A$13,ROW(AB203)-1,4+((QUOTIENT(COLUMN(CR$2)-69,3))*5)+MOD(COLUMN(CR$2),3),1,1),"")</f>
        <v>0</v>
      </c>
      <c r="CS206">
        <f ca="1">IF($AN206="",OFFSET(Demand!$A$13,ROW(AC203)-1,4+((QUOTIENT(COLUMN(CS$2)-69,3))*5)+MOD(COLUMN(CS$2),3),1,1),"")</f>
        <v>0</v>
      </c>
      <c r="CT206">
        <f ca="1">IF($AN206="",OFFSET(Demand!$A$13,ROW(AD203)-1,4+((QUOTIENT(COLUMN(CT$2)-69,3))*5)+MOD(COLUMN(CT$2),3),1,1),"")</f>
        <v>0</v>
      </c>
      <c r="CW206" s="5">
        <f ca="1">SUM(OFFSET(Demand!$H$43,ROW(A203)-1,(COLUMN(A203)-1)*5,1,1))*N$2</f>
        <v>0</v>
      </c>
      <c r="CX206" s="5">
        <f ca="1">SUM(OFFSET(Demand!$H$43,ROW(B203)-1,(COLUMN(B203)-1)*5,1,1))*O$2</f>
        <v>0</v>
      </c>
      <c r="CY206" s="5">
        <f ca="1">SUM(OFFSET(Demand!$H$43,ROW(C203)-1,(COLUMN(C203)-1)*5,1,1))*P$2</f>
        <v>0</v>
      </c>
      <c r="CZ206" s="5">
        <f ca="1">SUM(OFFSET(Demand!$H$43,ROW(D203)-1,(COLUMN(D203)-1)*5,1,1))*Q$2</f>
        <v>0</v>
      </c>
      <c r="DA206" s="5">
        <f ca="1">SUM(OFFSET(Demand!$H$43,ROW(E203)-1,(COLUMN(E203)-1)*5,1,1))*R$2</f>
        <v>0</v>
      </c>
      <c r="DB206" s="5">
        <f ca="1">SUM(OFFSET(Demand!$H$43,ROW(F203)-1,(COLUMN(F203)-1)*5,1,1))*S$2</f>
        <v>0</v>
      </c>
      <c r="DC206" s="5">
        <f ca="1">SUM(OFFSET(Demand!$H$43,ROW(G203)-1,(COLUMN(G203)-1)*5,1,1))*T$2</f>
        <v>0</v>
      </c>
      <c r="DD206" s="5">
        <f ca="1">SUM(OFFSET(Demand!$H$43,ROW(H203)-1,(COLUMN(H203)-1)*5,1,1))*U$2</f>
        <v>0</v>
      </c>
      <c r="DE206" s="5">
        <f ca="1">SUM(OFFSET(Demand!$H$43,ROW(I203)-1,(COLUMN(I203)-1)*5,1,1))*V$2</f>
        <v>0</v>
      </c>
      <c r="DF206" s="5">
        <f ca="1">SUM(OFFSET(Demand!$H$43,ROW(J203)-1,(COLUMN(J203)-1)*5,1,1))*W$2</f>
        <v>0</v>
      </c>
      <c r="DG206" s="5">
        <f ca="1">IF(OR(AN206&lt;&gt;"",AND('Demand adjustments for Covid'!$F$9="Yes",'Demand adjustments for Covid'!$F$20="Yes")),"",SUM(CW206:DF206))</f>
        <v>0</v>
      </c>
    </row>
    <row r="207" spans="1:111" x14ac:dyDescent="0.25">
      <c r="A207" s="5">
        <f t="shared" ca="1" si="50"/>
        <v>1</v>
      </c>
      <c r="B207" s="5">
        <f ca="1">COUNTBLANK(OFFSET(Demand!$I216,0,(COLUMN(A204)-1)*5,1,1))</f>
        <v>1</v>
      </c>
      <c r="C207" s="5">
        <f ca="1">COUNTBLANK(OFFSET(Demand!$I216,0,(COLUMN(B204)-1)*5,1,1))</f>
        <v>1</v>
      </c>
      <c r="D207" s="5">
        <f ca="1">COUNTBLANK(OFFSET(Demand!$I216,0,(COLUMN(C204)-1)*5,1,1))</f>
        <v>1</v>
      </c>
      <c r="E207" s="5">
        <f ca="1">COUNTBLANK(OFFSET(Demand!$I216,0,(COLUMN(D204)-1)*5,1,1))</f>
        <v>1</v>
      </c>
      <c r="F207" s="5">
        <f ca="1">COUNTBLANK(OFFSET(Demand!$I216,0,(COLUMN(E204)-1)*5,1,1))</f>
        <v>1</v>
      </c>
      <c r="G207" s="5">
        <f ca="1">COUNTBLANK(OFFSET(Demand!$I216,0,(COLUMN(F204)-1)*5,1,1))</f>
        <v>1</v>
      </c>
      <c r="H207" s="5">
        <f ca="1">COUNTBLANK(OFFSET(Demand!$I216,0,(COLUMN(G204)-1)*5,1,1))</f>
        <v>1</v>
      </c>
      <c r="I207" s="5">
        <f ca="1">COUNTBLANK(OFFSET(Demand!$I216,0,(COLUMN(H204)-1)*5,1,1))</f>
        <v>1</v>
      </c>
      <c r="J207" s="5">
        <f ca="1">COUNTBLANK(OFFSET(Demand!$I216,0,(COLUMN(I204)-1)*5,1,1))</f>
        <v>1</v>
      </c>
      <c r="K207" s="5">
        <f ca="1">COUNTBLANK(OFFSET(Demand!$I216,0,(COLUMN(J204)-1)*5,1,1))</f>
        <v>1</v>
      </c>
      <c r="N207" s="5">
        <f ca="1">SUM(OFFSET(Demand!$E216,0,(COLUMN(A204)-1)*5,1,3))*N$2</f>
        <v>0</v>
      </c>
      <c r="O207" s="5">
        <f ca="1">SUM(OFFSET(Demand!$E216,0,(COLUMN(B204)-1)*5,1,3))*O$2</f>
        <v>0</v>
      </c>
      <c r="P207" s="5">
        <f ca="1">SUM(OFFSET(Demand!$E216,0,(COLUMN(C204)-1)*5,1,3))*P$2</f>
        <v>0</v>
      </c>
      <c r="Q207" s="5">
        <f ca="1">SUM(OFFSET(Demand!$E216,0,(COLUMN(D204)-1)*5,1,3))*Q$2</f>
        <v>0</v>
      </c>
      <c r="R207" s="5">
        <f ca="1">SUM(OFFSET(Demand!$E216,0,(COLUMN(E204)-1)*5,1,3))*R$2</f>
        <v>0</v>
      </c>
      <c r="S207" s="5">
        <f ca="1">SUM(OFFSET(Demand!$E216,0,(COLUMN(F204)-1)*5,1,3))*S$2</f>
        <v>0</v>
      </c>
      <c r="T207" s="5">
        <f ca="1">SUM(OFFSET(Demand!$E216,0,(COLUMN(G204)-1)*5,1,3))*T$2</f>
        <v>0</v>
      </c>
      <c r="U207" s="5">
        <f ca="1">SUM(OFFSET(Demand!$E216,0,(COLUMN(H204)-1)*5,1,3))*U$2</f>
        <v>0</v>
      </c>
      <c r="V207" s="5">
        <f ca="1">SUM(OFFSET(Demand!$E216,0,(COLUMN(I204)-1)*5,1,3))*V$2</f>
        <v>0</v>
      </c>
      <c r="W207" s="5">
        <f ca="1">SUM(OFFSET(Demand!$E216,0,(COLUMN(J204)-1)*5,1,3))*W$2</f>
        <v>0</v>
      </c>
      <c r="X207" s="5">
        <f t="shared" ca="1" si="51"/>
        <v>0</v>
      </c>
      <c r="Y207">
        <f t="shared" ca="1" si="52"/>
        <v>0</v>
      </c>
      <c r="Z207" s="5">
        <f ca="1">SUM(OFFSET(Demand!$H216,0,(COLUMN(A204)-1)*5,1,1))*N$2</f>
        <v>0</v>
      </c>
      <c r="AA207" s="5">
        <f ca="1">SUM(OFFSET(Demand!$H216,0,(COLUMN(B204)-1)*5,1,1))*O$2</f>
        <v>0</v>
      </c>
      <c r="AB207" s="5">
        <f ca="1">SUM(OFFSET(Demand!$H216,0,(COLUMN(C204)-1)*5,1,1))*P$2</f>
        <v>0</v>
      </c>
      <c r="AC207" s="5">
        <f ca="1">SUM(OFFSET(Demand!$H216,0,(COLUMN(D204)-1)*5,1,1))*Q$2</f>
        <v>0</v>
      </c>
      <c r="AD207" s="5">
        <f ca="1">SUM(OFFSET(Demand!$H216,0,(COLUMN(E204)-1)*5,1,1))*R$2</f>
        <v>0</v>
      </c>
      <c r="AE207" s="5">
        <f ca="1">SUM(OFFSET(Demand!$H216,0,(COLUMN(F204)-1)*5,1,1))*S$2</f>
        <v>0</v>
      </c>
      <c r="AF207" s="5">
        <f ca="1">SUM(OFFSET(Demand!$H216,0,(COLUMN(G204)-1)*5,1,1))*T$2</f>
        <v>0</v>
      </c>
      <c r="AG207" s="5">
        <f ca="1">SUM(OFFSET(Demand!$H216,0,(COLUMN(H204)-1)*5,1,1))*U$2</f>
        <v>0</v>
      </c>
      <c r="AH207" s="5">
        <f ca="1">SUM(OFFSET(Demand!$H216,0,(COLUMN(I204)-1)*5,1,1))*V$2</f>
        <v>0</v>
      </c>
      <c r="AI207" s="5">
        <f ca="1">SUM(OFFSET(Demand!$H216,0,(COLUMN(J204)-1)*5,1,1))*W$2</f>
        <v>0</v>
      </c>
      <c r="AJ207" s="5">
        <f t="shared" ca="1" si="53"/>
        <v>0</v>
      </c>
      <c r="AL207" s="5">
        <f t="shared" ca="1" si="54"/>
        <v>0</v>
      </c>
      <c r="AM207" s="5">
        <f t="shared" ca="1" si="55"/>
        <v>0</v>
      </c>
      <c r="AN207" s="5" t="str">
        <f>IF(Demand!BE216="Yes","Yes","")</f>
        <v/>
      </c>
      <c r="AP207" s="36" t="str">
        <f ca="1">Demand!B216</f>
        <v xml:space="preserve"> </v>
      </c>
      <c r="AQ207" t="str">
        <f ca="1">IF(TEXT(Demand!D216,"MMM")&lt;&gt;TEXT(Demand!D215,"MMM"),TEXT(Demand!D216,"MMM"),"")</f>
        <v/>
      </c>
      <c r="AT207" s="5">
        <f t="shared" ca="1" si="56"/>
        <v>0</v>
      </c>
      <c r="BQ207">
        <f ca="1">IF($AN207="",OFFSET(Demand!$A$13,ROW(A204)-1,4+((QUOTIENT(COLUMN(BQ$2)-69,3))*5)+MOD(COLUMN(BQ$2),3),1,1),"")</f>
        <v>0</v>
      </c>
      <c r="BR207">
        <f ca="1">IF($AN207="",OFFSET(Demand!$A$13,ROW(B204)-1,4+((QUOTIENT(COLUMN(BR$2)-69,3))*5)+MOD(COLUMN(BR$2),3),1,1),"")</f>
        <v>0</v>
      </c>
      <c r="BS207">
        <f ca="1">IF($AN207="",OFFSET(Demand!$A$13,ROW(C204)-1,4+((QUOTIENT(COLUMN(BS$2)-69,3))*5)+MOD(COLUMN(BS$2),3),1,1),"")</f>
        <v>0</v>
      </c>
      <c r="BT207">
        <f ca="1">IF($AN207="",OFFSET(Demand!$A$13,ROW(D204)-1,4+((QUOTIENT(COLUMN(BT$2)-69,3))*5)+MOD(COLUMN(BT$2),3),1,1),"")</f>
        <v>0</v>
      </c>
      <c r="BU207">
        <f ca="1">IF($AN207="",OFFSET(Demand!$A$13,ROW(E204)-1,4+((QUOTIENT(COLUMN(BU$2)-69,3))*5)+MOD(COLUMN(BU$2),3),1,1),"")</f>
        <v>0</v>
      </c>
      <c r="BV207">
        <f ca="1">IF($AN207="",OFFSET(Demand!$A$13,ROW(F204)-1,4+((QUOTIENT(COLUMN(BV$2)-69,3))*5)+MOD(COLUMN(BV$2),3),1,1),"")</f>
        <v>0</v>
      </c>
      <c r="BW207">
        <f ca="1">IF($AN207="",OFFSET(Demand!$A$13,ROW(G204)-1,4+((QUOTIENT(COLUMN(BW$2)-69,3))*5)+MOD(COLUMN(BW$2),3),1,1),"")</f>
        <v>0</v>
      </c>
      <c r="BX207">
        <f ca="1">IF($AN207="",OFFSET(Demand!$A$13,ROW(H204)-1,4+((QUOTIENT(COLUMN(BX$2)-69,3))*5)+MOD(COLUMN(BX$2),3),1,1),"")</f>
        <v>0</v>
      </c>
      <c r="BY207">
        <f ca="1">IF($AN207="",OFFSET(Demand!$A$13,ROW(I204)-1,4+((QUOTIENT(COLUMN(BY$2)-69,3))*5)+MOD(COLUMN(BY$2),3),1,1),"")</f>
        <v>0</v>
      </c>
      <c r="BZ207">
        <f ca="1">IF($AN207="",OFFSET(Demand!$A$13,ROW(J204)-1,4+((QUOTIENT(COLUMN(BZ$2)-69,3))*5)+MOD(COLUMN(BZ$2),3),1,1),"")</f>
        <v>0</v>
      </c>
      <c r="CA207">
        <f ca="1">IF($AN207="",OFFSET(Demand!$A$13,ROW(K204)-1,4+((QUOTIENT(COLUMN(CA$2)-69,3))*5)+MOD(COLUMN(CA$2),3),1,1),"")</f>
        <v>0</v>
      </c>
      <c r="CB207">
        <f ca="1">IF($AN207="",OFFSET(Demand!$A$13,ROW(L204)-1,4+((QUOTIENT(COLUMN(CB$2)-69,3))*5)+MOD(COLUMN(CB$2),3),1,1),"")</f>
        <v>0</v>
      </c>
      <c r="CC207">
        <f ca="1">IF($AN207="",OFFSET(Demand!$A$13,ROW(M204)-1,4+((QUOTIENT(COLUMN(CC$2)-69,3))*5)+MOD(COLUMN(CC$2),3),1,1),"")</f>
        <v>0</v>
      </c>
      <c r="CD207">
        <f ca="1">IF($AN207="",OFFSET(Demand!$A$13,ROW(N204)-1,4+((QUOTIENT(COLUMN(CD$2)-69,3))*5)+MOD(COLUMN(CD$2),3),1,1),"")</f>
        <v>0</v>
      </c>
      <c r="CE207">
        <f ca="1">IF($AN207="",OFFSET(Demand!$A$13,ROW(O204)-1,4+((QUOTIENT(COLUMN(CE$2)-69,3))*5)+MOD(COLUMN(CE$2),3),1,1),"")</f>
        <v>0</v>
      </c>
      <c r="CF207">
        <f ca="1">IF($AN207="",OFFSET(Demand!$A$13,ROW(P204)-1,4+((QUOTIENT(COLUMN(CF$2)-69,3))*5)+MOD(COLUMN(CF$2),3),1,1),"")</f>
        <v>0</v>
      </c>
      <c r="CG207">
        <f ca="1">IF($AN207="",OFFSET(Demand!$A$13,ROW(Q204)-1,4+((QUOTIENT(COLUMN(CG$2)-69,3))*5)+MOD(COLUMN(CG$2),3),1,1),"")</f>
        <v>0</v>
      </c>
      <c r="CH207">
        <f ca="1">IF($AN207="",OFFSET(Demand!$A$13,ROW(R204)-1,4+((QUOTIENT(COLUMN(CH$2)-69,3))*5)+MOD(COLUMN(CH$2),3),1,1),"")</f>
        <v>0</v>
      </c>
      <c r="CI207">
        <f ca="1">IF($AN207="",OFFSET(Demand!$A$13,ROW(S204)-1,4+((QUOTIENT(COLUMN(CI$2)-69,3))*5)+MOD(COLUMN(CI$2),3),1,1),"")</f>
        <v>0</v>
      </c>
      <c r="CJ207">
        <f ca="1">IF($AN207="",OFFSET(Demand!$A$13,ROW(T204)-1,4+((QUOTIENT(COLUMN(CJ$2)-69,3))*5)+MOD(COLUMN(CJ$2),3),1,1),"")</f>
        <v>0</v>
      </c>
      <c r="CK207">
        <f ca="1">IF($AN207="",OFFSET(Demand!$A$13,ROW(U204)-1,4+((QUOTIENT(COLUMN(CK$2)-69,3))*5)+MOD(COLUMN(CK$2),3),1,1),"")</f>
        <v>0</v>
      </c>
      <c r="CL207">
        <f ca="1">IF($AN207="",OFFSET(Demand!$A$13,ROW(V204)-1,4+((QUOTIENT(COLUMN(CL$2)-69,3))*5)+MOD(COLUMN(CL$2),3),1,1),"")</f>
        <v>0</v>
      </c>
      <c r="CM207">
        <f ca="1">IF($AN207="",OFFSET(Demand!$A$13,ROW(W204)-1,4+((QUOTIENT(COLUMN(CM$2)-69,3))*5)+MOD(COLUMN(CM$2),3),1,1),"")</f>
        <v>0</v>
      </c>
      <c r="CN207">
        <f ca="1">IF($AN207="",OFFSET(Demand!$A$13,ROW(X204)-1,4+((QUOTIENT(COLUMN(CN$2)-69,3))*5)+MOD(COLUMN(CN$2),3),1,1),"")</f>
        <v>0</v>
      </c>
      <c r="CO207">
        <f ca="1">IF($AN207="",OFFSET(Demand!$A$13,ROW(Y204)-1,4+((QUOTIENT(COLUMN(CO$2)-69,3))*5)+MOD(COLUMN(CO$2),3),1,1),"")</f>
        <v>0</v>
      </c>
      <c r="CP207">
        <f ca="1">IF($AN207="",OFFSET(Demand!$A$13,ROW(Z204)-1,4+((QUOTIENT(COLUMN(CP$2)-69,3))*5)+MOD(COLUMN(CP$2),3),1,1),"")</f>
        <v>0</v>
      </c>
      <c r="CQ207">
        <f ca="1">IF($AN207="",OFFSET(Demand!$A$13,ROW(AA204)-1,4+((QUOTIENT(COLUMN(CQ$2)-69,3))*5)+MOD(COLUMN(CQ$2),3),1,1),"")</f>
        <v>0</v>
      </c>
      <c r="CR207">
        <f ca="1">IF($AN207="",OFFSET(Demand!$A$13,ROW(AB204)-1,4+((QUOTIENT(COLUMN(CR$2)-69,3))*5)+MOD(COLUMN(CR$2),3),1,1),"")</f>
        <v>0</v>
      </c>
      <c r="CS207">
        <f ca="1">IF($AN207="",OFFSET(Demand!$A$13,ROW(AC204)-1,4+((QUOTIENT(COLUMN(CS$2)-69,3))*5)+MOD(COLUMN(CS$2),3),1,1),"")</f>
        <v>0</v>
      </c>
      <c r="CT207">
        <f ca="1">IF($AN207="",OFFSET(Demand!$A$13,ROW(AD204)-1,4+((QUOTIENT(COLUMN(CT$2)-69,3))*5)+MOD(COLUMN(CT$2),3),1,1),"")</f>
        <v>0</v>
      </c>
      <c r="CW207" s="5">
        <f ca="1">SUM(OFFSET(Demand!$H$43,ROW(A204)-1,(COLUMN(A204)-1)*5,1,1))*N$2</f>
        <v>0</v>
      </c>
      <c r="CX207" s="5">
        <f ca="1">SUM(OFFSET(Demand!$H$43,ROW(B204)-1,(COLUMN(B204)-1)*5,1,1))*O$2</f>
        <v>0</v>
      </c>
      <c r="CY207" s="5">
        <f ca="1">SUM(OFFSET(Demand!$H$43,ROW(C204)-1,(COLUMN(C204)-1)*5,1,1))*P$2</f>
        <v>0</v>
      </c>
      <c r="CZ207" s="5">
        <f ca="1">SUM(OFFSET(Demand!$H$43,ROW(D204)-1,(COLUMN(D204)-1)*5,1,1))*Q$2</f>
        <v>0</v>
      </c>
      <c r="DA207" s="5">
        <f ca="1">SUM(OFFSET(Demand!$H$43,ROW(E204)-1,(COLUMN(E204)-1)*5,1,1))*R$2</f>
        <v>0</v>
      </c>
      <c r="DB207" s="5">
        <f ca="1">SUM(OFFSET(Demand!$H$43,ROW(F204)-1,(COLUMN(F204)-1)*5,1,1))*S$2</f>
        <v>0</v>
      </c>
      <c r="DC207" s="5">
        <f ca="1">SUM(OFFSET(Demand!$H$43,ROW(G204)-1,(COLUMN(G204)-1)*5,1,1))*T$2</f>
        <v>0</v>
      </c>
      <c r="DD207" s="5">
        <f ca="1">SUM(OFFSET(Demand!$H$43,ROW(H204)-1,(COLUMN(H204)-1)*5,1,1))*U$2</f>
        <v>0</v>
      </c>
      <c r="DE207" s="5">
        <f ca="1">SUM(OFFSET(Demand!$H$43,ROW(I204)-1,(COLUMN(I204)-1)*5,1,1))*V$2</f>
        <v>0</v>
      </c>
      <c r="DF207" s="5">
        <f ca="1">SUM(OFFSET(Demand!$H$43,ROW(J204)-1,(COLUMN(J204)-1)*5,1,1))*W$2</f>
        <v>0</v>
      </c>
      <c r="DG207" s="5">
        <f ca="1">IF(OR(AN207&lt;&gt;"",AND('Demand adjustments for Covid'!$F$9="Yes",'Demand adjustments for Covid'!$F$20="Yes")),"",SUM(CW207:DF207))</f>
        <v>0</v>
      </c>
    </row>
    <row r="208" spans="1:111" x14ac:dyDescent="0.25">
      <c r="A208" s="5">
        <f t="shared" ca="1" si="50"/>
        <v>1</v>
      </c>
      <c r="B208" s="5">
        <f ca="1">COUNTBLANK(OFFSET(Demand!$I217,0,(COLUMN(A205)-1)*5,1,1))</f>
        <v>1</v>
      </c>
      <c r="C208" s="5">
        <f ca="1">COUNTBLANK(OFFSET(Demand!$I217,0,(COLUMN(B205)-1)*5,1,1))</f>
        <v>1</v>
      </c>
      <c r="D208" s="5">
        <f ca="1">COUNTBLANK(OFFSET(Demand!$I217,0,(COLUMN(C205)-1)*5,1,1))</f>
        <v>1</v>
      </c>
      <c r="E208" s="5">
        <f ca="1">COUNTBLANK(OFFSET(Demand!$I217,0,(COLUMN(D205)-1)*5,1,1))</f>
        <v>1</v>
      </c>
      <c r="F208" s="5">
        <f ca="1">COUNTBLANK(OFFSET(Demand!$I217,0,(COLUMN(E205)-1)*5,1,1))</f>
        <v>1</v>
      </c>
      <c r="G208" s="5">
        <f ca="1">COUNTBLANK(OFFSET(Demand!$I217,0,(COLUMN(F205)-1)*5,1,1))</f>
        <v>1</v>
      </c>
      <c r="H208" s="5">
        <f ca="1">COUNTBLANK(OFFSET(Demand!$I217,0,(COLUMN(G205)-1)*5,1,1))</f>
        <v>1</v>
      </c>
      <c r="I208" s="5">
        <f ca="1">COUNTBLANK(OFFSET(Demand!$I217,0,(COLUMN(H205)-1)*5,1,1))</f>
        <v>1</v>
      </c>
      <c r="J208" s="5">
        <f ca="1">COUNTBLANK(OFFSET(Demand!$I217,0,(COLUMN(I205)-1)*5,1,1))</f>
        <v>1</v>
      </c>
      <c r="K208" s="5">
        <f ca="1">COUNTBLANK(OFFSET(Demand!$I217,0,(COLUMN(J205)-1)*5,1,1))</f>
        <v>1</v>
      </c>
      <c r="N208" s="5">
        <f ca="1">SUM(OFFSET(Demand!$E217,0,(COLUMN(A205)-1)*5,1,3))*N$2</f>
        <v>0</v>
      </c>
      <c r="O208" s="5">
        <f ca="1">SUM(OFFSET(Demand!$E217,0,(COLUMN(B205)-1)*5,1,3))*O$2</f>
        <v>0</v>
      </c>
      <c r="P208" s="5">
        <f ca="1">SUM(OFFSET(Demand!$E217,0,(COLUMN(C205)-1)*5,1,3))*P$2</f>
        <v>0</v>
      </c>
      <c r="Q208" s="5">
        <f ca="1">SUM(OFFSET(Demand!$E217,0,(COLUMN(D205)-1)*5,1,3))*Q$2</f>
        <v>0</v>
      </c>
      <c r="R208" s="5">
        <f ca="1">SUM(OFFSET(Demand!$E217,0,(COLUMN(E205)-1)*5,1,3))*R$2</f>
        <v>0</v>
      </c>
      <c r="S208" s="5">
        <f ca="1">SUM(OFFSET(Demand!$E217,0,(COLUMN(F205)-1)*5,1,3))*S$2</f>
        <v>0</v>
      </c>
      <c r="T208" s="5">
        <f ca="1">SUM(OFFSET(Demand!$E217,0,(COLUMN(G205)-1)*5,1,3))*T$2</f>
        <v>0</v>
      </c>
      <c r="U208" s="5">
        <f ca="1">SUM(OFFSET(Demand!$E217,0,(COLUMN(H205)-1)*5,1,3))*U$2</f>
        <v>0</v>
      </c>
      <c r="V208" s="5">
        <f ca="1">SUM(OFFSET(Demand!$E217,0,(COLUMN(I205)-1)*5,1,3))*V$2</f>
        <v>0</v>
      </c>
      <c r="W208" s="5">
        <f ca="1">SUM(OFFSET(Demand!$E217,0,(COLUMN(J205)-1)*5,1,3))*W$2</f>
        <v>0</v>
      </c>
      <c r="X208" s="5">
        <f t="shared" ca="1" si="51"/>
        <v>0</v>
      </c>
      <c r="Y208">
        <f t="shared" ca="1" si="52"/>
        <v>0</v>
      </c>
      <c r="Z208" s="5">
        <f ca="1">SUM(OFFSET(Demand!$H217,0,(COLUMN(A205)-1)*5,1,1))*N$2</f>
        <v>0</v>
      </c>
      <c r="AA208" s="5">
        <f ca="1">SUM(OFFSET(Demand!$H217,0,(COLUMN(B205)-1)*5,1,1))*O$2</f>
        <v>0</v>
      </c>
      <c r="AB208" s="5">
        <f ca="1">SUM(OFFSET(Demand!$H217,0,(COLUMN(C205)-1)*5,1,1))*P$2</f>
        <v>0</v>
      </c>
      <c r="AC208" s="5">
        <f ca="1">SUM(OFFSET(Demand!$H217,0,(COLUMN(D205)-1)*5,1,1))*Q$2</f>
        <v>0</v>
      </c>
      <c r="AD208" s="5">
        <f ca="1">SUM(OFFSET(Demand!$H217,0,(COLUMN(E205)-1)*5,1,1))*R$2</f>
        <v>0</v>
      </c>
      <c r="AE208" s="5">
        <f ca="1">SUM(OFFSET(Demand!$H217,0,(COLUMN(F205)-1)*5,1,1))*S$2</f>
        <v>0</v>
      </c>
      <c r="AF208" s="5">
        <f ca="1">SUM(OFFSET(Demand!$H217,0,(COLUMN(G205)-1)*5,1,1))*T$2</f>
        <v>0</v>
      </c>
      <c r="AG208" s="5">
        <f ca="1">SUM(OFFSET(Demand!$H217,0,(COLUMN(H205)-1)*5,1,1))*U$2</f>
        <v>0</v>
      </c>
      <c r="AH208" s="5">
        <f ca="1">SUM(OFFSET(Demand!$H217,0,(COLUMN(I205)-1)*5,1,1))*V$2</f>
        <v>0</v>
      </c>
      <c r="AI208" s="5">
        <f ca="1">SUM(OFFSET(Demand!$H217,0,(COLUMN(J205)-1)*5,1,1))*W$2</f>
        <v>0</v>
      </c>
      <c r="AJ208" s="5">
        <f t="shared" ca="1" si="53"/>
        <v>0</v>
      </c>
      <c r="AL208" s="5">
        <f t="shared" ca="1" si="54"/>
        <v>0</v>
      </c>
      <c r="AM208" s="5">
        <f t="shared" ca="1" si="55"/>
        <v>0</v>
      </c>
      <c r="AN208" s="5" t="str">
        <f>IF(Demand!BE217="Yes","Yes","")</f>
        <v/>
      </c>
      <c r="AP208" s="36" t="str">
        <f ca="1">Demand!B217</f>
        <v xml:space="preserve"> </v>
      </c>
      <c r="AQ208" t="str">
        <f ca="1">IF(TEXT(Demand!D217,"MMM")&lt;&gt;TEXT(Demand!D216,"MMM"),TEXT(Demand!D217,"MMM"),"")</f>
        <v/>
      </c>
      <c r="AT208" s="5">
        <f t="shared" ca="1" si="56"/>
        <v>0</v>
      </c>
      <c r="BQ208">
        <f ca="1">IF($AN208="",OFFSET(Demand!$A$13,ROW(A205)-1,4+((QUOTIENT(COLUMN(BQ$2)-69,3))*5)+MOD(COLUMN(BQ$2),3),1,1),"")</f>
        <v>0</v>
      </c>
      <c r="BR208">
        <f ca="1">IF($AN208="",OFFSET(Demand!$A$13,ROW(B205)-1,4+((QUOTIENT(COLUMN(BR$2)-69,3))*5)+MOD(COLUMN(BR$2),3),1,1),"")</f>
        <v>0</v>
      </c>
      <c r="BS208">
        <f ca="1">IF($AN208="",OFFSET(Demand!$A$13,ROW(C205)-1,4+((QUOTIENT(COLUMN(BS$2)-69,3))*5)+MOD(COLUMN(BS$2),3),1,1),"")</f>
        <v>0</v>
      </c>
      <c r="BT208">
        <f ca="1">IF($AN208="",OFFSET(Demand!$A$13,ROW(D205)-1,4+((QUOTIENT(COLUMN(BT$2)-69,3))*5)+MOD(COLUMN(BT$2),3),1,1),"")</f>
        <v>0</v>
      </c>
      <c r="BU208">
        <f ca="1">IF($AN208="",OFFSET(Demand!$A$13,ROW(E205)-1,4+((QUOTIENT(COLUMN(BU$2)-69,3))*5)+MOD(COLUMN(BU$2),3),1,1),"")</f>
        <v>0</v>
      </c>
      <c r="BV208">
        <f ca="1">IF($AN208="",OFFSET(Demand!$A$13,ROW(F205)-1,4+((QUOTIENT(COLUMN(BV$2)-69,3))*5)+MOD(COLUMN(BV$2),3),1,1),"")</f>
        <v>0</v>
      </c>
      <c r="BW208">
        <f ca="1">IF($AN208="",OFFSET(Demand!$A$13,ROW(G205)-1,4+((QUOTIENT(COLUMN(BW$2)-69,3))*5)+MOD(COLUMN(BW$2),3),1,1),"")</f>
        <v>0</v>
      </c>
      <c r="BX208">
        <f ca="1">IF($AN208="",OFFSET(Demand!$A$13,ROW(H205)-1,4+((QUOTIENT(COLUMN(BX$2)-69,3))*5)+MOD(COLUMN(BX$2),3),1,1),"")</f>
        <v>0</v>
      </c>
      <c r="BY208">
        <f ca="1">IF($AN208="",OFFSET(Demand!$A$13,ROW(I205)-1,4+((QUOTIENT(COLUMN(BY$2)-69,3))*5)+MOD(COLUMN(BY$2),3),1,1),"")</f>
        <v>0</v>
      </c>
      <c r="BZ208">
        <f ca="1">IF($AN208="",OFFSET(Demand!$A$13,ROW(J205)-1,4+((QUOTIENT(COLUMN(BZ$2)-69,3))*5)+MOD(COLUMN(BZ$2),3),1,1),"")</f>
        <v>0</v>
      </c>
      <c r="CA208">
        <f ca="1">IF($AN208="",OFFSET(Demand!$A$13,ROW(K205)-1,4+((QUOTIENT(COLUMN(CA$2)-69,3))*5)+MOD(COLUMN(CA$2),3),1,1),"")</f>
        <v>0</v>
      </c>
      <c r="CB208">
        <f ca="1">IF($AN208="",OFFSET(Demand!$A$13,ROW(L205)-1,4+((QUOTIENT(COLUMN(CB$2)-69,3))*5)+MOD(COLUMN(CB$2),3),1,1),"")</f>
        <v>0</v>
      </c>
      <c r="CC208">
        <f ca="1">IF($AN208="",OFFSET(Demand!$A$13,ROW(M205)-1,4+((QUOTIENT(COLUMN(CC$2)-69,3))*5)+MOD(COLUMN(CC$2),3),1,1),"")</f>
        <v>0</v>
      </c>
      <c r="CD208">
        <f ca="1">IF($AN208="",OFFSET(Demand!$A$13,ROW(N205)-1,4+((QUOTIENT(COLUMN(CD$2)-69,3))*5)+MOD(COLUMN(CD$2),3),1,1),"")</f>
        <v>0</v>
      </c>
      <c r="CE208">
        <f ca="1">IF($AN208="",OFFSET(Demand!$A$13,ROW(O205)-1,4+((QUOTIENT(COLUMN(CE$2)-69,3))*5)+MOD(COLUMN(CE$2),3),1,1),"")</f>
        <v>0</v>
      </c>
      <c r="CF208">
        <f ca="1">IF($AN208="",OFFSET(Demand!$A$13,ROW(P205)-1,4+((QUOTIENT(COLUMN(CF$2)-69,3))*5)+MOD(COLUMN(CF$2),3),1,1),"")</f>
        <v>0</v>
      </c>
      <c r="CG208">
        <f ca="1">IF($AN208="",OFFSET(Demand!$A$13,ROW(Q205)-1,4+((QUOTIENT(COLUMN(CG$2)-69,3))*5)+MOD(COLUMN(CG$2),3),1,1),"")</f>
        <v>0</v>
      </c>
      <c r="CH208">
        <f ca="1">IF($AN208="",OFFSET(Demand!$A$13,ROW(R205)-1,4+((QUOTIENT(COLUMN(CH$2)-69,3))*5)+MOD(COLUMN(CH$2),3),1,1),"")</f>
        <v>0</v>
      </c>
      <c r="CI208">
        <f ca="1">IF($AN208="",OFFSET(Demand!$A$13,ROW(S205)-1,4+((QUOTIENT(COLUMN(CI$2)-69,3))*5)+MOD(COLUMN(CI$2),3),1,1),"")</f>
        <v>0</v>
      </c>
      <c r="CJ208">
        <f ca="1">IF($AN208="",OFFSET(Demand!$A$13,ROW(T205)-1,4+((QUOTIENT(COLUMN(CJ$2)-69,3))*5)+MOD(COLUMN(CJ$2),3),1,1),"")</f>
        <v>0</v>
      </c>
      <c r="CK208">
        <f ca="1">IF($AN208="",OFFSET(Demand!$A$13,ROW(U205)-1,4+((QUOTIENT(COLUMN(CK$2)-69,3))*5)+MOD(COLUMN(CK$2),3),1,1),"")</f>
        <v>0</v>
      </c>
      <c r="CL208">
        <f ca="1">IF($AN208="",OFFSET(Demand!$A$13,ROW(V205)-1,4+((QUOTIENT(COLUMN(CL$2)-69,3))*5)+MOD(COLUMN(CL$2),3),1,1),"")</f>
        <v>0</v>
      </c>
      <c r="CM208">
        <f ca="1">IF($AN208="",OFFSET(Demand!$A$13,ROW(W205)-1,4+((QUOTIENT(COLUMN(CM$2)-69,3))*5)+MOD(COLUMN(CM$2),3),1,1),"")</f>
        <v>0</v>
      </c>
      <c r="CN208">
        <f ca="1">IF($AN208="",OFFSET(Demand!$A$13,ROW(X205)-1,4+((QUOTIENT(COLUMN(CN$2)-69,3))*5)+MOD(COLUMN(CN$2),3),1,1),"")</f>
        <v>0</v>
      </c>
      <c r="CO208">
        <f ca="1">IF($AN208="",OFFSET(Demand!$A$13,ROW(Y205)-1,4+((QUOTIENT(COLUMN(CO$2)-69,3))*5)+MOD(COLUMN(CO$2),3),1,1),"")</f>
        <v>0</v>
      </c>
      <c r="CP208">
        <f ca="1">IF($AN208="",OFFSET(Demand!$A$13,ROW(Z205)-1,4+((QUOTIENT(COLUMN(CP$2)-69,3))*5)+MOD(COLUMN(CP$2),3),1,1),"")</f>
        <v>0</v>
      </c>
      <c r="CQ208">
        <f ca="1">IF($AN208="",OFFSET(Demand!$A$13,ROW(AA205)-1,4+((QUOTIENT(COLUMN(CQ$2)-69,3))*5)+MOD(COLUMN(CQ$2),3),1,1),"")</f>
        <v>0</v>
      </c>
      <c r="CR208">
        <f ca="1">IF($AN208="",OFFSET(Demand!$A$13,ROW(AB205)-1,4+((QUOTIENT(COLUMN(CR$2)-69,3))*5)+MOD(COLUMN(CR$2),3),1,1),"")</f>
        <v>0</v>
      </c>
      <c r="CS208">
        <f ca="1">IF($AN208="",OFFSET(Demand!$A$13,ROW(AC205)-1,4+((QUOTIENT(COLUMN(CS$2)-69,3))*5)+MOD(COLUMN(CS$2),3),1,1),"")</f>
        <v>0</v>
      </c>
      <c r="CT208">
        <f ca="1">IF($AN208="",OFFSET(Demand!$A$13,ROW(AD205)-1,4+((QUOTIENT(COLUMN(CT$2)-69,3))*5)+MOD(COLUMN(CT$2),3),1,1),"")</f>
        <v>0</v>
      </c>
      <c r="CW208" s="5">
        <f ca="1">SUM(OFFSET(Demand!$H$43,ROW(A205)-1,(COLUMN(A205)-1)*5,1,1))*N$2</f>
        <v>0</v>
      </c>
      <c r="CX208" s="5">
        <f ca="1">SUM(OFFSET(Demand!$H$43,ROW(B205)-1,(COLUMN(B205)-1)*5,1,1))*O$2</f>
        <v>0</v>
      </c>
      <c r="CY208" s="5">
        <f ca="1">SUM(OFFSET(Demand!$H$43,ROW(C205)-1,(COLUMN(C205)-1)*5,1,1))*P$2</f>
        <v>0</v>
      </c>
      <c r="CZ208" s="5">
        <f ca="1">SUM(OFFSET(Demand!$H$43,ROW(D205)-1,(COLUMN(D205)-1)*5,1,1))*Q$2</f>
        <v>0</v>
      </c>
      <c r="DA208" s="5">
        <f ca="1">SUM(OFFSET(Demand!$H$43,ROW(E205)-1,(COLUMN(E205)-1)*5,1,1))*R$2</f>
        <v>0</v>
      </c>
      <c r="DB208" s="5">
        <f ca="1">SUM(OFFSET(Demand!$H$43,ROW(F205)-1,(COLUMN(F205)-1)*5,1,1))*S$2</f>
        <v>0</v>
      </c>
      <c r="DC208" s="5">
        <f ca="1">SUM(OFFSET(Demand!$H$43,ROW(G205)-1,(COLUMN(G205)-1)*5,1,1))*T$2</f>
        <v>0</v>
      </c>
      <c r="DD208" s="5">
        <f ca="1">SUM(OFFSET(Demand!$H$43,ROW(H205)-1,(COLUMN(H205)-1)*5,1,1))*U$2</f>
        <v>0</v>
      </c>
      <c r="DE208" s="5">
        <f ca="1">SUM(OFFSET(Demand!$H$43,ROW(I205)-1,(COLUMN(I205)-1)*5,1,1))*V$2</f>
        <v>0</v>
      </c>
      <c r="DF208" s="5">
        <f ca="1">SUM(OFFSET(Demand!$H$43,ROW(J205)-1,(COLUMN(J205)-1)*5,1,1))*W$2</f>
        <v>0</v>
      </c>
      <c r="DG208" s="5">
        <f ca="1">IF(OR(AN208&lt;&gt;"",AND('Demand adjustments for Covid'!$F$9="Yes",'Demand adjustments for Covid'!$F$20="Yes")),"",SUM(CW208:DF208))</f>
        <v>0</v>
      </c>
    </row>
    <row r="209" spans="1:111" x14ac:dyDescent="0.25">
      <c r="A209" s="5">
        <f t="shared" ca="1" si="50"/>
        <v>1</v>
      </c>
      <c r="B209" s="5">
        <f ca="1">COUNTBLANK(OFFSET(Demand!$I218,0,(COLUMN(A206)-1)*5,1,1))</f>
        <v>1</v>
      </c>
      <c r="C209" s="5">
        <f ca="1">COUNTBLANK(OFFSET(Demand!$I218,0,(COLUMN(B206)-1)*5,1,1))</f>
        <v>1</v>
      </c>
      <c r="D209" s="5">
        <f ca="1">COUNTBLANK(OFFSET(Demand!$I218,0,(COLUMN(C206)-1)*5,1,1))</f>
        <v>1</v>
      </c>
      <c r="E209" s="5">
        <f ca="1">COUNTBLANK(OFFSET(Demand!$I218,0,(COLUMN(D206)-1)*5,1,1))</f>
        <v>1</v>
      </c>
      <c r="F209" s="5">
        <f ca="1">COUNTBLANK(OFFSET(Demand!$I218,0,(COLUMN(E206)-1)*5,1,1))</f>
        <v>1</v>
      </c>
      <c r="G209" s="5">
        <f ca="1">COUNTBLANK(OFFSET(Demand!$I218,0,(COLUMN(F206)-1)*5,1,1))</f>
        <v>1</v>
      </c>
      <c r="H209" s="5">
        <f ca="1">COUNTBLANK(OFFSET(Demand!$I218,0,(COLUMN(G206)-1)*5,1,1))</f>
        <v>1</v>
      </c>
      <c r="I209" s="5">
        <f ca="1">COUNTBLANK(OFFSET(Demand!$I218,0,(COLUMN(H206)-1)*5,1,1))</f>
        <v>1</v>
      </c>
      <c r="J209" s="5">
        <f ca="1">COUNTBLANK(OFFSET(Demand!$I218,0,(COLUMN(I206)-1)*5,1,1))</f>
        <v>1</v>
      </c>
      <c r="K209" s="5">
        <f ca="1">COUNTBLANK(OFFSET(Demand!$I218,0,(COLUMN(J206)-1)*5,1,1))</f>
        <v>1</v>
      </c>
      <c r="N209" s="5">
        <f ca="1">SUM(OFFSET(Demand!$E218,0,(COLUMN(A206)-1)*5,1,3))*N$2</f>
        <v>0</v>
      </c>
      <c r="O209" s="5">
        <f ca="1">SUM(OFFSET(Demand!$E218,0,(COLUMN(B206)-1)*5,1,3))*O$2</f>
        <v>0</v>
      </c>
      <c r="P209" s="5">
        <f ca="1">SUM(OFFSET(Demand!$E218,0,(COLUMN(C206)-1)*5,1,3))*P$2</f>
        <v>0</v>
      </c>
      <c r="Q209" s="5">
        <f ca="1">SUM(OFFSET(Demand!$E218,0,(COLUMN(D206)-1)*5,1,3))*Q$2</f>
        <v>0</v>
      </c>
      <c r="R209" s="5">
        <f ca="1">SUM(OFFSET(Demand!$E218,0,(COLUMN(E206)-1)*5,1,3))*R$2</f>
        <v>0</v>
      </c>
      <c r="S209" s="5">
        <f ca="1">SUM(OFFSET(Demand!$E218,0,(COLUMN(F206)-1)*5,1,3))*S$2</f>
        <v>0</v>
      </c>
      <c r="T209" s="5">
        <f ca="1">SUM(OFFSET(Demand!$E218,0,(COLUMN(G206)-1)*5,1,3))*T$2</f>
        <v>0</v>
      </c>
      <c r="U209" s="5">
        <f ca="1">SUM(OFFSET(Demand!$E218,0,(COLUMN(H206)-1)*5,1,3))*U$2</f>
        <v>0</v>
      </c>
      <c r="V209" s="5">
        <f ca="1">SUM(OFFSET(Demand!$E218,0,(COLUMN(I206)-1)*5,1,3))*V$2</f>
        <v>0</v>
      </c>
      <c r="W209" s="5">
        <f ca="1">SUM(OFFSET(Demand!$E218,0,(COLUMN(J206)-1)*5,1,3))*W$2</f>
        <v>0</v>
      </c>
      <c r="X209" s="5">
        <f t="shared" ca="1" si="51"/>
        <v>0</v>
      </c>
      <c r="Y209">
        <f t="shared" ca="1" si="52"/>
        <v>0</v>
      </c>
      <c r="Z209" s="5">
        <f ca="1">SUM(OFFSET(Demand!$H218,0,(COLUMN(A206)-1)*5,1,1))*N$2</f>
        <v>0</v>
      </c>
      <c r="AA209" s="5">
        <f ca="1">SUM(OFFSET(Demand!$H218,0,(COLUMN(B206)-1)*5,1,1))*O$2</f>
        <v>0</v>
      </c>
      <c r="AB209" s="5">
        <f ca="1">SUM(OFFSET(Demand!$H218,0,(COLUMN(C206)-1)*5,1,1))*P$2</f>
        <v>0</v>
      </c>
      <c r="AC209" s="5">
        <f ca="1">SUM(OFFSET(Demand!$H218,0,(COLUMN(D206)-1)*5,1,1))*Q$2</f>
        <v>0</v>
      </c>
      <c r="AD209" s="5">
        <f ca="1">SUM(OFFSET(Demand!$H218,0,(COLUMN(E206)-1)*5,1,1))*R$2</f>
        <v>0</v>
      </c>
      <c r="AE209" s="5">
        <f ca="1">SUM(OFFSET(Demand!$H218,0,(COLUMN(F206)-1)*5,1,1))*S$2</f>
        <v>0</v>
      </c>
      <c r="AF209" s="5">
        <f ca="1">SUM(OFFSET(Demand!$H218,0,(COLUMN(G206)-1)*5,1,1))*T$2</f>
        <v>0</v>
      </c>
      <c r="AG209" s="5">
        <f ca="1">SUM(OFFSET(Demand!$H218,0,(COLUMN(H206)-1)*5,1,1))*U$2</f>
        <v>0</v>
      </c>
      <c r="AH209" s="5">
        <f ca="1">SUM(OFFSET(Demand!$H218,0,(COLUMN(I206)-1)*5,1,1))*V$2</f>
        <v>0</v>
      </c>
      <c r="AI209" s="5">
        <f ca="1">SUM(OFFSET(Demand!$H218,0,(COLUMN(J206)-1)*5,1,1))*W$2</f>
        <v>0</v>
      </c>
      <c r="AJ209" s="5">
        <f t="shared" ca="1" si="53"/>
        <v>0</v>
      </c>
      <c r="AL209" s="5">
        <f t="shared" ca="1" si="54"/>
        <v>0</v>
      </c>
      <c r="AM209" s="5">
        <f t="shared" ca="1" si="55"/>
        <v>0</v>
      </c>
      <c r="AN209" s="5" t="str">
        <f>IF(Demand!BE218="Yes","Yes","")</f>
        <v/>
      </c>
      <c r="AP209" s="36" t="str">
        <f ca="1">Demand!B218</f>
        <v xml:space="preserve"> </v>
      </c>
      <c r="AQ209" t="str">
        <f ca="1">IF(TEXT(Demand!D218,"MMM")&lt;&gt;TEXT(Demand!D217,"MMM"),TEXT(Demand!D218,"MMM"),"")</f>
        <v/>
      </c>
      <c r="AT209" s="5">
        <f t="shared" ca="1" si="56"/>
        <v>0</v>
      </c>
      <c r="BQ209">
        <f ca="1">IF($AN209="",OFFSET(Demand!$A$13,ROW(A206)-1,4+((QUOTIENT(COLUMN(BQ$2)-69,3))*5)+MOD(COLUMN(BQ$2),3),1,1),"")</f>
        <v>0</v>
      </c>
      <c r="BR209">
        <f ca="1">IF($AN209="",OFFSET(Demand!$A$13,ROW(B206)-1,4+((QUOTIENT(COLUMN(BR$2)-69,3))*5)+MOD(COLUMN(BR$2),3),1,1),"")</f>
        <v>0</v>
      </c>
      <c r="BS209">
        <f ca="1">IF($AN209="",OFFSET(Demand!$A$13,ROW(C206)-1,4+((QUOTIENT(COLUMN(BS$2)-69,3))*5)+MOD(COLUMN(BS$2),3),1,1),"")</f>
        <v>0</v>
      </c>
      <c r="BT209">
        <f ca="1">IF($AN209="",OFFSET(Demand!$A$13,ROW(D206)-1,4+((QUOTIENT(COLUMN(BT$2)-69,3))*5)+MOD(COLUMN(BT$2),3),1,1),"")</f>
        <v>0</v>
      </c>
      <c r="BU209">
        <f ca="1">IF($AN209="",OFFSET(Demand!$A$13,ROW(E206)-1,4+((QUOTIENT(COLUMN(BU$2)-69,3))*5)+MOD(COLUMN(BU$2),3),1,1),"")</f>
        <v>0</v>
      </c>
      <c r="BV209">
        <f ca="1">IF($AN209="",OFFSET(Demand!$A$13,ROW(F206)-1,4+((QUOTIENT(COLUMN(BV$2)-69,3))*5)+MOD(COLUMN(BV$2),3),1,1),"")</f>
        <v>0</v>
      </c>
      <c r="BW209">
        <f ca="1">IF($AN209="",OFFSET(Demand!$A$13,ROW(G206)-1,4+((QUOTIENT(COLUMN(BW$2)-69,3))*5)+MOD(COLUMN(BW$2),3),1,1),"")</f>
        <v>0</v>
      </c>
      <c r="BX209">
        <f ca="1">IF($AN209="",OFFSET(Demand!$A$13,ROW(H206)-1,4+((QUOTIENT(COLUMN(BX$2)-69,3))*5)+MOD(COLUMN(BX$2),3),1,1),"")</f>
        <v>0</v>
      </c>
      <c r="BY209">
        <f ca="1">IF($AN209="",OFFSET(Demand!$A$13,ROW(I206)-1,4+((QUOTIENT(COLUMN(BY$2)-69,3))*5)+MOD(COLUMN(BY$2),3),1,1),"")</f>
        <v>0</v>
      </c>
      <c r="BZ209">
        <f ca="1">IF($AN209="",OFFSET(Demand!$A$13,ROW(J206)-1,4+((QUOTIENT(COLUMN(BZ$2)-69,3))*5)+MOD(COLUMN(BZ$2),3),1,1),"")</f>
        <v>0</v>
      </c>
      <c r="CA209">
        <f ca="1">IF($AN209="",OFFSET(Demand!$A$13,ROW(K206)-1,4+((QUOTIENT(COLUMN(CA$2)-69,3))*5)+MOD(COLUMN(CA$2),3),1,1),"")</f>
        <v>0</v>
      </c>
      <c r="CB209">
        <f ca="1">IF($AN209="",OFFSET(Demand!$A$13,ROW(L206)-1,4+((QUOTIENT(COLUMN(CB$2)-69,3))*5)+MOD(COLUMN(CB$2),3),1,1),"")</f>
        <v>0</v>
      </c>
      <c r="CC209">
        <f ca="1">IF($AN209="",OFFSET(Demand!$A$13,ROW(M206)-1,4+((QUOTIENT(COLUMN(CC$2)-69,3))*5)+MOD(COLUMN(CC$2),3),1,1),"")</f>
        <v>0</v>
      </c>
      <c r="CD209">
        <f ca="1">IF($AN209="",OFFSET(Demand!$A$13,ROW(N206)-1,4+((QUOTIENT(COLUMN(CD$2)-69,3))*5)+MOD(COLUMN(CD$2),3),1,1),"")</f>
        <v>0</v>
      </c>
      <c r="CE209">
        <f ca="1">IF($AN209="",OFFSET(Demand!$A$13,ROW(O206)-1,4+((QUOTIENT(COLUMN(CE$2)-69,3))*5)+MOD(COLUMN(CE$2),3),1,1),"")</f>
        <v>0</v>
      </c>
      <c r="CF209">
        <f ca="1">IF($AN209="",OFFSET(Demand!$A$13,ROW(P206)-1,4+((QUOTIENT(COLUMN(CF$2)-69,3))*5)+MOD(COLUMN(CF$2),3),1,1),"")</f>
        <v>0</v>
      </c>
      <c r="CG209">
        <f ca="1">IF($AN209="",OFFSET(Demand!$A$13,ROW(Q206)-1,4+((QUOTIENT(COLUMN(CG$2)-69,3))*5)+MOD(COLUMN(CG$2),3),1,1),"")</f>
        <v>0</v>
      </c>
      <c r="CH209">
        <f ca="1">IF($AN209="",OFFSET(Demand!$A$13,ROW(R206)-1,4+((QUOTIENT(COLUMN(CH$2)-69,3))*5)+MOD(COLUMN(CH$2),3),1,1),"")</f>
        <v>0</v>
      </c>
      <c r="CI209">
        <f ca="1">IF($AN209="",OFFSET(Demand!$A$13,ROW(S206)-1,4+((QUOTIENT(COLUMN(CI$2)-69,3))*5)+MOD(COLUMN(CI$2),3),1,1),"")</f>
        <v>0</v>
      </c>
      <c r="CJ209">
        <f ca="1">IF($AN209="",OFFSET(Demand!$A$13,ROW(T206)-1,4+((QUOTIENT(COLUMN(CJ$2)-69,3))*5)+MOD(COLUMN(CJ$2),3),1,1),"")</f>
        <v>0</v>
      </c>
      <c r="CK209">
        <f ca="1">IF($AN209="",OFFSET(Demand!$A$13,ROW(U206)-1,4+((QUOTIENT(COLUMN(CK$2)-69,3))*5)+MOD(COLUMN(CK$2),3),1,1),"")</f>
        <v>0</v>
      </c>
      <c r="CL209">
        <f ca="1">IF($AN209="",OFFSET(Demand!$A$13,ROW(V206)-1,4+((QUOTIENT(COLUMN(CL$2)-69,3))*5)+MOD(COLUMN(CL$2),3),1,1),"")</f>
        <v>0</v>
      </c>
      <c r="CM209">
        <f ca="1">IF($AN209="",OFFSET(Demand!$A$13,ROW(W206)-1,4+((QUOTIENT(COLUMN(CM$2)-69,3))*5)+MOD(COLUMN(CM$2),3),1,1),"")</f>
        <v>0</v>
      </c>
      <c r="CN209">
        <f ca="1">IF($AN209="",OFFSET(Demand!$A$13,ROW(X206)-1,4+((QUOTIENT(COLUMN(CN$2)-69,3))*5)+MOD(COLUMN(CN$2),3),1,1),"")</f>
        <v>0</v>
      </c>
      <c r="CO209">
        <f ca="1">IF($AN209="",OFFSET(Demand!$A$13,ROW(Y206)-1,4+((QUOTIENT(COLUMN(CO$2)-69,3))*5)+MOD(COLUMN(CO$2),3),1,1),"")</f>
        <v>0</v>
      </c>
      <c r="CP209">
        <f ca="1">IF($AN209="",OFFSET(Demand!$A$13,ROW(Z206)-1,4+((QUOTIENT(COLUMN(CP$2)-69,3))*5)+MOD(COLUMN(CP$2),3),1,1),"")</f>
        <v>0</v>
      </c>
      <c r="CQ209">
        <f ca="1">IF($AN209="",OFFSET(Demand!$A$13,ROW(AA206)-1,4+((QUOTIENT(COLUMN(CQ$2)-69,3))*5)+MOD(COLUMN(CQ$2),3),1,1),"")</f>
        <v>0</v>
      </c>
      <c r="CR209">
        <f ca="1">IF($AN209="",OFFSET(Demand!$A$13,ROW(AB206)-1,4+((QUOTIENT(COLUMN(CR$2)-69,3))*5)+MOD(COLUMN(CR$2),3),1,1),"")</f>
        <v>0</v>
      </c>
      <c r="CS209">
        <f ca="1">IF($AN209="",OFFSET(Demand!$A$13,ROW(AC206)-1,4+((QUOTIENT(COLUMN(CS$2)-69,3))*5)+MOD(COLUMN(CS$2),3),1,1),"")</f>
        <v>0</v>
      </c>
      <c r="CT209">
        <f ca="1">IF($AN209="",OFFSET(Demand!$A$13,ROW(AD206)-1,4+((QUOTIENT(COLUMN(CT$2)-69,3))*5)+MOD(COLUMN(CT$2),3),1,1),"")</f>
        <v>0</v>
      </c>
      <c r="CW209" s="5">
        <f ca="1">SUM(OFFSET(Demand!$H$43,ROW(A206)-1,(COLUMN(A206)-1)*5,1,1))*N$2</f>
        <v>0</v>
      </c>
      <c r="CX209" s="5">
        <f ca="1">SUM(OFFSET(Demand!$H$43,ROW(B206)-1,(COLUMN(B206)-1)*5,1,1))*O$2</f>
        <v>0</v>
      </c>
      <c r="CY209" s="5">
        <f ca="1">SUM(OFFSET(Demand!$H$43,ROW(C206)-1,(COLUMN(C206)-1)*5,1,1))*P$2</f>
        <v>0</v>
      </c>
      <c r="CZ209" s="5">
        <f ca="1">SUM(OFFSET(Demand!$H$43,ROW(D206)-1,(COLUMN(D206)-1)*5,1,1))*Q$2</f>
        <v>0</v>
      </c>
      <c r="DA209" s="5">
        <f ca="1">SUM(OFFSET(Demand!$H$43,ROW(E206)-1,(COLUMN(E206)-1)*5,1,1))*R$2</f>
        <v>0</v>
      </c>
      <c r="DB209" s="5">
        <f ca="1">SUM(OFFSET(Demand!$H$43,ROW(F206)-1,(COLUMN(F206)-1)*5,1,1))*S$2</f>
        <v>0</v>
      </c>
      <c r="DC209" s="5">
        <f ca="1">SUM(OFFSET(Demand!$H$43,ROW(G206)-1,(COLUMN(G206)-1)*5,1,1))*T$2</f>
        <v>0</v>
      </c>
      <c r="DD209" s="5">
        <f ca="1">SUM(OFFSET(Demand!$H$43,ROW(H206)-1,(COLUMN(H206)-1)*5,1,1))*U$2</f>
        <v>0</v>
      </c>
      <c r="DE209" s="5">
        <f ca="1">SUM(OFFSET(Demand!$H$43,ROW(I206)-1,(COLUMN(I206)-1)*5,1,1))*V$2</f>
        <v>0</v>
      </c>
      <c r="DF209" s="5">
        <f ca="1">SUM(OFFSET(Demand!$H$43,ROW(J206)-1,(COLUMN(J206)-1)*5,1,1))*W$2</f>
        <v>0</v>
      </c>
      <c r="DG209" s="5">
        <f ca="1">IF(OR(AN209&lt;&gt;"",AND('Demand adjustments for Covid'!$F$9="Yes",'Demand adjustments for Covid'!$F$20="Yes")),"",SUM(CW209:DF209))</f>
        <v>0</v>
      </c>
    </row>
    <row r="210" spans="1:111" x14ac:dyDescent="0.25">
      <c r="A210" s="5">
        <f t="shared" ca="1" si="50"/>
        <v>1</v>
      </c>
      <c r="B210" s="5">
        <f ca="1">COUNTBLANK(OFFSET(Demand!$I219,0,(COLUMN(A207)-1)*5,1,1))</f>
        <v>1</v>
      </c>
      <c r="C210" s="5">
        <f ca="1">COUNTBLANK(OFFSET(Demand!$I219,0,(COLUMN(B207)-1)*5,1,1))</f>
        <v>1</v>
      </c>
      <c r="D210" s="5">
        <f ca="1">COUNTBLANK(OFFSET(Demand!$I219,0,(COLUMN(C207)-1)*5,1,1))</f>
        <v>1</v>
      </c>
      <c r="E210" s="5">
        <f ca="1">COUNTBLANK(OFFSET(Demand!$I219,0,(COLUMN(D207)-1)*5,1,1))</f>
        <v>1</v>
      </c>
      <c r="F210" s="5">
        <f ca="1">COUNTBLANK(OFFSET(Demand!$I219,0,(COLUMN(E207)-1)*5,1,1))</f>
        <v>1</v>
      </c>
      <c r="G210" s="5">
        <f ca="1">COUNTBLANK(OFFSET(Demand!$I219,0,(COLUMN(F207)-1)*5,1,1))</f>
        <v>1</v>
      </c>
      <c r="H210" s="5">
        <f ca="1">COUNTBLANK(OFFSET(Demand!$I219,0,(COLUMN(G207)-1)*5,1,1))</f>
        <v>1</v>
      </c>
      <c r="I210" s="5">
        <f ca="1">COUNTBLANK(OFFSET(Demand!$I219,0,(COLUMN(H207)-1)*5,1,1))</f>
        <v>1</v>
      </c>
      <c r="J210" s="5">
        <f ca="1">COUNTBLANK(OFFSET(Demand!$I219,0,(COLUMN(I207)-1)*5,1,1))</f>
        <v>1</v>
      </c>
      <c r="K210" s="5">
        <f ca="1">COUNTBLANK(OFFSET(Demand!$I219,0,(COLUMN(J207)-1)*5,1,1))</f>
        <v>1</v>
      </c>
      <c r="N210" s="5">
        <f ca="1">SUM(OFFSET(Demand!$E219,0,(COLUMN(A207)-1)*5,1,3))*N$2</f>
        <v>0</v>
      </c>
      <c r="O210" s="5">
        <f ca="1">SUM(OFFSET(Demand!$E219,0,(COLUMN(B207)-1)*5,1,3))*O$2</f>
        <v>0</v>
      </c>
      <c r="P210" s="5">
        <f ca="1">SUM(OFFSET(Demand!$E219,0,(COLUMN(C207)-1)*5,1,3))*P$2</f>
        <v>0</v>
      </c>
      <c r="Q210" s="5">
        <f ca="1">SUM(OFFSET(Demand!$E219,0,(COLUMN(D207)-1)*5,1,3))*Q$2</f>
        <v>0</v>
      </c>
      <c r="R210" s="5">
        <f ca="1">SUM(OFFSET(Demand!$E219,0,(COLUMN(E207)-1)*5,1,3))*R$2</f>
        <v>0</v>
      </c>
      <c r="S210" s="5">
        <f ca="1">SUM(OFFSET(Demand!$E219,0,(COLUMN(F207)-1)*5,1,3))*S$2</f>
        <v>0</v>
      </c>
      <c r="T210" s="5">
        <f ca="1">SUM(OFFSET(Demand!$E219,0,(COLUMN(G207)-1)*5,1,3))*T$2</f>
        <v>0</v>
      </c>
      <c r="U210" s="5">
        <f ca="1">SUM(OFFSET(Demand!$E219,0,(COLUMN(H207)-1)*5,1,3))*U$2</f>
        <v>0</v>
      </c>
      <c r="V210" s="5">
        <f ca="1">SUM(OFFSET(Demand!$E219,0,(COLUMN(I207)-1)*5,1,3))*V$2</f>
        <v>0</v>
      </c>
      <c r="W210" s="5">
        <f ca="1">SUM(OFFSET(Demand!$E219,0,(COLUMN(J207)-1)*5,1,3))*W$2</f>
        <v>0</v>
      </c>
      <c r="X210" s="5">
        <f t="shared" ca="1" si="51"/>
        <v>0</v>
      </c>
      <c r="Y210">
        <f t="shared" ca="1" si="52"/>
        <v>0</v>
      </c>
      <c r="Z210" s="5">
        <f ca="1">SUM(OFFSET(Demand!$H219,0,(COLUMN(A207)-1)*5,1,1))*N$2</f>
        <v>0</v>
      </c>
      <c r="AA210" s="5">
        <f ca="1">SUM(OFFSET(Demand!$H219,0,(COLUMN(B207)-1)*5,1,1))*O$2</f>
        <v>0</v>
      </c>
      <c r="AB210" s="5">
        <f ca="1">SUM(OFFSET(Demand!$H219,0,(COLUMN(C207)-1)*5,1,1))*P$2</f>
        <v>0</v>
      </c>
      <c r="AC210" s="5">
        <f ca="1">SUM(OFFSET(Demand!$H219,0,(COLUMN(D207)-1)*5,1,1))*Q$2</f>
        <v>0</v>
      </c>
      <c r="AD210" s="5">
        <f ca="1">SUM(OFFSET(Demand!$H219,0,(COLUMN(E207)-1)*5,1,1))*R$2</f>
        <v>0</v>
      </c>
      <c r="AE210" s="5">
        <f ca="1">SUM(OFFSET(Demand!$H219,0,(COLUMN(F207)-1)*5,1,1))*S$2</f>
        <v>0</v>
      </c>
      <c r="AF210" s="5">
        <f ca="1">SUM(OFFSET(Demand!$H219,0,(COLUMN(G207)-1)*5,1,1))*T$2</f>
        <v>0</v>
      </c>
      <c r="AG210" s="5">
        <f ca="1">SUM(OFFSET(Demand!$H219,0,(COLUMN(H207)-1)*5,1,1))*U$2</f>
        <v>0</v>
      </c>
      <c r="AH210" s="5">
        <f ca="1">SUM(OFFSET(Demand!$H219,0,(COLUMN(I207)-1)*5,1,1))*V$2</f>
        <v>0</v>
      </c>
      <c r="AI210" s="5">
        <f ca="1">SUM(OFFSET(Demand!$H219,0,(COLUMN(J207)-1)*5,1,1))*W$2</f>
        <v>0</v>
      </c>
      <c r="AJ210" s="5">
        <f t="shared" ca="1" si="53"/>
        <v>0</v>
      </c>
      <c r="AL210" s="5">
        <f t="shared" ca="1" si="54"/>
        <v>0</v>
      </c>
      <c r="AM210" s="5">
        <f t="shared" ca="1" si="55"/>
        <v>0</v>
      </c>
      <c r="AN210" s="5" t="str">
        <f>IF(Demand!BE219="Yes","Yes","")</f>
        <v/>
      </c>
      <c r="AP210" s="36" t="str">
        <f ca="1">Demand!B219</f>
        <v xml:space="preserve"> </v>
      </c>
      <c r="AQ210" t="str">
        <f ca="1">IF(TEXT(Demand!D219,"MMM")&lt;&gt;TEXT(Demand!D218,"MMM"),TEXT(Demand!D219,"MMM"),"")</f>
        <v/>
      </c>
      <c r="AT210" s="5">
        <f t="shared" ca="1" si="56"/>
        <v>0</v>
      </c>
      <c r="BQ210">
        <f ca="1">IF($AN210="",OFFSET(Demand!$A$13,ROW(A207)-1,4+((QUOTIENT(COLUMN(BQ$2)-69,3))*5)+MOD(COLUMN(BQ$2),3),1,1),"")</f>
        <v>0</v>
      </c>
      <c r="BR210">
        <f ca="1">IF($AN210="",OFFSET(Demand!$A$13,ROW(B207)-1,4+((QUOTIENT(COLUMN(BR$2)-69,3))*5)+MOD(COLUMN(BR$2),3),1,1),"")</f>
        <v>0</v>
      </c>
      <c r="BS210">
        <f ca="1">IF($AN210="",OFFSET(Demand!$A$13,ROW(C207)-1,4+((QUOTIENT(COLUMN(BS$2)-69,3))*5)+MOD(COLUMN(BS$2),3),1,1),"")</f>
        <v>0</v>
      </c>
      <c r="BT210">
        <f ca="1">IF($AN210="",OFFSET(Demand!$A$13,ROW(D207)-1,4+((QUOTIENT(COLUMN(BT$2)-69,3))*5)+MOD(COLUMN(BT$2),3),1,1),"")</f>
        <v>0</v>
      </c>
      <c r="BU210">
        <f ca="1">IF($AN210="",OFFSET(Demand!$A$13,ROW(E207)-1,4+((QUOTIENT(COLUMN(BU$2)-69,3))*5)+MOD(COLUMN(BU$2),3),1,1),"")</f>
        <v>0</v>
      </c>
      <c r="BV210">
        <f ca="1">IF($AN210="",OFFSET(Demand!$A$13,ROW(F207)-1,4+((QUOTIENT(COLUMN(BV$2)-69,3))*5)+MOD(COLUMN(BV$2),3),1,1),"")</f>
        <v>0</v>
      </c>
      <c r="BW210">
        <f ca="1">IF($AN210="",OFFSET(Demand!$A$13,ROW(G207)-1,4+((QUOTIENT(COLUMN(BW$2)-69,3))*5)+MOD(COLUMN(BW$2),3),1,1),"")</f>
        <v>0</v>
      </c>
      <c r="BX210">
        <f ca="1">IF($AN210="",OFFSET(Demand!$A$13,ROW(H207)-1,4+((QUOTIENT(COLUMN(BX$2)-69,3))*5)+MOD(COLUMN(BX$2),3),1,1),"")</f>
        <v>0</v>
      </c>
      <c r="BY210">
        <f ca="1">IF($AN210="",OFFSET(Demand!$A$13,ROW(I207)-1,4+((QUOTIENT(COLUMN(BY$2)-69,3))*5)+MOD(COLUMN(BY$2),3),1,1),"")</f>
        <v>0</v>
      </c>
      <c r="BZ210">
        <f ca="1">IF($AN210="",OFFSET(Demand!$A$13,ROW(J207)-1,4+((QUOTIENT(COLUMN(BZ$2)-69,3))*5)+MOD(COLUMN(BZ$2),3),1,1),"")</f>
        <v>0</v>
      </c>
      <c r="CA210">
        <f ca="1">IF($AN210="",OFFSET(Demand!$A$13,ROW(K207)-1,4+((QUOTIENT(COLUMN(CA$2)-69,3))*5)+MOD(COLUMN(CA$2),3),1,1),"")</f>
        <v>0</v>
      </c>
      <c r="CB210">
        <f ca="1">IF($AN210="",OFFSET(Demand!$A$13,ROW(L207)-1,4+((QUOTIENT(COLUMN(CB$2)-69,3))*5)+MOD(COLUMN(CB$2),3),1,1),"")</f>
        <v>0</v>
      </c>
      <c r="CC210">
        <f ca="1">IF($AN210="",OFFSET(Demand!$A$13,ROW(M207)-1,4+((QUOTIENT(COLUMN(CC$2)-69,3))*5)+MOD(COLUMN(CC$2),3),1,1),"")</f>
        <v>0</v>
      </c>
      <c r="CD210">
        <f ca="1">IF($AN210="",OFFSET(Demand!$A$13,ROW(N207)-1,4+((QUOTIENT(COLUMN(CD$2)-69,3))*5)+MOD(COLUMN(CD$2),3),1,1),"")</f>
        <v>0</v>
      </c>
      <c r="CE210">
        <f ca="1">IF($AN210="",OFFSET(Demand!$A$13,ROW(O207)-1,4+((QUOTIENT(COLUMN(CE$2)-69,3))*5)+MOD(COLUMN(CE$2),3),1,1),"")</f>
        <v>0</v>
      </c>
      <c r="CF210">
        <f ca="1">IF($AN210="",OFFSET(Demand!$A$13,ROW(P207)-1,4+((QUOTIENT(COLUMN(CF$2)-69,3))*5)+MOD(COLUMN(CF$2),3),1,1),"")</f>
        <v>0</v>
      </c>
      <c r="CG210">
        <f ca="1">IF($AN210="",OFFSET(Demand!$A$13,ROW(Q207)-1,4+((QUOTIENT(COLUMN(CG$2)-69,3))*5)+MOD(COLUMN(CG$2),3),1,1),"")</f>
        <v>0</v>
      </c>
      <c r="CH210">
        <f ca="1">IF($AN210="",OFFSET(Demand!$A$13,ROW(R207)-1,4+((QUOTIENT(COLUMN(CH$2)-69,3))*5)+MOD(COLUMN(CH$2),3),1,1),"")</f>
        <v>0</v>
      </c>
      <c r="CI210">
        <f ca="1">IF($AN210="",OFFSET(Demand!$A$13,ROW(S207)-1,4+((QUOTIENT(COLUMN(CI$2)-69,3))*5)+MOD(COLUMN(CI$2),3),1,1),"")</f>
        <v>0</v>
      </c>
      <c r="CJ210">
        <f ca="1">IF($AN210="",OFFSET(Demand!$A$13,ROW(T207)-1,4+((QUOTIENT(COLUMN(CJ$2)-69,3))*5)+MOD(COLUMN(CJ$2),3),1,1),"")</f>
        <v>0</v>
      </c>
      <c r="CK210">
        <f ca="1">IF($AN210="",OFFSET(Demand!$A$13,ROW(U207)-1,4+((QUOTIENT(COLUMN(CK$2)-69,3))*5)+MOD(COLUMN(CK$2),3),1,1),"")</f>
        <v>0</v>
      </c>
      <c r="CL210">
        <f ca="1">IF($AN210="",OFFSET(Demand!$A$13,ROW(V207)-1,4+((QUOTIENT(COLUMN(CL$2)-69,3))*5)+MOD(COLUMN(CL$2),3),1,1),"")</f>
        <v>0</v>
      </c>
      <c r="CM210">
        <f ca="1">IF($AN210="",OFFSET(Demand!$A$13,ROW(W207)-1,4+((QUOTIENT(COLUMN(CM$2)-69,3))*5)+MOD(COLUMN(CM$2),3),1,1),"")</f>
        <v>0</v>
      </c>
      <c r="CN210">
        <f ca="1">IF($AN210="",OFFSET(Demand!$A$13,ROW(X207)-1,4+((QUOTIENT(COLUMN(CN$2)-69,3))*5)+MOD(COLUMN(CN$2),3),1,1),"")</f>
        <v>0</v>
      </c>
      <c r="CO210">
        <f ca="1">IF($AN210="",OFFSET(Demand!$A$13,ROW(Y207)-1,4+((QUOTIENT(COLUMN(CO$2)-69,3))*5)+MOD(COLUMN(CO$2),3),1,1),"")</f>
        <v>0</v>
      </c>
      <c r="CP210">
        <f ca="1">IF($AN210="",OFFSET(Demand!$A$13,ROW(Z207)-1,4+((QUOTIENT(COLUMN(CP$2)-69,3))*5)+MOD(COLUMN(CP$2),3),1,1),"")</f>
        <v>0</v>
      </c>
      <c r="CQ210">
        <f ca="1">IF($AN210="",OFFSET(Demand!$A$13,ROW(AA207)-1,4+((QUOTIENT(COLUMN(CQ$2)-69,3))*5)+MOD(COLUMN(CQ$2),3),1,1),"")</f>
        <v>0</v>
      </c>
      <c r="CR210">
        <f ca="1">IF($AN210="",OFFSET(Demand!$A$13,ROW(AB207)-1,4+((QUOTIENT(COLUMN(CR$2)-69,3))*5)+MOD(COLUMN(CR$2),3),1,1),"")</f>
        <v>0</v>
      </c>
      <c r="CS210">
        <f ca="1">IF($AN210="",OFFSET(Demand!$A$13,ROW(AC207)-1,4+((QUOTIENT(COLUMN(CS$2)-69,3))*5)+MOD(COLUMN(CS$2),3),1,1),"")</f>
        <v>0</v>
      </c>
      <c r="CT210">
        <f ca="1">IF($AN210="",OFFSET(Demand!$A$13,ROW(AD207)-1,4+((QUOTIENT(COLUMN(CT$2)-69,3))*5)+MOD(COLUMN(CT$2),3),1,1),"")</f>
        <v>0</v>
      </c>
      <c r="CW210" s="5">
        <f ca="1">SUM(OFFSET(Demand!$H$43,ROW(A207)-1,(COLUMN(A207)-1)*5,1,1))*N$2</f>
        <v>0</v>
      </c>
      <c r="CX210" s="5">
        <f ca="1">SUM(OFFSET(Demand!$H$43,ROW(B207)-1,(COLUMN(B207)-1)*5,1,1))*O$2</f>
        <v>0</v>
      </c>
      <c r="CY210" s="5">
        <f ca="1">SUM(OFFSET(Demand!$H$43,ROW(C207)-1,(COLUMN(C207)-1)*5,1,1))*P$2</f>
        <v>0</v>
      </c>
      <c r="CZ210" s="5">
        <f ca="1">SUM(OFFSET(Demand!$H$43,ROW(D207)-1,(COLUMN(D207)-1)*5,1,1))*Q$2</f>
        <v>0</v>
      </c>
      <c r="DA210" s="5">
        <f ca="1">SUM(OFFSET(Demand!$H$43,ROW(E207)-1,(COLUMN(E207)-1)*5,1,1))*R$2</f>
        <v>0</v>
      </c>
      <c r="DB210" s="5">
        <f ca="1">SUM(OFFSET(Demand!$H$43,ROW(F207)-1,(COLUMN(F207)-1)*5,1,1))*S$2</f>
        <v>0</v>
      </c>
      <c r="DC210" s="5">
        <f ca="1">SUM(OFFSET(Demand!$H$43,ROW(G207)-1,(COLUMN(G207)-1)*5,1,1))*T$2</f>
        <v>0</v>
      </c>
      <c r="DD210" s="5">
        <f ca="1">SUM(OFFSET(Demand!$H$43,ROW(H207)-1,(COLUMN(H207)-1)*5,1,1))*U$2</f>
        <v>0</v>
      </c>
      <c r="DE210" s="5">
        <f ca="1">SUM(OFFSET(Demand!$H$43,ROW(I207)-1,(COLUMN(I207)-1)*5,1,1))*V$2</f>
        <v>0</v>
      </c>
      <c r="DF210" s="5">
        <f ca="1">SUM(OFFSET(Demand!$H$43,ROW(J207)-1,(COLUMN(J207)-1)*5,1,1))*W$2</f>
        <v>0</v>
      </c>
      <c r="DG210" s="5">
        <f ca="1">IF(OR(AN210&lt;&gt;"",AND('Demand adjustments for Covid'!$F$9="Yes",'Demand adjustments for Covid'!$F$20="Yes")),"",SUM(CW210:DF210))</f>
        <v>0</v>
      </c>
    </row>
    <row r="211" spans="1:111" x14ac:dyDescent="0.25">
      <c r="A211" s="5">
        <f t="shared" ca="1" si="50"/>
        <v>1</v>
      </c>
      <c r="B211" s="5">
        <f ca="1">COUNTBLANK(OFFSET(Demand!$I220,0,(COLUMN(A208)-1)*5,1,1))</f>
        <v>1</v>
      </c>
      <c r="C211" s="5">
        <f ca="1">COUNTBLANK(OFFSET(Demand!$I220,0,(COLUMN(B208)-1)*5,1,1))</f>
        <v>1</v>
      </c>
      <c r="D211" s="5">
        <f ca="1">COUNTBLANK(OFFSET(Demand!$I220,0,(COLUMN(C208)-1)*5,1,1))</f>
        <v>1</v>
      </c>
      <c r="E211" s="5">
        <f ca="1">COUNTBLANK(OFFSET(Demand!$I220,0,(COLUMN(D208)-1)*5,1,1))</f>
        <v>1</v>
      </c>
      <c r="F211" s="5">
        <f ca="1">COUNTBLANK(OFFSET(Demand!$I220,0,(COLUMN(E208)-1)*5,1,1))</f>
        <v>1</v>
      </c>
      <c r="G211" s="5">
        <f ca="1">COUNTBLANK(OFFSET(Demand!$I220,0,(COLUMN(F208)-1)*5,1,1))</f>
        <v>1</v>
      </c>
      <c r="H211" s="5">
        <f ca="1">COUNTBLANK(OFFSET(Demand!$I220,0,(COLUMN(G208)-1)*5,1,1))</f>
        <v>1</v>
      </c>
      <c r="I211" s="5">
        <f ca="1">COUNTBLANK(OFFSET(Demand!$I220,0,(COLUMN(H208)-1)*5,1,1))</f>
        <v>1</v>
      </c>
      <c r="J211" s="5">
        <f ca="1">COUNTBLANK(OFFSET(Demand!$I220,0,(COLUMN(I208)-1)*5,1,1))</f>
        <v>1</v>
      </c>
      <c r="K211" s="5">
        <f ca="1">COUNTBLANK(OFFSET(Demand!$I220,0,(COLUMN(J208)-1)*5,1,1))</f>
        <v>1</v>
      </c>
      <c r="N211" s="5">
        <f ca="1">SUM(OFFSET(Demand!$E220,0,(COLUMN(A208)-1)*5,1,3))*N$2</f>
        <v>0</v>
      </c>
      <c r="O211" s="5">
        <f ca="1">SUM(OFFSET(Demand!$E220,0,(COLUMN(B208)-1)*5,1,3))*O$2</f>
        <v>0</v>
      </c>
      <c r="P211" s="5">
        <f ca="1">SUM(OFFSET(Demand!$E220,0,(COLUMN(C208)-1)*5,1,3))*P$2</f>
        <v>0</v>
      </c>
      <c r="Q211" s="5">
        <f ca="1">SUM(OFFSET(Demand!$E220,0,(COLUMN(D208)-1)*5,1,3))*Q$2</f>
        <v>0</v>
      </c>
      <c r="R211" s="5">
        <f ca="1">SUM(OFFSET(Demand!$E220,0,(COLUMN(E208)-1)*5,1,3))*R$2</f>
        <v>0</v>
      </c>
      <c r="S211" s="5">
        <f ca="1">SUM(OFFSET(Demand!$E220,0,(COLUMN(F208)-1)*5,1,3))*S$2</f>
        <v>0</v>
      </c>
      <c r="T211" s="5">
        <f ca="1">SUM(OFFSET(Demand!$E220,0,(COLUMN(G208)-1)*5,1,3))*T$2</f>
        <v>0</v>
      </c>
      <c r="U211" s="5">
        <f ca="1">SUM(OFFSET(Demand!$E220,0,(COLUMN(H208)-1)*5,1,3))*U$2</f>
        <v>0</v>
      </c>
      <c r="V211" s="5">
        <f ca="1">SUM(OFFSET(Demand!$E220,0,(COLUMN(I208)-1)*5,1,3))*V$2</f>
        <v>0</v>
      </c>
      <c r="W211" s="5">
        <f ca="1">SUM(OFFSET(Demand!$E220,0,(COLUMN(J208)-1)*5,1,3))*W$2</f>
        <v>0</v>
      </c>
      <c r="X211" s="5">
        <f t="shared" ca="1" si="51"/>
        <v>0</v>
      </c>
      <c r="Y211">
        <f t="shared" ca="1" si="52"/>
        <v>0</v>
      </c>
      <c r="Z211" s="5">
        <f ca="1">SUM(OFFSET(Demand!$H220,0,(COLUMN(A208)-1)*5,1,1))*N$2</f>
        <v>0</v>
      </c>
      <c r="AA211" s="5">
        <f ca="1">SUM(OFFSET(Demand!$H220,0,(COLUMN(B208)-1)*5,1,1))*O$2</f>
        <v>0</v>
      </c>
      <c r="AB211" s="5">
        <f ca="1">SUM(OFFSET(Demand!$H220,0,(COLUMN(C208)-1)*5,1,1))*P$2</f>
        <v>0</v>
      </c>
      <c r="AC211" s="5">
        <f ca="1">SUM(OFFSET(Demand!$H220,0,(COLUMN(D208)-1)*5,1,1))*Q$2</f>
        <v>0</v>
      </c>
      <c r="AD211" s="5">
        <f ca="1">SUM(OFFSET(Demand!$H220,0,(COLUMN(E208)-1)*5,1,1))*R$2</f>
        <v>0</v>
      </c>
      <c r="AE211" s="5">
        <f ca="1">SUM(OFFSET(Demand!$H220,0,(COLUMN(F208)-1)*5,1,1))*S$2</f>
        <v>0</v>
      </c>
      <c r="AF211" s="5">
        <f ca="1">SUM(OFFSET(Demand!$H220,0,(COLUMN(G208)-1)*5,1,1))*T$2</f>
        <v>0</v>
      </c>
      <c r="AG211" s="5">
        <f ca="1">SUM(OFFSET(Demand!$H220,0,(COLUMN(H208)-1)*5,1,1))*U$2</f>
        <v>0</v>
      </c>
      <c r="AH211" s="5">
        <f ca="1">SUM(OFFSET(Demand!$H220,0,(COLUMN(I208)-1)*5,1,1))*V$2</f>
        <v>0</v>
      </c>
      <c r="AI211" s="5">
        <f ca="1">SUM(OFFSET(Demand!$H220,0,(COLUMN(J208)-1)*5,1,1))*W$2</f>
        <v>0</v>
      </c>
      <c r="AJ211" s="5">
        <f t="shared" ca="1" si="53"/>
        <v>0</v>
      </c>
      <c r="AL211" s="5">
        <f t="shared" ca="1" si="54"/>
        <v>0</v>
      </c>
      <c r="AM211" s="5">
        <f t="shared" ca="1" si="55"/>
        <v>0</v>
      </c>
      <c r="AN211" s="5" t="str">
        <f>IF(Demand!BE220="Yes","Yes","")</f>
        <v/>
      </c>
      <c r="AP211" s="36" t="str">
        <f ca="1">Demand!B220</f>
        <v xml:space="preserve"> </v>
      </c>
      <c r="AQ211" t="str">
        <f ca="1">IF(TEXT(Demand!D220,"MMM")&lt;&gt;TEXT(Demand!D219,"MMM"),TEXT(Demand!D220,"MMM"),"")</f>
        <v/>
      </c>
      <c r="AT211" s="5">
        <f t="shared" ca="1" si="56"/>
        <v>0</v>
      </c>
      <c r="BQ211">
        <f ca="1">IF($AN211="",OFFSET(Demand!$A$13,ROW(A208)-1,4+((QUOTIENT(COLUMN(BQ$2)-69,3))*5)+MOD(COLUMN(BQ$2),3),1,1),"")</f>
        <v>0</v>
      </c>
      <c r="BR211">
        <f ca="1">IF($AN211="",OFFSET(Demand!$A$13,ROW(B208)-1,4+((QUOTIENT(COLUMN(BR$2)-69,3))*5)+MOD(COLUMN(BR$2),3),1,1),"")</f>
        <v>0</v>
      </c>
      <c r="BS211">
        <f ca="1">IF($AN211="",OFFSET(Demand!$A$13,ROW(C208)-1,4+((QUOTIENT(COLUMN(BS$2)-69,3))*5)+MOD(COLUMN(BS$2),3),1,1),"")</f>
        <v>0</v>
      </c>
      <c r="BT211">
        <f ca="1">IF($AN211="",OFFSET(Demand!$A$13,ROW(D208)-1,4+((QUOTIENT(COLUMN(BT$2)-69,3))*5)+MOD(COLUMN(BT$2),3),1,1),"")</f>
        <v>0</v>
      </c>
      <c r="BU211">
        <f ca="1">IF($AN211="",OFFSET(Demand!$A$13,ROW(E208)-1,4+((QUOTIENT(COLUMN(BU$2)-69,3))*5)+MOD(COLUMN(BU$2),3),1,1),"")</f>
        <v>0</v>
      </c>
      <c r="BV211">
        <f ca="1">IF($AN211="",OFFSET(Demand!$A$13,ROW(F208)-1,4+((QUOTIENT(COLUMN(BV$2)-69,3))*5)+MOD(COLUMN(BV$2),3),1,1),"")</f>
        <v>0</v>
      </c>
      <c r="BW211">
        <f ca="1">IF($AN211="",OFFSET(Demand!$A$13,ROW(G208)-1,4+((QUOTIENT(COLUMN(BW$2)-69,3))*5)+MOD(COLUMN(BW$2),3),1,1),"")</f>
        <v>0</v>
      </c>
      <c r="BX211">
        <f ca="1">IF($AN211="",OFFSET(Demand!$A$13,ROW(H208)-1,4+((QUOTIENT(COLUMN(BX$2)-69,3))*5)+MOD(COLUMN(BX$2),3),1,1),"")</f>
        <v>0</v>
      </c>
      <c r="BY211">
        <f ca="1">IF($AN211="",OFFSET(Demand!$A$13,ROW(I208)-1,4+((QUOTIENT(COLUMN(BY$2)-69,3))*5)+MOD(COLUMN(BY$2),3),1,1),"")</f>
        <v>0</v>
      </c>
      <c r="BZ211">
        <f ca="1">IF($AN211="",OFFSET(Demand!$A$13,ROW(J208)-1,4+((QUOTIENT(COLUMN(BZ$2)-69,3))*5)+MOD(COLUMN(BZ$2),3),1,1),"")</f>
        <v>0</v>
      </c>
      <c r="CA211">
        <f ca="1">IF($AN211="",OFFSET(Demand!$A$13,ROW(K208)-1,4+((QUOTIENT(COLUMN(CA$2)-69,3))*5)+MOD(COLUMN(CA$2),3),1,1),"")</f>
        <v>0</v>
      </c>
      <c r="CB211">
        <f ca="1">IF($AN211="",OFFSET(Demand!$A$13,ROW(L208)-1,4+((QUOTIENT(COLUMN(CB$2)-69,3))*5)+MOD(COLUMN(CB$2),3),1,1),"")</f>
        <v>0</v>
      </c>
      <c r="CC211">
        <f ca="1">IF($AN211="",OFFSET(Demand!$A$13,ROW(M208)-1,4+((QUOTIENT(COLUMN(CC$2)-69,3))*5)+MOD(COLUMN(CC$2),3),1,1),"")</f>
        <v>0</v>
      </c>
      <c r="CD211">
        <f ca="1">IF($AN211="",OFFSET(Demand!$A$13,ROW(N208)-1,4+((QUOTIENT(COLUMN(CD$2)-69,3))*5)+MOD(COLUMN(CD$2),3),1,1),"")</f>
        <v>0</v>
      </c>
      <c r="CE211">
        <f ca="1">IF($AN211="",OFFSET(Demand!$A$13,ROW(O208)-1,4+((QUOTIENT(COLUMN(CE$2)-69,3))*5)+MOD(COLUMN(CE$2),3),1,1),"")</f>
        <v>0</v>
      </c>
      <c r="CF211">
        <f ca="1">IF($AN211="",OFFSET(Demand!$A$13,ROW(P208)-1,4+((QUOTIENT(COLUMN(CF$2)-69,3))*5)+MOD(COLUMN(CF$2),3),1,1),"")</f>
        <v>0</v>
      </c>
      <c r="CG211">
        <f ca="1">IF($AN211="",OFFSET(Demand!$A$13,ROW(Q208)-1,4+((QUOTIENT(COLUMN(CG$2)-69,3))*5)+MOD(COLUMN(CG$2),3),1,1),"")</f>
        <v>0</v>
      </c>
      <c r="CH211">
        <f ca="1">IF($AN211="",OFFSET(Demand!$A$13,ROW(R208)-1,4+((QUOTIENT(COLUMN(CH$2)-69,3))*5)+MOD(COLUMN(CH$2),3),1,1),"")</f>
        <v>0</v>
      </c>
      <c r="CI211">
        <f ca="1">IF($AN211="",OFFSET(Demand!$A$13,ROW(S208)-1,4+((QUOTIENT(COLUMN(CI$2)-69,3))*5)+MOD(COLUMN(CI$2),3),1,1),"")</f>
        <v>0</v>
      </c>
      <c r="CJ211">
        <f ca="1">IF($AN211="",OFFSET(Demand!$A$13,ROW(T208)-1,4+((QUOTIENT(COLUMN(CJ$2)-69,3))*5)+MOD(COLUMN(CJ$2),3),1,1),"")</f>
        <v>0</v>
      </c>
      <c r="CK211">
        <f ca="1">IF($AN211="",OFFSET(Demand!$A$13,ROW(U208)-1,4+((QUOTIENT(COLUMN(CK$2)-69,3))*5)+MOD(COLUMN(CK$2),3),1,1),"")</f>
        <v>0</v>
      </c>
      <c r="CL211">
        <f ca="1">IF($AN211="",OFFSET(Demand!$A$13,ROW(V208)-1,4+((QUOTIENT(COLUMN(CL$2)-69,3))*5)+MOD(COLUMN(CL$2),3),1,1),"")</f>
        <v>0</v>
      </c>
      <c r="CM211">
        <f ca="1">IF($AN211="",OFFSET(Demand!$A$13,ROW(W208)-1,4+((QUOTIENT(COLUMN(CM$2)-69,3))*5)+MOD(COLUMN(CM$2),3),1,1),"")</f>
        <v>0</v>
      </c>
      <c r="CN211">
        <f ca="1">IF($AN211="",OFFSET(Demand!$A$13,ROW(X208)-1,4+((QUOTIENT(COLUMN(CN$2)-69,3))*5)+MOD(COLUMN(CN$2),3),1,1),"")</f>
        <v>0</v>
      </c>
      <c r="CO211">
        <f ca="1">IF($AN211="",OFFSET(Demand!$A$13,ROW(Y208)-1,4+((QUOTIENT(COLUMN(CO$2)-69,3))*5)+MOD(COLUMN(CO$2),3),1,1),"")</f>
        <v>0</v>
      </c>
      <c r="CP211">
        <f ca="1">IF($AN211="",OFFSET(Demand!$A$13,ROW(Z208)-1,4+((QUOTIENT(COLUMN(CP$2)-69,3))*5)+MOD(COLUMN(CP$2),3),1,1),"")</f>
        <v>0</v>
      </c>
      <c r="CQ211">
        <f ca="1">IF($AN211="",OFFSET(Demand!$A$13,ROW(AA208)-1,4+((QUOTIENT(COLUMN(CQ$2)-69,3))*5)+MOD(COLUMN(CQ$2),3),1,1),"")</f>
        <v>0</v>
      </c>
      <c r="CR211">
        <f ca="1">IF($AN211="",OFFSET(Demand!$A$13,ROW(AB208)-1,4+((QUOTIENT(COLUMN(CR$2)-69,3))*5)+MOD(COLUMN(CR$2),3),1,1),"")</f>
        <v>0</v>
      </c>
      <c r="CS211">
        <f ca="1">IF($AN211="",OFFSET(Demand!$A$13,ROW(AC208)-1,4+((QUOTIENT(COLUMN(CS$2)-69,3))*5)+MOD(COLUMN(CS$2),3),1,1),"")</f>
        <v>0</v>
      </c>
      <c r="CT211">
        <f ca="1">IF($AN211="",OFFSET(Demand!$A$13,ROW(AD208)-1,4+((QUOTIENT(COLUMN(CT$2)-69,3))*5)+MOD(COLUMN(CT$2),3),1,1),"")</f>
        <v>0</v>
      </c>
      <c r="CW211" s="5">
        <f ca="1">SUM(OFFSET(Demand!$H$43,ROW(A208)-1,(COLUMN(A208)-1)*5,1,1))*N$2</f>
        <v>0</v>
      </c>
      <c r="CX211" s="5">
        <f ca="1">SUM(OFFSET(Demand!$H$43,ROW(B208)-1,(COLUMN(B208)-1)*5,1,1))*O$2</f>
        <v>0</v>
      </c>
      <c r="CY211" s="5">
        <f ca="1">SUM(OFFSET(Demand!$H$43,ROW(C208)-1,(COLUMN(C208)-1)*5,1,1))*P$2</f>
        <v>0</v>
      </c>
      <c r="CZ211" s="5">
        <f ca="1">SUM(OFFSET(Demand!$H$43,ROW(D208)-1,(COLUMN(D208)-1)*5,1,1))*Q$2</f>
        <v>0</v>
      </c>
      <c r="DA211" s="5">
        <f ca="1">SUM(OFFSET(Demand!$H$43,ROW(E208)-1,(COLUMN(E208)-1)*5,1,1))*R$2</f>
        <v>0</v>
      </c>
      <c r="DB211" s="5">
        <f ca="1">SUM(OFFSET(Demand!$H$43,ROW(F208)-1,(COLUMN(F208)-1)*5,1,1))*S$2</f>
        <v>0</v>
      </c>
      <c r="DC211" s="5">
        <f ca="1">SUM(OFFSET(Demand!$H$43,ROW(G208)-1,(COLUMN(G208)-1)*5,1,1))*T$2</f>
        <v>0</v>
      </c>
      <c r="DD211" s="5">
        <f ca="1">SUM(OFFSET(Demand!$H$43,ROW(H208)-1,(COLUMN(H208)-1)*5,1,1))*U$2</f>
        <v>0</v>
      </c>
      <c r="DE211" s="5">
        <f ca="1">SUM(OFFSET(Demand!$H$43,ROW(I208)-1,(COLUMN(I208)-1)*5,1,1))*V$2</f>
        <v>0</v>
      </c>
      <c r="DF211" s="5">
        <f ca="1">SUM(OFFSET(Demand!$H$43,ROW(J208)-1,(COLUMN(J208)-1)*5,1,1))*W$2</f>
        <v>0</v>
      </c>
      <c r="DG211" s="5">
        <f ca="1">IF(OR(AN211&lt;&gt;"",AND('Demand adjustments for Covid'!$F$9="Yes",'Demand adjustments for Covid'!$F$20="Yes")),"",SUM(CW211:DF211))</f>
        <v>0</v>
      </c>
    </row>
    <row r="212" spans="1:111" x14ac:dyDescent="0.25">
      <c r="A212" s="5">
        <f t="shared" ca="1" si="50"/>
        <v>1</v>
      </c>
      <c r="B212" s="5">
        <f ca="1">COUNTBLANK(OFFSET(Demand!$I221,0,(COLUMN(A209)-1)*5,1,1))</f>
        <v>1</v>
      </c>
      <c r="C212" s="5">
        <f ca="1">COUNTBLANK(OFFSET(Demand!$I221,0,(COLUMN(B209)-1)*5,1,1))</f>
        <v>1</v>
      </c>
      <c r="D212" s="5">
        <f ca="1">COUNTBLANK(OFFSET(Demand!$I221,0,(COLUMN(C209)-1)*5,1,1))</f>
        <v>1</v>
      </c>
      <c r="E212" s="5">
        <f ca="1">COUNTBLANK(OFFSET(Demand!$I221,0,(COLUMN(D209)-1)*5,1,1))</f>
        <v>1</v>
      </c>
      <c r="F212" s="5">
        <f ca="1">COUNTBLANK(OFFSET(Demand!$I221,0,(COLUMN(E209)-1)*5,1,1))</f>
        <v>1</v>
      </c>
      <c r="G212" s="5">
        <f ca="1">COUNTBLANK(OFFSET(Demand!$I221,0,(COLUMN(F209)-1)*5,1,1))</f>
        <v>1</v>
      </c>
      <c r="H212" s="5">
        <f ca="1">COUNTBLANK(OFFSET(Demand!$I221,0,(COLUMN(G209)-1)*5,1,1))</f>
        <v>1</v>
      </c>
      <c r="I212" s="5">
        <f ca="1">COUNTBLANK(OFFSET(Demand!$I221,0,(COLUMN(H209)-1)*5,1,1))</f>
        <v>1</v>
      </c>
      <c r="J212" s="5">
        <f ca="1">COUNTBLANK(OFFSET(Demand!$I221,0,(COLUMN(I209)-1)*5,1,1))</f>
        <v>1</v>
      </c>
      <c r="K212" s="5">
        <f ca="1">COUNTBLANK(OFFSET(Demand!$I221,0,(COLUMN(J209)-1)*5,1,1))</f>
        <v>1</v>
      </c>
      <c r="N212" s="5">
        <f ca="1">SUM(OFFSET(Demand!$E221,0,(COLUMN(A209)-1)*5,1,3))*N$2</f>
        <v>0</v>
      </c>
      <c r="O212" s="5">
        <f ca="1">SUM(OFFSET(Demand!$E221,0,(COLUMN(B209)-1)*5,1,3))*O$2</f>
        <v>0</v>
      </c>
      <c r="P212" s="5">
        <f ca="1">SUM(OFFSET(Demand!$E221,0,(COLUMN(C209)-1)*5,1,3))*P$2</f>
        <v>0</v>
      </c>
      <c r="Q212" s="5">
        <f ca="1">SUM(OFFSET(Demand!$E221,0,(COLUMN(D209)-1)*5,1,3))*Q$2</f>
        <v>0</v>
      </c>
      <c r="R212" s="5">
        <f ca="1">SUM(OFFSET(Demand!$E221,0,(COLUMN(E209)-1)*5,1,3))*R$2</f>
        <v>0</v>
      </c>
      <c r="S212" s="5">
        <f ca="1">SUM(OFFSET(Demand!$E221,0,(COLUMN(F209)-1)*5,1,3))*S$2</f>
        <v>0</v>
      </c>
      <c r="T212" s="5">
        <f ca="1">SUM(OFFSET(Demand!$E221,0,(COLUMN(G209)-1)*5,1,3))*T$2</f>
        <v>0</v>
      </c>
      <c r="U212" s="5">
        <f ca="1">SUM(OFFSET(Demand!$E221,0,(COLUMN(H209)-1)*5,1,3))*U$2</f>
        <v>0</v>
      </c>
      <c r="V212" s="5">
        <f ca="1">SUM(OFFSET(Demand!$E221,0,(COLUMN(I209)-1)*5,1,3))*V$2</f>
        <v>0</v>
      </c>
      <c r="W212" s="5">
        <f ca="1">SUM(OFFSET(Demand!$E221,0,(COLUMN(J209)-1)*5,1,3))*W$2</f>
        <v>0</v>
      </c>
      <c r="X212" s="5">
        <f t="shared" ca="1" si="51"/>
        <v>0</v>
      </c>
      <c r="Y212">
        <f t="shared" ca="1" si="52"/>
        <v>0</v>
      </c>
      <c r="Z212" s="5">
        <f ca="1">SUM(OFFSET(Demand!$H221,0,(COLUMN(A209)-1)*5,1,1))*N$2</f>
        <v>0</v>
      </c>
      <c r="AA212" s="5">
        <f ca="1">SUM(OFFSET(Demand!$H221,0,(COLUMN(B209)-1)*5,1,1))*O$2</f>
        <v>0</v>
      </c>
      <c r="AB212" s="5">
        <f ca="1">SUM(OFFSET(Demand!$H221,0,(COLUMN(C209)-1)*5,1,1))*P$2</f>
        <v>0</v>
      </c>
      <c r="AC212" s="5">
        <f ca="1">SUM(OFFSET(Demand!$H221,0,(COLUMN(D209)-1)*5,1,1))*Q$2</f>
        <v>0</v>
      </c>
      <c r="AD212" s="5">
        <f ca="1">SUM(OFFSET(Demand!$H221,0,(COLUMN(E209)-1)*5,1,1))*R$2</f>
        <v>0</v>
      </c>
      <c r="AE212" s="5">
        <f ca="1">SUM(OFFSET(Demand!$H221,0,(COLUMN(F209)-1)*5,1,1))*S$2</f>
        <v>0</v>
      </c>
      <c r="AF212" s="5">
        <f ca="1">SUM(OFFSET(Demand!$H221,0,(COLUMN(G209)-1)*5,1,1))*T$2</f>
        <v>0</v>
      </c>
      <c r="AG212" s="5">
        <f ca="1">SUM(OFFSET(Demand!$H221,0,(COLUMN(H209)-1)*5,1,1))*U$2</f>
        <v>0</v>
      </c>
      <c r="AH212" s="5">
        <f ca="1">SUM(OFFSET(Demand!$H221,0,(COLUMN(I209)-1)*5,1,1))*V$2</f>
        <v>0</v>
      </c>
      <c r="AI212" s="5">
        <f ca="1">SUM(OFFSET(Demand!$H221,0,(COLUMN(J209)-1)*5,1,1))*W$2</f>
        <v>0</v>
      </c>
      <c r="AJ212" s="5">
        <f t="shared" ca="1" si="53"/>
        <v>0</v>
      </c>
      <c r="AL212" s="5">
        <f t="shared" ca="1" si="54"/>
        <v>0</v>
      </c>
      <c r="AM212" s="5">
        <f t="shared" ca="1" si="55"/>
        <v>0</v>
      </c>
      <c r="AN212" s="5" t="str">
        <f>IF(Demand!BE221="Yes","Yes","")</f>
        <v/>
      </c>
      <c r="AP212" s="36" t="str">
        <f ca="1">Demand!B221</f>
        <v xml:space="preserve"> </v>
      </c>
      <c r="AQ212" t="str">
        <f ca="1">IF(TEXT(Demand!D221,"MMM")&lt;&gt;TEXT(Demand!D220,"MMM"),TEXT(Demand!D221,"MMM"),"")</f>
        <v/>
      </c>
      <c r="AT212" s="5">
        <f t="shared" ca="1" si="56"/>
        <v>0</v>
      </c>
      <c r="BQ212">
        <f ca="1">IF($AN212="",OFFSET(Demand!$A$13,ROW(A209)-1,4+((QUOTIENT(COLUMN(BQ$2)-69,3))*5)+MOD(COLUMN(BQ$2),3),1,1),"")</f>
        <v>0</v>
      </c>
      <c r="BR212">
        <f ca="1">IF($AN212="",OFFSET(Demand!$A$13,ROW(B209)-1,4+((QUOTIENT(COLUMN(BR$2)-69,3))*5)+MOD(COLUMN(BR$2),3),1,1),"")</f>
        <v>0</v>
      </c>
      <c r="BS212">
        <f ca="1">IF($AN212="",OFFSET(Demand!$A$13,ROW(C209)-1,4+((QUOTIENT(COLUMN(BS$2)-69,3))*5)+MOD(COLUMN(BS$2),3),1,1),"")</f>
        <v>0</v>
      </c>
      <c r="BT212">
        <f ca="1">IF($AN212="",OFFSET(Demand!$A$13,ROW(D209)-1,4+((QUOTIENT(COLUMN(BT$2)-69,3))*5)+MOD(COLUMN(BT$2),3),1,1),"")</f>
        <v>0</v>
      </c>
      <c r="BU212">
        <f ca="1">IF($AN212="",OFFSET(Demand!$A$13,ROW(E209)-1,4+((QUOTIENT(COLUMN(BU$2)-69,3))*5)+MOD(COLUMN(BU$2),3),1,1),"")</f>
        <v>0</v>
      </c>
      <c r="BV212">
        <f ca="1">IF($AN212="",OFFSET(Demand!$A$13,ROW(F209)-1,4+((QUOTIENT(COLUMN(BV$2)-69,3))*5)+MOD(COLUMN(BV$2),3),1,1),"")</f>
        <v>0</v>
      </c>
      <c r="BW212">
        <f ca="1">IF($AN212="",OFFSET(Demand!$A$13,ROW(G209)-1,4+((QUOTIENT(COLUMN(BW$2)-69,3))*5)+MOD(COLUMN(BW$2),3),1,1),"")</f>
        <v>0</v>
      </c>
      <c r="BX212">
        <f ca="1">IF($AN212="",OFFSET(Demand!$A$13,ROW(H209)-1,4+((QUOTIENT(COLUMN(BX$2)-69,3))*5)+MOD(COLUMN(BX$2),3),1,1),"")</f>
        <v>0</v>
      </c>
      <c r="BY212">
        <f ca="1">IF($AN212="",OFFSET(Demand!$A$13,ROW(I209)-1,4+((QUOTIENT(COLUMN(BY$2)-69,3))*5)+MOD(COLUMN(BY$2),3),1,1),"")</f>
        <v>0</v>
      </c>
      <c r="BZ212">
        <f ca="1">IF($AN212="",OFFSET(Demand!$A$13,ROW(J209)-1,4+((QUOTIENT(COLUMN(BZ$2)-69,3))*5)+MOD(COLUMN(BZ$2),3),1,1),"")</f>
        <v>0</v>
      </c>
      <c r="CA212">
        <f ca="1">IF($AN212="",OFFSET(Demand!$A$13,ROW(K209)-1,4+((QUOTIENT(COLUMN(CA$2)-69,3))*5)+MOD(COLUMN(CA$2),3),1,1),"")</f>
        <v>0</v>
      </c>
      <c r="CB212">
        <f ca="1">IF($AN212="",OFFSET(Demand!$A$13,ROW(L209)-1,4+((QUOTIENT(COLUMN(CB$2)-69,3))*5)+MOD(COLUMN(CB$2),3),1,1),"")</f>
        <v>0</v>
      </c>
      <c r="CC212">
        <f ca="1">IF($AN212="",OFFSET(Demand!$A$13,ROW(M209)-1,4+((QUOTIENT(COLUMN(CC$2)-69,3))*5)+MOD(COLUMN(CC$2),3),1,1),"")</f>
        <v>0</v>
      </c>
      <c r="CD212">
        <f ca="1">IF($AN212="",OFFSET(Demand!$A$13,ROW(N209)-1,4+((QUOTIENT(COLUMN(CD$2)-69,3))*5)+MOD(COLUMN(CD$2),3),1,1),"")</f>
        <v>0</v>
      </c>
      <c r="CE212">
        <f ca="1">IF($AN212="",OFFSET(Demand!$A$13,ROW(O209)-1,4+((QUOTIENT(COLUMN(CE$2)-69,3))*5)+MOD(COLUMN(CE$2),3),1,1),"")</f>
        <v>0</v>
      </c>
      <c r="CF212">
        <f ca="1">IF($AN212="",OFFSET(Demand!$A$13,ROW(P209)-1,4+((QUOTIENT(COLUMN(CF$2)-69,3))*5)+MOD(COLUMN(CF$2),3),1,1),"")</f>
        <v>0</v>
      </c>
      <c r="CG212">
        <f ca="1">IF($AN212="",OFFSET(Demand!$A$13,ROW(Q209)-1,4+((QUOTIENT(COLUMN(CG$2)-69,3))*5)+MOD(COLUMN(CG$2),3),1,1),"")</f>
        <v>0</v>
      </c>
      <c r="CH212">
        <f ca="1">IF($AN212="",OFFSET(Demand!$A$13,ROW(R209)-1,4+((QUOTIENT(COLUMN(CH$2)-69,3))*5)+MOD(COLUMN(CH$2),3),1,1),"")</f>
        <v>0</v>
      </c>
      <c r="CI212">
        <f ca="1">IF($AN212="",OFFSET(Demand!$A$13,ROW(S209)-1,4+((QUOTIENT(COLUMN(CI$2)-69,3))*5)+MOD(COLUMN(CI$2),3),1,1),"")</f>
        <v>0</v>
      </c>
      <c r="CJ212">
        <f ca="1">IF($AN212="",OFFSET(Demand!$A$13,ROW(T209)-1,4+((QUOTIENT(COLUMN(CJ$2)-69,3))*5)+MOD(COLUMN(CJ$2),3),1,1),"")</f>
        <v>0</v>
      </c>
      <c r="CK212">
        <f ca="1">IF($AN212="",OFFSET(Demand!$A$13,ROW(U209)-1,4+((QUOTIENT(COLUMN(CK$2)-69,3))*5)+MOD(COLUMN(CK$2),3),1,1),"")</f>
        <v>0</v>
      </c>
      <c r="CL212">
        <f ca="1">IF($AN212="",OFFSET(Demand!$A$13,ROW(V209)-1,4+((QUOTIENT(COLUMN(CL$2)-69,3))*5)+MOD(COLUMN(CL$2),3),1,1),"")</f>
        <v>0</v>
      </c>
      <c r="CM212">
        <f ca="1">IF($AN212="",OFFSET(Demand!$A$13,ROW(W209)-1,4+((QUOTIENT(COLUMN(CM$2)-69,3))*5)+MOD(COLUMN(CM$2),3),1,1),"")</f>
        <v>0</v>
      </c>
      <c r="CN212">
        <f ca="1">IF($AN212="",OFFSET(Demand!$A$13,ROW(X209)-1,4+((QUOTIENT(COLUMN(CN$2)-69,3))*5)+MOD(COLUMN(CN$2),3),1,1),"")</f>
        <v>0</v>
      </c>
      <c r="CO212">
        <f ca="1">IF($AN212="",OFFSET(Demand!$A$13,ROW(Y209)-1,4+((QUOTIENT(COLUMN(CO$2)-69,3))*5)+MOD(COLUMN(CO$2),3),1,1),"")</f>
        <v>0</v>
      </c>
      <c r="CP212">
        <f ca="1">IF($AN212="",OFFSET(Demand!$A$13,ROW(Z209)-1,4+((QUOTIENT(COLUMN(CP$2)-69,3))*5)+MOD(COLUMN(CP$2),3),1,1),"")</f>
        <v>0</v>
      </c>
      <c r="CQ212">
        <f ca="1">IF($AN212="",OFFSET(Demand!$A$13,ROW(AA209)-1,4+((QUOTIENT(COLUMN(CQ$2)-69,3))*5)+MOD(COLUMN(CQ$2),3),1,1),"")</f>
        <v>0</v>
      </c>
      <c r="CR212">
        <f ca="1">IF($AN212="",OFFSET(Demand!$A$13,ROW(AB209)-1,4+((QUOTIENT(COLUMN(CR$2)-69,3))*5)+MOD(COLUMN(CR$2),3),1,1),"")</f>
        <v>0</v>
      </c>
      <c r="CS212">
        <f ca="1">IF($AN212="",OFFSET(Demand!$A$13,ROW(AC209)-1,4+((QUOTIENT(COLUMN(CS$2)-69,3))*5)+MOD(COLUMN(CS$2),3),1,1),"")</f>
        <v>0</v>
      </c>
      <c r="CT212">
        <f ca="1">IF($AN212="",OFFSET(Demand!$A$13,ROW(AD209)-1,4+((QUOTIENT(COLUMN(CT$2)-69,3))*5)+MOD(COLUMN(CT$2),3),1,1),"")</f>
        <v>0</v>
      </c>
      <c r="CW212" s="5">
        <f ca="1">SUM(OFFSET(Demand!$H$43,ROW(A209)-1,(COLUMN(A209)-1)*5,1,1))*N$2</f>
        <v>0</v>
      </c>
      <c r="CX212" s="5">
        <f ca="1">SUM(OFFSET(Demand!$H$43,ROW(B209)-1,(COLUMN(B209)-1)*5,1,1))*O$2</f>
        <v>0</v>
      </c>
      <c r="CY212" s="5">
        <f ca="1">SUM(OFFSET(Demand!$H$43,ROW(C209)-1,(COLUMN(C209)-1)*5,1,1))*P$2</f>
        <v>0</v>
      </c>
      <c r="CZ212" s="5">
        <f ca="1">SUM(OFFSET(Demand!$H$43,ROW(D209)-1,(COLUMN(D209)-1)*5,1,1))*Q$2</f>
        <v>0</v>
      </c>
      <c r="DA212" s="5">
        <f ca="1">SUM(OFFSET(Demand!$H$43,ROW(E209)-1,(COLUMN(E209)-1)*5,1,1))*R$2</f>
        <v>0</v>
      </c>
      <c r="DB212" s="5">
        <f ca="1">SUM(OFFSET(Demand!$H$43,ROW(F209)-1,(COLUMN(F209)-1)*5,1,1))*S$2</f>
        <v>0</v>
      </c>
      <c r="DC212" s="5">
        <f ca="1">SUM(OFFSET(Demand!$H$43,ROW(G209)-1,(COLUMN(G209)-1)*5,1,1))*T$2</f>
        <v>0</v>
      </c>
      <c r="DD212" s="5">
        <f ca="1">SUM(OFFSET(Demand!$H$43,ROW(H209)-1,(COLUMN(H209)-1)*5,1,1))*U$2</f>
        <v>0</v>
      </c>
      <c r="DE212" s="5">
        <f ca="1">SUM(OFFSET(Demand!$H$43,ROW(I209)-1,(COLUMN(I209)-1)*5,1,1))*V$2</f>
        <v>0</v>
      </c>
      <c r="DF212" s="5">
        <f ca="1">SUM(OFFSET(Demand!$H$43,ROW(J209)-1,(COLUMN(J209)-1)*5,1,1))*W$2</f>
        <v>0</v>
      </c>
      <c r="DG212" s="5">
        <f ca="1">IF(OR(AN212&lt;&gt;"",AND('Demand adjustments for Covid'!$F$9="Yes",'Demand adjustments for Covid'!$F$20="Yes")),"",SUM(CW212:DF212))</f>
        <v>0</v>
      </c>
    </row>
    <row r="213" spans="1:111" x14ac:dyDescent="0.25">
      <c r="A213" s="5">
        <f t="shared" ca="1" si="50"/>
        <v>1</v>
      </c>
      <c r="B213" s="5">
        <f ca="1">COUNTBLANK(OFFSET(Demand!$I222,0,(COLUMN(A210)-1)*5,1,1))</f>
        <v>1</v>
      </c>
      <c r="C213" s="5">
        <f ca="1">COUNTBLANK(OFFSET(Demand!$I222,0,(COLUMN(B210)-1)*5,1,1))</f>
        <v>1</v>
      </c>
      <c r="D213" s="5">
        <f ca="1">COUNTBLANK(OFFSET(Demand!$I222,0,(COLUMN(C210)-1)*5,1,1))</f>
        <v>1</v>
      </c>
      <c r="E213" s="5">
        <f ca="1">COUNTBLANK(OFFSET(Demand!$I222,0,(COLUMN(D210)-1)*5,1,1))</f>
        <v>1</v>
      </c>
      <c r="F213" s="5">
        <f ca="1">COUNTBLANK(OFFSET(Demand!$I222,0,(COLUMN(E210)-1)*5,1,1))</f>
        <v>1</v>
      </c>
      <c r="G213" s="5">
        <f ca="1">COUNTBLANK(OFFSET(Demand!$I222,0,(COLUMN(F210)-1)*5,1,1))</f>
        <v>1</v>
      </c>
      <c r="H213" s="5">
        <f ca="1">COUNTBLANK(OFFSET(Demand!$I222,0,(COLUMN(G210)-1)*5,1,1))</f>
        <v>1</v>
      </c>
      <c r="I213" s="5">
        <f ca="1">COUNTBLANK(OFFSET(Demand!$I222,0,(COLUMN(H210)-1)*5,1,1))</f>
        <v>1</v>
      </c>
      <c r="J213" s="5">
        <f ca="1">COUNTBLANK(OFFSET(Demand!$I222,0,(COLUMN(I210)-1)*5,1,1))</f>
        <v>1</v>
      </c>
      <c r="K213" s="5">
        <f ca="1">COUNTBLANK(OFFSET(Demand!$I222,0,(COLUMN(J210)-1)*5,1,1))</f>
        <v>1</v>
      </c>
      <c r="N213" s="5">
        <f ca="1">SUM(OFFSET(Demand!$E222,0,(COLUMN(A210)-1)*5,1,3))*N$2</f>
        <v>0</v>
      </c>
      <c r="O213" s="5">
        <f ca="1">SUM(OFFSET(Demand!$E222,0,(COLUMN(B210)-1)*5,1,3))*O$2</f>
        <v>0</v>
      </c>
      <c r="P213" s="5">
        <f ca="1">SUM(OFFSET(Demand!$E222,0,(COLUMN(C210)-1)*5,1,3))*P$2</f>
        <v>0</v>
      </c>
      <c r="Q213" s="5">
        <f ca="1">SUM(OFFSET(Demand!$E222,0,(COLUMN(D210)-1)*5,1,3))*Q$2</f>
        <v>0</v>
      </c>
      <c r="R213" s="5">
        <f ca="1">SUM(OFFSET(Demand!$E222,0,(COLUMN(E210)-1)*5,1,3))*R$2</f>
        <v>0</v>
      </c>
      <c r="S213" s="5">
        <f ca="1">SUM(OFFSET(Demand!$E222,0,(COLUMN(F210)-1)*5,1,3))*S$2</f>
        <v>0</v>
      </c>
      <c r="T213" s="5">
        <f ca="1">SUM(OFFSET(Demand!$E222,0,(COLUMN(G210)-1)*5,1,3))*T$2</f>
        <v>0</v>
      </c>
      <c r="U213" s="5">
        <f ca="1">SUM(OFFSET(Demand!$E222,0,(COLUMN(H210)-1)*5,1,3))*U$2</f>
        <v>0</v>
      </c>
      <c r="V213" s="5">
        <f ca="1">SUM(OFFSET(Demand!$E222,0,(COLUMN(I210)-1)*5,1,3))*V$2</f>
        <v>0</v>
      </c>
      <c r="W213" s="5">
        <f ca="1">SUM(OFFSET(Demand!$E222,0,(COLUMN(J210)-1)*5,1,3))*W$2</f>
        <v>0</v>
      </c>
      <c r="X213" s="5">
        <f t="shared" ca="1" si="51"/>
        <v>0</v>
      </c>
      <c r="Y213">
        <f t="shared" ca="1" si="52"/>
        <v>0</v>
      </c>
      <c r="Z213" s="5">
        <f ca="1">SUM(OFFSET(Demand!$H222,0,(COLUMN(A210)-1)*5,1,1))*N$2</f>
        <v>0</v>
      </c>
      <c r="AA213" s="5">
        <f ca="1">SUM(OFFSET(Demand!$H222,0,(COLUMN(B210)-1)*5,1,1))*O$2</f>
        <v>0</v>
      </c>
      <c r="AB213" s="5">
        <f ca="1">SUM(OFFSET(Demand!$H222,0,(COLUMN(C210)-1)*5,1,1))*P$2</f>
        <v>0</v>
      </c>
      <c r="AC213" s="5">
        <f ca="1">SUM(OFFSET(Demand!$H222,0,(COLUMN(D210)-1)*5,1,1))*Q$2</f>
        <v>0</v>
      </c>
      <c r="AD213" s="5">
        <f ca="1">SUM(OFFSET(Demand!$H222,0,(COLUMN(E210)-1)*5,1,1))*R$2</f>
        <v>0</v>
      </c>
      <c r="AE213" s="5">
        <f ca="1">SUM(OFFSET(Demand!$H222,0,(COLUMN(F210)-1)*5,1,1))*S$2</f>
        <v>0</v>
      </c>
      <c r="AF213" s="5">
        <f ca="1">SUM(OFFSET(Demand!$H222,0,(COLUMN(G210)-1)*5,1,1))*T$2</f>
        <v>0</v>
      </c>
      <c r="AG213" s="5">
        <f ca="1">SUM(OFFSET(Demand!$H222,0,(COLUMN(H210)-1)*5,1,1))*U$2</f>
        <v>0</v>
      </c>
      <c r="AH213" s="5">
        <f ca="1">SUM(OFFSET(Demand!$H222,0,(COLUMN(I210)-1)*5,1,1))*V$2</f>
        <v>0</v>
      </c>
      <c r="AI213" s="5">
        <f ca="1">SUM(OFFSET(Demand!$H222,0,(COLUMN(J210)-1)*5,1,1))*W$2</f>
        <v>0</v>
      </c>
      <c r="AJ213" s="5">
        <f t="shared" ca="1" si="53"/>
        <v>0</v>
      </c>
      <c r="AL213" s="5">
        <f t="shared" ca="1" si="54"/>
        <v>0</v>
      </c>
      <c r="AM213" s="5">
        <f t="shared" ca="1" si="55"/>
        <v>0</v>
      </c>
      <c r="AN213" s="5" t="str">
        <f>IF(Demand!BE222="Yes","Yes","")</f>
        <v/>
      </c>
      <c r="AP213" s="36" t="str">
        <f ca="1">Demand!B222</f>
        <v xml:space="preserve"> </v>
      </c>
      <c r="AQ213" t="str">
        <f ca="1">IF(TEXT(Demand!D222,"MMM")&lt;&gt;TEXT(Demand!D221,"MMM"),TEXT(Demand!D222,"MMM"),"")</f>
        <v/>
      </c>
      <c r="AT213" s="5">
        <f t="shared" ca="1" si="56"/>
        <v>0</v>
      </c>
      <c r="BQ213">
        <f ca="1">IF($AN213="",OFFSET(Demand!$A$13,ROW(A210)-1,4+((QUOTIENT(COLUMN(BQ$2)-69,3))*5)+MOD(COLUMN(BQ$2),3),1,1),"")</f>
        <v>0</v>
      </c>
      <c r="BR213">
        <f ca="1">IF($AN213="",OFFSET(Demand!$A$13,ROW(B210)-1,4+((QUOTIENT(COLUMN(BR$2)-69,3))*5)+MOD(COLUMN(BR$2),3),1,1),"")</f>
        <v>0</v>
      </c>
      <c r="BS213">
        <f ca="1">IF($AN213="",OFFSET(Demand!$A$13,ROW(C210)-1,4+((QUOTIENT(COLUMN(BS$2)-69,3))*5)+MOD(COLUMN(BS$2),3),1,1),"")</f>
        <v>0</v>
      </c>
      <c r="BT213">
        <f ca="1">IF($AN213="",OFFSET(Demand!$A$13,ROW(D210)-1,4+((QUOTIENT(COLUMN(BT$2)-69,3))*5)+MOD(COLUMN(BT$2),3),1,1),"")</f>
        <v>0</v>
      </c>
      <c r="BU213">
        <f ca="1">IF($AN213="",OFFSET(Demand!$A$13,ROW(E210)-1,4+((QUOTIENT(COLUMN(BU$2)-69,3))*5)+MOD(COLUMN(BU$2),3),1,1),"")</f>
        <v>0</v>
      </c>
      <c r="BV213">
        <f ca="1">IF($AN213="",OFFSET(Demand!$A$13,ROW(F210)-1,4+((QUOTIENT(COLUMN(BV$2)-69,3))*5)+MOD(COLUMN(BV$2),3),1,1),"")</f>
        <v>0</v>
      </c>
      <c r="BW213">
        <f ca="1">IF($AN213="",OFFSET(Demand!$A$13,ROW(G210)-1,4+((QUOTIENT(COLUMN(BW$2)-69,3))*5)+MOD(COLUMN(BW$2),3),1,1),"")</f>
        <v>0</v>
      </c>
      <c r="BX213">
        <f ca="1">IF($AN213="",OFFSET(Demand!$A$13,ROW(H210)-1,4+((QUOTIENT(COLUMN(BX$2)-69,3))*5)+MOD(COLUMN(BX$2),3),1,1),"")</f>
        <v>0</v>
      </c>
      <c r="BY213">
        <f ca="1">IF($AN213="",OFFSET(Demand!$A$13,ROW(I210)-1,4+((QUOTIENT(COLUMN(BY$2)-69,3))*5)+MOD(COLUMN(BY$2),3),1,1),"")</f>
        <v>0</v>
      </c>
      <c r="BZ213">
        <f ca="1">IF($AN213="",OFFSET(Demand!$A$13,ROW(J210)-1,4+((QUOTIENT(COLUMN(BZ$2)-69,3))*5)+MOD(COLUMN(BZ$2),3),1,1),"")</f>
        <v>0</v>
      </c>
      <c r="CA213">
        <f ca="1">IF($AN213="",OFFSET(Demand!$A$13,ROW(K210)-1,4+((QUOTIENT(COLUMN(CA$2)-69,3))*5)+MOD(COLUMN(CA$2),3),1,1),"")</f>
        <v>0</v>
      </c>
      <c r="CB213">
        <f ca="1">IF($AN213="",OFFSET(Demand!$A$13,ROW(L210)-1,4+((QUOTIENT(COLUMN(CB$2)-69,3))*5)+MOD(COLUMN(CB$2),3),1,1),"")</f>
        <v>0</v>
      </c>
      <c r="CC213">
        <f ca="1">IF($AN213="",OFFSET(Demand!$A$13,ROW(M210)-1,4+((QUOTIENT(COLUMN(CC$2)-69,3))*5)+MOD(COLUMN(CC$2),3),1,1),"")</f>
        <v>0</v>
      </c>
      <c r="CD213">
        <f ca="1">IF($AN213="",OFFSET(Demand!$A$13,ROW(N210)-1,4+((QUOTIENT(COLUMN(CD$2)-69,3))*5)+MOD(COLUMN(CD$2),3),1,1),"")</f>
        <v>0</v>
      </c>
      <c r="CE213">
        <f ca="1">IF($AN213="",OFFSET(Demand!$A$13,ROW(O210)-1,4+((QUOTIENT(COLUMN(CE$2)-69,3))*5)+MOD(COLUMN(CE$2),3),1,1),"")</f>
        <v>0</v>
      </c>
      <c r="CF213">
        <f ca="1">IF($AN213="",OFFSET(Demand!$A$13,ROW(P210)-1,4+((QUOTIENT(COLUMN(CF$2)-69,3))*5)+MOD(COLUMN(CF$2),3),1,1),"")</f>
        <v>0</v>
      </c>
      <c r="CG213">
        <f ca="1">IF($AN213="",OFFSET(Demand!$A$13,ROW(Q210)-1,4+((QUOTIENT(COLUMN(CG$2)-69,3))*5)+MOD(COLUMN(CG$2),3),1,1),"")</f>
        <v>0</v>
      </c>
      <c r="CH213">
        <f ca="1">IF($AN213="",OFFSET(Demand!$A$13,ROW(R210)-1,4+((QUOTIENT(COLUMN(CH$2)-69,3))*5)+MOD(COLUMN(CH$2),3),1,1),"")</f>
        <v>0</v>
      </c>
      <c r="CI213">
        <f ca="1">IF($AN213="",OFFSET(Demand!$A$13,ROW(S210)-1,4+((QUOTIENT(COLUMN(CI$2)-69,3))*5)+MOD(COLUMN(CI$2),3),1,1),"")</f>
        <v>0</v>
      </c>
      <c r="CJ213">
        <f ca="1">IF($AN213="",OFFSET(Demand!$A$13,ROW(T210)-1,4+((QUOTIENT(COLUMN(CJ$2)-69,3))*5)+MOD(COLUMN(CJ$2),3),1,1),"")</f>
        <v>0</v>
      </c>
      <c r="CK213">
        <f ca="1">IF($AN213="",OFFSET(Demand!$A$13,ROW(U210)-1,4+((QUOTIENT(COLUMN(CK$2)-69,3))*5)+MOD(COLUMN(CK$2),3),1,1),"")</f>
        <v>0</v>
      </c>
      <c r="CL213">
        <f ca="1">IF($AN213="",OFFSET(Demand!$A$13,ROW(V210)-1,4+((QUOTIENT(COLUMN(CL$2)-69,3))*5)+MOD(COLUMN(CL$2),3),1,1),"")</f>
        <v>0</v>
      </c>
      <c r="CM213">
        <f ca="1">IF($AN213="",OFFSET(Demand!$A$13,ROW(W210)-1,4+((QUOTIENT(COLUMN(CM$2)-69,3))*5)+MOD(COLUMN(CM$2),3),1,1),"")</f>
        <v>0</v>
      </c>
      <c r="CN213">
        <f ca="1">IF($AN213="",OFFSET(Demand!$A$13,ROW(X210)-1,4+((QUOTIENT(COLUMN(CN$2)-69,3))*5)+MOD(COLUMN(CN$2),3),1,1),"")</f>
        <v>0</v>
      </c>
      <c r="CO213">
        <f ca="1">IF($AN213="",OFFSET(Demand!$A$13,ROW(Y210)-1,4+((QUOTIENT(COLUMN(CO$2)-69,3))*5)+MOD(COLUMN(CO$2),3),1,1),"")</f>
        <v>0</v>
      </c>
      <c r="CP213">
        <f ca="1">IF($AN213="",OFFSET(Demand!$A$13,ROW(Z210)-1,4+((QUOTIENT(COLUMN(CP$2)-69,3))*5)+MOD(COLUMN(CP$2),3),1,1),"")</f>
        <v>0</v>
      </c>
      <c r="CQ213">
        <f ca="1">IF($AN213="",OFFSET(Demand!$A$13,ROW(AA210)-1,4+((QUOTIENT(COLUMN(CQ$2)-69,3))*5)+MOD(COLUMN(CQ$2),3),1,1),"")</f>
        <v>0</v>
      </c>
      <c r="CR213">
        <f ca="1">IF($AN213="",OFFSET(Demand!$A$13,ROW(AB210)-1,4+((QUOTIENT(COLUMN(CR$2)-69,3))*5)+MOD(COLUMN(CR$2),3),1,1),"")</f>
        <v>0</v>
      </c>
      <c r="CS213">
        <f ca="1">IF($AN213="",OFFSET(Demand!$A$13,ROW(AC210)-1,4+((QUOTIENT(COLUMN(CS$2)-69,3))*5)+MOD(COLUMN(CS$2),3),1,1),"")</f>
        <v>0</v>
      </c>
      <c r="CT213">
        <f ca="1">IF($AN213="",OFFSET(Demand!$A$13,ROW(AD210)-1,4+((QUOTIENT(COLUMN(CT$2)-69,3))*5)+MOD(COLUMN(CT$2),3),1,1),"")</f>
        <v>0</v>
      </c>
      <c r="CW213" s="5">
        <f ca="1">SUM(OFFSET(Demand!$H$43,ROW(A210)-1,(COLUMN(A210)-1)*5,1,1))*N$2</f>
        <v>0</v>
      </c>
      <c r="CX213" s="5">
        <f ca="1">SUM(OFFSET(Demand!$H$43,ROW(B210)-1,(COLUMN(B210)-1)*5,1,1))*O$2</f>
        <v>0</v>
      </c>
      <c r="CY213" s="5">
        <f ca="1">SUM(OFFSET(Demand!$H$43,ROW(C210)-1,(COLUMN(C210)-1)*5,1,1))*P$2</f>
        <v>0</v>
      </c>
      <c r="CZ213" s="5">
        <f ca="1">SUM(OFFSET(Demand!$H$43,ROW(D210)-1,(COLUMN(D210)-1)*5,1,1))*Q$2</f>
        <v>0</v>
      </c>
      <c r="DA213" s="5">
        <f ca="1">SUM(OFFSET(Demand!$H$43,ROW(E210)-1,(COLUMN(E210)-1)*5,1,1))*R$2</f>
        <v>0</v>
      </c>
      <c r="DB213" s="5">
        <f ca="1">SUM(OFFSET(Demand!$H$43,ROW(F210)-1,(COLUMN(F210)-1)*5,1,1))*S$2</f>
        <v>0</v>
      </c>
      <c r="DC213" s="5">
        <f ca="1">SUM(OFFSET(Demand!$H$43,ROW(G210)-1,(COLUMN(G210)-1)*5,1,1))*T$2</f>
        <v>0</v>
      </c>
      <c r="DD213" s="5">
        <f ca="1">SUM(OFFSET(Demand!$H$43,ROW(H210)-1,(COLUMN(H210)-1)*5,1,1))*U$2</f>
        <v>0</v>
      </c>
      <c r="DE213" s="5">
        <f ca="1">SUM(OFFSET(Demand!$H$43,ROW(I210)-1,(COLUMN(I210)-1)*5,1,1))*V$2</f>
        <v>0</v>
      </c>
      <c r="DF213" s="5">
        <f ca="1">SUM(OFFSET(Demand!$H$43,ROW(J210)-1,(COLUMN(J210)-1)*5,1,1))*W$2</f>
        <v>0</v>
      </c>
      <c r="DG213" s="5">
        <f ca="1">IF(OR(AN213&lt;&gt;"",AND('Demand adjustments for Covid'!$F$9="Yes",'Demand adjustments for Covid'!$F$20="Yes")),"",SUM(CW213:DF213))</f>
        <v>0</v>
      </c>
    </row>
    <row r="214" spans="1:111" x14ac:dyDescent="0.25">
      <c r="A214" s="5">
        <f t="shared" ca="1" si="50"/>
        <v>1</v>
      </c>
      <c r="B214" s="5">
        <f ca="1">COUNTBLANK(OFFSET(Demand!$I223,0,(COLUMN(A211)-1)*5,1,1))</f>
        <v>1</v>
      </c>
      <c r="C214" s="5">
        <f ca="1">COUNTBLANK(OFFSET(Demand!$I223,0,(COLUMN(B211)-1)*5,1,1))</f>
        <v>1</v>
      </c>
      <c r="D214" s="5">
        <f ca="1">COUNTBLANK(OFFSET(Demand!$I223,0,(COLUMN(C211)-1)*5,1,1))</f>
        <v>1</v>
      </c>
      <c r="E214" s="5">
        <f ca="1">COUNTBLANK(OFFSET(Demand!$I223,0,(COLUMN(D211)-1)*5,1,1))</f>
        <v>1</v>
      </c>
      <c r="F214" s="5">
        <f ca="1">COUNTBLANK(OFFSET(Demand!$I223,0,(COLUMN(E211)-1)*5,1,1))</f>
        <v>1</v>
      </c>
      <c r="G214" s="5">
        <f ca="1">COUNTBLANK(OFFSET(Demand!$I223,0,(COLUMN(F211)-1)*5,1,1))</f>
        <v>1</v>
      </c>
      <c r="H214" s="5">
        <f ca="1">COUNTBLANK(OFFSET(Demand!$I223,0,(COLUMN(G211)-1)*5,1,1))</f>
        <v>1</v>
      </c>
      <c r="I214" s="5">
        <f ca="1">COUNTBLANK(OFFSET(Demand!$I223,0,(COLUMN(H211)-1)*5,1,1))</f>
        <v>1</v>
      </c>
      <c r="J214" s="5">
        <f ca="1">COUNTBLANK(OFFSET(Demand!$I223,0,(COLUMN(I211)-1)*5,1,1))</f>
        <v>1</v>
      </c>
      <c r="K214" s="5">
        <f ca="1">COUNTBLANK(OFFSET(Demand!$I223,0,(COLUMN(J211)-1)*5,1,1))</f>
        <v>1</v>
      </c>
      <c r="N214" s="5">
        <f ca="1">SUM(OFFSET(Demand!$E223,0,(COLUMN(A211)-1)*5,1,3))*N$2</f>
        <v>0</v>
      </c>
      <c r="O214" s="5">
        <f ca="1">SUM(OFFSET(Demand!$E223,0,(COLUMN(B211)-1)*5,1,3))*O$2</f>
        <v>0</v>
      </c>
      <c r="P214" s="5">
        <f ca="1">SUM(OFFSET(Demand!$E223,0,(COLUMN(C211)-1)*5,1,3))*P$2</f>
        <v>0</v>
      </c>
      <c r="Q214" s="5">
        <f ca="1">SUM(OFFSET(Demand!$E223,0,(COLUMN(D211)-1)*5,1,3))*Q$2</f>
        <v>0</v>
      </c>
      <c r="R214" s="5">
        <f ca="1">SUM(OFFSET(Demand!$E223,0,(COLUMN(E211)-1)*5,1,3))*R$2</f>
        <v>0</v>
      </c>
      <c r="S214" s="5">
        <f ca="1">SUM(OFFSET(Demand!$E223,0,(COLUMN(F211)-1)*5,1,3))*S$2</f>
        <v>0</v>
      </c>
      <c r="T214" s="5">
        <f ca="1">SUM(OFFSET(Demand!$E223,0,(COLUMN(G211)-1)*5,1,3))*T$2</f>
        <v>0</v>
      </c>
      <c r="U214" s="5">
        <f ca="1">SUM(OFFSET(Demand!$E223,0,(COLUMN(H211)-1)*5,1,3))*U$2</f>
        <v>0</v>
      </c>
      <c r="V214" s="5">
        <f ca="1">SUM(OFFSET(Demand!$E223,0,(COLUMN(I211)-1)*5,1,3))*V$2</f>
        <v>0</v>
      </c>
      <c r="W214" s="5">
        <f ca="1">SUM(OFFSET(Demand!$E223,0,(COLUMN(J211)-1)*5,1,3))*W$2</f>
        <v>0</v>
      </c>
      <c r="X214" s="5">
        <f t="shared" ca="1" si="51"/>
        <v>0</v>
      </c>
      <c r="Y214">
        <f t="shared" ca="1" si="52"/>
        <v>0</v>
      </c>
      <c r="Z214" s="5">
        <f ca="1">SUM(OFFSET(Demand!$H223,0,(COLUMN(A211)-1)*5,1,1))*N$2</f>
        <v>0</v>
      </c>
      <c r="AA214" s="5">
        <f ca="1">SUM(OFFSET(Demand!$H223,0,(COLUMN(B211)-1)*5,1,1))*O$2</f>
        <v>0</v>
      </c>
      <c r="AB214" s="5">
        <f ca="1">SUM(OFFSET(Demand!$H223,0,(COLUMN(C211)-1)*5,1,1))*P$2</f>
        <v>0</v>
      </c>
      <c r="AC214" s="5">
        <f ca="1">SUM(OFFSET(Demand!$H223,0,(COLUMN(D211)-1)*5,1,1))*Q$2</f>
        <v>0</v>
      </c>
      <c r="AD214" s="5">
        <f ca="1">SUM(OFFSET(Demand!$H223,0,(COLUMN(E211)-1)*5,1,1))*R$2</f>
        <v>0</v>
      </c>
      <c r="AE214" s="5">
        <f ca="1">SUM(OFFSET(Demand!$H223,0,(COLUMN(F211)-1)*5,1,1))*S$2</f>
        <v>0</v>
      </c>
      <c r="AF214" s="5">
        <f ca="1">SUM(OFFSET(Demand!$H223,0,(COLUMN(G211)-1)*5,1,1))*T$2</f>
        <v>0</v>
      </c>
      <c r="AG214" s="5">
        <f ca="1">SUM(OFFSET(Demand!$H223,0,(COLUMN(H211)-1)*5,1,1))*U$2</f>
        <v>0</v>
      </c>
      <c r="AH214" s="5">
        <f ca="1">SUM(OFFSET(Demand!$H223,0,(COLUMN(I211)-1)*5,1,1))*V$2</f>
        <v>0</v>
      </c>
      <c r="AI214" s="5">
        <f ca="1">SUM(OFFSET(Demand!$H223,0,(COLUMN(J211)-1)*5,1,1))*W$2</f>
        <v>0</v>
      </c>
      <c r="AJ214" s="5">
        <f t="shared" ca="1" si="53"/>
        <v>0</v>
      </c>
      <c r="AL214" s="5">
        <f t="shared" ca="1" si="54"/>
        <v>0</v>
      </c>
      <c r="AM214" s="5">
        <f t="shared" ca="1" si="55"/>
        <v>0</v>
      </c>
      <c r="AN214" s="5" t="str">
        <f>IF(Demand!BE223="Yes","Yes","")</f>
        <v/>
      </c>
      <c r="AP214" s="36" t="str">
        <f ca="1">Demand!B223</f>
        <v xml:space="preserve"> </v>
      </c>
      <c r="AQ214" t="str">
        <f ca="1">IF(TEXT(Demand!D223,"MMM")&lt;&gt;TEXT(Demand!D222,"MMM"),TEXT(Demand!D223,"MMM"),"")</f>
        <v/>
      </c>
      <c r="AT214" s="5">
        <f t="shared" ca="1" si="56"/>
        <v>0</v>
      </c>
      <c r="BQ214">
        <f ca="1">IF($AN214="",OFFSET(Demand!$A$13,ROW(A211)-1,4+((QUOTIENT(COLUMN(BQ$2)-69,3))*5)+MOD(COLUMN(BQ$2),3),1,1),"")</f>
        <v>0</v>
      </c>
      <c r="BR214">
        <f ca="1">IF($AN214="",OFFSET(Demand!$A$13,ROW(B211)-1,4+((QUOTIENT(COLUMN(BR$2)-69,3))*5)+MOD(COLUMN(BR$2),3),1,1),"")</f>
        <v>0</v>
      </c>
      <c r="BS214">
        <f ca="1">IF($AN214="",OFFSET(Demand!$A$13,ROW(C211)-1,4+((QUOTIENT(COLUMN(BS$2)-69,3))*5)+MOD(COLUMN(BS$2),3),1,1),"")</f>
        <v>0</v>
      </c>
      <c r="BT214">
        <f ca="1">IF($AN214="",OFFSET(Demand!$A$13,ROW(D211)-1,4+((QUOTIENT(COLUMN(BT$2)-69,3))*5)+MOD(COLUMN(BT$2),3),1,1),"")</f>
        <v>0</v>
      </c>
      <c r="BU214">
        <f ca="1">IF($AN214="",OFFSET(Demand!$A$13,ROW(E211)-1,4+((QUOTIENT(COLUMN(BU$2)-69,3))*5)+MOD(COLUMN(BU$2),3),1,1),"")</f>
        <v>0</v>
      </c>
      <c r="BV214">
        <f ca="1">IF($AN214="",OFFSET(Demand!$A$13,ROW(F211)-1,4+((QUOTIENT(COLUMN(BV$2)-69,3))*5)+MOD(COLUMN(BV$2),3),1,1),"")</f>
        <v>0</v>
      </c>
      <c r="BW214">
        <f ca="1">IF($AN214="",OFFSET(Demand!$A$13,ROW(G211)-1,4+((QUOTIENT(COLUMN(BW$2)-69,3))*5)+MOD(COLUMN(BW$2),3),1,1),"")</f>
        <v>0</v>
      </c>
      <c r="BX214">
        <f ca="1">IF($AN214="",OFFSET(Demand!$A$13,ROW(H211)-1,4+((QUOTIENT(COLUMN(BX$2)-69,3))*5)+MOD(COLUMN(BX$2),3),1,1),"")</f>
        <v>0</v>
      </c>
      <c r="BY214">
        <f ca="1">IF($AN214="",OFFSET(Demand!$A$13,ROW(I211)-1,4+((QUOTIENT(COLUMN(BY$2)-69,3))*5)+MOD(COLUMN(BY$2),3),1,1),"")</f>
        <v>0</v>
      </c>
      <c r="BZ214">
        <f ca="1">IF($AN214="",OFFSET(Demand!$A$13,ROW(J211)-1,4+((QUOTIENT(COLUMN(BZ$2)-69,3))*5)+MOD(COLUMN(BZ$2),3),1,1),"")</f>
        <v>0</v>
      </c>
      <c r="CA214">
        <f ca="1">IF($AN214="",OFFSET(Demand!$A$13,ROW(K211)-1,4+((QUOTIENT(COLUMN(CA$2)-69,3))*5)+MOD(COLUMN(CA$2),3),1,1),"")</f>
        <v>0</v>
      </c>
      <c r="CB214">
        <f ca="1">IF($AN214="",OFFSET(Demand!$A$13,ROW(L211)-1,4+((QUOTIENT(COLUMN(CB$2)-69,3))*5)+MOD(COLUMN(CB$2),3),1,1),"")</f>
        <v>0</v>
      </c>
      <c r="CC214">
        <f ca="1">IF($AN214="",OFFSET(Demand!$A$13,ROW(M211)-1,4+((QUOTIENT(COLUMN(CC$2)-69,3))*5)+MOD(COLUMN(CC$2),3),1,1),"")</f>
        <v>0</v>
      </c>
      <c r="CD214">
        <f ca="1">IF($AN214="",OFFSET(Demand!$A$13,ROW(N211)-1,4+((QUOTIENT(COLUMN(CD$2)-69,3))*5)+MOD(COLUMN(CD$2),3),1,1),"")</f>
        <v>0</v>
      </c>
      <c r="CE214">
        <f ca="1">IF($AN214="",OFFSET(Demand!$A$13,ROW(O211)-1,4+((QUOTIENT(COLUMN(CE$2)-69,3))*5)+MOD(COLUMN(CE$2),3),1,1),"")</f>
        <v>0</v>
      </c>
      <c r="CF214">
        <f ca="1">IF($AN214="",OFFSET(Demand!$A$13,ROW(P211)-1,4+((QUOTIENT(COLUMN(CF$2)-69,3))*5)+MOD(COLUMN(CF$2),3),1,1),"")</f>
        <v>0</v>
      </c>
      <c r="CG214">
        <f ca="1">IF($AN214="",OFFSET(Demand!$A$13,ROW(Q211)-1,4+((QUOTIENT(COLUMN(CG$2)-69,3))*5)+MOD(COLUMN(CG$2),3),1,1),"")</f>
        <v>0</v>
      </c>
      <c r="CH214">
        <f ca="1">IF($AN214="",OFFSET(Demand!$A$13,ROW(R211)-1,4+((QUOTIENT(COLUMN(CH$2)-69,3))*5)+MOD(COLUMN(CH$2),3),1,1),"")</f>
        <v>0</v>
      </c>
      <c r="CI214">
        <f ca="1">IF($AN214="",OFFSET(Demand!$A$13,ROW(S211)-1,4+((QUOTIENT(COLUMN(CI$2)-69,3))*5)+MOD(COLUMN(CI$2),3),1,1),"")</f>
        <v>0</v>
      </c>
      <c r="CJ214">
        <f ca="1">IF($AN214="",OFFSET(Demand!$A$13,ROW(T211)-1,4+((QUOTIENT(COLUMN(CJ$2)-69,3))*5)+MOD(COLUMN(CJ$2),3),1,1),"")</f>
        <v>0</v>
      </c>
      <c r="CK214">
        <f ca="1">IF($AN214="",OFFSET(Demand!$A$13,ROW(U211)-1,4+((QUOTIENT(COLUMN(CK$2)-69,3))*5)+MOD(COLUMN(CK$2),3),1,1),"")</f>
        <v>0</v>
      </c>
      <c r="CL214">
        <f ca="1">IF($AN214="",OFFSET(Demand!$A$13,ROW(V211)-1,4+((QUOTIENT(COLUMN(CL$2)-69,3))*5)+MOD(COLUMN(CL$2),3),1,1),"")</f>
        <v>0</v>
      </c>
      <c r="CM214">
        <f ca="1">IF($AN214="",OFFSET(Demand!$A$13,ROW(W211)-1,4+((QUOTIENT(COLUMN(CM$2)-69,3))*5)+MOD(COLUMN(CM$2),3),1,1),"")</f>
        <v>0</v>
      </c>
      <c r="CN214">
        <f ca="1">IF($AN214="",OFFSET(Demand!$A$13,ROW(X211)-1,4+((QUOTIENT(COLUMN(CN$2)-69,3))*5)+MOD(COLUMN(CN$2),3),1,1),"")</f>
        <v>0</v>
      </c>
      <c r="CO214">
        <f ca="1">IF($AN214="",OFFSET(Demand!$A$13,ROW(Y211)-1,4+((QUOTIENT(COLUMN(CO$2)-69,3))*5)+MOD(COLUMN(CO$2),3),1,1),"")</f>
        <v>0</v>
      </c>
      <c r="CP214">
        <f ca="1">IF($AN214="",OFFSET(Demand!$A$13,ROW(Z211)-1,4+((QUOTIENT(COLUMN(CP$2)-69,3))*5)+MOD(COLUMN(CP$2),3),1,1),"")</f>
        <v>0</v>
      </c>
      <c r="CQ214">
        <f ca="1">IF($AN214="",OFFSET(Demand!$A$13,ROW(AA211)-1,4+((QUOTIENT(COLUMN(CQ$2)-69,3))*5)+MOD(COLUMN(CQ$2),3),1,1),"")</f>
        <v>0</v>
      </c>
      <c r="CR214">
        <f ca="1">IF($AN214="",OFFSET(Demand!$A$13,ROW(AB211)-1,4+((QUOTIENT(COLUMN(CR$2)-69,3))*5)+MOD(COLUMN(CR$2),3),1,1),"")</f>
        <v>0</v>
      </c>
      <c r="CS214">
        <f ca="1">IF($AN214="",OFFSET(Demand!$A$13,ROW(AC211)-1,4+((QUOTIENT(COLUMN(CS$2)-69,3))*5)+MOD(COLUMN(CS$2),3),1,1),"")</f>
        <v>0</v>
      </c>
      <c r="CT214">
        <f ca="1">IF($AN214="",OFFSET(Demand!$A$13,ROW(AD211)-1,4+((QUOTIENT(COLUMN(CT$2)-69,3))*5)+MOD(COLUMN(CT$2),3),1,1),"")</f>
        <v>0</v>
      </c>
      <c r="CW214" s="5">
        <f ca="1">SUM(OFFSET(Demand!$H$43,ROW(A211)-1,(COLUMN(A211)-1)*5,1,1))*N$2</f>
        <v>0</v>
      </c>
      <c r="CX214" s="5">
        <f ca="1">SUM(OFFSET(Demand!$H$43,ROW(B211)-1,(COLUMN(B211)-1)*5,1,1))*O$2</f>
        <v>0</v>
      </c>
      <c r="CY214" s="5">
        <f ca="1">SUM(OFFSET(Demand!$H$43,ROW(C211)-1,(COLUMN(C211)-1)*5,1,1))*P$2</f>
        <v>0</v>
      </c>
      <c r="CZ214" s="5">
        <f ca="1">SUM(OFFSET(Demand!$H$43,ROW(D211)-1,(COLUMN(D211)-1)*5,1,1))*Q$2</f>
        <v>0</v>
      </c>
      <c r="DA214" s="5">
        <f ca="1">SUM(OFFSET(Demand!$H$43,ROW(E211)-1,(COLUMN(E211)-1)*5,1,1))*R$2</f>
        <v>0</v>
      </c>
      <c r="DB214" s="5">
        <f ca="1">SUM(OFFSET(Demand!$H$43,ROW(F211)-1,(COLUMN(F211)-1)*5,1,1))*S$2</f>
        <v>0</v>
      </c>
      <c r="DC214" s="5">
        <f ca="1">SUM(OFFSET(Demand!$H$43,ROW(G211)-1,(COLUMN(G211)-1)*5,1,1))*T$2</f>
        <v>0</v>
      </c>
      <c r="DD214" s="5">
        <f ca="1">SUM(OFFSET(Demand!$H$43,ROW(H211)-1,(COLUMN(H211)-1)*5,1,1))*U$2</f>
        <v>0</v>
      </c>
      <c r="DE214" s="5">
        <f ca="1">SUM(OFFSET(Demand!$H$43,ROW(I211)-1,(COLUMN(I211)-1)*5,1,1))*V$2</f>
        <v>0</v>
      </c>
      <c r="DF214" s="5">
        <f ca="1">SUM(OFFSET(Demand!$H$43,ROW(J211)-1,(COLUMN(J211)-1)*5,1,1))*W$2</f>
        <v>0</v>
      </c>
      <c r="DG214" s="5">
        <f ca="1">IF(OR(AN214&lt;&gt;"",AND('Demand adjustments for Covid'!$F$9="Yes",'Demand adjustments for Covid'!$F$20="Yes")),"",SUM(CW214:DF214))</f>
        <v>0</v>
      </c>
    </row>
    <row r="215" spans="1:111" x14ac:dyDescent="0.25">
      <c r="A215" s="5">
        <f t="shared" ca="1" si="50"/>
        <v>1</v>
      </c>
      <c r="B215" s="5">
        <f ca="1">COUNTBLANK(OFFSET(Demand!$I224,0,(COLUMN(A212)-1)*5,1,1))</f>
        <v>1</v>
      </c>
      <c r="C215" s="5">
        <f ca="1">COUNTBLANK(OFFSET(Demand!$I224,0,(COLUMN(B212)-1)*5,1,1))</f>
        <v>1</v>
      </c>
      <c r="D215" s="5">
        <f ca="1">COUNTBLANK(OFFSET(Demand!$I224,0,(COLUMN(C212)-1)*5,1,1))</f>
        <v>1</v>
      </c>
      <c r="E215" s="5">
        <f ca="1">COUNTBLANK(OFFSET(Demand!$I224,0,(COLUMN(D212)-1)*5,1,1))</f>
        <v>1</v>
      </c>
      <c r="F215" s="5">
        <f ca="1">COUNTBLANK(OFFSET(Demand!$I224,0,(COLUMN(E212)-1)*5,1,1))</f>
        <v>1</v>
      </c>
      <c r="G215" s="5">
        <f ca="1">COUNTBLANK(OFFSET(Demand!$I224,0,(COLUMN(F212)-1)*5,1,1))</f>
        <v>1</v>
      </c>
      <c r="H215" s="5">
        <f ca="1">COUNTBLANK(OFFSET(Demand!$I224,0,(COLUMN(G212)-1)*5,1,1))</f>
        <v>1</v>
      </c>
      <c r="I215" s="5">
        <f ca="1">COUNTBLANK(OFFSET(Demand!$I224,0,(COLUMN(H212)-1)*5,1,1))</f>
        <v>1</v>
      </c>
      <c r="J215" s="5">
        <f ca="1">COUNTBLANK(OFFSET(Demand!$I224,0,(COLUMN(I212)-1)*5,1,1))</f>
        <v>1</v>
      </c>
      <c r="K215" s="5">
        <f ca="1">COUNTBLANK(OFFSET(Demand!$I224,0,(COLUMN(J212)-1)*5,1,1))</f>
        <v>1</v>
      </c>
      <c r="N215" s="5">
        <f ca="1">SUM(OFFSET(Demand!$E224,0,(COLUMN(A212)-1)*5,1,3))*N$2</f>
        <v>0</v>
      </c>
      <c r="O215" s="5">
        <f ca="1">SUM(OFFSET(Demand!$E224,0,(COLUMN(B212)-1)*5,1,3))*O$2</f>
        <v>0</v>
      </c>
      <c r="P215" s="5">
        <f ca="1">SUM(OFFSET(Demand!$E224,0,(COLUMN(C212)-1)*5,1,3))*P$2</f>
        <v>0</v>
      </c>
      <c r="Q215" s="5">
        <f ca="1">SUM(OFFSET(Demand!$E224,0,(COLUMN(D212)-1)*5,1,3))*Q$2</f>
        <v>0</v>
      </c>
      <c r="R215" s="5">
        <f ca="1">SUM(OFFSET(Demand!$E224,0,(COLUMN(E212)-1)*5,1,3))*R$2</f>
        <v>0</v>
      </c>
      <c r="S215" s="5">
        <f ca="1">SUM(OFFSET(Demand!$E224,0,(COLUMN(F212)-1)*5,1,3))*S$2</f>
        <v>0</v>
      </c>
      <c r="T215" s="5">
        <f ca="1">SUM(OFFSET(Demand!$E224,0,(COLUMN(G212)-1)*5,1,3))*T$2</f>
        <v>0</v>
      </c>
      <c r="U215" s="5">
        <f ca="1">SUM(OFFSET(Demand!$E224,0,(COLUMN(H212)-1)*5,1,3))*U$2</f>
        <v>0</v>
      </c>
      <c r="V215" s="5">
        <f ca="1">SUM(OFFSET(Demand!$E224,0,(COLUMN(I212)-1)*5,1,3))*V$2</f>
        <v>0</v>
      </c>
      <c r="W215" s="5">
        <f ca="1">SUM(OFFSET(Demand!$E224,0,(COLUMN(J212)-1)*5,1,3))*W$2</f>
        <v>0</v>
      </c>
      <c r="X215" s="5">
        <f t="shared" ca="1" si="51"/>
        <v>0</v>
      </c>
      <c r="Y215">
        <f t="shared" ca="1" si="52"/>
        <v>0</v>
      </c>
      <c r="Z215" s="5">
        <f ca="1">SUM(OFFSET(Demand!$H224,0,(COLUMN(A212)-1)*5,1,1))*N$2</f>
        <v>0</v>
      </c>
      <c r="AA215" s="5">
        <f ca="1">SUM(OFFSET(Demand!$H224,0,(COLUMN(B212)-1)*5,1,1))*O$2</f>
        <v>0</v>
      </c>
      <c r="AB215" s="5">
        <f ca="1">SUM(OFFSET(Demand!$H224,0,(COLUMN(C212)-1)*5,1,1))*P$2</f>
        <v>0</v>
      </c>
      <c r="AC215" s="5">
        <f ca="1">SUM(OFFSET(Demand!$H224,0,(COLUMN(D212)-1)*5,1,1))*Q$2</f>
        <v>0</v>
      </c>
      <c r="AD215" s="5">
        <f ca="1">SUM(OFFSET(Demand!$H224,0,(COLUMN(E212)-1)*5,1,1))*R$2</f>
        <v>0</v>
      </c>
      <c r="AE215" s="5">
        <f ca="1">SUM(OFFSET(Demand!$H224,0,(COLUMN(F212)-1)*5,1,1))*S$2</f>
        <v>0</v>
      </c>
      <c r="AF215" s="5">
        <f ca="1">SUM(OFFSET(Demand!$H224,0,(COLUMN(G212)-1)*5,1,1))*T$2</f>
        <v>0</v>
      </c>
      <c r="AG215" s="5">
        <f ca="1">SUM(OFFSET(Demand!$H224,0,(COLUMN(H212)-1)*5,1,1))*U$2</f>
        <v>0</v>
      </c>
      <c r="AH215" s="5">
        <f ca="1">SUM(OFFSET(Demand!$H224,0,(COLUMN(I212)-1)*5,1,1))*V$2</f>
        <v>0</v>
      </c>
      <c r="AI215" s="5">
        <f ca="1">SUM(OFFSET(Demand!$H224,0,(COLUMN(J212)-1)*5,1,1))*W$2</f>
        <v>0</v>
      </c>
      <c r="AJ215" s="5">
        <f t="shared" ca="1" si="53"/>
        <v>0</v>
      </c>
      <c r="AL215" s="5">
        <f t="shared" ca="1" si="54"/>
        <v>0</v>
      </c>
      <c r="AM215" s="5">
        <f t="shared" ca="1" si="55"/>
        <v>0</v>
      </c>
      <c r="AN215" s="5" t="str">
        <f>IF(Demand!BE224="Yes","Yes","")</f>
        <v/>
      </c>
      <c r="AP215" s="36" t="str">
        <f ca="1">Demand!B224</f>
        <v xml:space="preserve"> </v>
      </c>
      <c r="AQ215" t="str">
        <f ca="1">IF(TEXT(Demand!D224,"MMM")&lt;&gt;TEXT(Demand!D223,"MMM"),TEXT(Demand!D224,"MMM"),"")</f>
        <v/>
      </c>
      <c r="AT215" s="5">
        <f t="shared" ca="1" si="56"/>
        <v>0</v>
      </c>
      <c r="BQ215">
        <f ca="1">IF($AN215="",OFFSET(Demand!$A$13,ROW(A212)-1,4+((QUOTIENT(COLUMN(BQ$2)-69,3))*5)+MOD(COLUMN(BQ$2),3),1,1),"")</f>
        <v>0</v>
      </c>
      <c r="BR215">
        <f ca="1">IF($AN215="",OFFSET(Demand!$A$13,ROW(B212)-1,4+((QUOTIENT(COLUMN(BR$2)-69,3))*5)+MOD(COLUMN(BR$2),3),1,1),"")</f>
        <v>0</v>
      </c>
      <c r="BS215">
        <f ca="1">IF($AN215="",OFFSET(Demand!$A$13,ROW(C212)-1,4+((QUOTIENT(COLUMN(BS$2)-69,3))*5)+MOD(COLUMN(BS$2),3),1,1),"")</f>
        <v>0</v>
      </c>
      <c r="BT215">
        <f ca="1">IF($AN215="",OFFSET(Demand!$A$13,ROW(D212)-1,4+((QUOTIENT(COLUMN(BT$2)-69,3))*5)+MOD(COLUMN(BT$2),3),1,1),"")</f>
        <v>0</v>
      </c>
      <c r="BU215">
        <f ca="1">IF($AN215="",OFFSET(Demand!$A$13,ROW(E212)-1,4+((QUOTIENT(COLUMN(BU$2)-69,3))*5)+MOD(COLUMN(BU$2),3),1,1),"")</f>
        <v>0</v>
      </c>
      <c r="BV215">
        <f ca="1">IF($AN215="",OFFSET(Demand!$A$13,ROW(F212)-1,4+((QUOTIENT(COLUMN(BV$2)-69,3))*5)+MOD(COLUMN(BV$2),3),1,1),"")</f>
        <v>0</v>
      </c>
      <c r="BW215">
        <f ca="1">IF($AN215="",OFFSET(Demand!$A$13,ROW(G212)-1,4+((QUOTIENT(COLUMN(BW$2)-69,3))*5)+MOD(COLUMN(BW$2),3),1,1),"")</f>
        <v>0</v>
      </c>
      <c r="BX215">
        <f ca="1">IF($AN215="",OFFSET(Demand!$A$13,ROW(H212)-1,4+((QUOTIENT(COLUMN(BX$2)-69,3))*5)+MOD(COLUMN(BX$2),3),1,1),"")</f>
        <v>0</v>
      </c>
      <c r="BY215">
        <f ca="1">IF($AN215="",OFFSET(Demand!$A$13,ROW(I212)-1,4+((QUOTIENT(COLUMN(BY$2)-69,3))*5)+MOD(COLUMN(BY$2),3),1,1),"")</f>
        <v>0</v>
      </c>
      <c r="BZ215">
        <f ca="1">IF($AN215="",OFFSET(Demand!$A$13,ROW(J212)-1,4+((QUOTIENT(COLUMN(BZ$2)-69,3))*5)+MOD(COLUMN(BZ$2),3),1,1),"")</f>
        <v>0</v>
      </c>
      <c r="CA215">
        <f ca="1">IF($AN215="",OFFSET(Demand!$A$13,ROW(K212)-1,4+((QUOTIENT(COLUMN(CA$2)-69,3))*5)+MOD(COLUMN(CA$2),3),1,1),"")</f>
        <v>0</v>
      </c>
      <c r="CB215">
        <f ca="1">IF($AN215="",OFFSET(Demand!$A$13,ROW(L212)-1,4+((QUOTIENT(COLUMN(CB$2)-69,3))*5)+MOD(COLUMN(CB$2),3),1,1),"")</f>
        <v>0</v>
      </c>
      <c r="CC215">
        <f ca="1">IF($AN215="",OFFSET(Demand!$A$13,ROW(M212)-1,4+((QUOTIENT(COLUMN(CC$2)-69,3))*5)+MOD(COLUMN(CC$2),3),1,1),"")</f>
        <v>0</v>
      </c>
      <c r="CD215">
        <f ca="1">IF($AN215="",OFFSET(Demand!$A$13,ROW(N212)-1,4+((QUOTIENT(COLUMN(CD$2)-69,3))*5)+MOD(COLUMN(CD$2),3),1,1),"")</f>
        <v>0</v>
      </c>
      <c r="CE215">
        <f ca="1">IF($AN215="",OFFSET(Demand!$A$13,ROW(O212)-1,4+((QUOTIENT(COLUMN(CE$2)-69,3))*5)+MOD(COLUMN(CE$2),3),1,1),"")</f>
        <v>0</v>
      </c>
      <c r="CF215">
        <f ca="1">IF($AN215="",OFFSET(Demand!$A$13,ROW(P212)-1,4+((QUOTIENT(COLUMN(CF$2)-69,3))*5)+MOD(COLUMN(CF$2),3),1,1),"")</f>
        <v>0</v>
      </c>
      <c r="CG215">
        <f ca="1">IF($AN215="",OFFSET(Demand!$A$13,ROW(Q212)-1,4+((QUOTIENT(COLUMN(CG$2)-69,3))*5)+MOD(COLUMN(CG$2),3),1,1),"")</f>
        <v>0</v>
      </c>
      <c r="CH215">
        <f ca="1">IF($AN215="",OFFSET(Demand!$A$13,ROW(R212)-1,4+((QUOTIENT(COLUMN(CH$2)-69,3))*5)+MOD(COLUMN(CH$2),3),1,1),"")</f>
        <v>0</v>
      </c>
      <c r="CI215">
        <f ca="1">IF($AN215="",OFFSET(Demand!$A$13,ROW(S212)-1,4+((QUOTIENT(COLUMN(CI$2)-69,3))*5)+MOD(COLUMN(CI$2),3),1,1),"")</f>
        <v>0</v>
      </c>
      <c r="CJ215">
        <f ca="1">IF($AN215="",OFFSET(Demand!$A$13,ROW(T212)-1,4+((QUOTIENT(COLUMN(CJ$2)-69,3))*5)+MOD(COLUMN(CJ$2),3),1,1),"")</f>
        <v>0</v>
      </c>
      <c r="CK215">
        <f ca="1">IF($AN215="",OFFSET(Demand!$A$13,ROW(U212)-1,4+((QUOTIENT(COLUMN(CK$2)-69,3))*5)+MOD(COLUMN(CK$2),3),1,1),"")</f>
        <v>0</v>
      </c>
      <c r="CL215">
        <f ca="1">IF($AN215="",OFFSET(Demand!$A$13,ROW(V212)-1,4+((QUOTIENT(COLUMN(CL$2)-69,3))*5)+MOD(COLUMN(CL$2),3),1,1),"")</f>
        <v>0</v>
      </c>
      <c r="CM215">
        <f ca="1">IF($AN215="",OFFSET(Demand!$A$13,ROW(W212)-1,4+((QUOTIENT(COLUMN(CM$2)-69,3))*5)+MOD(COLUMN(CM$2),3),1,1),"")</f>
        <v>0</v>
      </c>
      <c r="CN215">
        <f ca="1">IF($AN215="",OFFSET(Demand!$A$13,ROW(X212)-1,4+((QUOTIENT(COLUMN(CN$2)-69,3))*5)+MOD(COLUMN(CN$2),3),1,1),"")</f>
        <v>0</v>
      </c>
      <c r="CO215">
        <f ca="1">IF($AN215="",OFFSET(Demand!$A$13,ROW(Y212)-1,4+((QUOTIENT(COLUMN(CO$2)-69,3))*5)+MOD(COLUMN(CO$2),3),1,1),"")</f>
        <v>0</v>
      </c>
      <c r="CP215">
        <f ca="1">IF($AN215="",OFFSET(Demand!$A$13,ROW(Z212)-1,4+((QUOTIENT(COLUMN(CP$2)-69,3))*5)+MOD(COLUMN(CP$2),3),1,1),"")</f>
        <v>0</v>
      </c>
      <c r="CQ215">
        <f ca="1">IF($AN215="",OFFSET(Demand!$A$13,ROW(AA212)-1,4+((QUOTIENT(COLUMN(CQ$2)-69,3))*5)+MOD(COLUMN(CQ$2),3),1,1),"")</f>
        <v>0</v>
      </c>
      <c r="CR215">
        <f ca="1">IF($AN215="",OFFSET(Demand!$A$13,ROW(AB212)-1,4+((QUOTIENT(COLUMN(CR$2)-69,3))*5)+MOD(COLUMN(CR$2),3),1,1),"")</f>
        <v>0</v>
      </c>
      <c r="CS215">
        <f ca="1">IF($AN215="",OFFSET(Demand!$A$13,ROW(AC212)-1,4+((QUOTIENT(COLUMN(CS$2)-69,3))*5)+MOD(COLUMN(CS$2),3),1,1),"")</f>
        <v>0</v>
      </c>
      <c r="CT215">
        <f ca="1">IF($AN215="",OFFSET(Demand!$A$13,ROW(AD212)-1,4+((QUOTIENT(COLUMN(CT$2)-69,3))*5)+MOD(COLUMN(CT$2),3),1,1),"")</f>
        <v>0</v>
      </c>
      <c r="CW215" s="5">
        <f ca="1">SUM(OFFSET(Demand!$H$43,ROW(A212)-1,(COLUMN(A212)-1)*5,1,1))*N$2</f>
        <v>0</v>
      </c>
      <c r="CX215" s="5">
        <f ca="1">SUM(OFFSET(Demand!$H$43,ROW(B212)-1,(COLUMN(B212)-1)*5,1,1))*O$2</f>
        <v>0</v>
      </c>
      <c r="CY215" s="5">
        <f ca="1">SUM(OFFSET(Demand!$H$43,ROW(C212)-1,(COLUMN(C212)-1)*5,1,1))*P$2</f>
        <v>0</v>
      </c>
      <c r="CZ215" s="5">
        <f ca="1">SUM(OFFSET(Demand!$H$43,ROW(D212)-1,(COLUMN(D212)-1)*5,1,1))*Q$2</f>
        <v>0</v>
      </c>
      <c r="DA215" s="5">
        <f ca="1">SUM(OFFSET(Demand!$H$43,ROW(E212)-1,(COLUMN(E212)-1)*5,1,1))*R$2</f>
        <v>0</v>
      </c>
      <c r="DB215" s="5">
        <f ca="1">SUM(OFFSET(Demand!$H$43,ROW(F212)-1,(COLUMN(F212)-1)*5,1,1))*S$2</f>
        <v>0</v>
      </c>
      <c r="DC215" s="5">
        <f ca="1">SUM(OFFSET(Demand!$H$43,ROW(G212)-1,(COLUMN(G212)-1)*5,1,1))*T$2</f>
        <v>0</v>
      </c>
      <c r="DD215" s="5">
        <f ca="1">SUM(OFFSET(Demand!$H$43,ROW(H212)-1,(COLUMN(H212)-1)*5,1,1))*U$2</f>
        <v>0</v>
      </c>
      <c r="DE215" s="5">
        <f ca="1">SUM(OFFSET(Demand!$H$43,ROW(I212)-1,(COLUMN(I212)-1)*5,1,1))*V$2</f>
        <v>0</v>
      </c>
      <c r="DF215" s="5">
        <f ca="1">SUM(OFFSET(Demand!$H$43,ROW(J212)-1,(COLUMN(J212)-1)*5,1,1))*W$2</f>
        <v>0</v>
      </c>
      <c r="DG215" s="5">
        <f ca="1">IF(OR(AN215&lt;&gt;"",AND('Demand adjustments for Covid'!$F$9="Yes",'Demand adjustments for Covid'!$F$20="Yes")),"",SUM(CW215:DF215))</f>
        <v>0</v>
      </c>
    </row>
    <row r="216" spans="1:111" x14ac:dyDescent="0.25">
      <c r="A216" s="5">
        <f t="shared" ca="1" si="50"/>
        <v>1</v>
      </c>
      <c r="B216" s="5">
        <f ca="1">COUNTBLANK(OFFSET(Demand!$I225,0,(COLUMN(A213)-1)*5,1,1))</f>
        <v>1</v>
      </c>
      <c r="C216" s="5">
        <f ca="1">COUNTBLANK(OFFSET(Demand!$I225,0,(COLUMN(B213)-1)*5,1,1))</f>
        <v>1</v>
      </c>
      <c r="D216" s="5">
        <f ca="1">COUNTBLANK(OFFSET(Demand!$I225,0,(COLUMN(C213)-1)*5,1,1))</f>
        <v>1</v>
      </c>
      <c r="E216" s="5">
        <f ca="1">COUNTBLANK(OFFSET(Demand!$I225,0,(COLUMN(D213)-1)*5,1,1))</f>
        <v>1</v>
      </c>
      <c r="F216" s="5">
        <f ca="1">COUNTBLANK(OFFSET(Demand!$I225,0,(COLUMN(E213)-1)*5,1,1))</f>
        <v>1</v>
      </c>
      <c r="G216" s="5">
        <f ca="1">COUNTBLANK(OFFSET(Demand!$I225,0,(COLUMN(F213)-1)*5,1,1))</f>
        <v>1</v>
      </c>
      <c r="H216" s="5">
        <f ca="1">COUNTBLANK(OFFSET(Demand!$I225,0,(COLUMN(G213)-1)*5,1,1))</f>
        <v>1</v>
      </c>
      <c r="I216" s="5">
        <f ca="1">COUNTBLANK(OFFSET(Demand!$I225,0,(COLUMN(H213)-1)*5,1,1))</f>
        <v>1</v>
      </c>
      <c r="J216" s="5">
        <f ca="1">COUNTBLANK(OFFSET(Demand!$I225,0,(COLUMN(I213)-1)*5,1,1))</f>
        <v>1</v>
      </c>
      <c r="K216" s="5">
        <f ca="1">COUNTBLANK(OFFSET(Demand!$I225,0,(COLUMN(J213)-1)*5,1,1))</f>
        <v>1</v>
      </c>
      <c r="N216" s="5">
        <f ca="1">SUM(OFFSET(Demand!$E225,0,(COLUMN(A213)-1)*5,1,3))*N$2</f>
        <v>0</v>
      </c>
      <c r="O216" s="5">
        <f ca="1">SUM(OFFSET(Demand!$E225,0,(COLUMN(B213)-1)*5,1,3))*O$2</f>
        <v>0</v>
      </c>
      <c r="P216" s="5">
        <f ca="1">SUM(OFFSET(Demand!$E225,0,(COLUMN(C213)-1)*5,1,3))*P$2</f>
        <v>0</v>
      </c>
      <c r="Q216" s="5">
        <f ca="1">SUM(OFFSET(Demand!$E225,0,(COLUMN(D213)-1)*5,1,3))*Q$2</f>
        <v>0</v>
      </c>
      <c r="R216" s="5">
        <f ca="1">SUM(OFFSET(Demand!$E225,0,(COLUMN(E213)-1)*5,1,3))*R$2</f>
        <v>0</v>
      </c>
      <c r="S216" s="5">
        <f ca="1">SUM(OFFSET(Demand!$E225,0,(COLUMN(F213)-1)*5,1,3))*S$2</f>
        <v>0</v>
      </c>
      <c r="T216" s="5">
        <f ca="1">SUM(OFFSET(Demand!$E225,0,(COLUMN(G213)-1)*5,1,3))*T$2</f>
        <v>0</v>
      </c>
      <c r="U216" s="5">
        <f ca="1">SUM(OFFSET(Demand!$E225,0,(COLUMN(H213)-1)*5,1,3))*U$2</f>
        <v>0</v>
      </c>
      <c r="V216" s="5">
        <f ca="1">SUM(OFFSET(Demand!$E225,0,(COLUMN(I213)-1)*5,1,3))*V$2</f>
        <v>0</v>
      </c>
      <c r="W216" s="5">
        <f ca="1">SUM(OFFSET(Demand!$E225,0,(COLUMN(J213)-1)*5,1,3))*W$2</f>
        <v>0</v>
      </c>
      <c r="X216" s="5">
        <f t="shared" ca="1" si="51"/>
        <v>0</v>
      </c>
      <c r="Y216">
        <f t="shared" ca="1" si="52"/>
        <v>0</v>
      </c>
      <c r="Z216" s="5">
        <f ca="1">SUM(OFFSET(Demand!$H225,0,(COLUMN(A213)-1)*5,1,1))*N$2</f>
        <v>0</v>
      </c>
      <c r="AA216" s="5">
        <f ca="1">SUM(OFFSET(Demand!$H225,0,(COLUMN(B213)-1)*5,1,1))*O$2</f>
        <v>0</v>
      </c>
      <c r="AB216" s="5">
        <f ca="1">SUM(OFFSET(Demand!$H225,0,(COLUMN(C213)-1)*5,1,1))*P$2</f>
        <v>0</v>
      </c>
      <c r="AC216" s="5">
        <f ca="1">SUM(OFFSET(Demand!$H225,0,(COLUMN(D213)-1)*5,1,1))*Q$2</f>
        <v>0</v>
      </c>
      <c r="AD216" s="5">
        <f ca="1">SUM(OFFSET(Demand!$H225,0,(COLUMN(E213)-1)*5,1,1))*R$2</f>
        <v>0</v>
      </c>
      <c r="AE216" s="5">
        <f ca="1">SUM(OFFSET(Demand!$H225,0,(COLUMN(F213)-1)*5,1,1))*S$2</f>
        <v>0</v>
      </c>
      <c r="AF216" s="5">
        <f ca="1">SUM(OFFSET(Demand!$H225,0,(COLUMN(G213)-1)*5,1,1))*T$2</f>
        <v>0</v>
      </c>
      <c r="AG216" s="5">
        <f ca="1">SUM(OFFSET(Demand!$H225,0,(COLUMN(H213)-1)*5,1,1))*U$2</f>
        <v>0</v>
      </c>
      <c r="AH216" s="5">
        <f ca="1">SUM(OFFSET(Demand!$H225,0,(COLUMN(I213)-1)*5,1,1))*V$2</f>
        <v>0</v>
      </c>
      <c r="AI216" s="5">
        <f ca="1">SUM(OFFSET(Demand!$H225,0,(COLUMN(J213)-1)*5,1,1))*W$2</f>
        <v>0</v>
      </c>
      <c r="AJ216" s="5">
        <f t="shared" ca="1" si="53"/>
        <v>0</v>
      </c>
      <c r="AL216" s="5">
        <f t="shared" ca="1" si="54"/>
        <v>0</v>
      </c>
      <c r="AM216" s="5">
        <f t="shared" ca="1" si="55"/>
        <v>0</v>
      </c>
      <c r="AN216" s="5" t="str">
        <f>IF(Demand!BE225="Yes","Yes","")</f>
        <v/>
      </c>
      <c r="AP216" s="36" t="str">
        <f ca="1">Demand!B225</f>
        <v xml:space="preserve"> </v>
      </c>
      <c r="AQ216" t="str">
        <f ca="1">IF(TEXT(Demand!D225,"MMM")&lt;&gt;TEXT(Demand!D224,"MMM"),TEXT(Demand!D225,"MMM"),"")</f>
        <v/>
      </c>
      <c r="AT216" s="5">
        <f t="shared" ca="1" si="56"/>
        <v>0</v>
      </c>
      <c r="BQ216">
        <f ca="1">IF($AN216="",OFFSET(Demand!$A$13,ROW(A213)-1,4+((QUOTIENT(COLUMN(BQ$2)-69,3))*5)+MOD(COLUMN(BQ$2),3),1,1),"")</f>
        <v>0</v>
      </c>
      <c r="BR216">
        <f ca="1">IF($AN216="",OFFSET(Demand!$A$13,ROW(B213)-1,4+((QUOTIENT(COLUMN(BR$2)-69,3))*5)+MOD(COLUMN(BR$2),3),1,1),"")</f>
        <v>0</v>
      </c>
      <c r="BS216">
        <f ca="1">IF($AN216="",OFFSET(Demand!$A$13,ROW(C213)-1,4+((QUOTIENT(COLUMN(BS$2)-69,3))*5)+MOD(COLUMN(BS$2),3),1,1),"")</f>
        <v>0</v>
      </c>
      <c r="BT216">
        <f ca="1">IF($AN216="",OFFSET(Demand!$A$13,ROW(D213)-1,4+((QUOTIENT(COLUMN(BT$2)-69,3))*5)+MOD(COLUMN(BT$2),3),1,1),"")</f>
        <v>0</v>
      </c>
      <c r="BU216">
        <f ca="1">IF($AN216="",OFFSET(Demand!$A$13,ROW(E213)-1,4+((QUOTIENT(COLUMN(BU$2)-69,3))*5)+MOD(COLUMN(BU$2),3),1,1),"")</f>
        <v>0</v>
      </c>
      <c r="BV216">
        <f ca="1">IF($AN216="",OFFSET(Demand!$A$13,ROW(F213)-1,4+((QUOTIENT(COLUMN(BV$2)-69,3))*5)+MOD(COLUMN(BV$2),3),1,1),"")</f>
        <v>0</v>
      </c>
      <c r="BW216">
        <f ca="1">IF($AN216="",OFFSET(Demand!$A$13,ROW(G213)-1,4+((QUOTIENT(COLUMN(BW$2)-69,3))*5)+MOD(COLUMN(BW$2),3),1,1),"")</f>
        <v>0</v>
      </c>
      <c r="BX216">
        <f ca="1">IF($AN216="",OFFSET(Demand!$A$13,ROW(H213)-1,4+((QUOTIENT(COLUMN(BX$2)-69,3))*5)+MOD(COLUMN(BX$2),3),1,1),"")</f>
        <v>0</v>
      </c>
      <c r="BY216">
        <f ca="1">IF($AN216="",OFFSET(Demand!$A$13,ROW(I213)-1,4+((QUOTIENT(COLUMN(BY$2)-69,3))*5)+MOD(COLUMN(BY$2),3),1,1),"")</f>
        <v>0</v>
      </c>
      <c r="BZ216">
        <f ca="1">IF($AN216="",OFFSET(Demand!$A$13,ROW(J213)-1,4+((QUOTIENT(COLUMN(BZ$2)-69,3))*5)+MOD(COLUMN(BZ$2),3),1,1),"")</f>
        <v>0</v>
      </c>
      <c r="CA216">
        <f ca="1">IF($AN216="",OFFSET(Demand!$A$13,ROW(K213)-1,4+((QUOTIENT(COLUMN(CA$2)-69,3))*5)+MOD(COLUMN(CA$2),3),1,1),"")</f>
        <v>0</v>
      </c>
      <c r="CB216">
        <f ca="1">IF($AN216="",OFFSET(Demand!$A$13,ROW(L213)-1,4+((QUOTIENT(COLUMN(CB$2)-69,3))*5)+MOD(COLUMN(CB$2),3),1,1),"")</f>
        <v>0</v>
      </c>
      <c r="CC216">
        <f ca="1">IF($AN216="",OFFSET(Demand!$A$13,ROW(M213)-1,4+((QUOTIENT(COLUMN(CC$2)-69,3))*5)+MOD(COLUMN(CC$2),3),1,1),"")</f>
        <v>0</v>
      </c>
      <c r="CD216">
        <f ca="1">IF($AN216="",OFFSET(Demand!$A$13,ROW(N213)-1,4+((QUOTIENT(COLUMN(CD$2)-69,3))*5)+MOD(COLUMN(CD$2),3),1,1),"")</f>
        <v>0</v>
      </c>
      <c r="CE216">
        <f ca="1">IF($AN216="",OFFSET(Demand!$A$13,ROW(O213)-1,4+((QUOTIENT(COLUMN(CE$2)-69,3))*5)+MOD(COLUMN(CE$2),3),1,1),"")</f>
        <v>0</v>
      </c>
      <c r="CF216">
        <f ca="1">IF($AN216="",OFFSET(Demand!$A$13,ROW(P213)-1,4+((QUOTIENT(COLUMN(CF$2)-69,3))*5)+MOD(COLUMN(CF$2),3),1,1),"")</f>
        <v>0</v>
      </c>
      <c r="CG216">
        <f ca="1">IF($AN216="",OFFSET(Demand!$A$13,ROW(Q213)-1,4+((QUOTIENT(COLUMN(CG$2)-69,3))*5)+MOD(COLUMN(CG$2),3),1,1),"")</f>
        <v>0</v>
      </c>
      <c r="CH216">
        <f ca="1">IF($AN216="",OFFSET(Demand!$A$13,ROW(R213)-1,4+((QUOTIENT(COLUMN(CH$2)-69,3))*5)+MOD(COLUMN(CH$2),3),1,1),"")</f>
        <v>0</v>
      </c>
      <c r="CI216">
        <f ca="1">IF($AN216="",OFFSET(Demand!$A$13,ROW(S213)-1,4+((QUOTIENT(COLUMN(CI$2)-69,3))*5)+MOD(COLUMN(CI$2),3),1,1),"")</f>
        <v>0</v>
      </c>
      <c r="CJ216">
        <f ca="1">IF($AN216="",OFFSET(Demand!$A$13,ROW(T213)-1,4+((QUOTIENT(COLUMN(CJ$2)-69,3))*5)+MOD(COLUMN(CJ$2),3),1,1),"")</f>
        <v>0</v>
      </c>
      <c r="CK216">
        <f ca="1">IF($AN216="",OFFSET(Demand!$A$13,ROW(U213)-1,4+((QUOTIENT(COLUMN(CK$2)-69,3))*5)+MOD(COLUMN(CK$2),3),1,1),"")</f>
        <v>0</v>
      </c>
      <c r="CL216">
        <f ca="1">IF($AN216="",OFFSET(Demand!$A$13,ROW(V213)-1,4+((QUOTIENT(COLUMN(CL$2)-69,3))*5)+MOD(COLUMN(CL$2),3),1,1),"")</f>
        <v>0</v>
      </c>
      <c r="CM216">
        <f ca="1">IF($AN216="",OFFSET(Demand!$A$13,ROW(W213)-1,4+((QUOTIENT(COLUMN(CM$2)-69,3))*5)+MOD(COLUMN(CM$2),3),1,1),"")</f>
        <v>0</v>
      </c>
      <c r="CN216">
        <f ca="1">IF($AN216="",OFFSET(Demand!$A$13,ROW(X213)-1,4+((QUOTIENT(COLUMN(CN$2)-69,3))*5)+MOD(COLUMN(CN$2),3),1,1),"")</f>
        <v>0</v>
      </c>
      <c r="CO216">
        <f ca="1">IF($AN216="",OFFSET(Demand!$A$13,ROW(Y213)-1,4+((QUOTIENT(COLUMN(CO$2)-69,3))*5)+MOD(COLUMN(CO$2),3),1,1),"")</f>
        <v>0</v>
      </c>
      <c r="CP216">
        <f ca="1">IF($AN216="",OFFSET(Demand!$A$13,ROW(Z213)-1,4+((QUOTIENT(COLUMN(CP$2)-69,3))*5)+MOD(COLUMN(CP$2),3),1,1),"")</f>
        <v>0</v>
      </c>
      <c r="CQ216">
        <f ca="1">IF($AN216="",OFFSET(Demand!$A$13,ROW(AA213)-1,4+((QUOTIENT(COLUMN(CQ$2)-69,3))*5)+MOD(COLUMN(CQ$2),3),1,1),"")</f>
        <v>0</v>
      </c>
      <c r="CR216">
        <f ca="1">IF($AN216="",OFFSET(Demand!$A$13,ROW(AB213)-1,4+((QUOTIENT(COLUMN(CR$2)-69,3))*5)+MOD(COLUMN(CR$2),3),1,1),"")</f>
        <v>0</v>
      </c>
      <c r="CS216">
        <f ca="1">IF($AN216="",OFFSET(Demand!$A$13,ROW(AC213)-1,4+((QUOTIENT(COLUMN(CS$2)-69,3))*5)+MOD(COLUMN(CS$2),3),1,1),"")</f>
        <v>0</v>
      </c>
      <c r="CT216">
        <f ca="1">IF($AN216="",OFFSET(Demand!$A$13,ROW(AD213)-1,4+((QUOTIENT(COLUMN(CT$2)-69,3))*5)+MOD(COLUMN(CT$2),3),1,1),"")</f>
        <v>0</v>
      </c>
      <c r="CW216" s="5">
        <f ca="1">SUM(OFFSET(Demand!$H$43,ROW(A213)-1,(COLUMN(A213)-1)*5,1,1))*N$2</f>
        <v>0</v>
      </c>
      <c r="CX216" s="5">
        <f ca="1">SUM(OFFSET(Demand!$H$43,ROW(B213)-1,(COLUMN(B213)-1)*5,1,1))*O$2</f>
        <v>0</v>
      </c>
      <c r="CY216" s="5">
        <f ca="1">SUM(OFFSET(Demand!$H$43,ROW(C213)-1,(COLUMN(C213)-1)*5,1,1))*P$2</f>
        <v>0</v>
      </c>
      <c r="CZ216" s="5">
        <f ca="1">SUM(OFFSET(Demand!$H$43,ROW(D213)-1,(COLUMN(D213)-1)*5,1,1))*Q$2</f>
        <v>0</v>
      </c>
      <c r="DA216" s="5">
        <f ca="1">SUM(OFFSET(Demand!$H$43,ROW(E213)-1,(COLUMN(E213)-1)*5,1,1))*R$2</f>
        <v>0</v>
      </c>
      <c r="DB216" s="5">
        <f ca="1">SUM(OFFSET(Demand!$H$43,ROW(F213)-1,(COLUMN(F213)-1)*5,1,1))*S$2</f>
        <v>0</v>
      </c>
      <c r="DC216" s="5">
        <f ca="1">SUM(OFFSET(Demand!$H$43,ROW(G213)-1,(COLUMN(G213)-1)*5,1,1))*T$2</f>
        <v>0</v>
      </c>
      <c r="DD216" s="5">
        <f ca="1">SUM(OFFSET(Demand!$H$43,ROW(H213)-1,(COLUMN(H213)-1)*5,1,1))*U$2</f>
        <v>0</v>
      </c>
      <c r="DE216" s="5">
        <f ca="1">SUM(OFFSET(Demand!$H$43,ROW(I213)-1,(COLUMN(I213)-1)*5,1,1))*V$2</f>
        <v>0</v>
      </c>
      <c r="DF216" s="5">
        <f ca="1">SUM(OFFSET(Demand!$H$43,ROW(J213)-1,(COLUMN(J213)-1)*5,1,1))*W$2</f>
        <v>0</v>
      </c>
      <c r="DG216" s="5">
        <f ca="1">IF(OR(AN216&lt;&gt;"",AND('Demand adjustments for Covid'!$F$9="Yes",'Demand adjustments for Covid'!$F$20="Yes")),"",SUM(CW216:DF216))</f>
        <v>0</v>
      </c>
    </row>
    <row r="217" spans="1:111" x14ac:dyDescent="0.25">
      <c r="A217" s="5">
        <f t="shared" ca="1" si="50"/>
        <v>1</v>
      </c>
      <c r="B217" s="5">
        <f ca="1">COUNTBLANK(OFFSET(Demand!$I226,0,(COLUMN(A214)-1)*5,1,1))</f>
        <v>1</v>
      </c>
      <c r="C217" s="5">
        <f ca="1">COUNTBLANK(OFFSET(Demand!$I226,0,(COLUMN(B214)-1)*5,1,1))</f>
        <v>1</v>
      </c>
      <c r="D217" s="5">
        <f ca="1">COUNTBLANK(OFFSET(Demand!$I226,0,(COLUMN(C214)-1)*5,1,1))</f>
        <v>1</v>
      </c>
      <c r="E217" s="5">
        <f ca="1">COUNTBLANK(OFFSET(Demand!$I226,0,(COLUMN(D214)-1)*5,1,1))</f>
        <v>1</v>
      </c>
      <c r="F217" s="5">
        <f ca="1">COUNTBLANK(OFFSET(Demand!$I226,0,(COLUMN(E214)-1)*5,1,1))</f>
        <v>1</v>
      </c>
      <c r="G217" s="5">
        <f ca="1">COUNTBLANK(OFFSET(Demand!$I226,0,(COLUMN(F214)-1)*5,1,1))</f>
        <v>1</v>
      </c>
      <c r="H217" s="5">
        <f ca="1">COUNTBLANK(OFFSET(Demand!$I226,0,(COLUMN(G214)-1)*5,1,1))</f>
        <v>1</v>
      </c>
      <c r="I217" s="5">
        <f ca="1">COUNTBLANK(OFFSET(Demand!$I226,0,(COLUMN(H214)-1)*5,1,1))</f>
        <v>1</v>
      </c>
      <c r="J217" s="5">
        <f ca="1">COUNTBLANK(OFFSET(Demand!$I226,0,(COLUMN(I214)-1)*5,1,1))</f>
        <v>1</v>
      </c>
      <c r="K217" s="5">
        <f ca="1">COUNTBLANK(OFFSET(Demand!$I226,0,(COLUMN(J214)-1)*5,1,1))</f>
        <v>1</v>
      </c>
      <c r="N217" s="5">
        <f ca="1">SUM(OFFSET(Demand!$E226,0,(COLUMN(A214)-1)*5,1,3))*N$2</f>
        <v>0</v>
      </c>
      <c r="O217" s="5">
        <f ca="1">SUM(OFFSET(Demand!$E226,0,(COLUMN(B214)-1)*5,1,3))*O$2</f>
        <v>0</v>
      </c>
      <c r="P217" s="5">
        <f ca="1">SUM(OFFSET(Demand!$E226,0,(COLUMN(C214)-1)*5,1,3))*P$2</f>
        <v>0</v>
      </c>
      <c r="Q217" s="5">
        <f ca="1">SUM(OFFSET(Demand!$E226,0,(COLUMN(D214)-1)*5,1,3))*Q$2</f>
        <v>0</v>
      </c>
      <c r="R217" s="5">
        <f ca="1">SUM(OFFSET(Demand!$E226,0,(COLUMN(E214)-1)*5,1,3))*R$2</f>
        <v>0</v>
      </c>
      <c r="S217" s="5">
        <f ca="1">SUM(OFFSET(Demand!$E226,0,(COLUMN(F214)-1)*5,1,3))*S$2</f>
        <v>0</v>
      </c>
      <c r="T217" s="5">
        <f ca="1">SUM(OFFSET(Demand!$E226,0,(COLUMN(G214)-1)*5,1,3))*T$2</f>
        <v>0</v>
      </c>
      <c r="U217" s="5">
        <f ca="1">SUM(OFFSET(Demand!$E226,0,(COLUMN(H214)-1)*5,1,3))*U$2</f>
        <v>0</v>
      </c>
      <c r="V217" s="5">
        <f ca="1">SUM(OFFSET(Demand!$E226,0,(COLUMN(I214)-1)*5,1,3))*V$2</f>
        <v>0</v>
      </c>
      <c r="W217" s="5">
        <f ca="1">SUM(OFFSET(Demand!$E226,0,(COLUMN(J214)-1)*5,1,3))*W$2</f>
        <v>0</v>
      </c>
      <c r="X217" s="5">
        <f t="shared" ca="1" si="51"/>
        <v>0</v>
      </c>
      <c r="Y217">
        <f t="shared" ca="1" si="52"/>
        <v>0</v>
      </c>
      <c r="Z217" s="5">
        <f ca="1">SUM(OFFSET(Demand!$H226,0,(COLUMN(A214)-1)*5,1,1))*N$2</f>
        <v>0</v>
      </c>
      <c r="AA217" s="5">
        <f ca="1">SUM(OFFSET(Demand!$H226,0,(COLUMN(B214)-1)*5,1,1))*O$2</f>
        <v>0</v>
      </c>
      <c r="AB217" s="5">
        <f ca="1">SUM(OFFSET(Demand!$H226,0,(COLUMN(C214)-1)*5,1,1))*P$2</f>
        <v>0</v>
      </c>
      <c r="AC217" s="5">
        <f ca="1">SUM(OFFSET(Demand!$H226,0,(COLUMN(D214)-1)*5,1,1))*Q$2</f>
        <v>0</v>
      </c>
      <c r="AD217" s="5">
        <f ca="1">SUM(OFFSET(Demand!$H226,0,(COLUMN(E214)-1)*5,1,1))*R$2</f>
        <v>0</v>
      </c>
      <c r="AE217" s="5">
        <f ca="1">SUM(OFFSET(Demand!$H226,0,(COLUMN(F214)-1)*5,1,1))*S$2</f>
        <v>0</v>
      </c>
      <c r="AF217" s="5">
        <f ca="1">SUM(OFFSET(Demand!$H226,0,(COLUMN(G214)-1)*5,1,1))*T$2</f>
        <v>0</v>
      </c>
      <c r="AG217" s="5">
        <f ca="1">SUM(OFFSET(Demand!$H226,0,(COLUMN(H214)-1)*5,1,1))*U$2</f>
        <v>0</v>
      </c>
      <c r="AH217" s="5">
        <f ca="1">SUM(OFFSET(Demand!$H226,0,(COLUMN(I214)-1)*5,1,1))*V$2</f>
        <v>0</v>
      </c>
      <c r="AI217" s="5">
        <f ca="1">SUM(OFFSET(Demand!$H226,0,(COLUMN(J214)-1)*5,1,1))*W$2</f>
        <v>0</v>
      </c>
      <c r="AJ217" s="5">
        <f t="shared" ca="1" si="53"/>
        <v>0</v>
      </c>
      <c r="AL217" s="5">
        <f t="shared" ca="1" si="54"/>
        <v>0</v>
      </c>
      <c r="AM217" s="5">
        <f t="shared" ca="1" si="55"/>
        <v>0</v>
      </c>
      <c r="AN217" s="5" t="str">
        <f>IF(Demand!BE226="Yes","Yes","")</f>
        <v/>
      </c>
      <c r="AP217" s="36" t="str">
        <f ca="1">Demand!B226</f>
        <v xml:space="preserve"> </v>
      </c>
      <c r="AQ217" t="str">
        <f ca="1">IF(TEXT(Demand!D226,"MMM")&lt;&gt;TEXT(Demand!D225,"MMM"),TEXT(Demand!D226,"MMM"),"")</f>
        <v/>
      </c>
      <c r="AT217" s="5">
        <f t="shared" ca="1" si="56"/>
        <v>0</v>
      </c>
      <c r="BQ217">
        <f ca="1">IF($AN217="",OFFSET(Demand!$A$13,ROW(A214)-1,4+((QUOTIENT(COLUMN(BQ$2)-69,3))*5)+MOD(COLUMN(BQ$2),3),1,1),"")</f>
        <v>0</v>
      </c>
      <c r="BR217">
        <f ca="1">IF($AN217="",OFFSET(Demand!$A$13,ROW(B214)-1,4+((QUOTIENT(COLUMN(BR$2)-69,3))*5)+MOD(COLUMN(BR$2),3),1,1),"")</f>
        <v>0</v>
      </c>
      <c r="BS217">
        <f ca="1">IF($AN217="",OFFSET(Demand!$A$13,ROW(C214)-1,4+((QUOTIENT(COLUMN(BS$2)-69,3))*5)+MOD(COLUMN(BS$2),3),1,1),"")</f>
        <v>0</v>
      </c>
      <c r="BT217">
        <f ca="1">IF($AN217="",OFFSET(Demand!$A$13,ROW(D214)-1,4+((QUOTIENT(COLUMN(BT$2)-69,3))*5)+MOD(COLUMN(BT$2),3),1,1),"")</f>
        <v>0</v>
      </c>
      <c r="BU217">
        <f ca="1">IF($AN217="",OFFSET(Demand!$A$13,ROW(E214)-1,4+((QUOTIENT(COLUMN(BU$2)-69,3))*5)+MOD(COLUMN(BU$2),3),1,1),"")</f>
        <v>0</v>
      </c>
      <c r="BV217">
        <f ca="1">IF($AN217="",OFFSET(Demand!$A$13,ROW(F214)-1,4+((QUOTIENT(COLUMN(BV$2)-69,3))*5)+MOD(COLUMN(BV$2),3),1,1),"")</f>
        <v>0</v>
      </c>
      <c r="BW217">
        <f ca="1">IF($AN217="",OFFSET(Demand!$A$13,ROW(G214)-1,4+((QUOTIENT(COLUMN(BW$2)-69,3))*5)+MOD(COLUMN(BW$2),3),1,1),"")</f>
        <v>0</v>
      </c>
      <c r="BX217">
        <f ca="1">IF($AN217="",OFFSET(Demand!$A$13,ROW(H214)-1,4+((QUOTIENT(COLUMN(BX$2)-69,3))*5)+MOD(COLUMN(BX$2),3),1,1),"")</f>
        <v>0</v>
      </c>
      <c r="BY217">
        <f ca="1">IF($AN217="",OFFSET(Demand!$A$13,ROW(I214)-1,4+((QUOTIENT(COLUMN(BY$2)-69,3))*5)+MOD(COLUMN(BY$2),3),1,1),"")</f>
        <v>0</v>
      </c>
      <c r="BZ217">
        <f ca="1">IF($AN217="",OFFSET(Demand!$A$13,ROW(J214)-1,4+((QUOTIENT(COLUMN(BZ$2)-69,3))*5)+MOD(COLUMN(BZ$2),3),1,1),"")</f>
        <v>0</v>
      </c>
      <c r="CA217">
        <f ca="1">IF($AN217="",OFFSET(Demand!$A$13,ROW(K214)-1,4+((QUOTIENT(COLUMN(CA$2)-69,3))*5)+MOD(COLUMN(CA$2),3),1,1),"")</f>
        <v>0</v>
      </c>
      <c r="CB217">
        <f ca="1">IF($AN217="",OFFSET(Demand!$A$13,ROW(L214)-1,4+((QUOTIENT(COLUMN(CB$2)-69,3))*5)+MOD(COLUMN(CB$2),3),1,1),"")</f>
        <v>0</v>
      </c>
      <c r="CC217">
        <f ca="1">IF($AN217="",OFFSET(Demand!$A$13,ROW(M214)-1,4+((QUOTIENT(COLUMN(CC$2)-69,3))*5)+MOD(COLUMN(CC$2),3),1,1),"")</f>
        <v>0</v>
      </c>
      <c r="CD217">
        <f ca="1">IF($AN217="",OFFSET(Demand!$A$13,ROW(N214)-1,4+((QUOTIENT(COLUMN(CD$2)-69,3))*5)+MOD(COLUMN(CD$2),3),1,1),"")</f>
        <v>0</v>
      </c>
      <c r="CE217">
        <f ca="1">IF($AN217="",OFFSET(Demand!$A$13,ROW(O214)-1,4+((QUOTIENT(COLUMN(CE$2)-69,3))*5)+MOD(COLUMN(CE$2),3),1,1),"")</f>
        <v>0</v>
      </c>
      <c r="CF217">
        <f ca="1">IF($AN217="",OFFSET(Demand!$A$13,ROW(P214)-1,4+((QUOTIENT(COLUMN(CF$2)-69,3))*5)+MOD(COLUMN(CF$2),3),1,1),"")</f>
        <v>0</v>
      </c>
      <c r="CG217">
        <f ca="1">IF($AN217="",OFFSET(Demand!$A$13,ROW(Q214)-1,4+((QUOTIENT(COLUMN(CG$2)-69,3))*5)+MOD(COLUMN(CG$2),3),1,1),"")</f>
        <v>0</v>
      </c>
      <c r="CH217">
        <f ca="1">IF($AN217="",OFFSET(Demand!$A$13,ROW(R214)-1,4+((QUOTIENT(COLUMN(CH$2)-69,3))*5)+MOD(COLUMN(CH$2),3),1,1),"")</f>
        <v>0</v>
      </c>
      <c r="CI217">
        <f ca="1">IF($AN217="",OFFSET(Demand!$A$13,ROW(S214)-1,4+((QUOTIENT(COLUMN(CI$2)-69,3))*5)+MOD(COLUMN(CI$2),3),1,1),"")</f>
        <v>0</v>
      </c>
      <c r="CJ217">
        <f ca="1">IF($AN217="",OFFSET(Demand!$A$13,ROW(T214)-1,4+((QUOTIENT(COLUMN(CJ$2)-69,3))*5)+MOD(COLUMN(CJ$2),3),1,1),"")</f>
        <v>0</v>
      </c>
      <c r="CK217">
        <f ca="1">IF($AN217="",OFFSET(Demand!$A$13,ROW(U214)-1,4+((QUOTIENT(COLUMN(CK$2)-69,3))*5)+MOD(COLUMN(CK$2),3),1,1),"")</f>
        <v>0</v>
      </c>
      <c r="CL217">
        <f ca="1">IF($AN217="",OFFSET(Demand!$A$13,ROW(V214)-1,4+((QUOTIENT(COLUMN(CL$2)-69,3))*5)+MOD(COLUMN(CL$2),3),1,1),"")</f>
        <v>0</v>
      </c>
      <c r="CM217">
        <f ca="1">IF($AN217="",OFFSET(Demand!$A$13,ROW(W214)-1,4+((QUOTIENT(COLUMN(CM$2)-69,3))*5)+MOD(COLUMN(CM$2),3),1,1),"")</f>
        <v>0</v>
      </c>
      <c r="CN217">
        <f ca="1">IF($AN217="",OFFSET(Demand!$A$13,ROW(X214)-1,4+((QUOTIENT(COLUMN(CN$2)-69,3))*5)+MOD(COLUMN(CN$2),3),1,1),"")</f>
        <v>0</v>
      </c>
      <c r="CO217">
        <f ca="1">IF($AN217="",OFFSET(Demand!$A$13,ROW(Y214)-1,4+((QUOTIENT(COLUMN(CO$2)-69,3))*5)+MOD(COLUMN(CO$2),3),1,1),"")</f>
        <v>0</v>
      </c>
      <c r="CP217">
        <f ca="1">IF($AN217="",OFFSET(Demand!$A$13,ROW(Z214)-1,4+((QUOTIENT(COLUMN(CP$2)-69,3))*5)+MOD(COLUMN(CP$2),3),1,1),"")</f>
        <v>0</v>
      </c>
      <c r="CQ217">
        <f ca="1">IF($AN217="",OFFSET(Demand!$A$13,ROW(AA214)-1,4+((QUOTIENT(COLUMN(CQ$2)-69,3))*5)+MOD(COLUMN(CQ$2),3),1,1),"")</f>
        <v>0</v>
      </c>
      <c r="CR217">
        <f ca="1">IF($AN217="",OFFSET(Demand!$A$13,ROW(AB214)-1,4+((QUOTIENT(COLUMN(CR$2)-69,3))*5)+MOD(COLUMN(CR$2),3),1,1),"")</f>
        <v>0</v>
      </c>
      <c r="CS217">
        <f ca="1">IF($AN217="",OFFSET(Demand!$A$13,ROW(AC214)-1,4+((QUOTIENT(COLUMN(CS$2)-69,3))*5)+MOD(COLUMN(CS$2),3),1,1),"")</f>
        <v>0</v>
      </c>
      <c r="CT217">
        <f ca="1">IF($AN217="",OFFSET(Demand!$A$13,ROW(AD214)-1,4+((QUOTIENT(COLUMN(CT$2)-69,3))*5)+MOD(COLUMN(CT$2),3),1,1),"")</f>
        <v>0</v>
      </c>
      <c r="CW217" s="5">
        <f ca="1">SUM(OFFSET(Demand!$H$43,ROW(A214)-1,(COLUMN(A214)-1)*5,1,1))*N$2</f>
        <v>0</v>
      </c>
      <c r="CX217" s="5">
        <f ca="1">SUM(OFFSET(Demand!$H$43,ROW(B214)-1,(COLUMN(B214)-1)*5,1,1))*O$2</f>
        <v>0</v>
      </c>
      <c r="CY217" s="5">
        <f ca="1">SUM(OFFSET(Demand!$H$43,ROW(C214)-1,(COLUMN(C214)-1)*5,1,1))*P$2</f>
        <v>0</v>
      </c>
      <c r="CZ217" s="5">
        <f ca="1">SUM(OFFSET(Demand!$H$43,ROW(D214)-1,(COLUMN(D214)-1)*5,1,1))*Q$2</f>
        <v>0</v>
      </c>
      <c r="DA217" s="5">
        <f ca="1">SUM(OFFSET(Demand!$H$43,ROW(E214)-1,(COLUMN(E214)-1)*5,1,1))*R$2</f>
        <v>0</v>
      </c>
      <c r="DB217" s="5">
        <f ca="1">SUM(OFFSET(Demand!$H$43,ROW(F214)-1,(COLUMN(F214)-1)*5,1,1))*S$2</f>
        <v>0</v>
      </c>
      <c r="DC217" s="5">
        <f ca="1">SUM(OFFSET(Demand!$H$43,ROW(G214)-1,(COLUMN(G214)-1)*5,1,1))*T$2</f>
        <v>0</v>
      </c>
      <c r="DD217" s="5">
        <f ca="1">SUM(OFFSET(Demand!$H$43,ROW(H214)-1,(COLUMN(H214)-1)*5,1,1))*U$2</f>
        <v>0</v>
      </c>
      <c r="DE217" s="5">
        <f ca="1">SUM(OFFSET(Demand!$H$43,ROW(I214)-1,(COLUMN(I214)-1)*5,1,1))*V$2</f>
        <v>0</v>
      </c>
      <c r="DF217" s="5">
        <f ca="1">SUM(OFFSET(Demand!$H$43,ROW(J214)-1,(COLUMN(J214)-1)*5,1,1))*W$2</f>
        <v>0</v>
      </c>
      <c r="DG217" s="5">
        <f ca="1">IF(OR(AN217&lt;&gt;"",AND('Demand adjustments for Covid'!$F$9="Yes",'Demand adjustments for Covid'!$F$20="Yes")),"",SUM(CW217:DF217))</f>
        <v>0</v>
      </c>
    </row>
    <row r="218" spans="1:111" x14ac:dyDescent="0.25">
      <c r="A218" s="5">
        <f t="shared" ca="1" si="50"/>
        <v>1</v>
      </c>
      <c r="B218" s="5">
        <f ca="1">COUNTBLANK(OFFSET(Demand!$I227,0,(COLUMN(A215)-1)*5,1,1))</f>
        <v>1</v>
      </c>
      <c r="C218" s="5">
        <f ca="1">COUNTBLANK(OFFSET(Demand!$I227,0,(COLUMN(B215)-1)*5,1,1))</f>
        <v>1</v>
      </c>
      <c r="D218" s="5">
        <f ca="1">COUNTBLANK(OFFSET(Demand!$I227,0,(COLUMN(C215)-1)*5,1,1))</f>
        <v>1</v>
      </c>
      <c r="E218" s="5">
        <f ca="1">COUNTBLANK(OFFSET(Demand!$I227,0,(COLUMN(D215)-1)*5,1,1))</f>
        <v>1</v>
      </c>
      <c r="F218" s="5">
        <f ca="1">COUNTBLANK(OFFSET(Demand!$I227,0,(COLUMN(E215)-1)*5,1,1))</f>
        <v>1</v>
      </c>
      <c r="G218" s="5">
        <f ca="1">COUNTBLANK(OFFSET(Demand!$I227,0,(COLUMN(F215)-1)*5,1,1))</f>
        <v>1</v>
      </c>
      <c r="H218" s="5">
        <f ca="1">COUNTBLANK(OFFSET(Demand!$I227,0,(COLUMN(G215)-1)*5,1,1))</f>
        <v>1</v>
      </c>
      <c r="I218" s="5">
        <f ca="1">COUNTBLANK(OFFSET(Demand!$I227,0,(COLUMN(H215)-1)*5,1,1))</f>
        <v>1</v>
      </c>
      <c r="J218" s="5">
        <f ca="1">COUNTBLANK(OFFSET(Demand!$I227,0,(COLUMN(I215)-1)*5,1,1))</f>
        <v>1</v>
      </c>
      <c r="K218" s="5">
        <f ca="1">COUNTBLANK(OFFSET(Demand!$I227,0,(COLUMN(J215)-1)*5,1,1))</f>
        <v>1</v>
      </c>
      <c r="N218" s="5">
        <f ca="1">SUM(OFFSET(Demand!$E227,0,(COLUMN(A215)-1)*5,1,3))*N$2</f>
        <v>0</v>
      </c>
      <c r="O218" s="5">
        <f ca="1">SUM(OFFSET(Demand!$E227,0,(COLUMN(B215)-1)*5,1,3))*O$2</f>
        <v>0</v>
      </c>
      <c r="P218" s="5">
        <f ca="1">SUM(OFFSET(Demand!$E227,0,(COLUMN(C215)-1)*5,1,3))*P$2</f>
        <v>0</v>
      </c>
      <c r="Q218" s="5">
        <f ca="1">SUM(OFFSET(Demand!$E227,0,(COLUMN(D215)-1)*5,1,3))*Q$2</f>
        <v>0</v>
      </c>
      <c r="R218" s="5">
        <f ca="1">SUM(OFFSET(Demand!$E227,0,(COLUMN(E215)-1)*5,1,3))*R$2</f>
        <v>0</v>
      </c>
      <c r="S218" s="5">
        <f ca="1">SUM(OFFSET(Demand!$E227,0,(COLUMN(F215)-1)*5,1,3))*S$2</f>
        <v>0</v>
      </c>
      <c r="T218" s="5">
        <f ca="1">SUM(OFFSET(Demand!$E227,0,(COLUMN(G215)-1)*5,1,3))*T$2</f>
        <v>0</v>
      </c>
      <c r="U218" s="5">
        <f ca="1">SUM(OFFSET(Demand!$E227,0,(COLUMN(H215)-1)*5,1,3))*U$2</f>
        <v>0</v>
      </c>
      <c r="V218" s="5">
        <f ca="1">SUM(OFFSET(Demand!$E227,0,(COLUMN(I215)-1)*5,1,3))*V$2</f>
        <v>0</v>
      </c>
      <c r="W218" s="5">
        <f ca="1">SUM(OFFSET(Demand!$E227,0,(COLUMN(J215)-1)*5,1,3))*W$2</f>
        <v>0</v>
      </c>
      <c r="X218" s="5">
        <f t="shared" ca="1" si="51"/>
        <v>0</v>
      </c>
      <c r="Y218">
        <f t="shared" ca="1" si="52"/>
        <v>0</v>
      </c>
      <c r="Z218" s="5">
        <f ca="1">SUM(OFFSET(Demand!$H227,0,(COLUMN(A215)-1)*5,1,1))*N$2</f>
        <v>0</v>
      </c>
      <c r="AA218" s="5">
        <f ca="1">SUM(OFFSET(Demand!$H227,0,(COLUMN(B215)-1)*5,1,1))*O$2</f>
        <v>0</v>
      </c>
      <c r="AB218" s="5">
        <f ca="1">SUM(OFFSET(Demand!$H227,0,(COLUMN(C215)-1)*5,1,1))*P$2</f>
        <v>0</v>
      </c>
      <c r="AC218" s="5">
        <f ca="1">SUM(OFFSET(Demand!$H227,0,(COLUMN(D215)-1)*5,1,1))*Q$2</f>
        <v>0</v>
      </c>
      <c r="AD218" s="5">
        <f ca="1">SUM(OFFSET(Demand!$H227,0,(COLUMN(E215)-1)*5,1,1))*R$2</f>
        <v>0</v>
      </c>
      <c r="AE218" s="5">
        <f ca="1">SUM(OFFSET(Demand!$H227,0,(COLUMN(F215)-1)*5,1,1))*S$2</f>
        <v>0</v>
      </c>
      <c r="AF218" s="5">
        <f ca="1">SUM(OFFSET(Demand!$H227,0,(COLUMN(G215)-1)*5,1,1))*T$2</f>
        <v>0</v>
      </c>
      <c r="AG218" s="5">
        <f ca="1">SUM(OFFSET(Demand!$H227,0,(COLUMN(H215)-1)*5,1,1))*U$2</f>
        <v>0</v>
      </c>
      <c r="AH218" s="5">
        <f ca="1">SUM(OFFSET(Demand!$H227,0,(COLUMN(I215)-1)*5,1,1))*V$2</f>
        <v>0</v>
      </c>
      <c r="AI218" s="5">
        <f ca="1">SUM(OFFSET(Demand!$H227,0,(COLUMN(J215)-1)*5,1,1))*W$2</f>
        <v>0</v>
      </c>
      <c r="AJ218" s="5">
        <f t="shared" ca="1" si="53"/>
        <v>0</v>
      </c>
      <c r="AL218" s="5">
        <f t="shared" ca="1" si="54"/>
        <v>0</v>
      </c>
      <c r="AM218" s="5">
        <f t="shared" ca="1" si="55"/>
        <v>0</v>
      </c>
      <c r="AN218" s="5" t="str">
        <f>IF(Demand!BE227="Yes","Yes","")</f>
        <v/>
      </c>
      <c r="AP218" s="36" t="str">
        <f ca="1">Demand!B227</f>
        <v xml:space="preserve"> </v>
      </c>
      <c r="AQ218" t="str">
        <f ca="1">IF(TEXT(Demand!D227,"MMM")&lt;&gt;TEXT(Demand!D226,"MMM"),TEXT(Demand!D227,"MMM"),"")</f>
        <v/>
      </c>
      <c r="AT218" s="5">
        <f t="shared" ca="1" si="56"/>
        <v>0</v>
      </c>
      <c r="BQ218">
        <f ca="1">IF($AN218="",OFFSET(Demand!$A$13,ROW(A215)-1,4+((QUOTIENT(COLUMN(BQ$2)-69,3))*5)+MOD(COLUMN(BQ$2),3),1,1),"")</f>
        <v>0</v>
      </c>
      <c r="BR218">
        <f ca="1">IF($AN218="",OFFSET(Demand!$A$13,ROW(B215)-1,4+((QUOTIENT(COLUMN(BR$2)-69,3))*5)+MOD(COLUMN(BR$2),3),1,1),"")</f>
        <v>0</v>
      </c>
      <c r="BS218">
        <f ca="1">IF($AN218="",OFFSET(Demand!$A$13,ROW(C215)-1,4+((QUOTIENT(COLUMN(BS$2)-69,3))*5)+MOD(COLUMN(BS$2),3),1,1),"")</f>
        <v>0</v>
      </c>
      <c r="BT218">
        <f ca="1">IF($AN218="",OFFSET(Demand!$A$13,ROW(D215)-1,4+((QUOTIENT(COLUMN(BT$2)-69,3))*5)+MOD(COLUMN(BT$2),3),1,1),"")</f>
        <v>0</v>
      </c>
      <c r="BU218">
        <f ca="1">IF($AN218="",OFFSET(Demand!$A$13,ROW(E215)-1,4+((QUOTIENT(COLUMN(BU$2)-69,3))*5)+MOD(COLUMN(BU$2),3),1,1),"")</f>
        <v>0</v>
      </c>
      <c r="BV218">
        <f ca="1">IF($AN218="",OFFSET(Demand!$A$13,ROW(F215)-1,4+((QUOTIENT(COLUMN(BV$2)-69,3))*5)+MOD(COLUMN(BV$2),3),1,1),"")</f>
        <v>0</v>
      </c>
      <c r="BW218">
        <f ca="1">IF($AN218="",OFFSET(Demand!$A$13,ROW(G215)-1,4+((QUOTIENT(COLUMN(BW$2)-69,3))*5)+MOD(COLUMN(BW$2),3),1,1),"")</f>
        <v>0</v>
      </c>
      <c r="BX218">
        <f ca="1">IF($AN218="",OFFSET(Demand!$A$13,ROW(H215)-1,4+((QUOTIENT(COLUMN(BX$2)-69,3))*5)+MOD(COLUMN(BX$2),3),1,1),"")</f>
        <v>0</v>
      </c>
      <c r="BY218">
        <f ca="1">IF($AN218="",OFFSET(Demand!$A$13,ROW(I215)-1,4+((QUOTIENT(COLUMN(BY$2)-69,3))*5)+MOD(COLUMN(BY$2),3),1,1),"")</f>
        <v>0</v>
      </c>
      <c r="BZ218">
        <f ca="1">IF($AN218="",OFFSET(Demand!$A$13,ROW(J215)-1,4+((QUOTIENT(COLUMN(BZ$2)-69,3))*5)+MOD(COLUMN(BZ$2),3),1,1),"")</f>
        <v>0</v>
      </c>
      <c r="CA218">
        <f ca="1">IF($AN218="",OFFSET(Demand!$A$13,ROW(K215)-1,4+((QUOTIENT(COLUMN(CA$2)-69,3))*5)+MOD(COLUMN(CA$2),3),1,1),"")</f>
        <v>0</v>
      </c>
      <c r="CB218">
        <f ca="1">IF($AN218="",OFFSET(Demand!$A$13,ROW(L215)-1,4+((QUOTIENT(COLUMN(CB$2)-69,3))*5)+MOD(COLUMN(CB$2),3),1,1),"")</f>
        <v>0</v>
      </c>
      <c r="CC218">
        <f ca="1">IF($AN218="",OFFSET(Demand!$A$13,ROW(M215)-1,4+((QUOTIENT(COLUMN(CC$2)-69,3))*5)+MOD(COLUMN(CC$2),3),1,1),"")</f>
        <v>0</v>
      </c>
      <c r="CD218">
        <f ca="1">IF($AN218="",OFFSET(Demand!$A$13,ROW(N215)-1,4+((QUOTIENT(COLUMN(CD$2)-69,3))*5)+MOD(COLUMN(CD$2),3),1,1),"")</f>
        <v>0</v>
      </c>
      <c r="CE218">
        <f ca="1">IF($AN218="",OFFSET(Demand!$A$13,ROW(O215)-1,4+((QUOTIENT(COLUMN(CE$2)-69,3))*5)+MOD(COLUMN(CE$2),3),1,1),"")</f>
        <v>0</v>
      </c>
      <c r="CF218">
        <f ca="1">IF($AN218="",OFFSET(Demand!$A$13,ROW(P215)-1,4+((QUOTIENT(COLUMN(CF$2)-69,3))*5)+MOD(COLUMN(CF$2),3),1,1),"")</f>
        <v>0</v>
      </c>
      <c r="CG218">
        <f ca="1">IF($AN218="",OFFSET(Demand!$A$13,ROW(Q215)-1,4+((QUOTIENT(COLUMN(CG$2)-69,3))*5)+MOD(COLUMN(CG$2),3),1,1),"")</f>
        <v>0</v>
      </c>
      <c r="CH218">
        <f ca="1">IF($AN218="",OFFSET(Demand!$A$13,ROW(R215)-1,4+((QUOTIENT(COLUMN(CH$2)-69,3))*5)+MOD(COLUMN(CH$2),3),1,1),"")</f>
        <v>0</v>
      </c>
      <c r="CI218">
        <f ca="1">IF($AN218="",OFFSET(Demand!$A$13,ROW(S215)-1,4+((QUOTIENT(COLUMN(CI$2)-69,3))*5)+MOD(COLUMN(CI$2),3),1,1),"")</f>
        <v>0</v>
      </c>
      <c r="CJ218">
        <f ca="1">IF($AN218="",OFFSET(Demand!$A$13,ROW(T215)-1,4+((QUOTIENT(COLUMN(CJ$2)-69,3))*5)+MOD(COLUMN(CJ$2),3),1,1),"")</f>
        <v>0</v>
      </c>
      <c r="CK218">
        <f ca="1">IF($AN218="",OFFSET(Demand!$A$13,ROW(U215)-1,4+((QUOTIENT(COLUMN(CK$2)-69,3))*5)+MOD(COLUMN(CK$2),3),1,1),"")</f>
        <v>0</v>
      </c>
      <c r="CL218">
        <f ca="1">IF($AN218="",OFFSET(Demand!$A$13,ROW(V215)-1,4+((QUOTIENT(COLUMN(CL$2)-69,3))*5)+MOD(COLUMN(CL$2),3),1,1),"")</f>
        <v>0</v>
      </c>
      <c r="CM218">
        <f ca="1">IF($AN218="",OFFSET(Demand!$A$13,ROW(W215)-1,4+((QUOTIENT(COLUMN(CM$2)-69,3))*5)+MOD(COLUMN(CM$2),3),1,1),"")</f>
        <v>0</v>
      </c>
      <c r="CN218">
        <f ca="1">IF($AN218="",OFFSET(Demand!$A$13,ROW(X215)-1,4+((QUOTIENT(COLUMN(CN$2)-69,3))*5)+MOD(COLUMN(CN$2),3),1,1),"")</f>
        <v>0</v>
      </c>
      <c r="CO218">
        <f ca="1">IF($AN218="",OFFSET(Demand!$A$13,ROW(Y215)-1,4+((QUOTIENT(COLUMN(CO$2)-69,3))*5)+MOD(COLUMN(CO$2),3),1,1),"")</f>
        <v>0</v>
      </c>
      <c r="CP218">
        <f ca="1">IF($AN218="",OFFSET(Demand!$A$13,ROW(Z215)-1,4+((QUOTIENT(COLUMN(CP$2)-69,3))*5)+MOD(COLUMN(CP$2),3),1,1),"")</f>
        <v>0</v>
      </c>
      <c r="CQ218">
        <f ca="1">IF($AN218="",OFFSET(Demand!$A$13,ROW(AA215)-1,4+((QUOTIENT(COLUMN(CQ$2)-69,3))*5)+MOD(COLUMN(CQ$2),3),1,1),"")</f>
        <v>0</v>
      </c>
      <c r="CR218">
        <f ca="1">IF($AN218="",OFFSET(Demand!$A$13,ROW(AB215)-1,4+((QUOTIENT(COLUMN(CR$2)-69,3))*5)+MOD(COLUMN(CR$2),3),1,1),"")</f>
        <v>0</v>
      </c>
      <c r="CS218">
        <f ca="1">IF($AN218="",OFFSET(Demand!$A$13,ROW(AC215)-1,4+((QUOTIENT(COLUMN(CS$2)-69,3))*5)+MOD(COLUMN(CS$2),3),1,1),"")</f>
        <v>0</v>
      </c>
      <c r="CT218">
        <f ca="1">IF($AN218="",OFFSET(Demand!$A$13,ROW(AD215)-1,4+((QUOTIENT(COLUMN(CT$2)-69,3))*5)+MOD(COLUMN(CT$2),3),1,1),"")</f>
        <v>0</v>
      </c>
      <c r="CW218" s="5">
        <f ca="1">SUM(OFFSET(Demand!$H$43,ROW(A215)-1,(COLUMN(A215)-1)*5,1,1))*N$2</f>
        <v>0</v>
      </c>
      <c r="CX218" s="5">
        <f ca="1">SUM(OFFSET(Demand!$H$43,ROW(B215)-1,(COLUMN(B215)-1)*5,1,1))*O$2</f>
        <v>0</v>
      </c>
      <c r="CY218" s="5">
        <f ca="1">SUM(OFFSET(Demand!$H$43,ROW(C215)-1,(COLUMN(C215)-1)*5,1,1))*P$2</f>
        <v>0</v>
      </c>
      <c r="CZ218" s="5">
        <f ca="1">SUM(OFFSET(Demand!$H$43,ROW(D215)-1,(COLUMN(D215)-1)*5,1,1))*Q$2</f>
        <v>0</v>
      </c>
      <c r="DA218" s="5">
        <f ca="1">SUM(OFFSET(Demand!$H$43,ROW(E215)-1,(COLUMN(E215)-1)*5,1,1))*R$2</f>
        <v>0</v>
      </c>
      <c r="DB218" s="5">
        <f ca="1">SUM(OFFSET(Demand!$H$43,ROW(F215)-1,(COLUMN(F215)-1)*5,1,1))*S$2</f>
        <v>0</v>
      </c>
      <c r="DC218" s="5">
        <f ca="1">SUM(OFFSET(Demand!$H$43,ROW(G215)-1,(COLUMN(G215)-1)*5,1,1))*T$2</f>
        <v>0</v>
      </c>
      <c r="DD218" s="5">
        <f ca="1">SUM(OFFSET(Demand!$H$43,ROW(H215)-1,(COLUMN(H215)-1)*5,1,1))*U$2</f>
        <v>0</v>
      </c>
      <c r="DE218" s="5">
        <f ca="1">SUM(OFFSET(Demand!$H$43,ROW(I215)-1,(COLUMN(I215)-1)*5,1,1))*V$2</f>
        <v>0</v>
      </c>
      <c r="DF218" s="5">
        <f ca="1">SUM(OFFSET(Demand!$H$43,ROW(J215)-1,(COLUMN(J215)-1)*5,1,1))*W$2</f>
        <v>0</v>
      </c>
      <c r="DG218" s="5">
        <f ca="1">IF(OR(AN218&lt;&gt;"",AND('Demand adjustments for Covid'!$F$9="Yes",'Demand adjustments for Covid'!$F$20="Yes")),"",SUM(CW218:DF218))</f>
        <v>0</v>
      </c>
    </row>
    <row r="219" spans="1:111" x14ac:dyDescent="0.25">
      <c r="A219" s="5">
        <f t="shared" ca="1" si="50"/>
        <v>1</v>
      </c>
      <c r="B219" s="5">
        <f ca="1">COUNTBLANK(OFFSET(Demand!$I228,0,(COLUMN(A216)-1)*5,1,1))</f>
        <v>1</v>
      </c>
      <c r="C219" s="5">
        <f ca="1">COUNTBLANK(OFFSET(Demand!$I228,0,(COLUMN(B216)-1)*5,1,1))</f>
        <v>1</v>
      </c>
      <c r="D219" s="5">
        <f ca="1">COUNTBLANK(OFFSET(Demand!$I228,0,(COLUMN(C216)-1)*5,1,1))</f>
        <v>1</v>
      </c>
      <c r="E219" s="5">
        <f ca="1">COUNTBLANK(OFFSET(Demand!$I228,0,(COLUMN(D216)-1)*5,1,1))</f>
        <v>1</v>
      </c>
      <c r="F219" s="5">
        <f ca="1">COUNTBLANK(OFFSET(Demand!$I228,0,(COLUMN(E216)-1)*5,1,1))</f>
        <v>1</v>
      </c>
      <c r="G219" s="5">
        <f ca="1">COUNTBLANK(OFFSET(Demand!$I228,0,(COLUMN(F216)-1)*5,1,1))</f>
        <v>1</v>
      </c>
      <c r="H219" s="5">
        <f ca="1">COUNTBLANK(OFFSET(Demand!$I228,0,(COLUMN(G216)-1)*5,1,1))</f>
        <v>1</v>
      </c>
      <c r="I219" s="5">
        <f ca="1">COUNTBLANK(OFFSET(Demand!$I228,0,(COLUMN(H216)-1)*5,1,1))</f>
        <v>1</v>
      </c>
      <c r="J219" s="5">
        <f ca="1">COUNTBLANK(OFFSET(Demand!$I228,0,(COLUMN(I216)-1)*5,1,1))</f>
        <v>1</v>
      </c>
      <c r="K219" s="5">
        <f ca="1">COUNTBLANK(OFFSET(Demand!$I228,0,(COLUMN(J216)-1)*5,1,1))</f>
        <v>1</v>
      </c>
      <c r="N219" s="5">
        <f ca="1">SUM(OFFSET(Demand!$E228,0,(COLUMN(A216)-1)*5,1,3))*N$2</f>
        <v>0</v>
      </c>
      <c r="O219" s="5">
        <f ca="1">SUM(OFFSET(Demand!$E228,0,(COLUMN(B216)-1)*5,1,3))*O$2</f>
        <v>0</v>
      </c>
      <c r="P219" s="5">
        <f ca="1">SUM(OFFSET(Demand!$E228,0,(COLUMN(C216)-1)*5,1,3))*P$2</f>
        <v>0</v>
      </c>
      <c r="Q219" s="5">
        <f ca="1">SUM(OFFSET(Demand!$E228,0,(COLUMN(D216)-1)*5,1,3))*Q$2</f>
        <v>0</v>
      </c>
      <c r="R219" s="5">
        <f ca="1">SUM(OFFSET(Demand!$E228,0,(COLUMN(E216)-1)*5,1,3))*R$2</f>
        <v>0</v>
      </c>
      <c r="S219" s="5">
        <f ca="1">SUM(OFFSET(Demand!$E228,0,(COLUMN(F216)-1)*5,1,3))*S$2</f>
        <v>0</v>
      </c>
      <c r="T219" s="5">
        <f ca="1">SUM(OFFSET(Demand!$E228,0,(COLUMN(G216)-1)*5,1,3))*T$2</f>
        <v>0</v>
      </c>
      <c r="U219" s="5">
        <f ca="1">SUM(OFFSET(Demand!$E228,0,(COLUMN(H216)-1)*5,1,3))*U$2</f>
        <v>0</v>
      </c>
      <c r="V219" s="5">
        <f ca="1">SUM(OFFSET(Demand!$E228,0,(COLUMN(I216)-1)*5,1,3))*V$2</f>
        <v>0</v>
      </c>
      <c r="W219" s="5">
        <f ca="1">SUM(OFFSET(Demand!$E228,0,(COLUMN(J216)-1)*5,1,3))*W$2</f>
        <v>0</v>
      </c>
      <c r="X219" s="5">
        <f t="shared" ca="1" si="51"/>
        <v>0</v>
      </c>
      <c r="Y219">
        <f t="shared" ca="1" si="52"/>
        <v>0</v>
      </c>
      <c r="Z219" s="5">
        <f ca="1">SUM(OFFSET(Demand!$H228,0,(COLUMN(A216)-1)*5,1,1))*N$2</f>
        <v>0</v>
      </c>
      <c r="AA219" s="5">
        <f ca="1">SUM(OFFSET(Demand!$H228,0,(COLUMN(B216)-1)*5,1,1))*O$2</f>
        <v>0</v>
      </c>
      <c r="AB219" s="5">
        <f ca="1">SUM(OFFSET(Demand!$H228,0,(COLUMN(C216)-1)*5,1,1))*P$2</f>
        <v>0</v>
      </c>
      <c r="AC219" s="5">
        <f ca="1">SUM(OFFSET(Demand!$H228,0,(COLUMN(D216)-1)*5,1,1))*Q$2</f>
        <v>0</v>
      </c>
      <c r="AD219" s="5">
        <f ca="1">SUM(OFFSET(Demand!$H228,0,(COLUMN(E216)-1)*5,1,1))*R$2</f>
        <v>0</v>
      </c>
      <c r="AE219" s="5">
        <f ca="1">SUM(OFFSET(Demand!$H228,0,(COLUMN(F216)-1)*5,1,1))*S$2</f>
        <v>0</v>
      </c>
      <c r="AF219" s="5">
        <f ca="1">SUM(OFFSET(Demand!$H228,0,(COLUMN(G216)-1)*5,1,1))*T$2</f>
        <v>0</v>
      </c>
      <c r="AG219" s="5">
        <f ca="1">SUM(OFFSET(Demand!$H228,0,(COLUMN(H216)-1)*5,1,1))*U$2</f>
        <v>0</v>
      </c>
      <c r="AH219" s="5">
        <f ca="1">SUM(OFFSET(Demand!$H228,0,(COLUMN(I216)-1)*5,1,1))*V$2</f>
        <v>0</v>
      </c>
      <c r="AI219" s="5">
        <f ca="1">SUM(OFFSET(Demand!$H228,0,(COLUMN(J216)-1)*5,1,1))*W$2</f>
        <v>0</v>
      </c>
      <c r="AJ219" s="5">
        <f t="shared" ca="1" si="53"/>
        <v>0</v>
      </c>
      <c r="AL219" s="5">
        <f t="shared" ca="1" si="54"/>
        <v>0</v>
      </c>
      <c r="AM219" s="5">
        <f t="shared" ca="1" si="55"/>
        <v>0</v>
      </c>
      <c r="AN219" s="5" t="str">
        <f>IF(Demand!BE228="Yes","Yes","")</f>
        <v/>
      </c>
      <c r="AP219" s="36" t="str">
        <f ca="1">Demand!B228</f>
        <v xml:space="preserve"> </v>
      </c>
      <c r="AQ219" t="str">
        <f ca="1">IF(TEXT(Demand!D228,"MMM")&lt;&gt;TEXT(Demand!D227,"MMM"),TEXT(Demand!D228,"MMM"),"")</f>
        <v/>
      </c>
      <c r="AT219" s="5">
        <f t="shared" ca="1" si="56"/>
        <v>0</v>
      </c>
      <c r="BQ219">
        <f ca="1">IF($AN219="",OFFSET(Demand!$A$13,ROW(A216)-1,4+((QUOTIENT(COLUMN(BQ$2)-69,3))*5)+MOD(COLUMN(BQ$2),3),1,1),"")</f>
        <v>0</v>
      </c>
      <c r="BR219">
        <f ca="1">IF($AN219="",OFFSET(Demand!$A$13,ROW(B216)-1,4+((QUOTIENT(COLUMN(BR$2)-69,3))*5)+MOD(COLUMN(BR$2),3),1,1),"")</f>
        <v>0</v>
      </c>
      <c r="BS219">
        <f ca="1">IF($AN219="",OFFSET(Demand!$A$13,ROW(C216)-1,4+((QUOTIENT(COLUMN(BS$2)-69,3))*5)+MOD(COLUMN(BS$2),3),1,1),"")</f>
        <v>0</v>
      </c>
      <c r="BT219">
        <f ca="1">IF($AN219="",OFFSET(Demand!$A$13,ROW(D216)-1,4+((QUOTIENT(COLUMN(BT$2)-69,3))*5)+MOD(COLUMN(BT$2),3),1,1),"")</f>
        <v>0</v>
      </c>
      <c r="BU219">
        <f ca="1">IF($AN219="",OFFSET(Demand!$A$13,ROW(E216)-1,4+((QUOTIENT(COLUMN(BU$2)-69,3))*5)+MOD(COLUMN(BU$2),3),1,1),"")</f>
        <v>0</v>
      </c>
      <c r="BV219">
        <f ca="1">IF($AN219="",OFFSET(Demand!$A$13,ROW(F216)-1,4+((QUOTIENT(COLUMN(BV$2)-69,3))*5)+MOD(COLUMN(BV$2),3),1,1),"")</f>
        <v>0</v>
      </c>
      <c r="BW219">
        <f ca="1">IF($AN219="",OFFSET(Demand!$A$13,ROW(G216)-1,4+((QUOTIENT(COLUMN(BW$2)-69,3))*5)+MOD(COLUMN(BW$2),3),1,1),"")</f>
        <v>0</v>
      </c>
      <c r="BX219">
        <f ca="1">IF($AN219="",OFFSET(Demand!$A$13,ROW(H216)-1,4+((QUOTIENT(COLUMN(BX$2)-69,3))*5)+MOD(COLUMN(BX$2),3),1,1),"")</f>
        <v>0</v>
      </c>
      <c r="BY219">
        <f ca="1">IF($AN219="",OFFSET(Demand!$A$13,ROW(I216)-1,4+((QUOTIENT(COLUMN(BY$2)-69,3))*5)+MOD(COLUMN(BY$2),3),1,1),"")</f>
        <v>0</v>
      </c>
      <c r="BZ219">
        <f ca="1">IF($AN219="",OFFSET(Demand!$A$13,ROW(J216)-1,4+((QUOTIENT(COLUMN(BZ$2)-69,3))*5)+MOD(COLUMN(BZ$2),3),1,1),"")</f>
        <v>0</v>
      </c>
      <c r="CA219">
        <f ca="1">IF($AN219="",OFFSET(Demand!$A$13,ROW(K216)-1,4+((QUOTIENT(COLUMN(CA$2)-69,3))*5)+MOD(COLUMN(CA$2),3),1,1),"")</f>
        <v>0</v>
      </c>
      <c r="CB219">
        <f ca="1">IF($AN219="",OFFSET(Demand!$A$13,ROW(L216)-1,4+((QUOTIENT(COLUMN(CB$2)-69,3))*5)+MOD(COLUMN(CB$2),3),1,1),"")</f>
        <v>0</v>
      </c>
      <c r="CC219">
        <f ca="1">IF($AN219="",OFFSET(Demand!$A$13,ROW(M216)-1,4+((QUOTIENT(COLUMN(CC$2)-69,3))*5)+MOD(COLUMN(CC$2),3),1,1),"")</f>
        <v>0</v>
      </c>
      <c r="CD219">
        <f ca="1">IF($AN219="",OFFSET(Demand!$A$13,ROW(N216)-1,4+((QUOTIENT(COLUMN(CD$2)-69,3))*5)+MOD(COLUMN(CD$2),3),1,1),"")</f>
        <v>0</v>
      </c>
      <c r="CE219">
        <f ca="1">IF($AN219="",OFFSET(Demand!$A$13,ROW(O216)-1,4+((QUOTIENT(COLUMN(CE$2)-69,3))*5)+MOD(COLUMN(CE$2),3),1,1),"")</f>
        <v>0</v>
      </c>
      <c r="CF219">
        <f ca="1">IF($AN219="",OFFSET(Demand!$A$13,ROW(P216)-1,4+((QUOTIENT(COLUMN(CF$2)-69,3))*5)+MOD(COLUMN(CF$2),3),1,1),"")</f>
        <v>0</v>
      </c>
      <c r="CG219">
        <f ca="1">IF($AN219="",OFFSET(Demand!$A$13,ROW(Q216)-1,4+((QUOTIENT(COLUMN(CG$2)-69,3))*5)+MOD(COLUMN(CG$2),3),1,1),"")</f>
        <v>0</v>
      </c>
      <c r="CH219">
        <f ca="1">IF($AN219="",OFFSET(Demand!$A$13,ROW(R216)-1,4+((QUOTIENT(COLUMN(CH$2)-69,3))*5)+MOD(COLUMN(CH$2),3),1,1),"")</f>
        <v>0</v>
      </c>
      <c r="CI219">
        <f ca="1">IF($AN219="",OFFSET(Demand!$A$13,ROW(S216)-1,4+((QUOTIENT(COLUMN(CI$2)-69,3))*5)+MOD(COLUMN(CI$2),3),1,1),"")</f>
        <v>0</v>
      </c>
      <c r="CJ219">
        <f ca="1">IF($AN219="",OFFSET(Demand!$A$13,ROW(T216)-1,4+((QUOTIENT(COLUMN(CJ$2)-69,3))*5)+MOD(COLUMN(CJ$2),3),1,1),"")</f>
        <v>0</v>
      </c>
      <c r="CK219">
        <f ca="1">IF($AN219="",OFFSET(Demand!$A$13,ROW(U216)-1,4+((QUOTIENT(COLUMN(CK$2)-69,3))*5)+MOD(COLUMN(CK$2),3),1,1),"")</f>
        <v>0</v>
      </c>
      <c r="CL219">
        <f ca="1">IF($AN219="",OFFSET(Demand!$A$13,ROW(V216)-1,4+((QUOTIENT(COLUMN(CL$2)-69,3))*5)+MOD(COLUMN(CL$2),3),1,1),"")</f>
        <v>0</v>
      </c>
      <c r="CM219">
        <f ca="1">IF($AN219="",OFFSET(Demand!$A$13,ROW(W216)-1,4+((QUOTIENT(COLUMN(CM$2)-69,3))*5)+MOD(COLUMN(CM$2),3),1,1),"")</f>
        <v>0</v>
      </c>
      <c r="CN219">
        <f ca="1">IF($AN219="",OFFSET(Demand!$A$13,ROW(X216)-1,4+((QUOTIENT(COLUMN(CN$2)-69,3))*5)+MOD(COLUMN(CN$2),3),1,1),"")</f>
        <v>0</v>
      </c>
      <c r="CO219">
        <f ca="1">IF($AN219="",OFFSET(Demand!$A$13,ROW(Y216)-1,4+((QUOTIENT(COLUMN(CO$2)-69,3))*5)+MOD(COLUMN(CO$2),3),1,1),"")</f>
        <v>0</v>
      </c>
      <c r="CP219">
        <f ca="1">IF($AN219="",OFFSET(Demand!$A$13,ROW(Z216)-1,4+((QUOTIENT(COLUMN(CP$2)-69,3))*5)+MOD(COLUMN(CP$2),3),1,1),"")</f>
        <v>0</v>
      </c>
      <c r="CQ219">
        <f ca="1">IF($AN219="",OFFSET(Demand!$A$13,ROW(AA216)-1,4+((QUOTIENT(COLUMN(CQ$2)-69,3))*5)+MOD(COLUMN(CQ$2),3),1,1),"")</f>
        <v>0</v>
      </c>
      <c r="CR219">
        <f ca="1">IF($AN219="",OFFSET(Demand!$A$13,ROW(AB216)-1,4+((QUOTIENT(COLUMN(CR$2)-69,3))*5)+MOD(COLUMN(CR$2),3),1,1),"")</f>
        <v>0</v>
      </c>
      <c r="CS219">
        <f ca="1">IF($AN219="",OFFSET(Demand!$A$13,ROW(AC216)-1,4+((QUOTIENT(COLUMN(CS$2)-69,3))*5)+MOD(COLUMN(CS$2),3),1,1),"")</f>
        <v>0</v>
      </c>
      <c r="CT219">
        <f ca="1">IF($AN219="",OFFSET(Demand!$A$13,ROW(AD216)-1,4+((QUOTIENT(COLUMN(CT$2)-69,3))*5)+MOD(COLUMN(CT$2),3),1,1),"")</f>
        <v>0</v>
      </c>
      <c r="CW219" s="5">
        <f ca="1">SUM(OFFSET(Demand!$H$43,ROW(A216)-1,(COLUMN(A216)-1)*5,1,1))*N$2</f>
        <v>0</v>
      </c>
      <c r="CX219" s="5">
        <f ca="1">SUM(OFFSET(Demand!$H$43,ROW(B216)-1,(COLUMN(B216)-1)*5,1,1))*O$2</f>
        <v>0</v>
      </c>
      <c r="CY219" s="5">
        <f ca="1">SUM(OFFSET(Demand!$H$43,ROW(C216)-1,(COLUMN(C216)-1)*5,1,1))*P$2</f>
        <v>0</v>
      </c>
      <c r="CZ219" s="5">
        <f ca="1">SUM(OFFSET(Demand!$H$43,ROW(D216)-1,(COLUMN(D216)-1)*5,1,1))*Q$2</f>
        <v>0</v>
      </c>
      <c r="DA219" s="5">
        <f ca="1">SUM(OFFSET(Demand!$H$43,ROW(E216)-1,(COLUMN(E216)-1)*5,1,1))*R$2</f>
        <v>0</v>
      </c>
      <c r="DB219" s="5">
        <f ca="1">SUM(OFFSET(Demand!$H$43,ROW(F216)-1,(COLUMN(F216)-1)*5,1,1))*S$2</f>
        <v>0</v>
      </c>
      <c r="DC219" s="5">
        <f ca="1">SUM(OFFSET(Demand!$H$43,ROW(G216)-1,(COLUMN(G216)-1)*5,1,1))*T$2</f>
        <v>0</v>
      </c>
      <c r="DD219" s="5">
        <f ca="1">SUM(OFFSET(Demand!$H$43,ROW(H216)-1,(COLUMN(H216)-1)*5,1,1))*U$2</f>
        <v>0</v>
      </c>
      <c r="DE219" s="5">
        <f ca="1">SUM(OFFSET(Demand!$H$43,ROW(I216)-1,(COLUMN(I216)-1)*5,1,1))*V$2</f>
        <v>0</v>
      </c>
      <c r="DF219" s="5">
        <f ca="1">SUM(OFFSET(Demand!$H$43,ROW(J216)-1,(COLUMN(J216)-1)*5,1,1))*W$2</f>
        <v>0</v>
      </c>
      <c r="DG219" s="5">
        <f ca="1">IF(OR(AN219&lt;&gt;"",AND('Demand adjustments for Covid'!$F$9="Yes",'Demand adjustments for Covid'!$F$20="Yes")),"",SUM(CW219:DF219))</f>
        <v>0</v>
      </c>
    </row>
    <row r="220" spans="1:111" x14ac:dyDescent="0.25">
      <c r="A220" s="5">
        <f t="shared" ca="1" si="50"/>
        <v>1</v>
      </c>
      <c r="B220" s="5">
        <f ca="1">COUNTBLANK(OFFSET(Demand!$I229,0,(COLUMN(A217)-1)*5,1,1))</f>
        <v>1</v>
      </c>
      <c r="C220" s="5">
        <f ca="1">COUNTBLANK(OFFSET(Demand!$I229,0,(COLUMN(B217)-1)*5,1,1))</f>
        <v>1</v>
      </c>
      <c r="D220" s="5">
        <f ca="1">COUNTBLANK(OFFSET(Demand!$I229,0,(COLUMN(C217)-1)*5,1,1))</f>
        <v>1</v>
      </c>
      <c r="E220" s="5">
        <f ca="1">COUNTBLANK(OFFSET(Demand!$I229,0,(COLUMN(D217)-1)*5,1,1))</f>
        <v>1</v>
      </c>
      <c r="F220" s="5">
        <f ca="1">COUNTBLANK(OFFSET(Demand!$I229,0,(COLUMN(E217)-1)*5,1,1))</f>
        <v>1</v>
      </c>
      <c r="G220" s="5">
        <f ca="1">COUNTBLANK(OFFSET(Demand!$I229,0,(COLUMN(F217)-1)*5,1,1))</f>
        <v>1</v>
      </c>
      <c r="H220" s="5">
        <f ca="1">COUNTBLANK(OFFSET(Demand!$I229,0,(COLUMN(G217)-1)*5,1,1))</f>
        <v>1</v>
      </c>
      <c r="I220" s="5">
        <f ca="1">COUNTBLANK(OFFSET(Demand!$I229,0,(COLUMN(H217)-1)*5,1,1))</f>
        <v>1</v>
      </c>
      <c r="J220" s="5">
        <f ca="1">COUNTBLANK(OFFSET(Demand!$I229,0,(COLUMN(I217)-1)*5,1,1))</f>
        <v>1</v>
      </c>
      <c r="K220" s="5">
        <f ca="1">COUNTBLANK(OFFSET(Demand!$I229,0,(COLUMN(J217)-1)*5,1,1))</f>
        <v>1</v>
      </c>
      <c r="N220" s="5">
        <f ca="1">SUM(OFFSET(Demand!$E229,0,(COLUMN(A217)-1)*5,1,3))*N$2</f>
        <v>0</v>
      </c>
      <c r="O220" s="5">
        <f ca="1">SUM(OFFSET(Demand!$E229,0,(COLUMN(B217)-1)*5,1,3))*O$2</f>
        <v>0</v>
      </c>
      <c r="P220" s="5">
        <f ca="1">SUM(OFFSET(Demand!$E229,0,(COLUMN(C217)-1)*5,1,3))*P$2</f>
        <v>0</v>
      </c>
      <c r="Q220" s="5">
        <f ca="1">SUM(OFFSET(Demand!$E229,0,(COLUMN(D217)-1)*5,1,3))*Q$2</f>
        <v>0</v>
      </c>
      <c r="R220" s="5">
        <f ca="1">SUM(OFFSET(Demand!$E229,0,(COLUMN(E217)-1)*5,1,3))*R$2</f>
        <v>0</v>
      </c>
      <c r="S220" s="5">
        <f ca="1">SUM(OFFSET(Demand!$E229,0,(COLUMN(F217)-1)*5,1,3))*S$2</f>
        <v>0</v>
      </c>
      <c r="T220" s="5">
        <f ca="1">SUM(OFFSET(Demand!$E229,0,(COLUMN(G217)-1)*5,1,3))*T$2</f>
        <v>0</v>
      </c>
      <c r="U220" s="5">
        <f ca="1">SUM(OFFSET(Demand!$E229,0,(COLUMN(H217)-1)*5,1,3))*U$2</f>
        <v>0</v>
      </c>
      <c r="V220" s="5">
        <f ca="1">SUM(OFFSET(Demand!$E229,0,(COLUMN(I217)-1)*5,1,3))*V$2</f>
        <v>0</v>
      </c>
      <c r="W220" s="5">
        <f ca="1">SUM(OFFSET(Demand!$E229,0,(COLUMN(J217)-1)*5,1,3))*W$2</f>
        <v>0</v>
      </c>
      <c r="X220" s="5">
        <f t="shared" ca="1" si="51"/>
        <v>0</v>
      </c>
      <c r="Y220">
        <f t="shared" ca="1" si="52"/>
        <v>0</v>
      </c>
      <c r="Z220" s="5">
        <f ca="1">SUM(OFFSET(Demand!$H229,0,(COLUMN(A217)-1)*5,1,1))*N$2</f>
        <v>0</v>
      </c>
      <c r="AA220" s="5">
        <f ca="1">SUM(OFFSET(Demand!$H229,0,(COLUMN(B217)-1)*5,1,1))*O$2</f>
        <v>0</v>
      </c>
      <c r="AB220" s="5">
        <f ca="1">SUM(OFFSET(Demand!$H229,0,(COLUMN(C217)-1)*5,1,1))*P$2</f>
        <v>0</v>
      </c>
      <c r="AC220" s="5">
        <f ca="1">SUM(OFFSET(Demand!$H229,0,(COLUMN(D217)-1)*5,1,1))*Q$2</f>
        <v>0</v>
      </c>
      <c r="AD220" s="5">
        <f ca="1">SUM(OFFSET(Demand!$H229,0,(COLUMN(E217)-1)*5,1,1))*R$2</f>
        <v>0</v>
      </c>
      <c r="AE220" s="5">
        <f ca="1">SUM(OFFSET(Demand!$H229,0,(COLUMN(F217)-1)*5,1,1))*S$2</f>
        <v>0</v>
      </c>
      <c r="AF220" s="5">
        <f ca="1">SUM(OFFSET(Demand!$H229,0,(COLUMN(G217)-1)*5,1,1))*T$2</f>
        <v>0</v>
      </c>
      <c r="AG220" s="5">
        <f ca="1">SUM(OFFSET(Demand!$H229,0,(COLUMN(H217)-1)*5,1,1))*U$2</f>
        <v>0</v>
      </c>
      <c r="AH220" s="5">
        <f ca="1">SUM(OFFSET(Demand!$H229,0,(COLUMN(I217)-1)*5,1,1))*V$2</f>
        <v>0</v>
      </c>
      <c r="AI220" s="5">
        <f ca="1">SUM(OFFSET(Demand!$H229,0,(COLUMN(J217)-1)*5,1,1))*W$2</f>
        <v>0</v>
      </c>
      <c r="AJ220" s="5">
        <f t="shared" ca="1" si="53"/>
        <v>0</v>
      </c>
      <c r="AL220" s="5">
        <f t="shared" ca="1" si="54"/>
        <v>0</v>
      </c>
      <c r="AM220" s="5">
        <f t="shared" ca="1" si="55"/>
        <v>0</v>
      </c>
      <c r="AN220" s="5" t="str">
        <f>IF(Demand!BE229="Yes","Yes","")</f>
        <v/>
      </c>
      <c r="AP220" s="36" t="str">
        <f ca="1">Demand!B229</f>
        <v xml:space="preserve"> </v>
      </c>
      <c r="AQ220" t="str">
        <f ca="1">IF(TEXT(Demand!D229,"MMM")&lt;&gt;TEXT(Demand!D228,"MMM"),TEXT(Demand!D229,"MMM"),"")</f>
        <v/>
      </c>
      <c r="AT220" s="5">
        <f t="shared" ca="1" si="56"/>
        <v>0</v>
      </c>
      <c r="BQ220">
        <f ca="1">IF($AN220="",OFFSET(Demand!$A$13,ROW(A217)-1,4+((QUOTIENT(COLUMN(BQ$2)-69,3))*5)+MOD(COLUMN(BQ$2),3),1,1),"")</f>
        <v>0</v>
      </c>
      <c r="BR220">
        <f ca="1">IF($AN220="",OFFSET(Demand!$A$13,ROW(B217)-1,4+((QUOTIENT(COLUMN(BR$2)-69,3))*5)+MOD(COLUMN(BR$2),3),1,1),"")</f>
        <v>0</v>
      </c>
      <c r="BS220">
        <f ca="1">IF($AN220="",OFFSET(Demand!$A$13,ROW(C217)-1,4+((QUOTIENT(COLUMN(BS$2)-69,3))*5)+MOD(COLUMN(BS$2),3),1,1),"")</f>
        <v>0</v>
      </c>
      <c r="BT220">
        <f ca="1">IF($AN220="",OFFSET(Demand!$A$13,ROW(D217)-1,4+((QUOTIENT(COLUMN(BT$2)-69,3))*5)+MOD(COLUMN(BT$2),3),1,1),"")</f>
        <v>0</v>
      </c>
      <c r="BU220">
        <f ca="1">IF($AN220="",OFFSET(Demand!$A$13,ROW(E217)-1,4+((QUOTIENT(COLUMN(BU$2)-69,3))*5)+MOD(COLUMN(BU$2),3),1,1),"")</f>
        <v>0</v>
      </c>
      <c r="BV220">
        <f ca="1">IF($AN220="",OFFSET(Demand!$A$13,ROW(F217)-1,4+((QUOTIENT(COLUMN(BV$2)-69,3))*5)+MOD(COLUMN(BV$2),3),1,1),"")</f>
        <v>0</v>
      </c>
      <c r="BW220">
        <f ca="1">IF($AN220="",OFFSET(Demand!$A$13,ROW(G217)-1,4+((QUOTIENT(COLUMN(BW$2)-69,3))*5)+MOD(COLUMN(BW$2),3),1,1),"")</f>
        <v>0</v>
      </c>
      <c r="BX220">
        <f ca="1">IF($AN220="",OFFSET(Demand!$A$13,ROW(H217)-1,4+((QUOTIENT(COLUMN(BX$2)-69,3))*5)+MOD(COLUMN(BX$2),3),1,1),"")</f>
        <v>0</v>
      </c>
      <c r="BY220">
        <f ca="1">IF($AN220="",OFFSET(Demand!$A$13,ROW(I217)-1,4+((QUOTIENT(COLUMN(BY$2)-69,3))*5)+MOD(COLUMN(BY$2),3),1,1),"")</f>
        <v>0</v>
      </c>
      <c r="BZ220">
        <f ca="1">IF($AN220="",OFFSET(Demand!$A$13,ROW(J217)-1,4+((QUOTIENT(COLUMN(BZ$2)-69,3))*5)+MOD(COLUMN(BZ$2),3),1,1),"")</f>
        <v>0</v>
      </c>
      <c r="CA220">
        <f ca="1">IF($AN220="",OFFSET(Demand!$A$13,ROW(K217)-1,4+((QUOTIENT(COLUMN(CA$2)-69,3))*5)+MOD(COLUMN(CA$2),3),1,1),"")</f>
        <v>0</v>
      </c>
      <c r="CB220">
        <f ca="1">IF($AN220="",OFFSET(Demand!$A$13,ROW(L217)-1,4+((QUOTIENT(COLUMN(CB$2)-69,3))*5)+MOD(COLUMN(CB$2),3),1,1),"")</f>
        <v>0</v>
      </c>
      <c r="CC220">
        <f ca="1">IF($AN220="",OFFSET(Demand!$A$13,ROW(M217)-1,4+((QUOTIENT(COLUMN(CC$2)-69,3))*5)+MOD(COLUMN(CC$2),3),1,1),"")</f>
        <v>0</v>
      </c>
      <c r="CD220">
        <f ca="1">IF($AN220="",OFFSET(Demand!$A$13,ROW(N217)-1,4+((QUOTIENT(COLUMN(CD$2)-69,3))*5)+MOD(COLUMN(CD$2),3),1,1),"")</f>
        <v>0</v>
      </c>
      <c r="CE220">
        <f ca="1">IF($AN220="",OFFSET(Demand!$A$13,ROW(O217)-1,4+((QUOTIENT(COLUMN(CE$2)-69,3))*5)+MOD(COLUMN(CE$2),3),1,1),"")</f>
        <v>0</v>
      </c>
      <c r="CF220">
        <f ca="1">IF($AN220="",OFFSET(Demand!$A$13,ROW(P217)-1,4+((QUOTIENT(COLUMN(CF$2)-69,3))*5)+MOD(COLUMN(CF$2),3),1,1),"")</f>
        <v>0</v>
      </c>
      <c r="CG220">
        <f ca="1">IF($AN220="",OFFSET(Demand!$A$13,ROW(Q217)-1,4+((QUOTIENT(COLUMN(CG$2)-69,3))*5)+MOD(COLUMN(CG$2),3),1,1),"")</f>
        <v>0</v>
      </c>
      <c r="CH220">
        <f ca="1">IF($AN220="",OFFSET(Demand!$A$13,ROW(R217)-1,4+((QUOTIENT(COLUMN(CH$2)-69,3))*5)+MOD(COLUMN(CH$2),3),1,1),"")</f>
        <v>0</v>
      </c>
      <c r="CI220">
        <f ca="1">IF($AN220="",OFFSET(Demand!$A$13,ROW(S217)-1,4+((QUOTIENT(COLUMN(CI$2)-69,3))*5)+MOD(COLUMN(CI$2),3),1,1),"")</f>
        <v>0</v>
      </c>
      <c r="CJ220">
        <f ca="1">IF($AN220="",OFFSET(Demand!$A$13,ROW(T217)-1,4+((QUOTIENT(COLUMN(CJ$2)-69,3))*5)+MOD(COLUMN(CJ$2),3),1,1),"")</f>
        <v>0</v>
      </c>
      <c r="CK220">
        <f ca="1">IF($AN220="",OFFSET(Demand!$A$13,ROW(U217)-1,4+((QUOTIENT(COLUMN(CK$2)-69,3))*5)+MOD(COLUMN(CK$2),3),1,1),"")</f>
        <v>0</v>
      </c>
      <c r="CL220">
        <f ca="1">IF($AN220="",OFFSET(Demand!$A$13,ROW(V217)-1,4+((QUOTIENT(COLUMN(CL$2)-69,3))*5)+MOD(COLUMN(CL$2),3),1,1),"")</f>
        <v>0</v>
      </c>
      <c r="CM220">
        <f ca="1">IF($AN220="",OFFSET(Demand!$A$13,ROW(W217)-1,4+((QUOTIENT(COLUMN(CM$2)-69,3))*5)+MOD(COLUMN(CM$2),3),1,1),"")</f>
        <v>0</v>
      </c>
      <c r="CN220">
        <f ca="1">IF($AN220="",OFFSET(Demand!$A$13,ROW(X217)-1,4+((QUOTIENT(COLUMN(CN$2)-69,3))*5)+MOD(COLUMN(CN$2),3),1,1),"")</f>
        <v>0</v>
      </c>
      <c r="CO220">
        <f ca="1">IF($AN220="",OFFSET(Demand!$A$13,ROW(Y217)-1,4+((QUOTIENT(COLUMN(CO$2)-69,3))*5)+MOD(COLUMN(CO$2),3),1,1),"")</f>
        <v>0</v>
      </c>
      <c r="CP220">
        <f ca="1">IF($AN220="",OFFSET(Demand!$A$13,ROW(Z217)-1,4+((QUOTIENT(COLUMN(CP$2)-69,3))*5)+MOD(COLUMN(CP$2),3),1,1),"")</f>
        <v>0</v>
      </c>
      <c r="CQ220">
        <f ca="1">IF($AN220="",OFFSET(Demand!$A$13,ROW(AA217)-1,4+((QUOTIENT(COLUMN(CQ$2)-69,3))*5)+MOD(COLUMN(CQ$2),3),1,1),"")</f>
        <v>0</v>
      </c>
      <c r="CR220">
        <f ca="1">IF($AN220="",OFFSET(Demand!$A$13,ROW(AB217)-1,4+((QUOTIENT(COLUMN(CR$2)-69,3))*5)+MOD(COLUMN(CR$2),3),1,1),"")</f>
        <v>0</v>
      </c>
      <c r="CS220">
        <f ca="1">IF($AN220="",OFFSET(Demand!$A$13,ROW(AC217)-1,4+((QUOTIENT(COLUMN(CS$2)-69,3))*5)+MOD(COLUMN(CS$2),3),1,1),"")</f>
        <v>0</v>
      </c>
      <c r="CT220">
        <f ca="1">IF($AN220="",OFFSET(Demand!$A$13,ROW(AD217)-1,4+((QUOTIENT(COLUMN(CT$2)-69,3))*5)+MOD(COLUMN(CT$2),3),1,1),"")</f>
        <v>0</v>
      </c>
      <c r="CW220" s="5">
        <f ca="1">SUM(OFFSET(Demand!$H$43,ROW(A217)-1,(COLUMN(A217)-1)*5,1,1))*N$2</f>
        <v>0</v>
      </c>
      <c r="CX220" s="5">
        <f ca="1">SUM(OFFSET(Demand!$H$43,ROW(B217)-1,(COLUMN(B217)-1)*5,1,1))*O$2</f>
        <v>0</v>
      </c>
      <c r="CY220" s="5">
        <f ca="1">SUM(OFFSET(Demand!$H$43,ROW(C217)-1,(COLUMN(C217)-1)*5,1,1))*P$2</f>
        <v>0</v>
      </c>
      <c r="CZ220" s="5">
        <f ca="1">SUM(OFFSET(Demand!$H$43,ROW(D217)-1,(COLUMN(D217)-1)*5,1,1))*Q$2</f>
        <v>0</v>
      </c>
      <c r="DA220" s="5">
        <f ca="1">SUM(OFFSET(Demand!$H$43,ROW(E217)-1,(COLUMN(E217)-1)*5,1,1))*R$2</f>
        <v>0</v>
      </c>
      <c r="DB220" s="5">
        <f ca="1">SUM(OFFSET(Demand!$H$43,ROW(F217)-1,(COLUMN(F217)-1)*5,1,1))*S$2</f>
        <v>0</v>
      </c>
      <c r="DC220" s="5">
        <f ca="1">SUM(OFFSET(Demand!$H$43,ROW(G217)-1,(COLUMN(G217)-1)*5,1,1))*T$2</f>
        <v>0</v>
      </c>
      <c r="DD220" s="5">
        <f ca="1">SUM(OFFSET(Demand!$H$43,ROW(H217)-1,(COLUMN(H217)-1)*5,1,1))*U$2</f>
        <v>0</v>
      </c>
      <c r="DE220" s="5">
        <f ca="1">SUM(OFFSET(Demand!$H$43,ROW(I217)-1,(COLUMN(I217)-1)*5,1,1))*V$2</f>
        <v>0</v>
      </c>
      <c r="DF220" s="5">
        <f ca="1">SUM(OFFSET(Demand!$H$43,ROW(J217)-1,(COLUMN(J217)-1)*5,1,1))*W$2</f>
        <v>0</v>
      </c>
      <c r="DG220" s="5">
        <f ca="1">IF(OR(AN220&lt;&gt;"",AND('Demand adjustments for Covid'!$F$9="Yes",'Demand adjustments for Covid'!$F$20="Yes")),"",SUM(CW220:DF220))</f>
        <v>0</v>
      </c>
    </row>
    <row r="221" spans="1:111" x14ac:dyDescent="0.25">
      <c r="A221" s="5">
        <f t="shared" ca="1" si="50"/>
        <v>1</v>
      </c>
      <c r="B221" s="5">
        <f ca="1">COUNTBLANK(OFFSET(Demand!$I230,0,(COLUMN(A218)-1)*5,1,1))</f>
        <v>1</v>
      </c>
      <c r="C221" s="5">
        <f ca="1">COUNTBLANK(OFFSET(Demand!$I230,0,(COLUMN(B218)-1)*5,1,1))</f>
        <v>1</v>
      </c>
      <c r="D221" s="5">
        <f ca="1">COUNTBLANK(OFFSET(Demand!$I230,0,(COLUMN(C218)-1)*5,1,1))</f>
        <v>1</v>
      </c>
      <c r="E221" s="5">
        <f ca="1">COUNTBLANK(OFFSET(Demand!$I230,0,(COLUMN(D218)-1)*5,1,1))</f>
        <v>1</v>
      </c>
      <c r="F221" s="5">
        <f ca="1">COUNTBLANK(OFFSET(Demand!$I230,0,(COLUMN(E218)-1)*5,1,1))</f>
        <v>1</v>
      </c>
      <c r="G221" s="5">
        <f ca="1">COUNTBLANK(OFFSET(Demand!$I230,0,(COLUMN(F218)-1)*5,1,1))</f>
        <v>1</v>
      </c>
      <c r="H221" s="5">
        <f ca="1">COUNTBLANK(OFFSET(Demand!$I230,0,(COLUMN(G218)-1)*5,1,1))</f>
        <v>1</v>
      </c>
      <c r="I221" s="5">
        <f ca="1">COUNTBLANK(OFFSET(Demand!$I230,0,(COLUMN(H218)-1)*5,1,1))</f>
        <v>1</v>
      </c>
      <c r="J221" s="5">
        <f ca="1">COUNTBLANK(OFFSET(Demand!$I230,0,(COLUMN(I218)-1)*5,1,1))</f>
        <v>1</v>
      </c>
      <c r="K221" s="5">
        <f ca="1">COUNTBLANK(OFFSET(Demand!$I230,0,(COLUMN(J218)-1)*5,1,1))</f>
        <v>1</v>
      </c>
      <c r="N221" s="5">
        <f ca="1">SUM(OFFSET(Demand!$E230,0,(COLUMN(A218)-1)*5,1,3))*N$2</f>
        <v>0</v>
      </c>
      <c r="O221" s="5">
        <f ca="1">SUM(OFFSET(Demand!$E230,0,(COLUMN(B218)-1)*5,1,3))*O$2</f>
        <v>0</v>
      </c>
      <c r="P221" s="5">
        <f ca="1">SUM(OFFSET(Demand!$E230,0,(COLUMN(C218)-1)*5,1,3))*P$2</f>
        <v>0</v>
      </c>
      <c r="Q221" s="5">
        <f ca="1">SUM(OFFSET(Demand!$E230,0,(COLUMN(D218)-1)*5,1,3))*Q$2</f>
        <v>0</v>
      </c>
      <c r="R221" s="5">
        <f ca="1">SUM(OFFSET(Demand!$E230,0,(COLUMN(E218)-1)*5,1,3))*R$2</f>
        <v>0</v>
      </c>
      <c r="S221" s="5">
        <f ca="1">SUM(OFFSET(Demand!$E230,0,(COLUMN(F218)-1)*5,1,3))*S$2</f>
        <v>0</v>
      </c>
      <c r="T221" s="5">
        <f ca="1">SUM(OFFSET(Demand!$E230,0,(COLUMN(G218)-1)*5,1,3))*T$2</f>
        <v>0</v>
      </c>
      <c r="U221" s="5">
        <f ca="1">SUM(OFFSET(Demand!$E230,0,(COLUMN(H218)-1)*5,1,3))*U$2</f>
        <v>0</v>
      </c>
      <c r="V221" s="5">
        <f ca="1">SUM(OFFSET(Demand!$E230,0,(COLUMN(I218)-1)*5,1,3))*V$2</f>
        <v>0</v>
      </c>
      <c r="W221" s="5">
        <f ca="1">SUM(OFFSET(Demand!$E230,0,(COLUMN(J218)-1)*5,1,3))*W$2</f>
        <v>0</v>
      </c>
      <c r="X221" s="5">
        <f t="shared" ca="1" si="51"/>
        <v>0</v>
      </c>
      <c r="Y221">
        <f t="shared" ca="1" si="52"/>
        <v>0</v>
      </c>
      <c r="Z221" s="5">
        <f ca="1">SUM(OFFSET(Demand!$H230,0,(COLUMN(A218)-1)*5,1,1))*N$2</f>
        <v>0</v>
      </c>
      <c r="AA221" s="5">
        <f ca="1">SUM(OFFSET(Demand!$H230,0,(COLUMN(B218)-1)*5,1,1))*O$2</f>
        <v>0</v>
      </c>
      <c r="AB221" s="5">
        <f ca="1">SUM(OFFSET(Demand!$H230,0,(COLUMN(C218)-1)*5,1,1))*P$2</f>
        <v>0</v>
      </c>
      <c r="AC221" s="5">
        <f ca="1">SUM(OFFSET(Demand!$H230,0,(COLUMN(D218)-1)*5,1,1))*Q$2</f>
        <v>0</v>
      </c>
      <c r="AD221" s="5">
        <f ca="1">SUM(OFFSET(Demand!$H230,0,(COLUMN(E218)-1)*5,1,1))*R$2</f>
        <v>0</v>
      </c>
      <c r="AE221" s="5">
        <f ca="1">SUM(OFFSET(Demand!$H230,0,(COLUMN(F218)-1)*5,1,1))*S$2</f>
        <v>0</v>
      </c>
      <c r="AF221" s="5">
        <f ca="1">SUM(OFFSET(Demand!$H230,0,(COLUMN(G218)-1)*5,1,1))*T$2</f>
        <v>0</v>
      </c>
      <c r="AG221" s="5">
        <f ca="1">SUM(OFFSET(Demand!$H230,0,(COLUMN(H218)-1)*5,1,1))*U$2</f>
        <v>0</v>
      </c>
      <c r="AH221" s="5">
        <f ca="1">SUM(OFFSET(Demand!$H230,0,(COLUMN(I218)-1)*5,1,1))*V$2</f>
        <v>0</v>
      </c>
      <c r="AI221" s="5">
        <f ca="1">SUM(OFFSET(Demand!$H230,0,(COLUMN(J218)-1)*5,1,1))*W$2</f>
        <v>0</v>
      </c>
      <c r="AJ221" s="5">
        <f t="shared" ca="1" si="53"/>
        <v>0</v>
      </c>
      <c r="AL221" s="5">
        <f t="shared" ca="1" si="54"/>
        <v>0</v>
      </c>
      <c r="AM221" s="5">
        <f t="shared" ca="1" si="55"/>
        <v>0</v>
      </c>
      <c r="AN221" s="5" t="str">
        <f>IF(Demand!BE230="Yes","Yes","")</f>
        <v/>
      </c>
      <c r="AP221" s="36" t="str">
        <f ca="1">Demand!B230</f>
        <v xml:space="preserve"> </v>
      </c>
      <c r="AQ221" t="str">
        <f ca="1">IF(TEXT(Demand!D230,"MMM")&lt;&gt;TEXT(Demand!D229,"MMM"),TEXT(Demand!D230,"MMM"),"")</f>
        <v/>
      </c>
      <c r="AT221" s="5">
        <f t="shared" ca="1" si="56"/>
        <v>0</v>
      </c>
      <c r="BQ221">
        <f ca="1">IF($AN221="",OFFSET(Demand!$A$13,ROW(A218)-1,4+((QUOTIENT(COLUMN(BQ$2)-69,3))*5)+MOD(COLUMN(BQ$2),3),1,1),"")</f>
        <v>0</v>
      </c>
      <c r="BR221">
        <f ca="1">IF($AN221="",OFFSET(Demand!$A$13,ROW(B218)-1,4+((QUOTIENT(COLUMN(BR$2)-69,3))*5)+MOD(COLUMN(BR$2),3),1,1),"")</f>
        <v>0</v>
      </c>
      <c r="BS221">
        <f ca="1">IF($AN221="",OFFSET(Demand!$A$13,ROW(C218)-1,4+((QUOTIENT(COLUMN(BS$2)-69,3))*5)+MOD(COLUMN(BS$2),3),1,1),"")</f>
        <v>0</v>
      </c>
      <c r="BT221">
        <f ca="1">IF($AN221="",OFFSET(Demand!$A$13,ROW(D218)-1,4+((QUOTIENT(COLUMN(BT$2)-69,3))*5)+MOD(COLUMN(BT$2),3),1,1),"")</f>
        <v>0</v>
      </c>
      <c r="BU221">
        <f ca="1">IF($AN221="",OFFSET(Demand!$A$13,ROW(E218)-1,4+((QUOTIENT(COLUMN(BU$2)-69,3))*5)+MOD(COLUMN(BU$2),3),1,1),"")</f>
        <v>0</v>
      </c>
      <c r="BV221">
        <f ca="1">IF($AN221="",OFFSET(Demand!$A$13,ROW(F218)-1,4+((QUOTIENT(COLUMN(BV$2)-69,3))*5)+MOD(COLUMN(BV$2),3),1,1),"")</f>
        <v>0</v>
      </c>
      <c r="BW221">
        <f ca="1">IF($AN221="",OFFSET(Demand!$A$13,ROW(G218)-1,4+((QUOTIENT(COLUMN(BW$2)-69,3))*5)+MOD(COLUMN(BW$2),3),1,1),"")</f>
        <v>0</v>
      </c>
      <c r="BX221">
        <f ca="1">IF($AN221="",OFFSET(Demand!$A$13,ROW(H218)-1,4+((QUOTIENT(COLUMN(BX$2)-69,3))*5)+MOD(COLUMN(BX$2),3),1,1),"")</f>
        <v>0</v>
      </c>
      <c r="BY221">
        <f ca="1">IF($AN221="",OFFSET(Demand!$A$13,ROW(I218)-1,4+((QUOTIENT(COLUMN(BY$2)-69,3))*5)+MOD(COLUMN(BY$2),3),1,1),"")</f>
        <v>0</v>
      </c>
      <c r="BZ221">
        <f ca="1">IF($AN221="",OFFSET(Demand!$A$13,ROW(J218)-1,4+((QUOTIENT(COLUMN(BZ$2)-69,3))*5)+MOD(COLUMN(BZ$2),3),1,1),"")</f>
        <v>0</v>
      </c>
      <c r="CA221">
        <f ca="1">IF($AN221="",OFFSET(Demand!$A$13,ROW(K218)-1,4+((QUOTIENT(COLUMN(CA$2)-69,3))*5)+MOD(COLUMN(CA$2),3),1,1),"")</f>
        <v>0</v>
      </c>
      <c r="CB221">
        <f ca="1">IF($AN221="",OFFSET(Demand!$A$13,ROW(L218)-1,4+((QUOTIENT(COLUMN(CB$2)-69,3))*5)+MOD(COLUMN(CB$2),3),1,1),"")</f>
        <v>0</v>
      </c>
      <c r="CC221">
        <f ca="1">IF($AN221="",OFFSET(Demand!$A$13,ROW(M218)-1,4+((QUOTIENT(COLUMN(CC$2)-69,3))*5)+MOD(COLUMN(CC$2),3),1,1),"")</f>
        <v>0</v>
      </c>
      <c r="CD221">
        <f ca="1">IF($AN221="",OFFSET(Demand!$A$13,ROW(N218)-1,4+((QUOTIENT(COLUMN(CD$2)-69,3))*5)+MOD(COLUMN(CD$2),3),1,1),"")</f>
        <v>0</v>
      </c>
      <c r="CE221">
        <f ca="1">IF($AN221="",OFFSET(Demand!$A$13,ROW(O218)-1,4+((QUOTIENT(COLUMN(CE$2)-69,3))*5)+MOD(COLUMN(CE$2),3),1,1),"")</f>
        <v>0</v>
      </c>
      <c r="CF221">
        <f ca="1">IF($AN221="",OFFSET(Demand!$A$13,ROW(P218)-1,4+((QUOTIENT(COLUMN(CF$2)-69,3))*5)+MOD(COLUMN(CF$2),3),1,1),"")</f>
        <v>0</v>
      </c>
      <c r="CG221">
        <f ca="1">IF($AN221="",OFFSET(Demand!$A$13,ROW(Q218)-1,4+((QUOTIENT(COLUMN(CG$2)-69,3))*5)+MOD(COLUMN(CG$2),3),1,1),"")</f>
        <v>0</v>
      </c>
      <c r="CH221">
        <f ca="1">IF($AN221="",OFFSET(Demand!$A$13,ROW(R218)-1,4+((QUOTIENT(COLUMN(CH$2)-69,3))*5)+MOD(COLUMN(CH$2),3),1,1),"")</f>
        <v>0</v>
      </c>
      <c r="CI221">
        <f ca="1">IF($AN221="",OFFSET(Demand!$A$13,ROW(S218)-1,4+((QUOTIENT(COLUMN(CI$2)-69,3))*5)+MOD(COLUMN(CI$2),3),1,1),"")</f>
        <v>0</v>
      </c>
      <c r="CJ221">
        <f ca="1">IF($AN221="",OFFSET(Demand!$A$13,ROW(T218)-1,4+((QUOTIENT(COLUMN(CJ$2)-69,3))*5)+MOD(COLUMN(CJ$2),3),1,1),"")</f>
        <v>0</v>
      </c>
      <c r="CK221">
        <f ca="1">IF($AN221="",OFFSET(Demand!$A$13,ROW(U218)-1,4+((QUOTIENT(COLUMN(CK$2)-69,3))*5)+MOD(COLUMN(CK$2),3),1,1),"")</f>
        <v>0</v>
      </c>
      <c r="CL221">
        <f ca="1">IF($AN221="",OFFSET(Demand!$A$13,ROW(V218)-1,4+((QUOTIENT(COLUMN(CL$2)-69,3))*5)+MOD(COLUMN(CL$2),3),1,1),"")</f>
        <v>0</v>
      </c>
      <c r="CM221">
        <f ca="1">IF($AN221="",OFFSET(Demand!$A$13,ROW(W218)-1,4+((QUOTIENT(COLUMN(CM$2)-69,3))*5)+MOD(COLUMN(CM$2),3),1,1),"")</f>
        <v>0</v>
      </c>
      <c r="CN221">
        <f ca="1">IF($AN221="",OFFSET(Demand!$A$13,ROW(X218)-1,4+((QUOTIENT(COLUMN(CN$2)-69,3))*5)+MOD(COLUMN(CN$2),3),1,1),"")</f>
        <v>0</v>
      </c>
      <c r="CO221">
        <f ca="1">IF($AN221="",OFFSET(Demand!$A$13,ROW(Y218)-1,4+((QUOTIENT(COLUMN(CO$2)-69,3))*5)+MOD(COLUMN(CO$2),3),1,1),"")</f>
        <v>0</v>
      </c>
      <c r="CP221">
        <f ca="1">IF($AN221="",OFFSET(Demand!$A$13,ROW(Z218)-1,4+((QUOTIENT(COLUMN(CP$2)-69,3))*5)+MOD(COLUMN(CP$2),3),1,1),"")</f>
        <v>0</v>
      </c>
      <c r="CQ221">
        <f ca="1">IF($AN221="",OFFSET(Demand!$A$13,ROW(AA218)-1,4+((QUOTIENT(COLUMN(CQ$2)-69,3))*5)+MOD(COLUMN(CQ$2),3),1,1),"")</f>
        <v>0</v>
      </c>
      <c r="CR221">
        <f ca="1">IF($AN221="",OFFSET(Demand!$A$13,ROW(AB218)-1,4+((QUOTIENT(COLUMN(CR$2)-69,3))*5)+MOD(COLUMN(CR$2),3),1,1),"")</f>
        <v>0</v>
      </c>
      <c r="CS221">
        <f ca="1">IF($AN221="",OFFSET(Demand!$A$13,ROW(AC218)-1,4+((QUOTIENT(COLUMN(CS$2)-69,3))*5)+MOD(COLUMN(CS$2),3),1,1),"")</f>
        <v>0</v>
      </c>
      <c r="CT221">
        <f ca="1">IF($AN221="",OFFSET(Demand!$A$13,ROW(AD218)-1,4+((QUOTIENT(COLUMN(CT$2)-69,3))*5)+MOD(COLUMN(CT$2),3),1,1),"")</f>
        <v>0</v>
      </c>
      <c r="CW221" s="5">
        <f ca="1">SUM(OFFSET(Demand!$H$43,ROW(A218)-1,(COLUMN(A218)-1)*5,1,1))*N$2</f>
        <v>0</v>
      </c>
      <c r="CX221" s="5">
        <f ca="1">SUM(OFFSET(Demand!$H$43,ROW(B218)-1,(COLUMN(B218)-1)*5,1,1))*O$2</f>
        <v>0</v>
      </c>
      <c r="CY221" s="5">
        <f ca="1">SUM(OFFSET(Demand!$H$43,ROW(C218)-1,(COLUMN(C218)-1)*5,1,1))*P$2</f>
        <v>0</v>
      </c>
      <c r="CZ221" s="5">
        <f ca="1">SUM(OFFSET(Demand!$H$43,ROW(D218)-1,(COLUMN(D218)-1)*5,1,1))*Q$2</f>
        <v>0</v>
      </c>
      <c r="DA221" s="5">
        <f ca="1">SUM(OFFSET(Demand!$H$43,ROW(E218)-1,(COLUMN(E218)-1)*5,1,1))*R$2</f>
        <v>0</v>
      </c>
      <c r="DB221" s="5">
        <f ca="1">SUM(OFFSET(Demand!$H$43,ROW(F218)-1,(COLUMN(F218)-1)*5,1,1))*S$2</f>
        <v>0</v>
      </c>
      <c r="DC221" s="5">
        <f ca="1">SUM(OFFSET(Demand!$H$43,ROW(G218)-1,(COLUMN(G218)-1)*5,1,1))*T$2</f>
        <v>0</v>
      </c>
      <c r="DD221" s="5">
        <f ca="1">SUM(OFFSET(Demand!$H$43,ROW(H218)-1,(COLUMN(H218)-1)*5,1,1))*U$2</f>
        <v>0</v>
      </c>
      <c r="DE221" s="5">
        <f ca="1">SUM(OFFSET(Demand!$H$43,ROW(I218)-1,(COLUMN(I218)-1)*5,1,1))*V$2</f>
        <v>0</v>
      </c>
      <c r="DF221" s="5">
        <f ca="1">SUM(OFFSET(Demand!$H$43,ROW(J218)-1,(COLUMN(J218)-1)*5,1,1))*W$2</f>
        <v>0</v>
      </c>
      <c r="DG221" s="5">
        <f ca="1">IF(OR(AN221&lt;&gt;"",AND('Demand adjustments for Covid'!$F$9="Yes",'Demand adjustments for Covid'!$F$20="Yes")),"",SUM(CW221:DF221))</f>
        <v>0</v>
      </c>
    </row>
    <row r="222" spans="1:111" x14ac:dyDescent="0.25">
      <c r="A222" s="5">
        <f t="shared" ca="1" si="50"/>
        <v>1</v>
      </c>
      <c r="B222" s="5">
        <f ca="1">COUNTBLANK(OFFSET(Demand!$I231,0,(COLUMN(A219)-1)*5,1,1))</f>
        <v>1</v>
      </c>
      <c r="C222" s="5">
        <f ca="1">COUNTBLANK(OFFSET(Demand!$I231,0,(COLUMN(B219)-1)*5,1,1))</f>
        <v>1</v>
      </c>
      <c r="D222" s="5">
        <f ca="1">COUNTBLANK(OFFSET(Demand!$I231,0,(COLUMN(C219)-1)*5,1,1))</f>
        <v>1</v>
      </c>
      <c r="E222" s="5">
        <f ca="1">COUNTBLANK(OFFSET(Demand!$I231,0,(COLUMN(D219)-1)*5,1,1))</f>
        <v>1</v>
      </c>
      <c r="F222" s="5">
        <f ca="1">COUNTBLANK(OFFSET(Demand!$I231,0,(COLUMN(E219)-1)*5,1,1))</f>
        <v>1</v>
      </c>
      <c r="G222" s="5">
        <f ca="1">COUNTBLANK(OFFSET(Demand!$I231,0,(COLUMN(F219)-1)*5,1,1))</f>
        <v>1</v>
      </c>
      <c r="H222" s="5">
        <f ca="1">COUNTBLANK(OFFSET(Demand!$I231,0,(COLUMN(G219)-1)*5,1,1))</f>
        <v>1</v>
      </c>
      <c r="I222" s="5">
        <f ca="1">COUNTBLANK(OFFSET(Demand!$I231,0,(COLUMN(H219)-1)*5,1,1))</f>
        <v>1</v>
      </c>
      <c r="J222" s="5">
        <f ca="1">COUNTBLANK(OFFSET(Demand!$I231,0,(COLUMN(I219)-1)*5,1,1))</f>
        <v>1</v>
      </c>
      <c r="K222" s="5">
        <f ca="1">COUNTBLANK(OFFSET(Demand!$I231,0,(COLUMN(J219)-1)*5,1,1))</f>
        <v>1</v>
      </c>
      <c r="N222" s="5">
        <f ca="1">SUM(OFFSET(Demand!$E231,0,(COLUMN(A219)-1)*5,1,3))*N$2</f>
        <v>0</v>
      </c>
      <c r="O222" s="5">
        <f ca="1">SUM(OFFSET(Demand!$E231,0,(COLUMN(B219)-1)*5,1,3))*O$2</f>
        <v>0</v>
      </c>
      <c r="P222" s="5">
        <f ca="1">SUM(OFFSET(Demand!$E231,0,(COLUMN(C219)-1)*5,1,3))*P$2</f>
        <v>0</v>
      </c>
      <c r="Q222" s="5">
        <f ca="1">SUM(OFFSET(Demand!$E231,0,(COLUMN(D219)-1)*5,1,3))*Q$2</f>
        <v>0</v>
      </c>
      <c r="R222" s="5">
        <f ca="1">SUM(OFFSET(Demand!$E231,0,(COLUMN(E219)-1)*5,1,3))*R$2</f>
        <v>0</v>
      </c>
      <c r="S222" s="5">
        <f ca="1">SUM(OFFSET(Demand!$E231,0,(COLUMN(F219)-1)*5,1,3))*S$2</f>
        <v>0</v>
      </c>
      <c r="T222" s="5">
        <f ca="1">SUM(OFFSET(Demand!$E231,0,(COLUMN(G219)-1)*5,1,3))*T$2</f>
        <v>0</v>
      </c>
      <c r="U222" s="5">
        <f ca="1">SUM(OFFSET(Demand!$E231,0,(COLUMN(H219)-1)*5,1,3))*U$2</f>
        <v>0</v>
      </c>
      <c r="V222" s="5">
        <f ca="1">SUM(OFFSET(Demand!$E231,0,(COLUMN(I219)-1)*5,1,3))*V$2</f>
        <v>0</v>
      </c>
      <c r="W222" s="5">
        <f ca="1">SUM(OFFSET(Demand!$E231,0,(COLUMN(J219)-1)*5,1,3))*W$2</f>
        <v>0</v>
      </c>
      <c r="X222" s="5">
        <f t="shared" ca="1" si="51"/>
        <v>0</v>
      </c>
      <c r="Y222">
        <f t="shared" ca="1" si="52"/>
        <v>0</v>
      </c>
      <c r="Z222" s="5">
        <f ca="1">SUM(OFFSET(Demand!$H231,0,(COLUMN(A219)-1)*5,1,1))*N$2</f>
        <v>0</v>
      </c>
      <c r="AA222" s="5">
        <f ca="1">SUM(OFFSET(Demand!$H231,0,(COLUMN(B219)-1)*5,1,1))*O$2</f>
        <v>0</v>
      </c>
      <c r="AB222" s="5">
        <f ca="1">SUM(OFFSET(Demand!$H231,0,(COLUMN(C219)-1)*5,1,1))*P$2</f>
        <v>0</v>
      </c>
      <c r="AC222" s="5">
        <f ca="1">SUM(OFFSET(Demand!$H231,0,(COLUMN(D219)-1)*5,1,1))*Q$2</f>
        <v>0</v>
      </c>
      <c r="AD222" s="5">
        <f ca="1">SUM(OFFSET(Demand!$H231,0,(COLUMN(E219)-1)*5,1,1))*R$2</f>
        <v>0</v>
      </c>
      <c r="AE222" s="5">
        <f ca="1">SUM(OFFSET(Demand!$H231,0,(COLUMN(F219)-1)*5,1,1))*S$2</f>
        <v>0</v>
      </c>
      <c r="AF222" s="5">
        <f ca="1">SUM(OFFSET(Demand!$H231,0,(COLUMN(G219)-1)*5,1,1))*T$2</f>
        <v>0</v>
      </c>
      <c r="AG222" s="5">
        <f ca="1">SUM(OFFSET(Demand!$H231,0,(COLUMN(H219)-1)*5,1,1))*U$2</f>
        <v>0</v>
      </c>
      <c r="AH222" s="5">
        <f ca="1">SUM(OFFSET(Demand!$H231,0,(COLUMN(I219)-1)*5,1,1))*V$2</f>
        <v>0</v>
      </c>
      <c r="AI222" s="5">
        <f ca="1">SUM(OFFSET(Demand!$H231,0,(COLUMN(J219)-1)*5,1,1))*W$2</f>
        <v>0</v>
      </c>
      <c r="AJ222" s="5">
        <f t="shared" ca="1" si="53"/>
        <v>0</v>
      </c>
      <c r="AL222" s="5">
        <f t="shared" ca="1" si="54"/>
        <v>0</v>
      </c>
      <c r="AM222" s="5">
        <f t="shared" ca="1" si="55"/>
        <v>0</v>
      </c>
      <c r="AN222" s="5" t="str">
        <f>IF(Demand!BE231="Yes","Yes","")</f>
        <v/>
      </c>
      <c r="AP222" s="36" t="str">
        <f ca="1">Demand!B231</f>
        <v xml:space="preserve"> </v>
      </c>
      <c r="AQ222" t="str">
        <f ca="1">IF(TEXT(Demand!D231,"MMM")&lt;&gt;TEXT(Demand!D230,"MMM"),TEXT(Demand!D231,"MMM"),"")</f>
        <v/>
      </c>
      <c r="AT222" s="5">
        <f t="shared" ca="1" si="56"/>
        <v>0</v>
      </c>
      <c r="BQ222">
        <f ca="1">IF($AN222="",OFFSET(Demand!$A$13,ROW(A219)-1,4+((QUOTIENT(COLUMN(BQ$2)-69,3))*5)+MOD(COLUMN(BQ$2),3),1,1),"")</f>
        <v>0</v>
      </c>
      <c r="BR222">
        <f ca="1">IF($AN222="",OFFSET(Demand!$A$13,ROW(B219)-1,4+((QUOTIENT(COLUMN(BR$2)-69,3))*5)+MOD(COLUMN(BR$2),3),1,1),"")</f>
        <v>0</v>
      </c>
      <c r="BS222">
        <f ca="1">IF($AN222="",OFFSET(Demand!$A$13,ROW(C219)-1,4+((QUOTIENT(COLUMN(BS$2)-69,3))*5)+MOD(COLUMN(BS$2),3),1,1),"")</f>
        <v>0</v>
      </c>
      <c r="BT222">
        <f ca="1">IF($AN222="",OFFSET(Demand!$A$13,ROW(D219)-1,4+((QUOTIENT(COLUMN(BT$2)-69,3))*5)+MOD(COLUMN(BT$2),3),1,1),"")</f>
        <v>0</v>
      </c>
      <c r="BU222">
        <f ca="1">IF($AN222="",OFFSET(Demand!$A$13,ROW(E219)-1,4+((QUOTIENT(COLUMN(BU$2)-69,3))*5)+MOD(COLUMN(BU$2),3),1,1),"")</f>
        <v>0</v>
      </c>
      <c r="BV222">
        <f ca="1">IF($AN222="",OFFSET(Demand!$A$13,ROW(F219)-1,4+((QUOTIENT(COLUMN(BV$2)-69,3))*5)+MOD(COLUMN(BV$2),3),1,1),"")</f>
        <v>0</v>
      </c>
      <c r="BW222">
        <f ca="1">IF($AN222="",OFFSET(Demand!$A$13,ROW(G219)-1,4+((QUOTIENT(COLUMN(BW$2)-69,3))*5)+MOD(COLUMN(BW$2),3),1,1),"")</f>
        <v>0</v>
      </c>
      <c r="BX222">
        <f ca="1">IF($AN222="",OFFSET(Demand!$A$13,ROW(H219)-1,4+((QUOTIENT(COLUMN(BX$2)-69,3))*5)+MOD(COLUMN(BX$2),3),1,1),"")</f>
        <v>0</v>
      </c>
      <c r="BY222">
        <f ca="1">IF($AN222="",OFFSET(Demand!$A$13,ROW(I219)-1,4+((QUOTIENT(COLUMN(BY$2)-69,3))*5)+MOD(COLUMN(BY$2),3),1,1),"")</f>
        <v>0</v>
      </c>
      <c r="BZ222">
        <f ca="1">IF($AN222="",OFFSET(Demand!$A$13,ROW(J219)-1,4+((QUOTIENT(COLUMN(BZ$2)-69,3))*5)+MOD(COLUMN(BZ$2),3),1,1),"")</f>
        <v>0</v>
      </c>
      <c r="CA222">
        <f ca="1">IF($AN222="",OFFSET(Demand!$A$13,ROW(K219)-1,4+((QUOTIENT(COLUMN(CA$2)-69,3))*5)+MOD(COLUMN(CA$2),3),1,1),"")</f>
        <v>0</v>
      </c>
      <c r="CB222">
        <f ca="1">IF($AN222="",OFFSET(Demand!$A$13,ROW(L219)-1,4+((QUOTIENT(COLUMN(CB$2)-69,3))*5)+MOD(COLUMN(CB$2),3),1,1),"")</f>
        <v>0</v>
      </c>
      <c r="CC222">
        <f ca="1">IF($AN222="",OFFSET(Demand!$A$13,ROW(M219)-1,4+((QUOTIENT(COLUMN(CC$2)-69,3))*5)+MOD(COLUMN(CC$2),3),1,1),"")</f>
        <v>0</v>
      </c>
      <c r="CD222">
        <f ca="1">IF($AN222="",OFFSET(Demand!$A$13,ROW(N219)-1,4+((QUOTIENT(COLUMN(CD$2)-69,3))*5)+MOD(COLUMN(CD$2),3),1,1),"")</f>
        <v>0</v>
      </c>
      <c r="CE222">
        <f ca="1">IF($AN222="",OFFSET(Demand!$A$13,ROW(O219)-1,4+((QUOTIENT(COLUMN(CE$2)-69,3))*5)+MOD(COLUMN(CE$2),3),1,1),"")</f>
        <v>0</v>
      </c>
      <c r="CF222">
        <f ca="1">IF($AN222="",OFFSET(Demand!$A$13,ROW(P219)-1,4+((QUOTIENT(COLUMN(CF$2)-69,3))*5)+MOD(COLUMN(CF$2),3),1,1),"")</f>
        <v>0</v>
      </c>
      <c r="CG222">
        <f ca="1">IF($AN222="",OFFSET(Demand!$A$13,ROW(Q219)-1,4+((QUOTIENT(COLUMN(CG$2)-69,3))*5)+MOD(COLUMN(CG$2),3),1,1),"")</f>
        <v>0</v>
      </c>
      <c r="CH222">
        <f ca="1">IF($AN222="",OFFSET(Demand!$A$13,ROW(R219)-1,4+((QUOTIENT(COLUMN(CH$2)-69,3))*5)+MOD(COLUMN(CH$2),3),1,1),"")</f>
        <v>0</v>
      </c>
      <c r="CI222">
        <f ca="1">IF($AN222="",OFFSET(Demand!$A$13,ROW(S219)-1,4+((QUOTIENT(COLUMN(CI$2)-69,3))*5)+MOD(COLUMN(CI$2),3),1,1),"")</f>
        <v>0</v>
      </c>
      <c r="CJ222">
        <f ca="1">IF($AN222="",OFFSET(Demand!$A$13,ROW(T219)-1,4+((QUOTIENT(COLUMN(CJ$2)-69,3))*5)+MOD(COLUMN(CJ$2),3),1,1),"")</f>
        <v>0</v>
      </c>
      <c r="CK222">
        <f ca="1">IF($AN222="",OFFSET(Demand!$A$13,ROW(U219)-1,4+((QUOTIENT(COLUMN(CK$2)-69,3))*5)+MOD(COLUMN(CK$2),3),1,1),"")</f>
        <v>0</v>
      </c>
      <c r="CL222">
        <f ca="1">IF($AN222="",OFFSET(Demand!$A$13,ROW(V219)-1,4+((QUOTIENT(COLUMN(CL$2)-69,3))*5)+MOD(COLUMN(CL$2),3),1,1),"")</f>
        <v>0</v>
      </c>
      <c r="CM222">
        <f ca="1">IF($AN222="",OFFSET(Demand!$A$13,ROW(W219)-1,4+((QUOTIENT(COLUMN(CM$2)-69,3))*5)+MOD(COLUMN(CM$2),3),1,1),"")</f>
        <v>0</v>
      </c>
      <c r="CN222">
        <f ca="1">IF($AN222="",OFFSET(Demand!$A$13,ROW(X219)-1,4+((QUOTIENT(COLUMN(CN$2)-69,3))*5)+MOD(COLUMN(CN$2),3),1,1),"")</f>
        <v>0</v>
      </c>
      <c r="CO222">
        <f ca="1">IF($AN222="",OFFSET(Demand!$A$13,ROW(Y219)-1,4+((QUOTIENT(COLUMN(CO$2)-69,3))*5)+MOD(COLUMN(CO$2),3),1,1),"")</f>
        <v>0</v>
      </c>
      <c r="CP222">
        <f ca="1">IF($AN222="",OFFSET(Demand!$A$13,ROW(Z219)-1,4+((QUOTIENT(COLUMN(CP$2)-69,3))*5)+MOD(COLUMN(CP$2),3),1,1),"")</f>
        <v>0</v>
      </c>
      <c r="CQ222">
        <f ca="1">IF($AN222="",OFFSET(Demand!$A$13,ROW(AA219)-1,4+((QUOTIENT(COLUMN(CQ$2)-69,3))*5)+MOD(COLUMN(CQ$2),3),1,1),"")</f>
        <v>0</v>
      </c>
      <c r="CR222">
        <f ca="1">IF($AN222="",OFFSET(Demand!$A$13,ROW(AB219)-1,4+((QUOTIENT(COLUMN(CR$2)-69,3))*5)+MOD(COLUMN(CR$2),3),1,1),"")</f>
        <v>0</v>
      </c>
      <c r="CS222">
        <f ca="1">IF($AN222="",OFFSET(Demand!$A$13,ROW(AC219)-1,4+((QUOTIENT(COLUMN(CS$2)-69,3))*5)+MOD(COLUMN(CS$2),3),1,1),"")</f>
        <v>0</v>
      </c>
      <c r="CT222">
        <f ca="1">IF($AN222="",OFFSET(Demand!$A$13,ROW(AD219)-1,4+((QUOTIENT(COLUMN(CT$2)-69,3))*5)+MOD(COLUMN(CT$2),3),1,1),"")</f>
        <v>0</v>
      </c>
      <c r="CW222" s="5">
        <f ca="1">SUM(OFFSET(Demand!$H$43,ROW(A219)-1,(COLUMN(A219)-1)*5,1,1))*N$2</f>
        <v>0</v>
      </c>
      <c r="CX222" s="5">
        <f ca="1">SUM(OFFSET(Demand!$H$43,ROW(B219)-1,(COLUMN(B219)-1)*5,1,1))*O$2</f>
        <v>0</v>
      </c>
      <c r="CY222" s="5">
        <f ca="1">SUM(OFFSET(Demand!$H$43,ROW(C219)-1,(COLUMN(C219)-1)*5,1,1))*P$2</f>
        <v>0</v>
      </c>
      <c r="CZ222" s="5">
        <f ca="1">SUM(OFFSET(Demand!$H$43,ROW(D219)-1,(COLUMN(D219)-1)*5,1,1))*Q$2</f>
        <v>0</v>
      </c>
      <c r="DA222" s="5">
        <f ca="1">SUM(OFFSET(Demand!$H$43,ROW(E219)-1,(COLUMN(E219)-1)*5,1,1))*R$2</f>
        <v>0</v>
      </c>
      <c r="DB222" s="5">
        <f ca="1">SUM(OFFSET(Demand!$H$43,ROW(F219)-1,(COLUMN(F219)-1)*5,1,1))*S$2</f>
        <v>0</v>
      </c>
      <c r="DC222" s="5">
        <f ca="1">SUM(OFFSET(Demand!$H$43,ROW(G219)-1,(COLUMN(G219)-1)*5,1,1))*T$2</f>
        <v>0</v>
      </c>
      <c r="DD222" s="5">
        <f ca="1">SUM(OFFSET(Demand!$H$43,ROW(H219)-1,(COLUMN(H219)-1)*5,1,1))*U$2</f>
        <v>0</v>
      </c>
      <c r="DE222" s="5">
        <f ca="1">SUM(OFFSET(Demand!$H$43,ROW(I219)-1,(COLUMN(I219)-1)*5,1,1))*V$2</f>
        <v>0</v>
      </c>
      <c r="DF222" s="5">
        <f ca="1">SUM(OFFSET(Demand!$H$43,ROW(J219)-1,(COLUMN(J219)-1)*5,1,1))*W$2</f>
        <v>0</v>
      </c>
      <c r="DG222" s="5">
        <f ca="1">IF(OR(AN222&lt;&gt;"",AND('Demand adjustments for Covid'!$F$9="Yes",'Demand adjustments for Covid'!$F$20="Yes")),"",SUM(CW222:DF222))</f>
        <v>0</v>
      </c>
    </row>
    <row r="223" spans="1:111" x14ac:dyDescent="0.25">
      <c r="A223" s="5">
        <f t="shared" ca="1" si="50"/>
        <v>1</v>
      </c>
      <c r="B223" s="5">
        <f ca="1">COUNTBLANK(OFFSET(Demand!$I232,0,(COLUMN(A220)-1)*5,1,1))</f>
        <v>1</v>
      </c>
      <c r="C223" s="5">
        <f ca="1">COUNTBLANK(OFFSET(Demand!$I232,0,(COLUMN(B220)-1)*5,1,1))</f>
        <v>1</v>
      </c>
      <c r="D223" s="5">
        <f ca="1">COUNTBLANK(OFFSET(Demand!$I232,0,(COLUMN(C220)-1)*5,1,1))</f>
        <v>1</v>
      </c>
      <c r="E223" s="5">
        <f ca="1">COUNTBLANK(OFFSET(Demand!$I232,0,(COLUMN(D220)-1)*5,1,1))</f>
        <v>1</v>
      </c>
      <c r="F223" s="5">
        <f ca="1">COUNTBLANK(OFFSET(Demand!$I232,0,(COLUMN(E220)-1)*5,1,1))</f>
        <v>1</v>
      </c>
      <c r="G223" s="5">
        <f ca="1">COUNTBLANK(OFFSET(Demand!$I232,0,(COLUMN(F220)-1)*5,1,1))</f>
        <v>1</v>
      </c>
      <c r="H223" s="5">
        <f ca="1">COUNTBLANK(OFFSET(Demand!$I232,0,(COLUMN(G220)-1)*5,1,1))</f>
        <v>1</v>
      </c>
      <c r="I223" s="5">
        <f ca="1">COUNTBLANK(OFFSET(Demand!$I232,0,(COLUMN(H220)-1)*5,1,1))</f>
        <v>1</v>
      </c>
      <c r="J223" s="5">
        <f ca="1">COUNTBLANK(OFFSET(Demand!$I232,0,(COLUMN(I220)-1)*5,1,1))</f>
        <v>1</v>
      </c>
      <c r="K223" s="5">
        <f ca="1">COUNTBLANK(OFFSET(Demand!$I232,0,(COLUMN(J220)-1)*5,1,1))</f>
        <v>1</v>
      </c>
      <c r="N223" s="5">
        <f ca="1">SUM(OFFSET(Demand!$E232,0,(COLUMN(A220)-1)*5,1,3))*N$2</f>
        <v>0</v>
      </c>
      <c r="O223" s="5">
        <f ca="1">SUM(OFFSET(Demand!$E232,0,(COLUMN(B220)-1)*5,1,3))*O$2</f>
        <v>0</v>
      </c>
      <c r="P223" s="5">
        <f ca="1">SUM(OFFSET(Demand!$E232,0,(COLUMN(C220)-1)*5,1,3))*P$2</f>
        <v>0</v>
      </c>
      <c r="Q223" s="5">
        <f ca="1">SUM(OFFSET(Demand!$E232,0,(COLUMN(D220)-1)*5,1,3))*Q$2</f>
        <v>0</v>
      </c>
      <c r="R223" s="5">
        <f ca="1">SUM(OFFSET(Demand!$E232,0,(COLUMN(E220)-1)*5,1,3))*R$2</f>
        <v>0</v>
      </c>
      <c r="S223" s="5">
        <f ca="1">SUM(OFFSET(Demand!$E232,0,(COLUMN(F220)-1)*5,1,3))*S$2</f>
        <v>0</v>
      </c>
      <c r="T223" s="5">
        <f ca="1">SUM(OFFSET(Demand!$E232,0,(COLUMN(G220)-1)*5,1,3))*T$2</f>
        <v>0</v>
      </c>
      <c r="U223" s="5">
        <f ca="1">SUM(OFFSET(Demand!$E232,0,(COLUMN(H220)-1)*5,1,3))*U$2</f>
        <v>0</v>
      </c>
      <c r="V223" s="5">
        <f ca="1">SUM(OFFSET(Demand!$E232,0,(COLUMN(I220)-1)*5,1,3))*V$2</f>
        <v>0</v>
      </c>
      <c r="W223" s="5">
        <f ca="1">SUM(OFFSET(Demand!$E232,0,(COLUMN(J220)-1)*5,1,3))*W$2</f>
        <v>0</v>
      </c>
      <c r="X223" s="5">
        <f t="shared" ca="1" si="51"/>
        <v>0</v>
      </c>
      <c r="Y223">
        <f t="shared" ca="1" si="52"/>
        <v>0</v>
      </c>
      <c r="Z223" s="5">
        <f ca="1">SUM(OFFSET(Demand!$H232,0,(COLUMN(A220)-1)*5,1,1))*N$2</f>
        <v>0</v>
      </c>
      <c r="AA223" s="5">
        <f ca="1">SUM(OFFSET(Demand!$H232,0,(COLUMN(B220)-1)*5,1,1))*O$2</f>
        <v>0</v>
      </c>
      <c r="AB223" s="5">
        <f ca="1">SUM(OFFSET(Demand!$H232,0,(COLUMN(C220)-1)*5,1,1))*P$2</f>
        <v>0</v>
      </c>
      <c r="AC223" s="5">
        <f ca="1">SUM(OFFSET(Demand!$H232,0,(COLUMN(D220)-1)*5,1,1))*Q$2</f>
        <v>0</v>
      </c>
      <c r="AD223" s="5">
        <f ca="1">SUM(OFFSET(Demand!$H232,0,(COLUMN(E220)-1)*5,1,1))*R$2</f>
        <v>0</v>
      </c>
      <c r="AE223" s="5">
        <f ca="1">SUM(OFFSET(Demand!$H232,0,(COLUMN(F220)-1)*5,1,1))*S$2</f>
        <v>0</v>
      </c>
      <c r="AF223" s="5">
        <f ca="1">SUM(OFFSET(Demand!$H232,0,(COLUMN(G220)-1)*5,1,1))*T$2</f>
        <v>0</v>
      </c>
      <c r="AG223" s="5">
        <f ca="1">SUM(OFFSET(Demand!$H232,0,(COLUMN(H220)-1)*5,1,1))*U$2</f>
        <v>0</v>
      </c>
      <c r="AH223" s="5">
        <f ca="1">SUM(OFFSET(Demand!$H232,0,(COLUMN(I220)-1)*5,1,1))*V$2</f>
        <v>0</v>
      </c>
      <c r="AI223" s="5">
        <f ca="1">SUM(OFFSET(Demand!$H232,0,(COLUMN(J220)-1)*5,1,1))*W$2</f>
        <v>0</v>
      </c>
      <c r="AJ223" s="5">
        <f t="shared" ca="1" si="53"/>
        <v>0</v>
      </c>
      <c r="AL223" s="5">
        <f t="shared" ca="1" si="54"/>
        <v>0</v>
      </c>
      <c r="AM223" s="5">
        <f t="shared" ca="1" si="55"/>
        <v>0</v>
      </c>
      <c r="AN223" s="5" t="str">
        <f>IF(Demand!BE232="Yes","Yes","")</f>
        <v/>
      </c>
      <c r="AP223" s="36" t="str">
        <f ca="1">Demand!B232</f>
        <v xml:space="preserve"> </v>
      </c>
      <c r="AQ223" t="str">
        <f ca="1">IF(TEXT(Demand!D232,"MMM")&lt;&gt;TEXT(Demand!D231,"MMM"),TEXT(Demand!D232,"MMM"),"")</f>
        <v/>
      </c>
      <c r="AT223" s="5">
        <f t="shared" ca="1" si="56"/>
        <v>0</v>
      </c>
      <c r="BQ223">
        <f ca="1">IF($AN223="",OFFSET(Demand!$A$13,ROW(A220)-1,4+((QUOTIENT(COLUMN(BQ$2)-69,3))*5)+MOD(COLUMN(BQ$2),3),1,1),"")</f>
        <v>0</v>
      </c>
      <c r="BR223">
        <f ca="1">IF($AN223="",OFFSET(Demand!$A$13,ROW(B220)-1,4+((QUOTIENT(COLUMN(BR$2)-69,3))*5)+MOD(COLUMN(BR$2),3),1,1),"")</f>
        <v>0</v>
      </c>
      <c r="BS223">
        <f ca="1">IF($AN223="",OFFSET(Demand!$A$13,ROW(C220)-1,4+((QUOTIENT(COLUMN(BS$2)-69,3))*5)+MOD(COLUMN(BS$2),3),1,1),"")</f>
        <v>0</v>
      </c>
      <c r="BT223">
        <f ca="1">IF($AN223="",OFFSET(Demand!$A$13,ROW(D220)-1,4+((QUOTIENT(COLUMN(BT$2)-69,3))*5)+MOD(COLUMN(BT$2),3),1,1),"")</f>
        <v>0</v>
      </c>
      <c r="BU223">
        <f ca="1">IF($AN223="",OFFSET(Demand!$A$13,ROW(E220)-1,4+((QUOTIENT(COLUMN(BU$2)-69,3))*5)+MOD(COLUMN(BU$2),3),1,1),"")</f>
        <v>0</v>
      </c>
      <c r="BV223">
        <f ca="1">IF($AN223="",OFFSET(Demand!$A$13,ROW(F220)-1,4+((QUOTIENT(COLUMN(BV$2)-69,3))*5)+MOD(COLUMN(BV$2),3),1,1),"")</f>
        <v>0</v>
      </c>
      <c r="BW223">
        <f ca="1">IF($AN223="",OFFSET(Demand!$A$13,ROW(G220)-1,4+((QUOTIENT(COLUMN(BW$2)-69,3))*5)+MOD(COLUMN(BW$2),3),1,1),"")</f>
        <v>0</v>
      </c>
      <c r="BX223">
        <f ca="1">IF($AN223="",OFFSET(Demand!$A$13,ROW(H220)-1,4+((QUOTIENT(COLUMN(BX$2)-69,3))*5)+MOD(COLUMN(BX$2),3),1,1),"")</f>
        <v>0</v>
      </c>
      <c r="BY223">
        <f ca="1">IF($AN223="",OFFSET(Demand!$A$13,ROW(I220)-1,4+((QUOTIENT(COLUMN(BY$2)-69,3))*5)+MOD(COLUMN(BY$2),3),1,1),"")</f>
        <v>0</v>
      </c>
      <c r="BZ223">
        <f ca="1">IF($AN223="",OFFSET(Demand!$A$13,ROW(J220)-1,4+((QUOTIENT(COLUMN(BZ$2)-69,3))*5)+MOD(COLUMN(BZ$2),3),1,1),"")</f>
        <v>0</v>
      </c>
      <c r="CA223">
        <f ca="1">IF($AN223="",OFFSET(Demand!$A$13,ROW(K220)-1,4+((QUOTIENT(COLUMN(CA$2)-69,3))*5)+MOD(COLUMN(CA$2),3),1,1),"")</f>
        <v>0</v>
      </c>
      <c r="CB223">
        <f ca="1">IF($AN223="",OFFSET(Demand!$A$13,ROW(L220)-1,4+((QUOTIENT(COLUMN(CB$2)-69,3))*5)+MOD(COLUMN(CB$2),3),1,1),"")</f>
        <v>0</v>
      </c>
      <c r="CC223">
        <f ca="1">IF($AN223="",OFFSET(Demand!$A$13,ROW(M220)-1,4+((QUOTIENT(COLUMN(CC$2)-69,3))*5)+MOD(COLUMN(CC$2),3),1,1),"")</f>
        <v>0</v>
      </c>
      <c r="CD223">
        <f ca="1">IF($AN223="",OFFSET(Demand!$A$13,ROW(N220)-1,4+((QUOTIENT(COLUMN(CD$2)-69,3))*5)+MOD(COLUMN(CD$2),3),1,1),"")</f>
        <v>0</v>
      </c>
      <c r="CE223">
        <f ca="1">IF($AN223="",OFFSET(Demand!$A$13,ROW(O220)-1,4+((QUOTIENT(COLUMN(CE$2)-69,3))*5)+MOD(COLUMN(CE$2),3),1,1),"")</f>
        <v>0</v>
      </c>
      <c r="CF223">
        <f ca="1">IF($AN223="",OFFSET(Demand!$A$13,ROW(P220)-1,4+((QUOTIENT(COLUMN(CF$2)-69,3))*5)+MOD(COLUMN(CF$2),3),1,1),"")</f>
        <v>0</v>
      </c>
      <c r="CG223">
        <f ca="1">IF($AN223="",OFFSET(Demand!$A$13,ROW(Q220)-1,4+((QUOTIENT(COLUMN(CG$2)-69,3))*5)+MOD(COLUMN(CG$2),3),1,1),"")</f>
        <v>0</v>
      </c>
      <c r="CH223">
        <f ca="1">IF($AN223="",OFFSET(Demand!$A$13,ROW(R220)-1,4+((QUOTIENT(COLUMN(CH$2)-69,3))*5)+MOD(COLUMN(CH$2),3),1,1),"")</f>
        <v>0</v>
      </c>
      <c r="CI223">
        <f ca="1">IF($AN223="",OFFSET(Demand!$A$13,ROW(S220)-1,4+((QUOTIENT(COLUMN(CI$2)-69,3))*5)+MOD(COLUMN(CI$2),3),1,1),"")</f>
        <v>0</v>
      </c>
      <c r="CJ223">
        <f ca="1">IF($AN223="",OFFSET(Demand!$A$13,ROW(T220)-1,4+((QUOTIENT(COLUMN(CJ$2)-69,3))*5)+MOD(COLUMN(CJ$2),3),1,1),"")</f>
        <v>0</v>
      </c>
      <c r="CK223">
        <f ca="1">IF($AN223="",OFFSET(Demand!$A$13,ROW(U220)-1,4+((QUOTIENT(COLUMN(CK$2)-69,3))*5)+MOD(COLUMN(CK$2),3),1,1),"")</f>
        <v>0</v>
      </c>
      <c r="CL223">
        <f ca="1">IF($AN223="",OFFSET(Demand!$A$13,ROW(V220)-1,4+((QUOTIENT(COLUMN(CL$2)-69,3))*5)+MOD(COLUMN(CL$2),3),1,1),"")</f>
        <v>0</v>
      </c>
      <c r="CM223">
        <f ca="1">IF($AN223="",OFFSET(Demand!$A$13,ROW(W220)-1,4+((QUOTIENT(COLUMN(CM$2)-69,3))*5)+MOD(COLUMN(CM$2),3),1,1),"")</f>
        <v>0</v>
      </c>
      <c r="CN223">
        <f ca="1">IF($AN223="",OFFSET(Demand!$A$13,ROW(X220)-1,4+((QUOTIENT(COLUMN(CN$2)-69,3))*5)+MOD(COLUMN(CN$2),3),1,1),"")</f>
        <v>0</v>
      </c>
      <c r="CO223">
        <f ca="1">IF($AN223="",OFFSET(Demand!$A$13,ROW(Y220)-1,4+((QUOTIENT(COLUMN(CO$2)-69,3))*5)+MOD(COLUMN(CO$2),3),1,1),"")</f>
        <v>0</v>
      </c>
      <c r="CP223">
        <f ca="1">IF($AN223="",OFFSET(Demand!$A$13,ROW(Z220)-1,4+((QUOTIENT(COLUMN(CP$2)-69,3))*5)+MOD(COLUMN(CP$2),3),1,1),"")</f>
        <v>0</v>
      </c>
      <c r="CQ223">
        <f ca="1">IF($AN223="",OFFSET(Demand!$A$13,ROW(AA220)-1,4+((QUOTIENT(COLUMN(CQ$2)-69,3))*5)+MOD(COLUMN(CQ$2),3),1,1),"")</f>
        <v>0</v>
      </c>
      <c r="CR223">
        <f ca="1">IF($AN223="",OFFSET(Demand!$A$13,ROW(AB220)-1,4+((QUOTIENT(COLUMN(CR$2)-69,3))*5)+MOD(COLUMN(CR$2),3),1,1),"")</f>
        <v>0</v>
      </c>
      <c r="CS223">
        <f ca="1">IF($AN223="",OFFSET(Demand!$A$13,ROW(AC220)-1,4+((QUOTIENT(COLUMN(CS$2)-69,3))*5)+MOD(COLUMN(CS$2),3),1,1),"")</f>
        <v>0</v>
      </c>
      <c r="CT223">
        <f ca="1">IF($AN223="",OFFSET(Demand!$A$13,ROW(AD220)-1,4+((QUOTIENT(COLUMN(CT$2)-69,3))*5)+MOD(COLUMN(CT$2),3),1,1),"")</f>
        <v>0</v>
      </c>
      <c r="CW223" s="5">
        <f ca="1">SUM(OFFSET(Demand!$H$43,ROW(A220)-1,(COLUMN(A220)-1)*5,1,1))*N$2</f>
        <v>0</v>
      </c>
      <c r="CX223" s="5">
        <f ca="1">SUM(OFFSET(Demand!$H$43,ROW(B220)-1,(COLUMN(B220)-1)*5,1,1))*O$2</f>
        <v>0</v>
      </c>
      <c r="CY223" s="5">
        <f ca="1">SUM(OFFSET(Demand!$H$43,ROW(C220)-1,(COLUMN(C220)-1)*5,1,1))*P$2</f>
        <v>0</v>
      </c>
      <c r="CZ223" s="5">
        <f ca="1">SUM(OFFSET(Demand!$H$43,ROW(D220)-1,(COLUMN(D220)-1)*5,1,1))*Q$2</f>
        <v>0</v>
      </c>
      <c r="DA223" s="5">
        <f ca="1">SUM(OFFSET(Demand!$H$43,ROW(E220)-1,(COLUMN(E220)-1)*5,1,1))*R$2</f>
        <v>0</v>
      </c>
      <c r="DB223" s="5">
        <f ca="1">SUM(OFFSET(Demand!$H$43,ROW(F220)-1,(COLUMN(F220)-1)*5,1,1))*S$2</f>
        <v>0</v>
      </c>
      <c r="DC223" s="5">
        <f ca="1">SUM(OFFSET(Demand!$H$43,ROW(G220)-1,(COLUMN(G220)-1)*5,1,1))*T$2</f>
        <v>0</v>
      </c>
      <c r="DD223" s="5">
        <f ca="1">SUM(OFFSET(Demand!$H$43,ROW(H220)-1,(COLUMN(H220)-1)*5,1,1))*U$2</f>
        <v>0</v>
      </c>
      <c r="DE223" s="5">
        <f ca="1">SUM(OFFSET(Demand!$H$43,ROW(I220)-1,(COLUMN(I220)-1)*5,1,1))*V$2</f>
        <v>0</v>
      </c>
      <c r="DF223" s="5">
        <f ca="1">SUM(OFFSET(Demand!$H$43,ROW(J220)-1,(COLUMN(J220)-1)*5,1,1))*W$2</f>
        <v>0</v>
      </c>
      <c r="DG223" s="5">
        <f ca="1">IF(OR(AN223&lt;&gt;"",AND('Demand adjustments for Covid'!$F$9="Yes",'Demand adjustments for Covid'!$F$20="Yes")),"",SUM(CW223:DF223))</f>
        <v>0</v>
      </c>
    </row>
    <row r="224" spans="1:111" x14ac:dyDescent="0.25">
      <c r="A224" s="5">
        <f t="shared" ca="1" si="50"/>
        <v>1</v>
      </c>
      <c r="B224" s="5">
        <f ca="1">COUNTBLANK(OFFSET(Demand!$I233,0,(COLUMN(A221)-1)*5,1,1))</f>
        <v>1</v>
      </c>
      <c r="C224" s="5">
        <f ca="1">COUNTBLANK(OFFSET(Demand!$I233,0,(COLUMN(B221)-1)*5,1,1))</f>
        <v>1</v>
      </c>
      <c r="D224" s="5">
        <f ca="1">COUNTBLANK(OFFSET(Demand!$I233,0,(COLUMN(C221)-1)*5,1,1))</f>
        <v>1</v>
      </c>
      <c r="E224" s="5">
        <f ca="1">COUNTBLANK(OFFSET(Demand!$I233,0,(COLUMN(D221)-1)*5,1,1))</f>
        <v>1</v>
      </c>
      <c r="F224" s="5">
        <f ca="1">COUNTBLANK(OFFSET(Demand!$I233,0,(COLUMN(E221)-1)*5,1,1))</f>
        <v>1</v>
      </c>
      <c r="G224" s="5">
        <f ca="1">COUNTBLANK(OFFSET(Demand!$I233,0,(COLUMN(F221)-1)*5,1,1))</f>
        <v>1</v>
      </c>
      <c r="H224" s="5">
        <f ca="1">COUNTBLANK(OFFSET(Demand!$I233,0,(COLUMN(G221)-1)*5,1,1))</f>
        <v>1</v>
      </c>
      <c r="I224" s="5">
        <f ca="1">COUNTBLANK(OFFSET(Demand!$I233,0,(COLUMN(H221)-1)*5,1,1))</f>
        <v>1</v>
      </c>
      <c r="J224" s="5">
        <f ca="1">COUNTBLANK(OFFSET(Demand!$I233,0,(COLUMN(I221)-1)*5,1,1))</f>
        <v>1</v>
      </c>
      <c r="K224" s="5">
        <f ca="1">COUNTBLANK(OFFSET(Demand!$I233,0,(COLUMN(J221)-1)*5,1,1))</f>
        <v>1</v>
      </c>
      <c r="N224" s="5">
        <f ca="1">SUM(OFFSET(Demand!$E233,0,(COLUMN(A221)-1)*5,1,3))*N$2</f>
        <v>0</v>
      </c>
      <c r="O224" s="5">
        <f ca="1">SUM(OFFSET(Demand!$E233,0,(COLUMN(B221)-1)*5,1,3))*O$2</f>
        <v>0</v>
      </c>
      <c r="P224" s="5">
        <f ca="1">SUM(OFFSET(Demand!$E233,0,(COLUMN(C221)-1)*5,1,3))*P$2</f>
        <v>0</v>
      </c>
      <c r="Q224" s="5">
        <f ca="1">SUM(OFFSET(Demand!$E233,0,(COLUMN(D221)-1)*5,1,3))*Q$2</f>
        <v>0</v>
      </c>
      <c r="R224" s="5">
        <f ca="1">SUM(OFFSET(Demand!$E233,0,(COLUMN(E221)-1)*5,1,3))*R$2</f>
        <v>0</v>
      </c>
      <c r="S224" s="5">
        <f ca="1">SUM(OFFSET(Demand!$E233,0,(COLUMN(F221)-1)*5,1,3))*S$2</f>
        <v>0</v>
      </c>
      <c r="T224" s="5">
        <f ca="1">SUM(OFFSET(Demand!$E233,0,(COLUMN(G221)-1)*5,1,3))*T$2</f>
        <v>0</v>
      </c>
      <c r="U224" s="5">
        <f ca="1">SUM(OFFSET(Demand!$E233,0,(COLUMN(H221)-1)*5,1,3))*U$2</f>
        <v>0</v>
      </c>
      <c r="V224" s="5">
        <f ca="1">SUM(OFFSET(Demand!$E233,0,(COLUMN(I221)-1)*5,1,3))*V$2</f>
        <v>0</v>
      </c>
      <c r="W224" s="5">
        <f ca="1">SUM(OFFSET(Demand!$E233,0,(COLUMN(J221)-1)*5,1,3))*W$2</f>
        <v>0</v>
      </c>
      <c r="X224" s="5">
        <f t="shared" ca="1" si="51"/>
        <v>0</v>
      </c>
      <c r="Y224">
        <f t="shared" ca="1" si="52"/>
        <v>0</v>
      </c>
      <c r="Z224" s="5">
        <f ca="1">SUM(OFFSET(Demand!$H233,0,(COLUMN(A221)-1)*5,1,1))*N$2</f>
        <v>0</v>
      </c>
      <c r="AA224" s="5">
        <f ca="1">SUM(OFFSET(Demand!$H233,0,(COLUMN(B221)-1)*5,1,1))*O$2</f>
        <v>0</v>
      </c>
      <c r="AB224" s="5">
        <f ca="1">SUM(OFFSET(Demand!$H233,0,(COLUMN(C221)-1)*5,1,1))*P$2</f>
        <v>0</v>
      </c>
      <c r="AC224" s="5">
        <f ca="1">SUM(OFFSET(Demand!$H233,0,(COLUMN(D221)-1)*5,1,1))*Q$2</f>
        <v>0</v>
      </c>
      <c r="AD224" s="5">
        <f ca="1">SUM(OFFSET(Demand!$H233,0,(COLUMN(E221)-1)*5,1,1))*R$2</f>
        <v>0</v>
      </c>
      <c r="AE224" s="5">
        <f ca="1">SUM(OFFSET(Demand!$H233,0,(COLUMN(F221)-1)*5,1,1))*S$2</f>
        <v>0</v>
      </c>
      <c r="AF224" s="5">
        <f ca="1">SUM(OFFSET(Demand!$H233,0,(COLUMN(G221)-1)*5,1,1))*T$2</f>
        <v>0</v>
      </c>
      <c r="AG224" s="5">
        <f ca="1">SUM(OFFSET(Demand!$H233,0,(COLUMN(H221)-1)*5,1,1))*U$2</f>
        <v>0</v>
      </c>
      <c r="AH224" s="5">
        <f ca="1">SUM(OFFSET(Demand!$H233,0,(COLUMN(I221)-1)*5,1,1))*V$2</f>
        <v>0</v>
      </c>
      <c r="AI224" s="5">
        <f ca="1">SUM(OFFSET(Demand!$H233,0,(COLUMN(J221)-1)*5,1,1))*W$2</f>
        <v>0</v>
      </c>
      <c r="AJ224" s="5">
        <f t="shared" ca="1" si="53"/>
        <v>0</v>
      </c>
      <c r="AL224" s="5">
        <f t="shared" ca="1" si="54"/>
        <v>0</v>
      </c>
      <c r="AM224" s="5">
        <f t="shared" ca="1" si="55"/>
        <v>0</v>
      </c>
      <c r="AN224" s="5" t="str">
        <f>IF(Demand!BE233="Yes","Yes","")</f>
        <v/>
      </c>
      <c r="AP224" s="36" t="str">
        <f ca="1">Demand!B233</f>
        <v xml:space="preserve"> </v>
      </c>
      <c r="AQ224" t="str">
        <f ca="1">IF(TEXT(Demand!D233,"MMM")&lt;&gt;TEXT(Demand!D232,"MMM"),TEXT(Demand!D233,"MMM"),"")</f>
        <v/>
      </c>
      <c r="AT224" s="5">
        <f t="shared" ca="1" si="56"/>
        <v>0</v>
      </c>
      <c r="BQ224">
        <f ca="1">IF($AN224="",OFFSET(Demand!$A$13,ROW(A221)-1,4+((QUOTIENT(COLUMN(BQ$2)-69,3))*5)+MOD(COLUMN(BQ$2),3),1,1),"")</f>
        <v>0</v>
      </c>
      <c r="BR224">
        <f ca="1">IF($AN224="",OFFSET(Demand!$A$13,ROW(B221)-1,4+((QUOTIENT(COLUMN(BR$2)-69,3))*5)+MOD(COLUMN(BR$2),3),1,1),"")</f>
        <v>0</v>
      </c>
      <c r="BS224">
        <f ca="1">IF($AN224="",OFFSET(Demand!$A$13,ROW(C221)-1,4+((QUOTIENT(COLUMN(BS$2)-69,3))*5)+MOD(COLUMN(BS$2),3),1,1),"")</f>
        <v>0</v>
      </c>
      <c r="BT224">
        <f ca="1">IF($AN224="",OFFSET(Demand!$A$13,ROW(D221)-1,4+((QUOTIENT(COLUMN(BT$2)-69,3))*5)+MOD(COLUMN(BT$2),3),1,1),"")</f>
        <v>0</v>
      </c>
      <c r="BU224">
        <f ca="1">IF($AN224="",OFFSET(Demand!$A$13,ROW(E221)-1,4+((QUOTIENT(COLUMN(BU$2)-69,3))*5)+MOD(COLUMN(BU$2),3),1,1),"")</f>
        <v>0</v>
      </c>
      <c r="BV224">
        <f ca="1">IF($AN224="",OFFSET(Demand!$A$13,ROW(F221)-1,4+((QUOTIENT(COLUMN(BV$2)-69,3))*5)+MOD(COLUMN(BV$2),3),1,1),"")</f>
        <v>0</v>
      </c>
      <c r="BW224">
        <f ca="1">IF($AN224="",OFFSET(Demand!$A$13,ROW(G221)-1,4+((QUOTIENT(COLUMN(BW$2)-69,3))*5)+MOD(COLUMN(BW$2),3),1,1),"")</f>
        <v>0</v>
      </c>
      <c r="BX224">
        <f ca="1">IF($AN224="",OFFSET(Demand!$A$13,ROW(H221)-1,4+((QUOTIENT(COLUMN(BX$2)-69,3))*5)+MOD(COLUMN(BX$2),3),1,1),"")</f>
        <v>0</v>
      </c>
      <c r="BY224">
        <f ca="1">IF($AN224="",OFFSET(Demand!$A$13,ROW(I221)-1,4+((QUOTIENT(COLUMN(BY$2)-69,3))*5)+MOD(COLUMN(BY$2),3),1,1),"")</f>
        <v>0</v>
      </c>
      <c r="BZ224">
        <f ca="1">IF($AN224="",OFFSET(Demand!$A$13,ROW(J221)-1,4+((QUOTIENT(COLUMN(BZ$2)-69,3))*5)+MOD(COLUMN(BZ$2),3),1,1),"")</f>
        <v>0</v>
      </c>
      <c r="CA224">
        <f ca="1">IF($AN224="",OFFSET(Demand!$A$13,ROW(K221)-1,4+((QUOTIENT(COLUMN(CA$2)-69,3))*5)+MOD(COLUMN(CA$2),3),1,1),"")</f>
        <v>0</v>
      </c>
      <c r="CB224">
        <f ca="1">IF($AN224="",OFFSET(Demand!$A$13,ROW(L221)-1,4+((QUOTIENT(COLUMN(CB$2)-69,3))*5)+MOD(COLUMN(CB$2),3),1,1),"")</f>
        <v>0</v>
      </c>
      <c r="CC224">
        <f ca="1">IF($AN224="",OFFSET(Demand!$A$13,ROW(M221)-1,4+((QUOTIENT(COLUMN(CC$2)-69,3))*5)+MOD(COLUMN(CC$2),3),1,1),"")</f>
        <v>0</v>
      </c>
      <c r="CD224">
        <f ca="1">IF($AN224="",OFFSET(Demand!$A$13,ROW(N221)-1,4+((QUOTIENT(COLUMN(CD$2)-69,3))*5)+MOD(COLUMN(CD$2),3),1,1),"")</f>
        <v>0</v>
      </c>
      <c r="CE224">
        <f ca="1">IF($AN224="",OFFSET(Demand!$A$13,ROW(O221)-1,4+((QUOTIENT(COLUMN(CE$2)-69,3))*5)+MOD(COLUMN(CE$2),3),1,1),"")</f>
        <v>0</v>
      </c>
      <c r="CF224">
        <f ca="1">IF($AN224="",OFFSET(Demand!$A$13,ROW(P221)-1,4+((QUOTIENT(COLUMN(CF$2)-69,3))*5)+MOD(COLUMN(CF$2),3),1,1),"")</f>
        <v>0</v>
      </c>
      <c r="CG224">
        <f ca="1">IF($AN224="",OFFSET(Demand!$A$13,ROW(Q221)-1,4+((QUOTIENT(COLUMN(CG$2)-69,3))*5)+MOD(COLUMN(CG$2),3),1,1),"")</f>
        <v>0</v>
      </c>
      <c r="CH224">
        <f ca="1">IF($AN224="",OFFSET(Demand!$A$13,ROW(R221)-1,4+((QUOTIENT(COLUMN(CH$2)-69,3))*5)+MOD(COLUMN(CH$2),3),1,1),"")</f>
        <v>0</v>
      </c>
      <c r="CI224">
        <f ca="1">IF($AN224="",OFFSET(Demand!$A$13,ROW(S221)-1,4+((QUOTIENT(COLUMN(CI$2)-69,3))*5)+MOD(COLUMN(CI$2),3),1,1),"")</f>
        <v>0</v>
      </c>
      <c r="CJ224">
        <f ca="1">IF($AN224="",OFFSET(Demand!$A$13,ROW(T221)-1,4+((QUOTIENT(COLUMN(CJ$2)-69,3))*5)+MOD(COLUMN(CJ$2),3),1,1),"")</f>
        <v>0</v>
      </c>
      <c r="CK224">
        <f ca="1">IF($AN224="",OFFSET(Demand!$A$13,ROW(U221)-1,4+((QUOTIENT(COLUMN(CK$2)-69,3))*5)+MOD(COLUMN(CK$2),3),1,1),"")</f>
        <v>0</v>
      </c>
      <c r="CL224">
        <f ca="1">IF($AN224="",OFFSET(Demand!$A$13,ROW(V221)-1,4+((QUOTIENT(COLUMN(CL$2)-69,3))*5)+MOD(COLUMN(CL$2),3),1,1),"")</f>
        <v>0</v>
      </c>
      <c r="CM224">
        <f ca="1">IF($AN224="",OFFSET(Demand!$A$13,ROW(W221)-1,4+((QUOTIENT(COLUMN(CM$2)-69,3))*5)+MOD(COLUMN(CM$2),3),1,1),"")</f>
        <v>0</v>
      </c>
      <c r="CN224">
        <f ca="1">IF($AN224="",OFFSET(Demand!$A$13,ROW(X221)-1,4+((QUOTIENT(COLUMN(CN$2)-69,3))*5)+MOD(COLUMN(CN$2),3),1,1),"")</f>
        <v>0</v>
      </c>
      <c r="CO224">
        <f ca="1">IF($AN224="",OFFSET(Demand!$A$13,ROW(Y221)-1,4+((QUOTIENT(COLUMN(CO$2)-69,3))*5)+MOD(COLUMN(CO$2),3),1,1),"")</f>
        <v>0</v>
      </c>
      <c r="CP224">
        <f ca="1">IF($AN224="",OFFSET(Demand!$A$13,ROW(Z221)-1,4+((QUOTIENT(COLUMN(CP$2)-69,3))*5)+MOD(COLUMN(CP$2),3),1,1),"")</f>
        <v>0</v>
      </c>
      <c r="CQ224">
        <f ca="1">IF($AN224="",OFFSET(Demand!$A$13,ROW(AA221)-1,4+((QUOTIENT(COLUMN(CQ$2)-69,3))*5)+MOD(COLUMN(CQ$2),3),1,1),"")</f>
        <v>0</v>
      </c>
      <c r="CR224">
        <f ca="1">IF($AN224="",OFFSET(Demand!$A$13,ROW(AB221)-1,4+((QUOTIENT(COLUMN(CR$2)-69,3))*5)+MOD(COLUMN(CR$2),3),1,1),"")</f>
        <v>0</v>
      </c>
      <c r="CS224">
        <f ca="1">IF($AN224="",OFFSET(Demand!$A$13,ROW(AC221)-1,4+((QUOTIENT(COLUMN(CS$2)-69,3))*5)+MOD(COLUMN(CS$2),3),1,1),"")</f>
        <v>0</v>
      </c>
      <c r="CT224">
        <f ca="1">IF($AN224="",OFFSET(Demand!$A$13,ROW(AD221)-1,4+((QUOTIENT(COLUMN(CT$2)-69,3))*5)+MOD(COLUMN(CT$2),3),1,1),"")</f>
        <v>0</v>
      </c>
      <c r="CW224" s="5">
        <f ca="1">SUM(OFFSET(Demand!$H$43,ROW(A221)-1,(COLUMN(A221)-1)*5,1,1))*N$2</f>
        <v>0</v>
      </c>
      <c r="CX224" s="5">
        <f ca="1">SUM(OFFSET(Demand!$H$43,ROW(B221)-1,(COLUMN(B221)-1)*5,1,1))*O$2</f>
        <v>0</v>
      </c>
      <c r="CY224" s="5">
        <f ca="1">SUM(OFFSET(Demand!$H$43,ROW(C221)-1,(COLUMN(C221)-1)*5,1,1))*P$2</f>
        <v>0</v>
      </c>
      <c r="CZ224" s="5">
        <f ca="1">SUM(OFFSET(Demand!$H$43,ROW(D221)-1,(COLUMN(D221)-1)*5,1,1))*Q$2</f>
        <v>0</v>
      </c>
      <c r="DA224" s="5">
        <f ca="1">SUM(OFFSET(Demand!$H$43,ROW(E221)-1,(COLUMN(E221)-1)*5,1,1))*R$2</f>
        <v>0</v>
      </c>
      <c r="DB224" s="5">
        <f ca="1">SUM(OFFSET(Demand!$H$43,ROW(F221)-1,(COLUMN(F221)-1)*5,1,1))*S$2</f>
        <v>0</v>
      </c>
      <c r="DC224" s="5">
        <f ca="1">SUM(OFFSET(Demand!$H$43,ROW(G221)-1,(COLUMN(G221)-1)*5,1,1))*T$2</f>
        <v>0</v>
      </c>
      <c r="DD224" s="5">
        <f ca="1">SUM(OFFSET(Demand!$H$43,ROW(H221)-1,(COLUMN(H221)-1)*5,1,1))*U$2</f>
        <v>0</v>
      </c>
      <c r="DE224" s="5">
        <f ca="1">SUM(OFFSET(Demand!$H$43,ROW(I221)-1,(COLUMN(I221)-1)*5,1,1))*V$2</f>
        <v>0</v>
      </c>
      <c r="DF224" s="5">
        <f ca="1">SUM(OFFSET(Demand!$H$43,ROW(J221)-1,(COLUMN(J221)-1)*5,1,1))*W$2</f>
        <v>0</v>
      </c>
      <c r="DG224" s="5">
        <f ca="1">IF(OR(AN224&lt;&gt;"",AND('Demand adjustments for Covid'!$F$9="Yes",'Demand adjustments for Covid'!$F$20="Yes")),"",SUM(CW224:DF224))</f>
        <v>0</v>
      </c>
    </row>
    <row r="225" spans="1:111" x14ac:dyDescent="0.25">
      <c r="A225" s="5">
        <f t="shared" ca="1" si="50"/>
        <v>1</v>
      </c>
      <c r="B225" s="5">
        <f ca="1">COUNTBLANK(OFFSET(Demand!$I234,0,(COLUMN(A222)-1)*5,1,1))</f>
        <v>1</v>
      </c>
      <c r="C225" s="5">
        <f ca="1">COUNTBLANK(OFFSET(Demand!$I234,0,(COLUMN(B222)-1)*5,1,1))</f>
        <v>1</v>
      </c>
      <c r="D225" s="5">
        <f ca="1">COUNTBLANK(OFFSET(Demand!$I234,0,(COLUMN(C222)-1)*5,1,1))</f>
        <v>1</v>
      </c>
      <c r="E225" s="5">
        <f ca="1">COUNTBLANK(OFFSET(Demand!$I234,0,(COLUMN(D222)-1)*5,1,1))</f>
        <v>1</v>
      </c>
      <c r="F225" s="5">
        <f ca="1">COUNTBLANK(OFFSET(Demand!$I234,0,(COLUMN(E222)-1)*5,1,1))</f>
        <v>1</v>
      </c>
      <c r="G225" s="5">
        <f ca="1">COUNTBLANK(OFFSET(Demand!$I234,0,(COLUMN(F222)-1)*5,1,1))</f>
        <v>1</v>
      </c>
      <c r="H225" s="5">
        <f ca="1">COUNTBLANK(OFFSET(Demand!$I234,0,(COLUMN(G222)-1)*5,1,1))</f>
        <v>1</v>
      </c>
      <c r="I225" s="5">
        <f ca="1">COUNTBLANK(OFFSET(Demand!$I234,0,(COLUMN(H222)-1)*5,1,1))</f>
        <v>1</v>
      </c>
      <c r="J225" s="5">
        <f ca="1">COUNTBLANK(OFFSET(Demand!$I234,0,(COLUMN(I222)-1)*5,1,1))</f>
        <v>1</v>
      </c>
      <c r="K225" s="5">
        <f ca="1">COUNTBLANK(OFFSET(Demand!$I234,0,(COLUMN(J222)-1)*5,1,1))</f>
        <v>1</v>
      </c>
      <c r="N225" s="5">
        <f ca="1">SUM(OFFSET(Demand!$E234,0,(COLUMN(A222)-1)*5,1,3))*N$2</f>
        <v>0</v>
      </c>
      <c r="O225" s="5">
        <f ca="1">SUM(OFFSET(Demand!$E234,0,(COLUMN(B222)-1)*5,1,3))*O$2</f>
        <v>0</v>
      </c>
      <c r="P225" s="5">
        <f ca="1">SUM(OFFSET(Demand!$E234,0,(COLUMN(C222)-1)*5,1,3))*P$2</f>
        <v>0</v>
      </c>
      <c r="Q225" s="5">
        <f ca="1">SUM(OFFSET(Demand!$E234,0,(COLUMN(D222)-1)*5,1,3))*Q$2</f>
        <v>0</v>
      </c>
      <c r="R225" s="5">
        <f ca="1">SUM(OFFSET(Demand!$E234,0,(COLUMN(E222)-1)*5,1,3))*R$2</f>
        <v>0</v>
      </c>
      <c r="S225" s="5">
        <f ca="1">SUM(OFFSET(Demand!$E234,0,(COLUMN(F222)-1)*5,1,3))*S$2</f>
        <v>0</v>
      </c>
      <c r="T225" s="5">
        <f ca="1">SUM(OFFSET(Demand!$E234,0,(COLUMN(G222)-1)*5,1,3))*T$2</f>
        <v>0</v>
      </c>
      <c r="U225" s="5">
        <f ca="1">SUM(OFFSET(Demand!$E234,0,(COLUMN(H222)-1)*5,1,3))*U$2</f>
        <v>0</v>
      </c>
      <c r="V225" s="5">
        <f ca="1">SUM(OFFSET(Demand!$E234,0,(COLUMN(I222)-1)*5,1,3))*V$2</f>
        <v>0</v>
      </c>
      <c r="W225" s="5">
        <f ca="1">SUM(OFFSET(Demand!$E234,0,(COLUMN(J222)-1)*5,1,3))*W$2</f>
        <v>0</v>
      </c>
      <c r="X225" s="5">
        <f t="shared" ca="1" si="51"/>
        <v>0</v>
      </c>
      <c r="Y225">
        <f t="shared" ca="1" si="52"/>
        <v>0</v>
      </c>
      <c r="Z225" s="5">
        <f ca="1">SUM(OFFSET(Demand!$H234,0,(COLUMN(A222)-1)*5,1,1))*N$2</f>
        <v>0</v>
      </c>
      <c r="AA225" s="5">
        <f ca="1">SUM(OFFSET(Demand!$H234,0,(COLUMN(B222)-1)*5,1,1))*O$2</f>
        <v>0</v>
      </c>
      <c r="AB225" s="5">
        <f ca="1">SUM(OFFSET(Demand!$H234,0,(COLUMN(C222)-1)*5,1,1))*P$2</f>
        <v>0</v>
      </c>
      <c r="AC225" s="5">
        <f ca="1">SUM(OFFSET(Demand!$H234,0,(COLUMN(D222)-1)*5,1,1))*Q$2</f>
        <v>0</v>
      </c>
      <c r="AD225" s="5">
        <f ca="1">SUM(OFFSET(Demand!$H234,0,(COLUMN(E222)-1)*5,1,1))*R$2</f>
        <v>0</v>
      </c>
      <c r="AE225" s="5">
        <f ca="1">SUM(OFFSET(Demand!$H234,0,(COLUMN(F222)-1)*5,1,1))*S$2</f>
        <v>0</v>
      </c>
      <c r="AF225" s="5">
        <f ca="1">SUM(OFFSET(Demand!$H234,0,(COLUMN(G222)-1)*5,1,1))*T$2</f>
        <v>0</v>
      </c>
      <c r="AG225" s="5">
        <f ca="1">SUM(OFFSET(Demand!$H234,0,(COLUMN(H222)-1)*5,1,1))*U$2</f>
        <v>0</v>
      </c>
      <c r="AH225" s="5">
        <f ca="1">SUM(OFFSET(Demand!$H234,0,(COLUMN(I222)-1)*5,1,1))*V$2</f>
        <v>0</v>
      </c>
      <c r="AI225" s="5">
        <f ca="1">SUM(OFFSET(Demand!$H234,0,(COLUMN(J222)-1)*5,1,1))*W$2</f>
        <v>0</v>
      </c>
      <c r="AJ225" s="5">
        <f t="shared" ca="1" si="53"/>
        <v>0</v>
      </c>
      <c r="AL225" s="5">
        <f t="shared" ca="1" si="54"/>
        <v>0</v>
      </c>
      <c r="AM225" s="5">
        <f t="shared" ca="1" si="55"/>
        <v>0</v>
      </c>
      <c r="AN225" s="5" t="str">
        <f>IF(Demand!BE234="Yes","Yes","")</f>
        <v/>
      </c>
      <c r="AP225" s="36" t="str">
        <f ca="1">Demand!B234</f>
        <v xml:space="preserve"> </v>
      </c>
      <c r="AQ225" t="str">
        <f ca="1">IF(TEXT(Demand!D234,"MMM")&lt;&gt;TEXT(Demand!D233,"MMM"),TEXT(Demand!D234,"MMM"),"")</f>
        <v/>
      </c>
      <c r="AT225" s="5">
        <f t="shared" ca="1" si="56"/>
        <v>0</v>
      </c>
      <c r="BQ225">
        <f ca="1">IF($AN225="",OFFSET(Demand!$A$13,ROW(A222)-1,4+((QUOTIENT(COLUMN(BQ$2)-69,3))*5)+MOD(COLUMN(BQ$2),3),1,1),"")</f>
        <v>0</v>
      </c>
      <c r="BR225">
        <f ca="1">IF($AN225="",OFFSET(Demand!$A$13,ROW(B222)-1,4+((QUOTIENT(COLUMN(BR$2)-69,3))*5)+MOD(COLUMN(BR$2),3),1,1),"")</f>
        <v>0</v>
      </c>
      <c r="BS225">
        <f ca="1">IF($AN225="",OFFSET(Demand!$A$13,ROW(C222)-1,4+((QUOTIENT(COLUMN(BS$2)-69,3))*5)+MOD(COLUMN(BS$2),3),1,1),"")</f>
        <v>0</v>
      </c>
      <c r="BT225">
        <f ca="1">IF($AN225="",OFFSET(Demand!$A$13,ROW(D222)-1,4+((QUOTIENT(COLUMN(BT$2)-69,3))*5)+MOD(COLUMN(BT$2),3),1,1),"")</f>
        <v>0</v>
      </c>
      <c r="BU225">
        <f ca="1">IF($AN225="",OFFSET(Demand!$A$13,ROW(E222)-1,4+((QUOTIENT(COLUMN(BU$2)-69,3))*5)+MOD(COLUMN(BU$2),3),1,1),"")</f>
        <v>0</v>
      </c>
      <c r="BV225">
        <f ca="1">IF($AN225="",OFFSET(Demand!$A$13,ROW(F222)-1,4+((QUOTIENT(COLUMN(BV$2)-69,3))*5)+MOD(COLUMN(BV$2),3),1,1),"")</f>
        <v>0</v>
      </c>
      <c r="BW225">
        <f ca="1">IF($AN225="",OFFSET(Demand!$A$13,ROW(G222)-1,4+((QUOTIENT(COLUMN(BW$2)-69,3))*5)+MOD(COLUMN(BW$2),3),1,1),"")</f>
        <v>0</v>
      </c>
      <c r="BX225">
        <f ca="1">IF($AN225="",OFFSET(Demand!$A$13,ROW(H222)-1,4+((QUOTIENT(COLUMN(BX$2)-69,3))*5)+MOD(COLUMN(BX$2),3),1,1),"")</f>
        <v>0</v>
      </c>
      <c r="BY225">
        <f ca="1">IF($AN225="",OFFSET(Demand!$A$13,ROW(I222)-1,4+((QUOTIENT(COLUMN(BY$2)-69,3))*5)+MOD(COLUMN(BY$2),3),1,1),"")</f>
        <v>0</v>
      </c>
      <c r="BZ225">
        <f ca="1">IF($AN225="",OFFSET(Demand!$A$13,ROW(J222)-1,4+((QUOTIENT(COLUMN(BZ$2)-69,3))*5)+MOD(COLUMN(BZ$2),3),1,1),"")</f>
        <v>0</v>
      </c>
      <c r="CA225">
        <f ca="1">IF($AN225="",OFFSET(Demand!$A$13,ROW(K222)-1,4+((QUOTIENT(COLUMN(CA$2)-69,3))*5)+MOD(COLUMN(CA$2),3),1,1),"")</f>
        <v>0</v>
      </c>
      <c r="CB225">
        <f ca="1">IF($AN225="",OFFSET(Demand!$A$13,ROW(L222)-1,4+((QUOTIENT(COLUMN(CB$2)-69,3))*5)+MOD(COLUMN(CB$2),3),1,1),"")</f>
        <v>0</v>
      </c>
      <c r="CC225">
        <f ca="1">IF($AN225="",OFFSET(Demand!$A$13,ROW(M222)-1,4+((QUOTIENT(COLUMN(CC$2)-69,3))*5)+MOD(COLUMN(CC$2),3),1,1),"")</f>
        <v>0</v>
      </c>
      <c r="CD225">
        <f ca="1">IF($AN225="",OFFSET(Demand!$A$13,ROW(N222)-1,4+((QUOTIENT(COLUMN(CD$2)-69,3))*5)+MOD(COLUMN(CD$2),3),1,1),"")</f>
        <v>0</v>
      </c>
      <c r="CE225">
        <f ca="1">IF($AN225="",OFFSET(Demand!$A$13,ROW(O222)-1,4+((QUOTIENT(COLUMN(CE$2)-69,3))*5)+MOD(COLUMN(CE$2),3),1,1),"")</f>
        <v>0</v>
      </c>
      <c r="CF225">
        <f ca="1">IF($AN225="",OFFSET(Demand!$A$13,ROW(P222)-1,4+((QUOTIENT(COLUMN(CF$2)-69,3))*5)+MOD(COLUMN(CF$2),3),1,1),"")</f>
        <v>0</v>
      </c>
      <c r="CG225">
        <f ca="1">IF($AN225="",OFFSET(Demand!$A$13,ROW(Q222)-1,4+((QUOTIENT(COLUMN(CG$2)-69,3))*5)+MOD(COLUMN(CG$2),3),1,1),"")</f>
        <v>0</v>
      </c>
      <c r="CH225">
        <f ca="1">IF($AN225="",OFFSET(Demand!$A$13,ROW(R222)-1,4+((QUOTIENT(COLUMN(CH$2)-69,3))*5)+MOD(COLUMN(CH$2),3),1,1),"")</f>
        <v>0</v>
      </c>
      <c r="CI225">
        <f ca="1">IF($AN225="",OFFSET(Demand!$A$13,ROW(S222)-1,4+((QUOTIENT(COLUMN(CI$2)-69,3))*5)+MOD(COLUMN(CI$2),3),1,1),"")</f>
        <v>0</v>
      </c>
      <c r="CJ225">
        <f ca="1">IF($AN225="",OFFSET(Demand!$A$13,ROW(T222)-1,4+((QUOTIENT(COLUMN(CJ$2)-69,3))*5)+MOD(COLUMN(CJ$2),3),1,1),"")</f>
        <v>0</v>
      </c>
      <c r="CK225">
        <f ca="1">IF($AN225="",OFFSET(Demand!$A$13,ROW(U222)-1,4+((QUOTIENT(COLUMN(CK$2)-69,3))*5)+MOD(COLUMN(CK$2),3),1,1),"")</f>
        <v>0</v>
      </c>
      <c r="CL225">
        <f ca="1">IF($AN225="",OFFSET(Demand!$A$13,ROW(V222)-1,4+((QUOTIENT(COLUMN(CL$2)-69,3))*5)+MOD(COLUMN(CL$2),3),1,1),"")</f>
        <v>0</v>
      </c>
      <c r="CM225">
        <f ca="1">IF($AN225="",OFFSET(Demand!$A$13,ROW(W222)-1,4+((QUOTIENT(COLUMN(CM$2)-69,3))*5)+MOD(COLUMN(CM$2),3),1,1),"")</f>
        <v>0</v>
      </c>
      <c r="CN225">
        <f ca="1">IF($AN225="",OFFSET(Demand!$A$13,ROW(X222)-1,4+((QUOTIENT(COLUMN(CN$2)-69,3))*5)+MOD(COLUMN(CN$2),3),1,1),"")</f>
        <v>0</v>
      </c>
      <c r="CO225">
        <f ca="1">IF($AN225="",OFFSET(Demand!$A$13,ROW(Y222)-1,4+((QUOTIENT(COLUMN(CO$2)-69,3))*5)+MOD(COLUMN(CO$2),3),1,1),"")</f>
        <v>0</v>
      </c>
      <c r="CP225">
        <f ca="1">IF($AN225="",OFFSET(Demand!$A$13,ROW(Z222)-1,4+((QUOTIENT(COLUMN(CP$2)-69,3))*5)+MOD(COLUMN(CP$2),3),1,1),"")</f>
        <v>0</v>
      </c>
      <c r="CQ225">
        <f ca="1">IF($AN225="",OFFSET(Demand!$A$13,ROW(AA222)-1,4+((QUOTIENT(COLUMN(CQ$2)-69,3))*5)+MOD(COLUMN(CQ$2),3),1,1),"")</f>
        <v>0</v>
      </c>
      <c r="CR225">
        <f ca="1">IF($AN225="",OFFSET(Demand!$A$13,ROW(AB222)-1,4+((QUOTIENT(COLUMN(CR$2)-69,3))*5)+MOD(COLUMN(CR$2),3),1,1),"")</f>
        <v>0</v>
      </c>
      <c r="CS225">
        <f ca="1">IF($AN225="",OFFSET(Demand!$A$13,ROW(AC222)-1,4+((QUOTIENT(COLUMN(CS$2)-69,3))*5)+MOD(COLUMN(CS$2),3),1,1),"")</f>
        <v>0</v>
      </c>
      <c r="CT225">
        <f ca="1">IF($AN225="",OFFSET(Demand!$A$13,ROW(AD222)-1,4+((QUOTIENT(COLUMN(CT$2)-69,3))*5)+MOD(COLUMN(CT$2),3),1,1),"")</f>
        <v>0</v>
      </c>
      <c r="CW225" s="5">
        <f ca="1">SUM(OFFSET(Demand!$H$43,ROW(A222)-1,(COLUMN(A222)-1)*5,1,1))*N$2</f>
        <v>0</v>
      </c>
      <c r="CX225" s="5">
        <f ca="1">SUM(OFFSET(Demand!$H$43,ROW(B222)-1,(COLUMN(B222)-1)*5,1,1))*O$2</f>
        <v>0</v>
      </c>
      <c r="CY225" s="5">
        <f ca="1">SUM(OFFSET(Demand!$H$43,ROW(C222)-1,(COLUMN(C222)-1)*5,1,1))*P$2</f>
        <v>0</v>
      </c>
      <c r="CZ225" s="5">
        <f ca="1">SUM(OFFSET(Demand!$H$43,ROW(D222)-1,(COLUMN(D222)-1)*5,1,1))*Q$2</f>
        <v>0</v>
      </c>
      <c r="DA225" s="5">
        <f ca="1">SUM(OFFSET(Demand!$H$43,ROW(E222)-1,(COLUMN(E222)-1)*5,1,1))*R$2</f>
        <v>0</v>
      </c>
      <c r="DB225" s="5">
        <f ca="1">SUM(OFFSET(Demand!$H$43,ROW(F222)-1,(COLUMN(F222)-1)*5,1,1))*S$2</f>
        <v>0</v>
      </c>
      <c r="DC225" s="5">
        <f ca="1">SUM(OFFSET(Demand!$H$43,ROW(G222)-1,(COLUMN(G222)-1)*5,1,1))*T$2</f>
        <v>0</v>
      </c>
      <c r="DD225" s="5">
        <f ca="1">SUM(OFFSET(Demand!$H$43,ROW(H222)-1,(COLUMN(H222)-1)*5,1,1))*U$2</f>
        <v>0</v>
      </c>
      <c r="DE225" s="5">
        <f ca="1">SUM(OFFSET(Demand!$H$43,ROW(I222)-1,(COLUMN(I222)-1)*5,1,1))*V$2</f>
        <v>0</v>
      </c>
      <c r="DF225" s="5">
        <f ca="1">SUM(OFFSET(Demand!$H$43,ROW(J222)-1,(COLUMN(J222)-1)*5,1,1))*W$2</f>
        <v>0</v>
      </c>
      <c r="DG225" s="5">
        <f ca="1">IF(OR(AN225&lt;&gt;"",AND('Demand adjustments for Covid'!$F$9="Yes",'Demand adjustments for Covid'!$F$20="Yes")),"",SUM(CW225:DF225))</f>
        <v>0</v>
      </c>
    </row>
    <row r="226" spans="1:111" x14ac:dyDescent="0.25">
      <c r="A226" s="5">
        <f t="shared" ca="1" si="50"/>
        <v>1</v>
      </c>
      <c r="B226" s="5">
        <f ca="1">COUNTBLANK(OFFSET(Demand!$I235,0,(COLUMN(A223)-1)*5,1,1))</f>
        <v>1</v>
      </c>
      <c r="C226" s="5">
        <f ca="1">COUNTBLANK(OFFSET(Demand!$I235,0,(COLUMN(B223)-1)*5,1,1))</f>
        <v>1</v>
      </c>
      <c r="D226" s="5">
        <f ca="1">COUNTBLANK(OFFSET(Demand!$I235,0,(COLUMN(C223)-1)*5,1,1))</f>
        <v>1</v>
      </c>
      <c r="E226" s="5">
        <f ca="1">COUNTBLANK(OFFSET(Demand!$I235,0,(COLUMN(D223)-1)*5,1,1))</f>
        <v>1</v>
      </c>
      <c r="F226" s="5">
        <f ca="1">COUNTBLANK(OFFSET(Demand!$I235,0,(COLUMN(E223)-1)*5,1,1))</f>
        <v>1</v>
      </c>
      <c r="G226" s="5">
        <f ca="1">COUNTBLANK(OFFSET(Demand!$I235,0,(COLUMN(F223)-1)*5,1,1))</f>
        <v>1</v>
      </c>
      <c r="H226" s="5">
        <f ca="1">COUNTBLANK(OFFSET(Demand!$I235,0,(COLUMN(G223)-1)*5,1,1))</f>
        <v>1</v>
      </c>
      <c r="I226" s="5">
        <f ca="1">COUNTBLANK(OFFSET(Demand!$I235,0,(COLUMN(H223)-1)*5,1,1))</f>
        <v>1</v>
      </c>
      <c r="J226" s="5">
        <f ca="1">COUNTBLANK(OFFSET(Demand!$I235,0,(COLUMN(I223)-1)*5,1,1))</f>
        <v>1</v>
      </c>
      <c r="K226" s="5">
        <f ca="1">COUNTBLANK(OFFSET(Demand!$I235,0,(COLUMN(J223)-1)*5,1,1))</f>
        <v>1</v>
      </c>
      <c r="N226" s="5">
        <f ca="1">SUM(OFFSET(Demand!$E235,0,(COLUMN(A223)-1)*5,1,3))*N$2</f>
        <v>0</v>
      </c>
      <c r="O226" s="5">
        <f ca="1">SUM(OFFSET(Demand!$E235,0,(COLUMN(B223)-1)*5,1,3))*O$2</f>
        <v>0</v>
      </c>
      <c r="P226" s="5">
        <f ca="1">SUM(OFFSET(Demand!$E235,0,(COLUMN(C223)-1)*5,1,3))*P$2</f>
        <v>0</v>
      </c>
      <c r="Q226" s="5">
        <f ca="1">SUM(OFFSET(Demand!$E235,0,(COLUMN(D223)-1)*5,1,3))*Q$2</f>
        <v>0</v>
      </c>
      <c r="R226" s="5">
        <f ca="1">SUM(OFFSET(Demand!$E235,0,(COLUMN(E223)-1)*5,1,3))*R$2</f>
        <v>0</v>
      </c>
      <c r="S226" s="5">
        <f ca="1">SUM(OFFSET(Demand!$E235,0,(COLUMN(F223)-1)*5,1,3))*S$2</f>
        <v>0</v>
      </c>
      <c r="T226" s="5">
        <f ca="1">SUM(OFFSET(Demand!$E235,0,(COLUMN(G223)-1)*5,1,3))*T$2</f>
        <v>0</v>
      </c>
      <c r="U226" s="5">
        <f ca="1">SUM(OFFSET(Demand!$E235,0,(COLUMN(H223)-1)*5,1,3))*U$2</f>
        <v>0</v>
      </c>
      <c r="V226" s="5">
        <f ca="1">SUM(OFFSET(Demand!$E235,0,(COLUMN(I223)-1)*5,1,3))*V$2</f>
        <v>0</v>
      </c>
      <c r="W226" s="5">
        <f ca="1">SUM(OFFSET(Demand!$E235,0,(COLUMN(J223)-1)*5,1,3))*W$2</f>
        <v>0</v>
      </c>
      <c r="X226" s="5">
        <f t="shared" ca="1" si="51"/>
        <v>0</v>
      </c>
      <c r="Y226">
        <f t="shared" ca="1" si="52"/>
        <v>0</v>
      </c>
      <c r="Z226" s="5">
        <f ca="1">SUM(OFFSET(Demand!$H235,0,(COLUMN(A223)-1)*5,1,1))*N$2</f>
        <v>0</v>
      </c>
      <c r="AA226" s="5">
        <f ca="1">SUM(OFFSET(Demand!$H235,0,(COLUMN(B223)-1)*5,1,1))*O$2</f>
        <v>0</v>
      </c>
      <c r="AB226" s="5">
        <f ca="1">SUM(OFFSET(Demand!$H235,0,(COLUMN(C223)-1)*5,1,1))*P$2</f>
        <v>0</v>
      </c>
      <c r="AC226" s="5">
        <f ca="1">SUM(OFFSET(Demand!$H235,0,(COLUMN(D223)-1)*5,1,1))*Q$2</f>
        <v>0</v>
      </c>
      <c r="AD226" s="5">
        <f ca="1">SUM(OFFSET(Demand!$H235,0,(COLUMN(E223)-1)*5,1,1))*R$2</f>
        <v>0</v>
      </c>
      <c r="AE226" s="5">
        <f ca="1">SUM(OFFSET(Demand!$H235,0,(COLUMN(F223)-1)*5,1,1))*S$2</f>
        <v>0</v>
      </c>
      <c r="AF226" s="5">
        <f ca="1">SUM(OFFSET(Demand!$H235,0,(COLUMN(G223)-1)*5,1,1))*T$2</f>
        <v>0</v>
      </c>
      <c r="AG226" s="5">
        <f ca="1">SUM(OFFSET(Demand!$H235,0,(COLUMN(H223)-1)*5,1,1))*U$2</f>
        <v>0</v>
      </c>
      <c r="AH226" s="5">
        <f ca="1">SUM(OFFSET(Demand!$H235,0,(COLUMN(I223)-1)*5,1,1))*V$2</f>
        <v>0</v>
      </c>
      <c r="AI226" s="5">
        <f ca="1">SUM(OFFSET(Demand!$H235,0,(COLUMN(J223)-1)*5,1,1))*W$2</f>
        <v>0</v>
      </c>
      <c r="AJ226" s="5">
        <f t="shared" ca="1" si="53"/>
        <v>0</v>
      </c>
      <c r="AL226" s="5">
        <f t="shared" ca="1" si="54"/>
        <v>0</v>
      </c>
      <c r="AM226" s="5">
        <f t="shared" ca="1" si="55"/>
        <v>0</v>
      </c>
      <c r="AN226" s="5" t="str">
        <f>IF(Demand!BE235="Yes","Yes","")</f>
        <v/>
      </c>
      <c r="AP226" s="36" t="str">
        <f ca="1">Demand!B235</f>
        <v xml:space="preserve"> </v>
      </c>
      <c r="AQ226" t="str">
        <f ca="1">IF(TEXT(Demand!D235,"MMM")&lt;&gt;TEXT(Demand!D234,"MMM"),TEXT(Demand!D235,"MMM"),"")</f>
        <v/>
      </c>
      <c r="AT226" s="5">
        <f t="shared" ca="1" si="56"/>
        <v>0</v>
      </c>
      <c r="BQ226">
        <f ca="1">IF($AN226="",OFFSET(Demand!$A$13,ROW(A223)-1,4+((QUOTIENT(COLUMN(BQ$2)-69,3))*5)+MOD(COLUMN(BQ$2),3),1,1),"")</f>
        <v>0</v>
      </c>
      <c r="BR226">
        <f ca="1">IF($AN226="",OFFSET(Demand!$A$13,ROW(B223)-1,4+((QUOTIENT(COLUMN(BR$2)-69,3))*5)+MOD(COLUMN(BR$2),3),1,1),"")</f>
        <v>0</v>
      </c>
      <c r="BS226">
        <f ca="1">IF($AN226="",OFFSET(Demand!$A$13,ROW(C223)-1,4+((QUOTIENT(COLUMN(BS$2)-69,3))*5)+MOD(COLUMN(BS$2),3),1,1),"")</f>
        <v>0</v>
      </c>
      <c r="BT226">
        <f ca="1">IF($AN226="",OFFSET(Demand!$A$13,ROW(D223)-1,4+((QUOTIENT(COLUMN(BT$2)-69,3))*5)+MOD(COLUMN(BT$2),3),1,1),"")</f>
        <v>0</v>
      </c>
      <c r="BU226">
        <f ca="1">IF($AN226="",OFFSET(Demand!$A$13,ROW(E223)-1,4+((QUOTIENT(COLUMN(BU$2)-69,3))*5)+MOD(COLUMN(BU$2),3),1,1),"")</f>
        <v>0</v>
      </c>
      <c r="BV226">
        <f ca="1">IF($AN226="",OFFSET(Demand!$A$13,ROW(F223)-1,4+((QUOTIENT(COLUMN(BV$2)-69,3))*5)+MOD(COLUMN(BV$2),3),1,1),"")</f>
        <v>0</v>
      </c>
      <c r="BW226">
        <f ca="1">IF($AN226="",OFFSET(Demand!$A$13,ROW(G223)-1,4+((QUOTIENT(COLUMN(BW$2)-69,3))*5)+MOD(COLUMN(BW$2),3),1,1),"")</f>
        <v>0</v>
      </c>
      <c r="BX226">
        <f ca="1">IF($AN226="",OFFSET(Demand!$A$13,ROW(H223)-1,4+((QUOTIENT(COLUMN(BX$2)-69,3))*5)+MOD(COLUMN(BX$2),3),1,1),"")</f>
        <v>0</v>
      </c>
      <c r="BY226">
        <f ca="1">IF($AN226="",OFFSET(Demand!$A$13,ROW(I223)-1,4+((QUOTIENT(COLUMN(BY$2)-69,3))*5)+MOD(COLUMN(BY$2),3),1,1),"")</f>
        <v>0</v>
      </c>
      <c r="BZ226">
        <f ca="1">IF($AN226="",OFFSET(Demand!$A$13,ROW(J223)-1,4+((QUOTIENT(COLUMN(BZ$2)-69,3))*5)+MOD(COLUMN(BZ$2),3),1,1),"")</f>
        <v>0</v>
      </c>
      <c r="CA226">
        <f ca="1">IF($AN226="",OFFSET(Demand!$A$13,ROW(K223)-1,4+((QUOTIENT(COLUMN(CA$2)-69,3))*5)+MOD(COLUMN(CA$2),3),1,1),"")</f>
        <v>0</v>
      </c>
      <c r="CB226">
        <f ca="1">IF($AN226="",OFFSET(Demand!$A$13,ROW(L223)-1,4+((QUOTIENT(COLUMN(CB$2)-69,3))*5)+MOD(COLUMN(CB$2),3),1,1),"")</f>
        <v>0</v>
      </c>
      <c r="CC226">
        <f ca="1">IF($AN226="",OFFSET(Demand!$A$13,ROW(M223)-1,4+((QUOTIENT(COLUMN(CC$2)-69,3))*5)+MOD(COLUMN(CC$2),3),1,1),"")</f>
        <v>0</v>
      </c>
      <c r="CD226">
        <f ca="1">IF($AN226="",OFFSET(Demand!$A$13,ROW(N223)-1,4+((QUOTIENT(COLUMN(CD$2)-69,3))*5)+MOD(COLUMN(CD$2),3),1,1),"")</f>
        <v>0</v>
      </c>
      <c r="CE226">
        <f ca="1">IF($AN226="",OFFSET(Demand!$A$13,ROW(O223)-1,4+((QUOTIENT(COLUMN(CE$2)-69,3))*5)+MOD(COLUMN(CE$2),3),1,1),"")</f>
        <v>0</v>
      </c>
      <c r="CF226">
        <f ca="1">IF($AN226="",OFFSET(Demand!$A$13,ROW(P223)-1,4+((QUOTIENT(COLUMN(CF$2)-69,3))*5)+MOD(COLUMN(CF$2),3),1,1),"")</f>
        <v>0</v>
      </c>
      <c r="CG226">
        <f ca="1">IF($AN226="",OFFSET(Demand!$A$13,ROW(Q223)-1,4+((QUOTIENT(COLUMN(CG$2)-69,3))*5)+MOD(COLUMN(CG$2),3),1,1),"")</f>
        <v>0</v>
      </c>
      <c r="CH226">
        <f ca="1">IF($AN226="",OFFSET(Demand!$A$13,ROW(R223)-1,4+((QUOTIENT(COLUMN(CH$2)-69,3))*5)+MOD(COLUMN(CH$2),3),1,1),"")</f>
        <v>0</v>
      </c>
      <c r="CI226">
        <f ca="1">IF($AN226="",OFFSET(Demand!$A$13,ROW(S223)-1,4+((QUOTIENT(COLUMN(CI$2)-69,3))*5)+MOD(COLUMN(CI$2),3),1,1),"")</f>
        <v>0</v>
      </c>
      <c r="CJ226">
        <f ca="1">IF($AN226="",OFFSET(Demand!$A$13,ROW(T223)-1,4+((QUOTIENT(COLUMN(CJ$2)-69,3))*5)+MOD(COLUMN(CJ$2),3),1,1),"")</f>
        <v>0</v>
      </c>
      <c r="CK226">
        <f ca="1">IF($AN226="",OFFSET(Demand!$A$13,ROW(U223)-1,4+((QUOTIENT(COLUMN(CK$2)-69,3))*5)+MOD(COLUMN(CK$2),3),1,1),"")</f>
        <v>0</v>
      </c>
      <c r="CL226">
        <f ca="1">IF($AN226="",OFFSET(Demand!$A$13,ROW(V223)-1,4+((QUOTIENT(COLUMN(CL$2)-69,3))*5)+MOD(COLUMN(CL$2),3),1,1),"")</f>
        <v>0</v>
      </c>
      <c r="CM226">
        <f ca="1">IF($AN226="",OFFSET(Demand!$A$13,ROW(W223)-1,4+((QUOTIENT(COLUMN(CM$2)-69,3))*5)+MOD(COLUMN(CM$2),3),1,1),"")</f>
        <v>0</v>
      </c>
      <c r="CN226">
        <f ca="1">IF($AN226="",OFFSET(Demand!$A$13,ROW(X223)-1,4+((QUOTIENT(COLUMN(CN$2)-69,3))*5)+MOD(COLUMN(CN$2),3),1,1),"")</f>
        <v>0</v>
      </c>
      <c r="CO226">
        <f ca="1">IF($AN226="",OFFSET(Demand!$A$13,ROW(Y223)-1,4+((QUOTIENT(COLUMN(CO$2)-69,3))*5)+MOD(COLUMN(CO$2),3),1,1),"")</f>
        <v>0</v>
      </c>
      <c r="CP226">
        <f ca="1">IF($AN226="",OFFSET(Demand!$A$13,ROW(Z223)-1,4+((QUOTIENT(COLUMN(CP$2)-69,3))*5)+MOD(COLUMN(CP$2),3),1,1),"")</f>
        <v>0</v>
      </c>
      <c r="CQ226">
        <f ca="1">IF($AN226="",OFFSET(Demand!$A$13,ROW(AA223)-1,4+((QUOTIENT(COLUMN(CQ$2)-69,3))*5)+MOD(COLUMN(CQ$2),3),1,1),"")</f>
        <v>0</v>
      </c>
      <c r="CR226">
        <f ca="1">IF($AN226="",OFFSET(Demand!$A$13,ROW(AB223)-1,4+((QUOTIENT(COLUMN(CR$2)-69,3))*5)+MOD(COLUMN(CR$2),3),1,1),"")</f>
        <v>0</v>
      </c>
      <c r="CS226">
        <f ca="1">IF($AN226="",OFFSET(Demand!$A$13,ROW(AC223)-1,4+((QUOTIENT(COLUMN(CS$2)-69,3))*5)+MOD(COLUMN(CS$2),3),1,1),"")</f>
        <v>0</v>
      </c>
      <c r="CT226">
        <f ca="1">IF($AN226="",OFFSET(Demand!$A$13,ROW(AD223)-1,4+((QUOTIENT(COLUMN(CT$2)-69,3))*5)+MOD(COLUMN(CT$2),3),1,1),"")</f>
        <v>0</v>
      </c>
      <c r="CW226" s="5">
        <f ca="1">SUM(OFFSET(Demand!$H$43,ROW(A223)-1,(COLUMN(A223)-1)*5,1,1))*N$2</f>
        <v>0</v>
      </c>
      <c r="CX226" s="5">
        <f ca="1">SUM(OFFSET(Demand!$H$43,ROW(B223)-1,(COLUMN(B223)-1)*5,1,1))*O$2</f>
        <v>0</v>
      </c>
      <c r="CY226" s="5">
        <f ca="1">SUM(OFFSET(Demand!$H$43,ROW(C223)-1,(COLUMN(C223)-1)*5,1,1))*P$2</f>
        <v>0</v>
      </c>
      <c r="CZ226" s="5">
        <f ca="1">SUM(OFFSET(Demand!$H$43,ROW(D223)-1,(COLUMN(D223)-1)*5,1,1))*Q$2</f>
        <v>0</v>
      </c>
      <c r="DA226" s="5">
        <f ca="1">SUM(OFFSET(Demand!$H$43,ROW(E223)-1,(COLUMN(E223)-1)*5,1,1))*R$2</f>
        <v>0</v>
      </c>
      <c r="DB226" s="5">
        <f ca="1">SUM(OFFSET(Demand!$H$43,ROW(F223)-1,(COLUMN(F223)-1)*5,1,1))*S$2</f>
        <v>0</v>
      </c>
      <c r="DC226" s="5">
        <f ca="1">SUM(OFFSET(Demand!$H$43,ROW(G223)-1,(COLUMN(G223)-1)*5,1,1))*T$2</f>
        <v>0</v>
      </c>
      <c r="DD226" s="5">
        <f ca="1">SUM(OFFSET(Demand!$H$43,ROW(H223)-1,(COLUMN(H223)-1)*5,1,1))*U$2</f>
        <v>0</v>
      </c>
      <c r="DE226" s="5">
        <f ca="1">SUM(OFFSET(Demand!$H$43,ROW(I223)-1,(COLUMN(I223)-1)*5,1,1))*V$2</f>
        <v>0</v>
      </c>
      <c r="DF226" s="5">
        <f ca="1">SUM(OFFSET(Demand!$H$43,ROW(J223)-1,(COLUMN(J223)-1)*5,1,1))*W$2</f>
        <v>0</v>
      </c>
      <c r="DG226" s="5">
        <f ca="1">IF(OR(AN226&lt;&gt;"",AND('Demand adjustments for Covid'!$F$9="Yes",'Demand adjustments for Covid'!$F$20="Yes")),"",SUM(CW226:DF226))</f>
        <v>0</v>
      </c>
    </row>
    <row r="227" spans="1:111" x14ac:dyDescent="0.25">
      <c r="A227" s="5">
        <f t="shared" ca="1" si="50"/>
        <v>1</v>
      </c>
      <c r="B227" s="5">
        <f ca="1">COUNTBLANK(OFFSET(Demand!$I236,0,(COLUMN(A224)-1)*5,1,1))</f>
        <v>1</v>
      </c>
      <c r="C227" s="5">
        <f ca="1">COUNTBLANK(OFFSET(Demand!$I236,0,(COLUMN(B224)-1)*5,1,1))</f>
        <v>1</v>
      </c>
      <c r="D227" s="5">
        <f ca="1">COUNTBLANK(OFFSET(Demand!$I236,0,(COLUMN(C224)-1)*5,1,1))</f>
        <v>1</v>
      </c>
      <c r="E227" s="5">
        <f ca="1">COUNTBLANK(OFFSET(Demand!$I236,0,(COLUMN(D224)-1)*5,1,1))</f>
        <v>1</v>
      </c>
      <c r="F227" s="5">
        <f ca="1">COUNTBLANK(OFFSET(Demand!$I236,0,(COLUMN(E224)-1)*5,1,1))</f>
        <v>1</v>
      </c>
      <c r="G227" s="5">
        <f ca="1">COUNTBLANK(OFFSET(Demand!$I236,0,(COLUMN(F224)-1)*5,1,1))</f>
        <v>1</v>
      </c>
      <c r="H227" s="5">
        <f ca="1">COUNTBLANK(OFFSET(Demand!$I236,0,(COLUMN(G224)-1)*5,1,1))</f>
        <v>1</v>
      </c>
      <c r="I227" s="5">
        <f ca="1">COUNTBLANK(OFFSET(Demand!$I236,0,(COLUMN(H224)-1)*5,1,1))</f>
        <v>1</v>
      </c>
      <c r="J227" s="5">
        <f ca="1">COUNTBLANK(OFFSET(Demand!$I236,0,(COLUMN(I224)-1)*5,1,1))</f>
        <v>1</v>
      </c>
      <c r="K227" s="5">
        <f ca="1">COUNTBLANK(OFFSET(Demand!$I236,0,(COLUMN(J224)-1)*5,1,1))</f>
        <v>1</v>
      </c>
      <c r="N227" s="5">
        <f ca="1">SUM(OFFSET(Demand!$E236,0,(COLUMN(A224)-1)*5,1,3))*N$2</f>
        <v>0</v>
      </c>
      <c r="O227" s="5">
        <f ca="1">SUM(OFFSET(Demand!$E236,0,(COLUMN(B224)-1)*5,1,3))*O$2</f>
        <v>0</v>
      </c>
      <c r="P227" s="5">
        <f ca="1">SUM(OFFSET(Demand!$E236,0,(COLUMN(C224)-1)*5,1,3))*P$2</f>
        <v>0</v>
      </c>
      <c r="Q227" s="5">
        <f ca="1">SUM(OFFSET(Demand!$E236,0,(COLUMN(D224)-1)*5,1,3))*Q$2</f>
        <v>0</v>
      </c>
      <c r="R227" s="5">
        <f ca="1">SUM(OFFSET(Demand!$E236,0,(COLUMN(E224)-1)*5,1,3))*R$2</f>
        <v>0</v>
      </c>
      <c r="S227" s="5">
        <f ca="1">SUM(OFFSET(Demand!$E236,0,(COLUMN(F224)-1)*5,1,3))*S$2</f>
        <v>0</v>
      </c>
      <c r="T227" s="5">
        <f ca="1">SUM(OFFSET(Demand!$E236,0,(COLUMN(G224)-1)*5,1,3))*T$2</f>
        <v>0</v>
      </c>
      <c r="U227" s="5">
        <f ca="1">SUM(OFFSET(Demand!$E236,0,(COLUMN(H224)-1)*5,1,3))*U$2</f>
        <v>0</v>
      </c>
      <c r="V227" s="5">
        <f ca="1">SUM(OFFSET(Demand!$E236,0,(COLUMN(I224)-1)*5,1,3))*V$2</f>
        <v>0</v>
      </c>
      <c r="W227" s="5">
        <f ca="1">SUM(OFFSET(Demand!$E236,0,(COLUMN(J224)-1)*5,1,3))*W$2</f>
        <v>0</v>
      </c>
      <c r="X227" s="5">
        <f t="shared" ca="1" si="51"/>
        <v>0</v>
      </c>
      <c r="Y227">
        <f t="shared" ca="1" si="52"/>
        <v>0</v>
      </c>
      <c r="Z227" s="5">
        <f ca="1">SUM(OFFSET(Demand!$H236,0,(COLUMN(A224)-1)*5,1,1))*N$2</f>
        <v>0</v>
      </c>
      <c r="AA227" s="5">
        <f ca="1">SUM(OFFSET(Demand!$H236,0,(COLUMN(B224)-1)*5,1,1))*O$2</f>
        <v>0</v>
      </c>
      <c r="AB227" s="5">
        <f ca="1">SUM(OFFSET(Demand!$H236,0,(COLUMN(C224)-1)*5,1,1))*P$2</f>
        <v>0</v>
      </c>
      <c r="AC227" s="5">
        <f ca="1">SUM(OFFSET(Demand!$H236,0,(COLUMN(D224)-1)*5,1,1))*Q$2</f>
        <v>0</v>
      </c>
      <c r="AD227" s="5">
        <f ca="1">SUM(OFFSET(Demand!$H236,0,(COLUMN(E224)-1)*5,1,1))*R$2</f>
        <v>0</v>
      </c>
      <c r="AE227" s="5">
        <f ca="1">SUM(OFFSET(Demand!$H236,0,(COLUMN(F224)-1)*5,1,1))*S$2</f>
        <v>0</v>
      </c>
      <c r="AF227" s="5">
        <f ca="1">SUM(OFFSET(Demand!$H236,0,(COLUMN(G224)-1)*5,1,1))*T$2</f>
        <v>0</v>
      </c>
      <c r="AG227" s="5">
        <f ca="1">SUM(OFFSET(Demand!$H236,0,(COLUMN(H224)-1)*5,1,1))*U$2</f>
        <v>0</v>
      </c>
      <c r="AH227" s="5">
        <f ca="1">SUM(OFFSET(Demand!$H236,0,(COLUMN(I224)-1)*5,1,1))*V$2</f>
        <v>0</v>
      </c>
      <c r="AI227" s="5">
        <f ca="1">SUM(OFFSET(Demand!$H236,0,(COLUMN(J224)-1)*5,1,1))*W$2</f>
        <v>0</v>
      </c>
      <c r="AJ227" s="5">
        <f t="shared" ca="1" si="53"/>
        <v>0</v>
      </c>
      <c r="AL227" s="5">
        <f t="shared" ca="1" si="54"/>
        <v>0</v>
      </c>
      <c r="AM227" s="5">
        <f t="shared" ca="1" si="55"/>
        <v>0</v>
      </c>
      <c r="AN227" s="5" t="str">
        <f>IF(Demand!BE236="Yes","Yes","")</f>
        <v/>
      </c>
      <c r="AP227" s="36" t="str">
        <f ca="1">Demand!B236</f>
        <v xml:space="preserve"> </v>
      </c>
      <c r="AQ227" t="str">
        <f ca="1">IF(TEXT(Demand!D236,"MMM")&lt;&gt;TEXT(Demand!D235,"MMM"),TEXT(Demand!D236,"MMM"),"")</f>
        <v/>
      </c>
      <c r="AT227" s="5">
        <f t="shared" ca="1" si="56"/>
        <v>0</v>
      </c>
      <c r="BQ227">
        <f ca="1">IF($AN227="",OFFSET(Demand!$A$13,ROW(A224)-1,4+((QUOTIENT(COLUMN(BQ$2)-69,3))*5)+MOD(COLUMN(BQ$2),3),1,1),"")</f>
        <v>0</v>
      </c>
      <c r="BR227">
        <f ca="1">IF($AN227="",OFFSET(Demand!$A$13,ROW(B224)-1,4+((QUOTIENT(COLUMN(BR$2)-69,3))*5)+MOD(COLUMN(BR$2),3),1,1),"")</f>
        <v>0</v>
      </c>
      <c r="BS227">
        <f ca="1">IF($AN227="",OFFSET(Demand!$A$13,ROW(C224)-1,4+((QUOTIENT(COLUMN(BS$2)-69,3))*5)+MOD(COLUMN(BS$2),3),1,1),"")</f>
        <v>0</v>
      </c>
      <c r="BT227">
        <f ca="1">IF($AN227="",OFFSET(Demand!$A$13,ROW(D224)-1,4+((QUOTIENT(COLUMN(BT$2)-69,3))*5)+MOD(COLUMN(BT$2),3),1,1),"")</f>
        <v>0</v>
      </c>
      <c r="BU227">
        <f ca="1">IF($AN227="",OFFSET(Demand!$A$13,ROW(E224)-1,4+((QUOTIENT(COLUMN(BU$2)-69,3))*5)+MOD(COLUMN(BU$2),3),1,1),"")</f>
        <v>0</v>
      </c>
      <c r="BV227">
        <f ca="1">IF($AN227="",OFFSET(Demand!$A$13,ROW(F224)-1,4+((QUOTIENT(COLUMN(BV$2)-69,3))*5)+MOD(COLUMN(BV$2),3),1,1),"")</f>
        <v>0</v>
      </c>
      <c r="BW227">
        <f ca="1">IF($AN227="",OFFSET(Demand!$A$13,ROW(G224)-1,4+((QUOTIENT(COLUMN(BW$2)-69,3))*5)+MOD(COLUMN(BW$2),3),1,1),"")</f>
        <v>0</v>
      </c>
      <c r="BX227">
        <f ca="1">IF($AN227="",OFFSET(Demand!$A$13,ROW(H224)-1,4+((QUOTIENT(COLUMN(BX$2)-69,3))*5)+MOD(COLUMN(BX$2),3),1,1),"")</f>
        <v>0</v>
      </c>
      <c r="BY227">
        <f ca="1">IF($AN227="",OFFSET(Demand!$A$13,ROW(I224)-1,4+((QUOTIENT(COLUMN(BY$2)-69,3))*5)+MOD(COLUMN(BY$2),3),1,1),"")</f>
        <v>0</v>
      </c>
      <c r="BZ227">
        <f ca="1">IF($AN227="",OFFSET(Demand!$A$13,ROW(J224)-1,4+((QUOTIENT(COLUMN(BZ$2)-69,3))*5)+MOD(COLUMN(BZ$2),3),1,1),"")</f>
        <v>0</v>
      </c>
      <c r="CA227">
        <f ca="1">IF($AN227="",OFFSET(Demand!$A$13,ROW(K224)-1,4+((QUOTIENT(COLUMN(CA$2)-69,3))*5)+MOD(COLUMN(CA$2),3),1,1),"")</f>
        <v>0</v>
      </c>
      <c r="CB227">
        <f ca="1">IF($AN227="",OFFSET(Demand!$A$13,ROW(L224)-1,4+((QUOTIENT(COLUMN(CB$2)-69,3))*5)+MOD(COLUMN(CB$2),3),1,1),"")</f>
        <v>0</v>
      </c>
      <c r="CC227">
        <f ca="1">IF($AN227="",OFFSET(Demand!$A$13,ROW(M224)-1,4+((QUOTIENT(COLUMN(CC$2)-69,3))*5)+MOD(COLUMN(CC$2),3),1,1),"")</f>
        <v>0</v>
      </c>
      <c r="CD227">
        <f ca="1">IF($AN227="",OFFSET(Demand!$A$13,ROW(N224)-1,4+((QUOTIENT(COLUMN(CD$2)-69,3))*5)+MOD(COLUMN(CD$2),3),1,1),"")</f>
        <v>0</v>
      </c>
      <c r="CE227">
        <f ca="1">IF($AN227="",OFFSET(Demand!$A$13,ROW(O224)-1,4+((QUOTIENT(COLUMN(CE$2)-69,3))*5)+MOD(COLUMN(CE$2),3),1,1),"")</f>
        <v>0</v>
      </c>
      <c r="CF227">
        <f ca="1">IF($AN227="",OFFSET(Demand!$A$13,ROW(P224)-1,4+((QUOTIENT(COLUMN(CF$2)-69,3))*5)+MOD(COLUMN(CF$2),3),1,1),"")</f>
        <v>0</v>
      </c>
      <c r="CG227">
        <f ca="1">IF($AN227="",OFFSET(Demand!$A$13,ROW(Q224)-1,4+((QUOTIENT(COLUMN(CG$2)-69,3))*5)+MOD(COLUMN(CG$2),3),1,1),"")</f>
        <v>0</v>
      </c>
      <c r="CH227">
        <f ca="1">IF($AN227="",OFFSET(Demand!$A$13,ROW(R224)-1,4+((QUOTIENT(COLUMN(CH$2)-69,3))*5)+MOD(COLUMN(CH$2),3),1,1),"")</f>
        <v>0</v>
      </c>
      <c r="CI227">
        <f ca="1">IF($AN227="",OFFSET(Demand!$A$13,ROW(S224)-1,4+((QUOTIENT(COLUMN(CI$2)-69,3))*5)+MOD(COLUMN(CI$2),3),1,1),"")</f>
        <v>0</v>
      </c>
      <c r="CJ227">
        <f ca="1">IF($AN227="",OFFSET(Demand!$A$13,ROW(T224)-1,4+((QUOTIENT(COLUMN(CJ$2)-69,3))*5)+MOD(COLUMN(CJ$2),3),1,1),"")</f>
        <v>0</v>
      </c>
      <c r="CK227">
        <f ca="1">IF($AN227="",OFFSET(Demand!$A$13,ROW(U224)-1,4+((QUOTIENT(COLUMN(CK$2)-69,3))*5)+MOD(COLUMN(CK$2),3),1,1),"")</f>
        <v>0</v>
      </c>
      <c r="CL227">
        <f ca="1">IF($AN227="",OFFSET(Demand!$A$13,ROW(V224)-1,4+((QUOTIENT(COLUMN(CL$2)-69,3))*5)+MOD(COLUMN(CL$2),3),1,1),"")</f>
        <v>0</v>
      </c>
      <c r="CM227">
        <f ca="1">IF($AN227="",OFFSET(Demand!$A$13,ROW(W224)-1,4+((QUOTIENT(COLUMN(CM$2)-69,3))*5)+MOD(COLUMN(CM$2),3),1,1),"")</f>
        <v>0</v>
      </c>
      <c r="CN227">
        <f ca="1">IF($AN227="",OFFSET(Demand!$A$13,ROW(X224)-1,4+((QUOTIENT(COLUMN(CN$2)-69,3))*5)+MOD(COLUMN(CN$2),3),1,1),"")</f>
        <v>0</v>
      </c>
      <c r="CO227">
        <f ca="1">IF($AN227="",OFFSET(Demand!$A$13,ROW(Y224)-1,4+((QUOTIENT(COLUMN(CO$2)-69,3))*5)+MOD(COLUMN(CO$2),3),1,1),"")</f>
        <v>0</v>
      </c>
      <c r="CP227">
        <f ca="1">IF($AN227="",OFFSET(Demand!$A$13,ROW(Z224)-1,4+((QUOTIENT(COLUMN(CP$2)-69,3))*5)+MOD(COLUMN(CP$2),3),1,1),"")</f>
        <v>0</v>
      </c>
      <c r="CQ227">
        <f ca="1">IF($AN227="",OFFSET(Demand!$A$13,ROW(AA224)-1,4+((QUOTIENT(COLUMN(CQ$2)-69,3))*5)+MOD(COLUMN(CQ$2),3),1,1),"")</f>
        <v>0</v>
      </c>
      <c r="CR227">
        <f ca="1">IF($AN227="",OFFSET(Demand!$A$13,ROW(AB224)-1,4+((QUOTIENT(COLUMN(CR$2)-69,3))*5)+MOD(COLUMN(CR$2),3),1,1),"")</f>
        <v>0</v>
      </c>
      <c r="CS227">
        <f ca="1">IF($AN227="",OFFSET(Demand!$A$13,ROW(AC224)-1,4+((QUOTIENT(COLUMN(CS$2)-69,3))*5)+MOD(COLUMN(CS$2),3),1,1),"")</f>
        <v>0</v>
      </c>
      <c r="CT227">
        <f ca="1">IF($AN227="",OFFSET(Demand!$A$13,ROW(AD224)-1,4+((QUOTIENT(COLUMN(CT$2)-69,3))*5)+MOD(COLUMN(CT$2),3),1,1),"")</f>
        <v>0</v>
      </c>
      <c r="CW227" s="5">
        <f ca="1">SUM(OFFSET(Demand!$H$43,ROW(A224)-1,(COLUMN(A224)-1)*5,1,1))*N$2</f>
        <v>0</v>
      </c>
      <c r="CX227" s="5">
        <f ca="1">SUM(OFFSET(Demand!$H$43,ROW(B224)-1,(COLUMN(B224)-1)*5,1,1))*O$2</f>
        <v>0</v>
      </c>
      <c r="CY227" s="5">
        <f ca="1">SUM(OFFSET(Demand!$H$43,ROW(C224)-1,(COLUMN(C224)-1)*5,1,1))*P$2</f>
        <v>0</v>
      </c>
      <c r="CZ227" s="5">
        <f ca="1">SUM(OFFSET(Demand!$H$43,ROW(D224)-1,(COLUMN(D224)-1)*5,1,1))*Q$2</f>
        <v>0</v>
      </c>
      <c r="DA227" s="5">
        <f ca="1">SUM(OFFSET(Demand!$H$43,ROW(E224)-1,(COLUMN(E224)-1)*5,1,1))*R$2</f>
        <v>0</v>
      </c>
      <c r="DB227" s="5">
        <f ca="1">SUM(OFFSET(Demand!$H$43,ROW(F224)-1,(COLUMN(F224)-1)*5,1,1))*S$2</f>
        <v>0</v>
      </c>
      <c r="DC227" s="5">
        <f ca="1">SUM(OFFSET(Demand!$H$43,ROW(G224)-1,(COLUMN(G224)-1)*5,1,1))*T$2</f>
        <v>0</v>
      </c>
      <c r="DD227" s="5">
        <f ca="1">SUM(OFFSET(Demand!$H$43,ROW(H224)-1,(COLUMN(H224)-1)*5,1,1))*U$2</f>
        <v>0</v>
      </c>
      <c r="DE227" s="5">
        <f ca="1">SUM(OFFSET(Demand!$H$43,ROW(I224)-1,(COLUMN(I224)-1)*5,1,1))*V$2</f>
        <v>0</v>
      </c>
      <c r="DF227" s="5">
        <f ca="1">SUM(OFFSET(Demand!$H$43,ROW(J224)-1,(COLUMN(J224)-1)*5,1,1))*W$2</f>
        <v>0</v>
      </c>
      <c r="DG227" s="5">
        <f ca="1">IF(OR(AN227&lt;&gt;"",AND('Demand adjustments for Covid'!$F$9="Yes",'Demand adjustments for Covid'!$F$20="Yes")),"",SUM(CW227:DF227))</f>
        <v>0</v>
      </c>
    </row>
    <row r="228" spans="1:111" x14ac:dyDescent="0.25">
      <c r="A228" s="5">
        <f t="shared" ca="1" si="50"/>
        <v>1</v>
      </c>
      <c r="B228" s="5">
        <f ca="1">COUNTBLANK(OFFSET(Demand!$I237,0,(COLUMN(A225)-1)*5,1,1))</f>
        <v>1</v>
      </c>
      <c r="C228" s="5">
        <f ca="1">COUNTBLANK(OFFSET(Demand!$I237,0,(COLUMN(B225)-1)*5,1,1))</f>
        <v>1</v>
      </c>
      <c r="D228" s="5">
        <f ca="1">COUNTBLANK(OFFSET(Demand!$I237,0,(COLUMN(C225)-1)*5,1,1))</f>
        <v>1</v>
      </c>
      <c r="E228" s="5">
        <f ca="1">COUNTBLANK(OFFSET(Demand!$I237,0,(COLUMN(D225)-1)*5,1,1))</f>
        <v>1</v>
      </c>
      <c r="F228" s="5">
        <f ca="1">COUNTBLANK(OFFSET(Demand!$I237,0,(COLUMN(E225)-1)*5,1,1))</f>
        <v>1</v>
      </c>
      <c r="G228" s="5">
        <f ca="1">COUNTBLANK(OFFSET(Demand!$I237,0,(COLUMN(F225)-1)*5,1,1))</f>
        <v>1</v>
      </c>
      <c r="H228" s="5">
        <f ca="1">COUNTBLANK(OFFSET(Demand!$I237,0,(COLUMN(G225)-1)*5,1,1))</f>
        <v>1</v>
      </c>
      <c r="I228" s="5">
        <f ca="1">COUNTBLANK(OFFSET(Demand!$I237,0,(COLUMN(H225)-1)*5,1,1))</f>
        <v>1</v>
      </c>
      <c r="J228" s="5">
        <f ca="1">COUNTBLANK(OFFSET(Demand!$I237,0,(COLUMN(I225)-1)*5,1,1))</f>
        <v>1</v>
      </c>
      <c r="K228" s="5">
        <f ca="1">COUNTBLANK(OFFSET(Demand!$I237,0,(COLUMN(J225)-1)*5,1,1))</f>
        <v>1</v>
      </c>
      <c r="N228" s="5">
        <f ca="1">SUM(OFFSET(Demand!$E237,0,(COLUMN(A225)-1)*5,1,3))*N$2</f>
        <v>0</v>
      </c>
      <c r="O228" s="5">
        <f ca="1">SUM(OFFSET(Demand!$E237,0,(COLUMN(B225)-1)*5,1,3))*O$2</f>
        <v>0</v>
      </c>
      <c r="P228" s="5">
        <f ca="1">SUM(OFFSET(Demand!$E237,0,(COLUMN(C225)-1)*5,1,3))*P$2</f>
        <v>0</v>
      </c>
      <c r="Q228" s="5">
        <f ca="1">SUM(OFFSET(Demand!$E237,0,(COLUMN(D225)-1)*5,1,3))*Q$2</f>
        <v>0</v>
      </c>
      <c r="R228" s="5">
        <f ca="1">SUM(OFFSET(Demand!$E237,0,(COLUMN(E225)-1)*5,1,3))*R$2</f>
        <v>0</v>
      </c>
      <c r="S228" s="5">
        <f ca="1">SUM(OFFSET(Demand!$E237,0,(COLUMN(F225)-1)*5,1,3))*S$2</f>
        <v>0</v>
      </c>
      <c r="T228" s="5">
        <f ca="1">SUM(OFFSET(Demand!$E237,0,(COLUMN(G225)-1)*5,1,3))*T$2</f>
        <v>0</v>
      </c>
      <c r="U228" s="5">
        <f ca="1">SUM(OFFSET(Demand!$E237,0,(COLUMN(H225)-1)*5,1,3))*U$2</f>
        <v>0</v>
      </c>
      <c r="V228" s="5">
        <f ca="1">SUM(OFFSET(Demand!$E237,0,(COLUMN(I225)-1)*5,1,3))*V$2</f>
        <v>0</v>
      </c>
      <c r="W228" s="5">
        <f ca="1">SUM(OFFSET(Demand!$E237,0,(COLUMN(J225)-1)*5,1,3))*W$2</f>
        <v>0</v>
      </c>
      <c r="X228" s="5">
        <f t="shared" ca="1" si="51"/>
        <v>0</v>
      </c>
      <c r="Y228">
        <f t="shared" ca="1" si="52"/>
        <v>0</v>
      </c>
      <c r="Z228" s="5">
        <f ca="1">SUM(OFFSET(Demand!$H237,0,(COLUMN(A225)-1)*5,1,1))*N$2</f>
        <v>0</v>
      </c>
      <c r="AA228" s="5">
        <f ca="1">SUM(OFFSET(Demand!$H237,0,(COLUMN(B225)-1)*5,1,1))*O$2</f>
        <v>0</v>
      </c>
      <c r="AB228" s="5">
        <f ca="1">SUM(OFFSET(Demand!$H237,0,(COLUMN(C225)-1)*5,1,1))*P$2</f>
        <v>0</v>
      </c>
      <c r="AC228" s="5">
        <f ca="1">SUM(OFFSET(Demand!$H237,0,(COLUMN(D225)-1)*5,1,1))*Q$2</f>
        <v>0</v>
      </c>
      <c r="AD228" s="5">
        <f ca="1">SUM(OFFSET(Demand!$H237,0,(COLUMN(E225)-1)*5,1,1))*R$2</f>
        <v>0</v>
      </c>
      <c r="AE228" s="5">
        <f ca="1">SUM(OFFSET(Demand!$H237,0,(COLUMN(F225)-1)*5,1,1))*S$2</f>
        <v>0</v>
      </c>
      <c r="AF228" s="5">
        <f ca="1">SUM(OFFSET(Demand!$H237,0,(COLUMN(G225)-1)*5,1,1))*T$2</f>
        <v>0</v>
      </c>
      <c r="AG228" s="5">
        <f ca="1">SUM(OFFSET(Demand!$H237,0,(COLUMN(H225)-1)*5,1,1))*U$2</f>
        <v>0</v>
      </c>
      <c r="AH228" s="5">
        <f ca="1">SUM(OFFSET(Demand!$H237,0,(COLUMN(I225)-1)*5,1,1))*V$2</f>
        <v>0</v>
      </c>
      <c r="AI228" s="5">
        <f ca="1">SUM(OFFSET(Demand!$H237,0,(COLUMN(J225)-1)*5,1,1))*W$2</f>
        <v>0</v>
      </c>
      <c r="AJ228" s="5">
        <f t="shared" ca="1" si="53"/>
        <v>0</v>
      </c>
      <c r="AL228" s="5">
        <f t="shared" ca="1" si="54"/>
        <v>0</v>
      </c>
      <c r="AM228" s="5">
        <f t="shared" ca="1" si="55"/>
        <v>0</v>
      </c>
      <c r="AN228" s="5" t="str">
        <f>IF(Demand!BE237="Yes","Yes","")</f>
        <v/>
      </c>
      <c r="AP228" s="36" t="str">
        <f ca="1">Demand!B237</f>
        <v xml:space="preserve"> </v>
      </c>
      <c r="AQ228" t="str">
        <f ca="1">IF(TEXT(Demand!D237,"MMM")&lt;&gt;TEXT(Demand!D236,"MMM"),TEXT(Demand!D237,"MMM"),"")</f>
        <v/>
      </c>
      <c r="AT228" s="5">
        <f t="shared" ca="1" si="56"/>
        <v>0</v>
      </c>
      <c r="BQ228">
        <f ca="1">IF($AN228="",OFFSET(Demand!$A$13,ROW(A225)-1,4+((QUOTIENT(COLUMN(BQ$2)-69,3))*5)+MOD(COLUMN(BQ$2),3),1,1),"")</f>
        <v>0</v>
      </c>
      <c r="BR228">
        <f ca="1">IF($AN228="",OFFSET(Demand!$A$13,ROW(B225)-1,4+((QUOTIENT(COLUMN(BR$2)-69,3))*5)+MOD(COLUMN(BR$2),3),1,1),"")</f>
        <v>0</v>
      </c>
      <c r="BS228">
        <f ca="1">IF($AN228="",OFFSET(Demand!$A$13,ROW(C225)-1,4+((QUOTIENT(COLUMN(BS$2)-69,3))*5)+MOD(COLUMN(BS$2),3),1,1),"")</f>
        <v>0</v>
      </c>
      <c r="BT228">
        <f ca="1">IF($AN228="",OFFSET(Demand!$A$13,ROW(D225)-1,4+((QUOTIENT(COLUMN(BT$2)-69,3))*5)+MOD(COLUMN(BT$2),3),1,1),"")</f>
        <v>0</v>
      </c>
      <c r="BU228">
        <f ca="1">IF($AN228="",OFFSET(Demand!$A$13,ROW(E225)-1,4+((QUOTIENT(COLUMN(BU$2)-69,3))*5)+MOD(COLUMN(BU$2),3),1,1),"")</f>
        <v>0</v>
      </c>
      <c r="BV228">
        <f ca="1">IF($AN228="",OFFSET(Demand!$A$13,ROW(F225)-1,4+((QUOTIENT(COLUMN(BV$2)-69,3))*5)+MOD(COLUMN(BV$2),3),1,1),"")</f>
        <v>0</v>
      </c>
      <c r="BW228">
        <f ca="1">IF($AN228="",OFFSET(Demand!$A$13,ROW(G225)-1,4+((QUOTIENT(COLUMN(BW$2)-69,3))*5)+MOD(COLUMN(BW$2),3),1,1),"")</f>
        <v>0</v>
      </c>
      <c r="BX228">
        <f ca="1">IF($AN228="",OFFSET(Demand!$A$13,ROW(H225)-1,4+((QUOTIENT(COLUMN(BX$2)-69,3))*5)+MOD(COLUMN(BX$2),3),1,1),"")</f>
        <v>0</v>
      </c>
      <c r="BY228">
        <f ca="1">IF($AN228="",OFFSET(Demand!$A$13,ROW(I225)-1,4+((QUOTIENT(COLUMN(BY$2)-69,3))*5)+MOD(COLUMN(BY$2),3),1,1),"")</f>
        <v>0</v>
      </c>
      <c r="BZ228">
        <f ca="1">IF($AN228="",OFFSET(Demand!$A$13,ROW(J225)-1,4+((QUOTIENT(COLUMN(BZ$2)-69,3))*5)+MOD(COLUMN(BZ$2),3),1,1),"")</f>
        <v>0</v>
      </c>
      <c r="CA228">
        <f ca="1">IF($AN228="",OFFSET(Demand!$A$13,ROW(K225)-1,4+((QUOTIENT(COLUMN(CA$2)-69,3))*5)+MOD(COLUMN(CA$2),3),1,1),"")</f>
        <v>0</v>
      </c>
      <c r="CB228">
        <f ca="1">IF($AN228="",OFFSET(Demand!$A$13,ROW(L225)-1,4+((QUOTIENT(COLUMN(CB$2)-69,3))*5)+MOD(COLUMN(CB$2),3),1,1),"")</f>
        <v>0</v>
      </c>
      <c r="CC228">
        <f ca="1">IF($AN228="",OFFSET(Demand!$A$13,ROW(M225)-1,4+((QUOTIENT(COLUMN(CC$2)-69,3))*5)+MOD(COLUMN(CC$2),3),1,1),"")</f>
        <v>0</v>
      </c>
      <c r="CD228">
        <f ca="1">IF($AN228="",OFFSET(Demand!$A$13,ROW(N225)-1,4+((QUOTIENT(COLUMN(CD$2)-69,3))*5)+MOD(COLUMN(CD$2),3),1,1),"")</f>
        <v>0</v>
      </c>
      <c r="CE228">
        <f ca="1">IF($AN228="",OFFSET(Demand!$A$13,ROW(O225)-1,4+((QUOTIENT(COLUMN(CE$2)-69,3))*5)+MOD(COLUMN(CE$2),3),1,1),"")</f>
        <v>0</v>
      </c>
      <c r="CF228">
        <f ca="1">IF($AN228="",OFFSET(Demand!$A$13,ROW(P225)-1,4+((QUOTIENT(COLUMN(CF$2)-69,3))*5)+MOD(COLUMN(CF$2),3),1,1),"")</f>
        <v>0</v>
      </c>
      <c r="CG228">
        <f ca="1">IF($AN228="",OFFSET(Demand!$A$13,ROW(Q225)-1,4+((QUOTIENT(COLUMN(CG$2)-69,3))*5)+MOD(COLUMN(CG$2),3),1,1),"")</f>
        <v>0</v>
      </c>
      <c r="CH228">
        <f ca="1">IF($AN228="",OFFSET(Demand!$A$13,ROW(R225)-1,4+((QUOTIENT(COLUMN(CH$2)-69,3))*5)+MOD(COLUMN(CH$2),3),1,1),"")</f>
        <v>0</v>
      </c>
      <c r="CI228">
        <f ca="1">IF($AN228="",OFFSET(Demand!$A$13,ROW(S225)-1,4+((QUOTIENT(COLUMN(CI$2)-69,3))*5)+MOD(COLUMN(CI$2),3),1,1),"")</f>
        <v>0</v>
      </c>
      <c r="CJ228">
        <f ca="1">IF($AN228="",OFFSET(Demand!$A$13,ROW(T225)-1,4+((QUOTIENT(COLUMN(CJ$2)-69,3))*5)+MOD(COLUMN(CJ$2),3),1,1),"")</f>
        <v>0</v>
      </c>
      <c r="CK228">
        <f ca="1">IF($AN228="",OFFSET(Demand!$A$13,ROW(U225)-1,4+((QUOTIENT(COLUMN(CK$2)-69,3))*5)+MOD(COLUMN(CK$2),3),1,1),"")</f>
        <v>0</v>
      </c>
      <c r="CL228">
        <f ca="1">IF($AN228="",OFFSET(Demand!$A$13,ROW(V225)-1,4+((QUOTIENT(COLUMN(CL$2)-69,3))*5)+MOD(COLUMN(CL$2),3),1,1),"")</f>
        <v>0</v>
      </c>
      <c r="CM228">
        <f ca="1">IF($AN228="",OFFSET(Demand!$A$13,ROW(W225)-1,4+((QUOTIENT(COLUMN(CM$2)-69,3))*5)+MOD(COLUMN(CM$2),3),1,1),"")</f>
        <v>0</v>
      </c>
      <c r="CN228">
        <f ca="1">IF($AN228="",OFFSET(Demand!$A$13,ROW(X225)-1,4+((QUOTIENT(COLUMN(CN$2)-69,3))*5)+MOD(COLUMN(CN$2),3),1,1),"")</f>
        <v>0</v>
      </c>
      <c r="CO228">
        <f ca="1">IF($AN228="",OFFSET(Demand!$A$13,ROW(Y225)-1,4+((QUOTIENT(COLUMN(CO$2)-69,3))*5)+MOD(COLUMN(CO$2),3),1,1),"")</f>
        <v>0</v>
      </c>
      <c r="CP228">
        <f ca="1">IF($AN228="",OFFSET(Demand!$A$13,ROW(Z225)-1,4+((QUOTIENT(COLUMN(CP$2)-69,3))*5)+MOD(COLUMN(CP$2),3),1,1),"")</f>
        <v>0</v>
      </c>
      <c r="CQ228">
        <f ca="1">IF($AN228="",OFFSET(Demand!$A$13,ROW(AA225)-1,4+((QUOTIENT(COLUMN(CQ$2)-69,3))*5)+MOD(COLUMN(CQ$2),3),1,1),"")</f>
        <v>0</v>
      </c>
      <c r="CR228">
        <f ca="1">IF($AN228="",OFFSET(Demand!$A$13,ROW(AB225)-1,4+((QUOTIENT(COLUMN(CR$2)-69,3))*5)+MOD(COLUMN(CR$2),3),1,1),"")</f>
        <v>0</v>
      </c>
      <c r="CS228">
        <f ca="1">IF($AN228="",OFFSET(Demand!$A$13,ROW(AC225)-1,4+((QUOTIENT(COLUMN(CS$2)-69,3))*5)+MOD(COLUMN(CS$2),3),1,1),"")</f>
        <v>0</v>
      </c>
      <c r="CT228">
        <f ca="1">IF($AN228="",OFFSET(Demand!$A$13,ROW(AD225)-1,4+((QUOTIENT(COLUMN(CT$2)-69,3))*5)+MOD(COLUMN(CT$2),3),1,1),"")</f>
        <v>0</v>
      </c>
      <c r="CW228" s="5">
        <f ca="1">SUM(OFFSET(Demand!$H$43,ROW(A225)-1,(COLUMN(A225)-1)*5,1,1))*N$2</f>
        <v>0</v>
      </c>
      <c r="CX228" s="5">
        <f ca="1">SUM(OFFSET(Demand!$H$43,ROW(B225)-1,(COLUMN(B225)-1)*5,1,1))*O$2</f>
        <v>0</v>
      </c>
      <c r="CY228" s="5">
        <f ca="1">SUM(OFFSET(Demand!$H$43,ROW(C225)-1,(COLUMN(C225)-1)*5,1,1))*P$2</f>
        <v>0</v>
      </c>
      <c r="CZ228" s="5">
        <f ca="1">SUM(OFFSET(Demand!$H$43,ROW(D225)-1,(COLUMN(D225)-1)*5,1,1))*Q$2</f>
        <v>0</v>
      </c>
      <c r="DA228" s="5">
        <f ca="1">SUM(OFFSET(Demand!$H$43,ROW(E225)-1,(COLUMN(E225)-1)*5,1,1))*R$2</f>
        <v>0</v>
      </c>
      <c r="DB228" s="5">
        <f ca="1">SUM(OFFSET(Demand!$H$43,ROW(F225)-1,(COLUMN(F225)-1)*5,1,1))*S$2</f>
        <v>0</v>
      </c>
      <c r="DC228" s="5">
        <f ca="1">SUM(OFFSET(Demand!$H$43,ROW(G225)-1,(COLUMN(G225)-1)*5,1,1))*T$2</f>
        <v>0</v>
      </c>
      <c r="DD228" s="5">
        <f ca="1">SUM(OFFSET(Demand!$H$43,ROW(H225)-1,(COLUMN(H225)-1)*5,1,1))*U$2</f>
        <v>0</v>
      </c>
      <c r="DE228" s="5">
        <f ca="1">SUM(OFFSET(Demand!$H$43,ROW(I225)-1,(COLUMN(I225)-1)*5,1,1))*V$2</f>
        <v>0</v>
      </c>
      <c r="DF228" s="5">
        <f ca="1">SUM(OFFSET(Demand!$H$43,ROW(J225)-1,(COLUMN(J225)-1)*5,1,1))*W$2</f>
        <v>0</v>
      </c>
      <c r="DG228" s="5">
        <f ca="1">IF(OR(AN228&lt;&gt;"",AND('Demand adjustments for Covid'!$F$9="Yes",'Demand adjustments for Covid'!$F$20="Yes")),"",SUM(CW228:DF228))</f>
        <v>0</v>
      </c>
    </row>
    <row r="229" spans="1:111" x14ac:dyDescent="0.25">
      <c r="A229" s="5">
        <f t="shared" ca="1" si="50"/>
        <v>1</v>
      </c>
      <c r="B229" s="5">
        <f ca="1">COUNTBLANK(OFFSET(Demand!$I238,0,(COLUMN(A226)-1)*5,1,1))</f>
        <v>1</v>
      </c>
      <c r="C229" s="5">
        <f ca="1">COUNTBLANK(OFFSET(Demand!$I238,0,(COLUMN(B226)-1)*5,1,1))</f>
        <v>1</v>
      </c>
      <c r="D229" s="5">
        <f ca="1">COUNTBLANK(OFFSET(Demand!$I238,0,(COLUMN(C226)-1)*5,1,1))</f>
        <v>1</v>
      </c>
      <c r="E229" s="5">
        <f ca="1">COUNTBLANK(OFFSET(Demand!$I238,0,(COLUMN(D226)-1)*5,1,1))</f>
        <v>1</v>
      </c>
      <c r="F229" s="5">
        <f ca="1">COUNTBLANK(OFFSET(Demand!$I238,0,(COLUMN(E226)-1)*5,1,1))</f>
        <v>1</v>
      </c>
      <c r="G229" s="5">
        <f ca="1">COUNTBLANK(OFFSET(Demand!$I238,0,(COLUMN(F226)-1)*5,1,1))</f>
        <v>1</v>
      </c>
      <c r="H229" s="5">
        <f ca="1">COUNTBLANK(OFFSET(Demand!$I238,0,(COLUMN(G226)-1)*5,1,1))</f>
        <v>1</v>
      </c>
      <c r="I229" s="5">
        <f ca="1">COUNTBLANK(OFFSET(Demand!$I238,0,(COLUMN(H226)-1)*5,1,1))</f>
        <v>1</v>
      </c>
      <c r="J229" s="5">
        <f ca="1">COUNTBLANK(OFFSET(Demand!$I238,0,(COLUMN(I226)-1)*5,1,1))</f>
        <v>1</v>
      </c>
      <c r="K229" s="5">
        <f ca="1">COUNTBLANK(OFFSET(Demand!$I238,0,(COLUMN(J226)-1)*5,1,1))</f>
        <v>1</v>
      </c>
      <c r="N229" s="5">
        <f ca="1">SUM(OFFSET(Demand!$E238,0,(COLUMN(A226)-1)*5,1,3))*N$2</f>
        <v>0</v>
      </c>
      <c r="O229" s="5">
        <f ca="1">SUM(OFFSET(Demand!$E238,0,(COLUMN(B226)-1)*5,1,3))*O$2</f>
        <v>0</v>
      </c>
      <c r="P229" s="5">
        <f ca="1">SUM(OFFSET(Demand!$E238,0,(COLUMN(C226)-1)*5,1,3))*P$2</f>
        <v>0</v>
      </c>
      <c r="Q229" s="5">
        <f ca="1">SUM(OFFSET(Demand!$E238,0,(COLUMN(D226)-1)*5,1,3))*Q$2</f>
        <v>0</v>
      </c>
      <c r="R229" s="5">
        <f ca="1">SUM(OFFSET(Demand!$E238,0,(COLUMN(E226)-1)*5,1,3))*R$2</f>
        <v>0</v>
      </c>
      <c r="S229" s="5">
        <f ca="1">SUM(OFFSET(Demand!$E238,0,(COLUMN(F226)-1)*5,1,3))*S$2</f>
        <v>0</v>
      </c>
      <c r="T229" s="5">
        <f ca="1">SUM(OFFSET(Demand!$E238,0,(COLUMN(G226)-1)*5,1,3))*T$2</f>
        <v>0</v>
      </c>
      <c r="U229" s="5">
        <f ca="1">SUM(OFFSET(Demand!$E238,0,(COLUMN(H226)-1)*5,1,3))*U$2</f>
        <v>0</v>
      </c>
      <c r="V229" s="5">
        <f ca="1">SUM(OFFSET(Demand!$E238,0,(COLUMN(I226)-1)*5,1,3))*V$2</f>
        <v>0</v>
      </c>
      <c r="W229" s="5">
        <f ca="1">SUM(OFFSET(Demand!$E238,0,(COLUMN(J226)-1)*5,1,3))*W$2</f>
        <v>0</v>
      </c>
      <c r="X229" s="5">
        <f t="shared" ca="1" si="51"/>
        <v>0</v>
      </c>
      <c r="Y229">
        <f t="shared" ca="1" si="52"/>
        <v>0</v>
      </c>
      <c r="Z229" s="5">
        <f ca="1">SUM(OFFSET(Demand!$H238,0,(COLUMN(A226)-1)*5,1,1))*N$2</f>
        <v>0</v>
      </c>
      <c r="AA229" s="5">
        <f ca="1">SUM(OFFSET(Demand!$H238,0,(COLUMN(B226)-1)*5,1,1))*O$2</f>
        <v>0</v>
      </c>
      <c r="AB229" s="5">
        <f ca="1">SUM(OFFSET(Demand!$H238,0,(COLUMN(C226)-1)*5,1,1))*P$2</f>
        <v>0</v>
      </c>
      <c r="AC229" s="5">
        <f ca="1">SUM(OFFSET(Demand!$H238,0,(COLUMN(D226)-1)*5,1,1))*Q$2</f>
        <v>0</v>
      </c>
      <c r="AD229" s="5">
        <f ca="1">SUM(OFFSET(Demand!$H238,0,(COLUMN(E226)-1)*5,1,1))*R$2</f>
        <v>0</v>
      </c>
      <c r="AE229" s="5">
        <f ca="1">SUM(OFFSET(Demand!$H238,0,(COLUMN(F226)-1)*5,1,1))*S$2</f>
        <v>0</v>
      </c>
      <c r="AF229" s="5">
        <f ca="1">SUM(OFFSET(Demand!$H238,0,(COLUMN(G226)-1)*5,1,1))*T$2</f>
        <v>0</v>
      </c>
      <c r="AG229" s="5">
        <f ca="1">SUM(OFFSET(Demand!$H238,0,(COLUMN(H226)-1)*5,1,1))*U$2</f>
        <v>0</v>
      </c>
      <c r="AH229" s="5">
        <f ca="1">SUM(OFFSET(Demand!$H238,0,(COLUMN(I226)-1)*5,1,1))*V$2</f>
        <v>0</v>
      </c>
      <c r="AI229" s="5">
        <f ca="1">SUM(OFFSET(Demand!$H238,0,(COLUMN(J226)-1)*5,1,1))*W$2</f>
        <v>0</v>
      </c>
      <c r="AJ229" s="5">
        <f t="shared" ca="1" si="53"/>
        <v>0</v>
      </c>
      <c r="AL229" s="5">
        <f t="shared" ca="1" si="54"/>
        <v>0</v>
      </c>
      <c r="AM229" s="5">
        <f t="shared" ca="1" si="55"/>
        <v>0</v>
      </c>
      <c r="AN229" s="5" t="str">
        <f>IF(Demand!BE238="Yes","Yes","")</f>
        <v/>
      </c>
      <c r="AP229" s="36" t="str">
        <f ca="1">Demand!B238</f>
        <v xml:space="preserve"> </v>
      </c>
      <c r="AQ229" t="str">
        <f ca="1">IF(TEXT(Demand!D238,"MMM")&lt;&gt;TEXT(Demand!D237,"MMM"),TEXT(Demand!D238,"MMM"),"")</f>
        <v/>
      </c>
      <c r="AT229" s="5">
        <f t="shared" ca="1" si="56"/>
        <v>0</v>
      </c>
      <c r="BQ229">
        <f ca="1">IF($AN229="",OFFSET(Demand!$A$13,ROW(A226)-1,4+((QUOTIENT(COLUMN(BQ$2)-69,3))*5)+MOD(COLUMN(BQ$2),3),1,1),"")</f>
        <v>0</v>
      </c>
      <c r="BR229">
        <f ca="1">IF($AN229="",OFFSET(Demand!$A$13,ROW(B226)-1,4+((QUOTIENT(COLUMN(BR$2)-69,3))*5)+MOD(COLUMN(BR$2),3),1,1),"")</f>
        <v>0</v>
      </c>
      <c r="BS229">
        <f ca="1">IF($AN229="",OFFSET(Demand!$A$13,ROW(C226)-1,4+((QUOTIENT(COLUMN(BS$2)-69,3))*5)+MOD(COLUMN(BS$2),3),1,1),"")</f>
        <v>0</v>
      </c>
      <c r="BT229">
        <f ca="1">IF($AN229="",OFFSET(Demand!$A$13,ROW(D226)-1,4+((QUOTIENT(COLUMN(BT$2)-69,3))*5)+MOD(COLUMN(BT$2),3),1,1),"")</f>
        <v>0</v>
      </c>
      <c r="BU229">
        <f ca="1">IF($AN229="",OFFSET(Demand!$A$13,ROW(E226)-1,4+((QUOTIENT(COLUMN(BU$2)-69,3))*5)+MOD(COLUMN(BU$2),3),1,1),"")</f>
        <v>0</v>
      </c>
      <c r="BV229">
        <f ca="1">IF($AN229="",OFFSET(Demand!$A$13,ROW(F226)-1,4+((QUOTIENT(COLUMN(BV$2)-69,3))*5)+MOD(COLUMN(BV$2),3),1,1),"")</f>
        <v>0</v>
      </c>
      <c r="BW229">
        <f ca="1">IF($AN229="",OFFSET(Demand!$A$13,ROW(G226)-1,4+((QUOTIENT(COLUMN(BW$2)-69,3))*5)+MOD(COLUMN(BW$2),3),1,1),"")</f>
        <v>0</v>
      </c>
      <c r="BX229">
        <f ca="1">IF($AN229="",OFFSET(Demand!$A$13,ROW(H226)-1,4+((QUOTIENT(COLUMN(BX$2)-69,3))*5)+MOD(COLUMN(BX$2),3),1,1),"")</f>
        <v>0</v>
      </c>
      <c r="BY229">
        <f ca="1">IF($AN229="",OFFSET(Demand!$A$13,ROW(I226)-1,4+((QUOTIENT(COLUMN(BY$2)-69,3))*5)+MOD(COLUMN(BY$2),3),1,1),"")</f>
        <v>0</v>
      </c>
      <c r="BZ229">
        <f ca="1">IF($AN229="",OFFSET(Demand!$A$13,ROW(J226)-1,4+((QUOTIENT(COLUMN(BZ$2)-69,3))*5)+MOD(COLUMN(BZ$2),3),1,1),"")</f>
        <v>0</v>
      </c>
      <c r="CA229">
        <f ca="1">IF($AN229="",OFFSET(Demand!$A$13,ROW(K226)-1,4+((QUOTIENT(COLUMN(CA$2)-69,3))*5)+MOD(COLUMN(CA$2),3),1,1),"")</f>
        <v>0</v>
      </c>
      <c r="CB229">
        <f ca="1">IF($AN229="",OFFSET(Demand!$A$13,ROW(L226)-1,4+((QUOTIENT(COLUMN(CB$2)-69,3))*5)+MOD(COLUMN(CB$2),3),1,1),"")</f>
        <v>0</v>
      </c>
      <c r="CC229">
        <f ca="1">IF($AN229="",OFFSET(Demand!$A$13,ROW(M226)-1,4+((QUOTIENT(COLUMN(CC$2)-69,3))*5)+MOD(COLUMN(CC$2),3),1,1),"")</f>
        <v>0</v>
      </c>
      <c r="CD229">
        <f ca="1">IF($AN229="",OFFSET(Demand!$A$13,ROW(N226)-1,4+((QUOTIENT(COLUMN(CD$2)-69,3))*5)+MOD(COLUMN(CD$2),3),1,1),"")</f>
        <v>0</v>
      </c>
      <c r="CE229">
        <f ca="1">IF($AN229="",OFFSET(Demand!$A$13,ROW(O226)-1,4+((QUOTIENT(COLUMN(CE$2)-69,3))*5)+MOD(COLUMN(CE$2),3),1,1),"")</f>
        <v>0</v>
      </c>
      <c r="CF229">
        <f ca="1">IF($AN229="",OFFSET(Demand!$A$13,ROW(P226)-1,4+((QUOTIENT(COLUMN(CF$2)-69,3))*5)+MOD(COLUMN(CF$2),3),1,1),"")</f>
        <v>0</v>
      </c>
      <c r="CG229">
        <f ca="1">IF($AN229="",OFFSET(Demand!$A$13,ROW(Q226)-1,4+((QUOTIENT(COLUMN(CG$2)-69,3))*5)+MOD(COLUMN(CG$2),3),1,1),"")</f>
        <v>0</v>
      </c>
      <c r="CH229">
        <f ca="1">IF($AN229="",OFFSET(Demand!$A$13,ROW(R226)-1,4+((QUOTIENT(COLUMN(CH$2)-69,3))*5)+MOD(COLUMN(CH$2),3),1,1),"")</f>
        <v>0</v>
      </c>
      <c r="CI229">
        <f ca="1">IF($AN229="",OFFSET(Demand!$A$13,ROW(S226)-1,4+((QUOTIENT(COLUMN(CI$2)-69,3))*5)+MOD(COLUMN(CI$2),3),1,1),"")</f>
        <v>0</v>
      </c>
      <c r="CJ229">
        <f ca="1">IF($AN229="",OFFSET(Demand!$A$13,ROW(T226)-1,4+((QUOTIENT(COLUMN(CJ$2)-69,3))*5)+MOD(COLUMN(CJ$2),3),1,1),"")</f>
        <v>0</v>
      </c>
      <c r="CK229">
        <f ca="1">IF($AN229="",OFFSET(Demand!$A$13,ROW(U226)-1,4+((QUOTIENT(COLUMN(CK$2)-69,3))*5)+MOD(COLUMN(CK$2),3),1,1),"")</f>
        <v>0</v>
      </c>
      <c r="CL229">
        <f ca="1">IF($AN229="",OFFSET(Demand!$A$13,ROW(V226)-1,4+((QUOTIENT(COLUMN(CL$2)-69,3))*5)+MOD(COLUMN(CL$2),3),1,1),"")</f>
        <v>0</v>
      </c>
      <c r="CM229">
        <f ca="1">IF($AN229="",OFFSET(Demand!$A$13,ROW(W226)-1,4+((QUOTIENT(COLUMN(CM$2)-69,3))*5)+MOD(COLUMN(CM$2),3),1,1),"")</f>
        <v>0</v>
      </c>
      <c r="CN229">
        <f ca="1">IF($AN229="",OFFSET(Demand!$A$13,ROW(X226)-1,4+((QUOTIENT(COLUMN(CN$2)-69,3))*5)+MOD(COLUMN(CN$2),3),1,1),"")</f>
        <v>0</v>
      </c>
      <c r="CO229">
        <f ca="1">IF($AN229="",OFFSET(Demand!$A$13,ROW(Y226)-1,4+((QUOTIENT(COLUMN(CO$2)-69,3))*5)+MOD(COLUMN(CO$2),3),1,1),"")</f>
        <v>0</v>
      </c>
      <c r="CP229">
        <f ca="1">IF($AN229="",OFFSET(Demand!$A$13,ROW(Z226)-1,4+((QUOTIENT(COLUMN(CP$2)-69,3))*5)+MOD(COLUMN(CP$2),3),1,1),"")</f>
        <v>0</v>
      </c>
      <c r="CQ229">
        <f ca="1">IF($AN229="",OFFSET(Demand!$A$13,ROW(AA226)-1,4+((QUOTIENT(COLUMN(CQ$2)-69,3))*5)+MOD(COLUMN(CQ$2),3),1,1),"")</f>
        <v>0</v>
      </c>
      <c r="CR229">
        <f ca="1">IF($AN229="",OFFSET(Demand!$A$13,ROW(AB226)-1,4+((QUOTIENT(COLUMN(CR$2)-69,3))*5)+MOD(COLUMN(CR$2),3),1,1),"")</f>
        <v>0</v>
      </c>
      <c r="CS229">
        <f ca="1">IF($AN229="",OFFSET(Demand!$A$13,ROW(AC226)-1,4+((QUOTIENT(COLUMN(CS$2)-69,3))*5)+MOD(COLUMN(CS$2),3),1,1),"")</f>
        <v>0</v>
      </c>
      <c r="CT229">
        <f ca="1">IF($AN229="",OFFSET(Demand!$A$13,ROW(AD226)-1,4+((QUOTIENT(COLUMN(CT$2)-69,3))*5)+MOD(COLUMN(CT$2),3),1,1),"")</f>
        <v>0</v>
      </c>
      <c r="CW229" s="5">
        <f ca="1">SUM(OFFSET(Demand!$H$43,ROW(A226)-1,(COLUMN(A226)-1)*5,1,1))*N$2</f>
        <v>0</v>
      </c>
      <c r="CX229" s="5">
        <f ca="1">SUM(OFFSET(Demand!$H$43,ROW(B226)-1,(COLUMN(B226)-1)*5,1,1))*O$2</f>
        <v>0</v>
      </c>
      <c r="CY229" s="5">
        <f ca="1">SUM(OFFSET(Demand!$H$43,ROW(C226)-1,(COLUMN(C226)-1)*5,1,1))*P$2</f>
        <v>0</v>
      </c>
      <c r="CZ229" s="5">
        <f ca="1">SUM(OFFSET(Demand!$H$43,ROW(D226)-1,(COLUMN(D226)-1)*5,1,1))*Q$2</f>
        <v>0</v>
      </c>
      <c r="DA229" s="5">
        <f ca="1">SUM(OFFSET(Demand!$H$43,ROW(E226)-1,(COLUMN(E226)-1)*5,1,1))*R$2</f>
        <v>0</v>
      </c>
      <c r="DB229" s="5">
        <f ca="1">SUM(OFFSET(Demand!$H$43,ROW(F226)-1,(COLUMN(F226)-1)*5,1,1))*S$2</f>
        <v>0</v>
      </c>
      <c r="DC229" s="5">
        <f ca="1">SUM(OFFSET(Demand!$H$43,ROW(G226)-1,(COLUMN(G226)-1)*5,1,1))*T$2</f>
        <v>0</v>
      </c>
      <c r="DD229" s="5">
        <f ca="1">SUM(OFFSET(Demand!$H$43,ROW(H226)-1,(COLUMN(H226)-1)*5,1,1))*U$2</f>
        <v>0</v>
      </c>
      <c r="DE229" s="5">
        <f ca="1">SUM(OFFSET(Demand!$H$43,ROW(I226)-1,(COLUMN(I226)-1)*5,1,1))*V$2</f>
        <v>0</v>
      </c>
      <c r="DF229" s="5">
        <f ca="1">SUM(OFFSET(Demand!$H$43,ROW(J226)-1,(COLUMN(J226)-1)*5,1,1))*W$2</f>
        <v>0</v>
      </c>
      <c r="DG229" s="5">
        <f ca="1">IF(OR(AN229&lt;&gt;"",AND('Demand adjustments for Covid'!$F$9="Yes",'Demand adjustments for Covid'!$F$20="Yes")),"",SUM(CW229:DF229))</f>
        <v>0</v>
      </c>
    </row>
    <row r="230" spans="1:111" x14ac:dyDescent="0.25">
      <c r="A230" s="5">
        <f t="shared" ca="1" si="50"/>
        <v>1</v>
      </c>
      <c r="B230" s="5">
        <f ca="1">COUNTBLANK(OFFSET(Demand!$I239,0,(COLUMN(A227)-1)*5,1,1))</f>
        <v>1</v>
      </c>
      <c r="C230" s="5">
        <f ca="1">COUNTBLANK(OFFSET(Demand!$I239,0,(COLUMN(B227)-1)*5,1,1))</f>
        <v>1</v>
      </c>
      <c r="D230" s="5">
        <f ca="1">COUNTBLANK(OFFSET(Demand!$I239,0,(COLUMN(C227)-1)*5,1,1))</f>
        <v>1</v>
      </c>
      <c r="E230" s="5">
        <f ca="1">COUNTBLANK(OFFSET(Demand!$I239,0,(COLUMN(D227)-1)*5,1,1))</f>
        <v>1</v>
      </c>
      <c r="F230" s="5">
        <f ca="1">COUNTBLANK(OFFSET(Demand!$I239,0,(COLUMN(E227)-1)*5,1,1))</f>
        <v>1</v>
      </c>
      <c r="G230" s="5">
        <f ca="1">COUNTBLANK(OFFSET(Demand!$I239,0,(COLUMN(F227)-1)*5,1,1))</f>
        <v>1</v>
      </c>
      <c r="H230" s="5">
        <f ca="1">COUNTBLANK(OFFSET(Demand!$I239,0,(COLUMN(G227)-1)*5,1,1))</f>
        <v>1</v>
      </c>
      <c r="I230" s="5">
        <f ca="1">COUNTBLANK(OFFSET(Demand!$I239,0,(COLUMN(H227)-1)*5,1,1))</f>
        <v>1</v>
      </c>
      <c r="J230" s="5">
        <f ca="1">COUNTBLANK(OFFSET(Demand!$I239,0,(COLUMN(I227)-1)*5,1,1))</f>
        <v>1</v>
      </c>
      <c r="K230" s="5">
        <f ca="1">COUNTBLANK(OFFSET(Demand!$I239,0,(COLUMN(J227)-1)*5,1,1))</f>
        <v>1</v>
      </c>
      <c r="N230" s="5">
        <f ca="1">SUM(OFFSET(Demand!$E239,0,(COLUMN(A227)-1)*5,1,3))*N$2</f>
        <v>0</v>
      </c>
      <c r="O230" s="5">
        <f ca="1">SUM(OFFSET(Demand!$E239,0,(COLUMN(B227)-1)*5,1,3))*O$2</f>
        <v>0</v>
      </c>
      <c r="P230" s="5">
        <f ca="1">SUM(OFFSET(Demand!$E239,0,(COLUMN(C227)-1)*5,1,3))*P$2</f>
        <v>0</v>
      </c>
      <c r="Q230" s="5">
        <f ca="1">SUM(OFFSET(Demand!$E239,0,(COLUMN(D227)-1)*5,1,3))*Q$2</f>
        <v>0</v>
      </c>
      <c r="R230" s="5">
        <f ca="1">SUM(OFFSET(Demand!$E239,0,(COLUMN(E227)-1)*5,1,3))*R$2</f>
        <v>0</v>
      </c>
      <c r="S230" s="5">
        <f ca="1">SUM(OFFSET(Demand!$E239,0,(COLUMN(F227)-1)*5,1,3))*S$2</f>
        <v>0</v>
      </c>
      <c r="T230" s="5">
        <f ca="1">SUM(OFFSET(Demand!$E239,0,(COLUMN(G227)-1)*5,1,3))*T$2</f>
        <v>0</v>
      </c>
      <c r="U230" s="5">
        <f ca="1">SUM(OFFSET(Demand!$E239,0,(COLUMN(H227)-1)*5,1,3))*U$2</f>
        <v>0</v>
      </c>
      <c r="V230" s="5">
        <f ca="1">SUM(OFFSET(Demand!$E239,0,(COLUMN(I227)-1)*5,1,3))*V$2</f>
        <v>0</v>
      </c>
      <c r="W230" s="5">
        <f ca="1">SUM(OFFSET(Demand!$E239,0,(COLUMN(J227)-1)*5,1,3))*W$2</f>
        <v>0</v>
      </c>
      <c r="X230" s="5">
        <f t="shared" ca="1" si="51"/>
        <v>0</v>
      </c>
      <c r="Y230">
        <f t="shared" ca="1" si="52"/>
        <v>0</v>
      </c>
      <c r="Z230" s="5">
        <f ca="1">SUM(OFFSET(Demand!$H239,0,(COLUMN(A227)-1)*5,1,1))*N$2</f>
        <v>0</v>
      </c>
      <c r="AA230" s="5">
        <f ca="1">SUM(OFFSET(Demand!$H239,0,(COLUMN(B227)-1)*5,1,1))*O$2</f>
        <v>0</v>
      </c>
      <c r="AB230" s="5">
        <f ca="1">SUM(OFFSET(Demand!$H239,0,(COLUMN(C227)-1)*5,1,1))*P$2</f>
        <v>0</v>
      </c>
      <c r="AC230" s="5">
        <f ca="1">SUM(OFFSET(Demand!$H239,0,(COLUMN(D227)-1)*5,1,1))*Q$2</f>
        <v>0</v>
      </c>
      <c r="AD230" s="5">
        <f ca="1">SUM(OFFSET(Demand!$H239,0,(COLUMN(E227)-1)*5,1,1))*R$2</f>
        <v>0</v>
      </c>
      <c r="AE230" s="5">
        <f ca="1">SUM(OFFSET(Demand!$H239,0,(COLUMN(F227)-1)*5,1,1))*S$2</f>
        <v>0</v>
      </c>
      <c r="AF230" s="5">
        <f ca="1">SUM(OFFSET(Demand!$H239,0,(COLUMN(G227)-1)*5,1,1))*T$2</f>
        <v>0</v>
      </c>
      <c r="AG230" s="5">
        <f ca="1">SUM(OFFSET(Demand!$H239,0,(COLUMN(H227)-1)*5,1,1))*U$2</f>
        <v>0</v>
      </c>
      <c r="AH230" s="5">
        <f ca="1">SUM(OFFSET(Demand!$H239,0,(COLUMN(I227)-1)*5,1,1))*V$2</f>
        <v>0</v>
      </c>
      <c r="AI230" s="5">
        <f ca="1">SUM(OFFSET(Demand!$H239,0,(COLUMN(J227)-1)*5,1,1))*W$2</f>
        <v>0</v>
      </c>
      <c r="AJ230" s="5">
        <f t="shared" ca="1" si="53"/>
        <v>0</v>
      </c>
      <c r="AL230" s="5">
        <f t="shared" ca="1" si="54"/>
        <v>0</v>
      </c>
      <c r="AM230" s="5">
        <f t="shared" ca="1" si="55"/>
        <v>0</v>
      </c>
      <c r="AN230" s="5" t="str">
        <f>IF(Demand!BE239="Yes","Yes","")</f>
        <v/>
      </c>
      <c r="AP230" s="36" t="str">
        <f ca="1">Demand!B239</f>
        <v xml:space="preserve"> </v>
      </c>
      <c r="AQ230" t="str">
        <f ca="1">IF(TEXT(Demand!D239,"MMM")&lt;&gt;TEXT(Demand!D238,"MMM"),TEXT(Demand!D239,"MMM"),"")</f>
        <v/>
      </c>
      <c r="AT230" s="5">
        <f t="shared" ca="1" si="56"/>
        <v>0</v>
      </c>
      <c r="BQ230">
        <f ca="1">IF($AN230="",OFFSET(Demand!$A$13,ROW(A227)-1,4+((QUOTIENT(COLUMN(BQ$2)-69,3))*5)+MOD(COLUMN(BQ$2),3),1,1),"")</f>
        <v>0</v>
      </c>
      <c r="BR230">
        <f ca="1">IF($AN230="",OFFSET(Demand!$A$13,ROW(B227)-1,4+((QUOTIENT(COLUMN(BR$2)-69,3))*5)+MOD(COLUMN(BR$2),3),1,1),"")</f>
        <v>0</v>
      </c>
      <c r="BS230">
        <f ca="1">IF($AN230="",OFFSET(Demand!$A$13,ROW(C227)-1,4+((QUOTIENT(COLUMN(BS$2)-69,3))*5)+MOD(COLUMN(BS$2),3),1,1),"")</f>
        <v>0</v>
      </c>
      <c r="BT230">
        <f ca="1">IF($AN230="",OFFSET(Demand!$A$13,ROW(D227)-1,4+((QUOTIENT(COLUMN(BT$2)-69,3))*5)+MOD(COLUMN(BT$2),3),1,1),"")</f>
        <v>0</v>
      </c>
      <c r="BU230">
        <f ca="1">IF($AN230="",OFFSET(Demand!$A$13,ROW(E227)-1,4+((QUOTIENT(COLUMN(BU$2)-69,3))*5)+MOD(COLUMN(BU$2),3),1,1),"")</f>
        <v>0</v>
      </c>
      <c r="BV230">
        <f ca="1">IF($AN230="",OFFSET(Demand!$A$13,ROW(F227)-1,4+((QUOTIENT(COLUMN(BV$2)-69,3))*5)+MOD(COLUMN(BV$2),3),1,1),"")</f>
        <v>0</v>
      </c>
      <c r="BW230">
        <f ca="1">IF($AN230="",OFFSET(Demand!$A$13,ROW(G227)-1,4+((QUOTIENT(COLUMN(BW$2)-69,3))*5)+MOD(COLUMN(BW$2),3),1,1),"")</f>
        <v>0</v>
      </c>
      <c r="BX230">
        <f ca="1">IF($AN230="",OFFSET(Demand!$A$13,ROW(H227)-1,4+((QUOTIENT(COLUMN(BX$2)-69,3))*5)+MOD(COLUMN(BX$2),3),1,1),"")</f>
        <v>0</v>
      </c>
      <c r="BY230">
        <f ca="1">IF($AN230="",OFFSET(Demand!$A$13,ROW(I227)-1,4+((QUOTIENT(COLUMN(BY$2)-69,3))*5)+MOD(COLUMN(BY$2),3),1,1),"")</f>
        <v>0</v>
      </c>
      <c r="BZ230">
        <f ca="1">IF($AN230="",OFFSET(Demand!$A$13,ROW(J227)-1,4+((QUOTIENT(COLUMN(BZ$2)-69,3))*5)+MOD(COLUMN(BZ$2),3),1,1),"")</f>
        <v>0</v>
      </c>
      <c r="CA230">
        <f ca="1">IF($AN230="",OFFSET(Demand!$A$13,ROW(K227)-1,4+((QUOTIENT(COLUMN(CA$2)-69,3))*5)+MOD(COLUMN(CA$2),3),1,1),"")</f>
        <v>0</v>
      </c>
      <c r="CB230">
        <f ca="1">IF($AN230="",OFFSET(Demand!$A$13,ROW(L227)-1,4+((QUOTIENT(COLUMN(CB$2)-69,3))*5)+MOD(COLUMN(CB$2),3),1,1),"")</f>
        <v>0</v>
      </c>
      <c r="CC230">
        <f ca="1">IF($AN230="",OFFSET(Demand!$A$13,ROW(M227)-1,4+((QUOTIENT(COLUMN(CC$2)-69,3))*5)+MOD(COLUMN(CC$2),3),1,1),"")</f>
        <v>0</v>
      </c>
      <c r="CD230">
        <f ca="1">IF($AN230="",OFFSET(Demand!$A$13,ROW(N227)-1,4+((QUOTIENT(COLUMN(CD$2)-69,3))*5)+MOD(COLUMN(CD$2),3),1,1),"")</f>
        <v>0</v>
      </c>
      <c r="CE230">
        <f ca="1">IF($AN230="",OFFSET(Demand!$A$13,ROW(O227)-1,4+((QUOTIENT(COLUMN(CE$2)-69,3))*5)+MOD(COLUMN(CE$2),3),1,1),"")</f>
        <v>0</v>
      </c>
      <c r="CF230">
        <f ca="1">IF($AN230="",OFFSET(Demand!$A$13,ROW(P227)-1,4+((QUOTIENT(COLUMN(CF$2)-69,3))*5)+MOD(COLUMN(CF$2),3),1,1),"")</f>
        <v>0</v>
      </c>
      <c r="CG230">
        <f ca="1">IF($AN230="",OFFSET(Demand!$A$13,ROW(Q227)-1,4+((QUOTIENT(COLUMN(CG$2)-69,3))*5)+MOD(COLUMN(CG$2),3),1,1),"")</f>
        <v>0</v>
      </c>
      <c r="CH230">
        <f ca="1">IF($AN230="",OFFSET(Demand!$A$13,ROW(R227)-1,4+((QUOTIENT(COLUMN(CH$2)-69,3))*5)+MOD(COLUMN(CH$2),3),1,1),"")</f>
        <v>0</v>
      </c>
      <c r="CI230">
        <f ca="1">IF($AN230="",OFFSET(Demand!$A$13,ROW(S227)-1,4+((QUOTIENT(COLUMN(CI$2)-69,3))*5)+MOD(COLUMN(CI$2),3),1,1),"")</f>
        <v>0</v>
      </c>
      <c r="CJ230">
        <f ca="1">IF($AN230="",OFFSET(Demand!$A$13,ROW(T227)-1,4+((QUOTIENT(COLUMN(CJ$2)-69,3))*5)+MOD(COLUMN(CJ$2),3),1,1),"")</f>
        <v>0</v>
      </c>
      <c r="CK230">
        <f ca="1">IF($AN230="",OFFSET(Demand!$A$13,ROW(U227)-1,4+((QUOTIENT(COLUMN(CK$2)-69,3))*5)+MOD(COLUMN(CK$2),3),1,1),"")</f>
        <v>0</v>
      </c>
      <c r="CL230">
        <f ca="1">IF($AN230="",OFFSET(Demand!$A$13,ROW(V227)-1,4+((QUOTIENT(COLUMN(CL$2)-69,3))*5)+MOD(COLUMN(CL$2),3),1,1),"")</f>
        <v>0</v>
      </c>
      <c r="CM230">
        <f ca="1">IF($AN230="",OFFSET(Demand!$A$13,ROW(W227)-1,4+((QUOTIENT(COLUMN(CM$2)-69,3))*5)+MOD(COLUMN(CM$2),3),1,1),"")</f>
        <v>0</v>
      </c>
      <c r="CN230">
        <f ca="1">IF($AN230="",OFFSET(Demand!$A$13,ROW(X227)-1,4+((QUOTIENT(COLUMN(CN$2)-69,3))*5)+MOD(COLUMN(CN$2),3),1,1),"")</f>
        <v>0</v>
      </c>
      <c r="CO230">
        <f ca="1">IF($AN230="",OFFSET(Demand!$A$13,ROW(Y227)-1,4+((QUOTIENT(COLUMN(CO$2)-69,3))*5)+MOD(COLUMN(CO$2),3),1,1),"")</f>
        <v>0</v>
      </c>
      <c r="CP230">
        <f ca="1">IF($AN230="",OFFSET(Demand!$A$13,ROW(Z227)-1,4+((QUOTIENT(COLUMN(CP$2)-69,3))*5)+MOD(COLUMN(CP$2),3),1,1),"")</f>
        <v>0</v>
      </c>
      <c r="CQ230">
        <f ca="1">IF($AN230="",OFFSET(Demand!$A$13,ROW(AA227)-1,4+((QUOTIENT(COLUMN(CQ$2)-69,3))*5)+MOD(COLUMN(CQ$2),3),1,1),"")</f>
        <v>0</v>
      </c>
      <c r="CR230">
        <f ca="1">IF($AN230="",OFFSET(Demand!$A$13,ROW(AB227)-1,4+((QUOTIENT(COLUMN(CR$2)-69,3))*5)+MOD(COLUMN(CR$2),3),1,1),"")</f>
        <v>0</v>
      </c>
      <c r="CS230">
        <f ca="1">IF($AN230="",OFFSET(Demand!$A$13,ROW(AC227)-1,4+((QUOTIENT(COLUMN(CS$2)-69,3))*5)+MOD(COLUMN(CS$2),3),1,1),"")</f>
        <v>0</v>
      </c>
      <c r="CT230">
        <f ca="1">IF($AN230="",OFFSET(Demand!$A$13,ROW(AD227)-1,4+((QUOTIENT(COLUMN(CT$2)-69,3))*5)+MOD(COLUMN(CT$2),3),1,1),"")</f>
        <v>0</v>
      </c>
      <c r="CW230" s="5">
        <f ca="1">SUM(OFFSET(Demand!$H$43,ROW(A227)-1,(COLUMN(A227)-1)*5,1,1))*N$2</f>
        <v>0</v>
      </c>
      <c r="CX230" s="5">
        <f ca="1">SUM(OFFSET(Demand!$H$43,ROW(B227)-1,(COLUMN(B227)-1)*5,1,1))*O$2</f>
        <v>0</v>
      </c>
      <c r="CY230" s="5">
        <f ca="1">SUM(OFFSET(Demand!$H$43,ROW(C227)-1,(COLUMN(C227)-1)*5,1,1))*P$2</f>
        <v>0</v>
      </c>
      <c r="CZ230" s="5">
        <f ca="1">SUM(OFFSET(Demand!$H$43,ROW(D227)-1,(COLUMN(D227)-1)*5,1,1))*Q$2</f>
        <v>0</v>
      </c>
      <c r="DA230" s="5">
        <f ca="1">SUM(OFFSET(Demand!$H$43,ROW(E227)-1,(COLUMN(E227)-1)*5,1,1))*R$2</f>
        <v>0</v>
      </c>
      <c r="DB230" s="5">
        <f ca="1">SUM(OFFSET(Demand!$H$43,ROW(F227)-1,(COLUMN(F227)-1)*5,1,1))*S$2</f>
        <v>0</v>
      </c>
      <c r="DC230" s="5">
        <f ca="1">SUM(OFFSET(Demand!$H$43,ROW(G227)-1,(COLUMN(G227)-1)*5,1,1))*T$2</f>
        <v>0</v>
      </c>
      <c r="DD230" s="5">
        <f ca="1">SUM(OFFSET(Demand!$H$43,ROW(H227)-1,(COLUMN(H227)-1)*5,1,1))*U$2</f>
        <v>0</v>
      </c>
      <c r="DE230" s="5">
        <f ca="1">SUM(OFFSET(Demand!$H$43,ROW(I227)-1,(COLUMN(I227)-1)*5,1,1))*V$2</f>
        <v>0</v>
      </c>
      <c r="DF230" s="5">
        <f ca="1">SUM(OFFSET(Demand!$H$43,ROW(J227)-1,(COLUMN(J227)-1)*5,1,1))*W$2</f>
        <v>0</v>
      </c>
      <c r="DG230" s="5">
        <f ca="1">IF(OR(AN230&lt;&gt;"",AND('Demand adjustments for Covid'!$F$9="Yes",'Demand adjustments for Covid'!$F$20="Yes")),"",SUM(CW230:DF230))</f>
        <v>0</v>
      </c>
    </row>
    <row r="231" spans="1:111" x14ac:dyDescent="0.25">
      <c r="A231" s="5">
        <f t="shared" ca="1" si="50"/>
        <v>1</v>
      </c>
      <c r="B231" s="5">
        <f ca="1">COUNTBLANK(OFFSET(Demand!$I240,0,(COLUMN(A228)-1)*5,1,1))</f>
        <v>1</v>
      </c>
      <c r="C231" s="5">
        <f ca="1">COUNTBLANK(OFFSET(Demand!$I240,0,(COLUMN(B228)-1)*5,1,1))</f>
        <v>1</v>
      </c>
      <c r="D231" s="5">
        <f ca="1">COUNTBLANK(OFFSET(Demand!$I240,0,(COLUMN(C228)-1)*5,1,1))</f>
        <v>1</v>
      </c>
      <c r="E231" s="5">
        <f ca="1">COUNTBLANK(OFFSET(Demand!$I240,0,(COLUMN(D228)-1)*5,1,1))</f>
        <v>1</v>
      </c>
      <c r="F231" s="5">
        <f ca="1">COUNTBLANK(OFFSET(Demand!$I240,0,(COLUMN(E228)-1)*5,1,1))</f>
        <v>1</v>
      </c>
      <c r="G231" s="5">
        <f ca="1">COUNTBLANK(OFFSET(Demand!$I240,0,(COLUMN(F228)-1)*5,1,1))</f>
        <v>1</v>
      </c>
      <c r="H231" s="5">
        <f ca="1">COUNTBLANK(OFFSET(Demand!$I240,0,(COLUMN(G228)-1)*5,1,1))</f>
        <v>1</v>
      </c>
      <c r="I231" s="5">
        <f ca="1">COUNTBLANK(OFFSET(Demand!$I240,0,(COLUMN(H228)-1)*5,1,1))</f>
        <v>1</v>
      </c>
      <c r="J231" s="5">
        <f ca="1">COUNTBLANK(OFFSET(Demand!$I240,0,(COLUMN(I228)-1)*5,1,1))</f>
        <v>1</v>
      </c>
      <c r="K231" s="5">
        <f ca="1">COUNTBLANK(OFFSET(Demand!$I240,0,(COLUMN(J228)-1)*5,1,1))</f>
        <v>1</v>
      </c>
      <c r="N231" s="5">
        <f ca="1">SUM(OFFSET(Demand!$E240,0,(COLUMN(A228)-1)*5,1,3))*N$2</f>
        <v>0</v>
      </c>
      <c r="O231" s="5">
        <f ca="1">SUM(OFFSET(Demand!$E240,0,(COLUMN(B228)-1)*5,1,3))*O$2</f>
        <v>0</v>
      </c>
      <c r="P231" s="5">
        <f ca="1">SUM(OFFSET(Demand!$E240,0,(COLUMN(C228)-1)*5,1,3))*P$2</f>
        <v>0</v>
      </c>
      <c r="Q231" s="5">
        <f ca="1">SUM(OFFSET(Demand!$E240,0,(COLUMN(D228)-1)*5,1,3))*Q$2</f>
        <v>0</v>
      </c>
      <c r="R231" s="5">
        <f ca="1">SUM(OFFSET(Demand!$E240,0,(COLUMN(E228)-1)*5,1,3))*R$2</f>
        <v>0</v>
      </c>
      <c r="S231" s="5">
        <f ca="1">SUM(OFFSET(Demand!$E240,0,(COLUMN(F228)-1)*5,1,3))*S$2</f>
        <v>0</v>
      </c>
      <c r="T231" s="5">
        <f ca="1">SUM(OFFSET(Demand!$E240,0,(COLUMN(G228)-1)*5,1,3))*T$2</f>
        <v>0</v>
      </c>
      <c r="U231" s="5">
        <f ca="1">SUM(OFFSET(Demand!$E240,0,(COLUMN(H228)-1)*5,1,3))*U$2</f>
        <v>0</v>
      </c>
      <c r="V231" s="5">
        <f ca="1">SUM(OFFSET(Demand!$E240,0,(COLUMN(I228)-1)*5,1,3))*V$2</f>
        <v>0</v>
      </c>
      <c r="W231" s="5">
        <f ca="1">SUM(OFFSET(Demand!$E240,0,(COLUMN(J228)-1)*5,1,3))*W$2</f>
        <v>0</v>
      </c>
      <c r="X231" s="5">
        <f t="shared" ca="1" si="51"/>
        <v>0</v>
      </c>
      <c r="Y231">
        <f t="shared" ca="1" si="52"/>
        <v>0</v>
      </c>
      <c r="Z231" s="5">
        <f ca="1">SUM(OFFSET(Demand!$H240,0,(COLUMN(A228)-1)*5,1,1))*N$2</f>
        <v>0</v>
      </c>
      <c r="AA231" s="5">
        <f ca="1">SUM(OFFSET(Demand!$H240,0,(COLUMN(B228)-1)*5,1,1))*O$2</f>
        <v>0</v>
      </c>
      <c r="AB231" s="5">
        <f ca="1">SUM(OFFSET(Demand!$H240,0,(COLUMN(C228)-1)*5,1,1))*P$2</f>
        <v>0</v>
      </c>
      <c r="AC231" s="5">
        <f ca="1">SUM(OFFSET(Demand!$H240,0,(COLUMN(D228)-1)*5,1,1))*Q$2</f>
        <v>0</v>
      </c>
      <c r="AD231" s="5">
        <f ca="1">SUM(OFFSET(Demand!$H240,0,(COLUMN(E228)-1)*5,1,1))*R$2</f>
        <v>0</v>
      </c>
      <c r="AE231" s="5">
        <f ca="1">SUM(OFFSET(Demand!$H240,0,(COLUMN(F228)-1)*5,1,1))*S$2</f>
        <v>0</v>
      </c>
      <c r="AF231" s="5">
        <f ca="1">SUM(OFFSET(Demand!$H240,0,(COLUMN(G228)-1)*5,1,1))*T$2</f>
        <v>0</v>
      </c>
      <c r="AG231" s="5">
        <f ca="1">SUM(OFFSET(Demand!$H240,0,(COLUMN(H228)-1)*5,1,1))*U$2</f>
        <v>0</v>
      </c>
      <c r="AH231" s="5">
        <f ca="1">SUM(OFFSET(Demand!$H240,0,(COLUMN(I228)-1)*5,1,1))*V$2</f>
        <v>0</v>
      </c>
      <c r="AI231" s="5">
        <f ca="1">SUM(OFFSET(Demand!$H240,0,(COLUMN(J228)-1)*5,1,1))*W$2</f>
        <v>0</v>
      </c>
      <c r="AJ231" s="5">
        <f t="shared" ca="1" si="53"/>
        <v>0</v>
      </c>
      <c r="AL231" s="5">
        <f t="shared" ca="1" si="54"/>
        <v>0</v>
      </c>
      <c r="AM231" s="5">
        <f t="shared" ca="1" si="55"/>
        <v>0</v>
      </c>
      <c r="AN231" s="5" t="str">
        <f>IF(Demand!BE240="Yes","Yes","")</f>
        <v/>
      </c>
      <c r="AP231" s="36" t="str">
        <f ca="1">Demand!B240</f>
        <v xml:space="preserve"> </v>
      </c>
      <c r="AQ231" t="str">
        <f ca="1">IF(TEXT(Demand!D240,"MMM")&lt;&gt;TEXT(Demand!D239,"MMM"),TEXT(Demand!D240,"MMM"),"")</f>
        <v/>
      </c>
      <c r="AT231" s="5">
        <f t="shared" ca="1" si="56"/>
        <v>0</v>
      </c>
      <c r="BQ231">
        <f ca="1">IF($AN231="",OFFSET(Demand!$A$13,ROW(A228)-1,4+((QUOTIENT(COLUMN(BQ$2)-69,3))*5)+MOD(COLUMN(BQ$2),3),1,1),"")</f>
        <v>0</v>
      </c>
      <c r="BR231">
        <f ca="1">IF($AN231="",OFFSET(Demand!$A$13,ROW(B228)-1,4+((QUOTIENT(COLUMN(BR$2)-69,3))*5)+MOD(COLUMN(BR$2),3),1,1),"")</f>
        <v>0</v>
      </c>
      <c r="BS231">
        <f ca="1">IF($AN231="",OFFSET(Demand!$A$13,ROW(C228)-1,4+((QUOTIENT(COLUMN(BS$2)-69,3))*5)+MOD(COLUMN(BS$2),3),1,1),"")</f>
        <v>0</v>
      </c>
      <c r="BT231">
        <f ca="1">IF($AN231="",OFFSET(Demand!$A$13,ROW(D228)-1,4+((QUOTIENT(COLUMN(BT$2)-69,3))*5)+MOD(COLUMN(BT$2),3),1,1),"")</f>
        <v>0</v>
      </c>
      <c r="BU231">
        <f ca="1">IF($AN231="",OFFSET(Demand!$A$13,ROW(E228)-1,4+((QUOTIENT(COLUMN(BU$2)-69,3))*5)+MOD(COLUMN(BU$2),3),1,1),"")</f>
        <v>0</v>
      </c>
      <c r="BV231">
        <f ca="1">IF($AN231="",OFFSET(Demand!$A$13,ROW(F228)-1,4+((QUOTIENT(COLUMN(BV$2)-69,3))*5)+MOD(COLUMN(BV$2),3),1,1),"")</f>
        <v>0</v>
      </c>
      <c r="BW231">
        <f ca="1">IF($AN231="",OFFSET(Demand!$A$13,ROW(G228)-1,4+((QUOTIENT(COLUMN(BW$2)-69,3))*5)+MOD(COLUMN(BW$2),3),1,1),"")</f>
        <v>0</v>
      </c>
      <c r="BX231">
        <f ca="1">IF($AN231="",OFFSET(Demand!$A$13,ROW(H228)-1,4+((QUOTIENT(COLUMN(BX$2)-69,3))*5)+MOD(COLUMN(BX$2),3),1,1),"")</f>
        <v>0</v>
      </c>
      <c r="BY231">
        <f ca="1">IF($AN231="",OFFSET(Demand!$A$13,ROW(I228)-1,4+((QUOTIENT(COLUMN(BY$2)-69,3))*5)+MOD(COLUMN(BY$2),3),1,1),"")</f>
        <v>0</v>
      </c>
      <c r="BZ231">
        <f ca="1">IF($AN231="",OFFSET(Demand!$A$13,ROW(J228)-1,4+((QUOTIENT(COLUMN(BZ$2)-69,3))*5)+MOD(COLUMN(BZ$2),3),1,1),"")</f>
        <v>0</v>
      </c>
      <c r="CA231">
        <f ca="1">IF($AN231="",OFFSET(Demand!$A$13,ROW(K228)-1,4+((QUOTIENT(COLUMN(CA$2)-69,3))*5)+MOD(COLUMN(CA$2),3),1,1),"")</f>
        <v>0</v>
      </c>
      <c r="CB231">
        <f ca="1">IF($AN231="",OFFSET(Demand!$A$13,ROW(L228)-1,4+((QUOTIENT(COLUMN(CB$2)-69,3))*5)+MOD(COLUMN(CB$2),3),1,1),"")</f>
        <v>0</v>
      </c>
      <c r="CC231">
        <f ca="1">IF($AN231="",OFFSET(Demand!$A$13,ROW(M228)-1,4+((QUOTIENT(COLUMN(CC$2)-69,3))*5)+MOD(COLUMN(CC$2),3),1,1),"")</f>
        <v>0</v>
      </c>
      <c r="CD231">
        <f ca="1">IF($AN231="",OFFSET(Demand!$A$13,ROW(N228)-1,4+((QUOTIENT(COLUMN(CD$2)-69,3))*5)+MOD(COLUMN(CD$2),3),1,1),"")</f>
        <v>0</v>
      </c>
      <c r="CE231">
        <f ca="1">IF($AN231="",OFFSET(Demand!$A$13,ROW(O228)-1,4+((QUOTIENT(COLUMN(CE$2)-69,3))*5)+MOD(COLUMN(CE$2),3),1,1),"")</f>
        <v>0</v>
      </c>
      <c r="CF231">
        <f ca="1">IF($AN231="",OFFSET(Demand!$A$13,ROW(P228)-1,4+((QUOTIENT(COLUMN(CF$2)-69,3))*5)+MOD(COLUMN(CF$2),3),1,1),"")</f>
        <v>0</v>
      </c>
      <c r="CG231">
        <f ca="1">IF($AN231="",OFFSET(Demand!$A$13,ROW(Q228)-1,4+((QUOTIENT(COLUMN(CG$2)-69,3))*5)+MOD(COLUMN(CG$2),3),1,1),"")</f>
        <v>0</v>
      </c>
      <c r="CH231">
        <f ca="1">IF($AN231="",OFFSET(Demand!$A$13,ROW(R228)-1,4+((QUOTIENT(COLUMN(CH$2)-69,3))*5)+MOD(COLUMN(CH$2),3),1,1),"")</f>
        <v>0</v>
      </c>
      <c r="CI231">
        <f ca="1">IF($AN231="",OFFSET(Demand!$A$13,ROW(S228)-1,4+((QUOTIENT(COLUMN(CI$2)-69,3))*5)+MOD(COLUMN(CI$2),3),1,1),"")</f>
        <v>0</v>
      </c>
      <c r="CJ231">
        <f ca="1">IF($AN231="",OFFSET(Demand!$A$13,ROW(T228)-1,4+((QUOTIENT(COLUMN(CJ$2)-69,3))*5)+MOD(COLUMN(CJ$2),3),1,1),"")</f>
        <v>0</v>
      </c>
      <c r="CK231">
        <f ca="1">IF($AN231="",OFFSET(Demand!$A$13,ROW(U228)-1,4+((QUOTIENT(COLUMN(CK$2)-69,3))*5)+MOD(COLUMN(CK$2),3),1,1),"")</f>
        <v>0</v>
      </c>
      <c r="CL231">
        <f ca="1">IF($AN231="",OFFSET(Demand!$A$13,ROW(V228)-1,4+((QUOTIENT(COLUMN(CL$2)-69,3))*5)+MOD(COLUMN(CL$2),3),1,1),"")</f>
        <v>0</v>
      </c>
      <c r="CM231">
        <f ca="1">IF($AN231="",OFFSET(Demand!$A$13,ROW(W228)-1,4+((QUOTIENT(COLUMN(CM$2)-69,3))*5)+MOD(COLUMN(CM$2),3),1,1),"")</f>
        <v>0</v>
      </c>
      <c r="CN231">
        <f ca="1">IF($AN231="",OFFSET(Demand!$A$13,ROW(X228)-1,4+((QUOTIENT(COLUMN(CN$2)-69,3))*5)+MOD(COLUMN(CN$2),3),1,1),"")</f>
        <v>0</v>
      </c>
      <c r="CO231">
        <f ca="1">IF($AN231="",OFFSET(Demand!$A$13,ROW(Y228)-1,4+((QUOTIENT(COLUMN(CO$2)-69,3))*5)+MOD(COLUMN(CO$2),3),1,1),"")</f>
        <v>0</v>
      </c>
      <c r="CP231">
        <f ca="1">IF($AN231="",OFFSET(Demand!$A$13,ROW(Z228)-1,4+((QUOTIENT(COLUMN(CP$2)-69,3))*5)+MOD(COLUMN(CP$2),3),1,1),"")</f>
        <v>0</v>
      </c>
      <c r="CQ231">
        <f ca="1">IF($AN231="",OFFSET(Demand!$A$13,ROW(AA228)-1,4+((QUOTIENT(COLUMN(CQ$2)-69,3))*5)+MOD(COLUMN(CQ$2),3),1,1),"")</f>
        <v>0</v>
      </c>
      <c r="CR231">
        <f ca="1">IF($AN231="",OFFSET(Demand!$A$13,ROW(AB228)-1,4+((QUOTIENT(COLUMN(CR$2)-69,3))*5)+MOD(COLUMN(CR$2),3),1,1),"")</f>
        <v>0</v>
      </c>
      <c r="CS231">
        <f ca="1">IF($AN231="",OFFSET(Demand!$A$13,ROW(AC228)-1,4+((QUOTIENT(COLUMN(CS$2)-69,3))*5)+MOD(COLUMN(CS$2),3),1,1),"")</f>
        <v>0</v>
      </c>
      <c r="CT231">
        <f ca="1">IF($AN231="",OFFSET(Demand!$A$13,ROW(AD228)-1,4+((QUOTIENT(COLUMN(CT$2)-69,3))*5)+MOD(COLUMN(CT$2),3),1,1),"")</f>
        <v>0</v>
      </c>
      <c r="CW231" s="5">
        <f ca="1">SUM(OFFSET(Demand!$H$43,ROW(A228)-1,(COLUMN(A228)-1)*5,1,1))*N$2</f>
        <v>0</v>
      </c>
      <c r="CX231" s="5">
        <f ca="1">SUM(OFFSET(Demand!$H$43,ROW(B228)-1,(COLUMN(B228)-1)*5,1,1))*O$2</f>
        <v>0</v>
      </c>
      <c r="CY231" s="5">
        <f ca="1">SUM(OFFSET(Demand!$H$43,ROW(C228)-1,(COLUMN(C228)-1)*5,1,1))*P$2</f>
        <v>0</v>
      </c>
      <c r="CZ231" s="5">
        <f ca="1">SUM(OFFSET(Demand!$H$43,ROW(D228)-1,(COLUMN(D228)-1)*5,1,1))*Q$2</f>
        <v>0</v>
      </c>
      <c r="DA231" s="5">
        <f ca="1">SUM(OFFSET(Demand!$H$43,ROW(E228)-1,(COLUMN(E228)-1)*5,1,1))*R$2</f>
        <v>0</v>
      </c>
      <c r="DB231" s="5">
        <f ca="1">SUM(OFFSET(Demand!$H$43,ROW(F228)-1,(COLUMN(F228)-1)*5,1,1))*S$2</f>
        <v>0</v>
      </c>
      <c r="DC231" s="5">
        <f ca="1">SUM(OFFSET(Demand!$H$43,ROW(G228)-1,(COLUMN(G228)-1)*5,1,1))*T$2</f>
        <v>0</v>
      </c>
      <c r="DD231" s="5">
        <f ca="1">SUM(OFFSET(Demand!$H$43,ROW(H228)-1,(COLUMN(H228)-1)*5,1,1))*U$2</f>
        <v>0</v>
      </c>
      <c r="DE231" s="5">
        <f ca="1">SUM(OFFSET(Demand!$H$43,ROW(I228)-1,(COLUMN(I228)-1)*5,1,1))*V$2</f>
        <v>0</v>
      </c>
      <c r="DF231" s="5">
        <f ca="1">SUM(OFFSET(Demand!$H$43,ROW(J228)-1,(COLUMN(J228)-1)*5,1,1))*W$2</f>
        <v>0</v>
      </c>
      <c r="DG231" s="5">
        <f ca="1">IF(OR(AN231&lt;&gt;"",AND('Demand adjustments for Covid'!$F$9="Yes",'Demand adjustments for Covid'!$F$20="Yes")),"",SUM(CW231:DF231))</f>
        <v>0</v>
      </c>
    </row>
    <row r="232" spans="1:111" x14ac:dyDescent="0.25">
      <c r="A232" s="5">
        <f t="shared" ca="1" si="50"/>
        <v>1</v>
      </c>
      <c r="B232" s="5">
        <f ca="1">COUNTBLANK(OFFSET(Demand!$I241,0,(COLUMN(A229)-1)*5,1,1))</f>
        <v>1</v>
      </c>
      <c r="C232" s="5">
        <f ca="1">COUNTBLANK(OFFSET(Demand!$I241,0,(COLUMN(B229)-1)*5,1,1))</f>
        <v>1</v>
      </c>
      <c r="D232" s="5">
        <f ca="1">COUNTBLANK(OFFSET(Demand!$I241,0,(COLUMN(C229)-1)*5,1,1))</f>
        <v>1</v>
      </c>
      <c r="E232" s="5">
        <f ca="1">COUNTBLANK(OFFSET(Demand!$I241,0,(COLUMN(D229)-1)*5,1,1))</f>
        <v>1</v>
      </c>
      <c r="F232" s="5">
        <f ca="1">COUNTBLANK(OFFSET(Demand!$I241,0,(COLUMN(E229)-1)*5,1,1))</f>
        <v>1</v>
      </c>
      <c r="G232" s="5">
        <f ca="1">COUNTBLANK(OFFSET(Demand!$I241,0,(COLUMN(F229)-1)*5,1,1))</f>
        <v>1</v>
      </c>
      <c r="H232" s="5">
        <f ca="1">COUNTBLANK(OFFSET(Demand!$I241,0,(COLUMN(G229)-1)*5,1,1))</f>
        <v>1</v>
      </c>
      <c r="I232" s="5">
        <f ca="1">COUNTBLANK(OFFSET(Demand!$I241,0,(COLUMN(H229)-1)*5,1,1))</f>
        <v>1</v>
      </c>
      <c r="J232" s="5">
        <f ca="1">COUNTBLANK(OFFSET(Demand!$I241,0,(COLUMN(I229)-1)*5,1,1))</f>
        <v>1</v>
      </c>
      <c r="K232" s="5">
        <f ca="1">COUNTBLANK(OFFSET(Demand!$I241,0,(COLUMN(J229)-1)*5,1,1))</f>
        <v>1</v>
      </c>
      <c r="N232" s="5">
        <f ca="1">SUM(OFFSET(Demand!$E241,0,(COLUMN(A229)-1)*5,1,3))*N$2</f>
        <v>0</v>
      </c>
      <c r="O232" s="5">
        <f ca="1">SUM(OFFSET(Demand!$E241,0,(COLUMN(B229)-1)*5,1,3))*O$2</f>
        <v>0</v>
      </c>
      <c r="P232" s="5">
        <f ca="1">SUM(OFFSET(Demand!$E241,0,(COLUMN(C229)-1)*5,1,3))*P$2</f>
        <v>0</v>
      </c>
      <c r="Q232" s="5">
        <f ca="1">SUM(OFFSET(Demand!$E241,0,(COLUMN(D229)-1)*5,1,3))*Q$2</f>
        <v>0</v>
      </c>
      <c r="R232" s="5">
        <f ca="1">SUM(OFFSET(Demand!$E241,0,(COLUMN(E229)-1)*5,1,3))*R$2</f>
        <v>0</v>
      </c>
      <c r="S232" s="5">
        <f ca="1">SUM(OFFSET(Demand!$E241,0,(COLUMN(F229)-1)*5,1,3))*S$2</f>
        <v>0</v>
      </c>
      <c r="T232" s="5">
        <f ca="1">SUM(OFFSET(Demand!$E241,0,(COLUMN(G229)-1)*5,1,3))*T$2</f>
        <v>0</v>
      </c>
      <c r="U232" s="5">
        <f ca="1">SUM(OFFSET(Demand!$E241,0,(COLUMN(H229)-1)*5,1,3))*U$2</f>
        <v>0</v>
      </c>
      <c r="V232" s="5">
        <f ca="1">SUM(OFFSET(Demand!$E241,0,(COLUMN(I229)-1)*5,1,3))*V$2</f>
        <v>0</v>
      </c>
      <c r="W232" s="5">
        <f ca="1">SUM(OFFSET(Demand!$E241,0,(COLUMN(J229)-1)*5,1,3))*W$2</f>
        <v>0</v>
      </c>
      <c r="X232" s="5">
        <f t="shared" ca="1" si="51"/>
        <v>0</v>
      </c>
      <c r="Y232">
        <f t="shared" ca="1" si="52"/>
        <v>0</v>
      </c>
      <c r="Z232" s="5">
        <f ca="1">SUM(OFFSET(Demand!$H241,0,(COLUMN(A229)-1)*5,1,1))*N$2</f>
        <v>0</v>
      </c>
      <c r="AA232" s="5">
        <f ca="1">SUM(OFFSET(Demand!$H241,0,(COLUMN(B229)-1)*5,1,1))*O$2</f>
        <v>0</v>
      </c>
      <c r="AB232" s="5">
        <f ca="1">SUM(OFFSET(Demand!$H241,0,(COLUMN(C229)-1)*5,1,1))*P$2</f>
        <v>0</v>
      </c>
      <c r="AC232" s="5">
        <f ca="1">SUM(OFFSET(Demand!$H241,0,(COLUMN(D229)-1)*5,1,1))*Q$2</f>
        <v>0</v>
      </c>
      <c r="AD232" s="5">
        <f ca="1">SUM(OFFSET(Demand!$H241,0,(COLUMN(E229)-1)*5,1,1))*R$2</f>
        <v>0</v>
      </c>
      <c r="AE232" s="5">
        <f ca="1">SUM(OFFSET(Demand!$H241,0,(COLUMN(F229)-1)*5,1,1))*S$2</f>
        <v>0</v>
      </c>
      <c r="AF232" s="5">
        <f ca="1">SUM(OFFSET(Demand!$H241,0,(COLUMN(G229)-1)*5,1,1))*T$2</f>
        <v>0</v>
      </c>
      <c r="AG232" s="5">
        <f ca="1">SUM(OFFSET(Demand!$H241,0,(COLUMN(H229)-1)*5,1,1))*U$2</f>
        <v>0</v>
      </c>
      <c r="AH232" s="5">
        <f ca="1">SUM(OFFSET(Demand!$H241,0,(COLUMN(I229)-1)*5,1,1))*V$2</f>
        <v>0</v>
      </c>
      <c r="AI232" s="5">
        <f ca="1">SUM(OFFSET(Demand!$H241,0,(COLUMN(J229)-1)*5,1,1))*W$2</f>
        <v>0</v>
      </c>
      <c r="AJ232" s="5">
        <f t="shared" ca="1" si="53"/>
        <v>0</v>
      </c>
      <c r="AL232" s="5">
        <f t="shared" ca="1" si="54"/>
        <v>0</v>
      </c>
      <c r="AM232" s="5">
        <f t="shared" ca="1" si="55"/>
        <v>0</v>
      </c>
      <c r="AN232" s="5" t="str">
        <f>IF(Demand!BE241="Yes","Yes","")</f>
        <v/>
      </c>
      <c r="AP232" s="36" t="str">
        <f ca="1">Demand!B241</f>
        <v xml:space="preserve"> </v>
      </c>
      <c r="AQ232" t="str">
        <f ca="1">IF(TEXT(Demand!D241,"MMM")&lt;&gt;TEXT(Demand!D240,"MMM"),TEXT(Demand!D241,"MMM"),"")</f>
        <v/>
      </c>
      <c r="AT232" s="5">
        <f t="shared" ca="1" si="56"/>
        <v>0</v>
      </c>
      <c r="BQ232">
        <f ca="1">IF($AN232="",OFFSET(Demand!$A$13,ROW(A229)-1,4+((QUOTIENT(COLUMN(BQ$2)-69,3))*5)+MOD(COLUMN(BQ$2),3),1,1),"")</f>
        <v>0</v>
      </c>
      <c r="BR232">
        <f ca="1">IF($AN232="",OFFSET(Demand!$A$13,ROW(B229)-1,4+((QUOTIENT(COLUMN(BR$2)-69,3))*5)+MOD(COLUMN(BR$2),3),1,1),"")</f>
        <v>0</v>
      </c>
      <c r="BS232">
        <f ca="1">IF($AN232="",OFFSET(Demand!$A$13,ROW(C229)-1,4+((QUOTIENT(COLUMN(BS$2)-69,3))*5)+MOD(COLUMN(BS$2),3),1,1),"")</f>
        <v>0</v>
      </c>
      <c r="BT232">
        <f ca="1">IF($AN232="",OFFSET(Demand!$A$13,ROW(D229)-1,4+((QUOTIENT(COLUMN(BT$2)-69,3))*5)+MOD(COLUMN(BT$2),3),1,1),"")</f>
        <v>0</v>
      </c>
      <c r="BU232">
        <f ca="1">IF($AN232="",OFFSET(Demand!$A$13,ROW(E229)-1,4+((QUOTIENT(COLUMN(BU$2)-69,3))*5)+MOD(COLUMN(BU$2),3),1,1),"")</f>
        <v>0</v>
      </c>
      <c r="BV232">
        <f ca="1">IF($AN232="",OFFSET(Demand!$A$13,ROW(F229)-1,4+((QUOTIENT(COLUMN(BV$2)-69,3))*5)+MOD(COLUMN(BV$2),3),1,1),"")</f>
        <v>0</v>
      </c>
      <c r="BW232">
        <f ca="1">IF($AN232="",OFFSET(Demand!$A$13,ROW(G229)-1,4+((QUOTIENT(COLUMN(BW$2)-69,3))*5)+MOD(COLUMN(BW$2),3),1,1),"")</f>
        <v>0</v>
      </c>
      <c r="BX232">
        <f ca="1">IF($AN232="",OFFSET(Demand!$A$13,ROW(H229)-1,4+((QUOTIENT(COLUMN(BX$2)-69,3))*5)+MOD(COLUMN(BX$2),3),1,1),"")</f>
        <v>0</v>
      </c>
      <c r="BY232">
        <f ca="1">IF($AN232="",OFFSET(Demand!$A$13,ROW(I229)-1,4+((QUOTIENT(COLUMN(BY$2)-69,3))*5)+MOD(COLUMN(BY$2),3),1,1),"")</f>
        <v>0</v>
      </c>
      <c r="BZ232">
        <f ca="1">IF($AN232="",OFFSET(Demand!$A$13,ROW(J229)-1,4+((QUOTIENT(COLUMN(BZ$2)-69,3))*5)+MOD(COLUMN(BZ$2),3),1,1),"")</f>
        <v>0</v>
      </c>
      <c r="CA232">
        <f ca="1">IF($AN232="",OFFSET(Demand!$A$13,ROW(K229)-1,4+((QUOTIENT(COLUMN(CA$2)-69,3))*5)+MOD(COLUMN(CA$2),3),1,1),"")</f>
        <v>0</v>
      </c>
      <c r="CB232">
        <f ca="1">IF($AN232="",OFFSET(Demand!$A$13,ROW(L229)-1,4+((QUOTIENT(COLUMN(CB$2)-69,3))*5)+MOD(COLUMN(CB$2),3),1,1),"")</f>
        <v>0</v>
      </c>
      <c r="CC232">
        <f ca="1">IF($AN232="",OFFSET(Demand!$A$13,ROW(M229)-1,4+((QUOTIENT(COLUMN(CC$2)-69,3))*5)+MOD(COLUMN(CC$2),3),1,1),"")</f>
        <v>0</v>
      </c>
      <c r="CD232">
        <f ca="1">IF($AN232="",OFFSET(Demand!$A$13,ROW(N229)-1,4+((QUOTIENT(COLUMN(CD$2)-69,3))*5)+MOD(COLUMN(CD$2),3),1,1),"")</f>
        <v>0</v>
      </c>
      <c r="CE232">
        <f ca="1">IF($AN232="",OFFSET(Demand!$A$13,ROW(O229)-1,4+((QUOTIENT(COLUMN(CE$2)-69,3))*5)+MOD(COLUMN(CE$2),3),1,1),"")</f>
        <v>0</v>
      </c>
      <c r="CF232">
        <f ca="1">IF($AN232="",OFFSET(Demand!$A$13,ROW(P229)-1,4+((QUOTIENT(COLUMN(CF$2)-69,3))*5)+MOD(COLUMN(CF$2),3),1,1),"")</f>
        <v>0</v>
      </c>
      <c r="CG232">
        <f ca="1">IF($AN232="",OFFSET(Demand!$A$13,ROW(Q229)-1,4+((QUOTIENT(COLUMN(CG$2)-69,3))*5)+MOD(COLUMN(CG$2),3),1,1),"")</f>
        <v>0</v>
      </c>
      <c r="CH232">
        <f ca="1">IF($AN232="",OFFSET(Demand!$A$13,ROW(R229)-1,4+((QUOTIENT(COLUMN(CH$2)-69,3))*5)+MOD(COLUMN(CH$2),3),1,1),"")</f>
        <v>0</v>
      </c>
      <c r="CI232">
        <f ca="1">IF($AN232="",OFFSET(Demand!$A$13,ROW(S229)-1,4+((QUOTIENT(COLUMN(CI$2)-69,3))*5)+MOD(COLUMN(CI$2),3),1,1),"")</f>
        <v>0</v>
      </c>
      <c r="CJ232">
        <f ca="1">IF($AN232="",OFFSET(Demand!$A$13,ROW(T229)-1,4+((QUOTIENT(COLUMN(CJ$2)-69,3))*5)+MOD(COLUMN(CJ$2),3),1,1),"")</f>
        <v>0</v>
      </c>
      <c r="CK232">
        <f ca="1">IF($AN232="",OFFSET(Demand!$A$13,ROW(U229)-1,4+((QUOTIENT(COLUMN(CK$2)-69,3))*5)+MOD(COLUMN(CK$2),3),1,1),"")</f>
        <v>0</v>
      </c>
      <c r="CL232">
        <f ca="1">IF($AN232="",OFFSET(Demand!$A$13,ROW(V229)-1,4+((QUOTIENT(COLUMN(CL$2)-69,3))*5)+MOD(COLUMN(CL$2),3),1,1),"")</f>
        <v>0</v>
      </c>
      <c r="CM232">
        <f ca="1">IF($AN232="",OFFSET(Demand!$A$13,ROW(W229)-1,4+((QUOTIENT(COLUMN(CM$2)-69,3))*5)+MOD(COLUMN(CM$2),3),1,1),"")</f>
        <v>0</v>
      </c>
      <c r="CN232">
        <f ca="1">IF($AN232="",OFFSET(Demand!$A$13,ROW(X229)-1,4+((QUOTIENT(COLUMN(CN$2)-69,3))*5)+MOD(COLUMN(CN$2),3),1,1),"")</f>
        <v>0</v>
      </c>
      <c r="CO232">
        <f ca="1">IF($AN232="",OFFSET(Demand!$A$13,ROW(Y229)-1,4+((QUOTIENT(COLUMN(CO$2)-69,3))*5)+MOD(COLUMN(CO$2),3),1,1),"")</f>
        <v>0</v>
      </c>
      <c r="CP232">
        <f ca="1">IF($AN232="",OFFSET(Demand!$A$13,ROW(Z229)-1,4+((QUOTIENT(COLUMN(CP$2)-69,3))*5)+MOD(COLUMN(CP$2),3),1,1),"")</f>
        <v>0</v>
      </c>
      <c r="CQ232">
        <f ca="1">IF($AN232="",OFFSET(Demand!$A$13,ROW(AA229)-1,4+((QUOTIENT(COLUMN(CQ$2)-69,3))*5)+MOD(COLUMN(CQ$2),3),1,1),"")</f>
        <v>0</v>
      </c>
      <c r="CR232">
        <f ca="1">IF($AN232="",OFFSET(Demand!$A$13,ROW(AB229)-1,4+((QUOTIENT(COLUMN(CR$2)-69,3))*5)+MOD(COLUMN(CR$2),3),1,1),"")</f>
        <v>0</v>
      </c>
      <c r="CS232">
        <f ca="1">IF($AN232="",OFFSET(Demand!$A$13,ROW(AC229)-1,4+((QUOTIENT(COLUMN(CS$2)-69,3))*5)+MOD(COLUMN(CS$2),3),1,1),"")</f>
        <v>0</v>
      </c>
      <c r="CT232">
        <f ca="1">IF($AN232="",OFFSET(Demand!$A$13,ROW(AD229)-1,4+((QUOTIENT(COLUMN(CT$2)-69,3))*5)+MOD(COLUMN(CT$2),3),1,1),"")</f>
        <v>0</v>
      </c>
      <c r="CW232" s="5">
        <f ca="1">SUM(OFFSET(Demand!$H$43,ROW(A229)-1,(COLUMN(A229)-1)*5,1,1))*N$2</f>
        <v>0</v>
      </c>
      <c r="CX232" s="5">
        <f ca="1">SUM(OFFSET(Demand!$H$43,ROW(B229)-1,(COLUMN(B229)-1)*5,1,1))*O$2</f>
        <v>0</v>
      </c>
      <c r="CY232" s="5">
        <f ca="1">SUM(OFFSET(Demand!$H$43,ROW(C229)-1,(COLUMN(C229)-1)*5,1,1))*P$2</f>
        <v>0</v>
      </c>
      <c r="CZ232" s="5">
        <f ca="1">SUM(OFFSET(Demand!$H$43,ROW(D229)-1,(COLUMN(D229)-1)*5,1,1))*Q$2</f>
        <v>0</v>
      </c>
      <c r="DA232" s="5">
        <f ca="1">SUM(OFFSET(Demand!$H$43,ROW(E229)-1,(COLUMN(E229)-1)*5,1,1))*R$2</f>
        <v>0</v>
      </c>
      <c r="DB232" s="5">
        <f ca="1">SUM(OFFSET(Demand!$H$43,ROW(F229)-1,(COLUMN(F229)-1)*5,1,1))*S$2</f>
        <v>0</v>
      </c>
      <c r="DC232" s="5">
        <f ca="1">SUM(OFFSET(Demand!$H$43,ROW(G229)-1,(COLUMN(G229)-1)*5,1,1))*T$2</f>
        <v>0</v>
      </c>
      <c r="DD232" s="5">
        <f ca="1">SUM(OFFSET(Demand!$H$43,ROW(H229)-1,(COLUMN(H229)-1)*5,1,1))*U$2</f>
        <v>0</v>
      </c>
      <c r="DE232" s="5">
        <f ca="1">SUM(OFFSET(Demand!$H$43,ROW(I229)-1,(COLUMN(I229)-1)*5,1,1))*V$2</f>
        <v>0</v>
      </c>
      <c r="DF232" s="5">
        <f ca="1">SUM(OFFSET(Demand!$H$43,ROW(J229)-1,(COLUMN(J229)-1)*5,1,1))*W$2</f>
        <v>0</v>
      </c>
      <c r="DG232" s="5">
        <f ca="1">IF(OR(AN232&lt;&gt;"",AND('Demand adjustments for Covid'!$F$9="Yes",'Demand adjustments for Covid'!$F$20="Yes")),"",SUM(CW232:DF232))</f>
        <v>0</v>
      </c>
    </row>
    <row r="233" spans="1:111" x14ac:dyDescent="0.25">
      <c r="A233" s="5">
        <f t="shared" ca="1" si="50"/>
        <v>1</v>
      </c>
      <c r="B233" s="5">
        <f ca="1">COUNTBLANK(OFFSET(Demand!$I242,0,(COLUMN(A230)-1)*5,1,1))</f>
        <v>1</v>
      </c>
      <c r="C233" s="5">
        <f ca="1">COUNTBLANK(OFFSET(Demand!$I242,0,(COLUMN(B230)-1)*5,1,1))</f>
        <v>1</v>
      </c>
      <c r="D233" s="5">
        <f ca="1">COUNTBLANK(OFFSET(Demand!$I242,0,(COLUMN(C230)-1)*5,1,1))</f>
        <v>1</v>
      </c>
      <c r="E233" s="5">
        <f ca="1">COUNTBLANK(OFFSET(Demand!$I242,0,(COLUMN(D230)-1)*5,1,1))</f>
        <v>1</v>
      </c>
      <c r="F233" s="5">
        <f ca="1">COUNTBLANK(OFFSET(Demand!$I242,0,(COLUMN(E230)-1)*5,1,1))</f>
        <v>1</v>
      </c>
      <c r="G233" s="5">
        <f ca="1">COUNTBLANK(OFFSET(Demand!$I242,0,(COLUMN(F230)-1)*5,1,1))</f>
        <v>1</v>
      </c>
      <c r="H233" s="5">
        <f ca="1">COUNTBLANK(OFFSET(Demand!$I242,0,(COLUMN(G230)-1)*5,1,1))</f>
        <v>1</v>
      </c>
      <c r="I233" s="5">
        <f ca="1">COUNTBLANK(OFFSET(Demand!$I242,0,(COLUMN(H230)-1)*5,1,1))</f>
        <v>1</v>
      </c>
      <c r="J233" s="5">
        <f ca="1">COUNTBLANK(OFFSET(Demand!$I242,0,(COLUMN(I230)-1)*5,1,1))</f>
        <v>1</v>
      </c>
      <c r="K233" s="5">
        <f ca="1">COUNTBLANK(OFFSET(Demand!$I242,0,(COLUMN(J230)-1)*5,1,1))</f>
        <v>1</v>
      </c>
      <c r="N233" s="5">
        <f ca="1">SUM(OFFSET(Demand!$E242,0,(COLUMN(A230)-1)*5,1,3))*N$2</f>
        <v>0</v>
      </c>
      <c r="O233" s="5">
        <f ca="1">SUM(OFFSET(Demand!$E242,0,(COLUMN(B230)-1)*5,1,3))*O$2</f>
        <v>0</v>
      </c>
      <c r="P233" s="5">
        <f ca="1">SUM(OFFSET(Demand!$E242,0,(COLUMN(C230)-1)*5,1,3))*P$2</f>
        <v>0</v>
      </c>
      <c r="Q233" s="5">
        <f ca="1">SUM(OFFSET(Demand!$E242,0,(COLUMN(D230)-1)*5,1,3))*Q$2</f>
        <v>0</v>
      </c>
      <c r="R233" s="5">
        <f ca="1">SUM(OFFSET(Demand!$E242,0,(COLUMN(E230)-1)*5,1,3))*R$2</f>
        <v>0</v>
      </c>
      <c r="S233" s="5">
        <f ca="1">SUM(OFFSET(Demand!$E242,0,(COLUMN(F230)-1)*5,1,3))*S$2</f>
        <v>0</v>
      </c>
      <c r="T233" s="5">
        <f ca="1">SUM(OFFSET(Demand!$E242,0,(COLUMN(G230)-1)*5,1,3))*T$2</f>
        <v>0</v>
      </c>
      <c r="U233" s="5">
        <f ca="1">SUM(OFFSET(Demand!$E242,0,(COLUMN(H230)-1)*5,1,3))*U$2</f>
        <v>0</v>
      </c>
      <c r="V233" s="5">
        <f ca="1">SUM(OFFSET(Demand!$E242,0,(COLUMN(I230)-1)*5,1,3))*V$2</f>
        <v>0</v>
      </c>
      <c r="W233" s="5">
        <f ca="1">SUM(OFFSET(Demand!$E242,0,(COLUMN(J230)-1)*5,1,3))*W$2</f>
        <v>0</v>
      </c>
      <c r="X233" s="5">
        <f t="shared" ca="1" si="51"/>
        <v>0</v>
      </c>
      <c r="Y233">
        <f t="shared" ca="1" si="52"/>
        <v>0</v>
      </c>
      <c r="Z233" s="5">
        <f ca="1">SUM(OFFSET(Demand!$H242,0,(COLUMN(A230)-1)*5,1,1))*N$2</f>
        <v>0</v>
      </c>
      <c r="AA233" s="5">
        <f ca="1">SUM(OFFSET(Demand!$H242,0,(COLUMN(B230)-1)*5,1,1))*O$2</f>
        <v>0</v>
      </c>
      <c r="AB233" s="5">
        <f ca="1">SUM(OFFSET(Demand!$H242,0,(COLUMN(C230)-1)*5,1,1))*P$2</f>
        <v>0</v>
      </c>
      <c r="AC233" s="5">
        <f ca="1">SUM(OFFSET(Demand!$H242,0,(COLUMN(D230)-1)*5,1,1))*Q$2</f>
        <v>0</v>
      </c>
      <c r="AD233" s="5">
        <f ca="1">SUM(OFFSET(Demand!$H242,0,(COLUMN(E230)-1)*5,1,1))*R$2</f>
        <v>0</v>
      </c>
      <c r="AE233" s="5">
        <f ca="1">SUM(OFFSET(Demand!$H242,0,(COLUMN(F230)-1)*5,1,1))*S$2</f>
        <v>0</v>
      </c>
      <c r="AF233" s="5">
        <f ca="1">SUM(OFFSET(Demand!$H242,0,(COLUMN(G230)-1)*5,1,1))*T$2</f>
        <v>0</v>
      </c>
      <c r="AG233" s="5">
        <f ca="1">SUM(OFFSET(Demand!$H242,0,(COLUMN(H230)-1)*5,1,1))*U$2</f>
        <v>0</v>
      </c>
      <c r="AH233" s="5">
        <f ca="1">SUM(OFFSET(Demand!$H242,0,(COLUMN(I230)-1)*5,1,1))*V$2</f>
        <v>0</v>
      </c>
      <c r="AI233" s="5">
        <f ca="1">SUM(OFFSET(Demand!$H242,0,(COLUMN(J230)-1)*5,1,1))*W$2</f>
        <v>0</v>
      </c>
      <c r="AJ233" s="5">
        <f t="shared" ca="1" si="53"/>
        <v>0</v>
      </c>
      <c r="AL233" s="5">
        <f t="shared" ca="1" si="54"/>
        <v>0</v>
      </c>
      <c r="AM233" s="5">
        <f t="shared" ca="1" si="55"/>
        <v>0</v>
      </c>
      <c r="AN233" s="5" t="str">
        <f>IF(Demand!BE242="Yes","Yes","")</f>
        <v/>
      </c>
      <c r="AP233" s="36" t="str">
        <f ca="1">Demand!B242</f>
        <v xml:space="preserve"> </v>
      </c>
      <c r="AQ233" t="str">
        <f ca="1">IF(TEXT(Demand!D242,"MMM")&lt;&gt;TEXT(Demand!D241,"MMM"),TEXT(Demand!D242,"MMM"),"")</f>
        <v/>
      </c>
      <c r="AT233" s="5">
        <f t="shared" ca="1" si="56"/>
        <v>0</v>
      </c>
      <c r="BQ233">
        <f ca="1">IF($AN233="",OFFSET(Demand!$A$13,ROW(A230)-1,4+((QUOTIENT(COLUMN(BQ$2)-69,3))*5)+MOD(COLUMN(BQ$2),3),1,1),"")</f>
        <v>0</v>
      </c>
      <c r="BR233">
        <f ca="1">IF($AN233="",OFFSET(Demand!$A$13,ROW(B230)-1,4+((QUOTIENT(COLUMN(BR$2)-69,3))*5)+MOD(COLUMN(BR$2),3),1,1),"")</f>
        <v>0</v>
      </c>
      <c r="BS233">
        <f ca="1">IF($AN233="",OFFSET(Demand!$A$13,ROW(C230)-1,4+((QUOTIENT(COLUMN(BS$2)-69,3))*5)+MOD(COLUMN(BS$2),3),1,1),"")</f>
        <v>0</v>
      </c>
      <c r="BT233">
        <f ca="1">IF($AN233="",OFFSET(Demand!$A$13,ROW(D230)-1,4+((QUOTIENT(COLUMN(BT$2)-69,3))*5)+MOD(COLUMN(BT$2),3),1,1),"")</f>
        <v>0</v>
      </c>
      <c r="BU233">
        <f ca="1">IF($AN233="",OFFSET(Demand!$A$13,ROW(E230)-1,4+((QUOTIENT(COLUMN(BU$2)-69,3))*5)+MOD(COLUMN(BU$2),3),1,1),"")</f>
        <v>0</v>
      </c>
      <c r="BV233">
        <f ca="1">IF($AN233="",OFFSET(Demand!$A$13,ROW(F230)-1,4+((QUOTIENT(COLUMN(BV$2)-69,3))*5)+MOD(COLUMN(BV$2),3),1,1),"")</f>
        <v>0</v>
      </c>
      <c r="BW233">
        <f ca="1">IF($AN233="",OFFSET(Demand!$A$13,ROW(G230)-1,4+((QUOTIENT(COLUMN(BW$2)-69,3))*5)+MOD(COLUMN(BW$2),3),1,1),"")</f>
        <v>0</v>
      </c>
      <c r="BX233">
        <f ca="1">IF($AN233="",OFFSET(Demand!$A$13,ROW(H230)-1,4+((QUOTIENT(COLUMN(BX$2)-69,3))*5)+MOD(COLUMN(BX$2),3),1,1),"")</f>
        <v>0</v>
      </c>
      <c r="BY233">
        <f ca="1">IF($AN233="",OFFSET(Demand!$A$13,ROW(I230)-1,4+((QUOTIENT(COLUMN(BY$2)-69,3))*5)+MOD(COLUMN(BY$2),3),1,1),"")</f>
        <v>0</v>
      </c>
      <c r="BZ233">
        <f ca="1">IF($AN233="",OFFSET(Demand!$A$13,ROW(J230)-1,4+((QUOTIENT(COLUMN(BZ$2)-69,3))*5)+MOD(COLUMN(BZ$2),3),1,1),"")</f>
        <v>0</v>
      </c>
      <c r="CA233">
        <f ca="1">IF($AN233="",OFFSET(Demand!$A$13,ROW(K230)-1,4+((QUOTIENT(COLUMN(CA$2)-69,3))*5)+MOD(COLUMN(CA$2),3),1,1),"")</f>
        <v>0</v>
      </c>
      <c r="CB233">
        <f ca="1">IF($AN233="",OFFSET(Demand!$A$13,ROW(L230)-1,4+((QUOTIENT(COLUMN(CB$2)-69,3))*5)+MOD(COLUMN(CB$2),3),1,1),"")</f>
        <v>0</v>
      </c>
      <c r="CC233">
        <f ca="1">IF($AN233="",OFFSET(Demand!$A$13,ROW(M230)-1,4+((QUOTIENT(COLUMN(CC$2)-69,3))*5)+MOD(COLUMN(CC$2),3),1,1),"")</f>
        <v>0</v>
      </c>
      <c r="CD233">
        <f ca="1">IF($AN233="",OFFSET(Demand!$A$13,ROW(N230)-1,4+((QUOTIENT(COLUMN(CD$2)-69,3))*5)+MOD(COLUMN(CD$2),3),1,1),"")</f>
        <v>0</v>
      </c>
      <c r="CE233">
        <f ca="1">IF($AN233="",OFFSET(Demand!$A$13,ROW(O230)-1,4+((QUOTIENT(COLUMN(CE$2)-69,3))*5)+MOD(COLUMN(CE$2),3),1,1),"")</f>
        <v>0</v>
      </c>
      <c r="CF233">
        <f ca="1">IF($AN233="",OFFSET(Demand!$A$13,ROW(P230)-1,4+((QUOTIENT(COLUMN(CF$2)-69,3))*5)+MOD(COLUMN(CF$2),3),1,1),"")</f>
        <v>0</v>
      </c>
      <c r="CG233">
        <f ca="1">IF($AN233="",OFFSET(Demand!$A$13,ROW(Q230)-1,4+((QUOTIENT(COLUMN(CG$2)-69,3))*5)+MOD(COLUMN(CG$2),3),1,1),"")</f>
        <v>0</v>
      </c>
      <c r="CH233">
        <f ca="1">IF($AN233="",OFFSET(Demand!$A$13,ROW(R230)-1,4+((QUOTIENT(COLUMN(CH$2)-69,3))*5)+MOD(COLUMN(CH$2),3),1,1),"")</f>
        <v>0</v>
      </c>
      <c r="CI233">
        <f ca="1">IF($AN233="",OFFSET(Demand!$A$13,ROW(S230)-1,4+((QUOTIENT(COLUMN(CI$2)-69,3))*5)+MOD(COLUMN(CI$2),3),1,1),"")</f>
        <v>0</v>
      </c>
      <c r="CJ233">
        <f ca="1">IF($AN233="",OFFSET(Demand!$A$13,ROW(T230)-1,4+((QUOTIENT(COLUMN(CJ$2)-69,3))*5)+MOD(COLUMN(CJ$2),3),1,1),"")</f>
        <v>0</v>
      </c>
      <c r="CK233">
        <f ca="1">IF($AN233="",OFFSET(Demand!$A$13,ROW(U230)-1,4+((QUOTIENT(COLUMN(CK$2)-69,3))*5)+MOD(COLUMN(CK$2),3),1,1),"")</f>
        <v>0</v>
      </c>
      <c r="CL233">
        <f ca="1">IF($AN233="",OFFSET(Demand!$A$13,ROW(V230)-1,4+((QUOTIENT(COLUMN(CL$2)-69,3))*5)+MOD(COLUMN(CL$2),3),1,1),"")</f>
        <v>0</v>
      </c>
      <c r="CM233">
        <f ca="1">IF($AN233="",OFFSET(Demand!$A$13,ROW(W230)-1,4+((QUOTIENT(COLUMN(CM$2)-69,3))*5)+MOD(COLUMN(CM$2),3),1,1),"")</f>
        <v>0</v>
      </c>
      <c r="CN233">
        <f ca="1">IF($AN233="",OFFSET(Demand!$A$13,ROW(X230)-1,4+((QUOTIENT(COLUMN(CN$2)-69,3))*5)+MOD(COLUMN(CN$2),3),1,1),"")</f>
        <v>0</v>
      </c>
      <c r="CO233">
        <f ca="1">IF($AN233="",OFFSET(Demand!$A$13,ROW(Y230)-1,4+((QUOTIENT(COLUMN(CO$2)-69,3))*5)+MOD(COLUMN(CO$2),3),1,1),"")</f>
        <v>0</v>
      </c>
      <c r="CP233">
        <f ca="1">IF($AN233="",OFFSET(Demand!$A$13,ROW(Z230)-1,4+((QUOTIENT(COLUMN(CP$2)-69,3))*5)+MOD(COLUMN(CP$2),3),1,1),"")</f>
        <v>0</v>
      </c>
      <c r="CQ233">
        <f ca="1">IF($AN233="",OFFSET(Demand!$A$13,ROW(AA230)-1,4+((QUOTIENT(COLUMN(CQ$2)-69,3))*5)+MOD(COLUMN(CQ$2),3),1,1),"")</f>
        <v>0</v>
      </c>
      <c r="CR233">
        <f ca="1">IF($AN233="",OFFSET(Demand!$A$13,ROW(AB230)-1,4+((QUOTIENT(COLUMN(CR$2)-69,3))*5)+MOD(COLUMN(CR$2),3),1,1),"")</f>
        <v>0</v>
      </c>
      <c r="CS233">
        <f ca="1">IF($AN233="",OFFSET(Demand!$A$13,ROW(AC230)-1,4+((QUOTIENT(COLUMN(CS$2)-69,3))*5)+MOD(COLUMN(CS$2),3),1,1),"")</f>
        <v>0</v>
      </c>
      <c r="CT233">
        <f ca="1">IF($AN233="",OFFSET(Demand!$A$13,ROW(AD230)-1,4+((QUOTIENT(COLUMN(CT$2)-69,3))*5)+MOD(COLUMN(CT$2),3),1,1),"")</f>
        <v>0</v>
      </c>
      <c r="CW233" s="5">
        <f ca="1">SUM(OFFSET(Demand!$H$43,ROW(A230)-1,(COLUMN(A230)-1)*5,1,1))*N$2</f>
        <v>0</v>
      </c>
      <c r="CX233" s="5">
        <f ca="1">SUM(OFFSET(Demand!$H$43,ROW(B230)-1,(COLUMN(B230)-1)*5,1,1))*O$2</f>
        <v>0</v>
      </c>
      <c r="CY233" s="5">
        <f ca="1">SUM(OFFSET(Demand!$H$43,ROW(C230)-1,(COLUMN(C230)-1)*5,1,1))*P$2</f>
        <v>0</v>
      </c>
      <c r="CZ233" s="5">
        <f ca="1">SUM(OFFSET(Demand!$H$43,ROW(D230)-1,(COLUMN(D230)-1)*5,1,1))*Q$2</f>
        <v>0</v>
      </c>
      <c r="DA233" s="5">
        <f ca="1">SUM(OFFSET(Demand!$H$43,ROW(E230)-1,(COLUMN(E230)-1)*5,1,1))*R$2</f>
        <v>0</v>
      </c>
      <c r="DB233" s="5">
        <f ca="1">SUM(OFFSET(Demand!$H$43,ROW(F230)-1,(COLUMN(F230)-1)*5,1,1))*S$2</f>
        <v>0</v>
      </c>
      <c r="DC233" s="5">
        <f ca="1">SUM(OFFSET(Demand!$H$43,ROW(G230)-1,(COLUMN(G230)-1)*5,1,1))*T$2</f>
        <v>0</v>
      </c>
      <c r="DD233" s="5">
        <f ca="1">SUM(OFFSET(Demand!$H$43,ROW(H230)-1,(COLUMN(H230)-1)*5,1,1))*U$2</f>
        <v>0</v>
      </c>
      <c r="DE233" s="5">
        <f ca="1">SUM(OFFSET(Demand!$H$43,ROW(I230)-1,(COLUMN(I230)-1)*5,1,1))*V$2</f>
        <v>0</v>
      </c>
      <c r="DF233" s="5">
        <f ca="1">SUM(OFFSET(Demand!$H$43,ROW(J230)-1,(COLUMN(J230)-1)*5,1,1))*W$2</f>
        <v>0</v>
      </c>
      <c r="DG233" s="5">
        <f ca="1">IF(OR(AN233&lt;&gt;"",AND('Demand adjustments for Covid'!$F$9="Yes",'Demand adjustments for Covid'!$F$20="Yes")),"",SUM(CW233:DF233))</f>
        <v>0</v>
      </c>
    </row>
    <row r="234" spans="1:111" x14ac:dyDescent="0.25">
      <c r="A234" s="5">
        <f t="shared" ca="1" si="50"/>
        <v>1</v>
      </c>
      <c r="B234" s="5">
        <f ca="1">COUNTBLANK(OFFSET(Demand!$I243,0,(COLUMN(A231)-1)*5,1,1))</f>
        <v>1</v>
      </c>
      <c r="C234" s="5">
        <f ca="1">COUNTBLANK(OFFSET(Demand!$I243,0,(COLUMN(B231)-1)*5,1,1))</f>
        <v>1</v>
      </c>
      <c r="D234" s="5">
        <f ca="1">COUNTBLANK(OFFSET(Demand!$I243,0,(COLUMN(C231)-1)*5,1,1))</f>
        <v>1</v>
      </c>
      <c r="E234" s="5">
        <f ca="1">COUNTBLANK(OFFSET(Demand!$I243,0,(COLUMN(D231)-1)*5,1,1))</f>
        <v>1</v>
      </c>
      <c r="F234" s="5">
        <f ca="1">COUNTBLANK(OFFSET(Demand!$I243,0,(COLUMN(E231)-1)*5,1,1))</f>
        <v>1</v>
      </c>
      <c r="G234" s="5">
        <f ca="1">COUNTBLANK(OFFSET(Demand!$I243,0,(COLUMN(F231)-1)*5,1,1))</f>
        <v>1</v>
      </c>
      <c r="H234" s="5">
        <f ca="1">COUNTBLANK(OFFSET(Demand!$I243,0,(COLUMN(G231)-1)*5,1,1))</f>
        <v>1</v>
      </c>
      <c r="I234" s="5">
        <f ca="1">COUNTBLANK(OFFSET(Demand!$I243,0,(COLUMN(H231)-1)*5,1,1))</f>
        <v>1</v>
      </c>
      <c r="J234" s="5">
        <f ca="1">COUNTBLANK(OFFSET(Demand!$I243,0,(COLUMN(I231)-1)*5,1,1))</f>
        <v>1</v>
      </c>
      <c r="K234" s="5">
        <f ca="1">COUNTBLANK(OFFSET(Demand!$I243,0,(COLUMN(J231)-1)*5,1,1))</f>
        <v>1</v>
      </c>
      <c r="N234" s="5">
        <f ca="1">SUM(OFFSET(Demand!$E243,0,(COLUMN(A231)-1)*5,1,3))*N$2</f>
        <v>0</v>
      </c>
      <c r="O234" s="5">
        <f ca="1">SUM(OFFSET(Demand!$E243,0,(COLUMN(B231)-1)*5,1,3))*O$2</f>
        <v>0</v>
      </c>
      <c r="P234" s="5">
        <f ca="1">SUM(OFFSET(Demand!$E243,0,(COLUMN(C231)-1)*5,1,3))*P$2</f>
        <v>0</v>
      </c>
      <c r="Q234" s="5">
        <f ca="1">SUM(OFFSET(Demand!$E243,0,(COLUMN(D231)-1)*5,1,3))*Q$2</f>
        <v>0</v>
      </c>
      <c r="R234" s="5">
        <f ca="1">SUM(OFFSET(Demand!$E243,0,(COLUMN(E231)-1)*5,1,3))*R$2</f>
        <v>0</v>
      </c>
      <c r="S234" s="5">
        <f ca="1">SUM(OFFSET(Demand!$E243,0,(COLUMN(F231)-1)*5,1,3))*S$2</f>
        <v>0</v>
      </c>
      <c r="T234" s="5">
        <f ca="1">SUM(OFFSET(Demand!$E243,0,(COLUMN(G231)-1)*5,1,3))*T$2</f>
        <v>0</v>
      </c>
      <c r="U234" s="5">
        <f ca="1">SUM(OFFSET(Demand!$E243,0,(COLUMN(H231)-1)*5,1,3))*U$2</f>
        <v>0</v>
      </c>
      <c r="V234" s="5">
        <f ca="1">SUM(OFFSET(Demand!$E243,0,(COLUMN(I231)-1)*5,1,3))*V$2</f>
        <v>0</v>
      </c>
      <c r="W234" s="5">
        <f ca="1">SUM(OFFSET(Demand!$E243,0,(COLUMN(J231)-1)*5,1,3))*W$2</f>
        <v>0</v>
      </c>
      <c r="X234" s="5">
        <f t="shared" ca="1" si="51"/>
        <v>0</v>
      </c>
      <c r="Y234">
        <f t="shared" ca="1" si="52"/>
        <v>0</v>
      </c>
      <c r="Z234" s="5">
        <f ca="1">SUM(OFFSET(Demand!$H243,0,(COLUMN(A231)-1)*5,1,1))*N$2</f>
        <v>0</v>
      </c>
      <c r="AA234" s="5">
        <f ca="1">SUM(OFFSET(Demand!$H243,0,(COLUMN(B231)-1)*5,1,1))*O$2</f>
        <v>0</v>
      </c>
      <c r="AB234" s="5">
        <f ca="1">SUM(OFFSET(Demand!$H243,0,(COLUMN(C231)-1)*5,1,1))*P$2</f>
        <v>0</v>
      </c>
      <c r="AC234" s="5">
        <f ca="1">SUM(OFFSET(Demand!$H243,0,(COLUMN(D231)-1)*5,1,1))*Q$2</f>
        <v>0</v>
      </c>
      <c r="AD234" s="5">
        <f ca="1">SUM(OFFSET(Demand!$H243,0,(COLUMN(E231)-1)*5,1,1))*R$2</f>
        <v>0</v>
      </c>
      <c r="AE234" s="5">
        <f ca="1">SUM(OFFSET(Demand!$H243,0,(COLUMN(F231)-1)*5,1,1))*S$2</f>
        <v>0</v>
      </c>
      <c r="AF234" s="5">
        <f ca="1">SUM(OFFSET(Demand!$H243,0,(COLUMN(G231)-1)*5,1,1))*T$2</f>
        <v>0</v>
      </c>
      <c r="AG234" s="5">
        <f ca="1">SUM(OFFSET(Demand!$H243,0,(COLUMN(H231)-1)*5,1,1))*U$2</f>
        <v>0</v>
      </c>
      <c r="AH234" s="5">
        <f ca="1">SUM(OFFSET(Demand!$H243,0,(COLUMN(I231)-1)*5,1,1))*V$2</f>
        <v>0</v>
      </c>
      <c r="AI234" s="5">
        <f ca="1">SUM(OFFSET(Demand!$H243,0,(COLUMN(J231)-1)*5,1,1))*W$2</f>
        <v>0</v>
      </c>
      <c r="AJ234" s="5">
        <f t="shared" ca="1" si="53"/>
        <v>0</v>
      </c>
      <c r="AL234" s="5">
        <f t="shared" ca="1" si="54"/>
        <v>0</v>
      </c>
      <c r="AM234" s="5">
        <f t="shared" ca="1" si="55"/>
        <v>0</v>
      </c>
      <c r="AN234" s="5" t="str">
        <f>IF(Demand!BE243="Yes","Yes","")</f>
        <v/>
      </c>
      <c r="AP234" s="36" t="str">
        <f ca="1">Demand!B243</f>
        <v xml:space="preserve"> </v>
      </c>
      <c r="AQ234" t="str">
        <f ca="1">IF(TEXT(Demand!D243,"MMM")&lt;&gt;TEXT(Demand!D242,"MMM"),TEXT(Demand!D243,"MMM"),"")</f>
        <v/>
      </c>
      <c r="AT234" s="5">
        <f t="shared" ca="1" si="56"/>
        <v>0</v>
      </c>
      <c r="BQ234">
        <f ca="1">IF($AN234="",OFFSET(Demand!$A$13,ROW(A231)-1,4+((QUOTIENT(COLUMN(BQ$2)-69,3))*5)+MOD(COLUMN(BQ$2),3),1,1),"")</f>
        <v>0</v>
      </c>
      <c r="BR234">
        <f ca="1">IF($AN234="",OFFSET(Demand!$A$13,ROW(B231)-1,4+((QUOTIENT(COLUMN(BR$2)-69,3))*5)+MOD(COLUMN(BR$2),3),1,1),"")</f>
        <v>0</v>
      </c>
      <c r="BS234">
        <f ca="1">IF($AN234="",OFFSET(Demand!$A$13,ROW(C231)-1,4+((QUOTIENT(COLUMN(BS$2)-69,3))*5)+MOD(COLUMN(BS$2),3),1,1),"")</f>
        <v>0</v>
      </c>
      <c r="BT234">
        <f ca="1">IF($AN234="",OFFSET(Demand!$A$13,ROW(D231)-1,4+((QUOTIENT(COLUMN(BT$2)-69,3))*5)+MOD(COLUMN(BT$2),3),1,1),"")</f>
        <v>0</v>
      </c>
      <c r="BU234">
        <f ca="1">IF($AN234="",OFFSET(Demand!$A$13,ROW(E231)-1,4+((QUOTIENT(COLUMN(BU$2)-69,3))*5)+MOD(COLUMN(BU$2),3),1,1),"")</f>
        <v>0</v>
      </c>
      <c r="BV234">
        <f ca="1">IF($AN234="",OFFSET(Demand!$A$13,ROW(F231)-1,4+((QUOTIENT(COLUMN(BV$2)-69,3))*5)+MOD(COLUMN(BV$2),3),1,1),"")</f>
        <v>0</v>
      </c>
      <c r="BW234">
        <f ca="1">IF($AN234="",OFFSET(Demand!$A$13,ROW(G231)-1,4+((QUOTIENT(COLUMN(BW$2)-69,3))*5)+MOD(COLUMN(BW$2),3),1,1),"")</f>
        <v>0</v>
      </c>
      <c r="BX234">
        <f ca="1">IF($AN234="",OFFSET(Demand!$A$13,ROW(H231)-1,4+((QUOTIENT(COLUMN(BX$2)-69,3))*5)+MOD(COLUMN(BX$2),3),1,1),"")</f>
        <v>0</v>
      </c>
      <c r="BY234">
        <f ca="1">IF($AN234="",OFFSET(Demand!$A$13,ROW(I231)-1,4+((QUOTIENT(COLUMN(BY$2)-69,3))*5)+MOD(COLUMN(BY$2),3),1,1),"")</f>
        <v>0</v>
      </c>
      <c r="BZ234">
        <f ca="1">IF($AN234="",OFFSET(Demand!$A$13,ROW(J231)-1,4+((QUOTIENT(COLUMN(BZ$2)-69,3))*5)+MOD(COLUMN(BZ$2),3),1,1),"")</f>
        <v>0</v>
      </c>
      <c r="CA234">
        <f ca="1">IF($AN234="",OFFSET(Demand!$A$13,ROW(K231)-1,4+((QUOTIENT(COLUMN(CA$2)-69,3))*5)+MOD(COLUMN(CA$2),3),1,1),"")</f>
        <v>0</v>
      </c>
      <c r="CB234">
        <f ca="1">IF($AN234="",OFFSET(Demand!$A$13,ROW(L231)-1,4+((QUOTIENT(COLUMN(CB$2)-69,3))*5)+MOD(COLUMN(CB$2),3),1,1),"")</f>
        <v>0</v>
      </c>
      <c r="CC234">
        <f ca="1">IF($AN234="",OFFSET(Demand!$A$13,ROW(M231)-1,4+((QUOTIENT(COLUMN(CC$2)-69,3))*5)+MOD(COLUMN(CC$2),3),1,1),"")</f>
        <v>0</v>
      </c>
      <c r="CD234">
        <f ca="1">IF($AN234="",OFFSET(Demand!$A$13,ROW(N231)-1,4+((QUOTIENT(COLUMN(CD$2)-69,3))*5)+MOD(COLUMN(CD$2),3),1,1),"")</f>
        <v>0</v>
      </c>
      <c r="CE234">
        <f ca="1">IF($AN234="",OFFSET(Demand!$A$13,ROW(O231)-1,4+((QUOTIENT(COLUMN(CE$2)-69,3))*5)+MOD(COLUMN(CE$2),3),1,1),"")</f>
        <v>0</v>
      </c>
      <c r="CF234">
        <f ca="1">IF($AN234="",OFFSET(Demand!$A$13,ROW(P231)-1,4+((QUOTIENT(COLUMN(CF$2)-69,3))*5)+MOD(COLUMN(CF$2),3),1,1),"")</f>
        <v>0</v>
      </c>
      <c r="CG234">
        <f ca="1">IF($AN234="",OFFSET(Demand!$A$13,ROW(Q231)-1,4+((QUOTIENT(COLUMN(CG$2)-69,3))*5)+MOD(COLUMN(CG$2),3),1,1),"")</f>
        <v>0</v>
      </c>
      <c r="CH234">
        <f ca="1">IF($AN234="",OFFSET(Demand!$A$13,ROW(R231)-1,4+((QUOTIENT(COLUMN(CH$2)-69,3))*5)+MOD(COLUMN(CH$2),3),1,1),"")</f>
        <v>0</v>
      </c>
      <c r="CI234">
        <f ca="1">IF($AN234="",OFFSET(Demand!$A$13,ROW(S231)-1,4+((QUOTIENT(COLUMN(CI$2)-69,3))*5)+MOD(COLUMN(CI$2),3),1,1),"")</f>
        <v>0</v>
      </c>
      <c r="CJ234">
        <f ca="1">IF($AN234="",OFFSET(Demand!$A$13,ROW(T231)-1,4+((QUOTIENT(COLUMN(CJ$2)-69,3))*5)+MOD(COLUMN(CJ$2),3),1,1),"")</f>
        <v>0</v>
      </c>
      <c r="CK234">
        <f ca="1">IF($AN234="",OFFSET(Demand!$A$13,ROW(U231)-1,4+((QUOTIENT(COLUMN(CK$2)-69,3))*5)+MOD(COLUMN(CK$2),3),1,1),"")</f>
        <v>0</v>
      </c>
      <c r="CL234">
        <f ca="1">IF($AN234="",OFFSET(Demand!$A$13,ROW(V231)-1,4+((QUOTIENT(COLUMN(CL$2)-69,3))*5)+MOD(COLUMN(CL$2),3),1,1),"")</f>
        <v>0</v>
      </c>
      <c r="CM234">
        <f ca="1">IF($AN234="",OFFSET(Demand!$A$13,ROW(W231)-1,4+((QUOTIENT(COLUMN(CM$2)-69,3))*5)+MOD(COLUMN(CM$2),3),1,1),"")</f>
        <v>0</v>
      </c>
      <c r="CN234">
        <f ca="1">IF($AN234="",OFFSET(Demand!$A$13,ROW(X231)-1,4+((QUOTIENT(COLUMN(CN$2)-69,3))*5)+MOD(COLUMN(CN$2),3),1,1),"")</f>
        <v>0</v>
      </c>
      <c r="CO234">
        <f ca="1">IF($AN234="",OFFSET(Demand!$A$13,ROW(Y231)-1,4+((QUOTIENT(COLUMN(CO$2)-69,3))*5)+MOD(COLUMN(CO$2),3),1,1),"")</f>
        <v>0</v>
      </c>
      <c r="CP234">
        <f ca="1">IF($AN234="",OFFSET(Demand!$A$13,ROW(Z231)-1,4+((QUOTIENT(COLUMN(CP$2)-69,3))*5)+MOD(COLUMN(CP$2),3),1,1),"")</f>
        <v>0</v>
      </c>
      <c r="CQ234">
        <f ca="1">IF($AN234="",OFFSET(Demand!$A$13,ROW(AA231)-1,4+((QUOTIENT(COLUMN(CQ$2)-69,3))*5)+MOD(COLUMN(CQ$2),3),1,1),"")</f>
        <v>0</v>
      </c>
      <c r="CR234">
        <f ca="1">IF($AN234="",OFFSET(Demand!$A$13,ROW(AB231)-1,4+((QUOTIENT(COLUMN(CR$2)-69,3))*5)+MOD(COLUMN(CR$2),3),1,1),"")</f>
        <v>0</v>
      </c>
      <c r="CS234">
        <f ca="1">IF($AN234="",OFFSET(Demand!$A$13,ROW(AC231)-1,4+((QUOTIENT(COLUMN(CS$2)-69,3))*5)+MOD(COLUMN(CS$2),3),1,1),"")</f>
        <v>0</v>
      </c>
      <c r="CT234">
        <f ca="1">IF($AN234="",OFFSET(Demand!$A$13,ROW(AD231)-1,4+((QUOTIENT(COLUMN(CT$2)-69,3))*5)+MOD(COLUMN(CT$2),3),1,1),"")</f>
        <v>0</v>
      </c>
      <c r="CW234" s="5">
        <f ca="1">SUM(OFFSET(Demand!$H$43,ROW(A231)-1,(COLUMN(A231)-1)*5,1,1))*N$2</f>
        <v>0</v>
      </c>
      <c r="CX234" s="5">
        <f ca="1">SUM(OFFSET(Demand!$H$43,ROW(B231)-1,(COLUMN(B231)-1)*5,1,1))*O$2</f>
        <v>0</v>
      </c>
      <c r="CY234" s="5">
        <f ca="1">SUM(OFFSET(Demand!$H$43,ROW(C231)-1,(COLUMN(C231)-1)*5,1,1))*P$2</f>
        <v>0</v>
      </c>
      <c r="CZ234" s="5">
        <f ca="1">SUM(OFFSET(Demand!$H$43,ROW(D231)-1,(COLUMN(D231)-1)*5,1,1))*Q$2</f>
        <v>0</v>
      </c>
      <c r="DA234" s="5">
        <f ca="1">SUM(OFFSET(Demand!$H$43,ROW(E231)-1,(COLUMN(E231)-1)*5,1,1))*R$2</f>
        <v>0</v>
      </c>
      <c r="DB234" s="5">
        <f ca="1">SUM(OFFSET(Demand!$H$43,ROW(F231)-1,(COLUMN(F231)-1)*5,1,1))*S$2</f>
        <v>0</v>
      </c>
      <c r="DC234" s="5">
        <f ca="1">SUM(OFFSET(Demand!$H$43,ROW(G231)-1,(COLUMN(G231)-1)*5,1,1))*T$2</f>
        <v>0</v>
      </c>
      <c r="DD234" s="5">
        <f ca="1">SUM(OFFSET(Demand!$H$43,ROW(H231)-1,(COLUMN(H231)-1)*5,1,1))*U$2</f>
        <v>0</v>
      </c>
      <c r="DE234" s="5">
        <f ca="1">SUM(OFFSET(Demand!$H$43,ROW(I231)-1,(COLUMN(I231)-1)*5,1,1))*V$2</f>
        <v>0</v>
      </c>
      <c r="DF234" s="5">
        <f ca="1">SUM(OFFSET(Demand!$H$43,ROW(J231)-1,(COLUMN(J231)-1)*5,1,1))*W$2</f>
        <v>0</v>
      </c>
      <c r="DG234" s="5">
        <f ca="1">IF(OR(AN234&lt;&gt;"",AND('Demand adjustments for Covid'!$F$9="Yes",'Demand adjustments for Covid'!$F$20="Yes")),"",SUM(CW234:DF234))</f>
        <v>0</v>
      </c>
    </row>
    <row r="235" spans="1:111" x14ac:dyDescent="0.25">
      <c r="A235" s="5">
        <f t="shared" ca="1" si="50"/>
        <v>1</v>
      </c>
      <c r="B235" s="5">
        <f ca="1">COUNTBLANK(OFFSET(Demand!$I244,0,(COLUMN(A232)-1)*5,1,1))</f>
        <v>1</v>
      </c>
      <c r="C235" s="5">
        <f ca="1">COUNTBLANK(OFFSET(Demand!$I244,0,(COLUMN(B232)-1)*5,1,1))</f>
        <v>1</v>
      </c>
      <c r="D235" s="5">
        <f ca="1">COUNTBLANK(OFFSET(Demand!$I244,0,(COLUMN(C232)-1)*5,1,1))</f>
        <v>1</v>
      </c>
      <c r="E235" s="5">
        <f ca="1">COUNTBLANK(OFFSET(Demand!$I244,0,(COLUMN(D232)-1)*5,1,1))</f>
        <v>1</v>
      </c>
      <c r="F235" s="5">
        <f ca="1">COUNTBLANK(OFFSET(Demand!$I244,0,(COLUMN(E232)-1)*5,1,1))</f>
        <v>1</v>
      </c>
      <c r="G235" s="5">
        <f ca="1">COUNTBLANK(OFFSET(Demand!$I244,0,(COLUMN(F232)-1)*5,1,1))</f>
        <v>1</v>
      </c>
      <c r="H235" s="5">
        <f ca="1">COUNTBLANK(OFFSET(Demand!$I244,0,(COLUMN(G232)-1)*5,1,1))</f>
        <v>1</v>
      </c>
      <c r="I235" s="5">
        <f ca="1">COUNTBLANK(OFFSET(Demand!$I244,0,(COLUMN(H232)-1)*5,1,1))</f>
        <v>1</v>
      </c>
      <c r="J235" s="5">
        <f ca="1">COUNTBLANK(OFFSET(Demand!$I244,0,(COLUMN(I232)-1)*5,1,1))</f>
        <v>1</v>
      </c>
      <c r="K235" s="5">
        <f ca="1">COUNTBLANK(OFFSET(Demand!$I244,0,(COLUMN(J232)-1)*5,1,1))</f>
        <v>1</v>
      </c>
      <c r="N235" s="5">
        <f ca="1">SUM(OFFSET(Demand!$E244,0,(COLUMN(A232)-1)*5,1,3))*N$2</f>
        <v>0</v>
      </c>
      <c r="O235" s="5">
        <f ca="1">SUM(OFFSET(Demand!$E244,0,(COLUMN(B232)-1)*5,1,3))*O$2</f>
        <v>0</v>
      </c>
      <c r="P235" s="5">
        <f ca="1">SUM(OFFSET(Demand!$E244,0,(COLUMN(C232)-1)*5,1,3))*P$2</f>
        <v>0</v>
      </c>
      <c r="Q235" s="5">
        <f ca="1">SUM(OFFSET(Demand!$E244,0,(COLUMN(D232)-1)*5,1,3))*Q$2</f>
        <v>0</v>
      </c>
      <c r="R235" s="5">
        <f ca="1">SUM(OFFSET(Demand!$E244,0,(COLUMN(E232)-1)*5,1,3))*R$2</f>
        <v>0</v>
      </c>
      <c r="S235" s="5">
        <f ca="1">SUM(OFFSET(Demand!$E244,0,(COLUMN(F232)-1)*5,1,3))*S$2</f>
        <v>0</v>
      </c>
      <c r="T235" s="5">
        <f ca="1">SUM(OFFSET(Demand!$E244,0,(COLUMN(G232)-1)*5,1,3))*T$2</f>
        <v>0</v>
      </c>
      <c r="U235" s="5">
        <f ca="1">SUM(OFFSET(Demand!$E244,0,(COLUMN(H232)-1)*5,1,3))*U$2</f>
        <v>0</v>
      </c>
      <c r="V235" s="5">
        <f ca="1">SUM(OFFSET(Demand!$E244,0,(COLUMN(I232)-1)*5,1,3))*V$2</f>
        <v>0</v>
      </c>
      <c r="W235" s="5">
        <f ca="1">SUM(OFFSET(Demand!$E244,0,(COLUMN(J232)-1)*5,1,3))*W$2</f>
        <v>0</v>
      </c>
      <c r="X235" s="5">
        <f t="shared" ca="1" si="51"/>
        <v>0</v>
      </c>
      <c r="Y235">
        <f t="shared" ca="1" si="52"/>
        <v>0</v>
      </c>
      <c r="Z235" s="5">
        <f ca="1">SUM(OFFSET(Demand!$H244,0,(COLUMN(A232)-1)*5,1,1))*N$2</f>
        <v>0</v>
      </c>
      <c r="AA235" s="5">
        <f ca="1">SUM(OFFSET(Demand!$H244,0,(COLUMN(B232)-1)*5,1,1))*O$2</f>
        <v>0</v>
      </c>
      <c r="AB235" s="5">
        <f ca="1">SUM(OFFSET(Demand!$H244,0,(COLUMN(C232)-1)*5,1,1))*P$2</f>
        <v>0</v>
      </c>
      <c r="AC235" s="5">
        <f ca="1">SUM(OFFSET(Demand!$H244,0,(COLUMN(D232)-1)*5,1,1))*Q$2</f>
        <v>0</v>
      </c>
      <c r="AD235" s="5">
        <f ca="1">SUM(OFFSET(Demand!$H244,0,(COLUMN(E232)-1)*5,1,1))*R$2</f>
        <v>0</v>
      </c>
      <c r="AE235" s="5">
        <f ca="1">SUM(OFFSET(Demand!$H244,0,(COLUMN(F232)-1)*5,1,1))*S$2</f>
        <v>0</v>
      </c>
      <c r="AF235" s="5">
        <f ca="1">SUM(OFFSET(Demand!$H244,0,(COLUMN(G232)-1)*5,1,1))*T$2</f>
        <v>0</v>
      </c>
      <c r="AG235" s="5">
        <f ca="1">SUM(OFFSET(Demand!$H244,0,(COLUMN(H232)-1)*5,1,1))*U$2</f>
        <v>0</v>
      </c>
      <c r="AH235" s="5">
        <f ca="1">SUM(OFFSET(Demand!$H244,0,(COLUMN(I232)-1)*5,1,1))*V$2</f>
        <v>0</v>
      </c>
      <c r="AI235" s="5">
        <f ca="1">SUM(OFFSET(Demand!$H244,0,(COLUMN(J232)-1)*5,1,1))*W$2</f>
        <v>0</v>
      </c>
      <c r="AJ235" s="5">
        <f t="shared" ca="1" si="53"/>
        <v>0</v>
      </c>
      <c r="AL235" s="5">
        <f t="shared" ca="1" si="54"/>
        <v>0</v>
      </c>
      <c r="AM235" s="5">
        <f t="shared" ca="1" si="55"/>
        <v>0</v>
      </c>
      <c r="AN235" s="5" t="str">
        <f>IF(Demand!BE244="Yes","Yes","")</f>
        <v/>
      </c>
      <c r="AP235" s="36" t="str">
        <f ca="1">Demand!B244</f>
        <v xml:space="preserve"> </v>
      </c>
      <c r="AQ235" t="str">
        <f ca="1">IF(TEXT(Demand!D244,"MMM")&lt;&gt;TEXT(Demand!D243,"MMM"),TEXT(Demand!D244,"MMM"),"")</f>
        <v/>
      </c>
      <c r="AT235" s="5">
        <f t="shared" ca="1" si="56"/>
        <v>0</v>
      </c>
      <c r="BQ235">
        <f ca="1">IF($AN235="",OFFSET(Demand!$A$13,ROW(A232)-1,4+((QUOTIENT(COLUMN(BQ$2)-69,3))*5)+MOD(COLUMN(BQ$2),3),1,1),"")</f>
        <v>0</v>
      </c>
      <c r="BR235">
        <f ca="1">IF($AN235="",OFFSET(Demand!$A$13,ROW(B232)-1,4+((QUOTIENT(COLUMN(BR$2)-69,3))*5)+MOD(COLUMN(BR$2),3),1,1),"")</f>
        <v>0</v>
      </c>
      <c r="BS235">
        <f ca="1">IF($AN235="",OFFSET(Demand!$A$13,ROW(C232)-1,4+((QUOTIENT(COLUMN(BS$2)-69,3))*5)+MOD(COLUMN(BS$2),3),1,1),"")</f>
        <v>0</v>
      </c>
      <c r="BT235">
        <f ca="1">IF($AN235="",OFFSET(Demand!$A$13,ROW(D232)-1,4+((QUOTIENT(COLUMN(BT$2)-69,3))*5)+MOD(COLUMN(BT$2),3),1,1),"")</f>
        <v>0</v>
      </c>
      <c r="BU235">
        <f ca="1">IF($AN235="",OFFSET(Demand!$A$13,ROW(E232)-1,4+((QUOTIENT(COLUMN(BU$2)-69,3))*5)+MOD(COLUMN(BU$2),3),1,1),"")</f>
        <v>0</v>
      </c>
      <c r="BV235">
        <f ca="1">IF($AN235="",OFFSET(Demand!$A$13,ROW(F232)-1,4+((QUOTIENT(COLUMN(BV$2)-69,3))*5)+MOD(COLUMN(BV$2),3),1,1),"")</f>
        <v>0</v>
      </c>
      <c r="BW235">
        <f ca="1">IF($AN235="",OFFSET(Demand!$A$13,ROW(G232)-1,4+((QUOTIENT(COLUMN(BW$2)-69,3))*5)+MOD(COLUMN(BW$2),3),1,1),"")</f>
        <v>0</v>
      </c>
      <c r="BX235">
        <f ca="1">IF($AN235="",OFFSET(Demand!$A$13,ROW(H232)-1,4+((QUOTIENT(COLUMN(BX$2)-69,3))*5)+MOD(COLUMN(BX$2),3),1,1),"")</f>
        <v>0</v>
      </c>
      <c r="BY235">
        <f ca="1">IF($AN235="",OFFSET(Demand!$A$13,ROW(I232)-1,4+((QUOTIENT(COLUMN(BY$2)-69,3))*5)+MOD(COLUMN(BY$2),3),1,1),"")</f>
        <v>0</v>
      </c>
      <c r="BZ235">
        <f ca="1">IF($AN235="",OFFSET(Demand!$A$13,ROW(J232)-1,4+((QUOTIENT(COLUMN(BZ$2)-69,3))*5)+MOD(COLUMN(BZ$2),3),1,1),"")</f>
        <v>0</v>
      </c>
      <c r="CA235">
        <f ca="1">IF($AN235="",OFFSET(Demand!$A$13,ROW(K232)-1,4+((QUOTIENT(COLUMN(CA$2)-69,3))*5)+MOD(COLUMN(CA$2),3),1,1),"")</f>
        <v>0</v>
      </c>
      <c r="CB235">
        <f ca="1">IF($AN235="",OFFSET(Demand!$A$13,ROW(L232)-1,4+((QUOTIENT(COLUMN(CB$2)-69,3))*5)+MOD(COLUMN(CB$2),3),1,1),"")</f>
        <v>0</v>
      </c>
      <c r="CC235">
        <f ca="1">IF($AN235="",OFFSET(Demand!$A$13,ROW(M232)-1,4+((QUOTIENT(COLUMN(CC$2)-69,3))*5)+MOD(COLUMN(CC$2),3),1,1),"")</f>
        <v>0</v>
      </c>
      <c r="CD235">
        <f ca="1">IF($AN235="",OFFSET(Demand!$A$13,ROW(N232)-1,4+((QUOTIENT(COLUMN(CD$2)-69,3))*5)+MOD(COLUMN(CD$2),3),1,1),"")</f>
        <v>0</v>
      </c>
      <c r="CE235">
        <f ca="1">IF($AN235="",OFFSET(Demand!$A$13,ROW(O232)-1,4+((QUOTIENT(COLUMN(CE$2)-69,3))*5)+MOD(COLUMN(CE$2),3),1,1),"")</f>
        <v>0</v>
      </c>
      <c r="CF235">
        <f ca="1">IF($AN235="",OFFSET(Demand!$A$13,ROW(P232)-1,4+((QUOTIENT(COLUMN(CF$2)-69,3))*5)+MOD(COLUMN(CF$2),3),1,1),"")</f>
        <v>0</v>
      </c>
      <c r="CG235">
        <f ca="1">IF($AN235="",OFFSET(Demand!$A$13,ROW(Q232)-1,4+((QUOTIENT(COLUMN(CG$2)-69,3))*5)+MOD(COLUMN(CG$2),3),1,1),"")</f>
        <v>0</v>
      </c>
      <c r="CH235">
        <f ca="1">IF($AN235="",OFFSET(Demand!$A$13,ROW(R232)-1,4+((QUOTIENT(COLUMN(CH$2)-69,3))*5)+MOD(COLUMN(CH$2),3),1,1),"")</f>
        <v>0</v>
      </c>
      <c r="CI235">
        <f ca="1">IF($AN235="",OFFSET(Demand!$A$13,ROW(S232)-1,4+((QUOTIENT(COLUMN(CI$2)-69,3))*5)+MOD(COLUMN(CI$2),3),1,1),"")</f>
        <v>0</v>
      </c>
      <c r="CJ235">
        <f ca="1">IF($AN235="",OFFSET(Demand!$A$13,ROW(T232)-1,4+((QUOTIENT(COLUMN(CJ$2)-69,3))*5)+MOD(COLUMN(CJ$2),3),1,1),"")</f>
        <v>0</v>
      </c>
      <c r="CK235">
        <f ca="1">IF($AN235="",OFFSET(Demand!$A$13,ROW(U232)-1,4+((QUOTIENT(COLUMN(CK$2)-69,3))*5)+MOD(COLUMN(CK$2),3),1,1),"")</f>
        <v>0</v>
      </c>
      <c r="CL235">
        <f ca="1">IF($AN235="",OFFSET(Demand!$A$13,ROW(V232)-1,4+((QUOTIENT(COLUMN(CL$2)-69,3))*5)+MOD(COLUMN(CL$2),3),1,1),"")</f>
        <v>0</v>
      </c>
      <c r="CM235">
        <f ca="1">IF($AN235="",OFFSET(Demand!$A$13,ROW(W232)-1,4+((QUOTIENT(COLUMN(CM$2)-69,3))*5)+MOD(COLUMN(CM$2),3),1,1),"")</f>
        <v>0</v>
      </c>
      <c r="CN235">
        <f ca="1">IF($AN235="",OFFSET(Demand!$A$13,ROW(X232)-1,4+((QUOTIENT(COLUMN(CN$2)-69,3))*5)+MOD(COLUMN(CN$2),3),1,1),"")</f>
        <v>0</v>
      </c>
      <c r="CO235">
        <f ca="1">IF($AN235="",OFFSET(Demand!$A$13,ROW(Y232)-1,4+((QUOTIENT(COLUMN(CO$2)-69,3))*5)+MOD(COLUMN(CO$2),3),1,1),"")</f>
        <v>0</v>
      </c>
      <c r="CP235">
        <f ca="1">IF($AN235="",OFFSET(Demand!$A$13,ROW(Z232)-1,4+((QUOTIENT(COLUMN(CP$2)-69,3))*5)+MOD(COLUMN(CP$2),3),1,1),"")</f>
        <v>0</v>
      </c>
      <c r="CQ235">
        <f ca="1">IF($AN235="",OFFSET(Demand!$A$13,ROW(AA232)-1,4+((QUOTIENT(COLUMN(CQ$2)-69,3))*5)+MOD(COLUMN(CQ$2),3),1,1),"")</f>
        <v>0</v>
      </c>
      <c r="CR235">
        <f ca="1">IF($AN235="",OFFSET(Demand!$A$13,ROW(AB232)-1,4+((QUOTIENT(COLUMN(CR$2)-69,3))*5)+MOD(COLUMN(CR$2),3),1,1),"")</f>
        <v>0</v>
      </c>
      <c r="CS235">
        <f ca="1">IF($AN235="",OFFSET(Demand!$A$13,ROW(AC232)-1,4+((QUOTIENT(COLUMN(CS$2)-69,3))*5)+MOD(COLUMN(CS$2),3),1,1),"")</f>
        <v>0</v>
      </c>
      <c r="CT235">
        <f ca="1">IF($AN235="",OFFSET(Demand!$A$13,ROW(AD232)-1,4+((QUOTIENT(COLUMN(CT$2)-69,3))*5)+MOD(COLUMN(CT$2),3),1,1),"")</f>
        <v>0</v>
      </c>
      <c r="CW235" s="5">
        <f ca="1">SUM(OFFSET(Demand!$H$43,ROW(A232)-1,(COLUMN(A232)-1)*5,1,1))*N$2</f>
        <v>0</v>
      </c>
      <c r="CX235" s="5">
        <f ca="1">SUM(OFFSET(Demand!$H$43,ROW(B232)-1,(COLUMN(B232)-1)*5,1,1))*O$2</f>
        <v>0</v>
      </c>
      <c r="CY235" s="5">
        <f ca="1">SUM(OFFSET(Demand!$H$43,ROW(C232)-1,(COLUMN(C232)-1)*5,1,1))*P$2</f>
        <v>0</v>
      </c>
      <c r="CZ235" s="5">
        <f ca="1">SUM(OFFSET(Demand!$H$43,ROW(D232)-1,(COLUMN(D232)-1)*5,1,1))*Q$2</f>
        <v>0</v>
      </c>
      <c r="DA235" s="5">
        <f ca="1">SUM(OFFSET(Demand!$H$43,ROW(E232)-1,(COLUMN(E232)-1)*5,1,1))*R$2</f>
        <v>0</v>
      </c>
      <c r="DB235" s="5">
        <f ca="1">SUM(OFFSET(Demand!$H$43,ROW(F232)-1,(COLUMN(F232)-1)*5,1,1))*S$2</f>
        <v>0</v>
      </c>
      <c r="DC235" s="5">
        <f ca="1">SUM(OFFSET(Demand!$H$43,ROW(G232)-1,(COLUMN(G232)-1)*5,1,1))*T$2</f>
        <v>0</v>
      </c>
      <c r="DD235" s="5">
        <f ca="1">SUM(OFFSET(Demand!$H$43,ROW(H232)-1,(COLUMN(H232)-1)*5,1,1))*U$2</f>
        <v>0</v>
      </c>
      <c r="DE235" s="5">
        <f ca="1">SUM(OFFSET(Demand!$H$43,ROW(I232)-1,(COLUMN(I232)-1)*5,1,1))*V$2</f>
        <v>0</v>
      </c>
      <c r="DF235" s="5">
        <f ca="1">SUM(OFFSET(Demand!$H$43,ROW(J232)-1,(COLUMN(J232)-1)*5,1,1))*W$2</f>
        <v>0</v>
      </c>
      <c r="DG235" s="5">
        <f ca="1">IF(OR(AN235&lt;&gt;"",AND('Demand adjustments for Covid'!$F$9="Yes",'Demand adjustments for Covid'!$F$20="Yes")),"",SUM(CW235:DF235))</f>
        <v>0</v>
      </c>
    </row>
    <row r="236" spans="1:111" x14ac:dyDescent="0.25">
      <c r="A236" s="5">
        <f t="shared" ca="1" si="50"/>
        <v>1</v>
      </c>
      <c r="B236" s="5">
        <f ca="1">COUNTBLANK(OFFSET(Demand!$I245,0,(COLUMN(A233)-1)*5,1,1))</f>
        <v>1</v>
      </c>
      <c r="C236" s="5">
        <f ca="1">COUNTBLANK(OFFSET(Demand!$I245,0,(COLUMN(B233)-1)*5,1,1))</f>
        <v>1</v>
      </c>
      <c r="D236" s="5">
        <f ca="1">COUNTBLANK(OFFSET(Demand!$I245,0,(COLUMN(C233)-1)*5,1,1))</f>
        <v>1</v>
      </c>
      <c r="E236" s="5">
        <f ca="1">COUNTBLANK(OFFSET(Demand!$I245,0,(COLUMN(D233)-1)*5,1,1))</f>
        <v>1</v>
      </c>
      <c r="F236" s="5">
        <f ca="1">COUNTBLANK(OFFSET(Demand!$I245,0,(COLUMN(E233)-1)*5,1,1))</f>
        <v>1</v>
      </c>
      <c r="G236" s="5">
        <f ca="1">COUNTBLANK(OFFSET(Demand!$I245,0,(COLUMN(F233)-1)*5,1,1))</f>
        <v>1</v>
      </c>
      <c r="H236" s="5">
        <f ca="1">COUNTBLANK(OFFSET(Demand!$I245,0,(COLUMN(G233)-1)*5,1,1))</f>
        <v>1</v>
      </c>
      <c r="I236" s="5">
        <f ca="1">COUNTBLANK(OFFSET(Demand!$I245,0,(COLUMN(H233)-1)*5,1,1))</f>
        <v>1</v>
      </c>
      <c r="J236" s="5">
        <f ca="1">COUNTBLANK(OFFSET(Demand!$I245,0,(COLUMN(I233)-1)*5,1,1))</f>
        <v>1</v>
      </c>
      <c r="K236" s="5">
        <f ca="1">COUNTBLANK(OFFSET(Demand!$I245,0,(COLUMN(J233)-1)*5,1,1))</f>
        <v>1</v>
      </c>
      <c r="N236" s="5">
        <f ca="1">SUM(OFFSET(Demand!$E245,0,(COLUMN(A233)-1)*5,1,3))*N$2</f>
        <v>0</v>
      </c>
      <c r="O236" s="5">
        <f ca="1">SUM(OFFSET(Demand!$E245,0,(COLUMN(B233)-1)*5,1,3))*O$2</f>
        <v>0</v>
      </c>
      <c r="P236" s="5">
        <f ca="1">SUM(OFFSET(Demand!$E245,0,(COLUMN(C233)-1)*5,1,3))*P$2</f>
        <v>0</v>
      </c>
      <c r="Q236" s="5">
        <f ca="1">SUM(OFFSET(Demand!$E245,0,(COLUMN(D233)-1)*5,1,3))*Q$2</f>
        <v>0</v>
      </c>
      <c r="R236" s="5">
        <f ca="1">SUM(OFFSET(Demand!$E245,0,(COLUMN(E233)-1)*5,1,3))*R$2</f>
        <v>0</v>
      </c>
      <c r="S236" s="5">
        <f ca="1">SUM(OFFSET(Demand!$E245,0,(COLUMN(F233)-1)*5,1,3))*S$2</f>
        <v>0</v>
      </c>
      <c r="T236" s="5">
        <f ca="1">SUM(OFFSET(Demand!$E245,0,(COLUMN(G233)-1)*5,1,3))*T$2</f>
        <v>0</v>
      </c>
      <c r="U236" s="5">
        <f ca="1">SUM(OFFSET(Demand!$E245,0,(COLUMN(H233)-1)*5,1,3))*U$2</f>
        <v>0</v>
      </c>
      <c r="V236" s="5">
        <f ca="1">SUM(OFFSET(Demand!$E245,0,(COLUMN(I233)-1)*5,1,3))*V$2</f>
        <v>0</v>
      </c>
      <c r="W236" s="5">
        <f ca="1">SUM(OFFSET(Demand!$E245,0,(COLUMN(J233)-1)*5,1,3))*W$2</f>
        <v>0</v>
      </c>
      <c r="X236" s="5">
        <f t="shared" ca="1" si="51"/>
        <v>0</v>
      </c>
      <c r="Y236">
        <f t="shared" ca="1" si="52"/>
        <v>0</v>
      </c>
      <c r="Z236" s="5">
        <f ca="1">SUM(OFFSET(Demand!$H245,0,(COLUMN(A233)-1)*5,1,1))*N$2</f>
        <v>0</v>
      </c>
      <c r="AA236" s="5">
        <f ca="1">SUM(OFFSET(Demand!$H245,0,(COLUMN(B233)-1)*5,1,1))*O$2</f>
        <v>0</v>
      </c>
      <c r="AB236" s="5">
        <f ca="1">SUM(OFFSET(Demand!$H245,0,(COLUMN(C233)-1)*5,1,1))*P$2</f>
        <v>0</v>
      </c>
      <c r="AC236" s="5">
        <f ca="1">SUM(OFFSET(Demand!$H245,0,(COLUMN(D233)-1)*5,1,1))*Q$2</f>
        <v>0</v>
      </c>
      <c r="AD236" s="5">
        <f ca="1">SUM(OFFSET(Demand!$H245,0,(COLUMN(E233)-1)*5,1,1))*R$2</f>
        <v>0</v>
      </c>
      <c r="AE236" s="5">
        <f ca="1">SUM(OFFSET(Demand!$H245,0,(COLUMN(F233)-1)*5,1,1))*S$2</f>
        <v>0</v>
      </c>
      <c r="AF236" s="5">
        <f ca="1">SUM(OFFSET(Demand!$H245,0,(COLUMN(G233)-1)*5,1,1))*T$2</f>
        <v>0</v>
      </c>
      <c r="AG236" s="5">
        <f ca="1">SUM(OFFSET(Demand!$H245,0,(COLUMN(H233)-1)*5,1,1))*U$2</f>
        <v>0</v>
      </c>
      <c r="AH236" s="5">
        <f ca="1">SUM(OFFSET(Demand!$H245,0,(COLUMN(I233)-1)*5,1,1))*V$2</f>
        <v>0</v>
      </c>
      <c r="AI236" s="5">
        <f ca="1">SUM(OFFSET(Demand!$H245,0,(COLUMN(J233)-1)*5,1,1))*W$2</f>
        <v>0</v>
      </c>
      <c r="AJ236" s="5">
        <f t="shared" ca="1" si="53"/>
        <v>0</v>
      </c>
      <c r="AL236" s="5">
        <f t="shared" ca="1" si="54"/>
        <v>0</v>
      </c>
      <c r="AM236" s="5">
        <f t="shared" ca="1" si="55"/>
        <v>0</v>
      </c>
      <c r="AN236" s="5" t="str">
        <f>IF(Demand!BE245="Yes","Yes","")</f>
        <v/>
      </c>
      <c r="AP236" s="36" t="str">
        <f ca="1">Demand!B245</f>
        <v xml:space="preserve"> </v>
      </c>
      <c r="AQ236" t="str">
        <f ca="1">IF(TEXT(Demand!D245,"MMM")&lt;&gt;TEXT(Demand!D244,"MMM"),TEXT(Demand!D245,"MMM"),"")</f>
        <v/>
      </c>
      <c r="AT236" s="5">
        <f t="shared" ca="1" si="56"/>
        <v>0</v>
      </c>
      <c r="BQ236">
        <f ca="1">IF($AN236="",OFFSET(Demand!$A$13,ROW(A233)-1,4+((QUOTIENT(COLUMN(BQ$2)-69,3))*5)+MOD(COLUMN(BQ$2),3),1,1),"")</f>
        <v>0</v>
      </c>
      <c r="BR236">
        <f ca="1">IF($AN236="",OFFSET(Demand!$A$13,ROW(B233)-1,4+((QUOTIENT(COLUMN(BR$2)-69,3))*5)+MOD(COLUMN(BR$2),3),1,1),"")</f>
        <v>0</v>
      </c>
      <c r="BS236">
        <f ca="1">IF($AN236="",OFFSET(Demand!$A$13,ROW(C233)-1,4+((QUOTIENT(COLUMN(BS$2)-69,3))*5)+MOD(COLUMN(BS$2),3),1,1),"")</f>
        <v>0</v>
      </c>
      <c r="BT236">
        <f ca="1">IF($AN236="",OFFSET(Demand!$A$13,ROW(D233)-1,4+((QUOTIENT(COLUMN(BT$2)-69,3))*5)+MOD(COLUMN(BT$2),3),1,1),"")</f>
        <v>0</v>
      </c>
      <c r="BU236">
        <f ca="1">IF($AN236="",OFFSET(Demand!$A$13,ROW(E233)-1,4+((QUOTIENT(COLUMN(BU$2)-69,3))*5)+MOD(COLUMN(BU$2),3),1,1),"")</f>
        <v>0</v>
      </c>
      <c r="BV236">
        <f ca="1">IF($AN236="",OFFSET(Demand!$A$13,ROW(F233)-1,4+((QUOTIENT(COLUMN(BV$2)-69,3))*5)+MOD(COLUMN(BV$2),3),1,1),"")</f>
        <v>0</v>
      </c>
      <c r="BW236">
        <f ca="1">IF($AN236="",OFFSET(Demand!$A$13,ROW(G233)-1,4+((QUOTIENT(COLUMN(BW$2)-69,3))*5)+MOD(COLUMN(BW$2),3),1,1),"")</f>
        <v>0</v>
      </c>
      <c r="BX236">
        <f ca="1">IF($AN236="",OFFSET(Demand!$A$13,ROW(H233)-1,4+((QUOTIENT(COLUMN(BX$2)-69,3))*5)+MOD(COLUMN(BX$2),3),1,1),"")</f>
        <v>0</v>
      </c>
      <c r="BY236">
        <f ca="1">IF($AN236="",OFFSET(Demand!$A$13,ROW(I233)-1,4+((QUOTIENT(COLUMN(BY$2)-69,3))*5)+MOD(COLUMN(BY$2),3),1,1),"")</f>
        <v>0</v>
      </c>
      <c r="BZ236">
        <f ca="1">IF($AN236="",OFFSET(Demand!$A$13,ROW(J233)-1,4+((QUOTIENT(COLUMN(BZ$2)-69,3))*5)+MOD(COLUMN(BZ$2),3),1,1),"")</f>
        <v>0</v>
      </c>
      <c r="CA236">
        <f ca="1">IF($AN236="",OFFSET(Demand!$A$13,ROW(K233)-1,4+((QUOTIENT(COLUMN(CA$2)-69,3))*5)+MOD(COLUMN(CA$2),3),1,1),"")</f>
        <v>0</v>
      </c>
      <c r="CB236">
        <f ca="1">IF($AN236="",OFFSET(Demand!$A$13,ROW(L233)-1,4+((QUOTIENT(COLUMN(CB$2)-69,3))*5)+MOD(COLUMN(CB$2),3),1,1),"")</f>
        <v>0</v>
      </c>
      <c r="CC236">
        <f ca="1">IF($AN236="",OFFSET(Demand!$A$13,ROW(M233)-1,4+((QUOTIENT(COLUMN(CC$2)-69,3))*5)+MOD(COLUMN(CC$2),3),1,1),"")</f>
        <v>0</v>
      </c>
      <c r="CD236">
        <f ca="1">IF($AN236="",OFFSET(Demand!$A$13,ROW(N233)-1,4+((QUOTIENT(COLUMN(CD$2)-69,3))*5)+MOD(COLUMN(CD$2),3),1,1),"")</f>
        <v>0</v>
      </c>
      <c r="CE236">
        <f ca="1">IF($AN236="",OFFSET(Demand!$A$13,ROW(O233)-1,4+((QUOTIENT(COLUMN(CE$2)-69,3))*5)+MOD(COLUMN(CE$2),3),1,1),"")</f>
        <v>0</v>
      </c>
      <c r="CF236">
        <f ca="1">IF($AN236="",OFFSET(Demand!$A$13,ROW(P233)-1,4+((QUOTIENT(COLUMN(CF$2)-69,3))*5)+MOD(COLUMN(CF$2),3),1,1),"")</f>
        <v>0</v>
      </c>
      <c r="CG236">
        <f ca="1">IF($AN236="",OFFSET(Demand!$A$13,ROW(Q233)-1,4+((QUOTIENT(COLUMN(CG$2)-69,3))*5)+MOD(COLUMN(CG$2),3),1,1),"")</f>
        <v>0</v>
      </c>
      <c r="CH236">
        <f ca="1">IF($AN236="",OFFSET(Demand!$A$13,ROW(R233)-1,4+((QUOTIENT(COLUMN(CH$2)-69,3))*5)+MOD(COLUMN(CH$2),3),1,1),"")</f>
        <v>0</v>
      </c>
      <c r="CI236">
        <f ca="1">IF($AN236="",OFFSET(Demand!$A$13,ROW(S233)-1,4+((QUOTIENT(COLUMN(CI$2)-69,3))*5)+MOD(COLUMN(CI$2),3),1,1),"")</f>
        <v>0</v>
      </c>
      <c r="CJ236">
        <f ca="1">IF($AN236="",OFFSET(Demand!$A$13,ROW(T233)-1,4+((QUOTIENT(COLUMN(CJ$2)-69,3))*5)+MOD(COLUMN(CJ$2),3),1,1),"")</f>
        <v>0</v>
      </c>
      <c r="CK236">
        <f ca="1">IF($AN236="",OFFSET(Demand!$A$13,ROW(U233)-1,4+((QUOTIENT(COLUMN(CK$2)-69,3))*5)+MOD(COLUMN(CK$2),3),1,1),"")</f>
        <v>0</v>
      </c>
      <c r="CL236">
        <f ca="1">IF($AN236="",OFFSET(Demand!$A$13,ROW(V233)-1,4+((QUOTIENT(COLUMN(CL$2)-69,3))*5)+MOD(COLUMN(CL$2),3),1,1),"")</f>
        <v>0</v>
      </c>
      <c r="CM236">
        <f ca="1">IF($AN236="",OFFSET(Demand!$A$13,ROW(W233)-1,4+((QUOTIENT(COLUMN(CM$2)-69,3))*5)+MOD(COLUMN(CM$2),3),1,1),"")</f>
        <v>0</v>
      </c>
      <c r="CN236">
        <f ca="1">IF($AN236="",OFFSET(Demand!$A$13,ROW(X233)-1,4+((QUOTIENT(COLUMN(CN$2)-69,3))*5)+MOD(COLUMN(CN$2),3),1,1),"")</f>
        <v>0</v>
      </c>
      <c r="CO236">
        <f ca="1">IF($AN236="",OFFSET(Demand!$A$13,ROW(Y233)-1,4+((QUOTIENT(COLUMN(CO$2)-69,3))*5)+MOD(COLUMN(CO$2),3),1,1),"")</f>
        <v>0</v>
      </c>
      <c r="CP236">
        <f ca="1">IF($AN236="",OFFSET(Demand!$A$13,ROW(Z233)-1,4+((QUOTIENT(COLUMN(CP$2)-69,3))*5)+MOD(COLUMN(CP$2),3),1,1),"")</f>
        <v>0</v>
      </c>
      <c r="CQ236">
        <f ca="1">IF($AN236="",OFFSET(Demand!$A$13,ROW(AA233)-1,4+((QUOTIENT(COLUMN(CQ$2)-69,3))*5)+MOD(COLUMN(CQ$2),3),1,1),"")</f>
        <v>0</v>
      </c>
      <c r="CR236">
        <f ca="1">IF($AN236="",OFFSET(Demand!$A$13,ROW(AB233)-1,4+((QUOTIENT(COLUMN(CR$2)-69,3))*5)+MOD(COLUMN(CR$2),3),1,1),"")</f>
        <v>0</v>
      </c>
      <c r="CS236">
        <f ca="1">IF($AN236="",OFFSET(Demand!$A$13,ROW(AC233)-1,4+((QUOTIENT(COLUMN(CS$2)-69,3))*5)+MOD(COLUMN(CS$2),3),1,1),"")</f>
        <v>0</v>
      </c>
      <c r="CT236">
        <f ca="1">IF($AN236="",OFFSET(Demand!$A$13,ROW(AD233)-1,4+((QUOTIENT(COLUMN(CT$2)-69,3))*5)+MOD(COLUMN(CT$2),3),1,1),"")</f>
        <v>0</v>
      </c>
      <c r="CW236" s="5">
        <f ca="1">SUM(OFFSET(Demand!$H$43,ROW(A233)-1,(COLUMN(A233)-1)*5,1,1))*N$2</f>
        <v>0</v>
      </c>
      <c r="CX236" s="5">
        <f ca="1">SUM(OFFSET(Demand!$H$43,ROW(B233)-1,(COLUMN(B233)-1)*5,1,1))*O$2</f>
        <v>0</v>
      </c>
      <c r="CY236" s="5">
        <f ca="1">SUM(OFFSET(Demand!$H$43,ROW(C233)-1,(COLUMN(C233)-1)*5,1,1))*P$2</f>
        <v>0</v>
      </c>
      <c r="CZ236" s="5">
        <f ca="1">SUM(OFFSET(Demand!$H$43,ROW(D233)-1,(COLUMN(D233)-1)*5,1,1))*Q$2</f>
        <v>0</v>
      </c>
      <c r="DA236" s="5">
        <f ca="1">SUM(OFFSET(Demand!$H$43,ROW(E233)-1,(COLUMN(E233)-1)*5,1,1))*R$2</f>
        <v>0</v>
      </c>
      <c r="DB236" s="5">
        <f ca="1">SUM(OFFSET(Demand!$H$43,ROW(F233)-1,(COLUMN(F233)-1)*5,1,1))*S$2</f>
        <v>0</v>
      </c>
      <c r="DC236" s="5">
        <f ca="1">SUM(OFFSET(Demand!$H$43,ROW(G233)-1,(COLUMN(G233)-1)*5,1,1))*T$2</f>
        <v>0</v>
      </c>
      <c r="DD236" s="5">
        <f ca="1">SUM(OFFSET(Demand!$H$43,ROW(H233)-1,(COLUMN(H233)-1)*5,1,1))*U$2</f>
        <v>0</v>
      </c>
      <c r="DE236" s="5">
        <f ca="1">SUM(OFFSET(Demand!$H$43,ROW(I233)-1,(COLUMN(I233)-1)*5,1,1))*V$2</f>
        <v>0</v>
      </c>
      <c r="DF236" s="5">
        <f ca="1">SUM(OFFSET(Demand!$H$43,ROW(J233)-1,(COLUMN(J233)-1)*5,1,1))*W$2</f>
        <v>0</v>
      </c>
      <c r="DG236" s="5">
        <f ca="1">IF(OR(AN236&lt;&gt;"",AND('Demand adjustments for Covid'!$F$9="Yes",'Demand adjustments for Covid'!$F$20="Yes")),"",SUM(CW236:DF236))</f>
        <v>0</v>
      </c>
    </row>
    <row r="237" spans="1:111" x14ac:dyDescent="0.25">
      <c r="A237" s="5">
        <f t="shared" ca="1" si="50"/>
        <v>1</v>
      </c>
      <c r="B237" s="5">
        <f ca="1">COUNTBLANK(OFFSET(Demand!$I246,0,(COLUMN(A234)-1)*5,1,1))</f>
        <v>1</v>
      </c>
      <c r="C237" s="5">
        <f ca="1">COUNTBLANK(OFFSET(Demand!$I246,0,(COLUMN(B234)-1)*5,1,1))</f>
        <v>1</v>
      </c>
      <c r="D237" s="5">
        <f ca="1">COUNTBLANK(OFFSET(Demand!$I246,0,(COLUMN(C234)-1)*5,1,1))</f>
        <v>1</v>
      </c>
      <c r="E237" s="5">
        <f ca="1">COUNTBLANK(OFFSET(Demand!$I246,0,(COLUMN(D234)-1)*5,1,1))</f>
        <v>1</v>
      </c>
      <c r="F237" s="5">
        <f ca="1">COUNTBLANK(OFFSET(Demand!$I246,0,(COLUMN(E234)-1)*5,1,1))</f>
        <v>1</v>
      </c>
      <c r="G237" s="5">
        <f ca="1">COUNTBLANK(OFFSET(Demand!$I246,0,(COLUMN(F234)-1)*5,1,1))</f>
        <v>1</v>
      </c>
      <c r="H237" s="5">
        <f ca="1">COUNTBLANK(OFFSET(Demand!$I246,0,(COLUMN(G234)-1)*5,1,1))</f>
        <v>1</v>
      </c>
      <c r="I237" s="5">
        <f ca="1">COUNTBLANK(OFFSET(Demand!$I246,0,(COLUMN(H234)-1)*5,1,1))</f>
        <v>1</v>
      </c>
      <c r="J237" s="5">
        <f ca="1">COUNTBLANK(OFFSET(Demand!$I246,0,(COLUMN(I234)-1)*5,1,1))</f>
        <v>1</v>
      </c>
      <c r="K237" s="5">
        <f ca="1">COUNTBLANK(OFFSET(Demand!$I246,0,(COLUMN(J234)-1)*5,1,1))</f>
        <v>1</v>
      </c>
      <c r="N237" s="5">
        <f ca="1">SUM(OFFSET(Demand!$E246,0,(COLUMN(A234)-1)*5,1,3))*N$2</f>
        <v>0</v>
      </c>
      <c r="O237" s="5">
        <f ca="1">SUM(OFFSET(Demand!$E246,0,(COLUMN(B234)-1)*5,1,3))*O$2</f>
        <v>0</v>
      </c>
      <c r="P237" s="5">
        <f ca="1">SUM(OFFSET(Demand!$E246,0,(COLUMN(C234)-1)*5,1,3))*P$2</f>
        <v>0</v>
      </c>
      <c r="Q237" s="5">
        <f ca="1">SUM(OFFSET(Demand!$E246,0,(COLUMN(D234)-1)*5,1,3))*Q$2</f>
        <v>0</v>
      </c>
      <c r="R237" s="5">
        <f ca="1">SUM(OFFSET(Demand!$E246,0,(COLUMN(E234)-1)*5,1,3))*R$2</f>
        <v>0</v>
      </c>
      <c r="S237" s="5">
        <f ca="1">SUM(OFFSET(Demand!$E246,0,(COLUMN(F234)-1)*5,1,3))*S$2</f>
        <v>0</v>
      </c>
      <c r="T237" s="5">
        <f ca="1">SUM(OFFSET(Demand!$E246,0,(COLUMN(G234)-1)*5,1,3))*T$2</f>
        <v>0</v>
      </c>
      <c r="U237" s="5">
        <f ca="1">SUM(OFFSET(Demand!$E246,0,(COLUMN(H234)-1)*5,1,3))*U$2</f>
        <v>0</v>
      </c>
      <c r="V237" s="5">
        <f ca="1">SUM(OFFSET(Demand!$E246,0,(COLUMN(I234)-1)*5,1,3))*V$2</f>
        <v>0</v>
      </c>
      <c r="W237" s="5">
        <f ca="1">SUM(OFFSET(Demand!$E246,0,(COLUMN(J234)-1)*5,1,3))*W$2</f>
        <v>0</v>
      </c>
      <c r="X237" s="5">
        <f t="shared" ca="1" si="51"/>
        <v>0</v>
      </c>
      <c r="Y237">
        <f t="shared" ca="1" si="52"/>
        <v>0</v>
      </c>
      <c r="Z237" s="5">
        <f ca="1">SUM(OFFSET(Demand!$H246,0,(COLUMN(A234)-1)*5,1,1))*N$2</f>
        <v>0</v>
      </c>
      <c r="AA237" s="5">
        <f ca="1">SUM(OFFSET(Demand!$H246,0,(COLUMN(B234)-1)*5,1,1))*O$2</f>
        <v>0</v>
      </c>
      <c r="AB237" s="5">
        <f ca="1">SUM(OFFSET(Demand!$H246,0,(COLUMN(C234)-1)*5,1,1))*P$2</f>
        <v>0</v>
      </c>
      <c r="AC237" s="5">
        <f ca="1">SUM(OFFSET(Demand!$H246,0,(COLUMN(D234)-1)*5,1,1))*Q$2</f>
        <v>0</v>
      </c>
      <c r="AD237" s="5">
        <f ca="1">SUM(OFFSET(Demand!$H246,0,(COLUMN(E234)-1)*5,1,1))*R$2</f>
        <v>0</v>
      </c>
      <c r="AE237" s="5">
        <f ca="1">SUM(OFFSET(Demand!$H246,0,(COLUMN(F234)-1)*5,1,1))*S$2</f>
        <v>0</v>
      </c>
      <c r="AF237" s="5">
        <f ca="1">SUM(OFFSET(Demand!$H246,0,(COLUMN(G234)-1)*5,1,1))*T$2</f>
        <v>0</v>
      </c>
      <c r="AG237" s="5">
        <f ca="1">SUM(OFFSET(Demand!$H246,0,(COLUMN(H234)-1)*5,1,1))*U$2</f>
        <v>0</v>
      </c>
      <c r="AH237" s="5">
        <f ca="1">SUM(OFFSET(Demand!$H246,0,(COLUMN(I234)-1)*5,1,1))*V$2</f>
        <v>0</v>
      </c>
      <c r="AI237" s="5">
        <f ca="1">SUM(OFFSET(Demand!$H246,0,(COLUMN(J234)-1)*5,1,1))*W$2</f>
        <v>0</v>
      </c>
      <c r="AJ237" s="5">
        <f t="shared" ca="1" si="53"/>
        <v>0</v>
      </c>
      <c r="AL237" s="5">
        <f t="shared" ca="1" si="54"/>
        <v>0</v>
      </c>
      <c r="AM237" s="5">
        <f t="shared" ca="1" si="55"/>
        <v>0</v>
      </c>
      <c r="AN237" s="5" t="str">
        <f>IF(Demand!BE246="Yes","Yes","")</f>
        <v/>
      </c>
      <c r="AP237" s="36" t="str">
        <f ca="1">Demand!B246</f>
        <v xml:space="preserve"> </v>
      </c>
      <c r="AQ237" t="str">
        <f ca="1">IF(TEXT(Demand!D246,"MMM")&lt;&gt;TEXT(Demand!D245,"MMM"),TEXT(Demand!D246,"MMM"),"")</f>
        <v/>
      </c>
      <c r="AT237" s="5">
        <f t="shared" ca="1" si="56"/>
        <v>0</v>
      </c>
      <c r="BQ237">
        <f ca="1">IF($AN237="",OFFSET(Demand!$A$13,ROW(A234)-1,4+((QUOTIENT(COLUMN(BQ$2)-69,3))*5)+MOD(COLUMN(BQ$2),3),1,1),"")</f>
        <v>0</v>
      </c>
      <c r="BR237">
        <f ca="1">IF($AN237="",OFFSET(Demand!$A$13,ROW(B234)-1,4+((QUOTIENT(COLUMN(BR$2)-69,3))*5)+MOD(COLUMN(BR$2),3),1,1),"")</f>
        <v>0</v>
      </c>
      <c r="BS237">
        <f ca="1">IF($AN237="",OFFSET(Demand!$A$13,ROW(C234)-1,4+((QUOTIENT(COLUMN(BS$2)-69,3))*5)+MOD(COLUMN(BS$2),3),1,1),"")</f>
        <v>0</v>
      </c>
      <c r="BT237">
        <f ca="1">IF($AN237="",OFFSET(Demand!$A$13,ROW(D234)-1,4+((QUOTIENT(COLUMN(BT$2)-69,3))*5)+MOD(COLUMN(BT$2),3),1,1),"")</f>
        <v>0</v>
      </c>
      <c r="BU237">
        <f ca="1">IF($AN237="",OFFSET(Demand!$A$13,ROW(E234)-1,4+((QUOTIENT(COLUMN(BU$2)-69,3))*5)+MOD(COLUMN(BU$2),3),1,1),"")</f>
        <v>0</v>
      </c>
      <c r="BV237">
        <f ca="1">IF($AN237="",OFFSET(Demand!$A$13,ROW(F234)-1,4+((QUOTIENT(COLUMN(BV$2)-69,3))*5)+MOD(COLUMN(BV$2),3),1,1),"")</f>
        <v>0</v>
      </c>
      <c r="BW237">
        <f ca="1">IF($AN237="",OFFSET(Demand!$A$13,ROW(G234)-1,4+((QUOTIENT(COLUMN(BW$2)-69,3))*5)+MOD(COLUMN(BW$2),3),1,1),"")</f>
        <v>0</v>
      </c>
      <c r="BX237">
        <f ca="1">IF($AN237="",OFFSET(Demand!$A$13,ROW(H234)-1,4+((QUOTIENT(COLUMN(BX$2)-69,3))*5)+MOD(COLUMN(BX$2),3),1,1),"")</f>
        <v>0</v>
      </c>
      <c r="BY237">
        <f ca="1">IF($AN237="",OFFSET(Demand!$A$13,ROW(I234)-1,4+((QUOTIENT(COLUMN(BY$2)-69,3))*5)+MOD(COLUMN(BY$2),3),1,1),"")</f>
        <v>0</v>
      </c>
      <c r="BZ237">
        <f ca="1">IF($AN237="",OFFSET(Demand!$A$13,ROW(J234)-1,4+((QUOTIENT(COLUMN(BZ$2)-69,3))*5)+MOD(COLUMN(BZ$2),3),1,1),"")</f>
        <v>0</v>
      </c>
      <c r="CA237">
        <f ca="1">IF($AN237="",OFFSET(Demand!$A$13,ROW(K234)-1,4+((QUOTIENT(COLUMN(CA$2)-69,3))*5)+MOD(COLUMN(CA$2),3),1,1),"")</f>
        <v>0</v>
      </c>
      <c r="CB237">
        <f ca="1">IF($AN237="",OFFSET(Demand!$A$13,ROW(L234)-1,4+((QUOTIENT(COLUMN(CB$2)-69,3))*5)+MOD(COLUMN(CB$2),3),1,1),"")</f>
        <v>0</v>
      </c>
      <c r="CC237">
        <f ca="1">IF($AN237="",OFFSET(Demand!$A$13,ROW(M234)-1,4+((QUOTIENT(COLUMN(CC$2)-69,3))*5)+MOD(COLUMN(CC$2),3),1,1),"")</f>
        <v>0</v>
      </c>
      <c r="CD237">
        <f ca="1">IF($AN237="",OFFSET(Demand!$A$13,ROW(N234)-1,4+((QUOTIENT(COLUMN(CD$2)-69,3))*5)+MOD(COLUMN(CD$2),3),1,1),"")</f>
        <v>0</v>
      </c>
      <c r="CE237">
        <f ca="1">IF($AN237="",OFFSET(Demand!$A$13,ROW(O234)-1,4+((QUOTIENT(COLUMN(CE$2)-69,3))*5)+MOD(COLUMN(CE$2),3),1,1),"")</f>
        <v>0</v>
      </c>
      <c r="CF237">
        <f ca="1">IF($AN237="",OFFSET(Demand!$A$13,ROW(P234)-1,4+((QUOTIENT(COLUMN(CF$2)-69,3))*5)+MOD(COLUMN(CF$2),3),1,1),"")</f>
        <v>0</v>
      </c>
      <c r="CG237">
        <f ca="1">IF($AN237="",OFFSET(Demand!$A$13,ROW(Q234)-1,4+((QUOTIENT(COLUMN(CG$2)-69,3))*5)+MOD(COLUMN(CG$2),3),1,1),"")</f>
        <v>0</v>
      </c>
      <c r="CH237">
        <f ca="1">IF($AN237="",OFFSET(Demand!$A$13,ROW(R234)-1,4+((QUOTIENT(COLUMN(CH$2)-69,3))*5)+MOD(COLUMN(CH$2),3),1,1),"")</f>
        <v>0</v>
      </c>
      <c r="CI237">
        <f ca="1">IF($AN237="",OFFSET(Demand!$A$13,ROW(S234)-1,4+((QUOTIENT(COLUMN(CI$2)-69,3))*5)+MOD(COLUMN(CI$2),3),1,1),"")</f>
        <v>0</v>
      </c>
      <c r="CJ237">
        <f ca="1">IF($AN237="",OFFSET(Demand!$A$13,ROW(T234)-1,4+((QUOTIENT(COLUMN(CJ$2)-69,3))*5)+MOD(COLUMN(CJ$2),3),1,1),"")</f>
        <v>0</v>
      </c>
      <c r="CK237">
        <f ca="1">IF($AN237="",OFFSET(Demand!$A$13,ROW(U234)-1,4+((QUOTIENT(COLUMN(CK$2)-69,3))*5)+MOD(COLUMN(CK$2),3),1,1),"")</f>
        <v>0</v>
      </c>
      <c r="CL237">
        <f ca="1">IF($AN237="",OFFSET(Demand!$A$13,ROW(V234)-1,4+((QUOTIENT(COLUMN(CL$2)-69,3))*5)+MOD(COLUMN(CL$2),3),1,1),"")</f>
        <v>0</v>
      </c>
      <c r="CM237">
        <f ca="1">IF($AN237="",OFFSET(Demand!$A$13,ROW(W234)-1,4+((QUOTIENT(COLUMN(CM$2)-69,3))*5)+MOD(COLUMN(CM$2),3),1,1),"")</f>
        <v>0</v>
      </c>
      <c r="CN237">
        <f ca="1">IF($AN237="",OFFSET(Demand!$A$13,ROW(X234)-1,4+((QUOTIENT(COLUMN(CN$2)-69,3))*5)+MOD(COLUMN(CN$2),3),1,1),"")</f>
        <v>0</v>
      </c>
      <c r="CO237">
        <f ca="1">IF($AN237="",OFFSET(Demand!$A$13,ROW(Y234)-1,4+((QUOTIENT(COLUMN(CO$2)-69,3))*5)+MOD(COLUMN(CO$2),3),1,1),"")</f>
        <v>0</v>
      </c>
      <c r="CP237">
        <f ca="1">IF($AN237="",OFFSET(Demand!$A$13,ROW(Z234)-1,4+((QUOTIENT(COLUMN(CP$2)-69,3))*5)+MOD(COLUMN(CP$2),3),1,1),"")</f>
        <v>0</v>
      </c>
      <c r="CQ237">
        <f ca="1">IF($AN237="",OFFSET(Demand!$A$13,ROW(AA234)-1,4+((QUOTIENT(COLUMN(CQ$2)-69,3))*5)+MOD(COLUMN(CQ$2),3),1,1),"")</f>
        <v>0</v>
      </c>
      <c r="CR237">
        <f ca="1">IF($AN237="",OFFSET(Demand!$A$13,ROW(AB234)-1,4+((QUOTIENT(COLUMN(CR$2)-69,3))*5)+MOD(COLUMN(CR$2),3),1,1),"")</f>
        <v>0</v>
      </c>
      <c r="CS237">
        <f ca="1">IF($AN237="",OFFSET(Demand!$A$13,ROW(AC234)-1,4+((QUOTIENT(COLUMN(CS$2)-69,3))*5)+MOD(COLUMN(CS$2),3),1,1),"")</f>
        <v>0</v>
      </c>
      <c r="CT237">
        <f ca="1">IF($AN237="",OFFSET(Demand!$A$13,ROW(AD234)-1,4+((QUOTIENT(COLUMN(CT$2)-69,3))*5)+MOD(COLUMN(CT$2),3),1,1),"")</f>
        <v>0</v>
      </c>
      <c r="CW237" s="5">
        <f ca="1">SUM(OFFSET(Demand!$H$43,ROW(A234)-1,(COLUMN(A234)-1)*5,1,1))*N$2</f>
        <v>0</v>
      </c>
      <c r="CX237" s="5">
        <f ca="1">SUM(OFFSET(Demand!$H$43,ROW(B234)-1,(COLUMN(B234)-1)*5,1,1))*O$2</f>
        <v>0</v>
      </c>
      <c r="CY237" s="5">
        <f ca="1">SUM(OFFSET(Demand!$H$43,ROW(C234)-1,(COLUMN(C234)-1)*5,1,1))*P$2</f>
        <v>0</v>
      </c>
      <c r="CZ237" s="5">
        <f ca="1">SUM(OFFSET(Demand!$H$43,ROW(D234)-1,(COLUMN(D234)-1)*5,1,1))*Q$2</f>
        <v>0</v>
      </c>
      <c r="DA237" s="5">
        <f ca="1">SUM(OFFSET(Demand!$H$43,ROW(E234)-1,(COLUMN(E234)-1)*5,1,1))*R$2</f>
        <v>0</v>
      </c>
      <c r="DB237" s="5">
        <f ca="1">SUM(OFFSET(Demand!$H$43,ROW(F234)-1,(COLUMN(F234)-1)*5,1,1))*S$2</f>
        <v>0</v>
      </c>
      <c r="DC237" s="5">
        <f ca="1">SUM(OFFSET(Demand!$H$43,ROW(G234)-1,(COLUMN(G234)-1)*5,1,1))*T$2</f>
        <v>0</v>
      </c>
      <c r="DD237" s="5">
        <f ca="1">SUM(OFFSET(Demand!$H$43,ROW(H234)-1,(COLUMN(H234)-1)*5,1,1))*U$2</f>
        <v>0</v>
      </c>
      <c r="DE237" s="5">
        <f ca="1">SUM(OFFSET(Demand!$H$43,ROW(I234)-1,(COLUMN(I234)-1)*5,1,1))*V$2</f>
        <v>0</v>
      </c>
      <c r="DF237" s="5">
        <f ca="1">SUM(OFFSET(Demand!$H$43,ROW(J234)-1,(COLUMN(J234)-1)*5,1,1))*W$2</f>
        <v>0</v>
      </c>
      <c r="DG237" s="5">
        <f ca="1">IF(OR(AN237&lt;&gt;"",AND('Demand adjustments for Covid'!$F$9="Yes",'Demand adjustments for Covid'!$F$20="Yes")),"",SUM(CW237:DF237))</f>
        <v>0</v>
      </c>
    </row>
    <row r="238" spans="1:111" x14ac:dyDescent="0.25">
      <c r="A238" s="5">
        <f t="shared" ca="1" si="50"/>
        <v>1</v>
      </c>
      <c r="B238" s="5">
        <f ca="1">COUNTBLANK(OFFSET(Demand!$I247,0,(COLUMN(A235)-1)*5,1,1))</f>
        <v>1</v>
      </c>
      <c r="C238" s="5">
        <f ca="1">COUNTBLANK(OFFSET(Demand!$I247,0,(COLUMN(B235)-1)*5,1,1))</f>
        <v>1</v>
      </c>
      <c r="D238" s="5">
        <f ca="1">COUNTBLANK(OFFSET(Demand!$I247,0,(COLUMN(C235)-1)*5,1,1))</f>
        <v>1</v>
      </c>
      <c r="E238" s="5">
        <f ca="1">COUNTBLANK(OFFSET(Demand!$I247,0,(COLUMN(D235)-1)*5,1,1))</f>
        <v>1</v>
      </c>
      <c r="F238" s="5">
        <f ca="1">COUNTBLANK(OFFSET(Demand!$I247,0,(COLUMN(E235)-1)*5,1,1))</f>
        <v>1</v>
      </c>
      <c r="G238" s="5">
        <f ca="1">COUNTBLANK(OFFSET(Demand!$I247,0,(COLUMN(F235)-1)*5,1,1))</f>
        <v>1</v>
      </c>
      <c r="H238" s="5">
        <f ca="1">COUNTBLANK(OFFSET(Demand!$I247,0,(COLUMN(G235)-1)*5,1,1))</f>
        <v>1</v>
      </c>
      <c r="I238" s="5">
        <f ca="1">COUNTBLANK(OFFSET(Demand!$I247,0,(COLUMN(H235)-1)*5,1,1))</f>
        <v>1</v>
      </c>
      <c r="J238" s="5">
        <f ca="1">COUNTBLANK(OFFSET(Demand!$I247,0,(COLUMN(I235)-1)*5,1,1))</f>
        <v>1</v>
      </c>
      <c r="K238" s="5">
        <f ca="1">COUNTBLANK(OFFSET(Demand!$I247,0,(COLUMN(J235)-1)*5,1,1))</f>
        <v>1</v>
      </c>
      <c r="N238" s="5">
        <f ca="1">SUM(OFFSET(Demand!$E247,0,(COLUMN(A235)-1)*5,1,3))*N$2</f>
        <v>0</v>
      </c>
      <c r="O238" s="5">
        <f ca="1">SUM(OFFSET(Demand!$E247,0,(COLUMN(B235)-1)*5,1,3))*O$2</f>
        <v>0</v>
      </c>
      <c r="P238" s="5">
        <f ca="1">SUM(OFFSET(Demand!$E247,0,(COLUMN(C235)-1)*5,1,3))*P$2</f>
        <v>0</v>
      </c>
      <c r="Q238" s="5">
        <f ca="1">SUM(OFFSET(Demand!$E247,0,(COLUMN(D235)-1)*5,1,3))*Q$2</f>
        <v>0</v>
      </c>
      <c r="R238" s="5">
        <f ca="1">SUM(OFFSET(Demand!$E247,0,(COLUMN(E235)-1)*5,1,3))*R$2</f>
        <v>0</v>
      </c>
      <c r="S238" s="5">
        <f ca="1">SUM(OFFSET(Demand!$E247,0,(COLUMN(F235)-1)*5,1,3))*S$2</f>
        <v>0</v>
      </c>
      <c r="T238" s="5">
        <f ca="1">SUM(OFFSET(Demand!$E247,0,(COLUMN(G235)-1)*5,1,3))*T$2</f>
        <v>0</v>
      </c>
      <c r="U238" s="5">
        <f ca="1">SUM(OFFSET(Demand!$E247,0,(COLUMN(H235)-1)*5,1,3))*U$2</f>
        <v>0</v>
      </c>
      <c r="V238" s="5">
        <f ca="1">SUM(OFFSET(Demand!$E247,0,(COLUMN(I235)-1)*5,1,3))*V$2</f>
        <v>0</v>
      </c>
      <c r="W238" s="5">
        <f ca="1">SUM(OFFSET(Demand!$E247,0,(COLUMN(J235)-1)*5,1,3))*W$2</f>
        <v>0</v>
      </c>
      <c r="X238" s="5">
        <f t="shared" ca="1" si="51"/>
        <v>0</v>
      </c>
      <c r="Y238">
        <f t="shared" ca="1" si="52"/>
        <v>0</v>
      </c>
      <c r="Z238" s="5">
        <f ca="1">SUM(OFFSET(Demand!$H247,0,(COLUMN(A235)-1)*5,1,1))*N$2</f>
        <v>0</v>
      </c>
      <c r="AA238" s="5">
        <f ca="1">SUM(OFFSET(Demand!$H247,0,(COLUMN(B235)-1)*5,1,1))*O$2</f>
        <v>0</v>
      </c>
      <c r="AB238" s="5">
        <f ca="1">SUM(OFFSET(Demand!$H247,0,(COLUMN(C235)-1)*5,1,1))*P$2</f>
        <v>0</v>
      </c>
      <c r="AC238" s="5">
        <f ca="1">SUM(OFFSET(Demand!$H247,0,(COLUMN(D235)-1)*5,1,1))*Q$2</f>
        <v>0</v>
      </c>
      <c r="AD238" s="5">
        <f ca="1">SUM(OFFSET(Demand!$H247,0,(COLUMN(E235)-1)*5,1,1))*R$2</f>
        <v>0</v>
      </c>
      <c r="AE238" s="5">
        <f ca="1">SUM(OFFSET(Demand!$H247,0,(COLUMN(F235)-1)*5,1,1))*S$2</f>
        <v>0</v>
      </c>
      <c r="AF238" s="5">
        <f ca="1">SUM(OFFSET(Demand!$H247,0,(COLUMN(G235)-1)*5,1,1))*T$2</f>
        <v>0</v>
      </c>
      <c r="AG238" s="5">
        <f ca="1">SUM(OFFSET(Demand!$H247,0,(COLUMN(H235)-1)*5,1,1))*U$2</f>
        <v>0</v>
      </c>
      <c r="AH238" s="5">
        <f ca="1">SUM(OFFSET(Demand!$H247,0,(COLUMN(I235)-1)*5,1,1))*V$2</f>
        <v>0</v>
      </c>
      <c r="AI238" s="5">
        <f ca="1">SUM(OFFSET(Demand!$H247,0,(COLUMN(J235)-1)*5,1,1))*W$2</f>
        <v>0</v>
      </c>
      <c r="AJ238" s="5">
        <f t="shared" ca="1" si="53"/>
        <v>0</v>
      </c>
      <c r="AL238" s="5">
        <f t="shared" ca="1" si="54"/>
        <v>0</v>
      </c>
      <c r="AM238" s="5">
        <f t="shared" ca="1" si="55"/>
        <v>0</v>
      </c>
      <c r="AN238" s="5" t="str">
        <f>IF(Demand!BE247="Yes","Yes","")</f>
        <v/>
      </c>
      <c r="AP238" s="36" t="str">
        <f ca="1">Demand!B247</f>
        <v xml:space="preserve"> </v>
      </c>
      <c r="AQ238" t="str">
        <f ca="1">IF(TEXT(Demand!D247,"MMM")&lt;&gt;TEXT(Demand!D246,"MMM"),TEXT(Demand!D247,"MMM"),"")</f>
        <v/>
      </c>
      <c r="AT238" s="5">
        <f t="shared" ca="1" si="56"/>
        <v>0</v>
      </c>
      <c r="BQ238">
        <f ca="1">IF($AN238="",OFFSET(Demand!$A$13,ROW(A235)-1,4+((QUOTIENT(COLUMN(BQ$2)-69,3))*5)+MOD(COLUMN(BQ$2),3),1,1),"")</f>
        <v>0</v>
      </c>
      <c r="BR238">
        <f ca="1">IF($AN238="",OFFSET(Demand!$A$13,ROW(B235)-1,4+((QUOTIENT(COLUMN(BR$2)-69,3))*5)+MOD(COLUMN(BR$2),3),1,1),"")</f>
        <v>0</v>
      </c>
      <c r="BS238">
        <f ca="1">IF($AN238="",OFFSET(Demand!$A$13,ROW(C235)-1,4+((QUOTIENT(COLUMN(BS$2)-69,3))*5)+MOD(COLUMN(BS$2),3),1,1),"")</f>
        <v>0</v>
      </c>
      <c r="BT238">
        <f ca="1">IF($AN238="",OFFSET(Demand!$A$13,ROW(D235)-1,4+((QUOTIENT(COLUMN(BT$2)-69,3))*5)+MOD(COLUMN(BT$2),3),1,1),"")</f>
        <v>0</v>
      </c>
      <c r="BU238">
        <f ca="1">IF($AN238="",OFFSET(Demand!$A$13,ROW(E235)-1,4+((QUOTIENT(COLUMN(BU$2)-69,3))*5)+MOD(COLUMN(BU$2),3),1,1),"")</f>
        <v>0</v>
      </c>
      <c r="BV238">
        <f ca="1">IF($AN238="",OFFSET(Demand!$A$13,ROW(F235)-1,4+((QUOTIENT(COLUMN(BV$2)-69,3))*5)+MOD(COLUMN(BV$2),3),1,1),"")</f>
        <v>0</v>
      </c>
      <c r="BW238">
        <f ca="1">IF($AN238="",OFFSET(Demand!$A$13,ROW(G235)-1,4+((QUOTIENT(COLUMN(BW$2)-69,3))*5)+MOD(COLUMN(BW$2),3),1,1),"")</f>
        <v>0</v>
      </c>
      <c r="BX238">
        <f ca="1">IF($AN238="",OFFSET(Demand!$A$13,ROW(H235)-1,4+((QUOTIENT(COLUMN(BX$2)-69,3))*5)+MOD(COLUMN(BX$2),3),1,1),"")</f>
        <v>0</v>
      </c>
      <c r="BY238">
        <f ca="1">IF($AN238="",OFFSET(Demand!$A$13,ROW(I235)-1,4+((QUOTIENT(COLUMN(BY$2)-69,3))*5)+MOD(COLUMN(BY$2),3),1,1),"")</f>
        <v>0</v>
      </c>
      <c r="BZ238">
        <f ca="1">IF($AN238="",OFFSET(Demand!$A$13,ROW(J235)-1,4+((QUOTIENT(COLUMN(BZ$2)-69,3))*5)+MOD(COLUMN(BZ$2),3),1,1),"")</f>
        <v>0</v>
      </c>
      <c r="CA238">
        <f ca="1">IF($AN238="",OFFSET(Demand!$A$13,ROW(K235)-1,4+((QUOTIENT(COLUMN(CA$2)-69,3))*5)+MOD(COLUMN(CA$2),3),1,1),"")</f>
        <v>0</v>
      </c>
      <c r="CB238">
        <f ca="1">IF($AN238="",OFFSET(Demand!$A$13,ROW(L235)-1,4+((QUOTIENT(COLUMN(CB$2)-69,3))*5)+MOD(COLUMN(CB$2),3),1,1),"")</f>
        <v>0</v>
      </c>
      <c r="CC238">
        <f ca="1">IF($AN238="",OFFSET(Demand!$A$13,ROW(M235)-1,4+((QUOTIENT(COLUMN(CC$2)-69,3))*5)+MOD(COLUMN(CC$2),3),1,1),"")</f>
        <v>0</v>
      </c>
      <c r="CD238">
        <f ca="1">IF($AN238="",OFFSET(Demand!$A$13,ROW(N235)-1,4+((QUOTIENT(COLUMN(CD$2)-69,3))*5)+MOD(COLUMN(CD$2),3),1,1),"")</f>
        <v>0</v>
      </c>
      <c r="CE238">
        <f ca="1">IF($AN238="",OFFSET(Demand!$A$13,ROW(O235)-1,4+((QUOTIENT(COLUMN(CE$2)-69,3))*5)+MOD(COLUMN(CE$2),3),1,1),"")</f>
        <v>0</v>
      </c>
      <c r="CF238">
        <f ca="1">IF($AN238="",OFFSET(Demand!$A$13,ROW(P235)-1,4+((QUOTIENT(COLUMN(CF$2)-69,3))*5)+MOD(COLUMN(CF$2),3),1,1),"")</f>
        <v>0</v>
      </c>
      <c r="CG238">
        <f ca="1">IF($AN238="",OFFSET(Demand!$A$13,ROW(Q235)-1,4+((QUOTIENT(COLUMN(CG$2)-69,3))*5)+MOD(COLUMN(CG$2),3),1,1),"")</f>
        <v>0</v>
      </c>
      <c r="CH238">
        <f ca="1">IF($AN238="",OFFSET(Demand!$A$13,ROW(R235)-1,4+((QUOTIENT(COLUMN(CH$2)-69,3))*5)+MOD(COLUMN(CH$2),3),1,1),"")</f>
        <v>0</v>
      </c>
      <c r="CI238">
        <f ca="1">IF($AN238="",OFFSET(Demand!$A$13,ROW(S235)-1,4+((QUOTIENT(COLUMN(CI$2)-69,3))*5)+MOD(COLUMN(CI$2),3),1,1),"")</f>
        <v>0</v>
      </c>
      <c r="CJ238">
        <f ca="1">IF($AN238="",OFFSET(Demand!$A$13,ROW(T235)-1,4+((QUOTIENT(COLUMN(CJ$2)-69,3))*5)+MOD(COLUMN(CJ$2),3),1,1),"")</f>
        <v>0</v>
      </c>
      <c r="CK238">
        <f ca="1">IF($AN238="",OFFSET(Demand!$A$13,ROW(U235)-1,4+((QUOTIENT(COLUMN(CK$2)-69,3))*5)+MOD(COLUMN(CK$2),3),1,1),"")</f>
        <v>0</v>
      </c>
      <c r="CL238">
        <f ca="1">IF($AN238="",OFFSET(Demand!$A$13,ROW(V235)-1,4+((QUOTIENT(COLUMN(CL$2)-69,3))*5)+MOD(COLUMN(CL$2),3),1,1),"")</f>
        <v>0</v>
      </c>
      <c r="CM238">
        <f ca="1">IF($AN238="",OFFSET(Demand!$A$13,ROW(W235)-1,4+((QUOTIENT(COLUMN(CM$2)-69,3))*5)+MOD(COLUMN(CM$2),3),1,1),"")</f>
        <v>0</v>
      </c>
      <c r="CN238">
        <f ca="1">IF($AN238="",OFFSET(Demand!$A$13,ROW(X235)-1,4+((QUOTIENT(COLUMN(CN$2)-69,3))*5)+MOD(COLUMN(CN$2),3),1,1),"")</f>
        <v>0</v>
      </c>
      <c r="CO238">
        <f ca="1">IF($AN238="",OFFSET(Demand!$A$13,ROW(Y235)-1,4+((QUOTIENT(COLUMN(CO$2)-69,3))*5)+MOD(COLUMN(CO$2),3),1,1),"")</f>
        <v>0</v>
      </c>
      <c r="CP238">
        <f ca="1">IF($AN238="",OFFSET(Demand!$A$13,ROW(Z235)-1,4+((QUOTIENT(COLUMN(CP$2)-69,3))*5)+MOD(COLUMN(CP$2),3),1,1),"")</f>
        <v>0</v>
      </c>
      <c r="CQ238">
        <f ca="1">IF($AN238="",OFFSET(Demand!$A$13,ROW(AA235)-1,4+((QUOTIENT(COLUMN(CQ$2)-69,3))*5)+MOD(COLUMN(CQ$2),3),1,1),"")</f>
        <v>0</v>
      </c>
      <c r="CR238">
        <f ca="1">IF($AN238="",OFFSET(Demand!$A$13,ROW(AB235)-1,4+((QUOTIENT(COLUMN(CR$2)-69,3))*5)+MOD(COLUMN(CR$2),3),1,1),"")</f>
        <v>0</v>
      </c>
      <c r="CS238">
        <f ca="1">IF($AN238="",OFFSET(Demand!$A$13,ROW(AC235)-1,4+((QUOTIENT(COLUMN(CS$2)-69,3))*5)+MOD(COLUMN(CS$2),3),1,1),"")</f>
        <v>0</v>
      </c>
      <c r="CT238">
        <f ca="1">IF($AN238="",OFFSET(Demand!$A$13,ROW(AD235)-1,4+((QUOTIENT(COLUMN(CT$2)-69,3))*5)+MOD(COLUMN(CT$2),3),1,1),"")</f>
        <v>0</v>
      </c>
      <c r="CW238" s="5">
        <f ca="1">SUM(OFFSET(Demand!$H$43,ROW(A235)-1,(COLUMN(A235)-1)*5,1,1))*N$2</f>
        <v>0</v>
      </c>
      <c r="CX238" s="5">
        <f ca="1">SUM(OFFSET(Demand!$H$43,ROW(B235)-1,(COLUMN(B235)-1)*5,1,1))*O$2</f>
        <v>0</v>
      </c>
      <c r="CY238" s="5">
        <f ca="1">SUM(OFFSET(Demand!$H$43,ROW(C235)-1,(COLUMN(C235)-1)*5,1,1))*P$2</f>
        <v>0</v>
      </c>
      <c r="CZ238" s="5">
        <f ca="1">SUM(OFFSET(Demand!$H$43,ROW(D235)-1,(COLUMN(D235)-1)*5,1,1))*Q$2</f>
        <v>0</v>
      </c>
      <c r="DA238" s="5">
        <f ca="1">SUM(OFFSET(Demand!$H$43,ROW(E235)-1,(COLUMN(E235)-1)*5,1,1))*R$2</f>
        <v>0</v>
      </c>
      <c r="DB238" s="5">
        <f ca="1">SUM(OFFSET(Demand!$H$43,ROW(F235)-1,(COLUMN(F235)-1)*5,1,1))*S$2</f>
        <v>0</v>
      </c>
      <c r="DC238" s="5">
        <f ca="1">SUM(OFFSET(Demand!$H$43,ROW(G235)-1,(COLUMN(G235)-1)*5,1,1))*T$2</f>
        <v>0</v>
      </c>
      <c r="DD238" s="5">
        <f ca="1">SUM(OFFSET(Demand!$H$43,ROW(H235)-1,(COLUMN(H235)-1)*5,1,1))*U$2</f>
        <v>0</v>
      </c>
      <c r="DE238" s="5">
        <f ca="1">SUM(OFFSET(Demand!$H$43,ROW(I235)-1,(COLUMN(I235)-1)*5,1,1))*V$2</f>
        <v>0</v>
      </c>
      <c r="DF238" s="5">
        <f ca="1">SUM(OFFSET(Demand!$H$43,ROW(J235)-1,(COLUMN(J235)-1)*5,1,1))*W$2</f>
        <v>0</v>
      </c>
      <c r="DG238" s="5">
        <f ca="1">IF(OR(AN238&lt;&gt;"",AND('Demand adjustments for Covid'!$F$9="Yes",'Demand adjustments for Covid'!$F$20="Yes")),"",SUM(CW238:DF238))</f>
        <v>0</v>
      </c>
    </row>
    <row r="239" spans="1:111" x14ac:dyDescent="0.25">
      <c r="A239" s="5">
        <f t="shared" ca="1" si="50"/>
        <v>1</v>
      </c>
      <c r="B239" s="5">
        <f ca="1">COUNTBLANK(OFFSET(Demand!$I248,0,(COLUMN(A236)-1)*5,1,1))</f>
        <v>1</v>
      </c>
      <c r="C239" s="5">
        <f ca="1">COUNTBLANK(OFFSET(Demand!$I248,0,(COLUMN(B236)-1)*5,1,1))</f>
        <v>1</v>
      </c>
      <c r="D239" s="5">
        <f ca="1">COUNTBLANK(OFFSET(Demand!$I248,0,(COLUMN(C236)-1)*5,1,1))</f>
        <v>1</v>
      </c>
      <c r="E239" s="5">
        <f ca="1">COUNTBLANK(OFFSET(Demand!$I248,0,(COLUMN(D236)-1)*5,1,1))</f>
        <v>1</v>
      </c>
      <c r="F239" s="5">
        <f ca="1">COUNTBLANK(OFFSET(Demand!$I248,0,(COLUMN(E236)-1)*5,1,1))</f>
        <v>1</v>
      </c>
      <c r="G239" s="5">
        <f ca="1">COUNTBLANK(OFFSET(Demand!$I248,0,(COLUMN(F236)-1)*5,1,1))</f>
        <v>1</v>
      </c>
      <c r="H239" s="5">
        <f ca="1">COUNTBLANK(OFFSET(Demand!$I248,0,(COLUMN(G236)-1)*5,1,1))</f>
        <v>1</v>
      </c>
      <c r="I239" s="5">
        <f ca="1">COUNTBLANK(OFFSET(Demand!$I248,0,(COLUMN(H236)-1)*5,1,1))</f>
        <v>1</v>
      </c>
      <c r="J239" s="5">
        <f ca="1">COUNTBLANK(OFFSET(Demand!$I248,0,(COLUMN(I236)-1)*5,1,1))</f>
        <v>1</v>
      </c>
      <c r="K239" s="5">
        <f ca="1">COUNTBLANK(OFFSET(Demand!$I248,0,(COLUMN(J236)-1)*5,1,1))</f>
        <v>1</v>
      </c>
      <c r="N239" s="5">
        <f ca="1">SUM(OFFSET(Demand!$E248,0,(COLUMN(A236)-1)*5,1,3))*N$2</f>
        <v>0</v>
      </c>
      <c r="O239" s="5">
        <f ca="1">SUM(OFFSET(Demand!$E248,0,(COLUMN(B236)-1)*5,1,3))*O$2</f>
        <v>0</v>
      </c>
      <c r="P239" s="5">
        <f ca="1">SUM(OFFSET(Demand!$E248,0,(COLUMN(C236)-1)*5,1,3))*P$2</f>
        <v>0</v>
      </c>
      <c r="Q239" s="5">
        <f ca="1">SUM(OFFSET(Demand!$E248,0,(COLUMN(D236)-1)*5,1,3))*Q$2</f>
        <v>0</v>
      </c>
      <c r="R239" s="5">
        <f ca="1">SUM(OFFSET(Demand!$E248,0,(COLUMN(E236)-1)*5,1,3))*R$2</f>
        <v>0</v>
      </c>
      <c r="S239" s="5">
        <f ca="1">SUM(OFFSET(Demand!$E248,0,(COLUMN(F236)-1)*5,1,3))*S$2</f>
        <v>0</v>
      </c>
      <c r="T239" s="5">
        <f ca="1">SUM(OFFSET(Demand!$E248,0,(COLUMN(G236)-1)*5,1,3))*T$2</f>
        <v>0</v>
      </c>
      <c r="U239" s="5">
        <f ca="1">SUM(OFFSET(Demand!$E248,0,(COLUMN(H236)-1)*5,1,3))*U$2</f>
        <v>0</v>
      </c>
      <c r="V239" s="5">
        <f ca="1">SUM(OFFSET(Demand!$E248,0,(COLUMN(I236)-1)*5,1,3))*V$2</f>
        <v>0</v>
      </c>
      <c r="W239" s="5">
        <f ca="1">SUM(OFFSET(Demand!$E248,0,(COLUMN(J236)-1)*5,1,3))*W$2</f>
        <v>0</v>
      </c>
      <c r="X239" s="5">
        <f t="shared" ca="1" si="51"/>
        <v>0</v>
      </c>
      <c r="Y239">
        <f t="shared" ca="1" si="52"/>
        <v>0</v>
      </c>
      <c r="Z239" s="5">
        <f ca="1">SUM(OFFSET(Demand!$H248,0,(COLUMN(A236)-1)*5,1,1))*N$2</f>
        <v>0</v>
      </c>
      <c r="AA239" s="5">
        <f ca="1">SUM(OFFSET(Demand!$H248,0,(COLUMN(B236)-1)*5,1,1))*O$2</f>
        <v>0</v>
      </c>
      <c r="AB239" s="5">
        <f ca="1">SUM(OFFSET(Demand!$H248,0,(COLUMN(C236)-1)*5,1,1))*P$2</f>
        <v>0</v>
      </c>
      <c r="AC239" s="5">
        <f ca="1">SUM(OFFSET(Demand!$H248,0,(COLUMN(D236)-1)*5,1,1))*Q$2</f>
        <v>0</v>
      </c>
      <c r="AD239" s="5">
        <f ca="1">SUM(OFFSET(Demand!$H248,0,(COLUMN(E236)-1)*5,1,1))*R$2</f>
        <v>0</v>
      </c>
      <c r="AE239" s="5">
        <f ca="1">SUM(OFFSET(Demand!$H248,0,(COLUMN(F236)-1)*5,1,1))*S$2</f>
        <v>0</v>
      </c>
      <c r="AF239" s="5">
        <f ca="1">SUM(OFFSET(Demand!$H248,0,(COLUMN(G236)-1)*5,1,1))*T$2</f>
        <v>0</v>
      </c>
      <c r="AG239" s="5">
        <f ca="1">SUM(OFFSET(Demand!$H248,0,(COLUMN(H236)-1)*5,1,1))*U$2</f>
        <v>0</v>
      </c>
      <c r="AH239" s="5">
        <f ca="1">SUM(OFFSET(Demand!$H248,0,(COLUMN(I236)-1)*5,1,1))*V$2</f>
        <v>0</v>
      </c>
      <c r="AI239" s="5">
        <f ca="1">SUM(OFFSET(Demand!$H248,0,(COLUMN(J236)-1)*5,1,1))*W$2</f>
        <v>0</v>
      </c>
      <c r="AJ239" s="5">
        <f t="shared" ca="1" si="53"/>
        <v>0</v>
      </c>
      <c r="AL239" s="5">
        <f t="shared" ca="1" si="54"/>
        <v>0</v>
      </c>
      <c r="AM239" s="5">
        <f t="shared" ca="1" si="55"/>
        <v>0</v>
      </c>
      <c r="AN239" s="5" t="str">
        <f>IF(Demand!BE248="Yes","Yes","")</f>
        <v/>
      </c>
      <c r="AP239" s="36" t="str">
        <f ca="1">Demand!B248</f>
        <v xml:space="preserve"> </v>
      </c>
      <c r="AQ239" t="str">
        <f ca="1">IF(TEXT(Demand!D248,"MMM")&lt;&gt;TEXT(Demand!D247,"MMM"),TEXT(Demand!D248,"MMM"),"")</f>
        <v/>
      </c>
      <c r="AT239" s="5">
        <f t="shared" ca="1" si="56"/>
        <v>0</v>
      </c>
      <c r="BQ239">
        <f ca="1">IF($AN239="",OFFSET(Demand!$A$13,ROW(A236)-1,4+((QUOTIENT(COLUMN(BQ$2)-69,3))*5)+MOD(COLUMN(BQ$2),3),1,1),"")</f>
        <v>0</v>
      </c>
      <c r="BR239">
        <f ca="1">IF($AN239="",OFFSET(Demand!$A$13,ROW(B236)-1,4+((QUOTIENT(COLUMN(BR$2)-69,3))*5)+MOD(COLUMN(BR$2),3),1,1),"")</f>
        <v>0</v>
      </c>
      <c r="BS239">
        <f ca="1">IF($AN239="",OFFSET(Demand!$A$13,ROW(C236)-1,4+((QUOTIENT(COLUMN(BS$2)-69,3))*5)+MOD(COLUMN(BS$2),3),1,1),"")</f>
        <v>0</v>
      </c>
      <c r="BT239">
        <f ca="1">IF($AN239="",OFFSET(Demand!$A$13,ROW(D236)-1,4+((QUOTIENT(COLUMN(BT$2)-69,3))*5)+MOD(COLUMN(BT$2),3),1,1),"")</f>
        <v>0</v>
      </c>
      <c r="BU239">
        <f ca="1">IF($AN239="",OFFSET(Demand!$A$13,ROW(E236)-1,4+((QUOTIENT(COLUMN(BU$2)-69,3))*5)+MOD(COLUMN(BU$2),3),1,1),"")</f>
        <v>0</v>
      </c>
      <c r="BV239">
        <f ca="1">IF($AN239="",OFFSET(Demand!$A$13,ROW(F236)-1,4+((QUOTIENT(COLUMN(BV$2)-69,3))*5)+MOD(COLUMN(BV$2),3),1,1),"")</f>
        <v>0</v>
      </c>
      <c r="BW239">
        <f ca="1">IF($AN239="",OFFSET(Demand!$A$13,ROW(G236)-1,4+((QUOTIENT(COLUMN(BW$2)-69,3))*5)+MOD(COLUMN(BW$2),3),1,1),"")</f>
        <v>0</v>
      </c>
      <c r="BX239">
        <f ca="1">IF($AN239="",OFFSET(Demand!$A$13,ROW(H236)-1,4+((QUOTIENT(COLUMN(BX$2)-69,3))*5)+MOD(COLUMN(BX$2),3),1,1),"")</f>
        <v>0</v>
      </c>
      <c r="BY239">
        <f ca="1">IF($AN239="",OFFSET(Demand!$A$13,ROW(I236)-1,4+((QUOTIENT(COLUMN(BY$2)-69,3))*5)+MOD(COLUMN(BY$2),3),1,1),"")</f>
        <v>0</v>
      </c>
      <c r="BZ239">
        <f ca="1">IF($AN239="",OFFSET(Demand!$A$13,ROW(J236)-1,4+((QUOTIENT(COLUMN(BZ$2)-69,3))*5)+MOD(COLUMN(BZ$2),3),1,1),"")</f>
        <v>0</v>
      </c>
      <c r="CA239">
        <f ca="1">IF($AN239="",OFFSET(Demand!$A$13,ROW(K236)-1,4+((QUOTIENT(COLUMN(CA$2)-69,3))*5)+MOD(COLUMN(CA$2),3),1,1),"")</f>
        <v>0</v>
      </c>
      <c r="CB239">
        <f ca="1">IF($AN239="",OFFSET(Demand!$A$13,ROW(L236)-1,4+((QUOTIENT(COLUMN(CB$2)-69,3))*5)+MOD(COLUMN(CB$2),3),1,1),"")</f>
        <v>0</v>
      </c>
      <c r="CC239">
        <f ca="1">IF($AN239="",OFFSET(Demand!$A$13,ROW(M236)-1,4+((QUOTIENT(COLUMN(CC$2)-69,3))*5)+MOD(COLUMN(CC$2),3),1,1),"")</f>
        <v>0</v>
      </c>
      <c r="CD239">
        <f ca="1">IF($AN239="",OFFSET(Demand!$A$13,ROW(N236)-1,4+((QUOTIENT(COLUMN(CD$2)-69,3))*5)+MOD(COLUMN(CD$2),3),1,1),"")</f>
        <v>0</v>
      </c>
      <c r="CE239">
        <f ca="1">IF($AN239="",OFFSET(Demand!$A$13,ROW(O236)-1,4+((QUOTIENT(COLUMN(CE$2)-69,3))*5)+MOD(COLUMN(CE$2),3),1,1),"")</f>
        <v>0</v>
      </c>
      <c r="CF239">
        <f ca="1">IF($AN239="",OFFSET(Demand!$A$13,ROW(P236)-1,4+((QUOTIENT(COLUMN(CF$2)-69,3))*5)+MOD(COLUMN(CF$2),3),1,1),"")</f>
        <v>0</v>
      </c>
      <c r="CG239">
        <f ca="1">IF($AN239="",OFFSET(Demand!$A$13,ROW(Q236)-1,4+((QUOTIENT(COLUMN(CG$2)-69,3))*5)+MOD(COLUMN(CG$2),3),1,1),"")</f>
        <v>0</v>
      </c>
      <c r="CH239">
        <f ca="1">IF($AN239="",OFFSET(Demand!$A$13,ROW(R236)-1,4+((QUOTIENT(COLUMN(CH$2)-69,3))*5)+MOD(COLUMN(CH$2),3),1,1),"")</f>
        <v>0</v>
      </c>
      <c r="CI239">
        <f ca="1">IF($AN239="",OFFSET(Demand!$A$13,ROW(S236)-1,4+((QUOTIENT(COLUMN(CI$2)-69,3))*5)+MOD(COLUMN(CI$2),3),1,1),"")</f>
        <v>0</v>
      </c>
      <c r="CJ239">
        <f ca="1">IF($AN239="",OFFSET(Demand!$A$13,ROW(T236)-1,4+((QUOTIENT(COLUMN(CJ$2)-69,3))*5)+MOD(COLUMN(CJ$2),3),1,1),"")</f>
        <v>0</v>
      </c>
      <c r="CK239">
        <f ca="1">IF($AN239="",OFFSET(Demand!$A$13,ROW(U236)-1,4+((QUOTIENT(COLUMN(CK$2)-69,3))*5)+MOD(COLUMN(CK$2),3),1,1),"")</f>
        <v>0</v>
      </c>
      <c r="CL239">
        <f ca="1">IF($AN239="",OFFSET(Demand!$A$13,ROW(V236)-1,4+((QUOTIENT(COLUMN(CL$2)-69,3))*5)+MOD(COLUMN(CL$2),3),1,1),"")</f>
        <v>0</v>
      </c>
      <c r="CM239">
        <f ca="1">IF($AN239="",OFFSET(Demand!$A$13,ROW(W236)-1,4+((QUOTIENT(COLUMN(CM$2)-69,3))*5)+MOD(COLUMN(CM$2),3),1,1),"")</f>
        <v>0</v>
      </c>
      <c r="CN239">
        <f ca="1">IF($AN239="",OFFSET(Demand!$A$13,ROW(X236)-1,4+((QUOTIENT(COLUMN(CN$2)-69,3))*5)+MOD(COLUMN(CN$2),3),1,1),"")</f>
        <v>0</v>
      </c>
      <c r="CO239">
        <f ca="1">IF($AN239="",OFFSET(Demand!$A$13,ROW(Y236)-1,4+((QUOTIENT(COLUMN(CO$2)-69,3))*5)+MOD(COLUMN(CO$2),3),1,1),"")</f>
        <v>0</v>
      </c>
      <c r="CP239">
        <f ca="1">IF($AN239="",OFFSET(Demand!$A$13,ROW(Z236)-1,4+((QUOTIENT(COLUMN(CP$2)-69,3))*5)+MOD(COLUMN(CP$2),3),1,1),"")</f>
        <v>0</v>
      </c>
      <c r="CQ239">
        <f ca="1">IF($AN239="",OFFSET(Demand!$A$13,ROW(AA236)-1,4+((QUOTIENT(COLUMN(CQ$2)-69,3))*5)+MOD(COLUMN(CQ$2),3),1,1),"")</f>
        <v>0</v>
      </c>
      <c r="CR239">
        <f ca="1">IF($AN239="",OFFSET(Demand!$A$13,ROW(AB236)-1,4+((QUOTIENT(COLUMN(CR$2)-69,3))*5)+MOD(COLUMN(CR$2),3),1,1),"")</f>
        <v>0</v>
      </c>
      <c r="CS239">
        <f ca="1">IF($AN239="",OFFSET(Demand!$A$13,ROW(AC236)-1,4+((QUOTIENT(COLUMN(CS$2)-69,3))*5)+MOD(COLUMN(CS$2),3),1,1),"")</f>
        <v>0</v>
      </c>
      <c r="CT239">
        <f ca="1">IF($AN239="",OFFSET(Demand!$A$13,ROW(AD236)-1,4+((QUOTIENT(COLUMN(CT$2)-69,3))*5)+MOD(COLUMN(CT$2),3),1,1),"")</f>
        <v>0</v>
      </c>
      <c r="CW239" s="5">
        <f ca="1">SUM(OFFSET(Demand!$H$43,ROW(A236)-1,(COLUMN(A236)-1)*5,1,1))*N$2</f>
        <v>0</v>
      </c>
      <c r="CX239" s="5">
        <f ca="1">SUM(OFFSET(Demand!$H$43,ROW(B236)-1,(COLUMN(B236)-1)*5,1,1))*O$2</f>
        <v>0</v>
      </c>
      <c r="CY239" s="5">
        <f ca="1">SUM(OFFSET(Demand!$H$43,ROW(C236)-1,(COLUMN(C236)-1)*5,1,1))*P$2</f>
        <v>0</v>
      </c>
      <c r="CZ239" s="5">
        <f ca="1">SUM(OFFSET(Demand!$H$43,ROW(D236)-1,(COLUMN(D236)-1)*5,1,1))*Q$2</f>
        <v>0</v>
      </c>
      <c r="DA239" s="5">
        <f ca="1">SUM(OFFSET(Demand!$H$43,ROW(E236)-1,(COLUMN(E236)-1)*5,1,1))*R$2</f>
        <v>0</v>
      </c>
      <c r="DB239" s="5">
        <f ca="1">SUM(OFFSET(Demand!$H$43,ROW(F236)-1,(COLUMN(F236)-1)*5,1,1))*S$2</f>
        <v>0</v>
      </c>
      <c r="DC239" s="5">
        <f ca="1">SUM(OFFSET(Demand!$H$43,ROW(G236)-1,(COLUMN(G236)-1)*5,1,1))*T$2</f>
        <v>0</v>
      </c>
      <c r="DD239" s="5">
        <f ca="1">SUM(OFFSET(Demand!$H$43,ROW(H236)-1,(COLUMN(H236)-1)*5,1,1))*U$2</f>
        <v>0</v>
      </c>
      <c r="DE239" s="5">
        <f ca="1">SUM(OFFSET(Demand!$H$43,ROW(I236)-1,(COLUMN(I236)-1)*5,1,1))*V$2</f>
        <v>0</v>
      </c>
      <c r="DF239" s="5">
        <f ca="1">SUM(OFFSET(Demand!$H$43,ROW(J236)-1,(COLUMN(J236)-1)*5,1,1))*W$2</f>
        <v>0</v>
      </c>
      <c r="DG239" s="5">
        <f ca="1">IF(OR(AN239&lt;&gt;"",AND('Demand adjustments for Covid'!$F$9="Yes",'Demand adjustments for Covid'!$F$20="Yes")),"",SUM(CW239:DF239))</f>
        <v>0</v>
      </c>
    </row>
    <row r="240" spans="1:111" x14ac:dyDescent="0.25">
      <c r="A240" s="5">
        <f t="shared" ca="1" si="50"/>
        <v>1</v>
      </c>
      <c r="B240" s="5">
        <f ca="1">COUNTBLANK(OFFSET(Demand!$I249,0,(COLUMN(A237)-1)*5,1,1))</f>
        <v>1</v>
      </c>
      <c r="C240" s="5">
        <f ca="1">COUNTBLANK(OFFSET(Demand!$I249,0,(COLUMN(B237)-1)*5,1,1))</f>
        <v>1</v>
      </c>
      <c r="D240" s="5">
        <f ca="1">COUNTBLANK(OFFSET(Demand!$I249,0,(COLUMN(C237)-1)*5,1,1))</f>
        <v>1</v>
      </c>
      <c r="E240" s="5">
        <f ca="1">COUNTBLANK(OFFSET(Demand!$I249,0,(COLUMN(D237)-1)*5,1,1))</f>
        <v>1</v>
      </c>
      <c r="F240" s="5">
        <f ca="1">COUNTBLANK(OFFSET(Demand!$I249,0,(COLUMN(E237)-1)*5,1,1))</f>
        <v>1</v>
      </c>
      <c r="G240" s="5">
        <f ca="1">COUNTBLANK(OFFSET(Demand!$I249,0,(COLUMN(F237)-1)*5,1,1))</f>
        <v>1</v>
      </c>
      <c r="H240" s="5">
        <f ca="1">COUNTBLANK(OFFSET(Demand!$I249,0,(COLUMN(G237)-1)*5,1,1))</f>
        <v>1</v>
      </c>
      <c r="I240" s="5">
        <f ca="1">COUNTBLANK(OFFSET(Demand!$I249,0,(COLUMN(H237)-1)*5,1,1))</f>
        <v>1</v>
      </c>
      <c r="J240" s="5">
        <f ca="1">COUNTBLANK(OFFSET(Demand!$I249,0,(COLUMN(I237)-1)*5,1,1))</f>
        <v>1</v>
      </c>
      <c r="K240" s="5">
        <f ca="1">COUNTBLANK(OFFSET(Demand!$I249,0,(COLUMN(J237)-1)*5,1,1))</f>
        <v>1</v>
      </c>
      <c r="N240" s="5">
        <f ca="1">SUM(OFFSET(Demand!$E249,0,(COLUMN(A237)-1)*5,1,3))*N$2</f>
        <v>0</v>
      </c>
      <c r="O240" s="5">
        <f ca="1">SUM(OFFSET(Demand!$E249,0,(COLUMN(B237)-1)*5,1,3))*O$2</f>
        <v>0</v>
      </c>
      <c r="P240" s="5">
        <f ca="1">SUM(OFFSET(Demand!$E249,0,(COLUMN(C237)-1)*5,1,3))*P$2</f>
        <v>0</v>
      </c>
      <c r="Q240" s="5">
        <f ca="1">SUM(OFFSET(Demand!$E249,0,(COLUMN(D237)-1)*5,1,3))*Q$2</f>
        <v>0</v>
      </c>
      <c r="R240" s="5">
        <f ca="1">SUM(OFFSET(Demand!$E249,0,(COLUMN(E237)-1)*5,1,3))*R$2</f>
        <v>0</v>
      </c>
      <c r="S240" s="5">
        <f ca="1">SUM(OFFSET(Demand!$E249,0,(COLUMN(F237)-1)*5,1,3))*S$2</f>
        <v>0</v>
      </c>
      <c r="T240" s="5">
        <f ca="1">SUM(OFFSET(Demand!$E249,0,(COLUMN(G237)-1)*5,1,3))*T$2</f>
        <v>0</v>
      </c>
      <c r="U240" s="5">
        <f ca="1">SUM(OFFSET(Demand!$E249,0,(COLUMN(H237)-1)*5,1,3))*U$2</f>
        <v>0</v>
      </c>
      <c r="V240" s="5">
        <f ca="1">SUM(OFFSET(Demand!$E249,0,(COLUMN(I237)-1)*5,1,3))*V$2</f>
        <v>0</v>
      </c>
      <c r="W240" s="5">
        <f ca="1">SUM(OFFSET(Demand!$E249,0,(COLUMN(J237)-1)*5,1,3))*W$2</f>
        <v>0</v>
      </c>
      <c r="X240" s="5">
        <f t="shared" ca="1" si="51"/>
        <v>0</v>
      </c>
      <c r="Y240">
        <f t="shared" ca="1" si="52"/>
        <v>0</v>
      </c>
      <c r="Z240" s="5">
        <f ca="1">SUM(OFFSET(Demand!$H249,0,(COLUMN(A237)-1)*5,1,1))*N$2</f>
        <v>0</v>
      </c>
      <c r="AA240" s="5">
        <f ca="1">SUM(OFFSET(Demand!$H249,0,(COLUMN(B237)-1)*5,1,1))*O$2</f>
        <v>0</v>
      </c>
      <c r="AB240" s="5">
        <f ca="1">SUM(OFFSET(Demand!$H249,0,(COLUMN(C237)-1)*5,1,1))*P$2</f>
        <v>0</v>
      </c>
      <c r="AC240" s="5">
        <f ca="1">SUM(OFFSET(Demand!$H249,0,(COLUMN(D237)-1)*5,1,1))*Q$2</f>
        <v>0</v>
      </c>
      <c r="AD240" s="5">
        <f ca="1">SUM(OFFSET(Demand!$H249,0,(COLUMN(E237)-1)*5,1,1))*R$2</f>
        <v>0</v>
      </c>
      <c r="AE240" s="5">
        <f ca="1">SUM(OFFSET(Demand!$H249,0,(COLUMN(F237)-1)*5,1,1))*S$2</f>
        <v>0</v>
      </c>
      <c r="AF240" s="5">
        <f ca="1">SUM(OFFSET(Demand!$H249,0,(COLUMN(G237)-1)*5,1,1))*T$2</f>
        <v>0</v>
      </c>
      <c r="AG240" s="5">
        <f ca="1">SUM(OFFSET(Demand!$H249,0,(COLUMN(H237)-1)*5,1,1))*U$2</f>
        <v>0</v>
      </c>
      <c r="AH240" s="5">
        <f ca="1">SUM(OFFSET(Demand!$H249,0,(COLUMN(I237)-1)*5,1,1))*V$2</f>
        <v>0</v>
      </c>
      <c r="AI240" s="5">
        <f ca="1">SUM(OFFSET(Demand!$H249,0,(COLUMN(J237)-1)*5,1,1))*W$2</f>
        <v>0</v>
      </c>
      <c r="AJ240" s="5">
        <f t="shared" ca="1" si="53"/>
        <v>0</v>
      </c>
      <c r="AL240" s="5">
        <f t="shared" ca="1" si="54"/>
        <v>0</v>
      </c>
      <c r="AM240" s="5">
        <f t="shared" ca="1" si="55"/>
        <v>0</v>
      </c>
      <c r="AN240" s="5" t="str">
        <f>IF(Demand!BE249="Yes","Yes","")</f>
        <v/>
      </c>
      <c r="AP240" s="36" t="str">
        <f ca="1">Demand!B249</f>
        <v xml:space="preserve"> </v>
      </c>
      <c r="AQ240" t="str">
        <f ca="1">IF(TEXT(Demand!D249,"MMM")&lt;&gt;TEXT(Demand!D248,"MMM"),TEXT(Demand!D249,"MMM"),"")</f>
        <v/>
      </c>
      <c r="AT240" s="5">
        <f t="shared" ca="1" si="56"/>
        <v>0</v>
      </c>
      <c r="BQ240">
        <f ca="1">IF($AN240="",OFFSET(Demand!$A$13,ROW(A237)-1,4+((QUOTIENT(COLUMN(BQ$2)-69,3))*5)+MOD(COLUMN(BQ$2),3),1,1),"")</f>
        <v>0</v>
      </c>
      <c r="BR240">
        <f ca="1">IF($AN240="",OFFSET(Demand!$A$13,ROW(B237)-1,4+((QUOTIENT(COLUMN(BR$2)-69,3))*5)+MOD(COLUMN(BR$2),3),1,1),"")</f>
        <v>0</v>
      </c>
      <c r="BS240">
        <f ca="1">IF($AN240="",OFFSET(Demand!$A$13,ROW(C237)-1,4+((QUOTIENT(COLUMN(BS$2)-69,3))*5)+MOD(COLUMN(BS$2),3),1,1),"")</f>
        <v>0</v>
      </c>
      <c r="BT240">
        <f ca="1">IF($AN240="",OFFSET(Demand!$A$13,ROW(D237)-1,4+((QUOTIENT(COLUMN(BT$2)-69,3))*5)+MOD(COLUMN(BT$2),3),1,1),"")</f>
        <v>0</v>
      </c>
      <c r="BU240">
        <f ca="1">IF($AN240="",OFFSET(Demand!$A$13,ROW(E237)-1,4+((QUOTIENT(COLUMN(BU$2)-69,3))*5)+MOD(COLUMN(BU$2),3),1,1),"")</f>
        <v>0</v>
      </c>
      <c r="BV240">
        <f ca="1">IF($AN240="",OFFSET(Demand!$A$13,ROW(F237)-1,4+((QUOTIENT(COLUMN(BV$2)-69,3))*5)+MOD(COLUMN(BV$2),3),1,1),"")</f>
        <v>0</v>
      </c>
      <c r="BW240">
        <f ca="1">IF($AN240="",OFFSET(Demand!$A$13,ROW(G237)-1,4+((QUOTIENT(COLUMN(BW$2)-69,3))*5)+MOD(COLUMN(BW$2),3),1,1),"")</f>
        <v>0</v>
      </c>
      <c r="BX240">
        <f ca="1">IF($AN240="",OFFSET(Demand!$A$13,ROW(H237)-1,4+((QUOTIENT(COLUMN(BX$2)-69,3))*5)+MOD(COLUMN(BX$2),3),1,1),"")</f>
        <v>0</v>
      </c>
      <c r="BY240">
        <f ca="1">IF($AN240="",OFFSET(Demand!$A$13,ROW(I237)-1,4+((QUOTIENT(COLUMN(BY$2)-69,3))*5)+MOD(COLUMN(BY$2),3),1,1),"")</f>
        <v>0</v>
      </c>
      <c r="BZ240">
        <f ca="1">IF($AN240="",OFFSET(Demand!$A$13,ROW(J237)-1,4+((QUOTIENT(COLUMN(BZ$2)-69,3))*5)+MOD(COLUMN(BZ$2),3),1,1),"")</f>
        <v>0</v>
      </c>
      <c r="CA240">
        <f ca="1">IF($AN240="",OFFSET(Demand!$A$13,ROW(K237)-1,4+((QUOTIENT(COLUMN(CA$2)-69,3))*5)+MOD(COLUMN(CA$2),3),1,1),"")</f>
        <v>0</v>
      </c>
      <c r="CB240">
        <f ca="1">IF($AN240="",OFFSET(Demand!$A$13,ROW(L237)-1,4+((QUOTIENT(COLUMN(CB$2)-69,3))*5)+MOD(COLUMN(CB$2),3),1,1),"")</f>
        <v>0</v>
      </c>
      <c r="CC240">
        <f ca="1">IF($AN240="",OFFSET(Demand!$A$13,ROW(M237)-1,4+((QUOTIENT(COLUMN(CC$2)-69,3))*5)+MOD(COLUMN(CC$2),3),1,1),"")</f>
        <v>0</v>
      </c>
      <c r="CD240">
        <f ca="1">IF($AN240="",OFFSET(Demand!$A$13,ROW(N237)-1,4+((QUOTIENT(COLUMN(CD$2)-69,3))*5)+MOD(COLUMN(CD$2),3),1,1),"")</f>
        <v>0</v>
      </c>
      <c r="CE240">
        <f ca="1">IF($AN240="",OFFSET(Demand!$A$13,ROW(O237)-1,4+((QUOTIENT(COLUMN(CE$2)-69,3))*5)+MOD(COLUMN(CE$2),3),1,1),"")</f>
        <v>0</v>
      </c>
      <c r="CF240">
        <f ca="1">IF($AN240="",OFFSET(Demand!$A$13,ROW(P237)-1,4+((QUOTIENT(COLUMN(CF$2)-69,3))*5)+MOD(COLUMN(CF$2),3),1,1),"")</f>
        <v>0</v>
      </c>
      <c r="CG240">
        <f ca="1">IF($AN240="",OFFSET(Demand!$A$13,ROW(Q237)-1,4+((QUOTIENT(COLUMN(CG$2)-69,3))*5)+MOD(COLUMN(CG$2),3),1,1),"")</f>
        <v>0</v>
      </c>
      <c r="CH240">
        <f ca="1">IF($AN240="",OFFSET(Demand!$A$13,ROW(R237)-1,4+((QUOTIENT(COLUMN(CH$2)-69,3))*5)+MOD(COLUMN(CH$2),3),1,1),"")</f>
        <v>0</v>
      </c>
      <c r="CI240">
        <f ca="1">IF($AN240="",OFFSET(Demand!$A$13,ROW(S237)-1,4+((QUOTIENT(COLUMN(CI$2)-69,3))*5)+MOD(COLUMN(CI$2),3),1,1),"")</f>
        <v>0</v>
      </c>
      <c r="CJ240">
        <f ca="1">IF($AN240="",OFFSET(Demand!$A$13,ROW(T237)-1,4+((QUOTIENT(COLUMN(CJ$2)-69,3))*5)+MOD(COLUMN(CJ$2),3),1,1),"")</f>
        <v>0</v>
      </c>
      <c r="CK240">
        <f ca="1">IF($AN240="",OFFSET(Demand!$A$13,ROW(U237)-1,4+((QUOTIENT(COLUMN(CK$2)-69,3))*5)+MOD(COLUMN(CK$2),3),1,1),"")</f>
        <v>0</v>
      </c>
      <c r="CL240">
        <f ca="1">IF($AN240="",OFFSET(Demand!$A$13,ROW(V237)-1,4+((QUOTIENT(COLUMN(CL$2)-69,3))*5)+MOD(COLUMN(CL$2),3),1,1),"")</f>
        <v>0</v>
      </c>
      <c r="CM240">
        <f ca="1">IF($AN240="",OFFSET(Demand!$A$13,ROW(W237)-1,4+((QUOTIENT(COLUMN(CM$2)-69,3))*5)+MOD(COLUMN(CM$2),3),1,1),"")</f>
        <v>0</v>
      </c>
      <c r="CN240">
        <f ca="1">IF($AN240="",OFFSET(Demand!$A$13,ROW(X237)-1,4+((QUOTIENT(COLUMN(CN$2)-69,3))*5)+MOD(COLUMN(CN$2),3),1,1),"")</f>
        <v>0</v>
      </c>
      <c r="CO240">
        <f ca="1">IF($AN240="",OFFSET(Demand!$A$13,ROW(Y237)-1,4+((QUOTIENT(COLUMN(CO$2)-69,3))*5)+MOD(COLUMN(CO$2),3),1,1),"")</f>
        <v>0</v>
      </c>
      <c r="CP240">
        <f ca="1">IF($AN240="",OFFSET(Demand!$A$13,ROW(Z237)-1,4+((QUOTIENT(COLUMN(CP$2)-69,3))*5)+MOD(COLUMN(CP$2),3),1,1),"")</f>
        <v>0</v>
      </c>
      <c r="CQ240">
        <f ca="1">IF($AN240="",OFFSET(Demand!$A$13,ROW(AA237)-1,4+((QUOTIENT(COLUMN(CQ$2)-69,3))*5)+MOD(COLUMN(CQ$2),3),1,1),"")</f>
        <v>0</v>
      </c>
      <c r="CR240">
        <f ca="1">IF($AN240="",OFFSET(Demand!$A$13,ROW(AB237)-1,4+((QUOTIENT(COLUMN(CR$2)-69,3))*5)+MOD(COLUMN(CR$2),3),1,1),"")</f>
        <v>0</v>
      </c>
      <c r="CS240">
        <f ca="1">IF($AN240="",OFFSET(Demand!$A$13,ROW(AC237)-1,4+((QUOTIENT(COLUMN(CS$2)-69,3))*5)+MOD(COLUMN(CS$2),3),1,1),"")</f>
        <v>0</v>
      </c>
      <c r="CT240">
        <f ca="1">IF($AN240="",OFFSET(Demand!$A$13,ROW(AD237)-1,4+((QUOTIENT(COLUMN(CT$2)-69,3))*5)+MOD(COLUMN(CT$2),3),1,1),"")</f>
        <v>0</v>
      </c>
      <c r="CW240" s="5">
        <f ca="1">SUM(OFFSET(Demand!$H$43,ROW(A237)-1,(COLUMN(A237)-1)*5,1,1))*N$2</f>
        <v>0</v>
      </c>
      <c r="CX240" s="5">
        <f ca="1">SUM(OFFSET(Demand!$H$43,ROW(B237)-1,(COLUMN(B237)-1)*5,1,1))*O$2</f>
        <v>0</v>
      </c>
      <c r="CY240" s="5">
        <f ca="1">SUM(OFFSET(Demand!$H$43,ROW(C237)-1,(COLUMN(C237)-1)*5,1,1))*P$2</f>
        <v>0</v>
      </c>
      <c r="CZ240" s="5">
        <f ca="1">SUM(OFFSET(Demand!$H$43,ROW(D237)-1,(COLUMN(D237)-1)*5,1,1))*Q$2</f>
        <v>0</v>
      </c>
      <c r="DA240" s="5">
        <f ca="1">SUM(OFFSET(Demand!$H$43,ROW(E237)-1,(COLUMN(E237)-1)*5,1,1))*R$2</f>
        <v>0</v>
      </c>
      <c r="DB240" s="5">
        <f ca="1">SUM(OFFSET(Demand!$H$43,ROW(F237)-1,(COLUMN(F237)-1)*5,1,1))*S$2</f>
        <v>0</v>
      </c>
      <c r="DC240" s="5">
        <f ca="1">SUM(OFFSET(Demand!$H$43,ROW(G237)-1,(COLUMN(G237)-1)*5,1,1))*T$2</f>
        <v>0</v>
      </c>
      <c r="DD240" s="5">
        <f ca="1">SUM(OFFSET(Demand!$H$43,ROW(H237)-1,(COLUMN(H237)-1)*5,1,1))*U$2</f>
        <v>0</v>
      </c>
      <c r="DE240" s="5">
        <f ca="1">SUM(OFFSET(Demand!$H$43,ROW(I237)-1,(COLUMN(I237)-1)*5,1,1))*V$2</f>
        <v>0</v>
      </c>
      <c r="DF240" s="5">
        <f ca="1">SUM(OFFSET(Demand!$H$43,ROW(J237)-1,(COLUMN(J237)-1)*5,1,1))*W$2</f>
        <v>0</v>
      </c>
      <c r="DG240" s="5">
        <f ca="1">IF(OR(AN240&lt;&gt;"",AND('Demand adjustments for Covid'!$F$9="Yes",'Demand adjustments for Covid'!$F$20="Yes")),"",SUM(CW240:DF240))</f>
        <v>0</v>
      </c>
    </row>
    <row r="241" spans="1:111" x14ac:dyDescent="0.25">
      <c r="A241" s="5">
        <f t="shared" ca="1" si="50"/>
        <v>1</v>
      </c>
      <c r="B241" s="5">
        <f ca="1">COUNTBLANK(OFFSET(Demand!$I250,0,(COLUMN(A238)-1)*5,1,1))</f>
        <v>1</v>
      </c>
      <c r="C241" s="5">
        <f ca="1">COUNTBLANK(OFFSET(Demand!$I250,0,(COLUMN(B238)-1)*5,1,1))</f>
        <v>1</v>
      </c>
      <c r="D241" s="5">
        <f ca="1">COUNTBLANK(OFFSET(Demand!$I250,0,(COLUMN(C238)-1)*5,1,1))</f>
        <v>1</v>
      </c>
      <c r="E241" s="5">
        <f ca="1">COUNTBLANK(OFFSET(Demand!$I250,0,(COLUMN(D238)-1)*5,1,1))</f>
        <v>1</v>
      </c>
      <c r="F241" s="5">
        <f ca="1">COUNTBLANK(OFFSET(Demand!$I250,0,(COLUMN(E238)-1)*5,1,1))</f>
        <v>1</v>
      </c>
      <c r="G241" s="5">
        <f ca="1">COUNTBLANK(OFFSET(Demand!$I250,0,(COLUMN(F238)-1)*5,1,1))</f>
        <v>1</v>
      </c>
      <c r="H241" s="5">
        <f ca="1">COUNTBLANK(OFFSET(Demand!$I250,0,(COLUMN(G238)-1)*5,1,1))</f>
        <v>1</v>
      </c>
      <c r="I241" s="5">
        <f ca="1">COUNTBLANK(OFFSET(Demand!$I250,0,(COLUMN(H238)-1)*5,1,1))</f>
        <v>1</v>
      </c>
      <c r="J241" s="5">
        <f ca="1">COUNTBLANK(OFFSET(Demand!$I250,0,(COLUMN(I238)-1)*5,1,1))</f>
        <v>1</v>
      </c>
      <c r="K241" s="5">
        <f ca="1">COUNTBLANK(OFFSET(Demand!$I250,0,(COLUMN(J238)-1)*5,1,1))</f>
        <v>1</v>
      </c>
      <c r="N241" s="5">
        <f ca="1">SUM(OFFSET(Demand!$E250,0,(COLUMN(A238)-1)*5,1,3))*N$2</f>
        <v>0</v>
      </c>
      <c r="O241" s="5">
        <f ca="1">SUM(OFFSET(Demand!$E250,0,(COLUMN(B238)-1)*5,1,3))*O$2</f>
        <v>0</v>
      </c>
      <c r="P241" s="5">
        <f ca="1">SUM(OFFSET(Demand!$E250,0,(COLUMN(C238)-1)*5,1,3))*P$2</f>
        <v>0</v>
      </c>
      <c r="Q241" s="5">
        <f ca="1">SUM(OFFSET(Demand!$E250,0,(COLUMN(D238)-1)*5,1,3))*Q$2</f>
        <v>0</v>
      </c>
      <c r="R241" s="5">
        <f ca="1">SUM(OFFSET(Demand!$E250,0,(COLUMN(E238)-1)*5,1,3))*R$2</f>
        <v>0</v>
      </c>
      <c r="S241" s="5">
        <f ca="1">SUM(OFFSET(Demand!$E250,0,(COLUMN(F238)-1)*5,1,3))*S$2</f>
        <v>0</v>
      </c>
      <c r="T241" s="5">
        <f ca="1">SUM(OFFSET(Demand!$E250,0,(COLUMN(G238)-1)*5,1,3))*T$2</f>
        <v>0</v>
      </c>
      <c r="U241" s="5">
        <f ca="1">SUM(OFFSET(Demand!$E250,0,(COLUMN(H238)-1)*5,1,3))*U$2</f>
        <v>0</v>
      </c>
      <c r="V241" s="5">
        <f ca="1">SUM(OFFSET(Demand!$E250,0,(COLUMN(I238)-1)*5,1,3))*V$2</f>
        <v>0</v>
      </c>
      <c r="W241" s="5">
        <f ca="1">SUM(OFFSET(Demand!$E250,0,(COLUMN(J238)-1)*5,1,3))*W$2</f>
        <v>0</v>
      </c>
      <c r="X241" s="5">
        <f t="shared" ca="1" si="51"/>
        <v>0</v>
      </c>
      <c r="Y241">
        <f t="shared" ca="1" si="52"/>
        <v>0</v>
      </c>
      <c r="Z241" s="5">
        <f ca="1">SUM(OFFSET(Demand!$H250,0,(COLUMN(A238)-1)*5,1,1))*N$2</f>
        <v>0</v>
      </c>
      <c r="AA241" s="5">
        <f ca="1">SUM(OFFSET(Demand!$H250,0,(COLUMN(B238)-1)*5,1,1))*O$2</f>
        <v>0</v>
      </c>
      <c r="AB241" s="5">
        <f ca="1">SUM(OFFSET(Demand!$H250,0,(COLUMN(C238)-1)*5,1,1))*P$2</f>
        <v>0</v>
      </c>
      <c r="AC241" s="5">
        <f ca="1">SUM(OFFSET(Demand!$H250,0,(COLUMN(D238)-1)*5,1,1))*Q$2</f>
        <v>0</v>
      </c>
      <c r="AD241" s="5">
        <f ca="1">SUM(OFFSET(Demand!$H250,0,(COLUMN(E238)-1)*5,1,1))*R$2</f>
        <v>0</v>
      </c>
      <c r="AE241" s="5">
        <f ca="1">SUM(OFFSET(Demand!$H250,0,(COLUMN(F238)-1)*5,1,1))*S$2</f>
        <v>0</v>
      </c>
      <c r="AF241" s="5">
        <f ca="1">SUM(OFFSET(Demand!$H250,0,(COLUMN(G238)-1)*5,1,1))*T$2</f>
        <v>0</v>
      </c>
      <c r="AG241" s="5">
        <f ca="1">SUM(OFFSET(Demand!$H250,0,(COLUMN(H238)-1)*5,1,1))*U$2</f>
        <v>0</v>
      </c>
      <c r="AH241" s="5">
        <f ca="1">SUM(OFFSET(Demand!$H250,0,(COLUMN(I238)-1)*5,1,1))*V$2</f>
        <v>0</v>
      </c>
      <c r="AI241" s="5">
        <f ca="1">SUM(OFFSET(Demand!$H250,0,(COLUMN(J238)-1)*5,1,1))*W$2</f>
        <v>0</v>
      </c>
      <c r="AJ241" s="5">
        <f t="shared" ca="1" si="53"/>
        <v>0</v>
      </c>
      <c r="AL241" s="5">
        <f t="shared" ca="1" si="54"/>
        <v>0</v>
      </c>
      <c r="AM241" s="5">
        <f t="shared" ca="1" si="55"/>
        <v>0</v>
      </c>
      <c r="AN241" s="5" t="str">
        <f>IF(Demand!BE250="Yes","Yes","")</f>
        <v/>
      </c>
      <c r="AP241" s="36" t="str">
        <f ca="1">Demand!B250</f>
        <v xml:space="preserve"> </v>
      </c>
      <c r="AQ241" t="str">
        <f ca="1">IF(TEXT(Demand!D250,"MMM")&lt;&gt;TEXT(Demand!D249,"MMM"),TEXT(Demand!D250,"MMM"),"")</f>
        <v/>
      </c>
      <c r="AT241" s="5">
        <f t="shared" ca="1" si="56"/>
        <v>0</v>
      </c>
      <c r="BQ241">
        <f ca="1">IF($AN241="",OFFSET(Demand!$A$13,ROW(A238)-1,4+((QUOTIENT(COLUMN(BQ$2)-69,3))*5)+MOD(COLUMN(BQ$2),3),1,1),"")</f>
        <v>0</v>
      </c>
      <c r="BR241">
        <f ca="1">IF($AN241="",OFFSET(Demand!$A$13,ROW(B238)-1,4+((QUOTIENT(COLUMN(BR$2)-69,3))*5)+MOD(COLUMN(BR$2),3),1,1),"")</f>
        <v>0</v>
      </c>
      <c r="BS241">
        <f ca="1">IF($AN241="",OFFSET(Demand!$A$13,ROW(C238)-1,4+((QUOTIENT(COLUMN(BS$2)-69,3))*5)+MOD(COLUMN(BS$2),3),1,1),"")</f>
        <v>0</v>
      </c>
      <c r="BT241">
        <f ca="1">IF($AN241="",OFFSET(Demand!$A$13,ROW(D238)-1,4+((QUOTIENT(COLUMN(BT$2)-69,3))*5)+MOD(COLUMN(BT$2),3),1,1),"")</f>
        <v>0</v>
      </c>
      <c r="BU241">
        <f ca="1">IF($AN241="",OFFSET(Demand!$A$13,ROW(E238)-1,4+((QUOTIENT(COLUMN(BU$2)-69,3))*5)+MOD(COLUMN(BU$2),3),1,1),"")</f>
        <v>0</v>
      </c>
      <c r="BV241">
        <f ca="1">IF($AN241="",OFFSET(Demand!$A$13,ROW(F238)-1,4+((QUOTIENT(COLUMN(BV$2)-69,3))*5)+MOD(COLUMN(BV$2),3),1,1),"")</f>
        <v>0</v>
      </c>
      <c r="BW241">
        <f ca="1">IF($AN241="",OFFSET(Demand!$A$13,ROW(G238)-1,4+((QUOTIENT(COLUMN(BW$2)-69,3))*5)+MOD(COLUMN(BW$2),3),1,1),"")</f>
        <v>0</v>
      </c>
      <c r="BX241">
        <f ca="1">IF($AN241="",OFFSET(Demand!$A$13,ROW(H238)-1,4+((QUOTIENT(COLUMN(BX$2)-69,3))*5)+MOD(COLUMN(BX$2),3),1,1),"")</f>
        <v>0</v>
      </c>
      <c r="BY241">
        <f ca="1">IF($AN241="",OFFSET(Demand!$A$13,ROW(I238)-1,4+((QUOTIENT(COLUMN(BY$2)-69,3))*5)+MOD(COLUMN(BY$2),3),1,1),"")</f>
        <v>0</v>
      </c>
      <c r="BZ241">
        <f ca="1">IF($AN241="",OFFSET(Demand!$A$13,ROW(J238)-1,4+((QUOTIENT(COLUMN(BZ$2)-69,3))*5)+MOD(COLUMN(BZ$2),3),1,1),"")</f>
        <v>0</v>
      </c>
      <c r="CA241">
        <f ca="1">IF($AN241="",OFFSET(Demand!$A$13,ROW(K238)-1,4+((QUOTIENT(COLUMN(CA$2)-69,3))*5)+MOD(COLUMN(CA$2),3),1,1),"")</f>
        <v>0</v>
      </c>
      <c r="CB241">
        <f ca="1">IF($AN241="",OFFSET(Demand!$A$13,ROW(L238)-1,4+((QUOTIENT(COLUMN(CB$2)-69,3))*5)+MOD(COLUMN(CB$2),3),1,1),"")</f>
        <v>0</v>
      </c>
      <c r="CC241">
        <f ca="1">IF($AN241="",OFFSET(Demand!$A$13,ROW(M238)-1,4+((QUOTIENT(COLUMN(CC$2)-69,3))*5)+MOD(COLUMN(CC$2),3),1,1),"")</f>
        <v>0</v>
      </c>
      <c r="CD241">
        <f ca="1">IF($AN241="",OFFSET(Demand!$A$13,ROW(N238)-1,4+((QUOTIENT(COLUMN(CD$2)-69,3))*5)+MOD(COLUMN(CD$2),3),1,1),"")</f>
        <v>0</v>
      </c>
      <c r="CE241">
        <f ca="1">IF($AN241="",OFFSET(Demand!$A$13,ROW(O238)-1,4+((QUOTIENT(COLUMN(CE$2)-69,3))*5)+MOD(COLUMN(CE$2),3),1,1),"")</f>
        <v>0</v>
      </c>
      <c r="CF241">
        <f ca="1">IF($AN241="",OFFSET(Demand!$A$13,ROW(P238)-1,4+((QUOTIENT(COLUMN(CF$2)-69,3))*5)+MOD(COLUMN(CF$2),3),1,1),"")</f>
        <v>0</v>
      </c>
      <c r="CG241">
        <f ca="1">IF($AN241="",OFFSET(Demand!$A$13,ROW(Q238)-1,4+((QUOTIENT(COLUMN(CG$2)-69,3))*5)+MOD(COLUMN(CG$2),3),1,1),"")</f>
        <v>0</v>
      </c>
      <c r="CH241">
        <f ca="1">IF($AN241="",OFFSET(Demand!$A$13,ROW(R238)-1,4+((QUOTIENT(COLUMN(CH$2)-69,3))*5)+MOD(COLUMN(CH$2),3),1,1),"")</f>
        <v>0</v>
      </c>
      <c r="CI241">
        <f ca="1">IF($AN241="",OFFSET(Demand!$A$13,ROW(S238)-1,4+((QUOTIENT(COLUMN(CI$2)-69,3))*5)+MOD(COLUMN(CI$2),3),1,1),"")</f>
        <v>0</v>
      </c>
      <c r="CJ241">
        <f ca="1">IF($AN241="",OFFSET(Demand!$A$13,ROW(T238)-1,4+((QUOTIENT(COLUMN(CJ$2)-69,3))*5)+MOD(COLUMN(CJ$2),3),1,1),"")</f>
        <v>0</v>
      </c>
      <c r="CK241">
        <f ca="1">IF($AN241="",OFFSET(Demand!$A$13,ROW(U238)-1,4+((QUOTIENT(COLUMN(CK$2)-69,3))*5)+MOD(COLUMN(CK$2),3),1,1),"")</f>
        <v>0</v>
      </c>
      <c r="CL241">
        <f ca="1">IF($AN241="",OFFSET(Demand!$A$13,ROW(V238)-1,4+((QUOTIENT(COLUMN(CL$2)-69,3))*5)+MOD(COLUMN(CL$2),3),1,1),"")</f>
        <v>0</v>
      </c>
      <c r="CM241">
        <f ca="1">IF($AN241="",OFFSET(Demand!$A$13,ROW(W238)-1,4+((QUOTIENT(COLUMN(CM$2)-69,3))*5)+MOD(COLUMN(CM$2),3),1,1),"")</f>
        <v>0</v>
      </c>
      <c r="CN241">
        <f ca="1">IF($AN241="",OFFSET(Demand!$A$13,ROW(X238)-1,4+((QUOTIENT(COLUMN(CN$2)-69,3))*5)+MOD(COLUMN(CN$2),3),1,1),"")</f>
        <v>0</v>
      </c>
      <c r="CO241">
        <f ca="1">IF($AN241="",OFFSET(Demand!$A$13,ROW(Y238)-1,4+((QUOTIENT(COLUMN(CO$2)-69,3))*5)+MOD(COLUMN(CO$2),3),1,1),"")</f>
        <v>0</v>
      </c>
      <c r="CP241">
        <f ca="1">IF($AN241="",OFFSET(Demand!$A$13,ROW(Z238)-1,4+((QUOTIENT(COLUMN(CP$2)-69,3))*5)+MOD(COLUMN(CP$2),3),1,1),"")</f>
        <v>0</v>
      </c>
      <c r="CQ241">
        <f ca="1">IF($AN241="",OFFSET(Demand!$A$13,ROW(AA238)-1,4+((QUOTIENT(COLUMN(CQ$2)-69,3))*5)+MOD(COLUMN(CQ$2),3),1,1),"")</f>
        <v>0</v>
      </c>
      <c r="CR241">
        <f ca="1">IF($AN241="",OFFSET(Demand!$A$13,ROW(AB238)-1,4+((QUOTIENT(COLUMN(CR$2)-69,3))*5)+MOD(COLUMN(CR$2),3),1,1),"")</f>
        <v>0</v>
      </c>
      <c r="CS241">
        <f ca="1">IF($AN241="",OFFSET(Demand!$A$13,ROW(AC238)-1,4+((QUOTIENT(COLUMN(CS$2)-69,3))*5)+MOD(COLUMN(CS$2),3),1,1),"")</f>
        <v>0</v>
      </c>
      <c r="CT241">
        <f ca="1">IF($AN241="",OFFSET(Demand!$A$13,ROW(AD238)-1,4+((QUOTIENT(COLUMN(CT$2)-69,3))*5)+MOD(COLUMN(CT$2),3),1,1),"")</f>
        <v>0</v>
      </c>
      <c r="CW241" s="5">
        <f ca="1">SUM(OFFSET(Demand!$H$43,ROW(A238)-1,(COLUMN(A238)-1)*5,1,1))*N$2</f>
        <v>0</v>
      </c>
      <c r="CX241" s="5">
        <f ca="1">SUM(OFFSET(Demand!$H$43,ROW(B238)-1,(COLUMN(B238)-1)*5,1,1))*O$2</f>
        <v>0</v>
      </c>
      <c r="CY241" s="5">
        <f ca="1">SUM(OFFSET(Demand!$H$43,ROW(C238)-1,(COLUMN(C238)-1)*5,1,1))*P$2</f>
        <v>0</v>
      </c>
      <c r="CZ241" s="5">
        <f ca="1">SUM(OFFSET(Demand!$H$43,ROW(D238)-1,(COLUMN(D238)-1)*5,1,1))*Q$2</f>
        <v>0</v>
      </c>
      <c r="DA241" s="5">
        <f ca="1">SUM(OFFSET(Demand!$H$43,ROW(E238)-1,(COLUMN(E238)-1)*5,1,1))*R$2</f>
        <v>0</v>
      </c>
      <c r="DB241" s="5">
        <f ca="1">SUM(OFFSET(Demand!$H$43,ROW(F238)-1,(COLUMN(F238)-1)*5,1,1))*S$2</f>
        <v>0</v>
      </c>
      <c r="DC241" s="5">
        <f ca="1">SUM(OFFSET(Demand!$H$43,ROW(G238)-1,(COLUMN(G238)-1)*5,1,1))*T$2</f>
        <v>0</v>
      </c>
      <c r="DD241" s="5">
        <f ca="1">SUM(OFFSET(Demand!$H$43,ROW(H238)-1,(COLUMN(H238)-1)*5,1,1))*U$2</f>
        <v>0</v>
      </c>
      <c r="DE241" s="5">
        <f ca="1">SUM(OFFSET(Demand!$H$43,ROW(I238)-1,(COLUMN(I238)-1)*5,1,1))*V$2</f>
        <v>0</v>
      </c>
      <c r="DF241" s="5">
        <f ca="1">SUM(OFFSET(Demand!$H$43,ROW(J238)-1,(COLUMN(J238)-1)*5,1,1))*W$2</f>
        <v>0</v>
      </c>
      <c r="DG241" s="5">
        <f ca="1">IF(OR(AN241&lt;&gt;"",AND('Demand adjustments for Covid'!$F$9="Yes",'Demand adjustments for Covid'!$F$20="Yes")),"",SUM(CW241:DF241))</f>
        <v>0</v>
      </c>
    </row>
    <row r="242" spans="1:111" x14ac:dyDescent="0.25">
      <c r="A242" s="5">
        <f t="shared" ca="1" si="50"/>
        <v>1</v>
      </c>
      <c r="B242" s="5">
        <f ca="1">COUNTBLANK(OFFSET(Demand!$I251,0,(COLUMN(A239)-1)*5,1,1))</f>
        <v>1</v>
      </c>
      <c r="C242" s="5">
        <f ca="1">COUNTBLANK(OFFSET(Demand!$I251,0,(COLUMN(B239)-1)*5,1,1))</f>
        <v>1</v>
      </c>
      <c r="D242" s="5">
        <f ca="1">COUNTBLANK(OFFSET(Demand!$I251,0,(COLUMN(C239)-1)*5,1,1))</f>
        <v>1</v>
      </c>
      <c r="E242" s="5">
        <f ca="1">COUNTBLANK(OFFSET(Demand!$I251,0,(COLUMN(D239)-1)*5,1,1))</f>
        <v>1</v>
      </c>
      <c r="F242" s="5">
        <f ca="1">COUNTBLANK(OFFSET(Demand!$I251,0,(COLUMN(E239)-1)*5,1,1))</f>
        <v>1</v>
      </c>
      <c r="G242" s="5">
        <f ca="1">COUNTBLANK(OFFSET(Demand!$I251,0,(COLUMN(F239)-1)*5,1,1))</f>
        <v>1</v>
      </c>
      <c r="H242" s="5">
        <f ca="1">COUNTBLANK(OFFSET(Demand!$I251,0,(COLUMN(G239)-1)*5,1,1))</f>
        <v>1</v>
      </c>
      <c r="I242" s="5">
        <f ca="1">COUNTBLANK(OFFSET(Demand!$I251,0,(COLUMN(H239)-1)*5,1,1))</f>
        <v>1</v>
      </c>
      <c r="J242" s="5">
        <f ca="1">COUNTBLANK(OFFSET(Demand!$I251,0,(COLUMN(I239)-1)*5,1,1))</f>
        <v>1</v>
      </c>
      <c r="K242" s="5">
        <f ca="1">COUNTBLANK(OFFSET(Demand!$I251,0,(COLUMN(J239)-1)*5,1,1))</f>
        <v>1</v>
      </c>
      <c r="N242" s="5">
        <f ca="1">SUM(OFFSET(Demand!$E251,0,(COLUMN(A239)-1)*5,1,3))*N$2</f>
        <v>0</v>
      </c>
      <c r="O242" s="5">
        <f ca="1">SUM(OFFSET(Demand!$E251,0,(COLUMN(B239)-1)*5,1,3))*O$2</f>
        <v>0</v>
      </c>
      <c r="P242" s="5">
        <f ca="1">SUM(OFFSET(Demand!$E251,0,(COLUMN(C239)-1)*5,1,3))*P$2</f>
        <v>0</v>
      </c>
      <c r="Q242" s="5">
        <f ca="1">SUM(OFFSET(Demand!$E251,0,(COLUMN(D239)-1)*5,1,3))*Q$2</f>
        <v>0</v>
      </c>
      <c r="R242" s="5">
        <f ca="1">SUM(OFFSET(Demand!$E251,0,(COLUMN(E239)-1)*5,1,3))*R$2</f>
        <v>0</v>
      </c>
      <c r="S242" s="5">
        <f ca="1">SUM(OFFSET(Demand!$E251,0,(COLUMN(F239)-1)*5,1,3))*S$2</f>
        <v>0</v>
      </c>
      <c r="T242" s="5">
        <f ca="1">SUM(OFFSET(Demand!$E251,0,(COLUMN(G239)-1)*5,1,3))*T$2</f>
        <v>0</v>
      </c>
      <c r="U242" s="5">
        <f ca="1">SUM(OFFSET(Demand!$E251,0,(COLUMN(H239)-1)*5,1,3))*U$2</f>
        <v>0</v>
      </c>
      <c r="V242" s="5">
        <f ca="1">SUM(OFFSET(Demand!$E251,0,(COLUMN(I239)-1)*5,1,3))*V$2</f>
        <v>0</v>
      </c>
      <c r="W242" s="5">
        <f ca="1">SUM(OFFSET(Demand!$E251,0,(COLUMN(J239)-1)*5,1,3))*W$2</f>
        <v>0</v>
      </c>
      <c r="X242" s="5">
        <f t="shared" ca="1" si="51"/>
        <v>0</v>
      </c>
      <c r="Y242">
        <f t="shared" ca="1" si="52"/>
        <v>0</v>
      </c>
      <c r="Z242" s="5">
        <f ca="1">SUM(OFFSET(Demand!$H251,0,(COLUMN(A239)-1)*5,1,1))*N$2</f>
        <v>0</v>
      </c>
      <c r="AA242" s="5">
        <f ca="1">SUM(OFFSET(Demand!$H251,0,(COLUMN(B239)-1)*5,1,1))*O$2</f>
        <v>0</v>
      </c>
      <c r="AB242" s="5">
        <f ca="1">SUM(OFFSET(Demand!$H251,0,(COLUMN(C239)-1)*5,1,1))*P$2</f>
        <v>0</v>
      </c>
      <c r="AC242" s="5">
        <f ca="1">SUM(OFFSET(Demand!$H251,0,(COLUMN(D239)-1)*5,1,1))*Q$2</f>
        <v>0</v>
      </c>
      <c r="AD242" s="5">
        <f ca="1">SUM(OFFSET(Demand!$H251,0,(COLUMN(E239)-1)*5,1,1))*R$2</f>
        <v>0</v>
      </c>
      <c r="AE242" s="5">
        <f ca="1">SUM(OFFSET(Demand!$H251,0,(COLUMN(F239)-1)*5,1,1))*S$2</f>
        <v>0</v>
      </c>
      <c r="AF242" s="5">
        <f ca="1">SUM(OFFSET(Demand!$H251,0,(COLUMN(G239)-1)*5,1,1))*T$2</f>
        <v>0</v>
      </c>
      <c r="AG242" s="5">
        <f ca="1">SUM(OFFSET(Demand!$H251,0,(COLUMN(H239)-1)*5,1,1))*U$2</f>
        <v>0</v>
      </c>
      <c r="AH242" s="5">
        <f ca="1">SUM(OFFSET(Demand!$H251,0,(COLUMN(I239)-1)*5,1,1))*V$2</f>
        <v>0</v>
      </c>
      <c r="AI242" s="5">
        <f ca="1">SUM(OFFSET(Demand!$H251,0,(COLUMN(J239)-1)*5,1,1))*W$2</f>
        <v>0</v>
      </c>
      <c r="AJ242" s="5">
        <f t="shared" ca="1" si="53"/>
        <v>0</v>
      </c>
      <c r="AL242" s="5">
        <f t="shared" ca="1" si="54"/>
        <v>0</v>
      </c>
      <c r="AM242" s="5">
        <f t="shared" ca="1" si="55"/>
        <v>0</v>
      </c>
      <c r="AN242" s="5" t="str">
        <f>IF(Demand!BE251="Yes","Yes","")</f>
        <v/>
      </c>
      <c r="AP242" s="36" t="str">
        <f ca="1">Demand!B251</f>
        <v xml:space="preserve"> </v>
      </c>
      <c r="AQ242" t="str">
        <f ca="1">IF(TEXT(Demand!D251,"MMM")&lt;&gt;TEXT(Demand!D250,"MMM"),TEXT(Demand!D251,"MMM"),"")</f>
        <v/>
      </c>
      <c r="AT242" s="5">
        <f t="shared" ca="1" si="56"/>
        <v>0</v>
      </c>
      <c r="BQ242">
        <f ca="1">IF($AN242="",OFFSET(Demand!$A$13,ROW(A239)-1,4+((QUOTIENT(COLUMN(BQ$2)-69,3))*5)+MOD(COLUMN(BQ$2),3),1,1),"")</f>
        <v>0</v>
      </c>
      <c r="BR242">
        <f ca="1">IF($AN242="",OFFSET(Demand!$A$13,ROW(B239)-1,4+((QUOTIENT(COLUMN(BR$2)-69,3))*5)+MOD(COLUMN(BR$2),3),1,1),"")</f>
        <v>0</v>
      </c>
      <c r="BS242">
        <f ca="1">IF($AN242="",OFFSET(Demand!$A$13,ROW(C239)-1,4+((QUOTIENT(COLUMN(BS$2)-69,3))*5)+MOD(COLUMN(BS$2),3),1,1),"")</f>
        <v>0</v>
      </c>
      <c r="BT242">
        <f ca="1">IF($AN242="",OFFSET(Demand!$A$13,ROW(D239)-1,4+((QUOTIENT(COLUMN(BT$2)-69,3))*5)+MOD(COLUMN(BT$2),3),1,1),"")</f>
        <v>0</v>
      </c>
      <c r="BU242">
        <f ca="1">IF($AN242="",OFFSET(Demand!$A$13,ROW(E239)-1,4+((QUOTIENT(COLUMN(BU$2)-69,3))*5)+MOD(COLUMN(BU$2),3),1,1),"")</f>
        <v>0</v>
      </c>
      <c r="BV242">
        <f ca="1">IF($AN242="",OFFSET(Demand!$A$13,ROW(F239)-1,4+((QUOTIENT(COLUMN(BV$2)-69,3))*5)+MOD(COLUMN(BV$2),3),1,1),"")</f>
        <v>0</v>
      </c>
      <c r="BW242">
        <f ca="1">IF($AN242="",OFFSET(Demand!$A$13,ROW(G239)-1,4+((QUOTIENT(COLUMN(BW$2)-69,3))*5)+MOD(COLUMN(BW$2),3),1,1),"")</f>
        <v>0</v>
      </c>
      <c r="BX242">
        <f ca="1">IF($AN242="",OFFSET(Demand!$A$13,ROW(H239)-1,4+((QUOTIENT(COLUMN(BX$2)-69,3))*5)+MOD(COLUMN(BX$2),3),1,1),"")</f>
        <v>0</v>
      </c>
      <c r="BY242">
        <f ca="1">IF($AN242="",OFFSET(Demand!$A$13,ROW(I239)-1,4+((QUOTIENT(COLUMN(BY$2)-69,3))*5)+MOD(COLUMN(BY$2),3),1,1),"")</f>
        <v>0</v>
      </c>
      <c r="BZ242">
        <f ca="1">IF($AN242="",OFFSET(Demand!$A$13,ROW(J239)-1,4+((QUOTIENT(COLUMN(BZ$2)-69,3))*5)+MOD(COLUMN(BZ$2),3),1,1),"")</f>
        <v>0</v>
      </c>
      <c r="CA242">
        <f ca="1">IF($AN242="",OFFSET(Demand!$A$13,ROW(K239)-1,4+((QUOTIENT(COLUMN(CA$2)-69,3))*5)+MOD(COLUMN(CA$2),3),1,1),"")</f>
        <v>0</v>
      </c>
      <c r="CB242">
        <f ca="1">IF($AN242="",OFFSET(Demand!$A$13,ROW(L239)-1,4+((QUOTIENT(COLUMN(CB$2)-69,3))*5)+MOD(COLUMN(CB$2),3),1,1),"")</f>
        <v>0</v>
      </c>
      <c r="CC242">
        <f ca="1">IF($AN242="",OFFSET(Demand!$A$13,ROW(M239)-1,4+((QUOTIENT(COLUMN(CC$2)-69,3))*5)+MOD(COLUMN(CC$2),3),1,1),"")</f>
        <v>0</v>
      </c>
      <c r="CD242">
        <f ca="1">IF($AN242="",OFFSET(Demand!$A$13,ROW(N239)-1,4+((QUOTIENT(COLUMN(CD$2)-69,3))*5)+MOD(COLUMN(CD$2),3),1,1),"")</f>
        <v>0</v>
      </c>
      <c r="CE242">
        <f ca="1">IF($AN242="",OFFSET(Demand!$A$13,ROW(O239)-1,4+((QUOTIENT(COLUMN(CE$2)-69,3))*5)+MOD(COLUMN(CE$2),3),1,1),"")</f>
        <v>0</v>
      </c>
      <c r="CF242">
        <f ca="1">IF($AN242="",OFFSET(Demand!$A$13,ROW(P239)-1,4+((QUOTIENT(COLUMN(CF$2)-69,3))*5)+MOD(COLUMN(CF$2),3),1,1),"")</f>
        <v>0</v>
      </c>
      <c r="CG242">
        <f ca="1">IF($AN242="",OFFSET(Demand!$A$13,ROW(Q239)-1,4+((QUOTIENT(COLUMN(CG$2)-69,3))*5)+MOD(COLUMN(CG$2),3),1,1),"")</f>
        <v>0</v>
      </c>
      <c r="CH242">
        <f ca="1">IF($AN242="",OFFSET(Demand!$A$13,ROW(R239)-1,4+((QUOTIENT(COLUMN(CH$2)-69,3))*5)+MOD(COLUMN(CH$2),3),1,1),"")</f>
        <v>0</v>
      </c>
      <c r="CI242">
        <f ca="1">IF($AN242="",OFFSET(Demand!$A$13,ROW(S239)-1,4+((QUOTIENT(COLUMN(CI$2)-69,3))*5)+MOD(COLUMN(CI$2),3),1,1),"")</f>
        <v>0</v>
      </c>
      <c r="CJ242">
        <f ca="1">IF($AN242="",OFFSET(Demand!$A$13,ROW(T239)-1,4+((QUOTIENT(COLUMN(CJ$2)-69,3))*5)+MOD(COLUMN(CJ$2),3),1,1),"")</f>
        <v>0</v>
      </c>
      <c r="CK242">
        <f ca="1">IF($AN242="",OFFSET(Demand!$A$13,ROW(U239)-1,4+((QUOTIENT(COLUMN(CK$2)-69,3))*5)+MOD(COLUMN(CK$2),3),1,1),"")</f>
        <v>0</v>
      </c>
      <c r="CL242">
        <f ca="1">IF($AN242="",OFFSET(Demand!$A$13,ROW(V239)-1,4+((QUOTIENT(COLUMN(CL$2)-69,3))*5)+MOD(COLUMN(CL$2),3),1,1),"")</f>
        <v>0</v>
      </c>
      <c r="CM242">
        <f ca="1">IF($AN242="",OFFSET(Demand!$A$13,ROW(W239)-1,4+((QUOTIENT(COLUMN(CM$2)-69,3))*5)+MOD(COLUMN(CM$2),3),1,1),"")</f>
        <v>0</v>
      </c>
      <c r="CN242">
        <f ca="1">IF($AN242="",OFFSET(Demand!$A$13,ROW(X239)-1,4+((QUOTIENT(COLUMN(CN$2)-69,3))*5)+MOD(COLUMN(CN$2),3),1,1),"")</f>
        <v>0</v>
      </c>
      <c r="CO242">
        <f ca="1">IF($AN242="",OFFSET(Demand!$A$13,ROW(Y239)-1,4+((QUOTIENT(COLUMN(CO$2)-69,3))*5)+MOD(COLUMN(CO$2),3),1,1),"")</f>
        <v>0</v>
      </c>
      <c r="CP242">
        <f ca="1">IF($AN242="",OFFSET(Demand!$A$13,ROW(Z239)-1,4+((QUOTIENT(COLUMN(CP$2)-69,3))*5)+MOD(COLUMN(CP$2),3),1,1),"")</f>
        <v>0</v>
      </c>
      <c r="CQ242">
        <f ca="1">IF($AN242="",OFFSET(Demand!$A$13,ROW(AA239)-1,4+((QUOTIENT(COLUMN(CQ$2)-69,3))*5)+MOD(COLUMN(CQ$2),3),1,1),"")</f>
        <v>0</v>
      </c>
      <c r="CR242">
        <f ca="1">IF($AN242="",OFFSET(Demand!$A$13,ROW(AB239)-1,4+((QUOTIENT(COLUMN(CR$2)-69,3))*5)+MOD(COLUMN(CR$2),3),1,1),"")</f>
        <v>0</v>
      </c>
      <c r="CS242">
        <f ca="1">IF($AN242="",OFFSET(Demand!$A$13,ROW(AC239)-1,4+((QUOTIENT(COLUMN(CS$2)-69,3))*5)+MOD(COLUMN(CS$2),3),1,1),"")</f>
        <v>0</v>
      </c>
      <c r="CT242">
        <f ca="1">IF($AN242="",OFFSET(Demand!$A$13,ROW(AD239)-1,4+((QUOTIENT(COLUMN(CT$2)-69,3))*5)+MOD(COLUMN(CT$2),3),1,1),"")</f>
        <v>0</v>
      </c>
      <c r="CW242" s="5">
        <f ca="1">SUM(OFFSET(Demand!$H$43,ROW(A239)-1,(COLUMN(A239)-1)*5,1,1))*N$2</f>
        <v>0</v>
      </c>
      <c r="CX242" s="5">
        <f ca="1">SUM(OFFSET(Demand!$H$43,ROW(B239)-1,(COLUMN(B239)-1)*5,1,1))*O$2</f>
        <v>0</v>
      </c>
      <c r="CY242" s="5">
        <f ca="1">SUM(OFFSET(Demand!$H$43,ROW(C239)-1,(COLUMN(C239)-1)*5,1,1))*P$2</f>
        <v>0</v>
      </c>
      <c r="CZ242" s="5">
        <f ca="1">SUM(OFFSET(Demand!$H$43,ROW(D239)-1,(COLUMN(D239)-1)*5,1,1))*Q$2</f>
        <v>0</v>
      </c>
      <c r="DA242" s="5">
        <f ca="1">SUM(OFFSET(Demand!$H$43,ROW(E239)-1,(COLUMN(E239)-1)*5,1,1))*R$2</f>
        <v>0</v>
      </c>
      <c r="DB242" s="5">
        <f ca="1">SUM(OFFSET(Demand!$H$43,ROW(F239)-1,(COLUMN(F239)-1)*5,1,1))*S$2</f>
        <v>0</v>
      </c>
      <c r="DC242" s="5">
        <f ca="1">SUM(OFFSET(Demand!$H$43,ROW(G239)-1,(COLUMN(G239)-1)*5,1,1))*T$2</f>
        <v>0</v>
      </c>
      <c r="DD242" s="5">
        <f ca="1">SUM(OFFSET(Demand!$H$43,ROW(H239)-1,(COLUMN(H239)-1)*5,1,1))*U$2</f>
        <v>0</v>
      </c>
      <c r="DE242" s="5">
        <f ca="1">SUM(OFFSET(Demand!$H$43,ROW(I239)-1,(COLUMN(I239)-1)*5,1,1))*V$2</f>
        <v>0</v>
      </c>
      <c r="DF242" s="5">
        <f ca="1">SUM(OFFSET(Demand!$H$43,ROW(J239)-1,(COLUMN(J239)-1)*5,1,1))*W$2</f>
        <v>0</v>
      </c>
      <c r="DG242" s="5">
        <f ca="1">IF(OR(AN242&lt;&gt;"",AND('Demand adjustments for Covid'!$F$9="Yes",'Demand adjustments for Covid'!$F$20="Yes")),"",SUM(CW242:DF242))</f>
        <v>0</v>
      </c>
    </row>
    <row r="243" spans="1:111" x14ac:dyDescent="0.25">
      <c r="A243" s="5">
        <f t="shared" ca="1" si="50"/>
        <v>1</v>
      </c>
      <c r="B243" s="5">
        <f ca="1">COUNTBLANK(OFFSET(Demand!$I252,0,(COLUMN(A240)-1)*5,1,1))</f>
        <v>1</v>
      </c>
      <c r="C243" s="5">
        <f ca="1">COUNTBLANK(OFFSET(Demand!$I252,0,(COLUMN(B240)-1)*5,1,1))</f>
        <v>1</v>
      </c>
      <c r="D243" s="5">
        <f ca="1">COUNTBLANK(OFFSET(Demand!$I252,0,(COLUMN(C240)-1)*5,1,1))</f>
        <v>1</v>
      </c>
      <c r="E243" s="5">
        <f ca="1">COUNTBLANK(OFFSET(Demand!$I252,0,(COLUMN(D240)-1)*5,1,1))</f>
        <v>1</v>
      </c>
      <c r="F243" s="5">
        <f ca="1">COUNTBLANK(OFFSET(Demand!$I252,0,(COLUMN(E240)-1)*5,1,1))</f>
        <v>1</v>
      </c>
      <c r="G243" s="5">
        <f ca="1">COUNTBLANK(OFFSET(Demand!$I252,0,(COLUMN(F240)-1)*5,1,1))</f>
        <v>1</v>
      </c>
      <c r="H243" s="5">
        <f ca="1">COUNTBLANK(OFFSET(Demand!$I252,0,(COLUMN(G240)-1)*5,1,1))</f>
        <v>1</v>
      </c>
      <c r="I243" s="5">
        <f ca="1">COUNTBLANK(OFFSET(Demand!$I252,0,(COLUMN(H240)-1)*5,1,1))</f>
        <v>1</v>
      </c>
      <c r="J243" s="5">
        <f ca="1">COUNTBLANK(OFFSET(Demand!$I252,0,(COLUMN(I240)-1)*5,1,1))</f>
        <v>1</v>
      </c>
      <c r="K243" s="5">
        <f ca="1">COUNTBLANK(OFFSET(Demand!$I252,0,(COLUMN(J240)-1)*5,1,1))</f>
        <v>1</v>
      </c>
      <c r="N243" s="5">
        <f ca="1">SUM(OFFSET(Demand!$E252,0,(COLUMN(A240)-1)*5,1,3))*N$2</f>
        <v>0</v>
      </c>
      <c r="O243" s="5">
        <f ca="1">SUM(OFFSET(Demand!$E252,0,(COLUMN(B240)-1)*5,1,3))*O$2</f>
        <v>0</v>
      </c>
      <c r="P243" s="5">
        <f ca="1">SUM(OFFSET(Demand!$E252,0,(COLUMN(C240)-1)*5,1,3))*P$2</f>
        <v>0</v>
      </c>
      <c r="Q243" s="5">
        <f ca="1">SUM(OFFSET(Demand!$E252,0,(COLUMN(D240)-1)*5,1,3))*Q$2</f>
        <v>0</v>
      </c>
      <c r="R243" s="5">
        <f ca="1">SUM(OFFSET(Demand!$E252,0,(COLUMN(E240)-1)*5,1,3))*R$2</f>
        <v>0</v>
      </c>
      <c r="S243" s="5">
        <f ca="1">SUM(OFFSET(Demand!$E252,0,(COLUMN(F240)-1)*5,1,3))*S$2</f>
        <v>0</v>
      </c>
      <c r="T243" s="5">
        <f ca="1">SUM(OFFSET(Demand!$E252,0,(COLUMN(G240)-1)*5,1,3))*T$2</f>
        <v>0</v>
      </c>
      <c r="U243" s="5">
        <f ca="1">SUM(OFFSET(Demand!$E252,0,(COLUMN(H240)-1)*5,1,3))*U$2</f>
        <v>0</v>
      </c>
      <c r="V243" s="5">
        <f ca="1">SUM(OFFSET(Demand!$E252,0,(COLUMN(I240)-1)*5,1,3))*V$2</f>
        <v>0</v>
      </c>
      <c r="W243" s="5">
        <f ca="1">SUM(OFFSET(Demand!$E252,0,(COLUMN(J240)-1)*5,1,3))*W$2</f>
        <v>0</v>
      </c>
      <c r="X243" s="5">
        <f t="shared" ca="1" si="51"/>
        <v>0</v>
      </c>
      <c r="Y243">
        <f t="shared" ca="1" si="52"/>
        <v>0</v>
      </c>
      <c r="Z243" s="5">
        <f ca="1">SUM(OFFSET(Demand!$H252,0,(COLUMN(A240)-1)*5,1,1))*N$2</f>
        <v>0</v>
      </c>
      <c r="AA243" s="5">
        <f ca="1">SUM(OFFSET(Demand!$H252,0,(COLUMN(B240)-1)*5,1,1))*O$2</f>
        <v>0</v>
      </c>
      <c r="AB243" s="5">
        <f ca="1">SUM(OFFSET(Demand!$H252,0,(COLUMN(C240)-1)*5,1,1))*P$2</f>
        <v>0</v>
      </c>
      <c r="AC243" s="5">
        <f ca="1">SUM(OFFSET(Demand!$H252,0,(COLUMN(D240)-1)*5,1,1))*Q$2</f>
        <v>0</v>
      </c>
      <c r="AD243" s="5">
        <f ca="1">SUM(OFFSET(Demand!$H252,0,(COLUMN(E240)-1)*5,1,1))*R$2</f>
        <v>0</v>
      </c>
      <c r="AE243" s="5">
        <f ca="1">SUM(OFFSET(Demand!$H252,0,(COLUMN(F240)-1)*5,1,1))*S$2</f>
        <v>0</v>
      </c>
      <c r="AF243" s="5">
        <f ca="1">SUM(OFFSET(Demand!$H252,0,(COLUMN(G240)-1)*5,1,1))*T$2</f>
        <v>0</v>
      </c>
      <c r="AG243" s="5">
        <f ca="1">SUM(OFFSET(Demand!$H252,0,(COLUMN(H240)-1)*5,1,1))*U$2</f>
        <v>0</v>
      </c>
      <c r="AH243" s="5">
        <f ca="1">SUM(OFFSET(Demand!$H252,0,(COLUMN(I240)-1)*5,1,1))*V$2</f>
        <v>0</v>
      </c>
      <c r="AI243" s="5">
        <f ca="1">SUM(OFFSET(Demand!$H252,0,(COLUMN(J240)-1)*5,1,1))*W$2</f>
        <v>0</v>
      </c>
      <c r="AJ243" s="5">
        <f t="shared" ca="1" si="53"/>
        <v>0</v>
      </c>
      <c r="AL243" s="5">
        <f t="shared" ca="1" si="54"/>
        <v>0</v>
      </c>
      <c r="AM243" s="5">
        <f t="shared" ca="1" si="55"/>
        <v>0</v>
      </c>
      <c r="AN243" s="5" t="str">
        <f>IF(Demand!BE252="Yes","Yes","")</f>
        <v/>
      </c>
      <c r="AP243" s="36" t="str">
        <f ca="1">Demand!B252</f>
        <v xml:space="preserve"> </v>
      </c>
      <c r="AQ243" t="str">
        <f ca="1">IF(TEXT(Demand!D252,"MMM")&lt;&gt;TEXT(Demand!D251,"MMM"),TEXT(Demand!D252,"MMM"),"")</f>
        <v/>
      </c>
      <c r="AT243" s="5">
        <f t="shared" ca="1" si="56"/>
        <v>0</v>
      </c>
      <c r="BQ243">
        <f ca="1">IF($AN243="",OFFSET(Demand!$A$13,ROW(A240)-1,4+((QUOTIENT(COLUMN(BQ$2)-69,3))*5)+MOD(COLUMN(BQ$2),3),1,1),"")</f>
        <v>0</v>
      </c>
      <c r="BR243">
        <f ca="1">IF($AN243="",OFFSET(Demand!$A$13,ROW(B240)-1,4+((QUOTIENT(COLUMN(BR$2)-69,3))*5)+MOD(COLUMN(BR$2),3),1,1),"")</f>
        <v>0</v>
      </c>
      <c r="BS243">
        <f ca="1">IF($AN243="",OFFSET(Demand!$A$13,ROW(C240)-1,4+((QUOTIENT(COLUMN(BS$2)-69,3))*5)+MOD(COLUMN(BS$2),3),1,1),"")</f>
        <v>0</v>
      </c>
      <c r="BT243">
        <f ca="1">IF($AN243="",OFFSET(Demand!$A$13,ROW(D240)-1,4+((QUOTIENT(COLUMN(BT$2)-69,3))*5)+MOD(COLUMN(BT$2),3),1,1),"")</f>
        <v>0</v>
      </c>
      <c r="BU243">
        <f ca="1">IF($AN243="",OFFSET(Demand!$A$13,ROW(E240)-1,4+((QUOTIENT(COLUMN(BU$2)-69,3))*5)+MOD(COLUMN(BU$2),3),1,1),"")</f>
        <v>0</v>
      </c>
      <c r="BV243">
        <f ca="1">IF($AN243="",OFFSET(Demand!$A$13,ROW(F240)-1,4+((QUOTIENT(COLUMN(BV$2)-69,3))*5)+MOD(COLUMN(BV$2),3),1,1),"")</f>
        <v>0</v>
      </c>
      <c r="BW243">
        <f ca="1">IF($AN243="",OFFSET(Demand!$A$13,ROW(G240)-1,4+((QUOTIENT(COLUMN(BW$2)-69,3))*5)+MOD(COLUMN(BW$2),3),1,1),"")</f>
        <v>0</v>
      </c>
      <c r="BX243">
        <f ca="1">IF($AN243="",OFFSET(Demand!$A$13,ROW(H240)-1,4+((QUOTIENT(COLUMN(BX$2)-69,3))*5)+MOD(COLUMN(BX$2),3),1,1),"")</f>
        <v>0</v>
      </c>
      <c r="BY243">
        <f ca="1">IF($AN243="",OFFSET(Demand!$A$13,ROW(I240)-1,4+((QUOTIENT(COLUMN(BY$2)-69,3))*5)+MOD(COLUMN(BY$2),3),1,1),"")</f>
        <v>0</v>
      </c>
      <c r="BZ243">
        <f ca="1">IF($AN243="",OFFSET(Demand!$A$13,ROW(J240)-1,4+((QUOTIENT(COLUMN(BZ$2)-69,3))*5)+MOD(COLUMN(BZ$2),3),1,1),"")</f>
        <v>0</v>
      </c>
      <c r="CA243">
        <f ca="1">IF($AN243="",OFFSET(Demand!$A$13,ROW(K240)-1,4+((QUOTIENT(COLUMN(CA$2)-69,3))*5)+MOD(COLUMN(CA$2),3),1,1),"")</f>
        <v>0</v>
      </c>
      <c r="CB243">
        <f ca="1">IF($AN243="",OFFSET(Demand!$A$13,ROW(L240)-1,4+((QUOTIENT(COLUMN(CB$2)-69,3))*5)+MOD(COLUMN(CB$2),3),1,1),"")</f>
        <v>0</v>
      </c>
      <c r="CC243">
        <f ca="1">IF($AN243="",OFFSET(Demand!$A$13,ROW(M240)-1,4+((QUOTIENT(COLUMN(CC$2)-69,3))*5)+MOD(COLUMN(CC$2),3),1,1),"")</f>
        <v>0</v>
      </c>
      <c r="CD243">
        <f ca="1">IF($AN243="",OFFSET(Demand!$A$13,ROW(N240)-1,4+((QUOTIENT(COLUMN(CD$2)-69,3))*5)+MOD(COLUMN(CD$2),3),1,1),"")</f>
        <v>0</v>
      </c>
      <c r="CE243">
        <f ca="1">IF($AN243="",OFFSET(Demand!$A$13,ROW(O240)-1,4+((QUOTIENT(COLUMN(CE$2)-69,3))*5)+MOD(COLUMN(CE$2),3),1,1),"")</f>
        <v>0</v>
      </c>
      <c r="CF243">
        <f ca="1">IF($AN243="",OFFSET(Demand!$A$13,ROW(P240)-1,4+((QUOTIENT(COLUMN(CF$2)-69,3))*5)+MOD(COLUMN(CF$2),3),1,1),"")</f>
        <v>0</v>
      </c>
      <c r="CG243">
        <f ca="1">IF($AN243="",OFFSET(Demand!$A$13,ROW(Q240)-1,4+((QUOTIENT(COLUMN(CG$2)-69,3))*5)+MOD(COLUMN(CG$2),3),1,1),"")</f>
        <v>0</v>
      </c>
      <c r="CH243">
        <f ca="1">IF($AN243="",OFFSET(Demand!$A$13,ROW(R240)-1,4+((QUOTIENT(COLUMN(CH$2)-69,3))*5)+MOD(COLUMN(CH$2),3),1,1),"")</f>
        <v>0</v>
      </c>
      <c r="CI243">
        <f ca="1">IF($AN243="",OFFSET(Demand!$A$13,ROW(S240)-1,4+((QUOTIENT(COLUMN(CI$2)-69,3))*5)+MOD(COLUMN(CI$2),3),1,1),"")</f>
        <v>0</v>
      </c>
      <c r="CJ243">
        <f ca="1">IF($AN243="",OFFSET(Demand!$A$13,ROW(T240)-1,4+((QUOTIENT(COLUMN(CJ$2)-69,3))*5)+MOD(COLUMN(CJ$2),3),1,1),"")</f>
        <v>0</v>
      </c>
      <c r="CK243">
        <f ca="1">IF($AN243="",OFFSET(Demand!$A$13,ROW(U240)-1,4+((QUOTIENT(COLUMN(CK$2)-69,3))*5)+MOD(COLUMN(CK$2),3),1,1),"")</f>
        <v>0</v>
      </c>
      <c r="CL243">
        <f ca="1">IF($AN243="",OFFSET(Demand!$A$13,ROW(V240)-1,4+((QUOTIENT(COLUMN(CL$2)-69,3))*5)+MOD(COLUMN(CL$2),3),1,1),"")</f>
        <v>0</v>
      </c>
      <c r="CM243">
        <f ca="1">IF($AN243="",OFFSET(Demand!$A$13,ROW(W240)-1,4+((QUOTIENT(COLUMN(CM$2)-69,3))*5)+MOD(COLUMN(CM$2),3),1,1),"")</f>
        <v>0</v>
      </c>
      <c r="CN243">
        <f ca="1">IF($AN243="",OFFSET(Demand!$A$13,ROW(X240)-1,4+((QUOTIENT(COLUMN(CN$2)-69,3))*5)+MOD(COLUMN(CN$2),3),1,1),"")</f>
        <v>0</v>
      </c>
      <c r="CO243">
        <f ca="1">IF($AN243="",OFFSET(Demand!$A$13,ROW(Y240)-1,4+((QUOTIENT(COLUMN(CO$2)-69,3))*5)+MOD(COLUMN(CO$2),3),1,1),"")</f>
        <v>0</v>
      </c>
      <c r="CP243">
        <f ca="1">IF($AN243="",OFFSET(Demand!$A$13,ROW(Z240)-1,4+((QUOTIENT(COLUMN(CP$2)-69,3))*5)+MOD(COLUMN(CP$2),3),1,1),"")</f>
        <v>0</v>
      </c>
      <c r="CQ243">
        <f ca="1">IF($AN243="",OFFSET(Demand!$A$13,ROW(AA240)-1,4+((QUOTIENT(COLUMN(CQ$2)-69,3))*5)+MOD(COLUMN(CQ$2),3),1,1),"")</f>
        <v>0</v>
      </c>
      <c r="CR243">
        <f ca="1">IF($AN243="",OFFSET(Demand!$A$13,ROW(AB240)-1,4+((QUOTIENT(COLUMN(CR$2)-69,3))*5)+MOD(COLUMN(CR$2),3),1,1),"")</f>
        <v>0</v>
      </c>
      <c r="CS243">
        <f ca="1">IF($AN243="",OFFSET(Demand!$A$13,ROW(AC240)-1,4+((QUOTIENT(COLUMN(CS$2)-69,3))*5)+MOD(COLUMN(CS$2),3),1,1),"")</f>
        <v>0</v>
      </c>
      <c r="CT243">
        <f ca="1">IF($AN243="",OFFSET(Demand!$A$13,ROW(AD240)-1,4+((QUOTIENT(COLUMN(CT$2)-69,3))*5)+MOD(COLUMN(CT$2),3),1,1),"")</f>
        <v>0</v>
      </c>
      <c r="CW243" s="5">
        <f ca="1">SUM(OFFSET(Demand!$H$43,ROW(A240)-1,(COLUMN(A240)-1)*5,1,1))*N$2</f>
        <v>0</v>
      </c>
      <c r="CX243" s="5">
        <f ca="1">SUM(OFFSET(Demand!$H$43,ROW(B240)-1,(COLUMN(B240)-1)*5,1,1))*O$2</f>
        <v>0</v>
      </c>
      <c r="CY243" s="5">
        <f ca="1">SUM(OFFSET(Demand!$H$43,ROW(C240)-1,(COLUMN(C240)-1)*5,1,1))*P$2</f>
        <v>0</v>
      </c>
      <c r="CZ243" s="5">
        <f ca="1">SUM(OFFSET(Demand!$H$43,ROW(D240)-1,(COLUMN(D240)-1)*5,1,1))*Q$2</f>
        <v>0</v>
      </c>
      <c r="DA243" s="5">
        <f ca="1">SUM(OFFSET(Demand!$H$43,ROW(E240)-1,(COLUMN(E240)-1)*5,1,1))*R$2</f>
        <v>0</v>
      </c>
      <c r="DB243" s="5">
        <f ca="1">SUM(OFFSET(Demand!$H$43,ROW(F240)-1,(COLUMN(F240)-1)*5,1,1))*S$2</f>
        <v>0</v>
      </c>
      <c r="DC243" s="5">
        <f ca="1">SUM(OFFSET(Demand!$H$43,ROW(G240)-1,(COLUMN(G240)-1)*5,1,1))*T$2</f>
        <v>0</v>
      </c>
      <c r="DD243" s="5">
        <f ca="1">SUM(OFFSET(Demand!$H$43,ROW(H240)-1,(COLUMN(H240)-1)*5,1,1))*U$2</f>
        <v>0</v>
      </c>
      <c r="DE243" s="5">
        <f ca="1">SUM(OFFSET(Demand!$H$43,ROW(I240)-1,(COLUMN(I240)-1)*5,1,1))*V$2</f>
        <v>0</v>
      </c>
      <c r="DF243" s="5">
        <f ca="1">SUM(OFFSET(Demand!$H$43,ROW(J240)-1,(COLUMN(J240)-1)*5,1,1))*W$2</f>
        <v>0</v>
      </c>
      <c r="DG243" s="5">
        <f ca="1">IF(OR(AN243&lt;&gt;"",AND('Demand adjustments for Covid'!$F$9="Yes",'Demand adjustments for Covid'!$F$20="Yes")),"",SUM(CW243:DF243))</f>
        <v>0</v>
      </c>
    </row>
    <row r="244" spans="1:111" x14ac:dyDescent="0.25">
      <c r="A244" s="5">
        <f t="shared" ca="1" si="50"/>
        <v>1</v>
      </c>
      <c r="B244" s="5">
        <f ca="1">COUNTBLANK(OFFSET(Demand!$I253,0,(COLUMN(A241)-1)*5,1,1))</f>
        <v>1</v>
      </c>
      <c r="C244" s="5">
        <f ca="1">COUNTBLANK(OFFSET(Demand!$I253,0,(COLUMN(B241)-1)*5,1,1))</f>
        <v>1</v>
      </c>
      <c r="D244" s="5">
        <f ca="1">COUNTBLANK(OFFSET(Demand!$I253,0,(COLUMN(C241)-1)*5,1,1))</f>
        <v>1</v>
      </c>
      <c r="E244" s="5">
        <f ca="1">COUNTBLANK(OFFSET(Demand!$I253,0,(COLUMN(D241)-1)*5,1,1))</f>
        <v>1</v>
      </c>
      <c r="F244" s="5">
        <f ca="1">COUNTBLANK(OFFSET(Demand!$I253,0,(COLUMN(E241)-1)*5,1,1))</f>
        <v>1</v>
      </c>
      <c r="G244" s="5">
        <f ca="1">COUNTBLANK(OFFSET(Demand!$I253,0,(COLUMN(F241)-1)*5,1,1))</f>
        <v>1</v>
      </c>
      <c r="H244" s="5">
        <f ca="1">COUNTBLANK(OFFSET(Demand!$I253,0,(COLUMN(G241)-1)*5,1,1))</f>
        <v>1</v>
      </c>
      <c r="I244" s="5">
        <f ca="1">COUNTBLANK(OFFSET(Demand!$I253,0,(COLUMN(H241)-1)*5,1,1))</f>
        <v>1</v>
      </c>
      <c r="J244" s="5">
        <f ca="1">COUNTBLANK(OFFSET(Demand!$I253,0,(COLUMN(I241)-1)*5,1,1))</f>
        <v>1</v>
      </c>
      <c r="K244" s="5">
        <f ca="1">COUNTBLANK(OFFSET(Demand!$I253,0,(COLUMN(J241)-1)*5,1,1))</f>
        <v>1</v>
      </c>
      <c r="N244" s="5">
        <f ca="1">SUM(OFFSET(Demand!$E253,0,(COLUMN(A241)-1)*5,1,3))*N$2</f>
        <v>0</v>
      </c>
      <c r="O244" s="5">
        <f ca="1">SUM(OFFSET(Demand!$E253,0,(COLUMN(B241)-1)*5,1,3))*O$2</f>
        <v>0</v>
      </c>
      <c r="P244" s="5">
        <f ca="1">SUM(OFFSET(Demand!$E253,0,(COLUMN(C241)-1)*5,1,3))*P$2</f>
        <v>0</v>
      </c>
      <c r="Q244" s="5">
        <f ca="1">SUM(OFFSET(Demand!$E253,0,(COLUMN(D241)-1)*5,1,3))*Q$2</f>
        <v>0</v>
      </c>
      <c r="R244" s="5">
        <f ca="1">SUM(OFFSET(Demand!$E253,0,(COLUMN(E241)-1)*5,1,3))*R$2</f>
        <v>0</v>
      </c>
      <c r="S244" s="5">
        <f ca="1">SUM(OFFSET(Demand!$E253,0,(COLUMN(F241)-1)*5,1,3))*S$2</f>
        <v>0</v>
      </c>
      <c r="T244" s="5">
        <f ca="1">SUM(OFFSET(Demand!$E253,0,(COLUMN(G241)-1)*5,1,3))*T$2</f>
        <v>0</v>
      </c>
      <c r="U244" s="5">
        <f ca="1">SUM(OFFSET(Demand!$E253,0,(COLUMN(H241)-1)*5,1,3))*U$2</f>
        <v>0</v>
      </c>
      <c r="V244" s="5">
        <f ca="1">SUM(OFFSET(Demand!$E253,0,(COLUMN(I241)-1)*5,1,3))*V$2</f>
        <v>0</v>
      </c>
      <c r="W244" s="5">
        <f ca="1">SUM(OFFSET(Demand!$E253,0,(COLUMN(J241)-1)*5,1,3))*W$2</f>
        <v>0</v>
      </c>
      <c r="X244" s="5">
        <f t="shared" ca="1" si="51"/>
        <v>0</v>
      </c>
      <c r="Y244">
        <f t="shared" ca="1" si="52"/>
        <v>0</v>
      </c>
      <c r="Z244" s="5">
        <f ca="1">SUM(OFFSET(Demand!$H253,0,(COLUMN(A241)-1)*5,1,1))*N$2</f>
        <v>0</v>
      </c>
      <c r="AA244" s="5">
        <f ca="1">SUM(OFFSET(Demand!$H253,0,(COLUMN(B241)-1)*5,1,1))*O$2</f>
        <v>0</v>
      </c>
      <c r="AB244" s="5">
        <f ca="1">SUM(OFFSET(Demand!$H253,0,(COLUMN(C241)-1)*5,1,1))*P$2</f>
        <v>0</v>
      </c>
      <c r="AC244" s="5">
        <f ca="1">SUM(OFFSET(Demand!$H253,0,(COLUMN(D241)-1)*5,1,1))*Q$2</f>
        <v>0</v>
      </c>
      <c r="AD244" s="5">
        <f ca="1">SUM(OFFSET(Demand!$H253,0,(COLUMN(E241)-1)*5,1,1))*R$2</f>
        <v>0</v>
      </c>
      <c r="AE244" s="5">
        <f ca="1">SUM(OFFSET(Demand!$H253,0,(COLUMN(F241)-1)*5,1,1))*S$2</f>
        <v>0</v>
      </c>
      <c r="AF244" s="5">
        <f ca="1">SUM(OFFSET(Demand!$H253,0,(COLUMN(G241)-1)*5,1,1))*T$2</f>
        <v>0</v>
      </c>
      <c r="AG244" s="5">
        <f ca="1">SUM(OFFSET(Demand!$H253,0,(COLUMN(H241)-1)*5,1,1))*U$2</f>
        <v>0</v>
      </c>
      <c r="AH244" s="5">
        <f ca="1">SUM(OFFSET(Demand!$H253,0,(COLUMN(I241)-1)*5,1,1))*V$2</f>
        <v>0</v>
      </c>
      <c r="AI244" s="5">
        <f ca="1">SUM(OFFSET(Demand!$H253,0,(COLUMN(J241)-1)*5,1,1))*W$2</f>
        <v>0</v>
      </c>
      <c r="AJ244" s="5">
        <f t="shared" ca="1" si="53"/>
        <v>0</v>
      </c>
      <c r="AL244" s="5">
        <f t="shared" ca="1" si="54"/>
        <v>0</v>
      </c>
      <c r="AM244" s="5">
        <f t="shared" ca="1" si="55"/>
        <v>0</v>
      </c>
      <c r="AN244" s="5" t="str">
        <f>IF(Demand!BE253="Yes","Yes","")</f>
        <v/>
      </c>
      <c r="AP244" s="36" t="str">
        <f ca="1">Demand!B253</f>
        <v xml:space="preserve"> </v>
      </c>
      <c r="AQ244" t="str">
        <f ca="1">IF(TEXT(Demand!D253,"MMM")&lt;&gt;TEXT(Demand!D252,"MMM"),TEXT(Demand!D253,"MMM"),"")</f>
        <v/>
      </c>
      <c r="AT244" s="5">
        <f t="shared" ca="1" si="56"/>
        <v>0</v>
      </c>
      <c r="BQ244">
        <f ca="1">IF($AN244="",OFFSET(Demand!$A$13,ROW(A241)-1,4+((QUOTIENT(COLUMN(BQ$2)-69,3))*5)+MOD(COLUMN(BQ$2),3),1,1),"")</f>
        <v>0</v>
      </c>
      <c r="BR244">
        <f ca="1">IF($AN244="",OFFSET(Demand!$A$13,ROW(B241)-1,4+((QUOTIENT(COLUMN(BR$2)-69,3))*5)+MOD(COLUMN(BR$2),3),1,1),"")</f>
        <v>0</v>
      </c>
      <c r="BS244">
        <f ca="1">IF($AN244="",OFFSET(Demand!$A$13,ROW(C241)-1,4+((QUOTIENT(COLUMN(BS$2)-69,3))*5)+MOD(COLUMN(BS$2),3),1,1),"")</f>
        <v>0</v>
      </c>
      <c r="BT244">
        <f ca="1">IF($AN244="",OFFSET(Demand!$A$13,ROW(D241)-1,4+((QUOTIENT(COLUMN(BT$2)-69,3))*5)+MOD(COLUMN(BT$2),3),1,1),"")</f>
        <v>0</v>
      </c>
      <c r="BU244">
        <f ca="1">IF($AN244="",OFFSET(Demand!$A$13,ROW(E241)-1,4+((QUOTIENT(COLUMN(BU$2)-69,3))*5)+MOD(COLUMN(BU$2),3),1,1),"")</f>
        <v>0</v>
      </c>
      <c r="BV244">
        <f ca="1">IF($AN244="",OFFSET(Demand!$A$13,ROW(F241)-1,4+((QUOTIENT(COLUMN(BV$2)-69,3))*5)+MOD(COLUMN(BV$2),3),1,1),"")</f>
        <v>0</v>
      </c>
      <c r="BW244">
        <f ca="1">IF($AN244="",OFFSET(Demand!$A$13,ROW(G241)-1,4+((QUOTIENT(COLUMN(BW$2)-69,3))*5)+MOD(COLUMN(BW$2),3),1,1),"")</f>
        <v>0</v>
      </c>
      <c r="BX244">
        <f ca="1">IF($AN244="",OFFSET(Demand!$A$13,ROW(H241)-1,4+((QUOTIENT(COLUMN(BX$2)-69,3))*5)+MOD(COLUMN(BX$2),3),1,1),"")</f>
        <v>0</v>
      </c>
      <c r="BY244">
        <f ca="1">IF($AN244="",OFFSET(Demand!$A$13,ROW(I241)-1,4+((QUOTIENT(COLUMN(BY$2)-69,3))*5)+MOD(COLUMN(BY$2),3),1,1),"")</f>
        <v>0</v>
      </c>
      <c r="BZ244">
        <f ca="1">IF($AN244="",OFFSET(Demand!$A$13,ROW(J241)-1,4+((QUOTIENT(COLUMN(BZ$2)-69,3))*5)+MOD(COLUMN(BZ$2),3),1,1),"")</f>
        <v>0</v>
      </c>
      <c r="CA244">
        <f ca="1">IF($AN244="",OFFSET(Demand!$A$13,ROW(K241)-1,4+((QUOTIENT(COLUMN(CA$2)-69,3))*5)+MOD(COLUMN(CA$2),3),1,1),"")</f>
        <v>0</v>
      </c>
      <c r="CB244">
        <f ca="1">IF($AN244="",OFFSET(Demand!$A$13,ROW(L241)-1,4+((QUOTIENT(COLUMN(CB$2)-69,3))*5)+MOD(COLUMN(CB$2),3),1,1),"")</f>
        <v>0</v>
      </c>
      <c r="CC244">
        <f ca="1">IF($AN244="",OFFSET(Demand!$A$13,ROW(M241)-1,4+((QUOTIENT(COLUMN(CC$2)-69,3))*5)+MOD(COLUMN(CC$2),3),1,1),"")</f>
        <v>0</v>
      </c>
      <c r="CD244">
        <f ca="1">IF($AN244="",OFFSET(Demand!$A$13,ROW(N241)-1,4+((QUOTIENT(COLUMN(CD$2)-69,3))*5)+MOD(COLUMN(CD$2),3),1,1),"")</f>
        <v>0</v>
      </c>
      <c r="CE244">
        <f ca="1">IF($AN244="",OFFSET(Demand!$A$13,ROW(O241)-1,4+((QUOTIENT(COLUMN(CE$2)-69,3))*5)+MOD(COLUMN(CE$2),3),1,1),"")</f>
        <v>0</v>
      </c>
      <c r="CF244">
        <f ca="1">IF($AN244="",OFFSET(Demand!$A$13,ROW(P241)-1,4+((QUOTIENT(COLUMN(CF$2)-69,3))*5)+MOD(COLUMN(CF$2),3),1,1),"")</f>
        <v>0</v>
      </c>
      <c r="CG244">
        <f ca="1">IF($AN244="",OFFSET(Demand!$A$13,ROW(Q241)-1,4+((QUOTIENT(COLUMN(CG$2)-69,3))*5)+MOD(COLUMN(CG$2),3),1,1),"")</f>
        <v>0</v>
      </c>
      <c r="CH244">
        <f ca="1">IF($AN244="",OFFSET(Demand!$A$13,ROW(R241)-1,4+((QUOTIENT(COLUMN(CH$2)-69,3))*5)+MOD(COLUMN(CH$2),3),1,1),"")</f>
        <v>0</v>
      </c>
      <c r="CI244">
        <f ca="1">IF($AN244="",OFFSET(Demand!$A$13,ROW(S241)-1,4+((QUOTIENT(COLUMN(CI$2)-69,3))*5)+MOD(COLUMN(CI$2),3),1,1),"")</f>
        <v>0</v>
      </c>
      <c r="CJ244">
        <f ca="1">IF($AN244="",OFFSET(Demand!$A$13,ROW(T241)-1,4+((QUOTIENT(COLUMN(CJ$2)-69,3))*5)+MOD(COLUMN(CJ$2),3),1,1),"")</f>
        <v>0</v>
      </c>
      <c r="CK244">
        <f ca="1">IF($AN244="",OFFSET(Demand!$A$13,ROW(U241)-1,4+((QUOTIENT(COLUMN(CK$2)-69,3))*5)+MOD(COLUMN(CK$2),3),1,1),"")</f>
        <v>0</v>
      </c>
      <c r="CL244">
        <f ca="1">IF($AN244="",OFFSET(Demand!$A$13,ROW(V241)-1,4+((QUOTIENT(COLUMN(CL$2)-69,3))*5)+MOD(COLUMN(CL$2),3),1,1),"")</f>
        <v>0</v>
      </c>
      <c r="CM244">
        <f ca="1">IF($AN244="",OFFSET(Demand!$A$13,ROW(W241)-1,4+((QUOTIENT(COLUMN(CM$2)-69,3))*5)+MOD(COLUMN(CM$2),3),1,1),"")</f>
        <v>0</v>
      </c>
      <c r="CN244">
        <f ca="1">IF($AN244="",OFFSET(Demand!$A$13,ROW(X241)-1,4+((QUOTIENT(COLUMN(CN$2)-69,3))*5)+MOD(COLUMN(CN$2),3),1,1),"")</f>
        <v>0</v>
      </c>
      <c r="CO244">
        <f ca="1">IF($AN244="",OFFSET(Demand!$A$13,ROW(Y241)-1,4+((QUOTIENT(COLUMN(CO$2)-69,3))*5)+MOD(COLUMN(CO$2),3),1,1),"")</f>
        <v>0</v>
      </c>
      <c r="CP244">
        <f ca="1">IF($AN244="",OFFSET(Demand!$A$13,ROW(Z241)-1,4+((QUOTIENT(COLUMN(CP$2)-69,3))*5)+MOD(COLUMN(CP$2),3),1,1),"")</f>
        <v>0</v>
      </c>
      <c r="CQ244">
        <f ca="1">IF($AN244="",OFFSET(Demand!$A$13,ROW(AA241)-1,4+((QUOTIENT(COLUMN(CQ$2)-69,3))*5)+MOD(COLUMN(CQ$2),3),1,1),"")</f>
        <v>0</v>
      </c>
      <c r="CR244">
        <f ca="1">IF($AN244="",OFFSET(Demand!$A$13,ROW(AB241)-1,4+((QUOTIENT(COLUMN(CR$2)-69,3))*5)+MOD(COLUMN(CR$2),3),1,1),"")</f>
        <v>0</v>
      </c>
      <c r="CS244">
        <f ca="1">IF($AN244="",OFFSET(Demand!$A$13,ROW(AC241)-1,4+((QUOTIENT(COLUMN(CS$2)-69,3))*5)+MOD(COLUMN(CS$2),3),1,1),"")</f>
        <v>0</v>
      </c>
      <c r="CT244">
        <f ca="1">IF($AN244="",OFFSET(Demand!$A$13,ROW(AD241)-1,4+((QUOTIENT(COLUMN(CT$2)-69,3))*5)+MOD(COLUMN(CT$2),3),1,1),"")</f>
        <v>0</v>
      </c>
      <c r="CW244" s="5">
        <f ca="1">SUM(OFFSET(Demand!$H$43,ROW(A241)-1,(COLUMN(A241)-1)*5,1,1))*N$2</f>
        <v>0</v>
      </c>
      <c r="CX244" s="5">
        <f ca="1">SUM(OFFSET(Demand!$H$43,ROW(B241)-1,(COLUMN(B241)-1)*5,1,1))*O$2</f>
        <v>0</v>
      </c>
      <c r="CY244" s="5">
        <f ca="1">SUM(OFFSET(Demand!$H$43,ROW(C241)-1,(COLUMN(C241)-1)*5,1,1))*P$2</f>
        <v>0</v>
      </c>
      <c r="CZ244" s="5">
        <f ca="1">SUM(OFFSET(Demand!$H$43,ROW(D241)-1,(COLUMN(D241)-1)*5,1,1))*Q$2</f>
        <v>0</v>
      </c>
      <c r="DA244" s="5">
        <f ca="1">SUM(OFFSET(Demand!$H$43,ROW(E241)-1,(COLUMN(E241)-1)*5,1,1))*R$2</f>
        <v>0</v>
      </c>
      <c r="DB244" s="5">
        <f ca="1">SUM(OFFSET(Demand!$H$43,ROW(F241)-1,(COLUMN(F241)-1)*5,1,1))*S$2</f>
        <v>0</v>
      </c>
      <c r="DC244" s="5">
        <f ca="1">SUM(OFFSET(Demand!$H$43,ROW(G241)-1,(COLUMN(G241)-1)*5,1,1))*T$2</f>
        <v>0</v>
      </c>
      <c r="DD244" s="5">
        <f ca="1">SUM(OFFSET(Demand!$H$43,ROW(H241)-1,(COLUMN(H241)-1)*5,1,1))*U$2</f>
        <v>0</v>
      </c>
      <c r="DE244" s="5">
        <f ca="1">SUM(OFFSET(Demand!$H$43,ROW(I241)-1,(COLUMN(I241)-1)*5,1,1))*V$2</f>
        <v>0</v>
      </c>
      <c r="DF244" s="5">
        <f ca="1">SUM(OFFSET(Demand!$H$43,ROW(J241)-1,(COLUMN(J241)-1)*5,1,1))*W$2</f>
        <v>0</v>
      </c>
      <c r="DG244" s="5">
        <f ca="1">IF(OR(AN244&lt;&gt;"",AND('Demand adjustments for Covid'!$F$9="Yes",'Demand adjustments for Covid'!$F$20="Yes")),"",SUM(CW244:DF244))</f>
        <v>0</v>
      </c>
    </row>
    <row r="245" spans="1:111" x14ac:dyDescent="0.25">
      <c r="A245" s="5">
        <f t="shared" ca="1" si="50"/>
        <v>1</v>
      </c>
      <c r="B245" s="5">
        <f ca="1">COUNTBLANK(OFFSET(Demand!$I254,0,(COLUMN(A242)-1)*5,1,1))</f>
        <v>1</v>
      </c>
      <c r="C245" s="5">
        <f ca="1">COUNTBLANK(OFFSET(Demand!$I254,0,(COLUMN(B242)-1)*5,1,1))</f>
        <v>1</v>
      </c>
      <c r="D245" s="5">
        <f ca="1">COUNTBLANK(OFFSET(Demand!$I254,0,(COLUMN(C242)-1)*5,1,1))</f>
        <v>1</v>
      </c>
      <c r="E245" s="5">
        <f ca="1">COUNTBLANK(OFFSET(Demand!$I254,0,(COLUMN(D242)-1)*5,1,1))</f>
        <v>1</v>
      </c>
      <c r="F245" s="5">
        <f ca="1">COUNTBLANK(OFFSET(Demand!$I254,0,(COLUMN(E242)-1)*5,1,1))</f>
        <v>1</v>
      </c>
      <c r="G245" s="5">
        <f ca="1">COUNTBLANK(OFFSET(Demand!$I254,0,(COLUMN(F242)-1)*5,1,1))</f>
        <v>1</v>
      </c>
      <c r="H245" s="5">
        <f ca="1">COUNTBLANK(OFFSET(Demand!$I254,0,(COLUMN(G242)-1)*5,1,1))</f>
        <v>1</v>
      </c>
      <c r="I245" s="5">
        <f ca="1">COUNTBLANK(OFFSET(Demand!$I254,0,(COLUMN(H242)-1)*5,1,1))</f>
        <v>1</v>
      </c>
      <c r="J245" s="5">
        <f ca="1">COUNTBLANK(OFFSET(Demand!$I254,0,(COLUMN(I242)-1)*5,1,1))</f>
        <v>1</v>
      </c>
      <c r="K245" s="5">
        <f ca="1">COUNTBLANK(OFFSET(Demand!$I254,0,(COLUMN(J242)-1)*5,1,1))</f>
        <v>1</v>
      </c>
      <c r="N245" s="5">
        <f ca="1">SUM(OFFSET(Demand!$E254,0,(COLUMN(A242)-1)*5,1,3))*N$2</f>
        <v>0</v>
      </c>
      <c r="O245" s="5">
        <f ca="1">SUM(OFFSET(Demand!$E254,0,(COLUMN(B242)-1)*5,1,3))*O$2</f>
        <v>0</v>
      </c>
      <c r="P245" s="5">
        <f ca="1">SUM(OFFSET(Demand!$E254,0,(COLUMN(C242)-1)*5,1,3))*P$2</f>
        <v>0</v>
      </c>
      <c r="Q245" s="5">
        <f ca="1">SUM(OFFSET(Demand!$E254,0,(COLUMN(D242)-1)*5,1,3))*Q$2</f>
        <v>0</v>
      </c>
      <c r="R245" s="5">
        <f ca="1">SUM(OFFSET(Demand!$E254,0,(COLUMN(E242)-1)*5,1,3))*R$2</f>
        <v>0</v>
      </c>
      <c r="S245" s="5">
        <f ca="1">SUM(OFFSET(Demand!$E254,0,(COLUMN(F242)-1)*5,1,3))*S$2</f>
        <v>0</v>
      </c>
      <c r="T245" s="5">
        <f ca="1">SUM(OFFSET(Demand!$E254,0,(COLUMN(G242)-1)*5,1,3))*T$2</f>
        <v>0</v>
      </c>
      <c r="U245" s="5">
        <f ca="1">SUM(OFFSET(Demand!$E254,0,(COLUMN(H242)-1)*5,1,3))*U$2</f>
        <v>0</v>
      </c>
      <c r="V245" s="5">
        <f ca="1">SUM(OFFSET(Demand!$E254,0,(COLUMN(I242)-1)*5,1,3))*V$2</f>
        <v>0</v>
      </c>
      <c r="W245" s="5">
        <f ca="1">SUM(OFFSET(Demand!$E254,0,(COLUMN(J242)-1)*5,1,3))*W$2</f>
        <v>0</v>
      </c>
      <c r="X245" s="5">
        <f t="shared" ca="1" si="51"/>
        <v>0</v>
      </c>
      <c r="Y245">
        <f t="shared" ca="1" si="52"/>
        <v>0</v>
      </c>
      <c r="Z245" s="5">
        <f ca="1">SUM(OFFSET(Demand!$H254,0,(COLUMN(A242)-1)*5,1,1))*N$2</f>
        <v>0</v>
      </c>
      <c r="AA245" s="5">
        <f ca="1">SUM(OFFSET(Demand!$H254,0,(COLUMN(B242)-1)*5,1,1))*O$2</f>
        <v>0</v>
      </c>
      <c r="AB245" s="5">
        <f ca="1">SUM(OFFSET(Demand!$H254,0,(COLUMN(C242)-1)*5,1,1))*P$2</f>
        <v>0</v>
      </c>
      <c r="AC245" s="5">
        <f ca="1">SUM(OFFSET(Demand!$H254,0,(COLUMN(D242)-1)*5,1,1))*Q$2</f>
        <v>0</v>
      </c>
      <c r="AD245" s="5">
        <f ca="1">SUM(OFFSET(Demand!$H254,0,(COLUMN(E242)-1)*5,1,1))*R$2</f>
        <v>0</v>
      </c>
      <c r="AE245" s="5">
        <f ca="1">SUM(OFFSET(Demand!$H254,0,(COLUMN(F242)-1)*5,1,1))*S$2</f>
        <v>0</v>
      </c>
      <c r="AF245" s="5">
        <f ca="1">SUM(OFFSET(Demand!$H254,0,(COLUMN(G242)-1)*5,1,1))*T$2</f>
        <v>0</v>
      </c>
      <c r="AG245" s="5">
        <f ca="1">SUM(OFFSET(Demand!$H254,0,(COLUMN(H242)-1)*5,1,1))*U$2</f>
        <v>0</v>
      </c>
      <c r="AH245" s="5">
        <f ca="1">SUM(OFFSET(Demand!$H254,0,(COLUMN(I242)-1)*5,1,1))*V$2</f>
        <v>0</v>
      </c>
      <c r="AI245" s="5">
        <f ca="1">SUM(OFFSET(Demand!$H254,0,(COLUMN(J242)-1)*5,1,1))*W$2</f>
        <v>0</v>
      </c>
      <c r="AJ245" s="5">
        <f t="shared" ca="1" si="53"/>
        <v>0</v>
      </c>
      <c r="AL245" s="5">
        <f t="shared" ca="1" si="54"/>
        <v>0</v>
      </c>
      <c r="AM245" s="5">
        <f t="shared" ca="1" si="55"/>
        <v>0</v>
      </c>
      <c r="AN245" s="5" t="str">
        <f>IF(Demand!BE254="Yes","Yes","")</f>
        <v/>
      </c>
      <c r="AP245" s="36" t="str">
        <f ca="1">Demand!B254</f>
        <v xml:space="preserve"> </v>
      </c>
      <c r="AQ245" t="str">
        <f ca="1">IF(TEXT(Demand!D254,"MMM")&lt;&gt;TEXT(Demand!D253,"MMM"),TEXT(Demand!D254,"MMM"),"")</f>
        <v/>
      </c>
      <c r="AT245" s="5">
        <f t="shared" ca="1" si="56"/>
        <v>0</v>
      </c>
      <c r="BQ245">
        <f ca="1">IF($AN245="",OFFSET(Demand!$A$13,ROW(A242)-1,4+((QUOTIENT(COLUMN(BQ$2)-69,3))*5)+MOD(COLUMN(BQ$2),3),1,1),"")</f>
        <v>0</v>
      </c>
      <c r="BR245">
        <f ca="1">IF($AN245="",OFFSET(Demand!$A$13,ROW(B242)-1,4+((QUOTIENT(COLUMN(BR$2)-69,3))*5)+MOD(COLUMN(BR$2),3),1,1),"")</f>
        <v>0</v>
      </c>
      <c r="BS245">
        <f ca="1">IF($AN245="",OFFSET(Demand!$A$13,ROW(C242)-1,4+((QUOTIENT(COLUMN(BS$2)-69,3))*5)+MOD(COLUMN(BS$2),3),1,1),"")</f>
        <v>0</v>
      </c>
      <c r="BT245">
        <f ca="1">IF($AN245="",OFFSET(Demand!$A$13,ROW(D242)-1,4+((QUOTIENT(COLUMN(BT$2)-69,3))*5)+MOD(COLUMN(BT$2),3),1,1),"")</f>
        <v>0</v>
      </c>
      <c r="BU245">
        <f ca="1">IF($AN245="",OFFSET(Demand!$A$13,ROW(E242)-1,4+((QUOTIENT(COLUMN(BU$2)-69,3))*5)+MOD(COLUMN(BU$2),3),1,1),"")</f>
        <v>0</v>
      </c>
      <c r="BV245">
        <f ca="1">IF($AN245="",OFFSET(Demand!$A$13,ROW(F242)-1,4+((QUOTIENT(COLUMN(BV$2)-69,3))*5)+MOD(COLUMN(BV$2),3),1,1),"")</f>
        <v>0</v>
      </c>
      <c r="BW245">
        <f ca="1">IF($AN245="",OFFSET(Demand!$A$13,ROW(G242)-1,4+((QUOTIENT(COLUMN(BW$2)-69,3))*5)+MOD(COLUMN(BW$2),3),1,1),"")</f>
        <v>0</v>
      </c>
      <c r="BX245">
        <f ca="1">IF($AN245="",OFFSET(Demand!$A$13,ROW(H242)-1,4+((QUOTIENT(COLUMN(BX$2)-69,3))*5)+MOD(COLUMN(BX$2),3),1,1),"")</f>
        <v>0</v>
      </c>
      <c r="BY245">
        <f ca="1">IF($AN245="",OFFSET(Demand!$A$13,ROW(I242)-1,4+((QUOTIENT(COLUMN(BY$2)-69,3))*5)+MOD(COLUMN(BY$2),3),1,1),"")</f>
        <v>0</v>
      </c>
      <c r="BZ245">
        <f ca="1">IF($AN245="",OFFSET(Demand!$A$13,ROW(J242)-1,4+((QUOTIENT(COLUMN(BZ$2)-69,3))*5)+MOD(COLUMN(BZ$2),3),1,1),"")</f>
        <v>0</v>
      </c>
      <c r="CA245">
        <f ca="1">IF($AN245="",OFFSET(Demand!$A$13,ROW(K242)-1,4+((QUOTIENT(COLUMN(CA$2)-69,3))*5)+MOD(COLUMN(CA$2),3),1,1),"")</f>
        <v>0</v>
      </c>
      <c r="CB245">
        <f ca="1">IF($AN245="",OFFSET(Demand!$A$13,ROW(L242)-1,4+((QUOTIENT(COLUMN(CB$2)-69,3))*5)+MOD(COLUMN(CB$2),3),1,1),"")</f>
        <v>0</v>
      </c>
      <c r="CC245">
        <f ca="1">IF($AN245="",OFFSET(Demand!$A$13,ROW(M242)-1,4+((QUOTIENT(COLUMN(CC$2)-69,3))*5)+MOD(COLUMN(CC$2),3),1,1),"")</f>
        <v>0</v>
      </c>
      <c r="CD245">
        <f ca="1">IF($AN245="",OFFSET(Demand!$A$13,ROW(N242)-1,4+((QUOTIENT(COLUMN(CD$2)-69,3))*5)+MOD(COLUMN(CD$2),3),1,1),"")</f>
        <v>0</v>
      </c>
      <c r="CE245">
        <f ca="1">IF($AN245="",OFFSET(Demand!$A$13,ROW(O242)-1,4+((QUOTIENT(COLUMN(CE$2)-69,3))*5)+MOD(COLUMN(CE$2),3),1,1),"")</f>
        <v>0</v>
      </c>
      <c r="CF245">
        <f ca="1">IF($AN245="",OFFSET(Demand!$A$13,ROW(P242)-1,4+((QUOTIENT(COLUMN(CF$2)-69,3))*5)+MOD(COLUMN(CF$2),3),1,1),"")</f>
        <v>0</v>
      </c>
      <c r="CG245">
        <f ca="1">IF($AN245="",OFFSET(Demand!$A$13,ROW(Q242)-1,4+((QUOTIENT(COLUMN(CG$2)-69,3))*5)+MOD(COLUMN(CG$2),3),1,1),"")</f>
        <v>0</v>
      </c>
      <c r="CH245">
        <f ca="1">IF($AN245="",OFFSET(Demand!$A$13,ROW(R242)-1,4+((QUOTIENT(COLUMN(CH$2)-69,3))*5)+MOD(COLUMN(CH$2),3),1,1),"")</f>
        <v>0</v>
      </c>
      <c r="CI245">
        <f ca="1">IF($AN245="",OFFSET(Demand!$A$13,ROW(S242)-1,4+((QUOTIENT(COLUMN(CI$2)-69,3))*5)+MOD(COLUMN(CI$2),3),1,1),"")</f>
        <v>0</v>
      </c>
      <c r="CJ245">
        <f ca="1">IF($AN245="",OFFSET(Demand!$A$13,ROW(T242)-1,4+((QUOTIENT(COLUMN(CJ$2)-69,3))*5)+MOD(COLUMN(CJ$2),3),1,1),"")</f>
        <v>0</v>
      </c>
      <c r="CK245">
        <f ca="1">IF($AN245="",OFFSET(Demand!$A$13,ROW(U242)-1,4+((QUOTIENT(COLUMN(CK$2)-69,3))*5)+MOD(COLUMN(CK$2),3),1,1),"")</f>
        <v>0</v>
      </c>
      <c r="CL245">
        <f ca="1">IF($AN245="",OFFSET(Demand!$A$13,ROW(V242)-1,4+((QUOTIENT(COLUMN(CL$2)-69,3))*5)+MOD(COLUMN(CL$2),3),1,1),"")</f>
        <v>0</v>
      </c>
      <c r="CM245">
        <f ca="1">IF($AN245="",OFFSET(Demand!$A$13,ROW(W242)-1,4+((QUOTIENT(COLUMN(CM$2)-69,3))*5)+MOD(COLUMN(CM$2),3),1,1),"")</f>
        <v>0</v>
      </c>
      <c r="CN245">
        <f ca="1">IF($AN245="",OFFSET(Demand!$A$13,ROW(X242)-1,4+((QUOTIENT(COLUMN(CN$2)-69,3))*5)+MOD(COLUMN(CN$2),3),1,1),"")</f>
        <v>0</v>
      </c>
      <c r="CO245">
        <f ca="1">IF($AN245="",OFFSET(Demand!$A$13,ROW(Y242)-1,4+((QUOTIENT(COLUMN(CO$2)-69,3))*5)+MOD(COLUMN(CO$2),3),1,1),"")</f>
        <v>0</v>
      </c>
      <c r="CP245">
        <f ca="1">IF($AN245="",OFFSET(Demand!$A$13,ROW(Z242)-1,4+((QUOTIENT(COLUMN(CP$2)-69,3))*5)+MOD(COLUMN(CP$2),3),1,1),"")</f>
        <v>0</v>
      </c>
      <c r="CQ245">
        <f ca="1">IF($AN245="",OFFSET(Demand!$A$13,ROW(AA242)-1,4+((QUOTIENT(COLUMN(CQ$2)-69,3))*5)+MOD(COLUMN(CQ$2),3),1,1),"")</f>
        <v>0</v>
      </c>
      <c r="CR245">
        <f ca="1">IF($AN245="",OFFSET(Demand!$A$13,ROW(AB242)-1,4+((QUOTIENT(COLUMN(CR$2)-69,3))*5)+MOD(COLUMN(CR$2),3),1,1),"")</f>
        <v>0</v>
      </c>
      <c r="CS245">
        <f ca="1">IF($AN245="",OFFSET(Demand!$A$13,ROW(AC242)-1,4+((QUOTIENT(COLUMN(CS$2)-69,3))*5)+MOD(COLUMN(CS$2),3),1,1),"")</f>
        <v>0</v>
      </c>
      <c r="CT245">
        <f ca="1">IF($AN245="",OFFSET(Demand!$A$13,ROW(AD242)-1,4+((QUOTIENT(COLUMN(CT$2)-69,3))*5)+MOD(COLUMN(CT$2),3),1,1),"")</f>
        <v>0</v>
      </c>
      <c r="CW245" s="5">
        <f ca="1">SUM(OFFSET(Demand!$H$43,ROW(A242)-1,(COLUMN(A242)-1)*5,1,1))*N$2</f>
        <v>0</v>
      </c>
      <c r="CX245" s="5">
        <f ca="1">SUM(OFFSET(Demand!$H$43,ROW(B242)-1,(COLUMN(B242)-1)*5,1,1))*O$2</f>
        <v>0</v>
      </c>
      <c r="CY245" s="5">
        <f ca="1">SUM(OFFSET(Demand!$H$43,ROW(C242)-1,(COLUMN(C242)-1)*5,1,1))*P$2</f>
        <v>0</v>
      </c>
      <c r="CZ245" s="5">
        <f ca="1">SUM(OFFSET(Demand!$H$43,ROW(D242)-1,(COLUMN(D242)-1)*5,1,1))*Q$2</f>
        <v>0</v>
      </c>
      <c r="DA245" s="5">
        <f ca="1">SUM(OFFSET(Demand!$H$43,ROW(E242)-1,(COLUMN(E242)-1)*5,1,1))*R$2</f>
        <v>0</v>
      </c>
      <c r="DB245" s="5">
        <f ca="1">SUM(OFFSET(Demand!$H$43,ROW(F242)-1,(COLUMN(F242)-1)*5,1,1))*S$2</f>
        <v>0</v>
      </c>
      <c r="DC245" s="5">
        <f ca="1">SUM(OFFSET(Demand!$H$43,ROW(G242)-1,(COLUMN(G242)-1)*5,1,1))*T$2</f>
        <v>0</v>
      </c>
      <c r="DD245" s="5">
        <f ca="1">SUM(OFFSET(Demand!$H$43,ROW(H242)-1,(COLUMN(H242)-1)*5,1,1))*U$2</f>
        <v>0</v>
      </c>
      <c r="DE245" s="5">
        <f ca="1">SUM(OFFSET(Demand!$H$43,ROW(I242)-1,(COLUMN(I242)-1)*5,1,1))*V$2</f>
        <v>0</v>
      </c>
      <c r="DF245" s="5">
        <f ca="1">SUM(OFFSET(Demand!$H$43,ROW(J242)-1,(COLUMN(J242)-1)*5,1,1))*W$2</f>
        <v>0</v>
      </c>
      <c r="DG245" s="5">
        <f ca="1">IF(OR(AN245&lt;&gt;"",AND('Demand adjustments for Covid'!$F$9="Yes",'Demand adjustments for Covid'!$F$20="Yes")),"",SUM(CW245:DF245))</f>
        <v>0</v>
      </c>
    </row>
    <row r="246" spans="1:111" x14ac:dyDescent="0.25">
      <c r="A246" s="5">
        <f t="shared" ca="1" si="50"/>
        <v>1</v>
      </c>
      <c r="B246" s="5">
        <f ca="1">COUNTBLANK(OFFSET(Demand!$I255,0,(COLUMN(A243)-1)*5,1,1))</f>
        <v>1</v>
      </c>
      <c r="C246" s="5">
        <f ca="1">COUNTBLANK(OFFSET(Demand!$I255,0,(COLUMN(B243)-1)*5,1,1))</f>
        <v>1</v>
      </c>
      <c r="D246" s="5">
        <f ca="1">COUNTBLANK(OFFSET(Demand!$I255,0,(COLUMN(C243)-1)*5,1,1))</f>
        <v>1</v>
      </c>
      <c r="E246" s="5">
        <f ca="1">COUNTBLANK(OFFSET(Demand!$I255,0,(COLUMN(D243)-1)*5,1,1))</f>
        <v>1</v>
      </c>
      <c r="F246" s="5">
        <f ca="1">COUNTBLANK(OFFSET(Demand!$I255,0,(COLUMN(E243)-1)*5,1,1))</f>
        <v>1</v>
      </c>
      <c r="G246" s="5">
        <f ca="1">COUNTBLANK(OFFSET(Demand!$I255,0,(COLUMN(F243)-1)*5,1,1))</f>
        <v>1</v>
      </c>
      <c r="H246" s="5">
        <f ca="1">COUNTBLANK(OFFSET(Demand!$I255,0,(COLUMN(G243)-1)*5,1,1))</f>
        <v>1</v>
      </c>
      <c r="I246" s="5">
        <f ca="1">COUNTBLANK(OFFSET(Demand!$I255,0,(COLUMN(H243)-1)*5,1,1))</f>
        <v>1</v>
      </c>
      <c r="J246" s="5">
        <f ca="1">COUNTBLANK(OFFSET(Demand!$I255,0,(COLUMN(I243)-1)*5,1,1))</f>
        <v>1</v>
      </c>
      <c r="K246" s="5">
        <f ca="1">COUNTBLANK(OFFSET(Demand!$I255,0,(COLUMN(J243)-1)*5,1,1))</f>
        <v>1</v>
      </c>
      <c r="N246" s="5">
        <f ca="1">SUM(OFFSET(Demand!$E255,0,(COLUMN(A243)-1)*5,1,3))*N$2</f>
        <v>0</v>
      </c>
      <c r="O246" s="5">
        <f ca="1">SUM(OFFSET(Demand!$E255,0,(COLUMN(B243)-1)*5,1,3))*O$2</f>
        <v>0</v>
      </c>
      <c r="P246" s="5">
        <f ca="1">SUM(OFFSET(Demand!$E255,0,(COLUMN(C243)-1)*5,1,3))*P$2</f>
        <v>0</v>
      </c>
      <c r="Q246" s="5">
        <f ca="1">SUM(OFFSET(Demand!$E255,0,(COLUMN(D243)-1)*5,1,3))*Q$2</f>
        <v>0</v>
      </c>
      <c r="R246" s="5">
        <f ca="1">SUM(OFFSET(Demand!$E255,0,(COLUMN(E243)-1)*5,1,3))*R$2</f>
        <v>0</v>
      </c>
      <c r="S246" s="5">
        <f ca="1">SUM(OFFSET(Demand!$E255,0,(COLUMN(F243)-1)*5,1,3))*S$2</f>
        <v>0</v>
      </c>
      <c r="T246" s="5">
        <f ca="1">SUM(OFFSET(Demand!$E255,0,(COLUMN(G243)-1)*5,1,3))*T$2</f>
        <v>0</v>
      </c>
      <c r="U246" s="5">
        <f ca="1">SUM(OFFSET(Demand!$E255,0,(COLUMN(H243)-1)*5,1,3))*U$2</f>
        <v>0</v>
      </c>
      <c r="V246" s="5">
        <f ca="1">SUM(OFFSET(Demand!$E255,0,(COLUMN(I243)-1)*5,1,3))*V$2</f>
        <v>0</v>
      </c>
      <c r="W246" s="5">
        <f ca="1">SUM(OFFSET(Demand!$E255,0,(COLUMN(J243)-1)*5,1,3))*W$2</f>
        <v>0</v>
      </c>
      <c r="X246" s="5">
        <f t="shared" ca="1" si="51"/>
        <v>0</v>
      </c>
      <c r="Y246">
        <f t="shared" ca="1" si="52"/>
        <v>0</v>
      </c>
      <c r="Z246" s="5">
        <f ca="1">SUM(OFFSET(Demand!$H255,0,(COLUMN(A243)-1)*5,1,1))*N$2</f>
        <v>0</v>
      </c>
      <c r="AA246" s="5">
        <f ca="1">SUM(OFFSET(Demand!$H255,0,(COLUMN(B243)-1)*5,1,1))*O$2</f>
        <v>0</v>
      </c>
      <c r="AB246" s="5">
        <f ca="1">SUM(OFFSET(Demand!$H255,0,(COLUMN(C243)-1)*5,1,1))*P$2</f>
        <v>0</v>
      </c>
      <c r="AC246" s="5">
        <f ca="1">SUM(OFFSET(Demand!$H255,0,(COLUMN(D243)-1)*5,1,1))*Q$2</f>
        <v>0</v>
      </c>
      <c r="AD246" s="5">
        <f ca="1">SUM(OFFSET(Demand!$H255,0,(COLUMN(E243)-1)*5,1,1))*R$2</f>
        <v>0</v>
      </c>
      <c r="AE246" s="5">
        <f ca="1">SUM(OFFSET(Demand!$H255,0,(COLUMN(F243)-1)*5,1,1))*S$2</f>
        <v>0</v>
      </c>
      <c r="AF246" s="5">
        <f ca="1">SUM(OFFSET(Demand!$H255,0,(COLUMN(G243)-1)*5,1,1))*T$2</f>
        <v>0</v>
      </c>
      <c r="AG246" s="5">
        <f ca="1">SUM(OFFSET(Demand!$H255,0,(COLUMN(H243)-1)*5,1,1))*U$2</f>
        <v>0</v>
      </c>
      <c r="AH246" s="5">
        <f ca="1">SUM(OFFSET(Demand!$H255,0,(COLUMN(I243)-1)*5,1,1))*V$2</f>
        <v>0</v>
      </c>
      <c r="AI246" s="5">
        <f ca="1">SUM(OFFSET(Demand!$H255,0,(COLUMN(J243)-1)*5,1,1))*W$2</f>
        <v>0</v>
      </c>
      <c r="AJ246" s="5">
        <f t="shared" ca="1" si="53"/>
        <v>0</v>
      </c>
      <c r="AL246" s="5">
        <f t="shared" ca="1" si="54"/>
        <v>0</v>
      </c>
      <c r="AM246" s="5">
        <f t="shared" ca="1" si="55"/>
        <v>0</v>
      </c>
      <c r="AN246" s="5" t="str">
        <f>IF(Demand!BE255="Yes","Yes","")</f>
        <v/>
      </c>
      <c r="AP246" s="36" t="str">
        <f ca="1">Demand!B255</f>
        <v xml:space="preserve"> </v>
      </c>
      <c r="AQ246" t="str">
        <f ca="1">IF(TEXT(Demand!D255,"MMM")&lt;&gt;TEXT(Demand!D254,"MMM"),TEXT(Demand!D255,"MMM"),"")</f>
        <v/>
      </c>
      <c r="AT246" s="5">
        <f t="shared" ca="1" si="56"/>
        <v>0</v>
      </c>
      <c r="BQ246">
        <f ca="1">IF($AN246="",OFFSET(Demand!$A$13,ROW(A243)-1,4+((QUOTIENT(COLUMN(BQ$2)-69,3))*5)+MOD(COLUMN(BQ$2),3),1,1),"")</f>
        <v>0</v>
      </c>
      <c r="BR246">
        <f ca="1">IF($AN246="",OFFSET(Demand!$A$13,ROW(B243)-1,4+((QUOTIENT(COLUMN(BR$2)-69,3))*5)+MOD(COLUMN(BR$2),3),1,1),"")</f>
        <v>0</v>
      </c>
      <c r="BS246">
        <f ca="1">IF($AN246="",OFFSET(Demand!$A$13,ROW(C243)-1,4+((QUOTIENT(COLUMN(BS$2)-69,3))*5)+MOD(COLUMN(BS$2),3),1,1),"")</f>
        <v>0</v>
      </c>
      <c r="BT246">
        <f ca="1">IF($AN246="",OFFSET(Demand!$A$13,ROW(D243)-1,4+((QUOTIENT(COLUMN(BT$2)-69,3))*5)+MOD(COLUMN(BT$2),3),1,1),"")</f>
        <v>0</v>
      </c>
      <c r="BU246">
        <f ca="1">IF($AN246="",OFFSET(Demand!$A$13,ROW(E243)-1,4+((QUOTIENT(COLUMN(BU$2)-69,3))*5)+MOD(COLUMN(BU$2),3),1,1),"")</f>
        <v>0</v>
      </c>
      <c r="BV246">
        <f ca="1">IF($AN246="",OFFSET(Demand!$A$13,ROW(F243)-1,4+((QUOTIENT(COLUMN(BV$2)-69,3))*5)+MOD(COLUMN(BV$2),3),1,1),"")</f>
        <v>0</v>
      </c>
      <c r="BW246">
        <f ca="1">IF($AN246="",OFFSET(Demand!$A$13,ROW(G243)-1,4+((QUOTIENT(COLUMN(BW$2)-69,3))*5)+MOD(COLUMN(BW$2),3),1,1),"")</f>
        <v>0</v>
      </c>
      <c r="BX246">
        <f ca="1">IF($AN246="",OFFSET(Demand!$A$13,ROW(H243)-1,4+((QUOTIENT(COLUMN(BX$2)-69,3))*5)+MOD(COLUMN(BX$2),3),1,1),"")</f>
        <v>0</v>
      </c>
      <c r="BY246">
        <f ca="1">IF($AN246="",OFFSET(Demand!$A$13,ROW(I243)-1,4+((QUOTIENT(COLUMN(BY$2)-69,3))*5)+MOD(COLUMN(BY$2),3),1,1),"")</f>
        <v>0</v>
      </c>
      <c r="BZ246">
        <f ca="1">IF($AN246="",OFFSET(Demand!$A$13,ROW(J243)-1,4+((QUOTIENT(COLUMN(BZ$2)-69,3))*5)+MOD(COLUMN(BZ$2),3),1,1),"")</f>
        <v>0</v>
      </c>
      <c r="CA246">
        <f ca="1">IF($AN246="",OFFSET(Demand!$A$13,ROW(K243)-1,4+((QUOTIENT(COLUMN(CA$2)-69,3))*5)+MOD(COLUMN(CA$2),3),1,1),"")</f>
        <v>0</v>
      </c>
      <c r="CB246">
        <f ca="1">IF($AN246="",OFFSET(Demand!$A$13,ROW(L243)-1,4+((QUOTIENT(COLUMN(CB$2)-69,3))*5)+MOD(COLUMN(CB$2),3),1,1),"")</f>
        <v>0</v>
      </c>
      <c r="CC246">
        <f ca="1">IF($AN246="",OFFSET(Demand!$A$13,ROW(M243)-1,4+((QUOTIENT(COLUMN(CC$2)-69,3))*5)+MOD(COLUMN(CC$2),3),1,1),"")</f>
        <v>0</v>
      </c>
      <c r="CD246">
        <f ca="1">IF($AN246="",OFFSET(Demand!$A$13,ROW(N243)-1,4+((QUOTIENT(COLUMN(CD$2)-69,3))*5)+MOD(COLUMN(CD$2),3),1,1),"")</f>
        <v>0</v>
      </c>
      <c r="CE246">
        <f ca="1">IF($AN246="",OFFSET(Demand!$A$13,ROW(O243)-1,4+((QUOTIENT(COLUMN(CE$2)-69,3))*5)+MOD(COLUMN(CE$2),3),1,1),"")</f>
        <v>0</v>
      </c>
      <c r="CF246">
        <f ca="1">IF($AN246="",OFFSET(Demand!$A$13,ROW(P243)-1,4+((QUOTIENT(COLUMN(CF$2)-69,3))*5)+MOD(COLUMN(CF$2),3),1,1),"")</f>
        <v>0</v>
      </c>
      <c r="CG246">
        <f ca="1">IF($AN246="",OFFSET(Demand!$A$13,ROW(Q243)-1,4+((QUOTIENT(COLUMN(CG$2)-69,3))*5)+MOD(COLUMN(CG$2),3),1,1),"")</f>
        <v>0</v>
      </c>
      <c r="CH246">
        <f ca="1">IF($AN246="",OFFSET(Demand!$A$13,ROW(R243)-1,4+((QUOTIENT(COLUMN(CH$2)-69,3))*5)+MOD(COLUMN(CH$2),3),1,1),"")</f>
        <v>0</v>
      </c>
      <c r="CI246">
        <f ca="1">IF($AN246="",OFFSET(Demand!$A$13,ROW(S243)-1,4+((QUOTIENT(COLUMN(CI$2)-69,3))*5)+MOD(COLUMN(CI$2),3),1,1),"")</f>
        <v>0</v>
      </c>
      <c r="CJ246">
        <f ca="1">IF($AN246="",OFFSET(Demand!$A$13,ROW(T243)-1,4+((QUOTIENT(COLUMN(CJ$2)-69,3))*5)+MOD(COLUMN(CJ$2),3),1,1),"")</f>
        <v>0</v>
      </c>
      <c r="CK246">
        <f ca="1">IF($AN246="",OFFSET(Demand!$A$13,ROW(U243)-1,4+((QUOTIENT(COLUMN(CK$2)-69,3))*5)+MOD(COLUMN(CK$2),3),1,1),"")</f>
        <v>0</v>
      </c>
      <c r="CL246">
        <f ca="1">IF($AN246="",OFFSET(Demand!$A$13,ROW(V243)-1,4+((QUOTIENT(COLUMN(CL$2)-69,3))*5)+MOD(COLUMN(CL$2),3),1,1),"")</f>
        <v>0</v>
      </c>
      <c r="CM246">
        <f ca="1">IF($AN246="",OFFSET(Demand!$A$13,ROW(W243)-1,4+((QUOTIENT(COLUMN(CM$2)-69,3))*5)+MOD(COLUMN(CM$2),3),1,1),"")</f>
        <v>0</v>
      </c>
      <c r="CN246">
        <f ca="1">IF($AN246="",OFFSET(Demand!$A$13,ROW(X243)-1,4+((QUOTIENT(COLUMN(CN$2)-69,3))*5)+MOD(COLUMN(CN$2),3),1,1),"")</f>
        <v>0</v>
      </c>
      <c r="CO246">
        <f ca="1">IF($AN246="",OFFSET(Demand!$A$13,ROW(Y243)-1,4+((QUOTIENT(COLUMN(CO$2)-69,3))*5)+MOD(COLUMN(CO$2),3),1,1),"")</f>
        <v>0</v>
      </c>
      <c r="CP246">
        <f ca="1">IF($AN246="",OFFSET(Demand!$A$13,ROW(Z243)-1,4+((QUOTIENT(COLUMN(CP$2)-69,3))*5)+MOD(COLUMN(CP$2),3),1,1),"")</f>
        <v>0</v>
      </c>
      <c r="CQ246">
        <f ca="1">IF($AN246="",OFFSET(Demand!$A$13,ROW(AA243)-1,4+((QUOTIENT(COLUMN(CQ$2)-69,3))*5)+MOD(COLUMN(CQ$2),3),1,1),"")</f>
        <v>0</v>
      </c>
      <c r="CR246">
        <f ca="1">IF($AN246="",OFFSET(Demand!$A$13,ROW(AB243)-1,4+((QUOTIENT(COLUMN(CR$2)-69,3))*5)+MOD(COLUMN(CR$2),3),1,1),"")</f>
        <v>0</v>
      </c>
      <c r="CS246">
        <f ca="1">IF($AN246="",OFFSET(Demand!$A$13,ROW(AC243)-1,4+((QUOTIENT(COLUMN(CS$2)-69,3))*5)+MOD(COLUMN(CS$2),3),1,1),"")</f>
        <v>0</v>
      </c>
      <c r="CT246">
        <f ca="1">IF($AN246="",OFFSET(Demand!$A$13,ROW(AD243)-1,4+((QUOTIENT(COLUMN(CT$2)-69,3))*5)+MOD(COLUMN(CT$2),3),1,1),"")</f>
        <v>0</v>
      </c>
      <c r="CW246" s="5">
        <f ca="1">SUM(OFFSET(Demand!$H$43,ROW(A243)-1,(COLUMN(A243)-1)*5,1,1))*N$2</f>
        <v>0</v>
      </c>
      <c r="CX246" s="5">
        <f ca="1">SUM(OFFSET(Demand!$H$43,ROW(B243)-1,(COLUMN(B243)-1)*5,1,1))*O$2</f>
        <v>0</v>
      </c>
      <c r="CY246" s="5">
        <f ca="1">SUM(OFFSET(Demand!$H$43,ROW(C243)-1,(COLUMN(C243)-1)*5,1,1))*P$2</f>
        <v>0</v>
      </c>
      <c r="CZ246" s="5">
        <f ca="1">SUM(OFFSET(Demand!$H$43,ROW(D243)-1,(COLUMN(D243)-1)*5,1,1))*Q$2</f>
        <v>0</v>
      </c>
      <c r="DA246" s="5">
        <f ca="1">SUM(OFFSET(Demand!$H$43,ROW(E243)-1,(COLUMN(E243)-1)*5,1,1))*R$2</f>
        <v>0</v>
      </c>
      <c r="DB246" s="5">
        <f ca="1">SUM(OFFSET(Demand!$H$43,ROW(F243)-1,(COLUMN(F243)-1)*5,1,1))*S$2</f>
        <v>0</v>
      </c>
      <c r="DC246" s="5">
        <f ca="1">SUM(OFFSET(Demand!$H$43,ROW(G243)-1,(COLUMN(G243)-1)*5,1,1))*T$2</f>
        <v>0</v>
      </c>
      <c r="DD246" s="5">
        <f ca="1">SUM(OFFSET(Demand!$H$43,ROW(H243)-1,(COLUMN(H243)-1)*5,1,1))*U$2</f>
        <v>0</v>
      </c>
      <c r="DE246" s="5">
        <f ca="1">SUM(OFFSET(Demand!$H$43,ROW(I243)-1,(COLUMN(I243)-1)*5,1,1))*V$2</f>
        <v>0</v>
      </c>
      <c r="DF246" s="5">
        <f ca="1">SUM(OFFSET(Demand!$H$43,ROW(J243)-1,(COLUMN(J243)-1)*5,1,1))*W$2</f>
        <v>0</v>
      </c>
      <c r="DG246" s="5">
        <f ca="1">IF(OR(AN246&lt;&gt;"",AND('Demand adjustments for Covid'!$F$9="Yes",'Demand adjustments for Covid'!$F$20="Yes")),"",SUM(CW246:DF246))</f>
        <v>0</v>
      </c>
    </row>
    <row r="247" spans="1:111" x14ac:dyDescent="0.25">
      <c r="A247" s="5">
        <f t="shared" ca="1" si="50"/>
        <v>1</v>
      </c>
      <c r="B247" s="5">
        <f ca="1">COUNTBLANK(OFFSET(Demand!$I256,0,(COLUMN(A244)-1)*5,1,1))</f>
        <v>1</v>
      </c>
      <c r="C247" s="5">
        <f ca="1">COUNTBLANK(OFFSET(Demand!$I256,0,(COLUMN(B244)-1)*5,1,1))</f>
        <v>1</v>
      </c>
      <c r="D247" s="5">
        <f ca="1">COUNTBLANK(OFFSET(Demand!$I256,0,(COLUMN(C244)-1)*5,1,1))</f>
        <v>1</v>
      </c>
      <c r="E247" s="5">
        <f ca="1">COUNTBLANK(OFFSET(Demand!$I256,0,(COLUMN(D244)-1)*5,1,1))</f>
        <v>1</v>
      </c>
      <c r="F247" s="5">
        <f ca="1">COUNTBLANK(OFFSET(Demand!$I256,0,(COLUMN(E244)-1)*5,1,1))</f>
        <v>1</v>
      </c>
      <c r="G247" s="5">
        <f ca="1">COUNTBLANK(OFFSET(Demand!$I256,0,(COLUMN(F244)-1)*5,1,1))</f>
        <v>1</v>
      </c>
      <c r="H247" s="5">
        <f ca="1">COUNTBLANK(OFFSET(Demand!$I256,0,(COLUMN(G244)-1)*5,1,1))</f>
        <v>1</v>
      </c>
      <c r="I247" s="5">
        <f ca="1">COUNTBLANK(OFFSET(Demand!$I256,0,(COLUMN(H244)-1)*5,1,1))</f>
        <v>1</v>
      </c>
      <c r="J247" s="5">
        <f ca="1">COUNTBLANK(OFFSET(Demand!$I256,0,(COLUMN(I244)-1)*5,1,1))</f>
        <v>1</v>
      </c>
      <c r="K247" s="5">
        <f ca="1">COUNTBLANK(OFFSET(Demand!$I256,0,(COLUMN(J244)-1)*5,1,1))</f>
        <v>1</v>
      </c>
      <c r="N247" s="5">
        <f ca="1">SUM(OFFSET(Demand!$E256,0,(COLUMN(A244)-1)*5,1,3))*N$2</f>
        <v>0</v>
      </c>
      <c r="O247" s="5">
        <f ca="1">SUM(OFFSET(Demand!$E256,0,(COLUMN(B244)-1)*5,1,3))*O$2</f>
        <v>0</v>
      </c>
      <c r="P247" s="5">
        <f ca="1">SUM(OFFSET(Demand!$E256,0,(COLUMN(C244)-1)*5,1,3))*P$2</f>
        <v>0</v>
      </c>
      <c r="Q247" s="5">
        <f ca="1">SUM(OFFSET(Demand!$E256,0,(COLUMN(D244)-1)*5,1,3))*Q$2</f>
        <v>0</v>
      </c>
      <c r="R247" s="5">
        <f ca="1">SUM(OFFSET(Demand!$E256,0,(COLUMN(E244)-1)*5,1,3))*R$2</f>
        <v>0</v>
      </c>
      <c r="S247" s="5">
        <f ca="1">SUM(OFFSET(Demand!$E256,0,(COLUMN(F244)-1)*5,1,3))*S$2</f>
        <v>0</v>
      </c>
      <c r="T247" s="5">
        <f ca="1">SUM(OFFSET(Demand!$E256,0,(COLUMN(G244)-1)*5,1,3))*T$2</f>
        <v>0</v>
      </c>
      <c r="U247" s="5">
        <f ca="1">SUM(OFFSET(Demand!$E256,0,(COLUMN(H244)-1)*5,1,3))*U$2</f>
        <v>0</v>
      </c>
      <c r="V247" s="5">
        <f ca="1">SUM(OFFSET(Demand!$E256,0,(COLUMN(I244)-1)*5,1,3))*V$2</f>
        <v>0</v>
      </c>
      <c r="W247" s="5">
        <f ca="1">SUM(OFFSET(Demand!$E256,0,(COLUMN(J244)-1)*5,1,3))*W$2</f>
        <v>0</v>
      </c>
      <c r="X247" s="5">
        <f t="shared" ca="1" si="51"/>
        <v>0</v>
      </c>
      <c r="Y247">
        <f t="shared" ca="1" si="52"/>
        <v>0</v>
      </c>
      <c r="Z247" s="5">
        <f ca="1">SUM(OFFSET(Demand!$H256,0,(COLUMN(A244)-1)*5,1,1))*N$2</f>
        <v>0</v>
      </c>
      <c r="AA247" s="5">
        <f ca="1">SUM(OFFSET(Demand!$H256,0,(COLUMN(B244)-1)*5,1,1))*O$2</f>
        <v>0</v>
      </c>
      <c r="AB247" s="5">
        <f ca="1">SUM(OFFSET(Demand!$H256,0,(COLUMN(C244)-1)*5,1,1))*P$2</f>
        <v>0</v>
      </c>
      <c r="AC247" s="5">
        <f ca="1">SUM(OFFSET(Demand!$H256,0,(COLUMN(D244)-1)*5,1,1))*Q$2</f>
        <v>0</v>
      </c>
      <c r="AD247" s="5">
        <f ca="1">SUM(OFFSET(Demand!$H256,0,(COLUMN(E244)-1)*5,1,1))*R$2</f>
        <v>0</v>
      </c>
      <c r="AE247" s="5">
        <f ca="1">SUM(OFFSET(Demand!$H256,0,(COLUMN(F244)-1)*5,1,1))*S$2</f>
        <v>0</v>
      </c>
      <c r="AF247" s="5">
        <f ca="1">SUM(OFFSET(Demand!$H256,0,(COLUMN(G244)-1)*5,1,1))*T$2</f>
        <v>0</v>
      </c>
      <c r="AG247" s="5">
        <f ca="1">SUM(OFFSET(Demand!$H256,0,(COLUMN(H244)-1)*5,1,1))*U$2</f>
        <v>0</v>
      </c>
      <c r="AH247" s="5">
        <f ca="1">SUM(OFFSET(Demand!$H256,0,(COLUMN(I244)-1)*5,1,1))*V$2</f>
        <v>0</v>
      </c>
      <c r="AI247" s="5">
        <f ca="1">SUM(OFFSET(Demand!$H256,0,(COLUMN(J244)-1)*5,1,1))*W$2</f>
        <v>0</v>
      </c>
      <c r="AJ247" s="5">
        <f t="shared" ca="1" si="53"/>
        <v>0</v>
      </c>
      <c r="AL247" s="5">
        <f t="shared" ca="1" si="54"/>
        <v>0</v>
      </c>
      <c r="AM247" s="5">
        <f t="shared" ca="1" si="55"/>
        <v>0</v>
      </c>
      <c r="AN247" s="5" t="str">
        <f>IF(Demand!BE256="Yes","Yes","")</f>
        <v/>
      </c>
      <c r="AP247" s="36" t="str">
        <f ca="1">Demand!B256</f>
        <v xml:space="preserve"> </v>
      </c>
      <c r="AQ247" t="str">
        <f ca="1">IF(TEXT(Demand!D256,"MMM")&lt;&gt;TEXT(Demand!D255,"MMM"),TEXT(Demand!D256,"MMM"),"")</f>
        <v/>
      </c>
      <c r="AT247" s="5">
        <f t="shared" ca="1" si="56"/>
        <v>0</v>
      </c>
      <c r="BQ247">
        <f ca="1">IF($AN247="",OFFSET(Demand!$A$13,ROW(A244)-1,4+((QUOTIENT(COLUMN(BQ$2)-69,3))*5)+MOD(COLUMN(BQ$2),3),1,1),"")</f>
        <v>0</v>
      </c>
      <c r="BR247">
        <f ca="1">IF($AN247="",OFFSET(Demand!$A$13,ROW(B244)-1,4+((QUOTIENT(COLUMN(BR$2)-69,3))*5)+MOD(COLUMN(BR$2),3),1,1),"")</f>
        <v>0</v>
      </c>
      <c r="BS247">
        <f ca="1">IF($AN247="",OFFSET(Demand!$A$13,ROW(C244)-1,4+((QUOTIENT(COLUMN(BS$2)-69,3))*5)+MOD(COLUMN(BS$2),3),1,1),"")</f>
        <v>0</v>
      </c>
      <c r="BT247">
        <f ca="1">IF($AN247="",OFFSET(Demand!$A$13,ROW(D244)-1,4+((QUOTIENT(COLUMN(BT$2)-69,3))*5)+MOD(COLUMN(BT$2),3),1,1),"")</f>
        <v>0</v>
      </c>
      <c r="BU247">
        <f ca="1">IF($AN247="",OFFSET(Demand!$A$13,ROW(E244)-1,4+((QUOTIENT(COLUMN(BU$2)-69,3))*5)+MOD(COLUMN(BU$2),3),1,1),"")</f>
        <v>0</v>
      </c>
      <c r="BV247">
        <f ca="1">IF($AN247="",OFFSET(Demand!$A$13,ROW(F244)-1,4+((QUOTIENT(COLUMN(BV$2)-69,3))*5)+MOD(COLUMN(BV$2),3),1,1),"")</f>
        <v>0</v>
      </c>
      <c r="BW247">
        <f ca="1">IF($AN247="",OFFSET(Demand!$A$13,ROW(G244)-1,4+((QUOTIENT(COLUMN(BW$2)-69,3))*5)+MOD(COLUMN(BW$2),3),1,1),"")</f>
        <v>0</v>
      </c>
      <c r="BX247">
        <f ca="1">IF($AN247="",OFFSET(Demand!$A$13,ROW(H244)-1,4+((QUOTIENT(COLUMN(BX$2)-69,3))*5)+MOD(COLUMN(BX$2),3),1,1),"")</f>
        <v>0</v>
      </c>
      <c r="BY247">
        <f ca="1">IF($AN247="",OFFSET(Demand!$A$13,ROW(I244)-1,4+((QUOTIENT(COLUMN(BY$2)-69,3))*5)+MOD(COLUMN(BY$2),3),1,1),"")</f>
        <v>0</v>
      </c>
      <c r="BZ247">
        <f ca="1">IF($AN247="",OFFSET(Demand!$A$13,ROW(J244)-1,4+((QUOTIENT(COLUMN(BZ$2)-69,3))*5)+MOD(COLUMN(BZ$2),3),1,1),"")</f>
        <v>0</v>
      </c>
      <c r="CA247">
        <f ca="1">IF($AN247="",OFFSET(Demand!$A$13,ROW(K244)-1,4+((QUOTIENT(COLUMN(CA$2)-69,3))*5)+MOD(COLUMN(CA$2),3),1,1),"")</f>
        <v>0</v>
      </c>
      <c r="CB247">
        <f ca="1">IF($AN247="",OFFSET(Demand!$A$13,ROW(L244)-1,4+((QUOTIENT(COLUMN(CB$2)-69,3))*5)+MOD(COLUMN(CB$2),3),1,1),"")</f>
        <v>0</v>
      </c>
      <c r="CC247">
        <f ca="1">IF($AN247="",OFFSET(Demand!$A$13,ROW(M244)-1,4+((QUOTIENT(COLUMN(CC$2)-69,3))*5)+MOD(COLUMN(CC$2),3),1,1),"")</f>
        <v>0</v>
      </c>
      <c r="CD247">
        <f ca="1">IF($AN247="",OFFSET(Demand!$A$13,ROW(N244)-1,4+((QUOTIENT(COLUMN(CD$2)-69,3))*5)+MOD(COLUMN(CD$2),3),1,1),"")</f>
        <v>0</v>
      </c>
      <c r="CE247">
        <f ca="1">IF($AN247="",OFFSET(Demand!$A$13,ROW(O244)-1,4+((QUOTIENT(COLUMN(CE$2)-69,3))*5)+MOD(COLUMN(CE$2),3),1,1),"")</f>
        <v>0</v>
      </c>
      <c r="CF247">
        <f ca="1">IF($AN247="",OFFSET(Demand!$A$13,ROW(P244)-1,4+((QUOTIENT(COLUMN(CF$2)-69,3))*5)+MOD(COLUMN(CF$2),3),1,1),"")</f>
        <v>0</v>
      </c>
      <c r="CG247">
        <f ca="1">IF($AN247="",OFFSET(Demand!$A$13,ROW(Q244)-1,4+((QUOTIENT(COLUMN(CG$2)-69,3))*5)+MOD(COLUMN(CG$2),3),1,1),"")</f>
        <v>0</v>
      </c>
      <c r="CH247">
        <f ca="1">IF($AN247="",OFFSET(Demand!$A$13,ROW(R244)-1,4+((QUOTIENT(COLUMN(CH$2)-69,3))*5)+MOD(COLUMN(CH$2),3),1,1),"")</f>
        <v>0</v>
      </c>
      <c r="CI247">
        <f ca="1">IF($AN247="",OFFSET(Demand!$A$13,ROW(S244)-1,4+((QUOTIENT(COLUMN(CI$2)-69,3))*5)+MOD(COLUMN(CI$2),3),1,1),"")</f>
        <v>0</v>
      </c>
      <c r="CJ247">
        <f ca="1">IF($AN247="",OFFSET(Demand!$A$13,ROW(T244)-1,4+((QUOTIENT(COLUMN(CJ$2)-69,3))*5)+MOD(COLUMN(CJ$2),3),1,1),"")</f>
        <v>0</v>
      </c>
      <c r="CK247">
        <f ca="1">IF($AN247="",OFFSET(Demand!$A$13,ROW(U244)-1,4+((QUOTIENT(COLUMN(CK$2)-69,3))*5)+MOD(COLUMN(CK$2),3),1,1),"")</f>
        <v>0</v>
      </c>
      <c r="CL247">
        <f ca="1">IF($AN247="",OFFSET(Demand!$A$13,ROW(V244)-1,4+((QUOTIENT(COLUMN(CL$2)-69,3))*5)+MOD(COLUMN(CL$2),3),1,1),"")</f>
        <v>0</v>
      </c>
      <c r="CM247">
        <f ca="1">IF($AN247="",OFFSET(Demand!$A$13,ROW(W244)-1,4+((QUOTIENT(COLUMN(CM$2)-69,3))*5)+MOD(COLUMN(CM$2),3),1,1),"")</f>
        <v>0</v>
      </c>
      <c r="CN247">
        <f ca="1">IF($AN247="",OFFSET(Demand!$A$13,ROW(X244)-1,4+((QUOTIENT(COLUMN(CN$2)-69,3))*5)+MOD(COLUMN(CN$2),3),1,1),"")</f>
        <v>0</v>
      </c>
      <c r="CO247">
        <f ca="1">IF($AN247="",OFFSET(Demand!$A$13,ROW(Y244)-1,4+((QUOTIENT(COLUMN(CO$2)-69,3))*5)+MOD(COLUMN(CO$2),3),1,1),"")</f>
        <v>0</v>
      </c>
      <c r="CP247">
        <f ca="1">IF($AN247="",OFFSET(Demand!$A$13,ROW(Z244)-1,4+((QUOTIENT(COLUMN(CP$2)-69,3))*5)+MOD(COLUMN(CP$2),3),1,1),"")</f>
        <v>0</v>
      </c>
      <c r="CQ247">
        <f ca="1">IF($AN247="",OFFSET(Demand!$A$13,ROW(AA244)-1,4+((QUOTIENT(COLUMN(CQ$2)-69,3))*5)+MOD(COLUMN(CQ$2),3),1,1),"")</f>
        <v>0</v>
      </c>
      <c r="CR247">
        <f ca="1">IF($AN247="",OFFSET(Demand!$A$13,ROW(AB244)-1,4+((QUOTIENT(COLUMN(CR$2)-69,3))*5)+MOD(COLUMN(CR$2),3),1,1),"")</f>
        <v>0</v>
      </c>
      <c r="CS247">
        <f ca="1">IF($AN247="",OFFSET(Demand!$A$13,ROW(AC244)-1,4+((QUOTIENT(COLUMN(CS$2)-69,3))*5)+MOD(COLUMN(CS$2),3),1,1),"")</f>
        <v>0</v>
      </c>
      <c r="CT247">
        <f ca="1">IF($AN247="",OFFSET(Demand!$A$13,ROW(AD244)-1,4+((QUOTIENT(COLUMN(CT$2)-69,3))*5)+MOD(COLUMN(CT$2),3),1,1),"")</f>
        <v>0</v>
      </c>
      <c r="CW247" s="5">
        <f ca="1">SUM(OFFSET(Demand!$H$43,ROW(A244)-1,(COLUMN(A244)-1)*5,1,1))*N$2</f>
        <v>0</v>
      </c>
      <c r="CX247" s="5">
        <f ca="1">SUM(OFFSET(Demand!$H$43,ROW(B244)-1,(COLUMN(B244)-1)*5,1,1))*O$2</f>
        <v>0</v>
      </c>
      <c r="CY247" s="5">
        <f ca="1">SUM(OFFSET(Demand!$H$43,ROW(C244)-1,(COLUMN(C244)-1)*5,1,1))*P$2</f>
        <v>0</v>
      </c>
      <c r="CZ247" s="5">
        <f ca="1">SUM(OFFSET(Demand!$H$43,ROW(D244)-1,(COLUMN(D244)-1)*5,1,1))*Q$2</f>
        <v>0</v>
      </c>
      <c r="DA247" s="5">
        <f ca="1">SUM(OFFSET(Demand!$H$43,ROW(E244)-1,(COLUMN(E244)-1)*5,1,1))*R$2</f>
        <v>0</v>
      </c>
      <c r="DB247" s="5">
        <f ca="1">SUM(OFFSET(Demand!$H$43,ROW(F244)-1,(COLUMN(F244)-1)*5,1,1))*S$2</f>
        <v>0</v>
      </c>
      <c r="DC247" s="5">
        <f ca="1">SUM(OFFSET(Demand!$H$43,ROW(G244)-1,(COLUMN(G244)-1)*5,1,1))*T$2</f>
        <v>0</v>
      </c>
      <c r="DD247" s="5">
        <f ca="1">SUM(OFFSET(Demand!$H$43,ROW(H244)-1,(COLUMN(H244)-1)*5,1,1))*U$2</f>
        <v>0</v>
      </c>
      <c r="DE247" s="5">
        <f ca="1">SUM(OFFSET(Demand!$H$43,ROW(I244)-1,(COLUMN(I244)-1)*5,1,1))*V$2</f>
        <v>0</v>
      </c>
      <c r="DF247" s="5">
        <f ca="1">SUM(OFFSET(Demand!$H$43,ROW(J244)-1,(COLUMN(J244)-1)*5,1,1))*W$2</f>
        <v>0</v>
      </c>
      <c r="DG247" s="5">
        <f ca="1">IF(OR(AN247&lt;&gt;"",AND('Demand adjustments for Covid'!$F$9="Yes",'Demand adjustments for Covid'!$F$20="Yes")),"",SUM(CW247:DF247))</f>
        <v>0</v>
      </c>
    </row>
    <row r="248" spans="1:111" x14ac:dyDescent="0.25">
      <c r="A248" s="5">
        <f t="shared" ref="A248:A252" ca="1" si="57">SUM(OFFSET(B248,0,0,1,Num_Modalities))</f>
        <v>1</v>
      </c>
      <c r="B248" s="5">
        <f ca="1">COUNTBLANK(OFFSET(Demand!$I257,0,(COLUMN(A245)-1)*5,1,1))</f>
        <v>1</v>
      </c>
      <c r="C248" s="5">
        <f ca="1">COUNTBLANK(OFFSET(Demand!$I257,0,(COLUMN(B245)-1)*5,1,1))</f>
        <v>1</v>
      </c>
      <c r="D248" s="5">
        <f ca="1">COUNTBLANK(OFFSET(Demand!$I257,0,(COLUMN(C245)-1)*5,1,1))</f>
        <v>1</v>
      </c>
      <c r="E248" s="5">
        <f ca="1">COUNTBLANK(OFFSET(Demand!$I257,0,(COLUMN(D245)-1)*5,1,1))</f>
        <v>1</v>
      </c>
      <c r="F248" s="5">
        <f ca="1">COUNTBLANK(OFFSET(Demand!$I257,0,(COLUMN(E245)-1)*5,1,1))</f>
        <v>1</v>
      </c>
      <c r="G248" s="5">
        <f ca="1">COUNTBLANK(OFFSET(Demand!$I257,0,(COLUMN(F245)-1)*5,1,1))</f>
        <v>1</v>
      </c>
      <c r="H248" s="5">
        <f ca="1">COUNTBLANK(OFFSET(Demand!$I257,0,(COLUMN(G245)-1)*5,1,1))</f>
        <v>1</v>
      </c>
      <c r="I248" s="5">
        <f ca="1">COUNTBLANK(OFFSET(Demand!$I257,0,(COLUMN(H245)-1)*5,1,1))</f>
        <v>1</v>
      </c>
      <c r="J248" s="5">
        <f ca="1">COUNTBLANK(OFFSET(Demand!$I257,0,(COLUMN(I245)-1)*5,1,1))</f>
        <v>1</v>
      </c>
      <c r="K248" s="5">
        <f ca="1">COUNTBLANK(OFFSET(Demand!$I257,0,(COLUMN(J245)-1)*5,1,1))</f>
        <v>1</v>
      </c>
      <c r="N248" s="5">
        <f ca="1">SUM(OFFSET(Demand!$E257,0,(COLUMN(A245)-1)*5,1,3))*N$2</f>
        <v>0</v>
      </c>
      <c r="O248" s="5">
        <f ca="1">SUM(OFFSET(Demand!$E257,0,(COLUMN(B245)-1)*5,1,3))*O$2</f>
        <v>0</v>
      </c>
      <c r="P248" s="5">
        <f ca="1">SUM(OFFSET(Demand!$E257,0,(COLUMN(C245)-1)*5,1,3))*P$2</f>
        <v>0</v>
      </c>
      <c r="Q248" s="5">
        <f ca="1">SUM(OFFSET(Demand!$E257,0,(COLUMN(D245)-1)*5,1,3))*Q$2</f>
        <v>0</v>
      </c>
      <c r="R248" s="5">
        <f ca="1">SUM(OFFSET(Demand!$E257,0,(COLUMN(E245)-1)*5,1,3))*R$2</f>
        <v>0</v>
      </c>
      <c r="S248" s="5">
        <f ca="1">SUM(OFFSET(Demand!$E257,0,(COLUMN(F245)-1)*5,1,3))*S$2</f>
        <v>0</v>
      </c>
      <c r="T248" s="5">
        <f ca="1">SUM(OFFSET(Demand!$E257,0,(COLUMN(G245)-1)*5,1,3))*T$2</f>
        <v>0</v>
      </c>
      <c r="U248" s="5">
        <f ca="1">SUM(OFFSET(Demand!$E257,0,(COLUMN(H245)-1)*5,1,3))*U$2</f>
        <v>0</v>
      </c>
      <c r="V248" s="5">
        <f ca="1">SUM(OFFSET(Demand!$E257,0,(COLUMN(I245)-1)*5,1,3))*V$2</f>
        <v>0</v>
      </c>
      <c r="W248" s="5">
        <f ca="1">SUM(OFFSET(Demand!$E257,0,(COLUMN(J245)-1)*5,1,3))*W$2</f>
        <v>0</v>
      </c>
      <c r="X248" s="5">
        <f t="shared" ca="1" si="51"/>
        <v>0</v>
      </c>
      <c r="Y248">
        <f t="shared" ca="1" si="52"/>
        <v>0</v>
      </c>
      <c r="Z248" s="5">
        <f ca="1">SUM(OFFSET(Demand!$H257,0,(COLUMN(A245)-1)*5,1,1))*N$2</f>
        <v>0</v>
      </c>
      <c r="AA248" s="5">
        <f ca="1">SUM(OFFSET(Demand!$H257,0,(COLUMN(B245)-1)*5,1,1))*O$2</f>
        <v>0</v>
      </c>
      <c r="AB248" s="5">
        <f ca="1">SUM(OFFSET(Demand!$H257,0,(COLUMN(C245)-1)*5,1,1))*P$2</f>
        <v>0</v>
      </c>
      <c r="AC248" s="5">
        <f ca="1">SUM(OFFSET(Demand!$H257,0,(COLUMN(D245)-1)*5,1,1))*Q$2</f>
        <v>0</v>
      </c>
      <c r="AD248" s="5">
        <f ca="1">SUM(OFFSET(Demand!$H257,0,(COLUMN(E245)-1)*5,1,1))*R$2</f>
        <v>0</v>
      </c>
      <c r="AE248" s="5">
        <f ca="1">SUM(OFFSET(Demand!$H257,0,(COLUMN(F245)-1)*5,1,1))*S$2</f>
        <v>0</v>
      </c>
      <c r="AF248" s="5">
        <f ca="1">SUM(OFFSET(Demand!$H257,0,(COLUMN(G245)-1)*5,1,1))*T$2</f>
        <v>0</v>
      </c>
      <c r="AG248" s="5">
        <f ca="1">SUM(OFFSET(Demand!$H257,0,(COLUMN(H245)-1)*5,1,1))*U$2</f>
        <v>0</v>
      </c>
      <c r="AH248" s="5">
        <f ca="1">SUM(OFFSET(Demand!$H257,0,(COLUMN(I245)-1)*5,1,1))*V$2</f>
        <v>0</v>
      </c>
      <c r="AI248" s="5">
        <f ca="1">SUM(OFFSET(Demand!$H257,0,(COLUMN(J245)-1)*5,1,1))*W$2</f>
        <v>0</v>
      </c>
      <c r="AJ248" s="5">
        <f t="shared" ca="1" si="53"/>
        <v>0</v>
      </c>
      <c r="AL248" s="5">
        <f t="shared" ca="1" si="54"/>
        <v>0</v>
      </c>
      <c r="AM248" s="5">
        <f t="shared" ca="1" si="55"/>
        <v>0</v>
      </c>
      <c r="AN248" s="5" t="str">
        <f>IF(Demand!BE257="Yes","Yes","")</f>
        <v/>
      </c>
      <c r="AP248" s="36" t="str">
        <f ca="1">Demand!B257</f>
        <v xml:space="preserve"> </v>
      </c>
      <c r="AQ248" t="str">
        <f ca="1">IF(TEXT(Demand!D257,"MMM")&lt;&gt;TEXT(Demand!D256,"MMM"),TEXT(Demand!D257,"MMM"),"")</f>
        <v/>
      </c>
      <c r="AT248" s="5">
        <f t="shared" ca="1" si="56"/>
        <v>0</v>
      </c>
      <c r="BQ248">
        <f ca="1">IF($AN248="",OFFSET(Demand!$A$13,ROW(A245)-1,4+((QUOTIENT(COLUMN(BQ$2)-69,3))*5)+MOD(COLUMN(BQ$2),3),1,1),"")</f>
        <v>0</v>
      </c>
      <c r="BR248">
        <f ca="1">IF($AN248="",OFFSET(Demand!$A$13,ROW(B245)-1,4+((QUOTIENT(COLUMN(BR$2)-69,3))*5)+MOD(COLUMN(BR$2),3),1,1),"")</f>
        <v>0</v>
      </c>
      <c r="BS248">
        <f ca="1">IF($AN248="",OFFSET(Demand!$A$13,ROW(C245)-1,4+((QUOTIENT(COLUMN(BS$2)-69,3))*5)+MOD(COLUMN(BS$2),3),1,1),"")</f>
        <v>0</v>
      </c>
      <c r="BT248">
        <f ca="1">IF($AN248="",OFFSET(Demand!$A$13,ROW(D245)-1,4+((QUOTIENT(COLUMN(BT$2)-69,3))*5)+MOD(COLUMN(BT$2),3),1,1),"")</f>
        <v>0</v>
      </c>
      <c r="BU248">
        <f ca="1">IF($AN248="",OFFSET(Demand!$A$13,ROW(E245)-1,4+((QUOTIENT(COLUMN(BU$2)-69,3))*5)+MOD(COLUMN(BU$2),3),1,1),"")</f>
        <v>0</v>
      </c>
      <c r="BV248">
        <f ca="1">IF($AN248="",OFFSET(Demand!$A$13,ROW(F245)-1,4+((QUOTIENT(COLUMN(BV$2)-69,3))*5)+MOD(COLUMN(BV$2),3),1,1),"")</f>
        <v>0</v>
      </c>
      <c r="BW248">
        <f ca="1">IF($AN248="",OFFSET(Demand!$A$13,ROW(G245)-1,4+((QUOTIENT(COLUMN(BW$2)-69,3))*5)+MOD(COLUMN(BW$2),3),1,1),"")</f>
        <v>0</v>
      </c>
      <c r="BX248">
        <f ca="1">IF($AN248="",OFFSET(Demand!$A$13,ROW(H245)-1,4+((QUOTIENT(COLUMN(BX$2)-69,3))*5)+MOD(COLUMN(BX$2),3),1,1),"")</f>
        <v>0</v>
      </c>
      <c r="BY248">
        <f ca="1">IF($AN248="",OFFSET(Demand!$A$13,ROW(I245)-1,4+((QUOTIENT(COLUMN(BY$2)-69,3))*5)+MOD(COLUMN(BY$2),3),1,1),"")</f>
        <v>0</v>
      </c>
      <c r="BZ248">
        <f ca="1">IF($AN248="",OFFSET(Demand!$A$13,ROW(J245)-1,4+((QUOTIENT(COLUMN(BZ$2)-69,3))*5)+MOD(COLUMN(BZ$2),3),1,1),"")</f>
        <v>0</v>
      </c>
      <c r="CA248">
        <f ca="1">IF($AN248="",OFFSET(Demand!$A$13,ROW(K245)-1,4+((QUOTIENT(COLUMN(CA$2)-69,3))*5)+MOD(COLUMN(CA$2),3),1,1),"")</f>
        <v>0</v>
      </c>
      <c r="CB248">
        <f ca="1">IF($AN248="",OFFSET(Demand!$A$13,ROW(L245)-1,4+((QUOTIENT(COLUMN(CB$2)-69,3))*5)+MOD(COLUMN(CB$2),3),1,1),"")</f>
        <v>0</v>
      </c>
      <c r="CC248">
        <f ca="1">IF($AN248="",OFFSET(Demand!$A$13,ROW(M245)-1,4+((QUOTIENT(COLUMN(CC$2)-69,3))*5)+MOD(COLUMN(CC$2),3),1,1),"")</f>
        <v>0</v>
      </c>
      <c r="CD248">
        <f ca="1">IF($AN248="",OFFSET(Demand!$A$13,ROW(N245)-1,4+((QUOTIENT(COLUMN(CD$2)-69,3))*5)+MOD(COLUMN(CD$2),3),1,1),"")</f>
        <v>0</v>
      </c>
      <c r="CE248">
        <f ca="1">IF($AN248="",OFFSET(Demand!$A$13,ROW(O245)-1,4+((QUOTIENT(COLUMN(CE$2)-69,3))*5)+MOD(COLUMN(CE$2),3),1,1),"")</f>
        <v>0</v>
      </c>
      <c r="CF248">
        <f ca="1">IF($AN248="",OFFSET(Demand!$A$13,ROW(P245)-1,4+((QUOTIENT(COLUMN(CF$2)-69,3))*5)+MOD(COLUMN(CF$2),3),1,1),"")</f>
        <v>0</v>
      </c>
      <c r="CG248">
        <f ca="1">IF($AN248="",OFFSET(Demand!$A$13,ROW(Q245)-1,4+((QUOTIENT(COLUMN(CG$2)-69,3))*5)+MOD(COLUMN(CG$2),3),1,1),"")</f>
        <v>0</v>
      </c>
      <c r="CH248">
        <f ca="1">IF($AN248="",OFFSET(Demand!$A$13,ROW(R245)-1,4+((QUOTIENT(COLUMN(CH$2)-69,3))*5)+MOD(COLUMN(CH$2),3),1,1),"")</f>
        <v>0</v>
      </c>
      <c r="CI248">
        <f ca="1">IF($AN248="",OFFSET(Demand!$A$13,ROW(S245)-1,4+((QUOTIENT(COLUMN(CI$2)-69,3))*5)+MOD(COLUMN(CI$2),3),1,1),"")</f>
        <v>0</v>
      </c>
      <c r="CJ248">
        <f ca="1">IF($AN248="",OFFSET(Demand!$A$13,ROW(T245)-1,4+((QUOTIENT(COLUMN(CJ$2)-69,3))*5)+MOD(COLUMN(CJ$2),3),1,1),"")</f>
        <v>0</v>
      </c>
      <c r="CK248">
        <f ca="1">IF($AN248="",OFFSET(Demand!$A$13,ROW(U245)-1,4+((QUOTIENT(COLUMN(CK$2)-69,3))*5)+MOD(COLUMN(CK$2),3),1,1),"")</f>
        <v>0</v>
      </c>
      <c r="CL248">
        <f ca="1">IF($AN248="",OFFSET(Demand!$A$13,ROW(V245)-1,4+((QUOTIENT(COLUMN(CL$2)-69,3))*5)+MOD(COLUMN(CL$2),3),1,1),"")</f>
        <v>0</v>
      </c>
      <c r="CM248">
        <f ca="1">IF($AN248="",OFFSET(Demand!$A$13,ROW(W245)-1,4+((QUOTIENT(COLUMN(CM$2)-69,3))*5)+MOD(COLUMN(CM$2),3),1,1),"")</f>
        <v>0</v>
      </c>
      <c r="CN248">
        <f ca="1">IF($AN248="",OFFSET(Demand!$A$13,ROW(X245)-1,4+((QUOTIENT(COLUMN(CN$2)-69,3))*5)+MOD(COLUMN(CN$2),3),1,1),"")</f>
        <v>0</v>
      </c>
      <c r="CO248">
        <f ca="1">IF($AN248="",OFFSET(Demand!$A$13,ROW(Y245)-1,4+((QUOTIENT(COLUMN(CO$2)-69,3))*5)+MOD(COLUMN(CO$2),3),1,1),"")</f>
        <v>0</v>
      </c>
      <c r="CP248">
        <f ca="1">IF($AN248="",OFFSET(Demand!$A$13,ROW(Z245)-1,4+((QUOTIENT(COLUMN(CP$2)-69,3))*5)+MOD(COLUMN(CP$2),3),1,1),"")</f>
        <v>0</v>
      </c>
      <c r="CQ248">
        <f ca="1">IF($AN248="",OFFSET(Demand!$A$13,ROW(AA245)-1,4+((QUOTIENT(COLUMN(CQ$2)-69,3))*5)+MOD(COLUMN(CQ$2),3),1,1),"")</f>
        <v>0</v>
      </c>
      <c r="CR248">
        <f ca="1">IF($AN248="",OFFSET(Demand!$A$13,ROW(AB245)-1,4+((QUOTIENT(COLUMN(CR$2)-69,3))*5)+MOD(COLUMN(CR$2),3),1,1),"")</f>
        <v>0</v>
      </c>
      <c r="CS248">
        <f ca="1">IF($AN248="",OFFSET(Demand!$A$13,ROW(AC245)-1,4+((QUOTIENT(COLUMN(CS$2)-69,3))*5)+MOD(COLUMN(CS$2),3),1,1),"")</f>
        <v>0</v>
      </c>
      <c r="CT248">
        <f ca="1">IF($AN248="",OFFSET(Demand!$A$13,ROW(AD245)-1,4+((QUOTIENT(COLUMN(CT$2)-69,3))*5)+MOD(COLUMN(CT$2),3),1,1),"")</f>
        <v>0</v>
      </c>
      <c r="CW248" s="5">
        <f ca="1">SUM(OFFSET(Demand!$H$43,ROW(A245)-1,(COLUMN(A245)-1)*5,1,1))*N$2</f>
        <v>0</v>
      </c>
      <c r="CX248" s="5">
        <f ca="1">SUM(OFFSET(Demand!$H$43,ROW(B245)-1,(COLUMN(B245)-1)*5,1,1))*O$2</f>
        <v>0</v>
      </c>
      <c r="CY248" s="5">
        <f ca="1">SUM(OFFSET(Demand!$H$43,ROW(C245)-1,(COLUMN(C245)-1)*5,1,1))*P$2</f>
        <v>0</v>
      </c>
      <c r="CZ248" s="5">
        <f ca="1">SUM(OFFSET(Demand!$H$43,ROW(D245)-1,(COLUMN(D245)-1)*5,1,1))*Q$2</f>
        <v>0</v>
      </c>
      <c r="DA248" s="5">
        <f ca="1">SUM(OFFSET(Demand!$H$43,ROW(E245)-1,(COLUMN(E245)-1)*5,1,1))*R$2</f>
        <v>0</v>
      </c>
      <c r="DB248" s="5">
        <f ca="1">SUM(OFFSET(Demand!$H$43,ROW(F245)-1,(COLUMN(F245)-1)*5,1,1))*S$2</f>
        <v>0</v>
      </c>
      <c r="DC248" s="5">
        <f ca="1">SUM(OFFSET(Demand!$H$43,ROW(G245)-1,(COLUMN(G245)-1)*5,1,1))*T$2</f>
        <v>0</v>
      </c>
      <c r="DD248" s="5">
        <f ca="1">SUM(OFFSET(Demand!$H$43,ROW(H245)-1,(COLUMN(H245)-1)*5,1,1))*U$2</f>
        <v>0</v>
      </c>
      <c r="DE248" s="5">
        <f ca="1">SUM(OFFSET(Demand!$H$43,ROW(I245)-1,(COLUMN(I245)-1)*5,1,1))*V$2</f>
        <v>0</v>
      </c>
      <c r="DF248" s="5">
        <f ca="1">SUM(OFFSET(Demand!$H$43,ROW(J245)-1,(COLUMN(J245)-1)*5,1,1))*W$2</f>
        <v>0</v>
      </c>
      <c r="DG248" s="5">
        <f ca="1">IF(OR(AN248&lt;&gt;"",AND('Demand adjustments for Covid'!$F$9="Yes",'Demand adjustments for Covid'!$F$20="Yes")),"",SUM(CW248:DF248))</f>
        <v>0</v>
      </c>
    </row>
    <row r="249" spans="1:111" x14ac:dyDescent="0.25">
      <c r="A249" s="5">
        <f t="shared" ca="1" si="57"/>
        <v>1</v>
      </c>
      <c r="B249" s="5">
        <f ca="1">COUNTBLANK(OFFSET(Demand!$I258,0,(COLUMN(A246)-1)*5,1,1))</f>
        <v>1</v>
      </c>
      <c r="C249" s="5">
        <f ca="1">COUNTBLANK(OFFSET(Demand!$I258,0,(COLUMN(B246)-1)*5,1,1))</f>
        <v>1</v>
      </c>
      <c r="D249" s="5">
        <f ca="1">COUNTBLANK(OFFSET(Demand!$I258,0,(COLUMN(C246)-1)*5,1,1))</f>
        <v>1</v>
      </c>
      <c r="E249" s="5">
        <f ca="1">COUNTBLANK(OFFSET(Demand!$I258,0,(COLUMN(D246)-1)*5,1,1))</f>
        <v>1</v>
      </c>
      <c r="F249" s="5">
        <f ca="1">COUNTBLANK(OFFSET(Demand!$I258,0,(COLUMN(E246)-1)*5,1,1))</f>
        <v>1</v>
      </c>
      <c r="G249" s="5">
        <f ca="1">COUNTBLANK(OFFSET(Demand!$I258,0,(COLUMN(F246)-1)*5,1,1))</f>
        <v>1</v>
      </c>
      <c r="H249" s="5">
        <f ca="1">COUNTBLANK(OFFSET(Demand!$I258,0,(COLUMN(G246)-1)*5,1,1))</f>
        <v>1</v>
      </c>
      <c r="I249" s="5">
        <f ca="1">COUNTBLANK(OFFSET(Demand!$I258,0,(COLUMN(H246)-1)*5,1,1))</f>
        <v>1</v>
      </c>
      <c r="J249" s="5">
        <f ca="1">COUNTBLANK(OFFSET(Demand!$I258,0,(COLUMN(I246)-1)*5,1,1))</f>
        <v>1</v>
      </c>
      <c r="K249" s="5">
        <f ca="1">COUNTBLANK(OFFSET(Demand!$I258,0,(COLUMN(J246)-1)*5,1,1))</f>
        <v>1</v>
      </c>
      <c r="N249" s="5">
        <f ca="1">SUM(OFFSET(Demand!$E258,0,(COLUMN(A246)-1)*5,1,3))*N$2</f>
        <v>0</v>
      </c>
      <c r="O249" s="5">
        <f ca="1">SUM(OFFSET(Demand!$E258,0,(COLUMN(B246)-1)*5,1,3))*O$2</f>
        <v>0</v>
      </c>
      <c r="P249" s="5">
        <f ca="1">SUM(OFFSET(Demand!$E258,0,(COLUMN(C246)-1)*5,1,3))*P$2</f>
        <v>0</v>
      </c>
      <c r="Q249" s="5">
        <f ca="1">SUM(OFFSET(Demand!$E258,0,(COLUMN(D246)-1)*5,1,3))*Q$2</f>
        <v>0</v>
      </c>
      <c r="R249" s="5">
        <f ca="1">SUM(OFFSET(Demand!$E258,0,(COLUMN(E246)-1)*5,1,3))*R$2</f>
        <v>0</v>
      </c>
      <c r="S249" s="5">
        <f ca="1">SUM(OFFSET(Demand!$E258,0,(COLUMN(F246)-1)*5,1,3))*S$2</f>
        <v>0</v>
      </c>
      <c r="T249" s="5">
        <f ca="1">SUM(OFFSET(Demand!$E258,0,(COLUMN(G246)-1)*5,1,3))*T$2</f>
        <v>0</v>
      </c>
      <c r="U249" s="5">
        <f ca="1">SUM(OFFSET(Demand!$E258,0,(COLUMN(H246)-1)*5,1,3))*U$2</f>
        <v>0</v>
      </c>
      <c r="V249" s="5">
        <f ca="1">SUM(OFFSET(Demand!$E258,0,(COLUMN(I246)-1)*5,1,3))*V$2</f>
        <v>0</v>
      </c>
      <c r="W249" s="5">
        <f ca="1">SUM(OFFSET(Demand!$E258,0,(COLUMN(J246)-1)*5,1,3))*W$2</f>
        <v>0</v>
      </c>
      <c r="X249" s="5">
        <f t="shared" ca="1" si="51"/>
        <v>0</v>
      </c>
      <c r="Y249">
        <f t="shared" ca="1" si="52"/>
        <v>0</v>
      </c>
      <c r="Z249" s="5">
        <f ca="1">SUM(OFFSET(Demand!$H258,0,(COLUMN(A246)-1)*5,1,1))*N$2</f>
        <v>0</v>
      </c>
      <c r="AA249" s="5">
        <f ca="1">SUM(OFFSET(Demand!$H258,0,(COLUMN(B246)-1)*5,1,1))*O$2</f>
        <v>0</v>
      </c>
      <c r="AB249" s="5">
        <f ca="1">SUM(OFFSET(Demand!$H258,0,(COLUMN(C246)-1)*5,1,1))*P$2</f>
        <v>0</v>
      </c>
      <c r="AC249" s="5">
        <f ca="1">SUM(OFFSET(Demand!$H258,0,(COLUMN(D246)-1)*5,1,1))*Q$2</f>
        <v>0</v>
      </c>
      <c r="AD249" s="5">
        <f ca="1">SUM(OFFSET(Demand!$H258,0,(COLUMN(E246)-1)*5,1,1))*R$2</f>
        <v>0</v>
      </c>
      <c r="AE249" s="5">
        <f ca="1">SUM(OFFSET(Demand!$H258,0,(COLUMN(F246)-1)*5,1,1))*S$2</f>
        <v>0</v>
      </c>
      <c r="AF249" s="5">
        <f ca="1">SUM(OFFSET(Demand!$H258,0,(COLUMN(G246)-1)*5,1,1))*T$2</f>
        <v>0</v>
      </c>
      <c r="AG249" s="5">
        <f ca="1">SUM(OFFSET(Demand!$H258,0,(COLUMN(H246)-1)*5,1,1))*U$2</f>
        <v>0</v>
      </c>
      <c r="AH249" s="5">
        <f ca="1">SUM(OFFSET(Demand!$H258,0,(COLUMN(I246)-1)*5,1,1))*V$2</f>
        <v>0</v>
      </c>
      <c r="AI249" s="5">
        <f ca="1">SUM(OFFSET(Demand!$H258,0,(COLUMN(J246)-1)*5,1,1))*W$2</f>
        <v>0</v>
      </c>
      <c r="AJ249" s="5">
        <f t="shared" ca="1" si="53"/>
        <v>0</v>
      </c>
      <c r="AL249" s="5">
        <f t="shared" ca="1" si="54"/>
        <v>0</v>
      </c>
      <c r="AM249" s="5">
        <f t="shared" ca="1" si="55"/>
        <v>0</v>
      </c>
      <c r="AN249" s="5" t="str">
        <f>IF(Demand!BE258="Yes","Yes","")</f>
        <v/>
      </c>
      <c r="AP249" s="36" t="str">
        <f ca="1">Demand!B258</f>
        <v xml:space="preserve"> </v>
      </c>
      <c r="AQ249" t="str">
        <f ca="1">IF(TEXT(Demand!D258,"MMM")&lt;&gt;TEXT(Demand!D257,"MMM"),TEXT(Demand!D258,"MMM"),"")</f>
        <v/>
      </c>
      <c r="AT249" s="5">
        <f t="shared" ca="1" si="56"/>
        <v>0</v>
      </c>
      <c r="BQ249">
        <f ca="1">IF($AN249="",OFFSET(Demand!$A$13,ROW(A246)-1,4+((QUOTIENT(COLUMN(BQ$2)-69,3))*5)+MOD(COLUMN(BQ$2),3),1,1),"")</f>
        <v>0</v>
      </c>
      <c r="BR249">
        <f ca="1">IF($AN249="",OFFSET(Demand!$A$13,ROW(B246)-1,4+((QUOTIENT(COLUMN(BR$2)-69,3))*5)+MOD(COLUMN(BR$2),3),1,1),"")</f>
        <v>0</v>
      </c>
      <c r="BS249">
        <f ca="1">IF($AN249="",OFFSET(Demand!$A$13,ROW(C246)-1,4+((QUOTIENT(COLUMN(BS$2)-69,3))*5)+MOD(COLUMN(BS$2),3),1,1),"")</f>
        <v>0</v>
      </c>
      <c r="BT249">
        <f ca="1">IF($AN249="",OFFSET(Demand!$A$13,ROW(D246)-1,4+((QUOTIENT(COLUMN(BT$2)-69,3))*5)+MOD(COLUMN(BT$2),3),1,1),"")</f>
        <v>0</v>
      </c>
      <c r="BU249">
        <f ca="1">IF($AN249="",OFFSET(Demand!$A$13,ROW(E246)-1,4+((QUOTIENT(COLUMN(BU$2)-69,3))*5)+MOD(COLUMN(BU$2),3),1,1),"")</f>
        <v>0</v>
      </c>
      <c r="BV249">
        <f ca="1">IF($AN249="",OFFSET(Demand!$A$13,ROW(F246)-1,4+((QUOTIENT(COLUMN(BV$2)-69,3))*5)+MOD(COLUMN(BV$2),3),1,1),"")</f>
        <v>0</v>
      </c>
      <c r="BW249">
        <f ca="1">IF($AN249="",OFFSET(Demand!$A$13,ROW(G246)-1,4+((QUOTIENT(COLUMN(BW$2)-69,3))*5)+MOD(COLUMN(BW$2),3),1,1),"")</f>
        <v>0</v>
      </c>
      <c r="BX249">
        <f ca="1">IF($AN249="",OFFSET(Demand!$A$13,ROW(H246)-1,4+((QUOTIENT(COLUMN(BX$2)-69,3))*5)+MOD(COLUMN(BX$2),3),1,1),"")</f>
        <v>0</v>
      </c>
      <c r="BY249">
        <f ca="1">IF($AN249="",OFFSET(Demand!$A$13,ROW(I246)-1,4+((QUOTIENT(COLUMN(BY$2)-69,3))*5)+MOD(COLUMN(BY$2),3),1,1),"")</f>
        <v>0</v>
      </c>
      <c r="BZ249">
        <f ca="1">IF($AN249="",OFFSET(Demand!$A$13,ROW(J246)-1,4+((QUOTIENT(COLUMN(BZ$2)-69,3))*5)+MOD(COLUMN(BZ$2),3),1,1),"")</f>
        <v>0</v>
      </c>
      <c r="CA249">
        <f ca="1">IF($AN249="",OFFSET(Demand!$A$13,ROW(K246)-1,4+((QUOTIENT(COLUMN(CA$2)-69,3))*5)+MOD(COLUMN(CA$2),3),1,1),"")</f>
        <v>0</v>
      </c>
      <c r="CB249">
        <f ca="1">IF($AN249="",OFFSET(Demand!$A$13,ROW(L246)-1,4+((QUOTIENT(COLUMN(CB$2)-69,3))*5)+MOD(COLUMN(CB$2),3),1,1),"")</f>
        <v>0</v>
      </c>
      <c r="CC249">
        <f ca="1">IF($AN249="",OFFSET(Demand!$A$13,ROW(M246)-1,4+((QUOTIENT(COLUMN(CC$2)-69,3))*5)+MOD(COLUMN(CC$2),3),1,1),"")</f>
        <v>0</v>
      </c>
      <c r="CD249">
        <f ca="1">IF($AN249="",OFFSET(Demand!$A$13,ROW(N246)-1,4+((QUOTIENT(COLUMN(CD$2)-69,3))*5)+MOD(COLUMN(CD$2),3),1,1),"")</f>
        <v>0</v>
      </c>
      <c r="CE249">
        <f ca="1">IF($AN249="",OFFSET(Demand!$A$13,ROW(O246)-1,4+((QUOTIENT(COLUMN(CE$2)-69,3))*5)+MOD(COLUMN(CE$2),3),1,1),"")</f>
        <v>0</v>
      </c>
      <c r="CF249">
        <f ca="1">IF($AN249="",OFFSET(Demand!$A$13,ROW(P246)-1,4+((QUOTIENT(COLUMN(CF$2)-69,3))*5)+MOD(COLUMN(CF$2),3),1,1),"")</f>
        <v>0</v>
      </c>
      <c r="CG249">
        <f ca="1">IF($AN249="",OFFSET(Demand!$A$13,ROW(Q246)-1,4+((QUOTIENT(COLUMN(CG$2)-69,3))*5)+MOD(COLUMN(CG$2),3),1,1),"")</f>
        <v>0</v>
      </c>
      <c r="CH249">
        <f ca="1">IF($AN249="",OFFSET(Demand!$A$13,ROW(R246)-1,4+((QUOTIENT(COLUMN(CH$2)-69,3))*5)+MOD(COLUMN(CH$2),3),1,1),"")</f>
        <v>0</v>
      </c>
      <c r="CI249">
        <f ca="1">IF($AN249="",OFFSET(Demand!$A$13,ROW(S246)-1,4+((QUOTIENT(COLUMN(CI$2)-69,3))*5)+MOD(COLUMN(CI$2),3),1,1),"")</f>
        <v>0</v>
      </c>
      <c r="CJ249">
        <f ca="1">IF($AN249="",OFFSET(Demand!$A$13,ROW(T246)-1,4+((QUOTIENT(COLUMN(CJ$2)-69,3))*5)+MOD(COLUMN(CJ$2),3),1,1),"")</f>
        <v>0</v>
      </c>
      <c r="CK249">
        <f ca="1">IF($AN249="",OFFSET(Demand!$A$13,ROW(U246)-1,4+((QUOTIENT(COLUMN(CK$2)-69,3))*5)+MOD(COLUMN(CK$2),3),1,1),"")</f>
        <v>0</v>
      </c>
      <c r="CL249">
        <f ca="1">IF($AN249="",OFFSET(Demand!$A$13,ROW(V246)-1,4+((QUOTIENT(COLUMN(CL$2)-69,3))*5)+MOD(COLUMN(CL$2),3),1,1),"")</f>
        <v>0</v>
      </c>
      <c r="CM249">
        <f ca="1">IF($AN249="",OFFSET(Demand!$A$13,ROW(W246)-1,4+((QUOTIENT(COLUMN(CM$2)-69,3))*5)+MOD(COLUMN(CM$2),3),1,1),"")</f>
        <v>0</v>
      </c>
      <c r="CN249">
        <f ca="1">IF($AN249="",OFFSET(Demand!$A$13,ROW(X246)-1,4+((QUOTIENT(COLUMN(CN$2)-69,3))*5)+MOD(COLUMN(CN$2),3),1,1),"")</f>
        <v>0</v>
      </c>
      <c r="CO249">
        <f ca="1">IF($AN249="",OFFSET(Demand!$A$13,ROW(Y246)-1,4+((QUOTIENT(COLUMN(CO$2)-69,3))*5)+MOD(COLUMN(CO$2),3),1,1),"")</f>
        <v>0</v>
      </c>
      <c r="CP249">
        <f ca="1">IF($AN249="",OFFSET(Demand!$A$13,ROW(Z246)-1,4+((QUOTIENT(COLUMN(CP$2)-69,3))*5)+MOD(COLUMN(CP$2),3),1,1),"")</f>
        <v>0</v>
      </c>
      <c r="CQ249">
        <f ca="1">IF($AN249="",OFFSET(Demand!$A$13,ROW(AA246)-1,4+((QUOTIENT(COLUMN(CQ$2)-69,3))*5)+MOD(COLUMN(CQ$2),3),1,1),"")</f>
        <v>0</v>
      </c>
      <c r="CR249">
        <f ca="1">IF($AN249="",OFFSET(Demand!$A$13,ROW(AB246)-1,4+((QUOTIENT(COLUMN(CR$2)-69,3))*5)+MOD(COLUMN(CR$2),3),1,1),"")</f>
        <v>0</v>
      </c>
      <c r="CS249">
        <f ca="1">IF($AN249="",OFFSET(Demand!$A$13,ROW(AC246)-1,4+((QUOTIENT(COLUMN(CS$2)-69,3))*5)+MOD(COLUMN(CS$2),3),1,1),"")</f>
        <v>0</v>
      </c>
      <c r="CT249">
        <f ca="1">IF($AN249="",OFFSET(Demand!$A$13,ROW(AD246)-1,4+((QUOTIENT(COLUMN(CT$2)-69,3))*5)+MOD(COLUMN(CT$2),3),1,1),"")</f>
        <v>0</v>
      </c>
      <c r="CW249" s="5">
        <f ca="1">SUM(OFFSET(Demand!$H$43,ROW(A246)-1,(COLUMN(A246)-1)*5,1,1))*N$2</f>
        <v>0</v>
      </c>
      <c r="CX249" s="5">
        <f ca="1">SUM(OFFSET(Demand!$H$43,ROW(B246)-1,(COLUMN(B246)-1)*5,1,1))*O$2</f>
        <v>0</v>
      </c>
      <c r="CY249" s="5">
        <f ca="1">SUM(OFFSET(Demand!$H$43,ROW(C246)-1,(COLUMN(C246)-1)*5,1,1))*P$2</f>
        <v>0</v>
      </c>
      <c r="CZ249" s="5">
        <f ca="1">SUM(OFFSET(Demand!$H$43,ROW(D246)-1,(COLUMN(D246)-1)*5,1,1))*Q$2</f>
        <v>0</v>
      </c>
      <c r="DA249" s="5">
        <f ca="1">SUM(OFFSET(Demand!$H$43,ROW(E246)-1,(COLUMN(E246)-1)*5,1,1))*R$2</f>
        <v>0</v>
      </c>
      <c r="DB249" s="5">
        <f ca="1">SUM(OFFSET(Demand!$H$43,ROW(F246)-1,(COLUMN(F246)-1)*5,1,1))*S$2</f>
        <v>0</v>
      </c>
      <c r="DC249" s="5">
        <f ca="1">SUM(OFFSET(Demand!$H$43,ROW(G246)-1,(COLUMN(G246)-1)*5,1,1))*T$2</f>
        <v>0</v>
      </c>
      <c r="DD249" s="5">
        <f ca="1">SUM(OFFSET(Demand!$H$43,ROW(H246)-1,(COLUMN(H246)-1)*5,1,1))*U$2</f>
        <v>0</v>
      </c>
      <c r="DE249" s="5">
        <f ca="1">SUM(OFFSET(Demand!$H$43,ROW(I246)-1,(COLUMN(I246)-1)*5,1,1))*V$2</f>
        <v>0</v>
      </c>
      <c r="DF249" s="5">
        <f ca="1">SUM(OFFSET(Demand!$H$43,ROW(J246)-1,(COLUMN(J246)-1)*5,1,1))*W$2</f>
        <v>0</v>
      </c>
      <c r="DG249" s="5">
        <f ca="1">IF(OR(AN249&lt;&gt;"",AND('Demand adjustments for Covid'!$F$9="Yes",'Demand adjustments for Covid'!$F$20="Yes")),"",SUM(CW249:DF249))</f>
        <v>0</v>
      </c>
    </row>
    <row r="250" spans="1:111" x14ac:dyDescent="0.25">
      <c r="A250" s="5">
        <f t="shared" ca="1" si="57"/>
        <v>1</v>
      </c>
      <c r="B250" s="5">
        <f ca="1">COUNTBLANK(OFFSET(Demand!$I259,0,(COLUMN(A247)-1)*5,1,1))</f>
        <v>1</v>
      </c>
      <c r="C250" s="5">
        <f ca="1">COUNTBLANK(OFFSET(Demand!$I259,0,(COLUMN(B247)-1)*5,1,1))</f>
        <v>1</v>
      </c>
      <c r="D250" s="5">
        <f ca="1">COUNTBLANK(OFFSET(Demand!$I259,0,(COLUMN(C247)-1)*5,1,1))</f>
        <v>1</v>
      </c>
      <c r="E250" s="5">
        <f ca="1">COUNTBLANK(OFFSET(Demand!$I259,0,(COLUMN(D247)-1)*5,1,1))</f>
        <v>1</v>
      </c>
      <c r="F250" s="5">
        <f ca="1">COUNTBLANK(OFFSET(Demand!$I259,0,(COLUMN(E247)-1)*5,1,1))</f>
        <v>1</v>
      </c>
      <c r="G250" s="5">
        <f ca="1">COUNTBLANK(OFFSET(Demand!$I259,0,(COLUMN(F247)-1)*5,1,1))</f>
        <v>1</v>
      </c>
      <c r="H250" s="5">
        <f ca="1">COUNTBLANK(OFFSET(Demand!$I259,0,(COLUMN(G247)-1)*5,1,1))</f>
        <v>1</v>
      </c>
      <c r="I250" s="5">
        <f ca="1">COUNTBLANK(OFFSET(Demand!$I259,0,(COLUMN(H247)-1)*5,1,1))</f>
        <v>1</v>
      </c>
      <c r="J250" s="5">
        <f ca="1">COUNTBLANK(OFFSET(Demand!$I259,0,(COLUMN(I247)-1)*5,1,1))</f>
        <v>1</v>
      </c>
      <c r="K250" s="5">
        <f ca="1">COUNTBLANK(OFFSET(Demand!$I259,0,(COLUMN(J247)-1)*5,1,1))</f>
        <v>1</v>
      </c>
      <c r="N250" s="5">
        <f ca="1">SUM(OFFSET(Demand!$E259,0,(COLUMN(A247)-1)*5,1,3))*N$2</f>
        <v>0</v>
      </c>
      <c r="O250" s="5">
        <f ca="1">SUM(OFFSET(Demand!$E259,0,(COLUMN(B247)-1)*5,1,3))*O$2</f>
        <v>0</v>
      </c>
      <c r="P250" s="5">
        <f ca="1">SUM(OFFSET(Demand!$E259,0,(COLUMN(C247)-1)*5,1,3))*P$2</f>
        <v>0</v>
      </c>
      <c r="Q250" s="5">
        <f ca="1">SUM(OFFSET(Demand!$E259,0,(COLUMN(D247)-1)*5,1,3))*Q$2</f>
        <v>0</v>
      </c>
      <c r="R250" s="5">
        <f ca="1">SUM(OFFSET(Demand!$E259,0,(COLUMN(E247)-1)*5,1,3))*R$2</f>
        <v>0</v>
      </c>
      <c r="S250" s="5">
        <f ca="1">SUM(OFFSET(Demand!$E259,0,(COLUMN(F247)-1)*5,1,3))*S$2</f>
        <v>0</v>
      </c>
      <c r="T250" s="5">
        <f ca="1">SUM(OFFSET(Demand!$E259,0,(COLUMN(G247)-1)*5,1,3))*T$2</f>
        <v>0</v>
      </c>
      <c r="U250" s="5">
        <f ca="1">SUM(OFFSET(Demand!$E259,0,(COLUMN(H247)-1)*5,1,3))*U$2</f>
        <v>0</v>
      </c>
      <c r="V250" s="5">
        <f ca="1">SUM(OFFSET(Demand!$E259,0,(COLUMN(I247)-1)*5,1,3))*V$2</f>
        <v>0</v>
      </c>
      <c r="W250" s="5">
        <f ca="1">SUM(OFFSET(Demand!$E259,0,(COLUMN(J247)-1)*5,1,3))*W$2</f>
        <v>0</v>
      </c>
      <c r="X250" s="5">
        <f t="shared" ca="1" si="51"/>
        <v>0</v>
      </c>
      <c r="Y250">
        <f t="shared" ca="1" si="52"/>
        <v>0</v>
      </c>
      <c r="Z250" s="5">
        <f ca="1">SUM(OFFSET(Demand!$H259,0,(COLUMN(A247)-1)*5,1,1))*N$2</f>
        <v>0</v>
      </c>
      <c r="AA250" s="5">
        <f ca="1">SUM(OFFSET(Demand!$H259,0,(COLUMN(B247)-1)*5,1,1))*O$2</f>
        <v>0</v>
      </c>
      <c r="AB250" s="5">
        <f ca="1">SUM(OFFSET(Demand!$H259,0,(COLUMN(C247)-1)*5,1,1))*P$2</f>
        <v>0</v>
      </c>
      <c r="AC250" s="5">
        <f ca="1">SUM(OFFSET(Demand!$H259,0,(COLUMN(D247)-1)*5,1,1))*Q$2</f>
        <v>0</v>
      </c>
      <c r="AD250" s="5">
        <f ca="1">SUM(OFFSET(Demand!$H259,0,(COLUMN(E247)-1)*5,1,1))*R$2</f>
        <v>0</v>
      </c>
      <c r="AE250" s="5">
        <f ca="1">SUM(OFFSET(Demand!$H259,0,(COLUMN(F247)-1)*5,1,1))*S$2</f>
        <v>0</v>
      </c>
      <c r="AF250" s="5">
        <f ca="1">SUM(OFFSET(Demand!$H259,0,(COLUMN(G247)-1)*5,1,1))*T$2</f>
        <v>0</v>
      </c>
      <c r="AG250" s="5">
        <f ca="1">SUM(OFFSET(Demand!$H259,0,(COLUMN(H247)-1)*5,1,1))*U$2</f>
        <v>0</v>
      </c>
      <c r="AH250" s="5">
        <f ca="1">SUM(OFFSET(Demand!$H259,0,(COLUMN(I247)-1)*5,1,1))*V$2</f>
        <v>0</v>
      </c>
      <c r="AI250" s="5">
        <f ca="1">SUM(OFFSET(Demand!$H259,0,(COLUMN(J247)-1)*5,1,1))*W$2</f>
        <v>0</v>
      </c>
      <c r="AJ250" s="5">
        <f t="shared" ca="1" si="53"/>
        <v>0</v>
      </c>
      <c r="AL250" s="5">
        <f t="shared" ca="1" si="54"/>
        <v>0</v>
      </c>
      <c r="AM250" s="5">
        <f t="shared" ca="1" si="55"/>
        <v>0</v>
      </c>
      <c r="AN250" s="5" t="str">
        <f>IF(Demand!BE259="Yes","Yes","")</f>
        <v/>
      </c>
      <c r="AP250" s="36" t="str">
        <f ca="1">Demand!B259</f>
        <v xml:space="preserve"> </v>
      </c>
      <c r="AQ250" t="str">
        <f ca="1">IF(TEXT(Demand!D259,"MMM")&lt;&gt;TEXT(Demand!D258,"MMM"),TEXT(Demand!D259,"MMM"),"")</f>
        <v/>
      </c>
      <c r="AT250" s="5">
        <f t="shared" ca="1" si="56"/>
        <v>0</v>
      </c>
      <c r="BQ250">
        <f ca="1">IF($AN250="",OFFSET(Demand!$A$13,ROW(A247)-1,4+((QUOTIENT(COLUMN(BQ$2)-69,3))*5)+MOD(COLUMN(BQ$2),3),1,1),"")</f>
        <v>0</v>
      </c>
      <c r="BR250">
        <f ca="1">IF($AN250="",OFFSET(Demand!$A$13,ROW(B247)-1,4+((QUOTIENT(COLUMN(BR$2)-69,3))*5)+MOD(COLUMN(BR$2),3),1,1),"")</f>
        <v>0</v>
      </c>
      <c r="BS250">
        <f ca="1">IF($AN250="",OFFSET(Demand!$A$13,ROW(C247)-1,4+((QUOTIENT(COLUMN(BS$2)-69,3))*5)+MOD(COLUMN(BS$2),3),1,1),"")</f>
        <v>0</v>
      </c>
      <c r="BT250">
        <f ca="1">IF($AN250="",OFFSET(Demand!$A$13,ROW(D247)-1,4+((QUOTIENT(COLUMN(BT$2)-69,3))*5)+MOD(COLUMN(BT$2),3),1,1),"")</f>
        <v>0</v>
      </c>
      <c r="BU250">
        <f ca="1">IF($AN250="",OFFSET(Demand!$A$13,ROW(E247)-1,4+((QUOTIENT(COLUMN(BU$2)-69,3))*5)+MOD(COLUMN(BU$2),3),1,1),"")</f>
        <v>0</v>
      </c>
      <c r="BV250">
        <f ca="1">IF($AN250="",OFFSET(Demand!$A$13,ROW(F247)-1,4+((QUOTIENT(COLUMN(BV$2)-69,3))*5)+MOD(COLUMN(BV$2),3),1,1),"")</f>
        <v>0</v>
      </c>
      <c r="BW250">
        <f ca="1">IF($AN250="",OFFSET(Demand!$A$13,ROW(G247)-1,4+((QUOTIENT(COLUMN(BW$2)-69,3))*5)+MOD(COLUMN(BW$2),3),1,1),"")</f>
        <v>0</v>
      </c>
      <c r="BX250">
        <f ca="1">IF($AN250="",OFFSET(Demand!$A$13,ROW(H247)-1,4+((QUOTIENT(COLUMN(BX$2)-69,3))*5)+MOD(COLUMN(BX$2),3),1,1),"")</f>
        <v>0</v>
      </c>
      <c r="BY250">
        <f ca="1">IF($AN250="",OFFSET(Demand!$A$13,ROW(I247)-1,4+((QUOTIENT(COLUMN(BY$2)-69,3))*5)+MOD(COLUMN(BY$2),3),1,1),"")</f>
        <v>0</v>
      </c>
      <c r="BZ250">
        <f ca="1">IF($AN250="",OFFSET(Demand!$A$13,ROW(J247)-1,4+((QUOTIENT(COLUMN(BZ$2)-69,3))*5)+MOD(COLUMN(BZ$2),3),1,1),"")</f>
        <v>0</v>
      </c>
      <c r="CA250">
        <f ca="1">IF($AN250="",OFFSET(Demand!$A$13,ROW(K247)-1,4+((QUOTIENT(COLUMN(CA$2)-69,3))*5)+MOD(COLUMN(CA$2),3),1,1),"")</f>
        <v>0</v>
      </c>
      <c r="CB250">
        <f ca="1">IF($AN250="",OFFSET(Demand!$A$13,ROW(L247)-1,4+((QUOTIENT(COLUMN(CB$2)-69,3))*5)+MOD(COLUMN(CB$2),3),1,1),"")</f>
        <v>0</v>
      </c>
      <c r="CC250">
        <f ca="1">IF($AN250="",OFFSET(Demand!$A$13,ROW(M247)-1,4+((QUOTIENT(COLUMN(CC$2)-69,3))*5)+MOD(COLUMN(CC$2),3),1,1),"")</f>
        <v>0</v>
      </c>
      <c r="CD250">
        <f ca="1">IF($AN250="",OFFSET(Demand!$A$13,ROW(N247)-1,4+((QUOTIENT(COLUMN(CD$2)-69,3))*5)+MOD(COLUMN(CD$2),3),1,1),"")</f>
        <v>0</v>
      </c>
      <c r="CE250">
        <f ca="1">IF($AN250="",OFFSET(Demand!$A$13,ROW(O247)-1,4+((QUOTIENT(COLUMN(CE$2)-69,3))*5)+MOD(COLUMN(CE$2),3),1,1),"")</f>
        <v>0</v>
      </c>
      <c r="CF250">
        <f ca="1">IF($AN250="",OFFSET(Demand!$A$13,ROW(P247)-1,4+((QUOTIENT(COLUMN(CF$2)-69,3))*5)+MOD(COLUMN(CF$2),3),1,1),"")</f>
        <v>0</v>
      </c>
      <c r="CG250">
        <f ca="1">IF($AN250="",OFFSET(Demand!$A$13,ROW(Q247)-1,4+((QUOTIENT(COLUMN(CG$2)-69,3))*5)+MOD(COLUMN(CG$2),3),1,1),"")</f>
        <v>0</v>
      </c>
      <c r="CH250">
        <f ca="1">IF($AN250="",OFFSET(Demand!$A$13,ROW(R247)-1,4+((QUOTIENT(COLUMN(CH$2)-69,3))*5)+MOD(COLUMN(CH$2),3),1,1),"")</f>
        <v>0</v>
      </c>
      <c r="CI250">
        <f ca="1">IF($AN250="",OFFSET(Demand!$A$13,ROW(S247)-1,4+((QUOTIENT(COLUMN(CI$2)-69,3))*5)+MOD(COLUMN(CI$2),3),1,1),"")</f>
        <v>0</v>
      </c>
      <c r="CJ250">
        <f ca="1">IF($AN250="",OFFSET(Demand!$A$13,ROW(T247)-1,4+((QUOTIENT(COLUMN(CJ$2)-69,3))*5)+MOD(COLUMN(CJ$2),3),1,1),"")</f>
        <v>0</v>
      </c>
      <c r="CK250">
        <f ca="1">IF($AN250="",OFFSET(Demand!$A$13,ROW(U247)-1,4+((QUOTIENT(COLUMN(CK$2)-69,3))*5)+MOD(COLUMN(CK$2),3),1,1),"")</f>
        <v>0</v>
      </c>
      <c r="CL250">
        <f ca="1">IF($AN250="",OFFSET(Demand!$A$13,ROW(V247)-1,4+((QUOTIENT(COLUMN(CL$2)-69,3))*5)+MOD(COLUMN(CL$2),3),1,1),"")</f>
        <v>0</v>
      </c>
      <c r="CM250">
        <f ca="1">IF($AN250="",OFFSET(Demand!$A$13,ROW(W247)-1,4+((QUOTIENT(COLUMN(CM$2)-69,3))*5)+MOD(COLUMN(CM$2),3),1,1),"")</f>
        <v>0</v>
      </c>
      <c r="CN250">
        <f ca="1">IF($AN250="",OFFSET(Demand!$A$13,ROW(X247)-1,4+((QUOTIENT(COLUMN(CN$2)-69,3))*5)+MOD(COLUMN(CN$2),3),1,1),"")</f>
        <v>0</v>
      </c>
      <c r="CO250">
        <f ca="1">IF($AN250="",OFFSET(Demand!$A$13,ROW(Y247)-1,4+((QUOTIENT(COLUMN(CO$2)-69,3))*5)+MOD(COLUMN(CO$2),3),1,1),"")</f>
        <v>0</v>
      </c>
      <c r="CP250">
        <f ca="1">IF($AN250="",OFFSET(Demand!$A$13,ROW(Z247)-1,4+((QUOTIENT(COLUMN(CP$2)-69,3))*5)+MOD(COLUMN(CP$2),3),1,1),"")</f>
        <v>0</v>
      </c>
      <c r="CQ250">
        <f ca="1">IF($AN250="",OFFSET(Demand!$A$13,ROW(AA247)-1,4+((QUOTIENT(COLUMN(CQ$2)-69,3))*5)+MOD(COLUMN(CQ$2),3),1,1),"")</f>
        <v>0</v>
      </c>
      <c r="CR250">
        <f ca="1">IF($AN250="",OFFSET(Demand!$A$13,ROW(AB247)-1,4+((QUOTIENT(COLUMN(CR$2)-69,3))*5)+MOD(COLUMN(CR$2),3),1,1),"")</f>
        <v>0</v>
      </c>
      <c r="CS250">
        <f ca="1">IF($AN250="",OFFSET(Demand!$A$13,ROW(AC247)-1,4+((QUOTIENT(COLUMN(CS$2)-69,3))*5)+MOD(COLUMN(CS$2),3),1,1),"")</f>
        <v>0</v>
      </c>
      <c r="CT250">
        <f ca="1">IF($AN250="",OFFSET(Demand!$A$13,ROW(AD247)-1,4+((QUOTIENT(COLUMN(CT$2)-69,3))*5)+MOD(COLUMN(CT$2),3),1,1),"")</f>
        <v>0</v>
      </c>
      <c r="CW250" s="5">
        <f ca="1">SUM(OFFSET(Demand!$H$43,ROW(A247)-1,(COLUMN(A247)-1)*5,1,1))*N$2</f>
        <v>0</v>
      </c>
      <c r="CX250" s="5">
        <f ca="1">SUM(OFFSET(Demand!$H$43,ROW(B247)-1,(COLUMN(B247)-1)*5,1,1))*O$2</f>
        <v>0</v>
      </c>
      <c r="CY250" s="5">
        <f ca="1">SUM(OFFSET(Demand!$H$43,ROW(C247)-1,(COLUMN(C247)-1)*5,1,1))*P$2</f>
        <v>0</v>
      </c>
      <c r="CZ250" s="5">
        <f ca="1">SUM(OFFSET(Demand!$H$43,ROW(D247)-1,(COLUMN(D247)-1)*5,1,1))*Q$2</f>
        <v>0</v>
      </c>
      <c r="DA250" s="5">
        <f ca="1">SUM(OFFSET(Demand!$H$43,ROW(E247)-1,(COLUMN(E247)-1)*5,1,1))*R$2</f>
        <v>0</v>
      </c>
      <c r="DB250" s="5">
        <f ca="1">SUM(OFFSET(Demand!$H$43,ROW(F247)-1,(COLUMN(F247)-1)*5,1,1))*S$2</f>
        <v>0</v>
      </c>
      <c r="DC250" s="5">
        <f ca="1">SUM(OFFSET(Demand!$H$43,ROW(G247)-1,(COLUMN(G247)-1)*5,1,1))*T$2</f>
        <v>0</v>
      </c>
      <c r="DD250" s="5">
        <f ca="1">SUM(OFFSET(Demand!$H$43,ROW(H247)-1,(COLUMN(H247)-1)*5,1,1))*U$2</f>
        <v>0</v>
      </c>
      <c r="DE250" s="5">
        <f ca="1">SUM(OFFSET(Demand!$H$43,ROW(I247)-1,(COLUMN(I247)-1)*5,1,1))*V$2</f>
        <v>0</v>
      </c>
      <c r="DF250" s="5">
        <f ca="1">SUM(OFFSET(Demand!$H$43,ROW(J247)-1,(COLUMN(J247)-1)*5,1,1))*W$2</f>
        <v>0</v>
      </c>
      <c r="DG250" s="5">
        <f ca="1">IF(OR(AN250&lt;&gt;"",AND('Demand adjustments for Covid'!$F$9="Yes",'Demand adjustments for Covid'!$F$20="Yes")),"",SUM(CW250:DF250))</f>
        <v>0</v>
      </c>
    </row>
    <row r="251" spans="1:111" x14ac:dyDescent="0.25">
      <c r="A251" s="5">
        <f t="shared" ca="1" si="57"/>
        <v>1</v>
      </c>
      <c r="B251" s="5">
        <f ca="1">COUNTBLANK(OFFSET(Demand!$I260,0,(COLUMN(A248)-1)*5,1,1))</f>
        <v>1</v>
      </c>
      <c r="C251" s="5">
        <f ca="1">COUNTBLANK(OFFSET(Demand!$I260,0,(COLUMN(B248)-1)*5,1,1))</f>
        <v>1</v>
      </c>
      <c r="D251" s="5">
        <f ca="1">COUNTBLANK(OFFSET(Demand!$I260,0,(COLUMN(C248)-1)*5,1,1))</f>
        <v>1</v>
      </c>
      <c r="E251" s="5">
        <f ca="1">COUNTBLANK(OFFSET(Demand!$I260,0,(COLUMN(D248)-1)*5,1,1))</f>
        <v>1</v>
      </c>
      <c r="F251" s="5">
        <f ca="1">COUNTBLANK(OFFSET(Demand!$I260,0,(COLUMN(E248)-1)*5,1,1))</f>
        <v>1</v>
      </c>
      <c r="G251" s="5">
        <f ca="1">COUNTBLANK(OFFSET(Demand!$I260,0,(COLUMN(F248)-1)*5,1,1))</f>
        <v>1</v>
      </c>
      <c r="H251" s="5">
        <f ca="1">COUNTBLANK(OFFSET(Demand!$I260,0,(COLUMN(G248)-1)*5,1,1))</f>
        <v>1</v>
      </c>
      <c r="I251" s="5">
        <f ca="1">COUNTBLANK(OFFSET(Demand!$I260,0,(COLUMN(H248)-1)*5,1,1))</f>
        <v>1</v>
      </c>
      <c r="J251" s="5">
        <f ca="1">COUNTBLANK(OFFSET(Demand!$I260,0,(COLUMN(I248)-1)*5,1,1))</f>
        <v>1</v>
      </c>
      <c r="K251" s="5">
        <f ca="1">COUNTBLANK(OFFSET(Demand!$I260,0,(COLUMN(J248)-1)*5,1,1))</f>
        <v>1</v>
      </c>
      <c r="N251" s="5">
        <f ca="1">SUM(OFFSET(Demand!$E260,0,(COLUMN(A248)-1)*5,1,3))*N$2</f>
        <v>0</v>
      </c>
      <c r="O251" s="5">
        <f ca="1">SUM(OFFSET(Demand!$E260,0,(COLUMN(B248)-1)*5,1,3))*O$2</f>
        <v>0</v>
      </c>
      <c r="P251" s="5">
        <f ca="1">SUM(OFFSET(Demand!$E260,0,(COLUMN(C248)-1)*5,1,3))*P$2</f>
        <v>0</v>
      </c>
      <c r="Q251" s="5">
        <f ca="1">SUM(OFFSET(Demand!$E260,0,(COLUMN(D248)-1)*5,1,3))*Q$2</f>
        <v>0</v>
      </c>
      <c r="R251" s="5">
        <f ca="1">SUM(OFFSET(Demand!$E260,0,(COLUMN(E248)-1)*5,1,3))*R$2</f>
        <v>0</v>
      </c>
      <c r="S251" s="5">
        <f ca="1">SUM(OFFSET(Demand!$E260,0,(COLUMN(F248)-1)*5,1,3))*S$2</f>
        <v>0</v>
      </c>
      <c r="T251" s="5">
        <f ca="1">SUM(OFFSET(Demand!$E260,0,(COLUMN(G248)-1)*5,1,3))*T$2</f>
        <v>0</v>
      </c>
      <c r="U251" s="5">
        <f ca="1">SUM(OFFSET(Demand!$E260,0,(COLUMN(H248)-1)*5,1,3))*U$2</f>
        <v>0</v>
      </c>
      <c r="V251" s="5">
        <f ca="1">SUM(OFFSET(Demand!$E260,0,(COLUMN(I248)-1)*5,1,3))*V$2</f>
        <v>0</v>
      </c>
      <c r="W251" s="5">
        <f ca="1">SUM(OFFSET(Demand!$E260,0,(COLUMN(J248)-1)*5,1,3))*W$2</f>
        <v>0</v>
      </c>
      <c r="X251" s="5">
        <f t="shared" ca="1" si="51"/>
        <v>0</v>
      </c>
      <c r="Y251">
        <f t="shared" ca="1" si="52"/>
        <v>0</v>
      </c>
      <c r="Z251" s="5">
        <f ca="1">SUM(OFFSET(Demand!$H260,0,(COLUMN(A248)-1)*5,1,1))*N$2</f>
        <v>0</v>
      </c>
      <c r="AA251" s="5">
        <f ca="1">SUM(OFFSET(Demand!$H260,0,(COLUMN(B248)-1)*5,1,1))*O$2</f>
        <v>0</v>
      </c>
      <c r="AB251" s="5">
        <f ca="1">SUM(OFFSET(Demand!$H260,0,(COLUMN(C248)-1)*5,1,1))*P$2</f>
        <v>0</v>
      </c>
      <c r="AC251" s="5">
        <f ca="1">SUM(OFFSET(Demand!$H260,0,(COLUMN(D248)-1)*5,1,1))*Q$2</f>
        <v>0</v>
      </c>
      <c r="AD251" s="5">
        <f ca="1">SUM(OFFSET(Demand!$H260,0,(COLUMN(E248)-1)*5,1,1))*R$2</f>
        <v>0</v>
      </c>
      <c r="AE251" s="5">
        <f ca="1">SUM(OFFSET(Demand!$H260,0,(COLUMN(F248)-1)*5,1,1))*S$2</f>
        <v>0</v>
      </c>
      <c r="AF251" s="5">
        <f ca="1">SUM(OFFSET(Demand!$H260,0,(COLUMN(G248)-1)*5,1,1))*T$2</f>
        <v>0</v>
      </c>
      <c r="AG251" s="5">
        <f ca="1">SUM(OFFSET(Demand!$H260,0,(COLUMN(H248)-1)*5,1,1))*U$2</f>
        <v>0</v>
      </c>
      <c r="AH251" s="5">
        <f ca="1">SUM(OFFSET(Demand!$H260,0,(COLUMN(I248)-1)*5,1,1))*V$2</f>
        <v>0</v>
      </c>
      <c r="AI251" s="5">
        <f ca="1">SUM(OFFSET(Demand!$H260,0,(COLUMN(J248)-1)*5,1,1))*W$2</f>
        <v>0</v>
      </c>
      <c r="AJ251" s="5">
        <f t="shared" ca="1" si="53"/>
        <v>0</v>
      </c>
      <c r="AL251" s="5">
        <f t="shared" ca="1" si="54"/>
        <v>0</v>
      </c>
      <c r="AM251" s="5">
        <f t="shared" ca="1" si="55"/>
        <v>0</v>
      </c>
      <c r="AN251" s="5" t="str">
        <f>IF(Demand!BE260="Yes","Yes","")</f>
        <v/>
      </c>
      <c r="AP251" s="36" t="str">
        <f ca="1">Demand!B260</f>
        <v xml:space="preserve"> </v>
      </c>
      <c r="AQ251" t="str">
        <f ca="1">IF(TEXT(Demand!D260,"MMM")&lt;&gt;TEXT(Demand!D259,"MMM"),TEXT(Demand!D260,"MMM"),"")</f>
        <v/>
      </c>
      <c r="AT251" s="5">
        <f t="shared" ca="1" si="56"/>
        <v>0</v>
      </c>
      <c r="BQ251">
        <f ca="1">IF($AN251="",OFFSET(Demand!$A$13,ROW(A248)-1,4+((QUOTIENT(COLUMN(BQ$2)-69,3))*5)+MOD(COLUMN(BQ$2),3),1,1),"")</f>
        <v>0</v>
      </c>
      <c r="BR251">
        <f ca="1">IF($AN251="",OFFSET(Demand!$A$13,ROW(B248)-1,4+((QUOTIENT(COLUMN(BR$2)-69,3))*5)+MOD(COLUMN(BR$2),3),1,1),"")</f>
        <v>0</v>
      </c>
      <c r="BS251">
        <f ca="1">IF($AN251="",OFFSET(Demand!$A$13,ROW(C248)-1,4+((QUOTIENT(COLUMN(BS$2)-69,3))*5)+MOD(COLUMN(BS$2),3),1,1),"")</f>
        <v>0</v>
      </c>
      <c r="BT251">
        <f ca="1">IF($AN251="",OFFSET(Demand!$A$13,ROW(D248)-1,4+((QUOTIENT(COLUMN(BT$2)-69,3))*5)+MOD(COLUMN(BT$2),3),1,1),"")</f>
        <v>0</v>
      </c>
      <c r="BU251">
        <f ca="1">IF($AN251="",OFFSET(Demand!$A$13,ROW(E248)-1,4+((QUOTIENT(COLUMN(BU$2)-69,3))*5)+MOD(COLUMN(BU$2),3),1,1),"")</f>
        <v>0</v>
      </c>
      <c r="BV251">
        <f ca="1">IF($AN251="",OFFSET(Demand!$A$13,ROW(F248)-1,4+((QUOTIENT(COLUMN(BV$2)-69,3))*5)+MOD(COLUMN(BV$2),3),1,1),"")</f>
        <v>0</v>
      </c>
      <c r="BW251">
        <f ca="1">IF($AN251="",OFFSET(Demand!$A$13,ROW(G248)-1,4+((QUOTIENT(COLUMN(BW$2)-69,3))*5)+MOD(COLUMN(BW$2),3),1,1),"")</f>
        <v>0</v>
      </c>
      <c r="BX251">
        <f ca="1">IF($AN251="",OFFSET(Demand!$A$13,ROW(H248)-1,4+((QUOTIENT(COLUMN(BX$2)-69,3))*5)+MOD(COLUMN(BX$2),3),1,1),"")</f>
        <v>0</v>
      </c>
      <c r="BY251">
        <f ca="1">IF($AN251="",OFFSET(Demand!$A$13,ROW(I248)-1,4+((QUOTIENT(COLUMN(BY$2)-69,3))*5)+MOD(COLUMN(BY$2),3),1,1),"")</f>
        <v>0</v>
      </c>
      <c r="BZ251">
        <f ca="1">IF($AN251="",OFFSET(Demand!$A$13,ROW(J248)-1,4+((QUOTIENT(COLUMN(BZ$2)-69,3))*5)+MOD(COLUMN(BZ$2),3),1,1),"")</f>
        <v>0</v>
      </c>
      <c r="CA251">
        <f ca="1">IF($AN251="",OFFSET(Demand!$A$13,ROW(K248)-1,4+((QUOTIENT(COLUMN(CA$2)-69,3))*5)+MOD(COLUMN(CA$2),3),1,1),"")</f>
        <v>0</v>
      </c>
      <c r="CB251">
        <f ca="1">IF($AN251="",OFFSET(Demand!$A$13,ROW(L248)-1,4+((QUOTIENT(COLUMN(CB$2)-69,3))*5)+MOD(COLUMN(CB$2),3),1,1),"")</f>
        <v>0</v>
      </c>
      <c r="CC251">
        <f ca="1">IF($AN251="",OFFSET(Demand!$A$13,ROW(M248)-1,4+((QUOTIENT(COLUMN(CC$2)-69,3))*5)+MOD(COLUMN(CC$2),3),1,1),"")</f>
        <v>0</v>
      </c>
      <c r="CD251">
        <f ca="1">IF($AN251="",OFFSET(Demand!$A$13,ROW(N248)-1,4+((QUOTIENT(COLUMN(CD$2)-69,3))*5)+MOD(COLUMN(CD$2),3),1,1),"")</f>
        <v>0</v>
      </c>
      <c r="CE251">
        <f ca="1">IF($AN251="",OFFSET(Demand!$A$13,ROW(O248)-1,4+((QUOTIENT(COLUMN(CE$2)-69,3))*5)+MOD(COLUMN(CE$2),3),1,1),"")</f>
        <v>0</v>
      </c>
      <c r="CF251">
        <f ca="1">IF($AN251="",OFFSET(Demand!$A$13,ROW(P248)-1,4+((QUOTIENT(COLUMN(CF$2)-69,3))*5)+MOD(COLUMN(CF$2),3),1,1),"")</f>
        <v>0</v>
      </c>
      <c r="CG251">
        <f ca="1">IF($AN251="",OFFSET(Demand!$A$13,ROW(Q248)-1,4+((QUOTIENT(COLUMN(CG$2)-69,3))*5)+MOD(COLUMN(CG$2),3),1,1),"")</f>
        <v>0</v>
      </c>
      <c r="CH251">
        <f ca="1">IF($AN251="",OFFSET(Demand!$A$13,ROW(R248)-1,4+((QUOTIENT(COLUMN(CH$2)-69,3))*5)+MOD(COLUMN(CH$2),3),1,1),"")</f>
        <v>0</v>
      </c>
      <c r="CI251">
        <f ca="1">IF($AN251="",OFFSET(Demand!$A$13,ROW(S248)-1,4+((QUOTIENT(COLUMN(CI$2)-69,3))*5)+MOD(COLUMN(CI$2),3),1,1),"")</f>
        <v>0</v>
      </c>
      <c r="CJ251">
        <f ca="1">IF($AN251="",OFFSET(Demand!$A$13,ROW(T248)-1,4+((QUOTIENT(COLUMN(CJ$2)-69,3))*5)+MOD(COLUMN(CJ$2),3),1,1),"")</f>
        <v>0</v>
      </c>
      <c r="CK251">
        <f ca="1">IF($AN251="",OFFSET(Demand!$A$13,ROW(U248)-1,4+((QUOTIENT(COLUMN(CK$2)-69,3))*5)+MOD(COLUMN(CK$2),3),1,1),"")</f>
        <v>0</v>
      </c>
      <c r="CL251">
        <f ca="1">IF($AN251="",OFFSET(Demand!$A$13,ROW(V248)-1,4+((QUOTIENT(COLUMN(CL$2)-69,3))*5)+MOD(COLUMN(CL$2),3),1,1),"")</f>
        <v>0</v>
      </c>
      <c r="CM251">
        <f ca="1">IF($AN251="",OFFSET(Demand!$A$13,ROW(W248)-1,4+((QUOTIENT(COLUMN(CM$2)-69,3))*5)+MOD(COLUMN(CM$2),3),1,1),"")</f>
        <v>0</v>
      </c>
      <c r="CN251">
        <f ca="1">IF($AN251="",OFFSET(Demand!$A$13,ROW(X248)-1,4+((QUOTIENT(COLUMN(CN$2)-69,3))*5)+MOD(COLUMN(CN$2),3),1,1),"")</f>
        <v>0</v>
      </c>
      <c r="CO251">
        <f ca="1">IF($AN251="",OFFSET(Demand!$A$13,ROW(Y248)-1,4+((QUOTIENT(COLUMN(CO$2)-69,3))*5)+MOD(COLUMN(CO$2),3),1,1),"")</f>
        <v>0</v>
      </c>
      <c r="CP251">
        <f ca="1">IF($AN251="",OFFSET(Demand!$A$13,ROW(Z248)-1,4+((QUOTIENT(COLUMN(CP$2)-69,3))*5)+MOD(COLUMN(CP$2),3),1,1),"")</f>
        <v>0</v>
      </c>
      <c r="CQ251">
        <f ca="1">IF($AN251="",OFFSET(Demand!$A$13,ROW(AA248)-1,4+((QUOTIENT(COLUMN(CQ$2)-69,3))*5)+MOD(COLUMN(CQ$2),3),1,1),"")</f>
        <v>0</v>
      </c>
      <c r="CR251">
        <f ca="1">IF($AN251="",OFFSET(Demand!$A$13,ROW(AB248)-1,4+((QUOTIENT(COLUMN(CR$2)-69,3))*5)+MOD(COLUMN(CR$2),3),1,1),"")</f>
        <v>0</v>
      </c>
      <c r="CS251">
        <f ca="1">IF($AN251="",OFFSET(Demand!$A$13,ROW(AC248)-1,4+((QUOTIENT(COLUMN(CS$2)-69,3))*5)+MOD(COLUMN(CS$2),3),1,1),"")</f>
        <v>0</v>
      </c>
      <c r="CT251">
        <f ca="1">IF($AN251="",OFFSET(Demand!$A$13,ROW(AD248)-1,4+((QUOTIENT(COLUMN(CT$2)-69,3))*5)+MOD(COLUMN(CT$2),3),1,1),"")</f>
        <v>0</v>
      </c>
      <c r="CW251" s="5">
        <f ca="1">SUM(OFFSET(Demand!$H$43,ROW(A248)-1,(COLUMN(A248)-1)*5,1,1))*N$2</f>
        <v>0</v>
      </c>
      <c r="CX251" s="5">
        <f ca="1">SUM(OFFSET(Demand!$H$43,ROW(B248)-1,(COLUMN(B248)-1)*5,1,1))*O$2</f>
        <v>0</v>
      </c>
      <c r="CY251" s="5">
        <f ca="1">SUM(OFFSET(Demand!$H$43,ROW(C248)-1,(COLUMN(C248)-1)*5,1,1))*P$2</f>
        <v>0</v>
      </c>
      <c r="CZ251" s="5">
        <f ca="1">SUM(OFFSET(Demand!$H$43,ROW(D248)-1,(COLUMN(D248)-1)*5,1,1))*Q$2</f>
        <v>0</v>
      </c>
      <c r="DA251" s="5">
        <f ca="1">SUM(OFFSET(Demand!$H$43,ROW(E248)-1,(COLUMN(E248)-1)*5,1,1))*R$2</f>
        <v>0</v>
      </c>
      <c r="DB251" s="5">
        <f ca="1">SUM(OFFSET(Demand!$H$43,ROW(F248)-1,(COLUMN(F248)-1)*5,1,1))*S$2</f>
        <v>0</v>
      </c>
      <c r="DC251" s="5">
        <f ca="1">SUM(OFFSET(Demand!$H$43,ROW(G248)-1,(COLUMN(G248)-1)*5,1,1))*T$2</f>
        <v>0</v>
      </c>
      <c r="DD251" s="5">
        <f ca="1">SUM(OFFSET(Demand!$H$43,ROW(H248)-1,(COLUMN(H248)-1)*5,1,1))*U$2</f>
        <v>0</v>
      </c>
      <c r="DE251" s="5">
        <f ca="1">SUM(OFFSET(Demand!$H$43,ROW(I248)-1,(COLUMN(I248)-1)*5,1,1))*V$2</f>
        <v>0</v>
      </c>
      <c r="DF251" s="5">
        <f ca="1">SUM(OFFSET(Demand!$H$43,ROW(J248)-1,(COLUMN(J248)-1)*5,1,1))*W$2</f>
        <v>0</v>
      </c>
      <c r="DG251" s="5">
        <f ca="1">IF(OR(AN251&lt;&gt;"",AND('Demand adjustments for Covid'!$F$9="Yes",'Demand adjustments for Covid'!$F$20="Yes")),"",SUM(CW251:DF251))</f>
        <v>0</v>
      </c>
    </row>
    <row r="252" spans="1:111" x14ac:dyDescent="0.25">
      <c r="A252" s="5">
        <f t="shared" ca="1" si="57"/>
        <v>1</v>
      </c>
      <c r="B252" s="5">
        <f ca="1">COUNTBLANK(OFFSET(Demand!$I261,0,(COLUMN(A249)-1)*5,1,1))</f>
        <v>1</v>
      </c>
      <c r="C252" s="5">
        <f ca="1">COUNTBLANK(OFFSET(Demand!$I261,0,(COLUMN(B249)-1)*5,1,1))</f>
        <v>1</v>
      </c>
      <c r="D252" s="5">
        <f ca="1">COUNTBLANK(OFFSET(Demand!$I261,0,(COLUMN(C249)-1)*5,1,1))</f>
        <v>1</v>
      </c>
      <c r="E252" s="5">
        <f ca="1">COUNTBLANK(OFFSET(Demand!$I261,0,(COLUMN(D249)-1)*5,1,1))</f>
        <v>1</v>
      </c>
      <c r="F252" s="5">
        <f ca="1">COUNTBLANK(OFFSET(Demand!$I261,0,(COLUMN(E249)-1)*5,1,1))</f>
        <v>1</v>
      </c>
      <c r="G252" s="5">
        <f ca="1">COUNTBLANK(OFFSET(Demand!$I261,0,(COLUMN(F249)-1)*5,1,1))</f>
        <v>1</v>
      </c>
      <c r="H252" s="5">
        <f ca="1">COUNTBLANK(OFFSET(Demand!$I261,0,(COLUMN(G249)-1)*5,1,1))</f>
        <v>1</v>
      </c>
      <c r="I252" s="5">
        <f ca="1">COUNTBLANK(OFFSET(Demand!$I261,0,(COLUMN(H249)-1)*5,1,1))</f>
        <v>1</v>
      </c>
      <c r="J252" s="5">
        <f ca="1">COUNTBLANK(OFFSET(Demand!$I261,0,(COLUMN(I249)-1)*5,1,1))</f>
        <v>1</v>
      </c>
      <c r="K252" s="5">
        <f ca="1">COUNTBLANK(OFFSET(Demand!$I261,0,(COLUMN(J249)-1)*5,1,1))</f>
        <v>1</v>
      </c>
      <c r="N252" s="5">
        <f ca="1">SUM(OFFSET(Demand!$E261,0,(COLUMN(A249)-1)*5,1,3))*N$2</f>
        <v>0</v>
      </c>
      <c r="O252" s="5">
        <f ca="1">SUM(OFFSET(Demand!$E261,0,(COLUMN(B249)-1)*5,1,3))*O$2</f>
        <v>0</v>
      </c>
      <c r="P252" s="5">
        <f ca="1">SUM(OFFSET(Demand!$E261,0,(COLUMN(C249)-1)*5,1,3))*P$2</f>
        <v>0</v>
      </c>
      <c r="Q252" s="5">
        <f ca="1">SUM(OFFSET(Demand!$E261,0,(COLUMN(D249)-1)*5,1,3))*Q$2</f>
        <v>0</v>
      </c>
      <c r="R252" s="5">
        <f ca="1">SUM(OFFSET(Demand!$E261,0,(COLUMN(E249)-1)*5,1,3))*R$2</f>
        <v>0</v>
      </c>
      <c r="S252" s="5">
        <f ca="1">SUM(OFFSET(Demand!$E261,0,(COLUMN(F249)-1)*5,1,3))*S$2</f>
        <v>0</v>
      </c>
      <c r="T252" s="5">
        <f ca="1">SUM(OFFSET(Demand!$E261,0,(COLUMN(G249)-1)*5,1,3))*T$2</f>
        <v>0</v>
      </c>
      <c r="U252" s="5">
        <f ca="1">SUM(OFFSET(Demand!$E261,0,(COLUMN(H249)-1)*5,1,3))*U$2</f>
        <v>0</v>
      </c>
      <c r="V252" s="5">
        <f ca="1">SUM(OFFSET(Demand!$E261,0,(COLUMN(I249)-1)*5,1,3))*V$2</f>
        <v>0</v>
      </c>
      <c r="W252" s="5">
        <f ca="1">SUM(OFFSET(Demand!$E261,0,(COLUMN(J249)-1)*5,1,3))*W$2</f>
        <v>0</v>
      </c>
      <c r="X252" s="5">
        <f t="shared" ca="1" si="51"/>
        <v>0</v>
      </c>
      <c r="Y252">
        <f t="shared" ca="1" si="52"/>
        <v>0</v>
      </c>
      <c r="Z252" s="5">
        <f ca="1">SUM(OFFSET(Demand!$H261,0,(COLUMN(A249)-1)*5,1,1))*N$2</f>
        <v>0</v>
      </c>
      <c r="AA252" s="5">
        <f ca="1">SUM(OFFSET(Demand!$H261,0,(COLUMN(B249)-1)*5,1,1))*O$2</f>
        <v>0</v>
      </c>
      <c r="AB252" s="5">
        <f ca="1">SUM(OFFSET(Demand!$H261,0,(COLUMN(C249)-1)*5,1,1))*P$2</f>
        <v>0</v>
      </c>
      <c r="AC252" s="5">
        <f ca="1">SUM(OFFSET(Demand!$H261,0,(COLUMN(D249)-1)*5,1,1))*Q$2</f>
        <v>0</v>
      </c>
      <c r="AD252" s="5">
        <f ca="1">SUM(OFFSET(Demand!$H261,0,(COLUMN(E249)-1)*5,1,1))*R$2</f>
        <v>0</v>
      </c>
      <c r="AE252" s="5">
        <f ca="1">SUM(OFFSET(Demand!$H261,0,(COLUMN(F249)-1)*5,1,1))*S$2</f>
        <v>0</v>
      </c>
      <c r="AF252" s="5">
        <f ca="1">SUM(OFFSET(Demand!$H261,0,(COLUMN(G249)-1)*5,1,1))*T$2</f>
        <v>0</v>
      </c>
      <c r="AG252" s="5">
        <f ca="1">SUM(OFFSET(Demand!$H261,0,(COLUMN(H249)-1)*5,1,1))*U$2</f>
        <v>0</v>
      </c>
      <c r="AH252" s="5">
        <f ca="1">SUM(OFFSET(Demand!$H261,0,(COLUMN(I249)-1)*5,1,1))*V$2</f>
        <v>0</v>
      </c>
      <c r="AI252" s="5">
        <f ca="1">SUM(OFFSET(Demand!$H261,0,(COLUMN(J249)-1)*5,1,1))*W$2</f>
        <v>0</v>
      </c>
      <c r="AJ252" s="5">
        <f t="shared" ca="1" si="53"/>
        <v>0</v>
      </c>
      <c r="AL252" s="5">
        <f t="shared" ca="1" si="54"/>
        <v>0</v>
      </c>
      <c r="AM252" s="5">
        <f t="shared" ca="1" si="55"/>
        <v>0</v>
      </c>
      <c r="AN252" s="5" t="str">
        <f>IF(Demand!BE261="Yes","Yes","")</f>
        <v/>
      </c>
      <c r="AP252" s="36" t="str">
        <f ca="1">Demand!B261</f>
        <v xml:space="preserve"> </v>
      </c>
      <c r="AQ252" t="str">
        <f ca="1">IF(TEXT(Demand!D261,"MMM")&lt;&gt;TEXT(Demand!D260,"MMM"),TEXT(Demand!D261,"MMM"),"")</f>
        <v/>
      </c>
      <c r="AT252" s="5">
        <f t="shared" ca="1" si="56"/>
        <v>0</v>
      </c>
      <c r="BQ252">
        <f ca="1">IF($AN252="",OFFSET(Demand!$A$13,ROW(A249)-1,4+((QUOTIENT(COLUMN(BQ$2)-69,3))*5)+MOD(COLUMN(BQ$2),3),1,1),"")</f>
        <v>0</v>
      </c>
      <c r="BR252">
        <f ca="1">IF($AN252="",OFFSET(Demand!$A$13,ROW(B249)-1,4+((QUOTIENT(COLUMN(BR$2)-69,3))*5)+MOD(COLUMN(BR$2),3),1,1),"")</f>
        <v>0</v>
      </c>
      <c r="BS252">
        <f ca="1">IF($AN252="",OFFSET(Demand!$A$13,ROW(C249)-1,4+((QUOTIENT(COLUMN(BS$2)-69,3))*5)+MOD(COLUMN(BS$2),3),1,1),"")</f>
        <v>0</v>
      </c>
      <c r="BT252">
        <f ca="1">IF($AN252="",OFFSET(Demand!$A$13,ROW(D249)-1,4+((QUOTIENT(COLUMN(BT$2)-69,3))*5)+MOD(COLUMN(BT$2),3),1,1),"")</f>
        <v>0</v>
      </c>
      <c r="BU252">
        <f ca="1">IF($AN252="",OFFSET(Demand!$A$13,ROW(E249)-1,4+((QUOTIENT(COLUMN(BU$2)-69,3))*5)+MOD(COLUMN(BU$2),3),1,1),"")</f>
        <v>0</v>
      </c>
      <c r="BV252">
        <f ca="1">IF($AN252="",OFFSET(Demand!$A$13,ROW(F249)-1,4+((QUOTIENT(COLUMN(BV$2)-69,3))*5)+MOD(COLUMN(BV$2),3),1,1),"")</f>
        <v>0</v>
      </c>
      <c r="BW252">
        <f ca="1">IF($AN252="",OFFSET(Demand!$A$13,ROW(G249)-1,4+((QUOTIENT(COLUMN(BW$2)-69,3))*5)+MOD(COLUMN(BW$2),3),1,1),"")</f>
        <v>0</v>
      </c>
      <c r="BX252">
        <f ca="1">IF($AN252="",OFFSET(Demand!$A$13,ROW(H249)-1,4+((QUOTIENT(COLUMN(BX$2)-69,3))*5)+MOD(COLUMN(BX$2),3),1,1),"")</f>
        <v>0</v>
      </c>
      <c r="BY252">
        <f ca="1">IF($AN252="",OFFSET(Demand!$A$13,ROW(I249)-1,4+((QUOTIENT(COLUMN(BY$2)-69,3))*5)+MOD(COLUMN(BY$2),3),1,1),"")</f>
        <v>0</v>
      </c>
      <c r="BZ252">
        <f ca="1">IF($AN252="",OFFSET(Demand!$A$13,ROW(J249)-1,4+((QUOTIENT(COLUMN(BZ$2)-69,3))*5)+MOD(COLUMN(BZ$2),3),1,1),"")</f>
        <v>0</v>
      </c>
      <c r="CA252">
        <f ca="1">IF($AN252="",OFFSET(Demand!$A$13,ROW(K249)-1,4+((QUOTIENT(COLUMN(CA$2)-69,3))*5)+MOD(COLUMN(CA$2),3),1,1),"")</f>
        <v>0</v>
      </c>
      <c r="CB252">
        <f ca="1">IF($AN252="",OFFSET(Demand!$A$13,ROW(L249)-1,4+((QUOTIENT(COLUMN(CB$2)-69,3))*5)+MOD(COLUMN(CB$2),3),1,1),"")</f>
        <v>0</v>
      </c>
      <c r="CC252">
        <f ca="1">IF($AN252="",OFFSET(Demand!$A$13,ROW(M249)-1,4+((QUOTIENT(COLUMN(CC$2)-69,3))*5)+MOD(COLUMN(CC$2),3),1,1),"")</f>
        <v>0</v>
      </c>
      <c r="CD252">
        <f ca="1">IF($AN252="",OFFSET(Demand!$A$13,ROW(N249)-1,4+((QUOTIENT(COLUMN(CD$2)-69,3))*5)+MOD(COLUMN(CD$2),3),1,1),"")</f>
        <v>0</v>
      </c>
      <c r="CE252">
        <f ca="1">IF($AN252="",OFFSET(Demand!$A$13,ROW(O249)-1,4+((QUOTIENT(COLUMN(CE$2)-69,3))*5)+MOD(COLUMN(CE$2),3),1,1),"")</f>
        <v>0</v>
      </c>
      <c r="CF252">
        <f ca="1">IF($AN252="",OFFSET(Demand!$A$13,ROW(P249)-1,4+((QUOTIENT(COLUMN(CF$2)-69,3))*5)+MOD(COLUMN(CF$2),3),1,1),"")</f>
        <v>0</v>
      </c>
      <c r="CG252">
        <f ca="1">IF($AN252="",OFFSET(Demand!$A$13,ROW(Q249)-1,4+((QUOTIENT(COLUMN(CG$2)-69,3))*5)+MOD(COLUMN(CG$2),3),1,1),"")</f>
        <v>0</v>
      </c>
      <c r="CH252">
        <f ca="1">IF($AN252="",OFFSET(Demand!$A$13,ROW(R249)-1,4+((QUOTIENT(COLUMN(CH$2)-69,3))*5)+MOD(COLUMN(CH$2),3),1,1),"")</f>
        <v>0</v>
      </c>
      <c r="CI252">
        <f ca="1">IF($AN252="",OFFSET(Demand!$A$13,ROW(S249)-1,4+((QUOTIENT(COLUMN(CI$2)-69,3))*5)+MOD(COLUMN(CI$2),3),1,1),"")</f>
        <v>0</v>
      </c>
      <c r="CJ252">
        <f ca="1">IF($AN252="",OFFSET(Demand!$A$13,ROW(T249)-1,4+((QUOTIENT(COLUMN(CJ$2)-69,3))*5)+MOD(COLUMN(CJ$2),3),1,1),"")</f>
        <v>0</v>
      </c>
      <c r="CK252">
        <f ca="1">IF($AN252="",OFFSET(Demand!$A$13,ROW(U249)-1,4+((QUOTIENT(COLUMN(CK$2)-69,3))*5)+MOD(COLUMN(CK$2),3),1,1),"")</f>
        <v>0</v>
      </c>
      <c r="CL252">
        <f ca="1">IF($AN252="",OFFSET(Demand!$A$13,ROW(V249)-1,4+((QUOTIENT(COLUMN(CL$2)-69,3))*5)+MOD(COLUMN(CL$2),3),1,1),"")</f>
        <v>0</v>
      </c>
      <c r="CM252">
        <f ca="1">IF($AN252="",OFFSET(Demand!$A$13,ROW(W249)-1,4+((QUOTIENT(COLUMN(CM$2)-69,3))*5)+MOD(COLUMN(CM$2),3),1,1),"")</f>
        <v>0</v>
      </c>
      <c r="CN252">
        <f ca="1">IF($AN252="",OFFSET(Demand!$A$13,ROW(X249)-1,4+((QUOTIENT(COLUMN(CN$2)-69,3))*5)+MOD(COLUMN(CN$2),3),1,1),"")</f>
        <v>0</v>
      </c>
      <c r="CO252">
        <f ca="1">IF($AN252="",OFFSET(Demand!$A$13,ROW(Y249)-1,4+((QUOTIENT(COLUMN(CO$2)-69,3))*5)+MOD(COLUMN(CO$2),3),1,1),"")</f>
        <v>0</v>
      </c>
      <c r="CP252">
        <f ca="1">IF($AN252="",OFFSET(Demand!$A$13,ROW(Z249)-1,4+((QUOTIENT(COLUMN(CP$2)-69,3))*5)+MOD(COLUMN(CP$2),3),1,1),"")</f>
        <v>0</v>
      </c>
      <c r="CQ252">
        <f ca="1">IF($AN252="",OFFSET(Demand!$A$13,ROW(AA249)-1,4+((QUOTIENT(COLUMN(CQ$2)-69,3))*5)+MOD(COLUMN(CQ$2),3),1,1),"")</f>
        <v>0</v>
      </c>
      <c r="CR252">
        <f ca="1">IF($AN252="",OFFSET(Demand!$A$13,ROW(AB249)-1,4+((QUOTIENT(COLUMN(CR$2)-69,3))*5)+MOD(COLUMN(CR$2),3),1,1),"")</f>
        <v>0</v>
      </c>
      <c r="CS252">
        <f ca="1">IF($AN252="",OFFSET(Demand!$A$13,ROW(AC249)-1,4+((QUOTIENT(COLUMN(CS$2)-69,3))*5)+MOD(COLUMN(CS$2),3),1,1),"")</f>
        <v>0</v>
      </c>
      <c r="CT252">
        <f ca="1">IF($AN252="",OFFSET(Demand!$A$13,ROW(AD249)-1,4+((QUOTIENT(COLUMN(CT$2)-69,3))*5)+MOD(COLUMN(CT$2),3),1,1),"")</f>
        <v>0</v>
      </c>
      <c r="CW252" s="5">
        <f ca="1">SUM(OFFSET(Demand!$H$43,ROW(A249)-1,(COLUMN(A249)-1)*5,1,1))*N$2</f>
        <v>0</v>
      </c>
      <c r="CX252" s="5">
        <f ca="1">SUM(OFFSET(Demand!$H$43,ROW(B249)-1,(COLUMN(B249)-1)*5,1,1))*O$2</f>
        <v>0</v>
      </c>
      <c r="CY252" s="5">
        <f ca="1">SUM(OFFSET(Demand!$H$43,ROW(C249)-1,(COLUMN(C249)-1)*5,1,1))*P$2</f>
        <v>0</v>
      </c>
      <c r="CZ252" s="5">
        <f ca="1">SUM(OFFSET(Demand!$H$43,ROW(D249)-1,(COLUMN(D249)-1)*5,1,1))*Q$2</f>
        <v>0</v>
      </c>
      <c r="DA252" s="5">
        <f ca="1">SUM(OFFSET(Demand!$H$43,ROW(E249)-1,(COLUMN(E249)-1)*5,1,1))*R$2</f>
        <v>0</v>
      </c>
      <c r="DB252" s="5">
        <f ca="1">SUM(OFFSET(Demand!$H$43,ROW(F249)-1,(COLUMN(F249)-1)*5,1,1))*S$2</f>
        <v>0</v>
      </c>
      <c r="DC252" s="5">
        <f ca="1">SUM(OFFSET(Demand!$H$43,ROW(G249)-1,(COLUMN(G249)-1)*5,1,1))*T$2</f>
        <v>0</v>
      </c>
      <c r="DD252" s="5">
        <f ca="1">SUM(OFFSET(Demand!$H$43,ROW(H249)-1,(COLUMN(H249)-1)*5,1,1))*U$2</f>
        <v>0</v>
      </c>
      <c r="DE252" s="5">
        <f ca="1">SUM(OFFSET(Demand!$H$43,ROW(I249)-1,(COLUMN(I249)-1)*5,1,1))*V$2</f>
        <v>0</v>
      </c>
      <c r="DF252" s="5">
        <f ca="1">SUM(OFFSET(Demand!$H$43,ROW(J249)-1,(COLUMN(J249)-1)*5,1,1))*W$2</f>
        <v>0</v>
      </c>
      <c r="DG252" s="5">
        <f ca="1">IF(OR(AN252&lt;&gt;"",AND('Demand adjustments for Covid'!$F$9="Yes",'Demand adjustments for Covid'!$F$20="Yes")),"",SUM(CW252:DF252))</f>
        <v>0</v>
      </c>
    </row>
    <row r="253" spans="1:111" x14ac:dyDescent="0.25">
      <c r="A253" s="5">
        <f t="shared" ref="A253:A263" ca="1" si="58">SUM(OFFSET(B253,0,0,1,Num_Modalities))</f>
        <v>1</v>
      </c>
      <c r="B253" s="5">
        <f ca="1">COUNTBLANK(OFFSET(Demand!$I262,0,(COLUMN(A250)-1)*5,1,1))</f>
        <v>1</v>
      </c>
      <c r="C253" s="5">
        <f ca="1">COUNTBLANK(OFFSET(Demand!$I262,0,(COLUMN(B250)-1)*5,1,1))</f>
        <v>1</v>
      </c>
      <c r="D253" s="5">
        <f ca="1">COUNTBLANK(OFFSET(Demand!$I262,0,(COLUMN(C250)-1)*5,1,1))</f>
        <v>1</v>
      </c>
      <c r="E253" s="5">
        <f ca="1">COUNTBLANK(OFFSET(Demand!$I262,0,(COLUMN(D250)-1)*5,1,1))</f>
        <v>1</v>
      </c>
      <c r="F253" s="5">
        <f ca="1">COUNTBLANK(OFFSET(Demand!$I262,0,(COLUMN(E250)-1)*5,1,1))</f>
        <v>1</v>
      </c>
      <c r="G253" s="5">
        <f ca="1">COUNTBLANK(OFFSET(Demand!$I262,0,(COLUMN(F250)-1)*5,1,1))</f>
        <v>1</v>
      </c>
      <c r="H253" s="5">
        <f ca="1">COUNTBLANK(OFFSET(Demand!$I262,0,(COLUMN(G250)-1)*5,1,1))</f>
        <v>1</v>
      </c>
      <c r="I253" s="5">
        <f ca="1">COUNTBLANK(OFFSET(Demand!$I262,0,(COLUMN(H250)-1)*5,1,1))</f>
        <v>1</v>
      </c>
      <c r="J253" s="5">
        <f ca="1">COUNTBLANK(OFFSET(Demand!$I262,0,(COLUMN(I250)-1)*5,1,1))</f>
        <v>1</v>
      </c>
      <c r="K253" s="5">
        <f ca="1">COUNTBLANK(OFFSET(Demand!$I262,0,(COLUMN(J250)-1)*5,1,1))</f>
        <v>1</v>
      </c>
      <c r="N253" s="5">
        <f ca="1">SUM(OFFSET(Demand!$E262,0,(COLUMN(A250)-1)*5,1,3))*N$2</f>
        <v>0</v>
      </c>
      <c r="O253" s="5">
        <f ca="1">SUM(OFFSET(Demand!$E262,0,(COLUMN(B250)-1)*5,1,3))*O$2</f>
        <v>0</v>
      </c>
      <c r="P253" s="5">
        <f ca="1">SUM(OFFSET(Demand!$E262,0,(COLUMN(C250)-1)*5,1,3))*P$2</f>
        <v>0</v>
      </c>
      <c r="Q253" s="5">
        <f ca="1">SUM(OFFSET(Demand!$E262,0,(COLUMN(D250)-1)*5,1,3))*Q$2</f>
        <v>0</v>
      </c>
      <c r="R253" s="5">
        <f ca="1">SUM(OFFSET(Demand!$E262,0,(COLUMN(E250)-1)*5,1,3))*R$2</f>
        <v>0</v>
      </c>
      <c r="S253" s="5">
        <f ca="1">SUM(OFFSET(Demand!$E262,0,(COLUMN(F250)-1)*5,1,3))*S$2</f>
        <v>0</v>
      </c>
      <c r="T253" s="5">
        <f ca="1">SUM(OFFSET(Demand!$E262,0,(COLUMN(G250)-1)*5,1,3))*T$2</f>
        <v>0</v>
      </c>
      <c r="U253" s="5">
        <f ca="1">SUM(OFFSET(Demand!$E262,0,(COLUMN(H250)-1)*5,1,3))*U$2</f>
        <v>0</v>
      </c>
      <c r="V253" s="5">
        <f ca="1">SUM(OFFSET(Demand!$E262,0,(COLUMN(I250)-1)*5,1,3))*V$2</f>
        <v>0</v>
      </c>
      <c r="W253" s="5">
        <f ca="1">SUM(OFFSET(Demand!$E262,0,(COLUMN(J250)-1)*5,1,3))*W$2</f>
        <v>0</v>
      </c>
      <c r="X253" s="5">
        <f t="shared" ca="1" si="51"/>
        <v>0</v>
      </c>
      <c r="Y253">
        <f t="shared" ca="1" si="52"/>
        <v>0</v>
      </c>
      <c r="Z253" s="5">
        <f ca="1">SUM(OFFSET(Demand!$H262,0,(COLUMN(A250)-1)*5,1,1))*N$2</f>
        <v>0</v>
      </c>
      <c r="AA253" s="5">
        <f ca="1">SUM(OFFSET(Demand!$H262,0,(COLUMN(B250)-1)*5,1,1))*O$2</f>
        <v>0</v>
      </c>
      <c r="AB253" s="5">
        <f ca="1">SUM(OFFSET(Demand!$H262,0,(COLUMN(C250)-1)*5,1,1))*P$2</f>
        <v>0</v>
      </c>
      <c r="AC253" s="5">
        <f ca="1">SUM(OFFSET(Demand!$H262,0,(COLUMN(D250)-1)*5,1,1))*Q$2</f>
        <v>0</v>
      </c>
      <c r="AD253" s="5">
        <f ca="1">SUM(OFFSET(Demand!$H262,0,(COLUMN(E250)-1)*5,1,1))*R$2</f>
        <v>0</v>
      </c>
      <c r="AE253" s="5">
        <f ca="1">SUM(OFFSET(Demand!$H262,0,(COLUMN(F250)-1)*5,1,1))*S$2</f>
        <v>0</v>
      </c>
      <c r="AF253" s="5">
        <f ca="1">SUM(OFFSET(Demand!$H262,0,(COLUMN(G250)-1)*5,1,1))*T$2</f>
        <v>0</v>
      </c>
      <c r="AG253" s="5">
        <f ca="1">SUM(OFFSET(Demand!$H262,0,(COLUMN(H250)-1)*5,1,1))*U$2</f>
        <v>0</v>
      </c>
      <c r="AH253" s="5">
        <f ca="1">SUM(OFFSET(Demand!$H262,0,(COLUMN(I250)-1)*5,1,1))*V$2</f>
        <v>0</v>
      </c>
      <c r="AI253" s="5">
        <f ca="1">SUM(OFFSET(Demand!$H262,0,(COLUMN(J250)-1)*5,1,1))*W$2</f>
        <v>0</v>
      </c>
      <c r="AJ253" s="5">
        <f t="shared" ca="1" si="53"/>
        <v>0</v>
      </c>
      <c r="AL253" s="5">
        <f t="shared" ca="1" si="54"/>
        <v>0</v>
      </c>
      <c r="AM253" s="5">
        <f t="shared" ca="1" si="55"/>
        <v>0</v>
      </c>
      <c r="AN253" s="5" t="str">
        <f>IF(Demand!BE262="Yes","Yes","")</f>
        <v/>
      </c>
      <c r="AP253" s="36" t="str">
        <f ca="1">Demand!B262</f>
        <v xml:space="preserve"> </v>
      </c>
      <c r="AQ253" t="str">
        <f ca="1">IF(TEXT(Demand!D262,"MMM")&lt;&gt;TEXT(Demand!D261,"MMM"),TEXT(Demand!D262,"MMM"),"")</f>
        <v/>
      </c>
      <c r="AT253" s="5">
        <f t="shared" ca="1" si="56"/>
        <v>0</v>
      </c>
      <c r="BQ253">
        <f ca="1">IF($AN253="",OFFSET(Demand!$A$13,ROW(A250)-1,4+((QUOTIENT(COLUMN(BQ$2)-69,3))*5)+MOD(COLUMN(BQ$2),3),1,1),"")</f>
        <v>0</v>
      </c>
      <c r="BR253">
        <f ca="1">IF($AN253="",OFFSET(Demand!$A$13,ROW(B250)-1,4+((QUOTIENT(COLUMN(BR$2)-69,3))*5)+MOD(COLUMN(BR$2),3),1,1),"")</f>
        <v>0</v>
      </c>
      <c r="BS253">
        <f ca="1">IF($AN253="",OFFSET(Demand!$A$13,ROW(C250)-1,4+((QUOTIENT(COLUMN(BS$2)-69,3))*5)+MOD(COLUMN(BS$2),3),1,1),"")</f>
        <v>0</v>
      </c>
      <c r="BT253">
        <f ca="1">IF($AN253="",OFFSET(Demand!$A$13,ROW(D250)-1,4+((QUOTIENT(COLUMN(BT$2)-69,3))*5)+MOD(COLUMN(BT$2),3),1,1),"")</f>
        <v>0</v>
      </c>
      <c r="BU253">
        <f ca="1">IF($AN253="",OFFSET(Demand!$A$13,ROW(E250)-1,4+((QUOTIENT(COLUMN(BU$2)-69,3))*5)+MOD(COLUMN(BU$2),3),1,1),"")</f>
        <v>0</v>
      </c>
      <c r="BV253">
        <f ca="1">IF($AN253="",OFFSET(Demand!$A$13,ROW(F250)-1,4+((QUOTIENT(COLUMN(BV$2)-69,3))*5)+MOD(COLUMN(BV$2),3),1,1),"")</f>
        <v>0</v>
      </c>
      <c r="BW253">
        <f ca="1">IF($AN253="",OFFSET(Demand!$A$13,ROW(G250)-1,4+((QUOTIENT(COLUMN(BW$2)-69,3))*5)+MOD(COLUMN(BW$2),3),1,1),"")</f>
        <v>0</v>
      </c>
      <c r="BX253">
        <f ca="1">IF($AN253="",OFFSET(Demand!$A$13,ROW(H250)-1,4+((QUOTIENT(COLUMN(BX$2)-69,3))*5)+MOD(COLUMN(BX$2),3),1,1),"")</f>
        <v>0</v>
      </c>
      <c r="BY253">
        <f ca="1">IF($AN253="",OFFSET(Demand!$A$13,ROW(I250)-1,4+((QUOTIENT(COLUMN(BY$2)-69,3))*5)+MOD(COLUMN(BY$2),3),1,1),"")</f>
        <v>0</v>
      </c>
      <c r="BZ253">
        <f ca="1">IF($AN253="",OFFSET(Demand!$A$13,ROW(J250)-1,4+((QUOTIENT(COLUMN(BZ$2)-69,3))*5)+MOD(COLUMN(BZ$2),3),1,1),"")</f>
        <v>0</v>
      </c>
      <c r="CA253">
        <f ca="1">IF($AN253="",OFFSET(Demand!$A$13,ROW(K250)-1,4+((QUOTIENT(COLUMN(CA$2)-69,3))*5)+MOD(COLUMN(CA$2),3),1,1),"")</f>
        <v>0</v>
      </c>
      <c r="CB253">
        <f ca="1">IF($AN253="",OFFSET(Demand!$A$13,ROW(L250)-1,4+((QUOTIENT(COLUMN(CB$2)-69,3))*5)+MOD(COLUMN(CB$2),3),1,1),"")</f>
        <v>0</v>
      </c>
      <c r="CC253">
        <f ca="1">IF($AN253="",OFFSET(Demand!$A$13,ROW(M250)-1,4+((QUOTIENT(COLUMN(CC$2)-69,3))*5)+MOD(COLUMN(CC$2),3),1,1),"")</f>
        <v>0</v>
      </c>
      <c r="CD253">
        <f ca="1">IF($AN253="",OFFSET(Demand!$A$13,ROW(N250)-1,4+((QUOTIENT(COLUMN(CD$2)-69,3))*5)+MOD(COLUMN(CD$2),3),1,1),"")</f>
        <v>0</v>
      </c>
      <c r="CE253">
        <f ca="1">IF($AN253="",OFFSET(Demand!$A$13,ROW(O250)-1,4+((QUOTIENT(COLUMN(CE$2)-69,3))*5)+MOD(COLUMN(CE$2),3),1,1),"")</f>
        <v>0</v>
      </c>
      <c r="CF253">
        <f ca="1">IF($AN253="",OFFSET(Demand!$A$13,ROW(P250)-1,4+((QUOTIENT(COLUMN(CF$2)-69,3))*5)+MOD(COLUMN(CF$2),3),1,1),"")</f>
        <v>0</v>
      </c>
      <c r="CG253">
        <f ca="1">IF($AN253="",OFFSET(Demand!$A$13,ROW(Q250)-1,4+((QUOTIENT(COLUMN(CG$2)-69,3))*5)+MOD(COLUMN(CG$2),3),1,1),"")</f>
        <v>0</v>
      </c>
      <c r="CH253">
        <f ca="1">IF($AN253="",OFFSET(Demand!$A$13,ROW(R250)-1,4+((QUOTIENT(COLUMN(CH$2)-69,3))*5)+MOD(COLUMN(CH$2),3),1,1),"")</f>
        <v>0</v>
      </c>
      <c r="CI253">
        <f ca="1">IF($AN253="",OFFSET(Demand!$A$13,ROW(S250)-1,4+((QUOTIENT(COLUMN(CI$2)-69,3))*5)+MOD(COLUMN(CI$2),3),1,1),"")</f>
        <v>0</v>
      </c>
      <c r="CJ253">
        <f ca="1">IF($AN253="",OFFSET(Demand!$A$13,ROW(T250)-1,4+((QUOTIENT(COLUMN(CJ$2)-69,3))*5)+MOD(COLUMN(CJ$2),3),1,1),"")</f>
        <v>0</v>
      </c>
      <c r="CK253">
        <f ca="1">IF($AN253="",OFFSET(Demand!$A$13,ROW(U250)-1,4+((QUOTIENT(COLUMN(CK$2)-69,3))*5)+MOD(COLUMN(CK$2),3),1,1),"")</f>
        <v>0</v>
      </c>
      <c r="CL253">
        <f ca="1">IF($AN253="",OFFSET(Demand!$A$13,ROW(V250)-1,4+((QUOTIENT(COLUMN(CL$2)-69,3))*5)+MOD(COLUMN(CL$2),3),1,1),"")</f>
        <v>0</v>
      </c>
      <c r="CM253">
        <f ca="1">IF($AN253="",OFFSET(Demand!$A$13,ROW(W250)-1,4+((QUOTIENT(COLUMN(CM$2)-69,3))*5)+MOD(COLUMN(CM$2),3),1,1),"")</f>
        <v>0</v>
      </c>
      <c r="CN253">
        <f ca="1">IF($AN253="",OFFSET(Demand!$A$13,ROW(X250)-1,4+((QUOTIENT(COLUMN(CN$2)-69,3))*5)+MOD(COLUMN(CN$2),3),1,1),"")</f>
        <v>0</v>
      </c>
      <c r="CO253">
        <f ca="1">IF($AN253="",OFFSET(Demand!$A$13,ROW(Y250)-1,4+((QUOTIENT(COLUMN(CO$2)-69,3))*5)+MOD(COLUMN(CO$2),3),1,1),"")</f>
        <v>0</v>
      </c>
      <c r="CP253">
        <f ca="1">IF($AN253="",OFFSET(Demand!$A$13,ROW(Z250)-1,4+((QUOTIENT(COLUMN(CP$2)-69,3))*5)+MOD(COLUMN(CP$2),3),1,1),"")</f>
        <v>0</v>
      </c>
      <c r="CQ253">
        <f ca="1">IF($AN253="",OFFSET(Demand!$A$13,ROW(AA250)-1,4+((QUOTIENT(COLUMN(CQ$2)-69,3))*5)+MOD(COLUMN(CQ$2),3),1,1),"")</f>
        <v>0</v>
      </c>
      <c r="CR253">
        <f ca="1">IF($AN253="",OFFSET(Demand!$A$13,ROW(AB250)-1,4+((QUOTIENT(COLUMN(CR$2)-69,3))*5)+MOD(COLUMN(CR$2),3),1,1),"")</f>
        <v>0</v>
      </c>
      <c r="CS253">
        <f ca="1">IF($AN253="",OFFSET(Demand!$A$13,ROW(AC250)-1,4+((QUOTIENT(COLUMN(CS$2)-69,3))*5)+MOD(COLUMN(CS$2),3),1,1),"")</f>
        <v>0</v>
      </c>
      <c r="CT253">
        <f ca="1">IF($AN253="",OFFSET(Demand!$A$13,ROW(AD250)-1,4+((QUOTIENT(COLUMN(CT$2)-69,3))*5)+MOD(COLUMN(CT$2),3),1,1),"")</f>
        <v>0</v>
      </c>
      <c r="CW253" s="5">
        <f ca="1">SUM(OFFSET(Demand!$H$43,ROW(A250)-1,(COLUMN(A250)-1)*5,1,1))*N$2</f>
        <v>0</v>
      </c>
      <c r="CX253" s="5">
        <f ca="1">SUM(OFFSET(Demand!$H$43,ROW(B250)-1,(COLUMN(B250)-1)*5,1,1))*O$2</f>
        <v>0</v>
      </c>
      <c r="CY253" s="5">
        <f ca="1">SUM(OFFSET(Demand!$H$43,ROW(C250)-1,(COLUMN(C250)-1)*5,1,1))*P$2</f>
        <v>0</v>
      </c>
      <c r="CZ253" s="5">
        <f ca="1">SUM(OFFSET(Demand!$H$43,ROW(D250)-1,(COLUMN(D250)-1)*5,1,1))*Q$2</f>
        <v>0</v>
      </c>
      <c r="DA253" s="5">
        <f ca="1">SUM(OFFSET(Demand!$H$43,ROW(E250)-1,(COLUMN(E250)-1)*5,1,1))*R$2</f>
        <v>0</v>
      </c>
      <c r="DB253" s="5">
        <f ca="1">SUM(OFFSET(Demand!$H$43,ROW(F250)-1,(COLUMN(F250)-1)*5,1,1))*S$2</f>
        <v>0</v>
      </c>
      <c r="DC253" s="5">
        <f ca="1">SUM(OFFSET(Demand!$H$43,ROW(G250)-1,(COLUMN(G250)-1)*5,1,1))*T$2</f>
        <v>0</v>
      </c>
      <c r="DD253" s="5">
        <f ca="1">SUM(OFFSET(Demand!$H$43,ROW(H250)-1,(COLUMN(H250)-1)*5,1,1))*U$2</f>
        <v>0</v>
      </c>
      <c r="DE253" s="5">
        <f ca="1">SUM(OFFSET(Demand!$H$43,ROW(I250)-1,(COLUMN(I250)-1)*5,1,1))*V$2</f>
        <v>0</v>
      </c>
      <c r="DF253" s="5">
        <f ca="1">SUM(OFFSET(Demand!$H$43,ROW(J250)-1,(COLUMN(J250)-1)*5,1,1))*W$2</f>
        <v>0</v>
      </c>
      <c r="DG253" s="5">
        <f ca="1">IF(OR(AN253&lt;&gt;"",AND('Demand adjustments for Covid'!$F$9="Yes",'Demand adjustments for Covid'!$F$20="Yes")),"",SUM(CW253:DF253))</f>
        <v>0</v>
      </c>
    </row>
    <row r="254" spans="1:111" x14ac:dyDescent="0.25">
      <c r="A254" s="5">
        <f t="shared" ca="1" si="58"/>
        <v>1</v>
      </c>
      <c r="B254" s="5">
        <f ca="1">COUNTBLANK(OFFSET(Demand!$I263,0,(COLUMN(A251)-1)*5,1,1))</f>
        <v>1</v>
      </c>
      <c r="C254" s="5">
        <f ca="1">COUNTBLANK(OFFSET(Demand!$I263,0,(COLUMN(B251)-1)*5,1,1))</f>
        <v>1</v>
      </c>
      <c r="D254" s="5">
        <f ca="1">COUNTBLANK(OFFSET(Demand!$I263,0,(COLUMN(C251)-1)*5,1,1))</f>
        <v>1</v>
      </c>
      <c r="E254" s="5">
        <f ca="1">COUNTBLANK(OFFSET(Demand!$I263,0,(COLUMN(D251)-1)*5,1,1))</f>
        <v>1</v>
      </c>
      <c r="F254" s="5">
        <f ca="1">COUNTBLANK(OFFSET(Demand!$I263,0,(COLUMN(E251)-1)*5,1,1))</f>
        <v>1</v>
      </c>
      <c r="G254" s="5">
        <f ca="1">COUNTBLANK(OFFSET(Demand!$I263,0,(COLUMN(F251)-1)*5,1,1))</f>
        <v>1</v>
      </c>
      <c r="H254" s="5">
        <f ca="1">COUNTBLANK(OFFSET(Demand!$I263,0,(COLUMN(G251)-1)*5,1,1))</f>
        <v>1</v>
      </c>
      <c r="I254" s="5">
        <f ca="1">COUNTBLANK(OFFSET(Demand!$I263,0,(COLUMN(H251)-1)*5,1,1))</f>
        <v>1</v>
      </c>
      <c r="J254" s="5">
        <f ca="1">COUNTBLANK(OFFSET(Demand!$I263,0,(COLUMN(I251)-1)*5,1,1))</f>
        <v>1</v>
      </c>
      <c r="K254" s="5">
        <f ca="1">COUNTBLANK(OFFSET(Demand!$I263,0,(COLUMN(J251)-1)*5,1,1))</f>
        <v>1</v>
      </c>
      <c r="N254" s="5">
        <f ca="1">SUM(OFFSET(Demand!$E263,0,(COLUMN(A251)-1)*5,1,3))*N$2</f>
        <v>0</v>
      </c>
      <c r="O254" s="5">
        <f ca="1">SUM(OFFSET(Demand!$E263,0,(COLUMN(B251)-1)*5,1,3))*O$2</f>
        <v>0</v>
      </c>
      <c r="P254" s="5">
        <f ca="1">SUM(OFFSET(Demand!$E263,0,(COLUMN(C251)-1)*5,1,3))*P$2</f>
        <v>0</v>
      </c>
      <c r="Q254" s="5">
        <f ca="1">SUM(OFFSET(Demand!$E263,0,(COLUMN(D251)-1)*5,1,3))*Q$2</f>
        <v>0</v>
      </c>
      <c r="R254" s="5">
        <f ca="1">SUM(OFFSET(Demand!$E263,0,(COLUMN(E251)-1)*5,1,3))*R$2</f>
        <v>0</v>
      </c>
      <c r="S254" s="5">
        <f ca="1">SUM(OFFSET(Demand!$E263,0,(COLUMN(F251)-1)*5,1,3))*S$2</f>
        <v>0</v>
      </c>
      <c r="T254" s="5">
        <f ca="1">SUM(OFFSET(Demand!$E263,0,(COLUMN(G251)-1)*5,1,3))*T$2</f>
        <v>0</v>
      </c>
      <c r="U254" s="5">
        <f ca="1">SUM(OFFSET(Demand!$E263,0,(COLUMN(H251)-1)*5,1,3))*U$2</f>
        <v>0</v>
      </c>
      <c r="V254" s="5">
        <f ca="1">SUM(OFFSET(Demand!$E263,0,(COLUMN(I251)-1)*5,1,3))*V$2</f>
        <v>0</v>
      </c>
      <c r="W254" s="5">
        <f ca="1">SUM(OFFSET(Demand!$E263,0,(COLUMN(J251)-1)*5,1,3))*W$2</f>
        <v>0</v>
      </c>
      <c r="X254" s="5">
        <f t="shared" ca="1" si="51"/>
        <v>0</v>
      </c>
      <c r="Y254">
        <f t="shared" ca="1" si="52"/>
        <v>0</v>
      </c>
      <c r="Z254" s="5">
        <f ca="1">SUM(OFFSET(Demand!$H263,0,(COLUMN(A251)-1)*5,1,1))*N$2</f>
        <v>0</v>
      </c>
      <c r="AA254" s="5">
        <f ca="1">SUM(OFFSET(Demand!$H263,0,(COLUMN(B251)-1)*5,1,1))*O$2</f>
        <v>0</v>
      </c>
      <c r="AB254" s="5">
        <f ca="1">SUM(OFFSET(Demand!$H263,0,(COLUMN(C251)-1)*5,1,1))*P$2</f>
        <v>0</v>
      </c>
      <c r="AC254" s="5">
        <f ca="1">SUM(OFFSET(Demand!$H263,0,(COLUMN(D251)-1)*5,1,1))*Q$2</f>
        <v>0</v>
      </c>
      <c r="AD254" s="5">
        <f ca="1">SUM(OFFSET(Demand!$H263,0,(COLUMN(E251)-1)*5,1,1))*R$2</f>
        <v>0</v>
      </c>
      <c r="AE254" s="5">
        <f ca="1">SUM(OFFSET(Demand!$H263,0,(COLUMN(F251)-1)*5,1,1))*S$2</f>
        <v>0</v>
      </c>
      <c r="AF254" s="5">
        <f ca="1">SUM(OFFSET(Demand!$H263,0,(COLUMN(G251)-1)*5,1,1))*T$2</f>
        <v>0</v>
      </c>
      <c r="AG254" s="5">
        <f ca="1">SUM(OFFSET(Demand!$H263,0,(COLUMN(H251)-1)*5,1,1))*U$2</f>
        <v>0</v>
      </c>
      <c r="AH254" s="5">
        <f ca="1">SUM(OFFSET(Demand!$H263,0,(COLUMN(I251)-1)*5,1,1))*V$2</f>
        <v>0</v>
      </c>
      <c r="AI254" s="5">
        <f ca="1">SUM(OFFSET(Demand!$H263,0,(COLUMN(J251)-1)*5,1,1))*W$2</f>
        <v>0</v>
      </c>
      <c r="AJ254" s="5">
        <f t="shared" ca="1" si="53"/>
        <v>0</v>
      </c>
      <c r="AL254" s="5">
        <f t="shared" ca="1" si="54"/>
        <v>0</v>
      </c>
      <c r="AM254" s="5">
        <f t="shared" ca="1" si="55"/>
        <v>0</v>
      </c>
      <c r="AN254" s="5" t="str">
        <f>IF(Demand!BE263="Yes","Yes","")</f>
        <v/>
      </c>
      <c r="AP254" s="36" t="str">
        <f ca="1">Demand!B263</f>
        <v xml:space="preserve"> </v>
      </c>
      <c r="AQ254" t="str">
        <f ca="1">IF(TEXT(Demand!D263,"MMM")&lt;&gt;TEXT(Demand!D262,"MMM"),TEXT(Demand!D263,"MMM"),"")</f>
        <v/>
      </c>
      <c r="AT254" s="5">
        <f t="shared" ca="1" si="56"/>
        <v>0</v>
      </c>
      <c r="BQ254">
        <f ca="1">IF($AN254="",OFFSET(Demand!$A$13,ROW(A251)-1,4+((QUOTIENT(COLUMN(BQ$2)-69,3))*5)+MOD(COLUMN(BQ$2),3),1,1),"")</f>
        <v>0</v>
      </c>
      <c r="BR254">
        <f ca="1">IF($AN254="",OFFSET(Demand!$A$13,ROW(B251)-1,4+((QUOTIENT(COLUMN(BR$2)-69,3))*5)+MOD(COLUMN(BR$2),3),1,1),"")</f>
        <v>0</v>
      </c>
      <c r="BS254">
        <f ca="1">IF($AN254="",OFFSET(Demand!$A$13,ROW(C251)-1,4+((QUOTIENT(COLUMN(BS$2)-69,3))*5)+MOD(COLUMN(BS$2),3),1,1),"")</f>
        <v>0</v>
      </c>
      <c r="BT254">
        <f ca="1">IF($AN254="",OFFSET(Demand!$A$13,ROW(D251)-1,4+((QUOTIENT(COLUMN(BT$2)-69,3))*5)+MOD(COLUMN(BT$2),3),1,1),"")</f>
        <v>0</v>
      </c>
      <c r="BU254">
        <f ca="1">IF($AN254="",OFFSET(Demand!$A$13,ROW(E251)-1,4+((QUOTIENT(COLUMN(BU$2)-69,3))*5)+MOD(COLUMN(BU$2),3),1,1),"")</f>
        <v>0</v>
      </c>
      <c r="BV254">
        <f ca="1">IF($AN254="",OFFSET(Demand!$A$13,ROW(F251)-1,4+((QUOTIENT(COLUMN(BV$2)-69,3))*5)+MOD(COLUMN(BV$2),3),1,1),"")</f>
        <v>0</v>
      </c>
      <c r="BW254">
        <f ca="1">IF($AN254="",OFFSET(Demand!$A$13,ROW(G251)-1,4+((QUOTIENT(COLUMN(BW$2)-69,3))*5)+MOD(COLUMN(BW$2),3),1,1),"")</f>
        <v>0</v>
      </c>
      <c r="BX254">
        <f ca="1">IF($AN254="",OFFSET(Demand!$A$13,ROW(H251)-1,4+((QUOTIENT(COLUMN(BX$2)-69,3))*5)+MOD(COLUMN(BX$2),3),1,1),"")</f>
        <v>0</v>
      </c>
      <c r="BY254">
        <f ca="1">IF($AN254="",OFFSET(Demand!$A$13,ROW(I251)-1,4+((QUOTIENT(COLUMN(BY$2)-69,3))*5)+MOD(COLUMN(BY$2),3),1,1),"")</f>
        <v>0</v>
      </c>
      <c r="BZ254">
        <f ca="1">IF($AN254="",OFFSET(Demand!$A$13,ROW(J251)-1,4+((QUOTIENT(COLUMN(BZ$2)-69,3))*5)+MOD(COLUMN(BZ$2),3),1,1),"")</f>
        <v>0</v>
      </c>
      <c r="CA254">
        <f ca="1">IF($AN254="",OFFSET(Demand!$A$13,ROW(K251)-1,4+((QUOTIENT(COLUMN(CA$2)-69,3))*5)+MOD(COLUMN(CA$2),3),1,1),"")</f>
        <v>0</v>
      </c>
      <c r="CB254">
        <f ca="1">IF($AN254="",OFFSET(Demand!$A$13,ROW(L251)-1,4+((QUOTIENT(COLUMN(CB$2)-69,3))*5)+MOD(COLUMN(CB$2),3),1,1),"")</f>
        <v>0</v>
      </c>
      <c r="CC254">
        <f ca="1">IF($AN254="",OFFSET(Demand!$A$13,ROW(M251)-1,4+((QUOTIENT(COLUMN(CC$2)-69,3))*5)+MOD(COLUMN(CC$2),3),1,1),"")</f>
        <v>0</v>
      </c>
      <c r="CD254">
        <f ca="1">IF($AN254="",OFFSET(Demand!$A$13,ROW(N251)-1,4+((QUOTIENT(COLUMN(CD$2)-69,3))*5)+MOD(COLUMN(CD$2),3),1,1),"")</f>
        <v>0</v>
      </c>
      <c r="CE254">
        <f ca="1">IF($AN254="",OFFSET(Demand!$A$13,ROW(O251)-1,4+((QUOTIENT(COLUMN(CE$2)-69,3))*5)+MOD(COLUMN(CE$2),3),1,1),"")</f>
        <v>0</v>
      </c>
      <c r="CF254">
        <f ca="1">IF($AN254="",OFFSET(Demand!$A$13,ROW(P251)-1,4+((QUOTIENT(COLUMN(CF$2)-69,3))*5)+MOD(COLUMN(CF$2),3),1,1),"")</f>
        <v>0</v>
      </c>
      <c r="CG254">
        <f ca="1">IF($AN254="",OFFSET(Demand!$A$13,ROW(Q251)-1,4+((QUOTIENT(COLUMN(CG$2)-69,3))*5)+MOD(COLUMN(CG$2),3),1,1),"")</f>
        <v>0</v>
      </c>
      <c r="CH254">
        <f ca="1">IF($AN254="",OFFSET(Demand!$A$13,ROW(R251)-1,4+((QUOTIENT(COLUMN(CH$2)-69,3))*5)+MOD(COLUMN(CH$2),3),1,1),"")</f>
        <v>0</v>
      </c>
      <c r="CI254">
        <f ca="1">IF($AN254="",OFFSET(Demand!$A$13,ROW(S251)-1,4+((QUOTIENT(COLUMN(CI$2)-69,3))*5)+MOD(COLUMN(CI$2),3),1,1),"")</f>
        <v>0</v>
      </c>
      <c r="CJ254">
        <f ca="1">IF($AN254="",OFFSET(Demand!$A$13,ROW(T251)-1,4+((QUOTIENT(COLUMN(CJ$2)-69,3))*5)+MOD(COLUMN(CJ$2),3),1,1),"")</f>
        <v>0</v>
      </c>
      <c r="CK254">
        <f ca="1">IF($AN254="",OFFSET(Demand!$A$13,ROW(U251)-1,4+((QUOTIENT(COLUMN(CK$2)-69,3))*5)+MOD(COLUMN(CK$2),3),1,1),"")</f>
        <v>0</v>
      </c>
      <c r="CL254">
        <f ca="1">IF($AN254="",OFFSET(Demand!$A$13,ROW(V251)-1,4+((QUOTIENT(COLUMN(CL$2)-69,3))*5)+MOD(COLUMN(CL$2),3),1,1),"")</f>
        <v>0</v>
      </c>
      <c r="CM254">
        <f ca="1">IF($AN254="",OFFSET(Demand!$A$13,ROW(W251)-1,4+((QUOTIENT(COLUMN(CM$2)-69,3))*5)+MOD(COLUMN(CM$2),3),1,1),"")</f>
        <v>0</v>
      </c>
      <c r="CN254">
        <f ca="1">IF($AN254="",OFFSET(Demand!$A$13,ROW(X251)-1,4+((QUOTIENT(COLUMN(CN$2)-69,3))*5)+MOD(COLUMN(CN$2),3),1,1),"")</f>
        <v>0</v>
      </c>
      <c r="CO254">
        <f ca="1">IF($AN254="",OFFSET(Demand!$A$13,ROW(Y251)-1,4+((QUOTIENT(COLUMN(CO$2)-69,3))*5)+MOD(COLUMN(CO$2),3),1,1),"")</f>
        <v>0</v>
      </c>
      <c r="CP254">
        <f ca="1">IF($AN254="",OFFSET(Demand!$A$13,ROW(Z251)-1,4+((QUOTIENT(COLUMN(CP$2)-69,3))*5)+MOD(COLUMN(CP$2),3),1,1),"")</f>
        <v>0</v>
      </c>
      <c r="CQ254">
        <f ca="1">IF($AN254="",OFFSET(Demand!$A$13,ROW(AA251)-1,4+((QUOTIENT(COLUMN(CQ$2)-69,3))*5)+MOD(COLUMN(CQ$2),3),1,1),"")</f>
        <v>0</v>
      </c>
      <c r="CR254">
        <f ca="1">IF($AN254="",OFFSET(Demand!$A$13,ROW(AB251)-1,4+((QUOTIENT(COLUMN(CR$2)-69,3))*5)+MOD(COLUMN(CR$2),3),1,1),"")</f>
        <v>0</v>
      </c>
      <c r="CS254">
        <f ca="1">IF($AN254="",OFFSET(Demand!$A$13,ROW(AC251)-1,4+((QUOTIENT(COLUMN(CS$2)-69,3))*5)+MOD(COLUMN(CS$2),3),1,1),"")</f>
        <v>0</v>
      </c>
      <c r="CT254">
        <f ca="1">IF($AN254="",OFFSET(Demand!$A$13,ROW(AD251)-1,4+((QUOTIENT(COLUMN(CT$2)-69,3))*5)+MOD(COLUMN(CT$2),3),1,1),"")</f>
        <v>0</v>
      </c>
      <c r="CW254" s="5">
        <f ca="1">SUM(OFFSET(Demand!$H$43,ROW(A251)-1,(COLUMN(A251)-1)*5,1,1))*N$2</f>
        <v>0</v>
      </c>
      <c r="CX254" s="5">
        <f ca="1">SUM(OFFSET(Demand!$H$43,ROW(B251)-1,(COLUMN(B251)-1)*5,1,1))*O$2</f>
        <v>0</v>
      </c>
      <c r="CY254" s="5">
        <f ca="1">SUM(OFFSET(Demand!$H$43,ROW(C251)-1,(COLUMN(C251)-1)*5,1,1))*P$2</f>
        <v>0</v>
      </c>
      <c r="CZ254" s="5">
        <f ca="1">SUM(OFFSET(Demand!$H$43,ROW(D251)-1,(COLUMN(D251)-1)*5,1,1))*Q$2</f>
        <v>0</v>
      </c>
      <c r="DA254" s="5">
        <f ca="1">SUM(OFFSET(Demand!$H$43,ROW(E251)-1,(COLUMN(E251)-1)*5,1,1))*R$2</f>
        <v>0</v>
      </c>
      <c r="DB254" s="5">
        <f ca="1">SUM(OFFSET(Demand!$H$43,ROW(F251)-1,(COLUMN(F251)-1)*5,1,1))*S$2</f>
        <v>0</v>
      </c>
      <c r="DC254" s="5">
        <f ca="1">SUM(OFFSET(Demand!$H$43,ROW(G251)-1,(COLUMN(G251)-1)*5,1,1))*T$2</f>
        <v>0</v>
      </c>
      <c r="DD254" s="5">
        <f ca="1">SUM(OFFSET(Demand!$H$43,ROW(H251)-1,(COLUMN(H251)-1)*5,1,1))*U$2</f>
        <v>0</v>
      </c>
      <c r="DE254" s="5">
        <f ca="1">SUM(OFFSET(Demand!$H$43,ROW(I251)-1,(COLUMN(I251)-1)*5,1,1))*V$2</f>
        <v>0</v>
      </c>
      <c r="DF254" s="5">
        <f ca="1">SUM(OFFSET(Demand!$H$43,ROW(J251)-1,(COLUMN(J251)-1)*5,1,1))*W$2</f>
        <v>0</v>
      </c>
      <c r="DG254" s="5">
        <f ca="1">IF(OR(AN254&lt;&gt;"",AND('Demand adjustments for Covid'!$F$9="Yes",'Demand adjustments for Covid'!$F$20="Yes")),"",SUM(CW254:DF254))</f>
        <v>0</v>
      </c>
    </row>
    <row r="255" spans="1:111" x14ac:dyDescent="0.25">
      <c r="A255" s="5">
        <f t="shared" ca="1" si="58"/>
        <v>1</v>
      </c>
      <c r="B255" s="5">
        <f ca="1">COUNTBLANK(OFFSET(Demand!$I264,0,(COLUMN(A252)-1)*5,1,1))</f>
        <v>1</v>
      </c>
      <c r="C255" s="5">
        <f ca="1">COUNTBLANK(OFFSET(Demand!$I264,0,(COLUMN(B252)-1)*5,1,1))</f>
        <v>1</v>
      </c>
      <c r="D255" s="5">
        <f ca="1">COUNTBLANK(OFFSET(Demand!$I264,0,(COLUMN(C252)-1)*5,1,1))</f>
        <v>1</v>
      </c>
      <c r="E255" s="5">
        <f ca="1">COUNTBLANK(OFFSET(Demand!$I264,0,(COLUMN(D252)-1)*5,1,1))</f>
        <v>1</v>
      </c>
      <c r="F255" s="5">
        <f ca="1">COUNTBLANK(OFFSET(Demand!$I264,0,(COLUMN(E252)-1)*5,1,1))</f>
        <v>1</v>
      </c>
      <c r="G255" s="5">
        <f ca="1">COUNTBLANK(OFFSET(Demand!$I264,0,(COLUMN(F252)-1)*5,1,1))</f>
        <v>1</v>
      </c>
      <c r="H255" s="5">
        <f ca="1">COUNTBLANK(OFFSET(Demand!$I264,0,(COLUMN(G252)-1)*5,1,1))</f>
        <v>1</v>
      </c>
      <c r="I255" s="5">
        <f ca="1">COUNTBLANK(OFFSET(Demand!$I264,0,(COLUMN(H252)-1)*5,1,1))</f>
        <v>1</v>
      </c>
      <c r="J255" s="5">
        <f ca="1">COUNTBLANK(OFFSET(Demand!$I264,0,(COLUMN(I252)-1)*5,1,1))</f>
        <v>1</v>
      </c>
      <c r="K255" s="5">
        <f ca="1">COUNTBLANK(OFFSET(Demand!$I264,0,(COLUMN(J252)-1)*5,1,1))</f>
        <v>1</v>
      </c>
      <c r="N255" s="5">
        <f ca="1">SUM(OFFSET(Demand!$E264,0,(COLUMN(A252)-1)*5,1,3))*N$2</f>
        <v>0</v>
      </c>
      <c r="O255" s="5">
        <f ca="1">SUM(OFFSET(Demand!$E264,0,(COLUMN(B252)-1)*5,1,3))*O$2</f>
        <v>0</v>
      </c>
      <c r="P255" s="5">
        <f ca="1">SUM(OFFSET(Demand!$E264,0,(COLUMN(C252)-1)*5,1,3))*P$2</f>
        <v>0</v>
      </c>
      <c r="Q255" s="5">
        <f ca="1">SUM(OFFSET(Demand!$E264,0,(COLUMN(D252)-1)*5,1,3))*Q$2</f>
        <v>0</v>
      </c>
      <c r="R255" s="5">
        <f ca="1">SUM(OFFSET(Demand!$E264,0,(COLUMN(E252)-1)*5,1,3))*R$2</f>
        <v>0</v>
      </c>
      <c r="S255" s="5">
        <f ca="1">SUM(OFFSET(Demand!$E264,0,(COLUMN(F252)-1)*5,1,3))*S$2</f>
        <v>0</v>
      </c>
      <c r="T255" s="5">
        <f ca="1">SUM(OFFSET(Demand!$E264,0,(COLUMN(G252)-1)*5,1,3))*T$2</f>
        <v>0</v>
      </c>
      <c r="U255" s="5">
        <f ca="1">SUM(OFFSET(Demand!$E264,0,(COLUMN(H252)-1)*5,1,3))*U$2</f>
        <v>0</v>
      </c>
      <c r="V255" s="5">
        <f ca="1">SUM(OFFSET(Demand!$E264,0,(COLUMN(I252)-1)*5,1,3))*V$2</f>
        <v>0</v>
      </c>
      <c r="W255" s="5">
        <f ca="1">SUM(OFFSET(Demand!$E264,0,(COLUMN(J252)-1)*5,1,3))*W$2</f>
        <v>0</v>
      </c>
      <c r="X255" s="5">
        <f t="shared" ca="1" si="51"/>
        <v>0</v>
      </c>
      <c r="Y255">
        <f t="shared" ca="1" si="52"/>
        <v>0</v>
      </c>
      <c r="Z255" s="5">
        <f ca="1">SUM(OFFSET(Demand!$H264,0,(COLUMN(A252)-1)*5,1,1))*N$2</f>
        <v>0</v>
      </c>
      <c r="AA255" s="5">
        <f ca="1">SUM(OFFSET(Demand!$H264,0,(COLUMN(B252)-1)*5,1,1))*O$2</f>
        <v>0</v>
      </c>
      <c r="AB255" s="5">
        <f ca="1">SUM(OFFSET(Demand!$H264,0,(COLUMN(C252)-1)*5,1,1))*P$2</f>
        <v>0</v>
      </c>
      <c r="AC255" s="5">
        <f ca="1">SUM(OFFSET(Demand!$H264,0,(COLUMN(D252)-1)*5,1,1))*Q$2</f>
        <v>0</v>
      </c>
      <c r="AD255" s="5">
        <f ca="1">SUM(OFFSET(Demand!$H264,0,(COLUMN(E252)-1)*5,1,1))*R$2</f>
        <v>0</v>
      </c>
      <c r="AE255" s="5">
        <f ca="1">SUM(OFFSET(Demand!$H264,0,(COLUMN(F252)-1)*5,1,1))*S$2</f>
        <v>0</v>
      </c>
      <c r="AF255" s="5">
        <f ca="1">SUM(OFFSET(Demand!$H264,0,(COLUMN(G252)-1)*5,1,1))*T$2</f>
        <v>0</v>
      </c>
      <c r="AG255" s="5">
        <f ca="1">SUM(OFFSET(Demand!$H264,0,(COLUMN(H252)-1)*5,1,1))*U$2</f>
        <v>0</v>
      </c>
      <c r="AH255" s="5">
        <f ca="1">SUM(OFFSET(Demand!$H264,0,(COLUMN(I252)-1)*5,1,1))*V$2</f>
        <v>0</v>
      </c>
      <c r="AI255" s="5">
        <f ca="1">SUM(OFFSET(Demand!$H264,0,(COLUMN(J252)-1)*5,1,1))*W$2</f>
        <v>0</v>
      </c>
      <c r="AJ255" s="5">
        <f t="shared" ca="1" si="53"/>
        <v>0</v>
      </c>
      <c r="AL255" s="5">
        <f t="shared" ca="1" si="54"/>
        <v>0</v>
      </c>
      <c r="AM255" s="5">
        <f t="shared" ca="1" si="55"/>
        <v>0</v>
      </c>
      <c r="AN255" s="5" t="str">
        <f>IF(Demand!BE264="Yes","Yes","")</f>
        <v/>
      </c>
      <c r="AP255" s="36" t="str">
        <f ca="1">Demand!B264</f>
        <v xml:space="preserve"> </v>
      </c>
      <c r="AQ255" t="str">
        <f ca="1">IF(TEXT(Demand!D264,"MMM")&lt;&gt;TEXT(Demand!D263,"MMM"),TEXT(Demand!D264,"MMM"),"")</f>
        <v/>
      </c>
      <c r="AT255" s="5">
        <f t="shared" ca="1" si="56"/>
        <v>0</v>
      </c>
      <c r="BQ255">
        <f ca="1">IF($AN255="",OFFSET(Demand!$A$13,ROW(A252)-1,4+((QUOTIENT(COLUMN(BQ$2)-69,3))*5)+MOD(COLUMN(BQ$2),3),1,1),"")</f>
        <v>0</v>
      </c>
      <c r="BR255">
        <f ca="1">IF($AN255="",OFFSET(Demand!$A$13,ROW(B252)-1,4+((QUOTIENT(COLUMN(BR$2)-69,3))*5)+MOD(COLUMN(BR$2),3),1,1),"")</f>
        <v>0</v>
      </c>
      <c r="BS255">
        <f ca="1">IF($AN255="",OFFSET(Demand!$A$13,ROW(C252)-1,4+((QUOTIENT(COLUMN(BS$2)-69,3))*5)+MOD(COLUMN(BS$2),3),1,1),"")</f>
        <v>0</v>
      </c>
      <c r="BT255">
        <f ca="1">IF($AN255="",OFFSET(Demand!$A$13,ROW(D252)-1,4+((QUOTIENT(COLUMN(BT$2)-69,3))*5)+MOD(COLUMN(BT$2),3),1,1),"")</f>
        <v>0</v>
      </c>
      <c r="BU255">
        <f ca="1">IF($AN255="",OFFSET(Demand!$A$13,ROW(E252)-1,4+((QUOTIENT(COLUMN(BU$2)-69,3))*5)+MOD(COLUMN(BU$2),3),1,1),"")</f>
        <v>0</v>
      </c>
      <c r="BV255">
        <f ca="1">IF($AN255="",OFFSET(Demand!$A$13,ROW(F252)-1,4+((QUOTIENT(COLUMN(BV$2)-69,3))*5)+MOD(COLUMN(BV$2),3),1,1),"")</f>
        <v>0</v>
      </c>
      <c r="BW255">
        <f ca="1">IF($AN255="",OFFSET(Demand!$A$13,ROW(G252)-1,4+((QUOTIENT(COLUMN(BW$2)-69,3))*5)+MOD(COLUMN(BW$2),3),1,1),"")</f>
        <v>0</v>
      </c>
      <c r="BX255">
        <f ca="1">IF($AN255="",OFFSET(Demand!$A$13,ROW(H252)-1,4+((QUOTIENT(COLUMN(BX$2)-69,3))*5)+MOD(COLUMN(BX$2),3),1,1),"")</f>
        <v>0</v>
      </c>
      <c r="BY255">
        <f ca="1">IF($AN255="",OFFSET(Demand!$A$13,ROW(I252)-1,4+((QUOTIENT(COLUMN(BY$2)-69,3))*5)+MOD(COLUMN(BY$2),3),1,1),"")</f>
        <v>0</v>
      </c>
      <c r="BZ255">
        <f ca="1">IF($AN255="",OFFSET(Demand!$A$13,ROW(J252)-1,4+((QUOTIENT(COLUMN(BZ$2)-69,3))*5)+MOD(COLUMN(BZ$2),3),1,1),"")</f>
        <v>0</v>
      </c>
      <c r="CA255">
        <f ca="1">IF($AN255="",OFFSET(Demand!$A$13,ROW(K252)-1,4+((QUOTIENT(COLUMN(CA$2)-69,3))*5)+MOD(COLUMN(CA$2),3),1,1),"")</f>
        <v>0</v>
      </c>
      <c r="CB255">
        <f ca="1">IF($AN255="",OFFSET(Demand!$A$13,ROW(L252)-1,4+((QUOTIENT(COLUMN(CB$2)-69,3))*5)+MOD(COLUMN(CB$2),3),1,1),"")</f>
        <v>0</v>
      </c>
      <c r="CC255">
        <f ca="1">IF($AN255="",OFFSET(Demand!$A$13,ROW(M252)-1,4+((QUOTIENT(COLUMN(CC$2)-69,3))*5)+MOD(COLUMN(CC$2),3),1,1),"")</f>
        <v>0</v>
      </c>
      <c r="CD255">
        <f ca="1">IF($AN255="",OFFSET(Demand!$A$13,ROW(N252)-1,4+((QUOTIENT(COLUMN(CD$2)-69,3))*5)+MOD(COLUMN(CD$2),3),1,1),"")</f>
        <v>0</v>
      </c>
      <c r="CE255">
        <f ca="1">IF($AN255="",OFFSET(Demand!$A$13,ROW(O252)-1,4+((QUOTIENT(COLUMN(CE$2)-69,3))*5)+MOD(COLUMN(CE$2),3),1,1),"")</f>
        <v>0</v>
      </c>
      <c r="CF255">
        <f ca="1">IF($AN255="",OFFSET(Demand!$A$13,ROW(P252)-1,4+((QUOTIENT(COLUMN(CF$2)-69,3))*5)+MOD(COLUMN(CF$2),3),1,1),"")</f>
        <v>0</v>
      </c>
      <c r="CG255">
        <f ca="1">IF($AN255="",OFFSET(Demand!$A$13,ROW(Q252)-1,4+((QUOTIENT(COLUMN(CG$2)-69,3))*5)+MOD(COLUMN(CG$2),3),1,1),"")</f>
        <v>0</v>
      </c>
      <c r="CH255">
        <f ca="1">IF($AN255="",OFFSET(Demand!$A$13,ROW(R252)-1,4+((QUOTIENT(COLUMN(CH$2)-69,3))*5)+MOD(COLUMN(CH$2),3),1,1),"")</f>
        <v>0</v>
      </c>
      <c r="CI255">
        <f ca="1">IF($AN255="",OFFSET(Demand!$A$13,ROW(S252)-1,4+((QUOTIENT(COLUMN(CI$2)-69,3))*5)+MOD(COLUMN(CI$2),3),1,1),"")</f>
        <v>0</v>
      </c>
      <c r="CJ255">
        <f ca="1">IF($AN255="",OFFSET(Demand!$A$13,ROW(T252)-1,4+((QUOTIENT(COLUMN(CJ$2)-69,3))*5)+MOD(COLUMN(CJ$2),3),1,1),"")</f>
        <v>0</v>
      </c>
      <c r="CK255">
        <f ca="1">IF($AN255="",OFFSET(Demand!$A$13,ROW(U252)-1,4+((QUOTIENT(COLUMN(CK$2)-69,3))*5)+MOD(COLUMN(CK$2),3),1,1),"")</f>
        <v>0</v>
      </c>
      <c r="CL255">
        <f ca="1">IF($AN255="",OFFSET(Demand!$A$13,ROW(V252)-1,4+((QUOTIENT(COLUMN(CL$2)-69,3))*5)+MOD(COLUMN(CL$2),3),1,1),"")</f>
        <v>0</v>
      </c>
      <c r="CM255">
        <f ca="1">IF($AN255="",OFFSET(Demand!$A$13,ROW(W252)-1,4+((QUOTIENT(COLUMN(CM$2)-69,3))*5)+MOD(COLUMN(CM$2),3),1,1),"")</f>
        <v>0</v>
      </c>
      <c r="CN255">
        <f ca="1">IF($AN255="",OFFSET(Demand!$A$13,ROW(X252)-1,4+((QUOTIENT(COLUMN(CN$2)-69,3))*5)+MOD(COLUMN(CN$2),3),1,1),"")</f>
        <v>0</v>
      </c>
      <c r="CO255">
        <f ca="1">IF($AN255="",OFFSET(Demand!$A$13,ROW(Y252)-1,4+((QUOTIENT(COLUMN(CO$2)-69,3))*5)+MOD(COLUMN(CO$2),3),1,1),"")</f>
        <v>0</v>
      </c>
      <c r="CP255">
        <f ca="1">IF($AN255="",OFFSET(Demand!$A$13,ROW(Z252)-1,4+((QUOTIENT(COLUMN(CP$2)-69,3))*5)+MOD(COLUMN(CP$2),3),1,1),"")</f>
        <v>0</v>
      </c>
      <c r="CQ255">
        <f ca="1">IF($AN255="",OFFSET(Demand!$A$13,ROW(AA252)-1,4+((QUOTIENT(COLUMN(CQ$2)-69,3))*5)+MOD(COLUMN(CQ$2),3),1,1),"")</f>
        <v>0</v>
      </c>
      <c r="CR255">
        <f ca="1">IF($AN255="",OFFSET(Demand!$A$13,ROW(AB252)-1,4+((QUOTIENT(COLUMN(CR$2)-69,3))*5)+MOD(COLUMN(CR$2),3),1,1),"")</f>
        <v>0</v>
      </c>
      <c r="CS255">
        <f ca="1">IF($AN255="",OFFSET(Demand!$A$13,ROW(AC252)-1,4+((QUOTIENT(COLUMN(CS$2)-69,3))*5)+MOD(COLUMN(CS$2),3),1,1),"")</f>
        <v>0</v>
      </c>
      <c r="CT255">
        <f ca="1">IF($AN255="",OFFSET(Demand!$A$13,ROW(AD252)-1,4+((QUOTIENT(COLUMN(CT$2)-69,3))*5)+MOD(COLUMN(CT$2),3),1,1),"")</f>
        <v>0</v>
      </c>
      <c r="CW255" s="5">
        <f ca="1">SUM(OFFSET(Demand!$H$43,ROW(A252)-1,(COLUMN(A252)-1)*5,1,1))*N$2</f>
        <v>0</v>
      </c>
      <c r="CX255" s="5">
        <f ca="1">SUM(OFFSET(Demand!$H$43,ROW(B252)-1,(COLUMN(B252)-1)*5,1,1))*O$2</f>
        <v>0</v>
      </c>
      <c r="CY255" s="5">
        <f ca="1">SUM(OFFSET(Demand!$H$43,ROW(C252)-1,(COLUMN(C252)-1)*5,1,1))*P$2</f>
        <v>0</v>
      </c>
      <c r="CZ255" s="5">
        <f ca="1">SUM(OFFSET(Demand!$H$43,ROW(D252)-1,(COLUMN(D252)-1)*5,1,1))*Q$2</f>
        <v>0</v>
      </c>
      <c r="DA255" s="5">
        <f ca="1">SUM(OFFSET(Demand!$H$43,ROW(E252)-1,(COLUMN(E252)-1)*5,1,1))*R$2</f>
        <v>0</v>
      </c>
      <c r="DB255" s="5">
        <f ca="1">SUM(OFFSET(Demand!$H$43,ROW(F252)-1,(COLUMN(F252)-1)*5,1,1))*S$2</f>
        <v>0</v>
      </c>
      <c r="DC255" s="5">
        <f ca="1">SUM(OFFSET(Demand!$H$43,ROW(G252)-1,(COLUMN(G252)-1)*5,1,1))*T$2</f>
        <v>0</v>
      </c>
      <c r="DD255" s="5">
        <f ca="1">SUM(OFFSET(Demand!$H$43,ROW(H252)-1,(COLUMN(H252)-1)*5,1,1))*U$2</f>
        <v>0</v>
      </c>
      <c r="DE255" s="5">
        <f ca="1">SUM(OFFSET(Demand!$H$43,ROW(I252)-1,(COLUMN(I252)-1)*5,1,1))*V$2</f>
        <v>0</v>
      </c>
      <c r="DF255" s="5">
        <f ca="1">SUM(OFFSET(Demand!$H$43,ROW(J252)-1,(COLUMN(J252)-1)*5,1,1))*W$2</f>
        <v>0</v>
      </c>
      <c r="DG255" s="5">
        <f ca="1">IF(OR(AN255&lt;&gt;"",AND('Demand adjustments for Covid'!$F$9="Yes",'Demand adjustments for Covid'!$F$20="Yes")),"",SUM(CW255:DF255))</f>
        <v>0</v>
      </c>
    </row>
    <row r="256" spans="1:111" x14ac:dyDescent="0.25">
      <c r="A256" s="5">
        <f t="shared" ca="1" si="58"/>
        <v>1</v>
      </c>
      <c r="B256" s="5">
        <f ca="1">COUNTBLANK(OFFSET(Demand!$I265,0,(COLUMN(A253)-1)*5,1,1))</f>
        <v>1</v>
      </c>
      <c r="C256" s="5">
        <f ca="1">COUNTBLANK(OFFSET(Demand!$I265,0,(COLUMN(B253)-1)*5,1,1))</f>
        <v>1</v>
      </c>
      <c r="D256" s="5">
        <f ca="1">COUNTBLANK(OFFSET(Demand!$I265,0,(COLUMN(C253)-1)*5,1,1))</f>
        <v>1</v>
      </c>
      <c r="E256" s="5">
        <f ca="1">COUNTBLANK(OFFSET(Demand!$I265,0,(COLUMN(D253)-1)*5,1,1))</f>
        <v>1</v>
      </c>
      <c r="F256" s="5">
        <f ca="1">COUNTBLANK(OFFSET(Demand!$I265,0,(COLUMN(E253)-1)*5,1,1))</f>
        <v>1</v>
      </c>
      <c r="G256" s="5">
        <f ca="1">COUNTBLANK(OFFSET(Demand!$I265,0,(COLUMN(F253)-1)*5,1,1))</f>
        <v>1</v>
      </c>
      <c r="H256" s="5">
        <f ca="1">COUNTBLANK(OFFSET(Demand!$I265,0,(COLUMN(G253)-1)*5,1,1))</f>
        <v>1</v>
      </c>
      <c r="I256" s="5">
        <f ca="1">COUNTBLANK(OFFSET(Demand!$I265,0,(COLUMN(H253)-1)*5,1,1))</f>
        <v>1</v>
      </c>
      <c r="J256" s="5">
        <f ca="1">COUNTBLANK(OFFSET(Demand!$I265,0,(COLUMN(I253)-1)*5,1,1))</f>
        <v>1</v>
      </c>
      <c r="K256" s="5">
        <f ca="1">COUNTBLANK(OFFSET(Demand!$I265,0,(COLUMN(J253)-1)*5,1,1))</f>
        <v>1</v>
      </c>
      <c r="N256" s="5">
        <f ca="1">SUM(OFFSET(Demand!$E265,0,(COLUMN(A253)-1)*5,1,3))*N$2</f>
        <v>0</v>
      </c>
      <c r="O256" s="5">
        <f ca="1">SUM(OFFSET(Demand!$E265,0,(COLUMN(B253)-1)*5,1,3))*O$2</f>
        <v>0</v>
      </c>
      <c r="P256" s="5">
        <f ca="1">SUM(OFFSET(Demand!$E265,0,(COLUMN(C253)-1)*5,1,3))*P$2</f>
        <v>0</v>
      </c>
      <c r="Q256" s="5">
        <f ca="1">SUM(OFFSET(Demand!$E265,0,(COLUMN(D253)-1)*5,1,3))*Q$2</f>
        <v>0</v>
      </c>
      <c r="R256" s="5">
        <f ca="1">SUM(OFFSET(Demand!$E265,0,(COLUMN(E253)-1)*5,1,3))*R$2</f>
        <v>0</v>
      </c>
      <c r="S256" s="5">
        <f ca="1">SUM(OFFSET(Demand!$E265,0,(COLUMN(F253)-1)*5,1,3))*S$2</f>
        <v>0</v>
      </c>
      <c r="T256" s="5">
        <f ca="1">SUM(OFFSET(Demand!$E265,0,(COLUMN(G253)-1)*5,1,3))*T$2</f>
        <v>0</v>
      </c>
      <c r="U256" s="5">
        <f ca="1">SUM(OFFSET(Demand!$E265,0,(COLUMN(H253)-1)*5,1,3))*U$2</f>
        <v>0</v>
      </c>
      <c r="V256" s="5">
        <f ca="1">SUM(OFFSET(Demand!$E265,0,(COLUMN(I253)-1)*5,1,3))*V$2</f>
        <v>0</v>
      </c>
      <c r="W256" s="5">
        <f ca="1">SUM(OFFSET(Demand!$E265,0,(COLUMN(J253)-1)*5,1,3))*W$2</f>
        <v>0</v>
      </c>
      <c r="X256" s="5">
        <f t="shared" ca="1" si="51"/>
        <v>0</v>
      </c>
      <c r="Y256">
        <f t="shared" ca="1" si="52"/>
        <v>0</v>
      </c>
      <c r="Z256" s="5">
        <f ca="1">SUM(OFFSET(Demand!$H265,0,(COLUMN(A253)-1)*5,1,1))*N$2</f>
        <v>0</v>
      </c>
      <c r="AA256" s="5">
        <f ca="1">SUM(OFFSET(Demand!$H265,0,(COLUMN(B253)-1)*5,1,1))*O$2</f>
        <v>0</v>
      </c>
      <c r="AB256" s="5">
        <f ca="1">SUM(OFFSET(Demand!$H265,0,(COLUMN(C253)-1)*5,1,1))*P$2</f>
        <v>0</v>
      </c>
      <c r="AC256" s="5">
        <f ca="1">SUM(OFFSET(Demand!$H265,0,(COLUMN(D253)-1)*5,1,1))*Q$2</f>
        <v>0</v>
      </c>
      <c r="AD256" s="5">
        <f ca="1">SUM(OFFSET(Demand!$H265,0,(COLUMN(E253)-1)*5,1,1))*R$2</f>
        <v>0</v>
      </c>
      <c r="AE256" s="5">
        <f ca="1">SUM(OFFSET(Demand!$H265,0,(COLUMN(F253)-1)*5,1,1))*S$2</f>
        <v>0</v>
      </c>
      <c r="AF256" s="5">
        <f ca="1">SUM(OFFSET(Demand!$H265,0,(COLUMN(G253)-1)*5,1,1))*T$2</f>
        <v>0</v>
      </c>
      <c r="AG256" s="5">
        <f ca="1">SUM(OFFSET(Demand!$H265,0,(COLUMN(H253)-1)*5,1,1))*U$2</f>
        <v>0</v>
      </c>
      <c r="AH256" s="5">
        <f ca="1">SUM(OFFSET(Demand!$H265,0,(COLUMN(I253)-1)*5,1,1))*V$2</f>
        <v>0</v>
      </c>
      <c r="AI256" s="5">
        <f ca="1">SUM(OFFSET(Demand!$H265,0,(COLUMN(J253)-1)*5,1,1))*W$2</f>
        <v>0</v>
      </c>
      <c r="AJ256" s="5">
        <f t="shared" ca="1" si="53"/>
        <v>0</v>
      </c>
      <c r="AL256" s="5">
        <f t="shared" ca="1" si="54"/>
        <v>0</v>
      </c>
      <c r="AM256" s="5">
        <f t="shared" ca="1" si="55"/>
        <v>0</v>
      </c>
      <c r="AN256" s="5" t="str">
        <f>IF(Demand!BE265="Yes","Yes","")</f>
        <v/>
      </c>
      <c r="AP256" s="36" t="str">
        <f ca="1">Demand!B265</f>
        <v xml:space="preserve"> </v>
      </c>
      <c r="AQ256" t="str">
        <f ca="1">IF(TEXT(Demand!D265,"MMM")&lt;&gt;TEXT(Demand!D264,"MMM"),TEXT(Demand!D265,"MMM"),"")</f>
        <v/>
      </c>
      <c r="AT256" s="5">
        <f t="shared" ca="1" si="56"/>
        <v>0</v>
      </c>
      <c r="BQ256">
        <f ca="1">IF($AN256="",OFFSET(Demand!$A$13,ROW(A253)-1,4+((QUOTIENT(COLUMN(BQ$2)-69,3))*5)+MOD(COLUMN(BQ$2),3),1,1),"")</f>
        <v>0</v>
      </c>
      <c r="BR256">
        <f ca="1">IF($AN256="",OFFSET(Demand!$A$13,ROW(B253)-1,4+((QUOTIENT(COLUMN(BR$2)-69,3))*5)+MOD(COLUMN(BR$2),3),1,1),"")</f>
        <v>0</v>
      </c>
      <c r="BS256">
        <f ca="1">IF($AN256="",OFFSET(Demand!$A$13,ROW(C253)-1,4+((QUOTIENT(COLUMN(BS$2)-69,3))*5)+MOD(COLUMN(BS$2),3),1,1),"")</f>
        <v>0</v>
      </c>
      <c r="BT256">
        <f ca="1">IF($AN256="",OFFSET(Demand!$A$13,ROW(D253)-1,4+((QUOTIENT(COLUMN(BT$2)-69,3))*5)+MOD(COLUMN(BT$2),3),1,1),"")</f>
        <v>0</v>
      </c>
      <c r="BU256">
        <f ca="1">IF($AN256="",OFFSET(Demand!$A$13,ROW(E253)-1,4+((QUOTIENT(COLUMN(BU$2)-69,3))*5)+MOD(COLUMN(BU$2),3),1,1),"")</f>
        <v>0</v>
      </c>
      <c r="BV256">
        <f ca="1">IF($AN256="",OFFSET(Demand!$A$13,ROW(F253)-1,4+((QUOTIENT(COLUMN(BV$2)-69,3))*5)+MOD(COLUMN(BV$2),3),1,1),"")</f>
        <v>0</v>
      </c>
      <c r="BW256">
        <f ca="1">IF($AN256="",OFFSET(Demand!$A$13,ROW(G253)-1,4+((QUOTIENT(COLUMN(BW$2)-69,3))*5)+MOD(COLUMN(BW$2),3),1,1),"")</f>
        <v>0</v>
      </c>
      <c r="BX256">
        <f ca="1">IF($AN256="",OFFSET(Demand!$A$13,ROW(H253)-1,4+((QUOTIENT(COLUMN(BX$2)-69,3))*5)+MOD(COLUMN(BX$2),3),1,1),"")</f>
        <v>0</v>
      </c>
      <c r="BY256">
        <f ca="1">IF($AN256="",OFFSET(Demand!$A$13,ROW(I253)-1,4+((QUOTIENT(COLUMN(BY$2)-69,3))*5)+MOD(COLUMN(BY$2),3),1,1),"")</f>
        <v>0</v>
      </c>
      <c r="BZ256">
        <f ca="1">IF($AN256="",OFFSET(Demand!$A$13,ROW(J253)-1,4+((QUOTIENT(COLUMN(BZ$2)-69,3))*5)+MOD(COLUMN(BZ$2),3),1,1),"")</f>
        <v>0</v>
      </c>
      <c r="CA256">
        <f ca="1">IF($AN256="",OFFSET(Demand!$A$13,ROW(K253)-1,4+((QUOTIENT(COLUMN(CA$2)-69,3))*5)+MOD(COLUMN(CA$2),3),1,1),"")</f>
        <v>0</v>
      </c>
      <c r="CB256">
        <f ca="1">IF($AN256="",OFFSET(Demand!$A$13,ROW(L253)-1,4+((QUOTIENT(COLUMN(CB$2)-69,3))*5)+MOD(COLUMN(CB$2),3),1,1),"")</f>
        <v>0</v>
      </c>
      <c r="CC256">
        <f ca="1">IF($AN256="",OFFSET(Demand!$A$13,ROW(M253)-1,4+((QUOTIENT(COLUMN(CC$2)-69,3))*5)+MOD(COLUMN(CC$2),3),1,1),"")</f>
        <v>0</v>
      </c>
      <c r="CD256">
        <f ca="1">IF($AN256="",OFFSET(Demand!$A$13,ROW(N253)-1,4+((QUOTIENT(COLUMN(CD$2)-69,3))*5)+MOD(COLUMN(CD$2),3),1,1),"")</f>
        <v>0</v>
      </c>
      <c r="CE256">
        <f ca="1">IF($AN256="",OFFSET(Demand!$A$13,ROW(O253)-1,4+((QUOTIENT(COLUMN(CE$2)-69,3))*5)+MOD(COLUMN(CE$2),3),1,1),"")</f>
        <v>0</v>
      </c>
      <c r="CF256">
        <f ca="1">IF($AN256="",OFFSET(Demand!$A$13,ROW(P253)-1,4+((QUOTIENT(COLUMN(CF$2)-69,3))*5)+MOD(COLUMN(CF$2),3),1,1),"")</f>
        <v>0</v>
      </c>
      <c r="CG256">
        <f ca="1">IF($AN256="",OFFSET(Demand!$A$13,ROW(Q253)-1,4+((QUOTIENT(COLUMN(CG$2)-69,3))*5)+MOD(COLUMN(CG$2),3),1,1),"")</f>
        <v>0</v>
      </c>
      <c r="CH256">
        <f ca="1">IF($AN256="",OFFSET(Demand!$A$13,ROW(R253)-1,4+((QUOTIENT(COLUMN(CH$2)-69,3))*5)+MOD(COLUMN(CH$2),3),1,1),"")</f>
        <v>0</v>
      </c>
      <c r="CI256">
        <f ca="1">IF($AN256="",OFFSET(Demand!$A$13,ROW(S253)-1,4+((QUOTIENT(COLUMN(CI$2)-69,3))*5)+MOD(COLUMN(CI$2),3),1,1),"")</f>
        <v>0</v>
      </c>
      <c r="CJ256">
        <f ca="1">IF($AN256="",OFFSET(Demand!$A$13,ROW(T253)-1,4+((QUOTIENT(COLUMN(CJ$2)-69,3))*5)+MOD(COLUMN(CJ$2),3),1,1),"")</f>
        <v>0</v>
      </c>
      <c r="CK256">
        <f ca="1">IF($AN256="",OFFSET(Demand!$A$13,ROW(U253)-1,4+((QUOTIENT(COLUMN(CK$2)-69,3))*5)+MOD(COLUMN(CK$2),3),1,1),"")</f>
        <v>0</v>
      </c>
      <c r="CL256">
        <f ca="1">IF($AN256="",OFFSET(Demand!$A$13,ROW(V253)-1,4+((QUOTIENT(COLUMN(CL$2)-69,3))*5)+MOD(COLUMN(CL$2),3),1,1),"")</f>
        <v>0</v>
      </c>
      <c r="CM256">
        <f ca="1">IF($AN256="",OFFSET(Demand!$A$13,ROW(W253)-1,4+((QUOTIENT(COLUMN(CM$2)-69,3))*5)+MOD(COLUMN(CM$2),3),1,1),"")</f>
        <v>0</v>
      </c>
      <c r="CN256">
        <f ca="1">IF($AN256="",OFFSET(Demand!$A$13,ROW(X253)-1,4+((QUOTIENT(COLUMN(CN$2)-69,3))*5)+MOD(COLUMN(CN$2),3),1,1),"")</f>
        <v>0</v>
      </c>
      <c r="CO256">
        <f ca="1">IF($AN256="",OFFSET(Demand!$A$13,ROW(Y253)-1,4+((QUOTIENT(COLUMN(CO$2)-69,3))*5)+MOD(COLUMN(CO$2),3),1,1),"")</f>
        <v>0</v>
      </c>
      <c r="CP256">
        <f ca="1">IF($AN256="",OFFSET(Demand!$A$13,ROW(Z253)-1,4+((QUOTIENT(COLUMN(CP$2)-69,3))*5)+MOD(COLUMN(CP$2),3),1,1),"")</f>
        <v>0</v>
      </c>
      <c r="CQ256">
        <f ca="1">IF($AN256="",OFFSET(Demand!$A$13,ROW(AA253)-1,4+((QUOTIENT(COLUMN(CQ$2)-69,3))*5)+MOD(COLUMN(CQ$2),3),1,1),"")</f>
        <v>0</v>
      </c>
      <c r="CR256">
        <f ca="1">IF($AN256="",OFFSET(Demand!$A$13,ROW(AB253)-1,4+((QUOTIENT(COLUMN(CR$2)-69,3))*5)+MOD(COLUMN(CR$2),3),1,1),"")</f>
        <v>0</v>
      </c>
      <c r="CS256">
        <f ca="1">IF($AN256="",OFFSET(Demand!$A$13,ROW(AC253)-1,4+((QUOTIENT(COLUMN(CS$2)-69,3))*5)+MOD(COLUMN(CS$2),3),1,1),"")</f>
        <v>0</v>
      </c>
      <c r="CT256">
        <f ca="1">IF($AN256="",OFFSET(Demand!$A$13,ROW(AD253)-1,4+((QUOTIENT(COLUMN(CT$2)-69,3))*5)+MOD(COLUMN(CT$2),3),1,1),"")</f>
        <v>0</v>
      </c>
      <c r="CW256" s="5">
        <f ca="1">SUM(OFFSET(Demand!$H$43,ROW(A253)-1,(COLUMN(A253)-1)*5,1,1))*N$2</f>
        <v>0</v>
      </c>
      <c r="CX256" s="5">
        <f ca="1">SUM(OFFSET(Demand!$H$43,ROW(B253)-1,(COLUMN(B253)-1)*5,1,1))*O$2</f>
        <v>0</v>
      </c>
      <c r="CY256" s="5">
        <f ca="1">SUM(OFFSET(Demand!$H$43,ROW(C253)-1,(COLUMN(C253)-1)*5,1,1))*P$2</f>
        <v>0</v>
      </c>
      <c r="CZ256" s="5">
        <f ca="1">SUM(OFFSET(Demand!$H$43,ROW(D253)-1,(COLUMN(D253)-1)*5,1,1))*Q$2</f>
        <v>0</v>
      </c>
      <c r="DA256" s="5">
        <f ca="1">SUM(OFFSET(Demand!$H$43,ROW(E253)-1,(COLUMN(E253)-1)*5,1,1))*R$2</f>
        <v>0</v>
      </c>
      <c r="DB256" s="5">
        <f ca="1">SUM(OFFSET(Demand!$H$43,ROW(F253)-1,(COLUMN(F253)-1)*5,1,1))*S$2</f>
        <v>0</v>
      </c>
      <c r="DC256" s="5">
        <f ca="1">SUM(OFFSET(Demand!$H$43,ROW(G253)-1,(COLUMN(G253)-1)*5,1,1))*T$2</f>
        <v>0</v>
      </c>
      <c r="DD256" s="5">
        <f ca="1">SUM(OFFSET(Demand!$H$43,ROW(H253)-1,(COLUMN(H253)-1)*5,1,1))*U$2</f>
        <v>0</v>
      </c>
      <c r="DE256" s="5">
        <f ca="1">SUM(OFFSET(Demand!$H$43,ROW(I253)-1,(COLUMN(I253)-1)*5,1,1))*V$2</f>
        <v>0</v>
      </c>
      <c r="DF256" s="5">
        <f ca="1">SUM(OFFSET(Demand!$H$43,ROW(J253)-1,(COLUMN(J253)-1)*5,1,1))*W$2</f>
        <v>0</v>
      </c>
      <c r="DG256" s="5">
        <f ca="1">IF(OR(AN256&lt;&gt;"",AND('Demand adjustments for Covid'!$F$9="Yes",'Demand adjustments for Covid'!$F$20="Yes")),"",SUM(CW256:DF256))</f>
        <v>0</v>
      </c>
    </row>
    <row r="257" spans="1:111" x14ac:dyDescent="0.25">
      <c r="A257" s="5">
        <f t="shared" ca="1" si="58"/>
        <v>1</v>
      </c>
      <c r="B257" s="5">
        <f ca="1">COUNTBLANK(OFFSET(Demand!$I266,0,(COLUMN(A254)-1)*5,1,1))</f>
        <v>1</v>
      </c>
      <c r="C257" s="5">
        <f ca="1">COUNTBLANK(OFFSET(Demand!$I266,0,(COLUMN(B254)-1)*5,1,1))</f>
        <v>1</v>
      </c>
      <c r="D257" s="5">
        <f ca="1">COUNTBLANK(OFFSET(Demand!$I266,0,(COLUMN(C254)-1)*5,1,1))</f>
        <v>1</v>
      </c>
      <c r="E257" s="5">
        <f ca="1">COUNTBLANK(OFFSET(Demand!$I266,0,(COLUMN(D254)-1)*5,1,1))</f>
        <v>1</v>
      </c>
      <c r="F257" s="5">
        <f ca="1">COUNTBLANK(OFFSET(Demand!$I266,0,(COLUMN(E254)-1)*5,1,1))</f>
        <v>1</v>
      </c>
      <c r="G257" s="5">
        <f ca="1">COUNTBLANK(OFFSET(Demand!$I266,0,(COLUMN(F254)-1)*5,1,1))</f>
        <v>1</v>
      </c>
      <c r="H257" s="5">
        <f ca="1">COUNTBLANK(OFFSET(Demand!$I266,0,(COLUMN(G254)-1)*5,1,1))</f>
        <v>1</v>
      </c>
      <c r="I257" s="5">
        <f ca="1">COUNTBLANK(OFFSET(Demand!$I266,0,(COLUMN(H254)-1)*5,1,1))</f>
        <v>1</v>
      </c>
      <c r="J257" s="5">
        <f ca="1">COUNTBLANK(OFFSET(Demand!$I266,0,(COLUMN(I254)-1)*5,1,1))</f>
        <v>1</v>
      </c>
      <c r="K257" s="5">
        <f ca="1">COUNTBLANK(OFFSET(Demand!$I266,0,(COLUMN(J254)-1)*5,1,1))</f>
        <v>1</v>
      </c>
      <c r="N257" s="5">
        <f ca="1">SUM(OFFSET(Demand!$E266,0,(COLUMN(A254)-1)*5,1,3))*N$2</f>
        <v>0</v>
      </c>
      <c r="O257" s="5">
        <f ca="1">SUM(OFFSET(Demand!$E266,0,(COLUMN(B254)-1)*5,1,3))*O$2</f>
        <v>0</v>
      </c>
      <c r="P257" s="5">
        <f ca="1">SUM(OFFSET(Demand!$E266,0,(COLUMN(C254)-1)*5,1,3))*P$2</f>
        <v>0</v>
      </c>
      <c r="Q257" s="5">
        <f ca="1">SUM(OFFSET(Demand!$E266,0,(COLUMN(D254)-1)*5,1,3))*Q$2</f>
        <v>0</v>
      </c>
      <c r="R257" s="5">
        <f ca="1">SUM(OFFSET(Demand!$E266,0,(COLUMN(E254)-1)*5,1,3))*R$2</f>
        <v>0</v>
      </c>
      <c r="S257" s="5">
        <f ca="1">SUM(OFFSET(Demand!$E266,0,(COLUMN(F254)-1)*5,1,3))*S$2</f>
        <v>0</v>
      </c>
      <c r="T257" s="5">
        <f ca="1">SUM(OFFSET(Demand!$E266,0,(COLUMN(G254)-1)*5,1,3))*T$2</f>
        <v>0</v>
      </c>
      <c r="U257" s="5">
        <f ca="1">SUM(OFFSET(Demand!$E266,0,(COLUMN(H254)-1)*5,1,3))*U$2</f>
        <v>0</v>
      </c>
      <c r="V257" s="5">
        <f ca="1">SUM(OFFSET(Demand!$E266,0,(COLUMN(I254)-1)*5,1,3))*V$2</f>
        <v>0</v>
      </c>
      <c r="W257" s="5">
        <f ca="1">SUM(OFFSET(Demand!$E266,0,(COLUMN(J254)-1)*5,1,3))*W$2</f>
        <v>0</v>
      </c>
      <c r="X257" s="5">
        <f t="shared" ca="1" si="51"/>
        <v>0</v>
      </c>
      <c r="Y257">
        <f t="shared" ca="1" si="52"/>
        <v>0</v>
      </c>
      <c r="Z257" s="5">
        <f ca="1">SUM(OFFSET(Demand!$H266,0,(COLUMN(A254)-1)*5,1,1))*N$2</f>
        <v>0</v>
      </c>
      <c r="AA257" s="5">
        <f ca="1">SUM(OFFSET(Demand!$H266,0,(COLUMN(B254)-1)*5,1,1))*O$2</f>
        <v>0</v>
      </c>
      <c r="AB257" s="5">
        <f ca="1">SUM(OFFSET(Demand!$H266,0,(COLUMN(C254)-1)*5,1,1))*P$2</f>
        <v>0</v>
      </c>
      <c r="AC257" s="5">
        <f ca="1">SUM(OFFSET(Demand!$H266,0,(COLUMN(D254)-1)*5,1,1))*Q$2</f>
        <v>0</v>
      </c>
      <c r="AD257" s="5">
        <f ca="1">SUM(OFFSET(Demand!$H266,0,(COLUMN(E254)-1)*5,1,1))*R$2</f>
        <v>0</v>
      </c>
      <c r="AE257" s="5">
        <f ca="1">SUM(OFFSET(Demand!$H266,0,(COLUMN(F254)-1)*5,1,1))*S$2</f>
        <v>0</v>
      </c>
      <c r="AF257" s="5">
        <f ca="1">SUM(OFFSET(Demand!$H266,0,(COLUMN(G254)-1)*5,1,1))*T$2</f>
        <v>0</v>
      </c>
      <c r="AG257" s="5">
        <f ca="1">SUM(OFFSET(Demand!$H266,0,(COLUMN(H254)-1)*5,1,1))*U$2</f>
        <v>0</v>
      </c>
      <c r="AH257" s="5">
        <f ca="1">SUM(OFFSET(Demand!$H266,0,(COLUMN(I254)-1)*5,1,1))*V$2</f>
        <v>0</v>
      </c>
      <c r="AI257" s="5">
        <f ca="1">SUM(OFFSET(Demand!$H266,0,(COLUMN(J254)-1)*5,1,1))*W$2</f>
        <v>0</v>
      </c>
      <c r="AJ257" s="5">
        <f t="shared" ca="1" si="53"/>
        <v>0</v>
      </c>
      <c r="AL257" s="5">
        <f t="shared" ca="1" si="54"/>
        <v>0</v>
      </c>
      <c r="AM257" s="5">
        <f t="shared" ca="1" si="55"/>
        <v>0</v>
      </c>
      <c r="AN257" s="5" t="str">
        <f>IF(Demand!BE266="Yes","Yes","")</f>
        <v/>
      </c>
      <c r="AP257" s="36" t="str">
        <f ca="1">Demand!B266</f>
        <v xml:space="preserve"> </v>
      </c>
      <c r="AQ257" t="str">
        <f ca="1">IF(TEXT(Demand!D266,"MMM")&lt;&gt;TEXT(Demand!D265,"MMM"),TEXT(Demand!D266,"MMM"),"")</f>
        <v/>
      </c>
      <c r="AT257" s="5">
        <f t="shared" ca="1" si="56"/>
        <v>0</v>
      </c>
      <c r="BQ257">
        <f ca="1">IF($AN257="",OFFSET(Demand!$A$13,ROW(A254)-1,4+((QUOTIENT(COLUMN(BQ$2)-69,3))*5)+MOD(COLUMN(BQ$2),3),1,1),"")</f>
        <v>0</v>
      </c>
      <c r="BR257">
        <f ca="1">IF($AN257="",OFFSET(Demand!$A$13,ROW(B254)-1,4+((QUOTIENT(COLUMN(BR$2)-69,3))*5)+MOD(COLUMN(BR$2),3),1,1),"")</f>
        <v>0</v>
      </c>
      <c r="BS257">
        <f ca="1">IF($AN257="",OFFSET(Demand!$A$13,ROW(C254)-1,4+((QUOTIENT(COLUMN(BS$2)-69,3))*5)+MOD(COLUMN(BS$2),3),1,1),"")</f>
        <v>0</v>
      </c>
      <c r="BT257">
        <f ca="1">IF($AN257="",OFFSET(Demand!$A$13,ROW(D254)-1,4+((QUOTIENT(COLUMN(BT$2)-69,3))*5)+MOD(COLUMN(BT$2),3),1,1),"")</f>
        <v>0</v>
      </c>
      <c r="BU257">
        <f ca="1">IF($AN257="",OFFSET(Demand!$A$13,ROW(E254)-1,4+((QUOTIENT(COLUMN(BU$2)-69,3))*5)+MOD(COLUMN(BU$2),3),1,1),"")</f>
        <v>0</v>
      </c>
      <c r="BV257">
        <f ca="1">IF($AN257="",OFFSET(Demand!$A$13,ROW(F254)-1,4+((QUOTIENT(COLUMN(BV$2)-69,3))*5)+MOD(COLUMN(BV$2),3),1,1),"")</f>
        <v>0</v>
      </c>
      <c r="BW257">
        <f ca="1">IF($AN257="",OFFSET(Demand!$A$13,ROW(G254)-1,4+((QUOTIENT(COLUMN(BW$2)-69,3))*5)+MOD(COLUMN(BW$2),3),1,1),"")</f>
        <v>0</v>
      </c>
      <c r="BX257">
        <f ca="1">IF($AN257="",OFFSET(Demand!$A$13,ROW(H254)-1,4+((QUOTIENT(COLUMN(BX$2)-69,3))*5)+MOD(COLUMN(BX$2),3),1,1),"")</f>
        <v>0</v>
      </c>
      <c r="BY257">
        <f ca="1">IF($AN257="",OFFSET(Demand!$A$13,ROW(I254)-1,4+((QUOTIENT(COLUMN(BY$2)-69,3))*5)+MOD(COLUMN(BY$2),3),1,1),"")</f>
        <v>0</v>
      </c>
      <c r="BZ257">
        <f ca="1">IF($AN257="",OFFSET(Demand!$A$13,ROW(J254)-1,4+((QUOTIENT(COLUMN(BZ$2)-69,3))*5)+MOD(COLUMN(BZ$2),3),1,1),"")</f>
        <v>0</v>
      </c>
      <c r="CA257">
        <f ca="1">IF($AN257="",OFFSET(Demand!$A$13,ROW(K254)-1,4+((QUOTIENT(COLUMN(CA$2)-69,3))*5)+MOD(COLUMN(CA$2),3),1,1),"")</f>
        <v>0</v>
      </c>
      <c r="CB257">
        <f ca="1">IF($AN257="",OFFSET(Demand!$A$13,ROW(L254)-1,4+((QUOTIENT(COLUMN(CB$2)-69,3))*5)+MOD(COLUMN(CB$2),3),1,1),"")</f>
        <v>0</v>
      </c>
      <c r="CC257">
        <f ca="1">IF($AN257="",OFFSET(Demand!$A$13,ROW(M254)-1,4+((QUOTIENT(COLUMN(CC$2)-69,3))*5)+MOD(COLUMN(CC$2),3),1,1),"")</f>
        <v>0</v>
      </c>
      <c r="CD257">
        <f ca="1">IF($AN257="",OFFSET(Demand!$A$13,ROW(N254)-1,4+((QUOTIENT(COLUMN(CD$2)-69,3))*5)+MOD(COLUMN(CD$2),3),1,1),"")</f>
        <v>0</v>
      </c>
      <c r="CE257">
        <f ca="1">IF($AN257="",OFFSET(Demand!$A$13,ROW(O254)-1,4+((QUOTIENT(COLUMN(CE$2)-69,3))*5)+MOD(COLUMN(CE$2),3),1,1),"")</f>
        <v>0</v>
      </c>
      <c r="CF257">
        <f ca="1">IF($AN257="",OFFSET(Demand!$A$13,ROW(P254)-1,4+((QUOTIENT(COLUMN(CF$2)-69,3))*5)+MOD(COLUMN(CF$2),3),1,1),"")</f>
        <v>0</v>
      </c>
      <c r="CG257">
        <f ca="1">IF($AN257="",OFFSET(Demand!$A$13,ROW(Q254)-1,4+((QUOTIENT(COLUMN(CG$2)-69,3))*5)+MOD(COLUMN(CG$2),3),1,1),"")</f>
        <v>0</v>
      </c>
      <c r="CH257">
        <f ca="1">IF($AN257="",OFFSET(Demand!$A$13,ROW(R254)-1,4+((QUOTIENT(COLUMN(CH$2)-69,3))*5)+MOD(COLUMN(CH$2),3),1,1),"")</f>
        <v>0</v>
      </c>
      <c r="CI257">
        <f ca="1">IF($AN257="",OFFSET(Demand!$A$13,ROW(S254)-1,4+((QUOTIENT(COLUMN(CI$2)-69,3))*5)+MOD(COLUMN(CI$2),3),1,1),"")</f>
        <v>0</v>
      </c>
      <c r="CJ257">
        <f ca="1">IF($AN257="",OFFSET(Demand!$A$13,ROW(T254)-1,4+((QUOTIENT(COLUMN(CJ$2)-69,3))*5)+MOD(COLUMN(CJ$2),3),1,1),"")</f>
        <v>0</v>
      </c>
      <c r="CK257">
        <f ca="1">IF($AN257="",OFFSET(Demand!$A$13,ROW(U254)-1,4+((QUOTIENT(COLUMN(CK$2)-69,3))*5)+MOD(COLUMN(CK$2),3),1,1),"")</f>
        <v>0</v>
      </c>
      <c r="CL257">
        <f ca="1">IF($AN257="",OFFSET(Demand!$A$13,ROW(V254)-1,4+((QUOTIENT(COLUMN(CL$2)-69,3))*5)+MOD(COLUMN(CL$2),3),1,1),"")</f>
        <v>0</v>
      </c>
      <c r="CM257">
        <f ca="1">IF($AN257="",OFFSET(Demand!$A$13,ROW(W254)-1,4+((QUOTIENT(COLUMN(CM$2)-69,3))*5)+MOD(COLUMN(CM$2),3),1,1),"")</f>
        <v>0</v>
      </c>
      <c r="CN257">
        <f ca="1">IF($AN257="",OFFSET(Demand!$A$13,ROW(X254)-1,4+((QUOTIENT(COLUMN(CN$2)-69,3))*5)+MOD(COLUMN(CN$2),3),1,1),"")</f>
        <v>0</v>
      </c>
      <c r="CO257">
        <f ca="1">IF($AN257="",OFFSET(Demand!$A$13,ROW(Y254)-1,4+((QUOTIENT(COLUMN(CO$2)-69,3))*5)+MOD(COLUMN(CO$2),3),1,1),"")</f>
        <v>0</v>
      </c>
      <c r="CP257">
        <f ca="1">IF($AN257="",OFFSET(Demand!$A$13,ROW(Z254)-1,4+((QUOTIENT(COLUMN(CP$2)-69,3))*5)+MOD(COLUMN(CP$2),3),1,1),"")</f>
        <v>0</v>
      </c>
      <c r="CQ257">
        <f ca="1">IF($AN257="",OFFSET(Demand!$A$13,ROW(AA254)-1,4+((QUOTIENT(COLUMN(CQ$2)-69,3))*5)+MOD(COLUMN(CQ$2),3),1,1),"")</f>
        <v>0</v>
      </c>
      <c r="CR257">
        <f ca="1">IF($AN257="",OFFSET(Demand!$A$13,ROW(AB254)-1,4+((QUOTIENT(COLUMN(CR$2)-69,3))*5)+MOD(COLUMN(CR$2),3),1,1),"")</f>
        <v>0</v>
      </c>
      <c r="CS257">
        <f ca="1">IF($AN257="",OFFSET(Demand!$A$13,ROW(AC254)-1,4+((QUOTIENT(COLUMN(CS$2)-69,3))*5)+MOD(COLUMN(CS$2),3),1,1),"")</f>
        <v>0</v>
      </c>
      <c r="CT257">
        <f ca="1">IF($AN257="",OFFSET(Demand!$A$13,ROW(AD254)-1,4+((QUOTIENT(COLUMN(CT$2)-69,3))*5)+MOD(COLUMN(CT$2),3),1,1),"")</f>
        <v>0</v>
      </c>
      <c r="CW257" s="5">
        <f ca="1">SUM(OFFSET(Demand!$H$43,ROW(A254)-1,(COLUMN(A254)-1)*5,1,1))*N$2</f>
        <v>0</v>
      </c>
      <c r="CX257" s="5">
        <f ca="1">SUM(OFFSET(Demand!$H$43,ROW(B254)-1,(COLUMN(B254)-1)*5,1,1))*O$2</f>
        <v>0</v>
      </c>
      <c r="CY257" s="5">
        <f ca="1">SUM(OFFSET(Demand!$H$43,ROW(C254)-1,(COLUMN(C254)-1)*5,1,1))*P$2</f>
        <v>0</v>
      </c>
      <c r="CZ257" s="5">
        <f ca="1">SUM(OFFSET(Demand!$H$43,ROW(D254)-1,(COLUMN(D254)-1)*5,1,1))*Q$2</f>
        <v>0</v>
      </c>
      <c r="DA257" s="5">
        <f ca="1">SUM(OFFSET(Demand!$H$43,ROW(E254)-1,(COLUMN(E254)-1)*5,1,1))*R$2</f>
        <v>0</v>
      </c>
      <c r="DB257" s="5">
        <f ca="1">SUM(OFFSET(Demand!$H$43,ROW(F254)-1,(COLUMN(F254)-1)*5,1,1))*S$2</f>
        <v>0</v>
      </c>
      <c r="DC257" s="5">
        <f ca="1">SUM(OFFSET(Demand!$H$43,ROW(G254)-1,(COLUMN(G254)-1)*5,1,1))*T$2</f>
        <v>0</v>
      </c>
      <c r="DD257" s="5">
        <f ca="1">SUM(OFFSET(Demand!$H$43,ROW(H254)-1,(COLUMN(H254)-1)*5,1,1))*U$2</f>
        <v>0</v>
      </c>
      <c r="DE257" s="5">
        <f ca="1">SUM(OFFSET(Demand!$H$43,ROW(I254)-1,(COLUMN(I254)-1)*5,1,1))*V$2</f>
        <v>0</v>
      </c>
      <c r="DF257" s="5">
        <f ca="1">SUM(OFFSET(Demand!$H$43,ROW(J254)-1,(COLUMN(J254)-1)*5,1,1))*W$2</f>
        <v>0</v>
      </c>
      <c r="DG257" s="5">
        <f ca="1">IF(OR(AN257&lt;&gt;"",AND('Demand adjustments for Covid'!$F$9="Yes",'Demand adjustments for Covid'!$F$20="Yes")),"",SUM(CW257:DF257))</f>
        <v>0</v>
      </c>
    </row>
    <row r="258" spans="1:111" x14ac:dyDescent="0.25">
      <c r="A258" s="5">
        <f t="shared" ca="1" si="58"/>
        <v>1</v>
      </c>
      <c r="B258" s="5">
        <f ca="1">COUNTBLANK(OFFSET(Demand!$I267,0,(COLUMN(A255)-1)*5,1,1))</f>
        <v>1</v>
      </c>
      <c r="C258" s="5">
        <f ca="1">COUNTBLANK(OFFSET(Demand!$I267,0,(COLUMN(B255)-1)*5,1,1))</f>
        <v>1</v>
      </c>
      <c r="D258" s="5">
        <f ca="1">COUNTBLANK(OFFSET(Demand!$I267,0,(COLUMN(C255)-1)*5,1,1))</f>
        <v>1</v>
      </c>
      <c r="E258" s="5">
        <f ca="1">COUNTBLANK(OFFSET(Demand!$I267,0,(COLUMN(D255)-1)*5,1,1))</f>
        <v>1</v>
      </c>
      <c r="F258" s="5">
        <f ca="1">COUNTBLANK(OFFSET(Demand!$I267,0,(COLUMN(E255)-1)*5,1,1))</f>
        <v>1</v>
      </c>
      <c r="G258" s="5">
        <f ca="1">COUNTBLANK(OFFSET(Demand!$I267,0,(COLUMN(F255)-1)*5,1,1))</f>
        <v>1</v>
      </c>
      <c r="H258" s="5">
        <f ca="1">COUNTBLANK(OFFSET(Demand!$I267,0,(COLUMN(G255)-1)*5,1,1))</f>
        <v>1</v>
      </c>
      <c r="I258" s="5">
        <f ca="1">COUNTBLANK(OFFSET(Demand!$I267,0,(COLUMN(H255)-1)*5,1,1))</f>
        <v>1</v>
      </c>
      <c r="J258" s="5">
        <f ca="1">COUNTBLANK(OFFSET(Demand!$I267,0,(COLUMN(I255)-1)*5,1,1))</f>
        <v>1</v>
      </c>
      <c r="K258" s="5">
        <f ca="1">COUNTBLANK(OFFSET(Demand!$I267,0,(COLUMN(J255)-1)*5,1,1))</f>
        <v>1</v>
      </c>
      <c r="N258" s="5">
        <f ca="1">SUM(OFFSET(Demand!$E267,0,(COLUMN(A255)-1)*5,1,3))*N$2</f>
        <v>0</v>
      </c>
      <c r="O258" s="5">
        <f ca="1">SUM(OFFSET(Demand!$E267,0,(COLUMN(B255)-1)*5,1,3))*O$2</f>
        <v>0</v>
      </c>
      <c r="P258" s="5">
        <f ca="1">SUM(OFFSET(Demand!$E267,0,(COLUMN(C255)-1)*5,1,3))*P$2</f>
        <v>0</v>
      </c>
      <c r="Q258" s="5">
        <f ca="1">SUM(OFFSET(Demand!$E267,0,(COLUMN(D255)-1)*5,1,3))*Q$2</f>
        <v>0</v>
      </c>
      <c r="R258" s="5">
        <f ca="1">SUM(OFFSET(Demand!$E267,0,(COLUMN(E255)-1)*5,1,3))*R$2</f>
        <v>0</v>
      </c>
      <c r="S258" s="5">
        <f ca="1">SUM(OFFSET(Demand!$E267,0,(COLUMN(F255)-1)*5,1,3))*S$2</f>
        <v>0</v>
      </c>
      <c r="T258" s="5">
        <f ca="1">SUM(OFFSET(Demand!$E267,0,(COLUMN(G255)-1)*5,1,3))*T$2</f>
        <v>0</v>
      </c>
      <c r="U258" s="5">
        <f ca="1">SUM(OFFSET(Demand!$E267,0,(COLUMN(H255)-1)*5,1,3))*U$2</f>
        <v>0</v>
      </c>
      <c r="V258" s="5">
        <f ca="1">SUM(OFFSET(Demand!$E267,0,(COLUMN(I255)-1)*5,1,3))*V$2</f>
        <v>0</v>
      </c>
      <c r="W258" s="5">
        <f ca="1">SUM(OFFSET(Demand!$E267,0,(COLUMN(J255)-1)*5,1,3))*W$2</f>
        <v>0</v>
      </c>
      <c r="X258" s="5">
        <f t="shared" ca="1" si="51"/>
        <v>0</v>
      </c>
      <c r="Y258">
        <f t="shared" ca="1" si="52"/>
        <v>0</v>
      </c>
      <c r="Z258" s="5">
        <f ca="1">SUM(OFFSET(Demand!$H267,0,(COLUMN(A255)-1)*5,1,1))*N$2</f>
        <v>0</v>
      </c>
      <c r="AA258" s="5">
        <f ca="1">SUM(OFFSET(Demand!$H267,0,(COLUMN(B255)-1)*5,1,1))*O$2</f>
        <v>0</v>
      </c>
      <c r="AB258" s="5">
        <f ca="1">SUM(OFFSET(Demand!$H267,0,(COLUMN(C255)-1)*5,1,1))*P$2</f>
        <v>0</v>
      </c>
      <c r="AC258" s="5">
        <f ca="1">SUM(OFFSET(Demand!$H267,0,(COLUMN(D255)-1)*5,1,1))*Q$2</f>
        <v>0</v>
      </c>
      <c r="AD258" s="5">
        <f ca="1">SUM(OFFSET(Demand!$H267,0,(COLUMN(E255)-1)*5,1,1))*R$2</f>
        <v>0</v>
      </c>
      <c r="AE258" s="5">
        <f ca="1">SUM(OFFSET(Demand!$H267,0,(COLUMN(F255)-1)*5,1,1))*S$2</f>
        <v>0</v>
      </c>
      <c r="AF258" s="5">
        <f ca="1">SUM(OFFSET(Demand!$H267,0,(COLUMN(G255)-1)*5,1,1))*T$2</f>
        <v>0</v>
      </c>
      <c r="AG258" s="5">
        <f ca="1">SUM(OFFSET(Demand!$H267,0,(COLUMN(H255)-1)*5,1,1))*U$2</f>
        <v>0</v>
      </c>
      <c r="AH258" s="5">
        <f ca="1">SUM(OFFSET(Demand!$H267,0,(COLUMN(I255)-1)*5,1,1))*V$2</f>
        <v>0</v>
      </c>
      <c r="AI258" s="5">
        <f ca="1">SUM(OFFSET(Demand!$H267,0,(COLUMN(J255)-1)*5,1,1))*W$2</f>
        <v>0</v>
      </c>
      <c r="AJ258" s="5">
        <f t="shared" ca="1" si="53"/>
        <v>0</v>
      </c>
      <c r="AL258" s="5">
        <f t="shared" ca="1" si="54"/>
        <v>0</v>
      </c>
      <c r="AM258" s="5">
        <f t="shared" ca="1" si="55"/>
        <v>0</v>
      </c>
      <c r="AN258" s="5" t="str">
        <f>IF(Demand!BE267="Yes","Yes","")</f>
        <v/>
      </c>
      <c r="AP258" s="36" t="str">
        <f ca="1">Demand!B267</f>
        <v xml:space="preserve"> </v>
      </c>
      <c r="AQ258" t="str">
        <f ca="1">IF(TEXT(Demand!D267,"MMM")&lt;&gt;TEXT(Demand!D266,"MMM"),TEXT(Demand!D267,"MMM"),"")</f>
        <v/>
      </c>
      <c r="AT258" s="5">
        <f t="shared" ca="1" si="56"/>
        <v>0</v>
      </c>
      <c r="BQ258">
        <f ca="1">IF($AN258="",OFFSET(Demand!$A$13,ROW(A255)-1,4+((QUOTIENT(COLUMN(BQ$2)-69,3))*5)+MOD(COLUMN(BQ$2),3),1,1),"")</f>
        <v>0</v>
      </c>
      <c r="BR258">
        <f ca="1">IF($AN258="",OFFSET(Demand!$A$13,ROW(B255)-1,4+((QUOTIENT(COLUMN(BR$2)-69,3))*5)+MOD(COLUMN(BR$2),3),1,1),"")</f>
        <v>0</v>
      </c>
      <c r="BS258">
        <f ca="1">IF($AN258="",OFFSET(Demand!$A$13,ROW(C255)-1,4+((QUOTIENT(COLUMN(BS$2)-69,3))*5)+MOD(COLUMN(BS$2),3),1,1),"")</f>
        <v>0</v>
      </c>
      <c r="BT258">
        <f ca="1">IF($AN258="",OFFSET(Demand!$A$13,ROW(D255)-1,4+((QUOTIENT(COLUMN(BT$2)-69,3))*5)+MOD(COLUMN(BT$2),3),1,1),"")</f>
        <v>0</v>
      </c>
      <c r="BU258">
        <f ca="1">IF($AN258="",OFFSET(Demand!$A$13,ROW(E255)-1,4+((QUOTIENT(COLUMN(BU$2)-69,3))*5)+MOD(COLUMN(BU$2),3),1,1),"")</f>
        <v>0</v>
      </c>
      <c r="BV258">
        <f ca="1">IF($AN258="",OFFSET(Demand!$A$13,ROW(F255)-1,4+((QUOTIENT(COLUMN(BV$2)-69,3))*5)+MOD(COLUMN(BV$2),3),1,1),"")</f>
        <v>0</v>
      </c>
      <c r="BW258">
        <f ca="1">IF($AN258="",OFFSET(Demand!$A$13,ROW(G255)-1,4+((QUOTIENT(COLUMN(BW$2)-69,3))*5)+MOD(COLUMN(BW$2),3),1,1),"")</f>
        <v>0</v>
      </c>
      <c r="BX258">
        <f ca="1">IF($AN258="",OFFSET(Demand!$A$13,ROW(H255)-1,4+((QUOTIENT(COLUMN(BX$2)-69,3))*5)+MOD(COLUMN(BX$2),3),1,1),"")</f>
        <v>0</v>
      </c>
      <c r="BY258">
        <f ca="1">IF($AN258="",OFFSET(Demand!$A$13,ROW(I255)-1,4+((QUOTIENT(COLUMN(BY$2)-69,3))*5)+MOD(COLUMN(BY$2),3),1,1),"")</f>
        <v>0</v>
      </c>
      <c r="BZ258">
        <f ca="1">IF($AN258="",OFFSET(Demand!$A$13,ROW(J255)-1,4+((QUOTIENT(COLUMN(BZ$2)-69,3))*5)+MOD(COLUMN(BZ$2),3),1,1),"")</f>
        <v>0</v>
      </c>
      <c r="CA258">
        <f ca="1">IF($AN258="",OFFSET(Demand!$A$13,ROW(K255)-1,4+((QUOTIENT(COLUMN(CA$2)-69,3))*5)+MOD(COLUMN(CA$2),3),1,1),"")</f>
        <v>0</v>
      </c>
      <c r="CB258">
        <f ca="1">IF($AN258="",OFFSET(Demand!$A$13,ROW(L255)-1,4+((QUOTIENT(COLUMN(CB$2)-69,3))*5)+MOD(COLUMN(CB$2),3),1,1),"")</f>
        <v>0</v>
      </c>
      <c r="CC258">
        <f ca="1">IF($AN258="",OFFSET(Demand!$A$13,ROW(M255)-1,4+((QUOTIENT(COLUMN(CC$2)-69,3))*5)+MOD(COLUMN(CC$2),3),1,1),"")</f>
        <v>0</v>
      </c>
      <c r="CD258">
        <f ca="1">IF($AN258="",OFFSET(Demand!$A$13,ROW(N255)-1,4+((QUOTIENT(COLUMN(CD$2)-69,3))*5)+MOD(COLUMN(CD$2),3),1,1),"")</f>
        <v>0</v>
      </c>
      <c r="CE258">
        <f ca="1">IF($AN258="",OFFSET(Demand!$A$13,ROW(O255)-1,4+((QUOTIENT(COLUMN(CE$2)-69,3))*5)+MOD(COLUMN(CE$2),3),1,1),"")</f>
        <v>0</v>
      </c>
      <c r="CF258">
        <f ca="1">IF($AN258="",OFFSET(Demand!$A$13,ROW(P255)-1,4+((QUOTIENT(COLUMN(CF$2)-69,3))*5)+MOD(COLUMN(CF$2),3),1,1),"")</f>
        <v>0</v>
      </c>
      <c r="CG258">
        <f ca="1">IF($AN258="",OFFSET(Demand!$A$13,ROW(Q255)-1,4+((QUOTIENT(COLUMN(CG$2)-69,3))*5)+MOD(COLUMN(CG$2),3),1,1),"")</f>
        <v>0</v>
      </c>
      <c r="CH258">
        <f ca="1">IF($AN258="",OFFSET(Demand!$A$13,ROW(R255)-1,4+((QUOTIENT(COLUMN(CH$2)-69,3))*5)+MOD(COLUMN(CH$2),3),1,1),"")</f>
        <v>0</v>
      </c>
      <c r="CI258">
        <f ca="1">IF($AN258="",OFFSET(Demand!$A$13,ROW(S255)-1,4+((QUOTIENT(COLUMN(CI$2)-69,3))*5)+MOD(COLUMN(CI$2),3),1,1),"")</f>
        <v>0</v>
      </c>
      <c r="CJ258">
        <f ca="1">IF($AN258="",OFFSET(Demand!$A$13,ROW(T255)-1,4+((QUOTIENT(COLUMN(CJ$2)-69,3))*5)+MOD(COLUMN(CJ$2),3),1,1),"")</f>
        <v>0</v>
      </c>
      <c r="CK258">
        <f ca="1">IF($AN258="",OFFSET(Demand!$A$13,ROW(U255)-1,4+((QUOTIENT(COLUMN(CK$2)-69,3))*5)+MOD(COLUMN(CK$2),3),1,1),"")</f>
        <v>0</v>
      </c>
      <c r="CL258">
        <f ca="1">IF($AN258="",OFFSET(Demand!$A$13,ROW(V255)-1,4+((QUOTIENT(COLUMN(CL$2)-69,3))*5)+MOD(COLUMN(CL$2),3),1,1),"")</f>
        <v>0</v>
      </c>
      <c r="CM258">
        <f ca="1">IF($AN258="",OFFSET(Demand!$A$13,ROW(W255)-1,4+((QUOTIENT(COLUMN(CM$2)-69,3))*5)+MOD(COLUMN(CM$2),3),1,1),"")</f>
        <v>0</v>
      </c>
      <c r="CN258">
        <f ca="1">IF($AN258="",OFFSET(Demand!$A$13,ROW(X255)-1,4+((QUOTIENT(COLUMN(CN$2)-69,3))*5)+MOD(COLUMN(CN$2),3),1,1),"")</f>
        <v>0</v>
      </c>
      <c r="CO258">
        <f ca="1">IF($AN258="",OFFSET(Demand!$A$13,ROW(Y255)-1,4+((QUOTIENT(COLUMN(CO$2)-69,3))*5)+MOD(COLUMN(CO$2),3),1,1),"")</f>
        <v>0</v>
      </c>
      <c r="CP258">
        <f ca="1">IF($AN258="",OFFSET(Demand!$A$13,ROW(Z255)-1,4+((QUOTIENT(COLUMN(CP$2)-69,3))*5)+MOD(COLUMN(CP$2),3),1,1),"")</f>
        <v>0</v>
      </c>
      <c r="CQ258">
        <f ca="1">IF($AN258="",OFFSET(Demand!$A$13,ROW(AA255)-1,4+((QUOTIENT(COLUMN(CQ$2)-69,3))*5)+MOD(COLUMN(CQ$2),3),1,1),"")</f>
        <v>0</v>
      </c>
      <c r="CR258">
        <f ca="1">IF($AN258="",OFFSET(Demand!$A$13,ROW(AB255)-1,4+((QUOTIENT(COLUMN(CR$2)-69,3))*5)+MOD(COLUMN(CR$2),3),1,1),"")</f>
        <v>0</v>
      </c>
      <c r="CS258">
        <f ca="1">IF($AN258="",OFFSET(Demand!$A$13,ROW(AC255)-1,4+((QUOTIENT(COLUMN(CS$2)-69,3))*5)+MOD(COLUMN(CS$2),3),1,1),"")</f>
        <v>0</v>
      </c>
      <c r="CT258">
        <f ca="1">IF($AN258="",OFFSET(Demand!$A$13,ROW(AD255)-1,4+((QUOTIENT(COLUMN(CT$2)-69,3))*5)+MOD(COLUMN(CT$2),3),1,1),"")</f>
        <v>0</v>
      </c>
      <c r="CW258" s="5">
        <f ca="1">SUM(OFFSET(Demand!$H$43,ROW(A255)-1,(COLUMN(A255)-1)*5,1,1))*N$2</f>
        <v>0</v>
      </c>
      <c r="CX258" s="5">
        <f ca="1">SUM(OFFSET(Demand!$H$43,ROW(B255)-1,(COLUMN(B255)-1)*5,1,1))*O$2</f>
        <v>0</v>
      </c>
      <c r="CY258" s="5">
        <f ca="1">SUM(OFFSET(Demand!$H$43,ROW(C255)-1,(COLUMN(C255)-1)*5,1,1))*P$2</f>
        <v>0</v>
      </c>
      <c r="CZ258" s="5">
        <f ca="1">SUM(OFFSET(Demand!$H$43,ROW(D255)-1,(COLUMN(D255)-1)*5,1,1))*Q$2</f>
        <v>0</v>
      </c>
      <c r="DA258" s="5">
        <f ca="1">SUM(OFFSET(Demand!$H$43,ROW(E255)-1,(COLUMN(E255)-1)*5,1,1))*R$2</f>
        <v>0</v>
      </c>
      <c r="DB258" s="5">
        <f ca="1">SUM(OFFSET(Demand!$H$43,ROW(F255)-1,(COLUMN(F255)-1)*5,1,1))*S$2</f>
        <v>0</v>
      </c>
      <c r="DC258" s="5">
        <f ca="1">SUM(OFFSET(Demand!$H$43,ROW(G255)-1,(COLUMN(G255)-1)*5,1,1))*T$2</f>
        <v>0</v>
      </c>
      <c r="DD258" s="5">
        <f ca="1">SUM(OFFSET(Demand!$H$43,ROW(H255)-1,(COLUMN(H255)-1)*5,1,1))*U$2</f>
        <v>0</v>
      </c>
      <c r="DE258" s="5">
        <f ca="1">SUM(OFFSET(Demand!$H$43,ROW(I255)-1,(COLUMN(I255)-1)*5,1,1))*V$2</f>
        <v>0</v>
      </c>
      <c r="DF258" s="5">
        <f ca="1">SUM(OFFSET(Demand!$H$43,ROW(J255)-1,(COLUMN(J255)-1)*5,1,1))*W$2</f>
        <v>0</v>
      </c>
      <c r="DG258" s="5">
        <f ca="1">IF(OR(AN258&lt;&gt;"",AND('Demand adjustments for Covid'!$F$9="Yes",'Demand adjustments for Covid'!$F$20="Yes")),"",SUM(CW258:DF258))</f>
        <v>0</v>
      </c>
    </row>
    <row r="259" spans="1:111" x14ac:dyDescent="0.25">
      <c r="A259" s="5">
        <f t="shared" ca="1" si="58"/>
        <v>1</v>
      </c>
      <c r="B259" s="5">
        <f ca="1">COUNTBLANK(OFFSET(Demand!$I268,0,(COLUMN(A256)-1)*5,1,1))</f>
        <v>1</v>
      </c>
      <c r="C259" s="5">
        <f ca="1">COUNTBLANK(OFFSET(Demand!$I268,0,(COLUMN(B256)-1)*5,1,1))</f>
        <v>1</v>
      </c>
      <c r="D259" s="5">
        <f ca="1">COUNTBLANK(OFFSET(Demand!$I268,0,(COLUMN(C256)-1)*5,1,1))</f>
        <v>1</v>
      </c>
      <c r="E259" s="5">
        <f ca="1">COUNTBLANK(OFFSET(Demand!$I268,0,(COLUMN(D256)-1)*5,1,1))</f>
        <v>1</v>
      </c>
      <c r="F259" s="5">
        <f ca="1">COUNTBLANK(OFFSET(Demand!$I268,0,(COLUMN(E256)-1)*5,1,1))</f>
        <v>1</v>
      </c>
      <c r="G259" s="5">
        <f ca="1">COUNTBLANK(OFFSET(Demand!$I268,0,(COLUMN(F256)-1)*5,1,1))</f>
        <v>1</v>
      </c>
      <c r="H259" s="5">
        <f ca="1">COUNTBLANK(OFFSET(Demand!$I268,0,(COLUMN(G256)-1)*5,1,1))</f>
        <v>1</v>
      </c>
      <c r="I259" s="5">
        <f ca="1">COUNTBLANK(OFFSET(Demand!$I268,0,(COLUMN(H256)-1)*5,1,1))</f>
        <v>1</v>
      </c>
      <c r="J259" s="5">
        <f ca="1">COUNTBLANK(OFFSET(Demand!$I268,0,(COLUMN(I256)-1)*5,1,1))</f>
        <v>1</v>
      </c>
      <c r="K259" s="5">
        <f ca="1">COUNTBLANK(OFFSET(Demand!$I268,0,(COLUMN(J256)-1)*5,1,1))</f>
        <v>1</v>
      </c>
      <c r="N259" s="5">
        <f ca="1">SUM(OFFSET(Demand!$E268,0,(COLUMN(A256)-1)*5,1,3))*N$2</f>
        <v>0</v>
      </c>
      <c r="O259" s="5">
        <f ca="1">SUM(OFFSET(Demand!$E268,0,(COLUMN(B256)-1)*5,1,3))*O$2</f>
        <v>0</v>
      </c>
      <c r="P259" s="5">
        <f ca="1">SUM(OFFSET(Demand!$E268,0,(COLUMN(C256)-1)*5,1,3))*P$2</f>
        <v>0</v>
      </c>
      <c r="Q259" s="5">
        <f ca="1">SUM(OFFSET(Demand!$E268,0,(COLUMN(D256)-1)*5,1,3))*Q$2</f>
        <v>0</v>
      </c>
      <c r="R259" s="5">
        <f ca="1">SUM(OFFSET(Demand!$E268,0,(COLUMN(E256)-1)*5,1,3))*R$2</f>
        <v>0</v>
      </c>
      <c r="S259" s="5">
        <f ca="1">SUM(OFFSET(Demand!$E268,0,(COLUMN(F256)-1)*5,1,3))*S$2</f>
        <v>0</v>
      </c>
      <c r="T259" s="5">
        <f ca="1">SUM(OFFSET(Demand!$E268,0,(COLUMN(G256)-1)*5,1,3))*T$2</f>
        <v>0</v>
      </c>
      <c r="U259" s="5">
        <f ca="1">SUM(OFFSET(Demand!$E268,0,(COLUMN(H256)-1)*5,1,3))*U$2</f>
        <v>0</v>
      </c>
      <c r="V259" s="5">
        <f ca="1">SUM(OFFSET(Demand!$E268,0,(COLUMN(I256)-1)*5,1,3))*V$2</f>
        <v>0</v>
      </c>
      <c r="W259" s="5">
        <f ca="1">SUM(OFFSET(Demand!$E268,0,(COLUMN(J256)-1)*5,1,3))*W$2</f>
        <v>0</v>
      </c>
      <c r="X259" s="5">
        <f t="shared" ca="1" si="51"/>
        <v>0</v>
      </c>
      <c r="Y259">
        <f t="shared" ca="1" si="52"/>
        <v>0</v>
      </c>
      <c r="Z259" s="5">
        <f ca="1">SUM(OFFSET(Demand!$H268,0,(COLUMN(A256)-1)*5,1,1))*N$2</f>
        <v>0</v>
      </c>
      <c r="AA259" s="5">
        <f ca="1">SUM(OFFSET(Demand!$H268,0,(COLUMN(B256)-1)*5,1,1))*O$2</f>
        <v>0</v>
      </c>
      <c r="AB259" s="5">
        <f ca="1">SUM(OFFSET(Demand!$H268,0,(COLUMN(C256)-1)*5,1,1))*P$2</f>
        <v>0</v>
      </c>
      <c r="AC259" s="5">
        <f ca="1">SUM(OFFSET(Demand!$H268,0,(COLUMN(D256)-1)*5,1,1))*Q$2</f>
        <v>0</v>
      </c>
      <c r="AD259" s="5">
        <f ca="1">SUM(OFFSET(Demand!$H268,0,(COLUMN(E256)-1)*5,1,1))*R$2</f>
        <v>0</v>
      </c>
      <c r="AE259" s="5">
        <f ca="1">SUM(OFFSET(Demand!$H268,0,(COLUMN(F256)-1)*5,1,1))*S$2</f>
        <v>0</v>
      </c>
      <c r="AF259" s="5">
        <f ca="1">SUM(OFFSET(Demand!$H268,0,(COLUMN(G256)-1)*5,1,1))*T$2</f>
        <v>0</v>
      </c>
      <c r="AG259" s="5">
        <f ca="1">SUM(OFFSET(Demand!$H268,0,(COLUMN(H256)-1)*5,1,1))*U$2</f>
        <v>0</v>
      </c>
      <c r="AH259" s="5">
        <f ca="1">SUM(OFFSET(Demand!$H268,0,(COLUMN(I256)-1)*5,1,1))*V$2</f>
        <v>0</v>
      </c>
      <c r="AI259" s="5">
        <f ca="1">SUM(OFFSET(Demand!$H268,0,(COLUMN(J256)-1)*5,1,1))*W$2</f>
        <v>0</v>
      </c>
      <c r="AJ259" s="5">
        <f t="shared" ca="1" si="53"/>
        <v>0</v>
      </c>
      <c r="AL259" s="5">
        <f t="shared" ca="1" si="54"/>
        <v>0</v>
      </c>
      <c r="AM259" s="5">
        <f t="shared" ca="1" si="55"/>
        <v>0</v>
      </c>
      <c r="AN259" s="5" t="str">
        <f>IF(Demand!BE268="Yes","Yes","")</f>
        <v/>
      </c>
      <c r="AP259" s="36" t="str">
        <f ca="1">Demand!B268</f>
        <v xml:space="preserve"> </v>
      </c>
      <c r="AQ259" t="str">
        <f ca="1">IF(TEXT(Demand!D268,"MMM")&lt;&gt;TEXT(Demand!D267,"MMM"),TEXT(Demand!D268,"MMM"),"")</f>
        <v/>
      </c>
      <c r="AT259" s="5">
        <f t="shared" ca="1" si="56"/>
        <v>0</v>
      </c>
      <c r="BQ259">
        <f ca="1">IF($AN259="",OFFSET(Demand!$A$13,ROW(A256)-1,4+((QUOTIENT(COLUMN(BQ$2)-69,3))*5)+MOD(COLUMN(BQ$2),3),1,1),"")</f>
        <v>0</v>
      </c>
      <c r="BR259">
        <f ca="1">IF($AN259="",OFFSET(Demand!$A$13,ROW(B256)-1,4+((QUOTIENT(COLUMN(BR$2)-69,3))*5)+MOD(COLUMN(BR$2),3),1,1),"")</f>
        <v>0</v>
      </c>
      <c r="BS259">
        <f ca="1">IF($AN259="",OFFSET(Demand!$A$13,ROW(C256)-1,4+((QUOTIENT(COLUMN(BS$2)-69,3))*5)+MOD(COLUMN(BS$2),3),1,1),"")</f>
        <v>0</v>
      </c>
      <c r="BT259">
        <f ca="1">IF($AN259="",OFFSET(Demand!$A$13,ROW(D256)-1,4+((QUOTIENT(COLUMN(BT$2)-69,3))*5)+MOD(COLUMN(BT$2),3),1,1),"")</f>
        <v>0</v>
      </c>
      <c r="BU259">
        <f ca="1">IF($AN259="",OFFSET(Demand!$A$13,ROW(E256)-1,4+((QUOTIENT(COLUMN(BU$2)-69,3))*5)+MOD(COLUMN(BU$2),3),1,1),"")</f>
        <v>0</v>
      </c>
      <c r="BV259">
        <f ca="1">IF($AN259="",OFFSET(Demand!$A$13,ROW(F256)-1,4+((QUOTIENT(COLUMN(BV$2)-69,3))*5)+MOD(COLUMN(BV$2),3),1,1),"")</f>
        <v>0</v>
      </c>
      <c r="BW259">
        <f ca="1">IF($AN259="",OFFSET(Demand!$A$13,ROW(G256)-1,4+((QUOTIENT(COLUMN(BW$2)-69,3))*5)+MOD(COLUMN(BW$2),3),1,1),"")</f>
        <v>0</v>
      </c>
      <c r="BX259">
        <f ca="1">IF($AN259="",OFFSET(Demand!$A$13,ROW(H256)-1,4+((QUOTIENT(COLUMN(BX$2)-69,3))*5)+MOD(COLUMN(BX$2),3),1,1),"")</f>
        <v>0</v>
      </c>
      <c r="BY259">
        <f ca="1">IF($AN259="",OFFSET(Demand!$A$13,ROW(I256)-1,4+((QUOTIENT(COLUMN(BY$2)-69,3))*5)+MOD(COLUMN(BY$2),3),1,1),"")</f>
        <v>0</v>
      </c>
      <c r="BZ259">
        <f ca="1">IF($AN259="",OFFSET(Demand!$A$13,ROW(J256)-1,4+((QUOTIENT(COLUMN(BZ$2)-69,3))*5)+MOD(COLUMN(BZ$2),3),1,1),"")</f>
        <v>0</v>
      </c>
      <c r="CA259">
        <f ca="1">IF($AN259="",OFFSET(Demand!$A$13,ROW(K256)-1,4+((QUOTIENT(COLUMN(CA$2)-69,3))*5)+MOD(COLUMN(CA$2),3),1,1),"")</f>
        <v>0</v>
      </c>
      <c r="CB259">
        <f ca="1">IF($AN259="",OFFSET(Demand!$A$13,ROW(L256)-1,4+((QUOTIENT(COLUMN(CB$2)-69,3))*5)+MOD(COLUMN(CB$2),3),1,1),"")</f>
        <v>0</v>
      </c>
      <c r="CC259">
        <f ca="1">IF($AN259="",OFFSET(Demand!$A$13,ROW(M256)-1,4+((QUOTIENT(COLUMN(CC$2)-69,3))*5)+MOD(COLUMN(CC$2),3),1,1),"")</f>
        <v>0</v>
      </c>
      <c r="CD259">
        <f ca="1">IF($AN259="",OFFSET(Demand!$A$13,ROW(N256)-1,4+((QUOTIENT(COLUMN(CD$2)-69,3))*5)+MOD(COLUMN(CD$2),3),1,1),"")</f>
        <v>0</v>
      </c>
      <c r="CE259">
        <f ca="1">IF($AN259="",OFFSET(Demand!$A$13,ROW(O256)-1,4+((QUOTIENT(COLUMN(CE$2)-69,3))*5)+MOD(COLUMN(CE$2),3),1,1),"")</f>
        <v>0</v>
      </c>
      <c r="CF259">
        <f ca="1">IF($AN259="",OFFSET(Demand!$A$13,ROW(P256)-1,4+((QUOTIENT(COLUMN(CF$2)-69,3))*5)+MOD(COLUMN(CF$2),3),1,1),"")</f>
        <v>0</v>
      </c>
      <c r="CG259">
        <f ca="1">IF($AN259="",OFFSET(Demand!$A$13,ROW(Q256)-1,4+((QUOTIENT(COLUMN(CG$2)-69,3))*5)+MOD(COLUMN(CG$2),3),1,1),"")</f>
        <v>0</v>
      </c>
      <c r="CH259">
        <f ca="1">IF($AN259="",OFFSET(Demand!$A$13,ROW(R256)-1,4+((QUOTIENT(COLUMN(CH$2)-69,3))*5)+MOD(COLUMN(CH$2),3),1,1),"")</f>
        <v>0</v>
      </c>
      <c r="CI259">
        <f ca="1">IF($AN259="",OFFSET(Demand!$A$13,ROW(S256)-1,4+((QUOTIENT(COLUMN(CI$2)-69,3))*5)+MOD(COLUMN(CI$2),3),1,1),"")</f>
        <v>0</v>
      </c>
      <c r="CJ259">
        <f ca="1">IF($AN259="",OFFSET(Demand!$A$13,ROW(T256)-1,4+((QUOTIENT(COLUMN(CJ$2)-69,3))*5)+MOD(COLUMN(CJ$2),3),1,1),"")</f>
        <v>0</v>
      </c>
      <c r="CK259">
        <f ca="1">IF($AN259="",OFFSET(Demand!$A$13,ROW(U256)-1,4+((QUOTIENT(COLUMN(CK$2)-69,3))*5)+MOD(COLUMN(CK$2),3),1,1),"")</f>
        <v>0</v>
      </c>
      <c r="CL259">
        <f ca="1">IF($AN259="",OFFSET(Demand!$A$13,ROW(V256)-1,4+((QUOTIENT(COLUMN(CL$2)-69,3))*5)+MOD(COLUMN(CL$2),3),1,1),"")</f>
        <v>0</v>
      </c>
      <c r="CM259">
        <f ca="1">IF($AN259="",OFFSET(Demand!$A$13,ROW(W256)-1,4+((QUOTIENT(COLUMN(CM$2)-69,3))*5)+MOD(COLUMN(CM$2),3),1,1),"")</f>
        <v>0</v>
      </c>
      <c r="CN259">
        <f ca="1">IF($AN259="",OFFSET(Demand!$A$13,ROW(X256)-1,4+((QUOTIENT(COLUMN(CN$2)-69,3))*5)+MOD(COLUMN(CN$2),3),1,1),"")</f>
        <v>0</v>
      </c>
      <c r="CO259">
        <f ca="1">IF($AN259="",OFFSET(Demand!$A$13,ROW(Y256)-1,4+((QUOTIENT(COLUMN(CO$2)-69,3))*5)+MOD(COLUMN(CO$2),3),1,1),"")</f>
        <v>0</v>
      </c>
      <c r="CP259">
        <f ca="1">IF($AN259="",OFFSET(Demand!$A$13,ROW(Z256)-1,4+((QUOTIENT(COLUMN(CP$2)-69,3))*5)+MOD(COLUMN(CP$2),3),1,1),"")</f>
        <v>0</v>
      </c>
      <c r="CQ259">
        <f ca="1">IF($AN259="",OFFSET(Demand!$A$13,ROW(AA256)-1,4+((QUOTIENT(COLUMN(CQ$2)-69,3))*5)+MOD(COLUMN(CQ$2),3),1,1),"")</f>
        <v>0</v>
      </c>
      <c r="CR259">
        <f ca="1">IF($AN259="",OFFSET(Demand!$A$13,ROW(AB256)-1,4+((QUOTIENT(COLUMN(CR$2)-69,3))*5)+MOD(COLUMN(CR$2),3),1,1),"")</f>
        <v>0</v>
      </c>
      <c r="CS259">
        <f ca="1">IF($AN259="",OFFSET(Demand!$A$13,ROW(AC256)-1,4+((QUOTIENT(COLUMN(CS$2)-69,3))*5)+MOD(COLUMN(CS$2),3),1,1),"")</f>
        <v>0</v>
      </c>
      <c r="CT259">
        <f ca="1">IF($AN259="",OFFSET(Demand!$A$13,ROW(AD256)-1,4+((QUOTIENT(COLUMN(CT$2)-69,3))*5)+MOD(COLUMN(CT$2),3),1,1),"")</f>
        <v>0</v>
      </c>
      <c r="CW259" s="5">
        <f ca="1">SUM(OFFSET(Demand!$H$43,ROW(A256)-1,(COLUMN(A256)-1)*5,1,1))*N$2</f>
        <v>0</v>
      </c>
      <c r="CX259" s="5">
        <f ca="1">SUM(OFFSET(Demand!$H$43,ROW(B256)-1,(COLUMN(B256)-1)*5,1,1))*O$2</f>
        <v>0</v>
      </c>
      <c r="CY259" s="5">
        <f ca="1">SUM(OFFSET(Demand!$H$43,ROW(C256)-1,(COLUMN(C256)-1)*5,1,1))*P$2</f>
        <v>0</v>
      </c>
      <c r="CZ259" s="5">
        <f ca="1">SUM(OFFSET(Demand!$H$43,ROW(D256)-1,(COLUMN(D256)-1)*5,1,1))*Q$2</f>
        <v>0</v>
      </c>
      <c r="DA259" s="5">
        <f ca="1">SUM(OFFSET(Demand!$H$43,ROW(E256)-1,(COLUMN(E256)-1)*5,1,1))*R$2</f>
        <v>0</v>
      </c>
      <c r="DB259" s="5">
        <f ca="1">SUM(OFFSET(Demand!$H$43,ROW(F256)-1,(COLUMN(F256)-1)*5,1,1))*S$2</f>
        <v>0</v>
      </c>
      <c r="DC259" s="5">
        <f ca="1">SUM(OFFSET(Demand!$H$43,ROW(G256)-1,(COLUMN(G256)-1)*5,1,1))*T$2</f>
        <v>0</v>
      </c>
      <c r="DD259" s="5">
        <f ca="1">SUM(OFFSET(Demand!$H$43,ROW(H256)-1,(COLUMN(H256)-1)*5,1,1))*U$2</f>
        <v>0</v>
      </c>
      <c r="DE259" s="5">
        <f ca="1">SUM(OFFSET(Demand!$H$43,ROW(I256)-1,(COLUMN(I256)-1)*5,1,1))*V$2</f>
        <v>0</v>
      </c>
      <c r="DF259" s="5">
        <f ca="1">SUM(OFFSET(Demand!$H$43,ROW(J256)-1,(COLUMN(J256)-1)*5,1,1))*W$2</f>
        <v>0</v>
      </c>
      <c r="DG259" s="5">
        <f ca="1">IF(OR(AN259&lt;&gt;"",AND('Demand adjustments for Covid'!$F$9="Yes",'Demand adjustments for Covid'!$F$20="Yes")),"",SUM(CW259:DF259))</f>
        <v>0</v>
      </c>
    </row>
    <row r="260" spans="1:111" x14ac:dyDescent="0.25">
      <c r="A260" s="5">
        <f t="shared" ca="1" si="58"/>
        <v>1</v>
      </c>
      <c r="B260" s="5">
        <f ca="1">COUNTBLANK(OFFSET(Demand!$I269,0,(COLUMN(A257)-1)*5,1,1))</f>
        <v>1</v>
      </c>
      <c r="C260" s="5">
        <f ca="1">COUNTBLANK(OFFSET(Demand!$I269,0,(COLUMN(B257)-1)*5,1,1))</f>
        <v>1</v>
      </c>
      <c r="D260" s="5">
        <f ca="1">COUNTBLANK(OFFSET(Demand!$I269,0,(COLUMN(C257)-1)*5,1,1))</f>
        <v>1</v>
      </c>
      <c r="E260" s="5">
        <f ca="1">COUNTBLANK(OFFSET(Demand!$I269,0,(COLUMN(D257)-1)*5,1,1))</f>
        <v>1</v>
      </c>
      <c r="F260" s="5">
        <f ca="1">COUNTBLANK(OFFSET(Demand!$I269,0,(COLUMN(E257)-1)*5,1,1))</f>
        <v>1</v>
      </c>
      <c r="G260" s="5">
        <f ca="1">COUNTBLANK(OFFSET(Demand!$I269,0,(COLUMN(F257)-1)*5,1,1))</f>
        <v>1</v>
      </c>
      <c r="H260" s="5">
        <f ca="1">COUNTBLANK(OFFSET(Demand!$I269,0,(COLUMN(G257)-1)*5,1,1))</f>
        <v>1</v>
      </c>
      <c r="I260" s="5">
        <f ca="1">COUNTBLANK(OFFSET(Demand!$I269,0,(COLUMN(H257)-1)*5,1,1))</f>
        <v>1</v>
      </c>
      <c r="J260" s="5">
        <f ca="1">COUNTBLANK(OFFSET(Demand!$I269,0,(COLUMN(I257)-1)*5,1,1))</f>
        <v>1</v>
      </c>
      <c r="K260" s="5">
        <f ca="1">COUNTBLANK(OFFSET(Demand!$I269,0,(COLUMN(J257)-1)*5,1,1))</f>
        <v>1</v>
      </c>
      <c r="N260" s="5">
        <f ca="1">SUM(OFFSET(Demand!$E269,0,(COLUMN(A257)-1)*5,1,3))*N$2</f>
        <v>0</v>
      </c>
      <c r="O260" s="5">
        <f ca="1">SUM(OFFSET(Demand!$E269,0,(COLUMN(B257)-1)*5,1,3))*O$2</f>
        <v>0</v>
      </c>
      <c r="P260" s="5">
        <f ca="1">SUM(OFFSET(Demand!$E269,0,(COLUMN(C257)-1)*5,1,3))*P$2</f>
        <v>0</v>
      </c>
      <c r="Q260" s="5">
        <f ca="1">SUM(OFFSET(Demand!$E269,0,(COLUMN(D257)-1)*5,1,3))*Q$2</f>
        <v>0</v>
      </c>
      <c r="R260" s="5">
        <f ca="1">SUM(OFFSET(Demand!$E269,0,(COLUMN(E257)-1)*5,1,3))*R$2</f>
        <v>0</v>
      </c>
      <c r="S260" s="5">
        <f ca="1">SUM(OFFSET(Demand!$E269,0,(COLUMN(F257)-1)*5,1,3))*S$2</f>
        <v>0</v>
      </c>
      <c r="T260" s="5">
        <f ca="1">SUM(OFFSET(Demand!$E269,0,(COLUMN(G257)-1)*5,1,3))*T$2</f>
        <v>0</v>
      </c>
      <c r="U260" s="5">
        <f ca="1">SUM(OFFSET(Demand!$E269,0,(COLUMN(H257)-1)*5,1,3))*U$2</f>
        <v>0</v>
      </c>
      <c r="V260" s="5">
        <f ca="1">SUM(OFFSET(Demand!$E269,0,(COLUMN(I257)-1)*5,1,3))*V$2</f>
        <v>0</v>
      </c>
      <c r="W260" s="5">
        <f ca="1">SUM(OFFSET(Demand!$E269,0,(COLUMN(J257)-1)*5,1,3))*W$2</f>
        <v>0</v>
      </c>
      <c r="X260" s="5">
        <f t="shared" ca="1" si="51"/>
        <v>0</v>
      </c>
      <c r="Y260">
        <f t="shared" ca="1" si="52"/>
        <v>0</v>
      </c>
      <c r="Z260" s="5">
        <f ca="1">SUM(OFFSET(Demand!$H269,0,(COLUMN(A257)-1)*5,1,1))*N$2</f>
        <v>0</v>
      </c>
      <c r="AA260" s="5">
        <f ca="1">SUM(OFFSET(Demand!$H269,0,(COLUMN(B257)-1)*5,1,1))*O$2</f>
        <v>0</v>
      </c>
      <c r="AB260" s="5">
        <f ca="1">SUM(OFFSET(Demand!$H269,0,(COLUMN(C257)-1)*5,1,1))*P$2</f>
        <v>0</v>
      </c>
      <c r="AC260" s="5">
        <f ca="1">SUM(OFFSET(Demand!$H269,0,(COLUMN(D257)-1)*5,1,1))*Q$2</f>
        <v>0</v>
      </c>
      <c r="AD260" s="5">
        <f ca="1">SUM(OFFSET(Demand!$H269,0,(COLUMN(E257)-1)*5,1,1))*R$2</f>
        <v>0</v>
      </c>
      <c r="AE260" s="5">
        <f ca="1">SUM(OFFSET(Demand!$H269,0,(COLUMN(F257)-1)*5,1,1))*S$2</f>
        <v>0</v>
      </c>
      <c r="AF260" s="5">
        <f ca="1">SUM(OFFSET(Demand!$H269,0,(COLUMN(G257)-1)*5,1,1))*T$2</f>
        <v>0</v>
      </c>
      <c r="AG260" s="5">
        <f ca="1">SUM(OFFSET(Demand!$H269,0,(COLUMN(H257)-1)*5,1,1))*U$2</f>
        <v>0</v>
      </c>
      <c r="AH260" s="5">
        <f ca="1">SUM(OFFSET(Demand!$H269,0,(COLUMN(I257)-1)*5,1,1))*V$2</f>
        <v>0</v>
      </c>
      <c r="AI260" s="5">
        <f ca="1">SUM(OFFSET(Demand!$H269,0,(COLUMN(J257)-1)*5,1,1))*W$2</f>
        <v>0</v>
      </c>
      <c r="AJ260" s="5">
        <f t="shared" ca="1" si="53"/>
        <v>0</v>
      </c>
      <c r="AL260" s="5">
        <f t="shared" ca="1" si="54"/>
        <v>0</v>
      </c>
      <c r="AM260" s="5">
        <f t="shared" ca="1" si="55"/>
        <v>0</v>
      </c>
      <c r="AN260" s="5" t="str">
        <f>IF(Demand!BE269="Yes","Yes","")</f>
        <v/>
      </c>
      <c r="AP260" s="36" t="str">
        <f ca="1">Demand!B269</f>
        <v xml:space="preserve"> </v>
      </c>
      <c r="AQ260" t="str">
        <f ca="1">IF(TEXT(Demand!D269,"MMM")&lt;&gt;TEXT(Demand!D268,"MMM"),TEXT(Demand!D269,"MMM"),"")</f>
        <v/>
      </c>
      <c r="AT260" s="5">
        <f t="shared" ca="1" si="56"/>
        <v>0</v>
      </c>
      <c r="BQ260">
        <f ca="1">IF($AN260="",OFFSET(Demand!$A$13,ROW(A257)-1,4+((QUOTIENT(COLUMN(BQ$2)-69,3))*5)+MOD(COLUMN(BQ$2),3),1,1),"")</f>
        <v>0</v>
      </c>
      <c r="BR260">
        <f ca="1">IF($AN260="",OFFSET(Demand!$A$13,ROW(B257)-1,4+((QUOTIENT(COLUMN(BR$2)-69,3))*5)+MOD(COLUMN(BR$2),3),1,1),"")</f>
        <v>0</v>
      </c>
      <c r="BS260">
        <f ca="1">IF($AN260="",OFFSET(Demand!$A$13,ROW(C257)-1,4+((QUOTIENT(COLUMN(BS$2)-69,3))*5)+MOD(COLUMN(BS$2),3),1,1),"")</f>
        <v>0</v>
      </c>
      <c r="BT260">
        <f ca="1">IF($AN260="",OFFSET(Demand!$A$13,ROW(D257)-1,4+((QUOTIENT(COLUMN(BT$2)-69,3))*5)+MOD(COLUMN(BT$2),3),1,1),"")</f>
        <v>0</v>
      </c>
      <c r="BU260">
        <f ca="1">IF($AN260="",OFFSET(Demand!$A$13,ROW(E257)-1,4+((QUOTIENT(COLUMN(BU$2)-69,3))*5)+MOD(COLUMN(BU$2),3),1,1),"")</f>
        <v>0</v>
      </c>
      <c r="BV260">
        <f ca="1">IF($AN260="",OFFSET(Demand!$A$13,ROW(F257)-1,4+((QUOTIENT(COLUMN(BV$2)-69,3))*5)+MOD(COLUMN(BV$2),3),1,1),"")</f>
        <v>0</v>
      </c>
      <c r="BW260">
        <f ca="1">IF($AN260="",OFFSET(Demand!$A$13,ROW(G257)-1,4+((QUOTIENT(COLUMN(BW$2)-69,3))*5)+MOD(COLUMN(BW$2),3),1,1),"")</f>
        <v>0</v>
      </c>
      <c r="BX260">
        <f ca="1">IF($AN260="",OFFSET(Demand!$A$13,ROW(H257)-1,4+((QUOTIENT(COLUMN(BX$2)-69,3))*5)+MOD(COLUMN(BX$2),3),1,1),"")</f>
        <v>0</v>
      </c>
      <c r="BY260">
        <f ca="1">IF($AN260="",OFFSET(Demand!$A$13,ROW(I257)-1,4+((QUOTIENT(COLUMN(BY$2)-69,3))*5)+MOD(COLUMN(BY$2),3),1,1),"")</f>
        <v>0</v>
      </c>
      <c r="BZ260">
        <f ca="1">IF($AN260="",OFFSET(Demand!$A$13,ROW(J257)-1,4+((QUOTIENT(COLUMN(BZ$2)-69,3))*5)+MOD(COLUMN(BZ$2),3),1,1),"")</f>
        <v>0</v>
      </c>
      <c r="CA260">
        <f ca="1">IF($AN260="",OFFSET(Demand!$A$13,ROW(K257)-1,4+((QUOTIENT(COLUMN(CA$2)-69,3))*5)+MOD(COLUMN(CA$2),3),1,1),"")</f>
        <v>0</v>
      </c>
      <c r="CB260">
        <f ca="1">IF($AN260="",OFFSET(Demand!$A$13,ROW(L257)-1,4+((QUOTIENT(COLUMN(CB$2)-69,3))*5)+MOD(COLUMN(CB$2),3),1,1),"")</f>
        <v>0</v>
      </c>
      <c r="CC260">
        <f ca="1">IF($AN260="",OFFSET(Demand!$A$13,ROW(M257)-1,4+((QUOTIENT(COLUMN(CC$2)-69,3))*5)+MOD(COLUMN(CC$2),3),1,1),"")</f>
        <v>0</v>
      </c>
      <c r="CD260">
        <f ca="1">IF($AN260="",OFFSET(Demand!$A$13,ROW(N257)-1,4+((QUOTIENT(COLUMN(CD$2)-69,3))*5)+MOD(COLUMN(CD$2),3),1,1),"")</f>
        <v>0</v>
      </c>
      <c r="CE260">
        <f ca="1">IF($AN260="",OFFSET(Demand!$A$13,ROW(O257)-1,4+((QUOTIENT(COLUMN(CE$2)-69,3))*5)+MOD(COLUMN(CE$2),3),1,1),"")</f>
        <v>0</v>
      </c>
      <c r="CF260">
        <f ca="1">IF($AN260="",OFFSET(Demand!$A$13,ROW(P257)-1,4+((QUOTIENT(COLUMN(CF$2)-69,3))*5)+MOD(COLUMN(CF$2),3),1,1),"")</f>
        <v>0</v>
      </c>
      <c r="CG260">
        <f ca="1">IF($AN260="",OFFSET(Demand!$A$13,ROW(Q257)-1,4+((QUOTIENT(COLUMN(CG$2)-69,3))*5)+MOD(COLUMN(CG$2),3),1,1),"")</f>
        <v>0</v>
      </c>
      <c r="CH260">
        <f ca="1">IF($AN260="",OFFSET(Demand!$A$13,ROW(R257)-1,4+((QUOTIENT(COLUMN(CH$2)-69,3))*5)+MOD(COLUMN(CH$2),3),1,1),"")</f>
        <v>0</v>
      </c>
      <c r="CI260">
        <f ca="1">IF($AN260="",OFFSET(Demand!$A$13,ROW(S257)-1,4+((QUOTIENT(COLUMN(CI$2)-69,3))*5)+MOD(COLUMN(CI$2),3),1,1),"")</f>
        <v>0</v>
      </c>
      <c r="CJ260">
        <f ca="1">IF($AN260="",OFFSET(Demand!$A$13,ROW(T257)-1,4+((QUOTIENT(COLUMN(CJ$2)-69,3))*5)+MOD(COLUMN(CJ$2),3),1,1),"")</f>
        <v>0</v>
      </c>
      <c r="CK260">
        <f ca="1">IF($AN260="",OFFSET(Demand!$A$13,ROW(U257)-1,4+((QUOTIENT(COLUMN(CK$2)-69,3))*5)+MOD(COLUMN(CK$2),3),1,1),"")</f>
        <v>0</v>
      </c>
      <c r="CL260">
        <f ca="1">IF($AN260="",OFFSET(Demand!$A$13,ROW(V257)-1,4+((QUOTIENT(COLUMN(CL$2)-69,3))*5)+MOD(COLUMN(CL$2),3),1,1),"")</f>
        <v>0</v>
      </c>
      <c r="CM260">
        <f ca="1">IF($AN260="",OFFSET(Demand!$A$13,ROW(W257)-1,4+((QUOTIENT(COLUMN(CM$2)-69,3))*5)+MOD(COLUMN(CM$2),3),1,1),"")</f>
        <v>0</v>
      </c>
      <c r="CN260">
        <f ca="1">IF($AN260="",OFFSET(Demand!$A$13,ROW(X257)-1,4+((QUOTIENT(COLUMN(CN$2)-69,3))*5)+MOD(COLUMN(CN$2),3),1,1),"")</f>
        <v>0</v>
      </c>
      <c r="CO260">
        <f ca="1">IF($AN260="",OFFSET(Demand!$A$13,ROW(Y257)-1,4+((QUOTIENT(COLUMN(CO$2)-69,3))*5)+MOD(COLUMN(CO$2),3),1,1),"")</f>
        <v>0</v>
      </c>
      <c r="CP260">
        <f ca="1">IF($AN260="",OFFSET(Demand!$A$13,ROW(Z257)-1,4+((QUOTIENT(COLUMN(CP$2)-69,3))*5)+MOD(COLUMN(CP$2),3),1,1),"")</f>
        <v>0</v>
      </c>
      <c r="CQ260">
        <f ca="1">IF($AN260="",OFFSET(Demand!$A$13,ROW(AA257)-1,4+((QUOTIENT(COLUMN(CQ$2)-69,3))*5)+MOD(COLUMN(CQ$2),3),1,1),"")</f>
        <v>0</v>
      </c>
      <c r="CR260">
        <f ca="1">IF($AN260="",OFFSET(Demand!$A$13,ROW(AB257)-1,4+((QUOTIENT(COLUMN(CR$2)-69,3))*5)+MOD(COLUMN(CR$2),3),1,1),"")</f>
        <v>0</v>
      </c>
      <c r="CS260">
        <f ca="1">IF($AN260="",OFFSET(Demand!$A$13,ROW(AC257)-1,4+((QUOTIENT(COLUMN(CS$2)-69,3))*5)+MOD(COLUMN(CS$2),3),1,1),"")</f>
        <v>0</v>
      </c>
      <c r="CT260">
        <f ca="1">IF($AN260="",OFFSET(Demand!$A$13,ROW(AD257)-1,4+((QUOTIENT(COLUMN(CT$2)-69,3))*5)+MOD(COLUMN(CT$2),3),1,1),"")</f>
        <v>0</v>
      </c>
      <c r="CW260" s="5">
        <f ca="1">SUM(OFFSET(Demand!$H$43,ROW(A257)-1,(COLUMN(A257)-1)*5,1,1))*N$2</f>
        <v>0</v>
      </c>
      <c r="CX260" s="5">
        <f ca="1">SUM(OFFSET(Demand!$H$43,ROW(B257)-1,(COLUMN(B257)-1)*5,1,1))*O$2</f>
        <v>0</v>
      </c>
      <c r="CY260" s="5">
        <f ca="1">SUM(OFFSET(Demand!$H$43,ROW(C257)-1,(COLUMN(C257)-1)*5,1,1))*P$2</f>
        <v>0</v>
      </c>
      <c r="CZ260" s="5">
        <f ca="1">SUM(OFFSET(Demand!$H$43,ROW(D257)-1,(COLUMN(D257)-1)*5,1,1))*Q$2</f>
        <v>0</v>
      </c>
      <c r="DA260" s="5">
        <f ca="1">SUM(OFFSET(Demand!$H$43,ROW(E257)-1,(COLUMN(E257)-1)*5,1,1))*R$2</f>
        <v>0</v>
      </c>
      <c r="DB260" s="5">
        <f ca="1">SUM(OFFSET(Demand!$H$43,ROW(F257)-1,(COLUMN(F257)-1)*5,1,1))*S$2</f>
        <v>0</v>
      </c>
      <c r="DC260" s="5">
        <f ca="1">SUM(OFFSET(Demand!$H$43,ROW(G257)-1,(COLUMN(G257)-1)*5,1,1))*T$2</f>
        <v>0</v>
      </c>
      <c r="DD260" s="5">
        <f ca="1">SUM(OFFSET(Demand!$H$43,ROW(H257)-1,(COLUMN(H257)-1)*5,1,1))*U$2</f>
        <v>0</v>
      </c>
      <c r="DE260" s="5">
        <f ca="1">SUM(OFFSET(Demand!$H$43,ROW(I257)-1,(COLUMN(I257)-1)*5,1,1))*V$2</f>
        <v>0</v>
      </c>
      <c r="DF260" s="5">
        <f ca="1">SUM(OFFSET(Demand!$H$43,ROW(J257)-1,(COLUMN(J257)-1)*5,1,1))*W$2</f>
        <v>0</v>
      </c>
      <c r="DG260" s="5">
        <f ca="1">IF(OR(AN260&lt;&gt;"",AND('Demand adjustments for Covid'!$F$9="Yes",'Demand adjustments for Covid'!$F$20="Yes")),"",SUM(CW260:DF260))</f>
        <v>0</v>
      </c>
    </row>
    <row r="261" spans="1:111" x14ac:dyDescent="0.25">
      <c r="A261" s="5">
        <f t="shared" ca="1" si="58"/>
        <v>1</v>
      </c>
      <c r="B261" s="5">
        <f ca="1">COUNTBLANK(OFFSET(Demand!$I270,0,(COLUMN(A258)-1)*5,1,1))</f>
        <v>1</v>
      </c>
      <c r="C261" s="5">
        <f ca="1">COUNTBLANK(OFFSET(Demand!$I270,0,(COLUMN(B258)-1)*5,1,1))</f>
        <v>1</v>
      </c>
      <c r="D261" s="5">
        <f ca="1">COUNTBLANK(OFFSET(Demand!$I270,0,(COLUMN(C258)-1)*5,1,1))</f>
        <v>1</v>
      </c>
      <c r="E261" s="5">
        <f ca="1">COUNTBLANK(OFFSET(Demand!$I270,0,(COLUMN(D258)-1)*5,1,1))</f>
        <v>1</v>
      </c>
      <c r="F261" s="5">
        <f ca="1">COUNTBLANK(OFFSET(Demand!$I270,0,(COLUMN(E258)-1)*5,1,1))</f>
        <v>1</v>
      </c>
      <c r="G261" s="5">
        <f ca="1">COUNTBLANK(OFFSET(Demand!$I270,0,(COLUMN(F258)-1)*5,1,1))</f>
        <v>1</v>
      </c>
      <c r="H261" s="5">
        <f ca="1">COUNTBLANK(OFFSET(Demand!$I270,0,(COLUMN(G258)-1)*5,1,1))</f>
        <v>1</v>
      </c>
      <c r="I261" s="5">
        <f ca="1">COUNTBLANK(OFFSET(Demand!$I270,0,(COLUMN(H258)-1)*5,1,1))</f>
        <v>1</v>
      </c>
      <c r="J261" s="5">
        <f ca="1">COUNTBLANK(OFFSET(Demand!$I270,0,(COLUMN(I258)-1)*5,1,1))</f>
        <v>1</v>
      </c>
      <c r="K261" s="5">
        <f ca="1">COUNTBLANK(OFFSET(Demand!$I270,0,(COLUMN(J258)-1)*5,1,1))</f>
        <v>1</v>
      </c>
      <c r="N261" s="5">
        <f ca="1">SUM(OFFSET(Demand!$E270,0,(COLUMN(A258)-1)*5,1,3))*N$2</f>
        <v>0</v>
      </c>
      <c r="O261" s="5">
        <f ca="1">SUM(OFFSET(Demand!$E270,0,(COLUMN(B258)-1)*5,1,3))*O$2</f>
        <v>0</v>
      </c>
      <c r="P261" s="5">
        <f ca="1">SUM(OFFSET(Demand!$E270,0,(COLUMN(C258)-1)*5,1,3))*P$2</f>
        <v>0</v>
      </c>
      <c r="Q261" s="5">
        <f ca="1">SUM(OFFSET(Demand!$E270,0,(COLUMN(D258)-1)*5,1,3))*Q$2</f>
        <v>0</v>
      </c>
      <c r="R261" s="5">
        <f ca="1">SUM(OFFSET(Demand!$E270,0,(COLUMN(E258)-1)*5,1,3))*R$2</f>
        <v>0</v>
      </c>
      <c r="S261" s="5">
        <f ca="1">SUM(OFFSET(Demand!$E270,0,(COLUMN(F258)-1)*5,1,3))*S$2</f>
        <v>0</v>
      </c>
      <c r="T261" s="5">
        <f ca="1">SUM(OFFSET(Demand!$E270,0,(COLUMN(G258)-1)*5,1,3))*T$2</f>
        <v>0</v>
      </c>
      <c r="U261" s="5">
        <f ca="1">SUM(OFFSET(Demand!$E270,0,(COLUMN(H258)-1)*5,1,3))*U$2</f>
        <v>0</v>
      </c>
      <c r="V261" s="5">
        <f ca="1">SUM(OFFSET(Demand!$E270,0,(COLUMN(I258)-1)*5,1,3))*V$2</f>
        <v>0</v>
      </c>
      <c r="W261" s="5">
        <f ca="1">SUM(OFFSET(Demand!$E270,0,(COLUMN(J258)-1)*5,1,3))*W$2</f>
        <v>0</v>
      </c>
      <c r="X261" s="5">
        <f t="shared" ca="1" si="51"/>
        <v>0</v>
      </c>
      <c r="Y261">
        <f t="shared" ca="1" si="52"/>
        <v>0</v>
      </c>
      <c r="Z261" s="5">
        <f ca="1">SUM(OFFSET(Demand!$H270,0,(COLUMN(A258)-1)*5,1,1))*N$2</f>
        <v>0</v>
      </c>
      <c r="AA261" s="5">
        <f ca="1">SUM(OFFSET(Demand!$H270,0,(COLUMN(B258)-1)*5,1,1))*O$2</f>
        <v>0</v>
      </c>
      <c r="AB261" s="5">
        <f ca="1">SUM(OFFSET(Demand!$H270,0,(COLUMN(C258)-1)*5,1,1))*P$2</f>
        <v>0</v>
      </c>
      <c r="AC261" s="5">
        <f ca="1">SUM(OFFSET(Demand!$H270,0,(COLUMN(D258)-1)*5,1,1))*Q$2</f>
        <v>0</v>
      </c>
      <c r="AD261" s="5">
        <f ca="1">SUM(OFFSET(Demand!$H270,0,(COLUMN(E258)-1)*5,1,1))*R$2</f>
        <v>0</v>
      </c>
      <c r="AE261" s="5">
        <f ca="1">SUM(OFFSET(Demand!$H270,0,(COLUMN(F258)-1)*5,1,1))*S$2</f>
        <v>0</v>
      </c>
      <c r="AF261" s="5">
        <f ca="1">SUM(OFFSET(Demand!$H270,0,(COLUMN(G258)-1)*5,1,1))*T$2</f>
        <v>0</v>
      </c>
      <c r="AG261" s="5">
        <f ca="1">SUM(OFFSET(Demand!$H270,0,(COLUMN(H258)-1)*5,1,1))*U$2</f>
        <v>0</v>
      </c>
      <c r="AH261" s="5">
        <f ca="1">SUM(OFFSET(Demand!$H270,0,(COLUMN(I258)-1)*5,1,1))*V$2</f>
        <v>0</v>
      </c>
      <c r="AI261" s="5">
        <f ca="1">SUM(OFFSET(Demand!$H270,0,(COLUMN(J258)-1)*5,1,1))*W$2</f>
        <v>0</v>
      </c>
      <c r="AJ261" s="5">
        <f t="shared" ca="1" si="53"/>
        <v>0</v>
      </c>
      <c r="AL261" s="5">
        <f t="shared" ref="AL261:AL263" ca="1" si="59">X261</f>
        <v>0</v>
      </c>
      <c r="AM261" s="5">
        <f t="shared" ref="AM261:AM263" ca="1" si="60">IF(AN261&lt;&gt;"","",AJ261)</f>
        <v>0</v>
      </c>
      <c r="AN261" s="5" t="str">
        <f>IF(Demand!BE270="Yes","Yes","")</f>
        <v/>
      </c>
      <c r="AP261" s="36" t="str">
        <f ca="1">Demand!B270</f>
        <v xml:space="preserve"> </v>
      </c>
      <c r="AQ261" t="str">
        <f ca="1">IF(TEXT(Demand!D270,"MMM")&lt;&gt;TEXT(Demand!D269,"MMM"),TEXT(Demand!D270,"MMM"),"")</f>
        <v/>
      </c>
      <c r="AT261" s="5">
        <f t="shared" ca="1" si="56"/>
        <v>0</v>
      </c>
      <c r="BQ261">
        <f ca="1">IF($AN261="",OFFSET(Demand!$A$13,ROW(A258)-1,4+((QUOTIENT(COLUMN(BQ$2)-69,3))*5)+MOD(COLUMN(BQ$2),3),1,1),"")</f>
        <v>0</v>
      </c>
      <c r="BR261">
        <f ca="1">IF($AN261="",OFFSET(Demand!$A$13,ROW(B258)-1,4+((QUOTIENT(COLUMN(BR$2)-69,3))*5)+MOD(COLUMN(BR$2),3),1,1),"")</f>
        <v>0</v>
      </c>
      <c r="BS261">
        <f ca="1">IF($AN261="",OFFSET(Demand!$A$13,ROW(C258)-1,4+((QUOTIENT(COLUMN(BS$2)-69,3))*5)+MOD(COLUMN(BS$2),3),1,1),"")</f>
        <v>0</v>
      </c>
      <c r="BT261">
        <f ca="1">IF($AN261="",OFFSET(Demand!$A$13,ROW(D258)-1,4+((QUOTIENT(COLUMN(BT$2)-69,3))*5)+MOD(COLUMN(BT$2),3),1,1),"")</f>
        <v>0</v>
      </c>
      <c r="BU261">
        <f ca="1">IF($AN261="",OFFSET(Demand!$A$13,ROW(E258)-1,4+((QUOTIENT(COLUMN(BU$2)-69,3))*5)+MOD(COLUMN(BU$2),3),1,1),"")</f>
        <v>0</v>
      </c>
      <c r="BV261">
        <f ca="1">IF($AN261="",OFFSET(Demand!$A$13,ROW(F258)-1,4+((QUOTIENT(COLUMN(BV$2)-69,3))*5)+MOD(COLUMN(BV$2),3),1,1),"")</f>
        <v>0</v>
      </c>
      <c r="BW261">
        <f ca="1">IF($AN261="",OFFSET(Demand!$A$13,ROW(G258)-1,4+((QUOTIENT(COLUMN(BW$2)-69,3))*5)+MOD(COLUMN(BW$2),3),1,1),"")</f>
        <v>0</v>
      </c>
      <c r="BX261">
        <f ca="1">IF($AN261="",OFFSET(Demand!$A$13,ROW(H258)-1,4+((QUOTIENT(COLUMN(BX$2)-69,3))*5)+MOD(COLUMN(BX$2),3),1,1),"")</f>
        <v>0</v>
      </c>
      <c r="BY261">
        <f ca="1">IF($AN261="",OFFSET(Demand!$A$13,ROW(I258)-1,4+((QUOTIENT(COLUMN(BY$2)-69,3))*5)+MOD(COLUMN(BY$2),3),1,1),"")</f>
        <v>0</v>
      </c>
      <c r="BZ261">
        <f ca="1">IF($AN261="",OFFSET(Demand!$A$13,ROW(J258)-1,4+((QUOTIENT(COLUMN(BZ$2)-69,3))*5)+MOD(COLUMN(BZ$2),3),1,1),"")</f>
        <v>0</v>
      </c>
      <c r="CA261">
        <f ca="1">IF($AN261="",OFFSET(Demand!$A$13,ROW(K258)-1,4+((QUOTIENT(COLUMN(CA$2)-69,3))*5)+MOD(COLUMN(CA$2),3),1,1),"")</f>
        <v>0</v>
      </c>
      <c r="CB261">
        <f ca="1">IF($AN261="",OFFSET(Demand!$A$13,ROW(L258)-1,4+((QUOTIENT(COLUMN(CB$2)-69,3))*5)+MOD(COLUMN(CB$2),3),1,1),"")</f>
        <v>0</v>
      </c>
      <c r="CC261">
        <f ca="1">IF($AN261="",OFFSET(Demand!$A$13,ROW(M258)-1,4+((QUOTIENT(COLUMN(CC$2)-69,3))*5)+MOD(COLUMN(CC$2),3),1,1),"")</f>
        <v>0</v>
      </c>
      <c r="CD261">
        <f ca="1">IF($AN261="",OFFSET(Demand!$A$13,ROW(N258)-1,4+((QUOTIENT(COLUMN(CD$2)-69,3))*5)+MOD(COLUMN(CD$2),3),1,1),"")</f>
        <v>0</v>
      </c>
      <c r="CE261">
        <f ca="1">IF($AN261="",OFFSET(Demand!$A$13,ROW(O258)-1,4+((QUOTIENT(COLUMN(CE$2)-69,3))*5)+MOD(COLUMN(CE$2),3),1,1),"")</f>
        <v>0</v>
      </c>
      <c r="CF261">
        <f ca="1">IF($AN261="",OFFSET(Demand!$A$13,ROW(P258)-1,4+((QUOTIENT(COLUMN(CF$2)-69,3))*5)+MOD(COLUMN(CF$2),3),1,1),"")</f>
        <v>0</v>
      </c>
      <c r="CG261">
        <f ca="1">IF($AN261="",OFFSET(Demand!$A$13,ROW(Q258)-1,4+((QUOTIENT(COLUMN(CG$2)-69,3))*5)+MOD(COLUMN(CG$2),3),1,1),"")</f>
        <v>0</v>
      </c>
      <c r="CH261">
        <f ca="1">IF($AN261="",OFFSET(Demand!$A$13,ROW(R258)-1,4+((QUOTIENT(COLUMN(CH$2)-69,3))*5)+MOD(COLUMN(CH$2),3),1,1),"")</f>
        <v>0</v>
      </c>
      <c r="CI261">
        <f ca="1">IF($AN261="",OFFSET(Demand!$A$13,ROW(S258)-1,4+((QUOTIENT(COLUMN(CI$2)-69,3))*5)+MOD(COLUMN(CI$2),3),1,1),"")</f>
        <v>0</v>
      </c>
      <c r="CJ261">
        <f ca="1">IF($AN261="",OFFSET(Demand!$A$13,ROW(T258)-1,4+((QUOTIENT(COLUMN(CJ$2)-69,3))*5)+MOD(COLUMN(CJ$2),3),1,1),"")</f>
        <v>0</v>
      </c>
      <c r="CK261">
        <f ca="1">IF($AN261="",OFFSET(Demand!$A$13,ROW(U258)-1,4+((QUOTIENT(COLUMN(CK$2)-69,3))*5)+MOD(COLUMN(CK$2),3),1,1),"")</f>
        <v>0</v>
      </c>
      <c r="CL261">
        <f ca="1">IF($AN261="",OFFSET(Demand!$A$13,ROW(V258)-1,4+((QUOTIENT(COLUMN(CL$2)-69,3))*5)+MOD(COLUMN(CL$2),3),1,1),"")</f>
        <v>0</v>
      </c>
      <c r="CM261">
        <f ca="1">IF($AN261="",OFFSET(Demand!$A$13,ROW(W258)-1,4+((QUOTIENT(COLUMN(CM$2)-69,3))*5)+MOD(COLUMN(CM$2),3),1,1),"")</f>
        <v>0</v>
      </c>
      <c r="CN261">
        <f ca="1">IF($AN261="",OFFSET(Demand!$A$13,ROW(X258)-1,4+((QUOTIENT(COLUMN(CN$2)-69,3))*5)+MOD(COLUMN(CN$2),3),1,1),"")</f>
        <v>0</v>
      </c>
      <c r="CO261">
        <f ca="1">IF($AN261="",OFFSET(Demand!$A$13,ROW(Y258)-1,4+((QUOTIENT(COLUMN(CO$2)-69,3))*5)+MOD(COLUMN(CO$2),3),1,1),"")</f>
        <v>0</v>
      </c>
      <c r="CP261">
        <f ca="1">IF($AN261="",OFFSET(Demand!$A$13,ROW(Z258)-1,4+((QUOTIENT(COLUMN(CP$2)-69,3))*5)+MOD(COLUMN(CP$2),3),1,1),"")</f>
        <v>0</v>
      </c>
      <c r="CQ261">
        <f ca="1">IF($AN261="",OFFSET(Demand!$A$13,ROW(AA258)-1,4+((QUOTIENT(COLUMN(CQ$2)-69,3))*5)+MOD(COLUMN(CQ$2),3),1,1),"")</f>
        <v>0</v>
      </c>
      <c r="CR261">
        <f ca="1">IF($AN261="",OFFSET(Demand!$A$13,ROW(AB258)-1,4+((QUOTIENT(COLUMN(CR$2)-69,3))*5)+MOD(COLUMN(CR$2),3),1,1),"")</f>
        <v>0</v>
      </c>
      <c r="CS261">
        <f ca="1">IF($AN261="",OFFSET(Demand!$A$13,ROW(AC258)-1,4+((QUOTIENT(COLUMN(CS$2)-69,3))*5)+MOD(COLUMN(CS$2),3),1,1),"")</f>
        <v>0</v>
      </c>
      <c r="CT261">
        <f ca="1">IF($AN261="",OFFSET(Demand!$A$13,ROW(AD258)-1,4+((QUOTIENT(COLUMN(CT$2)-69,3))*5)+MOD(COLUMN(CT$2),3),1,1),"")</f>
        <v>0</v>
      </c>
      <c r="CW261" s="5">
        <f ca="1">SUM(OFFSET(Demand!$H$43,ROW(A258)-1,(COLUMN(A258)-1)*5,1,1))*N$2</f>
        <v>0</v>
      </c>
      <c r="CX261" s="5">
        <f ca="1">SUM(OFFSET(Demand!$H$43,ROW(B258)-1,(COLUMN(B258)-1)*5,1,1))*O$2</f>
        <v>0</v>
      </c>
      <c r="CY261" s="5">
        <f ca="1">SUM(OFFSET(Demand!$H$43,ROW(C258)-1,(COLUMN(C258)-1)*5,1,1))*P$2</f>
        <v>0</v>
      </c>
      <c r="CZ261" s="5">
        <f ca="1">SUM(OFFSET(Demand!$H$43,ROW(D258)-1,(COLUMN(D258)-1)*5,1,1))*Q$2</f>
        <v>0</v>
      </c>
      <c r="DA261" s="5">
        <f ca="1">SUM(OFFSET(Demand!$H$43,ROW(E258)-1,(COLUMN(E258)-1)*5,1,1))*R$2</f>
        <v>0</v>
      </c>
      <c r="DB261" s="5">
        <f ca="1">SUM(OFFSET(Demand!$H$43,ROW(F258)-1,(COLUMN(F258)-1)*5,1,1))*S$2</f>
        <v>0</v>
      </c>
      <c r="DC261" s="5">
        <f ca="1">SUM(OFFSET(Demand!$H$43,ROW(G258)-1,(COLUMN(G258)-1)*5,1,1))*T$2</f>
        <v>0</v>
      </c>
      <c r="DD261" s="5">
        <f ca="1">SUM(OFFSET(Demand!$H$43,ROW(H258)-1,(COLUMN(H258)-1)*5,1,1))*U$2</f>
        <v>0</v>
      </c>
      <c r="DE261" s="5">
        <f ca="1">SUM(OFFSET(Demand!$H$43,ROW(I258)-1,(COLUMN(I258)-1)*5,1,1))*V$2</f>
        <v>0</v>
      </c>
      <c r="DF261" s="5">
        <f ca="1">SUM(OFFSET(Demand!$H$43,ROW(J258)-1,(COLUMN(J258)-1)*5,1,1))*W$2</f>
        <v>0</v>
      </c>
      <c r="DG261" s="5">
        <f ca="1">IF(OR(AN261&lt;&gt;"",AND('Demand adjustments for Covid'!$F$9="Yes",'Demand adjustments for Covid'!$F$20="Yes")),"",SUM(CW261:DF261))</f>
        <v>0</v>
      </c>
    </row>
    <row r="262" spans="1:111" x14ac:dyDescent="0.25">
      <c r="A262" s="5">
        <f t="shared" ca="1" si="58"/>
        <v>1</v>
      </c>
      <c r="B262" s="5">
        <f ca="1">COUNTBLANK(OFFSET(Demand!$I271,0,(COLUMN(A259)-1)*5,1,1))</f>
        <v>1</v>
      </c>
      <c r="C262" s="5">
        <f ca="1">COUNTBLANK(OFFSET(Demand!$I271,0,(COLUMN(B259)-1)*5,1,1))</f>
        <v>1</v>
      </c>
      <c r="D262" s="5">
        <f ca="1">COUNTBLANK(OFFSET(Demand!$I271,0,(COLUMN(C259)-1)*5,1,1))</f>
        <v>1</v>
      </c>
      <c r="E262" s="5">
        <f ca="1">COUNTBLANK(OFFSET(Demand!$I271,0,(COLUMN(D259)-1)*5,1,1))</f>
        <v>1</v>
      </c>
      <c r="F262" s="5">
        <f ca="1">COUNTBLANK(OFFSET(Demand!$I271,0,(COLUMN(E259)-1)*5,1,1))</f>
        <v>1</v>
      </c>
      <c r="G262" s="5">
        <f ca="1">COUNTBLANK(OFFSET(Demand!$I271,0,(COLUMN(F259)-1)*5,1,1))</f>
        <v>1</v>
      </c>
      <c r="H262" s="5">
        <f ca="1">COUNTBLANK(OFFSET(Demand!$I271,0,(COLUMN(G259)-1)*5,1,1))</f>
        <v>1</v>
      </c>
      <c r="I262" s="5">
        <f ca="1">COUNTBLANK(OFFSET(Demand!$I271,0,(COLUMN(H259)-1)*5,1,1))</f>
        <v>1</v>
      </c>
      <c r="J262" s="5">
        <f ca="1">COUNTBLANK(OFFSET(Demand!$I271,0,(COLUMN(I259)-1)*5,1,1))</f>
        <v>1</v>
      </c>
      <c r="K262" s="5">
        <f ca="1">COUNTBLANK(OFFSET(Demand!$I271,0,(COLUMN(J259)-1)*5,1,1))</f>
        <v>1</v>
      </c>
      <c r="N262" s="5">
        <f ca="1">SUM(OFFSET(Demand!$E271,0,(COLUMN(A259)-1)*5,1,3))*N$2</f>
        <v>0</v>
      </c>
      <c r="O262" s="5">
        <f ca="1">SUM(OFFSET(Demand!$E271,0,(COLUMN(B259)-1)*5,1,3))*O$2</f>
        <v>0</v>
      </c>
      <c r="P262" s="5">
        <f ca="1">SUM(OFFSET(Demand!$E271,0,(COLUMN(C259)-1)*5,1,3))*P$2</f>
        <v>0</v>
      </c>
      <c r="Q262" s="5">
        <f ca="1">SUM(OFFSET(Demand!$E271,0,(COLUMN(D259)-1)*5,1,3))*Q$2</f>
        <v>0</v>
      </c>
      <c r="R262" s="5">
        <f ca="1">SUM(OFFSET(Demand!$E271,0,(COLUMN(E259)-1)*5,1,3))*R$2</f>
        <v>0</v>
      </c>
      <c r="S262" s="5">
        <f ca="1">SUM(OFFSET(Demand!$E271,0,(COLUMN(F259)-1)*5,1,3))*S$2</f>
        <v>0</v>
      </c>
      <c r="T262" s="5">
        <f ca="1">SUM(OFFSET(Demand!$E271,0,(COLUMN(G259)-1)*5,1,3))*T$2</f>
        <v>0</v>
      </c>
      <c r="U262" s="5">
        <f ca="1">SUM(OFFSET(Demand!$E271,0,(COLUMN(H259)-1)*5,1,3))*U$2</f>
        <v>0</v>
      </c>
      <c r="V262" s="5">
        <f ca="1">SUM(OFFSET(Demand!$E271,0,(COLUMN(I259)-1)*5,1,3))*V$2</f>
        <v>0</v>
      </c>
      <c r="W262" s="5">
        <f ca="1">SUM(OFFSET(Demand!$E271,0,(COLUMN(J259)-1)*5,1,3))*W$2</f>
        <v>0</v>
      </c>
      <c r="X262" s="5">
        <f t="shared" ca="1" si="51"/>
        <v>0</v>
      </c>
      <c r="Y262">
        <f t="shared" ca="1" si="52"/>
        <v>0</v>
      </c>
      <c r="Z262" s="5">
        <f ca="1">SUM(OFFSET(Demand!$H271,0,(COLUMN(A259)-1)*5,1,1))*N$2</f>
        <v>0</v>
      </c>
      <c r="AA262" s="5">
        <f ca="1">SUM(OFFSET(Demand!$H271,0,(COLUMN(B259)-1)*5,1,1))*O$2</f>
        <v>0</v>
      </c>
      <c r="AB262" s="5">
        <f ca="1">SUM(OFFSET(Demand!$H271,0,(COLUMN(C259)-1)*5,1,1))*P$2</f>
        <v>0</v>
      </c>
      <c r="AC262" s="5">
        <f ca="1">SUM(OFFSET(Demand!$H271,0,(COLUMN(D259)-1)*5,1,1))*Q$2</f>
        <v>0</v>
      </c>
      <c r="AD262" s="5">
        <f ca="1">SUM(OFFSET(Demand!$H271,0,(COLUMN(E259)-1)*5,1,1))*R$2</f>
        <v>0</v>
      </c>
      <c r="AE262" s="5">
        <f ca="1">SUM(OFFSET(Demand!$H271,0,(COLUMN(F259)-1)*5,1,1))*S$2</f>
        <v>0</v>
      </c>
      <c r="AF262" s="5">
        <f ca="1">SUM(OFFSET(Demand!$H271,0,(COLUMN(G259)-1)*5,1,1))*T$2</f>
        <v>0</v>
      </c>
      <c r="AG262" s="5">
        <f ca="1">SUM(OFFSET(Demand!$H271,0,(COLUMN(H259)-1)*5,1,1))*U$2</f>
        <v>0</v>
      </c>
      <c r="AH262" s="5">
        <f ca="1">SUM(OFFSET(Demand!$H271,0,(COLUMN(I259)-1)*5,1,1))*V$2</f>
        <v>0</v>
      </c>
      <c r="AI262" s="5">
        <f ca="1">SUM(OFFSET(Demand!$H271,0,(COLUMN(J259)-1)*5,1,1))*W$2</f>
        <v>0</v>
      </c>
      <c r="AJ262" s="5">
        <f t="shared" ca="1" si="53"/>
        <v>0</v>
      </c>
      <c r="AL262" s="5">
        <f t="shared" ca="1" si="59"/>
        <v>0</v>
      </c>
      <c r="AM262" s="5">
        <f t="shared" ca="1" si="60"/>
        <v>0</v>
      </c>
      <c r="AN262" s="5" t="str">
        <f>IF(Demand!BE271="Yes","Yes","")</f>
        <v/>
      </c>
      <c r="AP262" s="36" t="str">
        <f ca="1">Demand!B271</f>
        <v xml:space="preserve"> </v>
      </c>
      <c r="AQ262" t="str">
        <f ca="1">IF(TEXT(Demand!D271,"MMM")&lt;&gt;TEXT(Demand!D270,"MMM"),TEXT(Demand!D271,"MMM"),"")</f>
        <v/>
      </c>
      <c r="AT262" s="5">
        <f t="shared" ref="AT262:AT263" ca="1" si="61">IF(OR(AL262="",AL261=""),"",ABS(AL262-AL261))</f>
        <v>0</v>
      </c>
      <c r="BQ262">
        <f ca="1">IF($AN262="",OFFSET(Demand!$A$13,ROW(A259)-1,4+((QUOTIENT(COLUMN(BQ$2)-69,3))*5)+MOD(COLUMN(BQ$2),3),1,1),"")</f>
        <v>0</v>
      </c>
      <c r="BR262">
        <f ca="1">IF($AN262="",OFFSET(Demand!$A$13,ROW(B259)-1,4+((QUOTIENT(COLUMN(BR$2)-69,3))*5)+MOD(COLUMN(BR$2),3),1,1),"")</f>
        <v>0</v>
      </c>
      <c r="BS262">
        <f ca="1">IF($AN262="",OFFSET(Demand!$A$13,ROW(C259)-1,4+((QUOTIENT(COLUMN(BS$2)-69,3))*5)+MOD(COLUMN(BS$2),3),1,1),"")</f>
        <v>0</v>
      </c>
      <c r="BT262">
        <f ca="1">IF($AN262="",OFFSET(Demand!$A$13,ROW(D259)-1,4+((QUOTIENT(COLUMN(BT$2)-69,3))*5)+MOD(COLUMN(BT$2),3),1,1),"")</f>
        <v>0</v>
      </c>
      <c r="BU262">
        <f ca="1">IF($AN262="",OFFSET(Demand!$A$13,ROW(E259)-1,4+((QUOTIENT(COLUMN(BU$2)-69,3))*5)+MOD(COLUMN(BU$2),3),1,1),"")</f>
        <v>0</v>
      </c>
      <c r="BV262">
        <f ca="1">IF($AN262="",OFFSET(Demand!$A$13,ROW(F259)-1,4+((QUOTIENT(COLUMN(BV$2)-69,3))*5)+MOD(COLUMN(BV$2),3),1,1),"")</f>
        <v>0</v>
      </c>
      <c r="BW262">
        <f ca="1">IF($AN262="",OFFSET(Demand!$A$13,ROW(G259)-1,4+((QUOTIENT(COLUMN(BW$2)-69,3))*5)+MOD(COLUMN(BW$2),3),1,1),"")</f>
        <v>0</v>
      </c>
      <c r="BX262">
        <f ca="1">IF($AN262="",OFFSET(Demand!$A$13,ROW(H259)-1,4+((QUOTIENT(COLUMN(BX$2)-69,3))*5)+MOD(COLUMN(BX$2),3),1,1),"")</f>
        <v>0</v>
      </c>
      <c r="BY262">
        <f ca="1">IF($AN262="",OFFSET(Demand!$A$13,ROW(I259)-1,4+((QUOTIENT(COLUMN(BY$2)-69,3))*5)+MOD(COLUMN(BY$2),3),1,1),"")</f>
        <v>0</v>
      </c>
      <c r="BZ262">
        <f ca="1">IF($AN262="",OFFSET(Demand!$A$13,ROW(J259)-1,4+((QUOTIENT(COLUMN(BZ$2)-69,3))*5)+MOD(COLUMN(BZ$2),3),1,1),"")</f>
        <v>0</v>
      </c>
      <c r="CA262">
        <f ca="1">IF($AN262="",OFFSET(Demand!$A$13,ROW(K259)-1,4+((QUOTIENT(COLUMN(CA$2)-69,3))*5)+MOD(COLUMN(CA$2),3),1,1),"")</f>
        <v>0</v>
      </c>
      <c r="CB262">
        <f ca="1">IF($AN262="",OFFSET(Demand!$A$13,ROW(L259)-1,4+((QUOTIENT(COLUMN(CB$2)-69,3))*5)+MOD(COLUMN(CB$2),3),1,1),"")</f>
        <v>0</v>
      </c>
      <c r="CC262">
        <f ca="1">IF($AN262="",OFFSET(Demand!$A$13,ROW(M259)-1,4+((QUOTIENT(COLUMN(CC$2)-69,3))*5)+MOD(COLUMN(CC$2),3),1,1),"")</f>
        <v>0</v>
      </c>
      <c r="CD262">
        <f ca="1">IF($AN262="",OFFSET(Demand!$A$13,ROW(N259)-1,4+((QUOTIENT(COLUMN(CD$2)-69,3))*5)+MOD(COLUMN(CD$2),3),1,1),"")</f>
        <v>0</v>
      </c>
      <c r="CE262">
        <f ca="1">IF($AN262="",OFFSET(Demand!$A$13,ROW(O259)-1,4+((QUOTIENT(COLUMN(CE$2)-69,3))*5)+MOD(COLUMN(CE$2),3),1,1),"")</f>
        <v>0</v>
      </c>
      <c r="CF262">
        <f ca="1">IF($AN262="",OFFSET(Demand!$A$13,ROW(P259)-1,4+((QUOTIENT(COLUMN(CF$2)-69,3))*5)+MOD(COLUMN(CF$2),3),1,1),"")</f>
        <v>0</v>
      </c>
      <c r="CG262">
        <f ca="1">IF($AN262="",OFFSET(Demand!$A$13,ROW(Q259)-1,4+((QUOTIENT(COLUMN(CG$2)-69,3))*5)+MOD(COLUMN(CG$2),3),1,1),"")</f>
        <v>0</v>
      </c>
      <c r="CH262">
        <f ca="1">IF($AN262="",OFFSET(Demand!$A$13,ROW(R259)-1,4+((QUOTIENT(COLUMN(CH$2)-69,3))*5)+MOD(COLUMN(CH$2),3),1,1),"")</f>
        <v>0</v>
      </c>
      <c r="CI262">
        <f ca="1">IF($AN262="",OFFSET(Demand!$A$13,ROW(S259)-1,4+((QUOTIENT(COLUMN(CI$2)-69,3))*5)+MOD(COLUMN(CI$2),3),1,1),"")</f>
        <v>0</v>
      </c>
      <c r="CJ262">
        <f ca="1">IF($AN262="",OFFSET(Demand!$A$13,ROW(T259)-1,4+((QUOTIENT(COLUMN(CJ$2)-69,3))*5)+MOD(COLUMN(CJ$2),3),1,1),"")</f>
        <v>0</v>
      </c>
      <c r="CK262">
        <f ca="1">IF($AN262="",OFFSET(Demand!$A$13,ROW(U259)-1,4+((QUOTIENT(COLUMN(CK$2)-69,3))*5)+MOD(COLUMN(CK$2),3),1,1),"")</f>
        <v>0</v>
      </c>
      <c r="CL262">
        <f ca="1">IF($AN262="",OFFSET(Demand!$A$13,ROW(V259)-1,4+((QUOTIENT(COLUMN(CL$2)-69,3))*5)+MOD(COLUMN(CL$2),3),1,1),"")</f>
        <v>0</v>
      </c>
      <c r="CM262">
        <f ca="1">IF($AN262="",OFFSET(Demand!$A$13,ROW(W259)-1,4+((QUOTIENT(COLUMN(CM$2)-69,3))*5)+MOD(COLUMN(CM$2),3),1,1),"")</f>
        <v>0</v>
      </c>
      <c r="CN262">
        <f ca="1">IF($AN262="",OFFSET(Demand!$A$13,ROW(X259)-1,4+((QUOTIENT(COLUMN(CN$2)-69,3))*5)+MOD(COLUMN(CN$2),3),1,1),"")</f>
        <v>0</v>
      </c>
      <c r="CO262">
        <f ca="1">IF($AN262="",OFFSET(Demand!$A$13,ROW(Y259)-1,4+((QUOTIENT(COLUMN(CO$2)-69,3))*5)+MOD(COLUMN(CO$2),3),1,1),"")</f>
        <v>0</v>
      </c>
      <c r="CP262">
        <f ca="1">IF($AN262="",OFFSET(Demand!$A$13,ROW(Z259)-1,4+((QUOTIENT(COLUMN(CP$2)-69,3))*5)+MOD(COLUMN(CP$2),3),1,1),"")</f>
        <v>0</v>
      </c>
      <c r="CQ262">
        <f ca="1">IF($AN262="",OFFSET(Demand!$A$13,ROW(AA259)-1,4+((QUOTIENT(COLUMN(CQ$2)-69,3))*5)+MOD(COLUMN(CQ$2),3),1,1),"")</f>
        <v>0</v>
      </c>
      <c r="CR262">
        <f ca="1">IF($AN262="",OFFSET(Demand!$A$13,ROW(AB259)-1,4+((QUOTIENT(COLUMN(CR$2)-69,3))*5)+MOD(COLUMN(CR$2),3),1,1),"")</f>
        <v>0</v>
      </c>
      <c r="CS262">
        <f ca="1">IF($AN262="",OFFSET(Demand!$A$13,ROW(AC259)-1,4+((QUOTIENT(COLUMN(CS$2)-69,3))*5)+MOD(COLUMN(CS$2),3),1,1),"")</f>
        <v>0</v>
      </c>
      <c r="CT262">
        <f ca="1">IF($AN262="",OFFSET(Demand!$A$13,ROW(AD259)-1,4+((QUOTIENT(COLUMN(CT$2)-69,3))*5)+MOD(COLUMN(CT$2),3),1,1),"")</f>
        <v>0</v>
      </c>
      <c r="CW262" s="5">
        <f ca="1">SUM(OFFSET(Demand!$H$43,ROW(A259)-1,(COLUMN(A259)-1)*5,1,1))*N$2</f>
        <v>0</v>
      </c>
      <c r="CX262" s="5">
        <f ca="1">SUM(OFFSET(Demand!$H$43,ROW(B259)-1,(COLUMN(B259)-1)*5,1,1))*O$2</f>
        <v>0</v>
      </c>
      <c r="CY262" s="5">
        <f ca="1">SUM(OFFSET(Demand!$H$43,ROW(C259)-1,(COLUMN(C259)-1)*5,1,1))*P$2</f>
        <v>0</v>
      </c>
      <c r="CZ262" s="5">
        <f ca="1">SUM(OFFSET(Demand!$H$43,ROW(D259)-1,(COLUMN(D259)-1)*5,1,1))*Q$2</f>
        <v>0</v>
      </c>
      <c r="DA262" s="5">
        <f ca="1">SUM(OFFSET(Demand!$H$43,ROW(E259)-1,(COLUMN(E259)-1)*5,1,1))*R$2</f>
        <v>0</v>
      </c>
      <c r="DB262" s="5">
        <f ca="1">SUM(OFFSET(Demand!$H$43,ROW(F259)-1,(COLUMN(F259)-1)*5,1,1))*S$2</f>
        <v>0</v>
      </c>
      <c r="DC262" s="5">
        <f ca="1">SUM(OFFSET(Demand!$H$43,ROW(G259)-1,(COLUMN(G259)-1)*5,1,1))*T$2</f>
        <v>0</v>
      </c>
      <c r="DD262" s="5">
        <f ca="1">SUM(OFFSET(Demand!$H$43,ROW(H259)-1,(COLUMN(H259)-1)*5,1,1))*U$2</f>
        <v>0</v>
      </c>
      <c r="DE262" s="5">
        <f ca="1">SUM(OFFSET(Demand!$H$43,ROW(I259)-1,(COLUMN(I259)-1)*5,1,1))*V$2</f>
        <v>0</v>
      </c>
      <c r="DF262" s="5">
        <f ca="1">SUM(OFFSET(Demand!$H$43,ROW(J259)-1,(COLUMN(J259)-1)*5,1,1))*W$2</f>
        <v>0</v>
      </c>
      <c r="DG262" s="5">
        <f ca="1">IF(OR(AN262&lt;&gt;"",AND('Demand adjustments for Covid'!$F$9="Yes",'Demand adjustments for Covid'!$F$20="Yes")),"",SUM(CW262:DF262))</f>
        <v>0</v>
      </c>
    </row>
    <row r="263" spans="1:111" x14ac:dyDescent="0.25">
      <c r="A263" s="5">
        <f t="shared" ca="1" si="58"/>
        <v>1</v>
      </c>
      <c r="B263" s="5">
        <f ca="1">COUNTBLANK(OFFSET(Demand!$I272,0,(COLUMN(A260)-1)*5,1,1))</f>
        <v>1</v>
      </c>
      <c r="C263" s="5">
        <f ca="1">COUNTBLANK(OFFSET(Demand!$I272,0,(COLUMN(B260)-1)*5,1,1))</f>
        <v>1</v>
      </c>
      <c r="D263" s="5">
        <f ca="1">COUNTBLANK(OFFSET(Demand!$I272,0,(COLUMN(C260)-1)*5,1,1))</f>
        <v>1</v>
      </c>
      <c r="E263" s="5">
        <f ca="1">COUNTBLANK(OFFSET(Demand!$I272,0,(COLUMN(D260)-1)*5,1,1))</f>
        <v>1</v>
      </c>
      <c r="F263" s="5">
        <f ca="1">COUNTBLANK(OFFSET(Demand!$I272,0,(COLUMN(E260)-1)*5,1,1))</f>
        <v>1</v>
      </c>
      <c r="G263" s="5">
        <f ca="1">COUNTBLANK(OFFSET(Demand!$I272,0,(COLUMN(F260)-1)*5,1,1))</f>
        <v>1</v>
      </c>
      <c r="H263" s="5">
        <f ca="1">COUNTBLANK(OFFSET(Demand!$I272,0,(COLUMN(G260)-1)*5,1,1))</f>
        <v>1</v>
      </c>
      <c r="I263" s="5">
        <f ca="1">COUNTBLANK(OFFSET(Demand!$I272,0,(COLUMN(H260)-1)*5,1,1))</f>
        <v>1</v>
      </c>
      <c r="J263" s="5">
        <f ca="1">COUNTBLANK(OFFSET(Demand!$I272,0,(COLUMN(I260)-1)*5,1,1))</f>
        <v>1</v>
      </c>
      <c r="K263" s="5">
        <f ca="1">COUNTBLANK(OFFSET(Demand!$I272,0,(COLUMN(J260)-1)*5,1,1))</f>
        <v>1</v>
      </c>
      <c r="N263" s="5">
        <f ca="1">SUM(OFFSET(Demand!$E272,0,(COLUMN(A260)-1)*5,1,3))*N$2</f>
        <v>0</v>
      </c>
      <c r="O263" s="5">
        <f ca="1">SUM(OFFSET(Demand!$E272,0,(COLUMN(B260)-1)*5,1,3))*O$2</f>
        <v>0</v>
      </c>
      <c r="P263" s="5">
        <f ca="1">SUM(OFFSET(Demand!$E272,0,(COLUMN(C260)-1)*5,1,3))*P$2</f>
        <v>0</v>
      </c>
      <c r="Q263" s="5">
        <f ca="1">SUM(OFFSET(Demand!$E272,0,(COLUMN(D260)-1)*5,1,3))*Q$2</f>
        <v>0</v>
      </c>
      <c r="R263" s="5">
        <f ca="1">SUM(OFFSET(Demand!$E272,0,(COLUMN(E260)-1)*5,1,3))*R$2</f>
        <v>0</v>
      </c>
      <c r="S263" s="5">
        <f ca="1">SUM(OFFSET(Demand!$E272,0,(COLUMN(F260)-1)*5,1,3))*S$2</f>
        <v>0</v>
      </c>
      <c r="T263" s="5">
        <f ca="1">SUM(OFFSET(Demand!$E272,0,(COLUMN(G260)-1)*5,1,3))*T$2</f>
        <v>0</v>
      </c>
      <c r="U263" s="5">
        <f ca="1">SUM(OFFSET(Demand!$E272,0,(COLUMN(H260)-1)*5,1,3))*U$2</f>
        <v>0</v>
      </c>
      <c r="V263" s="5">
        <f ca="1">SUM(OFFSET(Demand!$E272,0,(COLUMN(I260)-1)*5,1,3))*V$2</f>
        <v>0</v>
      </c>
      <c r="W263" s="5">
        <f ca="1">SUM(OFFSET(Demand!$E272,0,(COLUMN(J260)-1)*5,1,3))*W$2</f>
        <v>0</v>
      </c>
      <c r="X263" s="5">
        <f t="shared" ca="1" si="51"/>
        <v>0</v>
      </c>
      <c r="Y263">
        <f t="shared" ca="1" si="52"/>
        <v>0</v>
      </c>
      <c r="Z263" s="5">
        <f ca="1">SUM(OFFSET(Demand!$H272,0,(COLUMN(A260)-1)*5,1,1))*N$2</f>
        <v>0</v>
      </c>
      <c r="AA263" s="5">
        <f ca="1">SUM(OFFSET(Demand!$H272,0,(COLUMN(B260)-1)*5,1,1))*O$2</f>
        <v>0</v>
      </c>
      <c r="AB263" s="5">
        <f ca="1">SUM(OFFSET(Demand!$H272,0,(COLUMN(C260)-1)*5,1,1))*P$2</f>
        <v>0</v>
      </c>
      <c r="AC263" s="5">
        <f ca="1">SUM(OFFSET(Demand!$H272,0,(COLUMN(D260)-1)*5,1,1))*Q$2</f>
        <v>0</v>
      </c>
      <c r="AD263" s="5">
        <f ca="1">SUM(OFFSET(Demand!$H272,0,(COLUMN(E260)-1)*5,1,1))*R$2</f>
        <v>0</v>
      </c>
      <c r="AE263" s="5">
        <f ca="1">SUM(OFFSET(Demand!$H272,0,(COLUMN(F260)-1)*5,1,1))*S$2</f>
        <v>0</v>
      </c>
      <c r="AF263" s="5">
        <f ca="1">SUM(OFFSET(Demand!$H272,0,(COLUMN(G260)-1)*5,1,1))*T$2</f>
        <v>0</v>
      </c>
      <c r="AG263" s="5">
        <f ca="1">SUM(OFFSET(Demand!$H272,0,(COLUMN(H260)-1)*5,1,1))*U$2</f>
        <v>0</v>
      </c>
      <c r="AH263" s="5">
        <f ca="1">SUM(OFFSET(Demand!$H272,0,(COLUMN(I260)-1)*5,1,1))*V$2</f>
        <v>0</v>
      </c>
      <c r="AI263" s="5">
        <f ca="1">SUM(OFFSET(Demand!$H272,0,(COLUMN(J260)-1)*5,1,1))*W$2</f>
        <v>0</v>
      </c>
      <c r="AJ263" s="5">
        <f t="shared" ca="1" si="53"/>
        <v>0</v>
      </c>
      <c r="AL263" s="5">
        <f t="shared" ca="1" si="59"/>
        <v>0</v>
      </c>
      <c r="AM263" s="5">
        <f t="shared" ca="1" si="60"/>
        <v>0</v>
      </c>
      <c r="AN263" s="5" t="str">
        <f>IF(Demand!BE272="Yes","Yes","")</f>
        <v/>
      </c>
      <c r="AP263" s="36" t="str">
        <f ca="1">Demand!B272</f>
        <v xml:space="preserve"> </v>
      </c>
      <c r="AQ263" t="str">
        <f ca="1">IF(TEXT(Demand!D272,"MMM")&lt;&gt;TEXT(Demand!D271,"MMM"),TEXT(Demand!D272,"MMM"),"")</f>
        <v/>
      </c>
      <c r="AT263" s="5">
        <f t="shared" ca="1" si="61"/>
        <v>0</v>
      </c>
      <c r="BQ263">
        <f ca="1">IF($AN263="",OFFSET(Demand!$A$13,ROW(A260)-1,4+((QUOTIENT(COLUMN(BQ$2)-69,3))*5)+MOD(COLUMN(BQ$2),3),1,1),"")</f>
        <v>0</v>
      </c>
      <c r="BR263">
        <f ca="1">IF($AN263="",OFFSET(Demand!$A$13,ROW(B260)-1,4+((QUOTIENT(COLUMN(BR$2)-69,3))*5)+MOD(COLUMN(BR$2),3),1,1),"")</f>
        <v>0</v>
      </c>
      <c r="BS263">
        <f ca="1">IF($AN263="",OFFSET(Demand!$A$13,ROW(C260)-1,4+((QUOTIENT(COLUMN(BS$2)-69,3))*5)+MOD(COLUMN(BS$2),3),1,1),"")</f>
        <v>0</v>
      </c>
      <c r="BT263">
        <f ca="1">IF($AN263="",OFFSET(Demand!$A$13,ROW(D260)-1,4+((QUOTIENT(COLUMN(BT$2)-69,3))*5)+MOD(COLUMN(BT$2),3),1,1),"")</f>
        <v>0</v>
      </c>
      <c r="BU263">
        <f ca="1">IF($AN263="",OFFSET(Demand!$A$13,ROW(E260)-1,4+((QUOTIENT(COLUMN(BU$2)-69,3))*5)+MOD(COLUMN(BU$2),3),1,1),"")</f>
        <v>0</v>
      </c>
      <c r="BV263">
        <f ca="1">IF($AN263="",OFFSET(Demand!$A$13,ROW(F260)-1,4+((QUOTIENT(COLUMN(BV$2)-69,3))*5)+MOD(COLUMN(BV$2),3),1,1),"")</f>
        <v>0</v>
      </c>
      <c r="BW263">
        <f ca="1">IF($AN263="",OFFSET(Demand!$A$13,ROW(G260)-1,4+((QUOTIENT(COLUMN(BW$2)-69,3))*5)+MOD(COLUMN(BW$2),3),1,1),"")</f>
        <v>0</v>
      </c>
      <c r="BX263">
        <f ca="1">IF($AN263="",OFFSET(Demand!$A$13,ROW(H260)-1,4+((QUOTIENT(COLUMN(BX$2)-69,3))*5)+MOD(COLUMN(BX$2),3),1,1),"")</f>
        <v>0</v>
      </c>
      <c r="BY263">
        <f ca="1">IF($AN263="",OFFSET(Demand!$A$13,ROW(I260)-1,4+((QUOTIENT(COLUMN(BY$2)-69,3))*5)+MOD(COLUMN(BY$2),3),1,1),"")</f>
        <v>0</v>
      </c>
      <c r="BZ263">
        <f ca="1">IF($AN263="",OFFSET(Demand!$A$13,ROW(J260)-1,4+((QUOTIENT(COLUMN(BZ$2)-69,3))*5)+MOD(COLUMN(BZ$2),3),1,1),"")</f>
        <v>0</v>
      </c>
      <c r="CA263">
        <f ca="1">IF($AN263="",OFFSET(Demand!$A$13,ROW(K260)-1,4+((QUOTIENT(COLUMN(CA$2)-69,3))*5)+MOD(COLUMN(CA$2),3),1,1),"")</f>
        <v>0</v>
      </c>
      <c r="CB263">
        <f ca="1">IF($AN263="",OFFSET(Demand!$A$13,ROW(L260)-1,4+((QUOTIENT(COLUMN(CB$2)-69,3))*5)+MOD(COLUMN(CB$2),3),1,1),"")</f>
        <v>0</v>
      </c>
      <c r="CC263">
        <f ca="1">IF($AN263="",OFFSET(Demand!$A$13,ROW(M260)-1,4+((QUOTIENT(COLUMN(CC$2)-69,3))*5)+MOD(COLUMN(CC$2),3),1,1),"")</f>
        <v>0</v>
      </c>
      <c r="CD263">
        <f ca="1">IF($AN263="",OFFSET(Demand!$A$13,ROW(N260)-1,4+((QUOTIENT(COLUMN(CD$2)-69,3))*5)+MOD(COLUMN(CD$2),3),1,1),"")</f>
        <v>0</v>
      </c>
      <c r="CE263">
        <f ca="1">IF($AN263="",OFFSET(Demand!$A$13,ROW(O260)-1,4+((QUOTIENT(COLUMN(CE$2)-69,3))*5)+MOD(COLUMN(CE$2),3),1,1),"")</f>
        <v>0</v>
      </c>
      <c r="CF263">
        <f ca="1">IF($AN263="",OFFSET(Demand!$A$13,ROW(P260)-1,4+((QUOTIENT(COLUMN(CF$2)-69,3))*5)+MOD(COLUMN(CF$2),3),1,1),"")</f>
        <v>0</v>
      </c>
      <c r="CG263">
        <f ca="1">IF($AN263="",OFFSET(Demand!$A$13,ROW(Q260)-1,4+((QUOTIENT(COLUMN(CG$2)-69,3))*5)+MOD(COLUMN(CG$2),3),1,1),"")</f>
        <v>0</v>
      </c>
      <c r="CH263">
        <f ca="1">IF($AN263="",OFFSET(Demand!$A$13,ROW(R260)-1,4+((QUOTIENT(COLUMN(CH$2)-69,3))*5)+MOD(COLUMN(CH$2),3),1,1),"")</f>
        <v>0</v>
      </c>
      <c r="CI263">
        <f ca="1">IF($AN263="",OFFSET(Demand!$A$13,ROW(S260)-1,4+((QUOTIENT(COLUMN(CI$2)-69,3))*5)+MOD(COLUMN(CI$2),3),1,1),"")</f>
        <v>0</v>
      </c>
      <c r="CJ263">
        <f ca="1">IF($AN263="",OFFSET(Demand!$A$13,ROW(T260)-1,4+((QUOTIENT(COLUMN(CJ$2)-69,3))*5)+MOD(COLUMN(CJ$2),3),1,1),"")</f>
        <v>0</v>
      </c>
      <c r="CK263">
        <f ca="1">IF($AN263="",OFFSET(Demand!$A$13,ROW(U260)-1,4+((QUOTIENT(COLUMN(CK$2)-69,3))*5)+MOD(COLUMN(CK$2),3),1,1),"")</f>
        <v>0</v>
      </c>
      <c r="CL263">
        <f ca="1">IF($AN263="",OFFSET(Demand!$A$13,ROW(V260)-1,4+((QUOTIENT(COLUMN(CL$2)-69,3))*5)+MOD(COLUMN(CL$2),3),1,1),"")</f>
        <v>0</v>
      </c>
      <c r="CM263">
        <f ca="1">IF($AN263="",OFFSET(Demand!$A$13,ROW(W260)-1,4+((QUOTIENT(COLUMN(CM$2)-69,3))*5)+MOD(COLUMN(CM$2),3),1,1),"")</f>
        <v>0</v>
      </c>
      <c r="CN263">
        <f ca="1">IF($AN263="",OFFSET(Demand!$A$13,ROW(X260)-1,4+((QUOTIENT(COLUMN(CN$2)-69,3))*5)+MOD(COLUMN(CN$2),3),1,1),"")</f>
        <v>0</v>
      </c>
      <c r="CO263">
        <f ca="1">IF($AN263="",OFFSET(Demand!$A$13,ROW(Y260)-1,4+((QUOTIENT(COLUMN(CO$2)-69,3))*5)+MOD(COLUMN(CO$2),3),1,1),"")</f>
        <v>0</v>
      </c>
      <c r="CP263">
        <f ca="1">IF($AN263="",OFFSET(Demand!$A$13,ROW(Z260)-1,4+((QUOTIENT(COLUMN(CP$2)-69,3))*5)+MOD(COLUMN(CP$2),3),1,1),"")</f>
        <v>0</v>
      </c>
      <c r="CQ263">
        <f ca="1">IF($AN263="",OFFSET(Demand!$A$13,ROW(AA260)-1,4+((QUOTIENT(COLUMN(CQ$2)-69,3))*5)+MOD(COLUMN(CQ$2),3),1,1),"")</f>
        <v>0</v>
      </c>
      <c r="CR263">
        <f ca="1">IF($AN263="",OFFSET(Demand!$A$13,ROW(AB260)-1,4+((QUOTIENT(COLUMN(CR$2)-69,3))*5)+MOD(COLUMN(CR$2),3),1,1),"")</f>
        <v>0</v>
      </c>
      <c r="CS263">
        <f ca="1">IF($AN263="",OFFSET(Demand!$A$13,ROW(AC260)-1,4+((QUOTIENT(COLUMN(CS$2)-69,3))*5)+MOD(COLUMN(CS$2),3),1,1),"")</f>
        <v>0</v>
      </c>
      <c r="CT263">
        <f ca="1">IF($AN263="",OFFSET(Demand!$A$13,ROW(AD260)-1,4+((QUOTIENT(COLUMN(CT$2)-69,3))*5)+MOD(COLUMN(CT$2),3),1,1),"")</f>
        <v>0</v>
      </c>
      <c r="CW263" s="5">
        <f ca="1">SUM(OFFSET(Demand!$H$43,ROW(A260)-1,(COLUMN(A260)-1)*5,1,1))*N$2</f>
        <v>0</v>
      </c>
      <c r="CX263" s="5">
        <f ca="1">SUM(OFFSET(Demand!$H$43,ROW(B260)-1,(COLUMN(B260)-1)*5,1,1))*O$2</f>
        <v>0</v>
      </c>
      <c r="CY263" s="5">
        <f ca="1">SUM(OFFSET(Demand!$H$43,ROW(C260)-1,(COLUMN(C260)-1)*5,1,1))*P$2</f>
        <v>0</v>
      </c>
      <c r="CZ263" s="5">
        <f ca="1">SUM(OFFSET(Demand!$H$43,ROW(D260)-1,(COLUMN(D260)-1)*5,1,1))*Q$2</f>
        <v>0</v>
      </c>
      <c r="DA263" s="5">
        <f ca="1">SUM(OFFSET(Demand!$H$43,ROW(E260)-1,(COLUMN(E260)-1)*5,1,1))*R$2</f>
        <v>0</v>
      </c>
      <c r="DB263" s="5">
        <f ca="1">SUM(OFFSET(Demand!$H$43,ROW(F260)-1,(COLUMN(F260)-1)*5,1,1))*S$2</f>
        <v>0</v>
      </c>
      <c r="DC263" s="5">
        <f ca="1">SUM(OFFSET(Demand!$H$43,ROW(G260)-1,(COLUMN(G260)-1)*5,1,1))*T$2</f>
        <v>0</v>
      </c>
      <c r="DD263" s="5">
        <f ca="1">SUM(OFFSET(Demand!$H$43,ROW(H260)-1,(COLUMN(H260)-1)*5,1,1))*U$2</f>
        <v>0</v>
      </c>
      <c r="DE263" s="5">
        <f ca="1">SUM(OFFSET(Demand!$H$43,ROW(I260)-1,(COLUMN(I260)-1)*5,1,1))*V$2</f>
        <v>0</v>
      </c>
      <c r="DF263" s="5">
        <f ca="1">SUM(OFFSET(Demand!$H$43,ROW(J260)-1,(COLUMN(J260)-1)*5,1,1))*W$2</f>
        <v>0</v>
      </c>
      <c r="DG263" s="5">
        <f ca="1">IF(OR(AN263&lt;&gt;"",AND('Demand adjustments for Covid'!$F$9="Yes",'Demand adjustments for Covid'!$F$20="Yes")),"",SUM(CW263:DF263))</f>
        <v>0</v>
      </c>
    </row>
    <row r="264" spans="1:111" x14ac:dyDescent="0.25">
      <c r="M264" t="s">
        <v>79</v>
      </c>
      <c r="N264" s="5">
        <f ca="1">SUM(OFFSET(N$4,'SPC background (hide)'!$C$4-1,0,SampleLength,1))</f>
        <v>1420</v>
      </c>
      <c r="O264" s="5">
        <f ca="1">SUM(OFFSET(O$4,'SPC background (hide)'!$C$4-1,0,SampleLength,1))</f>
        <v>0</v>
      </c>
      <c r="P264" s="5">
        <f ca="1">SUM(OFFSET(P$4,'SPC background (hide)'!$C$4-1,0,SampleLength,1))</f>
        <v>0</v>
      </c>
      <c r="Q264" s="5">
        <f ca="1">SUM(OFFSET(Q$4,'SPC background (hide)'!$C$4-1,0,SampleLength,1))</f>
        <v>0</v>
      </c>
      <c r="R264" s="5">
        <f ca="1">SUM(OFFSET(R$4,'SPC background (hide)'!$C$4-1,0,SampleLength,1))</f>
        <v>0</v>
      </c>
      <c r="S264" s="5">
        <f ca="1">SUM(OFFSET(S$4,'SPC background (hide)'!$C$4-1,0,SampleLength,1))</f>
        <v>0</v>
      </c>
      <c r="T264" s="5">
        <f ca="1">SUM(OFFSET(T$4,'SPC background (hide)'!$C$4-1,0,SampleLength,1))</f>
        <v>0</v>
      </c>
      <c r="U264" s="5">
        <f ca="1">SUM(OFFSET(U$4,'SPC background (hide)'!$C$4-1,0,SampleLength,1))</f>
        <v>0</v>
      </c>
      <c r="V264" s="5">
        <f ca="1">SUM(OFFSET(V$4,'SPC background (hide)'!$C$4-1,0,SampleLength,1))</f>
        <v>0</v>
      </c>
      <c r="W264" s="5">
        <f ca="1">SUM(OFFSET(W$4,'SPC background (hide)'!$C$4-1,0,SampleLength,1))</f>
        <v>0</v>
      </c>
      <c r="X264" s="5">
        <f ca="1">SUM(OFFSET(X$4,'SPC background (hide)'!$C$4-1,0,SampleLength,1))</f>
        <v>1420</v>
      </c>
      <c r="Y264" s="5"/>
    </row>
  </sheetData>
  <pageMargins left="0.7" right="0.7" top="0.75" bottom="0.75" header="0.3" footer="0.3"/>
  <pageSetup paperSize="9" orientation="portrait" horizontalDpi="90" verticalDpi="90"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162B61-BD84-40E2-89DA-C006008D27A0}">
  <sheetPr codeName="Sheet30"/>
  <dimension ref="A2:R39"/>
  <sheetViews>
    <sheetView showGridLines="0" showRowColHeaders="0" zoomScaleNormal="100" workbookViewId="0">
      <selection activeCell="F18" sqref="F18"/>
    </sheetView>
  </sheetViews>
  <sheetFormatPr defaultRowHeight="13.8" x14ac:dyDescent="0.25"/>
  <cols>
    <col min="1" max="3" width="10.3984375" customWidth="1"/>
    <col min="4" max="4" width="17.8984375" customWidth="1"/>
    <col min="5" max="5" width="13.8984375" customWidth="1"/>
    <col min="6" max="6" width="9.8984375" bestFit="1" customWidth="1"/>
  </cols>
  <sheetData>
    <row r="2" spans="1:18" x14ac:dyDescent="0.25">
      <c r="A2" s="340" t="s">
        <v>1186</v>
      </c>
      <c r="B2" s="340"/>
      <c r="C2" s="340"/>
      <c r="D2" s="340"/>
      <c r="E2" s="340"/>
      <c r="F2" s="340"/>
      <c r="G2" s="340"/>
      <c r="H2" s="340"/>
      <c r="I2" s="340"/>
      <c r="J2" s="340"/>
      <c r="K2" s="340"/>
      <c r="L2" s="340"/>
      <c r="M2" s="340"/>
      <c r="N2" s="340"/>
      <c r="O2" s="340"/>
      <c r="P2" s="340"/>
      <c r="Q2" s="340"/>
      <c r="R2" s="340"/>
    </row>
    <row r="3" spans="1:18" x14ac:dyDescent="0.25">
      <c r="A3" s="341" t="s">
        <v>1187</v>
      </c>
      <c r="B3" s="341"/>
      <c r="C3" s="341"/>
      <c r="D3" s="341"/>
      <c r="E3" s="341"/>
      <c r="F3" s="341"/>
      <c r="G3" s="341"/>
      <c r="H3" s="341"/>
      <c r="I3" s="341"/>
      <c r="J3" s="341"/>
      <c r="K3" s="341"/>
      <c r="L3" s="341"/>
      <c r="M3" s="341"/>
      <c r="N3" s="341"/>
      <c r="O3" s="341"/>
      <c r="P3" s="341"/>
      <c r="Q3" s="341"/>
      <c r="R3" s="341"/>
    </row>
    <row r="5" spans="1:18" x14ac:dyDescent="0.25">
      <c r="A5" t="s">
        <v>1219</v>
      </c>
    </row>
    <row r="6" spans="1:18" x14ac:dyDescent="0.25">
      <c r="A6" t="s">
        <v>1195</v>
      </c>
    </row>
    <row r="7" spans="1:18" x14ac:dyDescent="0.25">
      <c r="A7" t="s">
        <v>1196</v>
      </c>
    </row>
    <row r="9" spans="1:18" s="67" customFormat="1" x14ac:dyDescent="0.25">
      <c r="A9" s="338" t="s">
        <v>1188</v>
      </c>
      <c r="F9" s="336" t="s">
        <v>20</v>
      </c>
    </row>
    <row r="10" spans="1:18" s="67" customFormat="1" x14ac:dyDescent="0.25"/>
    <row r="11" spans="1:18" s="67" customFormat="1" x14ac:dyDescent="0.25">
      <c r="A11" s="338" t="s">
        <v>1193</v>
      </c>
    </row>
    <row r="12" spans="1:18" x14ac:dyDescent="0.25">
      <c r="A12" t="s">
        <v>1190</v>
      </c>
      <c r="F12" s="168">
        <v>43934</v>
      </c>
    </row>
    <row r="13" spans="1:18" x14ac:dyDescent="0.25">
      <c r="A13" t="str">
        <f>"Current (restricted) level of demand ("&amp;Setup!$I$17&amp;"):"</f>
        <v>Current (restricted) level of demand (Points):</v>
      </c>
      <c r="D13" s="126"/>
      <c r="F13" s="336">
        <v>10</v>
      </c>
    </row>
    <row r="14" spans="1:18" s="67" customFormat="1" x14ac:dyDescent="0.25">
      <c r="D14" s="126"/>
      <c r="F14" s="126"/>
    </row>
    <row r="16" spans="1:18" x14ac:dyDescent="0.25">
      <c r="A16" s="338" t="s">
        <v>1194</v>
      </c>
    </row>
    <row r="17" spans="1:16" x14ac:dyDescent="0.25">
      <c r="A17" t="s">
        <v>1192</v>
      </c>
      <c r="F17" s="168">
        <v>43962</v>
      </c>
    </row>
    <row r="18" spans="1:16" x14ac:dyDescent="0.25">
      <c r="A18" t="s">
        <v>1246</v>
      </c>
      <c r="F18" s="336">
        <v>3</v>
      </c>
    </row>
    <row r="20" spans="1:16" x14ac:dyDescent="0.25">
      <c r="A20" t="s">
        <v>1189</v>
      </c>
      <c r="F20" s="336" t="s">
        <v>22</v>
      </c>
    </row>
    <row r="23" spans="1:16" x14ac:dyDescent="0.25">
      <c r="A23" s="354" t="s">
        <v>1221</v>
      </c>
      <c r="D23" s="67"/>
    </row>
    <row r="24" spans="1:16" x14ac:dyDescent="0.25">
      <c r="A24" t="s">
        <v>1222</v>
      </c>
      <c r="D24" s="67"/>
    </row>
    <row r="25" spans="1:16" x14ac:dyDescent="0.25">
      <c r="D25" s="67"/>
    </row>
    <row r="26" spans="1:16" x14ac:dyDescent="0.25">
      <c r="A26" t="s">
        <v>1223</v>
      </c>
      <c r="D26" s="67"/>
    </row>
    <row r="27" spans="1:16" x14ac:dyDescent="0.25">
      <c r="A27" t="s">
        <v>1224</v>
      </c>
    </row>
    <row r="28" spans="1:16" x14ac:dyDescent="0.25">
      <c r="A28" s="292" t="s">
        <v>1229</v>
      </c>
    </row>
    <row r="31" spans="1:16" x14ac:dyDescent="0.25">
      <c r="A31" s="354" t="s">
        <v>1225</v>
      </c>
      <c r="P31" s="67"/>
    </row>
    <row r="32" spans="1:16" x14ac:dyDescent="0.25">
      <c r="O32" s="67"/>
      <c r="P32" s="67"/>
    </row>
    <row r="33" spans="1:18" x14ac:dyDescent="0.25">
      <c r="D33" s="393" t="str">
        <f>"Number of patients ("&amp;Setup!$I$17&amp;")"</f>
        <v>Number of patients (Points)</v>
      </c>
      <c r="E33" s="392" t="s">
        <v>1228</v>
      </c>
      <c r="F33" s="393" t="str">
        <f>Setup!$I$17&amp;" remaining"</f>
        <v>Points remaining</v>
      </c>
      <c r="G33" s="359" t="str">
        <f>"Backlog / unseen patients ("&amp;Setup!$I$17&amp;") brought in post-transition, by week"</f>
        <v>Backlog / unseen patients (Points) brought in post-transition, by week</v>
      </c>
      <c r="H33" s="360"/>
      <c r="I33" s="360"/>
      <c r="J33" s="360"/>
      <c r="K33" s="360"/>
      <c r="L33" s="360"/>
      <c r="M33" s="360"/>
      <c r="N33" s="360"/>
      <c r="O33" s="360"/>
      <c r="P33" s="360"/>
      <c r="Q33" s="360"/>
      <c r="R33" s="361"/>
    </row>
    <row r="34" spans="1:18" x14ac:dyDescent="0.25">
      <c r="D34" s="393"/>
      <c r="E34" s="392"/>
      <c r="F34" s="393"/>
      <c r="G34" s="355">
        <v>1</v>
      </c>
      <c r="H34" s="355">
        <v>2</v>
      </c>
      <c r="I34" s="355">
        <v>3</v>
      </c>
      <c r="J34" s="355">
        <v>4</v>
      </c>
      <c r="K34" s="355">
        <v>5</v>
      </c>
      <c r="L34" s="355">
        <v>6</v>
      </c>
      <c r="M34" s="355">
        <v>7</v>
      </c>
      <c r="N34" s="355">
        <v>8</v>
      </c>
      <c r="O34" s="355">
        <v>9</v>
      </c>
      <c r="P34" s="355">
        <v>10</v>
      </c>
      <c r="Q34" s="355">
        <v>11</v>
      </c>
      <c r="R34" s="355">
        <v>12</v>
      </c>
    </row>
    <row r="35" spans="1:18" x14ac:dyDescent="0.25">
      <c r="A35" t="s">
        <v>1226</v>
      </c>
      <c r="D35" s="356">
        <f ca="1">SUM(OFFSET('Parameters calculator (hide)'!$C$68,0,0,Num_Modalities,1))</f>
        <v>152</v>
      </c>
      <c r="E35" s="357">
        <v>0.15</v>
      </c>
      <c r="F35" s="364">
        <f ca="1">ROUNDUP(D35*(1-E35),0)-SUM(G35:N35)</f>
        <v>80</v>
      </c>
      <c r="G35" s="356">
        <v>10</v>
      </c>
      <c r="H35" s="356">
        <v>10</v>
      </c>
      <c r="I35" s="356">
        <v>10</v>
      </c>
      <c r="J35" s="356">
        <v>10</v>
      </c>
      <c r="K35" s="356">
        <v>10</v>
      </c>
      <c r="L35" s="356"/>
      <c r="M35" s="356"/>
      <c r="N35" s="356"/>
      <c r="O35" s="356"/>
      <c r="P35" s="356"/>
      <c r="Q35" s="356"/>
      <c r="R35" s="356"/>
    </row>
    <row r="36" spans="1:18" x14ac:dyDescent="0.25">
      <c r="A36" t="s">
        <v>1227</v>
      </c>
      <c r="D36" s="358">
        <f ca="1">'Demand background (hide)'!EA3</f>
        <v>794</v>
      </c>
      <c r="E36" s="357">
        <v>0</v>
      </c>
      <c r="F36" s="365">
        <f ca="1">ROUNDUP(D36*(1-E36),0)-SUM(G36:N36)</f>
        <v>684</v>
      </c>
      <c r="G36" s="356">
        <v>40</v>
      </c>
      <c r="H36" s="356">
        <v>40</v>
      </c>
      <c r="I36" s="356">
        <v>30</v>
      </c>
      <c r="J36" s="356"/>
      <c r="K36" s="356"/>
      <c r="L36" s="356"/>
      <c r="M36" s="356"/>
      <c r="N36" s="356"/>
      <c r="O36" s="356"/>
      <c r="P36" s="356"/>
      <c r="Q36" s="356"/>
      <c r="R36" s="356"/>
    </row>
    <row r="39" spans="1:18" x14ac:dyDescent="0.25">
      <c r="A39" t="s">
        <v>1236</v>
      </c>
    </row>
  </sheetData>
  <mergeCells count="3">
    <mergeCell ref="E33:E34"/>
    <mergeCell ref="D33:D34"/>
    <mergeCell ref="F33:F34"/>
  </mergeCells>
  <conditionalFormatting sqref="F35:F36">
    <cfRule type="expression" dxfId="33" priority="1">
      <formula>IF($F35&lt;0,1,0)</formula>
    </cfRule>
  </conditionalFormatting>
  <dataValidations count="4">
    <dataValidation type="whole" allowBlank="1" showInputMessage="1" showErrorMessage="1" sqref="F18" xr:uid="{BCD0C9E8-7B13-439D-9279-5CDB63D3CB62}">
      <formula1>0</formula1>
      <formula2>12</formula2>
    </dataValidation>
    <dataValidation type="decimal" allowBlank="1" showInputMessage="1" showErrorMessage="1" sqref="F13:F14" xr:uid="{AA02A8C0-209F-4DB6-8C14-466BE837C33C}">
      <formula1>0</formula1>
      <formula2>99999999</formula2>
    </dataValidation>
    <dataValidation type="list" showInputMessage="1" showErrorMessage="1" sqref="F9 F20" xr:uid="{4197BB65-1439-4E9E-A2D2-4060BAD3FE49}">
      <formula1>"Yes, No"</formula1>
    </dataValidation>
    <dataValidation type="decimal" allowBlank="1" showInputMessage="1" showErrorMessage="1" sqref="E35:E36" xr:uid="{95EA212D-256D-4310-A24F-276F6C260CBA}">
      <formula1>0</formula1>
      <formula2>1</formula2>
    </dataValidation>
  </dataValidations>
  <pageMargins left="0.7" right="0.7" top="0.75" bottom="0.75" header="0.3" footer="0.3"/>
  <pageSetup paperSize="9" orientation="portrait"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360710AA-B5E4-4FB6-B997-7A78CFE81938}">
          <x14:formula1>
            <xm:f>IF(LEFT(Demand!$C$8,1)="H",'Control sheet (hide)'!$K$2:$K$54,Demand!$D$13:$D$64)</xm:f>
          </x14:formula1>
          <xm:sqref>F17 F12</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C33"/>
  <sheetViews>
    <sheetView showGridLines="0" showRowColHeaders="0" zoomScale="115" zoomScaleNormal="115" workbookViewId="0">
      <selection activeCell="C18" sqref="C18"/>
    </sheetView>
  </sheetViews>
  <sheetFormatPr defaultRowHeight="13.8" x14ac:dyDescent="0.25"/>
  <cols>
    <col min="1" max="1" width="19.8984375" bestFit="1" customWidth="1"/>
    <col min="2" max="2" width="11.3984375" customWidth="1"/>
    <col min="4" max="4" width="3.3984375" customWidth="1"/>
  </cols>
  <sheetData>
    <row r="1" spans="1:3" x14ac:dyDescent="0.25">
      <c r="A1" t="s">
        <v>126</v>
      </c>
      <c r="B1" s="247" t="s">
        <v>192</v>
      </c>
    </row>
    <row r="3" spans="1:3" x14ac:dyDescent="0.25">
      <c r="A3" s="2" t="s">
        <v>185</v>
      </c>
    </row>
    <row r="4" spans="1:3" ht="14.25" customHeight="1" x14ac:dyDescent="0.25">
      <c r="A4" s="38" t="str">
        <f>IF(SPC_Type="Simple","Sample period","Season 1")&amp;" begins:"</f>
        <v>Season 1 begins:</v>
      </c>
    </row>
    <row r="5" spans="1:3" ht="14.25" customHeight="1" x14ac:dyDescent="0.25">
      <c r="A5" s="38" t="str">
        <f>IF(SPC_Type="Simple","Sample period","Season 1")&amp;" ends:"</f>
        <v>Season 1 ends:</v>
      </c>
      <c r="C5" t="str">
        <f ca="1">'SPC background (hide)'!H5&amp;" weeks"</f>
        <v>10 weeks</v>
      </c>
    </row>
    <row r="6" spans="1:3" ht="14.25" customHeight="1" x14ac:dyDescent="0.25"/>
    <row r="7" spans="1:3" ht="14.25" customHeight="1" x14ac:dyDescent="0.25">
      <c r="A7" s="331" t="s">
        <v>186</v>
      </c>
      <c r="B7" s="101"/>
      <c r="C7" s="101"/>
    </row>
    <row r="8" spans="1:3" ht="14.25" customHeight="1" x14ac:dyDescent="0.25">
      <c r="A8" s="331" t="s">
        <v>187</v>
      </c>
      <c r="B8" s="101"/>
      <c r="C8" s="101" t="str">
        <f ca="1">IF('SPC background (hide)'!H7&lt;&gt;"",'SPC background (hide)'!H7&amp;" weeks","")</f>
        <v/>
      </c>
    </row>
    <row r="9" spans="1:3" ht="14.25" customHeight="1" x14ac:dyDescent="0.25">
      <c r="A9" s="331"/>
      <c r="B9" s="101"/>
      <c r="C9" s="101"/>
    </row>
    <row r="10" spans="1:3" ht="14.25" customHeight="1" x14ac:dyDescent="0.25">
      <c r="A10" s="331" t="s">
        <v>188</v>
      </c>
      <c r="B10" s="101"/>
      <c r="C10" s="101"/>
    </row>
    <row r="11" spans="1:3" ht="14.25" customHeight="1" x14ac:dyDescent="0.25">
      <c r="A11" s="331" t="s">
        <v>189</v>
      </c>
      <c r="B11" s="101"/>
      <c r="C11" s="101" t="str">
        <f ca="1">IF('SPC background (hide)'!H9&lt;&gt;"",'SPC background (hide)'!H9&amp;" weeks","")</f>
        <v/>
      </c>
    </row>
    <row r="12" spans="1:3" ht="14.25" customHeight="1" x14ac:dyDescent="0.25">
      <c r="A12" s="331"/>
      <c r="B12" s="101"/>
      <c r="C12" s="101"/>
    </row>
    <row r="13" spans="1:3" ht="14.25" customHeight="1" x14ac:dyDescent="0.25">
      <c r="A13" s="331" t="s">
        <v>190</v>
      </c>
      <c r="B13" s="101"/>
      <c r="C13" s="101"/>
    </row>
    <row r="14" spans="1:3" ht="14.25" customHeight="1" x14ac:dyDescent="0.25">
      <c r="A14" s="331" t="s">
        <v>191</v>
      </c>
      <c r="B14" s="101"/>
      <c r="C14" s="101" t="str">
        <f ca="1">IF('SPC background (hide)'!H11&lt;&gt;"",'SPC background (hide)'!H11&amp;" weeks","")</f>
        <v/>
      </c>
    </row>
    <row r="15" spans="1:3" ht="14.25" customHeight="1" x14ac:dyDescent="0.25"/>
    <row r="16" spans="1:3" x14ac:dyDescent="0.25">
      <c r="A16" s="37" t="s">
        <v>147</v>
      </c>
    </row>
    <row r="17" spans="1:3" x14ac:dyDescent="0.25">
      <c r="A17" s="2" t="str">
        <f ca="1">'SPC background (hide)'!I11&amp;" weeks"</f>
        <v>10 weeks</v>
      </c>
    </row>
    <row r="19" spans="1:3" x14ac:dyDescent="0.25">
      <c r="A19" t="str">
        <f ca="1">IF(AND('SPC background (hide)'!I11&lt;52,SPC_Type="1+ Seasons"),"Remaining wks use season:","")</f>
        <v/>
      </c>
      <c r="C19" s="179">
        <v>1</v>
      </c>
    </row>
    <row r="20" spans="1:3" x14ac:dyDescent="0.25">
      <c r="C20" s="45"/>
    </row>
    <row r="21" spans="1:3" x14ac:dyDescent="0.25">
      <c r="A21" t="s">
        <v>195</v>
      </c>
      <c r="C21" s="179" t="s">
        <v>20</v>
      </c>
    </row>
    <row r="22" spans="1:3" x14ac:dyDescent="0.25">
      <c r="C22" s="45"/>
    </row>
    <row r="23" spans="1:3" x14ac:dyDescent="0.25">
      <c r="A23" t="s">
        <v>196</v>
      </c>
      <c r="C23" s="179" t="s">
        <v>20</v>
      </c>
    </row>
    <row r="25" spans="1:3" hidden="1" x14ac:dyDescent="0.25">
      <c r="A25" t="s">
        <v>284</v>
      </c>
      <c r="C25" s="179" t="s">
        <v>22</v>
      </c>
    </row>
    <row r="29" spans="1:3" x14ac:dyDescent="0.25">
      <c r="A29" s="2" t="s">
        <v>178</v>
      </c>
    </row>
    <row r="30" spans="1:3" x14ac:dyDescent="0.25">
      <c r="A30" s="40"/>
      <c r="B30" t="s">
        <v>175</v>
      </c>
    </row>
    <row r="31" spans="1:3" x14ac:dyDescent="0.25">
      <c r="A31" s="41"/>
      <c r="B31" t="s">
        <v>176</v>
      </c>
    </row>
    <row r="32" spans="1:3" x14ac:dyDescent="0.25">
      <c r="A32" s="42"/>
      <c r="B32" t="s">
        <v>197</v>
      </c>
    </row>
    <row r="33" spans="1:2" x14ac:dyDescent="0.25">
      <c r="A33" s="43"/>
      <c r="B33" t="s">
        <v>177</v>
      </c>
    </row>
  </sheetData>
  <sheetProtection algorithmName="SHA-512" hashValue="NfqnmbG9j6WoezTcgwVRNAG0ww1Dh8WFTxfSwYXokwWSsoLFxpqHxVspcn9Sz1leJKmJrfHwV5SE5bEd/pP6+A==" saltValue="uIzjbUVl0Rk2igS9mBmDLA==" spinCount="100000" sheet="1" objects="1" scenarios="1"/>
  <conditionalFormatting sqref="C19">
    <cfRule type="expression" dxfId="32" priority="1">
      <formula>IF(SPC_Type = "1 season",TRUE,FALSE)</formula>
    </cfRule>
  </conditionalFormatting>
  <pageMargins left="0.7" right="0.7" top="0.75" bottom="0.75" header="0.3" footer="0.3"/>
  <pageSetup paperSize="9" orientation="landscape"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7652" r:id="rId4" name="Section1Start">
              <controlPr defaultSize="0" autoLine="0" autoPict="0">
                <anchor moveWithCells="1">
                  <from>
                    <xdr:col>1</xdr:col>
                    <xdr:colOff>0</xdr:colOff>
                    <xdr:row>3</xdr:row>
                    <xdr:rowOff>0</xdr:rowOff>
                  </from>
                  <to>
                    <xdr:col>2</xdr:col>
                    <xdr:colOff>0</xdr:colOff>
                    <xdr:row>4</xdr:row>
                    <xdr:rowOff>0</xdr:rowOff>
                  </to>
                </anchor>
              </controlPr>
            </control>
          </mc:Choice>
        </mc:AlternateContent>
        <mc:AlternateContent xmlns:mc="http://schemas.openxmlformats.org/markup-compatibility/2006">
          <mc:Choice Requires="x14">
            <control shapeId="27653" r:id="rId5" name="Section1End">
              <controlPr defaultSize="0" autoLine="0" autoPict="0">
                <anchor moveWithCells="1">
                  <from>
                    <xdr:col>1</xdr:col>
                    <xdr:colOff>0</xdr:colOff>
                    <xdr:row>3</xdr:row>
                    <xdr:rowOff>182880</xdr:rowOff>
                  </from>
                  <to>
                    <xdr:col>2</xdr:col>
                    <xdr:colOff>0</xdr:colOff>
                    <xdr:row>4</xdr:row>
                    <xdr:rowOff>182880</xdr:rowOff>
                  </to>
                </anchor>
              </controlPr>
            </control>
          </mc:Choice>
        </mc:AlternateContent>
        <mc:AlternateContent xmlns:mc="http://schemas.openxmlformats.org/markup-compatibility/2006">
          <mc:Choice Requires="x14">
            <control shapeId="27655" r:id="rId6" name="Section2Start">
              <controlPr defaultSize="0" autoLine="0" autoPict="0">
                <anchor moveWithCells="1">
                  <from>
                    <xdr:col>1</xdr:col>
                    <xdr:colOff>0</xdr:colOff>
                    <xdr:row>6</xdr:row>
                    <xdr:rowOff>0</xdr:rowOff>
                  </from>
                  <to>
                    <xdr:col>2</xdr:col>
                    <xdr:colOff>0</xdr:colOff>
                    <xdr:row>7</xdr:row>
                    <xdr:rowOff>0</xdr:rowOff>
                  </to>
                </anchor>
              </controlPr>
            </control>
          </mc:Choice>
        </mc:AlternateContent>
        <mc:AlternateContent xmlns:mc="http://schemas.openxmlformats.org/markup-compatibility/2006">
          <mc:Choice Requires="x14">
            <control shapeId="27658" r:id="rId7" name="Section2End">
              <controlPr defaultSize="0" autoLine="0" autoPict="0">
                <anchor moveWithCells="1">
                  <from>
                    <xdr:col>1</xdr:col>
                    <xdr:colOff>0</xdr:colOff>
                    <xdr:row>7</xdr:row>
                    <xdr:rowOff>0</xdr:rowOff>
                  </from>
                  <to>
                    <xdr:col>2</xdr:col>
                    <xdr:colOff>0</xdr:colOff>
                    <xdr:row>8</xdr:row>
                    <xdr:rowOff>0</xdr:rowOff>
                  </to>
                </anchor>
              </controlPr>
            </control>
          </mc:Choice>
        </mc:AlternateContent>
        <mc:AlternateContent xmlns:mc="http://schemas.openxmlformats.org/markup-compatibility/2006">
          <mc:Choice Requires="x14">
            <control shapeId="27659" r:id="rId8" name="Section3Start">
              <controlPr defaultSize="0" autoLine="0" autoPict="0">
                <anchor moveWithCells="1">
                  <from>
                    <xdr:col>1</xdr:col>
                    <xdr:colOff>0</xdr:colOff>
                    <xdr:row>9</xdr:row>
                    <xdr:rowOff>0</xdr:rowOff>
                  </from>
                  <to>
                    <xdr:col>2</xdr:col>
                    <xdr:colOff>0</xdr:colOff>
                    <xdr:row>10</xdr:row>
                    <xdr:rowOff>0</xdr:rowOff>
                  </to>
                </anchor>
              </controlPr>
            </control>
          </mc:Choice>
        </mc:AlternateContent>
        <mc:AlternateContent xmlns:mc="http://schemas.openxmlformats.org/markup-compatibility/2006">
          <mc:Choice Requires="x14">
            <control shapeId="27660" r:id="rId9" name="Section3End">
              <controlPr defaultSize="0" autoLine="0" autoPict="0">
                <anchor moveWithCells="1">
                  <from>
                    <xdr:col>1</xdr:col>
                    <xdr:colOff>0</xdr:colOff>
                    <xdr:row>10</xdr:row>
                    <xdr:rowOff>0</xdr:rowOff>
                  </from>
                  <to>
                    <xdr:col>2</xdr:col>
                    <xdr:colOff>0</xdr:colOff>
                    <xdr:row>11</xdr:row>
                    <xdr:rowOff>0</xdr:rowOff>
                  </to>
                </anchor>
              </controlPr>
            </control>
          </mc:Choice>
        </mc:AlternateContent>
        <mc:AlternateContent xmlns:mc="http://schemas.openxmlformats.org/markup-compatibility/2006">
          <mc:Choice Requires="x14">
            <control shapeId="27661" r:id="rId10" name="Section4Start">
              <controlPr defaultSize="0" autoLine="0" autoPict="0">
                <anchor moveWithCells="1">
                  <from>
                    <xdr:col>1</xdr:col>
                    <xdr:colOff>0</xdr:colOff>
                    <xdr:row>12</xdr:row>
                    <xdr:rowOff>0</xdr:rowOff>
                  </from>
                  <to>
                    <xdr:col>2</xdr:col>
                    <xdr:colOff>0</xdr:colOff>
                    <xdr:row>13</xdr:row>
                    <xdr:rowOff>0</xdr:rowOff>
                  </to>
                </anchor>
              </controlPr>
            </control>
          </mc:Choice>
        </mc:AlternateContent>
        <mc:AlternateContent xmlns:mc="http://schemas.openxmlformats.org/markup-compatibility/2006">
          <mc:Choice Requires="x14">
            <control shapeId="27662" r:id="rId11" name="Section4End">
              <controlPr defaultSize="0" autoLine="0" autoPict="0">
                <anchor moveWithCells="1">
                  <from>
                    <xdr:col>1</xdr:col>
                    <xdr:colOff>0</xdr:colOff>
                    <xdr:row>13</xdr:row>
                    <xdr:rowOff>0</xdr:rowOff>
                  </from>
                  <to>
                    <xdr:col>2</xdr:col>
                    <xdr:colOff>0</xdr:colOff>
                    <xdr:row>14</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EC8F4D87-9850-491A-BEA3-5BBC563FC309}">
            <xm:f>IF(OR(AND('SPC background (hide)'!$I$11=52,$C$19&lt;&gt;""),AND('SPC background (hide)'!$I$11&lt;52,'SPC background (hide)'!$M$10&lt;$C$19),AND('SPC background (hide)'!$I$11&lt;52,$C$19="",'SPC background (hide)'!$M$10&gt;1)),TRUE,FALSE)</xm:f>
            <x14:dxf>
              <fill>
                <patternFill>
                  <bgColor theme="5" tint="0.59996337778862885"/>
                </patternFill>
              </fill>
            </x14:dxf>
          </x14:cfRule>
          <xm:sqref>C19</xm:sqref>
        </x14:conditionalFormatting>
      </x14:conditionalFormattings>
    </ext>
    <ext xmlns:x14="http://schemas.microsoft.com/office/spreadsheetml/2009/9/main" uri="{CCE6A557-97BC-4b89-ADB6-D9C93CAAB3DF}">
      <x14:dataValidations xmlns:xm="http://schemas.microsoft.com/office/excel/2006/main" count="3">
        <x14:dataValidation type="list" showInputMessage="1" showErrorMessage="1" xr:uid="{00000000-0002-0000-0700-000000000000}">
          <x14:formula1>
            <xm:f>'Control sheet (hide)'!$C$30:$C$31</xm:f>
          </x14:formula1>
          <xm:sqref>B1</xm:sqref>
        </x14:dataValidation>
        <x14:dataValidation type="list" allowBlank="1" showInputMessage="1" showErrorMessage="1" xr:uid="{00000000-0002-0000-0700-000001000000}">
          <x14:formula1>
            <xm:f>'Control sheet (hide)'!$C$3:$C$4</xm:f>
          </x14:formula1>
          <xm:sqref>C21 C23 C25</xm:sqref>
        </x14:dataValidation>
        <x14:dataValidation type="list" allowBlank="1" showInputMessage="1" showErrorMessage="1" xr:uid="{00000000-0002-0000-0700-000002000000}">
          <x14:formula1>
            <xm:f>IF('SPC background (hide)'!$I$11=52,Range_Blank,OFFSET('Control sheet (hide)'!$A$3,0,0,'SPC background (hide)'!$M$10,1))</xm:f>
          </x14:formula1>
          <xm:sqref>C19</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T275"/>
  <sheetViews>
    <sheetView topLeftCell="AD1" workbookViewId="0">
      <selection activeCell="AT1" sqref="AT1"/>
    </sheetView>
  </sheetViews>
  <sheetFormatPr defaultColWidth="9" defaultRowHeight="13.8" x14ac:dyDescent="0.25"/>
  <cols>
    <col min="1" max="2" width="9" style="67"/>
    <col min="3" max="3" width="14.09765625" style="67" customWidth="1"/>
    <col min="4" max="5" width="9" style="67"/>
    <col min="6" max="6" width="13.59765625" style="67" customWidth="1"/>
    <col min="7" max="7" width="15.59765625" style="67" customWidth="1"/>
    <col min="8" max="9" width="9" style="67"/>
    <col min="10" max="26" width="9" style="67" customWidth="1"/>
    <col min="27" max="27" width="9" style="67" hidden="1" customWidth="1"/>
    <col min="28" max="30" width="9" style="67" customWidth="1"/>
    <col min="31" max="16384" width="9" style="67"/>
  </cols>
  <sheetData>
    <row r="1" spans="1:46" x14ac:dyDescent="0.25">
      <c r="B1" s="67" t="s">
        <v>114</v>
      </c>
      <c r="L1" s="67" t="s">
        <v>205</v>
      </c>
      <c r="AF1" s="67" t="s">
        <v>167</v>
      </c>
      <c r="AG1" s="67" t="s">
        <v>152</v>
      </c>
      <c r="AH1" s="67" t="s">
        <v>150</v>
      </c>
      <c r="AI1" s="67" t="s">
        <v>153</v>
      </c>
      <c r="AJ1" s="67" t="s">
        <v>159</v>
      </c>
      <c r="AK1" s="67" t="s">
        <v>140</v>
      </c>
      <c r="AL1" s="67" t="s">
        <v>154</v>
      </c>
      <c r="AM1" s="67" t="s">
        <v>155</v>
      </c>
      <c r="AN1" s="67" t="s">
        <v>156</v>
      </c>
      <c r="AO1" s="67" t="s">
        <v>157</v>
      </c>
      <c r="AP1" s="67" t="s">
        <v>158</v>
      </c>
      <c r="AQ1" s="67" t="s">
        <v>146</v>
      </c>
      <c r="AR1" s="67" t="s">
        <v>163</v>
      </c>
      <c r="AS1" s="67" t="s">
        <v>164</v>
      </c>
      <c r="AT1" s="67" t="s">
        <v>61</v>
      </c>
    </row>
    <row r="2" spans="1:46" x14ac:dyDescent="0.25">
      <c r="A2" s="67" t="s">
        <v>433</v>
      </c>
      <c r="B2" s="67" t="str">
        <f>"Demand - SPC Chart ("&amp;Setup!$I$17&amp;")"</f>
        <v>Demand - SPC Chart (Points)</v>
      </c>
      <c r="AG2" s="67">
        <f ca="1">OFFSET(Demand!$C$13,'SPC background (hide)'!$C$4-2+ROW(A1),0,1,1)</f>
        <v>10</v>
      </c>
      <c r="AH2" s="67">
        <v>1</v>
      </c>
      <c r="AI2" s="67">
        <f ca="1">IF(AH2&lt;=($M$4-$L$4+1),1,IF(AND($M$10&gt;=2,AH2&lt;=$M$5-$L$4+1),2,IF(AND($M$10&gt;=3,AH2&lt;=$M$6-$L$4+1),3,IF(AND($M$10=4,AH2&lt;=$M$7-$L$4+1),4,5))))</f>
        <v>1</v>
      </c>
      <c r="AJ2" s="39">
        <f ca="1">VLOOKUP(AI2,$K$4:$Q$9,4,0)</f>
        <v>5.7131599684791183</v>
      </c>
      <c r="AK2" s="39">
        <f ca="1">IF($AN2-(3*$AJ2)&lt;=0,0,$AN2-(3*$AJ2))</f>
        <v>124.86052009456264</v>
      </c>
      <c r="AL2" s="39">
        <f ca="1">IF($AN2-(2*$AJ2)&lt;=0,0,$AN2-(2*$AJ2))</f>
        <v>130.57368006304176</v>
      </c>
      <c r="AM2" s="39">
        <f ca="1">IF($AN2-(1*$AJ2)&lt;=0,0,$AN2-(1*$AJ2))</f>
        <v>136.28684003152088</v>
      </c>
      <c r="AN2" s="39">
        <f ca="1">VLOOKUP(AI2,$K$4:$Q$9,5,0)</f>
        <v>142</v>
      </c>
      <c r="AO2" s="39">
        <f t="shared" ref="AO2:AO54" ca="1" si="0">$AN2+(1*$AJ2)</f>
        <v>147.71315996847912</v>
      </c>
      <c r="AP2" s="39">
        <f t="shared" ref="AP2:AP54" ca="1" si="1">$AN2+(2*$AJ2)</f>
        <v>153.42631993695824</v>
      </c>
      <c r="AQ2" s="39">
        <f t="shared" ref="AQ2:AQ54" ca="1" si="2">$AN2+(3*$AJ2)</f>
        <v>159.13947990543736</v>
      </c>
      <c r="AR2" s="5">
        <f ca="1">VLOOKUP($AI2,$K$4:$Q$8,6,0)</f>
        <v>142</v>
      </c>
      <c r="AS2" s="5">
        <f t="shared" ref="AS2:AS54" ca="1" si="3">VLOOKUP($AI2,$K$4:$Q$8,7,0)</f>
        <v>155.30000000000001</v>
      </c>
      <c r="AT2" s="5">
        <f ca="1">VLOOKUP(AI2,$K$4:$R$8,8,0)</f>
        <v>0</v>
      </c>
    </row>
    <row r="3" spans="1:46" x14ac:dyDescent="0.25">
      <c r="C3" s="67" t="s">
        <v>132</v>
      </c>
      <c r="D3" s="67" t="s">
        <v>134</v>
      </c>
      <c r="E3" s="67" t="s">
        <v>131</v>
      </c>
      <c r="F3" s="67" t="s">
        <v>135</v>
      </c>
      <c r="G3" s="67" t="s">
        <v>136</v>
      </c>
      <c r="H3" s="67" t="s">
        <v>133</v>
      </c>
      <c r="I3" s="67" t="s">
        <v>198</v>
      </c>
      <c r="K3" s="67" t="s">
        <v>153</v>
      </c>
      <c r="L3" s="67" t="s">
        <v>148</v>
      </c>
      <c r="M3" s="67" t="s">
        <v>149</v>
      </c>
      <c r="N3" s="67" t="s">
        <v>159</v>
      </c>
      <c r="O3" s="67" t="s">
        <v>156</v>
      </c>
      <c r="P3" s="67" t="s">
        <v>137</v>
      </c>
      <c r="Q3" s="67" t="s">
        <v>138</v>
      </c>
      <c r="R3" s="67" t="s">
        <v>61</v>
      </c>
      <c r="S3" s="67" t="s">
        <v>206</v>
      </c>
      <c r="AG3" s="67">
        <f ca="1">IF(MOD(AG2+1,53)=0,53,MOD(AG2+1,53))</f>
        <v>11</v>
      </c>
      <c r="AH3" s="67">
        <v>2</v>
      </c>
      <c r="AI3" s="67">
        <f t="shared" ref="AI3:AI54" ca="1" si="4">IF(AH3&lt;=($M$4-$L$4+1),1,IF(AND($M$10&gt;=2,AH3&lt;=$M$5-$L$4+1),2,IF(AND($M$10&gt;=3,AH3&lt;=$M$6-$L$4+1),3,IF(AND($M$10=4,AH3&lt;=$M$7-$L$4+1),4,5))))</f>
        <v>1</v>
      </c>
      <c r="AJ3" s="39">
        <f t="shared" ref="AJ3:AJ54" ca="1" si="5">VLOOKUP(AI3,$K$4:$Q$9,4,0)</f>
        <v>5.7131599684791183</v>
      </c>
      <c r="AK3" s="39">
        <f t="shared" ref="AK3:AK54" ca="1" si="6">IF($AN3-(3*$AJ3)&lt;=0,0,$AN3-(3*$AJ3))</f>
        <v>124.86052009456264</v>
      </c>
      <c r="AL3" s="39">
        <f t="shared" ref="AL3:AL54" ca="1" si="7">IF($AN3-(2*$AJ3)&lt;=0,0,$AN3-(2*$AJ3))</f>
        <v>130.57368006304176</v>
      </c>
      <c r="AM3" s="39">
        <f t="shared" ref="AM3:AM54" ca="1" si="8">IF($AN3-(1*$AJ3)&lt;=0,0,$AN3-(1*$AJ3))</f>
        <v>136.28684003152088</v>
      </c>
      <c r="AN3" s="39">
        <f t="shared" ref="AN3:AN54" ca="1" si="9">VLOOKUP(AI3,$K$4:$Q$9,5,0)</f>
        <v>142</v>
      </c>
      <c r="AO3" s="39">
        <f t="shared" ca="1" si="0"/>
        <v>147.71315996847912</v>
      </c>
      <c r="AP3" s="39">
        <f t="shared" ca="1" si="1"/>
        <v>153.42631993695824</v>
      </c>
      <c r="AQ3" s="39">
        <f t="shared" ca="1" si="2"/>
        <v>159.13947990543736</v>
      </c>
      <c r="AR3" s="5">
        <f t="shared" ref="AR3:AR54" ca="1" si="10">VLOOKUP($AI3,$K$4:$Q$8,6,0)</f>
        <v>142</v>
      </c>
      <c r="AS3" s="5">
        <f t="shared" ca="1" si="3"/>
        <v>155.30000000000001</v>
      </c>
      <c r="AT3" s="5">
        <f t="shared" ref="AT3:AT54" ca="1" si="11">VLOOKUP(AI3,$K$4:$R$8,8,0)</f>
        <v>0</v>
      </c>
    </row>
    <row r="4" spans="1:46" x14ac:dyDescent="0.25">
      <c r="B4" s="67" t="s">
        <v>118</v>
      </c>
      <c r="C4" s="67">
        <v>1</v>
      </c>
      <c r="D4" s="67">
        <v>1</v>
      </c>
      <c r="E4" s="67">
        <f ca="1">MAX(0,MaxRows-9)</f>
        <v>43</v>
      </c>
      <c r="F4" s="67">
        <f ca="1">E4-D4+1</f>
        <v>43</v>
      </c>
      <c r="K4" s="67">
        <v>1</v>
      </c>
      <c r="L4" s="67">
        <f>C4</f>
        <v>1</v>
      </c>
      <c r="M4" s="67">
        <f ca="1">H5+L4-1</f>
        <v>10</v>
      </c>
      <c r="N4" s="5">
        <f ca="1">Sigma1</f>
        <v>5.7131599684791183</v>
      </c>
      <c r="O4" s="5">
        <f ca="1">Mean1</f>
        <v>142</v>
      </c>
      <c r="P4" s="5">
        <f ca="1">PercLower1</f>
        <v>142</v>
      </c>
      <c r="Q4" s="5">
        <f ca="1">PercUpper1</f>
        <v>155.30000000000001</v>
      </c>
      <c r="R4" s="5">
        <f ca="1">Emergency1</f>
        <v>0</v>
      </c>
      <c r="S4" s="5">
        <f ca="1">O4*H5</f>
        <v>1420</v>
      </c>
      <c r="T4" s="5"/>
      <c r="AG4" s="67">
        <f t="shared" ref="AG4:AG54" ca="1" si="12">IF(MOD(AG3+1,53)=0,53,MOD(AG3+1,53))</f>
        <v>12</v>
      </c>
      <c r="AH4" s="67">
        <v>3</v>
      </c>
      <c r="AI4" s="67">
        <f t="shared" ca="1" si="4"/>
        <v>1</v>
      </c>
      <c r="AJ4" s="39">
        <f t="shared" ca="1" si="5"/>
        <v>5.7131599684791183</v>
      </c>
      <c r="AK4" s="39">
        <f t="shared" ca="1" si="6"/>
        <v>124.86052009456264</v>
      </c>
      <c r="AL4" s="39">
        <f t="shared" ca="1" si="7"/>
        <v>130.57368006304176</v>
      </c>
      <c r="AM4" s="39">
        <f t="shared" ca="1" si="8"/>
        <v>136.28684003152088</v>
      </c>
      <c r="AN4" s="39">
        <f t="shared" ca="1" si="9"/>
        <v>142</v>
      </c>
      <c r="AO4" s="39">
        <f t="shared" ca="1" si="0"/>
        <v>147.71315996847912</v>
      </c>
      <c r="AP4" s="39">
        <f t="shared" ca="1" si="1"/>
        <v>153.42631993695824</v>
      </c>
      <c r="AQ4" s="39">
        <f t="shared" ca="1" si="2"/>
        <v>159.13947990543736</v>
      </c>
      <c r="AR4" s="5">
        <f t="shared" ca="1" si="10"/>
        <v>142</v>
      </c>
      <c r="AS4" s="5">
        <f t="shared" ca="1" si="3"/>
        <v>155.30000000000001</v>
      </c>
      <c r="AT4" s="5">
        <f t="shared" ca="1" si="11"/>
        <v>0</v>
      </c>
    </row>
    <row r="5" spans="1:46" x14ac:dyDescent="0.25">
      <c r="B5" s="67" t="s">
        <v>119</v>
      </c>
      <c r="C5" s="67">
        <v>1</v>
      </c>
      <c r="D5" s="67">
        <f>C4+9</f>
        <v>10</v>
      </c>
      <c r="E5" s="67">
        <f ca="1">MIN(C4+52,MaxRows+1)</f>
        <v>53</v>
      </c>
      <c r="F5" s="67">
        <f ca="1">E5-D5+1</f>
        <v>44</v>
      </c>
      <c r="G5" s="67">
        <f ca="1">H5</f>
        <v>10</v>
      </c>
      <c r="H5" s="67">
        <f ca="1">MIN(C5+D5-C4,E5-C4)</f>
        <v>10</v>
      </c>
      <c r="I5" s="67">
        <f ca="1">G5</f>
        <v>10</v>
      </c>
      <c r="K5" s="67">
        <v>2</v>
      </c>
      <c r="L5" s="67" t="str">
        <f ca="1">IFERROR(D6,"")</f>
        <v/>
      </c>
      <c r="M5" s="67">
        <f ca="1">IFERROR(H7+L5-1,0)</f>
        <v>0</v>
      </c>
      <c r="N5" s="5" t="str">
        <f ca="1">Sigma2</f>
        <v/>
      </c>
      <c r="O5" s="5" t="str">
        <f ca="1">Mean2</f>
        <v/>
      </c>
      <c r="P5" s="5" t="str">
        <f ca="1">PercLower2</f>
        <v/>
      </c>
      <c r="Q5" s="5" t="str">
        <f ca="1">PercUpper2</f>
        <v/>
      </c>
      <c r="R5" s="5" t="str">
        <f ca="1">Emergency2</f>
        <v/>
      </c>
      <c r="S5" s="5" t="str">
        <f ca="1">IF(M10&gt;=2,O5*H7,"")</f>
        <v/>
      </c>
      <c r="AG5" s="67">
        <f t="shared" ca="1" si="12"/>
        <v>13</v>
      </c>
      <c r="AH5" s="67">
        <v>4</v>
      </c>
      <c r="AI5" s="67">
        <f t="shared" ca="1" si="4"/>
        <v>1</v>
      </c>
      <c r="AJ5" s="39">
        <f t="shared" ca="1" si="5"/>
        <v>5.7131599684791183</v>
      </c>
      <c r="AK5" s="39">
        <f t="shared" ca="1" si="6"/>
        <v>124.86052009456264</v>
      </c>
      <c r="AL5" s="39">
        <f t="shared" ca="1" si="7"/>
        <v>130.57368006304176</v>
      </c>
      <c r="AM5" s="39">
        <f t="shared" ca="1" si="8"/>
        <v>136.28684003152088</v>
      </c>
      <c r="AN5" s="39">
        <f t="shared" ca="1" si="9"/>
        <v>142</v>
      </c>
      <c r="AO5" s="39">
        <f t="shared" ca="1" si="0"/>
        <v>147.71315996847912</v>
      </c>
      <c r="AP5" s="39">
        <f t="shared" ca="1" si="1"/>
        <v>153.42631993695824</v>
      </c>
      <c r="AQ5" s="39">
        <f t="shared" ca="1" si="2"/>
        <v>159.13947990543736</v>
      </c>
      <c r="AR5" s="5">
        <f t="shared" ca="1" si="10"/>
        <v>142</v>
      </c>
      <c r="AS5" s="5">
        <f t="shared" ca="1" si="3"/>
        <v>155.30000000000001</v>
      </c>
      <c r="AT5" s="5">
        <f t="shared" ca="1" si="11"/>
        <v>0</v>
      </c>
    </row>
    <row r="6" spans="1:46" x14ac:dyDescent="0.25">
      <c r="B6" s="67" t="s">
        <v>120</v>
      </c>
      <c r="C6" s="35">
        <v>2</v>
      </c>
      <c r="D6" s="67" t="e">
        <f ca="1">IF(AND(G5&lt;=42,MaxRows-(G5+$C$4-1)&gt;10,SPC_Type="1+ Seasons"),C5+D5,NA())</f>
        <v>#N/A</v>
      </c>
      <c r="E6" s="67" t="e">
        <f ca="1">D6</f>
        <v>#N/A</v>
      </c>
      <c r="F6" s="67" t="e">
        <f ca="1">IF(ISNA(D6),NA(),1)</f>
        <v>#N/A</v>
      </c>
      <c r="K6" s="67">
        <v>3</v>
      </c>
      <c r="L6" s="67" t="str">
        <f ca="1">IFERROR(D8,"")</f>
        <v/>
      </c>
      <c r="M6" s="67">
        <f ca="1">IFERROR(H9+L6-1,0)</f>
        <v>0</v>
      </c>
      <c r="N6" s="67" t="str">
        <f ca="1">Sigma3</f>
        <v/>
      </c>
      <c r="O6" s="67" t="str">
        <f ca="1">Mean3</f>
        <v/>
      </c>
      <c r="P6" s="5" t="str">
        <f ca="1">PercLower3</f>
        <v/>
      </c>
      <c r="Q6" s="5" t="str">
        <f ca="1">PercUpper3</f>
        <v/>
      </c>
      <c r="R6" s="67" t="str">
        <f ca="1">Emergency3</f>
        <v/>
      </c>
      <c r="S6" s="5" t="str">
        <f ca="1">IF(M10&gt;=3,O6*H9,"")</f>
        <v/>
      </c>
      <c r="AG6" s="67">
        <f t="shared" ca="1" si="12"/>
        <v>14</v>
      </c>
      <c r="AH6" s="67">
        <v>5</v>
      </c>
      <c r="AI6" s="67">
        <f t="shared" ca="1" si="4"/>
        <v>1</v>
      </c>
      <c r="AJ6" s="39">
        <f t="shared" ca="1" si="5"/>
        <v>5.7131599684791183</v>
      </c>
      <c r="AK6" s="39">
        <f t="shared" ca="1" si="6"/>
        <v>124.86052009456264</v>
      </c>
      <c r="AL6" s="39">
        <f t="shared" ca="1" si="7"/>
        <v>130.57368006304176</v>
      </c>
      <c r="AM6" s="39">
        <f t="shared" ca="1" si="8"/>
        <v>136.28684003152088</v>
      </c>
      <c r="AN6" s="39">
        <f t="shared" ca="1" si="9"/>
        <v>142</v>
      </c>
      <c r="AO6" s="39">
        <f t="shared" ca="1" si="0"/>
        <v>147.71315996847912</v>
      </c>
      <c r="AP6" s="39">
        <f t="shared" ca="1" si="1"/>
        <v>153.42631993695824</v>
      </c>
      <c r="AQ6" s="39">
        <f t="shared" ca="1" si="2"/>
        <v>159.13947990543736</v>
      </c>
      <c r="AR6" s="5">
        <f t="shared" ca="1" si="10"/>
        <v>142</v>
      </c>
      <c r="AS6" s="5">
        <f t="shared" ca="1" si="3"/>
        <v>155.30000000000001</v>
      </c>
      <c r="AT6" s="5">
        <f t="shared" ca="1" si="11"/>
        <v>0</v>
      </c>
    </row>
    <row r="7" spans="1:46" x14ac:dyDescent="0.25">
      <c r="B7" s="67" t="s">
        <v>121</v>
      </c>
      <c r="C7" s="67">
        <v>25</v>
      </c>
      <c r="D7" s="67" t="e">
        <f ca="1">IF(AND(C6=2,ISNA(D6)=FALSE),D6+9,NA())</f>
        <v>#N/A</v>
      </c>
      <c r="E7" s="67" t="e">
        <f ca="1">IF(ISNA(D7),NA(),MIN($C$4+52,MaxRows))</f>
        <v>#N/A</v>
      </c>
      <c r="F7" s="67" t="e">
        <f ca="1">IF(ISNA(D6),NA(),E7-D7+1)</f>
        <v>#N/A</v>
      </c>
      <c r="G7" s="67" t="e">
        <f ca="1">IFERROR(G5+H7,NA())</f>
        <v>#N/A</v>
      </c>
      <c r="H7" s="67" t="str">
        <f ca="1">IFERROR(MIN(MaxRows+1-G5-C4,D7+C7-D6,52-G5),"")</f>
        <v/>
      </c>
      <c r="I7" s="67">
        <f ca="1">IFERROR(G7,I5)</f>
        <v>10</v>
      </c>
      <c r="K7" s="67">
        <v>4</v>
      </c>
      <c r="L7" s="67" t="str">
        <f ca="1">IFERROR(D10,"")</f>
        <v/>
      </c>
      <c r="M7" s="67">
        <f ca="1">IFERROR(H11+L7-1,0)</f>
        <v>0</v>
      </c>
      <c r="N7" s="67" t="str">
        <f ca="1">Sigma4</f>
        <v/>
      </c>
      <c r="O7" s="67" t="str">
        <f ca="1">Mean4</f>
        <v/>
      </c>
      <c r="P7" s="5" t="str">
        <f ca="1">PercLower4</f>
        <v/>
      </c>
      <c r="Q7" s="5" t="str">
        <f ca="1">PercUpper4</f>
        <v/>
      </c>
      <c r="R7" s="67" t="str">
        <f ca="1">Emergency4</f>
        <v/>
      </c>
      <c r="S7" s="5" t="str">
        <f ca="1">IF(M10&gt;=4,O7*H11,"")</f>
        <v/>
      </c>
      <c r="AG7" s="67">
        <f t="shared" ca="1" si="12"/>
        <v>15</v>
      </c>
      <c r="AH7" s="67">
        <v>6</v>
      </c>
      <c r="AI7" s="67">
        <f t="shared" ca="1" si="4"/>
        <v>1</v>
      </c>
      <c r="AJ7" s="39">
        <f t="shared" ca="1" si="5"/>
        <v>5.7131599684791183</v>
      </c>
      <c r="AK7" s="39">
        <f t="shared" ca="1" si="6"/>
        <v>124.86052009456264</v>
      </c>
      <c r="AL7" s="39">
        <f t="shared" ca="1" si="7"/>
        <v>130.57368006304176</v>
      </c>
      <c r="AM7" s="39">
        <f t="shared" ca="1" si="8"/>
        <v>136.28684003152088</v>
      </c>
      <c r="AN7" s="39">
        <f t="shared" ca="1" si="9"/>
        <v>142</v>
      </c>
      <c r="AO7" s="39">
        <f t="shared" ca="1" si="0"/>
        <v>147.71315996847912</v>
      </c>
      <c r="AP7" s="39">
        <f t="shared" ca="1" si="1"/>
        <v>153.42631993695824</v>
      </c>
      <c r="AQ7" s="39">
        <f t="shared" ca="1" si="2"/>
        <v>159.13947990543736</v>
      </c>
      <c r="AR7" s="5">
        <f t="shared" ca="1" si="10"/>
        <v>142</v>
      </c>
      <c r="AS7" s="5">
        <f t="shared" ca="1" si="3"/>
        <v>155.30000000000001</v>
      </c>
      <c r="AT7" s="5">
        <f t="shared" ca="1" si="11"/>
        <v>0</v>
      </c>
    </row>
    <row r="8" spans="1:46" x14ac:dyDescent="0.25">
      <c r="B8" s="67" t="s">
        <v>122</v>
      </c>
      <c r="C8" s="35">
        <v>2</v>
      </c>
      <c r="D8" s="67" t="e">
        <f ca="1">IF(AND(G7&lt;=42,MaxRows-(G7+$C$4-1)&gt;10),C7+D7,NA())</f>
        <v>#N/A</v>
      </c>
      <c r="E8" s="67" t="e">
        <f ca="1">D8</f>
        <v>#N/A</v>
      </c>
      <c r="F8" s="67" t="e">
        <f ca="1">IF(ISNA(D8),NA(),1)</f>
        <v>#N/A</v>
      </c>
      <c r="K8" s="67">
        <v>5</v>
      </c>
      <c r="L8" s="67">
        <f ca="1">MATCH(5,$AI$2:$AI$54,0)</f>
        <v>11</v>
      </c>
      <c r="M8" s="67">
        <f ca="1">IF(L8&gt;0,52,0)</f>
        <v>52</v>
      </c>
      <c r="N8" s="70">
        <f ca="1">IF(L8&gt;0,INDIRECT("Sigma"&amp;$M$11),"")</f>
        <v>5.7131599684791183</v>
      </c>
      <c r="O8" s="70">
        <f ca="1">IF(M8&gt;0,INDIRECT("Mean"&amp;$M$11),"")</f>
        <v>142</v>
      </c>
      <c r="P8" s="67">
        <f ca="1">IF(N8&gt;0,INDIRECT("PercLower"&amp;$M$11),"")</f>
        <v>142</v>
      </c>
      <c r="Q8" s="67">
        <f ca="1">IF(O8&gt;0,INDIRECT("PercUpper"&amp;$M$11),"")</f>
        <v>155.30000000000001</v>
      </c>
      <c r="R8" s="67">
        <f ca="1">IF(O8&gt;0,INDIRECT("Emergency"&amp;$M$11),"")</f>
        <v>0</v>
      </c>
      <c r="S8" s="5"/>
      <c r="AG8" s="67">
        <f t="shared" ca="1" si="12"/>
        <v>16</v>
      </c>
      <c r="AH8" s="67">
        <v>7</v>
      </c>
      <c r="AI8" s="67">
        <f t="shared" ca="1" si="4"/>
        <v>1</v>
      </c>
      <c r="AJ8" s="39">
        <f t="shared" ca="1" si="5"/>
        <v>5.7131599684791183</v>
      </c>
      <c r="AK8" s="39">
        <f t="shared" ca="1" si="6"/>
        <v>124.86052009456264</v>
      </c>
      <c r="AL8" s="39">
        <f t="shared" ca="1" si="7"/>
        <v>130.57368006304176</v>
      </c>
      <c r="AM8" s="39">
        <f t="shared" ca="1" si="8"/>
        <v>136.28684003152088</v>
      </c>
      <c r="AN8" s="39">
        <f t="shared" ca="1" si="9"/>
        <v>142</v>
      </c>
      <c r="AO8" s="39">
        <f t="shared" ca="1" si="0"/>
        <v>147.71315996847912</v>
      </c>
      <c r="AP8" s="39">
        <f t="shared" ca="1" si="1"/>
        <v>153.42631993695824</v>
      </c>
      <c r="AQ8" s="39">
        <f t="shared" ca="1" si="2"/>
        <v>159.13947990543736</v>
      </c>
      <c r="AR8" s="5">
        <f t="shared" ca="1" si="10"/>
        <v>142</v>
      </c>
      <c r="AS8" s="5">
        <f t="shared" ca="1" si="3"/>
        <v>155.30000000000001</v>
      </c>
      <c r="AT8" s="5">
        <f t="shared" ca="1" si="11"/>
        <v>0</v>
      </c>
    </row>
    <row r="9" spans="1:46" x14ac:dyDescent="0.25">
      <c r="B9" s="67" t="s">
        <v>123</v>
      </c>
      <c r="C9" s="67">
        <v>1</v>
      </c>
      <c r="D9" s="67" t="e">
        <f ca="1">IF(AND(C8=2,ISNA(D8)=FALSE),D8+9,NA())</f>
        <v>#N/A</v>
      </c>
      <c r="E9" s="67" t="e">
        <f ca="1">IF(ISNA(D9),NA(),MIN($C$4+52,MaxRows))</f>
        <v>#N/A</v>
      </c>
      <c r="F9" s="67" t="e">
        <f ca="1">IF(ISNA(D8),NA(),E9-D9+1)</f>
        <v>#N/A</v>
      </c>
      <c r="G9" s="67" t="e">
        <f ca="1">IFERROR(G7+H9,NA())</f>
        <v>#N/A</v>
      </c>
      <c r="H9" s="67" t="str">
        <f ca="1">IFERROR(MIN((MaxRows+1-G7-C4),(D9+C9-D8),52-G7),"")</f>
        <v/>
      </c>
      <c r="I9" s="67">
        <f ca="1">IFERROR(G9,I7)</f>
        <v>10</v>
      </c>
      <c r="S9" s="5"/>
      <c r="AG9" s="67">
        <f t="shared" ca="1" si="12"/>
        <v>17</v>
      </c>
      <c r="AH9" s="67">
        <v>8</v>
      </c>
      <c r="AI9" s="67">
        <f t="shared" ca="1" si="4"/>
        <v>1</v>
      </c>
      <c r="AJ9" s="39">
        <f t="shared" ca="1" si="5"/>
        <v>5.7131599684791183</v>
      </c>
      <c r="AK9" s="39">
        <f t="shared" ca="1" si="6"/>
        <v>124.86052009456264</v>
      </c>
      <c r="AL9" s="39">
        <f t="shared" ca="1" si="7"/>
        <v>130.57368006304176</v>
      </c>
      <c r="AM9" s="39">
        <f t="shared" ca="1" si="8"/>
        <v>136.28684003152088</v>
      </c>
      <c r="AN9" s="39">
        <f t="shared" ca="1" si="9"/>
        <v>142</v>
      </c>
      <c r="AO9" s="39">
        <f t="shared" ca="1" si="0"/>
        <v>147.71315996847912</v>
      </c>
      <c r="AP9" s="39">
        <f t="shared" ca="1" si="1"/>
        <v>153.42631993695824</v>
      </c>
      <c r="AQ9" s="39">
        <f t="shared" ca="1" si="2"/>
        <v>159.13947990543736</v>
      </c>
      <c r="AR9" s="5">
        <f t="shared" ca="1" si="10"/>
        <v>142</v>
      </c>
      <c r="AS9" s="5">
        <f t="shared" ca="1" si="3"/>
        <v>155.30000000000001</v>
      </c>
      <c r="AT9" s="5">
        <f t="shared" ca="1" si="11"/>
        <v>0</v>
      </c>
    </row>
    <row r="10" spans="1:46" x14ac:dyDescent="0.25">
      <c r="B10" s="67" t="s">
        <v>124</v>
      </c>
      <c r="C10" s="35">
        <v>2</v>
      </c>
      <c r="D10" s="67" t="e">
        <f ca="1">IF(AND(G9&lt;=42,MaxRows-(G9+$C$4-1)&gt;10),C9+D9,NA())</f>
        <v>#N/A</v>
      </c>
      <c r="E10" s="67" t="e">
        <f ca="1">D10</f>
        <v>#N/A</v>
      </c>
      <c r="F10" s="67" t="e">
        <f ca="1">IF(ISNA(D10),NA(),1)</f>
        <v>#N/A</v>
      </c>
      <c r="L10" s="67" t="s">
        <v>160</v>
      </c>
      <c r="M10" s="67">
        <f ca="1">4-COUNTIF(M4:M7,0)</f>
        <v>1</v>
      </c>
      <c r="S10" s="5">
        <f ca="1">SUM(S4:S7)</f>
        <v>1420</v>
      </c>
      <c r="AG10" s="67">
        <f t="shared" ca="1" si="12"/>
        <v>18</v>
      </c>
      <c r="AH10" s="67">
        <v>9</v>
      </c>
      <c r="AI10" s="67">
        <f t="shared" ca="1" si="4"/>
        <v>1</v>
      </c>
      <c r="AJ10" s="39">
        <f t="shared" ca="1" si="5"/>
        <v>5.7131599684791183</v>
      </c>
      <c r="AK10" s="39">
        <f t="shared" ca="1" si="6"/>
        <v>124.86052009456264</v>
      </c>
      <c r="AL10" s="39">
        <f t="shared" ca="1" si="7"/>
        <v>130.57368006304176</v>
      </c>
      <c r="AM10" s="39">
        <f t="shared" ca="1" si="8"/>
        <v>136.28684003152088</v>
      </c>
      <c r="AN10" s="39">
        <f t="shared" ca="1" si="9"/>
        <v>142</v>
      </c>
      <c r="AO10" s="39">
        <f t="shared" ca="1" si="0"/>
        <v>147.71315996847912</v>
      </c>
      <c r="AP10" s="39">
        <f t="shared" ca="1" si="1"/>
        <v>153.42631993695824</v>
      </c>
      <c r="AQ10" s="39">
        <f t="shared" ca="1" si="2"/>
        <v>159.13947990543736</v>
      </c>
      <c r="AR10" s="5">
        <f t="shared" ca="1" si="10"/>
        <v>142</v>
      </c>
      <c r="AS10" s="5">
        <f t="shared" ca="1" si="3"/>
        <v>155.30000000000001</v>
      </c>
      <c r="AT10" s="5">
        <f t="shared" ca="1" si="11"/>
        <v>0</v>
      </c>
    </row>
    <row r="11" spans="1:46" x14ac:dyDescent="0.25">
      <c r="B11" s="67" t="s">
        <v>125</v>
      </c>
      <c r="C11" s="67">
        <v>1</v>
      </c>
      <c r="D11" s="67" t="e">
        <f ca="1">IF(AND(C10=2,ISNA(D10)=FALSE),D10+9,NA())</f>
        <v>#N/A</v>
      </c>
      <c r="E11" s="67" t="e">
        <f ca="1">IF(ISNA(D11),NA(),MIN($C$4+52,MaxRows))</f>
        <v>#N/A</v>
      </c>
      <c r="F11" s="67" t="e">
        <f ca="1">IF(ISNA(D10),NA(),E11-D11+1)</f>
        <v>#N/A</v>
      </c>
      <c r="G11" s="67" t="e">
        <f ca="1">IFERROR(G9+H11,NA())</f>
        <v>#N/A</v>
      </c>
      <c r="H11" s="67" t="str">
        <f ca="1">IFERROR(MIN((MaxRows+1-G9-C4),(D11+C11-D10),52-G9),"")</f>
        <v/>
      </c>
      <c r="I11" s="67">
        <f ca="1">IFERROR(G11,I9)</f>
        <v>10</v>
      </c>
      <c r="M11" s="67">
        <f>IF(SPC_Type="1 Season",1,IF(AND(M10=1,I11&lt;52),1,IF('SPC Chart'!C19="",1,'SPC Chart'!C19)))</f>
        <v>1</v>
      </c>
      <c r="S11" s="5">
        <f ca="1">S10/I11</f>
        <v>142</v>
      </c>
      <c r="AG11" s="67">
        <f t="shared" ca="1" si="12"/>
        <v>19</v>
      </c>
      <c r="AH11" s="67">
        <v>10</v>
      </c>
      <c r="AI11" s="67">
        <f t="shared" ca="1" si="4"/>
        <v>1</v>
      </c>
      <c r="AJ11" s="39">
        <f t="shared" ca="1" si="5"/>
        <v>5.7131599684791183</v>
      </c>
      <c r="AK11" s="39">
        <f t="shared" ca="1" si="6"/>
        <v>124.86052009456264</v>
      </c>
      <c r="AL11" s="39">
        <f t="shared" ca="1" si="7"/>
        <v>130.57368006304176</v>
      </c>
      <c r="AM11" s="39">
        <f t="shared" ca="1" si="8"/>
        <v>136.28684003152088</v>
      </c>
      <c r="AN11" s="39">
        <f t="shared" ca="1" si="9"/>
        <v>142</v>
      </c>
      <c r="AO11" s="39">
        <f t="shared" ca="1" si="0"/>
        <v>147.71315996847912</v>
      </c>
      <c r="AP11" s="39">
        <f t="shared" ca="1" si="1"/>
        <v>153.42631993695824</v>
      </c>
      <c r="AQ11" s="39">
        <f t="shared" ca="1" si="2"/>
        <v>159.13947990543736</v>
      </c>
      <c r="AR11" s="5">
        <f t="shared" ca="1" si="10"/>
        <v>142</v>
      </c>
      <c r="AS11" s="5">
        <f t="shared" ca="1" si="3"/>
        <v>155.30000000000001</v>
      </c>
      <c r="AT11" s="5">
        <f t="shared" ca="1" si="11"/>
        <v>0</v>
      </c>
    </row>
    <row r="12" spans="1:46" x14ac:dyDescent="0.25">
      <c r="S12" s="5"/>
      <c r="AG12" s="67">
        <f t="shared" ca="1" si="12"/>
        <v>20</v>
      </c>
      <c r="AH12" s="67">
        <v>11</v>
      </c>
      <c r="AI12" s="67">
        <f t="shared" ca="1" si="4"/>
        <v>5</v>
      </c>
      <c r="AJ12" s="39">
        <f t="shared" ca="1" si="5"/>
        <v>5.7131599684791183</v>
      </c>
      <c r="AK12" s="39">
        <f t="shared" ca="1" si="6"/>
        <v>124.86052009456264</v>
      </c>
      <c r="AL12" s="39">
        <f t="shared" ca="1" si="7"/>
        <v>130.57368006304176</v>
      </c>
      <c r="AM12" s="39">
        <f t="shared" ca="1" si="8"/>
        <v>136.28684003152088</v>
      </c>
      <c r="AN12" s="39">
        <f t="shared" ca="1" si="9"/>
        <v>142</v>
      </c>
      <c r="AO12" s="39">
        <f t="shared" ca="1" si="0"/>
        <v>147.71315996847912</v>
      </c>
      <c r="AP12" s="39">
        <f t="shared" ca="1" si="1"/>
        <v>153.42631993695824</v>
      </c>
      <c r="AQ12" s="39">
        <f t="shared" ca="1" si="2"/>
        <v>159.13947990543736</v>
      </c>
      <c r="AR12" s="5">
        <f t="shared" ca="1" si="10"/>
        <v>142</v>
      </c>
      <c r="AS12" s="5">
        <f t="shared" ca="1" si="3"/>
        <v>155.30000000000001</v>
      </c>
      <c r="AT12" s="5">
        <f t="shared" ca="1" si="11"/>
        <v>0</v>
      </c>
    </row>
    <row r="13" spans="1:46" x14ac:dyDescent="0.25">
      <c r="Q13" s="67" t="s">
        <v>161</v>
      </c>
      <c r="AG13" s="67">
        <f t="shared" ca="1" si="12"/>
        <v>21</v>
      </c>
      <c r="AH13" s="67">
        <v>12</v>
      </c>
      <c r="AI13" s="67">
        <f t="shared" ca="1" si="4"/>
        <v>5</v>
      </c>
      <c r="AJ13" s="39">
        <f t="shared" ca="1" si="5"/>
        <v>5.7131599684791183</v>
      </c>
      <c r="AK13" s="39">
        <f t="shared" ca="1" si="6"/>
        <v>124.86052009456264</v>
      </c>
      <c r="AL13" s="39">
        <f t="shared" ca="1" si="7"/>
        <v>130.57368006304176</v>
      </c>
      <c r="AM13" s="39">
        <f t="shared" ca="1" si="8"/>
        <v>136.28684003152088</v>
      </c>
      <c r="AN13" s="39">
        <f t="shared" ca="1" si="9"/>
        <v>142</v>
      </c>
      <c r="AO13" s="39">
        <f t="shared" ca="1" si="0"/>
        <v>147.71315996847912</v>
      </c>
      <c r="AP13" s="39">
        <f t="shared" ca="1" si="1"/>
        <v>153.42631993695824</v>
      </c>
      <c r="AQ13" s="39">
        <f t="shared" ca="1" si="2"/>
        <v>159.13947990543736</v>
      </c>
      <c r="AR13" s="5">
        <f t="shared" ca="1" si="10"/>
        <v>142</v>
      </c>
      <c r="AS13" s="5">
        <f t="shared" ca="1" si="3"/>
        <v>155.30000000000001</v>
      </c>
      <c r="AT13" s="5">
        <f t="shared" ca="1" si="11"/>
        <v>0</v>
      </c>
    </row>
    <row r="14" spans="1:46" x14ac:dyDescent="0.25">
      <c r="Q14" s="67" t="s">
        <v>171</v>
      </c>
      <c r="R14" s="67" t="s">
        <v>172</v>
      </c>
      <c r="T14" s="67" t="s">
        <v>173</v>
      </c>
      <c r="V14" s="67" t="s">
        <v>180</v>
      </c>
      <c r="X14" s="67" t="s">
        <v>179</v>
      </c>
      <c r="Z14" s="67" t="s">
        <v>174</v>
      </c>
      <c r="AC14" s="67" t="s">
        <v>162</v>
      </c>
      <c r="AG14" s="67">
        <f t="shared" ca="1" si="12"/>
        <v>22</v>
      </c>
      <c r="AH14" s="67">
        <v>13</v>
      </c>
      <c r="AI14" s="67">
        <f t="shared" ca="1" si="4"/>
        <v>5</v>
      </c>
      <c r="AJ14" s="39">
        <f t="shared" ca="1" si="5"/>
        <v>5.7131599684791183</v>
      </c>
      <c r="AK14" s="39">
        <f t="shared" ca="1" si="6"/>
        <v>124.86052009456264</v>
      </c>
      <c r="AL14" s="39">
        <f t="shared" ca="1" si="7"/>
        <v>130.57368006304176</v>
      </c>
      <c r="AM14" s="39">
        <f t="shared" ca="1" si="8"/>
        <v>136.28684003152088</v>
      </c>
      <c r="AN14" s="39">
        <f t="shared" ca="1" si="9"/>
        <v>142</v>
      </c>
      <c r="AO14" s="39">
        <f t="shared" ca="1" si="0"/>
        <v>147.71315996847912</v>
      </c>
      <c r="AP14" s="39">
        <f t="shared" ca="1" si="1"/>
        <v>153.42631993695824</v>
      </c>
      <c r="AQ14" s="39">
        <f t="shared" ca="1" si="2"/>
        <v>159.13947990543736</v>
      </c>
      <c r="AR14" s="5">
        <f t="shared" ca="1" si="10"/>
        <v>142</v>
      </c>
      <c r="AS14" s="5">
        <f t="shared" ca="1" si="3"/>
        <v>155.30000000000001</v>
      </c>
      <c r="AT14" s="5">
        <f t="shared" ca="1" si="11"/>
        <v>0</v>
      </c>
    </row>
    <row r="15" spans="1:46" x14ac:dyDescent="0.25">
      <c r="A15" s="67" t="s">
        <v>56</v>
      </c>
      <c r="B15" s="67" t="s">
        <v>150</v>
      </c>
      <c r="C15" s="67" t="s">
        <v>113</v>
      </c>
      <c r="D15" s="67" t="s">
        <v>52</v>
      </c>
      <c r="E15" s="67" t="s">
        <v>115</v>
      </c>
      <c r="F15" s="67" t="s">
        <v>116</v>
      </c>
      <c r="G15" s="67" t="s">
        <v>117</v>
      </c>
      <c r="H15" s="67" t="s">
        <v>139</v>
      </c>
      <c r="I15" s="67" t="s">
        <v>151</v>
      </c>
      <c r="J15" s="67" t="s">
        <v>140</v>
      </c>
      <c r="K15" s="67" t="s">
        <v>141</v>
      </c>
      <c r="L15" s="67" t="s">
        <v>142</v>
      </c>
      <c r="M15" s="67" t="s">
        <v>143</v>
      </c>
      <c r="N15" s="67" t="s">
        <v>144</v>
      </c>
      <c r="O15" s="67" t="s">
        <v>145</v>
      </c>
      <c r="P15" s="67" t="s">
        <v>146</v>
      </c>
      <c r="Q15" s="67">
        <v>1</v>
      </c>
      <c r="R15" s="67" t="s">
        <v>168</v>
      </c>
      <c r="S15" s="67">
        <v>2</v>
      </c>
      <c r="T15" s="67" t="s">
        <v>183</v>
      </c>
      <c r="U15" s="67" t="s">
        <v>182</v>
      </c>
      <c r="V15" s="67" t="s">
        <v>169</v>
      </c>
      <c r="W15" s="67">
        <v>4</v>
      </c>
      <c r="X15" s="67" t="s">
        <v>170</v>
      </c>
      <c r="Y15" s="67">
        <v>3</v>
      </c>
      <c r="Z15" s="67" t="s">
        <v>182</v>
      </c>
      <c r="AA15" s="67" t="s">
        <v>287</v>
      </c>
      <c r="AC15" s="67" t="s">
        <v>165</v>
      </c>
      <c r="AD15" s="67" t="s">
        <v>166</v>
      </c>
      <c r="AG15" s="67">
        <f t="shared" ca="1" si="12"/>
        <v>23</v>
      </c>
      <c r="AH15" s="67">
        <v>14</v>
      </c>
      <c r="AI15" s="67">
        <f t="shared" ca="1" si="4"/>
        <v>5</v>
      </c>
      <c r="AJ15" s="39">
        <f t="shared" ca="1" si="5"/>
        <v>5.7131599684791183</v>
      </c>
      <c r="AK15" s="39">
        <f t="shared" ca="1" si="6"/>
        <v>124.86052009456264</v>
      </c>
      <c r="AL15" s="39">
        <f t="shared" ca="1" si="7"/>
        <v>130.57368006304176</v>
      </c>
      <c r="AM15" s="39">
        <f t="shared" ca="1" si="8"/>
        <v>136.28684003152088</v>
      </c>
      <c r="AN15" s="39">
        <f t="shared" ca="1" si="9"/>
        <v>142</v>
      </c>
      <c r="AO15" s="39">
        <f t="shared" ca="1" si="0"/>
        <v>147.71315996847912</v>
      </c>
      <c r="AP15" s="39">
        <f t="shared" ca="1" si="1"/>
        <v>153.42631993695824</v>
      </c>
      <c r="AQ15" s="39">
        <f t="shared" ca="1" si="2"/>
        <v>159.13947990543736</v>
      </c>
      <c r="AR15" s="5">
        <f t="shared" ca="1" si="10"/>
        <v>142</v>
      </c>
      <c r="AS15" s="5">
        <f t="shared" ca="1" si="3"/>
        <v>155.30000000000001</v>
      </c>
      <c r="AT15" s="5">
        <f t="shared" ca="1" si="11"/>
        <v>0</v>
      </c>
    </row>
    <row r="16" spans="1:46" x14ac:dyDescent="0.25">
      <c r="A16" s="67">
        <f>Demand!C13</f>
        <v>10</v>
      </c>
      <c r="B16" s="67">
        <v>1</v>
      </c>
      <c r="C16" s="5">
        <f ca="1">'Demand background (hide)'!Y4</f>
        <v>122</v>
      </c>
      <c r="D16" s="67">
        <f>IF(AND($B16&gt;=$C$4,$B16&lt;=$D$5+$C$5-1),1,0)</f>
        <v>1</v>
      </c>
      <c r="E16" s="67" t="e">
        <f ca="1">IF(AND($B16&gt;=$D$6,$B16&lt;=$D$7+$C$7-1),1,0)</f>
        <v>#N/A</v>
      </c>
      <c r="F16" s="67" t="e">
        <f ca="1">IF(AND($B16&gt;=$D$8,$B16&lt;=$D$9+$C$9-1),1,0)</f>
        <v>#N/A</v>
      </c>
      <c r="G16" s="67" t="e">
        <f ca="1">IF(AND($B16&gt;=$D$10,$B16&lt;=$D$11+$C$11-1),1,0)</f>
        <v>#N/A</v>
      </c>
      <c r="H16" s="67" t="e">
        <f>IF('Demand background (hide)'!AN4&lt;&gt;"",'SPC background (hide)'!C16,NA())</f>
        <v>#N/A</v>
      </c>
      <c r="I16" s="67">
        <f ca="1">VLOOKUP(A16,$AG$2:$AI$54,3,0)</f>
        <v>1</v>
      </c>
      <c r="J16" s="5">
        <f t="shared" ref="J16:P16" ca="1" si="13">VLOOKUP($A16,$AG$2:$AQ$54,COLUMN(E$1),0)</f>
        <v>124.86052009456264</v>
      </c>
      <c r="K16" s="5">
        <f t="shared" ca="1" si="13"/>
        <v>130.57368006304176</v>
      </c>
      <c r="L16" s="5">
        <f t="shared" ca="1" si="13"/>
        <v>136.28684003152088</v>
      </c>
      <c r="M16" s="5">
        <f t="shared" ca="1" si="13"/>
        <v>142</v>
      </c>
      <c r="N16" s="5">
        <f t="shared" ca="1" si="13"/>
        <v>147.71315996847912</v>
      </c>
      <c r="O16" s="5">
        <f t="shared" ca="1" si="13"/>
        <v>153.42631993695824</v>
      </c>
      <c r="P16" s="5">
        <f t="shared" ca="1" si="13"/>
        <v>159.13947990543736</v>
      </c>
      <c r="Q16" s="5">
        <f ca="1">IF(ISNA(H16)=TRUE,IF(OR(C16&gt;P16,C16&lt;J16),C16,NA()),NA())</f>
        <v>122</v>
      </c>
      <c r="V16" s="5">
        <f t="shared" ref="V16:V79" ca="1" si="14">IF(C16&lt;M16,-1,IF(C16&gt;M16,1,0))</f>
        <v>-1</v>
      </c>
      <c r="W16" s="5" t="e">
        <f ca="1">IF(ISNA(H16)=TRUE,IF(ABS(SUM(V16:V24))=9,C16,NA()),NA())</f>
        <v>#N/A</v>
      </c>
      <c r="AA16" s="5" t="str">
        <f>IF(Setup!$I$15="Yes",'Demand background (hide)'!AJ4+'SPC background (hide)'!C16,"")</f>
        <v/>
      </c>
      <c r="AC16" s="5">
        <f ca="1">VLOOKUP($A16,$AG$2:$AS$54,12,0)</f>
        <v>142</v>
      </c>
      <c r="AD16" s="5">
        <f ca="1">VLOOKUP($A16,$AG$2:$AS$54,13,0)</f>
        <v>155.30000000000001</v>
      </c>
      <c r="AG16" s="67">
        <f t="shared" ca="1" si="12"/>
        <v>24</v>
      </c>
      <c r="AH16" s="67">
        <v>15</v>
      </c>
      <c r="AI16" s="67">
        <f t="shared" ca="1" si="4"/>
        <v>5</v>
      </c>
      <c r="AJ16" s="39">
        <f t="shared" ca="1" si="5"/>
        <v>5.7131599684791183</v>
      </c>
      <c r="AK16" s="39">
        <f t="shared" ca="1" si="6"/>
        <v>124.86052009456264</v>
      </c>
      <c r="AL16" s="39">
        <f t="shared" ca="1" si="7"/>
        <v>130.57368006304176</v>
      </c>
      <c r="AM16" s="39">
        <f t="shared" ca="1" si="8"/>
        <v>136.28684003152088</v>
      </c>
      <c r="AN16" s="39">
        <f t="shared" ca="1" si="9"/>
        <v>142</v>
      </c>
      <c r="AO16" s="39">
        <f t="shared" ca="1" si="0"/>
        <v>147.71315996847912</v>
      </c>
      <c r="AP16" s="39">
        <f t="shared" ca="1" si="1"/>
        <v>153.42631993695824</v>
      </c>
      <c r="AQ16" s="39">
        <f t="shared" ca="1" si="2"/>
        <v>159.13947990543736</v>
      </c>
      <c r="AR16" s="5">
        <f t="shared" ca="1" si="10"/>
        <v>142</v>
      </c>
      <c r="AS16" s="5">
        <f t="shared" ca="1" si="3"/>
        <v>155.30000000000001</v>
      </c>
      <c r="AT16" s="5">
        <f t="shared" ca="1" si="11"/>
        <v>0</v>
      </c>
    </row>
    <row r="17" spans="1:46" x14ac:dyDescent="0.25">
      <c r="A17" s="67">
        <f ca="1">Demand!C14</f>
        <v>11</v>
      </c>
      <c r="B17" s="67">
        <v>2</v>
      </c>
      <c r="C17" s="5">
        <f ca="1">'Demand background (hide)'!Y5</f>
        <v>124</v>
      </c>
      <c r="D17" s="67">
        <f t="shared" ref="D17:D80" si="15">IF(AND($B17&gt;=$C$4,$B17&lt;=$D$5+$C$5-1),1,0)</f>
        <v>1</v>
      </c>
      <c r="E17" s="67" t="e">
        <f t="shared" ref="E17:E80" ca="1" si="16">IF(AND($B17&gt;=$D$6,$B17&lt;=$D$7+$C$7-1),1,0)</f>
        <v>#N/A</v>
      </c>
      <c r="F17" s="67" t="e">
        <f t="shared" ref="F17:F80" ca="1" si="17">IF(AND($B17&gt;=$D$8,$B17&lt;=$D$9+$C$9-1),1,0)</f>
        <v>#N/A</v>
      </c>
      <c r="G17" s="67" t="e">
        <f t="shared" ref="G17:G80" ca="1" si="18">IF(AND($B17&gt;=$D$10,$B17&lt;=$D$11+$C$11-1),1,0)</f>
        <v>#N/A</v>
      </c>
      <c r="H17" s="67" t="e">
        <f>IF('Demand background (hide)'!AN5&lt;&gt;"",'SPC background (hide)'!C17,NA())</f>
        <v>#N/A</v>
      </c>
      <c r="I17" s="67">
        <f t="shared" ref="I17:I80" ca="1" si="19">VLOOKUP(A17,$AG$2:$AI$54,3,0)</f>
        <v>1</v>
      </c>
      <c r="J17" s="5">
        <f t="shared" ref="J17:J80" ca="1" si="20">VLOOKUP($A17,$AG$2:$AQ$54,COLUMN(E$1),0)</f>
        <v>124.86052009456264</v>
      </c>
      <c r="K17" s="5">
        <f t="shared" ref="K17:K80" ca="1" si="21">VLOOKUP($A17,$AG$2:$AQ$54,COLUMN(F$1),0)</f>
        <v>130.57368006304176</v>
      </c>
      <c r="L17" s="5">
        <f t="shared" ref="L17:L80" ca="1" si="22">VLOOKUP($A17,$AG$2:$AQ$54,COLUMN(G$1),0)</f>
        <v>136.28684003152088</v>
      </c>
      <c r="M17" s="5">
        <f t="shared" ref="M17:M80" ca="1" si="23">VLOOKUP($A17,$AG$2:$AQ$54,COLUMN(H$1),0)</f>
        <v>142</v>
      </c>
      <c r="N17" s="5">
        <f t="shared" ref="N17:N80" ca="1" si="24">VLOOKUP($A17,$AG$2:$AQ$54,COLUMN(I$1),0)</f>
        <v>147.71315996847912</v>
      </c>
      <c r="O17" s="5">
        <f t="shared" ref="O17:O80" ca="1" si="25">VLOOKUP($A17,$AG$2:$AQ$54,COLUMN(J$1),0)</f>
        <v>153.42631993695824</v>
      </c>
      <c r="P17" s="5">
        <f t="shared" ref="P17:P80" ca="1" si="26">VLOOKUP($A17,$AG$2:$AQ$54,COLUMN(K$1),0)</f>
        <v>159.13947990543736</v>
      </c>
      <c r="Q17" s="5">
        <f t="shared" ref="Q17:Q80" ca="1" si="27">IF(ISNA(H17)=TRUE,IF(OR(C17&gt;P17,C17&lt;J17),C17,NA()),NA())</f>
        <v>124</v>
      </c>
      <c r="R17" s="5">
        <f ca="1">IF(C17&gt;O17,2,IF(C17&lt;K17,-2,IF(C17&gt;M17,1,IF(C17&lt;M17,-1,0))))</f>
        <v>-2</v>
      </c>
      <c r="S17" s="67" t="e">
        <f ca="1">IF(ISNA(H17),IF(ABS(SUM(R17:R19))&gt;=5,C17,NA()),NA())</f>
        <v>#N/A</v>
      </c>
      <c r="T17" s="67">
        <f ca="1">IF(C17&gt;N17,2,IF(C17&lt;L17,-2,IF(C17&gt;M17,1,IF(C17&lt;M17,-1,0))))</f>
        <v>-2</v>
      </c>
      <c r="U17" s="67" t="e">
        <f ca="1">IF(ISNA(H17)=TRUE,IF(ABS(SUM(T17:T21))&gt;=9,C17,NA()),NA())</f>
        <v>#N/A</v>
      </c>
      <c r="V17" s="5">
        <f t="shared" ca="1" si="14"/>
        <v>-1</v>
      </c>
      <c r="W17" s="5" t="e">
        <f t="shared" ref="W17:W80" ca="1" si="28">IF(ISNA(H17)=TRUE,IF(ABS(SUM(V17:V25))=9,C17,NA()),NA())</f>
        <v>#N/A</v>
      </c>
      <c r="X17" s="67">
        <f t="shared" ref="X17:X80" ca="1" si="29">IF(C17&gt;C16,1,IF(C17&lt;C16,-1,0))</f>
        <v>1</v>
      </c>
      <c r="Y17" s="67" t="e">
        <f ca="1">IF(ISNA(H17)=TRUE,IF(ABS(SUM(X17:X22))=6,C17,NA()),NA())</f>
        <v>#N/A</v>
      </c>
      <c r="Z17" s="67" t="e">
        <f ca="1">IF(ISNA(H17)=TRUE,IF(AND(ABS(SUM(T17:T24))=8,SUM(T17:T24)&lt;ABS(SUM(T17:T24))),C17,NA()),NA())</f>
        <v>#N/A</v>
      </c>
      <c r="AA17" s="5" t="str">
        <f>IF(Setup!$I$15="Yes",'Demand background (hide)'!AJ5+'SPC background (hide)'!C17,"")</f>
        <v/>
      </c>
      <c r="AC17" s="5">
        <f t="shared" ref="AC17:AC80" ca="1" si="30">VLOOKUP($A17,$AG$2:$AS$54,12,0)</f>
        <v>142</v>
      </c>
      <c r="AD17" s="5">
        <f t="shared" ref="AD17:AD80" ca="1" si="31">VLOOKUP($A17,$AG$2:$AS$54,13,0)</f>
        <v>155.30000000000001</v>
      </c>
      <c r="AG17" s="67">
        <f t="shared" ca="1" si="12"/>
        <v>25</v>
      </c>
      <c r="AH17" s="67">
        <v>16</v>
      </c>
      <c r="AI17" s="67">
        <f t="shared" ca="1" si="4"/>
        <v>5</v>
      </c>
      <c r="AJ17" s="39">
        <f t="shared" ca="1" si="5"/>
        <v>5.7131599684791183</v>
      </c>
      <c r="AK17" s="39">
        <f t="shared" ca="1" si="6"/>
        <v>124.86052009456264</v>
      </c>
      <c r="AL17" s="39">
        <f t="shared" ca="1" si="7"/>
        <v>130.57368006304176</v>
      </c>
      <c r="AM17" s="39">
        <f t="shared" ca="1" si="8"/>
        <v>136.28684003152088</v>
      </c>
      <c r="AN17" s="39">
        <f t="shared" ca="1" si="9"/>
        <v>142</v>
      </c>
      <c r="AO17" s="39">
        <f t="shared" ca="1" si="0"/>
        <v>147.71315996847912</v>
      </c>
      <c r="AP17" s="39">
        <f t="shared" ca="1" si="1"/>
        <v>153.42631993695824</v>
      </c>
      <c r="AQ17" s="39">
        <f t="shared" ca="1" si="2"/>
        <v>159.13947990543736</v>
      </c>
      <c r="AR17" s="5">
        <f t="shared" ca="1" si="10"/>
        <v>142</v>
      </c>
      <c r="AS17" s="5">
        <f t="shared" ca="1" si="3"/>
        <v>155.30000000000001</v>
      </c>
      <c r="AT17" s="5">
        <f t="shared" ca="1" si="11"/>
        <v>0</v>
      </c>
    </row>
    <row r="18" spans="1:46" x14ac:dyDescent="0.25">
      <c r="A18" s="67">
        <f ca="1">Demand!C15</f>
        <v>12</v>
      </c>
      <c r="B18" s="67">
        <v>3</v>
      </c>
      <c r="C18" s="5">
        <f ca="1">'Demand background (hide)'!Y6</f>
        <v>138</v>
      </c>
      <c r="D18" s="67">
        <f t="shared" si="15"/>
        <v>1</v>
      </c>
      <c r="E18" s="67" t="e">
        <f t="shared" ca="1" si="16"/>
        <v>#N/A</v>
      </c>
      <c r="F18" s="67" t="e">
        <f t="shared" ca="1" si="17"/>
        <v>#N/A</v>
      </c>
      <c r="G18" s="67" t="e">
        <f t="shared" ca="1" si="18"/>
        <v>#N/A</v>
      </c>
      <c r="H18" s="67" t="e">
        <f>IF('Demand background (hide)'!AN6&lt;&gt;"",'SPC background (hide)'!C18,NA())</f>
        <v>#N/A</v>
      </c>
      <c r="I18" s="67">
        <f t="shared" ca="1" si="19"/>
        <v>1</v>
      </c>
      <c r="J18" s="5">
        <f t="shared" ca="1" si="20"/>
        <v>124.86052009456264</v>
      </c>
      <c r="K18" s="5">
        <f t="shared" ca="1" si="21"/>
        <v>130.57368006304176</v>
      </c>
      <c r="L18" s="5">
        <f t="shared" ca="1" si="22"/>
        <v>136.28684003152088</v>
      </c>
      <c r="M18" s="5">
        <f t="shared" ca="1" si="23"/>
        <v>142</v>
      </c>
      <c r="N18" s="5">
        <f t="shared" ca="1" si="24"/>
        <v>147.71315996847912</v>
      </c>
      <c r="O18" s="5">
        <f t="shared" ca="1" si="25"/>
        <v>153.42631993695824</v>
      </c>
      <c r="P18" s="5">
        <f t="shared" ca="1" si="26"/>
        <v>159.13947990543736</v>
      </c>
      <c r="Q18" s="5" t="e">
        <f t="shared" ca="1" si="27"/>
        <v>#N/A</v>
      </c>
      <c r="R18" s="5">
        <f t="shared" ref="R18:R81" ca="1" si="32">IF(C18&gt;O18,2,IF(C18&lt;K18,-2,IF(C18&gt;M18,1,IF(C18&lt;M18,-1,0))))</f>
        <v>-1</v>
      </c>
      <c r="S18" s="67" t="e">
        <f t="shared" ref="S18:S81" ca="1" si="33">IF(ISNA(H18),IF(ABS(SUM(R18:R20))&gt;=5,C18,NA()),NA())</f>
        <v>#N/A</v>
      </c>
      <c r="T18" s="67">
        <f t="shared" ref="T18:T81" ca="1" si="34">IF(C18&gt;N18,2,IF(C18&lt;L18,-2,IF(C18&gt;M18,1,IF(C18&lt;M18,-1,0))))</f>
        <v>-1</v>
      </c>
      <c r="U18" s="67" t="e">
        <f t="shared" ref="U18:U81" ca="1" si="35">IF(ISNA(H18)=TRUE,IF(ABS(SUM(T18:T22))&gt;=9,C18,NA()),NA())</f>
        <v>#N/A</v>
      </c>
      <c r="V18" s="5">
        <f t="shared" ca="1" si="14"/>
        <v>-1</v>
      </c>
      <c r="W18" s="5" t="e">
        <f t="shared" ca="1" si="28"/>
        <v>#N/A</v>
      </c>
      <c r="X18" s="67">
        <f t="shared" ca="1" si="29"/>
        <v>1</v>
      </c>
      <c r="Y18" s="67" t="e">
        <f t="shared" ref="Y18:Y81" ca="1" si="36">IF(ISNA(H18)=TRUE,IF(ABS(SUM(X18:X23))=6,C18,NA()),NA())</f>
        <v>#N/A</v>
      </c>
      <c r="Z18" s="67" t="e">
        <f t="shared" ref="Z18:Z81" ca="1" si="37">IF(ISNA(H18)=TRUE,IF(AND(ABS(SUM(T18:T25))=8,SUM(T18:T25)&lt;ABS(SUM(T18:T25))),C18,NA()),NA())</f>
        <v>#N/A</v>
      </c>
      <c r="AA18" s="5" t="str">
        <f>IF(Setup!$I$15="Yes",'Demand background (hide)'!AJ6+'SPC background (hide)'!C18,"")</f>
        <v/>
      </c>
      <c r="AC18" s="5">
        <f t="shared" ca="1" si="30"/>
        <v>142</v>
      </c>
      <c r="AD18" s="5">
        <f t="shared" ca="1" si="31"/>
        <v>155.30000000000001</v>
      </c>
      <c r="AG18" s="67">
        <f t="shared" ca="1" si="12"/>
        <v>26</v>
      </c>
      <c r="AH18" s="67">
        <v>17</v>
      </c>
      <c r="AI18" s="67">
        <f t="shared" ca="1" si="4"/>
        <v>5</v>
      </c>
      <c r="AJ18" s="39">
        <f t="shared" ca="1" si="5"/>
        <v>5.7131599684791183</v>
      </c>
      <c r="AK18" s="39">
        <f t="shared" ca="1" si="6"/>
        <v>124.86052009456264</v>
      </c>
      <c r="AL18" s="39">
        <f t="shared" ca="1" si="7"/>
        <v>130.57368006304176</v>
      </c>
      <c r="AM18" s="39">
        <f t="shared" ca="1" si="8"/>
        <v>136.28684003152088</v>
      </c>
      <c r="AN18" s="39">
        <f t="shared" ca="1" si="9"/>
        <v>142</v>
      </c>
      <c r="AO18" s="39">
        <f t="shared" ca="1" si="0"/>
        <v>147.71315996847912</v>
      </c>
      <c r="AP18" s="39">
        <f t="shared" ca="1" si="1"/>
        <v>153.42631993695824</v>
      </c>
      <c r="AQ18" s="39">
        <f t="shared" ca="1" si="2"/>
        <v>159.13947990543736</v>
      </c>
      <c r="AR18" s="5">
        <f t="shared" ca="1" si="10"/>
        <v>142</v>
      </c>
      <c r="AS18" s="5">
        <f t="shared" ca="1" si="3"/>
        <v>155.30000000000001</v>
      </c>
      <c r="AT18" s="5">
        <f t="shared" ca="1" si="11"/>
        <v>0</v>
      </c>
    </row>
    <row r="19" spans="1:46" x14ac:dyDescent="0.25">
      <c r="A19" s="67">
        <f ca="1">Demand!C16</f>
        <v>13</v>
      </c>
      <c r="B19" s="67">
        <v>4</v>
      </c>
      <c r="C19" s="5">
        <f ca="1">'Demand background (hide)'!Y7</f>
        <v>142</v>
      </c>
      <c r="D19" s="67">
        <f t="shared" si="15"/>
        <v>1</v>
      </c>
      <c r="E19" s="67" t="e">
        <f t="shared" ca="1" si="16"/>
        <v>#N/A</v>
      </c>
      <c r="F19" s="67" t="e">
        <f t="shared" ca="1" si="17"/>
        <v>#N/A</v>
      </c>
      <c r="G19" s="67" t="e">
        <f t="shared" ca="1" si="18"/>
        <v>#N/A</v>
      </c>
      <c r="H19" s="67" t="e">
        <f>IF('Demand background (hide)'!AN7&lt;&gt;"",'SPC background (hide)'!C19,NA())</f>
        <v>#N/A</v>
      </c>
      <c r="I19" s="67">
        <f t="shared" ca="1" si="19"/>
        <v>1</v>
      </c>
      <c r="J19" s="5">
        <f t="shared" ca="1" si="20"/>
        <v>124.86052009456264</v>
      </c>
      <c r="K19" s="5">
        <f t="shared" ca="1" si="21"/>
        <v>130.57368006304176</v>
      </c>
      <c r="L19" s="5">
        <f t="shared" ca="1" si="22"/>
        <v>136.28684003152088</v>
      </c>
      <c r="M19" s="5">
        <f t="shared" ca="1" si="23"/>
        <v>142</v>
      </c>
      <c r="N19" s="5">
        <f t="shared" ca="1" si="24"/>
        <v>147.71315996847912</v>
      </c>
      <c r="O19" s="5">
        <f t="shared" ca="1" si="25"/>
        <v>153.42631993695824</v>
      </c>
      <c r="P19" s="5">
        <f t="shared" ca="1" si="26"/>
        <v>159.13947990543736</v>
      </c>
      <c r="Q19" s="5" t="e">
        <f t="shared" ca="1" si="27"/>
        <v>#N/A</v>
      </c>
      <c r="R19" s="5">
        <f t="shared" ca="1" si="32"/>
        <v>0</v>
      </c>
      <c r="S19" s="67" t="e">
        <f t="shared" ca="1" si="33"/>
        <v>#N/A</v>
      </c>
      <c r="T19" s="67">
        <f t="shared" ca="1" si="34"/>
        <v>0</v>
      </c>
      <c r="U19" s="67" t="e">
        <f t="shared" ca="1" si="35"/>
        <v>#N/A</v>
      </c>
      <c r="V19" s="5">
        <f t="shared" ca="1" si="14"/>
        <v>0</v>
      </c>
      <c r="W19" s="5" t="e">
        <f t="shared" ca="1" si="28"/>
        <v>#N/A</v>
      </c>
      <c r="X19" s="67">
        <f t="shared" ca="1" si="29"/>
        <v>1</v>
      </c>
      <c r="Y19" s="67" t="e">
        <f t="shared" ca="1" si="36"/>
        <v>#N/A</v>
      </c>
      <c r="Z19" s="67" t="e">
        <f t="shared" ca="1" si="37"/>
        <v>#N/A</v>
      </c>
      <c r="AA19" s="5" t="str">
        <f>IF(Setup!$I$15="Yes",'Demand background (hide)'!AJ7+'SPC background (hide)'!C19,"")</f>
        <v/>
      </c>
      <c r="AC19" s="5">
        <f t="shared" ca="1" si="30"/>
        <v>142</v>
      </c>
      <c r="AD19" s="5">
        <f t="shared" ca="1" si="31"/>
        <v>155.30000000000001</v>
      </c>
      <c r="AG19" s="67">
        <f t="shared" ca="1" si="12"/>
        <v>27</v>
      </c>
      <c r="AH19" s="67">
        <v>18</v>
      </c>
      <c r="AI19" s="67">
        <f t="shared" ca="1" si="4"/>
        <v>5</v>
      </c>
      <c r="AJ19" s="39">
        <f t="shared" ca="1" si="5"/>
        <v>5.7131599684791183</v>
      </c>
      <c r="AK19" s="39">
        <f t="shared" ca="1" si="6"/>
        <v>124.86052009456264</v>
      </c>
      <c r="AL19" s="39">
        <f t="shared" ca="1" si="7"/>
        <v>130.57368006304176</v>
      </c>
      <c r="AM19" s="39">
        <f t="shared" ca="1" si="8"/>
        <v>136.28684003152088</v>
      </c>
      <c r="AN19" s="39">
        <f t="shared" ca="1" si="9"/>
        <v>142</v>
      </c>
      <c r="AO19" s="39">
        <f t="shared" ca="1" si="0"/>
        <v>147.71315996847912</v>
      </c>
      <c r="AP19" s="39">
        <f t="shared" ca="1" si="1"/>
        <v>153.42631993695824</v>
      </c>
      <c r="AQ19" s="39">
        <f t="shared" ca="1" si="2"/>
        <v>159.13947990543736</v>
      </c>
      <c r="AR19" s="5">
        <f t="shared" ca="1" si="10"/>
        <v>142</v>
      </c>
      <c r="AS19" s="5">
        <f t="shared" ca="1" si="3"/>
        <v>155.30000000000001</v>
      </c>
      <c r="AT19" s="5">
        <f t="shared" ca="1" si="11"/>
        <v>0</v>
      </c>
    </row>
    <row r="20" spans="1:46" x14ac:dyDescent="0.25">
      <c r="A20" s="67">
        <f ca="1">Demand!C17</f>
        <v>14</v>
      </c>
      <c r="B20" s="67">
        <v>5</v>
      </c>
      <c r="C20" s="5">
        <f ca="1">'Demand background (hide)'!Y8</f>
        <v>160</v>
      </c>
      <c r="D20" s="67">
        <f t="shared" si="15"/>
        <v>1</v>
      </c>
      <c r="E20" s="67" t="e">
        <f t="shared" ca="1" si="16"/>
        <v>#N/A</v>
      </c>
      <c r="F20" s="67" t="e">
        <f t="shared" ca="1" si="17"/>
        <v>#N/A</v>
      </c>
      <c r="G20" s="67" t="e">
        <f t="shared" ca="1" si="18"/>
        <v>#N/A</v>
      </c>
      <c r="H20" s="67" t="e">
        <f>IF('Demand background (hide)'!AN8&lt;&gt;"",'SPC background (hide)'!C20,NA())</f>
        <v>#N/A</v>
      </c>
      <c r="I20" s="67">
        <f t="shared" ca="1" si="19"/>
        <v>1</v>
      </c>
      <c r="J20" s="5">
        <f t="shared" ca="1" si="20"/>
        <v>124.86052009456264</v>
      </c>
      <c r="K20" s="5">
        <f t="shared" ca="1" si="21"/>
        <v>130.57368006304176</v>
      </c>
      <c r="L20" s="5">
        <f t="shared" ca="1" si="22"/>
        <v>136.28684003152088</v>
      </c>
      <c r="M20" s="5">
        <f t="shared" ca="1" si="23"/>
        <v>142</v>
      </c>
      <c r="N20" s="5">
        <f t="shared" ca="1" si="24"/>
        <v>147.71315996847912</v>
      </c>
      <c r="O20" s="5">
        <f t="shared" ca="1" si="25"/>
        <v>153.42631993695824</v>
      </c>
      <c r="P20" s="5">
        <f t="shared" ca="1" si="26"/>
        <v>159.13947990543736</v>
      </c>
      <c r="Q20" s="5">
        <f t="shared" ca="1" si="27"/>
        <v>160</v>
      </c>
      <c r="R20" s="5">
        <f t="shared" ca="1" si="32"/>
        <v>2</v>
      </c>
      <c r="S20" s="67">
        <f t="shared" ca="1" si="33"/>
        <v>160</v>
      </c>
      <c r="T20" s="67">
        <f t="shared" ca="1" si="34"/>
        <v>2</v>
      </c>
      <c r="U20" s="67" t="e">
        <f t="shared" ca="1" si="35"/>
        <v>#N/A</v>
      </c>
      <c r="V20" s="5">
        <f t="shared" ca="1" si="14"/>
        <v>1</v>
      </c>
      <c r="W20" s="5" t="e">
        <f t="shared" ca="1" si="28"/>
        <v>#N/A</v>
      </c>
      <c r="X20" s="67">
        <f t="shared" ca="1" si="29"/>
        <v>1</v>
      </c>
      <c r="Y20" s="67" t="e">
        <f t="shared" ca="1" si="36"/>
        <v>#N/A</v>
      </c>
      <c r="Z20" s="67" t="e">
        <f t="shared" ca="1" si="37"/>
        <v>#N/A</v>
      </c>
      <c r="AA20" s="5" t="str">
        <f>IF(Setup!$I$15="Yes",'Demand background (hide)'!AJ8+'SPC background (hide)'!C20,"")</f>
        <v/>
      </c>
      <c r="AC20" s="5">
        <f t="shared" ca="1" si="30"/>
        <v>142</v>
      </c>
      <c r="AD20" s="5">
        <f t="shared" ca="1" si="31"/>
        <v>155.30000000000001</v>
      </c>
      <c r="AG20" s="67">
        <f t="shared" ca="1" si="12"/>
        <v>28</v>
      </c>
      <c r="AH20" s="67">
        <v>19</v>
      </c>
      <c r="AI20" s="67">
        <f t="shared" ca="1" si="4"/>
        <v>5</v>
      </c>
      <c r="AJ20" s="39">
        <f t="shared" ca="1" si="5"/>
        <v>5.7131599684791183</v>
      </c>
      <c r="AK20" s="39">
        <f t="shared" ca="1" si="6"/>
        <v>124.86052009456264</v>
      </c>
      <c r="AL20" s="39">
        <f t="shared" ca="1" si="7"/>
        <v>130.57368006304176</v>
      </c>
      <c r="AM20" s="39">
        <f t="shared" ca="1" si="8"/>
        <v>136.28684003152088</v>
      </c>
      <c r="AN20" s="39">
        <f t="shared" ca="1" si="9"/>
        <v>142</v>
      </c>
      <c r="AO20" s="39">
        <f t="shared" ca="1" si="0"/>
        <v>147.71315996847912</v>
      </c>
      <c r="AP20" s="39">
        <f t="shared" ca="1" si="1"/>
        <v>153.42631993695824</v>
      </c>
      <c r="AQ20" s="39">
        <f t="shared" ca="1" si="2"/>
        <v>159.13947990543736</v>
      </c>
      <c r="AR20" s="5">
        <f t="shared" ca="1" si="10"/>
        <v>142</v>
      </c>
      <c r="AS20" s="5">
        <f t="shared" ca="1" si="3"/>
        <v>155.30000000000001</v>
      </c>
      <c r="AT20" s="5">
        <f t="shared" ca="1" si="11"/>
        <v>0</v>
      </c>
    </row>
    <row r="21" spans="1:46" x14ac:dyDescent="0.25">
      <c r="A21" s="67">
        <f ca="1">Demand!C18</f>
        <v>15</v>
      </c>
      <c r="B21" s="67">
        <v>6</v>
      </c>
      <c r="C21" s="5">
        <f ca="1">'Demand background (hide)'!Y9</f>
        <v>156</v>
      </c>
      <c r="D21" s="67">
        <f t="shared" si="15"/>
        <v>1</v>
      </c>
      <c r="E21" s="67" t="e">
        <f t="shared" ca="1" si="16"/>
        <v>#N/A</v>
      </c>
      <c r="F21" s="67" t="e">
        <f t="shared" ca="1" si="17"/>
        <v>#N/A</v>
      </c>
      <c r="G21" s="67" t="e">
        <f t="shared" ca="1" si="18"/>
        <v>#N/A</v>
      </c>
      <c r="H21" s="67" t="e">
        <f>IF('Demand background (hide)'!AN9&lt;&gt;"",'SPC background (hide)'!C21,NA())</f>
        <v>#N/A</v>
      </c>
      <c r="I21" s="67">
        <f t="shared" ca="1" si="19"/>
        <v>1</v>
      </c>
      <c r="J21" s="5">
        <f t="shared" ca="1" si="20"/>
        <v>124.86052009456264</v>
      </c>
      <c r="K21" s="5">
        <f t="shared" ca="1" si="21"/>
        <v>130.57368006304176</v>
      </c>
      <c r="L21" s="5">
        <f t="shared" ca="1" si="22"/>
        <v>136.28684003152088</v>
      </c>
      <c r="M21" s="5">
        <f t="shared" ca="1" si="23"/>
        <v>142</v>
      </c>
      <c r="N21" s="5">
        <f t="shared" ca="1" si="24"/>
        <v>147.71315996847912</v>
      </c>
      <c r="O21" s="5">
        <f t="shared" ca="1" si="25"/>
        <v>153.42631993695824</v>
      </c>
      <c r="P21" s="5">
        <f t="shared" ca="1" si="26"/>
        <v>159.13947990543736</v>
      </c>
      <c r="Q21" s="5" t="e">
        <f t="shared" ca="1" si="27"/>
        <v>#N/A</v>
      </c>
      <c r="R21" s="5">
        <f t="shared" ca="1" si="32"/>
        <v>2</v>
      </c>
      <c r="S21" s="67" t="e">
        <f t="shared" ca="1" si="33"/>
        <v>#N/A</v>
      </c>
      <c r="T21" s="67">
        <f t="shared" ca="1" si="34"/>
        <v>2</v>
      </c>
      <c r="U21" s="67" t="e">
        <f t="shared" ca="1" si="35"/>
        <v>#N/A</v>
      </c>
      <c r="V21" s="5">
        <f t="shared" ca="1" si="14"/>
        <v>1</v>
      </c>
      <c r="W21" s="5" t="e">
        <f t="shared" ca="1" si="28"/>
        <v>#N/A</v>
      </c>
      <c r="X21" s="67">
        <f t="shared" ca="1" si="29"/>
        <v>-1</v>
      </c>
      <c r="Y21" s="67" t="e">
        <f t="shared" ca="1" si="36"/>
        <v>#N/A</v>
      </c>
      <c r="Z21" s="67" t="e">
        <f t="shared" ca="1" si="37"/>
        <v>#N/A</v>
      </c>
      <c r="AA21" s="5" t="str">
        <f>IF(Setup!$I$15="Yes",'Demand background (hide)'!AJ9+'SPC background (hide)'!C21,"")</f>
        <v/>
      </c>
      <c r="AC21" s="5">
        <f t="shared" ca="1" si="30"/>
        <v>142</v>
      </c>
      <c r="AD21" s="5">
        <f t="shared" ca="1" si="31"/>
        <v>155.30000000000001</v>
      </c>
      <c r="AG21" s="67">
        <f t="shared" ca="1" si="12"/>
        <v>29</v>
      </c>
      <c r="AH21" s="67">
        <v>20</v>
      </c>
      <c r="AI21" s="67">
        <f t="shared" ca="1" si="4"/>
        <v>5</v>
      </c>
      <c r="AJ21" s="39">
        <f t="shared" ca="1" si="5"/>
        <v>5.7131599684791183</v>
      </c>
      <c r="AK21" s="39">
        <f t="shared" ca="1" si="6"/>
        <v>124.86052009456264</v>
      </c>
      <c r="AL21" s="39">
        <f t="shared" ca="1" si="7"/>
        <v>130.57368006304176</v>
      </c>
      <c r="AM21" s="39">
        <f t="shared" ca="1" si="8"/>
        <v>136.28684003152088</v>
      </c>
      <c r="AN21" s="39">
        <f t="shared" ca="1" si="9"/>
        <v>142</v>
      </c>
      <c r="AO21" s="39">
        <f t="shared" ca="1" si="0"/>
        <v>147.71315996847912</v>
      </c>
      <c r="AP21" s="39">
        <f t="shared" ca="1" si="1"/>
        <v>153.42631993695824</v>
      </c>
      <c r="AQ21" s="39">
        <f t="shared" ca="1" si="2"/>
        <v>159.13947990543736</v>
      </c>
      <c r="AR21" s="5">
        <f t="shared" ca="1" si="10"/>
        <v>142</v>
      </c>
      <c r="AS21" s="5">
        <f t="shared" ca="1" si="3"/>
        <v>155.30000000000001</v>
      </c>
      <c r="AT21" s="5">
        <f t="shared" ca="1" si="11"/>
        <v>0</v>
      </c>
    </row>
    <row r="22" spans="1:46" x14ac:dyDescent="0.25">
      <c r="A22" s="67">
        <f ca="1">Demand!C19</f>
        <v>16</v>
      </c>
      <c r="B22" s="67">
        <v>7</v>
      </c>
      <c r="C22" s="5">
        <f ca="1">'Demand background (hide)'!Y10</f>
        <v>154</v>
      </c>
      <c r="D22" s="67">
        <f t="shared" si="15"/>
        <v>1</v>
      </c>
      <c r="E22" s="67" t="e">
        <f t="shared" ca="1" si="16"/>
        <v>#N/A</v>
      </c>
      <c r="F22" s="67" t="e">
        <f t="shared" ca="1" si="17"/>
        <v>#N/A</v>
      </c>
      <c r="G22" s="67" t="e">
        <f t="shared" ca="1" si="18"/>
        <v>#N/A</v>
      </c>
      <c r="H22" s="67" t="e">
        <f>IF('Demand background (hide)'!AN10&lt;&gt;"",'SPC background (hide)'!C22,NA())</f>
        <v>#N/A</v>
      </c>
      <c r="I22" s="67">
        <f t="shared" ca="1" si="19"/>
        <v>1</v>
      </c>
      <c r="J22" s="5">
        <f t="shared" ca="1" si="20"/>
        <v>124.86052009456264</v>
      </c>
      <c r="K22" s="5">
        <f t="shared" ca="1" si="21"/>
        <v>130.57368006304176</v>
      </c>
      <c r="L22" s="5">
        <f t="shared" ca="1" si="22"/>
        <v>136.28684003152088</v>
      </c>
      <c r="M22" s="5">
        <f t="shared" ca="1" si="23"/>
        <v>142</v>
      </c>
      <c r="N22" s="5">
        <f t="shared" ca="1" si="24"/>
        <v>147.71315996847912</v>
      </c>
      <c r="O22" s="5">
        <f t="shared" ca="1" si="25"/>
        <v>153.42631993695824</v>
      </c>
      <c r="P22" s="5">
        <f t="shared" ca="1" si="26"/>
        <v>159.13947990543736</v>
      </c>
      <c r="Q22" s="5" t="e">
        <f t="shared" ca="1" si="27"/>
        <v>#N/A</v>
      </c>
      <c r="R22" s="5">
        <f t="shared" ca="1" si="32"/>
        <v>2</v>
      </c>
      <c r="S22" s="67" t="e">
        <f t="shared" ca="1" si="33"/>
        <v>#N/A</v>
      </c>
      <c r="T22" s="67">
        <f t="shared" ca="1" si="34"/>
        <v>2</v>
      </c>
      <c r="U22" s="67" t="e">
        <f t="shared" ca="1" si="35"/>
        <v>#N/A</v>
      </c>
      <c r="V22" s="5">
        <f t="shared" ca="1" si="14"/>
        <v>1</v>
      </c>
      <c r="W22" s="5" t="e">
        <f t="shared" ca="1" si="28"/>
        <v>#N/A</v>
      </c>
      <c r="X22" s="67">
        <f t="shared" ca="1" si="29"/>
        <v>-1</v>
      </c>
      <c r="Y22" s="67" t="e">
        <f t="shared" ca="1" si="36"/>
        <v>#N/A</v>
      </c>
      <c r="Z22" s="67" t="e">
        <f t="shared" ca="1" si="37"/>
        <v>#N/A</v>
      </c>
      <c r="AA22" s="5" t="str">
        <f>IF(Setup!$I$15="Yes",'Demand background (hide)'!AJ10+'SPC background (hide)'!C22,"")</f>
        <v/>
      </c>
      <c r="AC22" s="5">
        <f t="shared" ca="1" si="30"/>
        <v>142</v>
      </c>
      <c r="AD22" s="5">
        <f t="shared" ca="1" si="31"/>
        <v>155.30000000000001</v>
      </c>
      <c r="AG22" s="67">
        <f t="shared" ca="1" si="12"/>
        <v>30</v>
      </c>
      <c r="AH22" s="67">
        <v>21</v>
      </c>
      <c r="AI22" s="67">
        <f t="shared" ca="1" si="4"/>
        <v>5</v>
      </c>
      <c r="AJ22" s="39">
        <f t="shared" ca="1" si="5"/>
        <v>5.7131599684791183</v>
      </c>
      <c r="AK22" s="39">
        <f t="shared" ca="1" si="6"/>
        <v>124.86052009456264</v>
      </c>
      <c r="AL22" s="39">
        <f t="shared" ca="1" si="7"/>
        <v>130.57368006304176</v>
      </c>
      <c r="AM22" s="39">
        <f t="shared" ca="1" si="8"/>
        <v>136.28684003152088</v>
      </c>
      <c r="AN22" s="39">
        <f t="shared" ca="1" si="9"/>
        <v>142</v>
      </c>
      <c r="AO22" s="39">
        <f t="shared" ca="1" si="0"/>
        <v>147.71315996847912</v>
      </c>
      <c r="AP22" s="39">
        <f t="shared" ca="1" si="1"/>
        <v>153.42631993695824</v>
      </c>
      <c r="AQ22" s="39">
        <f t="shared" ca="1" si="2"/>
        <v>159.13947990543736</v>
      </c>
      <c r="AR22" s="5">
        <f t="shared" ca="1" si="10"/>
        <v>142</v>
      </c>
      <c r="AS22" s="5">
        <f t="shared" ca="1" si="3"/>
        <v>155.30000000000001</v>
      </c>
      <c r="AT22" s="5">
        <f t="shared" ca="1" si="11"/>
        <v>0</v>
      </c>
    </row>
    <row r="23" spans="1:46" x14ac:dyDescent="0.25">
      <c r="A23" s="67">
        <f ca="1">Demand!C20</f>
        <v>17</v>
      </c>
      <c r="B23" s="67">
        <v>8</v>
      </c>
      <c r="C23" s="5">
        <f ca="1">'Demand background (hide)'!Y11</f>
        <v>142</v>
      </c>
      <c r="D23" s="67">
        <f t="shared" si="15"/>
        <v>1</v>
      </c>
      <c r="E23" s="67" t="e">
        <f t="shared" ca="1" si="16"/>
        <v>#N/A</v>
      </c>
      <c r="F23" s="67" t="e">
        <f t="shared" ca="1" si="17"/>
        <v>#N/A</v>
      </c>
      <c r="G23" s="67" t="e">
        <f t="shared" ca="1" si="18"/>
        <v>#N/A</v>
      </c>
      <c r="H23" s="67" t="e">
        <f>IF('Demand background (hide)'!AN11&lt;&gt;"",'SPC background (hide)'!C23,NA())</f>
        <v>#N/A</v>
      </c>
      <c r="I23" s="67">
        <f t="shared" ca="1" si="19"/>
        <v>1</v>
      </c>
      <c r="J23" s="5">
        <f t="shared" ca="1" si="20"/>
        <v>124.86052009456264</v>
      </c>
      <c r="K23" s="5">
        <f t="shared" ca="1" si="21"/>
        <v>130.57368006304176</v>
      </c>
      <c r="L23" s="5">
        <f t="shared" ca="1" si="22"/>
        <v>136.28684003152088</v>
      </c>
      <c r="M23" s="5">
        <f t="shared" ca="1" si="23"/>
        <v>142</v>
      </c>
      <c r="N23" s="5">
        <f t="shared" ca="1" si="24"/>
        <v>147.71315996847912</v>
      </c>
      <c r="O23" s="5">
        <f t="shared" ca="1" si="25"/>
        <v>153.42631993695824</v>
      </c>
      <c r="P23" s="5">
        <f t="shared" ca="1" si="26"/>
        <v>159.13947990543736</v>
      </c>
      <c r="Q23" s="5" t="e">
        <f t="shared" ca="1" si="27"/>
        <v>#N/A</v>
      </c>
      <c r="R23" s="5">
        <f t="shared" ca="1" si="32"/>
        <v>0</v>
      </c>
      <c r="S23" s="67" t="e">
        <f t="shared" ca="1" si="33"/>
        <v>#N/A</v>
      </c>
      <c r="T23" s="67">
        <f t="shared" ca="1" si="34"/>
        <v>0</v>
      </c>
      <c r="U23" s="67" t="e">
        <f t="shared" ca="1" si="35"/>
        <v>#N/A</v>
      </c>
      <c r="V23" s="5">
        <f t="shared" ca="1" si="14"/>
        <v>0</v>
      </c>
      <c r="W23" s="5" t="e">
        <f t="shared" ca="1" si="28"/>
        <v>#N/A</v>
      </c>
      <c r="X23" s="67">
        <f t="shared" ca="1" si="29"/>
        <v>-1</v>
      </c>
      <c r="Y23" s="67" t="e">
        <f t="shared" ca="1" si="36"/>
        <v>#N/A</v>
      </c>
      <c r="Z23" s="67" t="e">
        <f t="shared" ca="1" si="37"/>
        <v>#N/A</v>
      </c>
      <c r="AA23" s="5" t="str">
        <f>IF(Setup!$I$15="Yes",'Demand background (hide)'!AJ11+'SPC background (hide)'!C23,"")</f>
        <v/>
      </c>
      <c r="AC23" s="5">
        <f t="shared" ca="1" si="30"/>
        <v>142</v>
      </c>
      <c r="AD23" s="5">
        <f t="shared" ca="1" si="31"/>
        <v>155.30000000000001</v>
      </c>
      <c r="AG23" s="67">
        <f t="shared" ca="1" si="12"/>
        <v>31</v>
      </c>
      <c r="AH23" s="67">
        <v>22</v>
      </c>
      <c r="AI23" s="67">
        <f t="shared" ca="1" si="4"/>
        <v>5</v>
      </c>
      <c r="AJ23" s="39">
        <f t="shared" ca="1" si="5"/>
        <v>5.7131599684791183</v>
      </c>
      <c r="AK23" s="39">
        <f t="shared" ca="1" si="6"/>
        <v>124.86052009456264</v>
      </c>
      <c r="AL23" s="39">
        <f t="shared" ca="1" si="7"/>
        <v>130.57368006304176</v>
      </c>
      <c r="AM23" s="39">
        <f t="shared" ca="1" si="8"/>
        <v>136.28684003152088</v>
      </c>
      <c r="AN23" s="39">
        <f t="shared" ca="1" si="9"/>
        <v>142</v>
      </c>
      <c r="AO23" s="39">
        <f t="shared" ca="1" si="0"/>
        <v>147.71315996847912</v>
      </c>
      <c r="AP23" s="39">
        <f t="shared" ca="1" si="1"/>
        <v>153.42631993695824</v>
      </c>
      <c r="AQ23" s="39">
        <f t="shared" ca="1" si="2"/>
        <v>159.13947990543736</v>
      </c>
      <c r="AR23" s="5">
        <f t="shared" ca="1" si="10"/>
        <v>142</v>
      </c>
      <c r="AS23" s="5">
        <f t="shared" ca="1" si="3"/>
        <v>155.30000000000001</v>
      </c>
      <c r="AT23" s="5">
        <f t="shared" ca="1" si="11"/>
        <v>0</v>
      </c>
    </row>
    <row r="24" spans="1:46" x14ac:dyDescent="0.25">
      <c r="A24" s="67">
        <f ca="1">Demand!C21</f>
        <v>18</v>
      </c>
      <c r="B24" s="67">
        <v>9</v>
      </c>
      <c r="C24" s="5">
        <f ca="1">'Demand background (hide)'!Y12</f>
        <v>142</v>
      </c>
      <c r="D24" s="67">
        <f t="shared" si="15"/>
        <v>1</v>
      </c>
      <c r="E24" s="67" t="e">
        <f t="shared" ca="1" si="16"/>
        <v>#N/A</v>
      </c>
      <c r="F24" s="67" t="e">
        <f t="shared" ca="1" si="17"/>
        <v>#N/A</v>
      </c>
      <c r="G24" s="67" t="e">
        <f t="shared" ca="1" si="18"/>
        <v>#N/A</v>
      </c>
      <c r="H24" s="67" t="e">
        <f>IF('Demand background (hide)'!AN12&lt;&gt;"",'SPC background (hide)'!C24,NA())</f>
        <v>#N/A</v>
      </c>
      <c r="I24" s="67">
        <f t="shared" ca="1" si="19"/>
        <v>1</v>
      </c>
      <c r="J24" s="5">
        <f t="shared" ca="1" si="20"/>
        <v>124.86052009456264</v>
      </c>
      <c r="K24" s="5">
        <f t="shared" ca="1" si="21"/>
        <v>130.57368006304176</v>
      </c>
      <c r="L24" s="5">
        <f t="shared" ca="1" si="22"/>
        <v>136.28684003152088</v>
      </c>
      <c r="M24" s="5">
        <f t="shared" ca="1" si="23"/>
        <v>142</v>
      </c>
      <c r="N24" s="5">
        <f t="shared" ca="1" si="24"/>
        <v>147.71315996847912</v>
      </c>
      <c r="O24" s="5">
        <f t="shared" ca="1" si="25"/>
        <v>153.42631993695824</v>
      </c>
      <c r="P24" s="5">
        <f t="shared" ca="1" si="26"/>
        <v>159.13947990543736</v>
      </c>
      <c r="Q24" s="5" t="e">
        <f t="shared" ca="1" si="27"/>
        <v>#N/A</v>
      </c>
      <c r="R24" s="5">
        <f t="shared" ca="1" si="32"/>
        <v>0</v>
      </c>
      <c r="S24" s="67" t="e">
        <f t="shared" ca="1" si="33"/>
        <v>#N/A</v>
      </c>
      <c r="T24" s="67">
        <f t="shared" ca="1" si="34"/>
        <v>0</v>
      </c>
      <c r="U24" s="67" t="e">
        <f t="shared" ca="1" si="35"/>
        <v>#N/A</v>
      </c>
      <c r="V24" s="5">
        <f t="shared" ca="1" si="14"/>
        <v>0</v>
      </c>
      <c r="W24" s="5" t="e">
        <f t="shared" ca="1" si="28"/>
        <v>#N/A</v>
      </c>
      <c r="X24" s="67">
        <f t="shared" ca="1" si="29"/>
        <v>0</v>
      </c>
      <c r="Y24" s="67" t="e">
        <f t="shared" ca="1" si="36"/>
        <v>#N/A</v>
      </c>
      <c r="Z24" s="67" t="e">
        <f t="shared" ca="1" si="37"/>
        <v>#N/A</v>
      </c>
      <c r="AA24" s="5" t="str">
        <f>IF(Setup!$I$15="Yes",'Demand background (hide)'!AJ12+'SPC background (hide)'!C24,"")</f>
        <v/>
      </c>
      <c r="AC24" s="5">
        <f t="shared" ca="1" si="30"/>
        <v>142</v>
      </c>
      <c r="AD24" s="5">
        <f t="shared" ca="1" si="31"/>
        <v>155.30000000000001</v>
      </c>
      <c r="AG24" s="67">
        <f t="shared" ca="1" si="12"/>
        <v>32</v>
      </c>
      <c r="AH24" s="67">
        <v>23</v>
      </c>
      <c r="AI24" s="67">
        <f t="shared" ca="1" si="4"/>
        <v>5</v>
      </c>
      <c r="AJ24" s="39">
        <f t="shared" ca="1" si="5"/>
        <v>5.7131599684791183</v>
      </c>
      <c r="AK24" s="39">
        <f t="shared" ca="1" si="6"/>
        <v>124.86052009456264</v>
      </c>
      <c r="AL24" s="39">
        <f t="shared" ca="1" si="7"/>
        <v>130.57368006304176</v>
      </c>
      <c r="AM24" s="39">
        <f t="shared" ca="1" si="8"/>
        <v>136.28684003152088</v>
      </c>
      <c r="AN24" s="39">
        <f t="shared" ca="1" si="9"/>
        <v>142</v>
      </c>
      <c r="AO24" s="39">
        <f t="shared" ca="1" si="0"/>
        <v>147.71315996847912</v>
      </c>
      <c r="AP24" s="39">
        <f t="shared" ca="1" si="1"/>
        <v>153.42631993695824</v>
      </c>
      <c r="AQ24" s="39">
        <f t="shared" ca="1" si="2"/>
        <v>159.13947990543736</v>
      </c>
      <c r="AR24" s="5">
        <f t="shared" ca="1" si="10"/>
        <v>142</v>
      </c>
      <c r="AS24" s="5">
        <f t="shared" ca="1" si="3"/>
        <v>155.30000000000001</v>
      </c>
      <c r="AT24" s="5">
        <f t="shared" ca="1" si="11"/>
        <v>0</v>
      </c>
    </row>
    <row r="25" spans="1:46" x14ac:dyDescent="0.25">
      <c r="A25" s="67">
        <f ca="1">Demand!C22</f>
        <v>19</v>
      </c>
      <c r="B25" s="67">
        <v>10</v>
      </c>
      <c r="C25" s="5">
        <f ca="1">'Demand background (hide)'!Y13</f>
        <v>140</v>
      </c>
      <c r="D25" s="67">
        <f t="shared" si="15"/>
        <v>1</v>
      </c>
      <c r="E25" s="67" t="e">
        <f t="shared" ca="1" si="16"/>
        <v>#N/A</v>
      </c>
      <c r="F25" s="67" t="e">
        <f t="shared" ca="1" si="17"/>
        <v>#N/A</v>
      </c>
      <c r="G25" s="67" t="e">
        <f t="shared" ca="1" si="18"/>
        <v>#N/A</v>
      </c>
      <c r="H25" s="67" t="e">
        <f>IF('Demand background (hide)'!AN13&lt;&gt;"",'SPC background (hide)'!C25,NA())</f>
        <v>#N/A</v>
      </c>
      <c r="I25" s="67">
        <f t="shared" ca="1" si="19"/>
        <v>1</v>
      </c>
      <c r="J25" s="5">
        <f t="shared" ca="1" si="20"/>
        <v>124.86052009456264</v>
      </c>
      <c r="K25" s="5">
        <f t="shared" ca="1" si="21"/>
        <v>130.57368006304176</v>
      </c>
      <c r="L25" s="5">
        <f t="shared" ca="1" si="22"/>
        <v>136.28684003152088</v>
      </c>
      <c r="M25" s="5">
        <f t="shared" ca="1" si="23"/>
        <v>142</v>
      </c>
      <c r="N25" s="5">
        <f t="shared" ca="1" si="24"/>
        <v>147.71315996847912</v>
      </c>
      <c r="O25" s="5">
        <f t="shared" ca="1" si="25"/>
        <v>153.42631993695824</v>
      </c>
      <c r="P25" s="5">
        <f t="shared" ca="1" si="26"/>
        <v>159.13947990543736</v>
      </c>
      <c r="Q25" s="5" t="e">
        <f t="shared" ca="1" si="27"/>
        <v>#N/A</v>
      </c>
      <c r="R25" s="5">
        <f t="shared" ca="1" si="32"/>
        <v>-1</v>
      </c>
      <c r="S25" s="67" t="e">
        <f t="shared" ca="1" si="33"/>
        <v>#N/A</v>
      </c>
      <c r="T25" s="67">
        <f t="shared" ca="1" si="34"/>
        <v>-1</v>
      </c>
      <c r="U25" s="67" t="e">
        <f t="shared" ca="1" si="35"/>
        <v>#N/A</v>
      </c>
      <c r="V25" s="5">
        <f t="shared" ca="1" si="14"/>
        <v>-1</v>
      </c>
      <c r="W25" s="5" t="e">
        <f t="shared" ca="1" si="28"/>
        <v>#N/A</v>
      </c>
      <c r="X25" s="67">
        <f t="shared" ca="1" si="29"/>
        <v>-1</v>
      </c>
      <c r="Y25" s="67" t="e">
        <f t="shared" ca="1" si="36"/>
        <v>#N/A</v>
      </c>
      <c r="Z25" s="67" t="e">
        <f t="shared" ca="1" si="37"/>
        <v>#N/A</v>
      </c>
      <c r="AA25" s="5" t="str">
        <f>IF(Setup!$I$15="Yes",'Demand background (hide)'!AJ13+'SPC background (hide)'!C25,"")</f>
        <v/>
      </c>
      <c r="AC25" s="5">
        <f t="shared" ca="1" si="30"/>
        <v>142</v>
      </c>
      <c r="AD25" s="5">
        <f t="shared" ca="1" si="31"/>
        <v>155.30000000000001</v>
      </c>
      <c r="AG25" s="67">
        <f t="shared" ca="1" si="12"/>
        <v>33</v>
      </c>
      <c r="AH25" s="67">
        <v>24</v>
      </c>
      <c r="AI25" s="67">
        <f t="shared" ca="1" si="4"/>
        <v>5</v>
      </c>
      <c r="AJ25" s="39">
        <f t="shared" ca="1" si="5"/>
        <v>5.7131599684791183</v>
      </c>
      <c r="AK25" s="39">
        <f t="shared" ca="1" si="6"/>
        <v>124.86052009456264</v>
      </c>
      <c r="AL25" s="39">
        <f t="shared" ca="1" si="7"/>
        <v>130.57368006304176</v>
      </c>
      <c r="AM25" s="39">
        <f t="shared" ca="1" si="8"/>
        <v>136.28684003152088</v>
      </c>
      <c r="AN25" s="39">
        <f t="shared" ca="1" si="9"/>
        <v>142</v>
      </c>
      <c r="AO25" s="39">
        <f t="shared" ca="1" si="0"/>
        <v>147.71315996847912</v>
      </c>
      <c r="AP25" s="39">
        <f t="shared" ca="1" si="1"/>
        <v>153.42631993695824</v>
      </c>
      <c r="AQ25" s="39">
        <f t="shared" ca="1" si="2"/>
        <v>159.13947990543736</v>
      </c>
      <c r="AR25" s="5">
        <f t="shared" ca="1" si="10"/>
        <v>142</v>
      </c>
      <c r="AS25" s="5">
        <f t="shared" ca="1" si="3"/>
        <v>155.30000000000001</v>
      </c>
      <c r="AT25" s="5">
        <f t="shared" ca="1" si="11"/>
        <v>0</v>
      </c>
    </row>
    <row r="26" spans="1:46" x14ac:dyDescent="0.25">
      <c r="A26" s="67">
        <f ca="1">Demand!C23</f>
        <v>20</v>
      </c>
      <c r="B26" s="67">
        <v>11</v>
      </c>
      <c r="C26" s="5">
        <f ca="1">'Demand background (hide)'!Y14</f>
        <v>152</v>
      </c>
      <c r="D26" s="67">
        <f t="shared" si="15"/>
        <v>0</v>
      </c>
      <c r="E26" s="67" t="e">
        <f t="shared" ca="1" si="16"/>
        <v>#N/A</v>
      </c>
      <c r="F26" s="67" t="e">
        <f t="shared" ca="1" si="17"/>
        <v>#N/A</v>
      </c>
      <c r="G26" s="67" t="e">
        <f t="shared" ca="1" si="18"/>
        <v>#N/A</v>
      </c>
      <c r="H26" s="67" t="e">
        <f>IF('Demand background (hide)'!AN14&lt;&gt;"",'SPC background (hide)'!C26,NA())</f>
        <v>#N/A</v>
      </c>
      <c r="I26" s="67">
        <f t="shared" ca="1" si="19"/>
        <v>5</v>
      </c>
      <c r="J26" s="5">
        <f t="shared" ca="1" si="20"/>
        <v>124.86052009456264</v>
      </c>
      <c r="K26" s="5">
        <f t="shared" ca="1" si="21"/>
        <v>130.57368006304176</v>
      </c>
      <c r="L26" s="5">
        <f t="shared" ca="1" si="22"/>
        <v>136.28684003152088</v>
      </c>
      <c r="M26" s="5">
        <f t="shared" ca="1" si="23"/>
        <v>142</v>
      </c>
      <c r="N26" s="5">
        <f t="shared" ca="1" si="24"/>
        <v>147.71315996847912</v>
      </c>
      <c r="O26" s="5">
        <f t="shared" ca="1" si="25"/>
        <v>153.42631993695824</v>
      </c>
      <c r="P26" s="5">
        <f t="shared" ca="1" si="26"/>
        <v>159.13947990543736</v>
      </c>
      <c r="Q26" s="5" t="e">
        <f t="shared" ca="1" si="27"/>
        <v>#N/A</v>
      </c>
      <c r="R26" s="5">
        <f t="shared" ca="1" si="32"/>
        <v>1</v>
      </c>
      <c r="S26" s="67" t="e">
        <f t="shared" ca="1" si="33"/>
        <v>#N/A</v>
      </c>
      <c r="T26" s="67">
        <f t="shared" ca="1" si="34"/>
        <v>2</v>
      </c>
      <c r="U26" s="67" t="e">
        <f t="shared" ca="1" si="35"/>
        <v>#N/A</v>
      </c>
      <c r="V26" s="5">
        <f t="shared" ca="1" si="14"/>
        <v>1</v>
      </c>
      <c r="W26" s="5" t="e">
        <f t="shared" ca="1" si="28"/>
        <v>#N/A</v>
      </c>
      <c r="X26" s="67">
        <f t="shared" ca="1" si="29"/>
        <v>1</v>
      </c>
      <c r="Y26" s="67" t="e">
        <f t="shared" ca="1" si="36"/>
        <v>#N/A</v>
      </c>
      <c r="Z26" s="67" t="e">
        <f t="shared" ca="1" si="37"/>
        <v>#N/A</v>
      </c>
      <c r="AA26" s="5" t="str">
        <f>IF(Setup!$I$15="Yes",'Demand background (hide)'!AJ14+'SPC background (hide)'!C26,"")</f>
        <v/>
      </c>
      <c r="AC26" s="5">
        <f t="shared" ca="1" si="30"/>
        <v>142</v>
      </c>
      <c r="AD26" s="5">
        <f t="shared" ca="1" si="31"/>
        <v>155.30000000000001</v>
      </c>
      <c r="AG26" s="67">
        <f t="shared" ca="1" si="12"/>
        <v>34</v>
      </c>
      <c r="AH26" s="67">
        <v>25</v>
      </c>
      <c r="AI26" s="67">
        <f t="shared" ca="1" si="4"/>
        <v>5</v>
      </c>
      <c r="AJ26" s="39">
        <f t="shared" ca="1" si="5"/>
        <v>5.7131599684791183</v>
      </c>
      <c r="AK26" s="39">
        <f t="shared" ca="1" si="6"/>
        <v>124.86052009456264</v>
      </c>
      <c r="AL26" s="39">
        <f t="shared" ca="1" si="7"/>
        <v>130.57368006304176</v>
      </c>
      <c r="AM26" s="39">
        <f t="shared" ca="1" si="8"/>
        <v>136.28684003152088</v>
      </c>
      <c r="AN26" s="39">
        <f t="shared" ca="1" si="9"/>
        <v>142</v>
      </c>
      <c r="AO26" s="39">
        <f t="shared" ca="1" si="0"/>
        <v>147.71315996847912</v>
      </c>
      <c r="AP26" s="39">
        <f t="shared" ca="1" si="1"/>
        <v>153.42631993695824</v>
      </c>
      <c r="AQ26" s="39">
        <f t="shared" ca="1" si="2"/>
        <v>159.13947990543736</v>
      </c>
      <c r="AR26" s="5">
        <f t="shared" ca="1" si="10"/>
        <v>142</v>
      </c>
      <c r="AS26" s="5">
        <f t="shared" ca="1" si="3"/>
        <v>155.30000000000001</v>
      </c>
      <c r="AT26" s="5">
        <f t="shared" ca="1" si="11"/>
        <v>0</v>
      </c>
    </row>
    <row r="27" spans="1:46" x14ac:dyDescent="0.25">
      <c r="A27" s="67">
        <f ca="1">Demand!C24</f>
        <v>21</v>
      </c>
      <c r="B27" s="67">
        <v>12</v>
      </c>
      <c r="C27" s="5">
        <f ca="1">'Demand background (hide)'!Y15</f>
        <v>138</v>
      </c>
      <c r="D27" s="67">
        <f t="shared" si="15"/>
        <v>0</v>
      </c>
      <c r="E27" s="67" t="e">
        <f t="shared" ca="1" si="16"/>
        <v>#N/A</v>
      </c>
      <c r="F27" s="67" t="e">
        <f t="shared" ca="1" si="17"/>
        <v>#N/A</v>
      </c>
      <c r="G27" s="67" t="e">
        <f t="shared" ca="1" si="18"/>
        <v>#N/A</v>
      </c>
      <c r="H27" s="67" t="e">
        <f>IF('Demand background (hide)'!AN15&lt;&gt;"",'SPC background (hide)'!C27,NA())</f>
        <v>#N/A</v>
      </c>
      <c r="I27" s="67">
        <f t="shared" ca="1" si="19"/>
        <v>5</v>
      </c>
      <c r="J27" s="5">
        <f t="shared" ca="1" si="20"/>
        <v>124.86052009456264</v>
      </c>
      <c r="K27" s="5">
        <f t="shared" ca="1" si="21"/>
        <v>130.57368006304176</v>
      </c>
      <c r="L27" s="5">
        <f t="shared" ca="1" si="22"/>
        <v>136.28684003152088</v>
      </c>
      <c r="M27" s="5">
        <f t="shared" ca="1" si="23"/>
        <v>142</v>
      </c>
      <c r="N27" s="5">
        <f t="shared" ca="1" si="24"/>
        <v>147.71315996847912</v>
      </c>
      <c r="O27" s="5">
        <f t="shared" ca="1" si="25"/>
        <v>153.42631993695824</v>
      </c>
      <c r="P27" s="5">
        <f t="shared" ca="1" si="26"/>
        <v>159.13947990543736</v>
      </c>
      <c r="Q27" s="5" t="e">
        <f t="shared" ca="1" si="27"/>
        <v>#N/A</v>
      </c>
      <c r="R27" s="5">
        <f t="shared" ca="1" si="32"/>
        <v>-1</v>
      </c>
      <c r="S27" s="67" t="e">
        <f t="shared" ca="1" si="33"/>
        <v>#N/A</v>
      </c>
      <c r="T27" s="67">
        <f t="shared" ca="1" si="34"/>
        <v>-1</v>
      </c>
      <c r="U27" s="67" t="e">
        <f t="shared" ca="1" si="35"/>
        <v>#N/A</v>
      </c>
      <c r="V27" s="5">
        <f t="shared" ca="1" si="14"/>
        <v>-1</v>
      </c>
      <c r="W27" s="5" t="e">
        <f t="shared" ca="1" si="28"/>
        <v>#N/A</v>
      </c>
      <c r="X27" s="67">
        <f t="shared" ca="1" si="29"/>
        <v>-1</v>
      </c>
      <c r="Y27" s="67" t="e">
        <f t="shared" ca="1" si="36"/>
        <v>#N/A</v>
      </c>
      <c r="Z27" s="67" t="e">
        <f t="shared" ca="1" si="37"/>
        <v>#N/A</v>
      </c>
      <c r="AA27" s="5" t="str">
        <f>IF(Setup!$I$15="Yes",'Demand background (hide)'!AJ15+'SPC background (hide)'!C27,"")</f>
        <v/>
      </c>
      <c r="AC27" s="5">
        <f t="shared" ca="1" si="30"/>
        <v>142</v>
      </c>
      <c r="AD27" s="5">
        <f t="shared" ca="1" si="31"/>
        <v>155.30000000000001</v>
      </c>
      <c r="AG27" s="67">
        <f t="shared" ca="1" si="12"/>
        <v>35</v>
      </c>
      <c r="AH27" s="67">
        <v>26</v>
      </c>
      <c r="AI27" s="67">
        <f t="shared" ca="1" si="4"/>
        <v>5</v>
      </c>
      <c r="AJ27" s="39">
        <f t="shared" ca="1" si="5"/>
        <v>5.7131599684791183</v>
      </c>
      <c r="AK27" s="39">
        <f t="shared" ca="1" si="6"/>
        <v>124.86052009456264</v>
      </c>
      <c r="AL27" s="39">
        <f t="shared" ca="1" si="7"/>
        <v>130.57368006304176</v>
      </c>
      <c r="AM27" s="39">
        <f t="shared" ca="1" si="8"/>
        <v>136.28684003152088</v>
      </c>
      <c r="AN27" s="39">
        <f t="shared" ca="1" si="9"/>
        <v>142</v>
      </c>
      <c r="AO27" s="39">
        <f t="shared" ca="1" si="0"/>
        <v>147.71315996847912</v>
      </c>
      <c r="AP27" s="39">
        <f t="shared" ca="1" si="1"/>
        <v>153.42631993695824</v>
      </c>
      <c r="AQ27" s="39">
        <f t="shared" ca="1" si="2"/>
        <v>159.13947990543736</v>
      </c>
      <c r="AR27" s="5">
        <f t="shared" ca="1" si="10"/>
        <v>142</v>
      </c>
      <c r="AS27" s="5">
        <f t="shared" ca="1" si="3"/>
        <v>155.30000000000001</v>
      </c>
      <c r="AT27" s="5">
        <f t="shared" ca="1" si="11"/>
        <v>0</v>
      </c>
    </row>
    <row r="28" spans="1:46" x14ac:dyDescent="0.25">
      <c r="A28" s="67">
        <f ca="1">Demand!C25</f>
        <v>22</v>
      </c>
      <c r="B28" s="67">
        <v>13</v>
      </c>
      <c r="C28" s="5">
        <f ca="1">'Demand background (hide)'!Y16</f>
        <v>120</v>
      </c>
      <c r="D28" s="67">
        <f t="shared" si="15"/>
        <v>0</v>
      </c>
      <c r="E28" s="67" t="e">
        <f t="shared" ca="1" si="16"/>
        <v>#N/A</v>
      </c>
      <c r="F28" s="67" t="e">
        <f t="shared" ca="1" si="17"/>
        <v>#N/A</v>
      </c>
      <c r="G28" s="67" t="e">
        <f t="shared" ca="1" si="18"/>
        <v>#N/A</v>
      </c>
      <c r="H28" s="67" t="e">
        <f>IF('Demand background (hide)'!AN16&lt;&gt;"",'SPC background (hide)'!C28,NA())</f>
        <v>#N/A</v>
      </c>
      <c r="I28" s="67">
        <f t="shared" ca="1" si="19"/>
        <v>5</v>
      </c>
      <c r="J28" s="5">
        <f t="shared" ca="1" si="20"/>
        <v>124.86052009456264</v>
      </c>
      <c r="K28" s="5">
        <f t="shared" ca="1" si="21"/>
        <v>130.57368006304176</v>
      </c>
      <c r="L28" s="5">
        <f t="shared" ca="1" si="22"/>
        <v>136.28684003152088</v>
      </c>
      <c r="M28" s="5">
        <f t="shared" ca="1" si="23"/>
        <v>142</v>
      </c>
      <c r="N28" s="5">
        <f t="shared" ca="1" si="24"/>
        <v>147.71315996847912</v>
      </c>
      <c r="O28" s="5">
        <f t="shared" ca="1" si="25"/>
        <v>153.42631993695824</v>
      </c>
      <c r="P28" s="5">
        <f t="shared" ca="1" si="26"/>
        <v>159.13947990543736</v>
      </c>
      <c r="Q28" s="5">
        <f t="shared" ca="1" si="27"/>
        <v>120</v>
      </c>
      <c r="R28" s="5">
        <f t="shared" ca="1" si="32"/>
        <v>-2</v>
      </c>
      <c r="S28" s="67" t="e">
        <f t="shared" ca="1" si="33"/>
        <v>#N/A</v>
      </c>
      <c r="T28" s="67">
        <f t="shared" ca="1" si="34"/>
        <v>-2</v>
      </c>
      <c r="U28" s="67" t="e">
        <f t="shared" ca="1" si="35"/>
        <v>#N/A</v>
      </c>
      <c r="V28" s="5">
        <f t="shared" ca="1" si="14"/>
        <v>-1</v>
      </c>
      <c r="W28" s="5" t="e">
        <f t="shared" ca="1" si="28"/>
        <v>#N/A</v>
      </c>
      <c r="X28" s="67">
        <f t="shared" ca="1" si="29"/>
        <v>-1</v>
      </c>
      <c r="Y28" s="67" t="e">
        <f t="shared" ca="1" si="36"/>
        <v>#N/A</v>
      </c>
      <c r="Z28" s="67" t="e">
        <f t="shared" ca="1" si="37"/>
        <v>#N/A</v>
      </c>
      <c r="AA28" s="5" t="str">
        <f>IF(Setup!$I$15="Yes",'Demand background (hide)'!AJ16+'SPC background (hide)'!C28,"")</f>
        <v/>
      </c>
      <c r="AC28" s="5">
        <f t="shared" ca="1" si="30"/>
        <v>142</v>
      </c>
      <c r="AD28" s="5">
        <f t="shared" ca="1" si="31"/>
        <v>155.30000000000001</v>
      </c>
      <c r="AG28" s="67">
        <f t="shared" ca="1" si="12"/>
        <v>36</v>
      </c>
      <c r="AH28" s="67">
        <v>27</v>
      </c>
      <c r="AI28" s="67">
        <f t="shared" ca="1" si="4"/>
        <v>5</v>
      </c>
      <c r="AJ28" s="39">
        <f t="shared" ca="1" si="5"/>
        <v>5.7131599684791183</v>
      </c>
      <c r="AK28" s="39">
        <f t="shared" ca="1" si="6"/>
        <v>124.86052009456264</v>
      </c>
      <c r="AL28" s="39">
        <f t="shared" ca="1" si="7"/>
        <v>130.57368006304176</v>
      </c>
      <c r="AM28" s="39">
        <f t="shared" ca="1" si="8"/>
        <v>136.28684003152088</v>
      </c>
      <c r="AN28" s="39">
        <f t="shared" ca="1" si="9"/>
        <v>142</v>
      </c>
      <c r="AO28" s="39">
        <f t="shared" ca="1" si="0"/>
        <v>147.71315996847912</v>
      </c>
      <c r="AP28" s="39">
        <f t="shared" ca="1" si="1"/>
        <v>153.42631993695824</v>
      </c>
      <c r="AQ28" s="39">
        <f t="shared" ca="1" si="2"/>
        <v>159.13947990543736</v>
      </c>
      <c r="AR28" s="5">
        <f t="shared" ca="1" si="10"/>
        <v>142</v>
      </c>
      <c r="AS28" s="5">
        <f t="shared" ca="1" si="3"/>
        <v>155.30000000000001</v>
      </c>
      <c r="AT28" s="5">
        <f t="shared" ca="1" si="11"/>
        <v>0</v>
      </c>
    </row>
    <row r="29" spans="1:46" x14ac:dyDescent="0.25">
      <c r="A29" s="67">
        <f ca="1">Demand!C26</f>
        <v>23</v>
      </c>
      <c r="B29" s="67">
        <v>14</v>
      </c>
      <c r="C29" s="5">
        <f ca="1">'Demand background (hide)'!Y17</f>
        <v>136</v>
      </c>
      <c r="D29" s="67">
        <f t="shared" si="15"/>
        <v>0</v>
      </c>
      <c r="E29" s="67" t="e">
        <f t="shared" ca="1" si="16"/>
        <v>#N/A</v>
      </c>
      <c r="F29" s="67" t="e">
        <f t="shared" ca="1" si="17"/>
        <v>#N/A</v>
      </c>
      <c r="G29" s="67" t="e">
        <f t="shared" ca="1" si="18"/>
        <v>#N/A</v>
      </c>
      <c r="H29" s="67" t="e">
        <f>IF('Demand background (hide)'!AN17&lt;&gt;"",'SPC background (hide)'!C29,NA())</f>
        <v>#N/A</v>
      </c>
      <c r="I29" s="67">
        <f t="shared" ca="1" si="19"/>
        <v>5</v>
      </c>
      <c r="J29" s="5">
        <f t="shared" ca="1" si="20"/>
        <v>124.86052009456264</v>
      </c>
      <c r="K29" s="5">
        <f t="shared" ca="1" si="21"/>
        <v>130.57368006304176</v>
      </c>
      <c r="L29" s="5">
        <f t="shared" ca="1" si="22"/>
        <v>136.28684003152088</v>
      </c>
      <c r="M29" s="5">
        <f t="shared" ca="1" si="23"/>
        <v>142</v>
      </c>
      <c r="N29" s="5">
        <f t="shared" ca="1" si="24"/>
        <v>147.71315996847912</v>
      </c>
      <c r="O29" s="5">
        <f t="shared" ca="1" si="25"/>
        <v>153.42631993695824</v>
      </c>
      <c r="P29" s="5">
        <f t="shared" ca="1" si="26"/>
        <v>159.13947990543736</v>
      </c>
      <c r="Q29" s="5" t="e">
        <f t="shared" ca="1" si="27"/>
        <v>#N/A</v>
      </c>
      <c r="R29" s="5">
        <f t="shared" ca="1" si="32"/>
        <v>-1</v>
      </c>
      <c r="S29" s="67" t="e">
        <f t="shared" ca="1" si="33"/>
        <v>#N/A</v>
      </c>
      <c r="T29" s="67">
        <f t="shared" ca="1" si="34"/>
        <v>-2</v>
      </c>
      <c r="U29" s="67" t="e">
        <f t="shared" ca="1" si="35"/>
        <v>#N/A</v>
      </c>
      <c r="V29" s="5">
        <f t="shared" ca="1" si="14"/>
        <v>-1</v>
      </c>
      <c r="W29" s="5" t="e">
        <f t="shared" ca="1" si="28"/>
        <v>#N/A</v>
      </c>
      <c r="X29" s="67">
        <f t="shared" ca="1" si="29"/>
        <v>1</v>
      </c>
      <c r="Y29" s="67" t="e">
        <f t="shared" ca="1" si="36"/>
        <v>#N/A</v>
      </c>
      <c r="Z29" s="67" t="e">
        <f t="shared" ca="1" si="37"/>
        <v>#N/A</v>
      </c>
      <c r="AA29" s="5" t="str">
        <f>IF(Setup!$I$15="Yes",'Demand background (hide)'!AJ17+'SPC background (hide)'!C29,"")</f>
        <v/>
      </c>
      <c r="AC29" s="5">
        <f t="shared" ca="1" si="30"/>
        <v>142</v>
      </c>
      <c r="AD29" s="5">
        <f t="shared" ca="1" si="31"/>
        <v>155.30000000000001</v>
      </c>
      <c r="AG29" s="67">
        <f t="shared" ca="1" si="12"/>
        <v>37</v>
      </c>
      <c r="AH29" s="67">
        <v>28</v>
      </c>
      <c r="AI29" s="67">
        <f t="shared" ca="1" si="4"/>
        <v>5</v>
      </c>
      <c r="AJ29" s="39">
        <f t="shared" ca="1" si="5"/>
        <v>5.7131599684791183</v>
      </c>
      <c r="AK29" s="39">
        <f t="shared" ca="1" si="6"/>
        <v>124.86052009456264</v>
      </c>
      <c r="AL29" s="39">
        <f t="shared" ca="1" si="7"/>
        <v>130.57368006304176</v>
      </c>
      <c r="AM29" s="39">
        <f t="shared" ca="1" si="8"/>
        <v>136.28684003152088</v>
      </c>
      <c r="AN29" s="39">
        <f t="shared" ca="1" si="9"/>
        <v>142</v>
      </c>
      <c r="AO29" s="39">
        <f t="shared" ca="1" si="0"/>
        <v>147.71315996847912</v>
      </c>
      <c r="AP29" s="39">
        <f t="shared" ca="1" si="1"/>
        <v>153.42631993695824</v>
      </c>
      <c r="AQ29" s="39">
        <f t="shared" ca="1" si="2"/>
        <v>159.13947990543736</v>
      </c>
      <c r="AR29" s="5">
        <f t="shared" ca="1" si="10"/>
        <v>142</v>
      </c>
      <c r="AS29" s="5">
        <f t="shared" ca="1" si="3"/>
        <v>155.30000000000001</v>
      </c>
      <c r="AT29" s="5">
        <f t="shared" ca="1" si="11"/>
        <v>0</v>
      </c>
    </row>
    <row r="30" spans="1:46" x14ac:dyDescent="0.25">
      <c r="A30" s="67">
        <f ca="1">Demand!C27</f>
        <v>24</v>
      </c>
      <c r="B30" s="67">
        <v>15</v>
      </c>
      <c r="C30" s="5">
        <f ca="1">'Demand background (hide)'!Y18</f>
        <v>138</v>
      </c>
      <c r="D30" s="67">
        <f t="shared" si="15"/>
        <v>0</v>
      </c>
      <c r="E30" s="67" t="e">
        <f t="shared" ca="1" si="16"/>
        <v>#N/A</v>
      </c>
      <c r="F30" s="67" t="e">
        <f t="shared" ca="1" si="17"/>
        <v>#N/A</v>
      </c>
      <c r="G30" s="67" t="e">
        <f t="shared" ca="1" si="18"/>
        <v>#N/A</v>
      </c>
      <c r="H30" s="67" t="e">
        <f>IF('Demand background (hide)'!AN18&lt;&gt;"",'SPC background (hide)'!C30,NA())</f>
        <v>#N/A</v>
      </c>
      <c r="I30" s="67">
        <f t="shared" ca="1" si="19"/>
        <v>5</v>
      </c>
      <c r="J30" s="5">
        <f t="shared" ca="1" si="20"/>
        <v>124.86052009456264</v>
      </c>
      <c r="K30" s="5">
        <f t="shared" ca="1" si="21"/>
        <v>130.57368006304176</v>
      </c>
      <c r="L30" s="5">
        <f t="shared" ca="1" si="22"/>
        <v>136.28684003152088</v>
      </c>
      <c r="M30" s="5">
        <f t="shared" ca="1" si="23"/>
        <v>142</v>
      </c>
      <c r="N30" s="5">
        <f t="shared" ca="1" si="24"/>
        <v>147.71315996847912</v>
      </c>
      <c r="O30" s="5">
        <f t="shared" ca="1" si="25"/>
        <v>153.42631993695824</v>
      </c>
      <c r="P30" s="5">
        <f t="shared" ca="1" si="26"/>
        <v>159.13947990543736</v>
      </c>
      <c r="Q30" s="5" t="e">
        <f t="shared" ca="1" si="27"/>
        <v>#N/A</v>
      </c>
      <c r="R30" s="5">
        <f t="shared" ca="1" si="32"/>
        <v>-1</v>
      </c>
      <c r="S30" s="67" t="e">
        <f t="shared" ca="1" si="33"/>
        <v>#N/A</v>
      </c>
      <c r="T30" s="67">
        <f t="shared" ca="1" si="34"/>
        <v>-1</v>
      </c>
      <c r="U30" s="67" t="e">
        <f t="shared" ca="1" si="35"/>
        <v>#N/A</v>
      </c>
      <c r="V30" s="5">
        <f t="shared" ca="1" si="14"/>
        <v>-1</v>
      </c>
      <c r="W30" s="5" t="e">
        <f t="shared" ca="1" si="28"/>
        <v>#N/A</v>
      </c>
      <c r="X30" s="67">
        <f t="shared" ca="1" si="29"/>
        <v>1</v>
      </c>
      <c r="Y30" s="67" t="e">
        <f t="shared" ca="1" si="36"/>
        <v>#N/A</v>
      </c>
      <c r="Z30" s="67" t="e">
        <f t="shared" ca="1" si="37"/>
        <v>#N/A</v>
      </c>
      <c r="AA30" s="5" t="str">
        <f>IF(Setup!$I$15="Yes",'Demand background (hide)'!AJ18+'SPC background (hide)'!C30,"")</f>
        <v/>
      </c>
      <c r="AC30" s="5">
        <f t="shared" ca="1" si="30"/>
        <v>142</v>
      </c>
      <c r="AD30" s="5">
        <f t="shared" ca="1" si="31"/>
        <v>155.30000000000001</v>
      </c>
      <c r="AG30" s="67">
        <f t="shared" ca="1" si="12"/>
        <v>38</v>
      </c>
      <c r="AH30" s="67">
        <v>29</v>
      </c>
      <c r="AI30" s="67">
        <f t="shared" ca="1" si="4"/>
        <v>5</v>
      </c>
      <c r="AJ30" s="39">
        <f t="shared" ca="1" si="5"/>
        <v>5.7131599684791183</v>
      </c>
      <c r="AK30" s="39">
        <f t="shared" ca="1" si="6"/>
        <v>124.86052009456264</v>
      </c>
      <c r="AL30" s="39">
        <f t="shared" ca="1" si="7"/>
        <v>130.57368006304176</v>
      </c>
      <c r="AM30" s="39">
        <f t="shared" ca="1" si="8"/>
        <v>136.28684003152088</v>
      </c>
      <c r="AN30" s="39">
        <f t="shared" ca="1" si="9"/>
        <v>142</v>
      </c>
      <c r="AO30" s="39">
        <f t="shared" ca="1" si="0"/>
        <v>147.71315996847912</v>
      </c>
      <c r="AP30" s="39">
        <f t="shared" ca="1" si="1"/>
        <v>153.42631993695824</v>
      </c>
      <c r="AQ30" s="39">
        <f t="shared" ca="1" si="2"/>
        <v>159.13947990543736</v>
      </c>
      <c r="AR30" s="5">
        <f t="shared" ca="1" si="10"/>
        <v>142</v>
      </c>
      <c r="AS30" s="5">
        <f t="shared" ca="1" si="3"/>
        <v>155.30000000000001</v>
      </c>
      <c r="AT30" s="5">
        <f t="shared" ca="1" si="11"/>
        <v>0</v>
      </c>
    </row>
    <row r="31" spans="1:46" x14ac:dyDescent="0.25">
      <c r="A31" s="67">
        <f ca="1">Demand!C28</f>
        <v>25</v>
      </c>
      <c r="B31" s="67">
        <v>16</v>
      </c>
      <c r="C31" s="5">
        <f ca="1">'Demand background (hide)'!Y19</f>
        <v>126</v>
      </c>
      <c r="D31" s="67">
        <f t="shared" si="15"/>
        <v>0</v>
      </c>
      <c r="E31" s="67" t="e">
        <f t="shared" ca="1" si="16"/>
        <v>#N/A</v>
      </c>
      <c r="F31" s="67" t="e">
        <f t="shared" ca="1" si="17"/>
        <v>#N/A</v>
      </c>
      <c r="G31" s="67" t="e">
        <f t="shared" ca="1" si="18"/>
        <v>#N/A</v>
      </c>
      <c r="H31" s="67" t="e">
        <f>IF('Demand background (hide)'!AN19&lt;&gt;"",'SPC background (hide)'!C31,NA())</f>
        <v>#N/A</v>
      </c>
      <c r="I31" s="67">
        <f t="shared" ca="1" si="19"/>
        <v>5</v>
      </c>
      <c r="J31" s="5">
        <f t="shared" ca="1" si="20"/>
        <v>124.86052009456264</v>
      </c>
      <c r="K31" s="5">
        <f t="shared" ca="1" si="21"/>
        <v>130.57368006304176</v>
      </c>
      <c r="L31" s="5">
        <f t="shared" ca="1" si="22"/>
        <v>136.28684003152088</v>
      </c>
      <c r="M31" s="5">
        <f t="shared" ca="1" si="23"/>
        <v>142</v>
      </c>
      <c r="N31" s="5">
        <f t="shared" ca="1" si="24"/>
        <v>147.71315996847912</v>
      </c>
      <c r="O31" s="5">
        <f t="shared" ca="1" si="25"/>
        <v>153.42631993695824</v>
      </c>
      <c r="P31" s="5">
        <f t="shared" ca="1" si="26"/>
        <v>159.13947990543736</v>
      </c>
      <c r="Q31" s="5" t="e">
        <f t="shared" ca="1" si="27"/>
        <v>#N/A</v>
      </c>
      <c r="R31" s="5">
        <f t="shared" ca="1" si="32"/>
        <v>-2</v>
      </c>
      <c r="S31" s="67" t="e">
        <f t="shared" ca="1" si="33"/>
        <v>#N/A</v>
      </c>
      <c r="T31" s="67">
        <f t="shared" ca="1" si="34"/>
        <v>-2</v>
      </c>
      <c r="U31" s="67" t="e">
        <f t="shared" ca="1" si="35"/>
        <v>#N/A</v>
      </c>
      <c r="V31" s="5">
        <f t="shared" ca="1" si="14"/>
        <v>-1</v>
      </c>
      <c r="W31" s="5" t="e">
        <f t="shared" ca="1" si="28"/>
        <v>#N/A</v>
      </c>
      <c r="X31" s="67">
        <f t="shared" ca="1" si="29"/>
        <v>-1</v>
      </c>
      <c r="Y31" s="67" t="e">
        <f t="shared" ca="1" si="36"/>
        <v>#N/A</v>
      </c>
      <c r="Z31" s="67" t="e">
        <f t="shared" ca="1" si="37"/>
        <v>#N/A</v>
      </c>
      <c r="AA31" s="5" t="str">
        <f>IF(Setup!$I$15="Yes",'Demand background (hide)'!AJ19+'SPC background (hide)'!C31,"")</f>
        <v/>
      </c>
      <c r="AC31" s="5">
        <f t="shared" ca="1" si="30"/>
        <v>142</v>
      </c>
      <c r="AD31" s="5">
        <f t="shared" ca="1" si="31"/>
        <v>155.30000000000001</v>
      </c>
      <c r="AG31" s="67">
        <f t="shared" ca="1" si="12"/>
        <v>39</v>
      </c>
      <c r="AH31" s="67">
        <v>30</v>
      </c>
      <c r="AI31" s="67">
        <f t="shared" ca="1" si="4"/>
        <v>5</v>
      </c>
      <c r="AJ31" s="39">
        <f t="shared" ca="1" si="5"/>
        <v>5.7131599684791183</v>
      </c>
      <c r="AK31" s="39">
        <f t="shared" ca="1" si="6"/>
        <v>124.86052009456264</v>
      </c>
      <c r="AL31" s="39">
        <f t="shared" ca="1" si="7"/>
        <v>130.57368006304176</v>
      </c>
      <c r="AM31" s="39">
        <f t="shared" ca="1" si="8"/>
        <v>136.28684003152088</v>
      </c>
      <c r="AN31" s="39">
        <f t="shared" ca="1" si="9"/>
        <v>142</v>
      </c>
      <c r="AO31" s="39">
        <f t="shared" ca="1" si="0"/>
        <v>147.71315996847912</v>
      </c>
      <c r="AP31" s="39">
        <f t="shared" ca="1" si="1"/>
        <v>153.42631993695824</v>
      </c>
      <c r="AQ31" s="39">
        <f t="shared" ca="1" si="2"/>
        <v>159.13947990543736</v>
      </c>
      <c r="AR31" s="5">
        <f t="shared" ca="1" si="10"/>
        <v>142</v>
      </c>
      <c r="AS31" s="5">
        <f t="shared" ca="1" si="3"/>
        <v>155.30000000000001</v>
      </c>
      <c r="AT31" s="5">
        <f t="shared" ca="1" si="11"/>
        <v>0</v>
      </c>
    </row>
    <row r="32" spans="1:46" x14ac:dyDescent="0.25">
      <c r="A32" s="67">
        <f ca="1">Demand!C29</f>
        <v>26</v>
      </c>
      <c r="B32" s="67">
        <v>17</v>
      </c>
      <c r="C32" s="5">
        <f ca="1">'Demand background (hide)'!Y20</f>
        <v>152</v>
      </c>
      <c r="D32" s="67">
        <f t="shared" si="15"/>
        <v>0</v>
      </c>
      <c r="E32" s="67" t="e">
        <f t="shared" ca="1" si="16"/>
        <v>#N/A</v>
      </c>
      <c r="F32" s="67" t="e">
        <f t="shared" ca="1" si="17"/>
        <v>#N/A</v>
      </c>
      <c r="G32" s="67" t="e">
        <f t="shared" ca="1" si="18"/>
        <v>#N/A</v>
      </c>
      <c r="H32" s="67" t="e">
        <f>IF('Demand background (hide)'!AN20&lt;&gt;"",'SPC background (hide)'!C32,NA())</f>
        <v>#N/A</v>
      </c>
      <c r="I32" s="67">
        <f t="shared" ca="1" si="19"/>
        <v>5</v>
      </c>
      <c r="J32" s="5">
        <f t="shared" ca="1" si="20"/>
        <v>124.86052009456264</v>
      </c>
      <c r="K32" s="5">
        <f t="shared" ca="1" si="21"/>
        <v>130.57368006304176</v>
      </c>
      <c r="L32" s="5">
        <f t="shared" ca="1" si="22"/>
        <v>136.28684003152088</v>
      </c>
      <c r="M32" s="5">
        <f t="shared" ca="1" si="23"/>
        <v>142</v>
      </c>
      <c r="N32" s="5">
        <f t="shared" ca="1" si="24"/>
        <v>147.71315996847912</v>
      </c>
      <c r="O32" s="5">
        <f t="shared" ca="1" si="25"/>
        <v>153.42631993695824</v>
      </c>
      <c r="P32" s="5">
        <f t="shared" ca="1" si="26"/>
        <v>159.13947990543736</v>
      </c>
      <c r="Q32" s="5" t="e">
        <f t="shared" ca="1" si="27"/>
        <v>#N/A</v>
      </c>
      <c r="R32" s="5">
        <f t="shared" ca="1" si="32"/>
        <v>1</v>
      </c>
      <c r="S32" s="67" t="e">
        <f t="shared" ca="1" si="33"/>
        <v>#N/A</v>
      </c>
      <c r="T32" s="67">
        <f t="shared" ca="1" si="34"/>
        <v>2</v>
      </c>
      <c r="U32" s="67" t="e">
        <f t="shared" ca="1" si="35"/>
        <v>#N/A</v>
      </c>
      <c r="V32" s="5">
        <f t="shared" ca="1" si="14"/>
        <v>1</v>
      </c>
      <c r="W32" s="5" t="e">
        <f t="shared" ca="1" si="28"/>
        <v>#N/A</v>
      </c>
      <c r="X32" s="67">
        <f t="shared" ca="1" si="29"/>
        <v>1</v>
      </c>
      <c r="Y32" s="67" t="e">
        <f t="shared" ca="1" si="36"/>
        <v>#N/A</v>
      </c>
      <c r="Z32" s="67" t="e">
        <f t="shared" ca="1" si="37"/>
        <v>#N/A</v>
      </c>
      <c r="AA32" s="5" t="str">
        <f>IF(Setup!$I$15="Yes",'Demand background (hide)'!AJ20+'SPC background (hide)'!C32,"")</f>
        <v/>
      </c>
      <c r="AC32" s="5">
        <f t="shared" ca="1" si="30"/>
        <v>142</v>
      </c>
      <c r="AD32" s="5">
        <f t="shared" ca="1" si="31"/>
        <v>155.30000000000001</v>
      </c>
      <c r="AG32" s="67">
        <f t="shared" ca="1" si="12"/>
        <v>40</v>
      </c>
      <c r="AH32" s="67">
        <v>31</v>
      </c>
      <c r="AI32" s="67">
        <f t="shared" ca="1" si="4"/>
        <v>5</v>
      </c>
      <c r="AJ32" s="39">
        <f t="shared" ca="1" si="5"/>
        <v>5.7131599684791183</v>
      </c>
      <c r="AK32" s="39">
        <f t="shared" ca="1" si="6"/>
        <v>124.86052009456264</v>
      </c>
      <c r="AL32" s="39">
        <f t="shared" ca="1" si="7"/>
        <v>130.57368006304176</v>
      </c>
      <c r="AM32" s="39">
        <f t="shared" ca="1" si="8"/>
        <v>136.28684003152088</v>
      </c>
      <c r="AN32" s="39">
        <f t="shared" ca="1" si="9"/>
        <v>142</v>
      </c>
      <c r="AO32" s="39">
        <f t="shared" ca="1" si="0"/>
        <v>147.71315996847912</v>
      </c>
      <c r="AP32" s="39">
        <f t="shared" ca="1" si="1"/>
        <v>153.42631993695824</v>
      </c>
      <c r="AQ32" s="39">
        <f t="shared" ca="1" si="2"/>
        <v>159.13947990543736</v>
      </c>
      <c r="AR32" s="5">
        <f t="shared" ca="1" si="10"/>
        <v>142</v>
      </c>
      <c r="AS32" s="5">
        <f t="shared" ca="1" si="3"/>
        <v>155.30000000000001</v>
      </c>
      <c r="AT32" s="5">
        <f t="shared" ca="1" si="11"/>
        <v>0</v>
      </c>
    </row>
    <row r="33" spans="1:46" x14ac:dyDescent="0.25">
      <c r="A33" s="67">
        <f ca="1">Demand!C30</f>
        <v>27</v>
      </c>
      <c r="B33" s="67">
        <v>18</v>
      </c>
      <c r="C33" s="5">
        <f ca="1">'Demand background (hide)'!Y21</f>
        <v>128</v>
      </c>
      <c r="D33" s="67">
        <f t="shared" si="15"/>
        <v>0</v>
      </c>
      <c r="E33" s="67" t="e">
        <f t="shared" ca="1" si="16"/>
        <v>#N/A</v>
      </c>
      <c r="F33" s="67" t="e">
        <f t="shared" ca="1" si="17"/>
        <v>#N/A</v>
      </c>
      <c r="G33" s="67" t="e">
        <f t="shared" ca="1" si="18"/>
        <v>#N/A</v>
      </c>
      <c r="H33" s="67" t="e">
        <f>IF('Demand background (hide)'!AN21&lt;&gt;"",'SPC background (hide)'!C33,NA())</f>
        <v>#N/A</v>
      </c>
      <c r="I33" s="67">
        <f t="shared" ca="1" si="19"/>
        <v>5</v>
      </c>
      <c r="J33" s="5">
        <f t="shared" ca="1" si="20"/>
        <v>124.86052009456264</v>
      </c>
      <c r="K33" s="5">
        <f t="shared" ca="1" si="21"/>
        <v>130.57368006304176</v>
      </c>
      <c r="L33" s="5">
        <f t="shared" ca="1" si="22"/>
        <v>136.28684003152088</v>
      </c>
      <c r="M33" s="5">
        <f t="shared" ca="1" si="23"/>
        <v>142</v>
      </c>
      <c r="N33" s="5">
        <f t="shared" ca="1" si="24"/>
        <v>147.71315996847912</v>
      </c>
      <c r="O33" s="5">
        <f t="shared" ca="1" si="25"/>
        <v>153.42631993695824</v>
      </c>
      <c r="P33" s="5">
        <f t="shared" ca="1" si="26"/>
        <v>159.13947990543736</v>
      </c>
      <c r="Q33" s="5" t="e">
        <f t="shared" ca="1" si="27"/>
        <v>#N/A</v>
      </c>
      <c r="R33" s="5">
        <f t="shared" ca="1" si="32"/>
        <v>-2</v>
      </c>
      <c r="S33" s="67" t="e">
        <f t="shared" ca="1" si="33"/>
        <v>#N/A</v>
      </c>
      <c r="T33" s="67">
        <f t="shared" ca="1" si="34"/>
        <v>-2</v>
      </c>
      <c r="U33" s="67" t="e">
        <f t="shared" ca="1" si="35"/>
        <v>#N/A</v>
      </c>
      <c r="V33" s="5">
        <f t="shared" ca="1" si="14"/>
        <v>-1</v>
      </c>
      <c r="W33" s="5" t="e">
        <f t="shared" ca="1" si="28"/>
        <v>#N/A</v>
      </c>
      <c r="X33" s="67">
        <f t="shared" ca="1" si="29"/>
        <v>-1</v>
      </c>
      <c r="Y33" s="67" t="e">
        <f t="shared" ca="1" si="36"/>
        <v>#N/A</v>
      </c>
      <c r="Z33" s="67" t="e">
        <f t="shared" ca="1" si="37"/>
        <v>#N/A</v>
      </c>
      <c r="AA33" s="5" t="str">
        <f>IF(Setup!$I$15="Yes",'Demand background (hide)'!AJ21+'SPC background (hide)'!C33,"")</f>
        <v/>
      </c>
      <c r="AC33" s="5">
        <f t="shared" ca="1" si="30"/>
        <v>142</v>
      </c>
      <c r="AD33" s="5">
        <f t="shared" ca="1" si="31"/>
        <v>155.30000000000001</v>
      </c>
      <c r="AG33" s="67">
        <f t="shared" ca="1" si="12"/>
        <v>41</v>
      </c>
      <c r="AH33" s="67">
        <v>32</v>
      </c>
      <c r="AI33" s="67">
        <f t="shared" ca="1" si="4"/>
        <v>5</v>
      </c>
      <c r="AJ33" s="39">
        <f t="shared" ca="1" si="5"/>
        <v>5.7131599684791183</v>
      </c>
      <c r="AK33" s="39">
        <f t="shared" ca="1" si="6"/>
        <v>124.86052009456264</v>
      </c>
      <c r="AL33" s="39">
        <f t="shared" ca="1" si="7"/>
        <v>130.57368006304176</v>
      </c>
      <c r="AM33" s="39">
        <f t="shared" ca="1" si="8"/>
        <v>136.28684003152088</v>
      </c>
      <c r="AN33" s="39">
        <f t="shared" ca="1" si="9"/>
        <v>142</v>
      </c>
      <c r="AO33" s="39">
        <f t="shared" ca="1" si="0"/>
        <v>147.71315996847912</v>
      </c>
      <c r="AP33" s="39">
        <f t="shared" ca="1" si="1"/>
        <v>153.42631993695824</v>
      </c>
      <c r="AQ33" s="39">
        <f t="shared" ca="1" si="2"/>
        <v>159.13947990543736</v>
      </c>
      <c r="AR33" s="5">
        <f t="shared" ca="1" si="10"/>
        <v>142</v>
      </c>
      <c r="AS33" s="5">
        <f t="shared" ca="1" si="3"/>
        <v>155.30000000000001</v>
      </c>
      <c r="AT33" s="5">
        <f t="shared" ca="1" si="11"/>
        <v>0</v>
      </c>
    </row>
    <row r="34" spans="1:46" x14ac:dyDescent="0.25">
      <c r="A34" s="67">
        <f ca="1">Demand!C31</f>
        <v>28</v>
      </c>
      <c r="B34" s="67">
        <v>19</v>
      </c>
      <c r="C34" s="5">
        <f ca="1">'Demand background (hide)'!Y22</f>
        <v>152</v>
      </c>
      <c r="D34" s="67">
        <f t="shared" si="15"/>
        <v>0</v>
      </c>
      <c r="E34" s="67" t="e">
        <f t="shared" ca="1" si="16"/>
        <v>#N/A</v>
      </c>
      <c r="F34" s="67" t="e">
        <f t="shared" ca="1" si="17"/>
        <v>#N/A</v>
      </c>
      <c r="G34" s="67" t="e">
        <f t="shared" ca="1" si="18"/>
        <v>#N/A</v>
      </c>
      <c r="H34" s="67" t="e">
        <f>IF('Demand background (hide)'!AN22&lt;&gt;"",'SPC background (hide)'!C34,NA())</f>
        <v>#N/A</v>
      </c>
      <c r="I34" s="67">
        <f t="shared" ca="1" si="19"/>
        <v>5</v>
      </c>
      <c r="J34" s="5">
        <f t="shared" ca="1" si="20"/>
        <v>124.86052009456264</v>
      </c>
      <c r="K34" s="5">
        <f t="shared" ca="1" si="21"/>
        <v>130.57368006304176</v>
      </c>
      <c r="L34" s="5">
        <f t="shared" ca="1" si="22"/>
        <v>136.28684003152088</v>
      </c>
      <c r="M34" s="5">
        <f t="shared" ca="1" si="23"/>
        <v>142</v>
      </c>
      <c r="N34" s="5">
        <f t="shared" ca="1" si="24"/>
        <v>147.71315996847912</v>
      </c>
      <c r="O34" s="5">
        <f t="shared" ca="1" si="25"/>
        <v>153.42631993695824</v>
      </c>
      <c r="P34" s="5">
        <f t="shared" ca="1" si="26"/>
        <v>159.13947990543736</v>
      </c>
      <c r="Q34" s="5" t="e">
        <f t="shared" ca="1" si="27"/>
        <v>#N/A</v>
      </c>
      <c r="R34" s="5">
        <f t="shared" ca="1" si="32"/>
        <v>1</v>
      </c>
      <c r="S34" s="67" t="e">
        <f t="shared" ca="1" si="33"/>
        <v>#N/A</v>
      </c>
      <c r="T34" s="67">
        <f t="shared" ca="1" si="34"/>
        <v>2</v>
      </c>
      <c r="U34" s="67" t="e">
        <f t="shared" ca="1" si="35"/>
        <v>#N/A</v>
      </c>
      <c r="V34" s="5">
        <f t="shared" ca="1" si="14"/>
        <v>1</v>
      </c>
      <c r="W34" s="5" t="e">
        <f t="shared" ca="1" si="28"/>
        <v>#N/A</v>
      </c>
      <c r="X34" s="67">
        <f t="shared" ca="1" si="29"/>
        <v>1</v>
      </c>
      <c r="Y34" s="67" t="e">
        <f t="shared" ca="1" si="36"/>
        <v>#N/A</v>
      </c>
      <c r="Z34" s="67" t="e">
        <f t="shared" ca="1" si="37"/>
        <v>#N/A</v>
      </c>
      <c r="AA34" s="5" t="str">
        <f>IF(Setup!$I$15="Yes",'Demand background (hide)'!AJ22+'SPC background (hide)'!C34,"")</f>
        <v/>
      </c>
      <c r="AC34" s="5">
        <f t="shared" ca="1" si="30"/>
        <v>142</v>
      </c>
      <c r="AD34" s="5">
        <f t="shared" ca="1" si="31"/>
        <v>155.30000000000001</v>
      </c>
      <c r="AG34" s="67">
        <f ca="1">IF(MOD(AG33+1,53)=0,53,MOD(AG33+1,53))</f>
        <v>42</v>
      </c>
      <c r="AH34" s="67">
        <v>33</v>
      </c>
      <c r="AI34" s="67">
        <f t="shared" ca="1" si="4"/>
        <v>5</v>
      </c>
      <c r="AJ34" s="39">
        <f t="shared" ca="1" si="5"/>
        <v>5.7131599684791183</v>
      </c>
      <c r="AK34" s="39">
        <f t="shared" ca="1" si="6"/>
        <v>124.86052009456264</v>
      </c>
      <c r="AL34" s="39">
        <f t="shared" ca="1" si="7"/>
        <v>130.57368006304176</v>
      </c>
      <c r="AM34" s="39">
        <f t="shared" ca="1" si="8"/>
        <v>136.28684003152088</v>
      </c>
      <c r="AN34" s="39">
        <f t="shared" ca="1" si="9"/>
        <v>142</v>
      </c>
      <c r="AO34" s="39">
        <f t="shared" ca="1" si="0"/>
        <v>147.71315996847912</v>
      </c>
      <c r="AP34" s="39">
        <f t="shared" ca="1" si="1"/>
        <v>153.42631993695824</v>
      </c>
      <c r="AQ34" s="39">
        <f t="shared" ca="1" si="2"/>
        <v>159.13947990543736</v>
      </c>
      <c r="AR34" s="5">
        <f t="shared" ca="1" si="10"/>
        <v>142</v>
      </c>
      <c r="AS34" s="5">
        <f t="shared" ca="1" si="3"/>
        <v>155.30000000000001</v>
      </c>
      <c r="AT34" s="5">
        <f t="shared" ca="1" si="11"/>
        <v>0</v>
      </c>
    </row>
    <row r="35" spans="1:46" x14ac:dyDescent="0.25">
      <c r="A35" s="67">
        <f ca="1">Demand!C32</f>
        <v>29</v>
      </c>
      <c r="B35" s="67">
        <v>20</v>
      </c>
      <c r="C35" s="5">
        <f ca="1">'Demand background (hide)'!Y23</f>
        <v>138</v>
      </c>
      <c r="D35" s="67">
        <f t="shared" si="15"/>
        <v>0</v>
      </c>
      <c r="E35" s="67" t="e">
        <f t="shared" ca="1" si="16"/>
        <v>#N/A</v>
      </c>
      <c r="F35" s="67" t="e">
        <f t="shared" ca="1" si="17"/>
        <v>#N/A</v>
      </c>
      <c r="G35" s="67" t="e">
        <f t="shared" ca="1" si="18"/>
        <v>#N/A</v>
      </c>
      <c r="H35" s="67" t="e">
        <f>IF('Demand background (hide)'!AN23&lt;&gt;"",'SPC background (hide)'!C35,NA())</f>
        <v>#N/A</v>
      </c>
      <c r="I35" s="67">
        <f t="shared" ca="1" si="19"/>
        <v>5</v>
      </c>
      <c r="J35" s="5">
        <f t="shared" ca="1" si="20"/>
        <v>124.86052009456264</v>
      </c>
      <c r="K35" s="5">
        <f t="shared" ca="1" si="21"/>
        <v>130.57368006304176</v>
      </c>
      <c r="L35" s="5">
        <f t="shared" ca="1" si="22"/>
        <v>136.28684003152088</v>
      </c>
      <c r="M35" s="5">
        <f t="shared" ca="1" si="23"/>
        <v>142</v>
      </c>
      <c r="N35" s="5">
        <f t="shared" ca="1" si="24"/>
        <v>147.71315996847912</v>
      </c>
      <c r="O35" s="5">
        <f t="shared" ca="1" si="25"/>
        <v>153.42631993695824</v>
      </c>
      <c r="P35" s="5">
        <f t="shared" ca="1" si="26"/>
        <v>159.13947990543736</v>
      </c>
      <c r="Q35" s="5" t="e">
        <f t="shared" ca="1" si="27"/>
        <v>#N/A</v>
      </c>
      <c r="R35" s="5">
        <f t="shared" ca="1" si="32"/>
        <v>-1</v>
      </c>
      <c r="S35" s="67" t="e">
        <f t="shared" ca="1" si="33"/>
        <v>#N/A</v>
      </c>
      <c r="T35" s="67">
        <f t="shared" ca="1" si="34"/>
        <v>-1</v>
      </c>
      <c r="U35" s="67" t="e">
        <f t="shared" ca="1" si="35"/>
        <v>#N/A</v>
      </c>
      <c r="V35" s="5">
        <f t="shared" ca="1" si="14"/>
        <v>-1</v>
      </c>
      <c r="W35" s="5" t="e">
        <f t="shared" ca="1" si="28"/>
        <v>#N/A</v>
      </c>
      <c r="X35" s="67">
        <f t="shared" ca="1" si="29"/>
        <v>-1</v>
      </c>
      <c r="Y35" s="67" t="e">
        <f t="shared" ca="1" si="36"/>
        <v>#N/A</v>
      </c>
      <c r="Z35" s="67" t="e">
        <f t="shared" ca="1" si="37"/>
        <v>#N/A</v>
      </c>
      <c r="AA35" s="5" t="str">
        <f>IF(Setup!$I$15="Yes",'Demand background (hide)'!AJ23+'SPC background (hide)'!C35,"")</f>
        <v/>
      </c>
      <c r="AC35" s="5">
        <f t="shared" ca="1" si="30"/>
        <v>142</v>
      </c>
      <c r="AD35" s="5">
        <f t="shared" ca="1" si="31"/>
        <v>155.30000000000001</v>
      </c>
      <c r="AG35" s="67">
        <f t="shared" ca="1" si="12"/>
        <v>43</v>
      </c>
      <c r="AH35" s="67">
        <v>34</v>
      </c>
      <c r="AI35" s="67">
        <f t="shared" ca="1" si="4"/>
        <v>5</v>
      </c>
      <c r="AJ35" s="39">
        <f t="shared" ca="1" si="5"/>
        <v>5.7131599684791183</v>
      </c>
      <c r="AK35" s="39">
        <f t="shared" ca="1" si="6"/>
        <v>124.86052009456264</v>
      </c>
      <c r="AL35" s="39">
        <f t="shared" ca="1" si="7"/>
        <v>130.57368006304176</v>
      </c>
      <c r="AM35" s="39">
        <f t="shared" ca="1" si="8"/>
        <v>136.28684003152088</v>
      </c>
      <c r="AN35" s="39">
        <f t="shared" ca="1" si="9"/>
        <v>142</v>
      </c>
      <c r="AO35" s="39">
        <f t="shared" ca="1" si="0"/>
        <v>147.71315996847912</v>
      </c>
      <c r="AP35" s="39">
        <f t="shared" ca="1" si="1"/>
        <v>153.42631993695824</v>
      </c>
      <c r="AQ35" s="39">
        <f t="shared" ca="1" si="2"/>
        <v>159.13947990543736</v>
      </c>
      <c r="AR35" s="5">
        <f t="shared" ca="1" si="10"/>
        <v>142</v>
      </c>
      <c r="AS35" s="5">
        <f t="shared" ca="1" si="3"/>
        <v>155.30000000000001</v>
      </c>
      <c r="AT35" s="5">
        <f t="shared" ca="1" si="11"/>
        <v>0</v>
      </c>
    </row>
    <row r="36" spans="1:46" x14ac:dyDescent="0.25">
      <c r="A36" s="67">
        <f ca="1">Demand!C33</f>
        <v>30</v>
      </c>
      <c r="B36" s="67">
        <v>21</v>
      </c>
      <c r="C36" s="5">
        <f ca="1">'Demand background (hide)'!Y24</f>
        <v>160</v>
      </c>
      <c r="D36" s="67">
        <f t="shared" si="15"/>
        <v>0</v>
      </c>
      <c r="E36" s="67" t="e">
        <f t="shared" ca="1" si="16"/>
        <v>#N/A</v>
      </c>
      <c r="F36" s="67" t="e">
        <f t="shared" ca="1" si="17"/>
        <v>#N/A</v>
      </c>
      <c r="G36" s="67" t="e">
        <f t="shared" ca="1" si="18"/>
        <v>#N/A</v>
      </c>
      <c r="H36" s="67" t="e">
        <f>IF('Demand background (hide)'!AN24&lt;&gt;"",'SPC background (hide)'!C36,NA())</f>
        <v>#N/A</v>
      </c>
      <c r="I36" s="67">
        <f t="shared" ca="1" si="19"/>
        <v>5</v>
      </c>
      <c r="J36" s="5">
        <f t="shared" ca="1" si="20"/>
        <v>124.86052009456264</v>
      </c>
      <c r="K36" s="5">
        <f t="shared" ca="1" si="21"/>
        <v>130.57368006304176</v>
      </c>
      <c r="L36" s="5">
        <f t="shared" ca="1" si="22"/>
        <v>136.28684003152088</v>
      </c>
      <c r="M36" s="5">
        <f t="shared" ca="1" si="23"/>
        <v>142</v>
      </c>
      <c r="N36" s="5">
        <f t="shared" ca="1" si="24"/>
        <v>147.71315996847912</v>
      </c>
      <c r="O36" s="5">
        <f t="shared" ca="1" si="25"/>
        <v>153.42631993695824</v>
      </c>
      <c r="P36" s="5">
        <f t="shared" ca="1" si="26"/>
        <v>159.13947990543736</v>
      </c>
      <c r="Q36" s="5">
        <f t="shared" ca="1" si="27"/>
        <v>160</v>
      </c>
      <c r="R36" s="5">
        <f t="shared" ca="1" si="32"/>
        <v>2</v>
      </c>
      <c r="S36" s="67" t="e">
        <f t="shared" ca="1" si="33"/>
        <v>#N/A</v>
      </c>
      <c r="T36" s="67">
        <f t="shared" ca="1" si="34"/>
        <v>2</v>
      </c>
      <c r="U36" s="67" t="e">
        <f t="shared" ca="1" si="35"/>
        <v>#N/A</v>
      </c>
      <c r="V36" s="5">
        <f t="shared" ca="1" si="14"/>
        <v>1</v>
      </c>
      <c r="W36" s="5" t="e">
        <f t="shared" ca="1" si="28"/>
        <v>#N/A</v>
      </c>
      <c r="X36" s="67">
        <f t="shared" ca="1" si="29"/>
        <v>1</v>
      </c>
      <c r="Y36" s="67" t="e">
        <f t="shared" ca="1" si="36"/>
        <v>#N/A</v>
      </c>
      <c r="Z36" s="67" t="e">
        <f t="shared" ca="1" si="37"/>
        <v>#N/A</v>
      </c>
      <c r="AA36" s="5" t="str">
        <f>IF(Setup!$I$15="Yes",'Demand background (hide)'!AJ24+'SPC background (hide)'!C36,"")</f>
        <v/>
      </c>
      <c r="AC36" s="5">
        <f t="shared" ca="1" si="30"/>
        <v>142</v>
      </c>
      <c r="AD36" s="5">
        <f t="shared" ca="1" si="31"/>
        <v>155.30000000000001</v>
      </c>
      <c r="AG36" s="67">
        <f t="shared" ca="1" si="12"/>
        <v>44</v>
      </c>
      <c r="AH36" s="67">
        <v>35</v>
      </c>
      <c r="AI36" s="67">
        <f t="shared" ca="1" si="4"/>
        <v>5</v>
      </c>
      <c r="AJ36" s="39">
        <f t="shared" ca="1" si="5"/>
        <v>5.7131599684791183</v>
      </c>
      <c r="AK36" s="39">
        <f t="shared" ca="1" si="6"/>
        <v>124.86052009456264</v>
      </c>
      <c r="AL36" s="39">
        <f t="shared" ca="1" si="7"/>
        <v>130.57368006304176</v>
      </c>
      <c r="AM36" s="39">
        <f t="shared" ca="1" si="8"/>
        <v>136.28684003152088</v>
      </c>
      <c r="AN36" s="39">
        <f t="shared" ca="1" si="9"/>
        <v>142</v>
      </c>
      <c r="AO36" s="39">
        <f t="shared" ca="1" si="0"/>
        <v>147.71315996847912</v>
      </c>
      <c r="AP36" s="39">
        <f t="shared" ca="1" si="1"/>
        <v>153.42631993695824</v>
      </c>
      <c r="AQ36" s="39">
        <f t="shared" ca="1" si="2"/>
        <v>159.13947990543736</v>
      </c>
      <c r="AR36" s="5">
        <f t="shared" ca="1" si="10"/>
        <v>142</v>
      </c>
      <c r="AS36" s="5">
        <f t="shared" ca="1" si="3"/>
        <v>155.30000000000001</v>
      </c>
      <c r="AT36" s="5">
        <f t="shared" ca="1" si="11"/>
        <v>0</v>
      </c>
    </row>
    <row r="37" spans="1:46" x14ac:dyDescent="0.25">
      <c r="A37" s="67">
        <f ca="1">Demand!C34</f>
        <v>31</v>
      </c>
      <c r="B37" s="67">
        <v>22</v>
      </c>
      <c r="C37" s="5">
        <f ca="1">'Demand background (hide)'!Y25</f>
        <v>146</v>
      </c>
      <c r="D37" s="67">
        <f t="shared" si="15"/>
        <v>0</v>
      </c>
      <c r="E37" s="67" t="e">
        <f t="shared" ca="1" si="16"/>
        <v>#N/A</v>
      </c>
      <c r="F37" s="67" t="e">
        <f t="shared" ca="1" si="17"/>
        <v>#N/A</v>
      </c>
      <c r="G37" s="67" t="e">
        <f t="shared" ca="1" si="18"/>
        <v>#N/A</v>
      </c>
      <c r="H37" s="67" t="e">
        <f>IF('Demand background (hide)'!AN25&lt;&gt;"",'SPC background (hide)'!C37,NA())</f>
        <v>#N/A</v>
      </c>
      <c r="I37" s="67">
        <f t="shared" ca="1" si="19"/>
        <v>5</v>
      </c>
      <c r="J37" s="5">
        <f t="shared" ca="1" si="20"/>
        <v>124.86052009456264</v>
      </c>
      <c r="K37" s="5">
        <f t="shared" ca="1" si="21"/>
        <v>130.57368006304176</v>
      </c>
      <c r="L37" s="5">
        <f t="shared" ca="1" si="22"/>
        <v>136.28684003152088</v>
      </c>
      <c r="M37" s="5">
        <f t="shared" ca="1" si="23"/>
        <v>142</v>
      </c>
      <c r="N37" s="5">
        <f t="shared" ca="1" si="24"/>
        <v>147.71315996847912</v>
      </c>
      <c r="O37" s="5">
        <f t="shared" ca="1" si="25"/>
        <v>153.42631993695824</v>
      </c>
      <c r="P37" s="5">
        <f t="shared" ca="1" si="26"/>
        <v>159.13947990543736</v>
      </c>
      <c r="Q37" s="5" t="e">
        <f t="shared" ca="1" si="27"/>
        <v>#N/A</v>
      </c>
      <c r="R37" s="5">
        <f t="shared" ca="1" si="32"/>
        <v>1</v>
      </c>
      <c r="S37" s="67" t="e">
        <f t="shared" ca="1" si="33"/>
        <v>#N/A</v>
      </c>
      <c r="T37" s="67">
        <f t="shared" ca="1" si="34"/>
        <v>1</v>
      </c>
      <c r="U37" s="67" t="e">
        <f t="shared" ca="1" si="35"/>
        <v>#N/A</v>
      </c>
      <c r="V37" s="5">
        <f t="shared" ca="1" si="14"/>
        <v>1</v>
      </c>
      <c r="W37" s="5" t="e">
        <f t="shared" ca="1" si="28"/>
        <v>#N/A</v>
      </c>
      <c r="X37" s="67">
        <f t="shared" ca="1" si="29"/>
        <v>-1</v>
      </c>
      <c r="Y37" s="67" t="e">
        <f t="shared" ca="1" si="36"/>
        <v>#N/A</v>
      </c>
      <c r="Z37" s="67" t="e">
        <f t="shared" ca="1" si="37"/>
        <v>#N/A</v>
      </c>
      <c r="AA37" s="5" t="str">
        <f>IF(Setup!$I$15="Yes",'Demand background (hide)'!AJ25+'SPC background (hide)'!C37,"")</f>
        <v/>
      </c>
      <c r="AC37" s="5">
        <f t="shared" ca="1" si="30"/>
        <v>142</v>
      </c>
      <c r="AD37" s="5">
        <f t="shared" ca="1" si="31"/>
        <v>155.30000000000001</v>
      </c>
      <c r="AG37" s="67">
        <f t="shared" ca="1" si="12"/>
        <v>45</v>
      </c>
      <c r="AH37" s="67">
        <v>36</v>
      </c>
      <c r="AI37" s="67">
        <f t="shared" ca="1" si="4"/>
        <v>5</v>
      </c>
      <c r="AJ37" s="39">
        <f t="shared" ca="1" si="5"/>
        <v>5.7131599684791183</v>
      </c>
      <c r="AK37" s="39">
        <f t="shared" ca="1" si="6"/>
        <v>124.86052009456264</v>
      </c>
      <c r="AL37" s="39">
        <f t="shared" ca="1" si="7"/>
        <v>130.57368006304176</v>
      </c>
      <c r="AM37" s="39">
        <f t="shared" ca="1" si="8"/>
        <v>136.28684003152088</v>
      </c>
      <c r="AN37" s="39">
        <f t="shared" ca="1" si="9"/>
        <v>142</v>
      </c>
      <c r="AO37" s="39">
        <f t="shared" ca="1" si="0"/>
        <v>147.71315996847912</v>
      </c>
      <c r="AP37" s="39">
        <f t="shared" ca="1" si="1"/>
        <v>153.42631993695824</v>
      </c>
      <c r="AQ37" s="39">
        <f t="shared" ca="1" si="2"/>
        <v>159.13947990543736</v>
      </c>
      <c r="AR37" s="5">
        <f t="shared" ca="1" si="10"/>
        <v>142</v>
      </c>
      <c r="AS37" s="5">
        <f t="shared" ca="1" si="3"/>
        <v>155.30000000000001</v>
      </c>
      <c r="AT37" s="5">
        <f t="shared" ca="1" si="11"/>
        <v>0</v>
      </c>
    </row>
    <row r="38" spans="1:46" x14ac:dyDescent="0.25">
      <c r="A38" s="67">
        <f ca="1">Demand!C35</f>
        <v>32</v>
      </c>
      <c r="B38" s="67">
        <v>23</v>
      </c>
      <c r="C38" s="5">
        <f ca="1">'Demand background (hide)'!Y26</f>
        <v>148</v>
      </c>
      <c r="D38" s="67">
        <f t="shared" si="15"/>
        <v>0</v>
      </c>
      <c r="E38" s="67" t="e">
        <f t="shared" ca="1" si="16"/>
        <v>#N/A</v>
      </c>
      <c r="F38" s="67" t="e">
        <f t="shared" ca="1" si="17"/>
        <v>#N/A</v>
      </c>
      <c r="G38" s="67" t="e">
        <f t="shared" ca="1" si="18"/>
        <v>#N/A</v>
      </c>
      <c r="H38" s="67" t="e">
        <f>IF('Demand background (hide)'!AN26&lt;&gt;"",'SPC background (hide)'!C38,NA())</f>
        <v>#N/A</v>
      </c>
      <c r="I38" s="67">
        <f t="shared" ca="1" si="19"/>
        <v>5</v>
      </c>
      <c r="J38" s="5">
        <f t="shared" ca="1" si="20"/>
        <v>124.86052009456264</v>
      </c>
      <c r="K38" s="5">
        <f t="shared" ca="1" si="21"/>
        <v>130.57368006304176</v>
      </c>
      <c r="L38" s="5">
        <f t="shared" ca="1" si="22"/>
        <v>136.28684003152088</v>
      </c>
      <c r="M38" s="5">
        <f t="shared" ca="1" si="23"/>
        <v>142</v>
      </c>
      <c r="N38" s="5">
        <f t="shared" ca="1" si="24"/>
        <v>147.71315996847912</v>
      </c>
      <c r="O38" s="5">
        <f t="shared" ca="1" si="25"/>
        <v>153.42631993695824</v>
      </c>
      <c r="P38" s="5">
        <f t="shared" ca="1" si="26"/>
        <v>159.13947990543736</v>
      </c>
      <c r="Q38" s="5" t="e">
        <f t="shared" ca="1" si="27"/>
        <v>#N/A</v>
      </c>
      <c r="R38" s="5">
        <f t="shared" ca="1" si="32"/>
        <v>1</v>
      </c>
      <c r="S38" s="67" t="e">
        <f t="shared" ca="1" si="33"/>
        <v>#N/A</v>
      </c>
      <c r="T38" s="67">
        <f t="shared" ca="1" si="34"/>
        <v>2</v>
      </c>
      <c r="U38" s="67" t="e">
        <f t="shared" ca="1" si="35"/>
        <v>#N/A</v>
      </c>
      <c r="V38" s="5">
        <f t="shared" ca="1" si="14"/>
        <v>1</v>
      </c>
      <c r="W38" s="5" t="e">
        <f t="shared" ca="1" si="28"/>
        <v>#N/A</v>
      </c>
      <c r="X38" s="67">
        <f t="shared" ca="1" si="29"/>
        <v>1</v>
      </c>
      <c r="Y38" s="67" t="e">
        <f t="shared" ca="1" si="36"/>
        <v>#N/A</v>
      </c>
      <c r="Z38" s="67" t="e">
        <f t="shared" ca="1" si="37"/>
        <v>#N/A</v>
      </c>
      <c r="AA38" s="5" t="str">
        <f>IF(Setup!$I$15="Yes",'Demand background (hide)'!AJ26+'SPC background (hide)'!C38,"")</f>
        <v/>
      </c>
      <c r="AC38" s="5">
        <f t="shared" ca="1" si="30"/>
        <v>142</v>
      </c>
      <c r="AD38" s="5">
        <f t="shared" ca="1" si="31"/>
        <v>155.30000000000001</v>
      </c>
      <c r="AG38" s="67">
        <f t="shared" ca="1" si="12"/>
        <v>46</v>
      </c>
      <c r="AH38" s="67">
        <v>37</v>
      </c>
      <c r="AI38" s="67">
        <f t="shared" ca="1" si="4"/>
        <v>5</v>
      </c>
      <c r="AJ38" s="39">
        <f t="shared" ca="1" si="5"/>
        <v>5.7131599684791183</v>
      </c>
      <c r="AK38" s="39">
        <f t="shared" ca="1" si="6"/>
        <v>124.86052009456264</v>
      </c>
      <c r="AL38" s="39">
        <f t="shared" ca="1" si="7"/>
        <v>130.57368006304176</v>
      </c>
      <c r="AM38" s="39">
        <f t="shared" ca="1" si="8"/>
        <v>136.28684003152088</v>
      </c>
      <c r="AN38" s="39">
        <f t="shared" ca="1" si="9"/>
        <v>142</v>
      </c>
      <c r="AO38" s="39">
        <f t="shared" ca="1" si="0"/>
        <v>147.71315996847912</v>
      </c>
      <c r="AP38" s="39">
        <f t="shared" ca="1" si="1"/>
        <v>153.42631993695824</v>
      </c>
      <c r="AQ38" s="39">
        <f t="shared" ca="1" si="2"/>
        <v>159.13947990543736</v>
      </c>
      <c r="AR38" s="5">
        <f t="shared" ca="1" si="10"/>
        <v>142</v>
      </c>
      <c r="AS38" s="5">
        <f t="shared" ca="1" si="3"/>
        <v>155.30000000000001</v>
      </c>
      <c r="AT38" s="5">
        <f t="shared" ca="1" si="11"/>
        <v>0</v>
      </c>
    </row>
    <row r="39" spans="1:46" x14ac:dyDescent="0.25">
      <c r="A39" s="67">
        <f ca="1">Demand!C36</f>
        <v>33</v>
      </c>
      <c r="B39" s="67">
        <v>24</v>
      </c>
      <c r="C39" s="5">
        <f ca="1">'Demand background (hide)'!Y27</f>
        <v>130</v>
      </c>
      <c r="D39" s="67">
        <f t="shared" si="15"/>
        <v>0</v>
      </c>
      <c r="E39" s="67" t="e">
        <f t="shared" ca="1" si="16"/>
        <v>#N/A</v>
      </c>
      <c r="F39" s="67" t="e">
        <f t="shared" ca="1" si="17"/>
        <v>#N/A</v>
      </c>
      <c r="G39" s="67" t="e">
        <f t="shared" ca="1" si="18"/>
        <v>#N/A</v>
      </c>
      <c r="H39" s="67" t="e">
        <f>IF('Demand background (hide)'!AN27&lt;&gt;"",'SPC background (hide)'!C39,NA())</f>
        <v>#N/A</v>
      </c>
      <c r="I39" s="67">
        <f t="shared" ca="1" si="19"/>
        <v>5</v>
      </c>
      <c r="J39" s="5">
        <f t="shared" ca="1" si="20"/>
        <v>124.86052009456264</v>
      </c>
      <c r="K39" s="5">
        <f t="shared" ca="1" si="21"/>
        <v>130.57368006304176</v>
      </c>
      <c r="L39" s="5">
        <f t="shared" ca="1" si="22"/>
        <v>136.28684003152088</v>
      </c>
      <c r="M39" s="5">
        <f t="shared" ca="1" si="23"/>
        <v>142</v>
      </c>
      <c r="N39" s="5">
        <f t="shared" ca="1" si="24"/>
        <v>147.71315996847912</v>
      </c>
      <c r="O39" s="5">
        <f t="shared" ca="1" si="25"/>
        <v>153.42631993695824</v>
      </c>
      <c r="P39" s="5">
        <f t="shared" ca="1" si="26"/>
        <v>159.13947990543736</v>
      </c>
      <c r="Q39" s="5" t="e">
        <f t="shared" ca="1" si="27"/>
        <v>#N/A</v>
      </c>
      <c r="R39" s="5">
        <f t="shared" ca="1" si="32"/>
        <v>-2</v>
      </c>
      <c r="S39" s="67">
        <f t="shared" ca="1" si="33"/>
        <v>130</v>
      </c>
      <c r="T39" s="67">
        <f t="shared" ca="1" si="34"/>
        <v>-2</v>
      </c>
      <c r="U39" s="67">
        <f t="shared" ca="1" si="35"/>
        <v>130</v>
      </c>
      <c r="V39" s="5">
        <f t="shared" ca="1" si="14"/>
        <v>-1</v>
      </c>
      <c r="W39" s="5" t="e">
        <f t="shared" ca="1" si="28"/>
        <v>#N/A</v>
      </c>
      <c r="X39" s="67">
        <f t="shared" ca="1" si="29"/>
        <v>-1</v>
      </c>
      <c r="Y39" s="67" t="e">
        <f t="shared" ca="1" si="36"/>
        <v>#N/A</v>
      </c>
      <c r="Z39" s="67" t="e">
        <f t="shared" ca="1" si="37"/>
        <v>#N/A</v>
      </c>
      <c r="AA39" s="5" t="str">
        <f>IF(Setup!$I$15="Yes",'Demand background (hide)'!AJ27+'SPC background (hide)'!C39,"")</f>
        <v/>
      </c>
      <c r="AC39" s="5">
        <f t="shared" ca="1" si="30"/>
        <v>142</v>
      </c>
      <c r="AD39" s="5">
        <f t="shared" ca="1" si="31"/>
        <v>155.30000000000001</v>
      </c>
      <c r="AG39" s="67">
        <f t="shared" ca="1" si="12"/>
        <v>47</v>
      </c>
      <c r="AH39" s="67">
        <v>38</v>
      </c>
      <c r="AI39" s="67">
        <f t="shared" ca="1" si="4"/>
        <v>5</v>
      </c>
      <c r="AJ39" s="39">
        <f t="shared" ca="1" si="5"/>
        <v>5.7131599684791183</v>
      </c>
      <c r="AK39" s="39">
        <f t="shared" ca="1" si="6"/>
        <v>124.86052009456264</v>
      </c>
      <c r="AL39" s="39">
        <f t="shared" ca="1" si="7"/>
        <v>130.57368006304176</v>
      </c>
      <c r="AM39" s="39">
        <f t="shared" ca="1" si="8"/>
        <v>136.28684003152088</v>
      </c>
      <c r="AN39" s="39">
        <f t="shared" ca="1" si="9"/>
        <v>142</v>
      </c>
      <c r="AO39" s="39">
        <f t="shared" ca="1" si="0"/>
        <v>147.71315996847912</v>
      </c>
      <c r="AP39" s="39">
        <f t="shared" ca="1" si="1"/>
        <v>153.42631993695824</v>
      </c>
      <c r="AQ39" s="39">
        <f t="shared" ca="1" si="2"/>
        <v>159.13947990543736</v>
      </c>
      <c r="AR39" s="5">
        <f t="shared" ca="1" si="10"/>
        <v>142</v>
      </c>
      <c r="AS39" s="5">
        <f t="shared" ca="1" si="3"/>
        <v>155.30000000000001</v>
      </c>
      <c r="AT39" s="5">
        <f t="shared" ca="1" si="11"/>
        <v>0</v>
      </c>
    </row>
    <row r="40" spans="1:46" x14ac:dyDescent="0.25">
      <c r="A40" s="67">
        <f ca="1">Demand!C37</f>
        <v>34</v>
      </c>
      <c r="B40" s="67">
        <v>25</v>
      </c>
      <c r="C40" s="5">
        <f ca="1">'Demand background (hide)'!Y28</f>
        <v>130</v>
      </c>
      <c r="D40" s="67">
        <f t="shared" si="15"/>
        <v>0</v>
      </c>
      <c r="E40" s="67" t="e">
        <f t="shared" ca="1" si="16"/>
        <v>#N/A</v>
      </c>
      <c r="F40" s="67" t="e">
        <f t="shared" ca="1" si="17"/>
        <v>#N/A</v>
      </c>
      <c r="G40" s="67" t="e">
        <f t="shared" ca="1" si="18"/>
        <v>#N/A</v>
      </c>
      <c r="H40" s="67" t="e">
        <f>IF('Demand background (hide)'!AN28&lt;&gt;"",'SPC background (hide)'!C40,NA())</f>
        <v>#N/A</v>
      </c>
      <c r="I40" s="67">
        <f t="shared" ca="1" si="19"/>
        <v>5</v>
      </c>
      <c r="J40" s="5">
        <f t="shared" ca="1" si="20"/>
        <v>124.86052009456264</v>
      </c>
      <c r="K40" s="5">
        <f t="shared" ca="1" si="21"/>
        <v>130.57368006304176</v>
      </c>
      <c r="L40" s="5">
        <f t="shared" ca="1" si="22"/>
        <v>136.28684003152088</v>
      </c>
      <c r="M40" s="5">
        <f t="shared" ca="1" si="23"/>
        <v>142</v>
      </c>
      <c r="N40" s="5">
        <f t="shared" ca="1" si="24"/>
        <v>147.71315996847912</v>
      </c>
      <c r="O40" s="5">
        <f t="shared" ca="1" si="25"/>
        <v>153.42631993695824</v>
      </c>
      <c r="P40" s="5">
        <f t="shared" ca="1" si="26"/>
        <v>159.13947990543736</v>
      </c>
      <c r="Q40" s="5" t="e">
        <f t="shared" ca="1" si="27"/>
        <v>#N/A</v>
      </c>
      <c r="R40" s="5">
        <f t="shared" ca="1" si="32"/>
        <v>-2</v>
      </c>
      <c r="S40" s="67">
        <f t="shared" ca="1" si="33"/>
        <v>130</v>
      </c>
      <c r="T40" s="67">
        <f t="shared" ca="1" si="34"/>
        <v>-2</v>
      </c>
      <c r="U40" s="67" t="e">
        <f t="shared" ca="1" si="35"/>
        <v>#N/A</v>
      </c>
      <c r="V40" s="5">
        <f t="shared" ca="1" si="14"/>
        <v>-1</v>
      </c>
      <c r="W40" s="5" t="e">
        <f t="shared" ca="1" si="28"/>
        <v>#N/A</v>
      </c>
      <c r="X40" s="67">
        <f t="shared" ca="1" si="29"/>
        <v>0</v>
      </c>
      <c r="Y40" s="67" t="e">
        <f t="shared" ca="1" si="36"/>
        <v>#N/A</v>
      </c>
      <c r="Z40" s="67" t="e">
        <f t="shared" ca="1" si="37"/>
        <v>#N/A</v>
      </c>
      <c r="AA40" s="5" t="str">
        <f>IF(Setup!$I$15="Yes",'Demand background (hide)'!AJ28+'SPC background (hide)'!C40,"")</f>
        <v/>
      </c>
      <c r="AC40" s="5">
        <f t="shared" ca="1" si="30"/>
        <v>142</v>
      </c>
      <c r="AD40" s="5">
        <f t="shared" ca="1" si="31"/>
        <v>155.30000000000001</v>
      </c>
      <c r="AG40" s="67">
        <f t="shared" ca="1" si="12"/>
        <v>48</v>
      </c>
      <c r="AH40" s="67">
        <v>39</v>
      </c>
      <c r="AI40" s="67">
        <f t="shared" ca="1" si="4"/>
        <v>5</v>
      </c>
      <c r="AJ40" s="39">
        <f t="shared" ca="1" si="5"/>
        <v>5.7131599684791183</v>
      </c>
      <c r="AK40" s="39">
        <f t="shared" ca="1" si="6"/>
        <v>124.86052009456264</v>
      </c>
      <c r="AL40" s="39">
        <f t="shared" ca="1" si="7"/>
        <v>130.57368006304176</v>
      </c>
      <c r="AM40" s="39">
        <f t="shared" ca="1" si="8"/>
        <v>136.28684003152088</v>
      </c>
      <c r="AN40" s="39">
        <f t="shared" ca="1" si="9"/>
        <v>142</v>
      </c>
      <c r="AO40" s="39">
        <f t="shared" ca="1" si="0"/>
        <v>147.71315996847912</v>
      </c>
      <c r="AP40" s="39">
        <f t="shared" ca="1" si="1"/>
        <v>153.42631993695824</v>
      </c>
      <c r="AQ40" s="39">
        <f t="shared" ca="1" si="2"/>
        <v>159.13947990543736</v>
      </c>
      <c r="AR40" s="5">
        <f t="shared" ca="1" si="10"/>
        <v>142</v>
      </c>
      <c r="AS40" s="5">
        <f t="shared" ca="1" si="3"/>
        <v>155.30000000000001</v>
      </c>
      <c r="AT40" s="5">
        <f t="shared" ca="1" si="11"/>
        <v>0</v>
      </c>
    </row>
    <row r="41" spans="1:46" x14ac:dyDescent="0.25">
      <c r="A41" s="67">
        <f ca="1">Demand!C38</f>
        <v>35</v>
      </c>
      <c r="B41" s="67">
        <v>26</v>
      </c>
      <c r="C41" s="5">
        <f ca="1">'Demand background (hide)'!Y29</f>
        <v>120</v>
      </c>
      <c r="D41" s="67">
        <f t="shared" si="15"/>
        <v>0</v>
      </c>
      <c r="E41" s="67" t="e">
        <f t="shared" ca="1" si="16"/>
        <v>#N/A</v>
      </c>
      <c r="F41" s="67" t="e">
        <f t="shared" ca="1" si="17"/>
        <v>#N/A</v>
      </c>
      <c r="G41" s="67" t="e">
        <f t="shared" ca="1" si="18"/>
        <v>#N/A</v>
      </c>
      <c r="H41" s="67" t="e">
        <f>IF('Demand background (hide)'!AN29&lt;&gt;"",'SPC background (hide)'!C41,NA())</f>
        <v>#N/A</v>
      </c>
      <c r="I41" s="67">
        <f t="shared" ca="1" si="19"/>
        <v>5</v>
      </c>
      <c r="J41" s="5">
        <f t="shared" ca="1" si="20"/>
        <v>124.86052009456264</v>
      </c>
      <c r="K41" s="5">
        <f t="shared" ca="1" si="21"/>
        <v>130.57368006304176</v>
      </c>
      <c r="L41" s="5">
        <f t="shared" ca="1" si="22"/>
        <v>136.28684003152088</v>
      </c>
      <c r="M41" s="5">
        <f t="shared" ca="1" si="23"/>
        <v>142</v>
      </c>
      <c r="N41" s="5">
        <f t="shared" ca="1" si="24"/>
        <v>147.71315996847912</v>
      </c>
      <c r="O41" s="5">
        <f t="shared" ca="1" si="25"/>
        <v>153.42631993695824</v>
      </c>
      <c r="P41" s="5">
        <f t="shared" ca="1" si="26"/>
        <v>159.13947990543736</v>
      </c>
      <c r="Q41" s="5">
        <f t="shared" ca="1" si="27"/>
        <v>120</v>
      </c>
      <c r="R41" s="5">
        <f t="shared" ca="1" si="32"/>
        <v>-2</v>
      </c>
      <c r="S41" s="67">
        <f t="shared" ca="1" si="33"/>
        <v>120</v>
      </c>
      <c r="T41" s="67">
        <f t="shared" ca="1" si="34"/>
        <v>-2</v>
      </c>
      <c r="U41" s="67" t="e">
        <f t="shared" ca="1" si="35"/>
        <v>#N/A</v>
      </c>
      <c r="V41" s="5">
        <f t="shared" ca="1" si="14"/>
        <v>-1</v>
      </c>
      <c r="W41" s="5" t="e">
        <f t="shared" ca="1" si="28"/>
        <v>#N/A</v>
      </c>
      <c r="X41" s="67">
        <f t="shared" ca="1" si="29"/>
        <v>-1</v>
      </c>
      <c r="Y41" s="67" t="e">
        <f t="shared" ca="1" si="36"/>
        <v>#N/A</v>
      </c>
      <c r="Z41" s="67" t="e">
        <f t="shared" ca="1" si="37"/>
        <v>#N/A</v>
      </c>
      <c r="AA41" s="5" t="str">
        <f>IF(Setup!$I$15="Yes",'Demand background (hide)'!AJ29+'SPC background (hide)'!C41,"")</f>
        <v/>
      </c>
      <c r="AC41" s="5">
        <f t="shared" ca="1" si="30"/>
        <v>142</v>
      </c>
      <c r="AD41" s="5">
        <f t="shared" ca="1" si="31"/>
        <v>155.30000000000001</v>
      </c>
      <c r="AG41" s="67">
        <f t="shared" ca="1" si="12"/>
        <v>49</v>
      </c>
      <c r="AH41" s="67">
        <v>40</v>
      </c>
      <c r="AI41" s="67">
        <f t="shared" ca="1" si="4"/>
        <v>5</v>
      </c>
      <c r="AJ41" s="39">
        <f t="shared" ca="1" si="5"/>
        <v>5.7131599684791183</v>
      </c>
      <c r="AK41" s="39">
        <f t="shared" ca="1" si="6"/>
        <v>124.86052009456264</v>
      </c>
      <c r="AL41" s="39">
        <f t="shared" ca="1" si="7"/>
        <v>130.57368006304176</v>
      </c>
      <c r="AM41" s="39">
        <f t="shared" ca="1" si="8"/>
        <v>136.28684003152088</v>
      </c>
      <c r="AN41" s="39">
        <f t="shared" ca="1" si="9"/>
        <v>142</v>
      </c>
      <c r="AO41" s="39">
        <f t="shared" ca="1" si="0"/>
        <v>147.71315996847912</v>
      </c>
      <c r="AP41" s="39">
        <f t="shared" ca="1" si="1"/>
        <v>153.42631993695824</v>
      </c>
      <c r="AQ41" s="39">
        <f t="shared" ca="1" si="2"/>
        <v>159.13947990543736</v>
      </c>
      <c r="AR41" s="5">
        <f t="shared" ca="1" si="10"/>
        <v>142</v>
      </c>
      <c r="AS41" s="5">
        <f t="shared" ca="1" si="3"/>
        <v>155.30000000000001</v>
      </c>
      <c r="AT41" s="5">
        <f t="shared" ca="1" si="11"/>
        <v>0</v>
      </c>
    </row>
    <row r="42" spans="1:46" x14ac:dyDescent="0.25">
      <c r="A42" s="67">
        <f ca="1">Demand!C39</f>
        <v>36</v>
      </c>
      <c r="B42" s="67">
        <v>27</v>
      </c>
      <c r="C42" s="5">
        <f ca="1">'Demand background (hide)'!Y30</f>
        <v>124</v>
      </c>
      <c r="D42" s="67">
        <f t="shared" si="15"/>
        <v>0</v>
      </c>
      <c r="E42" s="67" t="e">
        <f t="shared" ca="1" si="16"/>
        <v>#N/A</v>
      </c>
      <c r="F42" s="67" t="e">
        <f t="shared" ca="1" si="17"/>
        <v>#N/A</v>
      </c>
      <c r="G42" s="67" t="e">
        <f t="shared" ca="1" si="18"/>
        <v>#N/A</v>
      </c>
      <c r="H42" s="67" t="e">
        <f>IF('Demand background (hide)'!AN30&lt;&gt;"",'SPC background (hide)'!C42,NA())</f>
        <v>#N/A</v>
      </c>
      <c r="I42" s="67">
        <f t="shared" ca="1" si="19"/>
        <v>5</v>
      </c>
      <c r="J42" s="5">
        <f t="shared" ca="1" si="20"/>
        <v>124.86052009456264</v>
      </c>
      <c r="K42" s="5">
        <f t="shared" ca="1" si="21"/>
        <v>130.57368006304176</v>
      </c>
      <c r="L42" s="5">
        <f t="shared" ca="1" si="22"/>
        <v>136.28684003152088</v>
      </c>
      <c r="M42" s="5">
        <f t="shared" ca="1" si="23"/>
        <v>142</v>
      </c>
      <c r="N42" s="5">
        <f t="shared" ca="1" si="24"/>
        <v>147.71315996847912</v>
      </c>
      <c r="O42" s="5">
        <f t="shared" ca="1" si="25"/>
        <v>153.42631993695824</v>
      </c>
      <c r="P42" s="5">
        <f t="shared" ca="1" si="26"/>
        <v>159.13947990543736</v>
      </c>
      <c r="Q42" s="5">
        <f t="shared" ca="1" si="27"/>
        <v>124</v>
      </c>
      <c r="R42" s="5">
        <f t="shared" ca="1" si="32"/>
        <v>-2</v>
      </c>
      <c r="S42" s="67" t="e">
        <f t="shared" ca="1" si="33"/>
        <v>#N/A</v>
      </c>
      <c r="T42" s="67">
        <f t="shared" ca="1" si="34"/>
        <v>-2</v>
      </c>
      <c r="U42" s="67" t="e">
        <f t="shared" ca="1" si="35"/>
        <v>#N/A</v>
      </c>
      <c r="V42" s="5">
        <f t="shared" ca="1" si="14"/>
        <v>-1</v>
      </c>
      <c r="W42" s="5" t="e">
        <f t="shared" ca="1" si="28"/>
        <v>#N/A</v>
      </c>
      <c r="X42" s="67">
        <f t="shared" ca="1" si="29"/>
        <v>1</v>
      </c>
      <c r="Y42" s="67" t="e">
        <f t="shared" ca="1" si="36"/>
        <v>#N/A</v>
      </c>
      <c r="Z42" s="67" t="e">
        <f t="shared" ca="1" si="37"/>
        <v>#N/A</v>
      </c>
      <c r="AA42" s="5" t="str">
        <f>IF(Setup!$I$15="Yes",'Demand background (hide)'!AJ30+'SPC background (hide)'!C42,"")</f>
        <v/>
      </c>
      <c r="AC42" s="5">
        <f t="shared" ca="1" si="30"/>
        <v>142</v>
      </c>
      <c r="AD42" s="5">
        <f t="shared" ca="1" si="31"/>
        <v>155.30000000000001</v>
      </c>
      <c r="AG42" s="67">
        <f t="shared" ca="1" si="12"/>
        <v>50</v>
      </c>
      <c r="AH42" s="67">
        <v>41</v>
      </c>
      <c r="AI42" s="67">
        <f t="shared" ca="1" si="4"/>
        <v>5</v>
      </c>
      <c r="AJ42" s="39">
        <f t="shared" ca="1" si="5"/>
        <v>5.7131599684791183</v>
      </c>
      <c r="AK42" s="39">
        <f t="shared" ca="1" si="6"/>
        <v>124.86052009456264</v>
      </c>
      <c r="AL42" s="39">
        <f t="shared" ca="1" si="7"/>
        <v>130.57368006304176</v>
      </c>
      <c r="AM42" s="39">
        <f t="shared" ca="1" si="8"/>
        <v>136.28684003152088</v>
      </c>
      <c r="AN42" s="39">
        <f t="shared" ca="1" si="9"/>
        <v>142</v>
      </c>
      <c r="AO42" s="39">
        <f t="shared" ca="1" si="0"/>
        <v>147.71315996847912</v>
      </c>
      <c r="AP42" s="39">
        <f t="shared" ca="1" si="1"/>
        <v>153.42631993695824</v>
      </c>
      <c r="AQ42" s="39">
        <f t="shared" ca="1" si="2"/>
        <v>159.13947990543736</v>
      </c>
      <c r="AR42" s="5">
        <f t="shared" ca="1" si="10"/>
        <v>142</v>
      </c>
      <c r="AS42" s="5">
        <f t="shared" ca="1" si="3"/>
        <v>155.30000000000001</v>
      </c>
      <c r="AT42" s="5">
        <f t="shared" ca="1" si="11"/>
        <v>0</v>
      </c>
    </row>
    <row r="43" spans="1:46" x14ac:dyDescent="0.25">
      <c r="A43" s="67">
        <f ca="1">Demand!C40</f>
        <v>37</v>
      </c>
      <c r="B43" s="67">
        <v>28</v>
      </c>
      <c r="C43" s="5">
        <f ca="1">'Demand background (hide)'!Y31</f>
        <v>140</v>
      </c>
      <c r="D43" s="67">
        <f t="shared" si="15"/>
        <v>0</v>
      </c>
      <c r="E43" s="67" t="e">
        <f t="shared" ca="1" si="16"/>
        <v>#N/A</v>
      </c>
      <c r="F43" s="67" t="e">
        <f t="shared" ca="1" si="17"/>
        <v>#N/A</v>
      </c>
      <c r="G43" s="67" t="e">
        <f t="shared" ca="1" si="18"/>
        <v>#N/A</v>
      </c>
      <c r="H43" s="67" t="e">
        <f>IF('Demand background (hide)'!AN31&lt;&gt;"",'SPC background (hide)'!C43,NA())</f>
        <v>#N/A</v>
      </c>
      <c r="I43" s="67">
        <f t="shared" ca="1" si="19"/>
        <v>5</v>
      </c>
      <c r="J43" s="5">
        <f t="shared" ca="1" si="20"/>
        <v>124.86052009456264</v>
      </c>
      <c r="K43" s="5">
        <f t="shared" ca="1" si="21"/>
        <v>130.57368006304176</v>
      </c>
      <c r="L43" s="5">
        <f t="shared" ca="1" si="22"/>
        <v>136.28684003152088</v>
      </c>
      <c r="M43" s="5">
        <f t="shared" ca="1" si="23"/>
        <v>142</v>
      </c>
      <c r="N43" s="5">
        <f t="shared" ca="1" si="24"/>
        <v>147.71315996847912</v>
      </c>
      <c r="O43" s="5">
        <f t="shared" ca="1" si="25"/>
        <v>153.42631993695824</v>
      </c>
      <c r="P43" s="5">
        <f t="shared" ca="1" si="26"/>
        <v>159.13947990543736</v>
      </c>
      <c r="Q43" s="5" t="e">
        <f t="shared" ca="1" si="27"/>
        <v>#N/A</v>
      </c>
      <c r="R43" s="5">
        <f t="shared" ca="1" si="32"/>
        <v>-1</v>
      </c>
      <c r="S43" s="67" t="e">
        <f t="shared" ca="1" si="33"/>
        <v>#N/A</v>
      </c>
      <c r="T43" s="67">
        <f t="shared" ca="1" si="34"/>
        <v>-1</v>
      </c>
      <c r="U43" s="67" t="e">
        <f t="shared" ca="1" si="35"/>
        <v>#N/A</v>
      </c>
      <c r="V43" s="5">
        <f t="shared" ca="1" si="14"/>
        <v>-1</v>
      </c>
      <c r="W43" s="5" t="e">
        <f t="shared" ca="1" si="28"/>
        <v>#N/A</v>
      </c>
      <c r="X43" s="67">
        <f t="shared" ca="1" si="29"/>
        <v>1</v>
      </c>
      <c r="Y43" s="67" t="e">
        <f t="shared" ca="1" si="36"/>
        <v>#N/A</v>
      </c>
      <c r="Z43" s="67" t="e">
        <f t="shared" ca="1" si="37"/>
        <v>#N/A</v>
      </c>
      <c r="AA43" s="5" t="str">
        <f>IF(Setup!$I$15="Yes",'Demand background (hide)'!AJ31+'SPC background (hide)'!C43,"")</f>
        <v/>
      </c>
      <c r="AC43" s="5">
        <f t="shared" ca="1" si="30"/>
        <v>142</v>
      </c>
      <c r="AD43" s="5">
        <f t="shared" ca="1" si="31"/>
        <v>155.30000000000001</v>
      </c>
      <c r="AG43" s="67">
        <f t="shared" ca="1" si="12"/>
        <v>51</v>
      </c>
      <c r="AH43" s="67">
        <v>42</v>
      </c>
      <c r="AI43" s="67">
        <f t="shared" ca="1" si="4"/>
        <v>5</v>
      </c>
      <c r="AJ43" s="39">
        <f t="shared" ca="1" si="5"/>
        <v>5.7131599684791183</v>
      </c>
      <c r="AK43" s="39">
        <f t="shared" ca="1" si="6"/>
        <v>124.86052009456264</v>
      </c>
      <c r="AL43" s="39">
        <f t="shared" ca="1" si="7"/>
        <v>130.57368006304176</v>
      </c>
      <c r="AM43" s="39">
        <f t="shared" ca="1" si="8"/>
        <v>136.28684003152088</v>
      </c>
      <c r="AN43" s="39">
        <f t="shared" ca="1" si="9"/>
        <v>142</v>
      </c>
      <c r="AO43" s="39">
        <f t="shared" ca="1" si="0"/>
        <v>147.71315996847912</v>
      </c>
      <c r="AP43" s="39">
        <f t="shared" ca="1" si="1"/>
        <v>153.42631993695824</v>
      </c>
      <c r="AQ43" s="39">
        <f t="shared" ca="1" si="2"/>
        <v>159.13947990543736</v>
      </c>
      <c r="AR43" s="5">
        <f t="shared" ca="1" si="10"/>
        <v>142</v>
      </c>
      <c r="AS43" s="5">
        <f t="shared" ca="1" si="3"/>
        <v>155.30000000000001</v>
      </c>
      <c r="AT43" s="5">
        <f t="shared" ca="1" si="11"/>
        <v>0</v>
      </c>
    </row>
    <row r="44" spans="1:46" x14ac:dyDescent="0.25">
      <c r="A44" s="67">
        <f ca="1">Demand!C41</f>
        <v>38</v>
      </c>
      <c r="B44" s="67">
        <v>29</v>
      </c>
      <c r="C44" s="5">
        <f ca="1">'Demand background (hide)'!Y32</f>
        <v>148</v>
      </c>
      <c r="D44" s="67">
        <f t="shared" si="15"/>
        <v>0</v>
      </c>
      <c r="E44" s="67" t="e">
        <f t="shared" ca="1" si="16"/>
        <v>#N/A</v>
      </c>
      <c r="F44" s="67" t="e">
        <f t="shared" ca="1" si="17"/>
        <v>#N/A</v>
      </c>
      <c r="G44" s="67" t="e">
        <f t="shared" ca="1" si="18"/>
        <v>#N/A</v>
      </c>
      <c r="H44" s="67" t="e">
        <f>IF('Demand background (hide)'!AN32&lt;&gt;"",'SPC background (hide)'!C44,NA())</f>
        <v>#N/A</v>
      </c>
      <c r="I44" s="67">
        <f t="shared" ca="1" si="19"/>
        <v>5</v>
      </c>
      <c r="J44" s="5">
        <f t="shared" ca="1" si="20"/>
        <v>124.86052009456264</v>
      </c>
      <c r="K44" s="5">
        <f t="shared" ca="1" si="21"/>
        <v>130.57368006304176</v>
      </c>
      <c r="L44" s="5">
        <f t="shared" ca="1" si="22"/>
        <v>136.28684003152088</v>
      </c>
      <c r="M44" s="5">
        <f t="shared" ca="1" si="23"/>
        <v>142</v>
      </c>
      <c r="N44" s="5">
        <f t="shared" ca="1" si="24"/>
        <v>147.71315996847912</v>
      </c>
      <c r="O44" s="5">
        <f t="shared" ca="1" si="25"/>
        <v>153.42631993695824</v>
      </c>
      <c r="P44" s="5">
        <f t="shared" ca="1" si="26"/>
        <v>159.13947990543736</v>
      </c>
      <c r="Q44" s="5" t="e">
        <f t="shared" ca="1" si="27"/>
        <v>#N/A</v>
      </c>
      <c r="R44" s="5">
        <f t="shared" ca="1" si="32"/>
        <v>1</v>
      </c>
      <c r="S44" s="67" t="e">
        <f t="shared" ca="1" si="33"/>
        <v>#N/A</v>
      </c>
      <c r="T44" s="67">
        <f t="shared" ca="1" si="34"/>
        <v>2</v>
      </c>
      <c r="U44" s="67" t="e">
        <f t="shared" ca="1" si="35"/>
        <v>#N/A</v>
      </c>
      <c r="V44" s="5">
        <f t="shared" ca="1" si="14"/>
        <v>1</v>
      </c>
      <c r="W44" s="5" t="e">
        <f t="shared" ca="1" si="28"/>
        <v>#N/A</v>
      </c>
      <c r="X44" s="67">
        <f t="shared" ca="1" si="29"/>
        <v>1</v>
      </c>
      <c r="Y44" s="67" t="e">
        <f t="shared" ca="1" si="36"/>
        <v>#N/A</v>
      </c>
      <c r="Z44" s="67" t="e">
        <f t="shared" ca="1" si="37"/>
        <v>#N/A</v>
      </c>
      <c r="AA44" s="5" t="str">
        <f>IF(Setup!$I$15="Yes",'Demand background (hide)'!AJ32+'SPC background (hide)'!C44,"")</f>
        <v/>
      </c>
      <c r="AC44" s="5">
        <f t="shared" ca="1" si="30"/>
        <v>142</v>
      </c>
      <c r="AD44" s="5">
        <f t="shared" ca="1" si="31"/>
        <v>155.30000000000001</v>
      </c>
      <c r="AG44" s="67">
        <f t="shared" ca="1" si="12"/>
        <v>52</v>
      </c>
      <c r="AH44" s="67">
        <v>43</v>
      </c>
      <c r="AI44" s="67">
        <f t="shared" ca="1" si="4"/>
        <v>5</v>
      </c>
      <c r="AJ44" s="39">
        <f t="shared" ca="1" si="5"/>
        <v>5.7131599684791183</v>
      </c>
      <c r="AK44" s="39">
        <f t="shared" ca="1" si="6"/>
        <v>124.86052009456264</v>
      </c>
      <c r="AL44" s="39">
        <f t="shared" ca="1" si="7"/>
        <v>130.57368006304176</v>
      </c>
      <c r="AM44" s="39">
        <f t="shared" ca="1" si="8"/>
        <v>136.28684003152088</v>
      </c>
      <c r="AN44" s="39">
        <f t="shared" ca="1" si="9"/>
        <v>142</v>
      </c>
      <c r="AO44" s="39">
        <f t="shared" ca="1" si="0"/>
        <v>147.71315996847912</v>
      </c>
      <c r="AP44" s="39">
        <f t="shared" ca="1" si="1"/>
        <v>153.42631993695824</v>
      </c>
      <c r="AQ44" s="39">
        <f t="shared" ca="1" si="2"/>
        <v>159.13947990543736</v>
      </c>
      <c r="AR44" s="5">
        <f t="shared" ca="1" si="10"/>
        <v>142</v>
      </c>
      <c r="AS44" s="5">
        <f t="shared" ca="1" si="3"/>
        <v>155.30000000000001</v>
      </c>
      <c r="AT44" s="5">
        <f t="shared" ca="1" si="11"/>
        <v>0</v>
      </c>
    </row>
    <row r="45" spans="1:46" x14ac:dyDescent="0.25">
      <c r="A45" s="67">
        <f ca="1">Demand!C42</f>
        <v>39</v>
      </c>
      <c r="B45" s="67">
        <v>30</v>
      </c>
      <c r="C45" s="5">
        <f ca="1">'Demand background (hide)'!Y33</f>
        <v>150</v>
      </c>
      <c r="D45" s="67">
        <f t="shared" si="15"/>
        <v>0</v>
      </c>
      <c r="E45" s="67" t="e">
        <f t="shared" ca="1" si="16"/>
        <v>#N/A</v>
      </c>
      <c r="F45" s="67" t="e">
        <f t="shared" ca="1" si="17"/>
        <v>#N/A</v>
      </c>
      <c r="G45" s="67" t="e">
        <f t="shared" ca="1" si="18"/>
        <v>#N/A</v>
      </c>
      <c r="H45" s="67" t="e">
        <f>IF('Demand background (hide)'!AN33&lt;&gt;"",'SPC background (hide)'!C45,NA())</f>
        <v>#N/A</v>
      </c>
      <c r="I45" s="67">
        <f t="shared" ca="1" si="19"/>
        <v>5</v>
      </c>
      <c r="J45" s="5">
        <f t="shared" ca="1" si="20"/>
        <v>124.86052009456264</v>
      </c>
      <c r="K45" s="5">
        <f t="shared" ca="1" si="21"/>
        <v>130.57368006304176</v>
      </c>
      <c r="L45" s="5">
        <f t="shared" ca="1" si="22"/>
        <v>136.28684003152088</v>
      </c>
      <c r="M45" s="5">
        <f t="shared" ca="1" si="23"/>
        <v>142</v>
      </c>
      <c r="N45" s="5">
        <f t="shared" ca="1" si="24"/>
        <v>147.71315996847912</v>
      </c>
      <c r="O45" s="5">
        <f t="shared" ca="1" si="25"/>
        <v>153.42631993695824</v>
      </c>
      <c r="P45" s="5">
        <f t="shared" ca="1" si="26"/>
        <v>159.13947990543736</v>
      </c>
      <c r="Q45" s="5" t="e">
        <f t="shared" ca="1" si="27"/>
        <v>#N/A</v>
      </c>
      <c r="R45" s="5">
        <f t="shared" ca="1" si="32"/>
        <v>1</v>
      </c>
      <c r="S45" s="67" t="e">
        <f t="shared" ca="1" si="33"/>
        <v>#N/A</v>
      </c>
      <c r="T45" s="67">
        <f t="shared" ca="1" si="34"/>
        <v>2</v>
      </c>
      <c r="U45" s="67" t="e">
        <f t="shared" ca="1" si="35"/>
        <v>#N/A</v>
      </c>
      <c r="V45" s="5">
        <f t="shared" ca="1" si="14"/>
        <v>1</v>
      </c>
      <c r="W45" s="5" t="e">
        <f t="shared" ca="1" si="28"/>
        <v>#N/A</v>
      </c>
      <c r="X45" s="67">
        <f t="shared" ca="1" si="29"/>
        <v>1</v>
      </c>
      <c r="Y45" s="67" t="e">
        <f t="shared" ca="1" si="36"/>
        <v>#N/A</v>
      </c>
      <c r="Z45" s="67" t="e">
        <f t="shared" ca="1" si="37"/>
        <v>#N/A</v>
      </c>
      <c r="AA45" s="5" t="str">
        <f>IF(Setup!$I$15="Yes",'Demand background (hide)'!AJ33+'SPC background (hide)'!C45,"")</f>
        <v/>
      </c>
      <c r="AC45" s="5">
        <f t="shared" ca="1" si="30"/>
        <v>142</v>
      </c>
      <c r="AD45" s="5">
        <f t="shared" ca="1" si="31"/>
        <v>155.30000000000001</v>
      </c>
      <c r="AG45" s="67">
        <f t="shared" ca="1" si="12"/>
        <v>53</v>
      </c>
      <c r="AH45" s="67">
        <v>44</v>
      </c>
      <c r="AI45" s="67">
        <f t="shared" ca="1" si="4"/>
        <v>5</v>
      </c>
      <c r="AJ45" s="39">
        <f t="shared" ca="1" si="5"/>
        <v>5.7131599684791183</v>
      </c>
      <c r="AK45" s="39">
        <f t="shared" ca="1" si="6"/>
        <v>124.86052009456264</v>
      </c>
      <c r="AL45" s="39">
        <f t="shared" ca="1" si="7"/>
        <v>130.57368006304176</v>
      </c>
      <c r="AM45" s="39">
        <f t="shared" ca="1" si="8"/>
        <v>136.28684003152088</v>
      </c>
      <c r="AN45" s="39">
        <f t="shared" ca="1" si="9"/>
        <v>142</v>
      </c>
      <c r="AO45" s="39">
        <f t="shared" ca="1" si="0"/>
        <v>147.71315996847912</v>
      </c>
      <c r="AP45" s="39">
        <f t="shared" ca="1" si="1"/>
        <v>153.42631993695824</v>
      </c>
      <c r="AQ45" s="39">
        <f t="shared" ca="1" si="2"/>
        <v>159.13947990543736</v>
      </c>
      <c r="AR45" s="5">
        <f t="shared" ca="1" si="10"/>
        <v>142</v>
      </c>
      <c r="AS45" s="5">
        <f t="shared" ca="1" si="3"/>
        <v>155.30000000000001</v>
      </c>
      <c r="AT45" s="5">
        <f t="shared" ca="1" si="11"/>
        <v>0</v>
      </c>
    </row>
    <row r="46" spans="1:46" x14ac:dyDescent="0.25">
      <c r="A46" s="67">
        <f ca="1">Demand!C43</f>
        <v>40</v>
      </c>
      <c r="B46" s="67">
        <v>31</v>
      </c>
      <c r="C46" s="5">
        <f ca="1">'Demand background (hide)'!Y34</f>
        <v>142</v>
      </c>
      <c r="D46" s="67">
        <f t="shared" si="15"/>
        <v>0</v>
      </c>
      <c r="E46" s="67" t="e">
        <f t="shared" ca="1" si="16"/>
        <v>#N/A</v>
      </c>
      <c r="F46" s="67" t="e">
        <f t="shared" ca="1" si="17"/>
        <v>#N/A</v>
      </c>
      <c r="G46" s="67" t="e">
        <f t="shared" ca="1" si="18"/>
        <v>#N/A</v>
      </c>
      <c r="H46" s="67" t="e">
        <f>IF('Demand background (hide)'!AN34&lt;&gt;"",'SPC background (hide)'!C46,NA())</f>
        <v>#N/A</v>
      </c>
      <c r="I46" s="67">
        <f t="shared" ca="1" si="19"/>
        <v>5</v>
      </c>
      <c r="J46" s="5">
        <f t="shared" ca="1" si="20"/>
        <v>124.86052009456264</v>
      </c>
      <c r="K46" s="5">
        <f t="shared" ca="1" si="21"/>
        <v>130.57368006304176</v>
      </c>
      <c r="L46" s="5">
        <f t="shared" ca="1" si="22"/>
        <v>136.28684003152088</v>
      </c>
      <c r="M46" s="5">
        <f t="shared" ca="1" si="23"/>
        <v>142</v>
      </c>
      <c r="N46" s="5">
        <f t="shared" ca="1" si="24"/>
        <v>147.71315996847912</v>
      </c>
      <c r="O46" s="5">
        <f t="shared" ca="1" si="25"/>
        <v>153.42631993695824</v>
      </c>
      <c r="P46" s="5">
        <f t="shared" ca="1" si="26"/>
        <v>159.13947990543736</v>
      </c>
      <c r="Q46" s="5" t="e">
        <f t="shared" ca="1" si="27"/>
        <v>#N/A</v>
      </c>
      <c r="R46" s="5">
        <f t="shared" ca="1" si="32"/>
        <v>0</v>
      </c>
      <c r="S46" s="67" t="e">
        <f t="shared" ca="1" si="33"/>
        <v>#N/A</v>
      </c>
      <c r="T46" s="67">
        <f t="shared" ca="1" si="34"/>
        <v>0</v>
      </c>
      <c r="U46" s="67" t="e">
        <f t="shared" ca="1" si="35"/>
        <v>#N/A</v>
      </c>
      <c r="V46" s="5">
        <f t="shared" ca="1" si="14"/>
        <v>0</v>
      </c>
      <c r="W46" s="5" t="e">
        <f t="shared" ca="1" si="28"/>
        <v>#N/A</v>
      </c>
      <c r="X46" s="67">
        <f t="shared" ca="1" si="29"/>
        <v>-1</v>
      </c>
      <c r="Y46" s="67" t="e">
        <f t="shared" ca="1" si="36"/>
        <v>#N/A</v>
      </c>
      <c r="Z46" s="67" t="e">
        <f t="shared" ca="1" si="37"/>
        <v>#N/A</v>
      </c>
      <c r="AA46" s="5" t="str">
        <f>IF(Setup!$I$15="Yes",'Demand background (hide)'!AJ34+'SPC background (hide)'!C46,"")</f>
        <v/>
      </c>
      <c r="AC46" s="5">
        <f t="shared" ca="1" si="30"/>
        <v>142</v>
      </c>
      <c r="AD46" s="5">
        <f t="shared" ca="1" si="31"/>
        <v>155.30000000000001</v>
      </c>
      <c r="AG46" s="67">
        <f t="shared" ca="1" si="12"/>
        <v>1</v>
      </c>
      <c r="AH46" s="67">
        <v>45</v>
      </c>
      <c r="AI46" s="67">
        <f t="shared" ca="1" si="4"/>
        <v>5</v>
      </c>
      <c r="AJ46" s="39">
        <f t="shared" ca="1" si="5"/>
        <v>5.7131599684791183</v>
      </c>
      <c r="AK46" s="39">
        <f t="shared" ca="1" si="6"/>
        <v>124.86052009456264</v>
      </c>
      <c r="AL46" s="39">
        <f t="shared" ca="1" si="7"/>
        <v>130.57368006304176</v>
      </c>
      <c r="AM46" s="39">
        <f t="shared" ca="1" si="8"/>
        <v>136.28684003152088</v>
      </c>
      <c r="AN46" s="39">
        <f t="shared" ca="1" si="9"/>
        <v>142</v>
      </c>
      <c r="AO46" s="39">
        <f t="shared" ca="1" si="0"/>
        <v>147.71315996847912</v>
      </c>
      <c r="AP46" s="39">
        <f t="shared" ca="1" si="1"/>
        <v>153.42631993695824</v>
      </c>
      <c r="AQ46" s="39">
        <f t="shared" ca="1" si="2"/>
        <v>159.13947990543736</v>
      </c>
      <c r="AR46" s="5">
        <f t="shared" ca="1" si="10"/>
        <v>142</v>
      </c>
      <c r="AS46" s="5">
        <f t="shared" ca="1" si="3"/>
        <v>155.30000000000001</v>
      </c>
      <c r="AT46" s="5">
        <f t="shared" ca="1" si="11"/>
        <v>0</v>
      </c>
    </row>
    <row r="47" spans="1:46" x14ac:dyDescent="0.25">
      <c r="A47" s="67">
        <f ca="1">Demand!C44</f>
        <v>41</v>
      </c>
      <c r="B47" s="67">
        <v>32</v>
      </c>
      <c r="C47" s="5">
        <f ca="1">'Demand background (hide)'!Y35</f>
        <v>132</v>
      </c>
      <c r="D47" s="67">
        <f t="shared" si="15"/>
        <v>0</v>
      </c>
      <c r="E47" s="67" t="e">
        <f t="shared" ca="1" si="16"/>
        <v>#N/A</v>
      </c>
      <c r="F47" s="67" t="e">
        <f t="shared" ca="1" si="17"/>
        <v>#N/A</v>
      </c>
      <c r="G47" s="67" t="e">
        <f t="shared" ca="1" si="18"/>
        <v>#N/A</v>
      </c>
      <c r="H47" s="67" t="e">
        <f>IF('Demand background (hide)'!AN35&lt;&gt;"",'SPC background (hide)'!C47,NA())</f>
        <v>#N/A</v>
      </c>
      <c r="I47" s="67">
        <f t="shared" ca="1" si="19"/>
        <v>5</v>
      </c>
      <c r="J47" s="5">
        <f t="shared" ca="1" si="20"/>
        <v>124.86052009456264</v>
      </c>
      <c r="K47" s="5">
        <f t="shared" ca="1" si="21"/>
        <v>130.57368006304176</v>
      </c>
      <c r="L47" s="5">
        <f t="shared" ca="1" si="22"/>
        <v>136.28684003152088</v>
      </c>
      <c r="M47" s="5">
        <f t="shared" ca="1" si="23"/>
        <v>142</v>
      </c>
      <c r="N47" s="5">
        <f t="shared" ca="1" si="24"/>
        <v>147.71315996847912</v>
      </c>
      <c r="O47" s="5">
        <f t="shared" ca="1" si="25"/>
        <v>153.42631993695824</v>
      </c>
      <c r="P47" s="5">
        <f t="shared" ca="1" si="26"/>
        <v>159.13947990543736</v>
      </c>
      <c r="Q47" s="5" t="e">
        <f t="shared" ca="1" si="27"/>
        <v>#N/A</v>
      </c>
      <c r="R47" s="5">
        <f t="shared" ca="1" si="32"/>
        <v>-1</v>
      </c>
      <c r="S47" s="67" t="e">
        <f t="shared" ca="1" si="33"/>
        <v>#N/A</v>
      </c>
      <c r="T47" s="67">
        <f t="shared" ca="1" si="34"/>
        <v>-2</v>
      </c>
      <c r="U47" s="67" t="e">
        <f t="shared" ca="1" si="35"/>
        <v>#N/A</v>
      </c>
      <c r="V47" s="5">
        <f t="shared" ca="1" si="14"/>
        <v>-1</v>
      </c>
      <c r="W47" s="5" t="e">
        <f t="shared" ca="1" si="28"/>
        <v>#N/A</v>
      </c>
      <c r="X47" s="67">
        <f t="shared" ca="1" si="29"/>
        <v>-1</v>
      </c>
      <c r="Y47" s="67" t="e">
        <f t="shared" ca="1" si="36"/>
        <v>#N/A</v>
      </c>
      <c r="Z47" s="67" t="e">
        <f t="shared" ca="1" si="37"/>
        <v>#N/A</v>
      </c>
      <c r="AA47" s="5" t="str">
        <f>IF(Setup!$I$15="Yes",'Demand background (hide)'!AJ35+'SPC background (hide)'!C47,"")</f>
        <v/>
      </c>
      <c r="AC47" s="5">
        <f t="shared" ca="1" si="30"/>
        <v>142</v>
      </c>
      <c r="AD47" s="5">
        <f t="shared" ca="1" si="31"/>
        <v>155.30000000000001</v>
      </c>
      <c r="AG47" s="67">
        <f t="shared" ca="1" si="12"/>
        <v>2</v>
      </c>
      <c r="AH47" s="67">
        <v>46</v>
      </c>
      <c r="AI47" s="67">
        <f t="shared" ca="1" si="4"/>
        <v>5</v>
      </c>
      <c r="AJ47" s="39">
        <f t="shared" ca="1" si="5"/>
        <v>5.7131599684791183</v>
      </c>
      <c r="AK47" s="39">
        <f t="shared" ca="1" si="6"/>
        <v>124.86052009456264</v>
      </c>
      <c r="AL47" s="39">
        <f t="shared" ca="1" si="7"/>
        <v>130.57368006304176</v>
      </c>
      <c r="AM47" s="39">
        <f t="shared" ca="1" si="8"/>
        <v>136.28684003152088</v>
      </c>
      <c r="AN47" s="39">
        <f t="shared" ca="1" si="9"/>
        <v>142</v>
      </c>
      <c r="AO47" s="39">
        <f t="shared" ca="1" si="0"/>
        <v>147.71315996847912</v>
      </c>
      <c r="AP47" s="39">
        <f t="shared" ca="1" si="1"/>
        <v>153.42631993695824</v>
      </c>
      <c r="AQ47" s="39">
        <f t="shared" ca="1" si="2"/>
        <v>159.13947990543736</v>
      </c>
      <c r="AR47" s="5">
        <f t="shared" ca="1" si="10"/>
        <v>142</v>
      </c>
      <c r="AS47" s="5">
        <f t="shared" ca="1" si="3"/>
        <v>155.30000000000001</v>
      </c>
      <c r="AT47" s="5">
        <f t="shared" ca="1" si="11"/>
        <v>0</v>
      </c>
    </row>
    <row r="48" spans="1:46" x14ac:dyDescent="0.25">
      <c r="A48" s="67">
        <f ca="1">Demand!C45</f>
        <v>42</v>
      </c>
      <c r="B48" s="67">
        <v>33</v>
      </c>
      <c r="C48" s="5">
        <f ca="1">'Demand background (hide)'!Y36</f>
        <v>136</v>
      </c>
      <c r="D48" s="67">
        <f t="shared" si="15"/>
        <v>0</v>
      </c>
      <c r="E48" s="67" t="e">
        <f t="shared" ca="1" si="16"/>
        <v>#N/A</v>
      </c>
      <c r="F48" s="67" t="e">
        <f t="shared" ca="1" si="17"/>
        <v>#N/A</v>
      </c>
      <c r="G48" s="67" t="e">
        <f t="shared" ca="1" si="18"/>
        <v>#N/A</v>
      </c>
      <c r="H48" s="67" t="e">
        <f>IF('Demand background (hide)'!AN36&lt;&gt;"",'SPC background (hide)'!C48,NA())</f>
        <v>#N/A</v>
      </c>
      <c r="I48" s="67">
        <f t="shared" ca="1" si="19"/>
        <v>5</v>
      </c>
      <c r="J48" s="5">
        <f t="shared" ca="1" si="20"/>
        <v>124.86052009456264</v>
      </c>
      <c r="K48" s="5">
        <f t="shared" ca="1" si="21"/>
        <v>130.57368006304176</v>
      </c>
      <c r="L48" s="5">
        <f t="shared" ca="1" si="22"/>
        <v>136.28684003152088</v>
      </c>
      <c r="M48" s="5">
        <f t="shared" ca="1" si="23"/>
        <v>142</v>
      </c>
      <c r="N48" s="5">
        <f t="shared" ca="1" si="24"/>
        <v>147.71315996847912</v>
      </c>
      <c r="O48" s="5">
        <f t="shared" ca="1" si="25"/>
        <v>153.42631993695824</v>
      </c>
      <c r="P48" s="5">
        <f t="shared" ca="1" si="26"/>
        <v>159.13947990543736</v>
      </c>
      <c r="Q48" s="5" t="e">
        <f t="shared" ca="1" si="27"/>
        <v>#N/A</v>
      </c>
      <c r="R48" s="5">
        <f t="shared" ca="1" si="32"/>
        <v>-1</v>
      </c>
      <c r="S48" s="67" t="e">
        <f t="shared" ca="1" si="33"/>
        <v>#N/A</v>
      </c>
      <c r="T48" s="67">
        <f t="shared" ca="1" si="34"/>
        <v>-2</v>
      </c>
      <c r="U48" s="67" t="e">
        <f t="shared" ca="1" si="35"/>
        <v>#N/A</v>
      </c>
      <c r="V48" s="5">
        <f t="shared" ca="1" si="14"/>
        <v>-1</v>
      </c>
      <c r="W48" s="5" t="e">
        <f t="shared" ca="1" si="28"/>
        <v>#N/A</v>
      </c>
      <c r="X48" s="67">
        <f t="shared" ca="1" si="29"/>
        <v>1</v>
      </c>
      <c r="Y48" s="67" t="e">
        <f t="shared" ca="1" si="36"/>
        <v>#N/A</v>
      </c>
      <c r="Z48" s="67" t="e">
        <f t="shared" ca="1" si="37"/>
        <v>#N/A</v>
      </c>
      <c r="AA48" s="5" t="str">
        <f>IF(Setup!$I$15="Yes",'Demand background (hide)'!AJ36+'SPC background (hide)'!C48,"")</f>
        <v/>
      </c>
      <c r="AC48" s="5">
        <f t="shared" ca="1" si="30"/>
        <v>142</v>
      </c>
      <c r="AD48" s="5">
        <f t="shared" ca="1" si="31"/>
        <v>155.30000000000001</v>
      </c>
      <c r="AG48" s="67">
        <f t="shared" ca="1" si="12"/>
        <v>3</v>
      </c>
      <c r="AH48" s="67">
        <v>47</v>
      </c>
      <c r="AI48" s="67">
        <f t="shared" ca="1" si="4"/>
        <v>5</v>
      </c>
      <c r="AJ48" s="39">
        <f t="shared" ca="1" si="5"/>
        <v>5.7131599684791183</v>
      </c>
      <c r="AK48" s="39">
        <f t="shared" ca="1" si="6"/>
        <v>124.86052009456264</v>
      </c>
      <c r="AL48" s="39">
        <f t="shared" ca="1" si="7"/>
        <v>130.57368006304176</v>
      </c>
      <c r="AM48" s="39">
        <f t="shared" ca="1" si="8"/>
        <v>136.28684003152088</v>
      </c>
      <c r="AN48" s="39">
        <f t="shared" ca="1" si="9"/>
        <v>142</v>
      </c>
      <c r="AO48" s="39">
        <f t="shared" ca="1" si="0"/>
        <v>147.71315996847912</v>
      </c>
      <c r="AP48" s="39">
        <f t="shared" ca="1" si="1"/>
        <v>153.42631993695824</v>
      </c>
      <c r="AQ48" s="39">
        <f t="shared" ca="1" si="2"/>
        <v>159.13947990543736</v>
      </c>
      <c r="AR48" s="5">
        <f t="shared" ca="1" si="10"/>
        <v>142</v>
      </c>
      <c r="AS48" s="5">
        <f t="shared" ca="1" si="3"/>
        <v>155.30000000000001</v>
      </c>
      <c r="AT48" s="5">
        <f t="shared" ca="1" si="11"/>
        <v>0</v>
      </c>
    </row>
    <row r="49" spans="1:46" x14ac:dyDescent="0.25">
      <c r="A49" s="67">
        <f ca="1">Demand!C46</f>
        <v>43</v>
      </c>
      <c r="B49" s="67">
        <v>34</v>
      </c>
      <c r="C49" s="5">
        <f ca="1">'Demand background (hide)'!Y37</f>
        <v>140</v>
      </c>
      <c r="D49" s="67">
        <f t="shared" si="15"/>
        <v>0</v>
      </c>
      <c r="E49" s="67" t="e">
        <f t="shared" ca="1" si="16"/>
        <v>#N/A</v>
      </c>
      <c r="F49" s="67" t="e">
        <f t="shared" ca="1" si="17"/>
        <v>#N/A</v>
      </c>
      <c r="G49" s="67" t="e">
        <f t="shared" ca="1" si="18"/>
        <v>#N/A</v>
      </c>
      <c r="H49" s="67" t="e">
        <f>IF('Demand background (hide)'!AN37&lt;&gt;"",'SPC background (hide)'!C49,NA())</f>
        <v>#N/A</v>
      </c>
      <c r="I49" s="67">
        <f t="shared" ca="1" si="19"/>
        <v>5</v>
      </c>
      <c r="J49" s="5">
        <f t="shared" ca="1" si="20"/>
        <v>124.86052009456264</v>
      </c>
      <c r="K49" s="5">
        <f t="shared" ca="1" si="21"/>
        <v>130.57368006304176</v>
      </c>
      <c r="L49" s="5">
        <f t="shared" ca="1" si="22"/>
        <v>136.28684003152088</v>
      </c>
      <c r="M49" s="5">
        <f t="shared" ca="1" si="23"/>
        <v>142</v>
      </c>
      <c r="N49" s="5">
        <f t="shared" ca="1" si="24"/>
        <v>147.71315996847912</v>
      </c>
      <c r="O49" s="5">
        <f t="shared" ca="1" si="25"/>
        <v>153.42631993695824</v>
      </c>
      <c r="P49" s="5">
        <f t="shared" ca="1" si="26"/>
        <v>159.13947990543736</v>
      </c>
      <c r="Q49" s="5" t="e">
        <f t="shared" ca="1" si="27"/>
        <v>#N/A</v>
      </c>
      <c r="R49" s="5">
        <f t="shared" ca="1" si="32"/>
        <v>-1</v>
      </c>
      <c r="S49" s="67" t="e">
        <f t="shared" ca="1" si="33"/>
        <v>#N/A</v>
      </c>
      <c r="T49" s="67">
        <f t="shared" ca="1" si="34"/>
        <v>-1</v>
      </c>
      <c r="U49" s="67" t="e">
        <f t="shared" ca="1" si="35"/>
        <v>#N/A</v>
      </c>
      <c r="V49" s="5">
        <f t="shared" ca="1" si="14"/>
        <v>-1</v>
      </c>
      <c r="W49" s="5" t="e">
        <f t="shared" ca="1" si="28"/>
        <v>#N/A</v>
      </c>
      <c r="X49" s="67">
        <f t="shared" ca="1" si="29"/>
        <v>1</v>
      </c>
      <c r="Y49" s="67" t="e">
        <f t="shared" ca="1" si="36"/>
        <v>#N/A</v>
      </c>
      <c r="Z49" s="67" t="e">
        <f t="shared" ca="1" si="37"/>
        <v>#N/A</v>
      </c>
      <c r="AA49" s="5" t="str">
        <f>IF(Setup!$I$15="Yes",'Demand background (hide)'!AJ37+'SPC background (hide)'!C49,"")</f>
        <v/>
      </c>
      <c r="AC49" s="5">
        <f t="shared" ca="1" si="30"/>
        <v>142</v>
      </c>
      <c r="AD49" s="5">
        <f t="shared" ca="1" si="31"/>
        <v>155.30000000000001</v>
      </c>
      <c r="AG49" s="67">
        <f t="shared" ca="1" si="12"/>
        <v>4</v>
      </c>
      <c r="AH49" s="67">
        <v>48</v>
      </c>
      <c r="AI49" s="67">
        <f t="shared" ca="1" si="4"/>
        <v>5</v>
      </c>
      <c r="AJ49" s="39">
        <f t="shared" ca="1" si="5"/>
        <v>5.7131599684791183</v>
      </c>
      <c r="AK49" s="39">
        <f t="shared" ca="1" si="6"/>
        <v>124.86052009456264</v>
      </c>
      <c r="AL49" s="39">
        <f t="shared" ca="1" si="7"/>
        <v>130.57368006304176</v>
      </c>
      <c r="AM49" s="39">
        <f t="shared" ca="1" si="8"/>
        <v>136.28684003152088</v>
      </c>
      <c r="AN49" s="39">
        <f t="shared" ca="1" si="9"/>
        <v>142</v>
      </c>
      <c r="AO49" s="39">
        <f t="shared" ca="1" si="0"/>
        <v>147.71315996847912</v>
      </c>
      <c r="AP49" s="39">
        <f t="shared" ca="1" si="1"/>
        <v>153.42631993695824</v>
      </c>
      <c r="AQ49" s="39">
        <f t="shared" ca="1" si="2"/>
        <v>159.13947990543736</v>
      </c>
      <c r="AR49" s="5">
        <f t="shared" ca="1" si="10"/>
        <v>142</v>
      </c>
      <c r="AS49" s="5">
        <f t="shared" ca="1" si="3"/>
        <v>155.30000000000001</v>
      </c>
      <c r="AT49" s="5">
        <f t="shared" ca="1" si="11"/>
        <v>0</v>
      </c>
    </row>
    <row r="50" spans="1:46" x14ac:dyDescent="0.25">
      <c r="A50" s="67">
        <f ca="1">Demand!C47</f>
        <v>44</v>
      </c>
      <c r="B50" s="67">
        <v>35</v>
      </c>
      <c r="C50" s="5">
        <f ca="1">'Demand background (hide)'!Y38</f>
        <v>144</v>
      </c>
      <c r="D50" s="67">
        <f t="shared" si="15"/>
        <v>0</v>
      </c>
      <c r="E50" s="67" t="e">
        <f t="shared" ca="1" si="16"/>
        <v>#N/A</v>
      </c>
      <c r="F50" s="67" t="e">
        <f t="shared" ca="1" si="17"/>
        <v>#N/A</v>
      </c>
      <c r="G50" s="67" t="e">
        <f t="shared" ca="1" si="18"/>
        <v>#N/A</v>
      </c>
      <c r="H50" s="67" t="e">
        <f>IF('Demand background (hide)'!AN38&lt;&gt;"",'SPC background (hide)'!C50,NA())</f>
        <v>#N/A</v>
      </c>
      <c r="I50" s="67">
        <f t="shared" ca="1" si="19"/>
        <v>5</v>
      </c>
      <c r="J50" s="5">
        <f t="shared" ca="1" si="20"/>
        <v>124.86052009456264</v>
      </c>
      <c r="K50" s="5">
        <f t="shared" ca="1" si="21"/>
        <v>130.57368006304176</v>
      </c>
      <c r="L50" s="5">
        <f t="shared" ca="1" si="22"/>
        <v>136.28684003152088</v>
      </c>
      <c r="M50" s="5">
        <f t="shared" ca="1" si="23"/>
        <v>142</v>
      </c>
      <c r="N50" s="5">
        <f t="shared" ca="1" si="24"/>
        <v>147.71315996847912</v>
      </c>
      <c r="O50" s="5">
        <f t="shared" ca="1" si="25"/>
        <v>153.42631993695824</v>
      </c>
      <c r="P50" s="5">
        <f t="shared" ca="1" si="26"/>
        <v>159.13947990543736</v>
      </c>
      <c r="Q50" s="5" t="e">
        <f t="shared" ca="1" si="27"/>
        <v>#N/A</v>
      </c>
      <c r="R50" s="5">
        <f t="shared" ca="1" si="32"/>
        <v>1</v>
      </c>
      <c r="S50" s="67" t="e">
        <f t="shared" ca="1" si="33"/>
        <v>#N/A</v>
      </c>
      <c r="T50" s="67">
        <f t="shared" ca="1" si="34"/>
        <v>1</v>
      </c>
      <c r="U50" s="67" t="e">
        <f t="shared" ca="1" si="35"/>
        <v>#N/A</v>
      </c>
      <c r="V50" s="5">
        <f t="shared" ca="1" si="14"/>
        <v>1</v>
      </c>
      <c r="W50" s="5" t="e">
        <f t="shared" ca="1" si="28"/>
        <v>#N/A</v>
      </c>
      <c r="X50" s="67">
        <f t="shared" ca="1" si="29"/>
        <v>1</v>
      </c>
      <c r="Y50" s="67" t="e">
        <f t="shared" ca="1" si="36"/>
        <v>#N/A</v>
      </c>
      <c r="Z50" s="67" t="e">
        <f t="shared" ca="1" si="37"/>
        <v>#N/A</v>
      </c>
      <c r="AA50" s="5" t="str">
        <f>IF(Setup!$I$15="Yes",'Demand background (hide)'!AJ38+'SPC background (hide)'!C50,"")</f>
        <v/>
      </c>
      <c r="AC50" s="5">
        <f t="shared" ca="1" si="30"/>
        <v>142</v>
      </c>
      <c r="AD50" s="5">
        <f t="shared" ca="1" si="31"/>
        <v>155.30000000000001</v>
      </c>
      <c r="AG50" s="67">
        <f t="shared" ca="1" si="12"/>
        <v>5</v>
      </c>
      <c r="AH50" s="67">
        <v>49</v>
      </c>
      <c r="AI50" s="67">
        <f t="shared" ca="1" si="4"/>
        <v>5</v>
      </c>
      <c r="AJ50" s="39">
        <f t="shared" ca="1" si="5"/>
        <v>5.7131599684791183</v>
      </c>
      <c r="AK50" s="39">
        <f t="shared" ca="1" si="6"/>
        <v>124.86052009456264</v>
      </c>
      <c r="AL50" s="39">
        <f t="shared" ca="1" si="7"/>
        <v>130.57368006304176</v>
      </c>
      <c r="AM50" s="39">
        <f t="shared" ca="1" si="8"/>
        <v>136.28684003152088</v>
      </c>
      <c r="AN50" s="39">
        <f t="shared" ca="1" si="9"/>
        <v>142</v>
      </c>
      <c r="AO50" s="39">
        <f t="shared" ca="1" si="0"/>
        <v>147.71315996847912</v>
      </c>
      <c r="AP50" s="39">
        <f t="shared" ca="1" si="1"/>
        <v>153.42631993695824</v>
      </c>
      <c r="AQ50" s="39">
        <f t="shared" ca="1" si="2"/>
        <v>159.13947990543736</v>
      </c>
      <c r="AR50" s="5">
        <f t="shared" ca="1" si="10"/>
        <v>142</v>
      </c>
      <c r="AS50" s="5">
        <f t="shared" ca="1" si="3"/>
        <v>155.30000000000001</v>
      </c>
      <c r="AT50" s="5">
        <f t="shared" ca="1" si="11"/>
        <v>0</v>
      </c>
    </row>
    <row r="51" spans="1:46" x14ac:dyDescent="0.25">
      <c r="A51" s="67">
        <f ca="1">Demand!C48</f>
        <v>45</v>
      </c>
      <c r="B51" s="67">
        <v>36</v>
      </c>
      <c r="C51" s="5">
        <f ca="1">'Demand background (hide)'!Y39</f>
        <v>124</v>
      </c>
      <c r="D51" s="67">
        <f t="shared" si="15"/>
        <v>0</v>
      </c>
      <c r="E51" s="67" t="e">
        <f t="shared" ca="1" si="16"/>
        <v>#N/A</v>
      </c>
      <c r="F51" s="67" t="e">
        <f t="shared" ca="1" si="17"/>
        <v>#N/A</v>
      </c>
      <c r="G51" s="67" t="e">
        <f t="shared" ca="1" si="18"/>
        <v>#N/A</v>
      </c>
      <c r="H51" s="67" t="e">
        <f>IF('Demand background (hide)'!AN39&lt;&gt;"",'SPC background (hide)'!C51,NA())</f>
        <v>#N/A</v>
      </c>
      <c r="I51" s="67">
        <f t="shared" ca="1" si="19"/>
        <v>5</v>
      </c>
      <c r="J51" s="5">
        <f t="shared" ca="1" si="20"/>
        <v>124.86052009456264</v>
      </c>
      <c r="K51" s="5">
        <f t="shared" ca="1" si="21"/>
        <v>130.57368006304176</v>
      </c>
      <c r="L51" s="5">
        <f t="shared" ca="1" si="22"/>
        <v>136.28684003152088</v>
      </c>
      <c r="M51" s="5">
        <f t="shared" ca="1" si="23"/>
        <v>142</v>
      </c>
      <c r="N51" s="5">
        <f t="shared" ca="1" si="24"/>
        <v>147.71315996847912</v>
      </c>
      <c r="O51" s="5">
        <f t="shared" ca="1" si="25"/>
        <v>153.42631993695824</v>
      </c>
      <c r="P51" s="5">
        <f t="shared" ca="1" si="26"/>
        <v>159.13947990543736</v>
      </c>
      <c r="Q51" s="5">
        <f t="shared" ca="1" si="27"/>
        <v>124</v>
      </c>
      <c r="R51" s="5">
        <f t="shared" ca="1" si="32"/>
        <v>-2</v>
      </c>
      <c r="S51" s="67" t="e">
        <f t="shared" ca="1" si="33"/>
        <v>#N/A</v>
      </c>
      <c r="T51" s="67">
        <f t="shared" ca="1" si="34"/>
        <v>-2</v>
      </c>
      <c r="U51" s="67" t="e">
        <f t="shared" ca="1" si="35"/>
        <v>#N/A</v>
      </c>
      <c r="V51" s="5">
        <f t="shared" ca="1" si="14"/>
        <v>-1</v>
      </c>
      <c r="W51" s="5" t="e">
        <f t="shared" ca="1" si="28"/>
        <v>#N/A</v>
      </c>
      <c r="X51" s="67">
        <f t="shared" ca="1" si="29"/>
        <v>-1</v>
      </c>
      <c r="Y51" s="67" t="e">
        <f t="shared" ca="1" si="36"/>
        <v>#N/A</v>
      </c>
      <c r="Z51" s="67" t="e">
        <f t="shared" ca="1" si="37"/>
        <v>#N/A</v>
      </c>
      <c r="AA51" s="5" t="str">
        <f>IF(Setup!$I$15="Yes",'Demand background (hide)'!AJ39+'SPC background (hide)'!C51,"")</f>
        <v/>
      </c>
      <c r="AC51" s="5">
        <f t="shared" ca="1" si="30"/>
        <v>142</v>
      </c>
      <c r="AD51" s="5">
        <f t="shared" ca="1" si="31"/>
        <v>155.30000000000001</v>
      </c>
      <c r="AG51" s="67">
        <f t="shared" ca="1" si="12"/>
        <v>6</v>
      </c>
      <c r="AH51" s="67">
        <v>50</v>
      </c>
      <c r="AI51" s="67">
        <f t="shared" ca="1" si="4"/>
        <v>5</v>
      </c>
      <c r="AJ51" s="39">
        <f t="shared" ca="1" si="5"/>
        <v>5.7131599684791183</v>
      </c>
      <c r="AK51" s="39">
        <f t="shared" ca="1" si="6"/>
        <v>124.86052009456264</v>
      </c>
      <c r="AL51" s="39">
        <f t="shared" ca="1" si="7"/>
        <v>130.57368006304176</v>
      </c>
      <c r="AM51" s="39">
        <f t="shared" ca="1" si="8"/>
        <v>136.28684003152088</v>
      </c>
      <c r="AN51" s="39">
        <f t="shared" ca="1" si="9"/>
        <v>142</v>
      </c>
      <c r="AO51" s="39">
        <f t="shared" ca="1" si="0"/>
        <v>147.71315996847912</v>
      </c>
      <c r="AP51" s="39">
        <f t="shared" ca="1" si="1"/>
        <v>153.42631993695824</v>
      </c>
      <c r="AQ51" s="39">
        <f t="shared" ca="1" si="2"/>
        <v>159.13947990543736</v>
      </c>
      <c r="AR51" s="5">
        <f t="shared" ca="1" si="10"/>
        <v>142</v>
      </c>
      <c r="AS51" s="5">
        <f t="shared" ca="1" si="3"/>
        <v>155.30000000000001</v>
      </c>
      <c r="AT51" s="5">
        <f t="shared" ca="1" si="11"/>
        <v>0</v>
      </c>
    </row>
    <row r="52" spans="1:46" x14ac:dyDescent="0.25">
      <c r="A52" s="67">
        <f ca="1">Demand!C49</f>
        <v>46</v>
      </c>
      <c r="B52" s="67">
        <v>37</v>
      </c>
      <c r="C52" s="5">
        <f ca="1">'Demand background (hide)'!Y40</f>
        <v>142</v>
      </c>
      <c r="D52" s="67">
        <f t="shared" si="15"/>
        <v>0</v>
      </c>
      <c r="E52" s="67" t="e">
        <f t="shared" ca="1" si="16"/>
        <v>#N/A</v>
      </c>
      <c r="F52" s="67" t="e">
        <f t="shared" ca="1" si="17"/>
        <v>#N/A</v>
      </c>
      <c r="G52" s="67" t="e">
        <f t="shared" ca="1" si="18"/>
        <v>#N/A</v>
      </c>
      <c r="H52" s="67" t="e">
        <f>IF('Demand background (hide)'!AN40&lt;&gt;"",'SPC background (hide)'!C52,NA())</f>
        <v>#N/A</v>
      </c>
      <c r="I52" s="67">
        <f t="shared" ca="1" si="19"/>
        <v>5</v>
      </c>
      <c r="J52" s="5">
        <f t="shared" ca="1" si="20"/>
        <v>124.86052009456264</v>
      </c>
      <c r="K52" s="5">
        <f t="shared" ca="1" si="21"/>
        <v>130.57368006304176</v>
      </c>
      <c r="L52" s="5">
        <f t="shared" ca="1" si="22"/>
        <v>136.28684003152088</v>
      </c>
      <c r="M52" s="5">
        <f t="shared" ca="1" si="23"/>
        <v>142</v>
      </c>
      <c r="N52" s="5">
        <f t="shared" ca="1" si="24"/>
        <v>147.71315996847912</v>
      </c>
      <c r="O52" s="5">
        <f t="shared" ca="1" si="25"/>
        <v>153.42631993695824</v>
      </c>
      <c r="P52" s="5">
        <f t="shared" ca="1" si="26"/>
        <v>159.13947990543736</v>
      </c>
      <c r="Q52" s="5" t="e">
        <f t="shared" ca="1" si="27"/>
        <v>#N/A</v>
      </c>
      <c r="R52" s="5">
        <f t="shared" ca="1" si="32"/>
        <v>0</v>
      </c>
      <c r="S52" s="67" t="e">
        <f t="shared" ca="1" si="33"/>
        <v>#N/A</v>
      </c>
      <c r="T52" s="67">
        <f t="shared" ca="1" si="34"/>
        <v>0</v>
      </c>
      <c r="U52" s="67" t="e">
        <f t="shared" ca="1" si="35"/>
        <v>#N/A</v>
      </c>
      <c r="V52" s="5">
        <f t="shared" ca="1" si="14"/>
        <v>0</v>
      </c>
      <c r="W52" s="5" t="e">
        <f t="shared" ca="1" si="28"/>
        <v>#N/A</v>
      </c>
      <c r="X52" s="67">
        <f t="shared" ca="1" si="29"/>
        <v>1</v>
      </c>
      <c r="Y52" s="67" t="e">
        <f t="shared" ca="1" si="36"/>
        <v>#N/A</v>
      </c>
      <c r="Z52" s="67" t="e">
        <f t="shared" ca="1" si="37"/>
        <v>#N/A</v>
      </c>
      <c r="AA52" s="5" t="str">
        <f>IF(Setup!$I$15="Yes",'Demand background (hide)'!AJ40+'SPC background (hide)'!C52,"")</f>
        <v/>
      </c>
      <c r="AC52" s="5">
        <f t="shared" ca="1" si="30"/>
        <v>142</v>
      </c>
      <c r="AD52" s="5">
        <f t="shared" ca="1" si="31"/>
        <v>155.30000000000001</v>
      </c>
      <c r="AG52" s="67">
        <f t="shared" ca="1" si="12"/>
        <v>7</v>
      </c>
      <c r="AH52" s="67">
        <v>51</v>
      </c>
      <c r="AI52" s="67">
        <f t="shared" ca="1" si="4"/>
        <v>5</v>
      </c>
      <c r="AJ52" s="39">
        <f t="shared" ca="1" si="5"/>
        <v>5.7131599684791183</v>
      </c>
      <c r="AK52" s="39">
        <f t="shared" ca="1" si="6"/>
        <v>124.86052009456264</v>
      </c>
      <c r="AL52" s="39">
        <f t="shared" ca="1" si="7"/>
        <v>130.57368006304176</v>
      </c>
      <c r="AM52" s="39">
        <f t="shared" ca="1" si="8"/>
        <v>136.28684003152088</v>
      </c>
      <c r="AN52" s="39">
        <f t="shared" ca="1" si="9"/>
        <v>142</v>
      </c>
      <c r="AO52" s="39">
        <f t="shared" ca="1" si="0"/>
        <v>147.71315996847912</v>
      </c>
      <c r="AP52" s="39">
        <f t="shared" ca="1" si="1"/>
        <v>153.42631993695824</v>
      </c>
      <c r="AQ52" s="39">
        <f t="shared" ca="1" si="2"/>
        <v>159.13947990543736</v>
      </c>
      <c r="AR52" s="5">
        <f t="shared" ca="1" si="10"/>
        <v>142</v>
      </c>
      <c r="AS52" s="5">
        <f t="shared" ca="1" si="3"/>
        <v>155.30000000000001</v>
      </c>
      <c r="AT52" s="5">
        <f t="shared" ca="1" si="11"/>
        <v>0</v>
      </c>
    </row>
    <row r="53" spans="1:46" x14ac:dyDescent="0.25">
      <c r="A53" s="67">
        <f ca="1">Demand!C50</f>
        <v>47</v>
      </c>
      <c r="B53" s="67">
        <v>38</v>
      </c>
      <c r="C53" s="5">
        <f ca="1">'Demand background (hide)'!Y41</f>
        <v>156</v>
      </c>
      <c r="D53" s="67">
        <f t="shared" si="15"/>
        <v>0</v>
      </c>
      <c r="E53" s="67" t="e">
        <f t="shared" ca="1" si="16"/>
        <v>#N/A</v>
      </c>
      <c r="F53" s="67" t="e">
        <f t="shared" ca="1" si="17"/>
        <v>#N/A</v>
      </c>
      <c r="G53" s="67" t="e">
        <f t="shared" ca="1" si="18"/>
        <v>#N/A</v>
      </c>
      <c r="H53" s="67" t="e">
        <f>IF('Demand background (hide)'!AN41&lt;&gt;"",'SPC background (hide)'!C53,NA())</f>
        <v>#N/A</v>
      </c>
      <c r="I53" s="67">
        <f t="shared" ca="1" si="19"/>
        <v>5</v>
      </c>
      <c r="J53" s="5">
        <f t="shared" ca="1" si="20"/>
        <v>124.86052009456264</v>
      </c>
      <c r="K53" s="5">
        <f t="shared" ca="1" si="21"/>
        <v>130.57368006304176</v>
      </c>
      <c r="L53" s="5">
        <f t="shared" ca="1" si="22"/>
        <v>136.28684003152088</v>
      </c>
      <c r="M53" s="5">
        <f t="shared" ca="1" si="23"/>
        <v>142</v>
      </c>
      <c r="N53" s="5">
        <f t="shared" ca="1" si="24"/>
        <v>147.71315996847912</v>
      </c>
      <c r="O53" s="5">
        <f t="shared" ca="1" si="25"/>
        <v>153.42631993695824</v>
      </c>
      <c r="P53" s="5">
        <f t="shared" ca="1" si="26"/>
        <v>159.13947990543736</v>
      </c>
      <c r="Q53" s="5" t="e">
        <f t="shared" ca="1" si="27"/>
        <v>#N/A</v>
      </c>
      <c r="R53" s="5">
        <f t="shared" ca="1" si="32"/>
        <v>2</v>
      </c>
      <c r="S53" s="67" t="e">
        <f t="shared" ca="1" si="33"/>
        <v>#N/A</v>
      </c>
      <c r="T53" s="67">
        <f t="shared" ca="1" si="34"/>
        <v>2</v>
      </c>
      <c r="U53" s="67" t="e">
        <f t="shared" ca="1" si="35"/>
        <v>#N/A</v>
      </c>
      <c r="V53" s="5">
        <f t="shared" ca="1" si="14"/>
        <v>1</v>
      </c>
      <c r="W53" s="5" t="e">
        <f t="shared" ca="1" si="28"/>
        <v>#N/A</v>
      </c>
      <c r="X53" s="67">
        <f t="shared" ca="1" si="29"/>
        <v>1</v>
      </c>
      <c r="Y53" s="67" t="e">
        <f t="shared" ca="1" si="36"/>
        <v>#N/A</v>
      </c>
      <c r="Z53" s="67" t="e">
        <f t="shared" ca="1" si="37"/>
        <v>#N/A</v>
      </c>
      <c r="AA53" s="5" t="str">
        <f>IF(Setup!$I$15="Yes",'Demand background (hide)'!AJ41+'SPC background (hide)'!C53,"")</f>
        <v/>
      </c>
      <c r="AC53" s="5">
        <f t="shared" ca="1" si="30"/>
        <v>142</v>
      </c>
      <c r="AD53" s="5">
        <f t="shared" ca="1" si="31"/>
        <v>155.30000000000001</v>
      </c>
      <c r="AG53" s="67">
        <f t="shared" ca="1" si="12"/>
        <v>8</v>
      </c>
      <c r="AH53" s="67">
        <v>52</v>
      </c>
      <c r="AI53" s="67">
        <f t="shared" ca="1" si="4"/>
        <v>5</v>
      </c>
      <c r="AJ53" s="39">
        <f t="shared" ca="1" si="5"/>
        <v>5.7131599684791183</v>
      </c>
      <c r="AK53" s="39">
        <f t="shared" ca="1" si="6"/>
        <v>124.86052009456264</v>
      </c>
      <c r="AL53" s="39">
        <f t="shared" ca="1" si="7"/>
        <v>130.57368006304176</v>
      </c>
      <c r="AM53" s="39">
        <f t="shared" ca="1" si="8"/>
        <v>136.28684003152088</v>
      </c>
      <c r="AN53" s="39">
        <f t="shared" ca="1" si="9"/>
        <v>142</v>
      </c>
      <c r="AO53" s="39">
        <f t="shared" ca="1" si="0"/>
        <v>147.71315996847912</v>
      </c>
      <c r="AP53" s="39">
        <f t="shared" ca="1" si="1"/>
        <v>153.42631993695824</v>
      </c>
      <c r="AQ53" s="39">
        <f t="shared" ca="1" si="2"/>
        <v>159.13947990543736</v>
      </c>
      <c r="AR53" s="5">
        <f t="shared" ca="1" si="10"/>
        <v>142</v>
      </c>
      <c r="AS53" s="5">
        <f t="shared" ca="1" si="3"/>
        <v>155.30000000000001</v>
      </c>
      <c r="AT53" s="5">
        <f t="shared" ca="1" si="11"/>
        <v>0</v>
      </c>
    </row>
    <row r="54" spans="1:46" x14ac:dyDescent="0.25">
      <c r="A54" s="67">
        <f ca="1">Demand!C51</f>
        <v>48</v>
      </c>
      <c r="B54" s="67">
        <v>39</v>
      </c>
      <c r="C54" s="5">
        <f ca="1">'Demand background (hide)'!Y42</f>
        <v>140</v>
      </c>
      <c r="D54" s="67">
        <f t="shared" si="15"/>
        <v>0</v>
      </c>
      <c r="E54" s="67" t="e">
        <f t="shared" ca="1" si="16"/>
        <v>#N/A</v>
      </c>
      <c r="F54" s="67" t="e">
        <f t="shared" ca="1" si="17"/>
        <v>#N/A</v>
      </c>
      <c r="G54" s="67" t="e">
        <f t="shared" ca="1" si="18"/>
        <v>#N/A</v>
      </c>
      <c r="H54" s="67" t="e">
        <f>IF('Demand background (hide)'!AN42&lt;&gt;"",'SPC background (hide)'!C54,NA())</f>
        <v>#N/A</v>
      </c>
      <c r="I54" s="67">
        <f t="shared" ca="1" si="19"/>
        <v>5</v>
      </c>
      <c r="J54" s="5">
        <f t="shared" ca="1" si="20"/>
        <v>124.86052009456264</v>
      </c>
      <c r="K54" s="5">
        <f t="shared" ca="1" si="21"/>
        <v>130.57368006304176</v>
      </c>
      <c r="L54" s="5">
        <f t="shared" ca="1" si="22"/>
        <v>136.28684003152088</v>
      </c>
      <c r="M54" s="5">
        <f t="shared" ca="1" si="23"/>
        <v>142</v>
      </c>
      <c r="N54" s="5">
        <f t="shared" ca="1" si="24"/>
        <v>147.71315996847912</v>
      </c>
      <c r="O54" s="5">
        <f t="shared" ca="1" si="25"/>
        <v>153.42631993695824</v>
      </c>
      <c r="P54" s="5">
        <f t="shared" ca="1" si="26"/>
        <v>159.13947990543736</v>
      </c>
      <c r="Q54" s="5" t="e">
        <f t="shared" ca="1" si="27"/>
        <v>#N/A</v>
      </c>
      <c r="R54" s="5">
        <f t="shared" ca="1" si="32"/>
        <v>-1</v>
      </c>
      <c r="S54" s="67">
        <f t="shared" ca="1" si="33"/>
        <v>140</v>
      </c>
      <c r="T54" s="67">
        <f t="shared" ca="1" si="34"/>
        <v>-1</v>
      </c>
      <c r="U54" s="67" t="e">
        <f t="shared" ca="1" si="35"/>
        <v>#N/A</v>
      </c>
      <c r="V54" s="5">
        <f t="shared" ca="1" si="14"/>
        <v>-1</v>
      </c>
      <c r="W54" s="5" t="e">
        <f t="shared" ca="1" si="28"/>
        <v>#N/A</v>
      </c>
      <c r="X54" s="67">
        <f t="shared" ca="1" si="29"/>
        <v>-1</v>
      </c>
      <c r="Y54" s="67" t="e">
        <f t="shared" ca="1" si="36"/>
        <v>#N/A</v>
      </c>
      <c r="Z54" s="67" t="e">
        <f t="shared" ca="1" si="37"/>
        <v>#N/A</v>
      </c>
      <c r="AA54" s="5" t="str">
        <f>IF(Setup!$I$15="Yes",'Demand background (hide)'!AJ42+'SPC background (hide)'!C54,"")</f>
        <v/>
      </c>
      <c r="AC54" s="5">
        <f t="shared" ca="1" si="30"/>
        <v>142</v>
      </c>
      <c r="AD54" s="5">
        <f t="shared" ca="1" si="31"/>
        <v>155.30000000000001</v>
      </c>
      <c r="AG54" s="67">
        <f t="shared" ca="1" si="12"/>
        <v>9</v>
      </c>
      <c r="AH54" s="67">
        <v>53</v>
      </c>
      <c r="AI54" s="67">
        <f t="shared" ca="1" si="4"/>
        <v>5</v>
      </c>
      <c r="AJ54" s="39">
        <f t="shared" ca="1" si="5"/>
        <v>5.7131599684791183</v>
      </c>
      <c r="AK54" s="39">
        <f t="shared" ca="1" si="6"/>
        <v>124.86052009456264</v>
      </c>
      <c r="AL54" s="39">
        <f t="shared" ca="1" si="7"/>
        <v>130.57368006304176</v>
      </c>
      <c r="AM54" s="39">
        <f t="shared" ca="1" si="8"/>
        <v>136.28684003152088</v>
      </c>
      <c r="AN54" s="39">
        <f t="shared" ca="1" si="9"/>
        <v>142</v>
      </c>
      <c r="AO54" s="39">
        <f t="shared" ca="1" si="0"/>
        <v>147.71315996847912</v>
      </c>
      <c r="AP54" s="39">
        <f t="shared" ca="1" si="1"/>
        <v>153.42631993695824</v>
      </c>
      <c r="AQ54" s="39">
        <f t="shared" ca="1" si="2"/>
        <v>159.13947990543736</v>
      </c>
      <c r="AR54" s="5">
        <f t="shared" ca="1" si="10"/>
        <v>142</v>
      </c>
      <c r="AS54" s="5">
        <f t="shared" ca="1" si="3"/>
        <v>155.30000000000001</v>
      </c>
      <c r="AT54" s="5">
        <f t="shared" ca="1" si="11"/>
        <v>0</v>
      </c>
    </row>
    <row r="55" spans="1:46" x14ac:dyDescent="0.25">
      <c r="A55" s="67">
        <f ca="1">Demand!C52</f>
        <v>49</v>
      </c>
      <c r="B55" s="67">
        <v>40</v>
      </c>
      <c r="C55" s="5">
        <f ca="1">'Demand background (hide)'!Y43</f>
        <v>130</v>
      </c>
      <c r="D55" s="67">
        <f t="shared" si="15"/>
        <v>0</v>
      </c>
      <c r="E55" s="67" t="e">
        <f t="shared" ca="1" si="16"/>
        <v>#N/A</v>
      </c>
      <c r="F55" s="67" t="e">
        <f t="shared" ca="1" si="17"/>
        <v>#N/A</v>
      </c>
      <c r="G55" s="67" t="e">
        <f t="shared" ca="1" si="18"/>
        <v>#N/A</v>
      </c>
      <c r="H55" s="67" t="e">
        <f>IF('Demand background (hide)'!AN43&lt;&gt;"",'SPC background (hide)'!C55,NA())</f>
        <v>#N/A</v>
      </c>
      <c r="I55" s="67">
        <f t="shared" ca="1" si="19"/>
        <v>5</v>
      </c>
      <c r="J55" s="5">
        <f t="shared" ca="1" si="20"/>
        <v>124.86052009456264</v>
      </c>
      <c r="K55" s="5">
        <f t="shared" ca="1" si="21"/>
        <v>130.57368006304176</v>
      </c>
      <c r="L55" s="5">
        <f t="shared" ca="1" si="22"/>
        <v>136.28684003152088</v>
      </c>
      <c r="M55" s="5">
        <f t="shared" ca="1" si="23"/>
        <v>142</v>
      </c>
      <c r="N55" s="5">
        <f t="shared" ca="1" si="24"/>
        <v>147.71315996847912</v>
      </c>
      <c r="O55" s="5">
        <f t="shared" ca="1" si="25"/>
        <v>153.42631993695824</v>
      </c>
      <c r="P55" s="5">
        <f t="shared" ca="1" si="26"/>
        <v>159.13947990543736</v>
      </c>
      <c r="Q55" s="5" t="e">
        <f t="shared" ca="1" si="27"/>
        <v>#N/A</v>
      </c>
      <c r="R55" s="5">
        <f t="shared" ca="1" si="32"/>
        <v>-2</v>
      </c>
      <c r="S55" s="67" t="e">
        <f t="shared" ca="1" si="33"/>
        <v>#N/A</v>
      </c>
      <c r="T55" s="67">
        <f t="shared" ca="1" si="34"/>
        <v>-2</v>
      </c>
      <c r="U55" s="67" t="e">
        <f t="shared" ca="1" si="35"/>
        <v>#N/A</v>
      </c>
      <c r="V55" s="5">
        <f t="shared" ca="1" si="14"/>
        <v>-1</v>
      </c>
      <c r="W55" s="5" t="e">
        <f t="shared" ca="1" si="28"/>
        <v>#N/A</v>
      </c>
      <c r="X55" s="67">
        <f t="shared" ca="1" si="29"/>
        <v>-1</v>
      </c>
      <c r="Y55" s="67" t="e">
        <f t="shared" ca="1" si="36"/>
        <v>#N/A</v>
      </c>
      <c r="Z55" s="67" t="e">
        <f t="shared" ca="1" si="37"/>
        <v>#N/A</v>
      </c>
      <c r="AA55" s="5" t="str">
        <f>IF(Setup!$I$15="Yes",'Demand background (hide)'!AJ43+'SPC background (hide)'!C55,"")</f>
        <v/>
      </c>
      <c r="AC55" s="5">
        <f t="shared" ca="1" si="30"/>
        <v>142</v>
      </c>
      <c r="AD55" s="5">
        <f t="shared" ca="1" si="31"/>
        <v>155.30000000000001</v>
      </c>
    </row>
    <row r="56" spans="1:46" x14ac:dyDescent="0.25">
      <c r="A56" s="67">
        <f ca="1">Demand!C53</f>
        <v>50</v>
      </c>
      <c r="B56" s="67">
        <v>41</v>
      </c>
      <c r="C56" s="5">
        <f ca="1">'Demand background (hide)'!Y44</f>
        <v>120</v>
      </c>
      <c r="D56" s="67">
        <f t="shared" si="15"/>
        <v>0</v>
      </c>
      <c r="E56" s="67" t="e">
        <f t="shared" ca="1" si="16"/>
        <v>#N/A</v>
      </c>
      <c r="F56" s="67" t="e">
        <f t="shared" ca="1" si="17"/>
        <v>#N/A</v>
      </c>
      <c r="G56" s="67" t="e">
        <f t="shared" ca="1" si="18"/>
        <v>#N/A</v>
      </c>
      <c r="H56" s="67" t="e">
        <f>IF('Demand background (hide)'!AN44&lt;&gt;"",'SPC background (hide)'!C56,NA())</f>
        <v>#N/A</v>
      </c>
      <c r="I56" s="67">
        <f t="shared" ca="1" si="19"/>
        <v>5</v>
      </c>
      <c r="J56" s="5">
        <f t="shared" ca="1" si="20"/>
        <v>124.86052009456264</v>
      </c>
      <c r="K56" s="5">
        <f t="shared" ca="1" si="21"/>
        <v>130.57368006304176</v>
      </c>
      <c r="L56" s="5">
        <f t="shared" ca="1" si="22"/>
        <v>136.28684003152088</v>
      </c>
      <c r="M56" s="5">
        <f t="shared" ca="1" si="23"/>
        <v>142</v>
      </c>
      <c r="N56" s="5">
        <f t="shared" ca="1" si="24"/>
        <v>147.71315996847912</v>
      </c>
      <c r="O56" s="5">
        <f t="shared" ca="1" si="25"/>
        <v>153.42631993695824</v>
      </c>
      <c r="P56" s="5">
        <f t="shared" ca="1" si="26"/>
        <v>159.13947990543736</v>
      </c>
      <c r="Q56" s="5">
        <f t="shared" ca="1" si="27"/>
        <v>120</v>
      </c>
      <c r="R56" s="5">
        <f t="shared" ca="1" si="32"/>
        <v>-2</v>
      </c>
      <c r="S56" s="67" t="e">
        <f t="shared" ca="1" si="33"/>
        <v>#N/A</v>
      </c>
      <c r="T56" s="67">
        <f t="shared" ca="1" si="34"/>
        <v>-2</v>
      </c>
      <c r="U56" s="67" t="e">
        <f t="shared" ca="1" si="35"/>
        <v>#N/A</v>
      </c>
      <c r="V56" s="5">
        <f t="shared" ca="1" si="14"/>
        <v>-1</v>
      </c>
      <c r="W56" s="5" t="e">
        <f t="shared" ca="1" si="28"/>
        <v>#N/A</v>
      </c>
      <c r="X56" s="67">
        <f t="shared" ca="1" si="29"/>
        <v>-1</v>
      </c>
      <c r="Y56" s="67" t="e">
        <f t="shared" ca="1" si="36"/>
        <v>#N/A</v>
      </c>
      <c r="Z56" s="67" t="e">
        <f t="shared" ca="1" si="37"/>
        <v>#N/A</v>
      </c>
      <c r="AA56" s="5" t="str">
        <f>IF(Setup!$I$15="Yes",'Demand background (hide)'!AJ44+'SPC background (hide)'!C56,"")</f>
        <v/>
      </c>
      <c r="AC56" s="5">
        <f t="shared" ca="1" si="30"/>
        <v>142</v>
      </c>
      <c r="AD56" s="5">
        <f t="shared" ca="1" si="31"/>
        <v>155.30000000000001</v>
      </c>
    </row>
    <row r="57" spans="1:46" x14ac:dyDescent="0.25">
      <c r="A57" s="67">
        <f ca="1">Demand!C54</f>
        <v>51</v>
      </c>
      <c r="B57" s="67">
        <v>42</v>
      </c>
      <c r="C57" s="5">
        <f ca="1">'Demand background (hide)'!Y45</f>
        <v>150</v>
      </c>
      <c r="D57" s="67">
        <f t="shared" si="15"/>
        <v>0</v>
      </c>
      <c r="E57" s="67" t="e">
        <f t="shared" ca="1" si="16"/>
        <v>#N/A</v>
      </c>
      <c r="F57" s="67" t="e">
        <f t="shared" ca="1" si="17"/>
        <v>#N/A</v>
      </c>
      <c r="G57" s="67" t="e">
        <f t="shared" ca="1" si="18"/>
        <v>#N/A</v>
      </c>
      <c r="H57" s="67" t="e">
        <f>IF('Demand background (hide)'!AN45&lt;&gt;"",'SPC background (hide)'!C57,NA())</f>
        <v>#N/A</v>
      </c>
      <c r="I57" s="67">
        <f t="shared" ca="1" si="19"/>
        <v>5</v>
      </c>
      <c r="J57" s="5">
        <f t="shared" ca="1" si="20"/>
        <v>124.86052009456264</v>
      </c>
      <c r="K57" s="5">
        <f t="shared" ca="1" si="21"/>
        <v>130.57368006304176</v>
      </c>
      <c r="L57" s="5">
        <f t="shared" ca="1" si="22"/>
        <v>136.28684003152088</v>
      </c>
      <c r="M57" s="5">
        <f t="shared" ca="1" si="23"/>
        <v>142</v>
      </c>
      <c r="N57" s="5">
        <f t="shared" ca="1" si="24"/>
        <v>147.71315996847912</v>
      </c>
      <c r="O57" s="5">
        <f t="shared" ca="1" si="25"/>
        <v>153.42631993695824</v>
      </c>
      <c r="P57" s="5">
        <f t="shared" ca="1" si="26"/>
        <v>159.13947990543736</v>
      </c>
      <c r="Q57" s="5" t="e">
        <f t="shared" ca="1" si="27"/>
        <v>#N/A</v>
      </c>
      <c r="R57" s="5">
        <f t="shared" ca="1" si="32"/>
        <v>1</v>
      </c>
      <c r="S57" s="67" t="e">
        <f t="shared" ca="1" si="33"/>
        <v>#N/A</v>
      </c>
      <c r="T57" s="67">
        <f t="shared" ca="1" si="34"/>
        <v>2</v>
      </c>
      <c r="U57" s="67" t="e">
        <f t="shared" ca="1" si="35"/>
        <v>#N/A</v>
      </c>
      <c r="V57" s="5">
        <f t="shared" ca="1" si="14"/>
        <v>1</v>
      </c>
      <c r="W57" s="5" t="e">
        <f t="shared" ca="1" si="28"/>
        <v>#N/A</v>
      </c>
      <c r="X57" s="67">
        <f t="shared" ca="1" si="29"/>
        <v>1</v>
      </c>
      <c r="Y57" s="67" t="e">
        <f t="shared" ca="1" si="36"/>
        <v>#N/A</v>
      </c>
      <c r="Z57" s="67" t="e">
        <f t="shared" ca="1" si="37"/>
        <v>#N/A</v>
      </c>
      <c r="AA57" s="5" t="str">
        <f>IF(Setup!$I$15="Yes",'Demand background (hide)'!AJ45+'SPC background (hide)'!C57,"")</f>
        <v/>
      </c>
      <c r="AC57" s="5">
        <f t="shared" ca="1" si="30"/>
        <v>142</v>
      </c>
      <c r="AD57" s="5">
        <f t="shared" ca="1" si="31"/>
        <v>155.30000000000001</v>
      </c>
    </row>
    <row r="58" spans="1:46" x14ac:dyDescent="0.25">
      <c r="A58" s="67">
        <f ca="1">Demand!C55</f>
        <v>52</v>
      </c>
      <c r="B58" s="67">
        <v>43</v>
      </c>
      <c r="C58" s="5">
        <f ca="1">'Demand background (hide)'!Y46</f>
        <v>154</v>
      </c>
      <c r="D58" s="67">
        <f t="shared" si="15"/>
        <v>0</v>
      </c>
      <c r="E58" s="67" t="e">
        <f t="shared" ca="1" si="16"/>
        <v>#N/A</v>
      </c>
      <c r="F58" s="67" t="e">
        <f t="shared" ca="1" si="17"/>
        <v>#N/A</v>
      </c>
      <c r="G58" s="67" t="e">
        <f t="shared" ca="1" si="18"/>
        <v>#N/A</v>
      </c>
      <c r="H58" s="67" t="e">
        <f>IF('Demand background (hide)'!AN46&lt;&gt;"",'SPC background (hide)'!C58,NA())</f>
        <v>#N/A</v>
      </c>
      <c r="I58" s="67">
        <f t="shared" ca="1" si="19"/>
        <v>5</v>
      </c>
      <c r="J58" s="5">
        <f t="shared" ca="1" si="20"/>
        <v>124.86052009456264</v>
      </c>
      <c r="K58" s="5">
        <f t="shared" ca="1" si="21"/>
        <v>130.57368006304176</v>
      </c>
      <c r="L58" s="5">
        <f t="shared" ca="1" si="22"/>
        <v>136.28684003152088</v>
      </c>
      <c r="M58" s="5">
        <f t="shared" ca="1" si="23"/>
        <v>142</v>
      </c>
      <c r="N58" s="5">
        <f t="shared" ca="1" si="24"/>
        <v>147.71315996847912</v>
      </c>
      <c r="O58" s="5">
        <f t="shared" ca="1" si="25"/>
        <v>153.42631993695824</v>
      </c>
      <c r="P58" s="5">
        <f t="shared" ca="1" si="26"/>
        <v>159.13947990543736</v>
      </c>
      <c r="Q58" s="5" t="e">
        <f t="shared" ca="1" si="27"/>
        <v>#N/A</v>
      </c>
      <c r="R58" s="5">
        <f t="shared" ca="1" si="32"/>
        <v>2</v>
      </c>
      <c r="S58" s="67" t="e">
        <f t="shared" ca="1" si="33"/>
        <v>#N/A</v>
      </c>
      <c r="T58" s="67">
        <f t="shared" ca="1" si="34"/>
        <v>2</v>
      </c>
      <c r="U58" s="67" t="e">
        <f t="shared" ca="1" si="35"/>
        <v>#N/A</v>
      </c>
      <c r="V58" s="5">
        <f t="shared" ca="1" si="14"/>
        <v>1</v>
      </c>
      <c r="W58" s="5" t="e">
        <f t="shared" ca="1" si="28"/>
        <v>#N/A</v>
      </c>
      <c r="X58" s="67">
        <f t="shared" ca="1" si="29"/>
        <v>1</v>
      </c>
      <c r="Y58" s="67" t="e">
        <f t="shared" ca="1" si="36"/>
        <v>#N/A</v>
      </c>
      <c r="Z58" s="67" t="e">
        <f t="shared" ca="1" si="37"/>
        <v>#N/A</v>
      </c>
      <c r="AA58" s="5" t="str">
        <f>IF(Setup!$I$15="Yes",'Demand background (hide)'!AJ46+'SPC background (hide)'!C58,"")</f>
        <v/>
      </c>
      <c r="AC58" s="5">
        <f t="shared" ca="1" si="30"/>
        <v>142</v>
      </c>
      <c r="AD58" s="5">
        <f t="shared" ca="1" si="31"/>
        <v>155.30000000000001</v>
      </c>
    </row>
    <row r="59" spans="1:46" x14ac:dyDescent="0.25">
      <c r="A59" s="67">
        <f ca="1">Demand!C56</f>
        <v>53</v>
      </c>
      <c r="B59" s="67">
        <v>44</v>
      </c>
      <c r="C59" s="5">
        <f ca="1">'Demand background (hide)'!Y47</f>
        <v>140</v>
      </c>
      <c r="D59" s="67">
        <f t="shared" si="15"/>
        <v>0</v>
      </c>
      <c r="E59" s="67" t="e">
        <f t="shared" ca="1" si="16"/>
        <v>#N/A</v>
      </c>
      <c r="F59" s="67" t="e">
        <f t="shared" ca="1" si="17"/>
        <v>#N/A</v>
      </c>
      <c r="G59" s="67" t="e">
        <f t="shared" ca="1" si="18"/>
        <v>#N/A</v>
      </c>
      <c r="H59" s="67" t="e">
        <f>IF('Demand background (hide)'!AN47&lt;&gt;"",'SPC background (hide)'!C59,NA())</f>
        <v>#N/A</v>
      </c>
      <c r="I59" s="67">
        <f t="shared" ca="1" si="19"/>
        <v>5</v>
      </c>
      <c r="J59" s="5">
        <f t="shared" ca="1" si="20"/>
        <v>124.86052009456264</v>
      </c>
      <c r="K59" s="5">
        <f t="shared" ca="1" si="21"/>
        <v>130.57368006304176</v>
      </c>
      <c r="L59" s="5">
        <f t="shared" ca="1" si="22"/>
        <v>136.28684003152088</v>
      </c>
      <c r="M59" s="5">
        <f t="shared" ca="1" si="23"/>
        <v>142</v>
      </c>
      <c r="N59" s="5">
        <f t="shared" ca="1" si="24"/>
        <v>147.71315996847912</v>
      </c>
      <c r="O59" s="5">
        <f t="shared" ca="1" si="25"/>
        <v>153.42631993695824</v>
      </c>
      <c r="P59" s="5">
        <f t="shared" ca="1" si="26"/>
        <v>159.13947990543736</v>
      </c>
      <c r="Q59" s="5" t="e">
        <f t="shared" ca="1" si="27"/>
        <v>#N/A</v>
      </c>
      <c r="R59" s="5">
        <f t="shared" ca="1" si="32"/>
        <v>-1</v>
      </c>
      <c r="S59" s="67" t="e">
        <f t="shared" ca="1" si="33"/>
        <v>#N/A</v>
      </c>
      <c r="T59" s="67">
        <f t="shared" ca="1" si="34"/>
        <v>-1</v>
      </c>
      <c r="U59" s="67" t="e">
        <f t="shared" ca="1" si="35"/>
        <v>#N/A</v>
      </c>
      <c r="V59" s="5">
        <f t="shared" ca="1" si="14"/>
        <v>-1</v>
      </c>
      <c r="W59" s="5" t="e">
        <f t="shared" ca="1" si="28"/>
        <v>#N/A</v>
      </c>
      <c r="X59" s="67">
        <f t="shared" ca="1" si="29"/>
        <v>-1</v>
      </c>
      <c r="Y59" s="67" t="e">
        <f t="shared" ca="1" si="36"/>
        <v>#N/A</v>
      </c>
      <c r="Z59" s="67" t="e">
        <f t="shared" ca="1" si="37"/>
        <v>#N/A</v>
      </c>
      <c r="AA59" s="5" t="str">
        <f>IF(Setup!$I$15="Yes",'Demand background (hide)'!AJ47+'SPC background (hide)'!C59,"")</f>
        <v/>
      </c>
      <c r="AC59" s="5">
        <f t="shared" ca="1" si="30"/>
        <v>142</v>
      </c>
      <c r="AD59" s="5">
        <f t="shared" ca="1" si="31"/>
        <v>155.30000000000001</v>
      </c>
    </row>
    <row r="60" spans="1:46" x14ac:dyDescent="0.25">
      <c r="A60" s="67">
        <f ca="1">Demand!C57</f>
        <v>1</v>
      </c>
      <c r="B60" s="67">
        <v>45</v>
      </c>
      <c r="C60" s="5">
        <f ca="1">'Demand background (hide)'!Y48</f>
        <v>136</v>
      </c>
      <c r="D60" s="67">
        <f t="shared" si="15"/>
        <v>0</v>
      </c>
      <c r="E60" s="67" t="e">
        <f t="shared" ca="1" si="16"/>
        <v>#N/A</v>
      </c>
      <c r="F60" s="67" t="e">
        <f t="shared" ca="1" si="17"/>
        <v>#N/A</v>
      </c>
      <c r="G60" s="67" t="e">
        <f t="shared" ca="1" si="18"/>
        <v>#N/A</v>
      </c>
      <c r="H60" s="67" t="e">
        <f>IF('Demand background (hide)'!AN48&lt;&gt;"",'SPC background (hide)'!C60,NA())</f>
        <v>#N/A</v>
      </c>
      <c r="I60" s="67">
        <f t="shared" ca="1" si="19"/>
        <v>5</v>
      </c>
      <c r="J60" s="5">
        <f t="shared" ca="1" si="20"/>
        <v>124.86052009456264</v>
      </c>
      <c r="K60" s="5">
        <f t="shared" ca="1" si="21"/>
        <v>130.57368006304176</v>
      </c>
      <c r="L60" s="5">
        <f t="shared" ca="1" si="22"/>
        <v>136.28684003152088</v>
      </c>
      <c r="M60" s="5">
        <f t="shared" ca="1" si="23"/>
        <v>142</v>
      </c>
      <c r="N60" s="5">
        <f t="shared" ca="1" si="24"/>
        <v>147.71315996847912</v>
      </c>
      <c r="O60" s="5">
        <f t="shared" ca="1" si="25"/>
        <v>153.42631993695824</v>
      </c>
      <c r="P60" s="5">
        <f t="shared" ca="1" si="26"/>
        <v>159.13947990543736</v>
      </c>
      <c r="Q60" s="5" t="e">
        <f t="shared" ca="1" si="27"/>
        <v>#N/A</v>
      </c>
      <c r="R60" s="5">
        <f t="shared" ca="1" si="32"/>
        <v>-1</v>
      </c>
      <c r="S60" s="67" t="e">
        <f t="shared" ca="1" si="33"/>
        <v>#N/A</v>
      </c>
      <c r="T60" s="67">
        <f t="shared" ca="1" si="34"/>
        <v>-2</v>
      </c>
      <c r="U60" s="67" t="e">
        <f t="shared" ca="1" si="35"/>
        <v>#N/A</v>
      </c>
      <c r="V60" s="5">
        <f t="shared" ca="1" si="14"/>
        <v>-1</v>
      </c>
      <c r="W60" s="5" t="e">
        <f t="shared" ca="1" si="28"/>
        <v>#N/A</v>
      </c>
      <c r="X60" s="67">
        <f t="shared" ca="1" si="29"/>
        <v>-1</v>
      </c>
      <c r="Y60" s="67" t="e">
        <f t="shared" ca="1" si="36"/>
        <v>#N/A</v>
      </c>
      <c r="Z60" s="67" t="e">
        <f t="shared" ca="1" si="37"/>
        <v>#N/A</v>
      </c>
      <c r="AA60" s="5" t="str">
        <f>IF(Setup!$I$15="Yes",'Demand background (hide)'!AJ48+'SPC background (hide)'!C60,"")</f>
        <v/>
      </c>
      <c r="AC60" s="5">
        <f t="shared" ca="1" si="30"/>
        <v>142</v>
      </c>
      <c r="AD60" s="5">
        <f t="shared" ca="1" si="31"/>
        <v>155.30000000000001</v>
      </c>
    </row>
    <row r="61" spans="1:46" x14ac:dyDescent="0.25">
      <c r="A61" s="67">
        <f ca="1">Demand!C58</f>
        <v>2</v>
      </c>
      <c r="B61" s="67">
        <v>46</v>
      </c>
      <c r="C61" s="5">
        <f ca="1">'Demand background (hide)'!Y49</f>
        <v>152</v>
      </c>
      <c r="D61" s="67">
        <f t="shared" si="15"/>
        <v>0</v>
      </c>
      <c r="E61" s="67" t="e">
        <f t="shared" ca="1" si="16"/>
        <v>#N/A</v>
      </c>
      <c r="F61" s="67" t="e">
        <f t="shared" ca="1" si="17"/>
        <v>#N/A</v>
      </c>
      <c r="G61" s="67" t="e">
        <f t="shared" ca="1" si="18"/>
        <v>#N/A</v>
      </c>
      <c r="H61" s="67" t="e">
        <f>IF('Demand background (hide)'!AN49&lt;&gt;"",'SPC background (hide)'!C61,NA())</f>
        <v>#N/A</v>
      </c>
      <c r="I61" s="67">
        <f t="shared" ca="1" si="19"/>
        <v>5</v>
      </c>
      <c r="J61" s="5">
        <f t="shared" ca="1" si="20"/>
        <v>124.86052009456264</v>
      </c>
      <c r="K61" s="5">
        <f t="shared" ca="1" si="21"/>
        <v>130.57368006304176</v>
      </c>
      <c r="L61" s="5">
        <f t="shared" ca="1" si="22"/>
        <v>136.28684003152088</v>
      </c>
      <c r="M61" s="5">
        <f t="shared" ca="1" si="23"/>
        <v>142</v>
      </c>
      <c r="N61" s="5">
        <f t="shared" ca="1" si="24"/>
        <v>147.71315996847912</v>
      </c>
      <c r="O61" s="5">
        <f t="shared" ca="1" si="25"/>
        <v>153.42631993695824</v>
      </c>
      <c r="P61" s="5">
        <f t="shared" ca="1" si="26"/>
        <v>159.13947990543736</v>
      </c>
      <c r="Q61" s="5" t="e">
        <f t="shared" ca="1" si="27"/>
        <v>#N/A</v>
      </c>
      <c r="R61" s="5">
        <f t="shared" ca="1" si="32"/>
        <v>1</v>
      </c>
      <c r="S61" s="67" t="e">
        <f t="shared" ca="1" si="33"/>
        <v>#N/A</v>
      </c>
      <c r="T61" s="67">
        <f t="shared" ca="1" si="34"/>
        <v>2</v>
      </c>
      <c r="U61" s="67" t="e">
        <f t="shared" ca="1" si="35"/>
        <v>#N/A</v>
      </c>
      <c r="V61" s="5">
        <f t="shared" ca="1" si="14"/>
        <v>1</v>
      </c>
      <c r="W61" s="5" t="e">
        <f t="shared" ca="1" si="28"/>
        <v>#N/A</v>
      </c>
      <c r="X61" s="67">
        <f t="shared" ca="1" si="29"/>
        <v>1</v>
      </c>
      <c r="Y61" s="67" t="e">
        <f t="shared" ca="1" si="36"/>
        <v>#N/A</v>
      </c>
      <c r="Z61" s="67" t="e">
        <f t="shared" ca="1" si="37"/>
        <v>#N/A</v>
      </c>
      <c r="AA61" s="5" t="str">
        <f>IF(Setup!$I$15="Yes",'Demand background (hide)'!AJ49+'SPC background (hide)'!C61,"")</f>
        <v/>
      </c>
      <c r="AC61" s="5">
        <f t="shared" ca="1" si="30"/>
        <v>142</v>
      </c>
      <c r="AD61" s="5">
        <f t="shared" ca="1" si="31"/>
        <v>155.30000000000001</v>
      </c>
    </row>
    <row r="62" spans="1:46" x14ac:dyDescent="0.25">
      <c r="A62" s="67">
        <f ca="1">Demand!C59</f>
        <v>3</v>
      </c>
      <c r="B62" s="67">
        <v>47</v>
      </c>
      <c r="C62" s="5">
        <f ca="1">'Demand background (hide)'!Y50</f>
        <v>148</v>
      </c>
      <c r="D62" s="67">
        <f t="shared" si="15"/>
        <v>0</v>
      </c>
      <c r="E62" s="67" t="e">
        <f t="shared" ca="1" si="16"/>
        <v>#N/A</v>
      </c>
      <c r="F62" s="67" t="e">
        <f t="shared" ca="1" si="17"/>
        <v>#N/A</v>
      </c>
      <c r="G62" s="67" t="e">
        <f t="shared" ca="1" si="18"/>
        <v>#N/A</v>
      </c>
      <c r="H62" s="67" t="e">
        <f>IF('Demand background (hide)'!AN50&lt;&gt;"",'SPC background (hide)'!C62,NA())</f>
        <v>#N/A</v>
      </c>
      <c r="I62" s="67">
        <f t="shared" ca="1" si="19"/>
        <v>5</v>
      </c>
      <c r="J62" s="5">
        <f t="shared" ca="1" si="20"/>
        <v>124.86052009456264</v>
      </c>
      <c r="K62" s="5">
        <f t="shared" ca="1" si="21"/>
        <v>130.57368006304176</v>
      </c>
      <c r="L62" s="5">
        <f t="shared" ca="1" si="22"/>
        <v>136.28684003152088</v>
      </c>
      <c r="M62" s="5">
        <f t="shared" ca="1" si="23"/>
        <v>142</v>
      </c>
      <c r="N62" s="5">
        <f t="shared" ca="1" si="24"/>
        <v>147.71315996847912</v>
      </c>
      <c r="O62" s="5">
        <f t="shared" ca="1" si="25"/>
        <v>153.42631993695824</v>
      </c>
      <c r="P62" s="5">
        <f t="shared" ca="1" si="26"/>
        <v>159.13947990543736</v>
      </c>
      <c r="Q62" s="5" t="e">
        <f t="shared" ca="1" si="27"/>
        <v>#N/A</v>
      </c>
      <c r="R62" s="5">
        <f t="shared" ca="1" si="32"/>
        <v>1</v>
      </c>
      <c r="S62" s="67" t="e">
        <f t="shared" ca="1" si="33"/>
        <v>#N/A</v>
      </c>
      <c r="T62" s="67">
        <f t="shared" ca="1" si="34"/>
        <v>2</v>
      </c>
      <c r="U62" s="67" t="e">
        <f t="shared" ca="1" si="35"/>
        <v>#N/A</v>
      </c>
      <c r="V62" s="5">
        <f t="shared" ca="1" si="14"/>
        <v>1</v>
      </c>
      <c r="W62" s="5" t="e">
        <f t="shared" ca="1" si="28"/>
        <v>#N/A</v>
      </c>
      <c r="X62" s="67">
        <f t="shared" ca="1" si="29"/>
        <v>-1</v>
      </c>
      <c r="Y62" s="67" t="e">
        <f t="shared" ca="1" si="36"/>
        <v>#N/A</v>
      </c>
      <c r="Z62" s="67" t="e">
        <f t="shared" ca="1" si="37"/>
        <v>#N/A</v>
      </c>
      <c r="AA62" s="5" t="str">
        <f>IF(Setup!$I$15="Yes",'Demand background (hide)'!AJ50+'SPC background (hide)'!C62,"")</f>
        <v/>
      </c>
      <c r="AC62" s="5">
        <f t="shared" ca="1" si="30"/>
        <v>142</v>
      </c>
      <c r="AD62" s="5">
        <f t="shared" ca="1" si="31"/>
        <v>155.30000000000001</v>
      </c>
    </row>
    <row r="63" spans="1:46" x14ac:dyDescent="0.25">
      <c r="A63" s="67">
        <f ca="1">Demand!C60</f>
        <v>4</v>
      </c>
      <c r="B63" s="67">
        <v>48</v>
      </c>
      <c r="C63" s="5">
        <f ca="1">'Demand background (hide)'!Y51</f>
        <v>148</v>
      </c>
      <c r="D63" s="67">
        <f t="shared" si="15"/>
        <v>0</v>
      </c>
      <c r="E63" s="67" t="e">
        <f t="shared" ca="1" si="16"/>
        <v>#N/A</v>
      </c>
      <c r="F63" s="67" t="e">
        <f t="shared" ca="1" si="17"/>
        <v>#N/A</v>
      </c>
      <c r="G63" s="67" t="e">
        <f t="shared" ca="1" si="18"/>
        <v>#N/A</v>
      </c>
      <c r="H63" s="67" t="e">
        <f>IF('Demand background (hide)'!AN51&lt;&gt;"",'SPC background (hide)'!C63,NA())</f>
        <v>#N/A</v>
      </c>
      <c r="I63" s="67">
        <f t="shared" ca="1" si="19"/>
        <v>5</v>
      </c>
      <c r="J63" s="5">
        <f t="shared" ca="1" si="20"/>
        <v>124.86052009456264</v>
      </c>
      <c r="K63" s="5">
        <f t="shared" ca="1" si="21"/>
        <v>130.57368006304176</v>
      </c>
      <c r="L63" s="5">
        <f t="shared" ca="1" si="22"/>
        <v>136.28684003152088</v>
      </c>
      <c r="M63" s="5">
        <f t="shared" ca="1" si="23"/>
        <v>142</v>
      </c>
      <c r="N63" s="5">
        <f t="shared" ca="1" si="24"/>
        <v>147.71315996847912</v>
      </c>
      <c r="O63" s="5">
        <f t="shared" ca="1" si="25"/>
        <v>153.42631993695824</v>
      </c>
      <c r="P63" s="5">
        <f t="shared" ca="1" si="26"/>
        <v>159.13947990543736</v>
      </c>
      <c r="Q63" s="5" t="e">
        <f t="shared" ca="1" si="27"/>
        <v>#N/A</v>
      </c>
      <c r="R63" s="5">
        <f t="shared" ca="1" si="32"/>
        <v>1</v>
      </c>
      <c r="S63" s="67" t="e">
        <f t="shared" ca="1" si="33"/>
        <v>#N/A</v>
      </c>
      <c r="T63" s="67">
        <f t="shared" ca="1" si="34"/>
        <v>2</v>
      </c>
      <c r="U63" s="67" t="e">
        <f t="shared" ca="1" si="35"/>
        <v>#N/A</v>
      </c>
      <c r="V63" s="5">
        <f t="shared" ca="1" si="14"/>
        <v>1</v>
      </c>
      <c r="W63" s="5" t="e">
        <f t="shared" ca="1" si="28"/>
        <v>#N/A</v>
      </c>
      <c r="X63" s="67">
        <f t="shared" ca="1" si="29"/>
        <v>0</v>
      </c>
      <c r="Y63" s="67" t="e">
        <f t="shared" ca="1" si="36"/>
        <v>#N/A</v>
      </c>
      <c r="Z63" s="67" t="e">
        <f t="shared" ca="1" si="37"/>
        <v>#N/A</v>
      </c>
      <c r="AA63" s="5" t="str">
        <f>IF(Setup!$I$15="Yes",'Demand background (hide)'!AJ51+'SPC background (hide)'!C63,"")</f>
        <v/>
      </c>
      <c r="AC63" s="5">
        <f t="shared" ca="1" si="30"/>
        <v>142</v>
      </c>
      <c r="AD63" s="5">
        <f t="shared" ca="1" si="31"/>
        <v>155.30000000000001</v>
      </c>
    </row>
    <row r="64" spans="1:46" x14ac:dyDescent="0.25">
      <c r="A64" s="67">
        <f ca="1">Demand!C61</f>
        <v>5</v>
      </c>
      <c r="B64" s="67">
        <v>49</v>
      </c>
      <c r="C64" s="5">
        <f ca="1">'Demand background (hide)'!Y52</f>
        <v>140</v>
      </c>
      <c r="D64" s="67">
        <f t="shared" si="15"/>
        <v>0</v>
      </c>
      <c r="E64" s="67" t="e">
        <f t="shared" ca="1" si="16"/>
        <v>#N/A</v>
      </c>
      <c r="F64" s="67" t="e">
        <f t="shared" ca="1" si="17"/>
        <v>#N/A</v>
      </c>
      <c r="G64" s="67" t="e">
        <f t="shared" ca="1" si="18"/>
        <v>#N/A</v>
      </c>
      <c r="H64" s="67" t="e">
        <f>IF('Demand background (hide)'!AN52&lt;&gt;"",'SPC background (hide)'!C64,NA())</f>
        <v>#N/A</v>
      </c>
      <c r="I64" s="67">
        <f t="shared" ca="1" si="19"/>
        <v>5</v>
      </c>
      <c r="J64" s="5">
        <f t="shared" ca="1" si="20"/>
        <v>124.86052009456264</v>
      </c>
      <c r="K64" s="5">
        <f t="shared" ca="1" si="21"/>
        <v>130.57368006304176</v>
      </c>
      <c r="L64" s="5">
        <f t="shared" ca="1" si="22"/>
        <v>136.28684003152088</v>
      </c>
      <c r="M64" s="5">
        <f t="shared" ca="1" si="23"/>
        <v>142</v>
      </c>
      <c r="N64" s="5">
        <f t="shared" ca="1" si="24"/>
        <v>147.71315996847912</v>
      </c>
      <c r="O64" s="5">
        <f t="shared" ca="1" si="25"/>
        <v>153.42631993695824</v>
      </c>
      <c r="P64" s="5">
        <f t="shared" ca="1" si="26"/>
        <v>159.13947990543736</v>
      </c>
      <c r="Q64" s="5" t="e">
        <f t="shared" ca="1" si="27"/>
        <v>#N/A</v>
      </c>
      <c r="R64" s="5">
        <f t="shared" ca="1" si="32"/>
        <v>-1</v>
      </c>
      <c r="S64" s="67" t="e">
        <f t="shared" ca="1" si="33"/>
        <v>#N/A</v>
      </c>
      <c r="T64" s="67">
        <f t="shared" ca="1" si="34"/>
        <v>-1</v>
      </c>
      <c r="U64" s="67" t="e">
        <f t="shared" ca="1" si="35"/>
        <v>#N/A</v>
      </c>
      <c r="V64" s="5">
        <f t="shared" ca="1" si="14"/>
        <v>-1</v>
      </c>
      <c r="W64" s="5" t="e">
        <f t="shared" ca="1" si="28"/>
        <v>#N/A</v>
      </c>
      <c r="X64" s="67">
        <f t="shared" ca="1" si="29"/>
        <v>-1</v>
      </c>
      <c r="Y64" s="67" t="e">
        <f t="shared" ca="1" si="36"/>
        <v>#N/A</v>
      </c>
      <c r="Z64" s="67" t="e">
        <f t="shared" ca="1" si="37"/>
        <v>#N/A</v>
      </c>
      <c r="AA64" s="5" t="str">
        <f>IF(Setup!$I$15="Yes",'Demand background (hide)'!AJ52+'SPC background (hide)'!C64,"")</f>
        <v/>
      </c>
      <c r="AC64" s="5">
        <f t="shared" ca="1" si="30"/>
        <v>142</v>
      </c>
      <c r="AD64" s="5">
        <f t="shared" ca="1" si="31"/>
        <v>155.30000000000001</v>
      </c>
    </row>
    <row r="65" spans="1:30" x14ac:dyDescent="0.25">
      <c r="A65" s="67">
        <f ca="1">Demand!C62</f>
        <v>6</v>
      </c>
      <c r="B65" s="67">
        <v>50</v>
      </c>
      <c r="C65" s="5">
        <f ca="1">'Demand background (hide)'!Y53</f>
        <v>152</v>
      </c>
      <c r="D65" s="67">
        <f t="shared" si="15"/>
        <v>0</v>
      </c>
      <c r="E65" s="67" t="e">
        <f t="shared" ca="1" si="16"/>
        <v>#N/A</v>
      </c>
      <c r="F65" s="67" t="e">
        <f t="shared" ca="1" si="17"/>
        <v>#N/A</v>
      </c>
      <c r="G65" s="67" t="e">
        <f t="shared" ca="1" si="18"/>
        <v>#N/A</v>
      </c>
      <c r="H65" s="67" t="e">
        <f>IF('Demand background (hide)'!AN53&lt;&gt;"",'SPC background (hide)'!C65,NA())</f>
        <v>#N/A</v>
      </c>
      <c r="I65" s="67">
        <f t="shared" ca="1" si="19"/>
        <v>5</v>
      </c>
      <c r="J65" s="5">
        <f t="shared" ca="1" si="20"/>
        <v>124.86052009456264</v>
      </c>
      <c r="K65" s="5">
        <f t="shared" ca="1" si="21"/>
        <v>130.57368006304176</v>
      </c>
      <c r="L65" s="5">
        <f t="shared" ca="1" si="22"/>
        <v>136.28684003152088</v>
      </c>
      <c r="M65" s="5">
        <f t="shared" ca="1" si="23"/>
        <v>142</v>
      </c>
      <c r="N65" s="5">
        <f t="shared" ca="1" si="24"/>
        <v>147.71315996847912</v>
      </c>
      <c r="O65" s="5">
        <f t="shared" ca="1" si="25"/>
        <v>153.42631993695824</v>
      </c>
      <c r="P65" s="5">
        <f t="shared" ca="1" si="26"/>
        <v>159.13947990543736</v>
      </c>
      <c r="Q65" s="5" t="e">
        <f t="shared" ca="1" si="27"/>
        <v>#N/A</v>
      </c>
      <c r="R65" s="5">
        <f t="shared" ca="1" si="32"/>
        <v>1</v>
      </c>
      <c r="S65" s="67" t="e">
        <f t="shared" ca="1" si="33"/>
        <v>#N/A</v>
      </c>
      <c r="T65" s="67">
        <f t="shared" ca="1" si="34"/>
        <v>2</v>
      </c>
      <c r="U65" s="67" t="e">
        <f t="shared" ca="1" si="35"/>
        <v>#N/A</v>
      </c>
      <c r="V65" s="5">
        <f t="shared" ca="1" si="14"/>
        <v>1</v>
      </c>
      <c r="W65" s="5" t="e">
        <f t="shared" ca="1" si="28"/>
        <v>#N/A</v>
      </c>
      <c r="X65" s="67">
        <f t="shared" ca="1" si="29"/>
        <v>1</v>
      </c>
      <c r="Y65" s="67" t="e">
        <f t="shared" ca="1" si="36"/>
        <v>#N/A</v>
      </c>
      <c r="Z65" s="67" t="e">
        <f t="shared" ca="1" si="37"/>
        <v>#N/A</v>
      </c>
      <c r="AA65" s="5" t="str">
        <f>IF(Setup!$I$15="Yes",'Demand background (hide)'!AJ53+'SPC background (hide)'!C65,"")</f>
        <v/>
      </c>
      <c r="AC65" s="5">
        <f t="shared" ca="1" si="30"/>
        <v>142</v>
      </c>
      <c r="AD65" s="5">
        <f t="shared" ca="1" si="31"/>
        <v>155.30000000000001</v>
      </c>
    </row>
    <row r="66" spans="1:30" x14ac:dyDescent="0.25">
      <c r="A66" s="67">
        <f ca="1">Demand!C63</f>
        <v>7</v>
      </c>
      <c r="B66" s="67">
        <v>51</v>
      </c>
      <c r="C66" s="5">
        <f ca="1">'Demand background (hide)'!Y54</f>
        <v>146</v>
      </c>
      <c r="D66" s="67">
        <f t="shared" si="15"/>
        <v>0</v>
      </c>
      <c r="E66" s="67" t="e">
        <f t="shared" ca="1" si="16"/>
        <v>#N/A</v>
      </c>
      <c r="F66" s="67" t="e">
        <f t="shared" ca="1" si="17"/>
        <v>#N/A</v>
      </c>
      <c r="G66" s="67" t="e">
        <f t="shared" ca="1" si="18"/>
        <v>#N/A</v>
      </c>
      <c r="H66" s="67" t="e">
        <f>IF('Demand background (hide)'!AN54&lt;&gt;"",'SPC background (hide)'!C66,NA())</f>
        <v>#N/A</v>
      </c>
      <c r="I66" s="67">
        <f t="shared" ca="1" si="19"/>
        <v>5</v>
      </c>
      <c r="J66" s="5">
        <f t="shared" ca="1" si="20"/>
        <v>124.86052009456264</v>
      </c>
      <c r="K66" s="5">
        <f t="shared" ca="1" si="21"/>
        <v>130.57368006304176</v>
      </c>
      <c r="L66" s="5">
        <f t="shared" ca="1" si="22"/>
        <v>136.28684003152088</v>
      </c>
      <c r="M66" s="5">
        <f t="shared" ca="1" si="23"/>
        <v>142</v>
      </c>
      <c r="N66" s="5">
        <f t="shared" ca="1" si="24"/>
        <v>147.71315996847912</v>
      </c>
      <c r="O66" s="5">
        <f t="shared" ca="1" si="25"/>
        <v>153.42631993695824</v>
      </c>
      <c r="P66" s="5">
        <f t="shared" ca="1" si="26"/>
        <v>159.13947990543736</v>
      </c>
      <c r="Q66" s="5" t="e">
        <f t="shared" ca="1" si="27"/>
        <v>#N/A</v>
      </c>
      <c r="R66" s="5">
        <f t="shared" ca="1" si="32"/>
        <v>1</v>
      </c>
      <c r="S66" s="67" t="e">
        <f t="shared" ca="1" si="33"/>
        <v>#N/A</v>
      </c>
      <c r="T66" s="67">
        <f t="shared" ca="1" si="34"/>
        <v>1</v>
      </c>
      <c r="U66" s="67" t="e">
        <f t="shared" ca="1" si="35"/>
        <v>#N/A</v>
      </c>
      <c r="V66" s="5">
        <f t="shared" ca="1" si="14"/>
        <v>1</v>
      </c>
      <c r="W66" s="5" t="e">
        <f t="shared" ca="1" si="28"/>
        <v>#N/A</v>
      </c>
      <c r="X66" s="67">
        <f t="shared" ca="1" si="29"/>
        <v>-1</v>
      </c>
      <c r="Y66" s="67" t="e">
        <f t="shared" ca="1" si="36"/>
        <v>#N/A</v>
      </c>
      <c r="Z66" s="67" t="e">
        <f t="shared" ca="1" si="37"/>
        <v>#N/A</v>
      </c>
      <c r="AA66" s="5" t="str">
        <f>IF(Setup!$I$15="Yes",'Demand background (hide)'!AJ54+'SPC background (hide)'!C66,"")</f>
        <v/>
      </c>
      <c r="AC66" s="5">
        <f t="shared" ca="1" si="30"/>
        <v>142</v>
      </c>
      <c r="AD66" s="5">
        <f t="shared" ca="1" si="31"/>
        <v>155.30000000000001</v>
      </c>
    </row>
    <row r="67" spans="1:30" x14ac:dyDescent="0.25">
      <c r="A67" s="67">
        <f ca="1">Demand!C64</f>
        <v>8</v>
      </c>
      <c r="B67" s="67">
        <v>52</v>
      </c>
      <c r="C67" s="5">
        <f ca="1">'Demand background (hide)'!Y55</f>
        <v>130</v>
      </c>
      <c r="D67" s="67">
        <f t="shared" si="15"/>
        <v>0</v>
      </c>
      <c r="E67" s="67" t="e">
        <f t="shared" ca="1" si="16"/>
        <v>#N/A</v>
      </c>
      <c r="F67" s="67" t="e">
        <f t="shared" ca="1" si="17"/>
        <v>#N/A</v>
      </c>
      <c r="G67" s="67" t="e">
        <f t="shared" ca="1" si="18"/>
        <v>#N/A</v>
      </c>
      <c r="H67" s="67" t="e">
        <f>IF('Demand background (hide)'!AN55&lt;&gt;"",'SPC background (hide)'!C67,NA())</f>
        <v>#N/A</v>
      </c>
      <c r="I67" s="67">
        <f t="shared" ca="1" si="19"/>
        <v>5</v>
      </c>
      <c r="J67" s="5">
        <f t="shared" ca="1" si="20"/>
        <v>124.86052009456264</v>
      </c>
      <c r="K67" s="5">
        <f t="shared" ca="1" si="21"/>
        <v>130.57368006304176</v>
      </c>
      <c r="L67" s="5">
        <f t="shared" ca="1" si="22"/>
        <v>136.28684003152088</v>
      </c>
      <c r="M67" s="5">
        <f t="shared" ca="1" si="23"/>
        <v>142</v>
      </c>
      <c r="N67" s="5">
        <f t="shared" ca="1" si="24"/>
        <v>147.71315996847912</v>
      </c>
      <c r="O67" s="5">
        <f t="shared" ca="1" si="25"/>
        <v>153.42631993695824</v>
      </c>
      <c r="P67" s="5">
        <f t="shared" ca="1" si="26"/>
        <v>159.13947990543736</v>
      </c>
      <c r="Q67" s="5" t="e">
        <f t="shared" ca="1" si="27"/>
        <v>#N/A</v>
      </c>
      <c r="R67" s="5">
        <f t="shared" ca="1" si="32"/>
        <v>-2</v>
      </c>
      <c r="S67" s="67" t="e">
        <f t="shared" ca="1" si="33"/>
        <v>#N/A</v>
      </c>
      <c r="T67" s="67">
        <f t="shared" ca="1" si="34"/>
        <v>-2</v>
      </c>
      <c r="U67" s="67" t="e">
        <f t="shared" ca="1" si="35"/>
        <v>#N/A</v>
      </c>
      <c r="V67" s="5">
        <f t="shared" ca="1" si="14"/>
        <v>-1</v>
      </c>
      <c r="W67" s="5" t="e">
        <f t="shared" ca="1" si="28"/>
        <v>#N/A</v>
      </c>
      <c r="X67" s="67">
        <f t="shared" ca="1" si="29"/>
        <v>-1</v>
      </c>
      <c r="Y67" s="67" t="e">
        <f t="shared" ca="1" si="36"/>
        <v>#N/A</v>
      </c>
      <c r="Z67" s="67" t="e">
        <f t="shared" ca="1" si="37"/>
        <v>#N/A</v>
      </c>
      <c r="AA67" s="5" t="str">
        <f>IF(Setup!$I$15="Yes",'Demand background (hide)'!AJ55+'SPC background (hide)'!C67,"")</f>
        <v/>
      </c>
      <c r="AC67" s="5">
        <f t="shared" ca="1" si="30"/>
        <v>142</v>
      </c>
      <c r="AD67" s="5">
        <f t="shared" ca="1" si="31"/>
        <v>155.30000000000001</v>
      </c>
    </row>
    <row r="68" spans="1:30" x14ac:dyDescent="0.25">
      <c r="A68" s="67" t="str">
        <f ca="1">Demand!C65</f>
        <v/>
      </c>
      <c r="B68" s="67">
        <v>53</v>
      </c>
      <c r="C68" s="5">
        <f ca="1">'Demand background (hide)'!Y56</f>
        <v>0</v>
      </c>
      <c r="D68" s="67">
        <f t="shared" si="15"/>
        <v>0</v>
      </c>
      <c r="E68" s="67" t="e">
        <f t="shared" ca="1" si="16"/>
        <v>#N/A</v>
      </c>
      <c r="F68" s="67" t="e">
        <f t="shared" ca="1" si="17"/>
        <v>#N/A</v>
      </c>
      <c r="G68" s="67" t="e">
        <f t="shared" ca="1" si="18"/>
        <v>#N/A</v>
      </c>
      <c r="H68" s="67" t="e">
        <f>IF('Demand background (hide)'!AN56&lt;&gt;"",'SPC background (hide)'!C68,NA())</f>
        <v>#N/A</v>
      </c>
      <c r="I68" s="67" t="e">
        <f t="shared" ca="1" si="19"/>
        <v>#N/A</v>
      </c>
      <c r="J68" s="5" t="e">
        <f t="shared" ca="1" si="20"/>
        <v>#N/A</v>
      </c>
      <c r="K68" s="5" t="e">
        <f t="shared" ca="1" si="21"/>
        <v>#N/A</v>
      </c>
      <c r="L68" s="5" t="e">
        <f t="shared" ca="1" si="22"/>
        <v>#N/A</v>
      </c>
      <c r="M68" s="5" t="e">
        <f t="shared" ca="1" si="23"/>
        <v>#N/A</v>
      </c>
      <c r="N68" s="5" t="e">
        <f t="shared" ca="1" si="24"/>
        <v>#N/A</v>
      </c>
      <c r="O68" s="5" t="e">
        <f t="shared" ca="1" si="25"/>
        <v>#N/A</v>
      </c>
      <c r="P68" s="5" t="e">
        <f t="shared" ca="1" si="26"/>
        <v>#N/A</v>
      </c>
      <c r="Q68" s="5" t="e">
        <f t="shared" ca="1" si="27"/>
        <v>#N/A</v>
      </c>
      <c r="R68" s="5" t="e">
        <f t="shared" ca="1" si="32"/>
        <v>#N/A</v>
      </c>
      <c r="S68" s="67" t="e">
        <f t="shared" ca="1" si="33"/>
        <v>#N/A</v>
      </c>
      <c r="T68" s="67" t="e">
        <f t="shared" ca="1" si="34"/>
        <v>#N/A</v>
      </c>
      <c r="U68" s="67" t="e">
        <f t="shared" ca="1" si="35"/>
        <v>#N/A</v>
      </c>
      <c r="V68" s="5" t="e">
        <f t="shared" ca="1" si="14"/>
        <v>#N/A</v>
      </c>
      <c r="W68" s="5" t="e">
        <f t="shared" ca="1" si="28"/>
        <v>#N/A</v>
      </c>
      <c r="X68" s="67">
        <f t="shared" ca="1" si="29"/>
        <v>-1</v>
      </c>
      <c r="Y68" s="67" t="e">
        <f t="shared" ca="1" si="36"/>
        <v>#N/A</v>
      </c>
      <c r="Z68" s="67" t="e">
        <f t="shared" ca="1" si="37"/>
        <v>#N/A</v>
      </c>
      <c r="AA68" s="5" t="str">
        <f>IF(Setup!$I$15="Yes",'Demand background (hide)'!AJ56+'SPC background (hide)'!C68,"")</f>
        <v/>
      </c>
      <c r="AC68" s="5" t="e">
        <f t="shared" ca="1" si="30"/>
        <v>#N/A</v>
      </c>
      <c r="AD68" s="5" t="e">
        <f t="shared" ca="1" si="31"/>
        <v>#N/A</v>
      </c>
    </row>
    <row r="69" spans="1:30" x14ac:dyDescent="0.25">
      <c r="A69" s="67" t="str">
        <f ca="1">Demand!C66</f>
        <v/>
      </c>
      <c r="B69" s="67">
        <v>54</v>
      </c>
      <c r="C69" s="5">
        <f ca="1">'Demand background (hide)'!Y57</f>
        <v>0</v>
      </c>
      <c r="D69" s="67">
        <f t="shared" si="15"/>
        <v>0</v>
      </c>
      <c r="E69" s="67" t="e">
        <f t="shared" ca="1" si="16"/>
        <v>#N/A</v>
      </c>
      <c r="F69" s="67" t="e">
        <f t="shared" ca="1" si="17"/>
        <v>#N/A</v>
      </c>
      <c r="G69" s="67" t="e">
        <f t="shared" ca="1" si="18"/>
        <v>#N/A</v>
      </c>
      <c r="H69" s="67" t="e">
        <f>IF('Demand background (hide)'!AN57&lt;&gt;"",'SPC background (hide)'!C69,NA())</f>
        <v>#N/A</v>
      </c>
      <c r="I69" s="67" t="e">
        <f t="shared" ca="1" si="19"/>
        <v>#N/A</v>
      </c>
      <c r="J69" s="5" t="e">
        <f t="shared" ca="1" si="20"/>
        <v>#N/A</v>
      </c>
      <c r="K69" s="5" t="e">
        <f t="shared" ca="1" si="21"/>
        <v>#N/A</v>
      </c>
      <c r="L69" s="5" t="e">
        <f t="shared" ca="1" si="22"/>
        <v>#N/A</v>
      </c>
      <c r="M69" s="5" t="e">
        <f t="shared" ca="1" si="23"/>
        <v>#N/A</v>
      </c>
      <c r="N69" s="5" t="e">
        <f t="shared" ca="1" si="24"/>
        <v>#N/A</v>
      </c>
      <c r="O69" s="5" t="e">
        <f t="shared" ca="1" si="25"/>
        <v>#N/A</v>
      </c>
      <c r="P69" s="5" t="e">
        <f t="shared" ca="1" si="26"/>
        <v>#N/A</v>
      </c>
      <c r="Q69" s="5" t="e">
        <f t="shared" ca="1" si="27"/>
        <v>#N/A</v>
      </c>
      <c r="R69" s="5" t="e">
        <f t="shared" ca="1" si="32"/>
        <v>#N/A</v>
      </c>
      <c r="S69" s="67" t="e">
        <f t="shared" ca="1" si="33"/>
        <v>#N/A</v>
      </c>
      <c r="T69" s="67" t="e">
        <f t="shared" ca="1" si="34"/>
        <v>#N/A</v>
      </c>
      <c r="U69" s="67" t="e">
        <f t="shared" ca="1" si="35"/>
        <v>#N/A</v>
      </c>
      <c r="V69" s="5" t="e">
        <f t="shared" ca="1" si="14"/>
        <v>#N/A</v>
      </c>
      <c r="W69" s="5" t="e">
        <f t="shared" ca="1" si="28"/>
        <v>#N/A</v>
      </c>
      <c r="X69" s="67">
        <f t="shared" ca="1" si="29"/>
        <v>0</v>
      </c>
      <c r="Y69" s="67" t="e">
        <f t="shared" ca="1" si="36"/>
        <v>#N/A</v>
      </c>
      <c r="Z69" s="67" t="e">
        <f t="shared" ca="1" si="37"/>
        <v>#N/A</v>
      </c>
      <c r="AA69" s="5" t="str">
        <f>IF(Setup!$I$15="Yes",'Demand background (hide)'!AJ57+'SPC background (hide)'!C69,"")</f>
        <v/>
      </c>
      <c r="AC69" s="5" t="e">
        <f t="shared" ca="1" si="30"/>
        <v>#N/A</v>
      </c>
      <c r="AD69" s="5" t="e">
        <f t="shared" ca="1" si="31"/>
        <v>#N/A</v>
      </c>
    </row>
    <row r="70" spans="1:30" x14ac:dyDescent="0.25">
      <c r="A70" s="67" t="str">
        <f ca="1">Demand!C67</f>
        <v/>
      </c>
      <c r="B70" s="67">
        <v>55</v>
      </c>
      <c r="C70" s="5">
        <f ca="1">'Demand background (hide)'!Y58</f>
        <v>0</v>
      </c>
      <c r="D70" s="67">
        <f t="shared" si="15"/>
        <v>0</v>
      </c>
      <c r="E70" s="67" t="e">
        <f t="shared" ca="1" si="16"/>
        <v>#N/A</v>
      </c>
      <c r="F70" s="67" t="e">
        <f t="shared" ca="1" si="17"/>
        <v>#N/A</v>
      </c>
      <c r="G70" s="67" t="e">
        <f t="shared" ca="1" si="18"/>
        <v>#N/A</v>
      </c>
      <c r="H70" s="67" t="e">
        <f>IF('Demand background (hide)'!AN58&lt;&gt;"",'SPC background (hide)'!C70,NA())</f>
        <v>#N/A</v>
      </c>
      <c r="I70" s="67" t="e">
        <f t="shared" ca="1" si="19"/>
        <v>#N/A</v>
      </c>
      <c r="J70" s="5" t="e">
        <f t="shared" ca="1" si="20"/>
        <v>#N/A</v>
      </c>
      <c r="K70" s="5" t="e">
        <f t="shared" ca="1" si="21"/>
        <v>#N/A</v>
      </c>
      <c r="L70" s="5" t="e">
        <f t="shared" ca="1" si="22"/>
        <v>#N/A</v>
      </c>
      <c r="M70" s="5" t="e">
        <f t="shared" ca="1" si="23"/>
        <v>#N/A</v>
      </c>
      <c r="N70" s="5" t="e">
        <f t="shared" ca="1" si="24"/>
        <v>#N/A</v>
      </c>
      <c r="O70" s="5" t="e">
        <f t="shared" ca="1" si="25"/>
        <v>#N/A</v>
      </c>
      <c r="P70" s="5" t="e">
        <f t="shared" ca="1" si="26"/>
        <v>#N/A</v>
      </c>
      <c r="Q70" s="5" t="e">
        <f t="shared" ca="1" si="27"/>
        <v>#N/A</v>
      </c>
      <c r="R70" s="5" t="e">
        <f t="shared" ca="1" si="32"/>
        <v>#N/A</v>
      </c>
      <c r="S70" s="67" t="e">
        <f t="shared" ca="1" si="33"/>
        <v>#N/A</v>
      </c>
      <c r="T70" s="67" t="e">
        <f t="shared" ca="1" si="34"/>
        <v>#N/A</v>
      </c>
      <c r="U70" s="67" t="e">
        <f t="shared" ca="1" si="35"/>
        <v>#N/A</v>
      </c>
      <c r="V70" s="5" t="e">
        <f t="shared" ca="1" si="14"/>
        <v>#N/A</v>
      </c>
      <c r="W70" s="5" t="e">
        <f t="shared" ca="1" si="28"/>
        <v>#N/A</v>
      </c>
      <c r="X70" s="67">
        <f t="shared" ca="1" si="29"/>
        <v>0</v>
      </c>
      <c r="Y70" s="67" t="e">
        <f t="shared" ca="1" si="36"/>
        <v>#N/A</v>
      </c>
      <c r="Z70" s="67" t="e">
        <f t="shared" ca="1" si="37"/>
        <v>#N/A</v>
      </c>
      <c r="AA70" s="5" t="str">
        <f>IF(Setup!$I$15="Yes",'Demand background (hide)'!AJ58+'SPC background (hide)'!C70,"")</f>
        <v/>
      </c>
      <c r="AC70" s="5" t="e">
        <f t="shared" ca="1" si="30"/>
        <v>#N/A</v>
      </c>
      <c r="AD70" s="5" t="e">
        <f t="shared" ca="1" si="31"/>
        <v>#N/A</v>
      </c>
    </row>
    <row r="71" spans="1:30" x14ac:dyDescent="0.25">
      <c r="A71" s="67" t="str">
        <f ca="1">Demand!C68</f>
        <v/>
      </c>
      <c r="B71" s="67">
        <v>56</v>
      </c>
      <c r="C71" s="5">
        <f ca="1">'Demand background (hide)'!Y59</f>
        <v>0</v>
      </c>
      <c r="D71" s="67">
        <f t="shared" si="15"/>
        <v>0</v>
      </c>
      <c r="E71" s="67" t="e">
        <f t="shared" ca="1" si="16"/>
        <v>#N/A</v>
      </c>
      <c r="F71" s="67" t="e">
        <f t="shared" ca="1" si="17"/>
        <v>#N/A</v>
      </c>
      <c r="G71" s="67" t="e">
        <f t="shared" ca="1" si="18"/>
        <v>#N/A</v>
      </c>
      <c r="H71" s="67" t="e">
        <f>IF('Demand background (hide)'!AN59&lt;&gt;"",'SPC background (hide)'!C71,NA())</f>
        <v>#N/A</v>
      </c>
      <c r="I71" s="67" t="e">
        <f t="shared" ca="1" si="19"/>
        <v>#N/A</v>
      </c>
      <c r="J71" s="5" t="e">
        <f t="shared" ca="1" si="20"/>
        <v>#N/A</v>
      </c>
      <c r="K71" s="5" t="e">
        <f t="shared" ca="1" si="21"/>
        <v>#N/A</v>
      </c>
      <c r="L71" s="5" t="e">
        <f t="shared" ca="1" si="22"/>
        <v>#N/A</v>
      </c>
      <c r="M71" s="5" t="e">
        <f t="shared" ca="1" si="23"/>
        <v>#N/A</v>
      </c>
      <c r="N71" s="5" t="e">
        <f t="shared" ca="1" si="24"/>
        <v>#N/A</v>
      </c>
      <c r="O71" s="5" t="e">
        <f t="shared" ca="1" si="25"/>
        <v>#N/A</v>
      </c>
      <c r="P71" s="5" t="e">
        <f t="shared" ca="1" si="26"/>
        <v>#N/A</v>
      </c>
      <c r="Q71" s="5" t="e">
        <f t="shared" ca="1" si="27"/>
        <v>#N/A</v>
      </c>
      <c r="R71" s="5" t="e">
        <f t="shared" ca="1" si="32"/>
        <v>#N/A</v>
      </c>
      <c r="S71" s="67" t="e">
        <f t="shared" ca="1" si="33"/>
        <v>#N/A</v>
      </c>
      <c r="T71" s="67" t="e">
        <f t="shared" ca="1" si="34"/>
        <v>#N/A</v>
      </c>
      <c r="U71" s="67" t="e">
        <f t="shared" ca="1" si="35"/>
        <v>#N/A</v>
      </c>
      <c r="V71" s="5" t="e">
        <f t="shared" ca="1" si="14"/>
        <v>#N/A</v>
      </c>
      <c r="W71" s="5" t="e">
        <f t="shared" ca="1" si="28"/>
        <v>#N/A</v>
      </c>
      <c r="X71" s="67">
        <f t="shared" ca="1" si="29"/>
        <v>0</v>
      </c>
      <c r="Y71" s="67" t="e">
        <f t="shared" ca="1" si="36"/>
        <v>#N/A</v>
      </c>
      <c r="Z71" s="67" t="e">
        <f t="shared" ca="1" si="37"/>
        <v>#N/A</v>
      </c>
      <c r="AA71" s="5" t="str">
        <f>IF(Setup!$I$15="Yes",'Demand background (hide)'!AJ59+'SPC background (hide)'!C71,"")</f>
        <v/>
      </c>
      <c r="AC71" s="5" t="e">
        <f t="shared" ca="1" si="30"/>
        <v>#N/A</v>
      </c>
      <c r="AD71" s="5" t="e">
        <f t="shared" ca="1" si="31"/>
        <v>#N/A</v>
      </c>
    </row>
    <row r="72" spans="1:30" x14ac:dyDescent="0.25">
      <c r="A72" s="67" t="str">
        <f ca="1">Demand!C69</f>
        <v/>
      </c>
      <c r="B72" s="67">
        <v>57</v>
      </c>
      <c r="C72" s="5">
        <f ca="1">'Demand background (hide)'!Y60</f>
        <v>0</v>
      </c>
      <c r="D72" s="67">
        <f t="shared" si="15"/>
        <v>0</v>
      </c>
      <c r="E72" s="67" t="e">
        <f t="shared" ca="1" si="16"/>
        <v>#N/A</v>
      </c>
      <c r="F72" s="67" t="e">
        <f t="shared" ca="1" si="17"/>
        <v>#N/A</v>
      </c>
      <c r="G72" s="67" t="e">
        <f t="shared" ca="1" si="18"/>
        <v>#N/A</v>
      </c>
      <c r="H72" s="67" t="e">
        <f>IF('Demand background (hide)'!AN60&lt;&gt;"",'SPC background (hide)'!C72,NA())</f>
        <v>#N/A</v>
      </c>
      <c r="I72" s="67" t="e">
        <f t="shared" ca="1" si="19"/>
        <v>#N/A</v>
      </c>
      <c r="J72" s="5" t="e">
        <f t="shared" ca="1" si="20"/>
        <v>#N/A</v>
      </c>
      <c r="K72" s="5" t="e">
        <f t="shared" ca="1" si="21"/>
        <v>#N/A</v>
      </c>
      <c r="L72" s="5" t="e">
        <f t="shared" ca="1" si="22"/>
        <v>#N/A</v>
      </c>
      <c r="M72" s="5" t="e">
        <f t="shared" ca="1" si="23"/>
        <v>#N/A</v>
      </c>
      <c r="N72" s="5" t="e">
        <f t="shared" ca="1" si="24"/>
        <v>#N/A</v>
      </c>
      <c r="O72" s="5" t="e">
        <f t="shared" ca="1" si="25"/>
        <v>#N/A</v>
      </c>
      <c r="P72" s="5" t="e">
        <f t="shared" ca="1" si="26"/>
        <v>#N/A</v>
      </c>
      <c r="Q72" s="5" t="e">
        <f t="shared" ca="1" si="27"/>
        <v>#N/A</v>
      </c>
      <c r="R72" s="5" t="e">
        <f t="shared" ca="1" si="32"/>
        <v>#N/A</v>
      </c>
      <c r="S72" s="67" t="e">
        <f t="shared" ca="1" si="33"/>
        <v>#N/A</v>
      </c>
      <c r="T72" s="67" t="e">
        <f t="shared" ca="1" si="34"/>
        <v>#N/A</v>
      </c>
      <c r="U72" s="67" t="e">
        <f t="shared" ca="1" si="35"/>
        <v>#N/A</v>
      </c>
      <c r="V72" s="5" t="e">
        <f t="shared" ca="1" si="14"/>
        <v>#N/A</v>
      </c>
      <c r="W72" s="5" t="e">
        <f t="shared" ca="1" si="28"/>
        <v>#N/A</v>
      </c>
      <c r="X72" s="67">
        <f t="shared" ca="1" si="29"/>
        <v>0</v>
      </c>
      <c r="Y72" s="67" t="e">
        <f t="shared" ca="1" si="36"/>
        <v>#N/A</v>
      </c>
      <c r="Z72" s="67" t="e">
        <f t="shared" ca="1" si="37"/>
        <v>#N/A</v>
      </c>
      <c r="AA72" s="5" t="str">
        <f>IF(Setup!$I$15="Yes",'Demand background (hide)'!AJ60+'SPC background (hide)'!C72,"")</f>
        <v/>
      </c>
      <c r="AC72" s="5" t="e">
        <f t="shared" ca="1" si="30"/>
        <v>#N/A</v>
      </c>
      <c r="AD72" s="5" t="e">
        <f t="shared" ca="1" si="31"/>
        <v>#N/A</v>
      </c>
    </row>
    <row r="73" spans="1:30" x14ac:dyDescent="0.25">
      <c r="A73" s="67" t="str">
        <f ca="1">Demand!C70</f>
        <v/>
      </c>
      <c r="B73" s="67">
        <v>58</v>
      </c>
      <c r="C73" s="5">
        <f ca="1">'Demand background (hide)'!Y61</f>
        <v>0</v>
      </c>
      <c r="D73" s="67">
        <f t="shared" si="15"/>
        <v>0</v>
      </c>
      <c r="E73" s="67" t="e">
        <f t="shared" ca="1" si="16"/>
        <v>#N/A</v>
      </c>
      <c r="F73" s="67" t="e">
        <f t="shared" ca="1" si="17"/>
        <v>#N/A</v>
      </c>
      <c r="G73" s="67" t="e">
        <f t="shared" ca="1" si="18"/>
        <v>#N/A</v>
      </c>
      <c r="H73" s="67" t="e">
        <f>IF('Demand background (hide)'!AN61&lt;&gt;"",'SPC background (hide)'!C73,NA())</f>
        <v>#N/A</v>
      </c>
      <c r="I73" s="67" t="e">
        <f t="shared" ca="1" si="19"/>
        <v>#N/A</v>
      </c>
      <c r="J73" s="5" t="e">
        <f t="shared" ca="1" si="20"/>
        <v>#N/A</v>
      </c>
      <c r="K73" s="5" t="e">
        <f t="shared" ca="1" si="21"/>
        <v>#N/A</v>
      </c>
      <c r="L73" s="5" t="e">
        <f t="shared" ca="1" si="22"/>
        <v>#N/A</v>
      </c>
      <c r="M73" s="5" t="e">
        <f t="shared" ca="1" si="23"/>
        <v>#N/A</v>
      </c>
      <c r="N73" s="5" t="e">
        <f t="shared" ca="1" si="24"/>
        <v>#N/A</v>
      </c>
      <c r="O73" s="5" t="e">
        <f t="shared" ca="1" si="25"/>
        <v>#N/A</v>
      </c>
      <c r="P73" s="5" t="e">
        <f t="shared" ca="1" si="26"/>
        <v>#N/A</v>
      </c>
      <c r="Q73" s="5" t="e">
        <f t="shared" ca="1" si="27"/>
        <v>#N/A</v>
      </c>
      <c r="R73" s="5" t="e">
        <f t="shared" ca="1" si="32"/>
        <v>#N/A</v>
      </c>
      <c r="S73" s="67" t="e">
        <f t="shared" ca="1" si="33"/>
        <v>#N/A</v>
      </c>
      <c r="T73" s="67" t="e">
        <f t="shared" ca="1" si="34"/>
        <v>#N/A</v>
      </c>
      <c r="U73" s="67" t="e">
        <f t="shared" ca="1" si="35"/>
        <v>#N/A</v>
      </c>
      <c r="V73" s="5" t="e">
        <f t="shared" ca="1" si="14"/>
        <v>#N/A</v>
      </c>
      <c r="W73" s="5" t="e">
        <f t="shared" ca="1" si="28"/>
        <v>#N/A</v>
      </c>
      <c r="X73" s="67">
        <f t="shared" ca="1" si="29"/>
        <v>0</v>
      </c>
      <c r="Y73" s="67" t="e">
        <f t="shared" ca="1" si="36"/>
        <v>#N/A</v>
      </c>
      <c r="Z73" s="67" t="e">
        <f t="shared" ca="1" si="37"/>
        <v>#N/A</v>
      </c>
      <c r="AA73" s="5" t="str">
        <f>IF(Setup!$I$15="Yes",'Demand background (hide)'!AJ61+'SPC background (hide)'!C73,"")</f>
        <v/>
      </c>
      <c r="AC73" s="5" t="e">
        <f t="shared" ca="1" si="30"/>
        <v>#N/A</v>
      </c>
      <c r="AD73" s="5" t="e">
        <f t="shared" ca="1" si="31"/>
        <v>#N/A</v>
      </c>
    </row>
    <row r="74" spans="1:30" x14ac:dyDescent="0.25">
      <c r="A74" s="67" t="str">
        <f ca="1">Demand!C71</f>
        <v/>
      </c>
      <c r="B74" s="67">
        <v>59</v>
      </c>
      <c r="C74" s="5">
        <f ca="1">'Demand background (hide)'!Y62</f>
        <v>0</v>
      </c>
      <c r="D74" s="67">
        <f t="shared" si="15"/>
        <v>0</v>
      </c>
      <c r="E74" s="67" t="e">
        <f t="shared" ca="1" si="16"/>
        <v>#N/A</v>
      </c>
      <c r="F74" s="67" t="e">
        <f t="shared" ca="1" si="17"/>
        <v>#N/A</v>
      </c>
      <c r="G74" s="67" t="e">
        <f t="shared" ca="1" si="18"/>
        <v>#N/A</v>
      </c>
      <c r="H74" s="67" t="e">
        <f>IF('Demand background (hide)'!AN62&lt;&gt;"",'SPC background (hide)'!C74,NA())</f>
        <v>#N/A</v>
      </c>
      <c r="I74" s="67" t="e">
        <f t="shared" ca="1" si="19"/>
        <v>#N/A</v>
      </c>
      <c r="J74" s="5" t="e">
        <f t="shared" ca="1" si="20"/>
        <v>#N/A</v>
      </c>
      <c r="K74" s="5" t="e">
        <f t="shared" ca="1" si="21"/>
        <v>#N/A</v>
      </c>
      <c r="L74" s="5" t="e">
        <f t="shared" ca="1" si="22"/>
        <v>#N/A</v>
      </c>
      <c r="M74" s="5" t="e">
        <f t="shared" ca="1" si="23"/>
        <v>#N/A</v>
      </c>
      <c r="N74" s="5" t="e">
        <f t="shared" ca="1" si="24"/>
        <v>#N/A</v>
      </c>
      <c r="O74" s="5" t="e">
        <f t="shared" ca="1" si="25"/>
        <v>#N/A</v>
      </c>
      <c r="P74" s="5" t="e">
        <f t="shared" ca="1" si="26"/>
        <v>#N/A</v>
      </c>
      <c r="Q74" s="5" t="e">
        <f t="shared" ca="1" si="27"/>
        <v>#N/A</v>
      </c>
      <c r="R74" s="5" t="e">
        <f t="shared" ca="1" si="32"/>
        <v>#N/A</v>
      </c>
      <c r="S74" s="67" t="e">
        <f t="shared" ca="1" si="33"/>
        <v>#N/A</v>
      </c>
      <c r="T74" s="67" t="e">
        <f t="shared" ca="1" si="34"/>
        <v>#N/A</v>
      </c>
      <c r="U74" s="67" t="e">
        <f t="shared" ca="1" si="35"/>
        <v>#N/A</v>
      </c>
      <c r="V74" s="5" t="e">
        <f t="shared" ca="1" si="14"/>
        <v>#N/A</v>
      </c>
      <c r="W74" s="5" t="e">
        <f t="shared" ca="1" si="28"/>
        <v>#N/A</v>
      </c>
      <c r="X74" s="67">
        <f t="shared" ca="1" si="29"/>
        <v>0</v>
      </c>
      <c r="Y74" s="67" t="e">
        <f t="shared" ca="1" si="36"/>
        <v>#N/A</v>
      </c>
      <c r="Z74" s="67" t="e">
        <f t="shared" ca="1" si="37"/>
        <v>#N/A</v>
      </c>
      <c r="AA74" s="5" t="str">
        <f>IF(Setup!$I$15="Yes",'Demand background (hide)'!AJ62+'SPC background (hide)'!C74,"")</f>
        <v/>
      </c>
      <c r="AC74" s="5" t="e">
        <f t="shared" ca="1" si="30"/>
        <v>#N/A</v>
      </c>
      <c r="AD74" s="5" t="e">
        <f t="shared" ca="1" si="31"/>
        <v>#N/A</v>
      </c>
    </row>
    <row r="75" spans="1:30" x14ac:dyDescent="0.25">
      <c r="A75" s="67" t="str">
        <f ca="1">Demand!C72</f>
        <v/>
      </c>
      <c r="B75" s="67">
        <v>60</v>
      </c>
      <c r="C75" s="5">
        <f ca="1">'Demand background (hide)'!Y63</f>
        <v>0</v>
      </c>
      <c r="D75" s="67">
        <f t="shared" si="15"/>
        <v>0</v>
      </c>
      <c r="E75" s="67" t="e">
        <f t="shared" ca="1" si="16"/>
        <v>#N/A</v>
      </c>
      <c r="F75" s="67" t="e">
        <f t="shared" ca="1" si="17"/>
        <v>#N/A</v>
      </c>
      <c r="G75" s="67" t="e">
        <f t="shared" ca="1" si="18"/>
        <v>#N/A</v>
      </c>
      <c r="H75" s="67" t="e">
        <f>IF('Demand background (hide)'!AN63&lt;&gt;"",'SPC background (hide)'!C75,NA())</f>
        <v>#N/A</v>
      </c>
      <c r="I75" s="67" t="e">
        <f t="shared" ca="1" si="19"/>
        <v>#N/A</v>
      </c>
      <c r="J75" s="5" t="e">
        <f t="shared" ca="1" si="20"/>
        <v>#N/A</v>
      </c>
      <c r="K75" s="5" t="e">
        <f t="shared" ca="1" si="21"/>
        <v>#N/A</v>
      </c>
      <c r="L75" s="5" t="e">
        <f t="shared" ca="1" si="22"/>
        <v>#N/A</v>
      </c>
      <c r="M75" s="5" t="e">
        <f t="shared" ca="1" si="23"/>
        <v>#N/A</v>
      </c>
      <c r="N75" s="5" t="e">
        <f t="shared" ca="1" si="24"/>
        <v>#N/A</v>
      </c>
      <c r="O75" s="5" t="e">
        <f t="shared" ca="1" si="25"/>
        <v>#N/A</v>
      </c>
      <c r="P75" s="5" t="e">
        <f t="shared" ca="1" si="26"/>
        <v>#N/A</v>
      </c>
      <c r="Q75" s="5" t="e">
        <f t="shared" ca="1" si="27"/>
        <v>#N/A</v>
      </c>
      <c r="R75" s="5" t="e">
        <f t="shared" ca="1" si="32"/>
        <v>#N/A</v>
      </c>
      <c r="S75" s="67" t="e">
        <f t="shared" ca="1" si="33"/>
        <v>#N/A</v>
      </c>
      <c r="T75" s="67" t="e">
        <f t="shared" ca="1" si="34"/>
        <v>#N/A</v>
      </c>
      <c r="U75" s="67" t="e">
        <f t="shared" ca="1" si="35"/>
        <v>#N/A</v>
      </c>
      <c r="V75" s="5" t="e">
        <f t="shared" ca="1" si="14"/>
        <v>#N/A</v>
      </c>
      <c r="W75" s="5" t="e">
        <f t="shared" ca="1" si="28"/>
        <v>#N/A</v>
      </c>
      <c r="X75" s="67">
        <f t="shared" ca="1" si="29"/>
        <v>0</v>
      </c>
      <c r="Y75" s="67" t="e">
        <f t="shared" ca="1" si="36"/>
        <v>#N/A</v>
      </c>
      <c r="Z75" s="67" t="e">
        <f t="shared" ca="1" si="37"/>
        <v>#N/A</v>
      </c>
      <c r="AA75" s="5" t="str">
        <f>IF(Setup!$I$15="Yes",'Demand background (hide)'!AJ63+'SPC background (hide)'!C75,"")</f>
        <v/>
      </c>
      <c r="AC75" s="5" t="e">
        <f t="shared" ca="1" si="30"/>
        <v>#N/A</v>
      </c>
      <c r="AD75" s="5" t="e">
        <f t="shared" ca="1" si="31"/>
        <v>#N/A</v>
      </c>
    </row>
    <row r="76" spans="1:30" x14ac:dyDescent="0.25">
      <c r="A76" s="67" t="str">
        <f ca="1">Demand!C73</f>
        <v/>
      </c>
      <c r="B76" s="67">
        <v>61</v>
      </c>
      <c r="C76" s="5">
        <f ca="1">'Demand background (hide)'!Y64</f>
        <v>0</v>
      </c>
      <c r="D76" s="67">
        <f t="shared" si="15"/>
        <v>0</v>
      </c>
      <c r="E76" s="67" t="e">
        <f t="shared" ca="1" si="16"/>
        <v>#N/A</v>
      </c>
      <c r="F76" s="67" t="e">
        <f t="shared" ca="1" si="17"/>
        <v>#N/A</v>
      </c>
      <c r="G76" s="67" t="e">
        <f t="shared" ca="1" si="18"/>
        <v>#N/A</v>
      </c>
      <c r="H76" s="67" t="e">
        <f>IF('Demand background (hide)'!AN64&lt;&gt;"",'SPC background (hide)'!C76,NA())</f>
        <v>#N/A</v>
      </c>
      <c r="I76" s="67" t="e">
        <f t="shared" ca="1" si="19"/>
        <v>#N/A</v>
      </c>
      <c r="J76" s="5" t="e">
        <f t="shared" ca="1" si="20"/>
        <v>#N/A</v>
      </c>
      <c r="K76" s="5" t="e">
        <f t="shared" ca="1" si="21"/>
        <v>#N/A</v>
      </c>
      <c r="L76" s="5" t="e">
        <f t="shared" ca="1" si="22"/>
        <v>#N/A</v>
      </c>
      <c r="M76" s="5" t="e">
        <f t="shared" ca="1" si="23"/>
        <v>#N/A</v>
      </c>
      <c r="N76" s="5" t="e">
        <f t="shared" ca="1" si="24"/>
        <v>#N/A</v>
      </c>
      <c r="O76" s="5" t="e">
        <f t="shared" ca="1" si="25"/>
        <v>#N/A</v>
      </c>
      <c r="P76" s="5" t="e">
        <f t="shared" ca="1" si="26"/>
        <v>#N/A</v>
      </c>
      <c r="Q76" s="5" t="e">
        <f t="shared" ca="1" si="27"/>
        <v>#N/A</v>
      </c>
      <c r="R76" s="5" t="e">
        <f t="shared" ca="1" si="32"/>
        <v>#N/A</v>
      </c>
      <c r="S76" s="67" t="e">
        <f t="shared" ca="1" si="33"/>
        <v>#N/A</v>
      </c>
      <c r="T76" s="67" t="e">
        <f t="shared" ca="1" si="34"/>
        <v>#N/A</v>
      </c>
      <c r="U76" s="67" t="e">
        <f t="shared" ca="1" si="35"/>
        <v>#N/A</v>
      </c>
      <c r="V76" s="5" t="e">
        <f t="shared" ca="1" si="14"/>
        <v>#N/A</v>
      </c>
      <c r="W76" s="5" t="e">
        <f t="shared" ca="1" si="28"/>
        <v>#N/A</v>
      </c>
      <c r="X76" s="67">
        <f t="shared" ca="1" si="29"/>
        <v>0</v>
      </c>
      <c r="Y76" s="67" t="e">
        <f t="shared" ca="1" si="36"/>
        <v>#N/A</v>
      </c>
      <c r="Z76" s="67" t="e">
        <f t="shared" ca="1" si="37"/>
        <v>#N/A</v>
      </c>
      <c r="AA76" s="5" t="str">
        <f>IF(Setup!$I$15="Yes",'Demand background (hide)'!AJ64+'SPC background (hide)'!C76,"")</f>
        <v/>
      </c>
      <c r="AC76" s="5" t="e">
        <f t="shared" ca="1" si="30"/>
        <v>#N/A</v>
      </c>
      <c r="AD76" s="5" t="e">
        <f t="shared" ca="1" si="31"/>
        <v>#N/A</v>
      </c>
    </row>
    <row r="77" spans="1:30" x14ac:dyDescent="0.25">
      <c r="A77" s="67" t="str">
        <f ca="1">Demand!C74</f>
        <v/>
      </c>
      <c r="B77" s="67">
        <v>62</v>
      </c>
      <c r="C77" s="5">
        <f ca="1">'Demand background (hide)'!Y65</f>
        <v>0</v>
      </c>
      <c r="D77" s="67">
        <f t="shared" si="15"/>
        <v>0</v>
      </c>
      <c r="E77" s="67" t="e">
        <f t="shared" ca="1" si="16"/>
        <v>#N/A</v>
      </c>
      <c r="F77" s="67" t="e">
        <f t="shared" ca="1" si="17"/>
        <v>#N/A</v>
      </c>
      <c r="G77" s="67" t="e">
        <f t="shared" ca="1" si="18"/>
        <v>#N/A</v>
      </c>
      <c r="H77" s="67" t="e">
        <f>IF('Demand background (hide)'!AN65&lt;&gt;"",'SPC background (hide)'!C77,NA())</f>
        <v>#N/A</v>
      </c>
      <c r="I77" s="67" t="e">
        <f t="shared" ca="1" si="19"/>
        <v>#N/A</v>
      </c>
      <c r="J77" s="5" t="e">
        <f t="shared" ca="1" si="20"/>
        <v>#N/A</v>
      </c>
      <c r="K77" s="5" t="e">
        <f t="shared" ca="1" si="21"/>
        <v>#N/A</v>
      </c>
      <c r="L77" s="5" t="e">
        <f t="shared" ca="1" si="22"/>
        <v>#N/A</v>
      </c>
      <c r="M77" s="5" t="e">
        <f t="shared" ca="1" si="23"/>
        <v>#N/A</v>
      </c>
      <c r="N77" s="5" t="e">
        <f t="shared" ca="1" si="24"/>
        <v>#N/A</v>
      </c>
      <c r="O77" s="5" t="e">
        <f t="shared" ca="1" si="25"/>
        <v>#N/A</v>
      </c>
      <c r="P77" s="5" t="e">
        <f t="shared" ca="1" si="26"/>
        <v>#N/A</v>
      </c>
      <c r="Q77" s="5" t="e">
        <f t="shared" ca="1" si="27"/>
        <v>#N/A</v>
      </c>
      <c r="R77" s="5" t="e">
        <f t="shared" ca="1" si="32"/>
        <v>#N/A</v>
      </c>
      <c r="S77" s="67" t="e">
        <f t="shared" ca="1" si="33"/>
        <v>#N/A</v>
      </c>
      <c r="T77" s="67" t="e">
        <f t="shared" ca="1" si="34"/>
        <v>#N/A</v>
      </c>
      <c r="U77" s="67" t="e">
        <f t="shared" ca="1" si="35"/>
        <v>#N/A</v>
      </c>
      <c r="V77" s="5" t="e">
        <f t="shared" ca="1" si="14"/>
        <v>#N/A</v>
      </c>
      <c r="W77" s="5" t="e">
        <f t="shared" ca="1" si="28"/>
        <v>#N/A</v>
      </c>
      <c r="X77" s="67">
        <f t="shared" ca="1" si="29"/>
        <v>0</v>
      </c>
      <c r="Y77" s="67" t="e">
        <f t="shared" ca="1" si="36"/>
        <v>#N/A</v>
      </c>
      <c r="Z77" s="67" t="e">
        <f t="shared" ca="1" si="37"/>
        <v>#N/A</v>
      </c>
      <c r="AA77" s="5" t="str">
        <f>IF(Setup!$I$15="Yes",'Demand background (hide)'!AJ65+'SPC background (hide)'!C77,"")</f>
        <v/>
      </c>
      <c r="AC77" s="5" t="e">
        <f t="shared" ca="1" si="30"/>
        <v>#N/A</v>
      </c>
      <c r="AD77" s="5" t="e">
        <f t="shared" ca="1" si="31"/>
        <v>#N/A</v>
      </c>
    </row>
    <row r="78" spans="1:30" x14ac:dyDescent="0.25">
      <c r="A78" s="67" t="str">
        <f ca="1">Demand!C75</f>
        <v/>
      </c>
      <c r="B78" s="67">
        <v>63</v>
      </c>
      <c r="C78" s="5">
        <f ca="1">'Demand background (hide)'!Y66</f>
        <v>0</v>
      </c>
      <c r="D78" s="67">
        <f t="shared" si="15"/>
        <v>0</v>
      </c>
      <c r="E78" s="67" t="e">
        <f t="shared" ca="1" si="16"/>
        <v>#N/A</v>
      </c>
      <c r="F78" s="67" t="e">
        <f t="shared" ca="1" si="17"/>
        <v>#N/A</v>
      </c>
      <c r="G78" s="67" t="e">
        <f t="shared" ca="1" si="18"/>
        <v>#N/A</v>
      </c>
      <c r="H78" s="67" t="e">
        <f>IF('Demand background (hide)'!AN66&lt;&gt;"",'SPC background (hide)'!C78,NA())</f>
        <v>#N/A</v>
      </c>
      <c r="I78" s="67" t="e">
        <f t="shared" ca="1" si="19"/>
        <v>#N/A</v>
      </c>
      <c r="J78" s="5" t="e">
        <f t="shared" ca="1" si="20"/>
        <v>#N/A</v>
      </c>
      <c r="K78" s="5" t="e">
        <f t="shared" ca="1" si="21"/>
        <v>#N/A</v>
      </c>
      <c r="L78" s="5" t="e">
        <f t="shared" ca="1" si="22"/>
        <v>#N/A</v>
      </c>
      <c r="M78" s="5" t="e">
        <f t="shared" ca="1" si="23"/>
        <v>#N/A</v>
      </c>
      <c r="N78" s="5" t="e">
        <f t="shared" ca="1" si="24"/>
        <v>#N/A</v>
      </c>
      <c r="O78" s="5" t="e">
        <f t="shared" ca="1" si="25"/>
        <v>#N/A</v>
      </c>
      <c r="P78" s="5" t="e">
        <f t="shared" ca="1" si="26"/>
        <v>#N/A</v>
      </c>
      <c r="Q78" s="5" t="e">
        <f t="shared" ca="1" si="27"/>
        <v>#N/A</v>
      </c>
      <c r="R78" s="5" t="e">
        <f t="shared" ca="1" si="32"/>
        <v>#N/A</v>
      </c>
      <c r="S78" s="67" t="e">
        <f t="shared" ca="1" si="33"/>
        <v>#N/A</v>
      </c>
      <c r="T78" s="67" t="e">
        <f t="shared" ca="1" si="34"/>
        <v>#N/A</v>
      </c>
      <c r="U78" s="67" t="e">
        <f t="shared" ca="1" si="35"/>
        <v>#N/A</v>
      </c>
      <c r="V78" s="5" t="e">
        <f t="shared" ca="1" si="14"/>
        <v>#N/A</v>
      </c>
      <c r="W78" s="5" t="e">
        <f t="shared" ca="1" si="28"/>
        <v>#N/A</v>
      </c>
      <c r="X78" s="67">
        <f t="shared" ca="1" si="29"/>
        <v>0</v>
      </c>
      <c r="Y78" s="67" t="e">
        <f t="shared" ca="1" si="36"/>
        <v>#N/A</v>
      </c>
      <c r="Z78" s="67" t="e">
        <f t="shared" ca="1" si="37"/>
        <v>#N/A</v>
      </c>
      <c r="AA78" s="5" t="str">
        <f>IF(Setup!$I$15="Yes",'Demand background (hide)'!AJ66+'SPC background (hide)'!C78,"")</f>
        <v/>
      </c>
      <c r="AC78" s="5" t="e">
        <f t="shared" ca="1" si="30"/>
        <v>#N/A</v>
      </c>
      <c r="AD78" s="5" t="e">
        <f t="shared" ca="1" si="31"/>
        <v>#N/A</v>
      </c>
    </row>
    <row r="79" spans="1:30" x14ac:dyDescent="0.25">
      <c r="A79" s="67" t="str">
        <f ca="1">Demand!C76</f>
        <v/>
      </c>
      <c r="B79" s="67">
        <v>64</v>
      </c>
      <c r="C79" s="5">
        <f ca="1">'Demand background (hide)'!Y67</f>
        <v>0</v>
      </c>
      <c r="D79" s="67">
        <f t="shared" si="15"/>
        <v>0</v>
      </c>
      <c r="E79" s="67" t="e">
        <f t="shared" ca="1" si="16"/>
        <v>#N/A</v>
      </c>
      <c r="F79" s="67" t="e">
        <f t="shared" ca="1" si="17"/>
        <v>#N/A</v>
      </c>
      <c r="G79" s="67" t="e">
        <f t="shared" ca="1" si="18"/>
        <v>#N/A</v>
      </c>
      <c r="H79" s="67" t="e">
        <f>IF('Demand background (hide)'!AN67&lt;&gt;"",'SPC background (hide)'!C79,NA())</f>
        <v>#N/A</v>
      </c>
      <c r="I79" s="67" t="e">
        <f t="shared" ca="1" si="19"/>
        <v>#N/A</v>
      </c>
      <c r="J79" s="5" t="e">
        <f t="shared" ca="1" si="20"/>
        <v>#N/A</v>
      </c>
      <c r="K79" s="5" t="e">
        <f t="shared" ca="1" si="21"/>
        <v>#N/A</v>
      </c>
      <c r="L79" s="5" t="e">
        <f t="shared" ca="1" si="22"/>
        <v>#N/A</v>
      </c>
      <c r="M79" s="5" t="e">
        <f t="shared" ca="1" si="23"/>
        <v>#N/A</v>
      </c>
      <c r="N79" s="5" t="e">
        <f t="shared" ca="1" si="24"/>
        <v>#N/A</v>
      </c>
      <c r="O79" s="5" t="e">
        <f t="shared" ca="1" si="25"/>
        <v>#N/A</v>
      </c>
      <c r="P79" s="5" t="e">
        <f t="shared" ca="1" si="26"/>
        <v>#N/A</v>
      </c>
      <c r="Q79" s="5" t="e">
        <f t="shared" ca="1" si="27"/>
        <v>#N/A</v>
      </c>
      <c r="R79" s="5" t="e">
        <f t="shared" ca="1" si="32"/>
        <v>#N/A</v>
      </c>
      <c r="S79" s="67" t="e">
        <f t="shared" ca="1" si="33"/>
        <v>#N/A</v>
      </c>
      <c r="T79" s="67" t="e">
        <f t="shared" ca="1" si="34"/>
        <v>#N/A</v>
      </c>
      <c r="U79" s="67" t="e">
        <f t="shared" ca="1" si="35"/>
        <v>#N/A</v>
      </c>
      <c r="V79" s="5" t="e">
        <f t="shared" ca="1" si="14"/>
        <v>#N/A</v>
      </c>
      <c r="W79" s="5" t="e">
        <f t="shared" ca="1" si="28"/>
        <v>#N/A</v>
      </c>
      <c r="X79" s="67">
        <f t="shared" ca="1" si="29"/>
        <v>0</v>
      </c>
      <c r="Y79" s="67" t="e">
        <f t="shared" ca="1" si="36"/>
        <v>#N/A</v>
      </c>
      <c r="Z79" s="67" t="e">
        <f t="shared" ca="1" si="37"/>
        <v>#N/A</v>
      </c>
      <c r="AA79" s="5" t="str">
        <f>IF(Setup!$I$15="Yes",'Demand background (hide)'!AJ67+'SPC background (hide)'!C79,"")</f>
        <v/>
      </c>
      <c r="AC79" s="5" t="e">
        <f t="shared" ca="1" si="30"/>
        <v>#N/A</v>
      </c>
      <c r="AD79" s="5" t="e">
        <f t="shared" ca="1" si="31"/>
        <v>#N/A</v>
      </c>
    </row>
    <row r="80" spans="1:30" x14ac:dyDescent="0.25">
      <c r="A80" s="67" t="str">
        <f ca="1">Demand!C77</f>
        <v/>
      </c>
      <c r="B80" s="67">
        <v>65</v>
      </c>
      <c r="C80" s="5">
        <f ca="1">'Demand background (hide)'!Y68</f>
        <v>0</v>
      </c>
      <c r="D80" s="67">
        <f t="shared" si="15"/>
        <v>0</v>
      </c>
      <c r="E80" s="67" t="e">
        <f t="shared" ca="1" si="16"/>
        <v>#N/A</v>
      </c>
      <c r="F80" s="67" t="e">
        <f t="shared" ca="1" si="17"/>
        <v>#N/A</v>
      </c>
      <c r="G80" s="67" t="e">
        <f t="shared" ca="1" si="18"/>
        <v>#N/A</v>
      </c>
      <c r="H80" s="67" t="e">
        <f>IF('Demand background (hide)'!AN68&lt;&gt;"",'SPC background (hide)'!C80,NA())</f>
        <v>#N/A</v>
      </c>
      <c r="I80" s="67" t="e">
        <f t="shared" ca="1" si="19"/>
        <v>#N/A</v>
      </c>
      <c r="J80" s="5" t="e">
        <f t="shared" ca="1" si="20"/>
        <v>#N/A</v>
      </c>
      <c r="K80" s="5" t="e">
        <f t="shared" ca="1" si="21"/>
        <v>#N/A</v>
      </c>
      <c r="L80" s="5" t="e">
        <f t="shared" ca="1" si="22"/>
        <v>#N/A</v>
      </c>
      <c r="M80" s="5" t="e">
        <f t="shared" ca="1" si="23"/>
        <v>#N/A</v>
      </c>
      <c r="N80" s="5" t="e">
        <f t="shared" ca="1" si="24"/>
        <v>#N/A</v>
      </c>
      <c r="O80" s="5" t="e">
        <f t="shared" ca="1" si="25"/>
        <v>#N/A</v>
      </c>
      <c r="P80" s="5" t="e">
        <f t="shared" ca="1" si="26"/>
        <v>#N/A</v>
      </c>
      <c r="Q80" s="5" t="e">
        <f t="shared" ca="1" si="27"/>
        <v>#N/A</v>
      </c>
      <c r="R80" s="5" t="e">
        <f t="shared" ca="1" si="32"/>
        <v>#N/A</v>
      </c>
      <c r="S80" s="67" t="e">
        <f t="shared" ca="1" si="33"/>
        <v>#N/A</v>
      </c>
      <c r="T80" s="67" t="e">
        <f t="shared" ca="1" si="34"/>
        <v>#N/A</v>
      </c>
      <c r="U80" s="67" t="e">
        <f t="shared" ca="1" si="35"/>
        <v>#N/A</v>
      </c>
      <c r="V80" s="5" t="e">
        <f t="shared" ref="V80:V143" ca="1" si="38">IF(C80&lt;M80,-1,IF(C80&gt;M80,1,0))</f>
        <v>#N/A</v>
      </c>
      <c r="W80" s="5" t="e">
        <f t="shared" ca="1" si="28"/>
        <v>#N/A</v>
      </c>
      <c r="X80" s="67">
        <f t="shared" ca="1" si="29"/>
        <v>0</v>
      </c>
      <c r="Y80" s="67" t="e">
        <f t="shared" ca="1" si="36"/>
        <v>#N/A</v>
      </c>
      <c r="Z80" s="67" t="e">
        <f t="shared" ca="1" si="37"/>
        <v>#N/A</v>
      </c>
      <c r="AA80" s="5" t="str">
        <f>IF(Setup!$I$15="Yes",'Demand background (hide)'!AJ68+'SPC background (hide)'!C80,"")</f>
        <v/>
      </c>
      <c r="AC80" s="5" t="e">
        <f t="shared" ca="1" si="30"/>
        <v>#N/A</v>
      </c>
      <c r="AD80" s="5" t="e">
        <f t="shared" ca="1" si="31"/>
        <v>#N/A</v>
      </c>
    </row>
    <row r="81" spans="1:30" x14ac:dyDescent="0.25">
      <c r="A81" s="67" t="str">
        <f ca="1">Demand!C78</f>
        <v/>
      </c>
      <c r="B81" s="67">
        <v>66</v>
      </c>
      <c r="C81" s="5">
        <f ca="1">'Demand background (hide)'!Y69</f>
        <v>0</v>
      </c>
      <c r="D81" s="67">
        <f t="shared" ref="D81:D144" si="39">IF(AND($B81&gt;=$C$4,$B81&lt;=$D$5+$C$5-1),1,0)</f>
        <v>0</v>
      </c>
      <c r="E81" s="67" t="e">
        <f t="shared" ref="E81:E144" ca="1" si="40">IF(AND($B81&gt;=$D$6,$B81&lt;=$D$7+$C$7-1),1,0)</f>
        <v>#N/A</v>
      </c>
      <c r="F81" s="67" t="e">
        <f t="shared" ref="F81:F144" ca="1" si="41">IF(AND($B81&gt;=$D$8,$B81&lt;=$D$9+$C$9-1),1,0)</f>
        <v>#N/A</v>
      </c>
      <c r="G81" s="67" t="e">
        <f t="shared" ref="G81:G144" ca="1" si="42">IF(AND($B81&gt;=$D$10,$B81&lt;=$D$11+$C$11-1),1,0)</f>
        <v>#N/A</v>
      </c>
      <c r="H81" s="67" t="e">
        <f>IF('Demand background (hide)'!AN69&lt;&gt;"",'SPC background (hide)'!C81,NA())</f>
        <v>#N/A</v>
      </c>
      <c r="I81" s="67" t="e">
        <f t="shared" ref="I81:I144" ca="1" si="43">VLOOKUP(A81,$AG$2:$AI$54,3,0)</f>
        <v>#N/A</v>
      </c>
      <c r="J81" s="5" t="e">
        <f t="shared" ref="J81:J144" ca="1" si="44">VLOOKUP($A81,$AG$2:$AQ$54,COLUMN(E$1),0)</f>
        <v>#N/A</v>
      </c>
      <c r="K81" s="5" t="e">
        <f t="shared" ref="K81:K144" ca="1" si="45">VLOOKUP($A81,$AG$2:$AQ$54,COLUMN(F$1),0)</f>
        <v>#N/A</v>
      </c>
      <c r="L81" s="5" t="e">
        <f t="shared" ref="L81:L144" ca="1" si="46">VLOOKUP($A81,$AG$2:$AQ$54,COLUMN(G$1),0)</f>
        <v>#N/A</v>
      </c>
      <c r="M81" s="5" t="e">
        <f t="shared" ref="M81:M144" ca="1" si="47">VLOOKUP($A81,$AG$2:$AQ$54,COLUMN(H$1),0)</f>
        <v>#N/A</v>
      </c>
      <c r="N81" s="5" t="e">
        <f t="shared" ref="N81:N144" ca="1" si="48">VLOOKUP($A81,$AG$2:$AQ$54,COLUMN(I$1),0)</f>
        <v>#N/A</v>
      </c>
      <c r="O81" s="5" t="e">
        <f t="shared" ref="O81:O144" ca="1" si="49">VLOOKUP($A81,$AG$2:$AQ$54,COLUMN(J$1),0)</f>
        <v>#N/A</v>
      </c>
      <c r="P81" s="5" t="e">
        <f t="shared" ref="P81:P144" ca="1" si="50">VLOOKUP($A81,$AG$2:$AQ$54,COLUMN(K$1),0)</f>
        <v>#N/A</v>
      </c>
      <c r="Q81" s="5" t="e">
        <f t="shared" ref="Q81:Q144" ca="1" si="51">IF(ISNA(H81)=TRUE,IF(OR(C81&gt;P81,C81&lt;J81),C81,NA()),NA())</f>
        <v>#N/A</v>
      </c>
      <c r="R81" s="5" t="e">
        <f t="shared" ca="1" si="32"/>
        <v>#N/A</v>
      </c>
      <c r="S81" s="67" t="e">
        <f t="shared" ca="1" si="33"/>
        <v>#N/A</v>
      </c>
      <c r="T81" s="67" t="e">
        <f t="shared" ca="1" si="34"/>
        <v>#N/A</v>
      </c>
      <c r="U81" s="67" t="e">
        <f t="shared" ca="1" si="35"/>
        <v>#N/A</v>
      </c>
      <c r="V81" s="5" t="e">
        <f t="shared" ca="1" si="38"/>
        <v>#N/A</v>
      </c>
      <c r="W81" s="5" t="e">
        <f t="shared" ref="W81:W144" ca="1" si="52">IF(ISNA(H81)=TRUE,IF(ABS(SUM(V81:V89))=9,C81,NA()),NA())</f>
        <v>#N/A</v>
      </c>
      <c r="X81" s="67">
        <f t="shared" ref="X81:X144" ca="1" si="53">IF(C81&gt;C80,1,IF(C81&lt;C80,-1,0))</f>
        <v>0</v>
      </c>
      <c r="Y81" s="67" t="e">
        <f t="shared" ca="1" si="36"/>
        <v>#N/A</v>
      </c>
      <c r="Z81" s="67" t="e">
        <f t="shared" ca="1" si="37"/>
        <v>#N/A</v>
      </c>
      <c r="AA81" s="5" t="str">
        <f>IF(Setup!$I$15="Yes",'Demand background (hide)'!AJ69+'SPC background (hide)'!C81,"")</f>
        <v/>
      </c>
      <c r="AC81" s="5" t="e">
        <f t="shared" ref="AC81:AC144" ca="1" si="54">VLOOKUP($A81,$AG$2:$AS$54,12,0)</f>
        <v>#N/A</v>
      </c>
      <c r="AD81" s="5" t="e">
        <f t="shared" ref="AD81:AD144" ca="1" si="55">VLOOKUP($A81,$AG$2:$AS$54,13,0)</f>
        <v>#N/A</v>
      </c>
    </row>
    <row r="82" spans="1:30" x14ac:dyDescent="0.25">
      <c r="A82" s="67" t="str">
        <f ca="1">Demand!C79</f>
        <v/>
      </c>
      <c r="B82" s="67">
        <v>67</v>
      </c>
      <c r="C82" s="5">
        <f ca="1">'Demand background (hide)'!Y70</f>
        <v>0</v>
      </c>
      <c r="D82" s="67">
        <f t="shared" si="39"/>
        <v>0</v>
      </c>
      <c r="E82" s="67" t="e">
        <f t="shared" ca="1" si="40"/>
        <v>#N/A</v>
      </c>
      <c r="F82" s="67" t="e">
        <f t="shared" ca="1" si="41"/>
        <v>#N/A</v>
      </c>
      <c r="G82" s="67" t="e">
        <f t="shared" ca="1" si="42"/>
        <v>#N/A</v>
      </c>
      <c r="H82" s="67" t="e">
        <f>IF('Demand background (hide)'!AN70&lt;&gt;"",'SPC background (hide)'!C82,NA())</f>
        <v>#N/A</v>
      </c>
      <c r="I82" s="67" t="e">
        <f t="shared" ca="1" si="43"/>
        <v>#N/A</v>
      </c>
      <c r="J82" s="5" t="e">
        <f t="shared" ca="1" si="44"/>
        <v>#N/A</v>
      </c>
      <c r="K82" s="5" t="e">
        <f t="shared" ca="1" si="45"/>
        <v>#N/A</v>
      </c>
      <c r="L82" s="5" t="e">
        <f t="shared" ca="1" si="46"/>
        <v>#N/A</v>
      </c>
      <c r="M82" s="5" t="e">
        <f t="shared" ca="1" si="47"/>
        <v>#N/A</v>
      </c>
      <c r="N82" s="5" t="e">
        <f t="shared" ca="1" si="48"/>
        <v>#N/A</v>
      </c>
      <c r="O82" s="5" t="e">
        <f t="shared" ca="1" si="49"/>
        <v>#N/A</v>
      </c>
      <c r="P82" s="5" t="e">
        <f t="shared" ca="1" si="50"/>
        <v>#N/A</v>
      </c>
      <c r="Q82" s="5" t="e">
        <f t="shared" ca="1" si="51"/>
        <v>#N/A</v>
      </c>
      <c r="R82" s="5" t="e">
        <f t="shared" ref="R82:R145" ca="1" si="56">IF(C82&gt;O82,2,IF(C82&lt;K82,-2,IF(C82&gt;M82,1,IF(C82&lt;M82,-1,0))))</f>
        <v>#N/A</v>
      </c>
      <c r="S82" s="67" t="e">
        <f t="shared" ref="S82:S145" ca="1" si="57">IF(ISNA(H82),IF(ABS(SUM(R82:R84))&gt;=5,C82,NA()),NA())</f>
        <v>#N/A</v>
      </c>
      <c r="T82" s="67" t="e">
        <f t="shared" ref="T82:T145" ca="1" si="58">IF(C82&gt;N82,2,IF(C82&lt;L82,-2,IF(C82&gt;M82,1,IF(C82&lt;M82,-1,0))))</f>
        <v>#N/A</v>
      </c>
      <c r="U82" s="67" t="e">
        <f t="shared" ref="U82:U145" ca="1" si="59">IF(ISNA(H82)=TRUE,IF(ABS(SUM(T82:T86))&gt;=9,C82,NA()),NA())</f>
        <v>#N/A</v>
      </c>
      <c r="V82" s="5" t="e">
        <f t="shared" ca="1" si="38"/>
        <v>#N/A</v>
      </c>
      <c r="W82" s="5" t="e">
        <f t="shared" ca="1" si="52"/>
        <v>#N/A</v>
      </c>
      <c r="X82" s="67">
        <f t="shared" ca="1" si="53"/>
        <v>0</v>
      </c>
      <c r="Y82" s="67" t="e">
        <f t="shared" ref="Y82:Y145" ca="1" si="60">IF(ISNA(H82)=TRUE,IF(ABS(SUM(X82:X87))=6,C82,NA()),NA())</f>
        <v>#N/A</v>
      </c>
      <c r="Z82" s="67" t="e">
        <f t="shared" ref="Z82:Z145" ca="1" si="61">IF(ISNA(H82)=TRUE,IF(AND(ABS(SUM(T82:T89))=8,SUM(T82:T89)&lt;ABS(SUM(T82:T89))),C82,NA()),NA())</f>
        <v>#N/A</v>
      </c>
      <c r="AA82" s="5" t="str">
        <f>IF(Setup!$I$15="Yes",'Demand background (hide)'!AJ70+'SPC background (hide)'!C82,"")</f>
        <v/>
      </c>
      <c r="AC82" s="5" t="e">
        <f t="shared" ca="1" si="54"/>
        <v>#N/A</v>
      </c>
      <c r="AD82" s="5" t="e">
        <f t="shared" ca="1" si="55"/>
        <v>#N/A</v>
      </c>
    </row>
    <row r="83" spans="1:30" x14ac:dyDescent="0.25">
      <c r="A83" s="67" t="str">
        <f ca="1">Demand!C80</f>
        <v/>
      </c>
      <c r="B83" s="67">
        <v>68</v>
      </c>
      <c r="C83" s="5">
        <f ca="1">'Demand background (hide)'!Y71</f>
        <v>0</v>
      </c>
      <c r="D83" s="67">
        <f t="shared" si="39"/>
        <v>0</v>
      </c>
      <c r="E83" s="67" t="e">
        <f t="shared" ca="1" si="40"/>
        <v>#N/A</v>
      </c>
      <c r="F83" s="67" t="e">
        <f t="shared" ca="1" si="41"/>
        <v>#N/A</v>
      </c>
      <c r="G83" s="67" t="e">
        <f t="shared" ca="1" si="42"/>
        <v>#N/A</v>
      </c>
      <c r="H83" s="67" t="e">
        <f>IF('Demand background (hide)'!AN71&lt;&gt;"",'SPC background (hide)'!C83,NA())</f>
        <v>#N/A</v>
      </c>
      <c r="I83" s="67" t="e">
        <f t="shared" ca="1" si="43"/>
        <v>#N/A</v>
      </c>
      <c r="J83" s="5" t="e">
        <f t="shared" ca="1" si="44"/>
        <v>#N/A</v>
      </c>
      <c r="K83" s="5" t="e">
        <f t="shared" ca="1" si="45"/>
        <v>#N/A</v>
      </c>
      <c r="L83" s="5" t="e">
        <f t="shared" ca="1" si="46"/>
        <v>#N/A</v>
      </c>
      <c r="M83" s="5" t="e">
        <f t="shared" ca="1" si="47"/>
        <v>#N/A</v>
      </c>
      <c r="N83" s="5" t="e">
        <f t="shared" ca="1" si="48"/>
        <v>#N/A</v>
      </c>
      <c r="O83" s="5" t="e">
        <f t="shared" ca="1" si="49"/>
        <v>#N/A</v>
      </c>
      <c r="P83" s="5" t="e">
        <f t="shared" ca="1" si="50"/>
        <v>#N/A</v>
      </c>
      <c r="Q83" s="5" t="e">
        <f t="shared" ca="1" si="51"/>
        <v>#N/A</v>
      </c>
      <c r="R83" s="5" t="e">
        <f t="shared" ca="1" si="56"/>
        <v>#N/A</v>
      </c>
      <c r="S83" s="67" t="e">
        <f t="shared" ca="1" si="57"/>
        <v>#N/A</v>
      </c>
      <c r="T83" s="67" t="e">
        <f t="shared" ca="1" si="58"/>
        <v>#N/A</v>
      </c>
      <c r="U83" s="67" t="e">
        <f t="shared" ca="1" si="59"/>
        <v>#N/A</v>
      </c>
      <c r="V83" s="5" t="e">
        <f t="shared" ca="1" si="38"/>
        <v>#N/A</v>
      </c>
      <c r="W83" s="5" t="e">
        <f t="shared" ca="1" si="52"/>
        <v>#N/A</v>
      </c>
      <c r="X83" s="67">
        <f t="shared" ca="1" si="53"/>
        <v>0</v>
      </c>
      <c r="Y83" s="67" t="e">
        <f t="shared" ca="1" si="60"/>
        <v>#N/A</v>
      </c>
      <c r="Z83" s="67" t="e">
        <f t="shared" ca="1" si="61"/>
        <v>#N/A</v>
      </c>
      <c r="AA83" s="5" t="str">
        <f>IF(Setup!$I$15="Yes",'Demand background (hide)'!AJ71+'SPC background (hide)'!C83,"")</f>
        <v/>
      </c>
      <c r="AC83" s="5" t="e">
        <f t="shared" ca="1" si="54"/>
        <v>#N/A</v>
      </c>
      <c r="AD83" s="5" t="e">
        <f t="shared" ca="1" si="55"/>
        <v>#N/A</v>
      </c>
    </row>
    <row r="84" spans="1:30" x14ac:dyDescent="0.25">
      <c r="A84" s="67" t="str">
        <f ca="1">Demand!C81</f>
        <v/>
      </c>
      <c r="B84" s="67">
        <v>69</v>
      </c>
      <c r="C84" s="5">
        <f ca="1">'Demand background (hide)'!Y72</f>
        <v>0</v>
      </c>
      <c r="D84" s="67">
        <f t="shared" si="39"/>
        <v>0</v>
      </c>
      <c r="E84" s="67" t="e">
        <f t="shared" ca="1" si="40"/>
        <v>#N/A</v>
      </c>
      <c r="F84" s="67" t="e">
        <f t="shared" ca="1" si="41"/>
        <v>#N/A</v>
      </c>
      <c r="G84" s="67" t="e">
        <f t="shared" ca="1" si="42"/>
        <v>#N/A</v>
      </c>
      <c r="H84" s="67" t="e">
        <f>IF('Demand background (hide)'!AN72&lt;&gt;"",'SPC background (hide)'!C84,NA())</f>
        <v>#N/A</v>
      </c>
      <c r="I84" s="67" t="e">
        <f t="shared" ca="1" si="43"/>
        <v>#N/A</v>
      </c>
      <c r="J84" s="5" t="e">
        <f t="shared" ca="1" si="44"/>
        <v>#N/A</v>
      </c>
      <c r="K84" s="5" t="e">
        <f t="shared" ca="1" si="45"/>
        <v>#N/A</v>
      </c>
      <c r="L84" s="5" t="e">
        <f t="shared" ca="1" si="46"/>
        <v>#N/A</v>
      </c>
      <c r="M84" s="5" t="e">
        <f t="shared" ca="1" si="47"/>
        <v>#N/A</v>
      </c>
      <c r="N84" s="5" t="e">
        <f t="shared" ca="1" si="48"/>
        <v>#N/A</v>
      </c>
      <c r="O84" s="5" t="e">
        <f t="shared" ca="1" si="49"/>
        <v>#N/A</v>
      </c>
      <c r="P84" s="5" t="e">
        <f t="shared" ca="1" si="50"/>
        <v>#N/A</v>
      </c>
      <c r="Q84" s="5" t="e">
        <f t="shared" ca="1" si="51"/>
        <v>#N/A</v>
      </c>
      <c r="R84" s="5" t="e">
        <f t="shared" ca="1" si="56"/>
        <v>#N/A</v>
      </c>
      <c r="S84" s="67" t="e">
        <f t="shared" ca="1" si="57"/>
        <v>#N/A</v>
      </c>
      <c r="T84" s="67" t="e">
        <f t="shared" ca="1" si="58"/>
        <v>#N/A</v>
      </c>
      <c r="U84" s="67" t="e">
        <f t="shared" ca="1" si="59"/>
        <v>#N/A</v>
      </c>
      <c r="V84" s="5" t="e">
        <f t="shared" ca="1" si="38"/>
        <v>#N/A</v>
      </c>
      <c r="W84" s="5" t="e">
        <f t="shared" ca="1" si="52"/>
        <v>#N/A</v>
      </c>
      <c r="X84" s="67">
        <f t="shared" ca="1" si="53"/>
        <v>0</v>
      </c>
      <c r="Y84" s="67" t="e">
        <f t="shared" ca="1" si="60"/>
        <v>#N/A</v>
      </c>
      <c r="Z84" s="67" t="e">
        <f t="shared" ca="1" si="61"/>
        <v>#N/A</v>
      </c>
      <c r="AA84" s="5" t="str">
        <f>IF(Setup!$I$15="Yes",'Demand background (hide)'!AJ72+'SPC background (hide)'!C84,"")</f>
        <v/>
      </c>
      <c r="AC84" s="5" t="e">
        <f t="shared" ca="1" si="54"/>
        <v>#N/A</v>
      </c>
      <c r="AD84" s="5" t="e">
        <f t="shared" ca="1" si="55"/>
        <v>#N/A</v>
      </c>
    </row>
    <row r="85" spans="1:30" x14ac:dyDescent="0.25">
      <c r="A85" s="67" t="str">
        <f ca="1">Demand!C82</f>
        <v/>
      </c>
      <c r="B85" s="67">
        <v>70</v>
      </c>
      <c r="C85" s="5">
        <f ca="1">'Demand background (hide)'!Y73</f>
        <v>0</v>
      </c>
      <c r="D85" s="67">
        <f t="shared" si="39"/>
        <v>0</v>
      </c>
      <c r="E85" s="67" t="e">
        <f t="shared" ca="1" si="40"/>
        <v>#N/A</v>
      </c>
      <c r="F85" s="67" t="e">
        <f t="shared" ca="1" si="41"/>
        <v>#N/A</v>
      </c>
      <c r="G85" s="67" t="e">
        <f t="shared" ca="1" si="42"/>
        <v>#N/A</v>
      </c>
      <c r="H85" s="67" t="e">
        <f>IF('Demand background (hide)'!AN73&lt;&gt;"",'SPC background (hide)'!C85,NA())</f>
        <v>#N/A</v>
      </c>
      <c r="I85" s="67" t="e">
        <f t="shared" ca="1" si="43"/>
        <v>#N/A</v>
      </c>
      <c r="J85" s="5" t="e">
        <f t="shared" ca="1" si="44"/>
        <v>#N/A</v>
      </c>
      <c r="K85" s="5" t="e">
        <f t="shared" ca="1" si="45"/>
        <v>#N/A</v>
      </c>
      <c r="L85" s="5" t="e">
        <f t="shared" ca="1" si="46"/>
        <v>#N/A</v>
      </c>
      <c r="M85" s="5" t="e">
        <f t="shared" ca="1" si="47"/>
        <v>#N/A</v>
      </c>
      <c r="N85" s="5" t="e">
        <f t="shared" ca="1" si="48"/>
        <v>#N/A</v>
      </c>
      <c r="O85" s="5" t="e">
        <f t="shared" ca="1" si="49"/>
        <v>#N/A</v>
      </c>
      <c r="P85" s="5" t="e">
        <f t="shared" ca="1" si="50"/>
        <v>#N/A</v>
      </c>
      <c r="Q85" s="5" t="e">
        <f t="shared" ca="1" si="51"/>
        <v>#N/A</v>
      </c>
      <c r="R85" s="5" t="e">
        <f t="shared" ca="1" si="56"/>
        <v>#N/A</v>
      </c>
      <c r="S85" s="67" t="e">
        <f t="shared" ca="1" si="57"/>
        <v>#N/A</v>
      </c>
      <c r="T85" s="67" t="e">
        <f t="shared" ca="1" si="58"/>
        <v>#N/A</v>
      </c>
      <c r="U85" s="67" t="e">
        <f t="shared" ca="1" si="59"/>
        <v>#N/A</v>
      </c>
      <c r="V85" s="5" t="e">
        <f t="shared" ca="1" si="38"/>
        <v>#N/A</v>
      </c>
      <c r="W85" s="5" t="e">
        <f t="shared" ca="1" si="52"/>
        <v>#N/A</v>
      </c>
      <c r="X85" s="67">
        <f t="shared" ca="1" si="53"/>
        <v>0</v>
      </c>
      <c r="Y85" s="67" t="e">
        <f t="shared" ca="1" si="60"/>
        <v>#N/A</v>
      </c>
      <c r="Z85" s="67" t="e">
        <f t="shared" ca="1" si="61"/>
        <v>#N/A</v>
      </c>
      <c r="AA85" s="5" t="str">
        <f>IF(Setup!$I$15="Yes",'Demand background (hide)'!AJ73+'SPC background (hide)'!C85,"")</f>
        <v/>
      </c>
      <c r="AC85" s="5" t="e">
        <f t="shared" ca="1" si="54"/>
        <v>#N/A</v>
      </c>
      <c r="AD85" s="5" t="e">
        <f t="shared" ca="1" si="55"/>
        <v>#N/A</v>
      </c>
    </row>
    <row r="86" spans="1:30" x14ac:dyDescent="0.25">
      <c r="A86" s="67" t="str">
        <f ca="1">Demand!C83</f>
        <v/>
      </c>
      <c r="B86" s="67">
        <v>71</v>
      </c>
      <c r="C86" s="5">
        <f ca="1">'Demand background (hide)'!Y74</f>
        <v>0</v>
      </c>
      <c r="D86" s="67">
        <f t="shared" si="39"/>
        <v>0</v>
      </c>
      <c r="E86" s="67" t="e">
        <f t="shared" ca="1" si="40"/>
        <v>#N/A</v>
      </c>
      <c r="F86" s="67" t="e">
        <f t="shared" ca="1" si="41"/>
        <v>#N/A</v>
      </c>
      <c r="G86" s="67" t="e">
        <f t="shared" ca="1" si="42"/>
        <v>#N/A</v>
      </c>
      <c r="H86" s="67" t="e">
        <f>IF('Demand background (hide)'!AN74&lt;&gt;"",'SPC background (hide)'!C86,NA())</f>
        <v>#N/A</v>
      </c>
      <c r="I86" s="67" t="e">
        <f t="shared" ca="1" si="43"/>
        <v>#N/A</v>
      </c>
      <c r="J86" s="5" t="e">
        <f t="shared" ca="1" si="44"/>
        <v>#N/A</v>
      </c>
      <c r="K86" s="5" t="e">
        <f t="shared" ca="1" si="45"/>
        <v>#N/A</v>
      </c>
      <c r="L86" s="5" t="e">
        <f t="shared" ca="1" si="46"/>
        <v>#N/A</v>
      </c>
      <c r="M86" s="5" t="e">
        <f t="shared" ca="1" si="47"/>
        <v>#N/A</v>
      </c>
      <c r="N86" s="5" t="e">
        <f t="shared" ca="1" si="48"/>
        <v>#N/A</v>
      </c>
      <c r="O86" s="5" t="e">
        <f t="shared" ca="1" si="49"/>
        <v>#N/A</v>
      </c>
      <c r="P86" s="5" t="e">
        <f t="shared" ca="1" si="50"/>
        <v>#N/A</v>
      </c>
      <c r="Q86" s="5" t="e">
        <f t="shared" ca="1" si="51"/>
        <v>#N/A</v>
      </c>
      <c r="R86" s="5" t="e">
        <f t="shared" ca="1" si="56"/>
        <v>#N/A</v>
      </c>
      <c r="S86" s="67" t="e">
        <f t="shared" ca="1" si="57"/>
        <v>#N/A</v>
      </c>
      <c r="T86" s="67" t="e">
        <f t="shared" ca="1" si="58"/>
        <v>#N/A</v>
      </c>
      <c r="U86" s="67" t="e">
        <f t="shared" ca="1" si="59"/>
        <v>#N/A</v>
      </c>
      <c r="V86" s="5" t="e">
        <f t="shared" ca="1" si="38"/>
        <v>#N/A</v>
      </c>
      <c r="W86" s="5" t="e">
        <f t="shared" ca="1" si="52"/>
        <v>#N/A</v>
      </c>
      <c r="X86" s="67">
        <f t="shared" ca="1" si="53"/>
        <v>0</v>
      </c>
      <c r="Y86" s="67" t="e">
        <f t="shared" ca="1" si="60"/>
        <v>#N/A</v>
      </c>
      <c r="Z86" s="67" t="e">
        <f t="shared" ca="1" si="61"/>
        <v>#N/A</v>
      </c>
      <c r="AA86" s="5" t="str">
        <f>IF(Setup!$I$15="Yes",'Demand background (hide)'!AJ74+'SPC background (hide)'!C86,"")</f>
        <v/>
      </c>
      <c r="AC86" s="5" t="e">
        <f t="shared" ca="1" si="54"/>
        <v>#N/A</v>
      </c>
      <c r="AD86" s="5" t="e">
        <f t="shared" ca="1" si="55"/>
        <v>#N/A</v>
      </c>
    </row>
    <row r="87" spans="1:30" x14ac:dyDescent="0.25">
      <c r="A87" s="67" t="str">
        <f ca="1">Demand!C84</f>
        <v/>
      </c>
      <c r="B87" s="67">
        <v>72</v>
      </c>
      <c r="C87" s="5">
        <f ca="1">'Demand background (hide)'!Y75</f>
        <v>0</v>
      </c>
      <c r="D87" s="67">
        <f t="shared" si="39"/>
        <v>0</v>
      </c>
      <c r="E87" s="67" t="e">
        <f t="shared" ca="1" si="40"/>
        <v>#N/A</v>
      </c>
      <c r="F87" s="67" t="e">
        <f t="shared" ca="1" si="41"/>
        <v>#N/A</v>
      </c>
      <c r="G87" s="67" t="e">
        <f t="shared" ca="1" si="42"/>
        <v>#N/A</v>
      </c>
      <c r="H87" s="67" t="e">
        <f>IF('Demand background (hide)'!AN75&lt;&gt;"",'SPC background (hide)'!C87,NA())</f>
        <v>#N/A</v>
      </c>
      <c r="I87" s="67" t="e">
        <f t="shared" ca="1" si="43"/>
        <v>#N/A</v>
      </c>
      <c r="J87" s="5" t="e">
        <f t="shared" ca="1" si="44"/>
        <v>#N/A</v>
      </c>
      <c r="K87" s="5" t="e">
        <f t="shared" ca="1" si="45"/>
        <v>#N/A</v>
      </c>
      <c r="L87" s="5" t="e">
        <f t="shared" ca="1" si="46"/>
        <v>#N/A</v>
      </c>
      <c r="M87" s="5" t="e">
        <f t="shared" ca="1" si="47"/>
        <v>#N/A</v>
      </c>
      <c r="N87" s="5" t="e">
        <f t="shared" ca="1" si="48"/>
        <v>#N/A</v>
      </c>
      <c r="O87" s="5" t="e">
        <f t="shared" ca="1" si="49"/>
        <v>#N/A</v>
      </c>
      <c r="P87" s="5" t="e">
        <f t="shared" ca="1" si="50"/>
        <v>#N/A</v>
      </c>
      <c r="Q87" s="5" t="e">
        <f t="shared" ca="1" si="51"/>
        <v>#N/A</v>
      </c>
      <c r="R87" s="5" t="e">
        <f t="shared" ca="1" si="56"/>
        <v>#N/A</v>
      </c>
      <c r="S87" s="67" t="e">
        <f t="shared" ca="1" si="57"/>
        <v>#N/A</v>
      </c>
      <c r="T87" s="67" t="e">
        <f t="shared" ca="1" si="58"/>
        <v>#N/A</v>
      </c>
      <c r="U87" s="67" t="e">
        <f t="shared" ca="1" si="59"/>
        <v>#N/A</v>
      </c>
      <c r="V87" s="5" t="e">
        <f t="shared" ca="1" si="38"/>
        <v>#N/A</v>
      </c>
      <c r="W87" s="5" t="e">
        <f t="shared" ca="1" si="52"/>
        <v>#N/A</v>
      </c>
      <c r="X87" s="67">
        <f t="shared" ca="1" si="53"/>
        <v>0</v>
      </c>
      <c r="Y87" s="67" t="e">
        <f t="shared" ca="1" si="60"/>
        <v>#N/A</v>
      </c>
      <c r="Z87" s="67" t="e">
        <f t="shared" ca="1" si="61"/>
        <v>#N/A</v>
      </c>
      <c r="AA87" s="5" t="str">
        <f>IF(Setup!$I$15="Yes",'Demand background (hide)'!AJ75+'SPC background (hide)'!C87,"")</f>
        <v/>
      </c>
      <c r="AC87" s="5" t="e">
        <f t="shared" ca="1" si="54"/>
        <v>#N/A</v>
      </c>
      <c r="AD87" s="5" t="e">
        <f t="shared" ca="1" si="55"/>
        <v>#N/A</v>
      </c>
    </row>
    <row r="88" spans="1:30" x14ac:dyDescent="0.25">
      <c r="A88" s="67" t="str">
        <f ca="1">Demand!C85</f>
        <v/>
      </c>
      <c r="B88" s="67">
        <v>73</v>
      </c>
      <c r="C88" s="5">
        <f ca="1">'Demand background (hide)'!Y76</f>
        <v>0</v>
      </c>
      <c r="D88" s="67">
        <f t="shared" si="39"/>
        <v>0</v>
      </c>
      <c r="E88" s="67" t="e">
        <f t="shared" ca="1" si="40"/>
        <v>#N/A</v>
      </c>
      <c r="F88" s="67" t="e">
        <f t="shared" ca="1" si="41"/>
        <v>#N/A</v>
      </c>
      <c r="G88" s="67" t="e">
        <f t="shared" ca="1" si="42"/>
        <v>#N/A</v>
      </c>
      <c r="H88" s="67" t="e">
        <f>IF('Demand background (hide)'!AN76&lt;&gt;"",'SPC background (hide)'!C88,NA())</f>
        <v>#N/A</v>
      </c>
      <c r="I88" s="67" t="e">
        <f t="shared" ca="1" si="43"/>
        <v>#N/A</v>
      </c>
      <c r="J88" s="5" t="e">
        <f t="shared" ca="1" si="44"/>
        <v>#N/A</v>
      </c>
      <c r="K88" s="5" t="e">
        <f t="shared" ca="1" si="45"/>
        <v>#N/A</v>
      </c>
      <c r="L88" s="5" t="e">
        <f t="shared" ca="1" si="46"/>
        <v>#N/A</v>
      </c>
      <c r="M88" s="5" t="e">
        <f t="shared" ca="1" si="47"/>
        <v>#N/A</v>
      </c>
      <c r="N88" s="5" t="e">
        <f t="shared" ca="1" si="48"/>
        <v>#N/A</v>
      </c>
      <c r="O88" s="5" t="e">
        <f t="shared" ca="1" si="49"/>
        <v>#N/A</v>
      </c>
      <c r="P88" s="5" t="e">
        <f t="shared" ca="1" si="50"/>
        <v>#N/A</v>
      </c>
      <c r="Q88" s="5" t="e">
        <f t="shared" ca="1" si="51"/>
        <v>#N/A</v>
      </c>
      <c r="R88" s="5" t="e">
        <f t="shared" ca="1" si="56"/>
        <v>#N/A</v>
      </c>
      <c r="S88" s="67" t="e">
        <f t="shared" ca="1" si="57"/>
        <v>#N/A</v>
      </c>
      <c r="T88" s="67" t="e">
        <f t="shared" ca="1" si="58"/>
        <v>#N/A</v>
      </c>
      <c r="U88" s="67" t="e">
        <f t="shared" ca="1" si="59"/>
        <v>#N/A</v>
      </c>
      <c r="V88" s="5" t="e">
        <f t="shared" ca="1" si="38"/>
        <v>#N/A</v>
      </c>
      <c r="W88" s="5" t="e">
        <f t="shared" ca="1" si="52"/>
        <v>#N/A</v>
      </c>
      <c r="X88" s="67">
        <f t="shared" ca="1" si="53"/>
        <v>0</v>
      </c>
      <c r="Y88" s="67" t="e">
        <f t="shared" ca="1" si="60"/>
        <v>#N/A</v>
      </c>
      <c r="Z88" s="67" t="e">
        <f t="shared" ca="1" si="61"/>
        <v>#N/A</v>
      </c>
      <c r="AA88" s="5" t="str">
        <f>IF(Setup!$I$15="Yes",'Demand background (hide)'!AJ76+'SPC background (hide)'!C88,"")</f>
        <v/>
      </c>
      <c r="AC88" s="5" t="e">
        <f t="shared" ca="1" si="54"/>
        <v>#N/A</v>
      </c>
      <c r="AD88" s="5" t="e">
        <f t="shared" ca="1" si="55"/>
        <v>#N/A</v>
      </c>
    </row>
    <row r="89" spans="1:30" x14ac:dyDescent="0.25">
      <c r="A89" s="67" t="str">
        <f ca="1">Demand!C86</f>
        <v/>
      </c>
      <c r="B89" s="67">
        <v>74</v>
      </c>
      <c r="C89" s="5">
        <f ca="1">'Demand background (hide)'!Y77</f>
        <v>0</v>
      </c>
      <c r="D89" s="67">
        <f t="shared" si="39"/>
        <v>0</v>
      </c>
      <c r="E89" s="67" t="e">
        <f t="shared" ca="1" si="40"/>
        <v>#N/A</v>
      </c>
      <c r="F89" s="67" t="e">
        <f t="shared" ca="1" si="41"/>
        <v>#N/A</v>
      </c>
      <c r="G89" s="67" t="e">
        <f t="shared" ca="1" si="42"/>
        <v>#N/A</v>
      </c>
      <c r="H89" s="67" t="e">
        <f>IF('Demand background (hide)'!AN77&lt;&gt;"",'SPC background (hide)'!C89,NA())</f>
        <v>#N/A</v>
      </c>
      <c r="I89" s="67" t="e">
        <f t="shared" ca="1" si="43"/>
        <v>#N/A</v>
      </c>
      <c r="J89" s="5" t="e">
        <f t="shared" ca="1" si="44"/>
        <v>#N/A</v>
      </c>
      <c r="K89" s="5" t="e">
        <f t="shared" ca="1" si="45"/>
        <v>#N/A</v>
      </c>
      <c r="L89" s="5" t="e">
        <f t="shared" ca="1" si="46"/>
        <v>#N/A</v>
      </c>
      <c r="M89" s="5" t="e">
        <f t="shared" ca="1" si="47"/>
        <v>#N/A</v>
      </c>
      <c r="N89" s="5" t="e">
        <f t="shared" ca="1" si="48"/>
        <v>#N/A</v>
      </c>
      <c r="O89" s="5" t="e">
        <f t="shared" ca="1" si="49"/>
        <v>#N/A</v>
      </c>
      <c r="P89" s="5" t="e">
        <f t="shared" ca="1" si="50"/>
        <v>#N/A</v>
      </c>
      <c r="Q89" s="5" t="e">
        <f t="shared" ca="1" si="51"/>
        <v>#N/A</v>
      </c>
      <c r="R89" s="5" t="e">
        <f t="shared" ca="1" si="56"/>
        <v>#N/A</v>
      </c>
      <c r="S89" s="67" t="e">
        <f t="shared" ca="1" si="57"/>
        <v>#N/A</v>
      </c>
      <c r="T89" s="67" t="e">
        <f t="shared" ca="1" si="58"/>
        <v>#N/A</v>
      </c>
      <c r="U89" s="67" t="e">
        <f t="shared" ca="1" si="59"/>
        <v>#N/A</v>
      </c>
      <c r="V89" s="5" t="e">
        <f t="shared" ca="1" si="38"/>
        <v>#N/A</v>
      </c>
      <c r="W89" s="5" t="e">
        <f t="shared" ca="1" si="52"/>
        <v>#N/A</v>
      </c>
      <c r="X89" s="67">
        <f t="shared" ca="1" si="53"/>
        <v>0</v>
      </c>
      <c r="Y89" s="67" t="e">
        <f t="shared" ca="1" si="60"/>
        <v>#N/A</v>
      </c>
      <c r="Z89" s="67" t="e">
        <f t="shared" ca="1" si="61"/>
        <v>#N/A</v>
      </c>
      <c r="AA89" s="5" t="str">
        <f>IF(Setup!$I$15="Yes",'Demand background (hide)'!AJ77+'SPC background (hide)'!C89,"")</f>
        <v/>
      </c>
      <c r="AC89" s="5" t="e">
        <f t="shared" ca="1" si="54"/>
        <v>#N/A</v>
      </c>
      <c r="AD89" s="5" t="e">
        <f t="shared" ca="1" si="55"/>
        <v>#N/A</v>
      </c>
    </row>
    <row r="90" spans="1:30" x14ac:dyDescent="0.25">
      <c r="A90" s="67" t="str">
        <f ca="1">Demand!C87</f>
        <v/>
      </c>
      <c r="B90" s="67">
        <v>75</v>
      </c>
      <c r="C90" s="5">
        <f ca="1">'Demand background (hide)'!Y78</f>
        <v>0</v>
      </c>
      <c r="D90" s="67">
        <f t="shared" si="39"/>
        <v>0</v>
      </c>
      <c r="E90" s="67" t="e">
        <f t="shared" ca="1" si="40"/>
        <v>#N/A</v>
      </c>
      <c r="F90" s="67" t="e">
        <f t="shared" ca="1" si="41"/>
        <v>#N/A</v>
      </c>
      <c r="G90" s="67" t="e">
        <f t="shared" ca="1" si="42"/>
        <v>#N/A</v>
      </c>
      <c r="H90" s="67" t="e">
        <f>IF('Demand background (hide)'!AN78&lt;&gt;"",'SPC background (hide)'!C90,NA())</f>
        <v>#N/A</v>
      </c>
      <c r="I90" s="67" t="e">
        <f t="shared" ca="1" si="43"/>
        <v>#N/A</v>
      </c>
      <c r="J90" s="5" t="e">
        <f t="shared" ca="1" si="44"/>
        <v>#N/A</v>
      </c>
      <c r="K90" s="5" t="e">
        <f t="shared" ca="1" si="45"/>
        <v>#N/A</v>
      </c>
      <c r="L90" s="5" t="e">
        <f t="shared" ca="1" si="46"/>
        <v>#N/A</v>
      </c>
      <c r="M90" s="5" t="e">
        <f t="shared" ca="1" si="47"/>
        <v>#N/A</v>
      </c>
      <c r="N90" s="5" t="e">
        <f t="shared" ca="1" si="48"/>
        <v>#N/A</v>
      </c>
      <c r="O90" s="5" t="e">
        <f t="shared" ca="1" si="49"/>
        <v>#N/A</v>
      </c>
      <c r="P90" s="5" t="e">
        <f t="shared" ca="1" si="50"/>
        <v>#N/A</v>
      </c>
      <c r="Q90" s="5" t="e">
        <f t="shared" ca="1" si="51"/>
        <v>#N/A</v>
      </c>
      <c r="R90" s="5" t="e">
        <f t="shared" ca="1" si="56"/>
        <v>#N/A</v>
      </c>
      <c r="S90" s="67" t="e">
        <f t="shared" ca="1" si="57"/>
        <v>#N/A</v>
      </c>
      <c r="T90" s="67" t="e">
        <f t="shared" ca="1" si="58"/>
        <v>#N/A</v>
      </c>
      <c r="U90" s="67" t="e">
        <f t="shared" ca="1" si="59"/>
        <v>#N/A</v>
      </c>
      <c r="V90" s="5" t="e">
        <f t="shared" ca="1" si="38"/>
        <v>#N/A</v>
      </c>
      <c r="W90" s="5" t="e">
        <f t="shared" ca="1" si="52"/>
        <v>#N/A</v>
      </c>
      <c r="X90" s="67">
        <f t="shared" ca="1" si="53"/>
        <v>0</v>
      </c>
      <c r="Y90" s="67" t="e">
        <f t="shared" ca="1" si="60"/>
        <v>#N/A</v>
      </c>
      <c r="Z90" s="67" t="e">
        <f t="shared" ca="1" si="61"/>
        <v>#N/A</v>
      </c>
      <c r="AA90" s="5" t="str">
        <f>IF(Setup!$I$15="Yes",'Demand background (hide)'!AJ78+'SPC background (hide)'!C90,"")</f>
        <v/>
      </c>
      <c r="AC90" s="5" t="e">
        <f t="shared" ca="1" si="54"/>
        <v>#N/A</v>
      </c>
      <c r="AD90" s="5" t="e">
        <f t="shared" ca="1" si="55"/>
        <v>#N/A</v>
      </c>
    </row>
    <row r="91" spans="1:30" x14ac:dyDescent="0.25">
      <c r="A91" s="67" t="str">
        <f ca="1">Demand!C88</f>
        <v/>
      </c>
      <c r="B91" s="67">
        <v>76</v>
      </c>
      <c r="C91" s="5">
        <f ca="1">'Demand background (hide)'!Y79</f>
        <v>0</v>
      </c>
      <c r="D91" s="67">
        <f t="shared" si="39"/>
        <v>0</v>
      </c>
      <c r="E91" s="67" t="e">
        <f t="shared" ca="1" si="40"/>
        <v>#N/A</v>
      </c>
      <c r="F91" s="67" t="e">
        <f t="shared" ca="1" si="41"/>
        <v>#N/A</v>
      </c>
      <c r="G91" s="67" t="e">
        <f t="shared" ca="1" si="42"/>
        <v>#N/A</v>
      </c>
      <c r="H91" s="67" t="e">
        <f>IF('Demand background (hide)'!AN79&lt;&gt;"",'SPC background (hide)'!C91,NA())</f>
        <v>#N/A</v>
      </c>
      <c r="I91" s="67" t="e">
        <f t="shared" ca="1" si="43"/>
        <v>#N/A</v>
      </c>
      <c r="J91" s="5" t="e">
        <f t="shared" ca="1" si="44"/>
        <v>#N/A</v>
      </c>
      <c r="K91" s="5" t="e">
        <f t="shared" ca="1" si="45"/>
        <v>#N/A</v>
      </c>
      <c r="L91" s="5" t="e">
        <f t="shared" ca="1" si="46"/>
        <v>#N/A</v>
      </c>
      <c r="M91" s="5" t="e">
        <f t="shared" ca="1" si="47"/>
        <v>#N/A</v>
      </c>
      <c r="N91" s="5" t="e">
        <f t="shared" ca="1" si="48"/>
        <v>#N/A</v>
      </c>
      <c r="O91" s="5" t="e">
        <f t="shared" ca="1" si="49"/>
        <v>#N/A</v>
      </c>
      <c r="P91" s="5" t="e">
        <f t="shared" ca="1" si="50"/>
        <v>#N/A</v>
      </c>
      <c r="Q91" s="5" t="e">
        <f t="shared" ca="1" si="51"/>
        <v>#N/A</v>
      </c>
      <c r="R91" s="5" t="e">
        <f t="shared" ca="1" si="56"/>
        <v>#N/A</v>
      </c>
      <c r="S91" s="67" t="e">
        <f t="shared" ca="1" si="57"/>
        <v>#N/A</v>
      </c>
      <c r="T91" s="67" t="e">
        <f t="shared" ca="1" si="58"/>
        <v>#N/A</v>
      </c>
      <c r="U91" s="67" t="e">
        <f t="shared" ca="1" si="59"/>
        <v>#N/A</v>
      </c>
      <c r="V91" s="5" t="e">
        <f t="shared" ca="1" si="38"/>
        <v>#N/A</v>
      </c>
      <c r="W91" s="5" t="e">
        <f t="shared" ca="1" si="52"/>
        <v>#N/A</v>
      </c>
      <c r="X91" s="67">
        <f t="shared" ca="1" si="53"/>
        <v>0</v>
      </c>
      <c r="Y91" s="67" t="e">
        <f t="shared" ca="1" si="60"/>
        <v>#N/A</v>
      </c>
      <c r="Z91" s="67" t="e">
        <f t="shared" ca="1" si="61"/>
        <v>#N/A</v>
      </c>
      <c r="AA91" s="5" t="str">
        <f>IF(Setup!$I$15="Yes",'Demand background (hide)'!AJ79+'SPC background (hide)'!C91,"")</f>
        <v/>
      </c>
      <c r="AC91" s="5" t="e">
        <f t="shared" ca="1" si="54"/>
        <v>#N/A</v>
      </c>
      <c r="AD91" s="5" t="e">
        <f t="shared" ca="1" si="55"/>
        <v>#N/A</v>
      </c>
    </row>
    <row r="92" spans="1:30" x14ac:dyDescent="0.25">
      <c r="A92" s="67" t="str">
        <f ca="1">Demand!C89</f>
        <v/>
      </c>
      <c r="B92" s="67">
        <v>77</v>
      </c>
      <c r="C92" s="5">
        <f ca="1">'Demand background (hide)'!Y80</f>
        <v>0</v>
      </c>
      <c r="D92" s="67">
        <f t="shared" si="39"/>
        <v>0</v>
      </c>
      <c r="E92" s="67" t="e">
        <f t="shared" ca="1" si="40"/>
        <v>#N/A</v>
      </c>
      <c r="F92" s="67" t="e">
        <f t="shared" ca="1" si="41"/>
        <v>#N/A</v>
      </c>
      <c r="G92" s="67" t="e">
        <f t="shared" ca="1" si="42"/>
        <v>#N/A</v>
      </c>
      <c r="H92" s="67" t="e">
        <f>IF('Demand background (hide)'!AN80&lt;&gt;"",'SPC background (hide)'!C92,NA())</f>
        <v>#N/A</v>
      </c>
      <c r="I92" s="67" t="e">
        <f t="shared" ca="1" si="43"/>
        <v>#N/A</v>
      </c>
      <c r="J92" s="5" t="e">
        <f t="shared" ca="1" si="44"/>
        <v>#N/A</v>
      </c>
      <c r="K92" s="5" t="e">
        <f t="shared" ca="1" si="45"/>
        <v>#N/A</v>
      </c>
      <c r="L92" s="5" t="e">
        <f t="shared" ca="1" si="46"/>
        <v>#N/A</v>
      </c>
      <c r="M92" s="5" t="e">
        <f t="shared" ca="1" si="47"/>
        <v>#N/A</v>
      </c>
      <c r="N92" s="5" t="e">
        <f t="shared" ca="1" si="48"/>
        <v>#N/A</v>
      </c>
      <c r="O92" s="5" t="e">
        <f t="shared" ca="1" si="49"/>
        <v>#N/A</v>
      </c>
      <c r="P92" s="5" t="e">
        <f t="shared" ca="1" si="50"/>
        <v>#N/A</v>
      </c>
      <c r="Q92" s="5" t="e">
        <f t="shared" ca="1" si="51"/>
        <v>#N/A</v>
      </c>
      <c r="R92" s="5" t="e">
        <f t="shared" ca="1" si="56"/>
        <v>#N/A</v>
      </c>
      <c r="S92" s="67" t="e">
        <f t="shared" ca="1" si="57"/>
        <v>#N/A</v>
      </c>
      <c r="T92" s="67" t="e">
        <f t="shared" ca="1" si="58"/>
        <v>#N/A</v>
      </c>
      <c r="U92" s="67" t="e">
        <f t="shared" ca="1" si="59"/>
        <v>#N/A</v>
      </c>
      <c r="V92" s="5" t="e">
        <f t="shared" ca="1" si="38"/>
        <v>#N/A</v>
      </c>
      <c r="W92" s="5" t="e">
        <f t="shared" ca="1" si="52"/>
        <v>#N/A</v>
      </c>
      <c r="X92" s="67">
        <f t="shared" ca="1" si="53"/>
        <v>0</v>
      </c>
      <c r="Y92" s="67" t="e">
        <f t="shared" ca="1" si="60"/>
        <v>#N/A</v>
      </c>
      <c r="Z92" s="67" t="e">
        <f t="shared" ca="1" si="61"/>
        <v>#N/A</v>
      </c>
      <c r="AA92" s="5" t="str">
        <f>IF(Setup!$I$15="Yes",'Demand background (hide)'!AJ80+'SPC background (hide)'!C92,"")</f>
        <v/>
      </c>
      <c r="AC92" s="5" t="e">
        <f t="shared" ca="1" si="54"/>
        <v>#N/A</v>
      </c>
      <c r="AD92" s="5" t="e">
        <f t="shared" ca="1" si="55"/>
        <v>#N/A</v>
      </c>
    </row>
    <row r="93" spans="1:30" x14ac:dyDescent="0.25">
      <c r="A93" s="67" t="str">
        <f ca="1">Demand!C90</f>
        <v/>
      </c>
      <c r="B93" s="67">
        <v>78</v>
      </c>
      <c r="C93" s="5">
        <f ca="1">'Demand background (hide)'!Y81</f>
        <v>0</v>
      </c>
      <c r="D93" s="67">
        <f t="shared" si="39"/>
        <v>0</v>
      </c>
      <c r="E93" s="67" t="e">
        <f t="shared" ca="1" si="40"/>
        <v>#N/A</v>
      </c>
      <c r="F93" s="67" t="e">
        <f t="shared" ca="1" si="41"/>
        <v>#N/A</v>
      </c>
      <c r="G93" s="67" t="e">
        <f t="shared" ca="1" si="42"/>
        <v>#N/A</v>
      </c>
      <c r="H93" s="67" t="e">
        <f>IF('Demand background (hide)'!AN81&lt;&gt;"",'SPC background (hide)'!C93,NA())</f>
        <v>#N/A</v>
      </c>
      <c r="I93" s="67" t="e">
        <f t="shared" ca="1" si="43"/>
        <v>#N/A</v>
      </c>
      <c r="J93" s="5" t="e">
        <f t="shared" ca="1" si="44"/>
        <v>#N/A</v>
      </c>
      <c r="K93" s="5" t="e">
        <f t="shared" ca="1" si="45"/>
        <v>#N/A</v>
      </c>
      <c r="L93" s="5" t="e">
        <f t="shared" ca="1" si="46"/>
        <v>#N/A</v>
      </c>
      <c r="M93" s="5" t="e">
        <f t="shared" ca="1" si="47"/>
        <v>#N/A</v>
      </c>
      <c r="N93" s="5" t="e">
        <f t="shared" ca="1" si="48"/>
        <v>#N/A</v>
      </c>
      <c r="O93" s="5" t="e">
        <f t="shared" ca="1" si="49"/>
        <v>#N/A</v>
      </c>
      <c r="P93" s="5" t="e">
        <f t="shared" ca="1" si="50"/>
        <v>#N/A</v>
      </c>
      <c r="Q93" s="5" t="e">
        <f t="shared" ca="1" si="51"/>
        <v>#N/A</v>
      </c>
      <c r="R93" s="5" t="e">
        <f t="shared" ca="1" si="56"/>
        <v>#N/A</v>
      </c>
      <c r="S93" s="67" t="e">
        <f t="shared" ca="1" si="57"/>
        <v>#N/A</v>
      </c>
      <c r="T93" s="67" t="e">
        <f t="shared" ca="1" si="58"/>
        <v>#N/A</v>
      </c>
      <c r="U93" s="67" t="e">
        <f t="shared" ca="1" si="59"/>
        <v>#N/A</v>
      </c>
      <c r="V93" s="5" t="e">
        <f t="shared" ca="1" si="38"/>
        <v>#N/A</v>
      </c>
      <c r="W93" s="5" t="e">
        <f t="shared" ca="1" si="52"/>
        <v>#N/A</v>
      </c>
      <c r="X93" s="67">
        <f t="shared" ca="1" si="53"/>
        <v>0</v>
      </c>
      <c r="Y93" s="67" t="e">
        <f t="shared" ca="1" si="60"/>
        <v>#N/A</v>
      </c>
      <c r="Z93" s="67" t="e">
        <f t="shared" ca="1" si="61"/>
        <v>#N/A</v>
      </c>
      <c r="AA93" s="5" t="str">
        <f>IF(Setup!$I$15="Yes",'Demand background (hide)'!AJ81+'SPC background (hide)'!C93,"")</f>
        <v/>
      </c>
      <c r="AC93" s="5" t="e">
        <f t="shared" ca="1" si="54"/>
        <v>#N/A</v>
      </c>
      <c r="AD93" s="5" t="e">
        <f t="shared" ca="1" si="55"/>
        <v>#N/A</v>
      </c>
    </row>
    <row r="94" spans="1:30" x14ac:dyDescent="0.25">
      <c r="A94" s="67" t="str">
        <f ca="1">Demand!C91</f>
        <v/>
      </c>
      <c r="B94" s="67">
        <v>79</v>
      </c>
      <c r="C94" s="5">
        <f ca="1">'Demand background (hide)'!Y82</f>
        <v>0</v>
      </c>
      <c r="D94" s="67">
        <f t="shared" si="39"/>
        <v>0</v>
      </c>
      <c r="E94" s="67" t="e">
        <f t="shared" ca="1" si="40"/>
        <v>#N/A</v>
      </c>
      <c r="F94" s="67" t="e">
        <f t="shared" ca="1" si="41"/>
        <v>#N/A</v>
      </c>
      <c r="G94" s="67" t="e">
        <f t="shared" ca="1" si="42"/>
        <v>#N/A</v>
      </c>
      <c r="H94" s="67" t="e">
        <f>IF('Demand background (hide)'!AN82&lt;&gt;"",'SPC background (hide)'!C94,NA())</f>
        <v>#N/A</v>
      </c>
      <c r="I94" s="67" t="e">
        <f t="shared" ca="1" si="43"/>
        <v>#N/A</v>
      </c>
      <c r="J94" s="5" t="e">
        <f t="shared" ca="1" si="44"/>
        <v>#N/A</v>
      </c>
      <c r="K94" s="5" t="e">
        <f t="shared" ca="1" si="45"/>
        <v>#N/A</v>
      </c>
      <c r="L94" s="5" t="e">
        <f t="shared" ca="1" si="46"/>
        <v>#N/A</v>
      </c>
      <c r="M94" s="5" t="e">
        <f t="shared" ca="1" si="47"/>
        <v>#N/A</v>
      </c>
      <c r="N94" s="5" t="e">
        <f t="shared" ca="1" si="48"/>
        <v>#N/A</v>
      </c>
      <c r="O94" s="5" t="e">
        <f t="shared" ca="1" si="49"/>
        <v>#N/A</v>
      </c>
      <c r="P94" s="5" t="e">
        <f t="shared" ca="1" si="50"/>
        <v>#N/A</v>
      </c>
      <c r="Q94" s="5" t="e">
        <f t="shared" ca="1" si="51"/>
        <v>#N/A</v>
      </c>
      <c r="R94" s="5" t="e">
        <f t="shared" ca="1" si="56"/>
        <v>#N/A</v>
      </c>
      <c r="S94" s="67" t="e">
        <f t="shared" ca="1" si="57"/>
        <v>#N/A</v>
      </c>
      <c r="T94" s="67" t="e">
        <f t="shared" ca="1" si="58"/>
        <v>#N/A</v>
      </c>
      <c r="U94" s="67" t="e">
        <f t="shared" ca="1" si="59"/>
        <v>#N/A</v>
      </c>
      <c r="V94" s="5" t="e">
        <f t="shared" ca="1" si="38"/>
        <v>#N/A</v>
      </c>
      <c r="W94" s="5" t="e">
        <f t="shared" ca="1" si="52"/>
        <v>#N/A</v>
      </c>
      <c r="X94" s="67">
        <f t="shared" ca="1" si="53"/>
        <v>0</v>
      </c>
      <c r="Y94" s="67" t="e">
        <f t="shared" ca="1" si="60"/>
        <v>#N/A</v>
      </c>
      <c r="Z94" s="67" t="e">
        <f t="shared" ca="1" si="61"/>
        <v>#N/A</v>
      </c>
      <c r="AA94" s="5" t="str">
        <f>IF(Setup!$I$15="Yes",'Demand background (hide)'!AJ82+'SPC background (hide)'!C94,"")</f>
        <v/>
      </c>
      <c r="AC94" s="5" t="e">
        <f t="shared" ca="1" si="54"/>
        <v>#N/A</v>
      </c>
      <c r="AD94" s="5" t="e">
        <f t="shared" ca="1" si="55"/>
        <v>#N/A</v>
      </c>
    </row>
    <row r="95" spans="1:30" x14ac:dyDescent="0.25">
      <c r="A95" s="67" t="str">
        <f ca="1">Demand!C92</f>
        <v/>
      </c>
      <c r="B95" s="67">
        <v>80</v>
      </c>
      <c r="C95" s="5">
        <f ca="1">'Demand background (hide)'!Y83</f>
        <v>0</v>
      </c>
      <c r="D95" s="67">
        <f t="shared" si="39"/>
        <v>0</v>
      </c>
      <c r="E95" s="67" t="e">
        <f t="shared" ca="1" si="40"/>
        <v>#N/A</v>
      </c>
      <c r="F95" s="67" t="e">
        <f t="shared" ca="1" si="41"/>
        <v>#N/A</v>
      </c>
      <c r="G95" s="67" t="e">
        <f t="shared" ca="1" si="42"/>
        <v>#N/A</v>
      </c>
      <c r="H95" s="67" t="e">
        <f>IF('Demand background (hide)'!AN83&lt;&gt;"",'SPC background (hide)'!C95,NA())</f>
        <v>#N/A</v>
      </c>
      <c r="I95" s="67" t="e">
        <f t="shared" ca="1" si="43"/>
        <v>#N/A</v>
      </c>
      <c r="J95" s="5" t="e">
        <f t="shared" ca="1" si="44"/>
        <v>#N/A</v>
      </c>
      <c r="K95" s="5" t="e">
        <f t="shared" ca="1" si="45"/>
        <v>#N/A</v>
      </c>
      <c r="L95" s="5" t="e">
        <f t="shared" ca="1" si="46"/>
        <v>#N/A</v>
      </c>
      <c r="M95" s="5" t="e">
        <f t="shared" ca="1" si="47"/>
        <v>#N/A</v>
      </c>
      <c r="N95" s="5" t="e">
        <f t="shared" ca="1" si="48"/>
        <v>#N/A</v>
      </c>
      <c r="O95" s="5" t="e">
        <f t="shared" ca="1" si="49"/>
        <v>#N/A</v>
      </c>
      <c r="P95" s="5" t="e">
        <f t="shared" ca="1" si="50"/>
        <v>#N/A</v>
      </c>
      <c r="Q95" s="5" t="e">
        <f t="shared" ca="1" si="51"/>
        <v>#N/A</v>
      </c>
      <c r="R95" s="5" t="e">
        <f t="shared" ca="1" si="56"/>
        <v>#N/A</v>
      </c>
      <c r="S95" s="67" t="e">
        <f t="shared" ca="1" si="57"/>
        <v>#N/A</v>
      </c>
      <c r="T95" s="67" t="e">
        <f t="shared" ca="1" si="58"/>
        <v>#N/A</v>
      </c>
      <c r="U95" s="67" t="e">
        <f t="shared" ca="1" si="59"/>
        <v>#N/A</v>
      </c>
      <c r="V95" s="5" t="e">
        <f t="shared" ca="1" si="38"/>
        <v>#N/A</v>
      </c>
      <c r="W95" s="5" t="e">
        <f t="shared" ca="1" si="52"/>
        <v>#N/A</v>
      </c>
      <c r="X95" s="67">
        <f t="shared" ca="1" si="53"/>
        <v>0</v>
      </c>
      <c r="Y95" s="67" t="e">
        <f t="shared" ca="1" si="60"/>
        <v>#N/A</v>
      </c>
      <c r="Z95" s="67" t="e">
        <f t="shared" ca="1" si="61"/>
        <v>#N/A</v>
      </c>
      <c r="AA95" s="5" t="str">
        <f>IF(Setup!$I$15="Yes",'Demand background (hide)'!AJ83+'SPC background (hide)'!C95,"")</f>
        <v/>
      </c>
      <c r="AC95" s="5" t="e">
        <f t="shared" ca="1" si="54"/>
        <v>#N/A</v>
      </c>
      <c r="AD95" s="5" t="e">
        <f t="shared" ca="1" si="55"/>
        <v>#N/A</v>
      </c>
    </row>
    <row r="96" spans="1:30" x14ac:dyDescent="0.25">
      <c r="A96" s="67" t="str">
        <f ca="1">Demand!C93</f>
        <v/>
      </c>
      <c r="B96" s="67">
        <v>81</v>
      </c>
      <c r="C96" s="5">
        <f ca="1">'Demand background (hide)'!Y84</f>
        <v>0</v>
      </c>
      <c r="D96" s="67">
        <f t="shared" si="39"/>
        <v>0</v>
      </c>
      <c r="E96" s="67" t="e">
        <f t="shared" ca="1" si="40"/>
        <v>#N/A</v>
      </c>
      <c r="F96" s="67" t="e">
        <f t="shared" ca="1" si="41"/>
        <v>#N/A</v>
      </c>
      <c r="G96" s="67" t="e">
        <f t="shared" ca="1" si="42"/>
        <v>#N/A</v>
      </c>
      <c r="H96" s="67" t="e">
        <f>IF('Demand background (hide)'!AN84&lt;&gt;"",'SPC background (hide)'!C96,NA())</f>
        <v>#N/A</v>
      </c>
      <c r="I96" s="67" t="e">
        <f t="shared" ca="1" si="43"/>
        <v>#N/A</v>
      </c>
      <c r="J96" s="5" t="e">
        <f t="shared" ca="1" si="44"/>
        <v>#N/A</v>
      </c>
      <c r="K96" s="5" t="e">
        <f t="shared" ca="1" si="45"/>
        <v>#N/A</v>
      </c>
      <c r="L96" s="5" t="e">
        <f t="shared" ca="1" si="46"/>
        <v>#N/A</v>
      </c>
      <c r="M96" s="5" t="e">
        <f t="shared" ca="1" si="47"/>
        <v>#N/A</v>
      </c>
      <c r="N96" s="5" t="e">
        <f t="shared" ca="1" si="48"/>
        <v>#N/A</v>
      </c>
      <c r="O96" s="5" t="e">
        <f t="shared" ca="1" si="49"/>
        <v>#N/A</v>
      </c>
      <c r="P96" s="5" t="e">
        <f t="shared" ca="1" si="50"/>
        <v>#N/A</v>
      </c>
      <c r="Q96" s="5" t="e">
        <f t="shared" ca="1" si="51"/>
        <v>#N/A</v>
      </c>
      <c r="R96" s="5" t="e">
        <f t="shared" ca="1" si="56"/>
        <v>#N/A</v>
      </c>
      <c r="S96" s="67" t="e">
        <f t="shared" ca="1" si="57"/>
        <v>#N/A</v>
      </c>
      <c r="T96" s="67" t="e">
        <f t="shared" ca="1" si="58"/>
        <v>#N/A</v>
      </c>
      <c r="U96" s="67" t="e">
        <f t="shared" ca="1" si="59"/>
        <v>#N/A</v>
      </c>
      <c r="V96" s="5" t="e">
        <f t="shared" ca="1" si="38"/>
        <v>#N/A</v>
      </c>
      <c r="W96" s="5" t="e">
        <f t="shared" ca="1" si="52"/>
        <v>#N/A</v>
      </c>
      <c r="X96" s="67">
        <f t="shared" ca="1" si="53"/>
        <v>0</v>
      </c>
      <c r="Y96" s="67" t="e">
        <f t="shared" ca="1" si="60"/>
        <v>#N/A</v>
      </c>
      <c r="Z96" s="67" t="e">
        <f t="shared" ca="1" si="61"/>
        <v>#N/A</v>
      </c>
      <c r="AA96" s="5" t="str">
        <f>IF(Setup!$I$15="Yes",'Demand background (hide)'!AJ84+'SPC background (hide)'!C96,"")</f>
        <v/>
      </c>
      <c r="AC96" s="5" t="e">
        <f t="shared" ca="1" si="54"/>
        <v>#N/A</v>
      </c>
      <c r="AD96" s="5" t="e">
        <f t="shared" ca="1" si="55"/>
        <v>#N/A</v>
      </c>
    </row>
    <row r="97" spans="1:30" x14ac:dyDescent="0.25">
      <c r="A97" s="67" t="str">
        <f ca="1">Demand!C94</f>
        <v/>
      </c>
      <c r="B97" s="67">
        <v>82</v>
      </c>
      <c r="C97" s="5">
        <f ca="1">'Demand background (hide)'!Y85</f>
        <v>0</v>
      </c>
      <c r="D97" s="67">
        <f t="shared" si="39"/>
        <v>0</v>
      </c>
      <c r="E97" s="67" t="e">
        <f t="shared" ca="1" si="40"/>
        <v>#N/A</v>
      </c>
      <c r="F97" s="67" t="e">
        <f t="shared" ca="1" si="41"/>
        <v>#N/A</v>
      </c>
      <c r="G97" s="67" t="e">
        <f t="shared" ca="1" si="42"/>
        <v>#N/A</v>
      </c>
      <c r="H97" s="67" t="e">
        <f>IF('Demand background (hide)'!AN85&lt;&gt;"",'SPC background (hide)'!C97,NA())</f>
        <v>#N/A</v>
      </c>
      <c r="I97" s="67" t="e">
        <f t="shared" ca="1" si="43"/>
        <v>#N/A</v>
      </c>
      <c r="J97" s="5" t="e">
        <f t="shared" ca="1" si="44"/>
        <v>#N/A</v>
      </c>
      <c r="K97" s="5" t="e">
        <f t="shared" ca="1" si="45"/>
        <v>#N/A</v>
      </c>
      <c r="L97" s="5" t="e">
        <f t="shared" ca="1" si="46"/>
        <v>#N/A</v>
      </c>
      <c r="M97" s="5" t="e">
        <f t="shared" ca="1" si="47"/>
        <v>#N/A</v>
      </c>
      <c r="N97" s="5" t="e">
        <f t="shared" ca="1" si="48"/>
        <v>#N/A</v>
      </c>
      <c r="O97" s="5" t="e">
        <f t="shared" ca="1" si="49"/>
        <v>#N/A</v>
      </c>
      <c r="P97" s="5" t="e">
        <f t="shared" ca="1" si="50"/>
        <v>#N/A</v>
      </c>
      <c r="Q97" s="5" t="e">
        <f t="shared" ca="1" si="51"/>
        <v>#N/A</v>
      </c>
      <c r="R97" s="5" t="e">
        <f t="shared" ca="1" si="56"/>
        <v>#N/A</v>
      </c>
      <c r="S97" s="67" t="e">
        <f t="shared" ca="1" si="57"/>
        <v>#N/A</v>
      </c>
      <c r="T97" s="67" t="e">
        <f t="shared" ca="1" si="58"/>
        <v>#N/A</v>
      </c>
      <c r="U97" s="67" t="e">
        <f t="shared" ca="1" si="59"/>
        <v>#N/A</v>
      </c>
      <c r="V97" s="5" t="e">
        <f t="shared" ca="1" si="38"/>
        <v>#N/A</v>
      </c>
      <c r="W97" s="5" t="e">
        <f t="shared" ca="1" si="52"/>
        <v>#N/A</v>
      </c>
      <c r="X97" s="67">
        <f t="shared" ca="1" si="53"/>
        <v>0</v>
      </c>
      <c r="Y97" s="67" t="e">
        <f t="shared" ca="1" si="60"/>
        <v>#N/A</v>
      </c>
      <c r="Z97" s="67" t="e">
        <f t="shared" ca="1" si="61"/>
        <v>#N/A</v>
      </c>
      <c r="AA97" s="5" t="str">
        <f>IF(Setup!$I$15="Yes",'Demand background (hide)'!AJ85+'SPC background (hide)'!C97,"")</f>
        <v/>
      </c>
      <c r="AC97" s="5" t="e">
        <f t="shared" ca="1" si="54"/>
        <v>#N/A</v>
      </c>
      <c r="AD97" s="5" t="e">
        <f t="shared" ca="1" si="55"/>
        <v>#N/A</v>
      </c>
    </row>
    <row r="98" spans="1:30" x14ac:dyDescent="0.25">
      <c r="A98" s="67" t="str">
        <f ca="1">Demand!C95</f>
        <v/>
      </c>
      <c r="B98" s="67">
        <v>83</v>
      </c>
      <c r="C98" s="5">
        <f ca="1">'Demand background (hide)'!Y86</f>
        <v>0</v>
      </c>
      <c r="D98" s="67">
        <f t="shared" si="39"/>
        <v>0</v>
      </c>
      <c r="E98" s="67" t="e">
        <f t="shared" ca="1" si="40"/>
        <v>#N/A</v>
      </c>
      <c r="F98" s="67" t="e">
        <f t="shared" ca="1" si="41"/>
        <v>#N/A</v>
      </c>
      <c r="G98" s="67" t="e">
        <f t="shared" ca="1" si="42"/>
        <v>#N/A</v>
      </c>
      <c r="H98" s="67" t="e">
        <f>IF('Demand background (hide)'!AN86&lt;&gt;"",'SPC background (hide)'!C98,NA())</f>
        <v>#N/A</v>
      </c>
      <c r="I98" s="67" t="e">
        <f t="shared" ca="1" si="43"/>
        <v>#N/A</v>
      </c>
      <c r="J98" s="5" t="e">
        <f t="shared" ca="1" si="44"/>
        <v>#N/A</v>
      </c>
      <c r="K98" s="5" t="e">
        <f t="shared" ca="1" si="45"/>
        <v>#N/A</v>
      </c>
      <c r="L98" s="5" t="e">
        <f t="shared" ca="1" si="46"/>
        <v>#N/A</v>
      </c>
      <c r="M98" s="5" t="e">
        <f t="shared" ca="1" si="47"/>
        <v>#N/A</v>
      </c>
      <c r="N98" s="5" t="e">
        <f t="shared" ca="1" si="48"/>
        <v>#N/A</v>
      </c>
      <c r="O98" s="5" t="e">
        <f t="shared" ca="1" si="49"/>
        <v>#N/A</v>
      </c>
      <c r="P98" s="5" t="e">
        <f t="shared" ca="1" si="50"/>
        <v>#N/A</v>
      </c>
      <c r="Q98" s="5" t="e">
        <f t="shared" ca="1" si="51"/>
        <v>#N/A</v>
      </c>
      <c r="R98" s="5" t="e">
        <f t="shared" ca="1" si="56"/>
        <v>#N/A</v>
      </c>
      <c r="S98" s="67" t="e">
        <f t="shared" ca="1" si="57"/>
        <v>#N/A</v>
      </c>
      <c r="T98" s="67" t="e">
        <f t="shared" ca="1" si="58"/>
        <v>#N/A</v>
      </c>
      <c r="U98" s="67" t="e">
        <f t="shared" ca="1" si="59"/>
        <v>#N/A</v>
      </c>
      <c r="V98" s="5" t="e">
        <f t="shared" ca="1" si="38"/>
        <v>#N/A</v>
      </c>
      <c r="W98" s="5" t="e">
        <f t="shared" ca="1" si="52"/>
        <v>#N/A</v>
      </c>
      <c r="X98" s="67">
        <f t="shared" ca="1" si="53"/>
        <v>0</v>
      </c>
      <c r="Y98" s="67" t="e">
        <f t="shared" ca="1" si="60"/>
        <v>#N/A</v>
      </c>
      <c r="Z98" s="67" t="e">
        <f t="shared" ca="1" si="61"/>
        <v>#N/A</v>
      </c>
      <c r="AA98" s="5" t="str">
        <f>IF(Setup!$I$15="Yes",'Demand background (hide)'!AJ86+'SPC background (hide)'!C98,"")</f>
        <v/>
      </c>
      <c r="AC98" s="5" t="e">
        <f t="shared" ca="1" si="54"/>
        <v>#N/A</v>
      </c>
      <c r="AD98" s="5" t="e">
        <f t="shared" ca="1" si="55"/>
        <v>#N/A</v>
      </c>
    </row>
    <row r="99" spans="1:30" x14ac:dyDescent="0.25">
      <c r="A99" s="67" t="str">
        <f ca="1">Demand!C96</f>
        <v/>
      </c>
      <c r="B99" s="67">
        <v>84</v>
      </c>
      <c r="C99" s="5">
        <f ca="1">'Demand background (hide)'!Y87</f>
        <v>0</v>
      </c>
      <c r="D99" s="67">
        <f t="shared" si="39"/>
        <v>0</v>
      </c>
      <c r="E99" s="67" t="e">
        <f t="shared" ca="1" si="40"/>
        <v>#N/A</v>
      </c>
      <c r="F99" s="67" t="e">
        <f t="shared" ca="1" si="41"/>
        <v>#N/A</v>
      </c>
      <c r="G99" s="67" t="e">
        <f t="shared" ca="1" si="42"/>
        <v>#N/A</v>
      </c>
      <c r="H99" s="67" t="e">
        <f>IF('Demand background (hide)'!AN87&lt;&gt;"",'SPC background (hide)'!C99,NA())</f>
        <v>#N/A</v>
      </c>
      <c r="I99" s="67" t="e">
        <f t="shared" ca="1" si="43"/>
        <v>#N/A</v>
      </c>
      <c r="J99" s="5" t="e">
        <f t="shared" ca="1" si="44"/>
        <v>#N/A</v>
      </c>
      <c r="K99" s="5" t="e">
        <f t="shared" ca="1" si="45"/>
        <v>#N/A</v>
      </c>
      <c r="L99" s="5" t="e">
        <f t="shared" ca="1" si="46"/>
        <v>#N/A</v>
      </c>
      <c r="M99" s="5" t="e">
        <f t="shared" ca="1" si="47"/>
        <v>#N/A</v>
      </c>
      <c r="N99" s="5" t="e">
        <f t="shared" ca="1" si="48"/>
        <v>#N/A</v>
      </c>
      <c r="O99" s="5" t="e">
        <f t="shared" ca="1" si="49"/>
        <v>#N/A</v>
      </c>
      <c r="P99" s="5" t="e">
        <f t="shared" ca="1" si="50"/>
        <v>#N/A</v>
      </c>
      <c r="Q99" s="5" t="e">
        <f t="shared" ca="1" si="51"/>
        <v>#N/A</v>
      </c>
      <c r="R99" s="5" t="e">
        <f t="shared" ca="1" si="56"/>
        <v>#N/A</v>
      </c>
      <c r="S99" s="67" t="e">
        <f t="shared" ca="1" si="57"/>
        <v>#N/A</v>
      </c>
      <c r="T99" s="67" t="e">
        <f t="shared" ca="1" si="58"/>
        <v>#N/A</v>
      </c>
      <c r="U99" s="67" t="e">
        <f t="shared" ca="1" si="59"/>
        <v>#N/A</v>
      </c>
      <c r="V99" s="5" t="e">
        <f t="shared" ca="1" si="38"/>
        <v>#N/A</v>
      </c>
      <c r="W99" s="5" t="e">
        <f t="shared" ca="1" si="52"/>
        <v>#N/A</v>
      </c>
      <c r="X99" s="67">
        <f t="shared" ca="1" si="53"/>
        <v>0</v>
      </c>
      <c r="Y99" s="67" t="e">
        <f t="shared" ca="1" si="60"/>
        <v>#N/A</v>
      </c>
      <c r="Z99" s="67" t="e">
        <f t="shared" ca="1" si="61"/>
        <v>#N/A</v>
      </c>
      <c r="AA99" s="5" t="str">
        <f>IF(Setup!$I$15="Yes",'Demand background (hide)'!AJ87+'SPC background (hide)'!C99,"")</f>
        <v/>
      </c>
      <c r="AC99" s="5" t="e">
        <f t="shared" ca="1" si="54"/>
        <v>#N/A</v>
      </c>
      <c r="AD99" s="5" t="e">
        <f t="shared" ca="1" si="55"/>
        <v>#N/A</v>
      </c>
    </row>
    <row r="100" spans="1:30" x14ac:dyDescent="0.25">
      <c r="A100" s="67" t="str">
        <f ca="1">Demand!C97</f>
        <v/>
      </c>
      <c r="B100" s="67">
        <v>85</v>
      </c>
      <c r="C100" s="5">
        <f ca="1">'Demand background (hide)'!Y88</f>
        <v>0</v>
      </c>
      <c r="D100" s="67">
        <f t="shared" si="39"/>
        <v>0</v>
      </c>
      <c r="E100" s="67" t="e">
        <f t="shared" ca="1" si="40"/>
        <v>#N/A</v>
      </c>
      <c r="F100" s="67" t="e">
        <f t="shared" ca="1" si="41"/>
        <v>#N/A</v>
      </c>
      <c r="G100" s="67" t="e">
        <f t="shared" ca="1" si="42"/>
        <v>#N/A</v>
      </c>
      <c r="H100" s="67" t="e">
        <f>IF('Demand background (hide)'!AN88&lt;&gt;"",'SPC background (hide)'!C100,NA())</f>
        <v>#N/A</v>
      </c>
      <c r="I100" s="67" t="e">
        <f t="shared" ca="1" si="43"/>
        <v>#N/A</v>
      </c>
      <c r="J100" s="5" t="e">
        <f t="shared" ca="1" si="44"/>
        <v>#N/A</v>
      </c>
      <c r="K100" s="5" t="e">
        <f t="shared" ca="1" si="45"/>
        <v>#N/A</v>
      </c>
      <c r="L100" s="5" t="e">
        <f t="shared" ca="1" si="46"/>
        <v>#N/A</v>
      </c>
      <c r="M100" s="5" t="e">
        <f t="shared" ca="1" si="47"/>
        <v>#N/A</v>
      </c>
      <c r="N100" s="5" t="e">
        <f t="shared" ca="1" si="48"/>
        <v>#N/A</v>
      </c>
      <c r="O100" s="5" t="e">
        <f t="shared" ca="1" si="49"/>
        <v>#N/A</v>
      </c>
      <c r="P100" s="5" t="e">
        <f t="shared" ca="1" si="50"/>
        <v>#N/A</v>
      </c>
      <c r="Q100" s="5" t="e">
        <f t="shared" ca="1" si="51"/>
        <v>#N/A</v>
      </c>
      <c r="R100" s="5" t="e">
        <f t="shared" ca="1" si="56"/>
        <v>#N/A</v>
      </c>
      <c r="S100" s="67" t="e">
        <f t="shared" ca="1" si="57"/>
        <v>#N/A</v>
      </c>
      <c r="T100" s="67" t="e">
        <f t="shared" ca="1" si="58"/>
        <v>#N/A</v>
      </c>
      <c r="U100" s="67" t="e">
        <f t="shared" ca="1" si="59"/>
        <v>#N/A</v>
      </c>
      <c r="V100" s="5" t="e">
        <f t="shared" ca="1" si="38"/>
        <v>#N/A</v>
      </c>
      <c r="W100" s="5" t="e">
        <f t="shared" ca="1" si="52"/>
        <v>#N/A</v>
      </c>
      <c r="X100" s="67">
        <f t="shared" ca="1" si="53"/>
        <v>0</v>
      </c>
      <c r="Y100" s="67" t="e">
        <f t="shared" ca="1" si="60"/>
        <v>#N/A</v>
      </c>
      <c r="Z100" s="67" t="e">
        <f t="shared" ca="1" si="61"/>
        <v>#N/A</v>
      </c>
      <c r="AA100" s="5" t="str">
        <f>IF(Setup!$I$15="Yes",'Demand background (hide)'!AJ88+'SPC background (hide)'!C100,"")</f>
        <v/>
      </c>
      <c r="AC100" s="5" t="e">
        <f t="shared" ca="1" si="54"/>
        <v>#N/A</v>
      </c>
      <c r="AD100" s="5" t="e">
        <f t="shared" ca="1" si="55"/>
        <v>#N/A</v>
      </c>
    </row>
    <row r="101" spans="1:30" x14ac:dyDescent="0.25">
      <c r="A101" s="67" t="str">
        <f ca="1">Demand!C98</f>
        <v/>
      </c>
      <c r="B101" s="67">
        <v>86</v>
      </c>
      <c r="C101" s="5">
        <f ca="1">'Demand background (hide)'!Y89</f>
        <v>0</v>
      </c>
      <c r="D101" s="67">
        <f t="shared" si="39"/>
        <v>0</v>
      </c>
      <c r="E101" s="67" t="e">
        <f t="shared" ca="1" si="40"/>
        <v>#N/A</v>
      </c>
      <c r="F101" s="67" t="e">
        <f t="shared" ca="1" si="41"/>
        <v>#N/A</v>
      </c>
      <c r="G101" s="67" t="e">
        <f t="shared" ca="1" si="42"/>
        <v>#N/A</v>
      </c>
      <c r="H101" s="67" t="e">
        <f>IF('Demand background (hide)'!AN89&lt;&gt;"",'SPC background (hide)'!C101,NA())</f>
        <v>#N/A</v>
      </c>
      <c r="I101" s="67" t="e">
        <f t="shared" ca="1" si="43"/>
        <v>#N/A</v>
      </c>
      <c r="J101" s="5" t="e">
        <f t="shared" ca="1" si="44"/>
        <v>#N/A</v>
      </c>
      <c r="K101" s="5" t="e">
        <f t="shared" ca="1" si="45"/>
        <v>#N/A</v>
      </c>
      <c r="L101" s="5" t="e">
        <f t="shared" ca="1" si="46"/>
        <v>#N/A</v>
      </c>
      <c r="M101" s="5" t="e">
        <f t="shared" ca="1" si="47"/>
        <v>#N/A</v>
      </c>
      <c r="N101" s="5" t="e">
        <f t="shared" ca="1" si="48"/>
        <v>#N/A</v>
      </c>
      <c r="O101" s="5" t="e">
        <f t="shared" ca="1" si="49"/>
        <v>#N/A</v>
      </c>
      <c r="P101" s="5" t="e">
        <f t="shared" ca="1" si="50"/>
        <v>#N/A</v>
      </c>
      <c r="Q101" s="5" t="e">
        <f t="shared" ca="1" si="51"/>
        <v>#N/A</v>
      </c>
      <c r="R101" s="5" t="e">
        <f t="shared" ca="1" si="56"/>
        <v>#N/A</v>
      </c>
      <c r="S101" s="67" t="e">
        <f t="shared" ca="1" si="57"/>
        <v>#N/A</v>
      </c>
      <c r="T101" s="67" t="e">
        <f t="shared" ca="1" si="58"/>
        <v>#N/A</v>
      </c>
      <c r="U101" s="67" t="e">
        <f t="shared" ca="1" si="59"/>
        <v>#N/A</v>
      </c>
      <c r="V101" s="5" t="e">
        <f t="shared" ca="1" si="38"/>
        <v>#N/A</v>
      </c>
      <c r="W101" s="5" t="e">
        <f t="shared" ca="1" si="52"/>
        <v>#N/A</v>
      </c>
      <c r="X101" s="67">
        <f t="shared" ca="1" si="53"/>
        <v>0</v>
      </c>
      <c r="Y101" s="67" t="e">
        <f t="shared" ca="1" si="60"/>
        <v>#N/A</v>
      </c>
      <c r="Z101" s="67" t="e">
        <f t="shared" ca="1" si="61"/>
        <v>#N/A</v>
      </c>
      <c r="AA101" s="5" t="str">
        <f>IF(Setup!$I$15="Yes",'Demand background (hide)'!AJ89+'SPC background (hide)'!C101,"")</f>
        <v/>
      </c>
      <c r="AC101" s="5" t="e">
        <f t="shared" ca="1" si="54"/>
        <v>#N/A</v>
      </c>
      <c r="AD101" s="5" t="e">
        <f t="shared" ca="1" si="55"/>
        <v>#N/A</v>
      </c>
    </row>
    <row r="102" spans="1:30" x14ac:dyDescent="0.25">
      <c r="A102" s="67" t="str">
        <f ca="1">Demand!C99</f>
        <v/>
      </c>
      <c r="B102" s="67">
        <v>87</v>
      </c>
      <c r="C102" s="5">
        <f ca="1">'Demand background (hide)'!Y90</f>
        <v>0</v>
      </c>
      <c r="D102" s="67">
        <f t="shared" si="39"/>
        <v>0</v>
      </c>
      <c r="E102" s="67" t="e">
        <f t="shared" ca="1" si="40"/>
        <v>#N/A</v>
      </c>
      <c r="F102" s="67" t="e">
        <f t="shared" ca="1" si="41"/>
        <v>#N/A</v>
      </c>
      <c r="G102" s="67" t="e">
        <f t="shared" ca="1" si="42"/>
        <v>#N/A</v>
      </c>
      <c r="H102" s="67" t="e">
        <f>IF('Demand background (hide)'!AN90&lt;&gt;"",'SPC background (hide)'!C102,NA())</f>
        <v>#N/A</v>
      </c>
      <c r="I102" s="67" t="e">
        <f t="shared" ca="1" si="43"/>
        <v>#N/A</v>
      </c>
      <c r="J102" s="5" t="e">
        <f t="shared" ca="1" si="44"/>
        <v>#N/A</v>
      </c>
      <c r="K102" s="5" t="e">
        <f t="shared" ca="1" si="45"/>
        <v>#N/A</v>
      </c>
      <c r="L102" s="5" t="e">
        <f t="shared" ca="1" si="46"/>
        <v>#N/A</v>
      </c>
      <c r="M102" s="5" t="e">
        <f t="shared" ca="1" si="47"/>
        <v>#N/A</v>
      </c>
      <c r="N102" s="5" t="e">
        <f t="shared" ca="1" si="48"/>
        <v>#N/A</v>
      </c>
      <c r="O102" s="5" t="e">
        <f t="shared" ca="1" si="49"/>
        <v>#N/A</v>
      </c>
      <c r="P102" s="5" t="e">
        <f t="shared" ca="1" si="50"/>
        <v>#N/A</v>
      </c>
      <c r="Q102" s="5" t="e">
        <f t="shared" ca="1" si="51"/>
        <v>#N/A</v>
      </c>
      <c r="R102" s="5" t="e">
        <f t="shared" ca="1" si="56"/>
        <v>#N/A</v>
      </c>
      <c r="S102" s="67" t="e">
        <f t="shared" ca="1" si="57"/>
        <v>#N/A</v>
      </c>
      <c r="T102" s="67" t="e">
        <f t="shared" ca="1" si="58"/>
        <v>#N/A</v>
      </c>
      <c r="U102" s="67" t="e">
        <f t="shared" ca="1" si="59"/>
        <v>#N/A</v>
      </c>
      <c r="V102" s="5" t="e">
        <f t="shared" ca="1" si="38"/>
        <v>#N/A</v>
      </c>
      <c r="W102" s="5" t="e">
        <f t="shared" ca="1" si="52"/>
        <v>#N/A</v>
      </c>
      <c r="X102" s="67">
        <f t="shared" ca="1" si="53"/>
        <v>0</v>
      </c>
      <c r="Y102" s="67" t="e">
        <f t="shared" ca="1" si="60"/>
        <v>#N/A</v>
      </c>
      <c r="Z102" s="67" t="e">
        <f t="shared" ca="1" si="61"/>
        <v>#N/A</v>
      </c>
      <c r="AA102" s="5" t="str">
        <f>IF(Setup!$I$15="Yes",'Demand background (hide)'!AJ90+'SPC background (hide)'!C102,"")</f>
        <v/>
      </c>
      <c r="AC102" s="5" t="e">
        <f t="shared" ca="1" si="54"/>
        <v>#N/A</v>
      </c>
      <c r="AD102" s="5" t="e">
        <f t="shared" ca="1" si="55"/>
        <v>#N/A</v>
      </c>
    </row>
    <row r="103" spans="1:30" x14ac:dyDescent="0.25">
      <c r="A103" s="67" t="str">
        <f ca="1">Demand!C100</f>
        <v/>
      </c>
      <c r="B103" s="67">
        <v>88</v>
      </c>
      <c r="C103" s="5">
        <f ca="1">'Demand background (hide)'!Y91</f>
        <v>0</v>
      </c>
      <c r="D103" s="67">
        <f t="shared" si="39"/>
        <v>0</v>
      </c>
      <c r="E103" s="67" t="e">
        <f t="shared" ca="1" si="40"/>
        <v>#N/A</v>
      </c>
      <c r="F103" s="67" t="e">
        <f t="shared" ca="1" si="41"/>
        <v>#N/A</v>
      </c>
      <c r="G103" s="67" t="e">
        <f t="shared" ca="1" si="42"/>
        <v>#N/A</v>
      </c>
      <c r="H103" s="67" t="e">
        <f>IF('Demand background (hide)'!AN91&lt;&gt;"",'SPC background (hide)'!C103,NA())</f>
        <v>#N/A</v>
      </c>
      <c r="I103" s="67" t="e">
        <f t="shared" ca="1" si="43"/>
        <v>#N/A</v>
      </c>
      <c r="J103" s="5" t="e">
        <f t="shared" ca="1" si="44"/>
        <v>#N/A</v>
      </c>
      <c r="K103" s="5" t="e">
        <f t="shared" ca="1" si="45"/>
        <v>#N/A</v>
      </c>
      <c r="L103" s="5" t="e">
        <f t="shared" ca="1" si="46"/>
        <v>#N/A</v>
      </c>
      <c r="M103" s="5" t="e">
        <f t="shared" ca="1" si="47"/>
        <v>#N/A</v>
      </c>
      <c r="N103" s="5" t="e">
        <f t="shared" ca="1" si="48"/>
        <v>#N/A</v>
      </c>
      <c r="O103" s="5" t="e">
        <f t="shared" ca="1" si="49"/>
        <v>#N/A</v>
      </c>
      <c r="P103" s="5" t="e">
        <f t="shared" ca="1" si="50"/>
        <v>#N/A</v>
      </c>
      <c r="Q103" s="5" t="e">
        <f t="shared" ca="1" si="51"/>
        <v>#N/A</v>
      </c>
      <c r="R103" s="5" t="e">
        <f t="shared" ca="1" si="56"/>
        <v>#N/A</v>
      </c>
      <c r="S103" s="67" t="e">
        <f t="shared" ca="1" si="57"/>
        <v>#N/A</v>
      </c>
      <c r="T103" s="67" t="e">
        <f t="shared" ca="1" si="58"/>
        <v>#N/A</v>
      </c>
      <c r="U103" s="67" t="e">
        <f t="shared" ca="1" si="59"/>
        <v>#N/A</v>
      </c>
      <c r="V103" s="5" t="e">
        <f t="shared" ca="1" si="38"/>
        <v>#N/A</v>
      </c>
      <c r="W103" s="5" t="e">
        <f t="shared" ca="1" si="52"/>
        <v>#N/A</v>
      </c>
      <c r="X103" s="67">
        <f t="shared" ca="1" si="53"/>
        <v>0</v>
      </c>
      <c r="Y103" s="67" t="e">
        <f t="shared" ca="1" si="60"/>
        <v>#N/A</v>
      </c>
      <c r="Z103" s="67" t="e">
        <f t="shared" ca="1" si="61"/>
        <v>#N/A</v>
      </c>
      <c r="AA103" s="5" t="str">
        <f>IF(Setup!$I$15="Yes",'Demand background (hide)'!AJ91+'SPC background (hide)'!C103,"")</f>
        <v/>
      </c>
      <c r="AC103" s="5" t="e">
        <f t="shared" ca="1" si="54"/>
        <v>#N/A</v>
      </c>
      <c r="AD103" s="5" t="e">
        <f t="shared" ca="1" si="55"/>
        <v>#N/A</v>
      </c>
    </row>
    <row r="104" spans="1:30" x14ac:dyDescent="0.25">
      <c r="A104" s="67" t="str">
        <f ca="1">Demand!C101</f>
        <v/>
      </c>
      <c r="B104" s="67">
        <v>89</v>
      </c>
      <c r="C104" s="5">
        <f ca="1">'Demand background (hide)'!Y92</f>
        <v>0</v>
      </c>
      <c r="D104" s="67">
        <f t="shared" si="39"/>
        <v>0</v>
      </c>
      <c r="E104" s="67" t="e">
        <f t="shared" ca="1" si="40"/>
        <v>#N/A</v>
      </c>
      <c r="F104" s="67" t="e">
        <f t="shared" ca="1" si="41"/>
        <v>#N/A</v>
      </c>
      <c r="G104" s="67" t="e">
        <f t="shared" ca="1" si="42"/>
        <v>#N/A</v>
      </c>
      <c r="H104" s="67" t="e">
        <f>IF('Demand background (hide)'!AN92&lt;&gt;"",'SPC background (hide)'!C104,NA())</f>
        <v>#N/A</v>
      </c>
      <c r="I104" s="67" t="e">
        <f t="shared" ca="1" si="43"/>
        <v>#N/A</v>
      </c>
      <c r="J104" s="5" t="e">
        <f t="shared" ca="1" si="44"/>
        <v>#N/A</v>
      </c>
      <c r="K104" s="5" t="e">
        <f t="shared" ca="1" si="45"/>
        <v>#N/A</v>
      </c>
      <c r="L104" s="5" t="e">
        <f t="shared" ca="1" si="46"/>
        <v>#N/A</v>
      </c>
      <c r="M104" s="5" t="e">
        <f t="shared" ca="1" si="47"/>
        <v>#N/A</v>
      </c>
      <c r="N104" s="5" t="e">
        <f t="shared" ca="1" si="48"/>
        <v>#N/A</v>
      </c>
      <c r="O104" s="5" t="e">
        <f t="shared" ca="1" si="49"/>
        <v>#N/A</v>
      </c>
      <c r="P104" s="5" t="e">
        <f t="shared" ca="1" si="50"/>
        <v>#N/A</v>
      </c>
      <c r="Q104" s="5" t="e">
        <f t="shared" ca="1" si="51"/>
        <v>#N/A</v>
      </c>
      <c r="R104" s="5" t="e">
        <f t="shared" ca="1" si="56"/>
        <v>#N/A</v>
      </c>
      <c r="S104" s="67" t="e">
        <f t="shared" ca="1" si="57"/>
        <v>#N/A</v>
      </c>
      <c r="T104" s="67" t="e">
        <f t="shared" ca="1" si="58"/>
        <v>#N/A</v>
      </c>
      <c r="U104" s="67" t="e">
        <f t="shared" ca="1" si="59"/>
        <v>#N/A</v>
      </c>
      <c r="V104" s="5" t="e">
        <f t="shared" ca="1" si="38"/>
        <v>#N/A</v>
      </c>
      <c r="W104" s="5" t="e">
        <f t="shared" ca="1" si="52"/>
        <v>#N/A</v>
      </c>
      <c r="X104" s="67">
        <f t="shared" ca="1" si="53"/>
        <v>0</v>
      </c>
      <c r="Y104" s="67" t="e">
        <f t="shared" ca="1" si="60"/>
        <v>#N/A</v>
      </c>
      <c r="Z104" s="67" t="e">
        <f t="shared" ca="1" si="61"/>
        <v>#N/A</v>
      </c>
      <c r="AA104" s="5" t="str">
        <f>IF(Setup!$I$15="Yes",'Demand background (hide)'!AJ92+'SPC background (hide)'!C104,"")</f>
        <v/>
      </c>
      <c r="AC104" s="5" t="e">
        <f t="shared" ca="1" si="54"/>
        <v>#N/A</v>
      </c>
      <c r="AD104" s="5" t="e">
        <f t="shared" ca="1" si="55"/>
        <v>#N/A</v>
      </c>
    </row>
    <row r="105" spans="1:30" x14ac:dyDescent="0.25">
      <c r="A105" s="67" t="str">
        <f ca="1">Demand!C102</f>
        <v/>
      </c>
      <c r="B105" s="67">
        <v>90</v>
      </c>
      <c r="C105" s="5">
        <f ca="1">'Demand background (hide)'!Y93</f>
        <v>0</v>
      </c>
      <c r="D105" s="67">
        <f t="shared" si="39"/>
        <v>0</v>
      </c>
      <c r="E105" s="67" t="e">
        <f t="shared" ca="1" si="40"/>
        <v>#N/A</v>
      </c>
      <c r="F105" s="67" t="e">
        <f t="shared" ca="1" si="41"/>
        <v>#N/A</v>
      </c>
      <c r="G105" s="67" t="e">
        <f t="shared" ca="1" si="42"/>
        <v>#N/A</v>
      </c>
      <c r="H105" s="67" t="e">
        <f>IF('Demand background (hide)'!AN93&lt;&gt;"",'SPC background (hide)'!C105,NA())</f>
        <v>#N/A</v>
      </c>
      <c r="I105" s="67" t="e">
        <f t="shared" ca="1" si="43"/>
        <v>#N/A</v>
      </c>
      <c r="J105" s="5" t="e">
        <f t="shared" ca="1" si="44"/>
        <v>#N/A</v>
      </c>
      <c r="K105" s="5" t="e">
        <f t="shared" ca="1" si="45"/>
        <v>#N/A</v>
      </c>
      <c r="L105" s="5" t="e">
        <f t="shared" ca="1" si="46"/>
        <v>#N/A</v>
      </c>
      <c r="M105" s="5" t="e">
        <f t="shared" ca="1" si="47"/>
        <v>#N/A</v>
      </c>
      <c r="N105" s="5" t="e">
        <f t="shared" ca="1" si="48"/>
        <v>#N/A</v>
      </c>
      <c r="O105" s="5" t="e">
        <f t="shared" ca="1" si="49"/>
        <v>#N/A</v>
      </c>
      <c r="P105" s="5" t="e">
        <f t="shared" ca="1" si="50"/>
        <v>#N/A</v>
      </c>
      <c r="Q105" s="5" t="e">
        <f t="shared" ca="1" si="51"/>
        <v>#N/A</v>
      </c>
      <c r="R105" s="5" t="e">
        <f t="shared" ca="1" si="56"/>
        <v>#N/A</v>
      </c>
      <c r="S105" s="67" t="e">
        <f t="shared" ca="1" si="57"/>
        <v>#N/A</v>
      </c>
      <c r="T105" s="67" t="e">
        <f t="shared" ca="1" si="58"/>
        <v>#N/A</v>
      </c>
      <c r="U105" s="67" t="e">
        <f t="shared" ca="1" si="59"/>
        <v>#N/A</v>
      </c>
      <c r="V105" s="5" t="e">
        <f t="shared" ca="1" si="38"/>
        <v>#N/A</v>
      </c>
      <c r="W105" s="5" t="e">
        <f t="shared" ca="1" si="52"/>
        <v>#N/A</v>
      </c>
      <c r="X105" s="67">
        <f t="shared" ca="1" si="53"/>
        <v>0</v>
      </c>
      <c r="Y105" s="67" t="e">
        <f t="shared" ca="1" si="60"/>
        <v>#N/A</v>
      </c>
      <c r="Z105" s="67" t="e">
        <f t="shared" ca="1" si="61"/>
        <v>#N/A</v>
      </c>
      <c r="AA105" s="5" t="str">
        <f>IF(Setup!$I$15="Yes",'Demand background (hide)'!AJ93+'SPC background (hide)'!C105,"")</f>
        <v/>
      </c>
      <c r="AC105" s="5" t="e">
        <f t="shared" ca="1" si="54"/>
        <v>#N/A</v>
      </c>
      <c r="AD105" s="5" t="e">
        <f t="shared" ca="1" si="55"/>
        <v>#N/A</v>
      </c>
    </row>
    <row r="106" spans="1:30" x14ac:dyDescent="0.25">
      <c r="A106" s="67" t="str">
        <f ca="1">Demand!C103</f>
        <v/>
      </c>
      <c r="B106" s="67">
        <v>91</v>
      </c>
      <c r="C106" s="5">
        <f ca="1">'Demand background (hide)'!Y94</f>
        <v>0</v>
      </c>
      <c r="D106" s="67">
        <f t="shared" si="39"/>
        <v>0</v>
      </c>
      <c r="E106" s="67" t="e">
        <f t="shared" ca="1" si="40"/>
        <v>#N/A</v>
      </c>
      <c r="F106" s="67" t="e">
        <f t="shared" ca="1" si="41"/>
        <v>#N/A</v>
      </c>
      <c r="G106" s="67" t="e">
        <f t="shared" ca="1" si="42"/>
        <v>#N/A</v>
      </c>
      <c r="H106" s="67" t="e">
        <f>IF('Demand background (hide)'!AN94&lt;&gt;"",'SPC background (hide)'!C106,NA())</f>
        <v>#N/A</v>
      </c>
      <c r="I106" s="67" t="e">
        <f t="shared" ca="1" si="43"/>
        <v>#N/A</v>
      </c>
      <c r="J106" s="5" t="e">
        <f t="shared" ca="1" si="44"/>
        <v>#N/A</v>
      </c>
      <c r="K106" s="5" t="e">
        <f t="shared" ca="1" si="45"/>
        <v>#N/A</v>
      </c>
      <c r="L106" s="5" t="e">
        <f t="shared" ca="1" si="46"/>
        <v>#N/A</v>
      </c>
      <c r="M106" s="5" t="e">
        <f t="shared" ca="1" si="47"/>
        <v>#N/A</v>
      </c>
      <c r="N106" s="5" t="e">
        <f t="shared" ca="1" si="48"/>
        <v>#N/A</v>
      </c>
      <c r="O106" s="5" t="e">
        <f t="shared" ca="1" si="49"/>
        <v>#N/A</v>
      </c>
      <c r="P106" s="5" t="e">
        <f t="shared" ca="1" si="50"/>
        <v>#N/A</v>
      </c>
      <c r="Q106" s="5" t="e">
        <f t="shared" ca="1" si="51"/>
        <v>#N/A</v>
      </c>
      <c r="R106" s="5" t="e">
        <f t="shared" ca="1" si="56"/>
        <v>#N/A</v>
      </c>
      <c r="S106" s="67" t="e">
        <f t="shared" ca="1" si="57"/>
        <v>#N/A</v>
      </c>
      <c r="T106" s="67" t="e">
        <f t="shared" ca="1" si="58"/>
        <v>#N/A</v>
      </c>
      <c r="U106" s="67" t="e">
        <f t="shared" ca="1" si="59"/>
        <v>#N/A</v>
      </c>
      <c r="V106" s="5" t="e">
        <f t="shared" ca="1" si="38"/>
        <v>#N/A</v>
      </c>
      <c r="W106" s="5" t="e">
        <f t="shared" ca="1" si="52"/>
        <v>#N/A</v>
      </c>
      <c r="X106" s="67">
        <f t="shared" ca="1" si="53"/>
        <v>0</v>
      </c>
      <c r="Y106" s="67" t="e">
        <f t="shared" ca="1" si="60"/>
        <v>#N/A</v>
      </c>
      <c r="Z106" s="67" t="e">
        <f t="shared" ca="1" si="61"/>
        <v>#N/A</v>
      </c>
      <c r="AA106" s="5" t="str">
        <f>IF(Setup!$I$15="Yes",'Demand background (hide)'!AJ94+'SPC background (hide)'!C106,"")</f>
        <v/>
      </c>
      <c r="AC106" s="5" t="e">
        <f t="shared" ca="1" si="54"/>
        <v>#N/A</v>
      </c>
      <c r="AD106" s="5" t="e">
        <f t="shared" ca="1" si="55"/>
        <v>#N/A</v>
      </c>
    </row>
    <row r="107" spans="1:30" x14ac:dyDescent="0.25">
      <c r="A107" s="67" t="str">
        <f ca="1">Demand!C104</f>
        <v/>
      </c>
      <c r="B107" s="67">
        <v>92</v>
      </c>
      <c r="C107" s="5">
        <f ca="1">'Demand background (hide)'!Y95</f>
        <v>0</v>
      </c>
      <c r="D107" s="67">
        <f t="shared" si="39"/>
        <v>0</v>
      </c>
      <c r="E107" s="67" t="e">
        <f t="shared" ca="1" si="40"/>
        <v>#N/A</v>
      </c>
      <c r="F107" s="67" t="e">
        <f t="shared" ca="1" si="41"/>
        <v>#N/A</v>
      </c>
      <c r="G107" s="67" t="e">
        <f t="shared" ca="1" si="42"/>
        <v>#N/A</v>
      </c>
      <c r="H107" s="67" t="e">
        <f>IF('Demand background (hide)'!AN95&lt;&gt;"",'SPC background (hide)'!C107,NA())</f>
        <v>#N/A</v>
      </c>
      <c r="I107" s="67" t="e">
        <f t="shared" ca="1" si="43"/>
        <v>#N/A</v>
      </c>
      <c r="J107" s="5" t="e">
        <f t="shared" ca="1" si="44"/>
        <v>#N/A</v>
      </c>
      <c r="K107" s="5" t="e">
        <f t="shared" ca="1" si="45"/>
        <v>#N/A</v>
      </c>
      <c r="L107" s="5" t="e">
        <f t="shared" ca="1" si="46"/>
        <v>#N/A</v>
      </c>
      <c r="M107" s="5" t="e">
        <f t="shared" ca="1" si="47"/>
        <v>#N/A</v>
      </c>
      <c r="N107" s="5" t="e">
        <f t="shared" ca="1" si="48"/>
        <v>#N/A</v>
      </c>
      <c r="O107" s="5" t="e">
        <f t="shared" ca="1" si="49"/>
        <v>#N/A</v>
      </c>
      <c r="P107" s="5" t="e">
        <f t="shared" ca="1" si="50"/>
        <v>#N/A</v>
      </c>
      <c r="Q107" s="5" t="e">
        <f t="shared" ca="1" si="51"/>
        <v>#N/A</v>
      </c>
      <c r="R107" s="5" t="e">
        <f t="shared" ca="1" si="56"/>
        <v>#N/A</v>
      </c>
      <c r="S107" s="67" t="e">
        <f t="shared" ca="1" si="57"/>
        <v>#N/A</v>
      </c>
      <c r="T107" s="67" t="e">
        <f t="shared" ca="1" si="58"/>
        <v>#N/A</v>
      </c>
      <c r="U107" s="67" t="e">
        <f t="shared" ca="1" si="59"/>
        <v>#N/A</v>
      </c>
      <c r="V107" s="5" t="e">
        <f t="shared" ca="1" si="38"/>
        <v>#N/A</v>
      </c>
      <c r="W107" s="5" t="e">
        <f t="shared" ca="1" si="52"/>
        <v>#N/A</v>
      </c>
      <c r="X107" s="67">
        <f t="shared" ca="1" si="53"/>
        <v>0</v>
      </c>
      <c r="Y107" s="67" t="e">
        <f t="shared" ca="1" si="60"/>
        <v>#N/A</v>
      </c>
      <c r="Z107" s="67" t="e">
        <f t="shared" ca="1" si="61"/>
        <v>#N/A</v>
      </c>
      <c r="AA107" s="5" t="str">
        <f>IF(Setup!$I$15="Yes",'Demand background (hide)'!AJ95+'SPC background (hide)'!C107,"")</f>
        <v/>
      </c>
      <c r="AC107" s="5" t="e">
        <f t="shared" ca="1" si="54"/>
        <v>#N/A</v>
      </c>
      <c r="AD107" s="5" t="e">
        <f t="shared" ca="1" si="55"/>
        <v>#N/A</v>
      </c>
    </row>
    <row r="108" spans="1:30" x14ac:dyDescent="0.25">
      <c r="A108" s="67" t="str">
        <f ca="1">Demand!C105</f>
        <v/>
      </c>
      <c r="B108" s="67">
        <v>93</v>
      </c>
      <c r="C108" s="5">
        <f ca="1">'Demand background (hide)'!Y96</f>
        <v>0</v>
      </c>
      <c r="D108" s="67">
        <f t="shared" si="39"/>
        <v>0</v>
      </c>
      <c r="E108" s="67" t="e">
        <f t="shared" ca="1" si="40"/>
        <v>#N/A</v>
      </c>
      <c r="F108" s="67" t="e">
        <f t="shared" ca="1" si="41"/>
        <v>#N/A</v>
      </c>
      <c r="G108" s="67" t="e">
        <f t="shared" ca="1" si="42"/>
        <v>#N/A</v>
      </c>
      <c r="H108" s="67" t="e">
        <f>IF('Demand background (hide)'!AN96&lt;&gt;"",'SPC background (hide)'!C108,NA())</f>
        <v>#N/A</v>
      </c>
      <c r="I108" s="67" t="e">
        <f t="shared" ca="1" si="43"/>
        <v>#N/A</v>
      </c>
      <c r="J108" s="5" t="e">
        <f t="shared" ca="1" si="44"/>
        <v>#N/A</v>
      </c>
      <c r="K108" s="5" t="e">
        <f t="shared" ca="1" si="45"/>
        <v>#N/A</v>
      </c>
      <c r="L108" s="5" t="e">
        <f t="shared" ca="1" si="46"/>
        <v>#N/A</v>
      </c>
      <c r="M108" s="5" t="e">
        <f t="shared" ca="1" si="47"/>
        <v>#N/A</v>
      </c>
      <c r="N108" s="5" t="e">
        <f t="shared" ca="1" si="48"/>
        <v>#N/A</v>
      </c>
      <c r="O108" s="5" t="e">
        <f t="shared" ca="1" si="49"/>
        <v>#N/A</v>
      </c>
      <c r="P108" s="5" t="e">
        <f t="shared" ca="1" si="50"/>
        <v>#N/A</v>
      </c>
      <c r="Q108" s="5" t="e">
        <f t="shared" ca="1" si="51"/>
        <v>#N/A</v>
      </c>
      <c r="R108" s="5" t="e">
        <f t="shared" ca="1" si="56"/>
        <v>#N/A</v>
      </c>
      <c r="S108" s="67" t="e">
        <f t="shared" ca="1" si="57"/>
        <v>#N/A</v>
      </c>
      <c r="T108" s="67" t="e">
        <f t="shared" ca="1" si="58"/>
        <v>#N/A</v>
      </c>
      <c r="U108" s="67" t="e">
        <f t="shared" ca="1" si="59"/>
        <v>#N/A</v>
      </c>
      <c r="V108" s="5" t="e">
        <f t="shared" ca="1" si="38"/>
        <v>#N/A</v>
      </c>
      <c r="W108" s="5" t="e">
        <f t="shared" ca="1" si="52"/>
        <v>#N/A</v>
      </c>
      <c r="X108" s="67">
        <f t="shared" ca="1" si="53"/>
        <v>0</v>
      </c>
      <c r="Y108" s="67" t="e">
        <f t="shared" ca="1" si="60"/>
        <v>#N/A</v>
      </c>
      <c r="Z108" s="67" t="e">
        <f t="shared" ca="1" si="61"/>
        <v>#N/A</v>
      </c>
      <c r="AA108" s="5" t="str">
        <f>IF(Setup!$I$15="Yes",'Demand background (hide)'!AJ96+'SPC background (hide)'!C108,"")</f>
        <v/>
      </c>
      <c r="AC108" s="5" t="e">
        <f t="shared" ca="1" si="54"/>
        <v>#N/A</v>
      </c>
      <c r="AD108" s="5" t="e">
        <f t="shared" ca="1" si="55"/>
        <v>#N/A</v>
      </c>
    </row>
    <row r="109" spans="1:30" x14ac:dyDescent="0.25">
      <c r="A109" s="67" t="str">
        <f ca="1">Demand!C106</f>
        <v/>
      </c>
      <c r="B109" s="67">
        <v>94</v>
      </c>
      <c r="C109" s="5">
        <f ca="1">'Demand background (hide)'!Y97</f>
        <v>0</v>
      </c>
      <c r="D109" s="67">
        <f t="shared" si="39"/>
        <v>0</v>
      </c>
      <c r="E109" s="67" t="e">
        <f t="shared" ca="1" si="40"/>
        <v>#N/A</v>
      </c>
      <c r="F109" s="67" t="e">
        <f t="shared" ca="1" si="41"/>
        <v>#N/A</v>
      </c>
      <c r="G109" s="67" t="e">
        <f t="shared" ca="1" si="42"/>
        <v>#N/A</v>
      </c>
      <c r="H109" s="67" t="e">
        <f>IF('Demand background (hide)'!AN97&lt;&gt;"",'SPC background (hide)'!C109,NA())</f>
        <v>#N/A</v>
      </c>
      <c r="I109" s="67" t="e">
        <f t="shared" ca="1" si="43"/>
        <v>#N/A</v>
      </c>
      <c r="J109" s="5" t="e">
        <f t="shared" ca="1" si="44"/>
        <v>#N/A</v>
      </c>
      <c r="K109" s="5" t="e">
        <f t="shared" ca="1" si="45"/>
        <v>#N/A</v>
      </c>
      <c r="L109" s="5" t="e">
        <f t="shared" ca="1" si="46"/>
        <v>#N/A</v>
      </c>
      <c r="M109" s="5" t="e">
        <f t="shared" ca="1" si="47"/>
        <v>#N/A</v>
      </c>
      <c r="N109" s="5" t="e">
        <f t="shared" ca="1" si="48"/>
        <v>#N/A</v>
      </c>
      <c r="O109" s="5" t="e">
        <f t="shared" ca="1" si="49"/>
        <v>#N/A</v>
      </c>
      <c r="P109" s="5" t="e">
        <f t="shared" ca="1" si="50"/>
        <v>#N/A</v>
      </c>
      <c r="Q109" s="5" t="e">
        <f t="shared" ca="1" si="51"/>
        <v>#N/A</v>
      </c>
      <c r="R109" s="5" t="e">
        <f t="shared" ca="1" si="56"/>
        <v>#N/A</v>
      </c>
      <c r="S109" s="67" t="e">
        <f t="shared" ca="1" si="57"/>
        <v>#N/A</v>
      </c>
      <c r="T109" s="67" t="e">
        <f t="shared" ca="1" si="58"/>
        <v>#N/A</v>
      </c>
      <c r="U109" s="67" t="e">
        <f t="shared" ca="1" si="59"/>
        <v>#N/A</v>
      </c>
      <c r="V109" s="5" t="e">
        <f t="shared" ca="1" si="38"/>
        <v>#N/A</v>
      </c>
      <c r="W109" s="5" t="e">
        <f t="shared" ca="1" si="52"/>
        <v>#N/A</v>
      </c>
      <c r="X109" s="67">
        <f t="shared" ca="1" si="53"/>
        <v>0</v>
      </c>
      <c r="Y109" s="67" t="e">
        <f t="shared" ca="1" si="60"/>
        <v>#N/A</v>
      </c>
      <c r="Z109" s="67" t="e">
        <f t="shared" ca="1" si="61"/>
        <v>#N/A</v>
      </c>
      <c r="AA109" s="5" t="str">
        <f>IF(Setup!$I$15="Yes",'Demand background (hide)'!AJ97+'SPC background (hide)'!C109,"")</f>
        <v/>
      </c>
      <c r="AC109" s="5" t="e">
        <f t="shared" ca="1" si="54"/>
        <v>#N/A</v>
      </c>
      <c r="AD109" s="5" t="e">
        <f t="shared" ca="1" si="55"/>
        <v>#N/A</v>
      </c>
    </row>
    <row r="110" spans="1:30" x14ac:dyDescent="0.25">
      <c r="A110" s="67" t="str">
        <f ca="1">Demand!C107</f>
        <v/>
      </c>
      <c r="B110" s="67">
        <v>95</v>
      </c>
      <c r="C110" s="5">
        <f ca="1">'Demand background (hide)'!Y98</f>
        <v>0</v>
      </c>
      <c r="D110" s="67">
        <f t="shared" si="39"/>
        <v>0</v>
      </c>
      <c r="E110" s="67" t="e">
        <f t="shared" ca="1" si="40"/>
        <v>#N/A</v>
      </c>
      <c r="F110" s="67" t="e">
        <f t="shared" ca="1" si="41"/>
        <v>#N/A</v>
      </c>
      <c r="G110" s="67" t="e">
        <f t="shared" ca="1" si="42"/>
        <v>#N/A</v>
      </c>
      <c r="H110" s="67" t="e">
        <f>IF('Demand background (hide)'!AN98&lt;&gt;"",'SPC background (hide)'!C110,NA())</f>
        <v>#N/A</v>
      </c>
      <c r="I110" s="67" t="e">
        <f t="shared" ca="1" si="43"/>
        <v>#N/A</v>
      </c>
      <c r="J110" s="5" t="e">
        <f t="shared" ca="1" si="44"/>
        <v>#N/A</v>
      </c>
      <c r="K110" s="5" t="e">
        <f t="shared" ca="1" si="45"/>
        <v>#N/A</v>
      </c>
      <c r="L110" s="5" t="e">
        <f t="shared" ca="1" si="46"/>
        <v>#N/A</v>
      </c>
      <c r="M110" s="5" t="e">
        <f t="shared" ca="1" si="47"/>
        <v>#N/A</v>
      </c>
      <c r="N110" s="5" t="e">
        <f t="shared" ca="1" si="48"/>
        <v>#N/A</v>
      </c>
      <c r="O110" s="5" t="e">
        <f t="shared" ca="1" si="49"/>
        <v>#N/A</v>
      </c>
      <c r="P110" s="5" t="e">
        <f t="shared" ca="1" si="50"/>
        <v>#N/A</v>
      </c>
      <c r="Q110" s="5" t="e">
        <f t="shared" ca="1" si="51"/>
        <v>#N/A</v>
      </c>
      <c r="R110" s="5" t="e">
        <f t="shared" ca="1" si="56"/>
        <v>#N/A</v>
      </c>
      <c r="S110" s="67" t="e">
        <f t="shared" ca="1" si="57"/>
        <v>#N/A</v>
      </c>
      <c r="T110" s="67" t="e">
        <f t="shared" ca="1" si="58"/>
        <v>#N/A</v>
      </c>
      <c r="U110" s="67" t="e">
        <f t="shared" ca="1" si="59"/>
        <v>#N/A</v>
      </c>
      <c r="V110" s="5" t="e">
        <f t="shared" ca="1" si="38"/>
        <v>#N/A</v>
      </c>
      <c r="W110" s="5" t="e">
        <f t="shared" ca="1" si="52"/>
        <v>#N/A</v>
      </c>
      <c r="X110" s="67">
        <f t="shared" ca="1" si="53"/>
        <v>0</v>
      </c>
      <c r="Y110" s="67" t="e">
        <f t="shared" ca="1" si="60"/>
        <v>#N/A</v>
      </c>
      <c r="Z110" s="67" t="e">
        <f t="shared" ca="1" si="61"/>
        <v>#N/A</v>
      </c>
      <c r="AA110" s="5" t="str">
        <f>IF(Setup!$I$15="Yes",'Demand background (hide)'!AJ98+'SPC background (hide)'!C110,"")</f>
        <v/>
      </c>
      <c r="AC110" s="5" t="e">
        <f t="shared" ca="1" si="54"/>
        <v>#N/A</v>
      </c>
      <c r="AD110" s="5" t="e">
        <f t="shared" ca="1" si="55"/>
        <v>#N/A</v>
      </c>
    </row>
    <row r="111" spans="1:30" x14ac:dyDescent="0.25">
      <c r="A111" s="67" t="str">
        <f ca="1">Demand!C108</f>
        <v/>
      </c>
      <c r="B111" s="67">
        <v>96</v>
      </c>
      <c r="C111" s="5">
        <f ca="1">'Demand background (hide)'!Y99</f>
        <v>0</v>
      </c>
      <c r="D111" s="67">
        <f t="shared" si="39"/>
        <v>0</v>
      </c>
      <c r="E111" s="67" t="e">
        <f t="shared" ca="1" si="40"/>
        <v>#N/A</v>
      </c>
      <c r="F111" s="67" t="e">
        <f t="shared" ca="1" si="41"/>
        <v>#N/A</v>
      </c>
      <c r="G111" s="67" t="e">
        <f t="shared" ca="1" si="42"/>
        <v>#N/A</v>
      </c>
      <c r="H111" s="67" t="e">
        <f>IF('Demand background (hide)'!AN99&lt;&gt;"",'SPC background (hide)'!C111,NA())</f>
        <v>#N/A</v>
      </c>
      <c r="I111" s="67" t="e">
        <f t="shared" ca="1" si="43"/>
        <v>#N/A</v>
      </c>
      <c r="J111" s="5" t="e">
        <f t="shared" ca="1" si="44"/>
        <v>#N/A</v>
      </c>
      <c r="K111" s="5" t="e">
        <f t="shared" ca="1" si="45"/>
        <v>#N/A</v>
      </c>
      <c r="L111" s="5" t="e">
        <f t="shared" ca="1" si="46"/>
        <v>#N/A</v>
      </c>
      <c r="M111" s="5" t="e">
        <f t="shared" ca="1" si="47"/>
        <v>#N/A</v>
      </c>
      <c r="N111" s="5" t="e">
        <f t="shared" ca="1" si="48"/>
        <v>#N/A</v>
      </c>
      <c r="O111" s="5" t="e">
        <f t="shared" ca="1" si="49"/>
        <v>#N/A</v>
      </c>
      <c r="P111" s="5" t="e">
        <f t="shared" ca="1" si="50"/>
        <v>#N/A</v>
      </c>
      <c r="Q111" s="5" t="e">
        <f t="shared" ca="1" si="51"/>
        <v>#N/A</v>
      </c>
      <c r="R111" s="5" t="e">
        <f t="shared" ca="1" si="56"/>
        <v>#N/A</v>
      </c>
      <c r="S111" s="67" t="e">
        <f t="shared" ca="1" si="57"/>
        <v>#N/A</v>
      </c>
      <c r="T111" s="67" t="e">
        <f t="shared" ca="1" si="58"/>
        <v>#N/A</v>
      </c>
      <c r="U111" s="67" t="e">
        <f t="shared" ca="1" si="59"/>
        <v>#N/A</v>
      </c>
      <c r="V111" s="5" t="e">
        <f t="shared" ca="1" si="38"/>
        <v>#N/A</v>
      </c>
      <c r="W111" s="5" t="e">
        <f t="shared" ca="1" si="52"/>
        <v>#N/A</v>
      </c>
      <c r="X111" s="67">
        <f t="shared" ca="1" si="53"/>
        <v>0</v>
      </c>
      <c r="Y111" s="67" t="e">
        <f t="shared" ca="1" si="60"/>
        <v>#N/A</v>
      </c>
      <c r="Z111" s="67" t="e">
        <f t="shared" ca="1" si="61"/>
        <v>#N/A</v>
      </c>
      <c r="AA111" s="5" t="str">
        <f>IF(Setup!$I$15="Yes",'Demand background (hide)'!AJ99+'SPC background (hide)'!C111,"")</f>
        <v/>
      </c>
      <c r="AC111" s="5" t="e">
        <f t="shared" ca="1" si="54"/>
        <v>#N/A</v>
      </c>
      <c r="AD111" s="5" t="e">
        <f t="shared" ca="1" si="55"/>
        <v>#N/A</v>
      </c>
    </row>
    <row r="112" spans="1:30" x14ac:dyDescent="0.25">
      <c r="A112" s="67" t="str">
        <f ca="1">Demand!C109</f>
        <v/>
      </c>
      <c r="B112" s="67">
        <v>97</v>
      </c>
      <c r="C112" s="5">
        <f ca="1">'Demand background (hide)'!Y100</f>
        <v>0</v>
      </c>
      <c r="D112" s="67">
        <f t="shared" si="39"/>
        <v>0</v>
      </c>
      <c r="E112" s="67" t="e">
        <f t="shared" ca="1" si="40"/>
        <v>#N/A</v>
      </c>
      <c r="F112" s="67" t="e">
        <f t="shared" ca="1" si="41"/>
        <v>#N/A</v>
      </c>
      <c r="G112" s="67" t="e">
        <f t="shared" ca="1" si="42"/>
        <v>#N/A</v>
      </c>
      <c r="H112" s="67" t="e">
        <f>IF('Demand background (hide)'!AN100&lt;&gt;"",'SPC background (hide)'!C112,NA())</f>
        <v>#N/A</v>
      </c>
      <c r="I112" s="67" t="e">
        <f t="shared" ca="1" si="43"/>
        <v>#N/A</v>
      </c>
      <c r="J112" s="5" t="e">
        <f t="shared" ca="1" si="44"/>
        <v>#N/A</v>
      </c>
      <c r="K112" s="5" t="e">
        <f t="shared" ca="1" si="45"/>
        <v>#N/A</v>
      </c>
      <c r="L112" s="5" t="e">
        <f t="shared" ca="1" si="46"/>
        <v>#N/A</v>
      </c>
      <c r="M112" s="5" t="e">
        <f t="shared" ca="1" si="47"/>
        <v>#N/A</v>
      </c>
      <c r="N112" s="5" t="e">
        <f t="shared" ca="1" si="48"/>
        <v>#N/A</v>
      </c>
      <c r="O112" s="5" t="e">
        <f t="shared" ca="1" si="49"/>
        <v>#N/A</v>
      </c>
      <c r="P112" s="5" t="e">
        <f t="shared" ca="1" si="50"/>
        <v>#N/A</v>
      </c>
      <c r="Q112" s="5" t="e">
        <f t="shared" ca="1" si="51"/>
        <v>#N/A</v>
      </c>
      <c r="R112" s="5" t="e">
        <f t="shared" ca="1" si="56"/>
        <v>#N/A</v>
      </c>
      <c r="S112" s="67" t="e">
        <f t="shared" ca="1" si="57"/>
        <v>#N/A</v>
      </c>
      <c r="T112" s="67" t="e">
        <f t="shared" ca="1" si="58"/>
        <v>#N/A</v>
      </c>
      <c r="U112" s="67" t="e">
        <f t="shared" ca="1" si="59"/>
        <v>#N/A</v>
      </c>
      <c r="V112" s="5" t="e">
        <f t="shared" ca="1" si="38"/>
        <v>#N/A</v>
      </c>
      <c r="W112" s="5" t="e">
        <f t="shared" ca="1" si="52"/>
        <v>#N/A</v>
      </c>
      <c r="X112" s="67">
        <f t="shared" ca="1" si="53"/>
        <v>0</v>
      </c>
      <c r="Y112" s="67" t="e">
        <f t="shared" ca="1" si="60"/>
        <v>#N/A</v>
      </c>
      <c r="Z112" s="67" t="e">
        <f t="shared" ca="1" si="61"/>
        <v>#N/A</v>
      </c>
      <c r="AA112" s="5" t="str">
        <f>IF(Setup!$I$15="Yes",'Demand background (hide)'!AJ100+'SPC background (hide)'!C112,"")</f>
        <v/>
      </c>
      <c r="AC112" s="5" t="e">
        <f t="shared" ca="1" si="54"/>
        <v>#N/A</v>
      </c>
      <c r="AD112" s="5" t="e">
        <f t="shared" ca="1" si="55"/>
        <v>#N/A</v>
      </c>
    </row>
    <row r="113" spans="1:30" x14ac:dyDescent="0.25">
      <c r="A113" s="67" t="str">
        <f ca="1">Demand!C110</f>
        <v/>
      </c>
      <c r="B113" s="67">
        <v>98</v>
      </c>
      <c r="C113" s="5">
        <f ca="1">'Demand background (hide)'!Y101</f>
        <v>0</v>
      </c>
      <c r="D113" s="67">
        <f t="shared" si="39"/>
        <v>0</v>
      </c>
      <c r="E113" s="67" t="e">
        <f t="shared" ca="1" si="40"/>
        <v>#N/A</v>
      </c>
      <c r="F113" s="67" t="e">
        <f t="shared" ca="1" si="41"/>
        <v>#N/A</v>
      </c>
      <c r="G113" s="67" t="e">
        <f t="shared" ca="1" si="42"/>
        <v>#N/A</v>
      </c>
      <c r="H113" s="67" t="e">
        <f>IF('Demand background (hide)'!AN101&lt;&gt;"",'SPC background (hide)'!C113,NA())</f>
        <v>#N/A</v>
      </c>
      <c r="I113" s="67" t="e">
        <f t="shared" ca="1" si="43"/>
        <v>#N/A</v>
      </c>
      <c r="J113" s="5" t="e">
        <f t="shared" ca="1" si="44"/>
        <v>#N/A</v>
      </c>
      <c r="K113" s="5" t="e">
        <f t="shared" ca="1" si="45"/>
        <v>#N/A</v>
      </c>
      <c r="L113" s="5" t="e">
        <f t="shared" ca="1" si="46"/>
        <v>#N/A</v>
      </c>
      <c r="M113" s="5" t="e">
        <f t="shared" ca="1" si="47"/>
        <v>#N/A</v>
      </c>
      <c r="N113" s="5" t="e">
        <f t="shared" ca="1" si="48"/>
        <v>#N/A</v>
      </c>
      <c r="O113" s="5" t="e">
        <f t="shared" ca="1" si="49"/>
        <v>#N/A</v>
      </c>
      <c r="P113" s="5" t="e">
        <f t="shared" ca="1" si="50"/>
        <v>#N/A</v>
      </c>
      <c r="Q113" s="5" t="e">
        <f t="shared" ca="1" si="51"/>
        <v>#N/A</v>
      </c>
      <c r="R113" s="5" t="e">
        <f t="shared" ca="1" si="56"/>
        <v>#N/A</v>
      </c>
      <c r="S113" s="67" t="e">
        <f t="shared" ca="1" si="57"/>
        <v>#N/A</v>
      </c>
      <c r="T113" s="67" t="e">
        <f t="shared" ca="1" si="58"/>
        <v>#N/A</v>
      </c>
      <c r="U113" s="67" t="e">
        <f t="shared" ca="1" si="59"/>
        <v>#N/A</v>
      </c>
      <c r="V113" s="5" t="e">
        <f t="shared" ca="1" si="38"/>
        <v>#N/A</v>
      </c>
      <c r="W113" s="5" t="e">
        <f t="shared" ca="1" si="52"/>
        <v>#N/A</v>
      </c>
      <c r="X113" s="67">
        <f t="shared" ca="1" si="53"/>
        <v>0</v>
      </c>
      <c r="Y113" s="67" t="e">
        <f t="shared" ca="1" si="60"/>
        <v>#N/A</v>
      </c>
      <c r="Z113" s="67" t="e">
        <f t="shared" ca="1" si="61"/>
        <v>#N/A</v>
      </c>
      <c r="AA113" s="5" t="str">
        <f>IF(Setup!$I$15="Yes",'Demand background (hide)'!AJ101+'SPC background (hide)'!C113,"")</f>
        <v/>
      </c>
      <c r="AC113" s="5" t="e">
        <f t="shared" ca="1" si="54"/>
        <v>#N/A</v>
      </c>
      <c r="AD113" s="5" t="e">
        <f t="shared" ca="1" si="55"/>
        <v>#N/A</v>
      </c>
    </row>
    <row r="114" spans="1:30" x14ac:dyDescent="0.25">
      <c r="A114" s="67" t="str">
        <f ca="1">Demand!C111</f>
        <v/>
      </c>
      <c r="B114" s="67">
        <v>99</v>
      </c>
      <c r="C114" s="5">
        <f ca="1">'Demand background (hide)'!Y102</f>
        <v>0</v>
      </c>
      <c r="D114" s="67">
        <f t="shared" si="39"/>
        <v>0</v>
      </c>
      <c r="E114" s="67" t="e">
        <f t="shared" ca="1" si="40"/>
        <v>#N/A</v>
      </c>
      <c r="F114" s="67" t="e">
        <f t="shared" ca="1" si="41"/>
        <v>#N/A</v>
      </c>
      <c r="G114" s="67" t="e">
        <f t="shared" ca="1" si="42"/>
        <v>#N/A</v>
      </c>
      <c r="H114" s="67" t="e">
        <f>IF('Demand background (hide)'!AN102&lt;&gt;"",'SPC background (hide)'!C114,NA())</f>
        <v>#N/A</v>
      </c>
      <c r="I114" s="67" t="e">
        <f t="shared" ca="1" si="43"/>
        <v>#N/A</v>
      </c>
      <c r="J114" s="5" t="e">
        <f t="shared" ca="1" si="44"/>
        <v>#N/A</v>
      </c>
      <c r="K114" s="5" t="e">
        <f t="shared" ca="1" si="45"/>
        <v>#N/A</v>
      </c>
      <c r="L114" s="5" t="e">
        <f t="shared" ca="1" si="46"/>
        <v>#N/A</v>
      </c>
      <c r="M114" s="5" t="e">
        <f t="shared" ca="1" si="47"/>
        <v>#N/A</v>
      </c>
      <c r="N114" s="5" t="e">
        <f t="shared" ca="1" si="48"/>
        <v>#N/A</v>
      </c>
      <c r="O114" s="5" t="e">
        <f t="shared" ca="1" si="49"/>
        <v>#N/A</v>
      </c>
      <c r="P114" s="5" t="e">
        <f t="shared" ca="1" si="50"/>
        <v>#N/A</v>
      </c>
      <c r="Q114" s="5" t="e">
        <f t="shared" ca="1" si="51"/>
        <v>#N/A</v>
      </c>
      <c r="R114" s="5" t="e">
        <f t="shared" ca="1" si="56"/>
        <v>#N/A</v>
      </c>
      <c r="S114" s="67" t="e">
        <f t="shared" ca="1" si="57"/>
        <v>#N/A</v>
      </c>
      <c r="T114" s="67" t="e">
        <f t="shared" ca="1" si="58"/>
        <v>#N/A</v>
      </c>
      <c r="U114" s="67" t="e">
        <f t="shared" ca="1" si="59"/>
        <v>#N/A</v>
      </c>
      <c r="V114" s="5" t="e">
        <f t="shared" ca="1" si="38"/>
        <v>#N/A</v>
      </c>
      <c r="W114" s="5" t="e">
        <f t="shared" ca="1" si="52"/>
        <v>#N/A</v>
      </c>
      <c r="X114" s="67">
        <f t="shared" ca="1" si="53"/>
        <v>0</v>
      </c>
      <c r="Y114" s="67" t="e">
        <f t="shared" ca="1" si="60"/>
        <v>#N/A</v>
      </c>
      <c r="Z114" s="67" t="e">
        <f t="shared" ca="1" si="61"/>
        <v>#N/A</v>
      </c>
      <c r="AA114" s="5" t="str">
        <f>IF(Setup!$I$15="Yes",'Demand background (hide)'!AJ102+'SPC background (hide)'!C114,"")</f>
        <v/>
      </c>
      <c r="AC114" s="5" t="e">
        <f t="shared" ca="1" si="54"/>
        <v>#N/A</v>
      </c>
      <c r="AD114" s="5" t="e">
        <f t="shared" ca="1" si="55"/>
        <v>#N/A</v>
      </c>
    </row>
    <row r="115" spans="1:30" x14ac:dyDescent="0.25">
      <c r="A115" s="67" t="str">
        <f ca="1">Demand!C112</f>
        <v/>
      </c>
      <c r="B115" s="67">
        <v>100</v>
      </c>
      <c r="C115" s="5">
        <f ca="1">'Demand background (hide)'!Y103</f>
        <v>0</v>
      </c>
      <c r="D115" s="67">
        <f t="shared" si="39"/>
        <v>0</v>
      </c>
      <c r="E115" s="67" t="e">
        <f t="shared" ca="1" si="40"/>
        <v>#N/A</v>
      </c>
      <c r="F115" s="67" t="e">
        <f t="shared" ca="1" si="41"/>
        <v>#N/A</v>
      </c>
      <c r="G115" s="67" t="e">
        <f t="shared" ca="1" si="42"/>
        <v>#N/A</v>
      </c>
      <c r="H115" s="67" t="e">
        <f>IF('Demand background (hide)'!AN103&lt;&gt;"",'SPC background (hide)'!C115,NA())</f>
        <v>#N/A</v>
      </c>
      <c r="I115" s="67" t="e">
        <f t="shared" ca="1" si="43"/>
        <v>#N/A</v>
      </c>
      <c r="J115" s="5" t="e">
        <f t="shared" ca="1" si="44"/>
        <v>#N/A</v>
      </c>
      <c r="K115" s="5" t="e">
        <f t="shared" ca="1" si="45"/>
        <v>#N/A</v>
      </c>
      <c r="L115" s="5" t="e">
        <f t="shared" ca="1" si="46"/>
        <v>#N/A</v>
      </c>
      <c r="M115" s="5" t="e">
        <f t="shared" ca="1" si="47"/>
        <v>#N/A</v>
      </c>
      <c r="N115" s="5" t="e">
        <f t="shared" ca="1" si="48"/>
        <v>#N/A</v>
      </c>
      <c r="O115" s="5" t="e">
        <f t="shared" ca="1" si="49"/>
        <v>#N/A</v>
      </c>
      <c r="P115" s="5" t="e">
        <f t="shared" ca="1" si="50"/>
        <v>#N/A</v>
      </c>
      <c r="Q115" s="5" t="e">
        <f t="shared" ca="1" si="51"/>
        <v>#N/A</v>
      </c>
      <c r="R115" s="5" t="e">
        <f t="shared" ca="1" si="56"/>
        <v>#N/A</v>
      </c>
      <c r="S115" s="67" t="e">
        <f t="shared" ca="1" si="57"/>
        <v>#N/A</v>
      </c>
      <c r="T115" s="67" t="e">
        <f t="shared" ca="1" si="58"/>
        <v>#N/A</v>
      </c>
      <c r="U115" s="67" t="e">
        <f t="shared" ca="1" si="59"/>
        <v>#N/A</v>
      </c>
      <c r="V115" s="5" t="e">
        <f t="shared" ca="1" si="38"/>
        <v>#N/A</v>
      </c>
      <c r="W115" s="5" t="e">
        <f t="shared" ca="1" si="52"/>
        <v>#N/A</v>
      </c>
      <c r="X115" s="67">
        <f t="shared" ca="1" si="53"/>
        <v>0</v>
      </c>
      <c r="Y115" s="67" t="e">
        <f t="shared" ca="1" si="60"/>
        <v>#N/A</v>
      </c>
      <c r="Z115" s="67" t="e">
        <f t="shared" ca="1" si="61"/>
        <v>#N/A</v>
      </c>
      <c r="AA115" s="5" t="str">
        <f>IF(Setup!$I$15="Yes",'Demand background (hide)'!AJ103+'SPC background (hide)'!C115,"")</f>
        <v/>
      </c>
      <c r="AC115" s="5" t="e">
        <f t="shared" ca="1" si="54"/>
        <v>#N/A</v>
      </c>
      <c r="AD115" s="5" t="e">
        <f t="shared" ca="1" si="55"/>
        <v>#N/A</v>
      </c>
    </row>
    <row r="116" spans="1:30" x14ac:dyDescent="0.25">
      <c r="A116" s="67" t="str">
        <f ca="1">Demand!C113</f>
        <v/>
      </c>
      <c r="B116" s="67">
        <v>101</v>
      </c>
      <c r="C116" s="5">
        <f ca="1">'Demand background (hide)'!Y104</f>
        <v>0</v>
      </c>
      <c r="D116" s="67">
        <f t="shared" si="39"/>
        <v>0</v>
      </c>
      <c r="E116" s="67" t="e">
        <f t="shared" ca="1" si="40"/>
        <v>#N/A</v>
      </c>
      <c r="F116" s="67" t="e">
        <f t="shared" ca="1" si="41"/>
        <v>#N/A</v>
      </c>
      <c r="G116" s="67" t="e">
        <f t="shared" ca="1" si="42"/>
        <v>#N/A</v>
      </c>
      <c r="H116" s="67" t="e">
        <f>IF('Demand background (hide)'!AN104&lt;&gt;"",'SPC background (hide)'!C116,NA())</f>
        <v>#N/A</v>
      </c>
      <c r="I116" s="67" t="e">
        <f t="shared" ca="1" si="43"/>
        <v>#N/A</v>
      </c>
      <c r="J116" s="5" t="e">
        <f t="shared" ca="1" si="44"/>
        <v>#N/A</v>
      </c>
      <c r="K116" s="5" t="e">
        <f t="shared" ca="1" si="45"/>
        <v>#N/A</v>
      </c>
      <c r="L116" s="5" t="e">
        <f t="shared" ca="1" si="46"/>
        <v>#N/A</v>
      </c>
      <c r="M116" s="5" t="e">
        <f t="shared" ca="1" si="47"/>
        <v>#N/A</v>
      </c>
      <c r="N116" s="5" t="e">
        <f t="shared" ca="1" si="48"/>
        <v>#N/A</v>
      </c>
      <c r="O116" s="5" t="e">
        <f t="shared" ca="1" si="49"/>
        <v>#N/A</v>
      </c>
      <c r="P116" s="5" t="e">
        <f t="shared" ca="1" si="50"/>
        <v>#N/A</v>
      </c>
      <c r="Q116" s="5" t="e">
        <f t="shared" ca="1" si="51"/>
        <v>#N/A</v>
      </c>
      <c r="R116" s="5" t="e">
        <f t="shared" ca="1" si="56"/>
        <v>#N/A</v>
      </c>
      <c r="S116" s="67" t="e">
        <f t="shared" ca="1" si="57"/>
        <v>#N/A</v>
      </c>
      <c r="T116" s="67" t="e">
        <f t="shared" ca="1" si="58"/>
        <v>#N/A</v>
      </c>
      <c r="U116" s="67" t="e">
        <f t="shared" ca="1" si="59"/>
        <v>#N/A</v>
      </c>
      <c r="V116" s="5" t="e">
        <f t="shared" ca="1" si="38"/>
        <v>#N/A</v>
      </c>
      <c r="W116" s="5" t="e">
        <f t="shared" ca="1" si="52"/>
        <v>#N/A</v>
      </c>
      <c r="X116" s="67">
        <f t="shared" ca="1" si="53"/>
        <v>0</v>
      </c>
      <c r="Y116" s="67" t="e">
        <f t="shared" ca="1" si="60"/>
        <v>#N/A</v>
      </c>
      <c r="Z116" s="67" t="e">
        <f t="shared" ca="1" si="61"/>
        <v>#N/A</v>
      </c>
      <c r="AA116" s="5" t="str">
        <f>IF(Setup!$I$15="Yes",'Demand background (hide)'!AJ104+'SPC background (hide)'!C116,"")</f>
        <v/>
      </c>
      <c r="AC116" s="5" t="e">
        <f t="shared" ca="1" si="54"/>
        <v>#N/A</v>
      </c>
      <c r="AD116" s="5" t="e">
        <f t="shared" ca="1" si="55"/>
        <v>#N/A</v>
      </c>
    </row>
    <row r="117" spans="1:30" x14ac:dyDescent="0.25">
      <c r="A117" s="67" t="str">
        <f ca="1">Demand!C114</f>
        <v/>
      </c>
      <c r="B117" s="67">
        <v>102</v>
      </c>
      <c r="C117" s="5">
        <f ca="1">'Demand background (hide)'!Y105</f>
        <v>0</v>
      </c>
      <c r="D117" s="67">
        <f t="shared" si="39"/>
        <v>0</v>
      </c>
      <c r="E117" s="67" t="e">
        <f t="shared" ca="1" si="40"/>
        <v>#N/A</v>
      </c>
      <c r="F117" s="67" t="e">
        <f t="shared" ca="1" si="41"/>
        <v>#N/A</v>
      </c>
      <c r="G117" s="67" t="e">
        <f t="shared" ca="1" si="42"/>
        <v>#N/A</v>
      </c>
      <c r="H117" s="67" t="e">
        <f>IF('Demand background (hide)'!AN105&lt;&gt;"",'SPC background (hide)'!C117,NA())</f>
        <v>#N/A</v>
      </c>
      <c r="I117" s="67" t="e">
        <f t="shared" ca="1" si="43"/>
        <v>#N/A</v>
      </c>
      <c r="J117" s="5" t="e">
        <f t="shared" ca="1" si="44"/>
        <v>#N/A</v>
      </c>
      <c r="K117" s="5" t="e">
        <f t="shared" ca="1" si="45"/>
        <v>#N/A</v>
      </c>
      <c r="L117" s="5" t="e">
        <f t="shared" ca="1" si="46"/>
        <v>#N/A</v>
      </c>
      <c r="M117" s="5" t="e">
        <f t="shared" ca="1" si="47"/>
        <v>#N/A</v>
      </c>
      <c r="N117" s="5" t="e">
        <f t="shared" ca="1" si="48"/>
        <v>#N/A</v>
      </c>
      <c r="O117" s="5" t="e">
        <f t="shared" ca="1" si="49"/>
        <v>#N/A</v>
      </c>
      <c r="P117" s="5" t="e">
        <f t="shared" ca="1" si="50"/>
        <v>#N/A</v>
      </c>
      <c r="Q117" s="5" t="e">
        <f t="shared" ca="1" si="51"/>
        <v>#N/A</v>
      </c>
      <c r="R117" s="5" t="e">
        <f t="shared" ca="1" si="56"/>
        <v>#N/A</v>
      </c>
      <c r="S117" s="67" t="e">
        <f t="shared" ca="1" si="57"/>
        <v>#N/A</v>
      </c>
      <c r="T117" s="67" t="e">
        <f t="shared" ca="1" si="58"/>
        <v>#N/A</v>
      </c>
      <c r="U117" s="67" t="e">
        <f t="shared" ca="1" si="59"/>
        <v>#N/A</v>
      </c>
      <c r="V117" s="5" t="e">
        <f t="shared" ca="1" si="38"/>
        <v>#N/A</v>
      </c>
      <c r="W117" s="5" t="e">
        <f t="shared" ca="1" si="52"/>
        <v>#N/A</v>
      </c>
      <c r="X117" s="67">
        <f t="shared" ca="1" si="53"/>
        <v>0</v>
      </c>
      <c r="Y117" s="67" t="e">
        <f t="shared" ca="1" si="60"/>
        <v>#N/A</v>
      </c>
      <c r="Z117" s="67" t="e">
        <f t="shared" ca="1" si="61"/>
        <v>#N/A</v>
      </c>
      <c r="AA117" s="5" t="str">
        <f>IF(Setup!$I$15="Yes",'Demand background (hide)'!AJ105+'SPC background (hide)'!C117,"")</f>
        <v/>
      </c>
      <c r="AC117" s="5" t="e">
        <f t="shared" ca="1" si="54"/>
        <v>#N/A</v>
      </c>
      <c r="AD117" s="5" t="e">
        <f t="shared" ca="1" si="55"/>
        <v>#N/A</v>
      </c>
    </row>
    <row r="118" spans="1:30" x14ac:dyDescent="0.25">
      <c r="A118" s="67" t="str">
        <f ca="1">Demand!C115</f>
        <v/>
      </c>
      <c r="B118" s="67">
        <v>103</v>
      </c>
      <c r="C118" s="5">
        <f ca="1">'Demand background (hide)'!Y106</f>
        <v>0</v>
      </c>
      <c r="D118" s="67">
        <f t="shared" si="39"/>
        <v>0</v>
      </c>
      <c r="E118" s="67" t="e">
        <f t="shared" ca="1" si="40"/>
        <v>#N/A</v>
      </c>
      <c r="F118" s="67" t="e">
        <f t="shared" ca="1" si="41"/>
        <v>#N/A</v>
      </c>
      <c r="G118" s="67" t="e">
        <f t="shared" ca="1" si="42"/>
        <v>#N/A</v>
      </c>
      <c r="H118" s="67" t="e">
        <f>IF('Demand background (hide)'!AN106&lt;&gt;"",'SPC background (hide)'!C118,NA())</f>
        <v>#N/A</v>
      </c>
      <c r="I118" s="67" t="e">
        <f t="shared" ca="1" si="43"/>
        <v>#N/A</v>
      </c>
      <c r="J118" s="5" t="e">
        <f t="shared" ca="1" si="44"/>
        <v>#N/A</v>
      </c>
      <c r="K118" s="5" t="e">
        <f t="shared" ca="1" si="45"/>
        <v>#N/A</v>
      </c>
      <c r="L118" s="5" t="e">
        <f t="shared" ca="1" si="46"/>
        <v>#N/A</v>
      </c>
      <c r="M118" s="5" t="e">
        <f t="shared" ca="1" si="47"/>
        <v>#N/A</v>
      </c>
      <c r="N118" s="5" t="e">
        <f t="shared" ca="1" si="48"/>
        <v>#N/A</v>
      </c>
      <c r="O118" s="5" t="e">
        <f t="shared" ca="1" si="49"/>
        <v>#N/A</v>
      </c>
      <c r="P118" s="5" t="e">
        <f t="shared" ca="1" si="50"/>
        <v>#N/A</v>
      </c>
      <c r="Q118" s="5" t="e">
        <f t="shared" ca="1" si="51"/>
        <v>#N/A</v>
      </c>
      <c r="R118" s="5" t="e">
        <f t="shared" ca="1" si="56"/>
        <v>#N/A</v>
      </c>
      <c r="S118" s="67" t="e">
        <f t="shared" ca="1" si="57"/>
        <v>#N/A</v>
      </c>
      <c r="T118" s="67" t="e">
        <f t="shared" ca="1" si="58"/>
        <v>#N/A</v>
      </c>
      <c r="U118" s="67" t="e">
        <f t="shared" ca="1" si="59"/>
        <v>#N/A</v>
      </c>
      <c r="V118" s="5" t="e">
        <f t="shared" ca="1" si="38"/>
        <v>#N/A</v>
      </c>
      <c r="W118" s="5" t="e">
        <f t="shared" ca="1" si="52"/>
        <v>#N/A</v>
      </c>
      <c r="X118" s="67">
        <f t="shared" ca="1" si="53"/>
        <v>0</v>
      </c>
      <c r="Y118" s="67" t="e">
        <f t="shared" ca="1" si="60"/>
        <v>#N/A</v>
      </c>
      <c r="Z118" s="67" t="e">
        <f t="shared" ca="1" si="61"/>
        <v>#N/A</v>
      </c>
      <c r="AA118" s="5" t="str">
        <f>IF(Setup!$I$15="Yes",'Demand background (hide)'!AJ106+'SPC background (hide)'!C118,"")</f>
        <v/>
      </c>
      <c r="AC118" s="5" t="e">
        <f t="shared" ca="1" si="54"/>
        <v>#N/A</v>
      </c>
      <c r="AD118" s="5" t="e">
        <f t="shared" ca="1" si="55"/>
        <v>#N/A</v>
      </c>
    </row>
    <row r="119" spans="1:30" x14ac:dyDescent="0.25">
      <c r="A119" s="67" t="str">
        <f ca="1">Demand!C116</f>
        <v/>
      </c>
      <c r="B119" s="67">
        <v>104</v>
      </c>
      <c r="C119" s="5">
        <f ca="1">'Demand background (hide)'!Y107</f>
        <v>0</v>
      </c>
      <c r="D119" s="67">
        <f t="shared" si="39"/>
        <v>0</v>
      </c>
      <c r="E119" s="67" t="e">
        <f t="shared" ca="1" si="40"/>
        <v>#N/A</v>
      </c>
      <c r="F119" s="67" t="e">
        <f t="shared" ca="1" si="41"/>
        <v>#N/A</v>
      </c>
      <c r="G119" s="67" t="e">
        <f t="shared" ca="1" si="42"/>
        <v>#N/A</v>
      </c>
      <c r="H119" s="67" t="e">
        <f>IF('Demand background (hide)'!AN107&lt;&gt;"",'SPC background (hide)'!C119,NA())</f>
        <v>#N/A</v>
      </c>
      <c r="I119" s="67" t="e">
        <f t="shared" ca="1" si="43"/>
        <v>#N/A</v>
      </c>
      <c r="J119" s="5" t="e">
        <f t="shared" ca="1" si="44"/>
        <v>#N/A</v>
      </c>
      <c r="K119" s="5" t="e">
        <f t="shared" ca="1" si="45"/>
        <v>#N/A</v>
      </c>
      <c r="L119" s="5" t="e">
        <f t="shared" ca="1" si="46"/>
        <v>#N/A</v>
      </c>
      <c r="M119" s="5" t="e">
        <f t="shared" ca="1" si="47"/>
        <v>#N/A</v>
      </c>
      <c r="N119" s="5" t="e">
        <f t="shared" ca="1" si="48"/>
        <v>#N/A</v>
      </c>
      <c r="O119" s="5" t="e">
        <f t="shared" ca="1" si="49"/>
        <v>#N/A</v>
      </c>
      <c r="P119" s="5" t="e">
        <f t="shared" ca="1" si="50"/>
        <v>#N/A</v>
      </c>
      <c r="Q119" s="5" t="e">
        <f t="shared" ca="1" si="51"/>
        <v>#N/A</v>
      </c>
      <c r="R119" s="5" t="e">
        <f t="shared" ca="1" si="56"/>
        <v>#N/A</v>
      </c>
      <c r="S119" s="67" t="e">
        <f t="shared" ca="1" si="57"/>
        <v>#N/A</v>
      </c>
      <c r="T119" s="67" t="e">
        <f t="shared" ca="1" si="58"/>
        <v>#N/A</v>
      </c>
      <c r="U119" s="67" t="e">
        <f t="shared" ca="1" si="59"/>
        <v>#N/A</v>
      </c>
      <c r="V119" s="5" t="e">
        <f t="shared" ca="1" si="38"/>
        <v>#N/A</v>
      </c>
      <c r="W119" s="5" t="e">
        <f t="shared" ca="1" si="52"/>
        <v>#N/A</v>
      </c>
      <c r="X119" s="67">
        <f t="shared" ca="1" si="53"/>
        <v>0</v>
      </c>
      <c r="Y119" s="67" t="e">
        <f t="shared" ca="1" si="60"/>
        <v>#N/A</v>
      </c>
      <c r="Z119" s="67" t="e">
        <f t="shared" ca="1" si="61"/>
        <v>#N/A</v>
      </c>
      <c r="AA119" s="5" t="str">
        <f>IF(Setup!$I$15="Yes",'Demand background (hide)'!AJ107+'SPC background (hide)'!C119,"")</f>
        <v/>
      </c>
      <c r="AC119" s="5" t="e">
        <f t="shared" ca="1" si="54"/>
        <v>#N/A</v>
      </c>
      <c r="AD119" s="5" t="e">
        <f t="shared" ca="1" si="55"/>
        <v>#N/A</v>
      </c>
    </row>
    <row r="120" spans="1:30" x14ac:dyDescent="0.25">
      <c r="A120" s="67" t="str">
        <f ca="1">Demand!C117</f>
        <v/>
      </c>
      <c r="B120" s="67">
        <v>105</v>
      </c>
      <c r="C120" s="5">
        <f ca="1">'Demand background (hide)'!Y108</f>
        <v>0</v>
      </c>
      <c r="D120" s="67">
        <f t="shared" si="39"/>
        <v>0</v>
      </c>
      <c r="E120" s="67" t="e">
        <f t="shared" ca="1" si="40"/>
        <v>#N/A</v>
      </c>
      <c r="F120" s="67" t="e">
        <f t="shared" ca="1" si="41"/>
        <v>#N/A</v>
      </c>
      <c r="G120" s="67" t="e">
        <f t="shared" ca="1" si="42"/>
        <v>#N/A</v>
      </c>
      <c r="H120" s="67" t="e">
        <f>IF('Demand background (hide)'!AN108&lt;&gt;"",'SPC background (hide)'!C120,NA())</f>
        <v>#N/A</v>
      </c>
      <c r="I120" s="67" t="e">
        <f t="shared" ca="1" si="43"/>
        <v>#N/A</v>
      </c>
      <c r="J120" s="5" t="e">
        <f t="shared" ca="1" si="44"/>
        <v>#N/A</v>
      </c>
      <c r="K120" s="5" t="e">
        <f t="shared" ca="1" si="45"/>
        <v>#N/A</v>
      </c>
      <c r="L120" s="5" t="e">
        <f t="shared" ca="1" si="46"/>
        <v>#N/A</v>
      </c>
      <c r="M120" s="5" t="e">
        <f t="shared" ca="1" si="47"/>
        <v>#N/A</v>
      </c>
      <c r="N120" s="5" t="e">
        <f t="shared" ca="1" si="48"/>
        <v>#N/A</v>
      </c>
      <c r="O120" s="5" t="e">
        <f t="shared" ca="1" si="49"/>
        <v>#N/A</v>
      </c>
      <c r="P120" s="5" t="e">
        <f t="shared" ca="1" si="50"/>
        <v>#N/A</v>
      </c>
      <c r="Q120" s="5" t="e">
        <f t="shared" ca="1" si="51"/>
        <v>#N/A</v>
      </c>
      <c r="R120" s="5" t="e">
        <f t="shared" ca="1" si="56"/>
        <v>#N/A</v>
      </c>
      <c r="S120" s="67" t="e">
        <f t="shared" ca="1" si="57"/>
        <v>#N/A</v>
      </c>
      <c r="T120" s="67" t="e">
        <f t="shared" ca="1" si="58"/>
        <v>#N/A</v>
      </c>
      <c r="U120" s="67" t="e">
        <f t="shared" ca="1" si="59"/>
        <v>#N/A</v>
      </c>
      <c r="V120" s="5" t="e">
        <f t="shared" ca="1" si="38"/>
        <v>#N/A</v>
      </c>
      <c r="W120" s="5" t="e">
        <f t="shared" ca="1" si="52"/>
        <v>#N/A</v>
      </c>
      <c r="X120" s="67">
        <f t="shared" ca="1" si="53"/>
        <v>0</v>
      </c>
      <c r="Y120" s="67" t="e">
        <f t="shared" ca="1" si="60"/>
        <v>#N/A</v>
      </c>
      <c r="Z120" s="67" t="e">
        <f t="shared" ca="1" si="61"/>
        <v>#N/A</v>
      </c>
      <c r="AA120" s="5" t="str">
        <f>IF(Setup!$I$15="Yes",'Demand background (hide)'!AJ108+'SPC background (hide)'!C120,"")</f>
        <v/>
      </c>
      <c r="AC120" s="5" t="e">
        <f t="shared" ca="1" si="54"/>
        <v>#N/A</v>
      </c>
      <c r="AD120" s="5" t="e">
        <f t="shared" ca="1" si="55"/>
        <v>#N/A</v>
      </c>
    </row>
    <row r="121" spans="1:30" x14ac:dyDescent="0.25">
      <c r="A121" s="67" t="str">
        <f ca="1">Demand!C118</f>
        <v/>
      </c>
      <c r="B121" s="67">
        <v>106</v>
      </c>
      <c r="C121" s="5">
        <f ca="1">'Demand background (hide)'!Y109</f>
        <v>0</v>
      </c>
      <c r="D121" s="67">
        <f t="shared" si="39"/>
        <v>0</v>
      </c>
      <c r="E121" s="67" t="e">
        <f t="shared" ca="1" si="40"/>
        <v>#N/A</v>
      </c>
      <c r="F121" s="67" t="e">
        <f t="shared" ca="1" si="41"/>
        <v>#N/A</v>
      </c>
      <c r="G121" s="67" t="e">
        <f t="shared" ca="1" si="42"/>
        <v>#N/A</v>
      </c>
      <c r="H121" s="67" t="e">
        <f>IF('Demand background (hide)'!AN109&lt;&gt;"",'SPC background (hide)'!C121,NA())</f>
        <v>#N/A</v>
      </c>
      <c r="I121" s="67" t="e">
        <f t="shared" ca="1" si="43"/>
        <v>#N/A</v>
      </c>
      <c r="J121" s="5" t="e">
        <f t="shared" ca="1" si="44"/>
        <v>#N/A</v>
      </c>
      <c r="K121" s="5" t="e">
        <f t="shared" ca="1" si="45"/>
        <v>#N/A</v>
      </c>
      <c r="L121" s="5" t="e">
        <f t="shared" ca="1" si="46"/>
        <v>#N/A</v>
      </c>
      <c r="M121" s="5" t="e">
        <f t="shared" ca="1" si="47"/>
        <v>#N/A</v>
      </c>
      <c r="N121" s="5" t="e">
        <f t="shared" ca="1" si="48"/>
        <v>#N/A</v>
      </c>
      <c r="O121" s="5" t="e">
        <f t="shared" ca="1" si="49"/>
        <v>#N/A</v>
      </c>
      <c r="P121" s="5" t="e">
        <f t="shared" ca="1" si="50"/>
        <v>#N/A</v>
      </c>
      <c r="Q121" s="5" t="e">
        <f t="shared" ca="1" si="51"/>
        <v>#N/A</v>
      </c>
      <c r="R121" s="5" t="e">
        <f t="shared" ca="1" si="56"/>
        <v>#N/A</v>
      </c>
      <c r="S121" s="67" t="e">
        <f t="shared" ca="1" si="57"/>
        <v>#N/A</v>
      </c>
      <c r="T121" s="67" t="e">
        <f t="shared" ca="1" si="58"/>
        <v>#N/A</v>
      </c>
      <c r="U121" s="67" t="e">
        <f t="shared" ca="1" si="59"/>
        <v>#N/A</v>
      </c>
      <c r="V121" s="5" t="e">
        <f t="shared" ca="1" si="38"/>
        <v>#N/A</v>
      </c>
      <c r="W121" s="5" t="e">
        <f t="shared" ca="1" si="52"/>
        <v>#N/A</v>
      </c>
      <c r="X121" s="67">
        <f t="shared" ca="1" si="53"/>
        <v>0</v>
      </c>
      <c r="Y121" s="67" t="e">
        <f t="shared" ca="1" si="60"/>
        <v>#N/A</v>
      </c>
      <c r="Z121" s="67" t="e">
        <f t="shared" ca="1" si="61"/>
        <v>#N/A</v>
      </c>
      <c r="AA121" s="5" t="str">
        <f>IF(Setup!$I$15="Yes",'Demand background (hide)'!AJ109+'SPC background (hide)'!C121,"")</f>
        <v/>
      </c>
      <c r="AC121" s="5" t="e">
        <f t="shared" ca="1" si="54"/>
        <v>#N/A</v>
      </c>
      <c r="AD121" s="5" t="e">
        <f t="shared" ca="1" si="55"/>
        <v>#N/A</v>
      </c>
    </row>
    <row r="122" spans="1:30" x14ac:dyDescent="0.25">
      <c r="A122" s="67" t="str">
        <f ca="1">Demand!C119</f>
        <v/>
      </c>
      <c r="B122" s="67">
        <v>107</v>
      </c>
      <c r="C122" s="5">
        <f ca="1">'Demand background (hide)'!Y110</f>
        <v>0</v>
      </c>
      <c r="D122" s="67">
        <f t="shared" si="39"/>
        <v>0</v>
      </c>
      <c r="E122" s="67" t="e">
        <f t="shared" ca="1" si="40"/>
        <v>#N/A</v>
      </c>
      <c r="F122" s="67" t="e">
        <f t="shared" ca="1" si="41"/>
        <v>#N/A</v>
      </c>
      <c r="G122" s="67" t="e">
        <f t="shared" ca="1" si="42"/>
        <v>#N/A</v>
      </c>
      <c r="H122" s="67" t="e">
        <f>IF('Demand background (hide)'!AN110&lt;&gt;"",'SPC background (hide)'!C122,NA())</f>
        <v>#N/A</v>
      </c>
      <c r="I122" s="67" t="e">
        <f t="shared" ca="1" si="43"/>
        <v>#N/A</v>
      </c>
      <c r="J122" s="5" t="e">
        <f t="shared" ca="1" si="44"/>
        <v>#N/A</v>
      </c>
      <c r="K122" s="5" t="e">
        <f t="shared" ca="1" si="45"/>
        <v>#N/A</v>
      </c>
      <c r="L122" s="5" t="e">
        <f t="shared" ca="1" si="46"/>
        <v>#N/A</v>
      </c>
      <c r="M122" s="5" t="e">
        <f t="shared" ca="1" si="47"/>
        <v>#N/A</v>
      </c>
      <c r="N122" s="5" t="e">
        <f t="shared" ca="1" si="48"/>
        <v>#N/A</v>
      </c>
      <c r="O122" s="5" t="e">
        <f t="shared" ca="1" si="49"/>
        <v>#N/A</v>
      </c>
      <c r="P122" s="5" t="e">
        <f t="shared" ca="1" si="50"/>
        <v>#N/A</v>
      </c>
      <c r="Q122" s="5" t="e">
        <f t="shared" ca="1" si="51"/>
        <v>#N/A</v>
      </c>
      <c r="R122" s="5" t="e">
        <f t="shared" ca="1" si="56"/>
        <v>#N/A</v>
      </c>
      <c r="S122" s="67" t="e">
        <f t="shared" ca="1" si="57"/>
        <v>#N/A</v>
      </c>
      <c r="T122" s="67" t="e">
        <f t="shared" ca="1" si="58"/>
        <v>#N/A</v>
      </c>
      <c r="U122" s="67" t="e">
        <f t="shared" ca="1" si="59"/>
        <v>#N/A</v>
      </c>
      <c r="V122" s="5" t="e">
        <f t="shared" ca="1" si="38"/>
        <v>#N/A</v>
      </c>
      <c r="W122" s="5" t="e">
        <f t="shared" ca="1" si="52"/>
        <v>#N/A</v>
      </c>
      <c r="X122" s="67">
        <f t="shared" ca="1" si="53"/>
        <v>0</v>
      </c>
      <c r="Y122" s="67" t="e">
        <f t="shared" ca="1" si="60"/>
        <v>#N/A</v>
      </c>
      <c r="Z122" s="67" t="e">
        <f t="shared" ca="1" si="61"/>
        <v>#N/A</v>
      </c>
      <c r="AA122" s="5" t="str">
        <f>IF(Setup!$I$15="Yes",'Demand background (hide)'!AJ110+'SPC background (hide)'!C122,"")</f>
        <v/>
      </c>
      <c r="AC122" s="5" t="e">
        <f t="shared" ca="1" si="54"/>
        <v>#N/A</v>
      </c>
      <c r="AD122" s="5" t="e">
        <f t="shared" ca="1" si="55"/>
        <v>#N/A</v>
      </c>
    </row>
    <row r="123" spans="1:30" x14ac:dyDescent="0.25">
      <c r="A123" s="67" t="str">
        <f ca="1">Demand!C120</f>
        <v/>
      </c>
      <c r="B123" s="67">
        <v>108</v>
      </c>
      <c r="C123" s="5">
        <f ca="1">'Demand background (hide)'!Y111</f>
        <v>0</v>
      </c>
      <c r="D123" s="67">
        <f t="shared" si="39"/>
        <v>0</v>
      </c>
      <c r="E123" s="67" t="e">
        <f t="shared" ca="1" si="40"/>
        <v>#N/A</v>
      </c>
      <c r="F123" s="67" t="e">
        <f t="shared" ca="1" si="41"/>
        <v>#N/A</v>
      </c>
      <c r="G123" s="67" t="e">
        <f t="shared" ca="1" si="42"/>
        <v>#N/A</v>
      </c>
      <c r="H123" s="67" t="e">
        <f>IF('Demand background (hide)'!AN111&lt;&gt;"",'SPC background (hide)'!C123,NA())</f>
        <v>#N/A</v>
      </c>
      <c r="I123" s="67" t="e">
        <f t="shared" ca="1" si="43"/>
        <v>#N/A</v>
      </c>
      <c r="J123" s="5" t="e">
        <f t="shared" ca="1" si="44"/>
        <v>#N/A</v>
      </c>
      <c r="K123" s="5" t="e">
        <f t="shared" ca="1" si="45"/>
        <v>#N/A</v>
      </c>
      <c r="L123" s="5" t="e">
        <f t="shared" ca="1" si="46"/>
        <v>#N/A</v>
      </c>
      <c r="M123" s="5" t="e">
        <f t="shared" ca="1" si="47"/>
        <v>#N/A</v>
      </c>
      <c r="N123" s="5" t="e">
        <f t="shared" ca="1" si="48"/>
        <v>#N/A</v>
      </c>
      <c r="O123" s="5" t="e">
        <f t="shared" ca="1" si="49"/>
        <v>#N/A</v>
      </c>
      <c r="P123" s="5" t="e">
        <f t="shared" ca="1" si="50"/>
        <v>#N/A</v>
      </c>
      <c r="Q123" s="5" t="e">
        <f t="shared" ca="1" si="51"/>
        <v>#N/A</v>
      </c>
      <c r="R123" s="5" t="e">
        <f t="shared" ca="1" si="56"/>
        <v>#N/A</v>
      </c>
      <c r="S123" s="67" t="e">
        <f t="shared" ca="1" si="57"/>
        <v>#N/A</v>
      </c>
      <c r="T123" s="67" t="e">
        <f t="shared" ca="1" si="58"/>
        <v>#N/A</v>
      </c>
      <c r="U123" s="67" t="e">
        <f t="shared" ca="1" si="59"/>
        <v>#N/A</v>
      </c>
      <c r="V123" s="5" t="e">
        <f t="shared" ca="1" si="38"/>
        <v>#N/A</v>
      </c>
      <c r="W123" s="5" t="e">
        <f t="shared" ca="1" si="52"/>
        <v>#N/A</v>
      </c>
      <c r="X123" s="67">
        <f t="shared" ca="1" si="53"/>
        <v>0</v>
      </c>
      <c r="Y123" s="67" t="e">
        <f t="shared" ca="1" si="60"/>
        <v>#N/A</v>
      </c>
      <c r="Z123" s="67" t="e">
        <f t="shared" ca="1" si="61"/>
        <v>#N/A</v>
      </c>
      <c r="AA123" s="5" t="str">
        <f>IF(Setup!$I$15="Yes",'Demand background (hide)'!AJ111+'SPC background (hide)'!C123,"")</f>
        <v/>
      </c>
      <c r="AC123" s="5" t="e">
        <f t="shared" ca="1" si="54"/>
        <v>#N/A</v>
      </c>
      <c r="AD123" s="5" t="e">
        <f t="shared" ca="1" si="55"/>
        <v>#N/A</v>
      </c>
    </row>
    <row r="124" spans="1:30" x14ac:dyDescent="0.25">
      <c r="A124" s="67" t="str">
        <f ca="1">Demand!C121</f>
        <v/>
      </c>
      <c r="B124" s="67">
        <v>109</v>
      </c>
      <c r="C124" s="5">
        <f ca="1">'Demand background (hide)'!Y112</f>
        <v>0</v>
      </c>
      <c r="D124" s="67">
        <f t="shared" si="39"/>
        <v>0</v>
      </c>
      <c r="E124" s="67" t="e">
        <f t="shared" ca="1" si="40"/>
        <v>#N/A</v>
      </c>
      <c r="F124" s="67" t="e">
        <f t="shared" ca="1" si="41"/>
        <v>#N/A</v>
      </c>
      <c r="G124" s="67" t="e">
        <f t="shared" ca="1" si="42"/>
        <v>#N/A</v>
      </c>
      <c r="H124" s="67" t="e">
        <f>IF('Demand background (hide)'!AN112&lt;&gt;"",'SPC background (hide)'!C124,NA())</f>
        <v>#N/A</v>
      </c>
      <c r="I124" s="67" t="e">
        <f t="shared" ca="1" si="43"/>
        <v>#N/A</v>
      </c>
      <c r="J124" s="5" t="e">
        <f t="shared" ca="1" si="44"/>
        <v>#N/A</v>
      </c>
      <c r="K124" s="5" t="e">
        <f t="shared" ca="1" si="45"/>
        <v>#N/A</v>
      </c>
      <c r="L124" s="5" t="e">
        <f t="shared" ca="1" si="46"/>
        <v>#N/A</v>
      </c>
      <c r="M124" s="5" t="e">
        <f t="shared" ca="1" si="47"/>
        <v>#N/A</v>
      </c>
      <c r="N124" s="5" t="e">
        <f t="shared" ca="1" si="48"/>
        <v>#N/A</v>
      </c>
      <c r="O124" s="5" t="e">
        <f t="shared" ca="1" si="49"/>
        <v>#N/A</v>
      </c>
      <c r="P124" s="5" t="e">
        <f t="shared" ca="1" si="50"/>
        <v>#N/A</v>
      </c>
      <c r="Q124" s="5" t="e">
        <f t="shared" ca="1" si="51"/>
        <v>#N/A</v>
      </c>
      <c r="R124" s="5" t="e">
        <f t="shared" ca="1" si="56"/>
        <v>#N/A</v>
      </c>
      <c r="S124" s="67" t="e">
        <f t="shared" ca="1" si="57"/>
        <v>#N/A</v>
      </c>
      <c r="T124" s="67" t="e">
        <f t="shared" ca="1" si="58"/>
        <v>#N/A</v>
      </c>
      <c r="U124" s="67" t="e">
        <f t="shared" ca="1" si="59"/>
        <v>#N/A</v>
      </c>
      <c r="V124" s="5" t="e">
        <f t="shared" ca="1" si="38"/>
        <v>#N/A</v>
      </c>
      <c r="W124" s="5" t="e">
        <f t="shared" ca="1" si="52"/>
        <v>#N/A</v>
      </c>
      <c r="X124" s="67">
        <f t="shared" ca="1" si="53"/>
        <v>0</v>
      </c>
      <c r="Y124" s="67" t="e">
        <f t="shared" ca="1" si="60"/>
        <v>#N/A</v>
      </c>
      <c r="Z124" s="67" t="e">
        <f t="shared" ca="1" si="61"/>
        <v>#N/A</v>
      </c>
      <c r="AA124" s="5" t="str">
        <f>IF(Setup!$I$15="Yes",'Demand background (hide)'!AJ112+'SPC background (hide)'!C124,"")</f>
        <v/>
      </c>
      <c r="AC124" s="5" t="e">
        <f t="shared" ca="1" si="54"/>
        <v>#N/A</v>
      </c>
      <c r="AD124" s="5" t="e">
        <f t="shared" ca="1" si="55"/>
        <v>#N/A</v>
      </c>
    </row>
    <row r="125" spans="1:30" x14ac:dyDescent="0.25">
      <c r="A125" s="67" t="str">
        <f ca="1">Demand!C122</f>
        <v/>
      </c>
      <c r="B125" s="67">
        <v>110</v>
      </c>
      <c r="C125" s="5">
        <f ca="1">'Demand background (hide)'!Y113</f>
        <v>0</v>
      </c>
      <c r="D125" s="67">
        <f t="shared" si="39"/>
        <v>0</v>
      </c>
      <c r="E125" s="67" t="e">
        <f t="shared" ca="1" si="40"/>
        <v>#N/A</v>
      </c>
      <c r="F125" s="67" t="e">
        <f t="shared" ca="1" si="41"/>
        <v>#N/A</v>
      </c>
      <c r="G125" s="67" t="e">
        <f t="shared" ca="1" si="42"/>
        <v>#N/A</v>
      </c>
      <c r="H125" s="67" t="e">
        <f>IF('Demand background (hide)'!AN113&lt;&gt;"",'SPC background (hide)'!C125,NA())</f>
        <v>#N/A</v>
      </c>
      <c r="I125" s="67" t="e">
        <f t="shared" ca="1" si="43"/>
        <v>#N/A</v>
      </c>
      <c r="J125" s="5" t="e">
        <f t="shared" ca="1" si="44"/>
        <v>#N/A</v>
      </c>
      <c r="K125" s="5" t="e">
        <f t="shared" ca="1" si="45"/>
        <v>#N/A</v>
      </c>
      <c r="L125" s="5" t="e">
        <f t="shared" ca="1" si="46"/>
        <v>#N/A</v>
      </c>
      <c r="M125" s="5" t="e">
        <f t="shared" ca="1" si="47"/>
        <v>#N/A</v>
      </c>
      <c r="N125" s="5" t="e">
        <f t="shared" ca="1" si="48"/>
        <v>#N/A</v>
      </c>
      <c r="O125" s="5" t="e">
        <f t="shared" ca="1" si="49"/>
        <v>#N/A</v>
      </c>
      <c r="P125" s="5" t="e">
        <f t="shared" ca="1" si="50"/>
        <v>#N/A</v>
      </c>
      <c r="Q125" s="5" t="e">
        <f t="shared" ca="1" si="51"/>
        <v>#N/A</v>
      </c>
      <c r="R125" s="5" t="e">
        <f t="shared" ca="1" si="56"/>
        <v>#N/A</v>
      </c>
      <c r="S125" s="67" t="e">
        <f t="shared" ca="1" si="57"/>
        <v>#N/A</v>
      </c>
      <c r="T125" s="67" t="e">
        <f t="shared" ca="1" si="58"/>
        <v>#N/A</v>
      </c>
      <c r="U125" s="67" t="e">
        <f t="shared" ca="1" si="59"/>
        <v>#N/A</v>
      </c>
      <c r="V125" s="5" t="e">
        <f t="shared" ca="1" si="38"/>
        <v>#N/A</v>
      </c>
      <c r="W125" s="5" t="e">
        <f t="shared" ca="1" si="52"/>
        <v>#N/A</v>
      </c>
      <c r="X125" s="67">
        <f t="shared" ca="1" si="53"/>
        <v>0</v>
      </c>
      <c r="Y125" s="67" t="e">
        <f t="shared" ca="1" si="60"/>
        <v>#N/A</v>
      </c>
      <c r="Z125" s="67" t="e">
        <f t="shared" ca="1" si="61"/>
        <v>#N/A</v>
      </c>
      <c r="AA125" s="5" t="str">
        <f>IF(Setup!$I$15="Yes",'Demand background (hide)'!AJ113+'SPC background (hide)'!C125,"")</f>
        <v/>
      </c>
      <c r="AC125" s="5" t="e">
        <f t="shared" ca="1" si="54"/>
        <v>#N/A</v>
      </c>
      <c r="AD125" s="5" t="e">
        <f t="shared" ca="1" si="55"/>
        <v>#N/A</v>
      </c>
    </row>
    <row r="126" spans="1:30" x14ac:dyDescent="0.25">
      <c r="A126" s="67" t="str">
        <f ca="1">Demand!C123</f>
        <v/>
      </c>
      <c r="B126" s="67">
        <v>111</v>
      </c>
      <c r="C126" s="5">
        <f ca="1">'Demand background (hide)'!Y114</f>
        <v>0</v>
      </c>
      <c r="D126" s="67">
        <f t="shared" si="39"/>
        <v>0</v>
      </c>
      <c r="E126" s="67" t="e">
        <f t="shared" ca="1" si="40"/>
        <v>#N/A</v>
      </c>
      <c r="F126" s="67" t="e">
        <f t="shared" ca="1" si="41"/>
        <v>#N/A</v>
      </c>
      <c r="G126" s="67" t="e">
        <f t="shared" ca="1" si="42"/>
        <v>#N/A</v>
      </c>
      <c r="H126" s="67" t="e">
        <f>IF('Demand background (hide)'!AN114&lt;&gt;"",'SPC background (hide)'!C126,NA())</f>
        <v>#N/A</v>
      </c>
      <c r="I126" s="67" t="e">
        <f t="shared" ca="1" si="43"/>
        <v>#N/A</v>
      </c>
      <c r="J126" s="5" t="e">
        <f t="shared" ca="1" si="44"/>
        <v>#N/A</v>
      </c>
      <c r="K126" s="5" t="e">
        <f t="shared" ca="1" si="45"/>
        <v>#N/A</v>
      </c>
      <c r="L126" s="5" t="e">
        <f t="shared" ca="1" si="46"/>
        <v>#N/A</v>
      </c>
      <c r="M126" s="5" t="e">
        <f t="shared" ca="1" si="47"/>
        <v>#N/A</v>
      </c>
      <c r="N126" s="5" t="e">
        <f t="shared" ca="1" si="48"/>
        <v>#N/A</v>
      </c>
      <c r="O126" s="5" t="e">
        <f t="shared" ca="1" si="49"/>
        <v>#N/A</v>
      </c>
      <c r="P126" s="5" t="e">
        <f t="shared" ca="1" si="50"/>
        <v>#N/A</v>
      </c>
      <c r="Q126" s="5" t="e">
        <f t="shared" ca="1" si="51"/>
        <v>#N/A</v>
      </c>
      <c r="R126" s="5" t="e">
        <f t="shared" ca="1" si="56"/>
        <v>#N/A</v>
      </c>
      <c r="S126" s="67" t="e">
        <f t="shared" ca="1" si="57"/>
        <v>#N/A</v>
      </c>
      <c r="T126" s="67" t="e">
        <f t="shared" ca="1" si="58"/>
        <v>#N/A</v>
      </c>
      <c r="U126" s="67" t="e">
        <f t="shared" ca="1" si="59"/>
        <v>#N/A</v>
      </c>
      <c r="V126" s="5" t="e">
        <f t="shared" ca="1" si="38"/>
        <v>#N/A</v>
      </c>
      <c r="W126" s="5" t="e">
        <f t="shared" ca="1" si="52"/>
        <v>#N/A</v>
      </c>
      <c r="X126" s="67">
        <f t="shared" ca="1" si="53"/>
        <v>0</v>
      </c>
      <c r="Y126" s="67" t="e">
        <f t="shared" ca="1" si="60"/>
        <v>#N/A</v>
      </c>
      <c r="Z126" s="67" t="e">
        <f t="shared" ca="1" si="61"/>
        <v>#N/A</v>
      </c>
      <c r="AA126" s="5" t="str">
        <f>IF(Setup!$I$15="Yes",'Demand background (hide)'!AJ114+'SPC background (hide)'!C126,"")</f>
        <v/>
      </c>
      <c r="AC126" s="5" t="e">
        <f t="shared" ca="1" si="54"/>
        <v>#N/A</v>
      </c>
      <c r="AD126" s="5" t="e">
        <f t="shared" ca="1" si="55"/>
        <v>#N/A</v>
      </c>
    </row>
    <row r="127" spans="1:30" x14ac:dyDescent="0.25">
      <c r="A127" s="67" t="str">
        <f ca="1">Demand!C124</f>
        <v/>
      </c>
      <c r="B127" s="67">
        <v>112</v>
      </c>
      <c r="C127" s="5">
        <f ca="1">'Demand background (hide)'!Y115</f>
        <v>0</v>
      </c>
      <c r="D127" s="67">
        <f t="shared" si="39"/>
        <v>0</v>
      </c>
      <c r="E127" s="67" t="e">
        <f t="shared" ca="1" si="40"/>
        <v>#N/A</v>
      </c>
      <c r="F127" s="67" t="e">
        <f t="shared" ca="1" si="41"/>
        <v>#N/A</v>
      </c>
      <c r="G127" s="67" t="e">
        <f t="shared" ca="1" si="42"/>
        <v>#N/A</v>
      </c>
      <c r="H127" s="67" t="e">
        <f>IF('Demand background (hide)'!AN115&lt;&gt;"",'SPC background (hide)'!C127,NA())</f>
        <v>#N/A</v>
      </c>
      <c r="I127" s="67" t="e">
        <f t="shared" ca="1" si="43"/>
        <v>#N/A</v>
      </c>
      <c r="J127" s="5" t="e">
        <f t="shared" ca="1" si="44"/>
        <v>#N/A</v>
      </c>
      <c r="K127" s="5" t="e">
        <f t="shared" ca="1" si="45"/>
        <v>#N/A</v>
      </c>
      <c r="L127" s="5" t="e">
        <f t="shared" ca="1" si="46"/>
        <v>#N/A</v>
      </c>
      <c r="M127" s="5" t="e">
        <f t="shared" ca="1" si="47"/>
        <v>#N/A</v>
      </c>
      <c r="N127" s="5" t="e">
        <f t="shared" ca="1" si="48"/>
        <v>#N/A</v>
      </c>
      <c r="O127" s="5" t="e">
        <f t="shared" ca="1" si="49"/>
        <v>#N/A</v>
      </c>
      <c r="P127" s="5" t="e">
        <f t="shared" ca="1" si="50"/>
        <v>#N/A</v>
      </c>
      <c r="Q127" s="5" t="e">
        <f t="shared" ca="1" si="51"/>
        <v>#N/A</v>
      </c>
      <c r="R127" s="5" t="e">
        <f t="shared" ca="1" si="56"/>
        <v>#N/A</v>
      </c>
      <c r="S127" s="67" t="e">
        <f t="shared" ca="1" si="57"/>
        <v>#N/A</v>
      </c>
      <c r="T127" s="67" t="e">
        <f t="shared" ca="1" si="58"/>
        <v>#N/A</v>
      </c>
      <c r="U127" s="67" t="e">
        <f t="shared" ca="1" si="59"/>
        <v>#N/A</v>
      </c>
      <c r="V127" s="5" t="e">
        <f t="shared" ca="1" si="38"/>
        <v>#N/A</v>
      </c>
      <c r="W127" s="5" t="e">
        <f t="shared" ca="1" si="52"/>
        <v>#N/A</v>
      </c>
      <c r="X127" s="67">
        <f t="shared" ca="1" si="53"/>
        <v>0</v>
      </c>
      <c r="Y127" s="67" t="e">
        <f t="shared" ca="1" si="60"/>
        <v>#N/A</v>
      </c>
      <c r="Z127" s="67" t="e">
        <f t="shared" ca="1" si="61"/>
        <v>#N/A</v>
      </c>
      <c r="AA127" s="5" t="str">
        <f>IF(Setup!$I$15="Yes",'Demand background (hide)'!AJ115+'SPC background (hide)'!C127,"")</f>
        <v/>
      </c>
      <c r="AC127" s="5" t="e">
        <f t="shared" ca="1" si="54"/>
        <v>#N/A</v>
      </c>
      <c r="AD127" s="5" t="e">
        <f t="shared" ca="1" si="55"/>
        <v>#N/A</v>
      </c>
    </row>
    <row r="128" spans="1:30" x14ac:dyDescent="0.25">
      <c r="A128" s="67" t="str">
        <f ca="1">Demand!C125</f>
        <v/>
      </c>
      <c r="B128" s="67">
        <v>113</v>
      </c>
      <c r="C128" s="5">
        <f ca="1">'Demand background (hide)'!Y116</f>
        <v>0</v>
      </c>
      <c r="D128" s="67">
        <f t="shared" si="39"/>
        <v>0</v>
      </c>
      <c r="E128" s="67" t="e">
        <f t="shared" ca="1" si="40"/>
        <v>#N/A</v>
      </c>
      <c r="F128" s="67" t="e">
        <f t="shared" ca="1" si="41"/>
        <v>#N/A</v>
      </c>
      <c r="G128" s="67" t="e">
        <f t="shared" ca="1" si="42"/>
        <v>#N/A</v>
      </c>
      <c r="H128" s="67" t="e">
        <f>IF('Demand background (hide)'!AN116&lt;&gt;"",'SPC background (hide)'!C128,NA())</f>
        <v>#N/A</v>
      </c>
      <c r="I128" s="67" t="e">
        <f t="shared" ca="1" si="43"/>
        <v>#N/A</v>
      </c>
      <c r="J128" s="5" t="e">
        <f t="shared" ca="1" si="44"/>
        <v>#N/A</v>
      </c>
      <c r="K128" s="5" t="e">
        <f t="shared" ca="1" si="45"/>
        <v>#N/A</v>
      </c>
      <c r="L128" s="5" t="e">
        <f t="shared" ca="1" si="46"/>
        <v>#N/A</v>
      </c>
      <c r="M128" s="5" t="e">
        <f t="shared" ca="1" si="47"/>
        <v>#N/A</v>
      </c>
      <c r="N128" s="5" t="e">
        <f t="shared" ca="1" si="48"/>
        <v>#N/A</v>
      </c>
      <c r="O128" s="5" t="e">
        <f t="shared" ca="1" si="49"/>
        <v>#N/A</v>
      </c>
      <c r="P128" s="5" t="e">
        <f t="shared" ca="1" si="50"/>
        <v>#N/A</v>
      </c>
      <c r="Q128" s="5" t="e">
        <f t="shared" ca="1" si="51"/>
        <v>#N/A</v>
      </c>
      <c r="R128" s="5" t="e">
        <f t="shared" ca="1" si="56"/>
        <v>#N/A</v>
      </c>
      <c r="S128" s="67" t="e">
        <f t="shared" ca="1" si="57"/>
        <v>#N/A</v>
      </c>
      <c r="T128" s="67" t="e">
        <f t="shared" ca="1" si="58"/>
        <v>#N/A</v>
      </c>
      <c r="U128" s="67" t="e">
        <f t="shared" ca="1" si="59"/>
        <v>#N/A</v>
      </c>
      <c r="V128" s="5" t="e">
        <f t="shared" ca="1" si="38"/>
        <v>#N/A</v>
      </c>
      <c r="W128" s="5" t="e">
        <f t="shared" ca="1" si="52"/>
        <v>#N/A</v>
      </c>
      <c r="X128" s="67">
        <f t="shared" ca="1" si="53"/>
        <v>0</v>
      </c>
      <c r="Y128" s="67" t="e">
        <f t="shared" ca="1" si="60"/>
        <v>#N/A</v>
      </c>
      <c r="Z128" s="67" t="e">
        <f t="shared" ca="1" si="61"/>
        <v>#N/A</v>
      </c>
      <c r="AA128" s="5" t="str">
        <f>IF(Setup!$I$15="Yes",'Demand background (hide)'!AJ116+'SPC background (hide)'!C128,"")</f>
        <v/>
      </c>
      <c r="AC128" s="5" t="e">
        <f t="shared" ca="1" si="54"/>
        <v>#N/A</v>
      </c>
      <c r="AD128" s="5" t="e">
        <f t="shared" ca="1" si="55"/>
        <v>#N/A</v>
      </c>
    </row>
    <row r="129" spans="1:30" x14ac:dyDescent="0.25">
      <c r="A129" s="67" t="str">
        <f ca="1">Demand!C126</f>
        <v/>
      </c>
      <c r="B129" s="67">
        <v>114</v>
      </c>
      <c r="C129" s="5">
        <f ca="1">'Demand background (hide)'!Y117</f>
        <v>0</v>
      </c>
      <c r="D129" s="67">
        <f t="shared" si="39"/>
        <v>0</v>
      </c>
      <c r="E129" s="67" t="e">
        <f t="shared" ca="1" si="40"/>
        <v>#N/A</v>
      </c>
      <c r="F129" s="67" t="e">
        <f t="shared" ca="1" si="41"/>
        <v>#N/A</v>
      </c>
      <c r="G129" s="67" t="e">
        <f t="shared" ca="1" si="42"/>
        <v>#N/A</v>
      </c>
      <c r="H129" s="67" t="e">
        <f>IF('Demand background (hide)'!AN117&lt;&gt;"",'SPC background (hide)'!C129,NA())</f>
        <v>#N/A</v>
      </c>
      <c r="I129" s="67" t="e">
        <f t="shared" ca="1" si="43"/>
        <v>#N/A</v>
      </c>
      <c r="J129" s="5" t="e">
        <f t="shared" ca="1" si="44"/>
        <v>#N/A</v>
      </c>
      <c r="K129" s="5" t="e">
        <f t="shared" ca="1" si="45"/>
        <v>#N/A</v>
      </c>
      <c r="L129" s="5" t="e">
        <f t="shared" ca="1" si="46"/>
        <v>#N/A</v>
      </c>
      <c r="M129" s="5" t="e">
        <f t="shared" ca="1" si="47"/>
        <v>#N/A</v>
      </c>
      <c r="N129" s="5" t="e">
        <f t="shared" ca="1" si="48"/>
        <v>#N/A</v>
      </c>
      <c r="O129" s="5" t="e">
        <f t="shared" ca="1" si="49"/>
        <v>#N/A</v>
      </c>
      <c r="P129" s="5" t="e">
        <f t="shared" ca="1" si="50"/>
        <v>#N/A</v>
      </c>
      <c r="Q129" s="5" t="e">
        <f t="shared" ca="1" si="51"/>
        <v>#N/A</v>
      </c>
      <c r="R129" s="5" t="e">
        <f t="shared" ca="1" si="56"/>
        <v>#N/A</v>
      </c>
      <c r="S129" s="67" t="e">
        <f t="shared" ca="1" si="57"/>
        <v>#N/A</v>
      </c>
      <c r="T129" s="67" t="e">
        <f t="shared" ca="1" si="58"/>
        <v>#N/A</v>
      </c>
      <c r="U129" s="67" t="e">
        <f t="shared" ca="1" si="59"/>
        <v>#N/A</v>
      </c>
      <c r="V129" s="5" t="e">
        <f t="shared" ca="1" si="38"/>
        <v>#N/A</v>
      </c>
      <c r="W129" s="5" t="e">
        <f t="shared" ca="1" si="52"/>
        <v>#N/A</v>
      </c>
      <c r="X129" s="67">
        <f t="shared" ca="1" si="53"/>
        <v>0</v>
      </c>
      <c r="Y129" s="67" t="e">
        <f t="shared" ca="1" si="60"/>
        <v>#N/A</v>
      </c>
      <c r="Z129" s="67" t="e">
        <f t="shared" ca="1" si="61"/>
        <v>#N/A</v>
      </c>
      <c r="AA129" s="5" t="str">
        <f>IF(Setup!$I$15="Yes",'Demand background (hide)'!AJ117+'SPC background (hide)'!C129,"")</f>
        <v/>
      </c>
      <c r="AC129" s="5" t="e">
        <f t="shared" ca="1" si="54"/>
        <v>#N/A</v>
      </c>
      <c r="AD129" s="5" t="e">
        <f t="shared" ca="1" si="55"/>
        <v>#N/A</v>
      </c>
    </row>
    <row r="130" spans="1:30" x14ac:dyDescent="0.25">
      <c r="A130" s="67" t="str">
        <f ca="1">Demand!C127</f>
        <v/>
      </c>
      <c r="B130" s="67">
        <v>115</v>
      </c>
      <c r="C130" s="5">
        <f ca="1">'Demand background (hide)'!Y118</f>
        <v>0</v>
      </c>
      <c r="D130" s="67">
        <f t="shared" si="39"/>
        <v>0</v>
      </c>
      <c r="E130" s="67" t="e">
        <f t="shared" ca="1" si="40"/>
        <v>#N/A</v>
      </c>
      <c r="F130" s="67" t="e">
        <f t="shared" ca="1" si="41"/>
        <v>#N/A</v>
      </c>
      <c r="G130" s="67" t="e">
        <f t="shared" ca="1" si="42"/>
        <v>#N/A</v>
      </c>
      <c r="H130" s="67" t="e">
        <f>IF('Demand background (hide)'!AN118&lt;&gt;"",'SPC background (hide)'!C130,NA())</f>
        <v>#N/A</v>
      </c>
      <c r="I130" s="67" t="e">
        <f t="shared" ca="1" si="43"/>
        <v>#N/A</v>
      </c>
      <c r="J130" s="5" t="e">
        <f t="shared" ca="1" si="44"/>
        <v>#N/A</v>
      </c>
      <c r="K130" s="5" t="e">
        <f t="shared" ca="1" si="45"/>
        <v>#N/A</v>
      </c>
      <c r="L130" s="5" t="e">
        <f t="shared" ca="1" si="46"/>
        <v>#N/A</v>
      </c>
      <c r="M130" s="5" t="e">
        <f t="shared" ca="1" si="47"/>
        <v>#N/A</v>
      </c>
      <c r="N130" s="5" t="e">
        <f t="shared" ca="1" si="48"/>
        <v>#N/A</v>
      </c>
      <c r="O130" s="5" t="e">
        <f t="shared" ca="1" si="49"/>
        <v>#N/A</v>
      </c>
      <c r="P130" s="5" t="e">
        <f t="shared" ca="1" si="50"/>
        <v>#N/A</v>
      </c>
      <c r="Q130" s="5" t="e">
        <f t="shared" ca="1" si="51"/>
        <v>#N/A</v>
      </c>
      <c r="R130" s="5" t="e">
        <f t="shared" ca="1" si="56"/>
        <v>#N/A</v>
      </c>
      <c r="S130" s="67" t="e">
        <f t="shared" ca="1" si="57"/>
        <v>#N/A</v>
      </c>
      <c r="T130" s="67" t="e">
        <f t="shared" ca="1" si="58"/>
        <v>#N/A</v>
      </c>
      <c r="U130" s="67" t="e">
        <f t="shared" ca="1" si="59"/>
        <v>#N/A</v>
      </c>
      <c r="V130" s="5" t="e">
        <f t="shared" ca="1" si="38"/>
        <v>#N/A</v>
      </c>
      <c r="W130" s="5" t="e">
        <f t="shared" ca="1" si="52"/>
        <v>#N/A</v>
      </c>
      <c r="X130" s="67">
        <f t="shared" ca="1" si="53"/>
        <v>0</v>
      </c>
      <c r="Y130" s="67" t="e">
        <f t="shared" ca="1" si="60"/>
        <v>#N/A</v>
      </c>
      <c r="Z130" s="67" t="e">
        <f t="shared" ca="1" si="61"/>
        <v>#N/A</v>
      </c>
      <c r="AA130" s="5" t="str">
        <f>IF(Setup!$I$15="Yes",'Demand background (hide)'!AJ118+'SPC background (hide)'!C130,"")</f>
        <v/>
      </c>
      <c r="AC130" s="5" t="e">
        <f t="shared" ca="1" si="54"/>
        <v>#N/A</v>
      </c>
      <c r="AD130" s="5" t="e">
        <f t="shared" ca="1" si="55"/>
        <v>#N/A</v>
      </c>
    </row>
    <row r="131" spans="1:30" x14ac:dyDescent="0.25">
      <c r="A131" s="67" t="str">
        <f ca="1">Demand!C128</f>
        <v/>
      </c>
      <c r="B131" s="67">
        <v>116</v>
      </c>
      <c r="C131" s="5">
        <f ca="1">'Demand background (hide)'!Y119</f>
        <v>0</v>
      </c>
      <c r="D131" s="67">
        <f t="shared" si="39"/>
        <v>0</v>
      </c>
      <c r="E131" s="67" t="e">
        <f t="shared" ca="1" si="40"/>
        <v>#N/A</v>
      </c>
      <c r="F131" s="67" t="e">
        <f t="shared" ca="1" si="41"/>
        <v>#N/A</v>
      </c>
      <c r="G131" s="67" t="e">
        <f t="shared" ca="1" si="42"/>
        <v>#N/A</v>
      </c>
      <c r="H131" s="67" t="e">
        <f>IF('Demand background (hide)'!AN119&lt;&gt;"",'SPC background (hide)'!C131,NA())</f>
        <v>#N/A</v>
      </c>
      <c r="I131" s="67" t="e">
        <f t="shared" ca="1" si="43"/>
        <v>#N/A</v>
      </c>
      <c r="J131" s="5" t="e">
        <f t="shared" ca="1" si="44"/>
        <v>#N/A</v>
      </c>
      <c r="K131" s="5" t="e">
        <f t="shared" ca="1" si="45"/>
        <v>#N/A</v>
      </c>
      <c r="L131" s="5" t="e">
        <f t="shared" ca="1" si="46"/>
        <v>#N/A</v>
      </c>
      <c r="M131" s="5" t="e">
        <f t="shared" ca="1" si="47"/>
        <v>#N/A</v>
      </c>
      <c r="N131" s="5" t="e">
        <f t="shared" ca="1" si="48"/>
        <v>#N/A</v>
      </c>
      <c r="O131" s="5" t="e">
        <f t="shared" ca="1" si="49"/>
        <v>#N/A</v>
      </c>
      <c r="P131" s="5" t="e">
        <f t="shared" ca="1" si="50"/>
        <v>#N/A</v>
      </c>
      <c r="Q131" s="5" t="e">
        <f t="shared" ca="1" si="51"/>
        <v>#N/A</v>
      </c>
      <c r="R131" s="5" t="e">
        <f t="shared" ca="1" si="56"/>
        <v>#N/A</v>
      </c>
      <c r="S131" s="67" t="e">
        <f t="shared" ca="1" si="57"/>
        <v>#N/A</v>
      </c>
      <c r="T131" s="67" t="e">
        <f t="shared" ca="1" si="58"/>
        <v>#N/A</v>
      </c>
      <c r="U131" s="67" t="e">
        <f t="shared" ca="1" si="59"/>
        <v>#N/A</v>
      </c>
      <c r="V131" s="5" t="e">
        <f t="shared" ca="1" si="38"/>
        <v>#N/A</v>
      </c>
      <c r="W131" s="5" t="e">
        <f t="shared" ca="1" si="52"/>
        <v>#N/A</v>
      </c>
      <c r="X131" s="67">
        <f t="shared" ca="1" si="53"/>
        <v>0</v>
      </c>
      <c r="Y131" s="67" t="e">
        <f t="shared" ca="1" si="60"/>
        <v>#N/A</v>
      </c>
      <c r="Z131" s="67" t="e">
        <f t="shared" ca="1" si="61"/>
        <v>#N/A</v>
      </c>
      <c r="AA131" s="5" t="str">
        <f>IF(Setup!$I$15="Yes",'Demand background (hide)'!AJ119+'SPC background (hide)'!C131,"")</f>
        <v/>
      </c>
      <c r="AC131" s="5" t="e">
        <f t="shared" ca="1" si="54"/>
        <v>#N/A</v>
      </c>
      <c r="AD131" s="5" t="e">
        <f t="shared" ca="1" si="55"/>
        <v>#N/A</v>
      </c>
    </row>
    <row r="132" spans="1:30" x14ac:dyDescent="0.25">
      <c r="A132" s="67" t="str">
        <f ca="1">Demand!C129</f>
        <v/>
      </c>
      <c r="B132" s="67">
        <v>117</v>
      </c>
      <c r="C132" s="5">
        <f ca="1">'Demand background (hide)'!Y120</f>
        <v>0</v>
      </c>
      <c r="D132" s="67">
        <f t="shared" si="39"/>
        <v>0</v>
      </c>
      <c r="E132" s="67" t="e">
        <f t="shared" ca="1" si="40"/>
        <v>#N/A</v>
      </c>
      <c r="F132" s="67" t="e">
        <f t="shared" ca="1" si="41"/>
        <v>#N/A</v>
      </c>
      <c r="G132" s="67" t="e">
        <f t="shared" ca="1" si="42"/>
        <v>#N/A</v>
      </c>
      <c r="H132" s="67" t="e">
        <f>IF('Demand background (hide)'!AN120&lt;&gt;"",'SPC background (hide)'!C132,NA())</f>
        <v>#N/A</v>
      </c>
      <c r="I132" s="67" t="e">
        <f t="shared" ca="1" si="43"/>
        <v>#N/A</v>
      </c>
      <c r="J132" s="5" t="e">
        <f t="shared" ca="1" si="44"/>
        <v>#N/A</v>
      </c>
      <c r="K132" s="5" t="e">
        <f t="shared" ca="1" si="45"/>
        <v>#N/A</v>
      </c>
      <c r="L132" s="5" t="e">
        <f t="shared" ca="1" si="46"/>
        <v>#N/A</v>
      </c>
      <c r="M132" s="5" t="e">
        <f t="shared" ca="1" si="47"/>
        <v>#N/A</v>
      </c>
      <c r="N132" s="5" t="e">
        <f t="shared" ca="1" si="48"/>
        <v>#N/A</v>
      </c>
      <c r="O132" s="5" t="e">
        <f t="shared" ca="1" si="49"/>
        <v>#N/A</v>
      </c>
      <c r="P132" s="5" t="e">
        <f t="shared" ca="1" si="50"/>
        <v>#N/A</v>
      </c>
      <c r="Q132" s="5" t="e">
        <f t="shared" ca="1" si="51"/>
        <v>#N/A</v>
      </c>
      <c r="R132" s="5" t="e">
        <f t="shared" ca="1" si="56"/>
        <v>#N/A</v>
      </c>
      <c r="S132" s="67" t="e">
        <f t="shared" ca="1" si="57"/>
        <v>#N/A</v>
      </c>
      <c r="T132" s="67" t="e">
        <f t="shared" ca="1" si="58"/>
        <v>#N/A</v>
      </c>
      <c r="U132" s="67" t="e">
        <f t="shared" ca="1" si="59"/>
        <v>#N/A</v>
      </c>
      <c r="V132" s="5" t="e">
        <f t="shared" ca="1" si="38"/>
        <v>#N/A</v>
      </c>
      <c r="W132" s="5" t="e">
        <f t="shared" ca="1" si="52"/>
        <v>#N/A</v>
      </c>
      <c r="X132" s="67">
        <f t="shared" ca="1" si="53"/>
        <v>0</v>
      </c>
      <c r="Y132" s="67" t="e">
        <f t="shared" ca="1" si="60"/>
        <v>#N/A</v>
      </c>
      <c r="Z132" s="67" t="e">
        <f t="shared" ca="1" si="61"/>
        <v>#N/A</v>
      </c>
      <c r="AA132" s="5" t="str">
        <f>IF(Setup!$I$15="Yes",'Demand background (hide)'!AJ120+'SPC background (hide)'!C132,"")</f>
        <v/>
      </c>
      <c r="AC132" s="5" t="e">
        <f t="shared" ca="1" si="54"/>
        <v>#N/A</v>
      </c>
      <c r="AD132" s="5" t="e">
        <f t="shared" ca="1" si="55"/>
        <v>#N/A</v>
      </c>
    </row>
    <row r="133" spans="1:30" x14ac:dyDescent="0.25">
      <c r="A133" s="67" t="str">
        <f ca="1">Demand!C130</f>
        <v/>
      </c>
      <c r="B133" s="67">
        <v>118</v>
      </c>
      <c r="C133" s="5">
        <f ca="1">'Demand background (hide)'!Y121</f>
        <v>0</v>
      </c>
      <c r="D133" s="67">
        <f t="shared" si="39"/>
        <v>0</v>
      </c>
      <c r="E133" s="67" t="e">
        <f t="shared" ca="1" si="40"/>
        <v>#N/A</v>
      </c>
      <c r="F133" s="67" t="e">
        <f t="shared" ca="1" si="41"/>
        <v>#N/A</v>
      </c>
      <c r="G133" s="67" t="e">
        <f t="shared" ca="1" si="42"/>
        <v>#N/A</v>
      </c>
      <c r="H133" s="67" t="e">
        <f>IF('Demand background (hide)'!AN121&lt;&gt;"",'SPC background (hide)'!C133,NA())</f>
        <v>#N/A</v>
      </c>
      <c r="I133" s="67" t="e">
        <f t="shared" ca="1" si="43"/>
        <v>#N/A</v>
      </c>
      <c r="J133" s="5" t="e">
        <f t="shared" ca="1" si="44"/>
        <v>#N/A</v>
      </c>
      <c r="K133" s="5" t="e">
        <f t="shared" ca="1" si="45"/>
        <v>#N/A</v>
      </c>
      <c r="L133" s="5" t="e">
        <f t="shared" ca="1" si="46"/>
        <v>#N/A</v>
      </c>
      <c r="M133" s="5" t="e">
        <f t="shared" ca="1" si="47"/>
        <v>#N/A</v>
      </c>
      <c r="N133" s="5" t="e">
        <f t="shared" ca="1" si="48"/>
        <v>#N/A</v>
      </c>
      <c r="O133" s="5" t="e">
        <f t="shared" ca="1" si="49"/>
        <v>#N/A</v>
      </c>
      <c r="P133" s="5" t="e">
        <f t="shared" ca="1" si="50"/>
        <v>#N/A</v>
      </c>
      <c r="Q133" s="5" t="e">
        <f t="shared" ca="1" si="51"/>
        <v>#N/A</v>
      </c>
      <c r="R133" s="5" t="e">
        <f t="shared" ca="1" si="56"/>
        <v>#N/A</v>
      </c>
      <c r="S133" s="67" t="e">
        <f t="shared" ca="1" si="57"/>
        <v>#N/A</v>
      </c>
      <c r="T133" s="67" t="e">
        <f t="shared" ca="1" si="58"/>
        <v>#N/A</v>
      </c>
      <c r="U133" s="67" t="e">
        <f t="shared" ca="1" si="59"/>
        <v>#N/A</v>
      </c>
      <c r="V133" s="5" t="e">
        <f t="shared" ca="1" si="38"/>
        <v>#N/A</v>
      </c>
      <c r="W133" s="5" t="e">
        <f t="shared" ca="1" si="52"/>
        <v>#N/A</v>
      </c>
      <c r="X133" s="67">
        <f t="shared" ca="1" si="53"/>
        <v>0</v>
      </c>
      <c r="Y133" s="67" t="e">
        <f t="shared" ca="1" si="60"/>
        <v>#N/A</v>
      </c>
      <c r="Z133" s="67" t="e">
        <f t="shared" ca="1" si="61"/>
        <v>#N/A</v>
      </c>
      <c r="AA133" s="5" t="str">
        <f>IF(Setup!$I$15="Yes",'Demand background (hide)'!AJ121+'SPC background (hide)'!C133,"")</f>
        <v/>
      </c>
      <c r="AC133" s="5" t="e">
        <f t="shared" ca="1" si="54"/>
        <v>#N/A</v>
      </c>
      <c r="AD133" s="5" t="e">
        <f t="shared" ca="1" si="55"/>
        <v>#N/A</v>
      </c>
    </row>
    <row r="134" spans="1:30" x14ac:dyDescent="0.25">
      <c r="A134" s="67" t="str">
        <f ca="1">Demand!C131</f>
        <v/>
      </c>
      <c r="B134" s="67">
        <v>119</v>
      </c>
      <c r="C134" s="5">
        <f ca="1">'Demand background (hide)'!Y122</f>
        <v>0</v>
      </c>
      <c r="D134" s="67">
        <f t="shared" si="39"/>
        <v>0</v>
      </c>
      <c r="E134" s="67" t="e">
        <f t="shared" ca="1" si="40"/>
        <v>#N/A</v>
      </c>
      <c r="F134" s="67" t="e">
        <f t="shared" ca="1" si="41"/>
        <v>#N/A</v>
      </c>
      <c r="G134" s="67" t="e">
        <f t="shared" ca="1" si="42"/>
        <v>#N/A</v>
      </c>
      <c r="H134" s="67" t="e">
        <f>IF('Demand background (hide)'!AN122&lt;&gt;"",'SPC background (hide)'!C134,NA())</f>
        <v>#N/A</v>
      </c>
      <c r="I134" s="67" t="e">
        <f t="shared" ca="1" si="43"/>
        <v>#N/A</v>
      </c>
      <c r="J134" s="5" t="e">
        <f t="shared" ca="1" si="44"/>
        <v>#N/A</v>
      </c>
      <c r="K134" s="5" t="e">
        <f t="shared" ca="1" si="45"/>
        <v>#N/A</v>
      </c>
      <c r="L134" s="5" t="e">
        <f t="shared" ca="1" si="46"/>
        <v>#N/A</v>
      </c>
      <c r="M134" s="5" t="e">
        <f t="shared" ca="1" si="47"/>
        <v>#N/A</v>
      </c>
      <c r="N134" s="5" t="e">
        <f t="shared" ca="1" si="48"/>
        <v>#N/A</v>
      </c>
      <c r="O134" s="5" t="e">
        <f t="shared" ca="1" si="49"/>
        <v>#N/A</v>
      </c>
      <c r="P134" s="5" t="e">
        <f t="shared" ca="1" si="50"/>
        <v>#N/A</v>
      </c>
      <c r="Q134" s="5" t="e">
        <f t="shared" ca="1" si="51"/>
        <v>#N/A</v>
      </c>
      <c r="R134" s="5" t="e">
        <f t="shared" ca="1" si="56"/>
        <v>#N/A</v>
      </c>
      <c r="S134" s="67" t="e">
        <f t="shared" ca="1" si="57"/>
        <v>#N/A</v>
      </c>
      <c r="T134" s="67" t="e">
        <f t="shared" ca="1" si="58"/>
        <v>#N/A</v>
      </c>
      <c r="U134" s="67" t="e">
        <f t="shared" ca="1" si="59"/>
        <v>#N/A</v>
      </c>
      <c r="V134" s="5" t="e">
        <f t="shared" ca="1" si="38"/>
        <v>#N/A</v>
      </c>
      <c r="W134" s="5" t="e">
        <f t="shared" ca="1" si="52"/>
        <v>#N/A</v>
      </c>
      <c r="X134" s="67">
        <f t="shared" ca="1" si="53"/>
        <v>0</v>
      </c>
      <c r="Y134" s="67" t="e">
        <f t="shared" ca="1" si="60"/>
        <v>#N/A</v>
      </c>
      <c r="Z134" s="67" t="e">
        <f t="shared" ca="1" si="61"/>
        <v>#N/A</v>
      </c>
      <c r="AA134" s="5" t="str">
        <f>IF(Setup!$I$15="Yes",'Demand background (hide)'!AJ122+'SPC background (hide)'!C134,"")</f>
        <v/>
      </c>
      <c r="AC134" s="5" t="e">
        <f t="shared" ca="1" si="54"/>
        <v>#N/A</v>
      </c>
      <c r="AD134" s="5" t="e">
        <f t="shared" ca="1" si="55"/>
        <v>#N/A</v>
      </c>
    </row>
    <row r="135" spans="1:30" x14ac:dyDescent="0.25">
      <c r="A135" s="67" t="str">
        <f ca="1">Demand!C132</f>
        <v/>
      </c>
      <c r="B135" s="67">
        <v>120</v>
      </c>
      <c r="C135" s="5">
        <f ca="1">'Demand background (hide)'!Y123</f>
        <v>0</v>
      </c>
      <c r="D135" s="67">
        <f t="shared" si="39"/>
        <v>0</v>
      </c>
      <c r="E135" s="67" t="e">
        <f t="shared" ca="1" si="40"/>
        <v>#N/A</v>
      </c>
      <c r="F135" s="67" t="e">
        <f t="shared" ca="1" si="41"/>
        <v>#N/A</v>
      </c>
      <c r="G135" s="67" t="e">
        <f t="shared" ca="1" si="42"/>
        <v>#N/A</v>
      </c>
      <c r="H135" s="67" t="e">
        <f>IF('Demand background (hide)'!AN123&lt;&gt;"",'SPC background (hide)'!C135,NA())</f>
        <v>#N/A</v>
      </c>
      <c r="I135" s="67" t="e">
        <f t="shared" ca="1" si="43"/>
        <v>#N/A</v>
      </c>
      <c r="J135" s="5" t="e">
        <f t="shared" ca="1" si="44"/>
        <v>#N/A</v>
      </c>
      <c r="K135" s="5" t="e">
        <f t="shared" ca="1" si="45"/>
        <v>#N/A</v>
      </c>
      <c r="L135" s="5" t="e">
        <f t="shared" ca="1" si="46"/>
        <v>#N/A</v>
      </c>
      <c r="M135" s="5" t="e">
        <f t="shared" ca="1" si="47"/>
        <v>#N/A</v>
      </c>
      <c r="N135" s="5" t="e">
        <f t="shared" ca="1" si="48"/>
        <v>#N/A</v>
      </c>
      <c r="O135" s="5" t="e">
        <f t="shared" ca="1" si="49"/>
        <v>#N/A</v>
      </c>
      <c r="P135" s="5" t="e">
        <f t="shared" ca="1" si="50"/>
        <v>#N/A</v>
      </c>
      <c r="Q135" s="5" t="e">
        <f t="shared" ca="1" si="51"/>
        <v>#N/A</v>
      </c>
      <c r="R135" s="5" t="e">
        <f t="shared" ca="1" si="56"/>
        <v>#N/A</v>
      </c>
      <c r="S135" s="67" t="e">
        <f t="shared" ca="1" si="57"/>
        <v>#N/A</v>
      </c>
      <c r="T135" s="67" t="e">
        <f t="shared" ca="1" si="58"/>
        <v>#N/A</v>
      </c>
      <c r="U135" s="67" t="e">
        <f t="shared" ca="1" si="59"/>
        <v>#N/A</v>
      </c>
      <c r="V135" s="5" t="e">
        <f t="shared" ca="1" si="38"/>
        <v>#N/A</v>
      </c>
      <c r="W135" s="5" t="e">
        <f t="shared" ca="1" si="52"/>
        <v>#N/A</v>
      </c>
      <c r="X135" s="67">
        <f t="shared" ca="1" si="53"/>
        <v>0</v>
      </c>
      <c r="Y135" s="67" t="e">
        <f t="shared" ca="1" si="60"/>
        <v>#N/A</v>
      </c>
      <c r="Z135" s="67" t="e">
        <f t="shared" ca="1" si="61"/>
        <v>#N/A</v>
      </c>
      <c r="AA135" s="5" t="str">
        <f>IF(Setup!$I$15="Yes",'Demand background (hide)'!AJ123+'SPC background (hide)'!C135,"")</f>
        <v/>
      </c>
      <c r="AC135" s="5" t="e">
        <f t="shared" ca="1" si="54"/>
        <v>#N/A</v>
      </c>
      <c r="AD135" s="5" t="e">
        <f t="shared" ca="1" si="55"/>
        <v>#N/A</v>
      </c>
    </row>
    <row r="136" spans="1:30" x14ac:dyDescent="0.25">
      <c r="A136" s="67" t="str">
        <f ca="1">Demand!C133</f>
        <v/>
      </c>
      <c r="B136" s="67">
        <v>121</v>
      </c>
      <c r="C136" s="5">
        <f ca="1">'Demand background (hide)'!Y124</f>
        <v>0</v>
      </c>
      <c r="D136" s="67">
        <f t="shared" si="39"/>
        <v>0</v>
      </c>
      <c r="E136" s="67" t="e">
        <f t="shared" ca="1" si="40"/>
        <v>#N/A</v>
      </c>
      <c r="F136" s="67" t="e">
        <f t="shared" ca="1" si="41"/>
        <v>#N/A</v>
      </c>
      <c r="G136" s="67" t="e">
        <f t="shared" ca="1" si="42"/>
        <v>#N/A</v>
      </c>
      <c r="H136" s="67" t="e">
        <f>IF('Demand background (hide)'!AN124&lt;&gt;"",'SPC background (hide)'!C136,NA())</f>
        <v>#N/A</v>
      </c>
      <c r="I136" s="67" t="e">
        <f t="shared" ca="1" si="43"/>
        <v>#N/A</v>
      </c>
      <c r="J136" s="5" t="e">
        <f t="shared" ca="1" si="44"/>
        <v>#N/A</v>
      </c>
      <c r="K136" s="5" t="e">
        <f t="shared" ca="1" si="45"/>
        <v>#N/A</v>
      </c>
      <c r="L136" s="5" t="e">
        <f t="shared" ca="1" si="46"/>
        <v>#N/A</v>
      </c>
      <c r="M136" s="5" t="e">
        <f t="shared" ca="1" si="47"/>
        <v>#N/A</v>
      </c>
      <c r="N136" s="5" t="e">
        <f t="shared" ca="1" si="48"/>
        <v>#N/A</v>
      </c>
      <c r="O136" s="5" t="e">
        <f t="shared" ca="1" si="49"/>
        <v>#N/A</v>
      </c>
      <c r="P136" s="5" t="e">
        <f t="shared" ca="1" si="50"/>
        <v>#N/A</v>
      </c>
      <c r="Q136" s="5" t="e">
        <f t="shared" ca="1" si="51"/>
        <v>#N/A</v>
      </c>
      <c r="R136" s="5" t="e">
        <f t="shared" ca="1" si="56"/>
        <v>#N/A</v>
      </c>
      <c r="S136" s="67" t="e">
        <f t="shared" ca="1" si="57"/>
        <v>#N/A</v>
      </c>
      <c r="T136" s="67" t="e">
        <f t="shared" ca="1" si="58"/>
        <v>#N/A</v>
      </c>
      <c r="U136" s="67" t="e">
        <f t="shared" ca="1" si="59"/>
        <v>#N/A</v>
      </c>
      <c r="V136" s="5" t="e">
        <f t="shared" ca="1" si="38"/>
        <v>#N/A</v>
      </c>
      <c r="W136" s="5" t="e">
        <f t="shared" ca="1" si="52"/>
        <v>#N/A</v>
      </c>
      <c r="X136" s="67">
        <f t="shared" ca="1" si="53"/>
        <v>0</v>
      </c>
      <c r="Y136" s="67" t="e">
        <f t="shared" ca="1" si="60"/>
        <v>#N/A</v>
      </c>
      <c r="Z136" s="67" t="e">
        <f t="shared" ca="1" si="61"/>
        <v>#N/A</v>
      </c>
      <c r="AA136" s="5" t="str">
        <f>IF(Setup!$I$15="Yes",'Demand background (hide)'!AJ124+'SPC background (hide)'!C136,"")</f>
        <v/>
      </c>
      <c r="AC136" s="5" t="e">
        <f t="shared" ca="1" si="54"/>
        <v>#N/A</v>
      </c>
      <c r="AD136" s="5" t="e">
        <f t="shared" ca="1" si="55"/>
        <v>#N/A</v>
      </c>
    </row>
    <row r="137" spans="1:30" x14ac:dyDescent="0.25">
      <c r="A137" s="67" t="str">
        <f ca="1">Demand!C134</f>
        <v/>
      </c>
      <c r="B137" s="67">
        <v>122</v>
      </c>
      <c r="C137" s="5">
        <f ca="1">'Demand background (hide)'!Y125</f>
        <v>0</v>
      </c>
      <c r="D137" s="67">
        <f t="shared" si="39"/>
        <v>0</v>
      </c>
      <c r="E137" s="67" t="e">
        <f t="shared" ca="1" si="40"/>
        <v>#N/A</v>
      </c>
      <c r="F137" s="67" t="e">
        <f t="shared" ca="1" si="41"/>
        <v>#N/A</v>
      </c>
      <c r="G137" s="67" t="e">
        <f t="shared" ca="1" si="42"/>
        <v>#N/A</v>
      </c>
      <c r="H137" s="67" t="e">
        <f>IF('Demand background (hide)'!AN125&lt;&gt;"",'SPC background (hide)'!C137,NA())</f>
        <v>#N/A</v>
      </c>
      <c r="I137" s="67" t="e">
        <f t="shared" ca="1" si="43"/>
        <v>#N/A</v>
      </c>
      <c r="J137" s="5" t="e">
        <f t="shared" ca="1" si="44"/>
        <v>#N/A</v>
      </c>
      <c r="K137" s="5" t="e">
        <f t="shared" ca="1" si="45"/>
        <v>#N/A</v>
      </c>
      <c r="L137" s="5" t="e">
        <f t="shared" ca="1" si="46"/>
        <v>#N/A</v>
      </c>
      <c r="M137" s="5" t="e">
        <f t="shared" ca="1" si="47"/>
        <v>#N/A</v>
      </c>
      <c r="N137" s="5" t="e">
        <f t="shared" ca="1" si="48"/>
        <v>#N/A</v>
      </c>
      <c r="O137" s="5" t="e">
        <f t="shared" ca="1" si="49"/>
        <v>#N/A</v>
      </c>
      <c r="P137" s="5" t="e">
        <f t="shared" ca="1" si="50"/>
        <v>#N/A</v>
      </c>
      <c r="Q137" s="5" t="e">
        <f t="shared" ca="1" si="51"/>
        <v>#N/A</v>
      </c>
      <c r="R137" s="5" t="e">
        <f t="shared" ca="1" si="56"/>
        <v>#N/A</v>
      </c>
      <c r="S137" s="67" t="e">
        <f t="shared" ca="1" si="57"/>
        <v>#N/A</v>
      </c>
      <c r="T137" s="67" t="e">
        <f t="shared" ca="1" si="58"/>
        <v>#N/A</v>
      </c>
      <c r="U137" s="67" t="e">
        <f t="shared" ca="1" si="59"/>
        <v>#N/A</v>
      </c>
      <c r="V137" s="5" t="e">
        <f t="shared" ca="1" si="38"/>
        <v>#N/A</v>
      </c>
      <c r="W137" s="5" t="e">
        <f t="shared" ca="1" si="52"/>
        <v>#N/A</v>
      </c>
      <c r="X137" s="67">
        <f t="shared" ca="1" si="53"/>
        <v>0</v>
      </c>
      <c r="Y137" s="67" t="e">
        <f t="shared" ca="1" si="60"/>
        <v>#N/A</v>
      </c>
      <c r="Z137" s="67" t="e">
        <f t="shared" ca="1" si="61"/>
        <v>#N/A</v>
      </c>
      <c r="AA137" s="5" t="str">
        <f>IF(Setup!$I$15="Yes",'Demand background (hide)'!AJ125+'SPC background (hide)'!C137,"")</f>
        <v/>
      </c>
      <c r="AC137" s="5" t="e">
        <f t="shared" ca="1" si="54"/>
        <v>#N/A</v>
      </c>
      <c r="AD137" s="5" t="e">
        <f t="shared" ca="1" si="55"/>
        <v>#N/A</v>
      </c>
    </row>
    <row r="138" spans="1:30" x14ac:dyDescent="0.25">
      <c r="A138" s="67" t="str">
        <f ca="1">Demand!C135</f>
        <v/>
      </c>
      <c r="B138" s="67">
        <v>123</v>
      </c>
      <c r="C138" s="5">
        <f ca="1">'Demand background (hide)'!Y126</f>
        <v>0</v>
      </c>
      <c r="D138" s="67">
        <f t="shared" si="39"/>
        <v>0</v>
      </c>
      <c r="E138" s="67" t="e">
        <f t="shared" ca="1" si="40"/>
        <v>#N/A</v>
      </c>
      <c r="F138" s="67" t="e">
        <f t="shared" ca="1" si="41"/>
        <v>#N/A</v>
      </c>
      <c r="G138" s="67" t="e">
        <f t="shared" ca="1" si="42"/>
        <v>#N/A</v>
      </c>
      <c r="H138" s="67" t="e">
        <f>IF('Demand background (hide)'!AN126&lt;&gt;"",'SPC background (hide)'!C138,NA())</f>
        <v>#N/A</v>
      </c>
      <c r="I138" s="67" t="e">
        <f t="shared" ca="1" si="43"/>
        <v>#N/A</v>
      </c>
      <c r="J138" s="5" t="e">
        <f t="shared" ca="1" si="44"/>
        <v>#N/A</v>
      </c>
      <c r="K138" s="5" t="e">
        <f t="shared" ca="1" si="45"/>
        <v>#N/A</v>
      </c>
      <c r="L138" s="5" t="e">
        <f t="shared" ca="1" si="46"/>
        <v>#N/A</v>
      </c>
      <c r="M138" s="5" t="e">
        <f t="shared" ca="1" si="47"/>
        <v>#N/A</v>
      </c>
      <c r="N138" s="5" t="e">
        <f t="shared" ca="1" si="48"/>
        <v>#N/A</v>
      </c>
      <c r="O138" s="5" t="e">
        <f t="shared" ca="1" si="49"/>
        <v>#N/A</v>
      </c>
      <c r="P138" s="5" t="e">
        <f t="shared" ca="1" si="50"/>
        <v>#N/A</v>
      </c>
      <c r="Q138" s="5" t="e">
        <f t="shared" ca="1" si="51"/>
        <v>#N/A</v>
      </c>
      <c r="R138" s="5" t="e">
        <f t="shared" ca="1" si="56"/>
        <v>#N/A</v>
      </c>
      <c r="S138" s="67" t="e">
        <f t="shared" ca="1" si="57"/>
        <v>#N/A</v>
      </c>
      <c r="T138" s="67" t="e">
        <f t="shared" ca="1" si="58"/>
        <v>#N/A</v>
      </c>
      <c r="U138" s="67" t="e">
        <f t="shared" ca="1" si="59"/>
        <v>#N/A</v>
      </c>
      <c r="V138" s="5" t="e">
        <f t="shared" ca="1" si="38"/>
        <v>#N/A</v>
      </c>
      <c r="W138" s="5" t="e">
        <f t="shared" ca="1" si="52"/>
        <v>#N/A</v>
      </c>
      <c r="X138" s="67">
        <f t="shared" ca="1" si="53"/>
        <v>0</v>
      </c>
      <c r="Y138" s="67" t="e">
        <f t="shared" ca="1" si="60"/>
        <v>#N/A</v>
      </c>
      <c r="Z138" s="67" t="e">
        <f t="shared" ca="1" si="61"/>
        <v>#N/A</v>
      </c>
      <c r="AA138" s="5" t="str">
        <f>IF(Setup!$I$15="Yes",'Demand background (hide)'!AJ126+'SPC background (hide)'!C138,"")</f>
        <v/>
      </c>
      <c r="AC138" s="5" t="e">
        <f t="shared" ca="1" si="54"/>
        <v>#N/A</v>
      </c>
      <c r="AD138" s="5" t="e">
        <f t="shared" ca="1" si="55"/>
        <v>#N/A</v>
      </c>
    </row>
    <row r="139" spans="1:30" x14ac:dyDescent="0.25">
      <c r="A139" s="67" t="str">
        <f ca="1">Demand!C136</f>
        <v/>
      </c>
      <c r="B139" s="67">
        <v>124</v>
      </c>
      <c r="C139" s="5">
        <f ca="1">'Demand background (hide)'!Y127</f>
        <v>0</v>
      </c>
      <c r="D139" s="67">
        <f t="shared" si="39"/>
        <v>0</v>
      </c>
      <c r="E139" s="67" t="e">
        <f t="shared" ca="1" si="40"/>
        <v>#N/A</v>
      </c>
      <c r="F139" s="67" t="e">
        <f t="shared" ca="1" si="41"/>
        <v>#N/A</v>
      </c>
      <c r="G139" s="67" t="e">
        <f t="shared" ca="1" si="42"/>
        <v>#N/A</v>
      </c>
      <c r="H139" s="67" t="e">
        <f>IF('Demand background (hide)'!AN127&lt;&gt;"",'SPC background (hide)'!C139,NA())</f>
        <v>#N/A</v>
      </c>
      <c r="I139" s="67" t="e">
        <f t="shared" ca="1" si="43"/>
        <v>#N/A</v>
      </c>
      <c r="J139" s="5" t="e">
        <f t="shared" ca="1" si="44"/>
        <v>#N/A</v>
      </c>
      <c r="K139" s="5" t="e">
        <f t="shared" ca="1" si="45"/>
        <v>#N/A</v>
      </c>
      <c r="L139" s="5" t="e">
        <f t="shared" ca="1" si="46"/>
        <v>#N/A</v>
      </c>
      <c r="M139" s="5" t="e">
        <f t="shared" ca="1" si="47"/>
        <v>#N/A</v>
      </c>
      <c r="N139" s="5" t="e">
        <f t="shared" ca="1" si="48"/>
        <v>#N/A</v>
      </c>
      <c r="O139" s="5" t="e">
        <f t="shared" ca="1" si="49"/>
        <v>#N/A</v>
      </c>
      <c r="P139" s="5" t="e">
        <f t="shared" ca="1" si="50"/>
        <v>#N/A</v>
      </c>
      <c r="Q139" s="5" t="e">
        <f t="shared" ca="1" si="51"/>
        <v>#N/A</v>
      </c>
      <c r="R139" s="5" t="e">
        <f t="shared" ca="1" si="56"/>
        <v>#N/A</v>
      </c>
      <c r="S139" s="67" t="e">
        <f t="shared" ca="1" si="57"/>
        <v>#N/A</v>
      </c>
      <c r="T139" s="67" t="e">
        <f t="shared" ca="1" si="58"/>
        <v>#N/A</v>
      </c>
      <c r="U139" s="67" t="e">
        <f t="shared" ca="1" si="59"/>
        <v>#N/A</v>
      </c>
      <c r="V139" s="5" t="e">
        <f t="shared" ca="1" si="38"/>
        <v>#N/A</v>
      </c>
      <c r="W139" s="5" t="e">
        <f t="shared" ca="1" si="52"/>
        <v>#N/A</v>
      </c>
      <c r="X139" s="67">
        <f t="shared" ca="1" si="53"/>
        <v>0</v>
      </c>
      <c r="Y139" s="67" t="e">
        <f t="shared" ca="1" si="60"/>
        <v>#N/A</v>
      </c>
      <c r="Z139" s="67" t="e">
        <f t="shared" ca="1" si="61"/>
        <v>#N/A</v>
      </c>
      <c r="AA139" s="5" t="str">
        <f>IF(Setup!$I$15="Yes",'Demand background (hide)'!AJ127+'SPC background (hide)'!C139,"")</f>
        <v/>
      </c>
      <c r="AC139" s="5" t="e">
        <f t="shared" ca="1" si="54"/>
        <v>#N/A</v>
      </c>
      <c r="AD139" s="5" t="e">
        <f t="shared" ca="1" si="55"/>
        <v>#N/A</v>
      </c>
    </row>
    <row r="140" spans="1:30" x14ac:dyDescent="0.25">
      <c r="A140" s="67" t="str">
        <f ca="1">Demand!C137</f>
        <v/>
      </c>
      <c r="B140" s="67">
        <v>125</v>
      </c>
      <c r="C140" s="5">
        <f ca="1">'Demand background (hide)'!Y128</f>
        <v>0</v>
      </c>
      <c r="D140" s="67">
        <f t="shared" si="39"/>
        <v>0</v>
      </c>
      <c r="E140" s="67" t="e">
        <f t="shared" ca="1" si="40"/>
        <v>#N/A</v>
      </c>
      <c r="F140" s="67" t="e">
        <f t="shared" ca="1" si="41"/>
        <v>#N/A</v>
      </c>
      <c r="G140" s="67" t="e">
        <f t="shared" ca="1" si="42"/>
        <v>#N/A</v>
      </c>
      <c r="H140" s="67" t="e">
        <f>IF('Demand background (hide)'!AN128&lt;&gt;"",'SPC background (hide)'!C140,NA())</f>
        <v>#N/A</v>
      </c>
      <c r="I140" s="67" t="e">
        <f t="shared" ca="1" si="43"/>
        <v>#N/A</v>
      </c>
      <c r="J140" s="5" t="e">
        <f t="shared" ca="1" si="44"/>
        <v>#N/A</v>
      </c>
      <c r="K140" s="5" t="e">
        <f t="shared" ca="1" si="45"/>
        <v>#N/A</v>
      </c>
      <c r="L140" s="5" t="e">
        <f t="shared" ca="1" si="46"/>
        <v>#N/A</v>
      </c>
      <c r="M140" s="5" t="e">
        <f t="shared" ca="1" si="47"/>
        <v>#N/A</v>
      </c>
      <c r="N140" s="5" t="e">
        <f t="shared" ca="1" si="48"/>
        <v>#N/A</v>
      </c>
      <c r="O140" s="5" t="e">
        <f t="shared" ca="1" si="49"/>
        <v>#N/A</v>
      </c>
      <c r="P140" s="5" t="e">
        <f t="shared" ca="1" si="50"/>
        <v>#N/A</v>
      </c>
      <c r="Q140" s="5" t="e">
        <f t="shared" ca="1" si="51"/>
        <v>#N/A</v>
      </c>
      <c r="R140" s="5" t="e">
        <f t="shared" ca="1" si="56"/>
        <v>#N/A</v>
      </c>
      <c r="S140" s="67" t="e">
        <f t="shared" ca="1" si="57"/>
        <v>#N/A</v>
      </c>
      <c r="T140" s="67" t="e">
        <f t="shared" ca="1" si="58"/>
        <v>#N/A</v>
      </c>
      <c r="U140" s="67" t="e">
        <f t="shared" ca="1" si="59"/>
        <v>#N/A</v>
      </c>
      <c r="V140" s="5" t="e">
        <f t="shared" ca="1" si="38"/>
        <v>#N/A</v>
      </c>
      <c r="W140" s="5" t="e">
        <f t="shared" ca="1" si="52"/>
        <v>#N/A</v>
      </c>
      <c r="X140" s="67">
        <f t="shared" ca="1" si="53"/>
        <v>0</v>
      </c>
      <c r="Y140" s="67" t="e">
        <f t="shared" ca="1" si="60"/>
        <v>#N/A</v>
      </c>
      <c r="Z140" s="67" t="e">
        <f t="shared" ca="1" si="61"/>
        <v>#N/A</v>
      </c>
      <c r="AA140" s="5" t="str">
        <f>IF(Setup!$I$15="Yes",'Demand background (hide)'!AJ128+'SPC background (hide)'!C140,"")</f>
        <v/>
      </c>
      <c r="AC140" s="5" t="e">
        <f t="shared" ca="1" si="54"/>
        <v>#N/A</v>
      </c>
      <c r="AD140" s="5" t="e">
        <f t="shared" ca="1" si="55"/>
        <v>#N/A</v>
      </c>
    </row>
    <row r="141" spans="1:30" x14ac:dyDescent="0.25">
      <c r="A141" s="67" t="str">
        <f ca="1">Demand!C138</f>
        <v/>
      </c>
      <c r="B141" s="67">
        <v>126</v>
      </c>
      <c r="C141" s="5">
        <f ca="1">'Demand background (hide)'!Y129</f>
        <v>0</v>
      </c>
      <c r="D141" s="67">
        <f t="shared" si="39"/>
        <v>0</v>
      </c>
      <c r="E141" s="67" t="e">
        <f t="shared" ca="1" si="40"/>
        <v>#N/A</v>
      </c>
      <c r="F141" s="67" t="e">
        <f t="shared" ca="1" si="41"/>
        <v>#N/A</v>
      </c>
      <c r="G141" s="67" t="e">
        <f t="shared" ca="1" si="42"/>
        <v>#N/A</v>
      </c>
      <c r="H141" s="67" t="e">
        <f>IF('Demand background (hide)'!AN129&lt;&gt;"",'SPC background (hide)'!C141,NA())</f>
        <v>#N/A</v>
      </c>
      <c r="I141" s="67" t="e">
        <f t="shared" ca="1" si="43"/>
        <v>#N/A</v>
      </c>
      <c r="J141" s="5" t="e">
        <f t="shared" ca="1" si="44"/>
        <v>#N/A</v>
      </c>
      <c r="K141" s="5" t="e">
        <f t="shared" ca="1" si="45"/>
        <v>#N/A</v>
      </c>
      <c r="L141" s="5" t="e">
        <f t="shared" ca="1" si="46"/>
        <v>#N/A</v>
      </c>
      <c r="M141" s="5" t="e">
        <f t="shared" ca="1" si="47"/>
        <v>#N/A</v>
      </c>
      <c r="N141" s="5" t="e">
        <f t="shared" ca="1" si="48"/>
        <v>#N/A</v>
      </c>
      <c r="O141" s="5" t="e">
        <f t="shared" ca="1" si="49"/>
        <v>#N/A</v>
      </c>
      <c r="P141" s="5" t="e">
        <f t="shared" ca="1" si="50"/>
        <v>#N/A</v>
      </c>
      <c r="Q141" s="5" t="e">
        <f t="shared" ca="1" si="51"/>
        <v>#N/A</v>
      </c>
      <c r="R141" s="5" t="e">
        <f t="shared" ca="1" si="56"/>
        <v>#N/A</v>
      </c>
      <c r="S141" s="67" t="e">
        <f t="shared" ca="1" si="57"/>
        <v>#N/A</v>
      </c>
      <c r="T141" s="67" t="e">
        <f t="shared" ca="1" si="58"/>
        <v>#N/A</v>
      </c>
      <c r="U141" s="67" t="e">
        <f t="shared" ca="1" si="59"/>
        <v>#N/A</v>
      </c>
      <c r="V141" s="5" t="e">
        <f t="shared" ca="1" si="38"/>
        <v>#N/A</v>
      </c>
      <c r="W141" s="5" t="e">
        <f t="shared" ca="1" si="52"/>
        <v>#N/A</v>
      </c>
      <c r="X141" s="67">
        <f t="shared" ca="1" si="53"/>
        <v>0</v>
      </c>
      <c r="Y141" s="67" t="e">
        <f t="shared" ca="1" si="60"/>
        <v>#N/A</v>
      </c>
      <c r="Z141" s="67" t="e">
        <f t="shared" ca="1" si="61"/>
        <v>#N/A</v>
      </c>
      <c r="AA141" s="5" t="str">
        <f>IF(Setup!$I$15="Yes",'Demand background (hide)'!AJ129+'SPC background (hide)'!C141,"")</f>
        <v/>
      </c>
      <c r="AC141" s="5" t="e">
        <f t="shared" ca="1" si="54"/>
        <v>#N/A</v>
      </c>
      <c r="AD141" s="5" t="e">
        <f t="shared" ca="1" si="55"/>
        <v>#N/A</v>
      </c>
    </row>
    <row r="142" spans="1:30" x14ac:dyDescent="0.25">
      <c r="A142" s="67" t="str">
        <f ca="1">Demand!C139</f>
        <v/>
      </c>
      <c r="B142" s="67">
        <v>127</v>
      </c>
      <c r="C142" s="5">
        <f ca="1">'Demand background (hide)'!Y130</f>
        <v>0</v>
      </c>
      <c r="D142" s="67">
        <f t="shared" si="39"/>
        <v>0</v>
      </c>
      <c r="E142" s="67" t="e">
        <f t="shared" ca="1" si="40"/>
        <v>#N/A</v>
      </c>
      <c r="F142" s="67" t="e">
        <f t="shared" ca="1" si="41"/>
        <v>#N/A</v>
      </c>
      <c r="G142" s="67" t="e">
        <f t="shared" ca="1" si="42"/>
        <v>#N/A</v>
      </c>
      <c r="H142" s="67" t="e">
        <f>IF('Demand background (hide)'!AN130&lt;&gt;"",'SPC background (hide)'!C142,NA())</f>
        <v>#N/A</v>
      </c>
      <c r="I142" s="67" t="e">
        <f t="shared" ca="1" si="43"/>
        <v>#N/A</v>
      </c>
      <c r="J142" s="5" t="e">
        <f t="shared" ca="1" si="44"/>
        <v>#N/A</v>
      </c>
      <c r="K142" s="5" t="e">
        <f t="shared" ca="1" si="45"/>
        <v>#N/A</v>
      </c>
      <c r="L142" s="5" t="e">
        <f t="shared" ca="1" si="46"/>
        <v>#N/A</v>
      </c>
      <c r="M142" s="5" t="e">
        <f t="shared" ca="1" si="47"/>
        <v>#N/A</v>
      </c>
      <c r="N142" s="5" t="e">
        <f t="shared" ca="1" si="48"/>
        <v>#N/A</v>
      </c>
      <c r="O142" s="5" t="e">
        <f t="shared" ca="1" si="49"/>
        <v>#N/A</v>
      </c>
      <c r="P142" s="5" t="e">
        <f t="shared" ca="1" si="50"/>
        <v>#N/A</v>
      </c>
      <c r="Q142" s="5" t="e">
        <f t="shared" ca="1" si="51"/>
        <v>#N/A</v>
      </c>
      <c r="R142" s="5" t="e">
        <f t="shared" ca="1" si="56"/>
        <v>#N/A</v>
      </c>
      <c r="S142" s="67" t="e">
        <f t="shared" ca="1" si="57"/>
        <v>#N/A</v>
      </c>
      <c r="T142" s="67" t="e">
        <f t="shared" ca="1" si="58"/>
        <v>#N/A</v>
      </c>
      <c r="U142" s="67" t="e">
        <f t="shared" ca="1" si="59"/>
        <v>#N/A</v>
      </c>
      <c r="V142" s="5" t="e">
        <f t="shared" ca="1" si="38"/>
        <v>#N/A</v>
      </c>
      <c r="W142" s="5" t="e">
        <f t="shared" ca="1" si="52"/>
        <v>#N/A</v>
      </c>
      <c r="X142" s="67">
        <f t="shared" ca="1" si="53"/>
        <v>0</v>
      </c>
      <c r="Y142" s="67" t="e">
        <f t="shared" ca="1" si="60"/>
        <v>#N/A</v>
      </c>
      <c r="Z142" s="67" t="e">
        <f t="shared" ca="1" si="61"/>
        <v>#N/A</v>
      </c>
      <c r="AA142" s="5" t="str">
        <f>IF(Setup!$I$15="Yes",'Demand background (hide)'!AJ130+'SPC background (hide)'!C142,"")</f>
        <v/>
      </c>
      <c r="AC142" s="5" t="e">
        <f t="shared" ca="1" si="54"/>
        <v>#N/A</v>
      </c>
      <c r="AD142" s="5" t="e">
        <f t="shared" ca="1" si="55"/>
        <v>#N/A</v>
      </c>
    </row>
    <row r="143" spans="1:30" x14ac:dyDescent="0.25">
      <c r="A143" s="67" t="str">
        <f ca="1">Demand!C140</f>
        <v/>
      </c>
      <c r="B143" s="67">
        <v>128</v>
      </c>
      <c r="C143" s="5">
        <f ca="1">'Demand background (hide)'!Y131</f>
        <v>0</v>
      </c>
      <c r="D143" s="67">
        <f t="shared" si="39"/>
        <v>0</v>
      </c>
      <c r="E143" s="67" t="e">
        <f t="shared" ca="1" si="40"/>
        <v>#N/A</v>
      </c>
      <c r="F143" s="67" t="e">
        <f t="shared" ca="1" si="41"/>
        <v>#N/A</v>
      </c>
      <c r="G143" s="67" t="e">
        <f t="shared" ca="1" si="42"/>
        <v>#N/A</v>
      </c>
      <c r="H143" s="67" t="e">
        <f>IF('Demand background (hide)'!AN131&lt;&gt;"",'SPC background (hide)'!C143,NA())</f>
        <v>#N/A</v>
      </c>
      <c r="I143" s="67" t="e">
        <f t="shared" ca="1" si="43"/>
        <v>#N/A</v>
      </c>
      <c r="J143" s="5" t="e">
        <f t="shared" ca="1" si="44"/>
        <v>#N/A</v>
      </c>
      <c r="K143" s="5" t="e">
        <f t="shared" ca="1" si="45"/>
        <v>#N/A</v>
      </c>
      <c r="L143" s="5" t="e">
        <f t="shared" ca="1" si="46"/>
        <v>#N/A</v>
      </c>
      <c r="M143" s="5" t="e">
        <f t="shared" ca="1" si="47"/>
        <v>#N/A</v>
      </c>
      <c r="N143" s="5" t="e">
        <f t="shared" ca="1" si="48"/>
        <v>#N/A</v>
      </c>
      <c r="O143" s="5" t="e">
        <f t="shared" ca="1" si="49"/>
        <v>#N/A</v>
      </c>
      <c r="P143" s="5" t="e">
        <f t="shared" ca="1" si="50"/>
        <v>#N/A</v>
      </c>
      <c r="Q143" s="5" t="e">
        <f t="shared" ca="1" si="51"/>
        <v>#N/A</v>
      </c>
      <c r="R143" s="5" t="e">
        <f t="shared" ca="1" si="56"/>
        <v>#N/A</v>
      </c>
      <c r="S143" s="67" t="e">
        <f t="shared" ca="1" si="57"/>
        <v>#N/A</v>
      </c>
      <c r="T143" s="67" t="e">
        <f t="shared" ca="1" si="58"/>
        <v>#N/A</v>
      </c>
      <c r="U143" s="67" t="e">
        <f t="shared" ca="1" si="59"/>
        <v>#N/A</v>
      </c>
      <c r="V143" s="5" t="e">
        <f t="shared" ca="1" si="38"/>
        <v>#N/A</v>
      </c>
      <c r="W143" s="5" t="e">
        <f t="shared" ca="1" si="52"/>
        <v>#N/A</v>
      </c>
      <c r="X143" s="67">
        <f t="shared" ca="1" si="53"/>
        <v>0</v>
      </c>
      <c r="Y143" s="67" t="e">
        <f t="shared" ca="1" si="60"/>
        <v>#N/A</v>
      </c>
      <c r="Z143" s="67" t="e">
        <f t="shared" ca="1" si="61"/>
        <v>#N/A</v>
      </c>
      <c r="AA143" s="5" t="str">
        <f>IF(Setup!$I$15="Yes",'Demand background (hide)'!AJ131+'SPC background (hide)'!C143,"")</f>
        <v/>
      </c>
      <c r="AC143" s="5" t="e">
        <f t="shared" ca="1" si="54"/>
        <v>#N/A</v>
      </c>
      <c r="AD143" s="5" t="e">
        <f t="shared" ca="1" si="55"/>
        <v>#N/A</v>
      </c>
    </row>
    <row r="144" spans="1:30" x14ac:dyDescent="0.25">
      <c r="A144" s="67" t="str">
        <f ca="1">Demand!C141</f>
        <v/>
      </c>
      <c r="B144" s="67">
        <v>129</v>
      </c>
      <c r="C144" s="5">
        <f ca="1">'Demand background (hide)'!Y132</f>
        <v>0</v>
      </c>
      <c r="D144" s="67">
        <f t="shared" si="39"/>
        <v>0</v>
      </c>
      <c r="E144" s="67" t="e">
        <f t="shared" ca="1" si="40"/>
        <v>#N/A</v>
      </c>
      <c r="F144" s="67" t="e">
        <f t="shared" ca="1" si="41"/>
        <v>#N/A</v>
      </c>
      <c r="G144" s="67" t="e">
        <f t="shared" ca="1" si="42"/>
        <v>#N/A</v>
      </c>
      <c r="H144" s="67" t="e">
        <f>IF('Demand background (hide)'!AN132&lt;&gt;"",'SPC background (hide)'!C144,NA())</f>
        <v>#N/A</v>
      </c>
      <c r="I144" s="67" t="e">
        <f t="shared" ca="1" si="43"/>
        <v>#N/A</v>
      </c>
      <c r="J144" s="5" t="e">
        <f t="shared" ca="1" si="44"/>
        <v>#N/A</v>
      </c>
      <c r="K144" s="5" t="e">
        <f t="shared" ca="1" si="45"/>
        <v>#N/A</v>
      </c>
      <c r="L144" s="5" t="e">
        <f t="shared" ca="1" si="46"/>
        <v>#N/A</v>
      </c>
      <c r="M144" s="5" t="e">
        <f t="shared" ca="1" si="47"/>
        <v>#N/A</v>
      </c>
      <c r="N144" s="5" t="e">
        <f t="shared" ca="1" si="48"/>
        <v>#N/A</v>
      </c>
      <c r="O144" s="5" t="e">
        <f t="shared" ca="1" si="49"/>
        <v>#N/A</v>
      </c>
      <c r="P144" s="5" t="e">
        <f t="shared" ca="1" si="50"/>
        <v>#N/A</v>
      </c>
      <c r="Q144" s="5" t="e">
        <f t="shared" ca="1" si="51"/>
        <v>#N/A</v>
      </c>
      <c r="R144" s="5" t="e">
        <f t="shared" ca="1" si="56"/>
        <v>#N/A</v>
      </c>
      <c r="S144" s="67" t="e">
        <f t="shared" ca="1" si="57"/>
        <v>#N/A</v>
      </c>
      <c r="T144" s="67" t="e">
        <f t="shared" ca="1" si="58"/>
        <v>#N/A</v>
      </c>
      <c r="U144" s="67" t="e">
        <f t="shared" ca="1" si="59"/>
        <v>#N/A</v>
      </c>
      <c r="V144" s="5" t="e">
        <f t="shared" ref="V144:V207" ca="1" si="62">IF(C144&lt;M144,-1,IF(C144&gt;M144,1,0))</f>
        <v>#N/A</v>
      </c>
      <c r="W144" s="5" t="e">
        <f t="shared" ca="1" si="52"/>
        <v>#N/A</v>
      </c>
      <c r="X144" s="67">
        <f t="shared" ca="1" si="53"/>
        <v>0</v>
      </c>
      <c r="Y144" s="67" t="e">
        <f t="shared" ca="1" si="60"/>
        <v>#N/A</v>
      </c>
      <c r="Z144" s="67" t="e">
        <f t="shared" ca="1" si="61"/>
        <v>#N/A</v>
      </c>
      <c r="AA144" s="5" t="str">
        <f>IF(Setup!$I$15="Yes",'Demand background (hide)'!AJ132+'SPC background (hide)'!C144,"")</f>
        <v/>
      </c>
      <c r="AC144" s="5" t="e">
        <f t="shared" ca="1" si="54"/>
        <v>#N/A</v>
      </c>
      <c r="AD144" s="5" t="e">
        <f t="shared" ca="1" si="55"/>
        <v>#N/A</v>
      </c>
    </row>
    <row r="145" spans="1:30" x14ac:dyDescent="0.25">
      <c r="A145" s="67" t="str">
        <f ca="1">Demand!C142</f>
        <v/>
      </c>
      <c r="B145" s="67">
        <v>130</v>
      </c>
      <c r="C145" s="5">
        <f ca="1">'Demand background (hide)'!Y133</f>
        <v>0</v>
      </c>
      <c r="D145" s="67">
        <f t="shared" ref="D145:D208" si="63">IF(AND($B145&gt;=$C$4,$B145&lt;=$D$5+$C$5-1),1,0)</f>
        <v>0</v>
      </c>
      <c r="E145" s="67" t="e">
        <f t="shared" ref="E145:E208" ca="1" si="64">IF(AND($B145&gt;=$D$6,$B145&lt;=$D$7+$C$7-1),1,0)</f>
        <v>#N/A</v>
      </c>
      <c r="F145" s="67" t="e">
        <f t="shared" ref="F145:F208" ca="1" si="65">IF(AND($B145&gt;=$D$8,$B145&lt;=$D$9+$C$9-1),1,0)</f>
        <v>#N/A</v>
      </c>
      <c r="G145" s="67" t="e">
        <f t="shared" ref="G145:G208" ca="1" si="66">IF(AND($B145&gt;=$D$10,$B145&lt;=$D$11+$C$11-1),1,0)</f>
        <v>#N/A</v>
      </c>
      <c r="H145" s="67" t="e">
        <f>IF('Demand background (hide)'!AN133&lt;&gt;"",'SPC background (hide)'!C145,NA())</f>
        <v>#N/A</v>
      </c>
      <c r="I145" s="67" t="e">
        <f t="shared" ref="I145:I208" ca="1" si="67">VLOOKUP(A145,$AG$2:$AI$54,3,0)</f>
        <v>#N/A</v>
      </c>
      <c r="J145" s="5" t="e">
        <f t="shared" ref="J145:J208" ca="1" si="68">VLOOKUP($A145,$AG$2:$AQ$54,COLUMN(E$1),0)</f>
        <v>#N/A</v>
      </c>
      <c r="K145" s="5" t="e">
        <f t="shared" ref="K145:K208" ca="1" si="69">VLOOKUP($A145,$AG$2:$AQ$54,COLUMN(F$1),0)</f>
        <v>#N/A</v>
      </c>
      <c r="L145" s="5" t="e">
        <f t="shared" ref="L145:L208" ca="1" si="70">VLOOKUP($A145,$AG$2:$AQ$54,COLUMN(G$1),0)</f>
        <v>#N/A</v>
      </c>
      <c r="M145" s="5" t="e">
        <f t="shared" ref="M145:M208" ca="1" si="71">VLOOKUP($A145,$AG$2:$AQ$54,COLUMN(H$1),0)</f>
        <v>#N/A</v>
      </c>
      <c r="N145" s="5" t="e">
        <f t="shared" ref="N145:N208" ca="1" si="72">VLOOKUP($A145,$AG$2:$AQ$54,COLUMN(I$1),0)</f>
        <v>#N/A</v>
      </c>
      <c r="O145" s="5" t="e">
        <f t="shared" ref="O145:O208" ca="1" si="73">VLOOKUP($A145,$AG$2:$AQ$54,COLUMN(J$1),0)</f>
        <v>#N/A</v>
      </c>
      <c r="P145" s="5" t="e">
        <f t="shared" ref="P145:P208" ca="1" si="74">VLOOKUP($A145,$AG$2:$AQ$54,COLUMN(K$1),0)</f>
        <v>#N/A</v>
      </c>
      <c r="Q145" s="5" t="e">
        <f t="shared" ref="Q145:Q208" ca="1" si="75">IF(ISNA(H145)=TRUE,IF(OR(C145&gt;P145,C145&lt;J145),C145,NA()),NA())</f>
        <v>#N/A</v>
      </c>
      <c r="R145" s="5" t="e">
        <f t="shared" ca="1" si="56"/>
        <v>#N/A</v>
      </c>
      <c r="S145" s="67" t="e">
        <f t="shared" ca="1" si="57"/>
        <v>#N/A</v>
      </c>
      <c r="T145" s="67" t="e">
        <f t="shared" ca="1" si="58"/>
        <v>#N/A</v>
      </c>
      <c r="U145" s="67" t="e">
        <f t="shared" ca="1" si="59"/>
        <v>#N/A</v>
      </c>
      <c r="V145" s="5" t="e">
        <f t="shared" ca="1" si="62"/>
        <v>#N/A</v>
      </c>
      <c r="W145" s="5" t="e">
        <f t="shared" ref="W145:W208" ca="1" si="76">IF(ISNA(H145)=TRUE,IF(ABS(SUM(V145:V153))=9,C145,NA()),NA())</f>
        <v>#N/A</v>
      </c>
      <c r="X145" s="67">
        <f t="shared" ref="X145:X208" ca="1" si="77">IF(C145&gt;C144,1,IF(C145&lt;C144,-1,0))</f>
        <v>0</v>
      </c>
      <c r="Y145" s="67" t="e">
        <f t="shared" ca="1" si="60"/>
        <v>#N/A</v>
      </c>
      <c r="Z145" s="67" t="e">
        <f t="shared" ca="1" si="61"/>
        <v>#N/A</v>
      </c>
      <c r="AA145" s="5" t="str">
        <f>IF(Setup!$I$15="Yes",'Demand background (hide)'!AJ133+'SPC background (hide)'!C145,"")</f>
        <v/>
      </c>
      <c r="AC145" s="5" t="e">
        <f t="shared" ref="AC145:AC208" ca="1" si="78">VLOOKUP($A145,$AG$2:$AS$54,12,0)</f>
        <v>#N/A</v>
      </c>
      <c r="AD145" s="5" t="e">
        <f t="shared" ref="AD145:AD208" ca="1" si="79">VLOOKUP($A145,$AG$2:$AS$54,13,0)</f>
        <v>#N/A</v>
      </c>
    </row>
    <row r="146" spans="1:30" x14ac:dyDescent="0.25">
      <c r="A146" s="67" t="str">
        <f ca="1">Demand!C143</f>
        <v/>
      </c>
      <c r="B146" s="67">
        <v>131</v>
      </c>
      <c r="C146" s="5">
        <f ca="1">'Demand background (hide)'!Y134</f>
        <v>0</v>
      </c>
      <c r="D146" s="67">
        <f t="shared" si="63"/>
        <v>0</v>
      </c>
      <c r="E146" s="67" t="e">
        <f t="shared" ca="1" si="64"/>
        <v>#N/A</v>
      </c>
      <c r="F146" s="67" t="e">
        <f t="shared" ca="1" si="65"/>
        <v>#N/A</v>
      </c>
      <c r="G146" s="67" t="e">
        <f t="shared" ca="1" si="66"/>
        <v>#N/A</v>
      </c>
      <c r="H146" s="67" t="e">
        <f>IF('Demand background (hide)'!AN134&lt;&gt;"",'SPC background (hide)'!C146,NA())</f>
        <v>#N/A</v>
      </c>
      <c r="I146" s="67" t="e">
        <f t="shared" ca="1" si="67"/>
        <v>#N/A</v>
      </c>
      <c r="J146" s="5" t="e">
        <f t="shared" ca="1" si="68"/>
        <v>#N/A</v>
      </c>
      <c r="K146" s="5" t="e">
        <f t="shared" ca="1" si="69"/>
        <v>#N/A</v>
      </c>
      <c r="L146" s="5" t="e">
        <f t="shared" ca="1" si="70"/>
        <v>#N/A</v>
      </c>
      <c r="M146" s="5" t="e">
        <f t="shared" ca="1" si="71"/>
        <v>#N/A</v>
      </c>
      <c r="N146" s="5" t="e">
        <f t="shared" ca="1" si="72"/>
        <v>#N/A</v>
      </c>
      <c r="O146" s="5" t="e">
        <f t="shared" ca="1" si="73"/>
        <v>#N/A</v>
      </c>
      <c r="P146" s="5" t="e">
        <f t="shared" ca="1" si="74"/>
        <v>#N/A</v>
      </c>
      <c r="Q146" s="5" t="e">
        <f t="shared" ca="1" si="75"/>
        <v>#N/A</v>
      </c>
      <c r="R146" s="5" t="e">
        <f t="shared" ref="R146:R209" ca="1" si="80">IF(C146&gt;O146,2,IF(C146&lt;K146,-2,IF(C146&gt;M146,1,IF(C146&lt;M146,-1,0))))</f>
        <v>#N/A</v>
      </c>
      <c r="S146" s="67" t="e">
        <f t="shared" ref="S146:S209" ca="1" si="81">IF(ISNA(H146),IF(ABS(SUM(R146:R148))&gt;=5,C146,NA()),NA())</f>
        <v>#N/A</v>
      </c>
      <c r="T146" s="67" t="e">
        <f t="shared" ref="T146:T209" ca="1" si="82">IF(C146&gt;N146,2,IF(C146&lt;L146,-2,IF(C146&gt;M146,1,IF(C146&lt;M146,-1,0))))</f>
        <v>#N/A</v>
      </c>
      <c r="U146" s="67" t="e">
        <f t="shared" ref="U146:U209" ca="1" si="83">IF(ISNA(H146)=TRUE,IF(ABS(SUM(T146:T150))&gt;=9,C146,NA()),NA())</f>
        <v>#N/A</v>
      </c>
      <c r="V146" s="5" t="e">
        <f t="shared" ca="1" si="62"/>
        <v>#N/A</v>
      </c>
      <c r="W146" s="5" t="e">
        <f t="shared" ca="1" si="76"/>
        <v>#N/A</v>
      </c>
      <c r="X146" s="67">
        <f t="shared" ca="1" si="77"/>
        <v>0</v>
      </c>
      <c r="Y146" s="67" t="e">
        <f t="shared" ref="Y146:Y209" ca="1" si="84">IF(ISNA(H146)=TRUE,IF(ABS(SUM(X146:X151))=6,C146,NA()),NA())</f>
        <v>#N/A</v>
      </c>
      <c r="Z146" s="67" t="e">
        <f t="shared" ref="Z146:Z209" ca="1" si="85">IF(ISNA(H146)=TRUE,IF(AND(ABS(SUM(T146:T153))=8,SUM(T146:T153)&lt;ABS(SUM(T146:T153))),C146,NA()),NA())</f>
        <v>#N/A</v>
      </c>
      <c r="AA146" s="5" t="str">
        <f>IF(Setup!$I$15="Yes",'Demand background (hide)'!AJ134+'SPC background (hide)'!C146,"")</f>
        <v/>
      </c>
      <c r="AC146" s="5" t="e">
        <f t="shared" ca="1" si="78"/>
        <v>#N/A</v>
      </c>
      <c r="AD146" s="5" t="e">
        <f t="shared" ca="1" si="79"/>
        <v>#N/A</v>
      </c>
    </row>
    <row r="147" spans="1:30" x14ac:dyDescent="0.25">
      <c r="A147" s="67" t="str">
        <f ca="1">Demand!C144</f>
        <v/>
      </c>
      <c r="B147" s="67">
        <v>132</v>
      </c>
      <c r="C147" s="5">
        <f ca="1">'Demand background (hide)'!Y135</f>
        <v>0</v>
      </c>
      <c r="D147" s="67">
        <f t="shared" si="63"/>
        <v>0</v>
      </c>
      <c r="E147" s="67" t="e">
        <f t="shared" ca="1" si="64"/>
        <v>#N/A</v>
      </c>
      <c r="F147" s="67" t="e">
        <f t="shared" ca="1" si="65"/>
        <v>#N/A</v>
      </c>
      <c r="G147" s="67" t="e">
        <f t="shared" ca="1" si="66"/>
        <v>#N/A</v>
      </c>
      <c r="H147" s="67" t="e">
        <f>IF('Demand background (hide)'!AN135&lt;&gt;"",'SPC background (hide)'!C147,NA())</f>
        <v>#N/A</v>
      </c>
      <c r="I147" s="67" t="e">
        <f t="shared" ca="1" si="67"/>
        <v>#N/A</v>
      </c>
      <c r="J147" s="5" t="e">
        <f t="shared" ca="1" si="68"/>
        <v>#N/A</v>
      </c>
      <c r="K147" s="5" t="e">
        <f t="shared" ca="1" si="69"/>
        <v>#N/A</v>
      </c>
      <c r="L147" s="5" t="e">
        <f t="shared" ca="1" si="70"/>
        <v>#N/A</v>
      </c>
      <c r="M147" s="5" t="e">
        <f t="shared" ca="1" si="71"/>
        <v>#N/A</v>
      </c>
      <c r="N147" s="5" t="e">
        <f t="shared" ca="1" si="72"/>
        <v>#N/A</v>
      </c>
      <c r="O147" s="5" t="e">
        <f t="shared" ca="1" si="73"/>
        <v>#N/A</v>
      </c>
      <c r="P147" s="5" t="e">
        <f t="shared" ca="1" si="74"/>
        <v>#N/A</v>
      </c>
      <c r="Q147" s="5" t="e">
        <f t="shared" ca="1" si="75"/>
        <v>#N/A</v>
      </c>
      <c r="R147" s="5" t="e">
        <f t="shared" ca="1" si="80"/>
        <v>#N/A</v>
      </c>
      <c r="S147" s="67" t="e">
        <f t="shared" ca="1" si="81"/>
        <v>#N/A</v>
      </c>
      <c r="T147" s="67" t="e">
        <f t="shared" ca="1" si="82"/>
        <v>#N/A</v>
      </c>
      <c r="U147" s="67" t="e">
        <f t="shared" ca="1" si="83"/>
        <v>#N/A</v>
      </c>
      <c r="V147" s="5" t="e">
        <f t="shared" ca="1" si="62"/>
        <v>#N/A</v>
      </c>
      <c r="W147" s="5" t="e">
        <f t="shared" ca="1" si="76"/>
        <v>#N/A</v>
      </c>
      <c r="X147" s="67">
        <f t="shared" ca="1" si="77"/>
        <v>0</v>
      </c>
      <c r="Y147" s="67" t="e">
        <f t="shared" ca="1" si="84"/>
        <v>#N/A</v>
      </c>
      <c r="Z147" s="67" t="e">
        <f t="shared" ca="1" si="85"/>
        <v>#N/A</v>
      </c>
      <c r="AA147" s="5" t="str">
        <f>IF(Setup!$I$15="Yes",'Demand background (hide)'!AJ135+'SPC background (hide)'!C147,"")</f>
        <v/>
      </c>
      <c r="AC147" s="5" t="e">
        <f t="shared" ca="1" si="78"/>
        <v>#N/A</v>
      </c>
      <c r="AD147" s="5" t="e">
        <f t="shared" ca="1" si="79"/>
        <v>#N/A</v>
      </c>
    </row>
    <row r="148" spans="1:30" x14ac:dyDescent="0.25">
      <c r="A148" s="67" t="str">
        <f ca="1">Demand!C145</f>
        <v/>
      </c>
      <c r="B148" s="67">
        <v>133</v>
      </c>
      <c r="C148" s="5">
        <f ca="1">'Demand background (hide)'!Y136</f>
        <v>0</v>
      </c>
      <c r="D148" s="67">
        <f t="shared" si="63"/>
        <v>0</v>
      </c>
      <c r="E148" s="67" t="e">
        <f t="shared" ca="1" si="64"/>
        <v>#N/A</v>
      </c>
      <c r="F148" s="67" t="e">
        <f t="shared" ca="1" si="65"/>
        <v>#N/A</v>
      </c>
      <c r="G148" s="67" t="e">
        <f t="shared" ca="1" si="66"/>
        <v>#N/A</v>
      </c>
      <c r="H148" s="67" t="e">
        <f>IF('Demand background (hide)'!AN136&lt;&gt;"",'SPC background (hide)'!C148,NA())</f>
        <v>#N/A</v>
      </c>
      <c r="I148" s="67" t="e">
        <f t="shared" ca="1" si="67"/>
        <v>#N/A</v>
      </c>
      <c r="J148" s="5" t="e">
        <f t="shared" ca="1" si="68"/>
        <v>#N/A</v>
      </c>
      <c r="K148" s="5" t="e">
        <f t="shared" ca="1" si="69"/>
        <v>#N/A</v>
      </c>
      <c r="L148" s="5" t="e">
        <f t="shared" ca="1" si="70"/>
        <v>#N/A</v>
      </c>
      <c r="M148" s="5" t="e">
        <f t="shared" ca="1" si="71"/>
        <v>#N/A</v>
      </c>
      <c r="N148" s="5" t="e">
        <f t="shared" ca="1" si="72"/>
        <v>#N/A</v>
      </c>
      <c r="O148" s="5" t="e">
        <f t="shared" ca="1" si="73"/>
        <v>#N/A</v>
      </c>
      <c r="P148" s="5" t="e">
        <f t="shared" ca="1" si="74"/>
        <v>#N/A</v>
      </c>
      <c r="Q148" s="5" t="e">
        <f t="shared" ca="1" si="75"/>
        <v>#N/A</v>
      </c>
      <c r="R148" s="5" t="e">
        <f t="shared" ca="1" si="80"/>
        <v>#N/A</v>
      </c>
      <c r="S148" s="67" t="e">
        <f t="shared" ca="1" si="81"/>
        <v>#N/A</v>
      </c>
      <c r="T148" s="67" t="e">
        <f t="shared" ca="1" si="82"/>
        <v>#N/A</v>
      </c>
      <c r="U148" s="67" t="e">
        <f t="shared" ca="1" si="83"/>
        <v>#N/A</v>
      </c>
      <c r="V148" s="5" t="e">
        <f t="shared" ca="1" si="62"/>
        <v>#N/A</v>
      </c>
      <c r="W148" s="5" t="e">
        <f t="shared" ca="1" si="76"/>
        <v>#N/A</v>
      </c>
      <c r="X148" s="67">
        <f t="shared" ca="1" si="77"/>
        <v>0</v>
      </c>
      <c r="Y148" s="67" t="e">
        <f t="shared" ca="1" si="84"/>
        <v>#N/A</v>
      </c>
      <c r="Z148" s="67" t="e">
        <f t="shared" ca="1" si="85"/>
        <v>#N/A</v>
      </c>
      <c r="AA148" s="5" t="str">
        <f>IF(Setup!$I$15="Yes",'Demand background (hide)'!AJ136+'SPC background (hide)'!C148,"")</f>
        <v/>
      </c>
      <c r="AC148" s="5" t="e">
        <f t="shared" ca="1" si="78"/>
        <v>#N/A</v>
      </c>
      <c r="AD148" s="5" t="e">
        <f t="shared" ca="1" si="79"/>
        <v>#N/A</v>
      </c>
    </row>
    <row r="149" spans="1:30" x14ac:dyDescent="0.25">
      <c r="A149" s="67" t="str">
        <f ca="1">Demand!C146</f>
        <v/>
      </c>
      <c r="B149" s="67">
        <v>134</v>
      </c>
      <c r="C149" s="5">
        <f ca="1">'Demand background (hide)'!Y137</f>
        <v>0</v>
      </c>
      <c r="D149" s="67">
        <f t="shared" si="63"/>
        <v>0</v>
      </c>
      <c r="E149" s="67" t="e">
        <f t="shared" ca="1" si="64"/>
        <v>#N/A</v>
      </c>
      <c r="F149" s="67" t="e">
        <f t="shared" ca="1" si="65"/>
        <v>#N/A</v>
      </c>
      <c r="G149" s="67" t="e">
        <f t="shared" ca="1" si="66"/>
        <v>#N/A</v>
      </c>
      <c r="H149" s="67" t="e">
        <f>IF('Demand background (hide)'!AN137&lt;&gt;"",'SPC background (hide)'!C149,NA())</f>
        <v>#N/A</v>
      </c>
      <c r="I149" s="67" t="e">
        <f t="shared" ca="1" si="67"/>
        <v>#N/A</v>
      </c>
      <c r="J149" s="5" t="e">
        <f t="shared" ca="1" si="68"/>
        <v>#N/A</v>
      </c>
      <c r="K149" s="5" t="e">
        <f t="shared" ca="1" si="69"/>
        <v>#N/A</v>
      </c>
      <c r="L149" s="5" t="e">
        <f t="shared" ca="1" si="70"/>
        <v>#N/A</v>
      </c>
      <c r="M149" s="5" t="e">
        <f t="shared" ca="1" si="71"/>
        <v>#N/A</v>
      </c>
      <c r="N149" s="5" t="e">
        <f t="shared" ca="1" si="72"/>
        <v>#N/A</v>
      </c>
      <c r="O149" s="5" t="e">
        <f t="shared" ca="1" si="73"/>
        <v>#N/A</v>
      </c>
      <c r="P149" s="5" t="e">
        <f t="shared" ca="1" si="74"/>
        <v>#N/A</v>
      </c>
      <c r="Q149" s="5" t="e">
        <f t="shared" ca="1" si="75"/>
        <v>#N/A</v>
      </c>
      <c r="R149" s="5" t="e">
        <f t="shared" ca="1" si="80"/>
        <v>#N/A</v>
      </c>
      <c r="S149" s="67" t="e">
        <f t="shared" ca="1" si="81"/>
        <v>#N/A</v>
      </c>
      <c r="T149" s="67" t="e">
        <f t="shared" ca="1" si="82"/>
        <v>#N/A</v>
      </c>
      <c r="U149" s="67" t="e">
        <f t="shared" ca="1" si="83"/>
        <v>#N/A</v>
      </c>
      <c r="V149" s="5" t="e">
        <f t="shared" ca="1" si="62"/>
        <v>#N/A</v>
      </c>
      <c r="W149" s="5" t="e">
        <f t="shared" ca="1" si="76"/>
        <v>#N/A</v>
      </c>
      <c r="X149" s="67">
        <f t="shared" ca="1" si="77"/>
        <v>0</v>
      </c>
      <c r="Y149" s="67" t="e">
        <f t="shared" ca="1" si="84"/>
        <v>#N/A</v>
      </c>
      <c r="Z149" s="67" t="e">
        <f t="shared" ca="1" si="85"/>
        <v>#N/A</v>
      </c>
      <c r="AA149" s="5" t="str">
        <f>IF(Setup!$I$15="Yes",'Demand background (hide)'!AJ137+'SPC background (hide)'!C149,"")</f>
        <v/>
      </c>
      <c r="AC149" s="5" t="e">
        <f t="shared" ca="1" si="78"/>
        <v>#N/A</v>
      </c>
      <c r="AD149" s="5" t="e">
        <f t="shared" ca="1" si="79"/>
        <v>#N/A</v>
      </c>
    </row>
    <row r="150" spans="1:30" x14ac:dyDescent="0.25">
      <c r="A150" s="67" t="str">
        <f ca="1">Demand!C147</f>
        <v/>
      </c>
      <c r="B150" s="67">
        <v>135</v>
      </c>
      <c r="C150" s="5">
        <f ca="1">'Demand background (hide)'!Y138</f>
        <v>0</v>
      </c>
      <c r="D150" s="67">
        <f t="shared" si="63"/>
        <v>0</v>
      </c>
      <c r="E150" s="67" t="e">
        <f t="shared" ca="1" si="64"/>
        <v>#N/A</v>
      </c>
      <c r="F150" s="67" t="e">
        <f t="shared" ca="1" si="65"/>
        <v>#N/A</v>
      </c>
      <c r="G150" s="67" t="e">
        <f t="shared" ca="1" si="66"/>
        <v>#N/A</v>
      </c>
      <c r="H150" s="67" t="e">
        <f>IF('Demand background (hide)'!AN138&lt;&gt;"",'SPC background (hide)'!C150,NA())</f>
        <v>#N/A</v>
      </c>
      <c r="I150" s="67" t="e">
        <f t="shared" ca="1" si="67"/>
        <v>#N/A</v>
      </c>
      <c r="J150" s="5" t="e">
        <f t="shared" ca="1" si="68"/>
        <v>#N/A</v>
      </c>
      <c r="K150" s="5" t="e">
        <f t="shared" ca="1" si="69"/>
        <v>#N/A</v>
      </c>
      <c r="L150" s="5" t="e">
        <f t="shared" ca="1" si="70"/>
        <v>#N/A</v>
      </c>
      <c r="M150" s="5" t="e">
        <f t="shared" ca="1" si="71"/>
        <v>#N/A</v>
      </c>
      <c r="N150" s="5" t="e">
        <f t="shared" ca="1" si="72"/>
        <v>#N/A</v>
      </c>
      <c r="O150" s="5" t="e">
        <f t="shared" ca="1" si="73"/>
        <v>#N/A</v>
      </c>
      <c r="P150" s="5" t="e">
        <f t="shared" ca="1" si="74"/>
        <v>#N/A</v>
      </c>
      <c r="Q150" s="5" t="e">
        <f t="shared" ca="1" si="75"/>
        <v>#N/A</v>
      </c>
      <c r="R150" s="5" t="e">
        <f t="shared" ca="1" si="80"/>
        <v>#N/A</v>
      </c>
      <c r="S150" s="67" t="e">
        <f t="shared" ca="1" si="81"/>
        <v>#N/A</v>
      </c>
      <c r="T150" s="67" t="e">
        <f t="shared" ca="1" si="82"/>
        <v>#N/A</v>
      </c>
      <c r="U150" s="67" t="e">
        <f t="shared" ca="1" si="83"/>
        <v>#N/A</v>
      </c>
      <c r="V150" s="5" t="e">
        <f t="shared" ca="1" si="62"/>
        <v>#N/A</v>
      </c>
      <c r="W150" s="5" t="e">
        <f t="shared" ca="1" si="76"/>
        <v>#N/A</v>
      </c>
      <c r="X150" s="67">
        <f t="shared" ca="1" si="77"/>
        <v>0</v>
      </c>
      <c r="Y150" s="67" t="e">
        <f t="shared" ca="1" si="84"/>
        <v>#N/A</v>
      </c>
      <c r="Z150" s="67" t="e">
        <f t="shared" ca="1" si="85"/>
        <v>#N/A</v>
      </c>
      <c r="AA150" s="5" t="str">
        <f>IF(Setup!$I$15="Yes",'Demand background (hide)'!AJ138+'SPC background (hide)'!C150,"")</f>
        <v/>
      </c>
      <c r="AC150" s="5" t="e">
        <f t="shared" ca="1" si="78"/>
        <v>#N/A</v>
      </c>
      <c r="AD150" s="5" t="e">
        <f t="shared" ca="1" si="79"/>
        <v>#N/A</v>
      </c>
    </row>
    <row r="151" spans="1:30" x14ac:dyDescent="0.25">
      <c r="A151" s="67" t="str">
        <f ca="1">Demand!C148</f>
        <v/>
      </c>
      <c r="B151" s="67">
        <v>136</v>
      </c>
      <c r="C151" s="5">
        <f ca="1">'Demand background (hide)'!Y139</f>
        <v>0</v>
      </c>
      <c r="D151" s="67">
        <f t="shared" si="63"/>
        <v>0</v>
      </c>
      <c r="E151" s="67" t="e">
        <f t="shared" ca="1" si="64"/>
        <v>#N/A</v>
      </c>
      <c r="F151" s="67" t="e">
        <f t="shared" ca="1" si="65"/>
        <v>#N/A</v>
      </c>
      <c r="G151" s="67" t="e">
        <f t="shared" ca="1" si="66"/>
        <v>#N/A</v>
      </c>
      <c r="H151" s="67" t="e">
        <f>IF('Demand background (hide)'!AN139&lt;&gt;"",'SPC background (hide)'!C151,NA())</f>
        <v>#N/A</v>
      </c>
      <c r="I151" s="67" t="e">
        <f t="shared" ca="1" si="67"/>
        <v>#N/A</v>
      </c>
      <c r="J151" s="5" t="e">
        <f t="shared" ca="1" si="68"/>
        <v>#N/A</v>
      </c>
      <c r="K151" s="5" t="e">
        <f t="shared" ca="1" si="69"/>
        <v>#N/A</v>
      </c>
      <c r="L151" s="5" t="e">
        <f t="shared" ca="1" si="70"/>
        <v>#N/A</v>
      </c>
      <c r="M151" s="5" t="e">
        <f t="shared" ca="1" si="71"/>
        <v>#N/A</v>
      </c>
      <c r="N151" s="5" t="e">
        <f t="shared" ca="1" si="72"/>
        <v>#N/A</v>
      </c>
      <c r="O151" s="5" t="e">
        <f t="shared" ca="1" si="73"/>
        <v>#N/A</v>
      </c>
      <c r="P151" s="5" t="e">
        <f t="shared" ca="1" si="74"/>
        <v>#N/A</v>
      </c>
      <c r="Q151" s="5" t="e">
        <f t="shared" ca="1" si="75"/>
        <v>#N/A</v>
      </c>
      <c r="R151" s="5" t="e">
        <f t="shared" ca="1" si="80"/>
        <v>#N/A</v>
      </c>
      <c r="S151" s="67" t="e">
        <f t="shared" ca="1" si="81"/>
        <v>#N/A</v>
      </c>
      <c r="T151" s="67" t="e">
        <f t="shared" ca="1" si="82"/>
        <v>#N/A</v>
      </c>
      <c r="U151" s="67" t="e">
        <f t="shared" ca="1" si="83"/>
        <v>#N/A</v>
      </c>
      <c r="V151" s="5" t="e">
        <f t="shared" ca="1" si="62"/>
        <v>#N/A</v>
      </c>
      <c r="W151" s="5" t="e">
        <f t="shared" ca="1" si="76"/>
        <v>#N/A</v>
      </c>
      <c r="X151" s="67">
        <f t="shared" ca="1" si="77"/>
        <v>0</v>
      </c>
      <c r="Y151" s="67" t="e">
        <f t="shared" ca="1" si="84"/>
        <v>#N/A</v>
      </c>
      <c r="Z151" s="67" t="e">
        <f t="shared" ca="1" si="85"/>
        <v>#N/A</v>
      </c>
      <c r="AA151" s="5" t="str">
        <f>IF(Setup!$I$15="Yes",'Demand background (hide)'!AJ139+'SPC background (hide)'!C151,"")</f>
        <v/>
      </c>
      <c r="AC151" s="5" t="e">
        <f t="shared" ca="1" si="78"/>
        <v>#N/A</v>
      </c>
      <c r="AD151" s="5" t="e">
        <f t="shared" ca="1" si="79"/>
        <v>#N/A</v>
      </c>
    </row>
    <row r="152" spans="1:30" x14ac:dyDescent="0.25">
      <c r="A152" s="67" t="str">
        <f ca="1">Demand!C149</f>
        <v/>
      </c>
      <c r="B152" s="67">
        <v>137</v>
      </c>
      <c r="C152" s="5">
        <f ca="1">'Demand background (hide)'!Y140</f>
        <v>0</v>
      </c>
      <c r="D152" s="67">
        <f t="shared" si="63"/>
        <v>0</v>
      </c>
      <c r="E152" s="67" t="e">
        <f t="shared" ca="1" si="64"/>
        <v>#N/A</v>
      </c>
      <c r="F152" s="67" t="e">
        <f t="shared" ca="1" si="65"/>
        <v>#N/A</v>
      </c>
      <c r="G152" s="67" t="e">
        <f t="shared" ca="1" si="66"/>
        <v>#N/A</v>
      </c>
      <c r="H152" s="67" t="e">
        <f>IF('Demand background (hide)'!AN140&lt;&gt;"",'SPC background (hide)'!C152,NA())</f>
        <v>#N/A</v>
      </c>
      <c r="I152" s="67" t="e">
        <f t="shared" ca="1" si="67"/>
        <v>#N/A</v>
      </c>
      <c r="J152" s="5" t="e">
        <f t="shared" ca="1" si="68"/>
        <v>#N/A</v>
      </c>
      <c r="K152" s="5" t="e">
        <f t="shared" ca="1" si="69"/>
        <v>#N/A</v>
      </c>
      <c r="L152" s="5" t="e">
        <f t="shared" ca="1" si="70"/>
        <v>#N/A</v>
      </c>
      <c r="M152" s="5" t="e">
        <f t="shared" ca="1" si="71"/>
        <v>#N/A</v>
      </c>
      <c r="N152" s="5" t="e">
        <f t="shared" ca="1" si="72"/>
        <v>#N/A</v>
      </c>
      <c r="O152" s="5" t="e">
        <f t="shared" ca="1" si="73"/>
        <v>#N/A</v>
      </c>
      <c r="P152" s="5" t="e">
        <f t="shared" ca="1" si="74"/>
        <v>#N/A</v>
      </c>
      <c r="Q152" s="5" t="e">
        <f t="shared" ca="1" si="75"/>
        <v>#N/A</v>
      </c>
      <c r="R152" s="5" t="e">
        <f t="shared" ca="1" si="80"/>
        <v>#N/A</v>
      </c>
      <c r="S152" s="67" t="e">
        <f t="shared" ca="1" si="81"/>
        <v>#N/A</v>
      </c>
      <c r="T152" s="67" t="e">
        <f t="shared" ca="1" si="82"/>
        <v>#N/A</v>
      </c>
      <c r="U152" s="67" t="e">
        <f t="shared" ca="1" si="83"/>
        <v>#N/A</v>
      </c>
      <c r="V152" s="5" t="e">
        <f t="shared" ca="1" si="62"/>
        <v>#N/A</v>
      </c>
      <c r="W152" s="5" t="e">
        <f t="shared" ca="1" si="76"/>
        <v>#N/A</v>
      </c>
      <c r="X152" s="67">
        <f t="shared" ca="1" si="77"/>
        <v>0</v>
      </c>
      <c r="Y152" s="67" t="e">
        <f t="shared" ca="1" si="84"/>
        <v>#N/A</v>
      </c>
      <c r="Z152" s="67" t="e">
        <f t="shared" ca="1" si="85"/>
        <v>#N/A</v>
      </c>
      <c r="AA152" s="5" t="str">
        <f>IF(Setup!$I$15="Yes",'Demand background (hide)'!AJ140+'SPC background (hide)'!C152,"")</f>
        <v/>
      </c>
      <c r="AC152" s="5" t="e">
        <f t="shared" ca="1" si="78"/>
        <v>#N/A</v>
      </c>
      <c r="AD152" s="5" t="e">
        <f t="shared" ca="1" si="79"/>
        <v>#N/A</v>
      </c>
    </row>
    <row r="153" spans="1:30" x14ac:dyDescent="0.25">
      <c r="A153" s="67" t="str">
        <f ca="1">Demand!C150</f>
        <v/>
      </c>
      <c r="B153" s="67">
        <v>138</v>
      </c>
      <c r="C153" s="5">
        <f ca="1">'Demand background (hide)'!Y141</f>
        <v>0</v>
      </c>
      <c r="D153" s="67">
        <f t="shared" si="63"/>
        <v>0</v>
      </c>
      <c r="E153" s="67" t="e">
        <f t="shared" ca="1" si="64"/>
        <v>#N/A</v>
      </c>
      <c r="F153" s="67" t="e">
        <f t="shared" ca="1" si="65"/>
        <v>#N/A</v>
      </c>
      <c r="G153" s="67" t="e">
        <f t="shared" ca="1" si="66"/>
        <v>#N/A</v>
      </c>
      <c r="H153" s="67" t="e">
        <f>IF('Demand background (hide)'!AN141&lt;&gt;"",'SPC background (hide)'!C153,NA())</f>
        <v>#N/A</v>
      </c>
      <c r="I153" s="67" t="e">
        <f t="shared" ca="1" si="67"/>
        <v>#N/A</v>
      </c>
      <c r="J153" s="5" t="e">
        <f t="shared" ca="1" si="68"/>
        <v>#N/A</v>
      </c>
      <c r="K153" s="5" t="e">
        <f t="shared" ca="1" si="69"/>
        <v>#N/A</v>
      </c>
      <c r="L153" s="5" t="e">
        <f t="shared" ca="1" si="70"/>
        <v>#N/A</v>
      </c>
      <c r="M153" s="5" t="e">
        <f t="shared" ca="1" si="71"/>
        <v>#N/A</v>
      </c>
      <c r="N153" s="5" t="e">
        <f t="shared" ca="1" si="72"/>
        <v>#N/A</v>
      </c>
      <c r="O153" s="5" t="e">
        <f t="shared" ca="1" si="73"/>
        <v>#N/A</v>
      </c>
      <c r="P153" s="5" t="e">
        <f t="shared" ca="1" si="74"/>
        <v>#N/A</v>
      </c>
      <c r="Q153" s="5" t="e">
        <f t="shared" ca="1" si="75"/>
        <v>#N/A</v>
      </c>
      <c r="R153" s="5" t="e">
        <f t="shared" ca="1" si="80"/>
        <v>#N/A</v>
      </c>
      <c r="S153" s="67" t="e">
        <f t="shared" ca="1" si="81"/>
        <v>#N/A</v>
      </c>
      <c r="T153" s="67" t="e">
        <f t="shared" ca="1" si="82"/>
        <v>#N/A</v>
      </c>
      <c r="U153" s="67" t="e">
        <f t="shared" ca="1" si="83"/>
        <v>#N/A</v>
      </c>
      <c r="V153" s="5" t="e">
        <f t="shared" ca="1" si="62"/>
        <v>#N/A</v>
      </c>
      <c r="W153" s="5" t="e">
        <f t="shared" ca="1" si="76"/>
        <v>#N/A</v>
      </c>
      <c r="X153" s="67">
        <f t="shared" ca="1" si="77"/>
        <v>0</v>
      </c>
      <c r="Y153" s="67" t="e">
        <f t="shared" ca="1" si="84"/>
        <v>#N/A</v>
      </c>
      <c r="Z153" s="67" t="e">
        <f t="shared" ca="1" si="85"/>
        <v>#N/A</v>
      </c>
      <c r="AA153" s="5" t="str">
        <f>IF(Setup!$I$15="Yes",'Demand background (hide)'!AJ141+'SPC background (hide)'!C153,"")</f>
        <v/>
      </c>
      <c r="AC153" s="5" t="e">
        <f t="shared" ca="1" si="78"/>
        <v>#N/A</v>
      </c>
      <c r="AD153" s="5" t="e">
        <f t="shared" ca="1" si="79"/>
        <v>#N/A</v>
      </c>
    </row>
    <row r="154" spans="1:30" x14ac:dyDescent="0.25">
      <c r="A154" s="67" t="str">
        <f ca="1">Demand!C151</f>
        <v/>
      </c>
      <c r="B154" s="67">
        <v>139</v>
      </c>
      <c r="C154" s="5">
        <f ca="1">'Demand background (hide)'!Y142</f>
        <v>0</v>
      </c>
      <c r="D154" s="67">
        <f t="shared" si="63"/>
        <v>0</v>
      </c>
      <c r="E154" s="67" t="e">
        <f t="shared" ca="1" si="64"/>
        <v>#N/A</v>
      </c>
      <c r="F154" s="67" t="e">
        <f t="shared" ca="1" si="65"/>
        <v>#N/A</v>
      </c>
      <c r="G154" s="67" t="e">
        <f t="shared" ca="1" si="66"/>
        <v>#N/A</v>
      </c>
      <c r="H154" s="67" t="e">
        <f>IF('Demand background (hide)'!AN142&lt;&gt;"",'SPC background (hide)'!C154,NA())</f>
        <v>#N/A</v>
      </c>
      <c r="I154" s="67" t="e">
        <f t="shared" ca="1" si="67"/>
        <v>#N/A</v>
      </c>
      <c r="J154" s="5" t="e">
        <f t="shared" ca="1" si="68"/>
        <v>#N/A</v>
      </c>
      <c r="K154" s="5" t="e">
        <f t="shared" ca="1" si="69"/>
        <v>#N/A</v>
      </c>
      <c r="L154" s="5" t="e">
        <f t="shared" ca="1" si="70"/>
        <v>#N/A</v>
      </c>
      <c r="M154" s="5" t="e">
        <f t="shared" ca="1" si="71"/>
        <v>#N/A</v>
      </c>
      <c r="N154" s="5" t="e">
        <f t="shared" ca="1" si="72"/>
        <v>#N/A</v>
      </c>
      <c r="O154" s="5" t="e">
        <f t="shared" ca="1" si="73"/>
        <v>#N/A</v>
      </c>
      <c r="P154" s="5" t="e">
        <f t="shared" ca="1" si="74"/>
        <v>#N/A</v>
      </c>
      <c r="Q154" s="5" t="e">
        <f t="shared" ca="1" si="75"/>
        <v>#N/A</v>
      </c>
      <c r="R154" s="5" t="e">
        <f t="shared" ca="1" si="80"/>
        <v>#N/A</v>
      </c>
      <c r="S154" s="67" t="e">
        <f t="shared" ca="1" si="81"/>
        <v>#N/A</v>
      </c>
      <c r="T154" s="67" t="e">
        <f t="shared" ca="1" si="82"/>
        <v>#N/A</v>
      </c>
      <c r="U154" s="67" t="e">
        <f t="shared" ca="1" si="83"/>
        <v>#N/A</v>
      </c>
      <c r="V154" s="5" t="e">
        <f t="shared" ca="1" si="62"/>
        <v>#N/A</v>
      </c>
      <c r="W154" s="5" t="e">
        <f t="shared" ca="1" si="76"/>
        <v>#N/A</v>
      </c>
      <c r="X154" s="67">
        <f t="shared" ca="1" si="77"/>
        <v>0</v>
      </c>
      <c r="Y154" s="67" t="e">
        <f t="shared" ca="1" si="84"/>
        <v>#N/A</v>
      </c>
      <c r="Z154" s="67" t="e">
        <f t="shared" ca="1" si="85"/>
        <v>#N/A</v>
      </c>
      <c r="AA154" s="5" t="str">
        <f>IF(Setup!$I$15="Yes",'Demand background (hide)'!AJ142+'SPC background (hide)'!C154,"")</f>
        <v/>
      </c>
      <c r="AC154" s="5" t="e">
        <f t="shared" ca="1" si="78"/>
        <v>#N/A</v>
      </c>
      <c r="AD154" s="5" t="e">
        <f t="shared" ca="1" si="79"/>
        <v>#N/A</v>
      </c>
    </row>
    <row r="155" spans="1:30" x14ac:dyDescent="0.25">
      <c r="A155" s="67" t="str">
        <f ca="1">Demand!C152</f>
        <v/>
      </c>
      <c r="B155" s="67">
        <v>140</v>
      </c>
      <c r="C155" s="5">
        <f ca="1">'Demand background (hide)'!Y143</f>
        <v>0</v>
      </c>
      <c r="D155" s="67">
        <f t="shared" si="63"/>
        <v>0</v>
      </c>
      <c r="E155" s="67" t="e">
        <f t="shared" ca="1" si="64"/>
        <v>#N/A</v>
      </c>
      <c r="F155" s="67" t="e">
        <f t="shared" ca="1" si="65"/>
        <v>#N/A</v>
      </c>
      <c r="G155" s="67" t="e">
        <f t="shared" ca="1" si="66"/>
        <v>#N/A</v>
      </c>
      <c r="H155" s="67" t="e">
        <f>IF('Demand background (hide)'!AN143&lt;&gt;"",'SPC background (hide)'!C155,NA())</f>
        <v>#N/A</v>
      </c>
      <c r="I155" s="67" t="e">
        <f t="shared" ca="1" si="67"/>
        <v>#N/A</v>
      </c>
      <c r="J155" s="5" t="e">
        <f t="shared" ca="1" si="68"/>
        <v>#N/A</v>
      </c>
      <c r="K155" s="5" t="e">
        <f t="shared" ca="1" si="69"/>
        <v>#N/A</v>
      </c>
      <c r="L155" s="5" t="e">
        <f t="shared" ca="1" si="70"/>
        <v>#N/A</v>
      </c>
      <c r="M155" s="5" t="e">
        <f t="shared" ca="1" si="71"/>
        <v>#N/A</v>
      </c>
      <c r="N155" s="5" t="e">
        <f t="shared" ca="1" si="72"/>
        <v>#N/A</v>
      </c>
      <c r="O155" s="5" t="e">
        <f t="shared" ca="1" si="73"/>
        <v>#N/A</v>
      </c>
      <c r="P155" s="5" t="e">
        <f t="shared" ca="1" si="74"/>
        <v>#N/A</v>
      </c>
      <c r="Q155" s="5" t="e">
        <f t="shared" ca="1" si="75"/>
        <v>#N/A</v>
      </c>
      <c r="R155" s="5" t="e">
        <f t="shared" ca="1" si="80"/>
        <v>#N/A</v>
      </c>
      <c r="S155" s="67" t="e">
        <f t="shared" ca="1" si="81"/>
        <v>#N/A</v>
      </c>
      <c r="T155" s="67" t="e">
        <f t="shared" ca="1" si="82"/>
        <v>#N/A</v>
      </c>
      <c r="U155" s="67" t="e">
        <f t="shared" ca="1" si="83"/>
        <v>#N/A</v>
      </c>
      <c r="V155" s="5" t="e">
        <f t="shared" ca="1" si="62"/>
        <v>#N/A</v>
      </c>
      <c r="W155" s="5" t="e">
        <f t="shared" ca="1" si="76"/>
        <v>#N/A</v>
      </c>
      <c r="X155" s="67">
        <f t="shared" ca="1" si="77"/>
        <v>0</v>
      </c>
      <c r="Y155" s="67" t="e">
        <f t="shared" ca="1" si="84"/>
        <v>#N/A</v>
      </c>
      <c r="Z155" s="67" t="e">
        <f t="shared" ca="1" si="85"/>
        <v>#N/A</v>
      </c>
      <c r="AA155" s="5" t="str">
        <f>IF(Setup!$I$15="Yes",'Demand background (hide)'!AJ143+'SPC background (hide)'!C155,"")</f>
        <v/>
      </c>
      <c r="AC155" s="5" t="e">
        <f t="shared" ca="1" si="78"/>
        <v>#N/A</v>
      </c>
      <c r="AD155" s="5" t="e">
        <f t="shared" ca="1" si="79"/>
        <v>#N/A</v>
      </c>
    </row>
    <row r="156" spans="1:30" x14ac:dyDescent="0.25">
      <c r="A156" s="67" t="str">
        <f ca="1">Demand!C153</f>
        <v/>
      </c>
      <c r="B156" s="67">
        <v>141</v>
      </c>
      <c r="C156" s="5">
        <f ca="1">'Demand background (hide)'!Y144</f>
        <v>0</v>
      </c>
      <c r="D156" s="67">
        <f t="shared" si="63"/>
        <v>0</v>
      </c>
      <c r="E156" s="67" t="e">
        <f t="shared" ca="1" si="64"/>
        <v>#N/A</v>
      </c>
      <c r="F156" s="67" t="e">
        <f t="shared" ca="1" si="65"/>
        <v>#N/A</v>
      </c>
      <c r="G156" s="67" t="e">
        <f t="shared" ca="1" si="66"/>
        <v>#N/A</v>
      </c>
      <c r="H156" s="67" t="e">
        <f>IF('Demand background (hide)'!AN144&lt;&gt;"",'SPC background (hide)'!C156,NA())</f>
        <v>#N/A</v>
      </c>
      <c r="I156" s="67" t="e">
        <f t="shared" ca="1" si="67"/>
        <v>#N/A</v>
      </c>
      <c r="J156" s="5" t="e">
        <f t="shared" ca="1" si="68"/>
        <v>#N/A</v>
      </c>
      <c r="K156" s="5" t="e">
        <f t="shared" ca="1" si="69"/>
        <v>#N/A</v>
      </c>
      <c r="L156" s="5" t="e">
        <f t="shared" ca="1" si="70"/>
        <v>#N/A</v>
      </c>
      <c r="M156" s="5" t="e">
        <f t="shared" ca="1" si="71"/>
        <v>#N/A</v>
      </c>
      <c r="N156" s="5" t="e">
        <f t="shared" ca="1" si="72"/>
        <v>#N/A</v>
      </c>
      <c r="O156" s="5" t="e">
        <f t="shared" ca="1" si="73"/>
        <v>#N/A</v>
      </c>
      <c r="P156" s="5" t="e">
        <f t="shared" ca="1" si="74"/>
        <v>#N/A</v>
      </c>
      <c r="Q156" s="5" t="e">
        <f t="shared" ca="1" si="75"/>
        <v>#N/A</v>
      </c>
      <c r="R156" s="5" t="e">
        <f t="shared" ca="1" si="80"/>
        <v>#N/A</v>
      </c>
      <c r="S156" s="67" t="e">
        <f t="shared" ca="1" si="81"/>
        <v>#N/A</v>
      </c>
      <c r="T156" s="67" t="e">
        <f t="shared" ca="1" si="82"/>
        <v>#N/A</v>
      </c>
      <c r="U156" s="67" t="e">
        <f t="shared" ca="1" si="83"/>
        <v>#N/A</v>
      </c>
      <c r="V156" s="5" t="e">
        <f t="shared" ca="1" si="62"/>
        <v>#N/A</v>
      </c>
      <c r="W156" s="5" t="e">
        <f t="shared" ca="1" si="76"/>
        <v>#N/A</v>
      </c>
      <c r="X156" s="67">
        <f t="shared" ca="1" si="77"/>
        <v>0</v>
      </c>
      <c r="Y156" s="67" t="e">
        <f t="shared" ca="1" si="84"/>
        <v>#N/A</v>
      </c>
      <c r="Z156" s="67" t="e">
        <f t="shared" ca="1" si="85"/>
        <v>#N/A</v>
      </c>
      <c r="AA156" s="5" t="str">
        <f>IF(Setup!$I$15="Yes",'Demand background (hide)'!AJ144+'SPC background (hide)'!C156,"")</f>
        <v/>
      </c>
      <c r="AC156" s="5" t="e">
        <f t="shared" ca="1" si="78"/>
        <v>#N/A</v>
      </c>
      <c r="AD156" s="5" t="e">
        <f t="shared" ca="1" si="79"/>
        <v>#N/A</v>
      </c>
    </row>
    <row r="157" spans="1:30" x14ac:dyDescent="0.25">
      <c r="A157" s="67" t="str">
        <f ca="1">Demand!C154</f>
        <v/>
      </c>
      <c r="B157" s="67">
        <v>142</v>
      </c>
      <c r="C157" s="5">
        <f ca="1">'Demand background (hide)'!Y145</f>
        <v>0</v>
      </c>
      <c r="D157" s="67">
        <f t="shared" si="63"/>
        <v>0</v>
      </c>
      <c r="E157" s="67" t="e">
        <f t="shared" ca="1" si="64"/>
        <v>#N/A</v>
      </c>
      <c r="F157" s="67" t="e">
        <f t="shared" ca="1" si="65"/>
        <v>#N/A</v>
      </c>
      <c r="G157" s="67" t="e">
        <f t="shared" ca="1" si="66"/>
        <v>#N/A</v>
      </c>
      <c r="H157" s="67" t="e">
        <f>IF('Demand background (hide)'!AN145&lt;&gt;"",'SPC background (hide)'!C157,NA())</f>
        <v>#N/A</v>
      </c>
      <c r="I157" s="67" t="e">
        <f t="shared" ca="1" si="67"/>
        <v>#N/A</v>
      </c>
      <c r="J157" s="5" t="e">
        <f t="shared" ca="1" si="68"/>
        <v>#N/A</v>
      </c>
      <c r="K157" s="5" t="e">
        <f t="shared" ca="1" si="69"/>
        <v>#N/A</v>
      </c>
      <c r="L157" s="5" t="e">
        <f t="shared" ca="1" si="70"/>
        <v>#N/A</v>
      </c>
      <c r="M157" s="5" t="e">
        <f t="shared" ca="1" si="71"/>
        <v>#N/A</v>
      </c>
      <c r="N157" s="5" t="e">
        <f t="shared" ca="1" si="72"/>
        <v>#N/A</v>
      </c>
      <c r="O157" s="5" t="e">
        <f t="shared" ca="1" si="73"/>
        <v>#N/A</v>
      </c>
      <c r="P157" s="5" t="e">
        <f t="shared" ca="1" si="74"/>
        <v>#N/A</v>
      </c>
      <c r="Q157" s="5" t="e">
        <f t="shared" ca="1" si="75"/>
        <v>#N/A</v>
      </c>
      <c r="R157" s="5" t="e">
        <f t="shared" ca="1" si="80"/>
        <v>#N/A</v>
      </c>
      <c r="S157" s="67" t="e">
        <f t="shared" ca="1" si="81"/>
        <v>#N/A</v>
      </c>
      <c r="T157" s="67" t="e">
        <f t="shared" ca="1" si="82"/>
        <v>#N/A</v>
      </c>
      <c r="U157" s="67" t="e">
        <f t="shared" ca="1" si="83"/>
        <v>#N/A</v>
      </c>
      <c r="V157" s="5" t="e">
        <f t="shared" ca="1" si="62"/>
        <v>#N/A</v>
      </c>
      <c r="W157" s="5" t="e">
        <f t="shared" ca="1" si="76"/>
        <v>#N/A</v>
      </c>
      <c r="X157" s="67">
        <f t="shared" ca="1" si="77"/>
        <v>0</v>
      </c>
      <c r="Y157" s="67" t="e">
        <f t="shared" ca="1" si="84"/>
        <v>#N/A</v>
      </c>
      <c r="Z157" s="67" t="e">
        <f t="shared" ca="1" si="85"/>
        <v>#N/A</v>
      </c>
      <c r="AA157" s="5" t="str">
        <f>IF(Setup!$I$15="Yes",'Demand background (hide)'!AJ145+'SPC background (hide)'!C157,"")</f>
        <v/>
      </c>
      <c r="AC157" s="5" t="e">
        <f t="shared" ca="1" si="78"/>
        <v>#N/A</v>
      </c>
      <c r="AD157" s="5" t="e">
        <f t="shared" ca="1" si="79"/>
        <v>#N/A</v>
      </c>
    </row>
    <row r="158" spans="1:30" x14ac:dyDescent="0.25">
      <c r="A158" s="67" t="str">
        <f ca="1">Demand!C155</f>
        <v/>
      </c>
      <c r="B158" s="67">
        <v>143</v>
      </c>
      <c r="C158" s="5">
        <f ca="1">'Demand background (hide)'!Y146</f>
        <v>0</v>
      </c>
      <c r="D158" s="67">
        <f t="shared" si="63"/>
        <v>0</v>
      </c>
      <c r="E158" s="67" t="e">
        <f t="shared" ca="1" si="64"/>
        <v>#N/A</v>
      </c>
      <c r="F158" s="67" t="e">
        <f t="shared" ca="1" si="65"/>
        <v>#N/A</v>
      </c>
      <c r="G158" s="67" t="e">
        <f t="shared" ca="1" si="66"/>
        <v>#N/A</v>
      </c>
      <c r="H158" s="67" t="e">
        <f>IF('Demand background (hide)'!AN146&lt;&gt;"",'SPC background (hide)'!C158,NA())</f>
        <v>#N/A</v>
      </c>
      <c r="I158" s="67" t="e">
        <f t="shared" ca="1" si="67"/>
        <v>#N/A</v>
      </c>
      <c r="J158" s="5" t="e">
        <f t="shared" ca="1" si="68"/>
        <v>#N/A</v>
      </c>
      <c r="K158" s="5" t="e">
        <f t="shared" ca="1" si="69"/>
        <v>#N/A</v>
      </c>
      <c r="L158" s="5" t="e">
        <f t="shared" ca="1" si="70"/>
        <v>#N/A</v>
      </c>
      <c r="M158" s="5" t="e">
        <f t="shared" ca="1" si="71"/>
        <v>#N/A</v>
      </c>
      <c r="N158" s="5" t="e">
        <f t="shared" ca="1" si="72"/>
        <v>#N/A</v>
      </c>
      <c r="O158" s="5" t="e">
        <f t="shared" ca="1" si="73"/>
        <v>#N/A</v>
      </c>
      <c r="P158" s="5" t="e">
        <f t="shared" ca="1" si="74"/>
        <v>#N/A</v>
      </c>
      <c r="Q158" s="5" t="e">
        <f t="shared" ca="1" si="75"/>
        <v>#N/A</v>
      </c>
      <c r="R158" s="5" t="e">
        <f t="shared" ca="1" si="80"/>
        <v>#N/A</v>
      </c>
      <c r="S158" s="67" t="e">
        <f t="shared" ca="1" si="81"/>
        <v>#N/A</v>
      </c>
      <c r="T158" s="67" t="e">
        <f t="shared" ca="1" si="82"/>
        <v>#N/A</v>
      </c>
      <c r="U158" s="67" t="e">
        <f t="shared" ca="1" si="83"/>
        <v>#N/A</v>
      </c>
      <c r="V158" s="5" t="e">
        <f t="shared" ca="1" si="62"/>
        <v>#N/A</v>
      </c>
      <c r="W158" s="5" t="e">
        <f t="shared" ca="1" si="76"/>
        <v>#N/A</v>
      </c>
      <c r="X158" s="67">
        <f t="shared" ca="1" si="77"/>
        <v>0</v>
      </c>
      <c r="Y158" s="67" t="e">
        <f t="shared" ca="1" si="84"/>
        <v>#N/A</v>
      </c>
      <c r="Z158" s="67" t="e">
        <f t="shared" ca="1" si="85"/>
        <v>#N/A</v>
      </c>
      <c r="AA158" s="5" t="str">
        <f>IF(Setup!$I$15="Yes",'Demand background (hide)'!AJ146+'SPC background (hide)'!C158,"")</f>
        <v/>
      </c>
      <c r="AC158" s="5" t="e">
        <f t="shared" ca="1" si="78"/>
        <v>#N/A</v>
      </c>
      <c r="AD158" s="5" t="e">
        <f t="shared" ca="1" si="79"/>
        <v>#N/A</v>
      </c>
    </row>
    <row r="159" spans="1:30" x14ac:dyDescent="0.25">
      <c r="A159" s="67" t="str">
        <f ca="1">Demand!C156</f>
        <v/>
      </c>
      <c r="B159" s="67">
        <v>144</v>
      </c>
      <c r="C159" s="5">
        <f ca="1">'Demand background (hide)'!Y147</f>
        <v>0</v>
      </c>
      <c r="D159" s="67">
        <f t="shared" si="63"/>
        <v>0</v>
      </c>
      <c r="E159" s="67" t="e">
        <f t="shared" ca="1" si="64"/>
        <v>#N/A</v>
      </c>
      <c r="F159" s="67" t="e">
        <f t="shared" ca="1" si="65"/>
        <v>#N/A</v>
      </c>
      <c r="G159" s="67" t="e">
        <f t="shared" ca="1" si="66"/>
        <v>#N/A</v>
      </c>
      <c r="H159" s="67" t="e">
        <f>IF('Demand background (hide)'!AN147&lt;&gt;"",'SPC background (hide)'!C159,NA())</f>
        <v>#N/A</v>
      </c>
      <c r="I159" s="67" t="e">
        <f t="shared" ca="1" si="67"/>
        <v>#N/A</v>
      </c>
      <c r="J159" s="5" t="e">
        <f t="shared" ca="1" si="68"/>
        <v>#N/A</v>
      </c>
      <c r="K159" s="5" t="e">
        <f t="shared" ca="1" si="69"/>
        <v>#N/A</v>
      </c>
      <c r="L159" s="5" t="e">
        <f t="shared" ca="1" si="70"/>
        <v>#N/A</v>
      </c>
      <c r="M159" s="5" t="e">
        <f t="shared" ca="1" si="71"/>
        <v>#N/A</v>
      </c>
      <c r="N159" s="5" t="e">
        <f t="shared" ca="1" si="72"/>
        <v>#N/A</v>
      </c>
      <c r="O159" s="5" t="e">
        <f t="shared" ca="1" si="73"/>
        <v>#N/A</v>
      </c>
      <c r="P159" s="5" t="e">
        <f t="shared" ca="1" si="74"/>
        <v>#N/A</v>
      </c>
      <c r="Q159" s="5" t="e">
        <f t="shared" ca="1" si="75"/>
        <v>#N/A</v>
      </c>
      <c r="R159" s="5" t="e">
        <f t="shared" ca="1" si="80"/>
        <v>#N/A</v>
      </c>
      <c r="S159" s="67" t="e">
        <f t="shared" ca="1" si="81"/>
        <v>#N/A</v>
      </c>
      <c r="T159" s="67" t="e">
        <f t="shared" ca="1" si="82"/>
        <v>#N/A</v>
      </c>
      <c r="U159" s="67" t="e">
        <f t="shared" ca="1" si="83"/>
        <v>#N/A</v>
      </c>
      <c r="V159" s="5" t="e">
        <f t="shared" ca="1" si="62"/>
        <v>#N/A</v>
      </c>
      <c r="W159" s="5" t="e">
        <f t="shared" ca="1" si="76"/>
        <v>#N/A</v>
      </c>
      <c r="X159" s="67">
        <f t="shared" ca="1" si="77"/>
        <v>0</v>
      </c>
      <c r="Y159" s="67" t="e">
        <f t="shared" ca="1" si="84"/>
        <v>#N/A</v>
      </c>
      <c r="Z159" s="67" t="e">
        <f t="shared" ca="1" si="85"/>
        <v>#N/A</v>
      </c>
      <c r="AA159" s="5" t="str">
        <f>IF(Setup!$I$15="Yes",'Demand background (hide)'!AJ147+'SPC background (hide)'!C159,"")</f>
        <v/>
      </c>
      <c r="AC159" s="5" t="e">
        <f t="shared" ca="1" si="78"/>
        <v>#N/A</v>
      </c>
      <c r="AD159" s="5" t="e">
        <f t="shared" ca="1" si="79"/>
        <v>#N/A</v>
      </c>
    </row>
    <row r="160" spans="1:30" x14ac:dyDescent="0.25">
      <c r="A160" s="67" t="str">
        <f ca="1">Demand!C157</f>
        <v/>
      </c>
      <c r="B160" s="67">
        <v>145</v>
      </c>
      <c r="C160" s="5">
        <f ca="1">'Demand background (hide)'!Y148</f>
        <v>0</v>
      </c>
      <c r="D160" s="67">
        <f t="shared" si="63"/>
        <v>0</v>
      </c>
      <c r="E160" s="67" t="e">
        <f t="shared" ca="1" si="64"/>
        <v>#N/A</v>
      </c>
      <c r="F160" s="67" t="e">
        <f t="shared" ca="1" si="65"/>
        <v>#N/A</v>
      </c>
      <c r="G160" s="67" t="e">
        <f t="shared" ca="1" si="66"/>
        <v>#N/A</v>
      </c>
      <c r="H160" s="67" t="e">
        <f>IF('Demand background (hide)'!AN148&lt;&gt;"",'SPC background (hide)'!C160,NA())</f>
        <v>#N/A</v>
      </c>
      <c r="I160" s="67" t="e">
        <f t="shared" ca="1" si="67"/>
        <v>#N/A</v>
      </c>
      <c r="J160" s="5" t="e">
        <f t="shared" ca="1" si="68"/>
        <v>#N/A</v>
      </c>
      <c r="K160" s="5" t="e">
        <f t="shared" ca="1" si="69"/>
        <v>#N/A</v>
      </c>
      <c r="L160" s="5" t="e">
        <f t="shared" ca="1" si="70"/>
        <v>#N/A</v>
      </c>
      <c r="M160" s="5" t="e">
        <f t="shared" ca="1" si="71"/>
        <v>#N/A</v>
      </c>
      <c r="N160" s="5" t="e">
        <f t="shared" ca="1" si="72"/>
        <v>#N/A</v>
      </c>
      <c r="O160" s="5" t="e">
        <f t="shared" ca="1" si="73"/>
        <v>#N/A</v>
      </c>
      <c r="P160" s="5" t="e">
        <f t="shared" ca="1" si="74"/>
        <v>#N/A</v>
      </c>
      <c r="Q160" s="5" t="e">
        <f t="shared" ca="1" si="75"/>
        <v>#N/A</v>
      </c>
      <c r="R160" s="5" t="e">
        <f t="shared" ca="1" si="80"/>
        <v>#N/A</v>
      </c>
      <c r="S160" s="67" t="e">
        <f t="shared" ca="1" si="81"/>
        <v>#N/A</v>
      </c>
      <c r="T160" s="67" t="e">
        <f t="shared" ca="1" si="82"/>
        <v>#N/A</v>
      </c>
      <c r="U160" s="67" t="e">
        <f t="shared" ca="1" si="83"/>
        <v>#N/A</v>
      </c>
      <c r="V160" s="5" t="e">
        <f t="shared" ca="1" si="62"/>
        <v>#N/A</v>
      </c>
      <c r="W160" s="5" t="e">
        <f t="shared" ca="1" si="76"/>
        <v>#N/A</v>
      </c>
      <c r="X160" s="67">
        <f t="shared" ca="1" si="77"/>
        <v>0</v>
      </c>
      <c r="Y160" s="67" t="e">
        <f t="shared" ca="1" si="84"/>
        <v>#N/A</v>
      </c>
      <c r="Z160" s="67" t="e">
        <f t="shared" ca="1" si="85"/>
        <v>#N/A</v>
      </c>
      <c r="AA160" s="5" t="str">
        <f>IF(Setup!$I$15="Yes",'Demand background (hide)'!AJ148+'SPC background (hide)'!C160,"")</f>
        <v/>
      </c>
      <c r="AC160" s="5" t="e">
        <f t="shared" ca="1" si="78"/>
        <v>#N/A</v>
      </c>
      <c r="AD160" s="5" t="e">
        <f t="shared" ca="1" si="79"/>
        <v>#N/A</v>
      </c>
    </row>
    <row r="161" spans="1:30" x14ac:dyDescent="0.25">
      <c r="A161" s="67" t="str">
        <f ca="1">Demand!C158</f>
        <v/>
      </c>
      <c r="B161" s="67">
        <v>146</v>
      </c>
      <c r="C161" s="5">
        <f ca="1">'Demand background (hide)'!Y149</f>
        <v>0</v>
      </c>
      <c r="D161" s="67">
        <f t="shared" si="63"/>
        <v>0</v>
      </c>
      <c r="E161" s="67" t="e">
        <f t="shared" ca="1" si="64"/>
        <v>#N/A</v>
      </c>
      <c r="F161" s="67" t="e">
        <f t="shared" ca="1" si="65"/>
        <v>#N/A</v>
      </c>
      <c r="G161" s="67" t="e">
        <f t="shared" ca="1" si="66"/>
        <v>#N/A</v>
      </c>
      <c r="H161" s="67" t="e">
        <f>IF('Demand background (hide)'!AN149&lt;&gt;"",'SPC background (hide)'!C161,NA())</f>
        <v>#N/A</v>
      </c>
      <c r="I161" s="67" t="e">
        <f t="shared" ca="1" si="67"/>
        <v>#N/A</v>
      </c>
      <c r="J161" s="5" t="e">
        <f t="shared" ca="1" si="68"/>
        <v>#N/A</v>
      </c>
      <c r="K161" s="5" t="e">
        <f t="shared" ca="1" si="69"/>
        <v>#N/A</v>
      </c>
      <c r="L161" s="5" t="e">
        <f t="shared" ca="1" si="70"/>
        <v>#N/A</v>
      </c>
      <c r="M161" s="5" t="e">
        <f t="shared" ca="1" si="71"/>
        <v>#N/A</v>
      </c>
      <c r="N161" s="5" t="e">
        <f t="shared" ca="1" si="72"/>
        <v>#N/A</v>
      </c>
      <c r="O161" s="5" t="e">
        <f t="shared" ca="1" si="73"/>
        <v>#N/A</v>
      </c>
      <c r="P161" s="5" t="e">
        <f t="shared" ca="1" si="74"/>
        <v>#N/A</v>
      </c>
      <c r="Q161" s="5" t="e">
        <f t="shared" ca="1" si="75"/>
        <v>#N/A</v>
      </c>
      <c r="R161" s="5" t="e">
        <f t="shared" ca="1" si="80"/>
        <v>#N/A</v>
      </c>
      <c r="S161" s="67" t="e">
        <f t="shared" ca="1" si="81"/>
        <v>#N/A</v>
      </c>
      <c r="T161" s="67" t="e">
        <f t="shared" ca="1" si="82"/>
        <v>#N/A</v>
      </c>
      <c r="U161" s="67" t="e">
        <f t="shared" ca="1" si="83"/>
        <v>#N/A</v>
      </c>
      <c r="V161" s="5" t="e">
        <f t="shared" ca="1" si="62"/>
        <v>#N/A</v>
      </c>
      <c r="W161" s="5" t="e">
        <f t="shared" ca="1" si="76"/>
        <v>#N/A</v>
      </c>
      <c r="X161" s="67">
        <f t="shared" ca="1" si="77"/>
        <v>0</v>
      </c>
      <c r="Y161" s="67" t="e">
        <f t="shared" ca="1" si="84"/>
        <v>#N/A</v>
      </c>
      <c r="Z161" s="67" t="e">
        <f t="shared" ca="1" si="85"/>
        <v>#N/A</v>
      </c>
      <c r="AA161" s="5" t="str">
        <f>IF(Setup!$I$15="Yes",'Demand background (hide)'!AJ149+'SPC background (hide)'!C161,"")</f>
        <v/>
      </c>
      <c r="AC161" s="5" t="e">
        <f t="shared" ca="1" si="78"/>
        <v>#N/A</v>
      </c>
      <c r="AD161" s="5" t="e">
        <f t="shared" ca="1" si="79"/>
        <v>#N/A</v>
      </c>
    </row>
    <row r="162" spans="1:30" x14ac:dyDescent="0.25">
      <c r="A162" s="67" t="str">
        <f ca="1">Demand!C159</f>
        <v/>
      </c>
      <c r="B162" s="67">
        <v>147</v>
      </c>
      <c r="C162" s="5">
        <f ca="1">'Demand background (hide)'!Y150</f>
        <v>0</v>
      </c>
      <c r="D162" s="67">
        <f t="shared" si="63"/>
        <v>0</v>
      </c>
      <c r="E162" s="67" t="e">
        <f t="shared" ca="1" si="64"/>
        <v>#N/A</v>
      </c>
      <c r="F162" s="67" t="e">
        <f t="shared" ca="1" si="65"/>
        <v>#N/A</v>
      </c>
      <c r="G162" s="67" t="e">
        <f t="shared" ca="1" si="66"/>
        <v>#N/A</v>
      </c>
      <c r="H162" s="67" t="e">
        <f>IF('Demand background (hide)'!AN150&lt;&gt;"",'SPC background (hide)'!C162,NA())</f>
        <v>#N/A</v>
      </c>
      <c r="I162" s="67" t="e">
        <f t="shared" ca="1" si="67"/>
        <v>#N/A</v>
      </c>
      <c r="J162" s="5" t="e">
        <f t="shared" ca="1" si="68"/>
        <v>#N/A</v>
      </c>
      <c r="K162" s="5" t="e">
        <f t="shared" ca="1" si="69"/>
        <v>#N/A</v>
      </c>
      <c r="L162" s="5" t="e">
        <f t="shared" ca="1" si="70"/>
        <v>#N/A</v>
      </c>
      <c r="M162" s="5" t="e">
        <f t="shared" ca="1" si="71"/>
        <v>#N/A</v>
      </c>
      <c r="N162" s="5" t="e">
        <f t="shared" ca="1" si="72"/>
        <v>#N/A</v>
      </c>
      <c r="O162" s="5" t="e">
        <f t="shared" ca="1" si="73"/>
        <v>#N/A</v>
      </c>
      <c r="P162" s="5" t="e">
        <f t="shared" ca="1" si="74"/>
        <v>#N/A</v>
      </c>
      <c r="Q162" s="5" t="e">
        <f t="shared" ca="1" si="75"/>
        <v>#N/A</v>
      </c>
      <c r="R162" s="5" t="e">
        <f t="shared" ca="1" si="80"/>
        <v>#N/A</v>
      </c>
      <c r="S162" s="67" t="e">
        <f t="shared" ca="1" si="81"/>
        <v>#N/A</v>
      </c>
      <c r="T162" s="67" t="e">
        <f t="shared" ca="1" si="82"/>
        <v>#N/A</v>
      </c>
      <c r="U162" s="67" t="e">
        <f t="shared" ca="1" si="83"/>
        <v>#N/A</v>
      </c>
      <c r="V162" s="5" t="e">
        <f t="shared" ca="1" si="62"/>
        <v>#N/A</v>
      </c>
      <c r="W162" s="5" t="e">
        <f t="shared" ca="1" si="76"/>
        <v>#N/A</v>
      </c>
      <c r="X162" s="67">
        <f t="shared" ca="1" si="77"/>
        <v>0</v>
      </c>
      <c r="Y162" s="67" t="e">
        <f t="shared" ca="1" si="84"/>
        <v>#N/A</v>
      </c>
      <c r="Z162" s="67" t="e">
        <f t="shared" ca="1" si="85"/>
        <v>#N/A</v>
      </c>
      <c r="AA162" s="5" t="str">
        <f>IF(Setup!$I$15="Yes",'Demand background (hide)'!AJ150+'SPC background (hide)'!C162,"")</f>
        <v/>
      </c>
      <c r="AC162" s="5" t="e">
        <f t="shared" ca="1" si="78"/>
        <v>#N/A</v>
      </c>
      <c r="AD162" s="5" t="e">
        <f t="shared" ca="1" si="79"/>
        <v>#N/A</v>
      </c>
    </row>
    <row r="163" spans="1:30" x14ac:dyDescent="0.25">
      <c r="A163" s="67" t="str">
        <f ca="1">Demand!C160</f>
        <v/>
      </c>
      <c r="B163" s="67">
        <v>148</v>
      </c>
      <c r="C163" s="5">
        <f ca="1">'Demand background (hide)'!Y151</f>
        <v>0</v>
      </c>
      <c r="D163" s="67">
        <f t="shared" si="63"/>
        <v>0</v>
      </c>
      <c r="E163" s="67" t="e">
        <f t="shared" ca="1" si="64"/>
        <v>#N/A</v>
      </c>
      <c r="F163" s="67" t="e">
        <f t="shared" ca="1" si="65"/>
        <v>#N/A</v>
      </c>
      <c r="G163" s="67" t="e">
        <f t="shared" ca="1" si="66"/>
        <v>#N/A</v>
      </c>
      <c r="H163" s="67" t="e">
        <f>IF('Demand background (hide)'!AN151&lt;&gt;"",'SPC background (hide)'!C163,NA())</f>
        <v>#N/A</v>
      </c>
      <c r="I163" s="67" t="e">
        <f t="shared" ca="1" si="67"/>
        <v>#N/A</v>
      </c>
      <c r="J163" s="5" t="e">
        <f t="shared" ca="1" si="68"/>
        <v>#N/A</v>
      </c>
      <c r="K163" s="5" t="e">
        <f t="shared" ca="1" si="69"/>
        <v>#N/A</v>
      </c>
      <c r="L163" s="5" t="e">
        <f t="shared" ca="1" si="70"/>
        <v>#N/A</v>
      </c>
      <c r="M163" s="5" t="e">
        <f t="shared" ca="1" si="71"/>
        <v>#N/A</v>
      </c>
      <c r="N163" s="5" t="e">
        <f t="shared" ca="1" si="72"/>
        <v>#N/A</v>
      </c>
      <c r="O163" s="5" t="e">
        <f t="shared" ca="1" si="73"/>
        <v>#N/A</v>
      </c>
      <c r="P163" s="5" t="e">
        <f t="shared" ca="1" si="74"/>
        <v>#N/A</v>
      </c>
      <c r="Q163" s="5" t="e">
        <f t="shared" ca="1" si="75"/>
        <v>#N/A</v>
      </c>
      <c r="R163" s="5" t="e">
        <f t="shared" ca="1" si="80"/>
        <v>#N/A</v>
      </c>
      <c r="S163" s="67" t="e">
        <f t="shared" ca="1" si="81"/>
        <v>#N/A</v>
      </c>
      <c r="T163" s="67" t="e">
        <f t="shared" ca="1" si="82"/>
        <v>#N/A</v>
      </c>
      <c r="U163" s="67" t="e">
        <f t="shared" ca="1" si="83"/>
        <v>#N/A</v>
      </c>
      <c r="V163" s="5" t="e">
        <f t="shared" ca="1" si="62"/>
        <v>#N/A</v>
      </c>
      <c r="W163" s="5" t="e">
        <f t="shared" ca="1" si="76"/>
        <v>#N/A</v>
      </c>
      <c r="X163" s="67">
        <f t="shared" ca="1" si="77"/>
        <v>0</v>
      </c>
      <c r="Y163" s="67" t="e">
        <f t="shared" ca="1" si="84"/>
        <v>#N/A</v>
      </c>
      <c r="Z163" s="67" t="e">
        <f t="shared" ca="1" si="85"/>
        <v>#N/A</v>
      </c>
      <c r="AA163" s="5" t="str">
        <f>IF(Setup!$I$15="Yes",'Demand background (hide)'!AJ151+'SPC background (hide)'!C163,"")</f>
        <v/>
      </c>
      <c r="AC163" s="5" t="e">
        <f t="shared" ca="1" si="78"/>
        <v>#N/A</v>
      </c>
      <c r="AD163" s="5" t="e">
        <f t="shared" ca="1" si="79"/>
        <v>#N/A</v>
      </c>
    </row>
    <row r="164" spans="1:30" x14ac:dyDescent="0.25">
      <c r="A164" s="67" t="str">
        <f ca="1">Demand!C161</f>
        <v/>
      </c>
      <c r="B164" s="67">
        <v>149</v>
      </c>
      <c r="C164" s="5">
        <f ca="1">'Demand background (hide)'!Y152</f>
        <v>0</v>
      </c>
      <c r="D164" s="67">
        <f t="shared" si="63"/>
        <v>0</v>
      </c>
      <c r="E164" s="67" t="e">
        <f t="shared" ca="1" si="64"/>
        <v>#N/A</v>
      </c>
      <c r="F164" s="67" t="e">
        <f t="shared" ca="1" si="65"/>
        <v>#N/A</v>
      </c>
      <c r="G164" s="67" t="e">
        <f t="shared" ca="1" si="66"/>
        <v>#N/A</v>
      </c>
      <c r="H164" s="67" t="e">
        <f>IF('Demand background (hide)'!AN152&lt;&gt;"",'SPC background (hide)'!C164,NA())</f>
        <v>#N/A</v>
      </c>
      <c r="I164" s="67" t="e">
        <f t="shared" ca="1" si="67"/>
        <v>#N/A</v>
      </c>
      <c r="J164" s="5" t="e">
        <f t="shared" ca="1" si="68"/>
        <v>#N/A</v>
      </c>
      <c r="K164" s="5" t="e">
        <f t="shared" ca="1" si="69"/>
        <v>#N/A</v>
      </c>
      <c r="L164" s="5" t="e">
        <f t="shared" ca="1" si="70"/>
        <v>#N/A</v>
      </c>
      <c r="M164" s="5" t="e">
        <f t="shared" ca="1" si="71"/>
        <v>#N/A</v>
      </c>
      <c r="N164" s="5" t="e">
        <f t="shared" ca="1" si="72"/>
        <v>#N/A</v>
      </c>
      <c r="O164" s="5" t="e">
        <f t="shared" ca="1" si="73"/>
        <v>#N/A</v>
      </c>
      <c r="P164" s="5" t="e">
        <f t="shared" ca="1" si="74"/>
        <v>#N/A</v>
      </c>
      <c r="Q164" s="5" t="e">
        <f t="shared" ca="1" si="75"/>
        <v>#N/A</v>
      </c>
      <c r="R164" s="5" t="e">
        <f t="shared" ca="1" si="80"/>
        <v>#N/A</v>
      </c>
      <c r="S164" s="67" t="e">
        <f t="shared" ca="1" si="81"/>
        <v>#N/A</v>
      </c>
      <c r="T164" s="67" t="e">
        <f t="shared" ca="1" si="82"/>
        <v>#N/A</v>
      </c>
      <c r="U164" s="67" t="e">
        <f t="shared" ca="1" si="83"/>
        <v>#N/A</v>
      </c>
      <c r="V164" s="5" t="e">
        <f t="shared" ca="1" si="62"/>
        <v>#N/A</v>
      </c>
      <c r="W164" s="5" t="e">
        <f t="shared" ca="1" si="76"/>
        <v>#N/A</v>
      </c>
      <c r="X164" s="67">
        <f t="shared" ca="1" si="77"/>
        <v>0</v>
      </c>
      <c r="Y164" s="67" t="e">
        <f t="shared" ca="1" si="84"/>
        <v>#N/A</v>
      </c>
      <c r="Z164" s="67" t="e">
        <f t="shared" ca="1" si="85"/>
        <v>#N/A</v>
      </c>
      <c r="AA164" s="5" t="str">
        <f>IF(Setup!$I$15="Yes",'Demand background (hide)'!AJ152+'SPC background (hide)'!C164,"")</f>
        <v/>
      </c>
      <c r="AC164" s="5" t="e">
        <f t="shared" ca="1" si="78"/>
        <v>#N/A</v>
      </c>
      <c r="AD164" s="5" t="e">
        <f t="shared" ca="1" si="79"/>
        <v>#N/A</v>
      </c>
    </row>
    <row r="165" spans="1:30" x14ac:dyDescent="0.25">
      <c r="A165" s="67" t="str">
        <f ca="1">Demand!C162</f>
        <v/>
      </c>
      <c r="B165" s="67">
        <v>150</v>
      </c>
      <c r="C165" s="5">
        <f ca="1">'Demand background (hide)'!Y153</f>
        <v>0</v>
      </c>
      <c r="D165" s="67">
        <f t="shared" si="63"/>
        <v>0</v>
      </c>
      <c r="E165" s="67" t="e">
        <f t="shared" ca="1" si="64"/>
        <v>#N/A</v>
      </c>
      <c r="F165" s="67" t="e">
        <f t="shared" ca="1" si="65"/>
        <v>#N/A</v>
      </c>
      <c r="G165" s="67" t="e">
        <f t="shared" ca="1" si="66"/>
        <v>#N/A</v>
      </c>
      <c r="H165" s="67" t="e">
        <f>IF('Demand background (hide)'!AN153&lt;&gt;"",'SPC background (hide)'!C165,NA())</f>
        <v>#N/A</v>
      </c>
      <c r="I165" s="67" t="e">
        <f t="shared" ca="1" si="67"/>
        <v>#N/A</v>
      </c>
      <c r="J165" s="5" t="e">
        <f t="shared" ca="1" si="68"/>
        <v>#N/A</v>
      </c>
      <c r="K165" s="5" t="e">
        <f t="shared" ca="1" si="69"/>
        <v>#N/A</v>
      </c>
      <c r="L165" s="5" t="e">
        <f t="shared" ca="1" si="70"/>
        <v>#N/A</v>
      </c>
      <c r="M165" s="5" t="e">
        <f t="shared" ca="1" si="71"/>
        <v>#N/A</v>
      </c>
      <c r="N165" s="5" t="e">
        <f t="shared" ca="1" si="72"/>
        <v>#N/A</v>
      </c>
      <c r="O165" s="5" t="e">
        <f t="shared" ca="1" si="73"/>
        <v>#N/A</v>
      </c>
      <c r="P165" s="5" t="e">
        <f t="shared" ca="1" si="74"/>
        <v>#N/A</v>
      </c>
      <c r="Q165" s="5" t="e">
        <f t="shared" ca="1" si="75"/>
        <v>#N/A</v>
      </c>
      <c r="R165" s="5" t="e">
        <f t="shared" ca="1" si="80"/>
        <v>#N/A</v>
      </c>
      <c r="S165" s="67" t="e">
        <f t="shared" ca="1" si="81"/>
        <v>#N/A</v>
      </c>
      <c r="T165" s="67" t="e">
        <f t="shared" ca="1" si="82"/>
        <v>#N/A</v>
      </c>
      <c r="U165" s="67" t="e">
        <f t="shared" ca="1" si="83"/>
        <v>#N/A</v>
      </c>
      <c r="V165" s="5" t="e">
        <f t="shared" ca="1" si="62"/>
        <v>#N/A</v>
      </c>
      <c r="W165" s="5" t="e">
        <f t="shared" ca="1" si="76"/>
        <v>#N/A</v>
      </c>
      <c r="X165" s="67">
        <f t="shared" ca="1" si="77"/>
        <v>0</v>
      </c>
      <c r="Y165" s="67" t="e">
        <f t="shared" ca="1" si="84"/>
        <v>#N/A</v>
      </c>
      <c r="Z165" s="67" t="e">
        <f t="shared" ca="1" si="85"/>
        <v>#N/A</v>
      </c>
      <c r="AA165" s="5" t="str">
        <f>IF(Setup!$I$15="Yes",'Demand background (hide)'!AJ153+'SPC background (hide)'!C165,"")</f>
        <v/>
      </c>
      <c r="AC165" s="5" t="e">
        <f t="shared" ca="1" si="78"/>
        <v>#N/A</v>
      </c>
      <c r="AD165" s="5" t="e">
        <f t="shared" ca="1" si="79"/>
        <v>#N/A</v>
      </c>
    </row>
    <row r="166" spans="1:30" x14ac:dyDescent="0.25">
      <c r="A166" s="67" t="str">
        <f ca="1">Demand!C163</f>
        <v/>
      </c>
      <c r="B166" s="67">
        <v>151</v>
      </c>
      <c r="C166" s="5">
        <f ca="1">'Demand background (hide)'!Y154</f>
        <v>0</v>
      </c>
      <c r="D166" s="67">
        <f t="shared" si="63"/>
        <v>0</v>
      </c>
      <c r="E166" s="67" t="e">
        <f t="shared" ca="1" si="64"/>
        <v>#N/A</v>
      </c>
      <c r="F166" s="67" t="e">
        <f t="shared" ca="1" si="65"/>
        <v>#N/A</v>
      </c>
      <c r="G166" s="67" t="e">
        <f t="shared" ca="1" si="66"/>
        <v>#N/A</v>
      </c>
      <c r="H166" s="67" t="e">
        <f>IF('Demand background (hide)'!AN154&lt;&gt;"",'SPC background (hide)'!C166,NA())</f>
        <v>#N/A</v>
      </c>
      <c r="I166" s="67" t="e">
        <f t="shared" ca="1" si="67"/>
        <v>#N/A</v>
      </c>
      <c r="J166" s="5" t="e">
        <f t="shared" ca="1" si="68"/>
        <v>#N/A</v>
      </c>
      <c r="K166" s="5" t="e">
        <f t="shared" ca="1" si="69"/>
        <v>#N/A</v>
      </c>
      <c r="L166" s="5" t="e">
        <f t="shared" ca="1" si="70"/>
        <v>#N/A</v>
      </c>
      <c r="M166" s="5" t="e">
        <f t="shared" ca="1" si="71"/>
        <v>#N/A</v>
      </c>
      <c r="N166" s="5" t="e">
        <f t="shared" ca="1" si="72"/>
        <v>#N/A</v>
      </c>
      <c r="O166" s="5" t="e">
        <f t="shared" ca="1" si="73"/>
        <v>#N/A</v>
      </c>
      <c r="P166" s="5" t="e">
        <f t="shared" ca="1" si="74"/>
        <v>#N/A</v>
      </c>
      <c r="Q166" s="5" t="e">
        <f t="shared" ca="1" si="75"/>
        <v>#N/A</v>
      </c>
      <c r="R166" s="5" t="e">
        <f t="shared" ca="1" si="80"/>
        <v>#N/A</v>
      </c>
      <c r="S166" s="67" t="e">
        <f t="shared" ca="1" si="81"/>
        <v>#N/A</v>
      </c>
      <c r="T166" s="67" t="e">
        <f t="shared" ca="1" si="82"/>
        <v>#N/A</v>
      </c>
      <c r="U166" s="67" t="e">
        <f t="shared" ca="1" si="83"/>
        <v>#N/A</v>
      </c>
      <c r="V166" s="5" t="e">
        <f t="shared" ca="1" si="62"/>
        <v>#N/A</v>
      </c>
      <c r="W166" s="5" t="e">
        <f t="shared" ca="1" si="76"/>
        <v>#N/A</v>
      </c>
      <c r="X166" s="67">
        <f t="shared" ca="1" si="77"/>
        <v>0</v>
      </c>
      <c r="Y166" s="67" t="e">
        <f t="shared" ca="1" si="84"/>
        <v>#N/A</v>
      </c>
      <c r="Z166" s="67" t="e">
        <f t="shared" ca="1" si="85"/>
        <v>#N/A</v>
      </c>
      <c r="AA166" s="5" t="str">
        <f>IF(Setup!$I$15="Yes",'Demand background (hide)'!AJ154+'SPC background (hide)'!C166,"")</f>
        <v/>
      </c>
      <c r="AC166" s="5" t="e">
        <f t="shared" ca="1" si="78"/>
        <v>#N/A</v>
      </c>
      <c r="AD166" s="5" t="e">
        <f t="shared" ca="1" si="79"/>
        <v>#N/A</v>
      </c>
    </row>
    <row r="167" spans="1:30" x14ac:dyDescent="0.25">
      <c r="A167" s="67" t="str">
        <f ca="1">Demand!C164</f>
        <v/>
      </c>
      <c r="B167" s="67">
        <v>152</v>
      </c>
      <c r="C167" s="5">
        <f ca="1">'Demand background (hide)'!Y155</f>
        <v>0</v>
      </c>
      <c r="D167" s="67">
        <f t="shared" si="63"/>
        <v>0</v>
      </c>
      <c r="E167" s="67" t="e">
        <f t="shared" ca="1" si="64"/>
        <v>#N/A</v>
      </c>
      <c r="F167" s="67" t="e">
        <f t="shared" ca="1" si="65"/>
        <v>#N/A</v>
      </c>
      <c r="G167" s="67" t="e">
        <f t="shared" ca="1" si="66"/>
        <v>#N/A</v>
      </c>
      <c r="H167" s="67" t="e">
        <f>IF('Demand background (hide)'!AN155&lt;&gt;"",'SPC background (hide)'!C167,NA())</f>
        <v>#N/A</v>
      </c>
      <c r="I167" s="67" t="e">
        <f t="shared" ca="1" si="67"/>
        <v>#N/A</v>
      </c>
      <c r="J167" s="5" t="e">
        <f t="shared" ca="1" si="68"/>
        <v>#N/A</v>
      </c>
      <c r="K167" s="5" t="e">
        <f t="shared" ca="1" si="69"/>
        <v>#N/A</v>
      </c>
      <c r="L167" s="5" t="e">
        <f t="shared" ca="1" si="70"/>
        <v>#N/A</v>
      </c>
      <c r="M167" s="5" t="e">
        <f t="shared" ca="1" si="71"/>
        <v>#N/A</v>
      </c>
      <c r="N167" s="5" t="e">
        <f t="shared" ca="1" si="72"/>
        <v>#N/A</v>
      </c>
      <c r="O167" s="5" t="e">
        <f t="shared" ca="1" si="73"/>
        <v>#N/A</v>
      </c>
      <c r="P167" s="5" t="e">
        <f t="shared" ca="1" si="74"/>
        <v>#N/A</v>
      </c>
      <c r="Q167" s="5" t="e">
        <f t="shared" ca="1" si="75"/>
        <v>#N/A</v>
      </c>
      <c r="R167" s="5" t="e">
        <f t="shared" ca="1" si="80"/>
        <v>#N/A</v>
      </c>
      <c r="S167" s="67" t="e">
        <f t="shared" ca="1" si="81"/>
        <v>#N/A</v>
      </c>
      <c r="T167" s="67" t="e">
        <f t="shared" ca="1" si="82"/>
        <v>#N/A</v>
      </c>
      <c r="U167" s="67" t="e">
        <f t="shared" ca="1" si="83"/>
        <v>#N/A</v>
      </c>
      <c r="V167" s="5" t="e">
        <f t="shared" ca="1" si="62"/>
        <v>#N/A</v>
      </c>
      <c r="W167" s="5" t="e">
        <f t="shared" ca="1" si="76"/>
        <v>#N/A</v>
      </c>
      <c r="X167" s="67">
        <f t="shared" ca="1" si="77"/>
        <v>0</v>
      </c>
      <c r="Y167" s="67" t="e">
        <f t="shared" ca="1" si="84"/>
        <v>#N/A</v>
      </c>
      <c r="Z167" s="67" t="e">
        <f t="shared" ca="1" si="85"/>
        <v>#N/A</v>
      </c>
      <c r="AA167" s="5" t="str">
        <f>IF(Setup!$I$15="Yes",'Demand background (hide)'!AJ155+'SPC background (hide)'!C167,"")</f>
        <v/>
      </c>
      <c r="AC167" s="5" t="e">
        <f t="shared" ca="1" si="78"/>
        <v>#N/A</v>
      </c>
      <c r="AD167" s="5" t="e">
        <f t="shared" ca="1" si="79"/>
        <v>#N/A</v>
      </c>
    </row>
    <row r="168" spans="1:30" x14ac:dyDescent="0.25">
      <c r="A168" s="67" t="str">
        <f ca="1">Demand!C165</f>
        <v/>
      </c>
      <c r="B168" s="67">
        <v>153</v>
      </c>
      <c r="C168" s="5">
        <f ca="1">'Demand background (hide)'!Y156</f>
        <v>0</v>
      </c>
      <c r="D168" s="67">
        <f t="shared" si="63"/>
        <v>0</v>
      </c>
      <c r="E168" s="67" t="e">
        <f t="shared" ca="1" si="64"/>
        <v>#N/A</v>
      </c>
      <c r="F168" s="67" t="e">
        <f t="shared" ca="1" si="65"/>
        <v>#N/A</v>
      </c>
      <c r="G168" s="67" t="e">
        <f t="shared" ca="1" si="66"/>
        <v>#N/A</v>
      </c>
      <c r="H168" s="67" t="e">
        <f>IF('Demand background (hide)'!AN156&lt;&gt;"",'SPC background (hide)'!C168,NA())</f>
        <v>#N/A</v>
      </c>
      <c r="I168" s="67" t="e">
        <f t="shared" ca="1" si="67"/>
        <v>#N/A</v>
      </c>
      <c r="J168" s="5" t="e">
        <f t="shared" ca="1" si="68"/>
        <v>#N/A</v>
      </c>
      <c r="K168" s="5" t="e">
        <f t="shared" ca="1" si="69"/>
        <v>#N/A</v>
      </c>
      <c r="L168" s="5" t="e">
        <f t="shared" ca="1" si="70"/>
        <v>#N/A</v>
      </c>
      <c r="M168" s="5" t="e">
        <f t="shared" ca="1" si="71"/>
        <v>#N/A</v>
      </c>
      <c r="N168" s="5" t="e">
        <f t="shared" ca="1" si="72"/>
        <v>#N/A</v>
      </c>
      <c r="O168" s="5" t="e">
        <f t="shared" ca="1" si="73"/>
        <v>#N/A</v>
      </c>
      <c r="P168" s="5" t="e">
        <f t="shared" ca="1" si="74"/>
        <v>#N/A</v>
      </c>
      <c r="Q168" s="5" t="e">
        <f t="shared" ca="1" si="75"/>
        <v>#N/A</v>
      </c>
      <c r="R168" s="5" t="e">
        <f t="shared" ca="1" si="80"/>
        <v>#N/A</v>
      </c>
      <c r="S168" s="67" t="e">
        <f t="shared" ca="1" si="81"/>
        <v>#N/A</v>
      </c>
      <c r="T168" s="67" t="e">
        <f t="shared" ca="1" si="82"/>
        <v>#N/A</v>
      </c>
      <c r="U168" s="67" t="e">
        <f t="shared" ca="1" si="83"/>
        <v>#N/A</v>
      </c>
      <c r="V168" s="5" t="e">
        <f t="shared" ca="1" si="62"/>
        <v>#N/A</v>
      </c>
      <c r="W168" s="5" t="e">
        <f t="shared" ca="1" si="76"/>
        <v>#N/A</v>
      </c>
      <c r="X168" s="67">
        <f t="shared" ca="1" si="77"/>
        <v>0</v>
      </c>
      <c r="Y168" s="67" t="e">
        <f t="shared" ca="1" si="84"/>
        <v>#N/A</v>
      </c>
      <c r="Z168" s="67" t="e">
        <f t="shared" ca="1" si="85"/>
        <v>#N/A</v>
      </c>
      <c r="AA168" s="5" t="str">
        <f>IF(Setup!$I$15="Yes",'Demand background (hide)'!AJ156+'SPC background (hide)'!C168,"")</f>
        <v/>
      </c>
      <c r="AC168" s="5" t="e">
        <f t="shared" ca="1" si="78"/>
        <v>#N/A</v>
      </c>
      <c r="AD168" s="5" t="e">
        <f t="shared" ca="1" si="79"/>
        <v>#N/A</v>
      </c>
    </row>
    <row r="169" spans="1:30" x14ac:dyDescent="0.25">
      <c r="A169" s="67" t="str">
        <f ca="1">Demand!C166</f>
        <v/>
      </c>
      <c r="B169" s="67">
        <v>154</v>
      </c>
      <c r="C169" s="5">
        <f ca="1">'Demand background (hide)'!Y157</f>
        <v>0</v>
      </c>
      <c r="D169" s="67">
        <f t="shared" si="63"/>
        <v>0</v>
      </c>
      <c r="E169" s="67" t="e">
        <f t="shared" ca="1" si="64"/>
        <v>#N/A</v>
      </c>
      <c r="F169" s="67" t="e">
        <f t="shared" ca="1" si="65"/>
        <v>#N/A</v>
      </c>
      <c r="G169" s="67" t="e">
        <f t="shared" ca="1" si="66"/>
        <v>#N/A</v>
      </c>
      <c r="H169" s="67" t="e">
        <f>IF('Demand background (hide)'!AN157&lt;&gt;"",'SPC background (hide)'!C169,NA())</f>
        <v>#N/A</v>
      </c>
      <c r="I169" s="67" t="e">
        <f t="shared" ca="1" si="67"/>
        <v>#N/A</v>
      </c>
      <c r="J169" s="5" t="e">
        <f t="shared" ca="1" si="68"/>
        <v>#N/A</v>
      </c>
      <c r="K169" s="5" t="e">
        <f t="shared" ca="1" si="69"/>
        <v>#N/A</v>
      </c>
      <c r="L169" s="5" t="e">
        <f t="shared" ca="1" si="70"/>
        <v>#N/A</v>
      </c>
      <c r="M169" s="5" t="e">
        <f t="shared" ca="1" si="71"/>
        <v>#N/A</v>
      </c>
      <c r="N169" s="5" t="e">
        <f t="shared" ca="1" si="72"/>
        <v>#N/A</v>
      </c>
      <c r="O169" s="5" t="e">
        <f t="shared" ca="1" si="73"/>
        <v>#N/A</v>
      </c>
      <c r="P169" s="5" t="e">
        <f t="shared" ca="1" si="74"/>
        <v>#N/A</v>
      </c>
      <c r="Q169" s="5" t="e">
        <f t="shared" ca="1" si="75"/>
        <v>#N/A</v>
      </c>
      <c r="R169" s="5" t="e">
        <f t="shared" ca="1" si="80"/>
        <v>#N/A</v>
      </c>
      <c r="S169" s="67" t="e">
        <f t="shared" ca="1" si="81"/>
        <v>#N/A</v>
      </c>
      <c r="T169" s="67" t="e">
        <f t="shared" ca="1" si="82"/>
        <v>#N/A</v>
      </c>
      <c r="U169" s="67" t="e">
        <f t="shared" ca="1" si="83"/>
        <v>#N/A</v>
      </c>
      <c r="V169" s="5" t="e">
        <f t="shared" ca="1" si="62"/>
        <v>#N/A</v>
      </c>
      <c r="W169" s="5" t="e">
        <f t="shared" ca="1" si="76"/>
        <v>#N/A</v>
      </c>
      <c r="X169" s="67">
        <f t="shared" ca="1" si="77"/>
        <v>0</v>
      </c>
      <c r="Y169" s="67" t="e">
        <f t="shared" ca="1" si="84"/>
        <v>#N/A</v>
      </c>
      <c r="Z169" s="67" t="e">
        <f t="shared" ca="1" si="85"/>
        <v>#N/A</v>
      </c>
      <c r="AA169" s="5" t="str">
        <f>IF(Setup!$I$15="Yes",'Demand background (hide)'!AJ157+'SPC background (hide)'!C169,"")</f>
        <v/>
      </c>
      <c r="AC169" s="5" t="e">
        <f t="shared" ca="1" si="78"/>
        <v>#N/A</v>
      </c>
      <c r="AD169" s="5" t="e">
        <f t="shared" ca="1" si="79"/>
        <v>#N/A</v>
      </c>
    </row>
    <row r="170" spans="1:30" x14ac:dyDescent="0.25">
      <c r="A170" s="67" t="str">
        <f ca="1">Demand!C167</f>
        <v/>
      </c>
      <c r="B170" s="67">
        <v>155</v>
      </c>
      <c r="C170" s="5">
        <f ca="1">'Demand background (hide)'!Y158</f>
        <v>0</v>
      </c>
      <c r="D170" s="67">
        <f t="shared" si="63"/>
        <v>0</v>
      </c>
      <c r="E170" s="67" t="e">
        <f t="shared" ca="1" si="64"/>
        <v>#N/A</v>
      </c>
      <c r="F170" s="67" t="e">
        <f t="shared" ca="1" si="65"/>
        <v>#N/A</v>
      </c>
      <c r="G170" s="67" t="e">
        <f t="shared" ca="1" si="66"/>
        <v>#N/A</v>
      </c>
      <c r="H170" s="67" t="e">
        <f>IF('Demand background (hide)'!AN158&lt;&gt;"",'SPC background (hide)'!C170,NA())</f>
        <v>#N/A</v>
      </c>
      <c r="I170" s="67" t="e">
        <f t="shared" ca="1" si="67"/>
        <v>#N/A</v>
      </c>
      <c r="J170" s="5" t="e">
        <f t="shared" ca="1" si="68"/>
        <v>#N/A</v>
      </c>
      <c r="K170" s="5" t="e">
        <f t="shared" ca="1" si="69"/>
        <v>#N/A</v>
      </c>
      <c r="L170" s="5" t="e">
        <f t="shared" ca="1" si="70"/>
        <v>#N/A</v>
      </c>
      <c r="M170" s="5" t="e">
        <f t="shared" ca="1" si="71"/>
        <v>#N/A</v>
      </c>
      <c r="N170" s="5" t="e">
        <f t="shared" ca="1" si="72"/>
        <v>#N/A</v>
      </c>
      <c r="O170" s="5" t="e">
        <f t="shared" ca="1" si="73"/>
        <v>#N/A</v>
      </c>
      <c r="P170" s="5" t="e">
        <f t="shared" ca="1" si="74"/>
        <v>#N/A</v>
      </c>
      <c r="Q170" s="5" t="e">
        <f t="shared" ca="1" si="75"/>
        <v>#N/A</v>
      </c>
      <c r="R170" s="5" t="e">
        <f t="shared" ca="1" si="80"/>
        <v>#N/A</v>
      </c>
      <c r="S170" s="67" t="e">
        <f t="shared" ca="1" si="81"/>
        <v>#N/A</v>
      </c>
      <c r="T170" s="67" t="e">
        <f t="shared" ca="1" si="82"/>
        <v>#N/A</v>
      </c>
      <c r="U170" s="67" t="e">
        <f t="shared" ca="1" si="83"/>
        <v>#N/A</v>
      </c>
      <c r="V170" s="5" t="e">
        <f t="shared" ca="1" si="62"/>
        <v>#N/A</v>
      </c>
      <c r="W170" s="5" t="e">
        <f t="shared" ca="1" si="76"/>
        <v>#N/A</v>
      </c>
      <c r="X170" s="67">
        <f t="shared" ca="1" si="77"/>
        <v>0</v>
      </c>
      <c r="Y170" s="67" t="e">
        <f t="shared" ca="1" si="84"/>
        <v>#N/A</v>
      </c>
      <c r="Z170" s="67" t="e">
        <f t="shared" ca="1" si="85"/>
        <v>#N/A</v>
      </c>
      <c r="AA170" s="5" t="str">
        <f>IF(Setup!$I$15="Yes",'Demand background (hide)'!AJ158+'SPC background (hide)'!C170,"")</f>
        <v/>
      </c>
      <c r="AC170" s="5" t="e">
        <f t="shared" ca="1" si="78"/>
        <v>#N/A</v>
      </c>
      <c r="AD170" s="5" t="e">
        <f t="shared" ca="1" si="79"/>
        <v>#N/A</v>
      </c>
    </row>
    <row r="171" spans="1:30" x14ac:dyDescent="0.25">
      <c r="A171" s="67" t="str">
        <f ca="1">Demand!C168</f>
        <v/>
      </c>
      <c r="B171" s="67">
        <v>156</v>
      </c>
      <c r="C171" s="5">
        <f ca="1">'Demand background (hide)'!Y159</f>
        <v>0</v>
      </c>
      <c r="D171" s="67">
        <f t="shared" si="63"/>
        <v>0</v>
      </c>
      <c r="E171" s="67" t="e">
        <f t="shared" ca="1" si="64"/>
        <v>#N/A</v>
      </c>
      <c r="F171" s="67" t="e">
        <f t="shared" ca="1" si="65"/>
        <v>#N/A</v>
      </c>
      <c r="G171" s="67" t="e">
        <f t="shared" ca="1" si="66"/>
        <v>#N/A</v>
      </c>
      <c r="H171" s="67" t="e">
        <f>IF('Demand background (hide)'!AN159&lt;&gt;"",'SPC background (hide)'!C171,NA())</f>
        <v>#N/A</v>
      </c>
      <c r="I171" s="67" t="e">
        <f t="shared" ca="1" si="67"/>
        <v>#N/A</v>
      </c>
      <c r="J171" s="5" t="e">
        <f t="shared" ca="1" si="68"/>
        <v>#N/A</v>
      </c>
      <c r="K171" s="5" t="e">
        <f t="shared" ca="1" si="69"/>
        <v>#N/A</v>
      </c>
      <c r="L171" s="5" t="e">
        <f t="shared" ca="1" si="70"/>
        <v>#N/A</v>
      </c>
      <c r="M171" s="5" t="e">
        <f t="shared" ca="1" si="71"/>
        <v>#N/A</v>
      </c>
      <c r="N171" s="5" t="e">
        <f t="shared" ca="1" si="72"/>
        <v>#N/A</v>
      </c>
      <c r="O171" s="5" t="e">
        <f t="shared" ca="1" si="73"/>
        <v>#N/A</v>
      </c>
      <c r="P171" s="5" t="e">
        <f t="shared" ca="1" si="74"/>
        <v>#N/A</v>
      </c>
      <c r="Q171" s="5" t="e">
        <f t="shared" ca="1" si="75"/>
        <v>#N/A</v>
      </c>
      <c r="R171" s="5" t="e">
        <f t="shared" ca="1" si="80"/>
        <v>#N/A</v>
      </c>
      <c r="S171" s="67" t="e">
        <f t="shared" ca="1" si="81"/>
        <v>#N/A</v>
      </c>
      <c r="T171" s="67" t="e">
        <f t="shared" ca="1" si="82"/>
        <v>#N/A</v>
      </c>
      <c r="U171" s="67" t="e">
        <f t="shared" ca="1" si="83"/>
        <v>#N/A</v>
      </c>
      <c r="V171" s="5" t="e">
        <f t="shared" ca="1" si="62"/>
        <v>#N/A</v>
      </c>
      <c r="W171" s="5" t="e">
        <f t="shared" ca="1" si="76"/>
        <v>#N/A</v>
      </c>
      <c r="X171" s="67">
        <f t="shared" ca="1" si="77"/>
        <v>0</v>
      </c>
      <c r="Y171" s="67" t="e">
        <f t="shared" ca="1" si="84"/>
        <v>#N/A</v>
      </c>
      <c r="Z171" s="67" t="e">
        <f t="shared" ca="1" si="85"/>
        <v>#N/A</v>
      </c>
      <c r="AA171" s="5" t="str">
        <f>IF(Setup!$I$15="Yes",'Demand background (hide)'!AJ159+'SPC background (hide)'!C171,"")</f>
        <v/>
      </c>
      <c r="AC171" s="5" t="e">
        <f t="shared" ca="1" si="78"/>
        <v>#N/A</v>
      </c>
      <c r="AD171" s="5" t="e">
        <f t="shared" ca="1" si="79"/>
        <v>#N/A</v>
      </c>
    </row>
    <row r="172" spans="1:30" x14ac:dyDescent="0.25">
      <c r="A172" s="67" t="str">
        <f ca="1">Demand!C169</f>
        <v/>
      </c>
      <c r="B172" s="67">
        <v>157</v>
      </c>
      <c r="C172" s="5">
        <f ca="1">'Demand background (hide)'!Y160</f>
        <v>0</v>
      </c>
      <c r="D172" s="67">
        <f t="shared" si="63"/>
        <v>0</v>
      </c>
      <c r="E172" s="67" t="e">
        <f t="shared" ca="1" si="64"/>
        <v>#N/A</v>
      </c>
      <c r="F172" s="67" t="e">
        <f t="shared" ca="1" si="65"/>
        <v>#N/A</v>
      </c>
      <c r="G172" s="67" t="e">
        <f t="shared" ca="1" si="66"/>
        <v>#N/A</v>
      </c>
      <c r="H172" s="67" t="e">
        <f>IF('Demand background (hide)'!AN160&lt;&gt;"",'SPC background (hide)'!C172,NA())</f>
        <v>#N/A</v>
      </c>
      <c r="I172" s="67" t="e">
        <f t="shared" ca="1" si="67"/>
        <v>#N/A</v>
      </c>
      <c r="J172" s="5" t="e">
        <f t="shared" ca="1" si="68"/>
        <v>#N/A</v>
      </c>
      <c r="K172" s="5" t="e">
        <f t="shared" ca="1" si="69"/>
        <v>#N/A</v>
      </c>
      <c r="L172" s="5" t="e">
        <f t="shared" ca="1" si="70"/>
        <v>#N/A</v>
      </c>
      <c r="M172" s="5" t="e">
        <f t="shared" ca="1" si="71"/>
        <v>#N/A</v>
      </c>
      <c r="N172" s="5" t="e">
        <f t="shared" ca="1" si="72"/>
        <v>#N/A</v>
      </c>
      <c r="O172" s="5" t="e">
        <f t="shared" ca="1" si="73"/>
        <v>#N/A</v>
      </c>
      <c r="P172" s="5" t="e">
        <f t="shared" ca="1" si="74"/>
        <v>#N/A</v>
      </c>
      <c r="Q172" s="5" t="e">
        <f t="shared" ca="1" si="75"/>
        <v>#N/A</v>
      </c>
      <c r="R172" s="5" t="e">
        <f t="shared" ca="1" si="80"/>
        <v>#N/A</v>
      </c>
      <c r="S172" s="67" t="e">
        <f t="shared" ca="1" si="81"/>
        <v>#N/A</v>
      </c>
      <c r="T172" s="67" t="e">
        <f t="shared" ca="1" si="82"/>
        <v>#N/A</v>
      </c>
      <c r="U172" s="67" t="e">
        <f t="shared" ca="1" si="83"/>
        <v>#N/A</v>
      </c>
      <c r="V172" s="5" t="e">
        <f t="shared" ca="1" si="62"/>
        <v>#N/A</v>
      </c>
      <c r="W172" s="5" t="e">
        <f t="shared" ca="1" si="76"/>
        <v>#N/A</v>
      </c>
      <c r="X172" s="67">
        <f t="shared" ca="1" si="77"/>
        <v>0</v>
      </c>
      <c r="Y172" s="67" t="e">
        <f t="shared" ca="1" si="84"/>
        <v>#N/A</v>
      </c>
      <c r="Z172" s="67" t="e">
        <f t="shared" ca="1" si="85"/>
        <v>#N/A</v>
      </c>
      <c r="AA172" s="5" t="str">
        <f>IF(Setup!$I$15="Yes",'Demand background (hide)'!AJ160+'SPC background (hide)'!C172,"")</f>
        <v/>
      </c>
      <c r="AC172" s="5" t="e">
        <f t="shared" ca="1" si="78"/>
        <v>#N/A</v>
      </c>
      <c r="AD172" s="5" t="e">
        <f t="shared" ca="1" si="79"/>
        <v>#N/A</v>
      </c>
    </row>
    <row r="173" spans="1:30" x14ac:dyDescent="0.25">
      <c r="A173" s="67" t="str">
        <f ca="1">Demand!C170</f>
        <v/>
      </c>
      <c r="B173" s="67">
        <v>158</v>
      </c>
      <c r="C173" s="5">
        <f ca="1">'Demand background (hide)'!Y161</f>
        <v>0</v>
      </c>
      <c r="D173" s="67">
        <f t="shared" si="63"/>
        <v>0</v>
      </c>
      <c r="E173" s="67" t="e">
        <f t="shared" ca="1" si="64"/>
        <v>#N/A</v>
      </c>
      <c r="F173" s="67" t="e">
        <f t="shared" ca="1" si="65"/>
        <v>#N/A</v>
      </c>
      <c r="G173" s="67" t="e">
        <f t="shared" ca="1" si="66"/>
        <v>#N/A</v>
      </c>
      <c r="H173" s="67" t="e">
        <f>IF('Demand background (hide)'!AN161&lt;&gt;"",'SPC background (hide)'!C173,NA())</f>
        <v>#N/A</v>
      </c>
      <c r="I173" s="67" t="e">
        <f t="shared" ca="1" si="67"/>
        <v>#N/A</v>
      </c>
      <c r="J173" s="5" t="e">
        <f t="shared" ca="1" si="68"/>
        <v>#N/A</v>
      </c>
      <c r="K173" s="5" t="e">
        <f t="shared" ca="1" si="69"/>
        <v>#N/A</v>
      </c>
      <c r="L173" s="5" t="e">
        <f t="shared" ca="1" si="70"/>
        <v>#N/A</v>
      </c>
      <c r="M173" s="5" t="e">
        <f t="shared" ca="1" si="71"/>
        <v>#N/A</v>
      </c>
      <c r="N173" s="5" t="e">
        <f t="shared" ca="1" si="72"/>
        <v>#N/A</v>
      </c>
      <c r="O173" s="5" t="e">
        <f t="shared" ca="1" si="73"/>
        <v>#N/A</v>
      </c>
      <c r="P173" s="5" t="e">
        <f t="shared" ca="1" si="74"/>
        <v>#N/A</v>
      </c>
      <c r="Q173" s="5" t="e">
        <f t="shared" ca="1" si="75"/>
        <v>#N/A</v>
      </c>
      <c r="R173" s="5" t="e">
        <f t="shared" ca="1" si="80"/>
        <v>#N/A</v>
      </c>
      <c r="S173" s="67" t="e">
        <f t="shared" ca="1" si="81"/>
        <v>#N/A</v>
      </c>
      <c r="T173" s="67" t="e">
        <f t="shared" ca="1" si="82"/>
        <v>#N/A</v>
      </c>
      <c r="U173" s="67" t="e">
        <f t="shared" ca="1" si="83"/>
        <v>#N/A</v>
      </c>
      <c r="V173" s="5" t="e">
        <f t="shared" ca="1" si="62"/>
        <v>#N/A</v>
      </c>
      <c r="W173" s="5" t="e">
        <f t="shared" ca="1" si="76"/>
        <v>#N/A</v>
      </c>
      <c r="X173" s="67">
        <f t="shared" ca="1" si="77"/>
        <v>0</v>
      </c>
      <c r="Y173" s="67" t="e">
        <f t="shared" ca="1" si="84"/>
        <v>#N/A</v>
      </c>
      <c r="Z173" s="67" t="e">
        <f t="shared" ca="1" si="85"/>
        <v>#N/A</v>
      </c>
      <c r="AA173" s="5" t="str">
        <f>IF(Setup!$I$15="Yes",'Demand background (hide)'!AJ161+'SPC background (hide)'!C173,"")</f>
        <v/>
      </c>
      <c r="AC173" s="5" t="e">
        <f t="shared" ca="1" si="78"/>
        <v>#N/A</v>
      </c>
      <c r="AD173" s="5" t="e">
        <f t="shared" ca="1" si="79"/>
        <v>#N/A</v>
      </c>
    </row>
    <row r="174" spans="1:30" x14ac:dyDescent="0.25">
      <c r="A174" s="67" t="str">
        <f ca="1">Demand!C171</f>
        <v/>
      </c>
      <c r="B174" s="67">
        <v>159</v>
      </c>
      <c r="C174" s="5">
        <f ca="1">'Demand background (hide)'!Y162</f>
        <v>0</v>
      </c>
      <c r="D174" s="67">
        <f t="shared" si="63"/>
        <v>0</v>
      </c>
      <c r="E174" s="67" t="e">
        <f t="shared" ca="1" si="64"/>
        <v>#N/A</v>
      </c>
      <c r="F174" s="67" t="e">
        <f t="shared" ca="1" si="65"/>
        <v>#N/A</v>
      </c>
      <c r="G174" s="67" t="e">
        <f t="shared" ca="1" si="66"/>
        <v>#N/A</v>
      </c>
      <c r="H174" s="67" t="e">
        <f>IF('Demand background (hide)'!AN162&lt;&gt;"",'SPC background (hide)'!C174,NA())</f>
        <v>#N/A</v>
      </c>
      <c r="I174" s="67" t="e">
        <f t="shared" ca="1" si="67"/>
        <v>#N/A</v>
      </c>
      <c r="J174" s="5" t="e">
        <f t="shared" ca="1" si="68"/>
        <v>#N/A</v>
      </c>
      <c r="K174" s="5" t="e">
        <f t="shared" ca="1" si="69"/>
        <v>#N/A</v>
      </c>
      <c r="L174" s="5" t="e">
        <f t="shared" ca="1" si="70"/>
        <v>#N/A</v>
      </c>
      <c r="M174" s="5" t="e">
        <f t="shared" ca="1" si="71"/>
        <v>#N/A</v>
      </c>
      <c r="N174" s="5" t="e">
        <f t="shared" ca="1" si="72"/>
        <v>#N/A</v>
      </c>
      <c r="O174" s="5" t="e">
        <f t="shared" ca="1" si="73"/>
        <v>#N/A</v>
      </c>
      <c r="P174" s="5" t="e">
        <f t="shared" ca="1" si="74"/>
        <v>#N/A</v>
      </c>
      <c r="Q174" s="5" t="e">
        <f t="shared" ca="1" si="75"/>
        <v>#N/A</v>
      </c>
      <c r="R174" s="5" t="e">
        <f t="shared" ca="1" si="80"/>
        <v>#N/A</v>
      </c>
      <c r="S174" s="67" t="e">
        <f t="shared" ca="1" si="81"/>
        <v>#N/A</v>
      </c>
      <c r="T174" s="67" t="e">
        <f t="shared" ca="1" si="82"/>
        <v>#N/A</v>
      </c>
      <c r="U174" s="67" t="e">
        <f t="shared" ca="1" si="83"/>
        <v>#N/A</v>
      </c>
      <c r="V174" s="5" t="e">
        <f t="shared" ca="1" si="62"/>
        <v>#N/A</v>
      </c>
      <c r="W174" s="5" t="e">
        <f t="shared" ca="1" si="76"/>
        <v>#N/A</v>
      </c>
      <c r="X174" s="67">
        <f t="shared" ca="1" si="77"/>
        <v>0</v>
      </c>
      <c r="Y174" s="67" t="e">
        <f t="shared" ca="1" si="84"/>
        <v>#N/A</v>
      </c>
      <c r="Z174" s="67" t="e">
        <f t="shared" ca="1" si="85"/>
        <v>#N/A</v>
      </c>
      <c r="AA174" s="5" t="str">
        <f>IF(Setup!$I$15="Yes",'Demand background (hide)'!AJ162+'SPC background (hide)'!C174,"")</f>
        <v/>
      </c>
      <c r="AC174" s="5" t="e">
        <f t="shared" ca="1" si="78"/>
        <v>#N/A</v>
      </c>
      <c r="AD174" s="5" t="e">
        <f t="shared" ca="1" si="79"/>
        <v>#N/A</v>
      </c>
    </row>
    <row r="175" spans="1:30" x14ac:dyDescent="0.25">
      <c r="A175" s="67" t="str">
        <f ca="1">Demand!C172</f>
        <v/>
      </c>
      <c r="B175" s="67">
        <v>160</v>
      </c>
      <c r="C175" s="5">
        <f ca="1">'Demand background (hide)'!Y163</f>
        <v>0</v>
      </c>
      <c r="D175" s="67">
        <f t="shared" si="63"/>
        <v>0</v>
      </c>
      <c r="E175" s="67" t="e">
        <f t="shared" ca="1" si="64"/>
        <v>#N/A</v>
      </c>
      <c r="F175" s="67" t="e">
        <f t="shared" ca="1" si="65"/>
        <v>#N/A</v>
      </c>
      <c r="G175" s="67" t="e">
        <f t="shared" ca="1" si="66"/>
        <v>#N/A</v>
      </c>
      <c r="H175" s="67" t="e">
        <f>IF('Demand background (hide)'!AN163&lt;&gt;"",'SPC background (hide)'!C175,NA())</f>
        <v>#N/A</v>
      </c>
      <c r="I175" s="67" t="e">
        <f t="shared" ca="1" si="67"/>
        <v>#N/A</v>
      </c>
      <c r="J175" s="5" t="e">
        <f t="shared" ca="1" si="68"/>
        <v>#N/A</v>
      </c>
      <c r="K175" s="5" t="e">
        <f t="shared" ca="1" si="69"/>
        <v>#N/A</v>
      </c>
      <c r="L175" s="5" t="e">
        <f t="shared" ca="1" si="70"/>
        <v>#N/A</v>
      </c>
      <c r="M175" s="5" t="e">
        <f t="shared" ca="1" si="71"/>
        <v>#N/A</v>
      </c>
      <c r="N175" s="5" t="e">
        <f t="shared" ca="1" si="72"/>
        <v>#N/A</v>
      </c>
      <c r="O175" s="5" t="e">
        <f t="shared" ca="1" si="73"/>
        <v>#N/A</v>
      </c>
      <c r="P175" s="5" t="e">
        <f t="shared" ca="1" si="74"/>
        <v>#N/A</v>
      </c>
      <c r="Q175" s="5" t="e">
        <f t="shared" ca="1" si="75"/>
        <v>#N/A</v>
      </c>
      <c r="R175" s="5" t="e">
        <f t="shared" ca="1" si="80"/>
        <v>#N/A</v>
      </c>
      <c r="S175" s="67" t="e">
        <f t="shared" ca="1" si="81"/>
        <v>#N/A</v>
      </c>
      <c r="T175" s="67" t="e">
        <f t="shared" ca="1" si="82"/>
        <v>#N/A</v>
      </c>
      <c r="U175" s="67" t="e">
        <f t="shared" ca="1" si="83"/>
        <v>#N/A</v>
      </c>
      <c r="V175" s="5" t="e">
        <f t="shared" ca="1" si="62"/>
        <v>#N/A</v>
      </c>
      <c r="W175" s="5" t="e">
        <f t="shared" ca="1" si="76"/>
        <v>#N/A</v>
      </c>
      <c r="X175" s="67">
        <f t="shared" ca="1" si="77"/>
        <v>0</v>
      </c>
      <c r="Y175" s="67" t="e">
        <f t="shared" ca="1" si="84"/>
        <v>#N/A</v>
      </c>
      <c r="Z175" s="67" t="e">
        <f t="shared" ca="1" si="85"/>
        <v>#N/A</v>
      </c>
      <c r="AA175" s="5" t="str">
        <f>IF(Setup!$I$15="Yes",'Demand background (hide)'!AJ163+'SPC background (hide)'!C175,"")</f>
        <v/>
      </c>
      <c r="AC175" s="5" t="e">
        <f t="shared" ca="1" si="78"/>
        <v>#N/A</v>
      </c>
      <c r="AD175" s="5" t="e">
        <f t="shared" ca="1" si="79"/>
        <v>#N/A</v>
      </c>
    </row>
    <row r="176" spans="1:30" x14ac:dyDescent="0.25">
      <c r="A176" s="67" t="str">
        <f ca="1">Demand!C173</f>
        <v/>
      </c>
      <c r="B176" s="67">
        <v>161</v>
      </c>
      <c r="C176" s="5">
        <f ca="1">'Demand background (hide)'!Y164</f>
        <v>0</v>
      </c>
      <c r="D176" s="67">
        <f t="shared" si="63"/>
        <v>0</v>
      </c>
      <c r="E176" s="67" t="e">
        <f t="shared" ca="1" si="64"/>
        <v>#N/A</v>
      </c>
      <c r="F176" s="67" t="e">
        <f t="shared" ca="1" si="65"/>
        <v>#N/A</v>
      </c>
      <c r="G176" s="67" t="e">
        <f t="shared" ca="1" si="66"/>
        <v>#N/A</v>
      </c>
      <c r="H176" s="67" t="e">
        <f>IF('Demand background (hide)'!AN164&lt;&gt;"",'SPC background (hide)'!C176,NA())</f>
        <v>#N/A</v>
      </c>
      <c r="I176" s="67" t="e">
        <f t="shared" ca="1" si="67"/>
        <v>#N/A</v>
      </c>
      <c r="J176" s="5" t="e">
        <f t="shared" ca="1" si="68"/>
        <v>#N/A</v>
      </c>
      <c r="K176" s="5" t="e">
        <f t="shared" ca="1" si="69"/>
        <v>#N/A</v>
      </c>
      <c r="L176" s="5" t="e">
        <f t="shared" ca="1" si="70"/>
        <v>#N/A</v>
      </c>
      <c r="M176" s="5" t="e">
        <f t="shared" ca="1" si="71"/>
        <v>#N/A</v>
      </c>
      <c r="N176" s="5" t="e">
        <f t="shared" ca="1" si="72"/>
        <v>#N/A</v>
      </c>
      <c r="O176" s="5" t="e">
        <f t="shared" ca="1" si="73"/>
        <v>#N/A</v>
      </c>
      <c r="P176" s="5" t="e">
        <f t="shared" ca="1" si="74"/>
        <v>#N/A</v>
      </c>
      <c r="Q176" s="5" t="e">
        <f t="shared" ca="1" si="75"/>
        <v>#N/A</v>
      </c>
      <c r="R176" s="5" t="e">
        <f t="shared" ca="1" si="80"/>
        <v>#N/A</v>
      </c>
      <c r="S176" s="67" t="e">
        <f t="shared" ca="1" si="81"/>
        <v>#N/A</v>
      </c>
      <c r="T176" s="67" t="e">
        <f t="shared" ca="1" si="82"/>
        <v>#N/A</v>
      </c>
      <c r="U176" s="67" t="e">
        <f t="shared" ca="1" si="83"/>
        <v>#N/A</v>
      </c>
      <c r="V176" s="5" t="e">
        <f t="shared" ca="1" si="62"/>
        <v>#N/A</v>
      </c>
      <c r="W176" s="5" t="e">
        <f t="shared" ca="1" si="76"/>
        <v>#N/A</v>
      </c>
      <c r="X176" s="67">
        <f t="shared" ca="1" si="77"/>
        <v>0</v>
      </c>
      <c r="Y176" s="67" t="e">
        <f t="shared" ca="1" si="84"/>
        <v>#N/A</v>
      </c>
      <c r="Z176" s="67" t="e">
        <f t="shared" ca="1" si="85"/>
        <v>#N/A</v>
      </c>
      <c r="AA176" s="5" t="str">
        <f>IF(Setup!$I$15="Yes",'Demand background (hide)'!AJ164+'SPC background (hide)'!C176,"")</f>
        <v/>
      </c>
      <c r="AC176" s="5" t="e">
        <f t="shared" ca="1" si="78"/>
        <v>#N/A</v>
      </c>
      <c r="AD176" s="5" t="e">
        <f t="shared" ca="1" si="79"/>
        <v>#N/A</v>
      </c>
    </row>
    <row r="177" spans="1:30" x14ac:dyDescent="0.25">
      <c r="A177" s="67" t="str">
        <f ca="1">Demand!C174</f>
        <v/>
      </c>
      <c r="B177" s="67">
        <v>162</v>
      </c>
      <c r="C177" s="5">
        <f ca="1">'Demand background (hide)'!Y165</f>
        <v>0</v>
      </c>
      <c r="D177" s="67">
        <f t="shared" si="63"/>
        <v>0</v>
      </c>
      <c r="E177" s="67" t="e">
        <f t="shared" ca="1" si="64"/>
        <v>#N/A</v>
      </c>
      <c r="F177" s="67" t="e">
        <f t="shared" ca="1" si="65"/>
        <v>#N/A</v>
      </c>
      <c r="G177" s="67" t="e">
        <f t="shared" ca="1" si="66"/>
        <v>#N/A</v>
      </c>
      <c r="H177" s="67" t="e">
        <f>IF('Demand background (hide)'!AN165&lt;&gt;"",'SPC background (hide)'!C177,NA())</f>
        <v>#N/A</v>
      </c>
      <c r="I177" s="67" t="e">
        <f t="shared" ca="1" si="67"/>
        <v>#N/A</v>
      </c>
      <c r="J177" s="5" t="e">
        <f t="shared" ca="1" si="68"/>
        <v>#N/A</v>
      </c>
      <c r="K177" s="5" t="e">
        <f t="shared" ca="1" si="69"/>
        <v>#N/A</v>
      </c>
      <c r="L177" s="5" t="e">
        <f t="shared" ca="1" si="70"/>
        <v>#N/A</v>
      </c>
      <c r="M177" s="5" t="e">
        <f t="shared" ca="1" si="71"/>
        <v>#N/A</v>
      </c>
      <c r="N177" s="5" t="e">
        <f t="shared" ca="1" si="72"/>
        <v>#N/A</v>
      </c>
      <c r="O177" s="5" t="e">
        <f t="shared" ca="1" si="73"/>
        <v>#N/A</v>
      </c>
      <c r="P177" s="5" t="e">
        <f t="shared" ca="1" si="74"/>
        <v>#N/A</v>
      </c>
      <c r="Q177" s="5" t="e">
        <f t="shared" ca="1" si="75"/>
        <v>#N/A</v>
      </c>
      <c r="R177" s="5" t="e">
        <f t="shared" ca="1" si="80"/>
        <v>#N/A</v>
      </c>
      <c r="S177" s="67" t="e">
        <f t="shared" ca="1" si="81"/>
        <v>#N/A</v>
      </c>
      <c r="T177" s="67" t="e">
        <f t="shared" ca="1" si="82"/>
        <v>#N/A</v>
      </c>
      <c r="U177" s="67" t="e">
        <f t="shared" ca="1" si="83"/>
        <v>#N/A</v>
      </c>
      <c r="V177" s="5" t="e">
        <f t="shared" ca="1" si="62"/>
        <v>#N/A</v>
      </c>
      <c r="W177" s="5" t="e">
        <f t="shared" ca="1" si="76"/>
        <v>#N/A</v>
      </c>
      <c r="X177" s="67">
        <f t="shared" ca="1" si="77"/>
        <v>0</v>
      </c>
      <c r="Y177" s="67" t="e">
        <f t="shared" ca="1" si="84"/>
        <v>#N/A</v>
      </c>
      <c r="Z177" s="67" t="e">
        <f t="shared" ca="1" si="85"/>
        <v>#N/A</v>
      </c>
      <c r="AA177" s="5" t="str">
        <f>IF(Setup!$I$15="Yes",'Demand background (hide)'!AJ165+'SPC background (hide)'!C177,"")</f>
        <v/>
      </c>
      <c r="AC177" s="5" t="e">
        <f t="shared" ca="1" si="78"/>
        <v>#N/A</v>
      </c>
      <c r="AD177" s="5" t="e">
        <f t="shared" ca="1" si="79"/>
        <v>#N/A</v>
      </c>
    </row>
    <row r="178" spans="1:30" x14ac:dyDescent="0.25">
      <c r="A178" s="67" t="str">
        <f ca="1">Demand!C175</f>
        <v/>
      </c>
      <c r="B178" s="67">
        <v>163</v>
      </c>
      <c r="C178" s="5">
        <f ca="1">'Demand background (hide)'!Y166</f>
        <v>0</v>
      </c>
      <c r="D178" s="67">
        <f t="shared" si="63"/>
        <v>0</v>
      </c>
      <c r="E178" s="67" t="e">
        <f t="shared" ca="1" si="64"/>
        <v>#N/A</v>
      </c>
      <c r="F178" s="67" t="e">
        <f t="shared" ca="1" si="65"/>
        <v>#N/A</v>
      </c>
      <c r="G178" s="67" t="e">
        <f t="shared" ca="1" si="66"/>
        <v>#N/A</v>
      </c>
      <c r="H178" s="67" t="e">
        <f>IF('Demand background (hide)'!AN166&lt;&gt;"",'SPC background (hide)'!C178,NA())</f>
        <v>#N/A</v>
      </c>
      <c r="I178" s="67" t="e">
        <f t="shared" ca="1" si="67"/>
        <v>#N/A</v>
      </c>
      <c r="J178" s="5" t="e">
        <f t="shared" ca="1" si="68"/>
        <v>#N/A</v>
      </c>
      <c r="K178" s="5" t="e">
        <f t="shared" ca="1" si="69"/>
        <v>#N/A</v>
      </c>
      <c r="L178" s="5" t="e">
        <f t="shared" ca="1" si="70"/>
        <v>#N/A</v>
      </c>
      <c r="M178" s="5" t="e">
        <f t="shared" ca="1" si="71"/>
        <v>#N/A</v>
      </c>
      <c r="N178" s="5" t="e">
        <f t="shared" ca="1" si="72"/>
        <v>#N/A</v>
      </c>
      <c r="O178" s="5" t="e">
        <f t="shared" ca="1" si="73"/>
        <v>#N/A</v>
      </c>
      <c r="P178" s="5" t="e">
        <f t="shared" ca="1" si="74"/>
        <v>#N/A</v>
      </c>
      <c r="Q178" s="5" t="e">
        <f t="shared" ca="1" si="75"/>
        <v>#N/A</v>
      </c>
      <c r="R178" s="5" t="e">
        <f t="shared" ca="1" si="80"/>
        <v>#N/A</v>
      </c>
      <c r="S178" s="67" t="e">
        <f t="shared" ca="1" si="81"/>
        <v>#N/A</v>
      </c>
      <c r="T178" s="67" t="e">
        <f t="shared" ca="1" si="82"/>
        <v>#N/A</v>
      </c>
      <c r="U178" s="67" t="e">
        <f t="shared" ca="1" si="83"/>
        <v>#N/A</v>
      </c>
      <c r="V178" s="5" t="e">
        <f t="shared" ca="1" si="62"/>
        <v>#N/A</v>
      </c>
      <c r="W178" s="5" t="e">
        <f t="shared" ca="1" si="76"/>
        <v>#N/A</v>
      </c>
      <c r="X178" s="67">
        <f t="shared" ca="1" si="77"/>
        <v>0</v>
      </c>
      <c r="Y178" s="67" t="e">
        <f t="shared" ca="1" si="84"/>
        <v>#N/A</v>
      </c>
      <c r="Z178" s="67" t="e">
        <f t="shared" ca="1" si="85"/>
        <v>#N/A</v>
      </c>
      <c r="AA178" s="5" t="str">
        <f>IF(Setup!$I$15="Yes",'Demand background (hide)'!AJ166+'SPC background (hide)'!C178,"")</f>
        <v/>
      </c>
      <c r="AC178" s="5" t="e">
        <f t="shared" ca="1" si="78"/>
        <v>#N/A</v>
      </c>
      <c r="AD178" s="5" t="e">
        <f t="shared" ca="1" si="79"/>
        <v>#N/A</v>
      </c>
    </row>
    <row r="179" spans="1:30" x14ac:dyDescent="0.25">
      <c r="A179" s="67" t="str">
        <f ca="1">Demand!C176</f>
        <v/>
      </c>
      <c r="B179" s="67">
        <v>164</v>
      </c>
      <c r="C179" s="5">
        <f ca="1">'Demand background (hide)'!Y167</f>
        <v>0</v>
      </c>
      <c r="D179" s="67">
        <f t="shared" si="63"/>
        <v>0</v>
      </c>
      <c r="E179" s="67" t="e">
        <f t="shared" ca="1" si="64"/>
        <v>#N/A</v>
      </c>
      <c r="F179" s="67" t="e">
        <f t="shared" ca="1" si="65"/>
        <v>#N/A</v>
      </c>
      <c r="G179" s="67" t="e">
        <f t="shared" ca="1" si="66"/>
        <v>#N/A</v>
      </c>
      <c r="H179" s="67" t="e">
        <f>IF('Demand background (hide)'!AN167&lt;&gt;"",'SPC background (hide)'!C179,NA())</f>
        <v>#N/A</v>
      </c>
      <c r="I179" s="67" t="e">
        <f t="shared" ca="1" si="67"/>
        <v>#N/A</v>
      </c>
      <c r="J179" s="5" t="e">
        <f t="shared" ca="1" si="68"/>
        <v>#N/A</v>
      </c>
      <c r="K179" s="5" t="e">
        <f t="shared" ca="1" si="69"/>
        <v>#N/A</v>
      </c>
      <c r="L179" s="5" t="e">
        <f t="shared" ca="1" si="70"/>
        <v>#N/A</v>
      </c>
      <c r="M179" s="5" t="e">
        <f t="shared" ca="1" si="71"/>
        <v>#N/A</v>
      </c>
      <c r="N179" s="5" t="e">
        <f t="shared" ca="1" si="72"/>
        <v>#N/A</v>
      </c>
      <c r="O179" s="5" t="e">
        <f t="shared" ca="1" si="73"/>
        <v>#N/A</v>
      </c>
      <c r="P179" s="5" t="e">
        <f t="shared" ca="1" si="74"/>
        <v>#N/A</v>
      </c>
      <c r="Q179" s="5" t="e">
        <f t="shared" ca="1" si="75"/>
        <v>#N/A</v>
      </c>
      <c r="R179" s="5" t="e">
        <f t="shared" ca="1" si="80"/>
        <v>#N/A</v>
      </c>
      <c r="S179" s="67" t="e">
        <f t="shared" ca="1" si="81"/>
        <v>#N/A</v>
      </c>
      <c r="T179" s="67" t="e">
        <f t="shared" ca="1" si="82"/>
        <v>#N/A</v>
      </c>
      <c r="U179" s="67" t="e">
        <f t="shared" ca="1" si="83"/>
        <v>#N/A</v>
      </c>
      <c r="V179" s="5" t="e">
        <f t="shared" ca="1" si="62"/>
        <v>#N/A</v>
      </c>
      <c r="W179" s="5" t="e">
        <f t="shared" ca="1" si="76"/>
        <v>#N/A</v>
      </c>
      <c r="X179" s="67">
        <f t="shared" ca="1" si="77"/>
        <v>0</v>
      </c>
      <c r="Y179" s="67" t="e">
        <f t="shared" ca="1" si="84"/>
        <v>#N/A</v>
      </c>
      <c r="Z179" s="67" t="e">
        <f t="shared" ca="1" si="85"/>
        <v>#N/A</v>
      </c>
      <c r="AA179" s="5" t="str">
        <f>IF(Setup!$I$15="Yes",'Demand background (hide)'!AJ167+'SPC background (hide)'!C179,"")</f>
        <v/>
      </c>
      <c r="AC179" s="5" t="e">
        <f t="shared" ca="1" si="78"/>
        <v>#N/A</v>
      </c>
      <c r="AD179" s="5" t="e">
        <f t="shared" ca="1" si="79"/>
        <v>#N/A</v>
      </c>
    </row>
    <row r="180" spans="1:30" x14ac:dyDescent="0.25">
      <c r="A180" s="67" t="str">
        <f ca="1">Demand!C177</f>
        <v/>
      </c>
      <c r="B180" s="67">
        <v>165</v>
      </c>
      <c r="C180" s="5">
        <f ca="1">'Demand background (hide)'!Y168</f>
        <v>0</v>
      </c>
      <c r="D180" s="67">
        <f t="shared" si="63"/>
        <v>0</v>
      </c>
      <c r="E180" s="67" t="e">
        <f t="shared" ca="1" si="64"/>
        <v>#N/A</v>
      </c>
      <c r="F180" s="67" t="e">
        <f t="shared" ca="1" si="65"/>
        <v>#N/A</v>
      </c>
      <c r="G180" s="67" t="e">
        <f t="shared" ca="1" si="66"/>
        <v>#N/A</v>
      </c>
      <c r="H180" s="67" t="e">
        <f>IF('Demand background (hide)'!AN168&lt;&gt;"",'SPC background (hide)'!C180,NA())</f>
        <v>#N/A</v>
      </c>
      <c r="I180" s="67" t="e">
        <f t="shared" ca="1" si="67"/>
        <v>#N/A</v>
      </c>
      <c r="J180" s="5" t="e">
        <f t="shared" ca="1" si="68"/>
        <v>#N/A</v>
      </c>
      <c r="K180" s="5" t="e">
        <f t="shared" ca="1" si="69"/>
        <v>#N/A</v>
      </c>
      <c r="L180" s="5" t="e">
        <f t="shared" ca="1" si="70"/>
        <v>#N/A</v>
      </c>
      <c r="M180" s="5" t="e">
        <f t="shared" ca="1" si="71"/>
        <v>#N/A</v>
      </c>
      <c r="N180" s="5" t="e">
        <f t="shared" ca="1" si="72"/>
        <v>#N/A</v>
      </c>
      <c r="O180" s="5" t="e">
        <f t="shared" ca="1" si="73"/>
        <v>#N/A</v>
      </c>
      <c r="P180" s="5" t="e">
        <f t="shared" ca="1" si="74"/>
        <v>#N/A</v>
      </c>
      <c r="Q180" s="5" t="e">
        <f t="shared" ca="1" si="75"/>
        <v>#N/A</v>
      </c>
      <c r="R180" s="5" t="e">
        <f t="shared" ca="1" si="80"/>
        <v>#N/A</v>
      </c>
      <c r="S180" s="67" t="e">
        <f t="shared" ca="1" si="81"/>
        <v>#N/A</v>
      </c>
      <c r="T180" s="67" t="e">
        <f t="shared" ca="1" si="82"/>
        <v>#N/A</v>
      </c>
      <c r="U180" s="67" t="e">
        <f t="shared" ca="1" si="83"/>
        <v>#N/A</v>
      </c>
      <c r="V180" s="5" t="e">
        <f t="shared" ca="1" si="62"/>
        <v>#N/A</v>
      </c>
      <c r="W180" s="5" t="e">
        <f t="shared" ca="1" si="76"/>
        <v>#N/A</v>
      </c>
      <c r="X180" s="67">
        <f t="shared" ca="1" si="77"/>
        <v>0</v>
      </c>
      <c r="Y180" s="67" t="e">
        <f t="shared" ca="1" si="84"/>
        <v>#N/A</v>
      </c>
      <c r="Z180" s="67" t="e">
        <f t="shared" ca="1" si="85"/>
        <v>#N/A</v>
      </c>
      <c r="AA180" s="5" t="str">
        <f>IF(Setup!$I$15="Yes",'Demand background (hide)'!AJ168+'SPC background (hide)'!C180,"")</f>
        <v/>
      </c>
      <c r="AC180" s="5" t="e">
        <f t="shared" ca="1" si="78"/>
        <v>#N/A</v>
      </c>
      <c r="AD180" s="5" t="e">
        <f t="shared" ca="1" si="79"/>
        <v>#N/A</v>
      </c>
    </row>
    <row r="181" spans="1:30" x14ac:dyDescent="0.25">
      <c r="A181" s="67" t="str">
        <f ca="1">Demand!C178</f>
        <v/>
      </c>
      <c r="B181" s="67">
        <v>166</v>
      </c>
      <c r="C181" s="5">
        <f ca="1">'Demand background (hide)'!Y169</f>
        <v>0</v>
      </c>
      <c r="D181" s="67">
        <f t="shared" si="63"/>
        <v>0</v>
      </c>
      <c r="E181" s="67" t="e">
        <f t="shared" ca="1" si="64"/>
        <v>#N/A</v>
      </c>
      <c r="F181" s="67" t="e">
        <f t="shared" ca="1" si="65"/>
        <v>#N/A</v>
      </c>
      <c r="G181" s="67" t="e">
        <f t="shared" ca="1" si="66"/>
        <v>#N/A</v>
      </c>
      <c r="H181" s="67" t="e">
        <f>IF('Demand background (hide)'!AN169&lt;&gt;"",'SPC background (hide)'!C181,NA())</f>
        <v>#N/A</v>
      </c>
      <c r="I181" s="67" t="e">
        <f t="shared" ca="1" si="67"/>
        <v>#N/A</v>
      </c>
      <c r="J181" s="5" t="e">
        <f t="shared" ca="1" si="68"/>
        <v>#N/A</v>
      </c>
      <c r="K181" s="5" t="e">
        <f t="shared" ca="1" si="69"/>
        <v>#N/A</v>
      </c>
      <c r="L181" s="5" t="e">
        <f t="shared" ca="1" si="70"/>
        <v>#N/A</v>
      </c>
      <c r="M181" s="5" t="e">
        <f t="shared" ca="1" si="71"/>
        <v>#N/A</v>
      </c>
      <c r="N181" s="5" t="e">
        <f t="shared" ca="1" si="72"/>
        <v>#N/A</v>
      </c>
      <c r="O181" s="5" t="e">
        <f t="shared" ca="1" si="73"/>
        <v>#N/A</v>
      </c>
      <c r="P181" s="5" t="e">
        <f t="shared" ca="1" si="74"/>
        <v>#N/A</v>
      </c>
      <c r="Q181" s="5" t="e">
        <f t="shared" ca="1" si="75"/>
        <v>#N/A</v>
      </c>
      <c r="R181" s="5" t="e">
        <f t="shared" ca="1" si="80"/>
        <v>#N/A</v>
      </c>
      <c r="S181" s="67" t="e">
        <f t="shared" ca="1" si="81"/>
        <v>#N/A</v>
      </c>
      <c r="T181" s="67" t="e">
        <f t="shared" ca="1" si="82"/>
        <v>#N/A</v>
      </c>
      <c r="U181" s="67" t="e">
        <f t="shared" ca="1" si="83"/>
        <v>#N/A</v>
      </c>
      <c r="V181" s="5" t="e">
        <f t="shared" ca="1" si="62"/>
        <v>#N/A</v>
      </c>
      <c r="W181" s="5" t="e">
        <f t="shared" ca="1" si="76"/>
        <v>#N/A</v>
      </c>
      <c r="X181" s="67">
        <f t="shared" ca="1" si="77"/>
        <v>0</v>
      </c>
      <c r="Y181" s="67" t="e">
        <f t="shared" ca="1" si="84"/>
        <v>#N/A</v>
      </c>
      <c r="Z181" s="67" t="e">
        <f t="shared" ca="1" si="85"/>
        <v>#N/A</v>
      </c>
      <c r="AA181" s="5" t="str">
        <f>IF(Setup!$I$15="Yes",'Demand background (hide)'!AJ169+'SPC background (hide)'!C181,"")</f>
        <v/>
      </c>
      <c r="AC181" s="5" t="e">
        <f t="shared" ca="1" si="78"/>
        <v>#N/A</v>
      </c>
      <c r="AD181" s="5" t="e">
        <f t="shared" ca="1" si="79"/>
        <v>#N/A</v>
      </c>
    </row>
    <row r="182" spans="1:30" x14ac:dyDescent="0.25">
      <c r="A182" s="67" t="str">
        <f ca="1">Demand!C179</f>
        <v/>
      </c>
      <c r="B182" s="67">
        <v>167</v>
      </c>
      <c r="C182" s="5">
        <f ca="1">'Demand background (hide)'!Y170</f>
        <v>0</v>
      </c>
      <c r="D182" s="67">
        <f t="shared" si="63"/>
        <v>0</v>
      </c>
      <c r="E182" s="67" t="e">
        <f t="shared" ca="1" si="64"/>
        <v>#N/A</v>
      </c>
      <c r="F182" s="67" t="e">
        <f t="shared" ca="1" si="65"/>
        <v>#N/A</v>
      </c>
      <c r="G182" s="67" t="e">
        <f t="shared" ca="1" si="66"/>
        <v>#N/A</v>
      </c>
      <c r="H182" s="67" t="e">
        <f>IF('Demand background (hide)'!AN170&lt;&gt;"",'SPC background (hide)'!C182,NA())</f>
        <v>#N/A</v>
      </c>
      <c r="I182" s="67" t="e">
        <f t="shared" ca="1" si="67"/>
        <v>#N/A</v>
      </c>
      <c r="J182" s="5" t="e">
        <f t="shared" ca="1" si="68"/>
        <v>#N/A</v>
      </c>
      <c r="K182" s="5" t="e">
        <f t="shared" ca="1" si="69"/>
        <v>#N/A</v>
      </c>
      <c r="L182" s="5" t="e">
        <f t="shared" ca="1" si="70"/>
        <v>#N/A</v>
      </c>
      <c r="M182" s="5" t="e">
        <f t="shared" ca="1" si="71"/>
        <v>#N/A</v>
      </c>
      <c r="N182" s="5" t="e">
        <f t="shared" ca="1" si="72"/>
        <v>#N/A</v>
      </c>
      <c r="O182" s="5" t="e">
        <f t="shared" ca="1" si="73"/>
        <v>#N/A</v>
      </c>
      <c r="P182" s="5" t="e">
        <f t="shared" ca="1" si="74"/>
        <v>#N/A</v>
      </c>
      <c r="Q182" s="5" t="e">
        <f t="shared" ca="1" si="75"/>
        <v>#N/A</v>
      </c>
      <c r="R182" s="5" t="e">
        <f t="shared" ca="1" si="80"/>
        <v>#N/A</v>
      </c>
      <c r="S182" s="67" t="e">
        <f t="shared" ca="1" si="81"/>
        <v>#N/A</v>
      </c>
      <c r="T182" s="67" t="e">
        <f t="shared" ca="1" si="82"/>
        <v>#N/A</v>
      </c>
      <c r="U182" s="67" t="e">
        <f t="shared" ca="1" si="83"/>
        <v>#N/A</v>
      </c>
      <c r="V182" s="5" t="e">
        <f t="shared" ca="1" si="62"/>
        <v>#N/A</v>
      </c>
      <c r="W182" s="5" t="e">
        <f t="shared" ca="1" si="76"/>
        <v>#N/A</v>
      </c>
      <c r="X182" s="67">
        <f t="shared" ca="1" si="77"/>
        <v>0</v>
      </c>
      <c r="Y182" s="67" t="e">
        <f t="shared" ca="1" si="84"/>
        <v>#N/A</v>
      </c>
      <c r="Z182" s="67" t="e">
        <f t="shared" ca="1" si="85"/>
        <v>#N/A</v>
      </c>
      <c r="AA182" s="5" t="str">
        <f>IF(Setup!$I$15="Yes",'Demand background (hide)'!AJ170+'SPC background (hide)'!C182,"")</f>
        <v/>
      </c>
      <c r="AC182" s="5" t="e">
        <f t="shared" ca="1" si="78"/>
        <v>#N/A</v>
      </c>
      <c r="AD182" s="5" t="e">
        <f t="shared" ca="1" si="79"/>
        <v>#N/A</v>
      </c>
    </row>
    <row r="183" spans="1:30" x14ac:dyDescent="0.25">
      <c r="A183" s="67" t="str">
        <f ca="1">Demand!C180</f>
        <v/>
      </c>
      <c r="B183" s="67">
        <v>168</v>
      </c>
      <c r="C183" s="5">
        <f ca="1">'Demand background (hide)'!Y171</f>
        <v>0</v>
      </c>
      <c r="D183" s="67">
        <f t="shared" si="63"/>
        <v>0</v>
      </c>
      <c r="E183" s="67" t="e">
        <f t="shared" ca="1" si="64"/>
        <v>#N/A</v>
      </c>
      <c r="F183" s="67" t="e">
        <f t="shared" ca="1" si="65"/>
        <v>#N/A</v>
      </c>
      <c r="G183" s="67" t="e">
        <f t="shared" ca="1" si="66"/>
        <v>#N/A</v>
      </c>
      <c r="H183" s="67" t="e">
        <f>IF('Demand background (hide)'!AN171&lt;&gt;"",'SPC background (hide)'!C183,NA())</f>
        <v>#N/A</v>
      </c>
      <c r="I183" s="67" t="e">
        <f t="shared" ca="1" si="67"/>
        <v>#N/A</v>
      </c>
      <c r="J183" s="5" t="e">
        <f t="shared" ca="1" si="68"/>
        <v>#N/A</v>
      </c>
      <c r="K183" s="5" t="e">
        <f t="shared" ca="1" si="69"/>
        <v>#N/A</v>
      </c>
      <c r="L183" s="5" t="e">
        <f t="shared" ca="1" si="70"/>
        <v>#N/A</v>
      </c>
      <c r="M183" s="5" t="e">
        <f t="shared" ca="1" si="71"/>
        <v>#N/A</v>
      </c>
      <c r="N183" s="5" t="e">
        <f t="shared" ca="1" si="72"/>
        <v>#N/A</v>
      </c>
      <c r="O183" s="5" t="e">
        <f t="shared" ca="1" si="73"/>
        <v>#N/A</v>
      </c>
      <c r="P183" s="5" t="e">
        <f t="shared" ca="1" si="74"/>
        <v>#N/A</v>
      </c>
      <c r="Q183" s="5" t="e">
        <f t="shared" ca="1" si="75"/>
        <v>#N/A</v>
      </c>
      <c r="R183" s="5" t="e">
        <f t="shared" ca="1" si="80"/>
        <v>#N/A</v>
      </c>
      <c r="S183" s="67" t="e">
        <f t="shared" ca="1" si="81"/>
        <v>#N/A</v>
      </c>
      <c r="T183" s="67" t="e">
        <f t="shared" ca="1" si="82"/>
        <v>#N/A</v>
      </c>
      <c r="U183" s="67" t="e">
        <f t="shared" ca="1" si="83"/>
        <v>#N/A</v>
      </c>
      <c r="V183" s="5" t="e">
        <f t="shared" ca="1" si="62"/>
        <v>#N/A</v>
      </c>
      <c r="W183" s="5" t="e">
        <f t="shared" ca="1" si="76"/>
        <v>#N/A</v>
      </c>
      <c r="X183" s="67">
        <f t="shared" ca="1" si="77"/>
        <v>0</v>
      </c>
      <c r="Y183" s="67" t="e">
        <f t="shared" ca="1" si="84"/>
        <v>#N/A</v>
      </c>
      <c r="Z183" s="67" t="e">
        <f t="shared" ca="1" si="85"/>
        <v>#N/A</v>
      </c>
      <c r="AA183" s="5" t="str">
        <f>IF(Setup!$I$15="Yes",'Demand background (hide)'!AJ171+'SPC background (hide)'!C183,"")</f>
        <v/>
      </c>
      <c r="AC183" s="5" t="e">
        <f t="shared" ca="1" si="78"/>
        <v>#N/A</v>
      </c>
      <c r="AD183" s="5" t="e">
        <f t="shared" ca="1" si="79"/>
        <v>#N/A</v>
      </c>
    </row>
    <row r="184" spans="1:30" x14ac:dyDescent="0.25">
      <c r="A184" s="67" t="str">
        <f ca="1">Demand!C181</f>
        <v/>
      </c>
      <c r="B184" s="67">
        <v>169</v>
      </c>
      <c r="C184" s="5">
        <f ca="1">'Demand background (hide)'!Y172</f>
        <v>0</v>
      </c>
      <c r="D184" s="67">
        <f t="shared" si="63"/>
        <v>0</v>
      </c>
      <c r="E184" s="67" t="e">
        <f t="shared" ca="1" si="64"/>
        <v>#N/A</v>
      </c>
      <c r="F184" s="67" t="e">
        <f t="shared" ca="1" si="65"/>
        <v>#N/A</v>
      </c>
      <c r="G184" s="67" t="e">
        <f t="shared" ca="1" si="66"/>
        <v>#N/A</v>
      </c>
      <c r="H184" s="67" t="e">
        <f>IF('Demand background (hide)'!AN172&lt;&gt;"",'SPC background (hide)'!C184,NA())</f>
        <v>#N/A</v>
      </c>
      <c r="I184" s="67" t="e">
        <f t="shared" ca="1" si="67"/>
        <v>#N/A</v>
      </c>
      <c r="J184" s="5" t="e">
        <f t="shared" ca="1" si="68"/>
        <v>#N/A</v>
      </c>
      <c r="K184" s="5" t="e">
        <f t="shared" ca="1" si="69"/>
        <v>#N/A</v>
      </c>
      <c r="L184" s="5" t="e">
        <f t="shared" ca="1" si="70"/>
        <v>#N/A</v>
      </c>
      <c r="M184" s="5" t="e">
        <f t="shared" ca="1" si="71"/>
        <v>#N/A</v>
      </c>
      <c r="N184" s="5" t="e">
        <f t="shared" ca="1" si="72"/>
        <v>#N/A</v>
      </c>
      <c r="O184" s="5" t="e">
        <f t="shared" ca="1" si="73"/>
        <v>#N/A</v>
      </c>
      <c r="P184" s="5" t="e">
        <f t="shared" ca="1" si="74"/>
        <v>#N/A</v>
      </c>
      <c r="Q184" s="5" t="e">
        <f t="shared" ca="1" si="75"/>
        <v>#N/A</v>
      </c>
      <c r="R184" s="5" t="e">
        <f t="shared" ca="1" si="80"/>
        <v>#N/A</v>
      </c>
      <c r="S184" s="67" t="e">
        <f t="shared" ca="1" si="81"/>
        <v>#N/A</v>
      </c>
      <c r="T184" s="67" t="e">
        <f t="shared" ca="1" si="82"/>
        <v>#N/A</v>
      </c>
      <c r="U184" s="67" t="e">
        <f t="shared" ca="1" si="83"/>
        <v>#N/A</v>
      </c>
      <c r="V184" s="5" t="e">
        <f t="shared" ca="1" si="62"/>
        <v>#N/A</v>
      </c>
      <c r="W184" s="5" t="e">
        <f t="shared" ca="1" si="76"/>
        <v>#N/A</v>
      </c>
      <c r="X184" s="67">
        <f t="shared" ca="1" si="77"/>
        <v>0</v>
      </c>
      <c r="Y184" s="67" t="e">
        <f t="shared" ca="1" si="84"/>
        <v>#N/A</v>
      </c>
      <c r="Z184" s="67" t="e">
        <f t="shared" ca="1" si="85"/>
        <v>#N/A</v>
      </c>
      <c r="AA184" s="5" t="str">
        <f>IF(Setup!$I$15="Yes",'Demand background (hide)'!AJ172+'SPC background (hide)'!C184,"")</f>
        <v/>
      </c>
      <c r="AC184" s="5" t="e">
        <f t="shared" ca="1" si="78"/>
        <v>#N/A</v>
      </c>
      <c r="AD184" s="5" t="e">
        <f t="shared" ca="1" si="79"/>
        <v>#N/A</v>
      </c>
    </row>
    <row r="185" spans="1:30" x14ac:dyDescent="0.25">
      <c r="A185" s="67" t="str">
        <f ca="1">Demand!C182</f>
        <v/>
      </c>
      <c r="B185" s="67">
        <v>170</v>
      </c>
      <c r="C185" s="5">
        <f ca="1">'Demand background (hide)'!Y173</f>
        <v>0</v>
      </c>
      <c r="D185" s="67">
        <f t="shared" si="63"/>
        <v>0</v>
      </c>
      <c r="E185" s="67" t="e">
        <f t="shared" ca="1" si="64"/>
        <v>#N/A</v>
      </c>
      <c r="F185" s="67" t="e">
        <f t="shared" ca="1" si="65"/>
        <v>#N/A</v>
      </c>
      <c r="G185" s="67" t="e">
        <f t="shared" ca="1" si="66"/>
        <v>#N/A</v>
      </c>
      <c r="H185" s="67" t="e">
        <f>IF('Demand background (hide)'!AN173&lt;&gt;"",'SPC background (hide)'!C185,NA())</f>
        <v>#N/A</v>
      </c>
      <c r="I185" s="67" t="e">
        <f t="shared" ca="1" si="67"/>
        <v>#N/A</v>
      </c>
      <c r="J185" s="5" t="e">
        <f t="shared" ca="1" si="68"/>
        <v>#N/A</v>
      </c>
      <c r="K185" s="5" t="e">
        <f t="shared" ca="1" si="69"/>
        <v>#N/A</v>
      </c>
      <c r="L185" s="5" t="e">
        <f t="shared" ca="1" si="70"/>
        <v>#N/A</v>
      </c>
      <c r="M185" s="5" t="e">
        <f t="shared" ca="1" si="71"/>
        <v>#N/A</v>
      </c>
      <c r="N185" s="5" t="e">
        <f t="shared" ca="1" si="72"/>
        <v>#N/A</v>
      </c>
      <c r="O185" s="5" t="e">
        <f t="shared" ca="1" si="73"/>
        <v>#N/A</v>
      </c>
      <c r="P185" s="5" t="e">
        <f t="shared" ca="1" si="74"/>
        <v>#N/A</v>
      </c>
      <c r="Q185" s="5" t="e">
        <f t="shared" ca="1" si="75"/>
        <v>#N/A</v>
      </c>
      <c r="R185" s="5" t="e">
        <f t="shared" ca="1" si="80"/>
        <v>#N/A</v>
      </c>
      <c r="S185" s="67" t="e">
        <f t="shared" ca="1" si="81"/>
        <v>#N/A</v>
      </c>
      <c r="T185" s="67" t="e">
        <f t="shared" ca="1" si="82"/>
        <v>#N/A</v>
      </c>
      <c r="U185" s="67" t="e">
        <f t="shared" ca="1" si="83"/>
        <v>#N/A</v>
      </c>
      <c r="V185" s="5" t="e">
        <f t="shared" ca="1" si="62"/>
        <v>#N/A</v>
      </c>
      <c r="W185" s="5" t="e">
        <f t="shared" ca="1" si="76"/>
        <v>#N/A</v>
      </c>
      <c r="X185" s="67">
        <f t="shared" ca="1" si="77"/>
        <v>0</v>
      </c>
      <c r="Y185" s="67" t="e">
        <f t="shared" ca="1" si="84"/>
        <v>#N/A</v>
      </c>
      <c r="Z185" s="67" t="e">
        <f t="shared" ca="1" si="85"/>
        <v>#N/A</v>
      </c>
      <c r="AA185" s="5" t="str">
        <f>IF(Setup!$I$15="Yes",'Demand background (hide)'!AJ173+'SPC background (hide)'!C185,"")</f>
        <v/>
      </c>
      <c r="AC185" s="5" t="e">
        <f t="shared" ca="1" si="78"/>
        <v>#N/A</v>
      </c>
      <c r="AD185" s="5" t="e">
        <f t="shared" ca="1" si="79"/>
        <v>#N/A</v>
      </c>
    </row>
    <row r="186" spans="1:30" x14ac:dyDescent="0.25">
      <c r="A186" s="67" t="str">
        <f ca="1">Demand!C183</f>
        <v/>
      </c>
      <c r="B186" s="67">
        <v>171</v>
      </c>
      <c r="C186" s="5">
        <f ca="1">'Demand background (hide)'!Y174</f>
        <v>0</v>
      </c>
      <c r="D186" s="67">
        <f t="shared" si="63"/>
        <v>0</v>
      </c>
      <c r="E186" s="67" t="e">
        <f t="shared" ca="1" si="64"/>
        <v>#N/A</v>
      </c>
      <c r="F186" s="67" t="e">
        <f t="shared" ca="1" si="65"/>
        <v>#N/A</v>
      </c>
      <c r="G186" s="67" t="e">
        <f t="shared" ca="1" si="66"/>
        <v>#N/A</v>
      </c>
      <c r="H186" s="67" t="e">
        <f>IF('Demand background (hide)'!AN174&lt;&gt;"",'SPC background (hide)'!C186,NA())</f>
        <v>#N/A</v>
      </c>
      <c r="I186" s="67" t="e">
        <f t="shared" ca="1" si="67"/>
        <v>#N/A</v>
      </c>
      <c r="J186" s="5" t="e">
        <f t="shared" ca="1" si="68"/>
        <v>#N/A</v>
      </c>
      <c r="K186" s="5" t="e">
        <f t="shared" ca="1" si="69"/>
        <v>#N/A</v>
      </c>
      <c r="L186" s="5" t="e">
        <f t="shared" ca="1" si="70"/>
        <v>#N/A</v>
      </c>
      <c r="M186" s="5" t="e">
        <f t="shared" ca="1" si="71"/>
        <v>#N/A</v>
      </c>
      <c r="N186" s="5" t="e">
        <f t="shared" ca="1" si="72"/>
        <v>#N/A</v>
      </c>
      <c r="O186" s="5" t="e">
        <f t="shared" ca="1" si="73"/>
        <v>#N/A</v>
      </c>
      <c r="P186" s="5" t="e">
        <f t="shared" ca="1" si="74"/>
        <v>#N/A</v>
      </c>
      <c r="Q186" s="5" t="e">
        <f t="shared" ca="1" si="75"/>
        <v>#N/A</v>
      </c>
      <c r="R186" s="5" t="e">
        <f t="shared" ca="1" si="80"/>
        <v>#N/A</v>
      </c>
      <c r="S186" s="67" t="e">
        <f t="shared" ca="1" si="81"/>
        <v>#N/A</v>
      </c>
      <c r="T186" s="67" t="e">
        <f t="shared" ca="1" si="82"/>
        <v>#N/A</v>
      </c>
      <c r="U186" s="67" t="e">
        <f t="shared" ca="1" si="83"/>
        <v>#N/A</v>
      </c>
      <c r="V186" s="5" t="e">
        <f t="shared" ca="1" si="62"/>
        <v>#N/A</v>
      </c>
      <c r="W186" s="5" t="e">
        <f t="shared" ca="1" si="76"/>
        <v>#N/A</v>
      </c>
      <c r="X186" s="67">
        <f t="shared" ca="1" si="77"/>
        <v>0</v>
      </c>
      <c r="Y186" s="67" t="e">
        <f t="shared" ca="1" si="84"/>
        <v>#N/A</v>
      </c>
      <c r="Z186" s="67" t="e">
        <f t="shared" ca="1" si="85"/>
        <v>#N/A</v>
      </c>
      <c r="AA186" s="5" t="str">
        <f>IF(Setup!$I$15="Yes",'Demand background (hide)'!AJ174+'SPC background (hide)'!C186,"")</f>
        <v/>
      </c>
      <c r="AC186" s="5" t="e">
        <f t="shared" ca="1" si="78"/>
        <v>#N/A</v>
      </c>
      <c r="AD186" s="5" t="e">
        <f t="shared" ca="1" si="79"/>
        <v>#N/A</v>
      </c>
    </row>
    <row r="187" spans="1:30" x14ac:dyDescent="0.25">
      <c r="A187" s="67" t="str">
        <f ca="1">Demand!C184</f>
        <v/>
      </c>
      <c r="B187" s="67">
        <v>172</v>
      </c>
      <c r="C187" s="5">
        <f ca="1">'Demand background (hide)'!Y175</f>
        <v>0</v>
      </c>
      <c r="D187" s="67">
        <f t="shared" si="63"/>
        <v>0</v>
      </c>
      <c r="E187" s="67" t="e">
        <f t="shared" ca="1" si="64"/>
        <v>#N/A</v>
      </c>
      <c r="F187" s="67" t="e">
        <f t="shared" ca="1" si="65"/>
        <v>#N/A</v>
      </c>
      <c r="G187" s="67" t="e">
        <f t="shared" ca="1" si="66"/>
        <v>#N/A</v>
      </c>
      <c r="H187" s="67" t="e">
        <f>IF('Demand background (hide)'!AN175&lt;&gt;"",'SPC background (hide)'!C187,NA())</f>
        <v>#N/A</v>
      </c>
      <c r="I187" s="67" t="e">
        <f t="shared" ca="1" si="67"/>
        <v>#N/A</v>
      </c>
      <c r="J187" s="5" t="e">
        <f t="shared" ca="1" si="68"/>
        <v>#N/A</v>
      </c>
      <c r="K187" s="5" t="e">
        <f t="shared" ca="1" si="69"/>
        <v>#N/A</v>
      </c>
      <c r="L187" s="5" t="e">
        <f t="shared" ca="1" si="70"/>
        <v>#N/A</v>
      </c>
      <c r="M187" s="5" t="e">
        <f t="shared" ca="1" si="71"/>
        <v>#N/A</v>
      </c>
      <c r="N187" s="5" t="e">
        <f t="shared" ca="1" si="72"/>
        <v>#N/A</v>
      </c>
      <c r="O187" s="5" t="e">
        <f t="shared" ca="1" si="73"/>
        <v>#N/A</v>
      </c>
      <c r="P187" s="5" t="e">
        <f t="shared" ca="1" si="74"/>
        <v>#N/A</v>
      </c>
      <c r="Q187" s="5" t="e">
        <f t="shared" ca="1" si="75"/>
        <v>#N/A</v>
      </c>
      <c r="R187" s="5" t="e">
        <f t="shared" ca="1" si="80"/>
        <v>#N/A</v>
      </c>
      <c r="S187" s="67" t="e">
        <f t="shared" ca="1" si="81"/>
        <v>#N/A</v>
      </c>
      <c r="T187" s="67" t="e">
        <f t="shared" ca="1" si="82"/>
        <v>#N/A</v>
      </c>
      <c r="U187" s="67" t="e">
        <f t="shared" ca="1" si="83"/>
        <v>#N/A</v>
      </c>
      <c r="V187" s="5" t="e">
        <f t="shared" ca="1" si="62"/>
        <v>#N/A</v>
      </c>
      <c r="W187" s="5" t="e">
        <f t="shared" ca="1" si="76"/>
        <v>#N/A</v>
      </c>
      <c r="X187" s="67">
        <f t="shared" ca="1" si="77"/>
        <v>0</v>
      </c>
      <c r="Y187" s="67" t="e">
        <f t="shared" ca="1" si="84"/>
        <v>#N/A</v>
      </c>
      <c r="Z187" s="67" t="e">
        <f t="shared" ca="1" si="85"/>
        <v>#N/A</v>
      </c>
      <c r="AA187" s="5" t="str">
        <f>IF(Setup!$I$15="Yes",'Demand background (hide)'!AJ175+'SPC background (hide)'!C187,"")</f>
        <v/>
      </c>
      <c r="AC187" s="5" t="e">
        <f t="shared" ca="1" si="78"/>
        <v>#N/A</v>
      </c>
      <c r="AD187" s="5" t="e">
        <f t="shared" ca="1" si="79"/>
        <v>#N/A</v>
      </c>
    </row>
    <row r="188" spans="1:30" x14ac:dyDescent="0.25">
      <c r="A188" s="67" t="str">
        <f ca="1">Demand!C185</f>
        <v/>
      </c>
      <c r="B188" s="67">
        <v>173</v>
      </c>
      <c r="C188" s="5">
        <f ca="1">'Demand background (hide)'!Y176</f>
        <v>0</v>
      </c>
      <c r="D188" s="67">
        <f t="shared" si="63"/>
        <v>0</v>
      </c>
      <c r="E188" s="67" t="e">
        <f t="shared" ca="1" si="64"/>
        <v>#N/A</v>
      </c>
      <c r="F188" s="67" t="e">
        <f t="shared" ca="1" si="65"/>
        <v>#N/A</v>
      </c>
      <c r="G188" s="67" t="e">
        <f t="shared" ca="1" si="66"/>
        <v>#N/A</v>
      </c>
      <c r="H188" s="67" t="e">
        <f>IF('Demand background (hide)'!AN176&lt;&gt;"",'SPC background (hide)'!C188,NA())</f>
        <v>#N/A</v>
      </c>
      <c r="I188" s="67" t="e">
        <f t="shared" ca="1" si="67"/>
        <v>#N/A</v>
      </c>
      <c r="J188" s="5" t="e">
        <f t="shared" ca="1" si="68"/>
        <v>#N/A</v>
      </c>
      <c r="K188" s="5" t="e">
        <f t="shared" ca="1" si="69"/>
        <v>#N/A</v>
      </c>
      <c r="L188" s="5" t="e">
        <f t="shared" ca="1" si="70"/>
        <v>#N/A</v>
      </c>
      <c r="M188" s="5" t="e">
        <f t="shared" ca="1" si="71"/>
        <v>#N/A</v>
      </c>
      <c r="N188" s="5" t="e">
        <f t="shared" ca="1" si="72"/>
        <v>#N/A</v>
      </c>
      <c r="O188" s="5" t="e">
        <f t="shared" ca="1" si="73"/>
        <v>#N/A</v>
      </c>
      <c r="P188" s="5" t="e">
        <f t="shared" ca="1" si="74"/>
        <v>#N/A</v>
      </c>
      <c r="Q188" s="5" t="e">
        <f t="shared" ca="1" si="75"/>
        <v>#N/A</v>
      </c>
      <c r="R188" s="5" t="e">
        <f t="shared" ca="1" si="80"/>
        <v>#N/A</v>
      </c>
      <c r="S188" s="67" t="e">
        <f t="shared" ca="1" si="81"/>
        <v>#N/A</v>
      </c>
      <c r="T188" s="67" t="e">
        <f t="shared" ca="1" si="82"/>
        <v>#N/A</v>
      </c>
      <c r="U188" s="67" t="e">
        <f t="shared" ca="1" si="83"/>
        <v>#N/A</v>
      </c>
      <c r="V188" s="5" t="e">
        <f t="shared" ca="1" si="62"/>
        <v>#N/A</v>
      </c>
      <c r="W188" s="5" t="e">
        <f t="shared" ca="1" si="76"/>
        <v>#N/A</v>
      </c>
      <c r="X188" s="67">
        <f t="shared" ca="1" si="77"/>
        <v>0</v>
      </c>
      <c r="Y188" s="67" t="e">
        <f t="shared" ca="1" si="84"/>
        <v>#N/A</v>
      </c>
      <c r="Z188" s="67" t="e">
        <f t="shared" ca="1" si="85"/>
        <v>#N/A</v>
      </c>
      <c r="AA188" s="5" t="str">
        <f>IF(Setup!$I$15="Yes",'Demand background (hide)'!AJ176+'SPC background (hide)'!C188,"")</f>
        <v/>
      </c>
      <c r="AC188" s="5" t="e">
        <f t="shared" ca="1" si="78"/>
        <v>#N/A</v>
      </c>
      <c r="AD188" s="5" t="e">
        <f t="shared" ca="1" si="79"/>
        <v>#N/A</v>
      </c>
    </row>
    <row r="189" spans="1:30" x14ac:dyDescent="0.25">
      <c r="A189" s="67" t="str">
        <f ca="1">Demand!C186</f>
        <v/>
      </c>
      <c r="B189" s="67">
        <v>174</v>
      </c>
      <c r="C189" s="5">
        <f ca="1">'Demand background (hide)'!Y177</f>
        <v>0</v>
      </c>
      <c r="D189" s="67">
        <f t="shared" si="63"/>
        <v>0</v>
      </c>
      <c r="E189" s="67" t="e">
        <f t="shared" ca="1" si="64"/>
        <v>#N/A</v>
      </c>
      <c r="F189" s="67" t="e">
        <f t="shared" ca="1" si="65"/>
        <v>#N/A</v>
      </c>
      <c r="G189" s="67" t="e">
        <f t="shared" ca="1" si="66"/>
        <v>#N/A</v>
      </c>
      <c r="H189" s="67" t="e">
        <f>IF('Demand background (hide)'!AN177&lt;&gt;"",'SPC background (hide)'!C189,NA())</f>
        <v>#N/A</v>
      </c>
      <c r="I189" s="67" t="e">
        <f t="shared" ca="1" si="67"/>
        <v>#N/A</v>
      </c>
      <c r="J189" s="5" t="e">
        <f t="shared" ca="1" si="68"/>
        <v>#N/A</v>
      </c>
      <c r="K189" s="5" t="e">
        <f t="shared" ca="1" si="69"/>
        <v>#N/A</v>
      </c>
      <c r="L189" s="5" t="e">
        <f t="shared" ca="1" si="70"/>
        <v>#N/A</v>
      </c>
      <c r="M189" s="5" t="e">
        <f t="shared" ca="1" si="71"/>
        <v>#N/A</v>
      </c>
      <c r="N189" s="5" t="e">
        <f t="shared" ca="1" si="72"/>
        <v>#N/A</v>
      </c>
      <c r="O189" s="5" t="e">
        <f t="shared" ca="1" si="73"/>
        <v>#N/A</v>
      </c>
      <c r="P189" s="5" t="e">
        <f t="shared" ca="1" si="74"/>
        <v>#N/A</v>
      </c>
      <c r="Q189" s="5" t="e">
        <f t="shared" ca="1" si="75"/>
        <v>#N/A</v>
      </c>
      <c r="R189" s="5" t="e">
        <f t="shared" ca="1" si="80"/>
        <v>#N/A</v>
      </c>
      <c r="S189" s="67" t="e">
        <f t="shared" ca="1" si="81"/>
        <v>#N/A</v>
      </c>
      <c r="T189" s="67" t="e">
        <f t="shared" ca="1" si="82"/>
        <v>#N/A</v>
      </c>
      <c r="U189" s="67" t="e">
        <f t="shared" ca="1" si="83"/>
        <v>#N/A</v>
      </c>
      <c r="V189" s="5" t="e">
        <f t="shared" ca="1" si="62"/>
        <v>#N/A</v>
      </c>
      <c r="W189" s="5" t="e">
        <f t="shared" ca="1" si="76"/>
        <v>#N/A</v>
      </c>
      <c r="X189" s="67">
        <f t="shared" ca="1" si="77"/>
        <v>0</v>
      </c>
      <c r="Y189" s="67" t="e">
        <f t="shared" ca="1" si="84"/>
        <v>#N/A</v>
      </c>
      <c r="Z189" s="67" t="e">
        <f t="shared" ca="1" si="85"/>
        <v>#N/A</v>
      </c>
      <c r="AA189" s="5" t="str">
        <f>IF(Setup!$I$15="Yes",'Demand background (hide)'!AJ177+'SPC background (hide)'!C189,"")</f>
        <v/>
      </c>
      <c r="AC189" s="5" t="e">
        <f t="shared" ca="1" si="78"/>
        <v>#N/A</v>
      </c>
      <c r="AD189" s="5" t="e">
        <f t="shared" ca="1" si="79"/>
        <v>#N/A</v>
      </c>
    </row>
    <row r="190" spans="1:30" x14ac:dyDescent="0.25">
      <c r="A190" s="67" t="str">
        <f ca="1">Demand!C187</f>
        <v/>
      </c>
      <c r="B190" s="67">
        <v>175</v>
      </c>
      <c r="C190" s="5">
        <f ca="1">'Demand background (hide)'!Y178</f>
        <v>0</v>
      </c>
      <c r="D190" s="67">
        <f t="shared" si="63"/>
        <v>0</v>
      </c>
      <c r="E190" s="67" t="e">
        <f t="shared" ca="1" si="64"/>
        <v>#N/A</v>
      </c>
      <c r="F190" s="67" t="e">
        <f t="shared" ca="1" si="65"/>
        <v>#N/A</v>
      </c>
      <c r="G190" s="67" t="e">
        <f t="shared" ca="1" si="66"/>
        <v>#N/A</v>
      </c>
      <c r="H190" s="67" t="e">
        <f>IF('Demand background (hide)'!AN178&lt;&gt;"",'SPC background (hide)'!C190,NA())</f>
        <v>#N/A</v>
      </c>
      <c r="I190" s="67" t="e">
        <f t="shared" ca="1" si="67"/>
        <v>#N/A</v>
      </c>
      <c r="J190" s="5" t="e">
        <f t="shared" ca="1" si="68"/>
        <v>#N/A</v>
      </c>
      <c r="K190" s="5" t="e">
        <f t="shared" ca="1" si="69"/>
        <v>#N/A</v>
      </c>
      <c r="L190" s="5" t="e">
        <f t="shared" ca="1" si="70"/>
        <v>#N/A</v>
      </c>
      <c r="M190" s="5" t="e">
        <f t="shared" ca="1" si="71"/>
        <v>#N/A</v>
      </c>
      <c r="N190" s="5" t="e">
        <f t="shared" ca="1" si="72"/>
        <v>#N/A</v>
      </c>
      <c r="O190" s="5" t="e">
        <f t="shared" ca="1" si="73"/>
        <v>#N/A</v>
      </c>
      <c r="P190" s="5" t="e">
        <f t="shared" ca="1" si="74"/>
        <v>#N/A</v>
      </c>
      <c r="Q190" s="5" t="e">
        <f t="shared" ca="1" si="75"/>
        <v>#N/A</v>
      </c>
      <c r="R190" s="5" t="e">
        <f t="shared" ca="1" si="80"/>
        <v>#N/A</v>
      </c>
      <c r="S190" s="67" t="e">
        <f t="shared" ca="1" si="81"/>
        <v>#N/A</v>
      </c>
      <c r="T190" s="67" t="e">
        <f t="shared" ca="1" si="82"/>
        <v>#N/A</v>
      </c>
      <c r="U190" s="67" t="e">
        <f t="shared" ca="1" si="83"/>
        <v>#N/A</v>
      </c>
      <c r="V190" s="5" t="e">
        <f t="shared" ca="1" si="62"/>
        <v>#N/A</v>
      </c>
      <c r="W190" s="5" t="e">
        <f t="shared" ca="1" si="76"/>
        <v>#N/A</v>
      </c>
      <c r="X190" s="67">
        <f t="shared" ca="1" si="77"/>
        <v>0</v>
      </c>
      <c r="Y190" s="67" t="e">
        <f t="shared" ca="1" si="84"/>
        <v>#N/A</v>
      </c>
      <c r="Z190" s="67" t="e">
        <f t="shared" ca="1" si="85"/>
        <v>#N/A</v>
      </c>
      <c r="AA190" s="5" t="str">
        <f>IF(Setup!$I$15="Yes",'Demand background (hide)'!AJ178+'SPC background (hide)'!C190,"")</f>
        <v/>
      </c>
      <c r="AC190" s="5" t="e">
        <f t="shared" ca="1" si="78"/>
        <v>#N/A</v>
      </c>
      <c r="AD190" s="5" t="e">
        <f t="shared" ca="1" si="79"/>
        <v>#N/A</v>
      </c>
    </row>
    <row r="191" spans="1:30" x14ac:dyDescent="0.25">
      <c r="A191" s="67" t="str">
        <f ca="1">Demand!C188</f>
        <v/>
      </c>
      <c r="B191" s="67">
        <v>176</v>
      </c>
      <c r="C191" s="5">
        <f ca="1">'Demand background (hide)'!Y179</f>
        <v>0</v>
      </c>
      <c r="D191" s="67">
        <f t="shared" si="63"/>
        <v>0</v>
      </c>
      <c r="E191" s="67" t="e">
        <f t="shared" ca="1" si="64"/>
        <v>#N/A</v>
      </c>
      <c r="F191" s="67" t="e">
        <f t="shared" ca="1" si="65"/>
        <v>#N/A</v>
      </c>
      <c r="G191" s="67" t="e">
        <f t="shared" ca="1" si="66"/>
        <v>#N/A</v>
      </c>
      <c r="H191" s="67" t="e">
        <f>IF('Demand background (hide)'!AN179&lt;&gt;"",'SPC background (hide)'!C191,NA())</f>
        <v>#N/A</v>
      </c>
      <c r="I191" s="67" t="e">
        <f t="shared" ca="1" si="67"/>
        <v>#N/A</v>
      </c>
      <c r="J191" s="5" t="e">
        <f t="shared" ca="1" si="68"/>
        <v>#N/A</v>
      </c>
      <c r="K191" s="5" t="e">
        <f t="shared" ca="1" si="69"/>
        <v>#N/A</v>
      </c>
      <c r="L191" s="5" t="e">
        <f t="shared" ca="1" si="70"/>
        <v>#N/A</v>
      </c>
      <c r="M191" s="5" t="e">
        <f t="shared" ca="1" si="71"/>
        <v>#N/A</v>
      </c>
      <c r="N191" s="5" t="e">
        <f t="shared" ca="1" si="72"/>
        <v>#N/A</v>
      </c>
      <c r="O191" s="5" t="e">
        <f t="shared" ca="1" si="73"/>
        <v>#N/A</v>
      </c>
      <c r="P191" s="5" t="e">
        <f t="shared" ca="1" si="74"/>
        <v>#N/A</v>
      </c>
      <c r="Q191" s="5" t="e">
        <f t="shared" ca="1" si="75"/>
        <v>#N/A</v>
      </c>
      <c r="R191" s="5" t="e">
        <f t="shared" ca="1" si="80"/>
        <v>#N/A</v>
      </c>
      <c r="S191" s="67" t="e">
        <f t="shared" ca="1" si="81"/>
        <v>#N/A</v>
      </c>
      <c r="T191" s="67" t="e">
        <f t="shared" ca="1" si="82"/>
        <v>#N/A</v>
      </c>
      <c r="U191" s="67" t="e">
        <f t="shared" ca="1" si="83"/>
        <v>#N/A</v>
      </c>
      <c r="V191" s="5" t="e">
        <f t="shared" ca="1" si="62"/>
        <v>#N/A</v>
      </c>
      <c r="W191" s="5" t="e">
        <f t="shared" ca="1" si="76"/>
        <v>#N/A</v>
      </c>
      <c r="X191" s="67">
        <f t="shared" ca="1" si="77"/>
        <v>0</v>
      </c>
      <c r="Y191" s="67" t="e">
        <f t="shared" ca="1" si="84"/>
        <v>#N/A</v>
      </c>
      <c r="Z191" s="67" t="e">
        <f t="shared" ca="1" si="85"/>
        <v>#N/A</v>
      </c>
      <c r="AA191" s="5" t="str">
        <f>IF(Setup!$I$15="Yes",'Demand background (hide)'!AJ179+'SPC background (hide)'!C191,"")</f>
        <v/>
      </c>
      <c r="AC191" s="5" t="e">
        <f t="shared" ca="1" si="78"/>
        <v>#N/A</v>
      </c>
      <c r="AD191" s="5" t="e">
        <f t="shared" ca="1" si="79"/>
        <v>#N/A</v>
      </c>
    </row>
    <row r="192" spans="1:30" x14ac:dyDescent="0.25">
      <c r="A192" s="67" t="str">
        <f ca="1">Demand!C189</f>
        <v/>
      </c>
      <c r="B192" s="67">
        <v>177</v>
      </c>
      <c r="C192" s="5">
        <f ca="1">'Demand background (hide)'!Y180</f>
        <v>0</v>
      </c>
      <c r="D192" s="67">
        <f t="shared" si="63"/>
        <v>0</v>
      </c>
      <c r="E192" s="67" t="e">
        <f t="shared" ca="1" si="64"/>
        <v>#N/A</v>
      </c>
      <c r="F192" s="67" t="e">
        <f t="shared" ca="1" si="65"/>
        <v>#N/A</v>
      </c>
      <c r="G192" s="67" t="e">
        <f t="shared" ca="1" si="66"/>
        <v>#N/A</v>
      </c>
      <c r="H192" s="67" t="e">
        <f>IF('Demand background (hide)'!AN180&lt;&gt;"",'SPC background (hide)'!C192,NA())</f>
        <v>#N/A</v>
      </c>
      <c r="I192" s="67" t="e">
        <f t="shared" ca="1" si="67"/>
        <v>#N/A</v>
      </c>
      <c r="J192" s="5" t="e">
        <f t="shared" ca="1" si="68"/>
        <v>#N/A</v>
      </c>
      <c r="K192" s="5" t="e">
        <f t="shared" ca="1" si="69"/>
        <v>#N/A</v>
      </c>
      <c r="L192" s="5" t="e">
        <f t="shared" ca="1" si="70"/>
        <v>#N/A</v>
      </c>
      <c r="M192" s="5" t="e">
        <f t="shared" ca="1" si="71"/>
        <v>#N/A</v>
      </c>
      <c r="N192" s="5" t="e">
        <f t="shared" ca="1" si="72"/>
        <v>#N/A</v>
      </c>
      <c r="O192" s="5" t="e">
        <f t="shared" ca="1" si="73"/>
        <v>#N/A</v>
      </c>
      <c r="P192" s="5" t="e">
        <f t="shared" ca="1" si="74"/>
        <v>#N/A</v>
      </c>
      <c r="Q192" s="5" t="e">
        <f t="shared" ca="1" si="75"/>
        <v>#N/A</v>
      </c>
      <c r="R192" s="5" t="e">
        <f t="shared" ca="1" si="80"/>
        <v>#N/A</v>
      </c>
      <c r="S192" s="67" t="e">
        <f t="shared" ca="1" si="81"/>
        <v>#N/A</v>
      </c>
      <c r="T192" s="67" t="e">
        <f t="shared" ca="1" si="82"/>
        <v>#N/A</v>
      </c>
      <c r="U192" s="67" t="e">
        <f t="shared" ca="1" si="83"/>
        <v>#N/A</v>
      </c>
      <c r="V192" s="5" t="e">
        <f t="shared" ca="1" si="62"/>
        <v>#N/A</v>
      </c>
      <c r="W192" s="5" t="e">
        <f t="shared" ca="1" si="76"/>
        <v>#N/A</v>
      </c>
      <c r="X192" s="67">
        <f t="shared" ca="1" si="77"/>
        <v>0</v>
      </c>
      <c r="Y192" s="67" t="e">
        <f t="shared" ca="1" si="84"/>
        <v>#N/A</v>
      </c>
      <c r="Z192" s="67" t="e">
        <f t="shared" ca="1" si="85"/>
        <v>#N/A</v>
      </c>
      <c r="AA192" s="5" t="str">
        <f>IF(Setup!$I$15="Yes",'Demand background (hide)'!AJ180+'SPC background (hide)'!C192,"")</f>
        <v/>
      </c>
      <c r="AC192" s="5" t="e">
        <f t="shared" ca="1" si="78"/>
        <v>#N/A</v>
      </c>
      <c r="AD192" s="5" t="e">
        <f t="shared" ca="1" si="79"/>
        <v>#N/A</v>
      </c>
    </row>
    <row r="193" spans="1:30" x14ac:dyDescent="0.25">
      <c r="A193" s="67" t="str">
        <f ca="1">Demand!C190</f>
        <v/>
      </c>
      <c r="B193" s="67">
        <v>178</v>
      </c>
      <c r="C193" s="5">
        <f ca="1">'Demand background (hide)'!Y181</f>
        <v>0</v>
      </c>
      <c r="D193" s="67">
        <f t="shared" si="63"/>
        <v>0</v>
      </c>
      <c r="E193" s="67" t="e">
        <f t="shared" ca="1" si="64"/>
        <v>#N/A</v>
      </c>
      <c r="F193" s="67" t="e">
        <f t="shared" ca="1" si="65"/>
        <v>#N/A</v>
      </c>
      <c r="G193" s="67" t="e">
        <f t="shared" ca="1" si="66"/>
        <v>#N/A</v>
      </c>
      <c r="H193" s="67" t="e">
        <f>IF('Demand background (hide)'!AN181&lt;&gt;"",'SPC background (hide)'!C193,NA())</f>
        <v>#N/A</v>
      </c>
      <c r="I193" s="67" t="e">
        <f t="shared" ca="1" si="67"/>
        <v>#N/A</v>
      </c>
      <c r="J193" s="5" t="e">
        <f t="shared" ca="1" si="68"/>
        <v>#N/A</v>
      </c>
      <c r="K193" s="5" t="e">
        <f t="shared" ca="1" si="69"/>
        <v>#N/A</v>
      </c>
      <c r="L193" s="5" t="e">
        <f t="shared" ca="1" si="70"/>
        <v>#N/A</v>
      </c>
      <c r="M193" s="5" t="e">
        <f t="shared" ca="1" si="71"/>
        <v>#N/A</v>
      </c>
      <c r="N193" s="5" t="e">
        <f t="shared" ca="1" si="72"/>
        <v>#N/A</v>
      </c>
      <c r="O193" s="5" t="e">
        <f t="shared" ca="1" si="73"/>
        <v>#N/A</v>
      </c>
      <c r="P193" s="5" t="e">
        <f t="shared" ca="1" si="74"/>
        <v>#N/A</v>
      </c>
      <c r="Q193" s="5" t="e">
        <f t="shared" ca="1" si="75"/>
        <v>#N/A</v>
      </c>
      <c r="R193" s="5" t="e">
        <f t="shared" ca="1" si="80"/>
        <v>#N/A</v>
      </c>
      <c r="S193" s="67" t="e">
        <f t="shared" ca="1" si="81"/>
        <v>#N/A</v>
      </c>
      <c r="T193" s="67" t="e">
        <f t="shared" ca="1" si="82"/>
        <v>#N/A</v>
      </c>
      <c r="U193" s="67" t="e">
        <f t="shared" ca="1" si="83"/>
        <v>#N/A</v>
      </c>
      <c r="V193" s="5" t="e">
        <f t="shared" ca="1" si="62"/>
        <v>#N/A</v>
      </c>
      <c r="W193" s="5" t="e">
        <f t="shared" ca="1" si="76"/>
        <v>#N/A</v>
      </c>
      <c r="X193" s="67">
        <f t="shared" ca="1" si="77"/>
        <v>0</v>
      </c>
      <c r="Y193" s="67" t="e">
        <f t="shared" ca="1" si="84"/>
        <v>#N/A</v>
      </c>
      <c r="Z193" s="67" t="e">
        <f t="shared" ca="1" si="85"/>
        <v>#N/A</v>
      </c>
      <c r="AA193" s="5" t="str">
        <f>IF(Setup!$I$15="Yes",'Demand background (hide)'!AJ181+'SPC background (hide)'!C193,"")</f>
        <v/>
      </c>
      <c r="AC193" s="5" t="e">
        <f t="shared" ca="1" si="78"/>
        <v>#N/A</v>
      </c>
      <c r="AD193" s="5" t="e">
        <f t="shared" ca="1" si="79"/>
        <v>#N/A</v>
      </c>
    </row>
    <row r="194" spans="1:30" x14ac:dyDescent="0.25">
      <c r="A194" s="67" t="str">
        <f ca="1">Demand!C191</f>
        <v/>
      </c>
      <c r="B194" s="67">
        <v>179</v>
      </c>
      <c r="C194" s="5">
        <f ca="1">'Demand background (hide)'!Y182</f>
        <v>0</v>
      </c>
      <c r="D194" s="67">
        <f t="shared" si="63"/>
        <v>0</v>
      </c>
      <c r="E194" s="67" t="e">
        <f t="shared" ca="1" si="64"/>
        <v>#N/A</v>
      </c>
      <c r="F194" s="67" t="e">
        <f t="shared" ca="1" si="65"/>
        <v>#N/A</v>
      </c>
      <c r="G194" s="67" t="e">
        <f t="shared" ca="1" si="66"/>
        <v>#N/A</v>
      </c>
      <c r="H194" s="67" t="e">
        <f>IF('Demand background (hide)'!AN182&lt;&gt;"",'SPC background (hide)'!C194,NA())</f>
        <v>#N/A</v>
      </c>
      <c r="I194" s="67" t="e">
        <f t="shared" ca="1" si="67"/>
        <v>#N/A</v>
      </c>
      <c r="J194" s="5" t="e">
        <f t="shared" ca="1" si="68"/>
        <v>#N/A</v>
      </c>
      <c r="K194" s="5" t="e">
        <f t="shared" ca="1" si="69"/>
        <v>#N/A</v>
      </c>
      <c r="L194" s="5" t="e">
        <f t="shared" ca="1" si="70"/>
        <v>#N/A</v>
      </c>
      <c r="M194" s="5" t="e">
        <f t="shared" ca="1" si="71"/>
        <v>#N/A</v>
      </c>
      <c r="N194" s="5" t="e">
        <f t="shared" ca="1" si="72"/>
        <v>#N/A</v>
      </c>
      <c r="O194" s="5" t="e">
        <f t="shared" ca="1" si="73"/>
        <v>#N/A</v>
      </c>
      <c r="P194" s="5" t="e">
        <f t="shared" ca="1" si="74"/>
        <v>#N/A</v>
      </c>
      <c r="Q194" s="5" t="e">
        <f t="shared" ca="1" si="75"/>
        <v>#N/A</v>
      </c>
      <c r="R194" s="5" t="e">
        <f t="shared" ca="1" si="80"/>
        <v>#N/A</v>
      </c>
      <c r="S194" s="67" t="e">
        <f t="shared" ca="1" si="81"/>
        <v>#N/A</v>
      </c>
      <c r="T194" s="67" t="e">
        <f t="shared" ca="1" si="82"/>
        <v>#N/A</v>
      </c>
      <c r="U194" s="67" t="e">
        <f t="shared" ca="1" si="83"/>
        <v>#N/A</v>
      </c>
      <c r="V194" s="5" t="e">
        <f t="shared" ca="1" si="62"/>
        <v>#N/A</v>
      </c>
      <c r="W194" s="5" t="e">
        <f t="shared" ca="1" si="76"/>
        <v>#N/A</v>
      </c>
      <c r="X194" s="67">
        <f t="shared" ca="1" si="77"/>
        <v>0</v>
      </c>
      <c r="Y194" s="67" t="e">
        <f t="shared" ca="1" si="84"/>
        <v>#N/A</v>
      </c>
      <c r="Z194" s="67" t="e">
        <f t="shared" ca="1" si="85"/>
        <v>#N/A</v>
      </c>
      <c r="AA194" s="5" t="str">
        <f>IF(Setup!$I$15="Yes",'Demand background (hide)'!AJ182+'SPC background (hide)'!C194,"")</f>
        <v/>
      </c>
      <c r="AC194" s="5" t="e">
        <f t="shared" ca="1" si="78"/>
        <v>#N/A</v>
      </c>
      <c r="AD194" s="5" t="e">
        <f t="shared" ca="1" si="79"/>
        <v>#N/A</v>
      </c>
    </row>
    <row r="195" spans="1:30" x14ac:dyDescent="0.25">
      <c r="A195" s="67" t="str">
        <f ca="1">Demand!C192</f>
        <v/>
      </c>
      <c r="B195" s="67">
        <v>180</v>
      </c>
      <c r="C195" s="5">
        <f ca="1">'Demand background (hide)'!Y183</f>
        <v>0</v>
      </c>
      <c r="D195" s="67">
        <f t="shared" si="63"/>
        <v>0</v>
      </c>
      <c r="E195" s="67" t="e">
        <f t="shared" ca="1" si="64"/>
        <v>#N/A</v>
      </c>
      <c r="F195" s="67" t="e">
        <f t="shared" ca="1" si="65"/>
        <v>#N/A</v>
      </c>
      <c r="G195" s="67" t="e">
        <f t="shared" ca="1" si="66"/>
        <v>#N/A</v>
      </c>
      <c r="H195" s="67" t="e">
        <f>IF('Demand background (hide)'!AN183&lt;&gt;"",'SPC background (hide)'!C195,NA())</f>
        <v>#N/A</v>
      </c>
      <c r="I195" s="67" t="e">
        <f t="shared" ca="1" si="67"/>
        <v>#N/A</v>
      </c>
      <c r="J195" s="5" t="e">
        <f t="shared" ca="1" si="68"/>
        <v>#N/A</v>
      </c>
      <c r="K195" s="5" t="e">
        <f t="shared" ca="1" si="69"/>
        <v>#N/A</v>
      </c>
      <c r="L195" s="5" t="e">
        <f t="shared" ca="1" si="70"/>
        <v>#N/A</v>
      </c>
      <c r="M195" s="5" t="e">
        <f t="shared" ca="1" si="71"/>
        <v>#N/A</v>
      </c>
      <c r="N195" s="5" t="e">
        <f t="shared" ca="1" si="72"/>
        <v>#N/A</v>
      </c>
      <c r="O195" s="5" t="e">
        <f t="shared" ca="1" si="73"/>
        <v>#N/A</v>
      </c>
      <c r="P195" s="5" t="e">
        <f t="shared" ca="1" si="74"/>
        <v>#N/A</v>
      </c>
      <c r="Q195" s="5" t="e">
        <f t="shared" ca="1" si="75"/>
        <v>#N/A</v>
      </c>
      <c r="R195" s="5" t="e">
        <f t="shared" ca="1" si="80"/>
        <v>#N/A</v>
      </c>
      <c r="S195" s="67" t="e">
        <f t="shared" ca="1" si="81"/>
        <v>#N/A</v>
      </c>
      <c r="T195" s="67" t="e">
        <f t="shared" ca="1" si="82"/>
        <v>#N/A</v>
      </c>
      <c r="U195" s="67" t="e">
        <f t="shared" ca="1" si="83"/>
        <v>#N/A</v>
      </c>
      <c r="V195" s="5" t="e">
        <f t="shared" ca="1" si="62"/>
        <v>#N/A</v>
      </c>
      <c r="W195" s="5" t="e">
        <f t="shared" ca="1" si="76"/>
        <v>#N/A</v>
      </c>
      <c r="X195" s="67">
        <f t="shared" ca="1" si="77"/>
        <v>0</v>
      </c>
      <c r="Y195" s="67" t="e">
        <f t="shared" ca="1" si="84"/>
        <v>#N/A</v>
      </c>
      <c r="Z195" s="67" t="e">
        <f t="shared" ca="1" si="85"/>
        <v>#N/A</v>
      </c>
      <c r="AA195" s="5" t="str">
        <f>IF(Setup!$I$15="Yes",'Demand background (hide)'!AJ183+'SPC background (hide)'!C195,"")</f>
        <v/>
      </c>
      <c r="AC195" s="5" t="e">
        <f t="shared" ca="1" si="78"/>
        <v>#N/A</v>
      </c>
      <c r="AD195" s="5" t="e">
        <f t="shared" ca="1" si="79"/>
        <v>#N/A</v>
      </c>
    </row>
    <row r="196" spans="1:30" x14ac:dyDescent="0.25">
      <c r="A196" s="67" t="str">
        <f ca="1">Demand!C193</f>
        <v/>
      </c>
      <c r="B196" s="67">
        <v>181</v>
      </c>
      <c r="C196" s="5">
        <f ca="1">'Demand background (hide)'!Y184</f>
        <v>0</v>
      </c>
      <c r="D196" s="67">
        <f t="shared" si="63"/>
        <v>0</v>
      </c>
      <c r="E196" s="67" t="e">
        <f t="shared" ca="1" si="64"/>
        <v>#N/A</v>
      </c>
      <c r="F196" s="67" t="e">
        <f t="shared" ca="1" si="65"/>
        <v>#N/A</v>
      </c>
      <c r="G196" s="67" t="e">
        <f t="shared" ca="1" si="66"/>
        <v>#N/A</v>
      </c>
      <c r="H196" s="67" t="e">
        <f>IF('Demand background (hide)'!AN184&lt;&gt;"",'SPC background (hide)'!C196,NA())</f>
        <v>#N/A</v>
      </c>
      <c r="I196" s="67" t="e">
        <f t="shared" ca="1" si="67"/>
        <v>#N/A</v>
      </c>
      <c r="J196" s="5" t="e">
        <f t="shared" ca="1" si="68"/>
        <v>#N/A</v>
      </c>
      <c r="K196" s="5" t="e">
        <f t="shared" ca="1" si="69"/>
        <v>#N/A</v>
      </c>
      <c r="L196" s="5" t="e">
        <f t="shared" ca="1" si="70"/>
        <v>#N/A</v>
      </c>
      <c r="M196" s="5" t="e">
        <f t="shared" ca="1" si="71"/>
        <v>#N/A</v>
      </c>
      <c r="N196" s="5" t="e">
        <f t="shared" ca="1" si="72"/>
        <v>#N/A</v>
      </c>
      <c r="O196" s="5" t="e">
        <f t="shared" ca="1" si="73"/>
        <v>#N/A</v>
      </c>
      <c r="P196" s="5" t="e">
        <f t="shared" ca="1" si="74"/>
        <v>#N/A</v>
      </c>
      <c r="Q196" s="5" t="e">
        <f t="shared" ca="1" si="75"/>
        <v>#N/A</v>
      </c>
      <c r="R196" s="5" t="e">
        <f t="shared" ca="1" si="80"/>
        <v>#N/A</v>
      </c>
      <c r="S196" s="67" t="e">
        <f t="shared" ca="1" si="81"/>
        <v>#N/A</v>
      </c>
      <c r="T196" s="67" t="e">
        <f t="shared" ca="1" si="82"/>
        <v>#N/A</v>
      </c>
      <c r="U196" s="67" t="e">
        <f t="shared" ca="1" si="83"/>
        <v>#N/A</v>
      </c>
      <c r="V196" s="5" t="e">
        <f t="shared" ca="1" si="62"/>
        <v>#N/A</v>
      </c>
      <c r="W196" s="5" t="e">
        <f t="shared" ca="1" si="76"/>
        <v>#N/A</v>
      </c>
      <c r="X196" s="67">
        <f t="shared" ca="1" si="77"/>
        <v>0</v>
      </c>
      <c r="Y196" s="67" t="e">
        <f t="shared" ca="1" si="84"/>
        <v>#N/A</v>
      </c>
      <c r="Z196" s="67" t="e">
        <f t="shared" ca="1" si="85"/>
        <v>#N/A</v>
      </c>
      <c r="AA196" s="5" t="str">
        <f>IF(Setup!$I$15="Yes",'Demand background (hide)'!AJ184+'SPC background (hide)'!C196,"")</f>
        <v/>
      </c>
      <c r="AC196" s="5" t="e">
        <f t="shared" ca="1" si="78"/>
        <v>#N/A</v>
      </c>
      <c r="AD196" s="5" t="e">
        <f t="shared" ca="1" si="79"/>
        <v>#N/A</v>
      </c>
    </row>
    <row r="197" spans="1:30" x14ac:dyDescent="0.25">
      <c r="A197" s="67" t="str">
        <f ca="1">Demand!C194</f>
        <v/>
      </c>
      <c r="B197" s="67">
        <v>182</v>
      </c>
      <c r="C197" s="5">
        <f ca="1">'Demand background (hide)'!Y185</f>
        <v>0</v>
      </c>
      <c r="D197" s="67">
        <f t="shared" si="63"/>
        <v>0</v>
      </c>
      <c r="E197" s="67" t="e">
        <f t="shared" ca="1" si="64"/>
        <v>#N/A</v>
      </c>
      <c r="F197" s="67" t="e">
        <f t="shared" ca="1" si="65"/>
        <v>#N/A</v>
      </c>
      <c r="G197" s="67" t="e">
        <f t="shared" ca="1" si="66"/>
        <v>#N/A</v>
      </c>
      <c r="H197" s="67" t="e">
        <f>IF('Demand background (hide)'!AN185&lt;&gt;"",'SPC background (hide)'!C197,NA())</f>
        <v>#N/A</v>
      </c>
      <c r="I197" s="67" t="e">
        <f t="shared" ca="1" si="67"/>
        <v>#N/A</v>
      </c>
      <c r="J197" s="5" t="e">
        <f t="shared" ca="1" si="68"/>
        <v>#N/A</v>
      </c>
      <c r="K197" s="5" t="e">
        <f t="shared" ca="1" si="69"/>
        <v>#N/A</v>
      </c>
      <c r="L197" s="5" t="e">
        <f t="shared" ca="1" si="70"/>
        <v>#N/A</v>
      </c>
      <c r="M197" s="5" t="e">
        <f t="shared" ca="1" si="71"/>
        <v>#N/A</v>
      </c>
      <c r="N197" s="5" t="e">
        <f t="shared" ca="1" si="72"/>
        <v>#N/A</v>
      </c>
      <c r="O197" s="5" t="e">
        <f t="shared" ca="1" si="73"/>
        <v>#N/A</v>
      </c>
      <c r="P197" s="5" t="e">
        <f t="shared" ca="1" si="74"/>
        <v>#N/A</v>
      </c>
      <c r="Q197" s="5" t="e">
        <f t="shared" ca="1" si="75"/>
        <v>#N/A</v>
      </c>
      <c r="R197" s="5" t="e">
        <f t="shared" ca="1" si="80"/>
        <v>#N/A</v>
      </c>
      <c r="S197" s="67" t="e">
        <f t="shared" ca="1" si="81"/>
        <v>#N/A</v>
      </c>
      <c r="T197" s="67" t="e">
        <f t="shared" ca="1" si="82"/>
        <v>#N/A</v>
      </c>
      <c r="U197" s="67" t="e">
        <f t="shared" ca="1" si="83"/>
        <v>#N/A</v>
      </c>
      <c r="V197" s="5" t="e">
        <f t="shared" ca="1" si="62"/>
        <v>#N/A</v>
      </c>
      <c r="W197" s="5" t="e">
        <f t="shared" ca="1" si="76"/>
        <v>#N/A</v>
      </c>
      <c r="X197" s="67">
        <f t="shared" ca="1" si="77"/>
        <v>0</v>
      </c>
      <c r="Y197" s="67" t="e">
        <f t="shared" ca="1" si="84"/>
        <v>#N/A</v>
      </c>
      <c r="Z197" s="67" t="e">
        <f t="shared" ca="1" si="85"/>
        <v>#N/A</v>
      </c>
      <c r="AA197" s="5" t="str">
        <f>IF(Setup!$I$15="Yes",'Demand background (hide)'!AJ185+'SPC background (hide)'!C197,"")</f>
        <v/>
      </c>
      <c r="AC197" s="5" t="e">
        <f t="shared" ca="1" si="78"/>
        <v>#N/A</v>
      </c>
      <c r="AD197" s="5" t="e">
        <f t="shared" ca="1" si="79"/>
        <v>#N/A</v>
      </c>
    </row>
    <row r="198" spans="1:30" x14ac:dyDescent="0.25">
      <c r="A198" s="67" t="str">
        <f ca="1">Demand!C195</f>
        <v/>
      </c>
      <c r="B198" s="67">
        <v>183</v>
      </c>
      <c r="C198" s="5">
        <f ca="1">'Demand background (hide)'!Y186</f>
        <v>0</v>
      </c>
      <c r="D198" s="67">
        <f t="shared" si="63"/>
        <v>0</v>
      </c>
      <c r="E198" s="67" t="e">
        <f t="shared" ca="1" si="64"/>
        <v>#N/A</v>
      </c>
      <c r="F198" s="67" t="e">
        <f t="shared" ca="1" si="65"/>
        <v>#N/A</v>
      </c>
      <c r="G198" s="67" t="e">
        <f t="shared" ca="1" si="66"/>
        <v>#N/A</v>
      </c>
      <c r="H198" s="67" t="e">
        <f>IF('Demand background (hide)'!AN186&lt;&gt;"",'SPC background (hide)'!C198,NA())</f>
        <v>#N/A</v>
      </c>
      <c r="I198" s="67" t="e">
        <f t="shared" ca="1" si="67"/>
        <v>#N/A</v>
      </c>
      <c r="J198" s="5" t="e">
        <f t="shared" ca="1" si="68"/>
        <v>#N/A</v>
      </c>
      <c r="K198" s="5" t="e">
        <f t="shared" ca="1" si="69"/>
        <v>#N/A</v>
      </c>
      <c r="L198" s="5" t="e">
        <f t="shared" ca="1" si="70"/>
        <v>#N/A</v>
      </c>
      <c r="M198" s="5" t="e">
        <f t="shared" ca="1" si="71"/>
        <v>#N/A</v>
      </c>
      <c r="N198" s="5" t="e">
        <f t="shared" ca="1" si="72"/>
        <v>#N/A</v>
      </c>
      <c r="O198" s="5" t="e">
        <f t="shared" ca="1" si="73"/>
        <v>#N/A</v>
      </c>
      <c r="P198" s="5" t="e">
        <f t="shared" ca="1" si="74"/>
        <v>#N/A</v>
      </c>
      <c r="Q198" s="5" t="e">
        <f t="shared" ca="1" si="75"/>
        <v>#N/A</v>
      </c>
      <c r="R198" s="5" t="e">
        <f t="shared" ca="1" si="80"/>
        <v>#N/A</v>
      </c>
      <c r="S198" s="67" t="e">
        <f t="shared" ca="1" si="81"/>
        <v>#N/A</v>
      </c>
      <c r="T198" s="67" t="e">
        <f t="shared" ca="1" si="82"/>
        <v>#N/A</v>
      </c>
      <c r="U198" s="67" t="e">
        <f t="shared" ca="1" si="83"/>
        <v>#N/A</v>
      </c>
      <c r="V198" s="5" t="e">
        <f t="shared" ca="1" si="62"/>
        <v>#N/A</v>
      </c>
      <c r="W198" s="5" t="e">
        <f t="shared" ca="1" si="76"/>
        <v>#N/A</v>
      </c>
      <c r="X198" s="67">
        <f t="shared" ca="1" si="77"/>
        <v>0</v>
      </c>
      <c r="Y198" s="67" t="e">
        <f t="shared" ca="1" si="84"/>
        <v>#N/A</v>
      </c>
      <c r="Z198" s="67" t="e">
        <f t="shared" ca="1" si="85"/>
        <v>#N/A</v>
      </c>
      <c r="AA198" s="5" t="str">
        <f>IF(Setup!$I$15="Yes",'Demand background (hide)'!AJ186+'SPC background (hide)'!C198,"")</f>
        <v/>
      </c>
      <c r="AC198" s="5" t="e">
        <f t="shared" ca="1" si="78"/>
        <v>#N/A</v>
      </c>
      <c r="AD198" s="5" t="e">
        <f t="shared" ca="1" si="79"/>
        <v>#N/A</v>
      </c>
    </row>
    <row r="199" spans="1:30" x14ac:dyDescent="0.25">
      <c r="A199" s="67" t="str">
        <f ca="1">Demand!C196</f>
        <v/>
      </c>
      <c r="B199" s="67">
        <v>184</v>
      </c>
      <c r="C199" s="5">
        <f ca="1">'Demand background (hide)'!Y187</f>
        <v>0</v>
      </c>
      <c r="D199" s="67">
        <f t="shared" si="63"/>
        <v>0</v>
      </c>
      <c r="E199" s="67" t="e">
        <f t="shared" ca="1" si="64"/>
        <v>#N/A</v>
      </c>
      <c r="F199" s="67" t="e">
        <f t="shared" ca="1" si="65"/>
        <v>#N/A</v>
      </c>
      <c r="G199" s="67" t="e">
        <f t="shared" ca="1" si="66"/>
        <v>#N/A</v>
      </c>
      <c r="H199" s="67" t="e">
        <f>IF('Demand background (hide)'!AN187&lt;&gt;"",'SPC background (hide)'!C199,NA())</f>
        <v>#N/A</v>
      </c>
      <c r="I199" s="67" t="e">
        <f t="shared" ca="1" si="67"/>
        <v>#N/A</v>
      </c>
      <c r="J199" s="5" t="e">
        <f t="shared" ca="1" si="68"/>
        <v>#N/A</v>
      </c>
      <c r="K199" s="5" t="e">
        <f t="shared" ca="1" si="69"/>
        <v>#N/A</v>
      </c>
      <c r="L199" s="5" t="e">
        <f t="shared" ca="1" si="70"/>
        <v>#N/A</v>
      </c>
      <c r="M199" s="5" t="e">
        <f t="shared" ca="1" si="71"/>
        <v>#N/A</v>
      </c>
      <c r="N199" s="5" t="e">
        <f t="shared" ca="1" si="72"/>
        <v>#N/A</v>
      </c>
      <c r="O199" s="5" t="e">
        <f t="shared" ca="1" si="73"/>
        <v>#N/A</v>
      </c>
      <c r="P199" s="5" t="e">
        <f t="shared" ca="1" si="74"/>
        <v>#N/A</v>
      </c>
      <c r="Q199" s="5" t="e">
        <f t="shared" ca="1" si="75"/>
        <v>#N/A</v>
      </c>
      <c r="R199" s="5" t="e">
        <f t="shared" ca="1" si="80"/>
        <v>#N/A</v>
      </c>
      <c r="S199" s="67" t="e">
        <f t="shared" ca="1" si="81"/>
        <v>#N/A</v>
      </c>
      <c r="T199" s="67" t="e">
        <f t="shared" ca="1" si="82"/>
        <v>#N/A</v>
      </c>
      <c r="U199" s="67" t="e">
        <f t="shared" ca="1" si="83"/>
        <v>#N/A</v>
      </c>
      <c r="V199" s="5" t="e">
        <f t="shared" ca="1" si="62"/>
        <v>#N/A</v>
      </c>
      <c r="W199" s="5" t="e">
        <f t="shared" ca="1" si="76"/>
        <v>#N/A</v>
      </c>
      <c r="X199" s="67">
        <f t="shared" ca="1" si="77"/>
        <v>0</v>
      </c>
      <c r="Y199" s="67" t="e">
        <f t="shared" ca="1" si="84"/>
        <v>#N/A</v>
      </c>
      <c r="Z199" s="67" t="e">
        <f t="shared" ca="1" si="85"/>
        <v>#N/A</v>
      </c>
      <c r="AA199" s="5" t="str">
        <f>IF(Setup!$I$15="Yes",'Demand background (hide)'!AJ187+'SPC background (hide)'!C199,"")</f>
        <v/>
      </c>
      <c r="AC199" s="5" t="e">
        <f t="shared" ca="1" si="78"/>
        <v>#N/A</v>
      </c>
      <c r="AD199" s="5" t="e">
        <f t="shared" ca="1" si="79"/>
        <v>#N/A</v>
      </c>
    </row>
    <row r="200" spans="1:30" x14ac:dyDescent="0.25">
      <c r="A200" s="67" t="str">
        <f ca="1">Demand!C197</f>
        <v/>
      </c>
      <c r="B200" s="67">
        <v>185</v>
      </c>
      <c r="C200" s="5">
        <f ca="1">'Demand background (hide)'!Y188</f>
        <v>0</v>
      </c>
      <c r="D200" s="67">
        <f t="shared" si="63"/>
        <v>0</v>
      </c>
      <c r="E200" s="67" t="e">
        <f t="shared" ca="1" si="64"/>
        <v>#N/A</v>
      </c>
      <c r="F200" s="67" t="e">
        <f t="shared" ca="1" si="65"/>
        <v>#N/A</v>
      </c>
      <c r="G200" s="67" t="e">
        <f t="shared" ca="1" si="66"/>
        <v>#N/A</v>
      </c>
      <c r="H200" s="67" t="e">
        <f>IF('Demand background (hide)'!AN188&lt;&gt;"",'SPC background (hide)'!C200,NA())</f>
        <v>#N/A</v>
      </c>
      <c r="I200" s="67" t="e">
        <f t="shared" ca="1" si="67"/>
        <v>#N/A</v>
      </c>
      <c r="J200" s="5" t="e">
        <f t="shared" ca="1" si="68"/>
        <v>#N/A</v>
      </c>
      <c r="K200" s="5" t="e">
        <f t="shared" ca="1" si="69"/>
        <v>#N/A</v>
      </c>
      <c r="L200" s="5" t="e">
        <f t="shared" ca="1" si="70"/>
        <v>#N/A</v>
      </c>
      <c r="M200" s="5" t="e">
        <f t="shared" ca="1" si="71"/>
        <v>#N/A</v>
      </c>
      <c r="N200" s="5" t="e">
        <f t="shared" ca="1" si="72"/>
        <v>#N/A</v>
      </c>
      <c r="O200" s="5" t="e">
        <f t="shared" ca="1" si="73"/>
        <v>#N/A</v>
      </c>
      <c r="P200" s="5" t="e">
        <f t="shared" ca="1" si="74"/>
        <v>#N/A</v>
      </c>
      <c r="Q200" s="5" t="e">
        <f t="shared" ca="1" si="75"/>
        <v>#N/A</v>
      </c>
      <c r="R200" s="5" t="e">
        <f t="shared" ca="1" si="80"/>
        <v>#N/A</v>
      </c>
      <c r="S200" s="67" t="e">
        <f t="shared" ca="1" si="81"/>
        <v>#N/A</v>
      </c>
      <c r="T200" s="67" t="e">
        <f t="shared" ca="1" si="82"/>
        <v>#N/A</v>
      </c>
      <c r="U200" s="67" t="e">
        <f t="shared" ca="1" si="83"/>
        <v>#N/A</v>
      </c>
      <c r="V200" s="5" t="e">
        <f t="shared" ca="1" si="62"/>
        <v>#N/A</v>
      </c>
      <c r="W200" s="5" t="e">
        <f t="shared" ca="1" si="76"/>
        <v>#N/A</v>
      </c>
      <c r="X200" s="67">
        <f t="shared" ca="1" si="77"/>
        <v>0</v>
      </c>
      <c r="Y200" s="67" t="e">
        <f t="shared" ca="1" si="84"/>
        <v>#N/A</v>
      </c>
      <c r="Z200" s="67" t="e">
        <f t="shared" ca="1" si="85"/>
        <v>#N/A</v>
      </c>
      <c r="AA200" s="5" t="str">
        <f>IF(Setup!$I$15="Yes",'Demand background (hide)'!AJ188+'SPC background (hide)'!C200,"")</f>
        <v/>
      </c>
      <c r="AC200" s="5" t="e">
        <f t="shared" ca="1" si="78"/>
        <v>#N/A</v>
      </c>
      <c r="AD200" s="5" t="e">
        <f t="shared" ca="1" si="79"/>
        <v>#N/A</v>
      </c>
    </row>
    <row r="201" spans="1:30" x14ac:dyDescent="0.25">
      <c r="A201" s="67" t="str">
        <f ca="1">Demand!C198</f>
        <v/>
      </c>
      <c r="B201" s="67">
        <v>186</v>
      </c>
      <c r="C201" s="5">
        <f ca="1">'Demand background (hide)'!Y189</f>
        <v>0</v>
      </c>
      <c r="D201" s="67">
        <f t="shared" si="63"/>
        <v>0</v>
      </c>
      <c r="E201" s="67" t="e">
        <f t="shared" ca="1" si="64"/>
        <v>#N/A</v>
      </c>
      <c r="F201" s="67" t="e">
        <f t="shared" ca="1" si="65"/>
        <v>#N/A</v>
      </c>
      <c r="G201" s="67" t="e">
        <f t="shared" ca="1" si="66"/>
        <v>#N/A</v>
      </c>
      <c r="H201" s="67" t="e">
        <f>IF('Demand background (hide)'!AN189&lt;&gt;"",'SPC background (hide)'!C201,NA())</f>
        <v>#N/A</v>
      </c>
      <c r="I201" s="67" t="e">
        <f t="shared" ca="1" si="67"/>
        <v>#N/A</v>
      </c>
      <c r="J201" s="5" t="e">
        <f t="shared" ca="1" si="68"/>
        <v>#N/A</v>
      </c>
      <c r="K201" s="5" t="e">
        <f t="shared" ca="1" si="69"/>
        <v>#N/A</v>
      </c>
      <c r="L201" s="5" t="e">
        <f t="shared" ca="1" si="70"/>
        <v>#N/A</v>
      </c>
      <c r="M201" s="5" t="e">
        <f t="shared" ca="1" si="71"/>
        <v>#N/A</v>
      </c>
      <c r="N201" s="5" t="e">
        <f t="shared" ca="1" si="72"/>
        <v>#N/A</v>
      </c>
      <c r="O201" s="5" t="e">
        <f t="shared" ca="1" si="73"/>
        <v>#N/A</v>
      </c>
      <c r="P201" s="5" t="e">
        <f t="shared" ca="1" si="74"/>
        <v>#N/A</v>
      </c>
      <c r="Q201" s="5" t="e">
        <f t="shared" ca="1" si="75"/>
        <v>#N/A</v>
      </c>
      <c r="R201" s="5" t="e">
        <f t="shared" ca="1" si="80"/>
        <v>#N/A</v>
      </c>
      <c r="S201" s="67" t="e">
        <f t="shared" ca="1" si="81"/>
        <v>#N/A</v>
      </c>
      <c r="T201" s="67" t="e">
        <f t="shared" ca="1" si="82"/>
        <v>#N/A</v>
      </c>
      <c r="U201" s="67" t="e">
        <f t="shared" ca="1" si="83"/>
        <v>#N/A</v>
      </c>
      <c r="V201" s="5" t="e">
        <f t="shared" ca="1" si="62"/>
        <v>#N/A</v>
      </c>
      <c r="W201" s="5" t="e">
        <f t="shared" ca="1" si="76"/>
        <v>#N/A</v>
      </c>
      <c r="X201" s="67">
        <f t="shared" ca="1" si="77"/>
        <v>0</v>
      </c>
      <c r="Y201" s="67" t="e">
        <f t="shared" ca="1" si="84"/>
        <v>#N/A</v>
      </c>
      <c r="Z201" s="67" t="e">
        <f t="shared" ca="1" si="85"/>
        <v>#N/A</v>
      </c>
      <c r="AA201" s="5" t="str">
        <f>IF(Setup!$I$15="Yes",'Demand background (hide)'!AJ189+'SPC background (hide)'!C201,"")</f>
        <v/>
      </c>
      <c r="AC201" s="5" t="e">
        <f t="shared" ca="1" si="78"/>
        <v>#N/A</v>
      </c>
      <c r="AD201" s="5" t="e">
        <f t="shared" ca="1" si="79"/>
        <v>#N/A</v>
      </c>
    </row>
    <row r="202" spans="1:30" x14ac:dyDescent="0.25">
      <c r="A202" s="67" t="str">
        <f ca="1">Demand!C199</f>
        <v/>
      </c>
      <c r="B202" s="67">
        <v>187</v>
      </c>
      <c r="C202" s="5">
        <f ca="1">'Demand background (hide)'!Y190</f>
        <v>0</v>
      </c>
      <c r="D202" s="67">
        <f t="shared" si="63"/>
        <v>0</v>
      </c>
      <c r="E202" s="67" t="e">
        <f t="shared" ca="1" si="64"/>
        <v>#N/A</v>
      </c>
      <c r="F202" s="67" t="e">
        <f t="shared" ca="1" si="65"/>
        <v>#N/A</v>
      </c>
      <c r="G202" s="67" t="e">
        <f t="shared" ca="1" si="66"/>
        <v>#N/A</v>
      </c>
      <c r="H202" s="67" t="e">
        <f>IF('Demand background (hide)'!AN190&lt;&gt;"",'SPC background (hide)'!C202,NA())</f>
        <v>#N/A</v>
      </c>
      <c r="I202" s="67" t="e">
        <f t="shared" ca="1" si="67"/>
        <v>#N/A</v>
      </c>
      <c r="J202" s="5" t="e">
        <f t="shared" ca="1" si="68"/>
        <v>#N/A</v>
      </c>
      <c r="K202" s="5" t="e">
        <f t="shared" ca="1" si="69"/>
        <v>#N/A</v>
      </c>
      <c r="L202" s="5" t="e">
        <f t="shared" ca="1" si="70"/>
        <v>#N/A</v>
      </c>
      <c r="M202" s="5" t="e">
        <f t="shared" ca="1" si="71"/>
        <v>#N/A</v>
      </c>
      <c r="N202" s="5" t="e">
        <f t="shared" ca="1" si="72"/>
        <v>#N/A</v>
      </c>
      <c r="O202" s="5" t="e">
        <f t="shared" ca="1" si="73"/>
        <v>#N/A</v>
      </c>
      <c r="P202" s="5" t="e">
        <f t="shared" ca="1" si="74"/>
        <v>#N/A</v>
      </c>
      <c r="Q202" s="5" t="e">
        <f t="shared" ca="1" si="75"/>
        <v>#N/A</v>
      </c>
      <c r="R202" s="5" t="e">
        <f t="shared" ca="1" si="80"/>
        <v>#N/A</v>
      </c>
      <c r="S202" s="67" t="e">
        <f t="shared" ca="1" si="81"/>
        <v>#N/A</v>
      </c>
      <c r="T202" s="67" t="e">
        <f t="shared" ca="1" si="82"/>
        <v>#N/A</v>
      </c>
      <c r="U202" s="67" t="e">
        <f t="shared" ca="1" si="83"/>
        <v>#N/A</v>
      </c>
      <c r="V202" s="5" t="e">
        <f t="shared" ca="1" si="62"/>
        <v>#N/A</v>
      </c>
      <c r="W202" s="5" t="e">
        <f t="shared" ca="1" si="76"/>
        <v>#N/A</v>
      </c>
      <c r="X202" s="67">
        <f t="shared" ca="1" si="77"/>
        <v>0</v>
      </c>
      <c r="Y202" s="67" t="e">
        <f t="shared" ca="1" si="84"/>
        <v>#N/A</v>
      </c>
      <c r="Z202" s="67" t="e">
        <f t="shared" ca="1" si="85"/>
        <v>#N/A</v>
      </c>
      <c r="AA202" s="5" t="str">
        <f>IF(Setup!$I$15="Yes",'Demand background (hide)'!AJ190+'SPC background (hide)'!C202,"")</f>
        <v/>
      </c>
      <c r="AC202" s="5" t="e">
        <f t="shared" ca="1" si="78"/>
        <v>#N/A</v>
      </c>
      <c r="AD202" s="5" t="e">
        <f t="shared" ca="1" si="79"/>
        <v>#N/A</v>
      </c>
    </row>
    <row r="203" spans="1:30" x14ac:dyDescent="0.25">
      <c r="A203" s="67" t="str">
        <f ca="1">Demand!C200</f>
        <v/>
      </c>
      <c r="B203" s="67">
        <v>188</v>
      </c>
      <c r="C203" s="5">
        <f ca="1">'Demand background (hide)'!Y191</f>
        <v>0</v>
      </c>
      <c r="D203" s="67">
        <f t="shared" si="63"/>
        <v>0</v>
      </c>
      <c r="E203" s="67" t="e">
        <f t="shared" ca="1" si="64"/>
        <v>#N/A</v>
      </c>
      <c r="F203" s="67" t="e">
        <f t="shared" ca="1" si="65"/>
        <v>#N/A</v>
      </c>
      <c r="G203" s="67" t="e">
        <f t="shared" ca="1" si="66"/>
        <v>#N/A</v>
      </c>
      <c r="H203" s="67" t="e">
        <f>IF('Demand background (hide)'!AN191&lt;&gt;"",'SPC background (hide)'!C203,NA())</f>
        <v>#N/A</v>
      </c>
      <c r="I203" s="67" t="e">
        <f t="shared" ca="1" si="67"/>
        <v>#N/A</v>
      </c>
      <c r="J203" s="5" t="e">
        <f t="shared" ca="1" si="68"/>
        <v>#N/A</v>
      </c>
      <c r="K203" s="5" t="e">
        <f t="shared" ca="1" si="69"/>
        <v>#N/A</v>
      </c>
      <c r="L203" s="5" t="e">
        <f t="shared" ca="1" si="70"/>
        <v>#N/A</v>
      </c>
      <c r="M203" s="5" t="e">
        <f t="shared" ca="1" si="71"/>
        <v>#N/A</v>
      </c>
      <c r="N203" s="5" t="e">
        <f t="shared" ca="1" si="72"/>
        <v>#N/A</v>
      </c>
      <c r="O203" s="5" t="e">
        <f t="shared" ca="1" si="73"/>
        <v>#N/A</v>
      </c>
      <c r="P203" s="5" t="e">
        <f t="shared" ca="1" si="74"/>
        <v>#N/A</v>
      </c>
      <c r="Q203" s="5" t="e">
        <f t="shared" ca="1" si="75"/>
        <v>#N/A</v>
      </c>
      <c r="R203" s="5" t="e">
        <f t="shared" ca="1" si="80"/>
        <v>#N/A</v>
      </c>
      <c r="S203" s="67" t="e">
        <f t="shared" ca="1" si="81"/>
        <v>#N/A</v>
      </c>
      <c r="T203" s="67" t="e">
        <f t="shared" ca="1" si="82"/>
        <v>#N/A</v>
      </c>
      <c r="U203" s="67" t="e">
        <f t="shared" ca="1" si="83"/>
        <v>#N/A</v>
      </c>
      <c r="V203" s="5" t="e">
        <f t="shared" ca="1" si="62"/>
        <v>#N/A</v>
      </c>
      <c r="W203" s="5" t="e">
        <f t="shared" ca="1" si="76"/>
        <v>#N/A</v>
      </c>
      <c r="X203" s="67">
        <f t="shared" ca="1" si="77"/>
        <v>0</v>
      </c>
      <c r="Y203" s="67" t="e">
        <f t="shared" ca="1" si="84"/>
        <v>#N/A</v>
      </c>
      <c r="Z203" s="67" t="e">
        <f t="shared" ca="1" si="85"/>
        <v>#N/A</v>
      </c>
      <c r="AA203" s="5" t="str">
        <f>IF(Setup!$I$15="Yes",'Demand background (hide)'!AJ191+'SPC background (hide)'!C203,"")</f>
        <v/>
      </c>
      <c r="AC203" s="5" t="e">
        <f t="shared" ca="1" si="78"/>
        <v>#N/A</v>
      </c>
      <c r="AD203" s="5" t="e">
        <f t="shared" ca="1" si="79"/>
        <v>#N/A</v>
      </c>
    </row>
    <row r="204" spans="1:30" x14ac:dyDescent="0.25">
      <c r="A204" s="67" t="str">
        <f ca="1">Demand!C201</f>
        <v/>
      </c>
      <c r="B204" s="67">
        <v>189</v>
      </c>
      <c r="C204" s="5">
        <f ca="1">'Demand background (hide)'!Y192</f>
        <v>0</v>
      </c>
      <c r="D204" s="67">
        <f t="shared" si="63"/>
        <v>0</v>
      </c>
      <c r="E204" s="67" t="e">
        <f t="shared" ca="1" si="64"/>
        <v>#N/A</v>
      </c>
      <c r="F204" s="67" t="e">
        <f t="shared" ca="1" si="65"/>
        <v>#N/A</v>
      </c>
      <c r="G204" s="67" t="e">
        <f t="shared" ca="1" si="66"/>
        <v>#N/A</v>
      </c>
      <c r="H204" s="67" t="e">
        <f>IF('Demand background (hide)'!AN192&lt;&gt;"",'SPC background (hide)'!C204,NA())</f>
        <v>#N/A</v>
      </c>
      <c r="I204" s="67" t="e">
        <f t="shared" ca="1" si="67"/>
        <v>#N/A</v>
      </c>
      <c r="J204" s="5" t="e">
        <f t="shared" ca="1" si="68"/>
        <v>#N/A</v>
      </c>
      <c r="K204" s="5" t="e">
        <f t="shared" ca="1" si="69"/>
        <v>#N/A</v>
      </c>
      <c r="L204" s="5" t="e">
        <f t="shared" ca="1" si="70"/>
        <v>#N/A</v>
      </c>
      <c r="M204" s="5" t="e">
        <f t="shared" ca="1" si="71"/>
        <v>#N/A</v>
      </c>
      <c r="N204" s="5" t="e">
        <f t="shared" ca="1" si="72"/>
        <v>#N/A</v>
      </c>
      <c r="O204" s="5" t="e">
        <f t="shared" ca="1" si="73"/>
        <v>#N/A</v>
      </c>
      <c r="P204" s="5" t="e">
        <f t="shared" ca="1" si="74"/>
        <v>#N/A</v>
      </c>
      <c r="Q204" s="5" t="e">
        <f t="shared" ca="1" si="75"/>
        <v>#N/A</v>
      </c>
      <c r="R204" s="5" t="e">
        <f t="shared" ca="1" si="80"/>
        <v>#N/A</v>
      </c>
      <c r="S204" s="67" t="e">
        <f t="shared" ca="1" si="81"/>
        <v>#N/A</v>
      </c>
      <c r="T204" s="67" t="e">
        <f t="shared" ca="1" si="82"/>
        <v>#N/A</v>
      </c>
      <c r="U204" s="67" t="e">
        <f t="shared" ca="1" si="83"/>
        <v>#N/A</v>
      </c>
      <c r="V204" s="5" t="e">
        <f t="shared" ca="1" si="62"/>
        <v>#N/A</v>
      </c>
      <c r="W204" s="5" t="e">
        <f t="shared" ca="1" si="76"/>
        <v>#N/A</v>
      </c>
      <c r="X204" s="67">
        <f t="shared" ca="1" si="77"/>
        <v>0</v>
      </c>
      <c r="Y204" s="67" t="e">
        <f t="shared" ca="1" si="84"/>
        <v>#N/A</v>
      </c>
      <c r="Z204" s="67" t="e">
        <f t="shared" ca="1" si="85"/>
        <v>#N/A</v>
      </c>
      <c r="AA204" s="5" t="str">
        <f>IF(Setup!$I$15="Yes",'Demand background (hide)'!AJ192+'SPC background (hide)'!C204,"")</f>
        <v/>
      </c>
      <c r="AC204" s="5" t="e">
        <f t="shared" ca="1" si="78"/>
        <v>#N/A</v>
      </c>
      <c r="AD204" s="5" t="e">
        <f t="shared" ca="1" si="79"/>
        <v>#N/A</v>
      </c>
    </row>
    <row r="205" spans="1:30" x14ac:dyDescent="0.25">
      <c r="A205" s="67" t="str">
        <f ca="1">Demand!C202</f>
        <v/>
      </c>
      <c r="B205" s="67">
        <v>190</v>
      </c>
      <c r="C205" s="5">
        <f ca="1">'Demand background (hide)'!Y193</f>
        <v>0</v>
      </c>
      <c r="D205" s="67">
        <f t="shared" si="63"/>
        <v>0</v>
      </c>
      <c r="E205" s="67" t="e">
        <f t="shared" ca="1" si="64"/>
        <v>#N/A</v>
      </c>
      <c r="F205" s="67" t="e">
        <f t="shared" ca="1" si="65"/>
        <v>#N/A</v>
      </c>
      <c r="G205" s="67" t="e">
        <f t="shared" ca="1" si="66"/>
        <v>#N/A</v>
      </c>
      <c r="H205" s="67" t="e">
        <f>IF('Demand background (hide)'!AN193&lt;&gt;"",'SPC background (hide)'!C205,NA())</f>
        <v>#N/A</v>
      </c>
      <c r="I205" s="67" t="e">
        <f t="shared" ca="1" si="67"/>
        <v>#N/A</v>
      </c>
      <c r="J205" s="5" t="e">
        <f t="shared" ca="1" si="68"/>
        <v>#N/A</v>
      </c>
      <c r="K205" s="5" t="e">
        <f t="shared" ca="1" si="69"/>
        <v>#N/A</v>
      </c>
      <c r="L205" s="5" t="e">
        <f t="shared" ca="1" si="70"/>
        <v>#N/A</v>
      </c>
      <c r="M205" s="5" t="e">
        <f t="shared" ca="1" si="71"/>
        <v>#N/A</v>
      </c>
      <c r="N205" s="5" t="e">
        <f t="shared" ca="1" si="72"/>
        <v>#N/A</v>
      </c>
      <c r="O205" s="5" t="e">
        <f t="shared" ca="1" si="73"/>
        <v>#N/A</v>
      </c>
      <c r="P205" s="5" t="e">
        <f t="shared" ca="1" si="74"/>
        <v>#N/A</v>
      </c>
      <c r="Q205" s="5" t="e">
        <f t="shared" ca="1" si="75"/>
        <v>#N/A</v>
      </c>
      <c r="R205" s="5" t="e">
        <f t="shared" ca="1" si="80"/>
        <v>#N/A</v>
      </c>
      <c r="S205" s="67" t="e">
        <f t="shared" ca="1" si="81"/>
        <v>#N/A</v>
      </c>
      <c r="T205" s="67" t="e">
        <f t="shared" ca="1" si="82"/>
        <v>#N/A</v>
      </c>
      <c r="U205" s="67" t="e">
        <f t="shared" ca="1" si="83"/>
        <v>#N/A</v>
      </c>
      <c r="V205" s="5" t="e">
        <f t="shared" ca="1" si="62"/>
        <v>#N/A</v>
      </c>
      <c r="W205" s="5" t="e">
        <f t="shared" ca="1" si="76"/>
        <v>#N/A</v>
      </c>
      <c r="X205" s="67">
        <f t="shared" ca="1" si="77"/>
        <v>0</v>
      </c>
      <c r="Y205" s="67" t="e">
        <f t="shared" ca="1" si="84"/>
        <v>#N/A</v>
      </c>
      <c r="Z205" s="67" t="e">
        <f t="shared" ca="1" si="85"/>
        <v>#N/A</v>
      </c>
      <c r="AA205" s="5" t="str">
        <f>IF(Setup!$I$15="Yes",'Demand background (hide)'!AJ193+'SPC background (hide)'!C205,"")</f>
        <v/>
      </c>
      <c r="AC205" s="5" t="e">
        <f t="shared" ca="1" si="78"/>
        <v>#N/A</v>
      </c>
      <c r="AD205" s="5" t="e">
        <f t="shared" ca="1" si="79"/>
        <v>#N/A</v>
      </c>
    </row>
    <row r="206" spans="1:30" x14ac:dyDescent="0.25">
      <c r="A206" s="67" t="str">
        <f ca="1">Demand!C203</f>
        <v/>
      </c>
      <c r="B206" s="67">
        <v>191</v>
      </c>
      <c r="C206" s="5">
        <f ca="1">'Demand background (hide)'!Y194</f>
        <v>0</v>
      </c>
      <c r="D206" s="67">
        <f t="shared" si="63"/>
        <v>0</v>
      </c>
      <c r="E206" s="67" t="e">
        <f t="shared" ca="1" si="64"/>
        <v>#N/A</v>
      </c>
      <c r="F206" s="67" t="e">
        <f t="shared" ca="1" si="65"/>
        <v>#N/A</v>
      </c>
      <c r="G206" s="67" t="e">
        <f t="shared" ca="1" si="66"/>
        <v>#N/A</v>
      </c>
      <c r="H206" s="67" t="e">
        <f>IF('Demand background (hide)'!AN194&lt;&gt;"",'SPC background (hide)'!C206,NA())</f>
        <v>#N/A</v>
      </c>
      <c r="I206" s="67" t="e">
        <f t="shared" ca="1" si="67"/>
        <v>#N/A</v>
      </c>
      <c r="J206" s="5" t="e">
        <f t="shared" ca="1" si="68"/>
        <v>#N/A</v>
      </c>
      <c r="K206" s="5" t="e">
        <f t="shared" ca="1" si="69"/>
        <v>#N/A</v>
      </c>
      <c r="L206" s="5" t="e">
        <f t="shared" ca="1" si="70"/>
        <v>#N/A</v>
      </c>
      <c r="M206" s="5" t="e">
        <f t="shared" ca="1" si="71"/>
        <v>#N/A</v>
      </c>
      <c r="N206" s="5" t="e">
        <f t="shared" ca="1" si="72"/>
        <v>#N/A</v>
      </c>
      <c r="O206" s="5" t="e">
        <f t="shared" ca="1" si="73"/>
        <v>#N/A</v>
      </c>
      <c r="P206" s="5" t="e">
        <f t="shared" ca="1" si="74"/>
        <v>#N/A</v>
      </c>
      <c r="Q206" s="5" t="e">
        <f t="shared" ca="1" si="75"/>
        <v>#N/A</v>
      </c>
      <c r="R206" s="5" t="e">
        <f t="shared" ca="1" si="80"/>
        <v>#N/A</v>
      </c>
      <c r="S206" s="67" t="e">
        <f t="shared" ca="1" si="81"/>
        <v>#N/A</v>
      </c>
      <c r="T206" s="67" t="e">
        <f t="shared" ca="1" si="82"/>
        <v>#N/A</v>
      </c>
      <c r="U206" s="67" t="e">
        <f t="shared" ca="1" si="83"/>
        <v>#N/A</v>
      </c>
      <c r="V206" s="5" t="e">
        <f t="shared" ca="1" si="62"/>
        <v>#N/A</v>
      </c>
      <c r="W206" s="5" t="e">
        <f t="shared" ca="1" si="76"/>
        <v>#N/A</v>
      </c>
      <c r="X206" s="67">
        <f t="shared" ca="1" si="77"/>
        <v>0</v>
      </c>
      <c r="Y206" s="67" t="e">
        <f t="shared" ca="1" si="84"/>
        <v>#N/A</v>
      </c>
      <c r="Z206" s="67" t="e">
        <f t="shared" ca="1" si="85"/>
        <v>#N/A</v>
      </c>
      <c r="AA206" s="5" t="str">
        <f>IF(Setup!$I$15="Yes",'Demand background (hide)'!AJ194+'SPC background (hide)'!C206,"")</f>
        <v/>
      </c>
      <c r="AC206" s="5" t="e">
        <f t="shared" ca="1" si="78"/>
        <v>#N/A</v>
      </c>
      <c r="AD206" s="5" t="e">
        <f t="shared" ca="1" si="79"/>
        <v>#N/A</v>
      </c>
    </row>
    <row r="207" spans="1:30" x14ac:dyDescent="0.25">
      <c r="A207" s="67" t="str">
        <f ca="1">Demand!C204</f>
        <v/>
      </c>
      <c r="B207" s="67">
        <v>192</v>
      </c>
      <c r="C207" s="5">
        <f ca="1">'Demand background (hide)'!Y195</f>
        <v>0</v>
      </c>
      <c r="D207" s="67">
        <f t="shared" si="63"/>
        <v>0</v>
      </c>
      <c r="E207" s="67" t="e">
        <f t="shared" ca="1" si="64"/>
        <v>#N/A</v>
      </c>
      <c r="F207" s="67" t="e">
        <f t="shared" ca="1" si="65"/>
        <v>#N/A</v>
      </c>
      <c r="G207" s="67" t="e">
        <f t="shared" ca="1" si="66"/>
        <v>#N/A</v>
      </c>
      <c r="H207" s="67" t="e">
        <f>IF('Demand background (hide)'!AN195&lt;&gt;"",'SPC background (hide)'!C207,NA())</f>
        <v>#N/A</v>
      </c>
      <c r="I207" s="67" t="e">
        <f t="shared" ca="1" si="67"/>
        <v>#N/A</v>
      </c>
      <c r="J207" s="5" t="e">
        <f t="shared" ca="1" si="68"/>
        <v>#N/A</v>
      </c>
      <c r="K207" s="5" t="e">
        <f t="shared" ca="1" si="69"/>
        <v>#N/A</v>
      </c>
      <c r="L207" s="5" t="e">
        <f t="shared" ca="1" si="70"/>
        <v>#N/A</v>
      </c>
      <c r="M207" s="5" t="e">
        <f t="shared" ca="1" si="71"/>
        <v>#N/A</v>
      </c>
      <c r="N207" s="5" t="e">
        <f t="shared" ca="1" si="72"/>
        <v>#N/A</v>
      </c>
      <c r="O207" s="5" t="e">
        <f t="shared" ca="1" si="73"/>
        <v>#N/A</v>
      </c>
      <c r="P207" s="5" t="e">
        <f t="shared" ca="1" si="74"/>
        <v>#N/A</v>
      </c>
      <c r="Q207" s="5" t="e">
        <f t="shared" ca="1" si="75"/>
        <v>#N/A</v>
      </c>
      <c r="R207" s="5" t="e">
        <f t="shared" ca="1" si="80"/>
        <v>#N/A</v>
      </c>
      <c r="S207" s="67" t="e">
        <f t="shared" ca="1" si="81"/>
        <v>#N/A</v>
      </c>
      <c r="T207" s="67" t="e">
        <f t="shared" ca="1" si="82"/>
        <v>#N/A</v>
      </c>
      <c r="U207" s="67" t="e">
        <f t="shared" ca="1" si="83"/>
        <v>#N/A</v>
      </c>
      <c r="V207" s="5" t="e">
        <f t="shared" ca="1" si="62"/>
        <v>#N/A</v>
      </c>
      <c r="W207" s="5" t="e">
        <f t="shared" ca="1" si="76"/>
        <v>#N/A</v>
      </c>
      <c r="X207" s="67">
        <f t="shared" ca="1" si="77"/>
        <v>0</v>
      </c>
      <c r="Y207" s="67" t="e">
        <f t="shared" ca="1" si="84"/>
        <v>#N/A</v>
      </c>
      <c r="Z207" s="67" t="e">
        <f t="shared" ca="1" si="85"/>
        <v>#N/A</v>
      </c>
      <c r="AA207" s="5" t="str">
        <f>IF(Setup!$I$15="Yes",'Demand background (hide)'!AJ195+'SPC background (hide)'!C207,"")</f>
        <v/>
      </c>
      <c r="AC207" s="5" t="e">
        <f t="shared" ca="1" si="78"/>
        <v>#N/A</v>
      </c>
      <c r="AD207" s="5" t="e">
        <f t="shared" ca="1" si="79"/>
        <v>#N/A</v>
      </c>
    </row>
    <row r="208" spans="1:30" x14ac:dyDescent="0.25">
      <c r="A208" s="67" t="str">
        <f ca="1">Demand!C205</f>
        <v/>
      </c>
      <c r="B208" s="67">
        <v>193</v>
      </c>
      <c r="C208" s="5">
        <f ca="1">'Demand background (hide)'!Y196</f>
        <v>0</v>
      </c>
      <c r="D208" s="67">
        <f t="shared" si="63"/>
        <v>0</v>
      </c>
      <c r="E208" s="67" t="e">
        <f t="shared" ca="1" si="64"/>
        <v>#N/A</v>
      </c>
      <c r="F208" s="67" t="e">
        <f t="shared" ca="1" si="65"/>
        <v>#N/A</v>
      </c>
      <c r="G208" s="67" t="e">
        <f t="shared" ca="1" si="66"/>
        <v>#N/A</v>
      </c>
      <c r="H208" s="67" t="e">
        <f>IF('Demand background (hide)'!AN196&lt;&gt;"",'SPC background (hide)'!C208,NA())</f>
        <v>#N/A</v>
      </c>
      <c r="I208" s="67" t="e">
        <f t="shared" ca="1" si="67"/>
        <v>#N/A</v>
      </c>
      <c r="J208" s="5" t="e">
        <f t="shared" ca="1" si="68"/>
        <v>#N/A</v>
      </c>
      <c r="K208" s="5" t="e">
        <f t="shared" ca="1" si="69"/>
        <v>#N/A</v>
      </c>
      <c r="L208" s="5" t="e">
        <f t="shared" ca="1" si="70"/>
        <v>#N/A</v>
      </c>
      <c r="M208" s="5" t="e">
        <f t="shared" ca="1" si="71"/>
        <v>#N/A</v>
      </c>
      <c r="N208" s="5" t="e">
        <f t="shared" ca="1" si="72"/>
        <v>#N/A</v>
      </c>
      <c r="O208" s="5" t="e">
        <f t="shared" ca="1" si="73"/>
        <v>#N/A</v>
      </c>
      <c r="P208" s="5" t="e">
        <f t="shared" ca="1" si="74"/>
        <v>#N/A</v>
      </c>
      <c r="Q208" s="5" t="e">
        <f t="shared" ca="1" si="75"/>
        <v>#N/A</v>
      </c>
      <c r="R208" s="5" t="e">
        <f t="shared" ca="1" si="80"/>
        <v>#N/A</v>
      </c>
      <c r="S208" s="67" t="e">
        <f t="shared" ca="1" si="81"/>
        <v>#N/A</v>
      </c>
      <c r="T208" s="67" t="e">
        <f t="shared" ca="1" si="82"/>
        <v>#N/A</v>
      </c>
      <c r="U208" s="67" t="e">
        <f t="shared" ca="1" si="83"/>
        <v>#N/A</v>
      </c>
      <c r="V208" s="5" t="e">
        <f t="shared" ref="V208:V275" ca="1" si="86">IF(C208&lt;M208,-1,IF(C208&gt;M208,1,0))</f>
        <v>#N/A</v>
      </c>
      <c r="W208" s="5" t="e">
        <f t="shared" ca="1" si="76"/>
        <v>#N/A</v>
      </c>
      <c r="X208" s="67">
        <f t="shared" ca="1" si="77"/>
        <v>0</v>
      </c>
      <c r="Y208" s="67" t="e">
        <f t="shared" ca="1" si="84"/>
        <v>#N/A</v>
      </c>
      <c r="Z208" s="67" t="e">
        <f t="shared" ca="1" si="85"/>
        <v>#N/A</v>
      </c>
      <c r="AA208" s="5" t="str">
        <f>IF(Setup!$I$15="Yes",'Demand background (hide)'!AJ196+'SPC background (hide)'!C208,"")</f>
        <v/>
      </c>
      <c r="AC208" s="5" t="e">
        <f t="shared" ca="1" si="78"/>
        <v>#N/A</v>
      </c>
      <c r="AD208" s="5" t="e">
        <f t="shared" ca="1" si="79"/>
        <v>#N/A</v>
      </c>
    </row>
    <row r="209" spans="1:30" x14ac:dyDescent="0.25">
      <c r="A209" s="67" t="str">
        <f ca="1">Demand!C206</f>
        <v/>
      </c>
      <c r="B209" s="67">
        <v>194</v>
      </c>
      <c r="C209" s="5">
        <f ca="1">'Demand background (hide)'!Y197</f>
        <v>0</v>
      </c>
      <c r="D209" s="67">
        <f t="shared" ref="D209:D272" si="87">IF(AND($B209&gt;=$C$4,$B209&lt;=$D$5+$C$5-1),1,0)</f>
        <v>0</v>
      </c>
      <c r="E209" s="67" t="e">
        <f t="shared" ref="E209:E272" ca="1" si="88">IF(AND($B209&gt;=$D$6,$B209&lt;=$D$7+$C$7-1),1,0)</f>
        <v>#N/A</v>
      </c>
      <c r="F209" s="67" t="e">
        <f t="shared" ref="F209:F272" ca="1" si="89">IF(AND($B209&gt;=$D$8,$B209&lt;=$D$9+$C$9-1),1,0)</f>
        <v>#N/A</v>
      </c>
      <c r="G209" s="67" t="e">
        <f t="shared" ref="G209:G272" ca="1" si="90">IF(AND($B209&gt;=$D$10,$B209&lt;=$D$11+$C$11-1),1,0)</f>
        <v>#N/A</v>
      </c>
      <c r="H209" s="67" t="e">
        <f>IF('Demand background (hide)'!AN197&lt;&gt;"",'SPC background (hide)'!C209,NA())</f>
        <v>#N/A</v>
      </c>
      <c r="I209" s="67" t="e">
        <f t="shared" ref="I209:I272" ca="1" si="91">VLOOKUP(A209,$AG$2:$AI$54,3,0)</f>
        <v>#N/A</v>
      </c>
      <c r="J209" s="5" t="e">
        <f t="shared" ref="J209:J272" ca="1" si="92">VLOOKUP($A209,$AG$2:$AQ$54,COLUMN(E$1),0)</f>
        <v>#N/A</v>
      </c>
      <c r="K209" s="5" t="e">
        <f t="shared" ref="K209:K272" ca="1" si="93">VLOOKUP($A209,$AG$2:$AQ$54,COLUMN(F$1),0)</f>
        <v>#N/A</v>
      </c>
      <c r="L209" s="5" t="e">
        <f t="shared" ref="L209:L272" ca="1" si="94">VLOOKUP($A209,$AG$2:$AQ$54,COLUMN(G$1),0)</f>
        <v>#N/A</v>
      </c>
      <c r="M209" s="5" t="e">
        <f t="shared" ref="M209:M272" ca="1" si="95">VLOOKUP($A209,$AG$2:$AQ$54,COLUMN(H$1),0)</f>
        <v>#N/A</v>
      </c>
      <c r="N209" s="5" t="e">
        <f t="shared" ref="N209:N272" ca="1" si="96">VLOOKUP($A209,$AG$2:$AQ$54,COLUMN(I$1),0)</f>
        <v>#N/A</v>
      </c>
      <c r="O209" s="5" t="e">
        <f t="shared" ref="O209:O272" ca="1" si="97">VLOOKUP($A209,$AG$2:$AQ$54,COLUMN(J$1),0)</f>
        <v>#N/A</v>
      </c>
      <c r="P209" s="5" t="e">
        <f t="shared" ref="P209:P272" ca="1" si="98">VLOOKUP($A209,$AG$2:$AQ$54,COLUMN(K$1),0)</f>
        <v>#N/A</v>
      </c>
      <c r="Q209" s="5" t="e">
        <f t="shared" ref="Q209:Q272" ca="1" si="99">IF(ISNA(H209)=TRUE,IF(OR(C209&gt;P209,C209&lt;J209),C209,NA()),NA())</f>
        <v>#N/A</v>
      </c>
      <c r="R209" s="5" t="e">
        <f t="shared" ca="1" si="80"/>
        <v>#N/A</v>
      </c>
      <c r="S209" s="67" t="e">
        <f t="shared" ca="1" si="81"/>
        <v>#N/A</v>
      </c>
      <c r="T209" s="67" t="e">
        <f t="shared" ca="1" si="82"/>
        <v>#N/A</v>
      </c>
      <c r="U209" s="67" t="e">
        <f t="shared" ca="1" si="83"/>
        <v>#N/A</v>
      </c>
      <c r="V209" s="5" t="e">
        <f t="shared" ca="1" si="86"/>
        <v>#N/A</v>
      </c>
      <c r="W209" s="5" t="e">
        <f t="shared" ref="W209:W272" ca="1" si="100">IF(ISNA(H209)=TRUE,IF(ABS(SUM(V209:V217))=9,C209,NA()),NA())</f>
        <v>#N/A</v>
      </c>
      <c r="X209" s="67">
        <f t="shared" ref="X209:X275" ca="1" si="101">IF(C209&gt;C208,1,IF(C209&lt;C208,-1,0))</f>
        <v>0</v>
      </c>
      <c r="Y209" s="67" t="e">
        <f t="shared" ca="1" si="84"/>
        <v>#N/A</v>
      </c>
      <c r="Z209" s="67" t="e">
        <f t="shared" ca="1" si="85"/>
        <v>#N/A</v>
      </c>
      <c r="AA209" s="5" t="str">
        <f>IF(Setup!$I$15="Yes",'Demand background (hide)'!AJ197+'SPC background (hide)'!C209,"")</f>
        <v/>
      </c>
      <c r="AC209" s="5" t="e">
        <f t="shared" ref="AC209:AC272" ca="1" si="102">VLOOKUP($A209,$AG$2:$AS$54,12,0)</f>
        <v>#N/A</v>
      </c>
      <c r="AD209" s="5" t="e">
        <f t="shared" ref="AD209:AD272" ca="1" si="103">VLOOKUP($A209,$AG$2:$AS$54,13,0)</f>
        <v>#N/A</v>
      </c>
    </row>
    <row r="210" spans="1:30" x14ac:dyDescent="0.25">
      <c r="A210" s="67" t="str">
        <f ca="1">Demand!C207</f>
        <v/>
      </c>
      <c r="B210" s="67">
        <v>195</v>
      </c>
      <c r="C210" s="5">
        <f ca="1">'Demand background (hide)'!Y198</f>
        <v>0</v>
      </c>
      <c r="D210" s="67">
        <f t="shared" si="87"/>
        <v>0</v>
      </c>
      <c r="E210" s="67" t="e">
        <f t="shared" ca="1" si="88"/>
        <v>#N/A</v>
      </c>
      <c r="F210" s="67" t="e">
        <f t="shared" ca="1" si="89"/>
        <v>#N/A</v>
      </c>
      <c r="G210" s="67" t="e">
        <f t="shared" ca="1" si="90"/>
        <v>#N/A</v>
      </c>
      <c r="H210" s="67" t="e">
        <f>IF('Demand background (hide)'!AN198&lt;&gt;"",'SPC background (hide)'!C210,NA())</f>
        <v>#N/A</v>
      </c>
      <c r="I210" s="67" t="e">
        <f t="shared" ca="1" si="91"/>
        <v>#N/A</v>
      </c>
      <c r="J210" s="5" t="e">
        <f t="shared" ca="1" si="92"/>
        <v>#N/A</v>
      </c>
      <c r="K210" s="5" t="e">
        <f t="shared" ca="1" si="93"/>
        <v>#N/A</v>
      </c>
      <c r="L210" s="5" t="e">
        <f t="shared" ca="1" si="94"/>
        <v>#N/A</v>
      </c>
      <c r="M210" s="5" t="e">
        <f t="shared" ca="1" si="95"/>
        <v>#N/A</v>
      </c>
      <c r="N210" s="5" t="e">
        <f t="shared" ca="1" si="96"/>
        <v>#N/A</v>
      </c>
      <c r="O210" s="5" t="e">
        <f t="shared" ca="1" si="97"/>
        <v>#N/A</v>
      </c>
      <c r="P210" s="5" t="e">
        <f t="shared" ca="1" si="98"/>
        <v>#N/A</v>
      </c>
      <c r="Q210" s="5" t="e">
        <f t="shared" ca="1" si="99"/>
        <v>#N/A</v>
      </c>
      <c r="R210" s="5" t="e">
        <f t="shared" ref="R210:R273" ca="1" si="104">IF(C210&gt;O210,2,IF(C210&lt;K210,-2,IF(C210&gt;M210,1,IF(C210&lt;M210,-1,0))))</f>
        <v>#N/A</v>
      </c>
      <c r="S210" s="67" t="e">
        <f t="shared" ref="S210:S273" ca="1" si="105">IF(ISNA(H210),IF(ABS(SUM(R210:R212))&gt;=5,C210,NA()),NA())</f>
        <v>#N/A</v>
      </c>
      <c r="T210" s="67" t="e">
        <f t="shared" ref="T210:T273" ca="1" si="106">IF(C210&gt;N210,2,IF(C210&lt;L210,-2,IF(C210&gt;M210,1,IF(C210&lt;M210,-1,0))))</f>
        <v>#N/A</v>
      </c>
      <c r="U210" s="67" t="e">
        <f t="shared" ref="U210:U273" ca="1" si="107">IF(ISNA(H210)=TRUE,IF(ABS(SUM(T210:T214))&gt;=9,C210,NA()),NA())</f>
        <v>#N/A</v>
      </c>
      <c r="V210" s="5" t="e">
        <f t="shared" ca="1" si="86"/>
        <v>#N/A</v>
      </c>
      <c r="W210" s="5" t="e">
        <f t="shared" ca="1" si="100"/>
        <v>#N/A</v>
      </c>
      <c r="X210" s="67">
        <f t="shared" ca="1" si="101"/>
        <v>0</v>
      </c>
      <c r="Y210" s="67" t="e">
        <f t="shared" ref="Y210:Y273" ca="1" si="108">IF(ISNA(H210)=TRUE,IF(ABS(SUM(X210:X215))=6,C210,NA()),NA())</f>
        <v>#N/A</v>
      </c>
      <c r="Z210" s="67" t="e">
        <f t="shared" ref="Z210:Z273" ca="1" si="109">IF(ISNA(H210)=TRUE,IF(AND(ABS(SUM(T210:T217))=8,SUM(T210:T217)&lt;ABS(SUM(T210:T217))),C210,NA()),NA())</f>
        <v>#N/A</v>
      </c>
      <c r="AA210" s="5" t="str">
        <f>IF(Setup!$I$15="Yes",'Demand background (hide)'!AJ198+'SPC background (hide)'!C210,"")</f>
        <v/>
      </c>
      <c r="AC210" s="5" t="e">
        <f t="shared" ca="1" si="102"/>
        <v>#N/A</v>
      </c>
      <c r="AD210" s="5" t="e">
        <f t="shared" ca="1" si="103"/>
        <v>#N/A</v>
      </c>
    </row>
    <row r="211" spans="1:30" x14ac:dyDescent="0.25">
      <c r="A211" s="67" t="str">
        <f ca="1">Demand!C208</f>
        <v/>
      </c>
      <c r="B211" s="67">
        <v>196</v>
      </c>
      <c r="C211" s="5">
        <f ca="1">'Demand background (hide)'!Y199</f>
        <v>0</v>
      </c>
      <c r="D211" s="67">
        <f t="shared" si="87"/>
        <v>0</v>
      </c>
      <c r="E211" s="67" t="e">
        <f t="shared" ca="1" si="88"/>
        <v>#N/A</v>
      </c>
      <c r="F211" s="67" t="e">
        <f t="shared" ca="1" si="89"/>
        <v>#N/A</v>
      </c>
      <c r="G211" s="67" t="e">
        <f t="shared" ca="1" si="90"/>
        <v>#N/A</v>
      </c>
      <c r="H211" s="67" t="e">
        <f>IF('Demand background (hide)'!AN199&lt;&gt;"",'SPC background (hide)'!C211,NA())</f>
        <v>#N/A</v>
      </c>
      <c r="I211" s="67" t="e">
        <f t="shared" ca="1" si="91"/>
        <v>#N/A</v>
      </c>
      <c r="J211" s="5" t="e">
        <f t="shared" ca="1" si="92"/>
        <v>#N/A</v>
      </c>
      <c r="K211" s="5" t="e">
        <f t="shared" ca="1" si="93"/>
        <v>#N/A</v>
      </c>
      <c r="L211" s="5" t="e">
        <f t="shared" ca="1" si="94"/>
        <v>#N/A</v>
      </c>
      <c r="M211" s="5" t="e">
        <f t="shared" ca="1" si="95"/>
        <v>#N/A</v>
      </c>
      <c r="N211" s="5" t="e">
        <f t="shared" ca="1" si="96"/>
        <v>#N/A</v>
      </c>
      <c r="O211" s="5" t="e">
        <f t="shared" ca="1" si="97"/>
        <v>#N/A</v>
      </c>
      <c r="P211" s="5" t="e">
        <f t="shared" ca="1" si="98"/>
        <v>#N/A</v>
      </c>
      <c r="Q211" s="5" t="e">
        <f t="shared" ca="1" si="99"/>
        <v>#N/A</v>
      </c>
      <c r="R211" s="5" t="e">
        <f t="shared" ca="1" si="104"/>
        <v>#N/A</v>
      </c>
      <c r="S211" s="67" t="e">
        <f t="shared" ca="1" si="105"/>
        <v>#N/A</v>
      </c>
      <c r="T211" s="67" t="e">
        <f t="shared" ca="1" si="106"/>
        <v>#N/A</v>
      </c>
      <c r="U211" s="67" t="e">
        <f t="shared" ca="1" si="107"/>
        <v>#N/A</v>
      </c>
      <c r="V211" s="5" t="e">
        <f t="shared" ca="1" si="86"/>
        <v>#N/A</v>
      </c>
      <c r="W211" s="5" t="e">
        <f t="shared" ca="1" si="100"/>
        <v>#N/A</v>
      </c>
      <c r="X211" s="67">
        <f t="shared" ca="1" si="101"/>
        <v>0</v>
      </c>
      <c r="Y211" s="67" t="e">
        <f t="shared" ca="1" si="108"/>
        <v>#N/A</v>
      </c>
      <c r="Z211" s="67" t="e">
        <f t="shared" ca="1" si="109"/>
        <v>#N/A</v>
      </c>
      <c r="AA211" s="5" t="str">
        <f>IF(Setup!$I$15="Yes",'Demand background (hide)'!AJ199+'SPC background (hide)'!C211,"")</f>
        <v/>
      </c>
      <c r="AC211" s="5" t="e">
        <f t="shared" ca="1" si="102"/>
        <v>#N/A</v>
      </c>
      <c r="AD211" s="5" t="e">
        <f t="shared" ca="1" si="103"/>
        <v>#N/A</v>
      </c>
    </row>
    <row r="212" spans="1:30" x14ac:dyDescent="0.25">
      <c r="A212" s="67" t="str">
        <f ca="1">Demand!C209</f>
        <v/>
      </c>
      <c r="B212" s="67">
        <v>197</v>
      </c>
      <c r="C212" s="5">
        <f ca="1">'Demand background (hide)'!Y200</f>
        <v>0</v>
      </c>
      <c r="D212" s="67">
        <f t="shared" si="87"/>
        <v>0</v>
      </c>
      <c r="E212" s="67" t="e">
        <f t="shared" ca="1" si="88"/>
        <v>#N/A</v>
      </c>
      <c r="F212" s="67" t="e">
        <f t="shared" ca="1" si="89"/>
        <v>#N/A</v>
      </c>
      <c r="G212" s="67" t="e">
        <f t="shared" ca="1" si="90"/>
        <v>#N/A</v>
      </c>
      <c r="H212" s="67" t="e">
        <f>IF('Demand background (hide)'!AN200&lt;&gt;"",'SPC background (hide)'!C212,NA())</f>
        <v>#N/A</v>
      </c>
      <c r="I212" s="67" t="e">
        <f t="shared" ca="1" si="91"/>
        <v>#N/A</v>
      </c>
      <c r="J212" s="5" t="e">
        <f t="shared" ca="1" si="92"/>
        <v>#N/A</v>
      </c>
      <c r="K212" s="5" t="e">
        <f t="shared" ca="1" si="93"/>
        <v>#N/A</v>
      </c>
      <c r="L212" s="5" t="e">
        <f t="shared" ca="1" si="94"/>
        <v>#N/A</v>
      </c>
      <c r="M212" s="5" t="e">
        <f t="shared" ca="1" si="95"/>
        <v>#N/A</v>
      </c>
      <c r="N212" s="5" t="e">
        <f t="shared" ca="1" si="96"/>
        <v>#N/A</v>
      </c>
      <c r="O212" s="5" t="e">
        <f t="shared" ca="1" si="97"/>
        <v>#N/A</v>
      </c>
      <c r="P212" s="5" t="e">
        <f t="shared" ca="1" si="98"/>
        <v>#N/A</v>
      </c>
      <c r="Q212" s="5" t="e">
        <f t="shared" ca="1" si="99"/>
        <v>#N/A</v>
      </c>
      <c r="R212" s="5" t="e">
        <f t="shared" ca="1" si="104"/>
        <v>#N/A</v>
      </c>
      <c r="S212" s="67" t="e">
        <f t="shared" ca="1" si="105"/>
        <v>#N/A</v>
      </c>
      <c r="T212" s="67" t="e">
        <f t="shared" ca="1" si="106"/>
        <v>#N/A</v>
      </c>
      <c r="U212" s="67" t="e">
        <f t="shared" ca="1" si="107"/>
        <v>#N/A</v>
      </c>
      <c r="V212" s="5" t="e">
        <f t="shared" ca="1" si="86"/>
        <v>#N/A</v>
      </c>
      <c r="W212" s="5" t="e">
        <f t="shared" ca="1" si="100"/>
        <v>#N/A</v>
      </c>
      <c r="X212" s="67">
        <f t="shared" ca="1" si="101"/>
        <v>0</v>
      </c>
      <c r="Y212" s="67" t="e">
        <f t="shared" ca="1" si="108"/>
        <v>#N/A</v>
      </c>
      <c r="Z212" s="67" t="e">
        <f t="shared" ca="1" si="109"/>
        <v>#N/A</v>
      </c>
      <c r="AA212" s="5" t="str">
        <f>IF(Setup!$I$15="Yes",'Demand background (hide)'!AJ200+'SPC background (hide)'!C212,"")</f>
        <v/>
      </c>
      <c r="AC212" s="5" t="e">
        <f t="shared" ca="1" si="102"/>
        <v>#N/A</v>
      </c>
      <c r="AD212" s="5" t="e">
        <f t="shared" ca="1" si="103"/>
        <v>#N/A</v>
      </c>
    </row>
    <row r="213" spans="1:30" x14ac:dyDescent="0.25">
      <c r="A213" s="67" t="str">
        <f ca="1">Demand!C210</f>
        <v/>
      </c>
      <c r="B213" s="67">
        <v>198</v>
      </c>
      <c r="C213" s="5">
        <f ca="1">'Demand background (hide)'!Y201</f>
        <v>0</v>
      </c>
      <c r="D213" s="67">
        <f t="shared" si="87"/>
        <v>0</v>
      </c>
      <c r="E213" s="67" t="e">
        <f t="shared" ca="1" si="88"/>
        <v>#N/A</v>
      </c>
      <c r="F213" s="67" t="e">
        <f t="shared" ca="1" si="89"/>
        <v>#N/A</v>
      </c>
      <c r="G213" s="67" t="e">
        <f t="shared" ca="1" si="90"/>
        <v>#N/A</v>
      </c>
      <c r="H213" s="67" t="e">
        <f>IF('Demand background (hide)'!AN201&lt;&gt;"",'SPC background (hide)'!C213,NA())</f>
        <v>#N/A</v>
      </c>
      <c r="I213" s="67" t="e">
        <f t="shared" ca="1" si="91"/>
        <v>#N/A</v>
      </c>
      <c r="J213" s="5" t="e">
        <f t="shared" ca="1" si="92"/>
        <v>#N/A</v>
      </c>
      <c r="K213" s="5" t="e">
        <f t="shared" ca="1" si="93"/>
        <v>#N/A</v>
      </c>
      <c r="L213" s="5" t="e">
        <f t="shared" ca="1" si="94"/>
        <v>#N/A</v>
      </c>
      <c r="M213" s="5" t="e">
        <f t="shared" ca="1" si="95"/>
        <v>#N/A</v>
      </c>
      <c r="N213" s="5" t="e">
        <f t="shared" ca="1" si="96"/>
        <v>#N/A</v>
      </c>
      <c r="O213" s="5" t="e">
        <f t="shared" ca="1" si="97"/>
        <v>#N/A</v>
      </c>
      <c r="P213" s="5" t="e">
        <f t="shared" ca="1" si="98"/>
        <v>#N/A</v>
      </c>
      <c r="Q213" s="5" t="e">
        <f t="shared" ca="1" si="99"/>
        <v>#N/A</v>
      </c>
      <c r="R213" s="5" t="e">
        <f t="shared" ca="1" si="104"/>
        <v>#N/A</v>
      </c>
      <c r="S213" s="67" t="e">
        <f t="shared" ca="1" si="105"/>
        <v>#N/A</v>
      </c>
      <c r="T213" s="67" t="e">
        <f t="shared" ca="1" si="106"/>
        <v>#N/A</v>
      </c>
      <c r="U213" s="67" t="e">
        <f t="shared" ca="1" si="107"/>
        <v>#N/A</v>
      </c>
      <c r="V213" s="5" t="e">
        <f t="shared" ca="1" si="86"/>
        <v>#N/A</v>
      </c>
      <c r="W213" s="5" t="e">
        <f t="shared" ca="1" si="100"/>
        <v>#N/A</v>
      </c>
      <c r="X213" s="67">
        <f t="shared" ca="1" si="101"/>
        <v>0</v>
      </c>
      <c r="Y213" s="67" t="e">
        <f t="shared" ca="1" si="108"/>
        <v>#N/A</v>
      </c>
      <c r="Z213" s="67" t="e">
        <f t="shared" ca="1" si="109"/>
        <v>#N/A</v>
      </c>
      <c r="AA213" s="5" t="str">
        <f>IF(Setup!$I$15="Yes",'Demand background (hide)'!AJ201+'SPC background (hide)'!C213,"")</f>
        <v/>
      </c>
      <c r="AC213" s="5" t="e">
        <f t="shared" ca="1" si="102"/>
        <v>#N/A</v>
      </c>
      <c r="AD213" s="5" t="e">
        <f t="shared" ca="1" si="103"/>
        <v>#N/A</v>
      </c>
    </row>
    <row r="214" spans="1:30" x14ac:dyDescent="0.25">
      <c r="A214" s="67" t="str">
        <f ca="1">Demand!C211</f>
        <v/>
      </c>
      <c r="B214" s="67">
        <v>199</v>
      </c>
      <c r="C214" s="5">
        <f ca="1">'Demand background (hide)'!Y202</f>
        <v>0</v>
      </c>
      <c r="D214" s="67">
        <f t="shared" si="87"/>
        <v>0</v>
      </c>
      <c r="E214" s="67" t="e">
        <f t="shared" ca="1" si="88"/>
        <v>#N/A</v>
      </c>
      <c r="F214" s="67" t="e">
        <f t="shared" ca="1" si="89"/>
        <v>#N/A</v>
      </c>
      <c r="G214" s="67" t="e">
        <f t="shared" ca="1" si="90"/>
        <v>#N/A</v>
      </c>
      <c r="H214" s="67" t="e">
        <f>IF('Demand background (hide)'!AN202&lt;&gt;"",'SPC background (hide)'!C214,NA())</f>
        <v>#N/A</v>
      </c>
      <c r="I214" s="67" t="e">
        <f t="shared" ca="1" si="91"/>
        <v>#N/A</v>
      </c>
      <c r="J214" s="5" t="e">
        <f t="shared" ca="1" si="92"/>
        <v>#N/A</v>
      </c>
      <c r="K214" s="5" t="e">
        <f t="shared" ca="1" si="93"/>
        <v>#N/A</v>
      </c>
      <c r="L214" s="5" t="e">
        <f t="shared" ca="1" si="94"/>
        <v>#N/A</v>
      </c>
      <c r="M214" s="5" t="e">
        <f t="shared" ca="1" si="95"/>
        <v>#N/A</v>
      </c>
      <c r="N214" s="5" t="e">
        <f t="shared" ca="1" si="96"/>
        <v>#N/A</v>
      </c>
      <c r="O214" s="5" t="e">
        <f t="shared" ca="1" si="97"/>
        <v>#N/A</v>
      </c>
      <c r="P214" s="5" t="e">
        <f t="shared" ca="1" si="98"/>
        <v>#N/A</v>
      </c>
      <c r="Q214" s="5" t="e">
        <f t="shared" ca="1" si="99"/>
        <v>#N/A</v>
      </c>
      <c r="R214" s="5" t="e">
        <f t="shared" ca="1" si="104"/>
        <v>#N/A</v>
      </c>
      <c r="S214" s="67" t="e">
        <f t="shared" ca="1" si="105"/>
        <v>#N/A</v>
      </c>
      <c r="T214" s="67" t="e">
        <f t="shared" ca="1" si="106"/>
        <v>#N/A</v>
      </c>
      <c r="U214" s="67" t="e">
        <f t="shared" ca="1" si="107"/>
        <v>#N/A</v>
      </c>
      <c r="V214" s="5" t="e">
        <f t="shared" ca="1" si="86"/>
        <v>#N/A</v>
      </c>
      <c r="W214" s="5" t="e">
        <f t="shared" ca="1" si="100"/>
        <v>#N/A</v>
      </c>
      <c r="X214" s="67">
        <f t="shared" ca="1" si="101"/>
        <v>0</v>
      </c>
      <c r="Y214" s="67" t="e">
        <f t="shared" ca="1" si="108"/>
        <v>#N/A</v>
      </c>
      <c r="Z214" s="67" t="e">
        <f t="shared" ca="1" si="109"/>
        <v>#N/A</v>
      </c>
      <c r="AA214" s="5" t="str">
        <f>IF(Setup!$I$15="Yes",'Demand background (hide)'!AJ202+'SPC background (hide)'!C214,"")</f>
        <v/>
      </c>
      <c r="AC214" s="5" t="e">
        <f t="shared" ca="1" si="102"/>
        <v>#N/A</v>
      </c>
      <c r="AD214" s="5" t="e">
        <f t="shared" ca="1" si="103"/>
        <v>#N/A</v>
      </c>
    </row>
    <row r="215" spans="1:30" x14ac:dyDescent="0.25">
      <c r="A215" s="67" t="str">
        <f ca="1">Demand!C212</f>
        <v/>
      </c>
      <c r="B215" s="67">
        <v>200</v>
      </c>
      <c r="C215" s="5">
        <f ca="1">'Demand background (hide)'!Y203</f>
        <v>0</v>
      </c>
      <c r="D215" s="67">
        <f t="shared" si="87"/>
        <v>0</v>
      </c>
      <c r="E215" s="67" t="e">
        <f t="shared" ca="1" si="88"/>
        <v>#N/A</v>
      </c>
      <c r="F215" s="67" t="e">
        <f t="shared" ca="1" si="89"/>
        <v>#N/A</v>
      </c>
      <c r="G215" s="67" t="e">
        <f t="shared" ca="1" si="90"/>
        <v>#N/A</v>
      </c>
      <c r="H215" s="67" t="e">
        <f>IF('Demand background (hide)'!AN203&lt;&gt;"",'SPC background (hide)'!C215,NA())</f>
        <v>#N/A</v>
      </c>
      <c r="I215" s="67" t="e">
        <f t="shared" ca="1" si="91"/>
        <v>#N/A</v>
      </c>
      <c r="J215" s="5" t="e">
        <f t="shared" ca="1" si="92"/>
        <v>#N/A</v>
      </c>
      <c r="K215" s="5" t="e">
        <f t="shared" ca="1" si="93"/>
        <v>#N/A</v>
      </c>
      <c r="L215" s="5" t="e">
        <f t="shared" ca="1" si="94"/>
        <v>#N/A</v>
      </c>
      <c r="M215" s="5" t="e">
        <f t="shared" ca="1" si="95"/>
        <v>#N/A</v>
      </c>
      <c r="N215" s="5" t="e">
        <f t="shared" ca="1" si="96"/>
        <v>#N/A</v>
      </c>
      <c r="O215" s="5" t="e">
        <f t="shared" ca="1" si="97"/>
        <v>#N/A</v>
      </c>
      <c r="P215" s="5" t="e">
        <f t="shared" ca="1" si="98"/>
        <v>#N/A</v>
      </c>
      <c r="Q215" s="5" t="e">
        <f t="shared" ca="1" si="99"/>
        <v>#N/A</v>
      </c>
      <c r="R215" s="5" t="e">
        <f t="shared" ca="1" si="104"/>
        <v>#N/A</v>
      </c>
      <c r="S215" s="67" t="e">
        <f t="shared" ca="1" si="105"/>
        <v>#N/A</v>
      </c>
      <c r="T215" s="67" t="e">
        <f t="shared" ca="1" si="106"/>
        <v>#N/A</v>
      </c>
      <c r="U215" s="67" t="e">
        <f t="shared" ca="1" si="107"/>
        <v>#N/A</v>
      </c>
      <c r="V215" s="5" t="e">
        <f t="shared" ca="1" si="86"/>
        <v>#N/A</v>
      </c>
      <c r="W215" s="5" t="e">
        <f t="shared" ca="1" si="100"/>
        <v>#N/A</v>
      </c>
      <c r="X215" s="67">
        <f t="shared" ca="1" si="101"/>
        <v>0</v>
      </c>
      <c r="Y215" s="67" t="e">
        <f t="shared" ca="1" si="108"/>
        <v>#N/A</v>
      </c>
      <c r="Z215" s="67" t="e">
        <f t="shared" ca="1" si="109"/>
        <v>#N/A</v>
      </c>
      <c r="AA215" s="5" t="str">
        <f>IF(Setup!$I$15="Yes",'Demand background (hide)'!AJ203+'SPC background (hide)'!C215,"")</f>
        <v/>
      </c>
      <c r="AC215" s="5" t="e">
        <f t="shared" ca="1" si="102"/>
        <v>#N/A</v>
      </c>
      <c r="AD215" s="5" t="e">
        <f t="shared" ca="1" si="103"/>
        <v>#N/A</v>
      </c>
    </row>
    <row r="216" spans="1:30" x14ac:dyDescent="0.25">
      <c r="A216" s="67" t="str">
        <f ca="1">Demand!C213</f>
        <v/>
      </c>
      <c r="B216" s="67">
        <v>201</v>
      </c>
      <c r="C216" s="5">
        <f ca="1">'Demand background (hide)'!Y204</f>
        <v>0</v>
      </c>
      <c r="D216" s="67">
        <f t="shared" si="87"/>
        <v>0</v>
      </c>
      <c r="E216" s="67" t="e">
        <f t="shared" ca="1" si="88"/>
        <v>#N/A</v>
      </c>
      <c r="F216" s="67" t="e">
        <f t="shared" ca="1" si="89"/>
        <v>#N/A</v>
      </c>
      <c r="G216" s="67" t="e">
        <f t="shared" ca="1" si="90"/>
        <v>#N/A</v>
      </c>
      <c r="H216" s="67" t="e">
        <f>IF('Demand background (hide)'!AN204&lt;&gt;"",'SPC background (hide)'!C216,NA())</f>
        <v>#N/A</v>
      </c>
      <c r="I216" s="67" t="e">
        <f t="shared" ca="1" si="91"/>
        <v>#N/A</v>
      </c>
      <c r="J216" s="5" t="e">
        <f t="shared" ca="1" si="92"/>
        <v>#N/A</v>
      </c>
      <c r="K216" s="5" t="e">
        <f t="shared" ca="1" si="93"/>
        <v>#N/A</v>
      </c>
      <c r="L216" s="5" t="e">
        <f t="shared" ca="1" si="94"/>
        <v>#N/A</v>
      </c>
      <c r="M216" s="5" t="e">
        <f t="shared" ca="1" si="95"/>
        <v>#N/A</v>
      </c>
      <c r="N216" s="5" t="e">
        <f t="shared" ca="1" si="96"/>
        <v>#N/A</v>
      </c>
      <c r="O216" s="5" t="e">
        <f t="shared" ca="1" si="97"/>
        <v>#N/A</v>
      </c>
      <c r="P216" s="5" t="e">
        <f t="shared" ca="1" si="98"/>
        <v>#N/A</v>
      </c>
      <c r="Q216" s="5" t="e">
        <f t="shared" ca="1" si="99"/>
        <v>#N/A</v>
      </c>
      <c r="R216" s="5" t="e">
        <f t="shared" ca="1" si="104"/>
        <v>#N/A</v>
      </c>
      <c r="S216" s="67" t="e">
        <f t="shared" ca="1" si="105"/>
        <v>#N/A</v>
      </c>
      <c r="T216" s="67" t="e">
        <f t="shared" ca="1" si="106"/>
        <v>#N/A</v>
      </c>
      <c r="U216" s="67" t="e">
        <f t="shared" ca="1" si="107"/>
        <v>#N/A</v>
      </c>
      <c r="V216" s="5" t="e">
        <f t="shared" ca="1" si="86"/>
        <v>#N/A</v>
      </c>
      <c r="W216" s="5" t="e">
        <f t="shared" ca="1" si="100"/>
        <v>#N/A</v>
      </c>
      <c r="X216" s="67">
        <f t="shared" ca="1" si="101"/>
        <v>0</v>
      </c>
      <c r="Y216" s="67" t="e">
        <f t="shared" ca="1" si="108"/>
        <v>#N/A</v>
      </c>
      <c r="Z216" s="67" t="e">
        <f t="shared" ca="1" si="109"/>
        <v>#N/A</v>
      </c>
      <c r="AA216" s="5" t="str">
        <f>IF(Setup!$I$15="Yes",'Demand background (hide)'!AJ204+'SPC background (hide)'!C216,"")</f>
        <v/>
      </c>
      <c r="AC216" s="5" t="e">
        <f t="shared" ca="1" si="102"/>
        <v>#N/A</v>
      </c>
      <c r="AD216" s="5" t="e">
        <f t="shared" ca="1" si="103"/>
        <v>#N/A</v>
      </c>
    </row>
    <row r="217" spans="1:30" x14ac:dyDescent="0.25">
      <c r="A217" s="67" t="str">
        <f ca="1">Demand!C214</f>
        <v/>
      </c>
      <c r="B217" s="67">
        <v>202</v>
      </c>
      <c r="C217" s="5">
        <f ca="1">'Demand background (hide)'!Y205</f>
        <v>0</v>
      </c>
      <c r="D217" s="67">
        <f t="shared" si="87"/>
        <v>0</v>
      </c>
      <c r="E217" s="67" t="e">
        <f t="shared" ca="1" si="88"/>
        <v>#N/A</v>
      </c>
      <c r="F217" s="67" t="e">
        <f t="shared" ca="1" si="89"/>
        <v>#N/A</v>
      </c>
      <c r="G217" s="67" t="e">
        <f t="shared" ca="1" si="90"/>
        <v>#N/A</v>
      </c>
      <c r="H217" s="67" t="e">
        <f>IF('Demand background (hide)'!AN205&lt;&gt;"",'SPC background (hide)'!C217,NA())</f>
        <v>#N/A</v>
      </c>
      <c r="I217" s="67" t="e">
        <f t="shared" ca="1" si="91"/>
        <v>#N/A</v>
      </c>
      <c r="J217" s="5" t="e">
        <f t="shared" ca="1" si="92"/>
        <v>#N/A</v>
      </c>
      <c r="K217" s="5" t="e">
        <f t="shared" ca="1" si="93"/>
        <v>#N/A</v>
      </c>
      <c r="L217" s="5" t="e">
        <f t="shared" ca="1" si="94"/>
        <v>#N/A</v>
      </c>
      <c r="M217" s="5" t="e">
        <f t="shared" ca="1" si="95"/>
        <v>#N/A</v>
      </c>
      <c r="N217" s="5" t="e">
        <f t="shared" ca="1" si="96"/>
        <v>#N/A</v>
      </c>
      <c r="O217" s="5" t="e">
        <f t="shared" ca="1" si="97"/>
        <v>#N/A</v>
      </c>
      <c r="P217" s="5" t="e">
        <f t="shared" ca="1" si="98"/>
        <v>#N/A</v>
      </c>
      <c r="Q217" s="5" t="e">
        <f t="shared" ca="1" si="99"/>
        <v>#N/A</v>
      </c>
      <c r="R217" s="5" t="e">
        <f t="shared" ca="1" si="104"/>
        <v>#N/A</v>
      </c>
      <c r="S217" s="67" t="e">
        <f t="shared" ca="1" si="105"/>
        <v>#N/A</v>
      </c>
      <c r="T217" s="67" t="e">
        <f t="shared" ca="1" si="106"/>
        <v>#N/A</v>
      </c>
      <c r="U217" s="67" t="e">
        <f t="shared" ca="1" si="107"/>
        <v>#N/A</v>
      </c>
      <c r="V217" s="5" t="e">
        <f t="shared" ca="1" si="86"/>
        <v>#N/A</v>
      </c>
      <c r="W217" s="5" t="e">
        <f t="shared" ca="1" si="100"/>
        <v>#N/A</v>
      </c>
      <c r="X217" s="67">
        <f t="shared" ca="1" si="101"/>
        <v>0</v>
      </c>
      <c r="Y217" s="67" t="e">
        <f t="shared" ca="1" si="108"/>
        <v>#N/A</v>
      </c>
      <c r="Z217" s="67" t="e">
        <f t="shared" ca="1" si="109"/>
        <v>#N/A</v>
      </c>
      <c r="AA217" s="5" t="str">
        <f>IF(Setup!$I$15="Yes",'Demand background (hide)'!AJ205+'SPC background (hide)'!C217,"")</f>
        <v/>
      </c>
      <c r="AC217" s="5" t="e">
        <f t="shared" ca="1" si="102"/>
        <v>#N/A</v>
      </c>
      <c r="AD217" s="5" t="e">
        <f t="shared" ca="1" si="103"/>
        <v>#N/A</v>
      </c>
    </row>
    <row r="218" spans="1:30" x14ac:dyDescent="0.25">
      <c r="A218" s="67" t="str">
        <f ca="1">Demand!C215</f>
        <v/>
      </c>
      <c r="B218" s="67">
        <v>203</v>
      </c>
      <c r="C218" s="5">
        <f ca="1">'Demand background (hide)'!Y206</f>
        <v>0</v>
      </c>
      <c r="D218" s="67">
        <f t="shared" si="87"/>
        <v>0</v>
      </c>
      <c r="E218" s="67" t="e">
        <f t="shared" ca="1" si="88"/>
        <v>#N/A</v>
      </c>
      <c r="F218" s="67" t="e">
        <f t="shared" ca="1" si="89"/>
        <v>#N/A</v>
      </c>
      <c r="G218" s="67" t="e">
        <f t="shared" ca="1" si="90"/>
        <v>#N/A</v>
      </c>
      <c r="H218" s="67" t="e">
        <f>IF('Demand background (hide)'!AN206&lt;&gt;"",'SPC background (hide)'!C218,NA())</f>
        <v>#N/A</v>
      </c>
      <c r="I218" s="67" t="e">
        <f t="shared" ca="1" si="91"/>
        <v>#N/A</v>
      </c>
      <c r="J218" s="5" t="e">
        <f t="shared" ca="1" si="92"/>
        <v>#N/A</v>
      </c>
      <c r="K218" s="5" t="e">
        <f t="shared" ca="1" si="93"/>
        <v>#N/A</v>
      </c>
      <c r="L218" s="5" t="e">
        <f t="shared" ca="1" si="94"/>
        <v>#N/A</v>
      </c>
      <c r="M218" s="5" t="e">
        <f t="shared" ca="1" si="95"/>
        <v>#N/A</v>
      </c>
      <c r="N218" s="5" t="e">
        <f t="shared" ca="1" si="96"/>
        <v>#N/A</v>
      </c>
      <c r="O218" s="5" t="e">
        <f t="shared" ca="1" si="97"/>
        <v>#N/A</v>
      </c>
      <c r="P218" s="5" t="e">
        <f t="shared" ca="1" si="98"/>
        <v>#N/A</v>
      </c>
      <c r="Q218" s="5" t="e">
        <f t="shared" ca="1" si="99"/>
        <v>#N/A</v>
      </c>
      <c r="R218" s="5" t="e">
        <f t="shared" ca="1" si="104"/>
        <v>#N/A</v>
      </c>
      <c r="S218" s="67" t="e">
        <f t="shared" ca="1" si="105"/>
        <v>#N/A</v>
      </c>
      <c r="T218" s="67" t="e">
        <f t="shared" ca="1" si="106"/>
        <v>#N/A</v>
      </c>
      <c r="U218" s="67" t="e">
        <f t="shared" ca="1" si="107"/>
        <v>#N/A</v>
      </c>
      <c r="V218" s="5" t="e">
        <f t="shared" ca="1" si="86"/>
        <v>#N/A</v>
      </c>
      <c r="W218" s="5" t="e">
        <f t="shared" ca="1" si="100"/>
        <v>#N/A</v>
      </c>
      <c r="X218" s="67">
        <f t="shared" ca="1" si="101"/>
        <v>0</v>
      </c>
      <c r="Y218" s="67" t="e">
        <f t="shared" ca="1" si="108"/>
        <v>#N/A</v>
      </c>
      <c r="Z218" s="67" t="e">
        <f t="shared" ca="1" si="109"/>
        <v>#N/A</v>
      </c>
      <c r="AA218" s="5" t="str">
        <f>IF(Setup!$I$15="Yes",'Demand background (hide)'!AJ206+'SPC background (hide)'!C218,"")</f>
        <v/>
      </c>
      <c r="AC218" s="5" t="e">
        <f t="shared" ca="1" si="102"/>
        <v>#N/A</v>
      </c>
      <c r="AD218" s="5" t="e">
        <f t="shared" ca="1" si="103"/>
        <v>#N/A</v>
      </c>
    </row>
    <row r="219" spans="1:30" x14ac:dyDescent="0.25">
      <c r="A219" s="67" t="str">
        <f ca="1">Demand!C216</f>
        <v/>
      </c>
      <c r="B219" s="67">
        <v>204</v>
      </c>
      <c r="C219" s="5">
        <f ca="1">'Demand background (hide)'!Y207</f>
        <v>0</v>
      </c>
      <c r="D219" s="67">
        <f t="shared" si="87"/>
        <v>0</v>
      </c>
      <c r="E219" s="67" t="e">
        <f t="shared" ca="1" si="88"/>
        <v>#N/A</v>
      </c>
      <c r="F219" s="67" t="e">
        <f t="shared" ca="1" si="89"/>
        <v>#N/A</v>
      </c>
      <c r="G219" s="67" t="e">
        <f t="shared" ca="1" si="90"/>
        <v>#N/A</v>
      </c>
      <c r="H219" s="67" t="e">
        <f>IF('Demand background (hide)'!AN207&lt;&gt;"",'SPC background (hide)'!C219,NA())</f>
        <v>#N/A</v>
      </c>
      <c r="I219" s="67" t="e">
        <f t="shared" ca="1" si="91"/>
        <v>#N/A</v>
      </c>
      <c r="J219" s="5" t="e">
        <f t="shared" ca="1" si="92"/>
        <v>#N/A</v>
      </c>
      <c r="K219" s="5" t="e">
        <f t="shared" ca="1" si="93"/>
        <v>#N/A</v>
      </c>
      <c r="L219" s="5" t="e">
        <f t="shared" ca="1" si="94"/>
        <v>#N/A</v>
      </c>
      <c r="M219" s="5" t="e">
        <f t="shared" ca="1" si="95"/>
        <v>#N/A</v>
      </c>
      <c r="N219" s="5" t="e">
        <f t="shared" ca="1" si="96"/>
        <v>#N/A</v>
      </c>
      <c r="O219" s="5" t="e">
        <f t="shared" ca="1" si="97"/>
        <v>#N/A</v>
      </c>
      <c r="P219" s="5" t="e">
        <f t="shared" ca="1" si="98"/>
        <v>#N/A</v>
      </c>
      <c r="Q219" s="5" t="e">
        <f t="shared" ca="1" si="99"/>
        <v>#N/A</v>
      </c>
      <c r="R219" s="5" t="e">
        <f t="shared" ca="1" si="104"/>
        <v>#N/A</v>
      </c>
      <c r="S219" s="67" t="e">
        <f t="shared" ca="1" si="105"/>
        <v>#N/A</v>
      </c>
      <c r="T219" s="67" t="e">
        <f t="shared" ca="1" si="106"/>
        <v>#N/A</v>
      </c>
      <c r="U219" s="67" t="e">
        <f t="shared" ca="1" si="107"/>
        <v>#N/A</v>
      </c>
      <c r="V219" s="5" t="e">
        <f t="shared" ca="1" si="86"/>
        <v>#N/A</v>
      </c>
      <c r="W219" s="5" t="e">
        <f t="shared" ca="1" si="100"/>
        <v>#N/A</v>
      </c>
      <c r="X219" s="67">
        <f t="shared" ca="1" si="101"/>
        <v>0</v>
      </c>
      <c r="Y219" s="67" t="e">
        <f t="shared" ca="1" si="108"/>
        <v>#N/A</v>
      </c>
      <c r="Z219" s="67" t="e">
        <f t="shared" ca="1" si="109"/>
        <v>#N/A</v>
      </c>
      <c r="AA219" s="5" t="str">
        <f>IF(Setup!$I$15="Yes",'Demand background (hide)'!AJ207+'SPC background (hide)'!C219,"")</f>
        <v/>
      </c>
      <c r="AC219" s="5" t="e">
        <f t="shared" ca="1" si="102"/>
        <v>#N/A</v>
      </c>
      <c r="AD219" s="5" t="e">
        <f t="shared" ca="1" si="103"/>
        <v>#N/A</v>
      </c>
    </row>
    <row r="220" spans="1:30" x14ac:dyDescent="0.25">
      <c r="A220" s="67" t="str">
        <f ca="1">Demand!C217</f>
        <v/>
      </c>
      <c r="B220" s="67">
        <v>205</v>
      </c>
      <c r="C220" s="5">
        <f ca="1">'Demand background (hide)'!Y208</f>
        <v>0</v>
      </c>
      <c r="D220" s="67">
        <f t="shared" si="87"/>
        <v>0</v>
      </c>
      <c r="E220" s="67" t="e">
        <f t="shared" ca="1" si="88"/>
        <v>#N/A</v>
      </c>
      <c r="F220" s="67" t="e">
        <f t="shared" ca="1" si="89"/>
        <v>#N/A</v>
      </c>
      <c r="G220" s="67" t="e">
        <f t="shared" ca="1" si="90"/>
        <v>#N/A</v>
      </c>
      <c r="H220" s="67" t="e">
        <f>IF('Demand background (hide)'!AN208&lt;&gt;"",'SPC background (hide)'!C220,NA())</f>
        <v>#N/A</v>
      </c>
      <c r="I220" s="67" t="e">
        <f t="shared" ca="1" si="91"/>
        <v>#N/A</v>
      </c>
      <c r="J220" s="5" t="e">
        <f t="shared" ca="1" si="92"/>
        <v>#N/A</v>
      </c>
      <c r="K220" s="5" t="e">
        <f t="shared" ca="1" si="93"/>
        <v>#N/A</v>
      </c>
      <c r="L220" s="5" t="e">
        <f t="shared" ca="1" si="94"/>
        <v>#N/A</v>
      </c>
      <c r="M220" s="5" t="e">
        <f t="shared" ca="1" si="95"/>
        <v>#N/A</v>
      </c>
      <c r="N220" s="5" t="e">
        <f t="shared" ca="1" si="96"/>
        <v>#N/A</v>
      </c>
      <c r="O220" s="5" t="e">
        <f t="shared" ca="1" si="97"/>
        <v>#N/A</v>
      </c>
      <c r="P220" s="5" t="e">
        <f t="shared" ca="1" si="98"/>
        <v>#N/A</v>
      </c>
      <c r="Q220" s="5" t="e">
        <f t="shared" ca="1" si="99"/>
        <v>#N/A</v>
      </c>
      <c r="R220" s="5" t="e">
        <f t="shared" ca="1" si="104"/>
        <v>#N/A</v>
      </c>
      <c r="S220" s="67" t="e">
        <f t="shared" ca="1" si="105"/>
        <v>#N/A</v>
      </c>
      <c r="T220" s="67" t="e">
        <f t="shared" ca="1" si="106"/>
        <v>#N/A</v>
      </c>
      <c r="U220" s="67" t="e">
        <f t="shared" ca="1" si="107"/>
        <v>#N/A</v>
      </c>
      <c r="V220" s="5" t="e">
        <f t="shared" ca="1" si="86"/>
        <v>#N/A</v>
      </c>
      <c r="W220" s="5" t="e">
        <f t="shared" ca="1" si="100"/>
        <v>#N/A</v>
      </c>
      <c r="X220" s="67">
        <f t="shared" ca="1" si="101"/>
        <v>0</v>
      </c>
      <c r="Y220" s="67" t="e">
        <f t="shared" ca="1" si="108"/>
        <v>#N/A</v>
      </c>
      <c r="Z220" s="67" t="e">
        <f t="shared" ca="1" si="109"/>
        <v>#N/A</v>
      </c>
      <c r="AA220" s="5" t="str">
        <f>IF(Setup!$I$15="Yes",'Demand background (hide)'!AJ208+'SPC background (hide)'!C220,"")</f>
        <v/>
      </c>
      <c r="AC220" s="5" t="e">
        <f t="shared" ca="1" si="102"/>
        <v>#N/A</v>
      </c>
      <c r="AD220" s="5" t="e">
        <f t="shared" ca="1" si="103"/>
        <v>#N/A</v>
      </c>
    </row>
    <row r="221" spans="1:30" x14ac:dyDescent="0.25">
      <c r="A221" s="67" t="str">
        <f ca="1">Demand!C218</f>
        <v/>
      </c>
      <c r="B221" s="67">
        <v>206</v>
      </c>
      <c r="C221" s="5">
        <f ca="1">'Demand background (hide)'!Y209</f>
        <v>0</v>
      </c>
      <c r="D221" s="67">
        <f t="shared" si="87"/>
        <v>0</v>
      </c>
      <c r="E221" s="67" t="e">
        <f t="shared" ca="1" si="88"/>
        <v>#N/A</v>
      </c>
      <c r="F221" s="67" t="e">
        <f t="shared" ca="1" si="89"/>
        <v>#N/A</v>
      </c>
      <c r="G221" s="67" t="e">
        <f t="shared" ca="1" si="90"/>
        <v>#N/A</v>
      </c>
      <c r="H221" s="67" t="e">
        <f>IF('Demand background (hide)'!AN209&lt;&gt;"",'SPC background (hide)'!C221,NA())</f>
        <v>#N/A</v>
      </c>
      <c r="I221" s="67" t="e">
        <f t="shared" ca="1" si="91"/>
        <v>#N/A</v>
      </c>
      <c r="J221" s="5" t="e">
        <f t="shared" ca="1" si="92"/>
        <v>#N/A</v>
      </c>
      <c r="K221" s="5" t="e">
        <f t="shared" ca="1" si="93"/>
        <v>#N/A</v>
      </c>
      <c r="L221" s="5" t="e">
        <f t="shared" ca="1" si="94"/>
        <v>#N/A</v>
      </c>
      <c r="M221" s="5" t="e">
        <f t="shared" ca="1" si="95"/>
        <v>#N/A</v>
      </c>
      <c r="N221" s="5" t="e">
        <f t="shared" ca="1" si="96"/>
        <v>#N/A</v>
      </c>
      <c r="O221" s="5" t="e">
        <f t="shared" ca="1" si="97"/>
        <v>#N/A</v>
      </c>
      <c r="P221" s="5" t="e">
        <f t="shared" ca="1" si="98"/>
        <v>#N/A</v>
      </c>
      <c r="Q221" s="5" t="e">
        <f t="shared" ca="1" si="99"/>
        <v>#N/A</v>
      </c>
      <c r="R221" s="5" t="e">
        <f t="shared" ca="1" si="104"/>
        <v>#N/A</v>
      </c>
      <c r="S221" s="67" t="e">
        <f t="shared" ca="1" si="105"/>
        <v>#N/A</v>
      </c>
      <c r="T221" s="67" t="e">
        <f t="shared" ca="1" si="106"/>
        <v>#N/A</v>
      </c>
      <c r="U221" s="67" t="e">
        <f t="shared" ca="1" si="107"/>
        <v>#N/A</v>
      </c>
      <c r="V221" s="5" t="e">
        <f t="shared" ca="1" si="86"/>
        <v>#N/A</v>
      </c>
      <c r="W221" s="5" t="e">
        <f t="shared" ca="1" si="100"/>
        <v>#N/A</v>
      </c>
      <c r="X221" s="67">
        <f t="shared" ca="1" si="101"/>
        <v>0</v>
      </c>
      <c r="Y221" s="67" t="e">
        <f t="shared" ca="1" si="108"/>
        <v>#N/A</v>
      </c>
      <c r="Z221" s="67" t="e">
        <f t="shared" ca="1" si="109"/>
        <v>#N/A</v>
      </c>
      <c r="AA221" s="5" t="str">
        <f>IF(Setup!$I$15="Yes",'Demand background (hide)'!AJ209+'SPC background (hide)'!C221,"")</f>
        <v/>
      </c>
      <c r="AC221" s="5" t="e">
        <f t="shared" ca="1" si="102"/>
        <v>#N/A</v>
      </c>
      <c r="AD221" s="5" t="e">
        <f t="shared" ca="1" si="103"/>
        <v>#N/A</v>
      </c>
    </row>
    <row r="222" spans="1:30" x14ac:dyDescent="0.25">
      <c r="A222" s="67" t="str">
        <f ca="1">Demand!C219</f>
        <v/>
      </c>
      <c r="B222" s="67">
        <v>207</v>
      </c>
      <c r="C222" s="5">
        <f ca="1">'Demand background (hide)'!Y210</f>
        <v>0</v>
      </c>
      <c r="D222" s="67">
        <f t="shared" si="87"/>
        <v>0</v>
      </c>
      <c r="E222" s="67" t="e">
        <f t="shared" ca="1" si="88"/>
        <v>#N/A</v>
      </c>
      <c r="F222" s="67" t="e">
        <f t="shared" ca="1" si="89"/>
        <v>#N/A</v>
      </c>
      <c r="G222" s="67" t="e">
        <f t="shared" ca="1" si="90"/>
        <v>#N/A</v>
      </c>
      <c r="H222" s="67" t="e">
        <f>IF('Demand background (hide)'!AN210&lt;&gt;"",'SPC background (hide)'!C222,NA())</f>
        <v>#N/A</v>
      </c>
      <c r="I222" s="67" t="e">
        <f t="shared" ca="1" si="91"/>
        <v>#N/A</v>
      </c>
      <c r="J222" s="5" t="e">
        <f t="shared" ca="1" si="92"/>
        <v>#N/A</v>
      </c>
      <c r="K222" s="5" t="e">
        <f t="shared" ca="1" si="93"/>
        <v>#N/A</v>
      </c>
      <c r="L222" s="5" t="e">
        <f t="shared" ca="1" si="94"/>
        <v>#N/A</v>
      </c>
      <c r="M222" s="5" t="e">
        <f t="shared" ca="1" si="95"/>
        <v>#N/A</v>
      </c>
      <c r="N222" s="5" t="e">
        <f t="shared" ca="1" si="96"/>
        <v>#N/A</v>
      </c>
      <c r="O222" s="5" t="e">
        <f t="shared" ca="1" si="97"/>
        <v>#N/A</v>
      </c>
      <c r="P222" s="5" t="e">
        <f t="shared" ca="1" si="98"/>
        <v>#N/A</v>
      </c>
      <c r="Q222" s="5" t="e">
        <f t="shared" ca="1" si="99"/>
        <v>#N/A</v>
      </c>
      <c r="R222" s="5" t="e">
        <f t="shared" ca="1" si="104"/>
        <v>#N/A</v>
      </c>
      <c r="S222" s="67" t="e">
        <f t="shared" ca="1" si="105"/>
        <v>#N/A</v>
      </c>
      <c r="T222" s="67" t="e">
        <f t="shared" ca="1" si="106"/>
        <v>#N/A</v>
      </c>
      <c r="U222" s="67" t="e">
        <f t="shared" ca="1" si="107"/>
        <v>#N/A</v>
      </c>
      <c r="V222" s="5" t="e">
        <f t="shared" ca="1" si="86"/>
        <v>#N/A</v>
      </c>
      <c r="W222" s="5" t="e">
        <f t="shared" ca="1" si="100"/>
        <v>#N/A</v>
      </c>
      <c r="X222" s="67">
        <f t="shared" ca="1" si="101"/>
        <v>0</v>
      </c>
      <c r="Y222" s="67" t="e">
        <f t="shared" ca="1" si="108"/>
        <v>#N/A</v>
      </c>
      <c r="Z222" s="67" t="e">
        <f t="shared" ca="1" si="109"/>
        <v>#N/A</v>
      </c>
      <c r="AA222" s="5" t="str">
        <f>IF(Setup!$I$15="Yes",'Demand background (hide)'!AJ210+'SPC background (hide)'!C222,"")</f>
        <v/>
      </c>
      <c r="AC222" s="5" t="e">
        <f t="shared" ca="1" si="102"/>
        <v>#N/A</v>
      </c>
      <c r="AD222" s="5" t="e">
        <f t="shared" ca="1" si="103"/>
        <v>#N/A</v>
      </c>
    </row>
    <row r="223" spans="1:30" x14ac:dyDescent="0.25">
      <c r="A223" s="67" t="str">
        <f ca="1">Demand!C220</f>
        <v/>
      </c>
      <c r="B223" s="67">
        <v>208</v>
      </c>
      <c r="C223" s="5">
        <f ca="1">'Demand background (hide)'!Y211</f>
        <v>0</v>
      </c>
      <c r="D223" s="67">
        <f t="shared" si="87"/>
        <v>0</v>
      </c>
      <c r="E223" s="67" t="e">
        <f t="shared" ca="1" si="88"/>
        <v>#N/A</v>
      </c>
      <c r="F223" s="67" t="e">
        <f t="shared" ca="1" si="89"/>
        <v>#N/A</v>
      </c>
      <c r="G223" s="67" t="e">
        <f t="shared" ca="1" si="90"/>
        <v>#N/A</v>
      </c>
      <c r="H223" s="67" t="e">
        <f>IF('Demand background (hide)'!AN211&lt;&gt;"",'SPC background (hide)'!C223,NA())</f>
        <v>#N/A</v>
      </c>
      <c r="I223" s="67" t="e">
        <f t="shared" ca="1" si="91"/>
        <v>#N/A</v>
      </c>
      <c r="J223" s="5" t="e">
        <f t="shared" ca="1" si="92"/>
        <v>#N/A</v>
      </c>
      <c r="K223" s="5" t="e">
        <f t="shared" ca="1" si="93"/>
        <v>#N/A</v>
      </c>
      <c r="L223" s="5" t="e">
        <f t="shared" ca="1" si="94"/>
        <v>#N/A</v>
      </c>
      <c r="M223" s="5" t="e">
        <f t="shared" ca="1" si="95"/>
        <v>#N/A</v>
      </c>
      <c r="N223" s="5" t="e">
        <f t="shared" ca="1" si="96"/>
        <v>#N/A</v>
      </c>
      <c r="O223" s="5" t="e">
        <f t="shared" ca="1" si="97"/>
        <v>#N/A</v>
      </c>
      <c r="P223" s="5" t="e">
        <f t="shared" ca="1" si="98"/>
        <v>#N/A</v>
      </c>
      <c r="Q223" s="5" t="e">
        <f t="shared" ca="1" si="99"/>
        <v>#N/A</v>
      </c>
      <c r="R223" s="5" t="e">
        <f t="shared" ca="1" si="104"/>
        <v>#N/A</v>
      </c>
      <c r="S223" s="67" t="e">
        <f t="shared" ca="1" si="105"/>
        <v>#N/A</v>
      </c>
      <c r="T223" s="67" t="e">
        <f t="shared" ca="1" si="106"/>
        <v>#N/A</v>
      </c>
      <c r="U223" s="67" t="e">
        <f t="shared" ca="1" si="107"/>
        <v>#N/A</v>
      </c>
      <c r="V223" s="5" t="e">
        <f t="shared" ca="1" si="86"/>
        <v>#N/A</v>
      </c>
      <c r="W223" s="5" t="e">
        <f t="shared" ca="1" si="100"/>
        <v>#N/A</v>
      </c>
      <c r="X223" s="67">
        <f t="shared" ca="1" si="101"/>
        <v>0</v>
      </c>
      <c r="Y223" s="67" t="e">
        <f t="shared" ca="1" si="108"/>
        <v>#N/A</v>
      </c>
      <c r="Z223" s="67" t="e">
        <f t="shared" ca="1" si="109"/>
        <v>#N/A</v>
      </c>
      <c r="AA223" s="5" t="str">
        <f>IF(Setup!$I$15="Yes",'Demand background (hide)'!AJ211+'SPC background (hide)'!C223,"")</f>
        <v/>
      </c>
      <c r="AC223" s="5" t="e">
        <f t="shared" ca="1" si="102"/>
        <v>#N/A</v>
      </c>
      <c r="AD223" s="5" t="e">
        <f t="shared" ca="1" si="103"/>
        <v>#N/A</v>
      </c>
    </row>
    <row r="224" spans="1:30" x14ac:dyDescent="0.25">
      <c r="A224" s="67" t="str">
        <f ca="1">Demand!C221</f>
        <v/>
      </c>
      <c r="B224" s="67">
        <v>209</v>
      </c>
      <c r="C224" s="5">
        <f ca="1">'Demand background (hide)'!Y212</f>
        <v>0</v>
      </c>
      <c r="D224" s="67">
        <f t="shared" si="87"/>
        <v>0</v>
      </c>
      <c r="E224" s="67" t="e">
        <f t="shared" ca="1" si="88"/>
        <v>#N/A</v>
      </c>
      <c r="F224" s="67" t="e">
        <f t="shared" ca="1" si="89"/>
        <v>#N/A</v>
      </c>
      <c r="G224" s="67" t="e">
        <f t="shared" ca="1" si="90"/>
        <v>#N/A</v>
      </c>
      <c r="H224" s="67" t="e">
        <f>IF('Demand background (hide)'!AN212&lt;&gt;"",'SPC background (hide)'!C224,NA())</f>
        <v>#N/A</v>
      </c>
      <c r="I224" s="67" t="e">
        <f t="shared" ca="1" si="91"/>
        <v>#N/A</v>
      </c>
      <c r="J224" s="5" t="e">
        <f t="shared" ca="1" si="92"/>
        <v>#N/A</v>
      </c>
      <c r="K224" s="5" t="e">
        <f t="shared" ca="1" si="93"/>
        <v>#N/A</v>
      </c>
      <c r="L224" s="5" t="e">
        <f t="shared" ca="1" si="94"/>
        <v>#N/A</v>
      </c>
      <c r="M224" s="5" t="e">
        <f t="shared" ca="1" si="95"/>
        <v>#N/A</v>
      </c>
      <c r="N224" s="5" t="e">
        <f t="shared" ca="1" si="96"/>
        <v>#N/A</v>
      </c>
      <c r="O224" s="5" t="e">
        <f t="shared" ca="1" si="97"/>
        <v>#N/A</v>
      </c>
      <c r="P224" s="5" t="e">
        <f t="shared" ca="1" si="98"/>
        <v>#N/A</v>
      </c>
      <c r="Q224" s="5" t="e">
        <f t="shared" ca="1" si="99"/>
        <v>#N/A</v>
      </c>
      <c r="R224" s="5" t="e">
        <f t="shared" ca="1" si="104"/>
        <v>#N/A</v>
      </c>
      <c r="S224" s="67" t="e">
        <f t="shared" ca="1" si="105"/>
        <v>#N/A</v>
      </c>
      <c r="T224" s="67" t="e">
        <f t="shared" ca="1" si="106"/>
        <v>#N/A</v>
      </c>
      <c r="U224" s="67" t="e">
        <f t="shared" ca="1" si="107"/>
        <v>#N/A</v>
      </c>
      <c r="V224" s="5" t="e">
        <f t="shared" ca="1" si="86"/>
        <v>#N/A</v>
      </c>
      <c r="W224" s="5" t="e">
        <f t="shared" ca="1" si="100"/>
        <v>#N/A</v>
      </c>
      <c r="X224" s="67">
        <f t="shared" ca="1" si="101"/>
        <v>0</v>
      </c>
      <c r="Y224" s="67" t="e">
        <f t="shared" ca="1" si="108"/>
        <v>#N/A</v>
      </c>
      <c r="Z224" s="67" t="e">
        <f t="shared" ca="1" si="109"/>
        <v>#N/A</v>
      </c>
      <c r="AA224" s="5" t="str">
        <f>IF(Setup!$I$15="Yes",'Demand background (hide)'!AJ212+'SPC background (hide)'!C224,"")</f>
        <v/>
      </c>
      <c r="AC224" s="5" t="e">
        <f t="shared" ca="1" si="102"/>
        <v>#N/A</v>
      </c>
      <c r="AD224" s="5" t="e">
        <f t="shared" ca="1" si="103"/>
        <v>#N/A</v>
      </c>
    </row>
    <row r="225" spans="1:30" x14ac:dyDescent="0.25">
      <c r="A225" s="67" t="str">
        <f ca="1">Demand!C222</f>
        <v/>
      </c>
      <c r="B225" s="67">
        <v>210</v>
      </c>
      <c r="C225" s="5">
        <f ca="1">'Demand background (hide)'!Y213</f>
        <v>0</v>
      </c>
      <c r="D225" s="67">
        <f t="shared" si="87"/>
        <v>0</v>
      </c>
      <c r="E225" s="67" t="e">
        <f t="shared" ca="1" si="88"/>
        <v>#N/A</v>
      </c>
      <c r="F225" s="67" t="e">
        <f t="shared" ca="1" si="89"/>
        <v>#N/A</v>
      </c>
      <c r="G225" s="67" t="e">
        <f t="shared" ca="1" si="90"/>
        <v>#N/A</v>
      </c>
      <c r="H225" s="67" t="e">
        <f>IF('Demand background (hide)'!AN213&lt;&gt;"",'SPC background (hide)'!C225,NA())</f>
        <v>#N/A</v>
      </c>
      <c r="I225" s="67" t="e">
        <f t="shared" ca="1" si="91"/>
        <v>#N/A</v>
      </c>
      <c r="J225" s="5" t="e">
        <f t="shared" ca="1" si="92"/>
        <v>#N/A</v>
      </c>
      <c r="K225" s="5" t="e">
        <f t="shared" ca="1" si="93"/>
        <v>#N/A</v>
      </c>
      <c r="L225" s="5" t="e">
        <f t="shared" ca="1" si="94"/>
        <v>#N/A</v>
      </c>
      <c r="M225" s="5" t="e">
        <f t="shared" ca="1" si="95"/>
        <v>#N/A</v>
      </c>
      <c r="N225" s="5" t="e">
        <f t="shared" ca="1" si="96"/>
        <v>#N/A</v>
      </c>
      <c r="O225" s="5" t="e">
        <f t="shared" ca="1" si="97"/>
        <v>#N/A</v>
      </c>
      <c r="P225" s="5" t="e">
        <f t="shared" ca="1" si="98"/>
        <v>#N/A</v>
      </c>
      <c r="Q225" s="5" t="e">
        <f t="shared" ca="1" si="99"/>
        <v>#N/A</v>
      </c>
      <c r="R225" s="5" t="e">
        <f t="shared" ca="1" si="104"/>
        <v>#N/A</v>
      </c>
      <c r="S225" s="67" t="e">
        <f t="shared" ca="1" si="105"/>
        <v>#N/A</v>
      </c>
      <c r="T225" s="67" t="e">
        <f t="shared" ca="1" si="106"/>
        <v>#N/A</v>
      </c>
      <c r="U225" s="67" t="e">
        <f t="shared" ca="1" si="107"/>
        <v>#N/A</v>
      </c>
      <c r="V225" s="5" t="e">
        <f t="shared" ca="1" si="86"/>
        <v>#N/A</v>
      </c>
      <c r="W225" s="5" t="e">
        <f t="shared" ca="1" si="100"/>
        <v>#N/A</v>
      </c>
      <c r="X225" s="67">
        <f t="shared" ca="1" si="101"/>
        <v>0</v>
      </c>
      <c r="Y225" s="67" t="e">
        <f t="shared" ca="1" si="108"/>
        <v>#N/A</v>
      </c>
      <c r="Z225" s="67" t="e">
        <f t="shared" ca="1" si="109"/>
        <v>#N/A</v>
      </c>
      <c r="AA225" s="5" t="str">
        <f>IF(Setup!$I$15="Yes",'Demand background (hide)'!AJ213+'SPC background (hide)'!C225,"")</f>
        <v/>
      </c>
      <c r="AC225" s="5" t="e">
        <f t="shared" ca="1" si="102"/>
        <v>#N/A</v>
      </c>
      <c r="AD225" s="5" t="e">
        <f t="shared" ca="1" si="103"/>
        <v>#N/A</v>
      </c>
    </row>
    <row r="226" spans="1:30" x14ac:dyDescent="0.25">
      <c r="A226" s="67" t="str">
        <f ca="1">Demand!C223</f>
        <v/>
      </c>
      <c r="B226" s="67">
        <v>211</v>
      </c>
      <c r="C226" s="5">
        <f ca="1">'Demand background (hide)'!Y214</f>
        <v>0</v>
      </c>
      <c r="D226" s="67">
        <f t="shared" si="87"/>
        <v>0</v>
      </c>
      <c r="E226" s="67" t="e">
        <f t="shared" ca="1" si="88"/>
        <v>#N/A</v>
      </c>
      <c r="F226" s="67" t="e">
        <f t="shared" ca="1" si="89"/>
        <v>#N/A</v>
      </c>
      <c r="G226" s="67" t="e">
        <f t="shared" ca="1" si="90"/>
        <v>#N/A</v>
      </c>
      <c r="H226" s="67" t="e">
        <f>IF('Demand background (hide)'!AN214&lt;&gt;"",'SPC background (hide)'!C226,NA())</f>
        <v>#N/A</v>
      </c>
      <c r="I226" s="67" t="e">
        <f t="shared" ca="1" si="91"/>
        <v>#N/A</v>
      </c>
      <c r="J226" s="5" t="e">
        <f t="shared" ca="1" si="92"/>
        <v>#N/A</v>
      </c>
      <c r="K226" s="5" t="e">
        <f t="shared" ca="1" si="93"/>
        <v>#N/A</v>
      </c>
      <c r="L226" s="5" t="e">
        <f t="shared" ca="1" si="94"/>
        <v>#N/A</v>
      </c>
      <c r="M226" s="5" t="e">
        <f t="shared" ca="1" si="95"/>
        <v>#N/A</v>
      </c>
      <c r="N226" s="5" t="e">
        <f t="shared" ca="1" si="96"/>
        <v>#N/A</v>
      </c>
      <c r="O226" s="5" t="e">
        <f t="shared" ca="1" si="97"/>
        <v>#N/A</v>
      </c>
      <c r="P226" s="5" t="e">
        <f t="shared" ca="1" si="98"/>
        <v>#N/A</v>
      </c>
      <c r="Q226" s="5" t="e">
        <f t="shared" ca="1" si="99"/>
        <v>#N/A</v>
      </c>
      <c r="R226" s="5" t="e">
        <f t="shared" ca="1" si="104"/>
        <v>#N/A</v>
      </c>
      <c r="S226" s="67" t="e">
        <f t="shared" ca="1" si="105"/>
        <v>#N/A</v>
      </c>
      <c r="T226" s="67" t="e">
        <f t="shared" ca="1" si="106"/>
        <v>#N/A</v>
      </c>
      <c r="U226" s="67" t="e">
        <f t="shared" ca="1" si="107"/>
        <v>#N/A</v>
      </c>
      <c r="V226" s="5" t="e">
        <f t="shared" ca="1" si="86"/>
        <v>#N/A</v>
      </c>
      <c r="W226" s="5" t="e">
        <f t="shared" ca="1" si="100"/>
        <v>#N/A</v>
      </c>
      <c r="X226" s="67">
        <f t="shared" ca="1" si="101"/>
        <v>0</v>
      </c>
      <c r="Y226" s="67" t="e">
        <f t="shared" ca="1" si="108"/>
        <v>#N/A</v>
      </c>
      <c r="Z226" s="67" t="e">
        <f t="shared" ca="1" si="109"/>
        <v>#N/A</v>
      </c>
      <c r="AA226" s="5" t="str">
        <f>IF(Setup!$I$15="Yes",'Demand background (hide)'!AJ214+'SPC background (hide)'!C226,"")</f>
        <v/>
      </c>
      <c r="AC226" s="5" t="e">
        <f t="shared" ca="1" si="102"/>
        <v>#N/A</v>
      </c>
      <c r="AD226" s="5" t="e">
        <f t="shared" ca="1" si="103"/>
        <v>#N/A</v>
      </c>
    </row>
    <row r="227" spans="1:30" x14ac:dyDescent="0.25">
      <c r="A227" s="67" t="str">
        <f ca="1">Demand!C224</f>
        <v/>
      </c>
      <c r="B227" s="67">
        <v>212</v>
      </c>
      <c r="C227" s="5">
        <f ca="1">'Demand background (hide)'!Y215</f>
        <v>0</v>
      </c>
      <c r="D227" s="67">
        <f t="shared" si="87"/>
        <v>0</v>
      </c>
      <c r="E227" s="67" t="e">
        <f t="shared" ca="1" si="88"/>
        <v>#N/A</v>
      </c>
      <c r="F227" s="67" t="e">
        <f t="shared" ca="1" si="89"/>
        <v>#N/A</v>
      </c>
      <c r="G227" s="67" t="e">
        <f t="shared" ca="1" si="90"/>
        <v>#N/A</v>
      </c>
      <c r="H227" s="67" t="e">
        <f>IF('Demand background (hide)'!AN215&lt;&gt;"",'SPC background (hide)'!C227,NA())</f>
        <v>#N/A</v>
      </c>
      <c r="I227" s="67" t="e">
        <f t="shared" ca="1" si="91"/>
        <v>#N/A</v>
      </c>
      <c r="J227" s="5" t="e">
        <f t="shared" ca="1" si="92"/>
        <v>#N/A</v>
      </c>
      <c r="K227" s="5" t="e">
        <f t="shared" ca="1" si="93"/>
        <v>#N/A</v>
      </c>
      <c r="L227" s="5" t="e">
        <f t="shared" ca="1" si="94"/>
        <v>#N/A</v>
      </c>
      <c r="M227" s="5" t="e">
        <f t="shared" ca="1" si="95"/>
        <v>#N/A</v>
      </c>
      <c r="N227" s="5" t="e">
        <f t="shared" ca="1" si="96"/>
        <v>#N/A</v>
      </c>
      <c r="O227" s="5" t="e">
        <f t="shared" ca="1" si="97"/>
        <v>#N/A</v>
      </c>
      <c r="P227" s="5" t="e">
        <f t="shared" ca="1" si="98"/>
        <v>#N/A</v>
      </c>
      <c r="Q227" s="5" t="e">
        <f t="shared" ca="1" si="99"/>
        <v>#N/A</v>
      </c>
      <c r="R227" s="5" t="e">
        <f t="shared" ca="1" si="104"/>
        <v>#N/A</v>
      </c>
      <c r="S227" s="67" t="e">
        <f t="shared" ca="1" si="105"/>
        <v>#N/A</v>
      </c>
      <c r="T227" s="67" t="e">
        <f t="shared" ca="1" si="106"/>
        <v>#N/A</v>
      </c>
      <c r="U227" s="67" t="e">
        <f t="shared" ca="1" si="107"/>
        <v>#N/A</v>
      </c>
      <c r="V227" s="5" t="e">
        <f t="shared" ca="1" si="86"/>
        <v>#N/A</v>
      </c>
      <c r="W227" s="5" t="e">
        <f t="shared" ca="1" si="100"/>
        <v>#N/A</v>
      </c>
      <c r="X227" s="67">
        <f t="shared" ca="1" si="101"/>
        <v>0</v>
      </c>
      <c r="Y227" s="67" t="e">
        <f t="shared" ca="1" si="108"/>
        <v>#N/A</v>
      </c>
      <c r="Z227" s="67" t="e">
        <f t="shared" ca="1" si="109"/>
        <v>#N/A</v>
      </c>
      <c r="AA227" s="5" t="str">
        <f>IF(Setup!$I$15="Yes",'Demand background (hide)'!AJ215+'SPC background (hide)'!C227,"")</f>
        <v/>
      </c>
      <c r="AC227" s="5" t="e">
        <f t="shared" ca="1" si="102"/>
        <v>#N/A</v>
      </c>
      <c r="AD227" s="5" t="e">
        <f t="shared" ca="1" si="103"/>
        <v>#N/A</v>
      </c>
    </row>
    <row r="228" spans="1:30" x14ac:dyDescent="0.25">
      <c r="A228" s="67" t="str">
        <f ca="1">Demand!C225</f>
        <v/>
      </c>
      <c r="B228" s="67">
        <v>213</v>
      </c>
      <c r="C228" s="5">
        <f ca="1">'Demand background (hide)'!Y216</f>
        <v>0</v>
      </c>
      <c r="D228" s="67">
        <f t="shared" si="87"/>
        <v>0</v>
      </c>
      <c r="E228" s="67" t="e">
        <f t="shared" ca="1" si="88"/>
        <v>#N/A</v>
      </c>
      <c r="F228" s="67" t="e">
        <f t="shared" ca="1" si="89"/>
        <v>#N/A</v>
      </c>
      <c r="G228" s="67" t="e">
        <f t="shared" ca="1" si="90"/>
        <v>#N/A</v>
      </c>
      <c r="H228" s="67" t="e">
        <f>IF('Demand background (hide)'!AN216&lt;&gt;"",'SPC background (hide)'!C228,NA())</f>
        <v>#N/A</v>
      </c>
      <c r="I228" s="67" t="e">
        <f t="shared" ca="1" si="91"/>
        <v>#N/A</v>
      </c>
      <c r="J228" s="5" t="e">
        <f t="shared" ca="1" si="92"/>
        <v>#N/A</v>
      </c>
      <c r="K228" s="5" t="e">
        <f t="shared" ca="1" si="93"/>
        <v>#N/A</v>
      </c>
      <c r="L228" s="5" t="e">
        <f t="shared" ca="1" si="94"/>
        <v>#N/A</v>
      </c>
      <c r="M228" s="5" t="e">
        <f t="shared" ca="1" si="95"/>
        <v>#N/A</v>
      </c>
      <c r="N228" s="5" t="e">
        <f t="shared" ca="1" si="96"/>
        <v>#N/A</v>
      </c>
      <c r="O228" s="5" t="e">
        <f t="shared" ca="1" si="97"/>
        <v>#N/A</v>
      </c>
      <c r="P228" s="5" t="e">
        <f t="shared" ca="1" si="98"/>
        <v>#N/A</v>
      </c>
      <c r="Q228" s="5" t="e">
        <f t="shared" ca="1" si="99"/>
        <v>#N/A</v>
      </c>
      <c r="R228" s="5" t="e">
        <f t="shared" ca="1" si="104"/>
        <v>#N/A</v>
      </c>
      <c r="S228" s="67" t="e">
        <f t="shared" ca="1" si="105"/>
        <v>#N/A</v>
      </c>
      <c r="T228" s="67" t="e">
        <f t="shared" ca="1" si="106"/>
        <v>#N/A</v>
      </c>
      <c r="U228" s="67" t="e">
        <f t="shared" ca="1" si="107"/>
        <v>#N/A</v>
      </c>
      <c r="V228" s="5" t="e">
        <f t="shared" ca="1" si="86"/>
        <v>#N/A</v>
      </c>
      <c r="W228" s="5" t="e">
        <f t="shared" ca="1" si="100"/>
        <v>#N/A</v>
      </c>
      <c r="X228" s="67">
        <f t="shared" ca="1" si="101"/>
        <v>0</v>
      </c>
      <c r="Y228" s="67" t="e">
        <f t="shared" ca="1" si="108"/>
        <v>#N/A</v>
      </c>
      <c r="Z228" s="67" t="e">
        <f t="shared" ca="1" si="109"/>
        <v>#N/A</v>
      </c>
      <c r="AA228" s="5" t="str">
        <f>IF(Setup!$I$15="Yes",'Demand background (hide)'!AJ216+'SPC background (hide)'!C228,"")</f>
        <v/>
      </c>
      <c r="AC228" s="5" t="e">
        <f t="shared" ca="1" si="102"/>
        <v>#N/A</v>
      </c>
      <c r="AD228" s="5" t="e">
        <f t="shared" ca="1" si="103"/>
        <v>#N/A</v>
      </c>
    </row>
    <row r="229" spans="1:30" x14ac:dyDescent="0.25">
      <c r="A229" s="67" t="str">
        <f ca="1">Demand!C226</f>
        <v/>
      </c>
      <c r="B229" s="67">
        <v>214</v>
      </c>
      <c r="C229" s="5">
        <f ca="1">'Demand background (hide)'!Y217</f>
        <v>0</v>
      </c>
      <c r="D229" s="67">
        <f t="shared" si="87"/>
        <v>0</v>
      </c>
      <c r="E229" s="67" t="e">
        <f t="shared" ca="1" si="88"/>
        <v>#N/A</v>
      </c>
      <c r="F229" s="67" t="e">
        <f t="shared" ca="1" si="89"/>
        <v>#N/A</v>
      </c>
      <c r="G229" s="67" t="e">
        <f t="shared" ca="1" si="90"/>
        <v>#N/A</v>
      </c>
      <c r="H229" s="67" t="e">
        <f>IF('Demand background (hide)'!AN217&lt;&gt;"",'SPC background (hide)'!C229,NA())</f>
        <v>#N/A</v>
      </c>
      <c r="I229" s="67" t="e">
        <f t="shared" ca="1" si="91"/>
        <v>#N/A</v>
      </c>
      <c r="J229" s="5" t="e">
        <f t="shared" ca="1" si="92"/>
        <v>#N/A</v>
      </c>
      <c r="K229" s="5" t="e">
        <f t="shared" ca="1" si="93"/>
        <v>#N/A</v>
      </c>
      <c r="L229" s="5" t="e">
        <f t="shared" ca="1" si="94"/>
        <v>#N/A</v>
      </c>
      <c r="M229" s="5" t="e">
        <f t="shared" ca="1" si="95"/>
        <v>#N/A</v>
      </c>
      <c r="N229" s="5" t="e">
        <f t="shared" ca="1" si="96"/>
        <v>#N/A</v>
      </c>
      <c r="O229" s="5" t="e">
        <f t="shared" ca="1" si="97"/>
        <v>#N/A</v>
      </c>
      <c r="P229" s="5" t="e">
        <f t="shared" ca="1" si="98"/>
        <v>#N/A</v>
      </c>
      <c r="Q229" s="5" t="e">
        <f t="shared" ca="1" si="99"/>
        <v>#N/A</v>
      </c>
      <c r="R229" s="5" t="e">
        <f t="shared" ca="1" si="104"/>
        <v>#N/A</v>
      </c>
      <c r="S229" s="67" t="e">
        <f t="shared" ca="1" si="105"/>
        <v>#N/A</v>
      </c>
      <c r="T229" s="67" t="e">
        <f t="shared" ca="1" si="106"/>
        <v>#N/A</v>
      </c>
      <c r="U229" s="67" t="e">
        <f t="shared" ca="1" si="107"/>
        <v>#N/A</v>
      </c>
      <c r="V229" s="5" t="e">
        <f t="shared" ca="1" si="86"/>
        <v>#N/A</v>
      </c>
      <c r="W229" s="5" t="e">
        <f t="shared" ca="1" si="100"/>
        <v>#N/A</v>
      </c>
      <c r="X229" s="67">
        <f t="shared" ca="1" si="101"/>
        <v>0</v>
      </c>
      <c r="Y229" s="67" t="e">
        <f t="shared" ca="1" si="108"/>
        <v>#N/A</v>
      </c>
      <c r="Z229" s="67" t="e">
        <f t="shared" ca="1" si="109"/>
        <v>#N/A</v>
      </c>
      <c r="AA229" s="5" t="str">
        <f>IF(Setup!$I$15="Yes",'Demand background (hide)'!AJ217+'SPC background (hide)'!C229,"")</f>
        <v/>
      </c>
      <c r="AC229" s="5" t="e">
        <f t="shared" ca="1" si="102"/>
        <v>#N/A</v>
      </c>
      <c r="AD229" s="5" t="e">
        <f t="shared" ca="1" si="103"/>
        <v>#N/A</v>
      </c>
    </row>
    <row r="230" spans="1:30" x14ac:dyDescent="0.25">
      <c r="A230" s="67" t="str">
        <f ca="1">Demand!C227</f>
        <v/>
      </c>
      <c r="B230" s="67">
        <v>215</v>
      </c>
      <c r="C230" s="5">
        <f ca="1">'Demand background (hide)'!Y218</f>
        <v>0</v>
      </c>
      <c r="D230" s="67">
        <f t="shared" si="87"/>
        <v>0</v>
      </c>
      <c r="E230" s="67" t="e">
        <f t="shared" ca="1" si="88"/>
        <v>#N/A</v>
      </c>
      <c r="F230" s="67" t="e">
        <f t="shared" ca="1" si="89"/>
        <v>#N/A</v>
      </c>
      <c r="G230" s="67" t="e">
        <f t="shared" ca="1" si="90"/>
        <v>#N/A</v>
      </c>
      <c r="H230" s="67" t="e">
        <f>IF('Demand background (hide)'!AN218&lt;&gt;"",'SPC background (hide)'!C230,NA())</f>
        <v>#N/A</v>
      </c>
      <c r="I230" s="67" t="e">
        <f t="shared" ca="1" si="91"/>
        <v>#N/A</v>
      </c>
      <c r="J230" s="5" t="e">
        <f t="shared" ca="1" si="92"/>
        <v>#N/A</v>
      </c>
      <c r="K230" s="5" t="e">
        <f t="shared" ca="1" si="93"/>
        <v>#N/A</v>
      </c>
      <c r="L230" s="5" t="e">
        <f t="shared" ca="1" si="94"/>
        <v>#N/A</v>
      </c>
      <c r="M230" s="5" t="e">
        <f t="shared" ca="1" si="95"/>
        <v>#N/A</v>
      </c>
      <c r="N230" s="5" t="e">
        <f t="shared" ca="1" si="96"/>
        <v>#N/A</v>
      </c>
      <c r="O230" s="5" t="e">
        <f t="shared" ca="1" si="97"/>
        <v>#N/A</v>
      </c>
      <c r="P230" s="5" t="e">
        <f t="shared" ca="1" si="98"/>
        <v>#N/A</v>
      </c>
      <c r="Q230" s="5" t="e">
        <f t="shared" ca="1" si="99"/>
        <v>#N/A</v>
      </c>
      <c r="R230" s="5" t="e">
        <f t="shared" ca="1" si="104"/>
        <v>#N/A</v>
      </c>
      <c r="S230" s="67" t="e">
        <f t="shared" ca="1" si="105"/>
        <v>#N/A</v>
      </c>
      <c r="T230" s="67" t="e">
        <f t="shared" ca="1" si="106"/>
        <v>#N/A</v>
      </c>
      <c r="U230" s="67" t="e">
        <f t="shared" ca="1" si="107"/>
        <v>#N/A</v>
      </c>
      <c r="V230" s="5" t="e">
        <f t="shared" ca="1" si="86"/>
        <v>#N/A</v>
      </c>
      <c r="W230" s="5" t="e">
        <f t="shared" ca="1" si="100"/>
        <v>#N/A</v>
      </c>
      <c r="X230" s="67">
        <f t="shared" ca="1" si="101"/>
        <v>0</v>
      </c>
      <c r="Y230" s="67" t="e">
        <f t="shared" ca="1" si="108"/>
        <v>#N/A</v>
      </c>
      <c r="Z230" s="67" t="e">
        <f t="shared" ca="1" si="109"/>
        <v>#N/A</v>
      </c>
      <c r="AA230" s="5" t="str">
        <f>IF(Setup!$I$15="Yes",'Demand background (hide)'!AJ218+'SPC background (hide)'!C230,"")</f>
        <v/>
      </c>
      <c r="AC230" s="5" t="e">
        <f t="shared" ca="1" si="102"/>
        <v>#N/A</v>
      </c>
      <c r="AD230" s="5" t="e">
        <f t="shared" ca="1" si="103"/>
        <v>#N/A</v>
      </c>
    </row>
    <row r="231" spans="1:30" x14ac:dyDescent="0.25">
      <c r="A231" s="67" t="str">
        <f ca="1">Demand!C228</f>
        <v/>
      </c>
      <c r="B231" s="67">
        <v>216</v>
      </c>
      <c r="C231" s="5">
        <f ca="1">'Demand background (hide)'!Y219</f>
        <v>0</v>
      </c>
      <c r="D231" s="67">
        <f t="shared" si="87"/>
        <v>0</v>
      </c>
      <c r="E231" s="67" t="e">
        <f t="shared" ca="1" si="88"/>
        <v>#N/A</v>
      </c>
      <c r="F231" s="67" t="e">
        <f t="shared" ca="1" si="89"/>
        <v>#N/A</v>
      </c>
      <c r="G231" s="67" t="e">
        <f t="shared" ca="1" si="90"/>
        <v>#N/A</v>
      </c>
      <c r="H231" s="67" t="e">
        <f>IF('Demand background (hide)'!AN219&lt;&gt;"",'SPC background (hide)'!C231,NA())</f>
        <v>#N/A</v>
      </c>
      <c r="I231" s="67" t="e">
        <f t="shared" ca="1" si="91"/>
        <v>#N/A</v>
      </c>
      <c r="J231" s="5" t="e">
        <f t="shared" ca="1" si="92"/>
        <v>#N/A</v>
      </c>
      <c r="K231" s="5" t="e">
        <f t="shared" ca="1" si="93"/>
        <v>#N/A</v>
      </c>
      <c r="L231" s="5" t="e">
        <f t="shared" ca="1" si="94"/>
        <v>#N/A</v>
      </c>
      <c r="M231" s="5" t="e">
        <f t="shared" ca="1" si="95"/>
        <v>#N/A</v>
      </c>
      <c r="N231" s="5" t="e">
        <f t="shared" ca="1" si="96"/>
        <v>#N/A</v>
      </c>
      <c r="O231" s="5" t="e">
        <f t="shared" ca="1" si="97"/>
        <v>#N/A</v>
      </c>
      <c r="P231" s="5" t="e">
        <f t="shared" ca="1" si="98"/>
        <v>#N/A</v>
      </c>
      <c r="Q231" s="5" t="e">
        <f t="shared" ca="1" si="99"/>
        <v>#N/A</v>
      </c>
      <c r="R231" s="5" t="e">
        <f t="shared" ca="1" si="104"/>
        <v>#N/A</v>
      </c>
      <c r="S231" s="67" t="e">
        <f t="shared" ca="1" si="105"/>
        <v>#N/A</v>
      </c>
      <c r="T231" s="67" t="e">
        <f t="shared" ca="1" si="106"/>
        <v>#N/A</v>
      </c>
      <c r="U231" s="67" t="e">
        <f t="shared" ca="1" si="107"/>
        <v>#N/A</v>
      </c>
      <c r="V231" s="5" t="e">
        <f t="shared" ca="1" si="86"/>
        <v>#N/A</v>
      </c>
      <c r="W231" s="5" t="e">
        <f t="shared" ca="1" si="100"/>
        <v>#N/A</v>
      </c>
      <c r="X231" s="67">
        <f t="shared" ca="1" si="101"/>
        <v>0</v>
      </c>
      <c r="Y231" s="67" t="e">
        <f t="shared" ca="1" si="108"/>
        <v>#N/A</v>
      </c>
      <c r="Z231" s="67" t="e">
        <f t="shared" ca="1" si="109"/>
        <v>#N/A</v>
      </c>
      <c r="AA231" s="5" t="str">
        <f>IF(Setup!$I$15="Yes",'Demand background (hide)'!AJ219+'SPC background (hide)'!C231,"")</f>
        <v/>
      </c>
      <c r="AC231" s="5" t="e">
        <f t="shared" ca="1" si="102"/>
        <v>#N/A</v>
      </c>
      <c r="AD231" s="5" t="e">
        <f t="shared" ca="1" si="103"/>
        <v>#N/A</v>
      </c>
    </row>
    <row r="232" spans="1:30" x14ac:dyDescent="0.25">
      <c r="A232" s="67" t="str">
        <f ca="1">Demand!C229</f>
        <v/>
      </c>
      <c r="B232" s="67">
        <v>217</v>
      </c>
      <c r="C232" s="5">
        <f ca="1">'Demand background (hide)'!Y220</f>
        <v>0</v>
      </c>
      <c r="D232" s="67">
        <f t="shared" si="87"/>
        <v>0</v>
      </c>
      <c r="E232" s="67" t="e">
        <f t="shared" ca="1" si="88"/>
        <v>#N/A</v>
      </c>
      <c r="F232" s="67" t="e">
        <f t="shared" ca="1" si="89"/>
        <v>#N/A</v>
      </c>
      <c r="G232" s="67" t="e">
        <f t="shared" ca="1" si="90"/>
        <v>#N/A</v>
      </c>
      <c r="H232" s="67" t="e">
        <f>IF('Demand background (hide)'!AN220&lt;&gt;"",'SPC background (hide)'!C232,NA())</f>
        <v>#N/A</v>
      </c>
      <c r="I232" s="67" t="e">
        <f t="shared" ca="1" si="91"/>
        <v>#N/A</v>
      </c>
      <c r="J232" s="5" t="e">
        <f t="shared" ca="1" si="92"/>
        <v>#N/A</v>
      </c>
      <c r="K232" s="5" t="e">
        <f t="shared" ca="1" si="93"/>
        <v>#N/A</v>
      </c>
      <c r="L232" s="5" t="e">
        <f t="shared" ca="1" si="94"/>
        <v>#N/A</v>
      </c>
      <c r="M232" s="5" t="e">
        <f t="shared" ca="1" si="95"/>
        <v>#N/A</v>
      </c>
      <c r="N232" s="5" t="e">
        <f t="shared" ca="1" si="96"/>
        <v>#N/A</v>
      </c>
      <c r="O232" s="5" t="e">
        <f t="shared" ca="1" si="97"/>
        <v>#N/A</v>
      </c>
      <c r="P232" s="5" t="e">
        <f t="shared" ca="1" si="98"/>
        <v>#N/A</v>
      </c>
      <c r="Q232" s="5" t="e">
        <f t="shared" ca="1" si="99"/>
        <v>#N/A</v>
      </c>
      <c r="R232" s="5" t="e">
        <f t="shared" ca="1" si="104"/>
        <v>#N/A</v>
      </c>
      <c r="S232" s="67" t="e">
        <f t="shared" ca="1" si="105"/>
        <v>#N/A</v>
      </c>
      <c r="T232" s="67" t="e">
        <f t="shared" ca="1" si="106"/>
        <v>#N/A</v>
      </c>
      <c r="U232" s="67" t="e">
        <f t="shared" ca="1" si="107"/>
        <v>#N/A</v>
      </c>
      <c r="V232" s="5" t="e">
        <f t="shared" ca="1" si="86"/>
        <v>#N/A</v>
      </c>
      <c r="W232" s="5" t="e">
        <f t="shared" ca="1" si="100"/>
        <v>#N/A</v>
      </c>
      <c r="X232" s="67">
        <f t="shared" ca="1" si="101"/>
        <v>0</v>
      </c>
      <c r="Y232" s="67" t="e">
        <f t="shared" ca="1" si="108"/>
        <v>#N/A</v>
      </c>
      <c r="Z232" s="67" t="e">
        <f t="shared" ca="1" si="109"/>
        <v>#N/A</v>
      </c>
      <c r="AA232" s="5" t="str">
        <f>IF(Setup!$I$15="Yes",'Demand background (hide)'!AJ220+'SPC background (hide)'!C232,"")</f>
        <v/>
      </c>
      <c r="AC232" s="5" t="e">
        <f t="shared" ca="1" si="102"/>
        <v>#N/A</v>
      </c>
      <c r="AD232" s="5" t="e">
        <f t="shared" ca="1" si="103"/>
        <v>#N/A</v>
      </c>
    </row>
    <row r="233" spans="1:30" x14ac:dyDescent="0.25">
      <c r="A233" s="67" t="str">
        <f ca="1">Demand!C230</f>
        <v/>
      </c>
      <c r="B233" s="67">
        <v>218</v>
      </c>
      <c r="C233" s="5">
        <f ca="1">'Demand background (hide)'!Y221</f>
        <v>0</v>
      </c>
      <c r="D233" s="67">
        <f t="shared" si="87"/>
        <v>0</v>
      </c>
      <c r="E233" s="67" t="e">
        <f t="shared" ca="1" si="88"/>
        <v>#N/A</v>
      </c>
      <c r="F233" s="67" t="e">
        <f t="shared" ca="1" si="89"/>
        <v>#N/A</v>
      </c>
      <c r="G233" s="67" t="e">
        <f t="shared" ca="1" si="90"/>
        <v>#N/A</v>
      </c>
      <c r="H233" s="67" t="e">
        <f>IF('Demand background (hide)'!AN221&lt;&gt;"",'SPC background (hide)'!C233,NA())</f>
        <v>#N/A</v>
      </c>
      <c r="I233" s="67" t="e">
        <f t="shared" ca="1" si="91"/>
        <v>#N/A</v>
      </c>
      <c r="J233" s="5" t="e">
        <f t="shared" ca="1" si="92"/>
        <v>#N/A</v>
      </c>
      <c r="K233" s="5" t="e">
        <f t="shared" ca="1" si="93"/>
        <v>#N/A</v>
      </c>
      <c r="L233" s="5" t="e">
        <f t="shared" ca="1" si="94"/>
        <v>#N/A</v>
      </c>
      <c r="M233" s="5" t="e">
        <f t="shared" ca="1" si="95"/>
        <v>#N/A</v>
      </c>
      <c r="N233" s="5" t="e">
        <f t="shared" ca="1" si="96"/>
        <v>#N/A</v>
      </c>
      <c r="O233" s="5" t="e">
        <f t="shared" ca="1" si="97"/>
        <v>#N/A</v>
      </c>
      <c r="P233" s="5" t="e">
        <f t="shared" ca="1" si="98"/>
        <v>#N/A</v>
      </c>
      <c r="Q233" s="5" t="e">
        <f t="shared" ca="1" si="99"/>
        <v>#N/A</v>
      </c>
      <c r="R233" s="5" t="e">
        <f t="shared" ca="1" si="104"/>
        <v>#N/A</v>
      </c>
      <c r="S233" s="67" t="e">
        <f t="shared" ca="1" si="105"/>
        <v>#N/A</v>
      </c>
      <c r="T233" s="67" t="e">
        <f t="shared" ca="1" si="106"/>
        <v>#N/A</v>
      </c>
      <c r="U233" s="67" t="e">
        <f t="shared" ca="1" si="107"/>
        <v>#N/A</v>
      </c>
      <c r="V233" s="5" t="e">
        <f t="shared" ca="1" si="86"/>
        <v>#N/A</v>
      </c>
      <c r="W233" s="5" t="e">
        <f t="shared" ca="1" si="100"/>
        <v>#N/A</v>
      </c>
      <c r="X233" s="67">
        <f t="shared" ca="1" si="101"/>
        <v>0</v>
      </c>
      <c r="Y233" s="67" t="e">
        <f t="shared" ca="1" si="108"/>
        <v>#N/A</v>
      </c>
      <c r="Z233" s="67" t="e">
        <f t="shared" ca="1" si="109"/>
        <v>#N/A</v>
      </c>
      <c r="AA233" s="5" t="str">
        <f>IF(Setup!$I$15="Yes",'Demand background (hide)'!AJ221+'SPC background (hide)'!C233,"")</f>
        <v/>
      </c>
      <c r="AC233" s="5" t="e">
        <f t="shared" ca="1" si="102"/>
        <v>#N/A</v>
      </c>
      <c r="AD233" s="5" t="e">
        <f t="shared" ca="1" si="103"/>
        <v>#N/A</v>
      </c>
    </row>
    <row r="234" spans="1:30" x14ac:dyDescent="0.25">
      <c r="A234" s="67" t="str">
        <f ca="1">Demand!C231</f>
        <v/>
      </c>
      <c r="B234" s="67">
        <v>219</v>
      </c>
      <c r="C234" s="5">
        <f ca="1">'Demand background (hide)'!Y222</f>
        <v>0</v>
      </c>
      <c r="D234" s="67">
        <f t="shared" si="87"/>
        <v>0</v>
      </c>
      <c r="E234" s="67" t="e">
        <f t="shared" ca="1" si="88"/>
        <v>#N/A</v>
      </c>
      <c r="F234" s="67" t="e">
        <f t="shared" ca="1" si="89"/>
        <v>#N/A</v>
      </c>
      <c r="G234" s="67" t="e">
        <f t="shared" ca="1" si="90"/>
        <v>#N/A</v>
      </c>
      <c r="H234" s="67" t="e">
        <f>IF('Demand background (hide)'!AN222&lt;&gt;"",'SPC background (hide)'!C234,NA())</f>
        <v>#N/A</v>
      </c>
      <c r="I234" s="67" t="e">
        <f t="shared" ca="1" si="91"/>
        <v>#N/A</v>
      </c>
      <c r="J234" s="5" t="e">
        <f t="shared" ca="1" si="92"/>
        <v>#N/A</v>
      </c>
      <c r="K234" s="5" t="e">
        <f t="shared" ca="1" si="93"/>
        <v>#N/A</v>
      </c>
      <c r="L234" s="5" t="e">
        <f t="shared" ca="1" si="94"/>
        <v>#N/A</v>
      </c>
      <c r="M234" s="5" t="e">
        <f t="shared" ca="1" si="95"/>
        <v>#N/A</v>
      </c>
      <c r="N234" s="5" t="e">
        <f t="shared" ca="1" si="96"/>
        <v>#N/A</v>
      </c>
      <c r="O234" s="5" t="e">
        <f t="shared" ca="1" si="97"/>
        <v>#N/A</v>
      </c>
      <c r="P234" s="5" t="e">
        <f t="shared" ca="1" si="98"/>
        <v>#N/A</v>
      </c>
      <c r="Q234" s="5" t="e">
        <f t="shared" ca="1" si="99"/>
        <v>#N/A</v>
      </c>
      <c r="R234" s="5" t="e">
        <f t="shared" ca="1" si="104"/>
        <v>#N/A</v>
      </c>
      <c r="S234" s="67" t="e">
        <f t="shared" ca="1" si="105"/>
        <v>#N/A</v>
      </c>
      <c r="T234" s="67" t="e">
        <f t="shared" ca="1" si="106"/>
        <v>#N/A</v>
      </c>
      <c r="U234" s="67" t="e">
        <f t="shared" ca="1" si="107"/>
        <v>#N/A</v>
      </c>
      <c r="V234" s="5" t="e">
        <f t="shared" ca="1" si="86"/>
        <v>#N/A</v>
      </c>
      <c r="W234" s="5" t="e">
        <f t="shared" ca="1" si="100"/>
        <v>#N/A</v>
      </c>
      <c r="X234" s="67">
        <f t="shared" ca="1" si="101"/>
        <v>0</v>
      </c>
      <c r="Y234" s="67" t="e">
        <f t="shared" ca="1" si="108"/>
        <v>#N/A</v>
      </c>
      <c r="Z234" s="67" t="e">
        <f t="shared" ca="1" si="109"/>
        <v>#N/A</v>
      </c>
      <c r="AA234" s="5" t="str">
        <f>IF(Setup!$I$15="Yes",'Demand background (hide)'!AJ222+'SPC background (hide)'!C234,"")</f>
        <v/>
      </c>
      <c r="AC234" s="5" t="e">
        <f t="shared" ca="1" si="102"/>
        <v>#N/A</v>
      </c>
      <c r="AD234" s="5" t="e">
        <f t="shared" ca="1" si="103"/>
        <v>#N/A</v>
      </c>
    </row>
    <row r="235" spans="1:30" x14ac:dyDescent="0.25">
      <c r="A235" s="67" t="str">
        <f ca="1">Demand!C232</f>
        <v/>
      </c>
      <c r="B235" s="67">
        <v>220</v>
      </c>
      <c r="C235" s="5">
        <f ca="1">'Demand background (hide)'!Y223</f>
        <v>0</v>
      </c>
      <c r="D235" s="67">
        <f t="shared" si="87"/>
        <v>0</v>
      </c>
      <c r="E235" s="67" t="e">
        <f t="shared" ca="1" si="88"/>
        <v>#N/A</v>
      </c>
      <c r="F235" s="67" t="e">
        <f t="shared" ca="1" si="89"/>
        <v>#N/A</v>
      </c>
      <c r="G235" s="67" t="e">
        <f t="shared" ca="1" si="90"/>
        <v>#N/A</v>
      </c>
      <c r="H235" s="67" t="e">
        <f>IF('Demand background (hide)'!AN223&lt;&gt;"",'SPC background (hide)'!C235,NA())</f>
        <v>#N/A</v>
      </c>
      <c r="I235" s="67" t="e">
        <f t="shared" ca="1" si="91"/>
        <v>#N/A</v>
      </c>
      <c r="J235" s="5" t="e">
        <f t="shared" ca="1" si="92"/>
        <v>#N/A</v>
      </c>
      <c r="K235" s="5" t="e">
        <f t="shared" ca="1" si="93"/>
        <v>#N/A</v>
      </c>
      <c r="L235" s="5" t="e">
        <f t="shared" ca="1" si="94"/>
        <v>#N/A</v>
      </c>
      <c r="M235" s="5" t="e">
        <f t="shared" ca="1" si="95"/>
        <v>#N/A</v>
      </c>
      <c r="N235" s="5" t="e">
        <f t="shared" ca="1" si="96"/>
        <v>#N/A</v>
      </c>
      <c r="O235" s="5" t="e">
        <f t="shared" ca="1" si="97"/>
        <v>#N/A</v>
      </c>
      <c r="P235" s="5" t="e">
        <f t="shared" ca="1" si="98"/>
        <v>#N/A</v>
      </c>
      <c r="Q235" s="5" t="e">
        <f t="shared" ca="1" si="99"/>
        <v>#N/A</v>
      </c>
      <c r="R235" s="5" t="e">
        <f t="shared" ca="1" si="104"/>
        <v>#N/A</v>
      </c>
      <c r="S235" s="67" t="e">
        <f t="shared" ca="1" si="105"/>
        <v>#N/A</v>
      </c>
      <c r="T235" s="67" t="e">
        <f t="shared" ca="1" si="106"/>
        <v>#N/A</v>
      </c>
      <c r="U235" s="67" t="e">
        <f t="shared" ca="1" si="107"/>
        <v>#N/A</v>
      </c>
      <c r="V235" s="5" t="e">
        <f t="shared" ca="1" si="86"/>
        <v>#N/A</v>
      </c>
      <c r="W235" s="5" t="e">
        <f t="shared" ca="1" si="100"/>
        <v>#N/A</v>
      </c>
      <c r="X235" s="67">
        <f t="shared" ca="1" si="101"/>
        <v>0</v>
      </c>
      <c r="Y235" s="67" t="e">
        <f t="shared" ca="1" si="108"/>
        <v>#N/A</v>
      </c>
      <c r="Z235" s="67" t="e">
        <f t="shared" ca="1" si="109"/>
        <v>#N/A</v>
      </c>
      <c r="AA235" s="5" t="str">
        <f>IF(Setup!$I$15="Yes",'Demand background (hide)'!AJ223+'SPC background (hide)'!C235,"")</f>
        <v/>
      </c>
      <c r="AC235" s="5" t="e">
        <f t="shared" ca="1" si="102"/>
        <v>#N/A</v>
      </c>
      <c r="AD235" s="5" t="e">
        <f t="shared" ca="1" si="103"/>
        <v>#N/A</v>
      </c>
    </row>
    <row r="236" spans="1:30" x14ac:dyDescent="0.25">
      <c r="A236" s="67" t="str">
        <f ca="1">Demand!C233</f>
        <v/>
      </c>
      <c r="B236" s="67">
        <v>221</v>
      </c>
      <c r="C236" s="5">
        <f ca="1">'Demand background (hide)'!Y224</f>
        <v>0</v>
      </c>
      <c r="D236" s="67">
        <f t="shared" si="87"/>
        <v>0</v>
      </c>
      <c r="E236" s="67" t="e">
        <f t="shared" ca="1" si="88"/>
        <v>#N/A</v>
      </c>
      <c r="F236" s="67" t="e">
        <f t="shared" ca="1" si="89"/>
        <v>#N/A</v>
      </c>
      <c r="G236" s="67" t="e">
        <f t="shared" ca="1" si="90"/>
        <v>#N/A</v>
      </c>
      <c r="H236" s="67" t="e">
        <f>IF('Demand background (hide)'!AN224&lt;&gt;"",'SPC background (hide)'!C236,NA())</f>
        <v>#N/A</v>
      </c>
      <c r="I236" s="67" t="e">
        <f t="shared" ca="1" si="91"/>
        <v>#N/A</v>
      </c>
      <c r="J236" s="5" t="e">
        <f t="shared" ca="1" si="92"/>
        <v>#N/A</v>
      </c>
      <c r="K236" s="5" t="e">
        <f t="shared" ca="1" si="93"/>
        <v>#N/A</v>
      </c>
      <c r="L236" s="5" t="e">
        <f t="shared" ca="1" si="94"/>
        <v>#N/A</v>
      </c>
      <c r="M236" s="5" t="e">
        <f t="shared" ca="1" si="95"/>
        <v>#N/A</v>
      </c>
      <c r="N236" s="5" t="e">
        <f t="shared" ca="1" si="96"/>
        <v>#N/A</v>
      </c>
      <c r="O236" s="5" t="e">
        <f t="shared" ca="1" si="97"/>
        <v>#N/A</v>
      </c>
      <c r="P236" s="5" t="e">
        <f t="shared" ca="1" si="98"/>
        <v>#N/A</v>
      </c>
      <c r="Q236" s="5" t="e">
        <f t="shared" ca="1" si="99"/>
        <v>#N/A</v>
      </c>
      <c r="R236" s="5" t="e">
        <f t="shared" ca="1" si="104"/>
        <v>#N/A</v>
      </c>
      <c r="S236" s="67" t="e">
        <f t="shared" ca="1" si="105"/>
        <v>#N/A</v>
      </c>
      <c r="T236" s="67" t="e">
        <f t="shared" ca="1" si="106"/>
        <v>#N/A</v>
      </c>
      <c r="U236" s="67" t="e">
        <f t="shared" ca="1" si="107"/>
        <v>#N/A</v>
      </c>
      <c r="V236" s="5" t="e">
        <f t="shared" ca="1" si="86"/>
        <v>#N/A</v>
      </c>
      <c r="W236" s="5" t="e">
        <f t="shared" ca="1" si="100"/>
        <v>#N/A</v>
      </c>
      <c r="X236" s="67">
        <f t="shared" ca="1" si="101"/>
        <v>0</v>
      </c>
      <c r="Y236" s="67" t="e">
        <f t="shared" ca="1" si="108"/>
        <v>#N/A</v>
      </c>
      <c r="Z236" s="67" t="e">
        <f t="shared" ca="1" si="109"/>
        <v>#N/A</v>
      </c>
      <c r="AA236" s="5" t="str">
        <f>IF(Setup!$I$15="Yes",'Demand background (hide)'!AJ224+'SPC background (hide)'!C236,"")</f>
        <v/>
      </c>
      <c r="AC236" s="5" t="e">
        <f t="shared" ca="1" si="102"/>
        <v>#N/A</v>
      </c>
      <c r="AD236" s="5" t="e">
        <f t="shared" ca="1" si="103"/>
        <v>#N/A</v>
      </c>
    </row>
    <row r="237" spans="1:30" x14ac:dyDescent="0.25">
      <c r="A237" s="67" t="str">
        <f ca="1">Demand!C234</f>
        <v/>
      </c>
      <c r="B237" s="67">
        <v>222</v>
      </c>
      <c r="C237" s="5">
        <f ca="1">'Demand background (hide)'!Y225</f>
        <v>0</v>
      </c>
      <c r="D237" s="67">
        <f t="shared" si="87"/>
        <v>0</v>
      </c>
      <c r="E237" s="67" t="e">
        <f t="shared" ca="1" si="88"/>
        <v>#N/A</v>
      </c>
      <c r="F237" s="67" t="e">
        <f t="shared" ca="1" si="89"/>
        <v>#N/A</v>
      </c>
      <c r="G237" s="67" t="e">
        <f t="shared" ca="1" si="90"/>
        <v>#N/A</v>
      </c>
      <c r="H237" s="67" t="e">
        <f>IF('Demand background (hide)'!AN225&lt;&gt;"",'SPC background (hide)'!C237,NA())</f>
        <v>#N/A</v>
      </c>
      <c r="I237" s="67" t="e">
        <f t="shared" ca="1" si="91"/>
        <v>#N/A</v>
      </c>
      <c r="J237" s="5" t="e">
        <f t="shared" ca="1" si="92"/>
        <v>#N/A</v>
      </c>
      <c r="K237" s="5" t="e">
        <f t="shared" ca="1" si="93"/>
        <v>#N/A</v>
      </c>
      <c r="L237" s="5" t="e">
        <f t="shared" ca="1" si="94"/>
        <v>#N/A</v>
      </c>
      <c r="M237" s="5" t="e">
        <f t="shared" ca="1" si="95"/>
        <v>#N/A</v>
      </c>
      <c r="N237" s="5" t="e">
        <f t="shared" ca="1" si="96"/>
        <v>#N/A</v>
      </c>
      <c r="O237" s="5" t="e">
        <f t="shared" ca="1" si="97"/>
        <v>#N/A</v>
      </c>
      <c r="P237" s="5" t="e">
        <f t="shared" ca="1" si="98"/>
        <v>#N/A</v>
      </c>
      <c r="Q237" s="5" t="e">
        <f t="shared" ca="1" si="99"/>
        <v>#N/A</v>
      </c>
      <c r="R237" s="5" t="e">
        <f t="shared" ca="1" si="104"/>
        <v>#N/A</v>
      </c>
      <c r="S237" s="67" t="e">
        <f t="shared" ca="1" si="105"/>
        <v>#N/A</v>
      </c>
      <c r="T237" s="67" t="e">
        <f t="shared" ca="1" si="106"/>
        <v>#N/A</v>
      </c>
      <c r="U237" s="67" t="e">
        <f t="shared" ca="1" si="107"/>
        <v>#N/A</v>
      </c>
      <c r="V237" s="5" t="e">
        <f t="shared" ca="1" si="86"/>
        <v>#N/A</v>
      </c>
      <c r="W237" s="5" t="e">
        <f t="shared" ca="1" si="100"/>
        <v>#N/A</v>
      </c>
      <c r="X237" s="67">
        <f t="shared" ca="1" si="101"/>
        <v>0</v>
      </c>
      <c r="Y237" s="67" t="e">
        <f t="shared" ca="1" si="108"/>
        <v>#N/A</v>
      </c>
      <c r="Z237" s="67" t="e">
        <f t="shared" ca="1" si="109"/>
        <v>#N/A</v>
      </c>
      <c r="AA237" s="5" t="str">
        <f>IF(Setup!$I$15="Yes",'Demand background (hide)'!AJ225+'SPC background (hide)'!C237,"")</f>
        <v/>
      </c>
      <c r="AC237" s="5" t="e">
        <f t="shared" ca="1" si="102"/>
        <v>#N/A</v>
      </c>
      <c r="AD237" s="5" t="e">
        <f t="shared" ca="1" si="103"/>
        <v>#N/A</v>
      </c>
    </row>
    <row r="238" spans="1:30" x14ac:dyDescent="0.25">
      <c r="A238" s="67" t="str">
        <f ca="1">Demand!C235</f>
        <v/>
      </c>
      <c r="B238" s="67">
        <v>223</v>
      </c>
      <c r="C238" s="5">
        <f ca="1">'Demand background (hide)'!Y226</f>
        <v>0</v>
      </c>
      <c r="D238" s="67">
        <f t="shared" si="87"/>
        <v>0</v>
      </c>
      <c r="E238" s="67" t="e">
        <f t="shared" ca="1" si="88"/>
        <v>#N/A</v>
      </c>
      <c r="F238" s="67" t="e">
        <f t="shared" ca="1" si="89"/>
        <v>#N/A</v>
      </c>
      <c r="G238" s="67" t="e">
        <f t="shared" ca="1" si="90"/>
        <v>#N/A</v>
      </c>
      <c r="H238" s="67" t="e">
        <f>IF('Demand background (hide)'!AN226&lt;&gt;"",'SPC background (hide)'!C238,NA())</f>
        <v>#N/A</v>
      </c>
      <c r="I238" s="67" t="e">
        <f t="shared" ca="1" si="91"/>
        <v>#N/A</v>
      </c>
      <c r="J238" s="5" t="e">
        <f t="shared" ca="1" si="92"/>
        <v>#N/A</v>
      </c>
      <c r="K238" s="5" t="e">
        <f t="shared" ca="1" si="93"/>
        <v>#N/A</v>
      </c>
      <c r="L238" s="5" t="e">
        <f t="shared" ca="1" si="94"/>
        <v>#N/A</v>
      </c>
      <c r="M238" s="5" t="e">
        <f t="shared" ca="1" si="95"/>
        <v>#N/A</v>
      </c>
      <c r="N238" s="5" t="e">
        <f t="shared" ca="1" si="96"/>
        <v>#N/A</v>
      </c>
      <c r="O238" s="5" t="e">
        <f t="shared" ca="1" si="97"/>
        <v>#N/A</v>
      </c>
      <c r="P238" s="5" t="e">
        <f t="shared" ca="1" si="98"/>
        <v>#N/A</v>
      </c>
      <c r="Q238" s="5" t="e">
        <f t="shared" ca="1" si="99"/>
        <v>#N/A</v>
      </c>
      <c r="R238" s="5" t="e">
        <f t="shared" ca="1" si="104"/>
        <v>#N/A</v>
      </c>
      <c r="S238" s="67" t="e">
        <f t="shared" ca="1" si="105"/>
        <v>#N/A</v>
      </c>
      <c r="T238" s="67" t="e">
        <f t="shared" ca="1" si="106"/>
        <v>#N/A</v>
      </c>
      <c r="U238" s="67" t="e">
        <f t="shared" ca="1" si="107"/>
        <v>#N/A</v>
      </c>
      <c r="V238" s="5" t="e">
        <f t="shared" ca="1" si="86"/>
        <v>#N/A</v>
      </c>
      <c r="W238" s="5" t="e">
        <f t="shared" ca="1" si="100"/>
        <v>#N/A</v>
      </c>
      <c r="X238" s="67">
        <f t="shared" ca="1" si="101"/>
        <v>0</v>
      </c>
      <c r="Y238" s="67" t="e">
        <f t="shared" ca="1" si="108"/>
        <v>#N/A</v>
      </c>
      <c r="Z238" s="67" t="e">
        <f t="shared" ca="1" si="109"/>
        <v>#N/A</v>
      </c>
      <c r="AA238" s="5" t="str">
        <f>IF(Setup!$I$15="Yes",'Demand background (hide)'!AJ226+'SPC background (hide)'!C238,"")</f>
        <v/>
      </c>
      <c r="AC238" s="5" t="e">
        <f t="shared" ca="1" si="102"/>
        <v>#N/A</v>
      </c>
      <c r="AD238" s="5" t="e">
        <f t="shared" ca="1" si="103"/>
        <v>#N/A</v>
      </c>
    </row>
    <row r="239" spans="1:30" x14ac:dyDescent="0.25">
      <c r="A239" s="67" t="str">
        <f ca="1">Demand!C236</f>
        <v/>
      </c>
      <c r="B239" s="67">
        <v>224</v>
      </c>
      <c r="C239" s="5">
        <f ca="1">'Demand background (hide)'!Y227</f>
        <v>0</v>
      </c>
      <c r="D239" s="67">
        <f t="shared" si="87"/>
        <v>0</v>
      </c>
      <c r="E239" s="67" t="e">
        <f t="shared" ca="1" si="88"/>
        <v>#N/A</v>
      </c>
      <c r="F239" s="67" t="e">
        <f t="shared" ca="1" si="89"/>
        <v>#N/A</v>
      </c>
      <c r="G239" s="67" t="e">
        <f t="shared" ca="1" si="90"/>
        <v>#N/A</v>
      </c>
      <c r="H239" s="67" t="e">
        <f>IF('Demand background (hide)'!AN227&lt;&gt;"",'SPC background (hide)'!C239,NA())</f>
        <v>#N/A</v>
      </c>
      <c r="I239" s="67" t="e">
        <f t="shared" ca="1" si="91"/>
        <v>#N/A</v>
      </c>
      <c r="J239" s="5" t="e">
        <f t="shared" ca="1" si="92"/>
        <v>#N/A</v>
      </c>
      <c r="K239" s="5" t="e">
        <f t="shared" ca="1" si="93"/>
        <v>#N/A</v>
      </c>
      <c r="L239" s="5" t="e">
        <f t="shared" ca="1" si="94"/>
        <v>#N/A</v>
      </c>
      <c r="M239" s="5" t="e">
        <f t="shared" ca="1" si="95"/>
        <v>#N/A</v>
      </c>
      <c r="N239" s="5" t="e">
        <f t="shared" ca="1" si="96"/>
        <v>#N/A</v>
      </c>
      <c r="O239" s="5" t="e">
        <f t="shared" ca="1" si="97"/>
        <v>#N/A</v>
      </c>
      <c r="P239" s="5" t="e">
        <f t="shared" ca="1" si="98"/>
        <v>#N/A</v>
      </c>
      <c r="Q239" s="5" t="e">
        <f t="shared" ca="1" si="99"/>
        <v>#N/A</v>
      </c>
      <c r="R239" s="5" t="e">
        <f t="shared" ca="1" si="104"/>
        <v>#N/A</v>
      </c>
      <c r="S239" s="67" t="e">
        <f t="shared" ca="1" si="105"/>
        <v>#N/A</v>
      </c>
      <c r="T239" s="67" t="e">
        <f t="shared" ca="1" si="106"/>
        <v>#N/A</v>
      </c>
      <c r="U239" s="67" t="e">
        <f t="shared" ca="1" si="107"/>
        <v>#N/A</v>
      </c>
      <c r="V239" s="5" t="e">
        <f t="shared" ca="1" si="86"/>
        <v>#N/A</v>
      </c>
      <c r="W239" s="5" t="e">
        <f t="shared" ca="1" si="100"/>
        <v>#N/A</v>
      </c>
      <c r="X239" s="67">
        <f t="shared" ca="1" si="101"/>
        <v>0</v>
      </c>
      <c r="Y239" s="67" t="e">
        <f t="shared" ca="1" si="108"/>
        <v>#N/A</v>
      </c>
      <c r="Z239" s="67" t="e">
        <f t="shared" ca="1" si="109"/>
        <v>#N/A</v>
      </c>
      <c r="AA239" s="5" t="str">
        <f>IF(Setup!$I$15="Yes",'Demand background (hide)'!AJ227+'SPC background (hide)'!C239,"")</f>
        <v/>
      </c>
      <c r="AC239" s="5" t="e">
        <f t="shared" ca="1" si="102"/>
        <v>#N/A</v>
      </c>
      <c r="AD239" s="5" t="e">
        <f t="shared" ca="1" si="103"/>
        <v>#N/A</v>
      </c>
    </row>
    <row r="240" spans="1:30" x14ac:dyDescent="0.25">
      <c r="A240" s="67" t="str">
        <f ca="1">Demand!C237</f>
        <v/>
      </c>
      <c r="B240" s="67">
        <v>225</v>
      </c>
      <c r="C240" s="5">
        <f ca="1">'Demand background (hide)'!Y228</f>
        <v>0</v>
      </c>
      <c r="D240" s="67">
        <f t="shared" si="87"/>
        <v>0</v>
      </c>
      <c r="E240" s="67" t="e">
        <f t="shared" ca="1" si="88"/>
        <v>#N/A</v>
      </c>
      <c r="F240" s="67" t="e">
        <f t="shared" ca="1" si="89"/>
        <v>#N/A</v>
      </c>
      <c r="G240" s="67" t="e">
        <f t="shared" ca="1" si="90"/>
        <v>#N/A</v>
      </c>
      <c r="H240" s="67" t="e">
        <f>IF('Demand background (hide)'!AN228&lt;&gt;"",'SPC background (hide)'!C240,NA())</f>
        <v>#N/A</v>
      </c>
      <c r="I240" s="67" t="e">
        <f t="shared" ca="1" si="91"/>
        <v>#N/A</v>
      </c>
      <c r="J240" s="5" t="e">
        <f t="shared" ca="1" si="92"/>
        <v>#N/A</v>
      </c>
      <c r="K240" s="5" t="e">
        <f t="shared" ca="1" si="93"/>
        <v>#N/A</v>
      </c>
      <c r="L240" s="5" t="e">
        <f t="shared" ca="1" si="94"/>
        <v>#N/A</v>
      </c>
      <c r="M240" s="5" t="e">
        <f t="shared" ca="1" si="95"/>
        <v>#N/A</v>
      </c>
      <c r="N240" s="5" t="e">
        <f t="shared" ca="1" si="96"/>
        <v>#N/A</v>
      </c>
      <c r="O240" s="5" t="e">
        <f t="shared" ca="1" si="97"/>
        <v>#N/A</v>
      </c>
      <c r="P240" s="5" t="e">
        <f t="shared" ca="1" si="98"/>
        <v>#N/A</v>
      </c>
      <c r="Q240" s="5" t="e">
        <f t="shared" ca="1" si="99"/>
        <v>#N/A</v>
      </c>
      <c r="R240" s="5" t="e">
        <f t="shared" ca="1" si="104"/>
        <v>#N/A</v>
      </c>
      <c r="S240" s="67" t="e">
        <f t="shared" ca="1" si="105"/>
        <v>#N/A</v>
      </c>
      <c r="T240" s="67" t="e">
        <f t="shared" ca="1" si="106"/>
        <v>#N/A</v>
      </c>
      <c r="U240" s="67" t="e">
        <f t="shared" ca="1" si="107"/>
        <v>#N/A</v>
      </c>
      <c r="V240" s="5" t="e">
        <f t="shared" ca="1" si="86"/>
        <v>#N/A</v>
      </c>
      <c r="W240" s="5" t="e">
        <f t="shared" ca="1" si="100"/>
        <v>#N/A</v>
      </c>
      <c r="X240" s="67">
        <f t="shared" ca="1" si="101"/>
        <v>0</v>
      </c>
      <c r="Y240" s="67" t="e">
        <f t="shared" ca="1" si="108"/>
        <v>#N/A</v>
      </c>
      <c r="Z240" s="67" t="e">
        <f t="shared" ca="1" si="109"/>
        <v>#N/A</v>
      </c>
      <c r="AA240" s="5" t="str">
        <f>IF(Setup!$I$15="Yes",'Demand background (hide)'!AJ228+'SPC background (hide)'!C240,"")</f>
        <v/>
      </c>
      <c r="AC240" s="5" t="e">
        <f t="shared" ca="1" si="102"/>
        <v>#N/A</v>
      </c>
      <c r="AD240" s="5" t="e">
        <f t="shared" ca="1" si="103"/>
        <v>#N/A</v>
      </c>
    </row>
    <row r="241" spans="1:30" x14ac:dyDescent="0.25">
      <c r="A241" s="67" t="str">
        <f ca="1">Demand!C238</f>
        <v/>
      </c>
      <c r="B241" s="67">
        <v>226</v>
      </c>
      <c r="C241" s="5">
        <f ca="1">'Demand background (hide)'!Y229</f>
        <v>0</v>
      </c>
      <c r="D241" s="67">
        <f t="shared" si="87"/>
        <v>0</v>
      </c>
      <c r="E241" s="67" t="e">
        <f t="shared" ca="1" si="88"/>
        <v>#N/A</v>
      </c>
      <c r="F241" s="67" t="e">
        <f t="shared" ca="1" si="89"/>
        <v>#N/A</v>
      </c>
      <c r="G241" s="67" t="e">
        <f t="shared" ca="1" si="90"/>
        <v>#N/A</v>
      </c>
      <c r="H241" s="67" t="e">
        <f>IF('Demand background (hide)'!AN229&lt;&gt;"",'SPC background (hide)'!C241,NA())</f>
        <v>#N/A</v>
      </c>
      <c r="I241" s="67" t="e">
        <f t="shared" ca="1" si="91"/>
        <v>#N/A</v>
      </c>
      <c r="J241" s="5" t="e">
        <f t="shared" ca="1" si="92"/>
        <v>#N/A</v>
      </c>
      <c r="K241" s="5" t="e">
        <f t="shared" ca="1" si="93"/>
        <v>#N/A</v>
      </c>
      <c r="L241" s="5" t="e">
        <f t="shared" ca="1" si="94"/>
        <v>#N/A</v>
      </c>
      <c r="M241" s="5" t="e">
        <f t="shared" ca="1" si="95"/>
        <v>#N/A</v>
      </c>
      <c r="N241" s="5" t="e">
        <f t="shared" ca="1" si="96"/>
        <v>#N/A</v>
      </c>
      <c r="O241" s="5" t="e">
        <f t="shared" ca="1" si="97"/>
        <v>#N/A</v>
      </c>
      <c r="P241" s="5" t="e">
        <f t="shared" ca="1" si="98"/>
        <v>#N/A</v>
      </c>
      <c r="Q241" s="5" t="e">
        <f t="shared" ca="1" si="99"/>
        <v>#N/A</v>
      </c>
      <c r="R241" s="5" t="e">
        <f t="shared" ca="1" si="104"/>
        <v>#N/A</v>
      </c>
      <c r="S241" s="67" t="e">
        <f t="shared" ca="1" si="105"/>
        <v>#N/A</v>
      </c>
      <c r="T241" s="67" t="e">
        <f t="shared" ca="1" si="106"/>
        <v>#N/A</v>
      </c>
      <c r="U241" s="67" t="e">
        <f t="shared" ca="1" si="107"/>
        <v>#N/A</v>
      </c>
      <c r="V241" s="5" t="e">
        <f t="shared" ca="1" si="86"/>
        <v>#N/A</v>
      </c>
      <c r="W241" s="5" t="e">
        <f t="shared" ca="1" si="100"/>
        <v>#N/A</v>
      </c>
      <c r="X241" s="67">
        <f t="shared" ca="1" si="101"/>
        <v>0</v>
      </c>
      <c r="Y241" s="67" t="e">
        <f t="shared" ca="1" si="108"/>
        <v>#N/A</v>
      </c>
      <c r="Z241" s="67" t="e">
        <f t="shared" ca="1" si="109"/>
        <v>#N/A</v>
      </c>
      <c r="AA241" s="5" t="str">
        <f>IF(Setup!$I$15="Yes",'Demand background (hide)'!AJ229+'SPC background (hide)'!C241,"")</f>
        <v/>
      </c>
      <c r="AC241" s="5" t="e">
        <f t="shared" ca="1" si="102"/>
        <v>#N/A</v>
      </c>
      <c r="AD241" s="5" t="e">
        <f t="shared" ca="1" si="103"/>
        <v>#N/A</v>
      </c>
    </row>
    <row r="242" spans="1:30" x14ac:dyDescent="0.25">
      <c r="A242" s="67" t="str">
        <f ca="1">Demand!C239</f>
        <v/>
      </c>
      <c r="B242" s="67">
        <v>227</v>
      </c>
      <c r="C242" s="5">
        <f ca="1">'Demand background (hide)'!Y230</f>
        <v>0</v>
      </c>
      <c r="D242" s="67">
        <f t="shared" si="87"/>
        <v>0</v>
      </c>
      <c r="E242" s="67" t="e">
        <f t="shared" ca="1" si="88"/>
        <v>#N/A</v>
      </c>
      <c r="F242" s="67" t="e">
        <f t="shared" ca="1" si="89"/>
        <v>#N/A</v>
      </c>
      <c r="G242" s="67" t="e">
        <f t="shared" ca="1" si="90"/>
        <v>#N/A</v>
      </c>
      <c r="H242" s="67" t="e">
        <f>IF('Demand background (hide)'!AN230&lt;&gt;"",'SPC background (hide)'!C242,NA())</f>
        <v>#N/A</v>
      </c>
      <c r="I242" s="67" t="e">
        <f t="shared" ca="1" si="91"/>
        <v>#N/A</v>
      </c>
      <c r="J242" s="5" t="e">
        <f t="shared" ca="1" si="92"/>
        <v>#N/A</v>
      </c>
      <c r="K242" s="5" t="e">
        <f t="shared" ca="1" si="93"/>
        <v>#N/A</v>
      </c>
      <c r="L242" s="5" t="e">
        <f t="shared" ca="1" si="94"/>
        <v>#N/A</v>
      </c>
      <c r="M242" s="5" t="e">
        <f t="shared" ca="1" si="95"/>
        <v>#N/A</v>
      </c>
      <c r="N242" s="5" t="e">
        <f t="shared" ca="1" si="96"/>
        <v>#N/A</v>
      </c>
      <c r="O242" s="5" t="e">
        <f t="shared" ca="1" si="97"/>
        <v>#N/A</v>
      </c>
      <c r="P242" s="5" t="e">
        <f t="shared" ca="1" si="98"/>
        <v>#N/A</v>
      </c>
      <c r="Q242" s="5" t="e">
        <f t="shared" ca="1" si="99"/>
        <v>#N/A</v>
      </c>
      <c r="R242" s="5" t="e">
        <f t="shared" ca="1" si="104"/>
        <v>#N/A</v>
      </c>
      <c r="S242" s="67" t="e">
        <f t="shared" ca="1" si="105"/>
        <v>#N/A</v>
      </c>
      <c r="T242" s="67" t="e">
        <f t="shared" ca="1" si="106"/>
        <v>#N/A</v>
      </c>
      <c r="U242" s="67" t="e">
        <f t="shared" ca="1" si="107"/>
        <v>#N/A</v>
      </c>
      <c r="V242" s="5" t="e">
        <f t="shared" ca="1" si="86"/>
        <v>#N/A</v>
      </c>
      <c r="W242" s="5" t="e">
        <f t="shared" ca="1" si="100"/>
        <v>#N/A</v>
      </c>
      <c r="X242" s="67">
        <f t="shared" ca="1" si="101"/>
        <v>0</v>
      </c>
      <c r="Y242" s="67" t="e">
        <f t="shared" ca="1" si="108"/>
        <v>#N/A</v>
      </c>
      <c r="Z242" s="67" t="e">
        <f t="shared" ca="1" si="109"/>
        <v>#N/A</v>
      </c>
      <c r="AA242" s="5" t="str">
        <f>IF(Setup!$I$15="Yes",'Demand background (hide)'!AJ230+'SPC background (hide)'!C242,"")</f>
        <v/>
      </c>
      <c r="AC242" s="5" t="e">
        <f t="shared" ca="1" si="102"/>
        <v>#N/A</v>
      </c>
      <c r="AD242" s="5" t="e">
        <f t="shared" ca="1" si="103"/>
        <v>#N/A</v>
      </c>
    </row>
    <row r="243" spans="1:30" x14ac:dyDescent="0.25">
      <c r="A243" s="67" t="str">
        <f ca="1">Demand!C240</f>
        <v/>
      </c>
      <c r="B243" s="67">
        <v>228</v>
      </c>
      <c r="C243" s="5">
        <f ca="1">'Demand background (hide)'!Y231</f>
        <v>0</v>
      </c>
      <c r="D243" s="67">
        <f t="shared" si="87"/>
        <v>0</v>
      </c>
      <c r="E243" s="67" t="e">
        <f t="shared" ca="1" si="88"/>
        <v>#N/A</v>
      </c>
      <c r="F243" s="67" t="e">
        <f t="shared" ca="1" si="89"/>
        <v>#N/A</v>
      </c>
      <c r="G243" s="67" t="e">
        <f t="shared" ca="1" si="90"/>
        <v>#N/A</v>
      </c>
      <c r="H243" s="67" t="e">
        <f>IF('Demand background (hide)'!AN231&lt;&gt;"",'SPC background (hide)'!C243,NA())</f>
        <v>#N/A</v>
      </c>
      <c r="I243" s="67" t="e">
        <f t="shared" ca="1" si="91"/>
        <v>#N/A</v>
      </c>
      <c r="J243" s="5" t="e">
        <f t="shared" ca="1" si="92"/>
        <v>#N/A</v>
      </c>
      <c r="K243" s="5" t="e">
        <f t="shared" ca="1" si="93"/>
        <v>#N/A</v>
      </c>
      <c r="L243" s="5" t="e">
        <f t="shared" ca="1" si="94"/>
        <v>#N/A</v>
      </c>
      <c r="M243" s="5" t="e">
        <f t="shared" ca="1" si="95"/>
        <v>#N/A</v>
      </c>
      <c r="N243" s="5" t="e">
        <f t="shared" ca="1" si="96"/>
        <v>#N/A</v>
      </c>
      <c r="O243" s="5" t="e">
        <f t="shared" ca="1" si="97"/>
        <v>#N/A</v>
      </c>
      <c r="P243" s="5" t="e">
        <f t="shared" ca="1" si="98"/>
        <v>#N/A</v>
      </c>
      <c r="Q243" s="5" t="e">
        <f t="shared" ca="1" si="99"/>
        <v>#N/A</v>
      </c>
      <c r="R243" s="5" t="e">
        <f t="shared" ca="1" si="104"/>
        <v>#N/A</v>
      </c>
      <c r="S243" s="67" t="e">
        <f t="shared" ca="1" si="105"/>
        <v>#N/A</v>
      </c>
      <c r="T243" s="67" t="e">
        <f t="shared" ca="1" si="106"/>
        <v>#N/A</v>
      </c>
      <c r="U243" s="67" t="e">
        <f t="shared" ca="1" si="107"/>
        <v>#N/A</v>
      </c>
      <c r="V243" s="5" t="e">
        <f t="shared" ca="1" si="86"/>
        <v>#N/A</v>
      </c>
      <c r="W243" s="5" t="e">
        <f t="shared" ca="1" si="100"/>
        <v>#N/A</v>
      </c>
      <c r="X243" s="67">
        <f t="shared" ca="1" si="101"/>
        <v>0</v>
      </c>
      <c r="Y243" s="67" t="e">
        <f t="shared" ca="1" si="108"/>
        <v>#N/A</v>
      </c>
      <c r="Z243" s="67" t="e">
        <f t="shared" ca="1" si="109"/>
        <v>#N/A</v>
      </c>
      <c r="AA243" s="5" t="str">
        <f>IF(Setup!$I$15="Yes",'Demand background (hide)'!AJ231+'SPC background (hide)'!C243,"")</f>
        <v/>
      </c>
      <c r="AC243" s="5" t="e">
        <f t="shared" ca="1" si="102"/>
        <v>#N/A</v>
      </c>
      <c r="AD243" s="5" t="e">
        <f t="shared" ca="1" si="103"/>
        <v>#N/A</v>
      </c>
    </row>
    <row r="244" spans="1:30" x14ac:dyDescent="0.25">
      <c r="A244" s="67" t="str">
        <f ca="1">Demand!C241</f>
        <v/>
      </c>
      <c r="B244" s="67">
        <v>229</v>
      </c>
      <c r="C244" s="5">
        <f ca="1">'Demand background (hide)'!Y232</f>
        <v>0</v>
      </c>
      <c r="D244" s="67">
        <f t="shared" si="87"/>
        <v>0</v>
      </c>
      <c r="E244" s="67" t="e">
        <f t="shared" ca="1" si="88"/>
        <v>#N/A</v>
      </c>
      <c r="F244" s="67" t="e">
        <f t="shared" ca="1" si="89"/>
        <v>#N/A</v>
      </c>
      <c r="G244" s="67" t="e">
        <f t="shared" ca="1" si="90"/>
        <v>#N/A</v>
      </c>
      <c r="H244" s="67" t="e">
        <f>IF('Demand background (hide)'!AN232&lt;&gt;"",'SPC background (hide)'!C244,NA())</f>
        <v>#N/A</v>
      </c>
      <c r="I244" s="67" t="e">
        <f t="shared" ca="1" si="91"/>
        <v>#N/A</v>
      </c>
      <c r="J244" s="5" t="e">
        <f t="shared" ca="1" si="92"/>
        <v>#N/A</v>
      </c>
      <c r="K244" s="5" t="e">
        <f t="shared" ca="1" si="93"/>
        <v>#N/A</v>
      </c>
      <c r="L244" s="5" t="e">
        <f t="shared" ca="1" si="94"/>
        <v>#N/A</v>
      </c>
      <c r="M244" s="5" t="e">
        <f t="shared" ca="1" si="95"/>
        <v>#N/A</v>
      </c>
      <c r="N244" s="5" t="e">
        <f t="shared" ca="1" si="96"/>
        <v>#N/A</v>
      </c>
      <c r="O244" s="5" t="e">
        <f t="shared" ca="1" si="97"/>
        <v>#N/A</v>
      </c>
      <c r="P244" s="5" t="e">
        <f t="shared" ca="1" si="98"/>
        <v>#N/A</v>
      </c>
      <c r="Q244" s="5" t="e">
        <f t="shared" ca="1" si="99"/>
        <v>#N/A</v>
      </c>
      <c r="R244" s="5" t="e">
        <f t="shared" ca="1" si="104"/>
        <v>#N/A</v>
      </c>
      <c r="S244" s="67" t="e">
        <f t="shared" ca="1" si="105"/>
        <v>#N/A</v>
      </c>
      <c r="T244" s="67" t="e">
        <f t="shared" ca="1" si="106"/>
        <v>#N/A</v>
      </c>
      <c r="U244" s="67" t="e">
        <f t="shared" ca="1" si="107"/>
        <v>#N/A</v>
      </c>
      <c r="V244" s="5" t="e">
        <f t="shared" ca="1" si="86"/>
        <v>#N/A</v>
      </c>
      <c r="W244" s="5" t="e">
        <f t="shared" ca="1" si="100"/>
        <v>#N/A</v>
      </c>
      <c r="X244" s="67">
        <f t="shared" ca="1" si="101"/>
        <v>0</v>
      </c>
      <c r="Y244" s="67" t="e">
        <f t="shared" ca="1" si="108"/>
        <v>#N/A</v>
      </c>
      <c r="Z244" s="67" t="e">
        <f t="shared" ca="1" si="109"/>
        <v>#N/A</v>
      </c>
      <c r="AA244" s="5" t="str">
        <f>IF(Setup!$I$15="Yes",'Demand background (hide)'!AJ232+'SPC background (hide)'!C244,"")</f>
        <v/>
      </c>
      <c r="AC244" s="5" t="e">
        <f t="shared" ca="1" si="102"/>
        <v>#N/A</v>
      </c>
      <c r="AD244" s="5" t="e">
        <f t="shared" ca="1" si="103"/>
        <v>#N/A</v>
      </c>
    </row>
    <row r="245" spans="1:30" x14ac:dyDescent="0.25">
      <c r="A245" s="67" t="str">
        <f ca="1">Demand!C242</f>
        <v/>
      </c>
      <c r="B245" s="67">
        <v>230</v>
      </c>
      <c r="C245" s="5">
        <f ca="1">'Demand background (hide)'!Y233</f>
        <v>0</v>
      </c>
      <c r="D245" s="67">
        <f t="shared" si="87"/>
        <v>0</v>
      </c>
      <c r="E245" s="67" t="e">
        <f t="shared" ca="1" si="88"/>
        <v>#N/A</v>
      </c>
      <c r="F245" s="67" t="e">
        <f t="shared" ca="1" si="89"/>
        <v>#N/A</v>
      </c>
      <c r="G245" s="67" t="e">
        <f t="shared" ca="1" si="90"/>
        <v>#N/A</v>
      </c>
      <c r="H245" s="67" t="e">
        <f>IF('Demand background (hide)'!AN233&lt;&gt;"",'SPC background (hide)'!C245,NA())</f>
        <v>#N/A</v>
      </c>
      <c r="I245" s="67" t="e">
        <f t="shared" ca="1" si="91"/>
        <v>#N/A</v>
      </c>
      <c r="J245" s="5" t="e">
        <f t="shared" ca="1" si="92"/>
        <v>#N/A</v>
      </c>
      <c r="K245" s="5" t="e">
        <f t="shared" ca="1" si="93"/>
        <v>#N/A</v>
      </c>
      <c r="L245" s="5" t="e">
        <f t="shared" ca="1" si="94"/>
        <v>#N/A</v>
      </c>
      <c r="M245" s="5" t="e">
        <f t="shared" ca="1" si="95"/>
        <v>#N/A</v>
      </c>
      <c r="N245" s="5" t="e">
        <f t="shared" ca="1" si="96"/>
        <v>#N/A</v>
      </c>
      <c r="O245" s="5" t="e">
        <f t="shared" ca="1" si="97"/>
        <v>#N/A</v>
      </c>
      <c r="P245" s="5" t="e">
        <f t="shared" ca="1" si="98"/>
        <v>#N/A</v>
      </c>
      <c r="Q245" s="5" t="e">
        <f t="shared" ca="1" si="99"/>
        <v>#N/A</v>
      </c>
      <c r="R245" s="5" t="e">
        <f t="shared" ca="1" si="104"/>
        <v>#N/A</v>
      </c>
      <c r="S245" s="67" t="e">
        <f t="shared" ca="1" si="105"/>
        <v>#N/A</v>
      </c>
      <c r="T245" s="67" t="e">
        <f t="shared" ca="1" si="106"/>
        <v>#N/A</v>
      </c>
      <c r="U245" s="67" t="e">
        <f t="shared" ca="1" si="107"/>
        <v>#N/A</v>
      </c>
      <c r="V245" s="5" t="e">
        <f t="shared" ca="1" si="86"/>
        <v>#N/A</v>
      </c>
      <c r="W245" s="5" t="e">
        <f t="shared" ca="1" si="100"/>
        <v>#N/A</v>
      </c>
      <c r="X245" s="67">
        <f t="shared" ca="1" si="101"/>
        <v>0</v>
      </c>
      <c r="Y245" s="67" t="e">
        <f t="shared" ca="1" si="108"/>
        <v>#N/A</v>
      </c>
      <c r="Z245" s="67" t="e">
        <f t="shared" ca="1" si="109"/>
        <v>#N/A</v>
      </c>
      <c r="AA245" s="5" t="str">
        <f>IF(Setup!$I$15="Yes",'Demand background (hide)'!AJ233+'SPC background (hide)'!C245,"")</f>
        <v/>
      </c>
      <c r="AC245" s="5" t="e">
        <f t="shared" ca="1" si="102"/>
        <v>#N/A</v>
      </c>
      <c r="AD245" s="5" t="e">
        <f t="shared" ca="1" si="103"/>
        <v>#N/A</v>
      </c>
    </row>
    <row r="246" spans="1:30" x14ac:dyDescent="0.25">
      <c r="A246" s="67" t="str">
        <f ca="1">Demand!C243</f>
        <v/>
      </c>
      <c r="B246" s="67">
        <v>231</v>
      </c>
      <c r="C246" s="5">
        <f ca="1">'Demand background (hide)'!Y234</f>
        <v>0</v>
      </c>
      <c r="D246" s="67">
        <f t="shared" si="87"/>
        <v>0</v>
      </c>
      <c r="E246" s="67" t="e">
        <f t="shared" ca="1" si="88"/>
        <v>#N/A</v>
      </c>
      <c r="F246" s="67" t="e">
        <f t="shared" ca="1" si="89"/>
        <v>#N/A</v>
      </c>
      <c r="G246" s="67" t="e">
        <f t="shared" ca="1" si="90"/>
        <v>#N/A</v>
      </c>
      <c r="H246" s="67" t="e">
        <f>IF('Demand background (hide)'!AN234&lt;&gt;"",'SPC background (hide)'!C246,NA())</f>
        <v>#N/A</v>
      </c>
      <c r="I246" s="67" t="e">
        <f t="shared" ca="1" si="91"/>
        <v>#N/A</v>
      </c>
      <c r="J246" s="5" t="e">
        <f t="shared" ca="1" si="92"/>
        <v>#N/A</v>
      </c>
      <c r="K246" s="5" t="e">
        <f t="shared" ca="1" si="93"/>
        <v>#N/A</v>
      </c>
      <c r="L246" s="5" t="e">
        <f t="shared" ca="1" si="94"/>
        <v>#N/A</v>
      </c>
      <c r="M246" s="5" t="e">
        <f t="shared" ca="1" si="95"/>
        <v>#N/A</v>
      </c>
      <c r="N246" s="5" t="e">
        <f t="shared" ca="1" si="96"/>
        <v>#N/A</v>
      </c>
      <c r="O246" s="5" t="e">
        <f t="shared" ca="1" si="97"/>
        <v>#N/A</v>
      </c>
      <c r="P246" s="5" t="e">
        <f t="shared" ca="1" si="98"/>
        <v>#N/A</v>
      </c>
      <c r="Q246" s="5" t="e">
        <f t="shared" ca="1" si="99"/>
        <v>#N/A</v>
      </c>
      <c r="R246" s="5" t="e">
        <f t="shared" ca="1" si="104"/>
        <v>#N/A</v>
      </c>
      <c r="S246" s="67" t="e">
        <f t="shared" ca="1" si="105"/>
        <v>#N/A</v>
      </c>
      <c r="T246" s="67" t="e">
        <f t="shared" ca="1" si="106"/>
        <v>#N/A</v>
      </c>
      <c r="U246" s="67" t="e">
        <f t="shared" ca="1" si="107"/>
        <v>#N/A</v>
      </c>
      <c r="V246" s="5" t="e">
        <f t="shared" ca="1" si="86"/>
        <v>#N/A</v>
      </c>
      <c r="W246" s="5" t="e">
        <f t="shared" ca="1" si="100"/>
        <v>#N/A</v>
      </c>
      <c r="X246" s="67">
        <f t="shared" ca="1" si="101"/>
        <v>0</v>
      </c>
      <c r="Y246" s="67" t="e">
        <f t="shared" ca="1" si="108"/>
        <v>#N/A</v>
      </c>
      <c r="Z246" s="67" t="e">
        <f t="shared" ca="1" si="109"/>
        <v>#N/A</v>
      </c>
      <c r="AA246" s="5" t="str">
        <f>IF(Setup!$I$15="Yes",'Demand background (hide)'!AJ234+'SPC background (hide)'!C246,"")</f>
        <v/>
      </c>
      <c r="AC246" s="5" t="e">
        <f t="shared" ca="1" si="102"/>
        <v>#N/A</v>
      </c>
      <c r="AD246" s="5" t="e">
        <f t="shared" ca="1" si="103"/>
        <v>#N/A</v>
      </c>
    </row>
    <row r="247" spans="1:30" x14ac:dyDescent="0.25">
      <c r="A247" s="67" t="str">
        <f ca="1">Demand!C244</f>
        <v/>
      </c>
      <c r="B247" s="67">
        <v>232</v>
      </c>
      <c r="C247" s="5">
        <f ca="1">'Demand background (hide)'!Y235</f>
        <v>0</v>
      </c>
      <c r="D247" s="67">
        <f t="shared" si="87"/>
        <v>0</v>
      </c>
      <c r="E247" s="67" t="e">
        <f t="shared" ca="1" si="88"/>
        <v>#N/A</v>
      </c>
      <c r="F247" s="67" t="e">
        <f t="shared" ca="1" si="89"/>
        <v>#N/A</v>
      </c>
      <c r="G247" s="67" t="e">
        <f t="shared" ca="1" si="90"/>
        <v>#N/A</v>
      </c>
      <c r="H247" s="67" t="e">
        <f>IF('Demand background (hide)'!AN235&lt;&gt;"",'SPC background (hide)'!C247,NA())</f>
        <v>#N/A</v>
      </c>
      <c r="I247" s="67" t="e">
        <f t="shared" ca="1" si="91"/>
        <v>#N/A</v>
      </c>
      <c r="J247" s="5" t="e">
        <f t="shared" ca="1" si="92"/>
        <v>#N/A</v>
      </c>
      <c r="K247" s="5" t="e">
        <f t="shared" ca="1" si="93"/>
        <v>#N/A</v>
      </c>
      <c r="L247" s="5" t="e">
        <f t="shared" ca="1" si="94"/>
        <v>#N/A</v>
      </c>
      <c r="M247" s="5" t="e">
        <f t="shared" ca="1" si="95"/>
        <v>#N/A</v>
      </c>
      <c r="N247" s="5" t="e">
        <f t="shared" ca="1" si="96"/>
        <v>#N/A</v>
      </c>
      <c r="O247" s="5" t="e">
        <f t="shared" ca="1" si="97"/>
        <v>#N/A</v>
      </c>
      <c r="P247" s="5" t="e">
        <f t="shared" ca="1" si="98"/>
        <v>#N/A</v>
      </c>
      <c r="Q247" s="5" t="e">
        <f t="shared" ca="1" si="99"/>
        <v>#N/A</v>
      </c>
      <c r="R247" s="5" t="e">
        <f t="shared" ca="1" si="104"/>
        <v>#N/A</v>
      </c>
      <c r="S247" s="67" t="e">
        <f t="shared" ca="1" si="105"/>
        <v>#N/A</v>
      </c>
      <c r="T247" s="67" t="e">
        <f t="shared" ca="1" si="106"/>
        <v>#N/A</v>
      </c>
      <c r="U247" s="67" t="e">
        <f t="shared" ca="1" si="107"/>
        <v>#N/A</v>
      </c>
      <c r="V247" s="5" t="e">
        <f t="shared" ca="1" si="86"/>
        <v>#N/A</v>
      </c>
      <c r="W247" s="5" t="e">
        <f t="shared" ca="1" si="100"/>
        <v>#N/A</v>
      </c>
      <c r="X247" s="67">
        <f t="shared" ca="1" si="101"/>
        <v>0</v>
      </c>
      <c r="Y247" s="67" t="e">
        <f t="shared" ca="1" si="108"/>
        <v>#N/A</v>
      </c>
      <c r="Z247" s="67" t="e">
        <f t="shared" ca="1" si="109"/>
        <v>#N/A</v>
      </c>
      <c r="AA247" s="5" t="str">
        <f>IF(Setup!$I$15="Yes",'Demand background (hide)'!AJ235+'SPC background (hide)'!C247,"")</f>
        <v/>
      </c>
      <c r="AC247" s="5" t="e">
        <f t="shared" ca="1" si="102"/>
        <v>#N/A</v>
      </c>
      <c r="AD247" s="5" t="e">
        <f t="shared" ca="1" si="103"/>
        <v>#N/A</v>
      </c>
    </row>
    <row r="248" spans="1:30" x14ac:dyDescent="0.25">
      <c r="A248" s="67" t="str">
        <f ca="1">Demand!C245</f>
        <v/>
      </c>
      <c r="B248" s="67">
        <v>233</v>
      </c>
      <c r="C248" s="5">
        <f ca="1">'Demand background (hide)'!Y236</f>
        <v>0</v>
      </c>
      <c r="D248" s="67">
        <f t="shared" si="87"/>
        <v>0</v>
      </c>
      <c r="E248" s="67" t="e">
        <f t="shared" ca="1" si="88"/>
        <v>#N/A</v>
      </c>
      <c r="F248" s="67" t="e">
        <f t="shared" ca="1" si="89"/>
        <v>#N/A</v>
      </c>
      <c r="G248" s="67" t="e">
        <f t="shared" ca="1" si="90"/>
        <v>#N/A</v>
      </c>
      <c r="H248" s="67" t="e">
        <f>IF('Demand background (hide)'!AN236&lt;&gt;"",'SPC background (hide)'!C248,NA())</f>
        <v>#N/A</v>
      </c>
      <c r="I248" s="67" t="e">
        <f t="shared" ca="1" si="91"/>
        <v>#N/A</v>
      </c>
      <c r="J248" s="5" t="e">
        <f t="shared" ca="1" si="92"/>
        <v>#N/A</v>
      </c>
      <c r="K248" s="5" t="e">
        <f t="shared" ca="1" si="93"/>
        <v>#N/A</v>
      </c>
      <c r="L248" s="5" t="e">
        <f t="shared" ca="1" si="94"/>
        <v>#N/A</v>
      </c>
      <c r="M248" s="5" t="e">
        <f t="shared" ca="1" si="95"/>
        <v>#N/A</v>
      </c>
      <c r="N248" s="5" t="e">
        <f t="shared" ca="1" si="96"/>
        <v>#N/A</v>
      </c>
      <c r="O248" s="5" t="e">
        <f t="shared" ca="1" si="97"/>
        <v>#N/A</v>
      </c>
      <c r="P248" s="5" t="e">
        <f t="shared" ca="1" si="98"/>
        <v>#N/A</v>
      </c>
      <c r="Q248" s="5" t="e">
        <f t="shared" ca="1" si="99"/>
        <v>#N/A</v>
      </c>
      <c r="R248" s="5" t="e">
        <f t="shared" ca="1" si="104"/>
        <v>#N/A</v>
      </c>
      <c r="S248" s="67" t="e">
        <f t="shared" ca="1" si="105"/>
        <v>#N/A</v>
      </c>
      <c r="T248" s="67" t="e">
        <f t="shared" ca="1" si="106"/>
        <v>#N/A</v>
      </c>
      <c r="U248" s="67" t="e">
        <f t="shared" ca="1" si="107"/>
        <v>#N/A</v>
      </c>
      <c r="V248" s="5" t="e">
        <f t="shared" ca="1" si="86"/>
        <v>#N/A</v>
      </c>
      <c r="W248" s="5" t="e">
        <f t="shared" ca="1" si="100"/>
        <v>#N/A</v>
      </c>
      <c r="X248" s="67">
        <f t="shared" ca="1" si="101"/>
        <v>0</v>
      </c>
      <c r="Y248" s="67" t="e">
        <f t="shared" ca="1" si="108"/>
        <v>#N/A</v>
      </c>
      <c r="Z248" s="67" t="e">
        <f t="shared" ca="1" si="109"/>
        <v>#N/A</v>
      </c>
      <c r="AA248" s="5" t="str">
        <f>IF(Setup!$I$15="Yes",'Demand background (hide)'!AJ236+'SPC background (hide)'!C248,"")</f>
        <v/>
      </c>
      <c r="AC248" s="5" t="e">
        <f t="shared" ca="1" si="102"/>
        <v>#N/A</v>
      </c>
      <c r="AD248" s="5" t="e">
        <f t="shared" ca="1" si="103"/>
        <v>#N/A</v>
      </c>
    </row>
    <row r="249" spans="1:30" x14ac:dyDescent="0.25">
      <c r="A249" s="67" t="str">
        <f ca="1">Demand!C246</f>
        <v/>
      </c>
      <c r="B249" s="67">
        <v>234</v>
      </c>
      <c r="C249" s="5">
        <f ca="1">'Demand background (hide)'!Y237</f>
        <v>0</v>
      </c>
      <c r="D249" s="67">
        <f t="shared" si="87"/>
        <v>0</v>
      </c>
      <c r="E249" s="67" t="e">
        <f t="shared" ca="1" si="88"/>
        <v>#N/A</v>
      </c>
      <c r="F249" s="67" t="e">
        <f t="shared" ca="1" si="89"/>
        <v>#N/A</v>
      </c>
      <c r="G249" s="67" t="e">
        <f t="shared" ca="1" si="90"/>
        <v>#N/A</v>
      </c>
      <c r="H249" s="67" t="e">
        <f>IF('Demand background (hide)'!AN237&lt;&gt;"",'SPC background (hide)'!C249,NA())</f>
        <v>#N/A</v>
      </c>
      <c r="I249" s="67" t="e">
        <f t="shared" ca="1" si="91"/>
        <v>#N/A</v>
      </c>
      <c r="J249" s="5" t="e">
        <f t="shared" ca="1" si="92"/>
        <v>#N/A</v>
      </c>
      <c r="K249" s="5" t="e">
        <f t="shared" ca="1" si="93"/>
        <v>#N/A</v>
      </c>
      <c r="L249" s="5" t="e">
        <f t="shared" ca="1" si="94"/>
        <v>#N/A</v>
      </c>
      <c r="M249" s="5" t="e">
        <f t="shared" ca="1" si="95"/>
        <v>#N/A</v>
      </c>
      <c r="N249" s="5" t="e">
        <f t="shared" ca="1" si="96"/>
        <v>#N/A</v>
      </c>
      <c r="O249" s="5" t="e">
        <f t="shared" ca="1" si="97"/>
        <v>#N/A</v>
      </c>
      <c r="P249" s="5" t="e">
        <f t="shared" ca="1" si="98"/>
        <v>#N/A</v>
      </c>
      <c r="Q249" s="5" t="e">
        <f t="shared" ca="1" si="99"/>
        <v>#N/A</v>
      </c>
      <c r="R249" s="5" t="e">
        <f t="shared" ca="1" si="104"/>
        <v>#N/A</v>
      </c>
      <c r="S249" s="67" t="e">
        <f t="shared" ca="1" si="105"/>
        <v>#N/A</v>
      </c>
      <c r="T249" s="67" t="e">
        <f t="shared" ca="1" si="106"/>
        <v>#N/A</v>
      </c>
      <c r="U249" s="67" t="e">
        <f t="shared" ca="1" si="107"/>
        <v>#N/A</v>
      </c>
      <c r="V249" s="5" t="e">
        <f t="shared" ca="1" si="86"/>
        <v>#N/A</v>
      </c>
      <c r="W249" s="5" t="e">
        <f t="shared" ca="1" si="100"/>
        <v>#N/A</v>
      </c>
      <c r="X249" s="67">
        <f t="shared" ca="1" si="101"/>
        <v>0</v>
      </c>
      <c r="Y249" s="67" t="e">
        <f t="shared" ca="1" si="108"/>
        <v>#N/A</v>
      </c>
      <c r="Z249" s="67" t="e">
        <f t="shared" ca="1" si="109"/>
        <v>#N/A</v>
      </c>
      <c r="AA249" s="5" t="str">
        <f>IF(Setup!$I$15="Yes",'Demand background (hide)'!AJ237+'SPC background (hide)'!C249,"")</f>
        <v/>
      </c>
      <c r="AC249" s="5" t="e">
        <f t="shared" ca="1" si="102"/>
        <v>#N/A</v>
      </c>
      <c r="AD249" s="5" t="e">
        <f t="shared" ca="1" si="103"/>
        <v>#N/A</v>
      </c>
    </row>
    <row r="250" spans="1:30" x14ac:dyDescent="0.25">
      <c r="A250" s="67" t="str">
        <f ca="1">Demand!C247</f>
        <v/>
      </c>
      <c r="B250" s="67">
        <v>235</v>
      </c>
      <c r="C250" s="5">
        <f ca="1">'Demand background (hide)'!Y238</f>
        <v>0</v>
      </c>
      <c r="D250" s="67">
        <f t="shared" si="87"/>
        <v>0</v>
      </c>
      <c r="E250" s="67" t="e">
        <f t="shared" ca="1" si="88"/>
        <v>#N/A</v>
      </c>
      <c r="F250" s="67" t="e">
        <f t="shared" ca="1" si="89"/>
        <v>#N/A</v>
      </c>
      <c r="G250" s="67" t="e">
        <f t="shared" ca="1" si="90"/>
        <v>#N/A</v>
      </c>
      <c r="H250" s="67" t="e">
        <f>IF('Demand background (hide)'!AN238&lt;&gt;"",'SPC background (hide)'!C250,NA())</f>
        <v>#N/A</v>
      </c>
      <c r="I250" s="67" t="e">
        <f t="shared" ca="1" si="91"/>
        <v>#N/A</v>
      </c>
      <c r="J250" s="5" t="e">
        <f t="shared" ca="1" si="92"/>
        <v>#N/A</v>
      </c>
      <c r="K250" s="5" t="e">
        <f t="shared" ca="1" si="93"/>
        <v>#N/A</v>
      </c>
      <c r="L250" s="5" t="e">
        <f t="shared" ca="1" si="94"/>
        <v>#N/A</v>
      </c>
      <c r="M250" s="5" t="e">
        <f t="shared" ca="1" si="95"/>
        <v>#N/A</v>
      </c>
      <c r="N250" s="5" t="e">
        <f t="shared" ca="1" si="96"/>
        <v>#N/A</v>
      </c>
      <c r="O250" s="5" t="e">
        <f t="shared" ca="1" si="97"/>
        <v>#N/A</v>
      </c>
      <c r="P250" s="5" t="e">
        <f t="shared" ca="1" si="98"/>
        <v>#N/A</v>
      </c>
      <c r="Q250" s="5" t="e">
        <f t="shared" ca="1" si="99"/>
        <v>#N/A</v>
      </c>
      <c r="R250" s="5" t="e">
        <f t="shared" ca="1" si="104"/>
        <v>#N/A</v>
      </c>
      <c r="S250" s="67" t="e">
        <f t="shared" ca="1" si="105"/>
        <v>#N/A</v>
      </c>
      <c r="T250" s="67" t="e">
        <f t="shared" ca="1" si="106"/>
        <v>#N/A</v>
      </c>
      <c r="U250" s="67" t="e">
        <f t="shared" ca="1" si="107"/>
        <v>#N/A</v>
      </c>
      <c r="V250" s="5" t="e">
        <f t="shared" ca="1" si="86"/>
        <v>#N/A</v>
      </c>
      <c r="W250" s="5" t="e">
        <f t="shared" ca="1" si="100"/>
        <v>#N/A</v>
      </c>
      <c r="X250" s="67">
        <f t="shared" ca="1" si="101"/>
        <v>0</v>
      </c>
      <c r="Y250" s="67" t="e">
        <f t="shared" ca="1" si="108"/>
        <v>#N/A</v>
      </c>
      <c r="Z250" s="67" t="e">
        <f t="shared" ca="1" si="109"/>
        <v>#N/A</v>
      </c>
      <c r="AA250" s="5" t="str">
        <f>IF(Setup!$I$15="Yes",'Demand background (hide)'!AJ238+'SPC background (hide)'!C250,"")</f>
        <v/>
      </c>
      <c r="AC250" s="5" t="e">
        <f t="shared" ca="1" si="102"/>
        <v>#N/A</v>
      </c>
      <c r="AD250" s="5" t="e">
        <f t="shared" ca="1" si="103"/>
        <v>#N/A</v>
      </c>
    </row>
    <row r="251" spans="1:30" x14ac:dyDescent="0.25">
      <c r="A251" s="67" t="str">
        <f ca="1">Demand!C248</f>
        <v/>
      </c>
      <c r="B251" s="67">
        <v>236</v>
      </c>
      <c r="C251" s="5">
        <f ca="1">'Demand background (hide)'!Y239</f>
        <v>0</v>
      </c>
      <c r="D251" s="67">
        <f t="shared" si="87"/>
        <v>0</v>
      </c>
      <c r="E251" s="67" t="e">
        <f t="shared" ca="1" si="88"/>
        <v>#N/A</v>
      </c>
      <c r="F251" s="67" t="e">
        <f t="shared" ca="1" si="89"/>
        <v>#N/A</v>
      </c>
      <c r="G251" s="67" t="e">
        <f t="shared" ca="1" si="90"/>
        <v>#N/A</v>
      </c>
      <c r="H251" s="67" t="e">
        <f>IF('Demand background (hide)'!AN239&lt;&gt;"",'SPC background (hide)'!C251,NA())</f>
        <v>#N/A</v>
      </c>
      <c r="I251" s="67" t="e">
        <f t="shared" ca="1" si="91"/>
        <v>#N/A</v>
      </c>
      <c r="J251" s="5" t="e">
        <f t="shared" ca="1" si="92"/>
        <v>#N/A</v>
      </c>
      <c r="K251" s="5" t="e">
        <f t="shared" ca="1" si="93"/>
        <v>#N/A</v>
      </c>
      <c r="L251" s="5" t="e">
        <f t="shared" ca="1" si="94"/>
        <v>#N/A</v>
      </c>
      <c r="M251" s="5" t="e">
        <f t="shared" ca="1" si="95"/>
        <v>#N/A</v>
      </c>
      <c r="N251" s="5" t="e">
        <f t="shared" ca="1" si="96"/>
        <v>#N/A</v>
      </c>
      <c r="O251" s="5" t="e">
        <f t="shared" ca="1" si="97"/>
        <v>#N/A</v>
      </c>
      <c r="P251" s="5" t="e">
        <f t="shared" ca="1" si="98"/>
        <v>#N/A</v>
      </c>
      <c r="Q251" s="5" t="e">
        <f t="shared" ca="1" si="99"/>
        <v>#N/A</v>
      </c>
      <c r="R251" s="5" t="e">
        <f t="shared" ca="1" si="104"/>
        <v>#N/A</v>
      </c>
      <c r="S251" s="67" t="e">
        <f t="shared" ca="1" si="105"/>
        <v>#N/A</v>
      </c>
      <c r="T251" s="67" t="e">
        <f t="shared" ca="1" si="106"/>
        <v>#N/A</v>
      </c>
      <c r="U251" s="67" t="e">
        <f t="shared" ca="1" si="107"/>
        <v>#N/A</v>
      </c>
      <c r="V251" s="5" t="e">
        <f t="shared" ca="1" si="86"/>
        <v>#N/A</v>
      </c>
      <c r="W251" s="5" t="e">
        <f t="shared" ca="1" si="100"/>
        <v>#N/A</v>
      </c>
      <c r="X251" s="67">
        <f t="shared" ca="1" si="101"/>
        <v>0</v>
      </c>
      <c r="Y251" s="67" t="e">
        <f t="shared" ca="1" si="108"/>
        <v>#N/A</v>
      </c>
      <c r="Z251" s="67" t="e">
        <f t="shared" ca="1" si="109"/>
        <v>#N/A</v>
      </c>
      <c r="AA251" s="5" t="str">
        <f>IF(Setup!$I$15="Yes",'Demand background (hide)'!AJ239+'SPC background (hide)'!C251,"")</f>
        <v/>
      </c>
      <c r="AC251" s="5" t="e">
        <f t="shared" ca="1" si="102"/>
        <v>#N/A</v>
      </c>
      <c r="AD251" s="5" t="e">
        <f t="shared" ca="1" si="103"/>
        <v>#N/A</v>
      </c>
    </row>
    <row r="252" spans="1:30" x14ac:dyDescent="0.25">
      <c r="A252" s="67" t="str">
        <f ca="1">Demand!C249</f>
        <v/>
      </c>
      <c r="B252" s="67">
        <v>237</v>
      </c>
      <c r="C252" s="5">
        <f ca="1">'Demand background (hide)'!Y240</f>
        <v>0</v>
      </c>
      <c r="D252" s="67">
        <f t="shared" si="87"/>
        <v>0</v>
      </c>
      <c r="E252" s="67" t="e">
        <f t="shared" ca="1" si="88"/>
        <v>#N/A</v>
      </c>
      <c r="F252" s="67" t="e">
        <f t="shared" ca="1" si="89"/>
        <v>#N/A</v>
      </c>
      <c r="G252" s="67" t="e">
        <f t="shared" ca="1" si="90"/>
        <v>#N/A</v>
      </c>
      <c r="H252" s="67" t="e">
        <f>IF('Demand background (hide)'!AN240&lt;&gt;"",'SPC background (hide)'!C252,NA())</f>
        <v>#N/A</v>
      </c>
      <c r="I252" s="67" t="e">
        <f t="shared" ca="1" si="91"/>
        <v>#N/A</v>
      </c>
      <c r="J252" s="5" t="e">
        <f t="shared" ca="1" si="92"/>
        <v>#N/A</v>
      </c>
      <c r="K252" s="5" t="e">
        <f t="shared" ca="1" si="93"/>
        <v>#N/A</v>
      </c>
      <c r="L252" s="5" t="e">
        <f t="shared" ca="1" si="94"/>
        <v>#N/A</v>
      </c>
      <c r="M252" s="5" t="e">
        <f t="shared" ca="1" si="95"/>
        <v>#N/A</v>
      </c>
      <c r="N252" s="5" t="e">
        <f t="shared" ca="1" si="96"/>
        <v>#N/A</v>
      </c>
      <c r="O252" s="5" t="e">
        <f t="shared" ca="1" si="97"/>
        <v>#N/A</v>
      </c>
      <c r="P252" s="5" t="e">
        <f t="shared" ca="1" si="98"/>
        <v>#N/A</v>
      </c>
      <c r="Q252" s="5" t="e">
        <f t="shared" ca="1" si="99"/>
        <v>#N/A</v>
      </c>
      <c r="R252" s="5" t="e">
        <f t="shared" ca="1" si="104"/>
        <v>#N/A</v>
      </c>
      <c r="S252" s="67" t="e">
        <f t="shared" ca="1" si="105"/>
        <v>#N/A</v>
      </c>
      <c r="T252" s="67" t="e">
        <f t="shared" ca="1" si="106"/>
        <v>#N/A</v>
      </c>
      <c r="U252" s="67" t="e">
        <f t="shared" ca="1" si="107"/>
        <v>#N/A</v>
      </c>
      <c r="V252" s="5" t="e">
        <f t="shared" ca="1" si="86"/>
        <v>#N/A</v>
      </c>
      <c r="W252" s="5" t="e">
        <f t="shared" ca="1" si="100"/>
        <v>#N/A</v>
      </c>
      <c r="X252" s="67">
        <f t="shared" ca="1" si="101"/>
        <v>0</v>
      </c>
      <c r="Y252" s="67" t="e">
        <f t="shared" ca="1" si="108"/>
        <v>#N/A</v>
      </c>
      <c r="Z252" s="67" t="e">
        <f t="shared" ca="1" si="109"/>
        <v>#N/A</v>
      </c>
      <c r="AA252" s="5" t="str">
        <f>IF(Setup!$I$15="Yes",'Demand background (hide)'!AJ240+'SPC background (hide)'!C252,"")</f>
        <v/>
      </c>
      <c r="AC252" s="5" t="e">
        <f t="shared" ca="1" si="102"/>
        <v>#N/A</v>
      </c>
      <c r="AD252" s="5" t="e">
        <f t="shared" ca="1" si="103"/>
        <v>#N/A</v>
      </c>
    </row>
    <row r="253" spans="1:30" x14ac:dyDescent="0.25">
      <c r="A253" s="67" t="str">
        <f ca="1">Demand!C250</f>
        <v/>
      </c>
      <c r="B253" s="67">
        <v>238</v>
      </c>
      <c r="C253" s="5">
        <f ca="1">'Demand background (hide)'!Y241</f>
        <v>0</v>
      </c>
      <c r="D253" s="67">
        <f t="shared" si="87"/>
        <v>0</v>
      </c>
      <c r="E253" s="67" t="e">
        <f t="shared" ca="1" si="88"/>
        <v>#N/A</v>
      </c>
      <c r="F253" s="67" t="e">
        <f t="shared" ca="1" si="89"/>
        <v>#N/A</v>
      </c>
      <c r="G253" s="67" t="e">
        <f t="shared" ca="1" si="90"/>
        <v>#N/A</v>
      </c>
      <c r="H253" s="67" t="e">
        <f>IF('Demand background (hide)'!AN241&lt;&gt;"",'SPC background (hide)'!C253,NA())</f>
        <v>#N/A</v>
      </c>
      <c r="I253" s="67" t="e">
        <f t="shared" ca="1" si="91"/>
        <v>#N/A</v>
      </c>
      <c r="J253" s="5" t="e">
        <f t="shared" ca="1" si="92"/>
        <v>#N/A</v>
      </c>
      <c r="K253" s="5" t="e">
        <f t="shared" ca="1" si="93"/>
        <v>#N/A</v>
      </c>
      <c r="L253" s="5" t="e">
        <f t="shared" ca="1" si="94"/>
        <v>#N/A</v>
      </c>
      <c r="M253" s="5" t="e">
        <f t="shared" ca="1" si="95"/>
        <v>#N/A</v>
      </c>
      <c r="N253" s="5" t="e">
        <f t="shared" ca="1" si="96"/>
        <v>#N/A</v>
      </c>
      <c r="O253" s="5" t="e">
        <f t="shared" ca="1" si="97"/>
        <v>#N/A</v>
      </c>
      <c r="P253" s="5" t="e">
        <f t="shared" ca="1" si="98"/>
        <v>#N/A</v>
      </c>
      <c r="Q253" s="5" t="e">
        <f t="shared" ca="1" si="99"/>
        <v>#N/A</v>
      </c>
      <c r="R253" s="5" t="e">
        <f t="shared" ca="1" si="104"/>
        <v>#N/A</v>
      </c>
      <c r="S253" s="67" t="e">
        <f t="shared" ca="1" si="105"/>
        <v>#N/A</v>
      </c>
      <c r="T253" s="67" t="e">
        <f t="shared" ca="1" si="106"/>
        <v>#N/A</v>
      </c>
      <c r="U253" s="67" t="e">
        <f t="shared" ca="1" si="107"/>
        <v>#N/A</v>
      </c>
      <c r="V253" s="5" t="e">
        <f t="shared" ca="1" si="86"/>
        <v>#N/A</v>
      </c>
      <c r="W253" s="5" t="e">
        <f t="shared" ca="1" si="100"/>
        <v>#N/A</v>
      </c>
      <c r="X253" s="67">
        <f t="shared" ca="1" si="101"/>
        <v>0</v>
      </c>
      <c r="Y253" s="67" t="e">
        <f t="shared" ca="1" si="108"/>
        <v>#N/A</v>
      </c>
      <c r="Z253" s="67" t="e">
        <f t="shared" ca="1" si="109"/>
        <v>#N/A</v>
      </c>
      <c r="AA253" s="5" t="str">
        <f>IF(Setup!$I$15="Yes",'Demand background (hide)'!AJ241+'SPC background (hide)'!C253,"")</f>
        <v/>
      </c>
      <c r="AC253" s="5" t="e">
        <f t="shared" ca="1" si="102"/>
        <v>#N/A</v>
      </c>
      <c r="AD253" s="5" t="e">
        <f t="shared" ca="1" si="103"/>
        <v>#N/A</v>
      </c>
    </row>
    <row r="254" spans="1:30" x14ac:dyDescent="0.25">
      <c r="A254" s="67" t="str">
        <f ca="1">Demand!C251</f>
        <v/>
      </c>
      <c r="B254" s="67">
        <v>239</v>
      </c>
      <c r="C254" s="5">
        <f ca="1">'Demand background (hide)'!Y242</f>
        <v>0</v>
      </c>
      <c r="D254" s="67">
        <f t="shared" si="87"/>
        <v>0</v>
      </c>
      <c r="E254" s="67" t="e">
        <f t="shared" ca="1" si="88"/>
        <v>#N/A</v>
      </c>
      <c r="F254" s="67" t="e">
        <f t="shared" ca="1" si="89"/>
        <v>#N/A</v>
      </c>
      <c r="G254" s="67" t="e">
        <f t="shared" ca="1" si="90"/>
        <v>#N/A</v>
      </c>
      <c r="H254" s="67" t="e">
        <f>IF('Demand background (hide)'!AN242&lt;&gt;"",'SPC background (hide)'!C254,NA())</f>
        <v>#N/A</v>
      </c>
      <c r="I254" s="67" t="e">
        <f t="shared" ca="1" si="91"/>
        <v>#N/A</v>
      </c>
      <c r="J254" s="5" t="e">
        <f t="shared" ca="1" si="92"/>
        <v>#N/A</v>
      </c>
      <c r="K254" s="5" t="e">
        <f t="shared" ca="1" si="93"/>
        <v>#N/A</v>
      </c>
      <c r="L254" s="5" t="e">
        <f t="shared" ca="1" si="94"/>
        <v>#N/A</v>
      </c>
      <c r="M254" s="5" t="e">
        <f t="shared" ca="1" si="95"/>
        <v>#N/A</v>
      </c>
      <c r="N254" s="5" t="e">
        <f t="shared" ca="1" si="96"/>
        <v>#N/A</v>
      </c>
      <c r="O254" s="5" t="e">
        <f t="shared" ca="1" si="97"/>
        <v>#N/A</v>
      </c>
      <c r="P254" s="5" t="e">
        <f t="shared" ca="1" si="98"/>
        <v>#N/A</v>
      </c>
      <c r="Q254" s="5" t="e">
        <f t="shared" ca="1" si="99"/>
        <v>#N/A</v>
      </c>
      <c r="R254" s="5" t="e">
        <f t="shared" ca="1" si="104"/>
        <v>#N/A</v>
      </c>
      <c r="S254" s="67" t="e">
        <f t="shared" ca="1" si="105"/>
        <v>#N/A</v>
      </c>
      <c r="T254" s="67" t="e">
        <f t="shared" ca="1" si="106"/>
        <v>#N/A</v>
      </c>
      <c r="U254" s="67" t="e">
        <f t="shared" ca="1" si="107"/>
        <v>#N/A</v>
      </c>
      <c r="V254" s="5" t="e">
        <f t="shared" ca="1" si="86"/>
        <v>#N/A</v>
      </c>
      <c r="W254" s="5" t="e">
        <f t="shared" ca="1" si="100"/>
        <v>#N/A</v>
      </c>
      <c r="X254" s="67">
        <f t="shared" ca="1" si="101"/>
        <v>0</v>
      </c>
      <c r="Y254" s="67" t="e">
        <f t="shared" ca="1" si="108"/>
        <v>#N/A</v>
      </c>
      <c r="Z254" s="67" t="e">
        <f t="shared" ca="1" si="109"/>
        <v>#N/A</v>
      </c>
      <c r="AA254" s="5" t="str">
        <f>IF(Setup!$I$15="Yes",'Demand background (hide)'!AJ242+'SPC background (hide)'!C254,"")</f>
        <v/>
      </c>
      <c r="AC254" s="5" t="e">
        <f t="shared" ca="1" si="102"/>
        <v>#N/A</v>
      </c>
      <c r="AD254" s="5" t="e">
        <f t="shared" ca="1" si="103"/>
        <v>#N/A</v>
      </c>
    </row>
    <row r="255" spans="1:30" x14ac:dyDescent="0.25">
      <c r="A255" s="67" t="str">
        <f ca="1">Demand!C252</f>
        <v/>
      </c>
      <c r="B255" s="67">
        <v>240</v>
      </c>
      <c r="C255" s="5">
        <f ca="1">'Demand background (hide)'!Y243</f>
        <v>0</v>
      </c>
      <c r="D255" s="67">
        <f t="shared" si="87"/>
        <v>0</v>
      </c>
      <c r="E255" s="67" t="e">
        <f t="shared" ca="1" si="88"/>
        <v>#N/A</v>
      </c>
      <c r="F255" s="67" t="e">
        <f t="shared" ca="1" si="89"/>
        <v>#N/A</v>
      </c>
      <c r="G255" s="67" t="e">
        <f t="shared" ca="1" si="90"/>
        <v>#N/A</v>
      </c>
      <c r="H255" s="67" t="e">
        <f>IF('Demand background (hide)'!AN243&lt;&gt;"",'SPC background (hide)'!C255,NA())</f>
        <v>#N/A</v>
      </c>
      <c r="I255" s="67" t="e">
        <f t="shared" ca="1" si="91"/>
        <v>#N/A</v>
      </c>
      <c r="J255" s="5" t="e">
        <f t="shared" ca="1" si="92"/>
        <v>#N/A</v>
      </c>
      <c r="K255" s="5" t="e">
        <f t="shared" ca="1" si="93"/>
        <v>#N/A</v>
      </c>
      <c r="L255" s="5" t="e">
        <f t="shared" ca="1" si="94"/>
        <v>#N/A</v>
      </c>
      <c r="M255" s="5" t="e">
        <f t="shared" ca="1" si="95"/>
        <v>#N/A</v>
      </c>
      <c r="N255" s="5" t="e">
        <f t="shared" ca="1" si="96"/>
        <v>#N/A</v>
      </c>
      <c r="O255" s="5" t="e">
        <f t="shared" ca="1" si="97"/>
        <v>#N/A</v>
      </c>
      <c r="P255" s="5" t="e">
        <f t="shared" ca="1" si="98"/>
        <v>#N/A</v>
      </c>
      <c r="Q255" s="5" t="e">
        <f t="shared" ca="1" si="99"/>
        <v>#N/A</v>
      </c>
      <c r="R255" s="5" t="e">
        <f t="shared" ca="1" si="104"/>
        <v>#N/A</v>
      </c>
      <c r="S255" s="67" t="e">
        <f t="shared" ca="1" si="105"/>
        <v>#N/A</v>
      </c>
      <c r="T255" s="67" t="e">
        <f t="shared" ca="1" si="106"/>
        <v>#N/A</v>
      </c>
      <c r="U255" s="67" t="e">
        <f t="shared" ca="1" si="107"/>
        <v>#N/A</v>
      </c>
      <c r="V255" s="5" t="e">
        <f t="shared" ca="1" si="86"/>
        <v>#N/A</v>
      </c>
      <c r="W255" s="5" t="e">
        <f t="shared" ca="1" si="100"/>
        <v>#N/A</v>
      </c>
      <c r="X255" s="67">
        <f t="shared" ca="1" si="101"/>
        <v>0</v>
      </c>
      <c r="Y255" s="67" t="e">
        <f t="shared" ca="1" si="108"/>
        <v>#N/A</v>
      </c>
      <c r="Z255" s="67" t="e">
        <f t="shared" ca="1" si="109"/>
        <v>#N/A</v>
      </c>
      <c r="AA255" s="5" t="str">
        <f>IF(Setup!$I$15="Yes",'Demand background (hide)'!AJ243+'SPC background (hide)'!C255,"")</f>
        <v/>
      </c>
      <c r="AC255" s="5" t="e">
        <f t="shared" ca="1" si="102"/>
        <v>#N/A</v>
      </c>
      <c r="AD255" s="5" t="e">
        <f t="shared" ca="1" si="103"/>
        <v>#N/A</v>
      </c>
    </row>
    <row r="256" spans="1:30" x14ac:dyDescent="0.25">
      <c r="A256" s="67" t="str">
        <f ca="1">Demand!C253</f>
        <v/>
      </c>
      <c r="B256" s="67">
        <v>241</v>
      </c>
      <c r="C256" s="5">
        <f ca="1">'Demand background (hide)'!Y244</f>
        <v>0</v>
      </c>
      <c r="D256" s="67">
        <f t="shared" si="87"/>
        <v>0</v>
      </c>
      <c r="E256" s="67" t="e">
        <f t="shared" ca="1" si="88"/>
        <v>#N/A</v>
      </c>
      <c r="F256" s="67" t="e">
        <f t="shared" ca="1" si="89"/>
        <v>#N/A</v>
      </c>
      <c r="G256" s="67" t="e">
        <f t="shared" ca="1" si="90"/>
        <v>#N/A</v>
      </c>
      <c r="H256" s="67" t="e">
        <f>IF('Demand background (hide)'!AN244&lt;&gt;"",'SPC background (hide)'!C256,NA())</f>
        <v>#N/A</v>
      </c>
      <c r="I256" s="67" t="e">
        <f t="shared" ca="1" si="91"/>
        <v>#N/A</v>
      </c>
      <c r="J256" s="5" t="e">
        <f t="shared" ca="1" si="92"/>
        <v>#N/A</v>
      </c>
      <c r="K256" s="5" t="e">
        <f t="shared" ca="1" si="93"/>
        <v>#N/A</v>
      </c>
      <c r="L256" s="5" t="e">
        <f t="shared" ca="1" si="94"/>
        <v>#N/A</v>
      </c>
      <c r="M256" s="5" t="e">
        <f t="shared" ca="1" si="95"/>
        <v>#N/A</v>
      </c>
      <c r="N256" s="5" t="e">
        <f t="shared" ca="1" si="96"/>
        <v>#N/A</v>
      </c>
      <c r="O256" s="5" t="e">
        <f t="shared" ca="1" si="97"/>
        <v>#N/A</v>
      </c>
      <c r="P256" s="5" t="e">
        <f t="shared" ca="1" si="98"/>
        <v>#N/A</v>
      </c>
      <c r="Q256" s="5" t="e">
        <f t="shared" ca="1" si="99"/>
        <v>#N/A</v>
      </c>
      <c r="R256" s="5" t="e">
        <f t="shared" ca="1" si="104"/>
        <v>#N/A</v>
      </c>
      <c r="S256" s="67" t="e">
        <f t="shared" ca="1" si="105"/>
        <v>#N/A</v>
      </c>
      <c r="T256" s="67" t="e">
        <f t="shared" ca="1" si="106"/>
        <v>#N/A</v>
      </c>
      <c r="U256" s="67" t="e">
        <f t="shared" ca="1" si="107"/>
        <v>#N/A</v>
      </c>
      <c r="V256" s="5" t="e">
        <f t="shared" ca="1" si="86"/>
        <v>#N/A</v>
      </c>
      <c r="W256" s="5" t="e">
        <f t="shared" ca="1" si="100"/>
        <v>#N/A</v>
      </c>
      <c r="X256" s="67">
        <f t="shared" ca="1" si="101"/>
        <v>0</v>
      </c>
      <c r="Y256" s="67" t="e">
        <f t="shared" ca="1" si="108"/>
        <v>#N/A</v>
      </c>
      <c r="Z256" s="67" t="e">
        <f t="shared" ca="1" si="109"/>
        <v>#N/A</v>
      </c>
      <c r="AA256" s="5" t="str">
        <f>IF(Setup!$I$15="Yes",'Demand background (hide)'!AJ244+'SPC background (hide)'!C256,"")</f>
        <v/>
      </c>
      <c r="AC256" s="5" t="e">
        <f t="shared" ca="1" si="102"/>
        <v>#N/A</v>
      </c>
      <c r="AD256" s="5" t="e">
        <f t="shared" ca="1" si="103"/>
        <v>#N/A</v>
      </c>
    </row>
    <row r="257" spans="1:30" x14ac:dyDescent="0.25">
      <c r="A257" s="67" t="str">
        <f ca="1">Demand!C254</f>
        <v/>
      </c>
      <c r="B257" s="67">
        <v>242</v>
      </c>
      <c r="C257" s="5">
        <f ca="1">'Demand background (hide)'!Y245</f>
        <v>0</v>
      </c>
      <c r="D257" s="67">
        <f t="shared" si="87"/>
        <v>0</v>
      </c>
      <c r="E257" s="67" t="e">
        <f t="shared" ca="1" si="88"/>
        <v>#N/A</v>
      </c>
      <c r="F257" s="67" t="e">
        <f t="shared" ca="1" si="89"/>
        <v>#N/A</v>
      </c>
      <c r="G257" s="67" t="e">
        <f t="shared" ca="1" si="90"/>
        <v>#N/A</v>
      </c>
      <c r="H257" s="67" t="e">
        <f>IF('Demand background (hide)'!AN245&lt;&gt;"",'SPC background (hide)'!C257,NA())</f>
        <v>#N/A</v>
      </c>
      <c r="I257" s="67" t="e">
        <f t="shared" ca="1" si="91"/>
        <v>#N/A</v>
      </c>
      <c r="J257" s="5" t="e">
        <f t="shared" ca="1" si="92"/>
        <v>#N/A</v>
      </c>
      <c r="K257" s="5" t="e">
        <f t="shared" ca="1" si="93"/>
        <v>#N/A</v>
      </c>
      <c r="L257" s="5" t="e">
        <f t="shared" ca="1" si="94"/>
        <v>#N/A</v>
      </c>
      <c r="M257" s="5" t="e">
        <f t="shared" ca="1" si="95"/>
        <v>#N/A</v>
      </c>
      <c r="N257" s="5" t="e">
        <f t="shared" ca="1" si="96"/>
        <v>#N/A</v>
      </c>
      <c r="O257" s="5" t="e">
        <f t="shared" ca="1" si="97"/>
        <v>#N/A</v>
      </c>
      <c r="P257" s="5" t="e">
        <f t="shared" ca="1" si="98"/>
        <v>#N/A</v>
      </c>
      <c r="Q257" s="5" t="e">
        <f t="shared" ca="1" si="99"/>
        <v>#N/A</v>
      </c>
      <c r="R257" s="5" t="e">
        <f t="shared" ca="1" si="104"/>
        <v>#N/A</v>
      </c>
      <c r="S257" s="67" t="e">
        <f t="shared" ca="1" si="105"/>
        <v>#N/A</v>
      </c>
      <c r="T257" s="67" t="e">
        <f t="shared" ca="1" si="106"/>
        <v>#N/A</v>
      </c>
      <c r="U257" s="67" t="e">
        <f t="shared" ca="1" si="107"/>
        <v>#N/A</v>
      </c>
      <c r="V257" s="5" t="e">
        <f t="shared" ca="1" si="86"/>
        <v>#N/A</v>
      </c>
      <c r="W257" s="5" t="e">
        <f t="shared" ca="1" si="100"/>
        <v>#N/A</v>
      </c>
      <c r="X257" s="67">
        <f t="shared" ca="1" si="101"/>
        <v>0</v>
      </c>
      <c r="Y257" s="67" t="e">
        <f t="shared" ca="1" si="108"/>
        <v>#N/A</v>
      </c>
      <c r="Z257" s="67" t="e">
        <f t="shared" ca="1" si="109"/>
        <v>#N/A</v>
      </c>
      <c r="AA257" s="5" t="str">
        <f>IF(Setup!$I$15="Yes",'Demand background (hide)'!AJ245+'SPC background (hide)'!C257,"")</f>
        <v/>
      </c>
      <c r="AC257" s="5" t="e">
        <f t="shared" ca="1" si="102"/>
        <v>#N/A</v>
      </c>
      <c r="AD257" s="5" t="e">
        <f t="shared" ca="1" si="103"/>
        <v>#N/A</v>
      </c>
    </row>
    <row r="258" spans="1:30" x14ac:dyDescent="0.25">
      <c r="A258" s="67" t="str">
        <f ca="1">Demand!C255</f>
        <v/>
      </c>
      <c r="B258" s="67">
        <v>243</v>
      </c>
      <c r="C258" s="5">
        <f ca="1">'Demand background (hide)'!Y246</f>
        <v>0</v>
      </c>
      <c r="D258" s="67">
        <f t="shared" si="87"/>
        <v>0</v>
      </c>
      <c r="E258" s="67" t="e">
        <f t="shared" ca="1" si="88"/>
        <v>#N/A</v>
      </c>
      <c r="F258" s="67" t="e">
        <f t="shared" ca="1" si="89"/>
        <v>#N/A</v>
      </c>
      <c r="G258" s="67" t="e">
        <f t="shared" ca="1" si="90"/>
        <v>#N/A</v>
      </c>
      <c r="H258" s="67" t="e">
        <f>IF('Demand background (hide)'!AN246&lt;&gt;"",'SPC background (hide)'!C258,NA())</f>
        <v>#N/A</v>
      </c>
      <c r="I258" s="67" t="e">
        <f t="shared" ca="1" si="91"/>
        <v>#N/A</v>
      </c>
      <c r="J258" s="5" t="e">
        <f t="shared" ca="1" si="92"/>
        <v>#N/A</v>
      </c>
      <c r="K258" s="5" t="e">
        <f t="shared" ca="1" si="93"/>
        <v>#N/A</v>
      </c>
      <c r="L258" s="5" t="e">
        <f t="shared" ca="1" si="94"/>
        <v>#N/A</v>
      </c>
      <c r="M258" s="5" t="e">
        <f t="shared" ca="1" si="95"/>
        <v>#N/A</v>
      </c>
      <c r="N258" s="5" t="e">
        <f t="shared" ca="1" si="96"/>
        <v>#N/A</v>
      </c>
      <c r="O258" s="5" t="e">
        <f t="shared" ca="1" si="97"/>
        <v>#N/A</v>
      </c>
      <c r="P258" s="5" t="e">
        <f t="shared" ca="1" si="98"/>
        <v>#N/A</v>
      </c>
      <c r="Q258" s="5" t="e">
        <f t="shared" ca="1" si="99"/>
        <v>#N/A</v>
      </c>
      <c r="R258" s="5" t="e">
        <f t="shared" ca="1" si="104"/>
        <v>#N/A</v>
      </c>
      <c r="S258" s="67" t="e">
        <f t="shared" ca="1" si="105"/>
        <v>#N/A</v>
      </c>
      <c r="T258" s="67" t="e">
        <f t="shared" ca="1" si="106"/>
        <v>#N/A</v>
      </c>
      <c r="U258" s="67" t="e">
        <f t="shared" ca="1" si="107"/>
        <v>#N/A</v>
      </c>
      <c r="V258" s="5" t="e">
        <f t="shared" ca="1" si="86"/>
        <v>#N/A</v>
      </c>
      <c r="W258" s="5" t="e">
        <f t="shared" ca="1" si="100"/>
        <v>#N/A</v>
      </c>
      <c r="X258" s="67">
        <f t="shared" ca="1" si="101"/>
        <v>0</v>
      </c>
      <c r="Y258" s="67" t="e">
        <f t="shared" ca="1" si="108"/>
        <v>#N/A</v>
      </c>
      <c r="Z258" s="67" t="e">
        <f t="shared" ca="1" si="109"/>
        <v>#N/A</v>
      </c>
      <c r="AA258" s="5" t="str">
        <f>IF(Setup!$I$15="Yes",'Demand background (hide)'!AJ246+'SPC background (hide)'!C258,"")</f>
        <v/>
      </c>
      <c r="AC258" s="5" t="e">
        <f t="shared" ca="1" si="102"/>
        <v>#N/A</v>
      </c>
      <c r="AD258" s="5" t="e">
        <f t="shared" ca="1" si="103"/>
        <v>#N/A</v>
      </c>
    </row>
    <row r="259" spans="1:30" x14ac:dyDescent="0.25">
      <c r="A259" s="67" t="str">
        <f ca="1">Demand!C256</f>
        <v/>
      </c>
      <c r="B259" s="67">
        <v>244</v>
      </c>
      <c r="C259" s="5">
        <f ca="1">'Demand background (hide)'!Y247</f>
        <v>0</v>
      </c>
      <c r="D259" s="67">
        <f t="shared" si="87"/>
        <v>0</v>
      </c>
      <c r="E259" s="67" t="e">
        <f t="shared" ca="1" si="88"/>
        <v>#N/A</v>
      </c>
      <c r="F259" s="67" t="e">
        <f t="shared" ca="1" si="89"/>
        <v>#N/A</v>
      </c>
      <c r="G259" s="67" t="e">
        <f t="shared" ca="1" si="90"/>
        <v>#N/A</v>
      </c>
      <c r="H259" s="67" t="e">
        <f>IF('Demand background (hide)'!AN247&lt;&gt;"",'SPC background (hide)'!C259,NA())</f>
        <v>#N/A</v>
      </c>
      <c r="I259" s="67" t="e">
        <f t="shared" ca="1" si="91"/>
        <v>#N/A</v>
      </c>
      <c r="J259" s="5" t="e">
        <f t="shared" ca="1" si="92"/>
        <v>#N/A</v>
      </c>
      <c r="K259" s="5" t="e">
        <f t="shared" ca="1" si="93"/>
        <v>#N/A</v>
      </c>
      <c r="L259" s="5" t="e">
        <f t="shared" ca="1" si="94"/>
        <v>#N/A</v>
      </c>
      <c r="M259" s="5" t="e">
        <f t="shared" ca="1" si="95"/>
        <v>#N/A</v>
      </c>
      <c r="N259" s="5" t="e">
        <f t="shared" ca="1" si="96"/>
        <v>#N/A</v>
      </c>
      <c r="O259" s="5" t="e">
        <f t="shared" ca="1" si="97"/>
        <v>#N/A</v>
      </c>
      <c r="P259" s="5" t="e">
        <f t="shared" ca="1" si="98"/>
        <v>#N/A</v>
      </c>
      <c r="Q259" s="5" t="e">
        <f t="shared" ca="1" si="99"/>
        <v>#N/A</v>
      </c>
      <c r="R259" s="5" t="e">
        <f t="shared" ca="1" si="104"/>
        <v>#N/A</v>
      </c>
      <c r="S259" s="67" t="e">
        <f t="shared" ca="1" si="105"/>
        <v>#N/A</v>
      </c>
      <c r="T259" s="67" t="e">
        <f t="shared" ca="1" si="106"/>
        <v>#N/A</v>
      </c>
      <c r="U259" s="67" t="e">
        <f t="shared" ca="1" si="107"/>
        <v>#N/A</v>
      </c>
      <c r="V259" s="5" t="e">
        <f t="shared" ca="1" si="86"/>
        <v>#N/A</v>
      </c>
      <c r="W259" s="5" t="e">
        <f t="shared" ca="1" si="100"/>
        <v>#N/A</v>
      </c>
      <c r="X259" s="67">
        <f t="shared" ca="1" si="101"/>
        <v>0</v>
      </c>
      <c r="Y259" s="67" t="e">
        <f t="shared" ca="1" si="108"/>
        <v>#N/A</v>
      </c>
      <c r="Z259" s="67" t="e">
        <f t="shared" ca="1" si="109"/>
        <v>#N/A</v>
      </c>
      <c r="AA259" s="5" t="str">
        <f>IF(Setup!$I$15="Yes",'Demand background (hide)'!AJ247+'SPC background (hide)'!C259,"")</f>
        <v/>
      </c>
      <c r="AC259" s="5" t="e">
        <f t="shared" ca="1" si="102"/>
        <v>#N/A</v>
      </c>
      <c r="AD259" s="5" t="e">
        <f t="shared" ca="1" si="103"/>
        <v>#N/A</v>
      </c>
    </row>
    <row r="260" spans="1:30" x14ac:dyDescent="0.25">
      <c r="A260" s="67" t="str">
        <f ca="1">Demand!C257</f>
        <v/>
      </c>
      <c r="B260" s="67">
        <v>245</v>
      </c>
      <c r="C260" s="5">
        <f ca="1">'Demand background (hide)'!Y248</f>
        <v>0</v>
      </c>
      <c r="D260" s="67">
        <f t="shared" si="87"/>
        <v>0</v>
      </c>
      <c r="E260" s="67" t="e">
        <f t="shared" ca="1" si="88"/>
        <v>#N/A</v>
      </c>
      <c r="F260" s="67" t="e">
        <f t="shared" ca="1" si="89"/>
        <v>#N/A</v>
      </c>
      <c r="G260" s="67" t="e">
        <f t="shared" ca="1" si="90"/>
        <v>#N/A</v>
      </c>
      <c r="H260" s="67" t="e">
        <f>IF('Demand background (hide)'!AN248&lt;&gt;"",'SPC background (hide)'!C260,NA())</f>
        <v>#N/A</v>
      </c>
      <c r="I260" s="67" t="e">
        <f t="shared" ca="1" si="91"/>
        <v>#N/A</v>
      </c>
      <c r="J260" s="5" t="e">
        <f t="shared" ca="1" si="92"/>
        <v>#N/A</v>
      </c>
      <c r="K260" s="5" t="e">
        <f t="shared" ca="1" si="93"/>
        <v>#N/A</v>
      </c>
      <c r="L260" s="5" t="e">
        <f t="shared" ca="1" si="94"/>
        <v>#N/A</v>
      </c>
      <c r="M260" s="5" t="e">
        <f t="shared" ca="1" si="95"/>
        <v>#N/A</v>
      </c>
      <c r="N260" s="5" t="e">
        <f t="shared" ca="1" si="96"/>
        <v>#N/A</v>
      </c>
      <c r="O260" s="5" t="e">
        <f t="shared" ca="1" si="97"/>
        <v>#N/A</v>
      </c>
      <c r="P260" s="5" t="e">
        <f t="shared" ca="1" si="98"/>
        <v>#N/A</v>
      </c>
      <c r="Q260" s="5" t="e">
        <f t="shared" ca="1" si="99"/>
        <v>#N/A</v>
      </c>
      <c r="R260" s="5" t="e">
        <f t="shared" ca="1" si="104"/>
        <v>#N/A</v>
      </c>
      <c r="S260" s="67" t="e">
        <f t="shared" ca="1" si="105"/>
        <v>#N/A</v>
      </c>
      <c r="T260" s="67" t="e">
        <f t="shared" ca="1" si="106"/>
        <v>#N/A</v>
      </c>
      <c r="U260" s="67" t="e">
        <f t="shared" ca="1" si="107"/>
        <v>#N/A</v>
      </c>
      <c r="V260" s="5" t="e">
        <f t="shared" ca="1" si="86"/>
        <v>#N/A</v>
      </c>
      <c r="W260" s="5" t="e">
        <f t="shared" ca="1" si="100"/>
        <v>#N/A</v>
      </c>
      <c r="X260" s="67">
        <f t="shared" ca="1" si="101"/>
        <v>0</v>
      </c>
      <c r="Y260" s="67" t="e">
        <f t="shared" ca="1" si="108"/>
        <v>#N/A</v>
      </c>
      <c r="Z260" s="67" t="e">
        <f t="shared" ca="1" si="109"/>
        <v>#N/A</v>
      </c>
      <c r="AA260" s="5" t="str">
        <f>IF(Setup!$I$15="Yes",'Demand background (hide)'!AJ248+'SPC background (hide)'!C260,"")</f>
        <v/>
      </c>
      <c r="AC260" s="5" t="e">
        <f t="shared" ca="1" si="102"/>
        <v>#N/A</v>
      </c>
      <c r="AD260" s="5" t="e">
        <f t="shared" ca="1" si="103"/>
        <v>#N/A</v>
      </c>
    </row>
    <row r="261" spans="1:30" x14ac:dyDescent="0.25">
      <c r="A261" s="67" t="str">
        <f ca="1">Demand!C258</f>
        <v/>
      </c>
      <c r="B261" s="67">
        <v>246</v>
      </c>
      <c r="C261" s="5">
        <f ca="1">'Demand background (hide)'!Y249</f>
        <v>0</v>
      </c>
      <c r="D261" s="67">
        <f t="shared" si="87"/>
        <v>0</v>
      </c>
      <c r="E261" s="67" t="e">
        <f t="shared" ca="1" si="88"/>
        <v>#N/A</v>
      </c>
      <c r="F261" s="67" t="e">
        <f t="shared" ca="1" si="89"/>
        <v>#N/A</v>
      </c>
      <c r="G261" s="67" t="e">
        <f t="shared" ca="1" si="90"/>
        <v>#N/A</v>
      </c>
      <c r="H261" s="67" t="e">
        <f>IF('Demand background (hide)'!AN249&lt;&gt;"",'SPC background (hide)'!C261,NA())</f>
        <v>#N/A</v>
      </c>
      <c r="I261" s="67" t="e">
        <f t="shared" ca="1" si="91"/>
        <v>#N/A</v>
      </c>
      <c r="J261" s="5" t="e">
        <f t="shared" ca="1" si="92"/>
        <v>#N/A</v>
      </c>
      <c r="K261" s="5" t="e">
        <f t="shared" ca="1" si="93"/>
        <v>#N/A</v>
      </c>
      <c r="L261" s="5" t="e">
        <f t="shared" ca="1" si="94"/>
        <v>#N/A</v>
      </c>
      <c r="M261" s="5" t="e">
        <f t="shared" ca="1" si="95"/>
        <v>#N/A</v>
      </c>
      <c r="N261" s="5" t="e">
        <f t="shared" ca="1" si="96"/>
        <v>#N/A</v>
      </c>
      <c r="O261" s="5" t="e">
        <f t="shared" ca="1" si="97"/>
        <v>#N/A</v>
      </c>
      <c r="P261" s="5" t="e">
        <f t="shared" ca="1" si="98"/>
        <v>#N/A</v>
      </c>
      <c r="Q261" s="5" t="e">
        <f t="shared" ca="1" si="99"/>
        <v>#N/A</v>
      </c>
      <c r="R261" s="5" t="e">
        <f t="shared" ca="1" si="104"/>
        <v>#N/A</v>
      </c>
      <c r="S261" s="67" t="e">
        <f t="shared" ca="1" si="105"/>
        <v>#N/A</v>
      </c>
      <c r="T261" s="67" t="e">
        <f t="shared" ca="1" si="106"/>
        <v>#N/A</v>
      </c>
      <c r="U261" s="67" t="e">
        <f t="shared" ca="1" si="107"/>
        <v>#N/A</v>
      </c>
      <c r="V261" s="5" t="e">
        <f t="shared" ca="1" si="86"/>
        <v>#N/A</v>
      </c>
      <c r="W261" s="5" t="e">
        <f t="shared" ca="1" si="100"/>
        <v>#N/A</v>
      </c>
      <c r="X261" s="67">
        <f t="shared" ca="1" si="101"/>
        <v>0</v>
      </c>
      <c r="Y261" s="67" t="e">
        <f t="shared" ca="1" si="108"/>
        <v>#N/A</v>
      </c>
      <c r="Z261" s="67" t="e">
        <f t="shared" ca="1" si="109"/>
        <v>#N/A</v>
      </c>
      <c r="AA261" s="5" t="str">
        <f>IF(Setup!$I$15="Yes",'Demand background (hide)'!AJ249+'SPC background (hide)'!C261,"")</f>
        <v/>
      </c>
      <c r="AC261" s="5" t="e">
        <f t="shared" ca="1" si="102"/>
        <v>#N/A</v>
      </c>
      <c r="AD261" s="5" t="e">
        <f t="shared" ca="1" si="103"/>
        <v>#N/A</v>
      </c>
    </row>
    <row r="262" spans="1:30" x14ac:dyDescent="0.25">
      <c r="A262" s="67" t="str">
        <f ca="1">Demand!C259</f>
        <v/>
      </c>
      <c r="B262" s="67">
        <v>247</v>
      </c>
      <c r="C262" s="5">
        <f ca="1">'Demand background (hide)'!Y250</f>
        <v>0</v>
      </c>
      <c r="D262" s="67">
        <f t="shared" si="87"/>
        <v>0</v>
      </c>
      <c r="E262" s="67" t="e">
        <f t="shared" ca="1" si="88"/>
        <v>#N/A</v>
      </c>
      <c r="F262" s="67" t="e">
        <f t="shared" ca="1" si="89"/>
        <v>#N/A</v>
      </c>
      <c r="G262" s="67" t="e">
        <f t="shared" ca="1" si="90"/>
        <v>#N/A</v>
      </c>
      <c r="H262" s="67" t="e">
        <f>IF('Demand background (hide)'!AN250&lt;&gt;"",'SPC background (hide)'!C262,NA())</f>
        <v>#N/A</v>
      </c>
      <c r="I262" s="67" t="e">
        <f t="shared" ca="1" si="91"/>
        <v>#N/A</v>
      </c>
      <c r="J262" s="5" t="e">
        <f t="shared" ca="1" si="92"/>
        <v>#N/A</v>
      </c>
      <c r="K262" s="5" t="e">
        <f t="shared" ca="1" si="93"/>
        <v>#N/A</v>
      </c>
      <c r="L262" s="5" t="e">
        <f t="shared" ca="1" si="94"/>
        <v>#N/A</v>
      </c>
      <c r="M262" s="5" t="e">
        <f t="shared" ca="1" si="95"/>
        <v>#N/A</v>
      </c>
      <c r="N262" s="5" t="e">
        <f t="shared" ca="1" si="96"/>
        <v>#N/A</v>
      </c>
      <c r="O262" s="5" t="e">
        <f t="shared" ca="1" si="97"/>
        <v>#N/A</v>
      </c>
      <c r="P262" s="5" t="e">
        <f t="shared" ca="1" si="98"/>
        <v>#N/A</v>
      </c>
      <c r="Q262" s="5" t="e">
        <f t="shared" ca="1" si="99"/>
        <v>#N/A</v>
      </c>
      <c r="R262" s="5" t="e">
        <f t="shared" ca="1" si="104"/>
        <v>#N/A</v>
      </c>
      <c r="S262" s="67" t="e">
        <f t="shared" ca="1" si="105"/>
        <v>#N/A</v>
      </c>
      <c r="T262" s="67" t="e">
        <f t="shared" ca="1" si="106"/>
        <v>#N/A</v>
      </c>
      <c r="U262" s="67" t="e">
        <f t="shared" ca="1" si="107"/>
        <v>#N/A</v>
      </c>
      <c r="V262" s="5" t="e">
        <f t="shared" ca="1" si="86"/>
        <v>#N/A</v>
      </c>
      <c r="W262" s="5" t="e">
        <f t="shared" ca="1" si="100"/>
        <v>#N/A</v>
      </c>
      <c r="X262" s="67">
        <f t="shared" ca="1" si="101"/>
        <v>0</v>
      </c>
      <c r="Y262" s="67" t="e">
        <f t="shared" ca="1" si="108"/>
        <v>#N/A</v>
      </c>
      <c r="Z262" s="67" t="e">
        <f t="shared" ca="1" si="109"/>
        <v>#N/A</v>
      </c>
      <c r="AA262" s="5" t="str">
        <f>IF(Setup!$I$15="Yes",'Demand background (hide)'!AJ250+'SPC background (hide)'!C262,"")</f>
        <v/>
      </c>
      <c r="AC262" s="5" t="e">
        <f t="shared" ca="1" si="102"/>
        <v>#N/A</v>
      </c>
      <c r="AD262" s="5" t="e">
        <f t="shared" ca="1" si="103"/>
        <v>#N/A</v>
      </c>
    </row>
    <row r="263" spans="1:30" x14ac:dyDescent="0.25">
      <c r="A263" s="67" t="str">
        <f ca="1">Demand!C260</f>
        <v/>
      </c>
      <c r="B263" s="67">
        <v>248</v>
      </c>
      <c r="C263" s="5">
        <f ca="1">'Demand background (hide)'!Y251</f>
        <v>0</v>
      </c>
      <c r="D263" s="67">
        <f t="shared" si="87"/>
        <v>0</v>
      </c>
      <c r="E263" s="67" t="e">
        <f t="shared" ca="1" si="88"/>
        <v>#N/A</v>
      </c>
      <c r="F263" s="67" t="e">
        <f t="shared" ca="1" si="89"/>
        <v>#N/A</v>
      </c>
      <c r="G263" s="67" t="e">
        <f t="shared" ca="1" si="90"/>
        <v>#N/A</v>
      </c>
      <c r="H263" s="67" t="e">
        <f>IF('Demand background (hide)'!AN251&lt;&gt;"",'SPC background (hide)'!C263,NA())</f>
        <v>#N/A</v>
      </c>
      <c r="I263" s="67" t="e">
        <f t="shared" ca="1" si="91"/>
        <v>#N/A</v>
      </c>
      <c r="J263" s="5" t="e">
        <f t="shared" ca="1" si="92"/>
        <v>#N/A</v>
      </c>
      <c r="K263" s="5" t="e">
        <f t="shared" ca="1" si="93"/>
        <v>#N/A</v>
      </c>
      <c r="L263" s="5" t="e">
        <f t="shared" ca="1" si="94"/>
        <v>#N/A</v>
      </c>
      <c r="M263" s="5" t="e">
        <f t="shared" ca="1" si="95"/>
        <v>#N/A</v>
      </c>
      <c r="N263" s="5" t="e">
        <f t="shared" ca="1" si="96"/>
        <v>#N/A</v>
      </c>
      <c r="O263" s="5" t="e">
        <f t="shared" ca="1" si="97"/>
        <v>#N/A</v>
      </c>
      <c r="P263" s="5" t="e">
        <f t="shared" ca="1" si="98"/>
        <v>#N/A</v>
      </c>
      <c r="Q263" s="5" t="e">
        <f t="shared" ca="1" si="99"/>
        <v>#N/A</v>
      </c>
      <c r="R263" s="5" t="e">
        <f t="shared" ca="1" si="104"/>
        <v>#N/A</v>
      </c>
      <c r="S263" s="67" t="e">
        <f t="shared" ca="1" si="105"/>
        <v>#N/A</v>
      </c>
      <c r="T263" s="67" t="e">
        <f t="shared" ca="1" si="106"/>
        <v>#N/A</v>
      </c>
      <c r="U263" s="67" t="e">
        <f t="shared" ca="1" si="107"/>
        <v>#N/A</v>
      </c>
      <c r="V263" s="5" t="e">
        <f t="shared" ca="1" si="86"/>
        <v>#N/A</v>
      </c>
      <c r="W263" s="5" t="e">
        <f t="shared" ca="1" si="100"/>
        <v>#N/A</v>
      </c>
      <c r="X263" s="67">
        <f t="shared" ca="1" si="101"/>
        <v>0</v>
      </c>
      <c r="Y263" s="67" t="e">
        <f t="shared" ca="1" si="108"/>
        <v>#N/A</v>
      </c>
      <c r="Z263" s="67" t="e">
        <f t="shared" ca="1" si="109"/>
        <v>#N/A</v>
      </c>
      <c r="AA263" s="5" t="str">
        <f>IF(Setup!$I$15="Yes",'Demand background (hide)'!AJ251+'SPC background (hide)'!C263,"")</f>
        <v/>
      </c>
      <c r="AC263" s="5" t="e">
        <f t="shared" ca="1" si="102"/>
        <v>#N/A</v>
      </c>
      <c r="AD263" s="5" t="e">
        <f t="shared" ca="1" si="103"/>
        <v>#N/A</v>
      </c>
    </row>
    <row r="264" spans="1:30" x14ac:dyDescent="0.25">
      <c r="A264" s="67" t="str">
        <f ca="1">Demand!C261</f>
        <v/>
      </c>
      <c r="B264" s="67">
        <v>249</v>
      </c>
      <c r="C264" s="5">
        <f ca="1">'Demand background (hide)'!Y252</f>
        <v>0</v>
      </c>
      <c r="D264" s="67">
        <f t="shared" si="87"/>
        <v>0</v>
      </c>
      <c r="E264" s="67" t="e">
        <f t="shared" ca="1" si="88"/>
        <v>#N/A</v>
      </c>
      <c r="F264" s="67" t="e">
        <f t="shared" ca="1" si="89"/>
        <v>#N/A</v>
      </c>
      <c r="G264" s="67" t="e">
        <f t="shared" ca="1" si="90"/>
        <v>#N/A</v>
      </c>
      <c r="H264" s="67" t="e">
        <f>IF('Demand background (hide)'!AN252&lt;&gt;"",'SPC background (hide)'!C264,NA())</f>
        <v>#N/A</v>
      </c>
      <c r="I264" s="67" t="e">
        <f t="shared" ca="1" si="91"/>
        <v>#N/A</v>
      </c>
      <c r="J264" s="5" t="e">
        <f t="shared" ca="1" si="92"/>
        <v>#N/A</v>
      </c>
      <c r="K264" s="5" t="e">
        <f t="shared" ca="1" si="93"/>
        <v>#N/A</v>
      </c>
      <c r="L264" s="5" t="e">
        <f t="shared" ca="1" si="94"/>
        <v>#N/A</v>
      </c>
      <c r="M264" s="5" t="e">
        <f t="shared" ca="1" si="95"/>
        <v>#N/A</v>
      </c>
      <c r="N264" s="5" t="e">
        <f t="shared" ca="1" si="96"/>
        <v>#N/A</v>
      </c>
      <c r="O264" s="5" t="e">
        <f t="shared" ca="1" si="97"/>
        <v>#N/A</v>
      </c>
      <c r="P264" s="5" t="e">
        <f t="shared" ca="1" si="98"/>
        <v>#N/A</v>
      </c>
      <c r="Q264" s="5" t="e">
        <f t="shared" ca="1" si="99"/>
        <v>#N/A</v>
      </c>
      <c r="R264" s="5" t="e">
        <f t="shared" ca="1" si="104"/>
        <v>#N/A</v>
      </c>
      <c r="S264" s="67" t="e">
        <f t="shared" ca="1" si="105"/>
        <v>#N/A</v>
      </c>
      <c r="T264" s="67" t="e">
        <f t="shared" ca="1" si="106"/>
        <v>#N/A</v>
      </c>
      <c r="U264" s="67" t="e">
        <f t="shared" ca="1" si="107"/>
        <v>#N/A</v>
      </c>
      <c r="V264" s="5" t="e">
        <f t="shared" ca="1" si="86"/>
        <v>#N/A</v>
      </c>
      <c r="W264" s="5" t="e">
        <f t="shared" ca="1" si="100"/>
        <v>#N/A</v>
      </c>
      <c r="X264" s="67">
        <f t="shared" ca="1" si="101"/>
        <v>0</v>
      </c>
      <c r="Y264" s="67" t="e">
        <f t="shared" ca="1" si="108"/>
        <v>#N/A</v>
      </c>
      <c r="Z264" s="67" t="e">
        <f t="shared" ca="1" si="109"/>
        <v>#N/A</v>
      </c>
      <c r="AA264" s="5" t="str">
        <f>IF(Setup!$I$15="Yes",'Demand background (hide)'!AJ252+'SPC background (hide)'!C264,"")</f>
        <v/>
      </c>
      <c r="AC264" s="5" t="e">
        <f t="shared" ca="1" si="102"/>
        <v>#N/A</v>
      </c>
      <c r="AD264" s="5" t="e">
        <f t="shared" ca="1" si="103"/>
        <v>#N/A</v>
      </c>
    </row>
    <row r="265" spans="1:30" x14ac:dyDescent="0.25">
      <c r="A265" s="67" t="str">
        <f ca="1">Demand!C262</f>
        <v/>
      </c>
      <c r="B265" s="67">
        <v>250</v>
      </c>
      <c r="C265" s="5">
        <f ca="1">'Demand background (hide)'!Y253</f>
        <v>0</v>
      </c>
      <c r="D265" s="67">
        <f t="shared" si="87"/>
        <v>0</v>
      </c>
      <c r="E265" s="67" t="e">
        <f t="shared" ca="1" si="88"/>
        <v>#N/A</v>
      </c>
      <c r="F265" s="67" t="e">
        <f t="shared" ca="1" si="89"/>
        <v>#N/A</v>
      </c>
      <c r="G265" s="67" t="e">
        <f t="shared" ca="1" si="90"/>
        <v>#N/A</v>
      </c>
      <c r="H265" s="67" t="e">
        <f>IF('Demand background (hide)'!AN253&lt;&gt;"",'SPC background (hide)'!C265,NA())</f>
        <v>#N/A</v>
      </c>
      <c r="I265" s="67" t="e">
        <f t="shared" ca="1" si="91"/>
        <v>#N/A</v>
      </c>
      <c r="J265" s="5" t="e">
        <f t="shared" ca="1" si="92"/>
        <v>#N/A</v>
      </c>
      <c r="K265" s="5" t="e">
        <f t="shared" ca="1" si="93"/>
        <v>#N/A</v>
      </c>
      <c r="L265" s="5" t="e">
        <f t="shared" ca="1" si="94"/>
        <v>#N/A</v>
      </c>
      <c r="M265" s="5" t="e">
        <f t="shared" ca="1" si="95"/>
        <v>#N/A</v>
      </c>
      <c r="N265" s="5" t="e">
        <f t="shared" ca="1" si="96"/>
        <v>#N/A</v>
      </c>
      <c r="O265" s="5" t="e">
        <f t="shared" ca="1" si="97"/>
        <v>#N/A</v>
      </c>
      <c r="P265" s="5" t="e">
        <f t="shared" ca="1" si="98"/>
        <v>#N/A</v>
      </c>
      <c r="Q265" s="5" t="e">
        <f t="shared" ca="1" si="99"/>
        <v>#N/A</v>
      </c>
      <c r="R265" s="5" t="e">
        <f t="shared" ca="1" si="104"/>
        <v>#N/A</v>
      </c>
      <c r="S265" s="67" t="e">
        <f t="shared" ca="1" si="105"/>
        <v>#N/A</v>
      </c>
      <c r="T265" s="67" t="e">
        <f t="shared" ca="1" si="106"/>
        <v>#N/A</v>
      </c>
      <c r="U265" s="67" t="e">
        <f t="shared" ca="1" si="107"/>
        <v>#N/A</v>
      </c>
      <c r="V265" s="5" t="e">
        <f t="shared" ca="1" si="86"/>
        <v>#N/A</v>
      </c>
      <c r="W265" s="5" t="e">
        <f t="shared" ca="1" si="100"/>
        <v>#N/A</v>
      </c>
      <c r="X265" s="67">
        <f t="shared" ca="1" si="101"/>
        <v>0</v>
      </c>
      <c r="Y265" s="67" t="e">
        <f t="shared" ca="1" si="108"/>
        <v>#N/A</v>
      </c>
      <c r="Z265" s="67" t="e">
        <f t="shared" ca="1" si="109"/>
        <v>#N/A</v>
      </c>
      <c r="AA265" s="5" t="str">
        <f>IF(Setup!$I$15="Yes",'Demand background (hide)'!AJ253+'SPC background (hide)'!C265,"")</f>
        <v/>
      </c>
      <c r="AC265" s="5" t="e">
        <f t="shared" ca="1" si="102"/>
        <v>#N/A</v>
      </c>
      <c r="AD265" s="5" t="e">
        <f t="shared" ca="1" si="103"/>
        <v>#N/A</v>
      </c>
    </row>
    <row r="266" spans="1:30" x14ac:dyDescent="0.25">
      <c r="A266" s="67" t="str">
        <f ca="1">Demand!C263</f>
        <v/>
      </c>
      <c r="B266" s="67">
        <v>251</v>
      </c>
      <c r="C266" s="5">
        <f ca="1">'Demand background (hide)'!Y254</f>
        <v>0</v>
      </c>
      <c r="D266" s="67">
        <f t="shared" si="87"/>
        <v>0</v>
      </c>
      <c r="E266" s="67" t="e">
        <f t="shared" ca="1" si="88"/>
        <v>#N/A</v>
      </c>
      <c r="F266" s="67" t="e">
        <f t="shared" ca="1" si="89"/>
        <v>#N/A</v>
      </c>
      <c r="G266" s="67" t="e">
        <f t="shared" ca="1" si="90"/>
        <v>#N/A</v>
      </c>
      <c r="H266" s="67" t="e">
        <f>IF('Demand background (hide)'!AN254&lt;&gt;"",'SPC background (hide)'!C266,NA())</f>
        <v>#N/A</v>
      </c>
      <c r="I266" s="67" t="e">
        <f t="shared" ca="1" si="91"/>
        <v>#N/A</v>
      </c>
      <c r="J266" s="5" t="e">
        <f t="shared" ca="1" si="92"/>
        <v>#N/A</v>
      </c>
      <c r="K266" s="5" t="e">
        <f t="shared" ca="1" si="93"/>
        <v>#N/A</v>
      </c>
      <c r="L266" s="5" t="e">
        <f t="shared" ca="1" si="94"/>
        <v>#N/A</v>
      </c>
      <c r="M266" s="5" t="e">
        <f t="shared" ca="1" si="95"/>
        <v>#N/A</v>
      </c>
      <c r="N266" s="5" t="e">
        <f t="shared" ca="1" si="96"/>
        <v>#N/A</v>
      </c>
      <c r="O266" s="5" t="e">
        <f t="shared" ca="1" si="97"/>
        <v>#N/A</v>
      </c>
      <c r="P266" s="5" t="e">
        <f t="shared" ca="1" si="98"/>
        <v>#N/A</v>
      </c>
      <c r="Q266" s="5" t="e">
        <f t="shared" ca="1" si="99"/>
        <v>#N/A</v>
      </c>
      <c r="R266" s="5" t="e">
        <f t="shared" ca="1" si="104"/>
        <v>#N/A</v>
      </c>
      <c r="S266" s="67" t="e">
        <f t="shared" ca="1" si="105"/>
        <v>#N/A</v>
      </c>
      <c r="T266" s="67" t="e">
        <f t="shared" ca="1" si="106"/>
        <v>#N/A</v>
      </c>
      <c r="U266" s="67" t="e">
        <f t="shared" ca="1" si="107"/>
        <v>#N/A</v>
      </c>
      <c r="V266" s="5" t="e">
        <f t="shared" ca="1" si="86"/>
        <v>#N/A</v>
      </c>
      <c r="W266" s="5" t="e">
        <f t="shared" ca="1" si="100"/>
        <v>#N/A</v>
      </c>
      <c r="X266" s="67">
        <f t="shared" ca="1" si="101"/>
        <v>0</v>
      </c>
      <c r="Y266" s="67" t="e">
        <f t="shared" ca="1" si="108"/>
        <v>#N/A</v>
      </c>
      <c r="Z266" s="67" t="e">
        <f t="shared" ca="1" si="109"/>
        <v>#N/A</v>
      </c>
      <c r="AA266" s="5" t="str">
        <f>IF(Setup!$I$15="Yes",'Demand background (hide)'!AJ254+'SPC background (hide)'!C266,"")</f>
        <v/>
      </c>
      <c r="AC266" s="5" t="e">
        <f t="shared" ca="1" si="102"/>
        <v>#N/A</v>
      </c>
      <c r="AD266" s="5" t="e">
        <f t="shared" ca="1" si="103"/>
        <v>#N/A</v>
      </c>
    </row>
    <row r="267" spans="1:30" x14ac:dyDescent="0.25">
      <c r="A267" s="67" t="str">
        <f ca="1">Demand!C264</f>
        <v/>
      </c>
      <c r="B267" s="67">
        <v>252</v>
      </c>
      <c r="C267" s="5">
        <f ca="1">'Demand background (hide)'!Y255</f>
        <v>0</v>
      </c>
      <c r="D267" s="67">
        <f t="shared" si="87"/>
        <v>0</v>
      </c>
      <c r="E267" s="67" t="e">
        <f t="shared" ca="1" si="88"/>
        <v>#N/A</v>
      </c>
      <c r="F267" s="67" t="e">
        <f t="shared" ca="1" si="89"/>
        <v>#N/A</v>
      </c>
      <c r="G267" s="67" t="e">
        <f t="shared" ca="1" si="90"/>
        <v>#N/A</v>
      </c>
      <c r="H267" s="67" t="e">
        <f>IF('Demand background (hide)'!AN255&lt;&gt;"",'SPC background (hide)'!C267,NA())</f>
        <v>#N/A</v>
      </c>
      <c r="I267" s="67" t="e">
        <f t="shared" ca="1" si="91"/>
        <v>#N/A</v>
      </c>
      <c r="J267" s="5" t="e">
        <f t="shared" ca="1" si="92"/>
        <v>#N/A</v>
      </c>
      <c r="K267" s="5" t="e">
        <f t="shared" ca="1" si="93"/>
        <v>#N/A</v>
      </c>
      <c r="L267" s="5" t="e">
        <f t="shared" ca="1" si="94"/>
        <v>#N/A</v>
      </c>
      <c r="M267" s="5" t="e">
        <f t="shared" ca="1" si="95"/>
        <v>#N/A</v>
      </c>
      <c r="N267" s="5" t="e">
        <f t="shared" ca="1" si="96"/>
        <v>#N/A</v>
      </c>
      <c r="O267" s="5" t="e">
        <f t="shared" ca="1" si="97"/>
        <v>#N/A</v>
      </c>
      <c r="P267" s="5" t="e">
        <f t="shared" ca="1" si="98"/>
        <v>#N/A</v>
      </c>
      <c r="Q267" s="5" t="e">
        <f t="shared" ca="1" si="99"/>
        <v>#N/A</v>
      </c>
      <c r="R267" s="5" t="e">
        <f t="shared" ca="1" si="104"/>
        <v>#N/A</v>
      </c>
      <c r="S267" s="67" t="e">
        <f t="shared" ca="1" si="105"/>
        <v>#N/A</v>
      </c>
      <c r="T267" s="67" t="e">
        <f t="shared" ca="1" si="106"/>
        <v>#N/A</v>
      </c>
      <c r="U267" s="67" t="e">
        <f t="shared" ca="1" si="107"/>
        <v>#N/A</v>
      </c>
      <c r="V267" s="5" t="e">
        <f t="shared" ca="1" si="86"/>
        <v>#N/A</v>
      </c>
      <c r="W267" s="5" t="e">
        <f t="shared" ca="1" si="100"/>
        <v>#N/A</v>
      </c>
      <c r="X267" s="67">
        <f t="shared" ca="1" si="101"/>
        <v>0</v>
      </c>
      <c r="Y267" s="67" t="e">
        <f t="shared" ca="1" si="108"/>
        <v>#N/A</v>
      </c>
      <c r="Z267" s="67" t="e">
        <f t="shared" ca="1" si="109"/>
        <v>#N/A</v>
      </c>
      <c r="AA267" s="5" t="str">
        <f>IF(Setup!$I$15="Yes",'Demand background (hide)'!AJ255+'SPC background (hide)'!C267,"")</f>
        <v/>
      </c>
      <c r="AC267" s="5" t="e">
        <f t="shared" ca="1" si="102"/>
        <v>#N/A</v>
      </c>
      <c r="AD267" s="5" t="e">
        <f t="shared" ca="1" si="103"/>
        <v>#N/A</v>
      </c>
    </row>
    <row r="268" spans="1:30" x14ac:dyDescent="0.25">
      <c r="A268" s="67" t="str">
        <f ca="1">Demand!C265</f>
        <v/>
      </c>
      <c r="B268" s="67">
        <v>253</v>
      </c>
      <c r="C268" s="5">
        <f ca="1">'Demand background (hide)'!Y256</f>
        <v>0</v>
      </c>
      <c r="D268" s="67">
        <f t="shared" si="87"/>
        <v>0</v>
      </c>
      <c r="E268" s="67" t="e">
        <f t="shared" ca="1" si="88"/>
        <v>#N/A</v>
      </c>
      <c r="F268" s="67" t="e">
        <f t="shared" ca="1" si="89"/>
        <v>#N/A</v>
      </c>
      <c r="G268" s="67" t="e">
        <f t="shared" ca="1" si="90"/>
        <v>#N/A</v>
      </c>
      <c r="H268" s="67" t="e">
        <f>IF('Demand background (hide)'!AN256&lt;&gt;"",'SPC background (hide)'!C268,NA())</f>
        <v>#N/A</v>
      </c>
      <c r="I268" s="67" t="e">
        <f t="shared" ca="1" si="91"/>
        <v>#N/A</v>
      </c>
      <c r="J268" s="5" t="e">
        <f t="shared" ca="1" si="92"/>
        <v>#N/A</v>
      </c>
      <c r="K268" s="5" t="e">
        <f t="shared" ca="1" si="93"/>
        <v>#N/A</v>
      </c>
      <c r="L268" s="5" t="e">
        <f t="shared" ca="1" si="94"/>
        <v>#N/A</v>
      </c>
      <c r="M268" s="5" t="e">
        <f t="shared" ca="1" si="95"/>
        <v>#N/A</v>
      </c>
      <c r="N268" s="5" t="e">
        <f t="shared" ca="1" si="96"/>
        <v>#N/A</v>
      </c>
      <c r="O268" s="5" t="e">
        <f t="shared" ca="1" si="97"/>
        <v>#N/A</v>
      </c>
      <c r="P268" s="5" t="e">
        <f t="shared" ca="1" si="98"/>
        <v>#N/A</v>
      </c>
      <c r="Q268" s="5" t="e">
        <f t="shared" ca="1" si="99"/>
        <v>#N/A</v>
      </c>
      <c r="R268" s="5" t="e">
        <f t="shared" ca="1" si="104"/>
        <v>#N/A</v>
      </c>
      <c r="S268" s="67" t="e">
        <f t="shared" ca="1" si="105"/>
        <v>#N/A</v>
      </c>
      <c r="T268" s="67" t="e">
        <f t="shared" ca="1" si="106"/>
        <v>#N/A</v>
      </c>
      <c r="U268" s="67" t="e">
        <f t="shared" ca="1" si="107"/>
        <v>#N/A</v>
      </c>
      <c r="V268" s="5" t="e">
        <f t="shared" ca="1" si="86"/>
        <v>#N/A</v>
      </c>
      <c r="W268" s="5" t="e">
        <f t="shared" ca="1" si="100"/>
        <v>#N/A</v>
      </c>
      <c r="X268" s="67">
        <f t="shared" ca="1" si="101"/>
        <v>0</v>
      </c>
      <c r="Y268" s="67" t="e">
        <f t="shared" ca="1" si="108"/>
        <v>#N/A</v>
      </c>
      <c r="Z268" s="67" t="e">
        <f t="shared" ca="1" si="109"/>
        <v>#N/A</v>
      </c>
      <c r="AA268" s="5" t="str">
        <f>IF(Setup!$I$15="Yes",'Demand background (hide)'!AJ256+'SPC background (hide)'!C268,"")</f>
        <v/>
      </c>
      <c r="AC268" s="5" t="e">
        <f t="shared" ca="1" si="102"/>
        <v>#N/A</v>
      </c>
      <c r="AD268" s="5" t="e">
        <f t="shared" ca="1" si="103"/>
        <v>#N/A</v>
      </c>
    </row>
    <row r="269" spans="1:30" x14ac:dyDescent="0.25">
      <c r="A269" s="67" t="str">
        <f ca="1">Demand!C266</f>
        <v/>
      </c>
      <c r="B269" s="67">
        <v>254</v>
      </c>
      <c r="C269" s="5">
        <f ca="1">'Demand background (hide)'!Y257</f>
        <v>0</v>
      </c>
      <c r="D269" s="67">
        <f t="shared" si="87"/>
        <v>0</v>
      </c>
      <c r="E269" s="67" t="e">
        <f t="shared" ca="1" si="88"/>
        <v>#N/A</v>
      </c>
      <c r="F269" s="67" t="e">
        <f t="shared" ca="1" si="89"/>
        <v>#N/A</v>
      </c>
      <c r="G269" s="67" t="e">
        <f t="shared" ca="1" si="90"/>
        <v>#N/A</v>
      </c>
      <c r="H269" s="67" t="e">
        <f>IF('Demand background (hide)'!AN257&lt;&gt;"",'SPC background (hide)'!C269,NA())</f>
        <v>#N/A</v>
      </c>
      <c r="I269" s="67" t="e">
        <f t="shared" ca="1" si="91"/>
        <v>#N/A</v>
      </c>
      <c r="J269" s="5" t="e">
        <f t="shared" ca="1" si="92"/>
        <v>#N/A</v>
      </c>
      <c r="K269" s="5" t="e">
        <f t="shared" ca="1" si="93"/>
        <v>#N/A</v>
      </c>
      <c r="L269" s="5" t="e">
        <f t="shared" ca="1" si="94"/>
        <v>#N/A</v>
      </c>
      <c r="M269" s="5" t="e">
        <f t="shared" ca="1" si="95"/>
        <v>#N/A</v>
      </c>
      <c r="N269" s="5" t="e">
        <f t="shared" ca="1" si="96"/>
        <v>#N/A</v>
      </c>
      <c r="O269" s="5" t="e">
        <f t="shared" ca="1" si="97"/>
        <v>#N/A</v>
      </c>
      <c r="P269" s="5" t="e">
        <f t="shared" ca="1" si="98"/>
        <v>#N/A</v>
      </c>
      <c r="Q269" s="5" t="e">
        <f t="shared" ca="1" si="99"/>
        <v>#N/A</v>
      </c>
      <c r="R269" s="5" t="e">
        <f t="shared" ca="1" si="104"/>
        <v>#N/A</v>
      </c>
      <c r="S269" s="67" t="e">
        <f t="shared" ca="1" si="105"/>
        <v>#N/A</v>
      </c>
      <c r="T269" s="67" t="e">
        <f t="shared" ca="1" si="106"/>
        <v>#N/A</v>
      </c>
      <c r="U269" s="67" t="e">
        <f t="shared" ca="1" si="107"/>
        <v>#N/A</v>
      </c>
      <c r="V269" s="5" t="e">
        <f t="shared" ca="1" si="86"/>
        <v>#N/A</v>
      </c>
      <c r="W269" s="5" t="e">
        <f t="shared" ca="1" si="100"/>
        <v>#N/A</v>
      </c>
      <c r="X269" s="67">
        <f t="shared" ca="1" si="101"/>
        <v>0</v>
      </c>
      <c r="Y269" s="67" t="e">
        <f t="shared" ca="1" si="108"/>
        <v>#N/A</v>
      </c>
      <c r="Z269" s="67" t="e">
        <f t="shared" ca="1" si="109"/>
        <v>#N/A</v>
      </c>
      <c r="AA269" s="5" t="str">
        <f>IF(Setup!$I$15="Yes",'Demand background (hide)'!AJ257+'SPC background (hide)'!C269,"")</f>
        <v/>
      </c>
      <c r="AC269" s="5" t="e">
        <f t="shared" ca="1" si="102"/>
        <v>#N/A</v>
      </c>
      <c r="AD269" s="5" t="e">
        <f t="shared" ca="1" si="103"/>
        <v>#N/A</v>
      </c>
    </row>
    <row r="270" spans="1:30" x14ac:dyDescent="0.25">
      <c r="A270" s="67" t="str">
        <f ca="1">Demand!C267</f>
        <v/>
      </c>
      <c r="B270" s="67">
        <v>255</v>
      </c>
      <c r="C270" s="5">
        <f ca="1">'Demand background (hide)'!Y258</f>
        <v>0</v>
      </c>
      <c r="D270" s="67">
        <f t="shared" si="87"/>
        <v>0</v>
      </c>
      <c r="E270" s="67" t="e">
        <f t="shared" ca="1" si="88"/>
        <v>#N/A</v>
      </c>
      <c r="F270" s="67" t="e">
        <f t="shared" ca="1" si="89"/>
        <v>#N/A</v>
      </c>
      <c r="G270" s="67" t="e">
        <f t="shared" ca="1" si="90"/>
        <v>#N/A</v>
      </c>
      <c r="H270" s="67" t="e">
        <f>IF('Demand background (hide)'!AN258&lt;&gt;"",'SPC background (hide)'!C270,NA())</f>
        <v>#N/A</v>
      </c>
      <c r="I270" s="67" t="e">
        <f t="shared" ca="1" si="91"/>
        <v>#N/A</v>
      </c>
      <c r="J270" s="5" t="e">
        <f t="shared" ca="1" si="92"/>
        <v>#N/A</v>
      </c>
      <c r="K270" s="5" t="e">
        <f t="shared" ca="1" si="93"/>
        <v>#N/A</v>
      </c>
      <c r="L270" s="5" t="e">
        <f t="shared" ca="1" si="94"/>
        <v>#N/A</v>
      </c>
      <c r="M270" s="5" t="e">
        <f t="shared" ca="1" si="95"/>
        <v>#N/A</v>
      </c>
      <c r="N270" s="5" t="e">
        <f t="shared" ca="1" si="96"/>
        <v>#N/A</v>
      </c>
      <c r="O270" s="5" t="e">
        <f t="shared" ca="1" si="97"/>
        <v>#N/A</v>
      </c>
      <c r="P270" s="5" t="e">
        <f t="shared" ca="1" si="98"/>
        <v>#N/A</v>
      </c>
      <c r="Q270" s="5" t="e">
        <f t="shared" ca="1" si="99"/>
        <v>#N/A</v>
      </c>
      <c r="R270" s="5" t="e">
        <f t="shared" ca="1" si="104"/>
        <v>#N/A</v>
      </c>
      <c r="S270" s="67" t="e">
        <f t="shared" ca="1" si="105"/>
        <v>#N/A</v>
      </c>
      <c r="T270" s="67" t="e">
        <f t="shared" ca="1" si="106"/>
        <v>#N/A</v>
      </c>
      <c r="U270" s="67" t="e">
        <f t="shared" ca="1" si="107"/>
        <v>#N/A</v>
      </c>
      <c r="V270" s="5" t="e">
        <f t="shared" ca="1" si="86"/>
        <v>#N/A</v>
      </c>
      <c r="W270" s="5" t="e">
        <f t="shared" ca="1" si="100"/>
        <v>#N/A</v>
      </c>
      <c r="X270" s="67">
        <f t="shared" ca="1" si="101"/>
        <v>0</v>
      </c>
      <c r="Y270" s="67" t="e">
        <f t="shared" ca="1" si="108"/>
        <v>#N/A</v>
      </c>
      <c r="Z270" s="67" t="e">
        <f t="shared" ca="1" si="109"/>
        <v>#N/A</v>
      </c>
      <c r="AA270" s="5" t="str">
        <f>IF(Setup!$I$15="Yes",'Demand background (hide)'!AJ258+'SPC background (hide)'!C270,"")</f>
        <v/>
      </c>
      <c r="AC270" s="5" t="e">
        <f t="shared" ca="1" si="102"/>
        <v>#N/A</v>
      </c>
      <c r="AD270" s="5" t="e">
        <f t="shared" ca="1" si="103"/>
        <v>#N/A</v>
      </c>
    </row>
    <row r="271" spans="1:30" x14ac:dyDescent="0.25">
      <c r="A271" s="67" t="str">
        <f ca="1">Demand!C268</f>
        <v/>
      </c>
      <c r="B271" s="67">
        <v>256</v>
      </c>
      <c r="C271" s="5">
        <f ca="1">'Demand background (hide)'!Y259</f>
        <v>0</v>
      </c>
      <c r="D271" s="67">
        <f t="shared" si="87"/>
        <v>0</v>
      </c>
      <c r="E271" s="67" t="e">
        <f t="shared" ca="1" si="88"/>
        <v>#N/A</v>
      </c>
      <c r="F271" s="67" t="e">
        <f t="shared" ca="1" si="89"/>
        <v>#N/A</v>
      </c>
      <c r="G271" s="67" t="e">
        <f t="shared" ca="1" si="90"/>
        <v>#N/A</v>
      </c>
      <c r="H271" s="67" t="e">
        <f>IF('Demand background (hide)'!AN259&lt;&gt;"",'SPC background (hide)'!C271,NA())</f>
        <v>#N/A</v>
      </c>
      <c r="I271" s="67" t="e">
        <f t="shared" ca="1" si="91"/>
        <v>#N/A</v>
      </c>
      <c r="J271" s="5" t="e">
        <f t="shared" ca="1" si="92"/>
        <v>#N/A</v>
      </c>
      <c r="K271" s="5" t="e">
        <f t="shared" ca="1" si="93"/>
        <v>#N/A</v>
      </c>
      <c r="L271" s="5" t="e">
        <f t="shared" ca="1" si="94"/>
        <v>#N/A</v>
      </c>
      <c r="M271" s="5" t="e">
        <f t="shared" ca="1" si="95"/>
        <v>#N/A</v>
      </c>
      <c r="N271" s="5" t="e">
        <f t="shared" ca="1" si="96"/>
        <v>#N/A</v>
      </c>
      <c r="O271" s="5" t="e">
        <f t="shared" ca="1" si="97"/>
        <v>#N/A</v>
      </c>
      <c r="P271" s="5" t="e">
        <f t="shared" ca="1" si="98"/>
        <v>#N/A</v>
      </c>
      <c r="Q271" s="5" t="e">
        <f t="shared" ca="1" si="99"/>
        <v>#N/A</v>
      </c>
      <c r="R271" s="5" t="e">
        <f t="shared" ca="1" si="104"/>
        <v>#N/A</v>
      </c>
      <c r="S271" s="67" t="e">
        <f t="shared" ca="1" si="105"/>
        <v>#N/A</v>
      </c>
      <c r="T271" s="67" t="e">
        <f t="shared" ca="1" si="106"/>
        <v>#N/A</v>
      </c>
      <c r="U271" s="67" t="e">
        <f t="shared" ca="1" si="107"/>
        <v>#N/A</v>
      </c>
      <c r="V271" s="5" t="e">
        <f t="shared" ca="1" si="86"/>
        <v>#N/A</v>
      </c>
      <c r="W271" s="5" t="e">
        <f t="shared" ca="1" si="100"/>
        <v>#N/A</v>
      </c>
      <c r="X271" s="67">
        <f t="shared" ca="1" si="101"/>
        <v>0</v>
      </c>
      <c r="Y271" s="67" t="e">
        <f t="shared" ca="1" si="108"/>
        <v>#N/A</v>
      </c>
      <c r="Z271" s="67" t="e">
        <f t="shared" ca="1" si="109"/>
        <v>#N/A</v>
      </c>
      <c r="AA271" s="5" t="str">
        <f>IF(Setup!$I$15="Yes",'Demand background (hide)'!AJ259+'SPC background (hide)'!C271,"")</f>
        <v/>
      </c>
      <c r="AC271" s="5" t="e">
        <f t="shared" ca="1" si="102"/>
        <v>#N/A</v>
      </c>
      <c r="AD271" s="5" t="e">
        <f t="shared" ca="1" si="103"/>
        <v>#N/A</v>
      </c>
    </row>
    <row r="272" spans="1:30" x14ac:dyDescent="0.25">
      <c r="A272" s="67" t="str">
        <f ca="1">Demand!C269</f>
        <v/>
      </c>
      <c r="B272" s="67">
        <v>257</v>
      </c>
      <c r="C272" s="5">
        <f ca="1">'Demand background (hide)'!Y260</f>
        <v>0</v>
      </c>
      <c r="D272" s="67">
        <f t="shared" si="87"/>
        <v>0</v>
      </c>
      <c r="E272" s="67" t="e">
        <f t="shared" ca="1" si="88"/>
        <v>#N/A</v>
      </c>
      <c r="F272" s="67" t="e">
        <f t="shared" ca="1" si="89"/>
        <v>#N/A</v>
      </c>
      <c r="G272" s="67" t="e">
        <f t="shared" ca="1" si="90"/>
        <v>#N/A</v>
      </c>
      <c r="H272" s="67" t="e">
        <f>IF('Demand background (hide)'!AN260&lt;&gt;"",'SPC background (hide)'!C272,NA())</f>
        <v>#N/A</v>
      </c>
      <c r="I272" s="67" t="e">
        <f t="shared" ca="1" si="91"/>
        <v>#N/A</v>
      </c>
      <c r="J272" s="5" t="e">
        <f t="shared" ca="1" si="92"/>
        <v>#N/A</v>
      </c>
      <c r="K272" s="5" t="e">
        <f t="shared" ca="1" si="93"/>
        <v>#N/A</v>
      </c>
      <c r="L272" s="5" t="e">
        <f t="shared" ca="1" si="94"/>
        <v>#N/A</v>
      </c>
      <c r="M272" s="5" t="e">
        <f t="shared" ca="1" si="95"/>
        <v>#N/A</v>
      </c>
      <c r="N272" s="5" t="e">
        <f t="shared" ca="1" si="96"/>
        <v>#N/A</v>
      </c>
      <c r="O272" s="5" t="e">
        <f t="shared" ca="1" si="97"/>
        <v>#N/A</v>
      </c>
      <c r="P272" s="5" t="e">
        <f t="shared" ca="1" si="98"/>
        <v>#N/A</v>
      </c>
      <c r="Q272" s="5" t="e">
        <f t="shared" ca="1" si="99"/>
        <v>#N/A</v>
      </c>
      <c r="R272" s="5" t="e">
        <f t="shared" ca="1" si="104"/>
        <v>#N/A</v>
      </c>
      <c r="S272" s="67" t="e">
        <f t="shared" ca="1" si="105"/>
        <v>#N/A</v>
      </c>
      <c r="T272" s="67" t="e">
        <f t="shared" ca="1" si="106"/>
        <v>#N/A</v>
      </c>
      <c r="U272" s="67" t="e">
        <f t="shared" ca="1" si="107"/>
        <v>#N/A</v>
      </c>
      <c r="V272" s="5" t="e">
        <f t="shared" ca="1" si="86"/>
        <v>#N/A</v>
      </c>
      <c r="W272" s="5" t="e">
        <f t="shared" ca="1" si="100"/>
        <v>#N/A</v>
      </c>
      <c r="X272" s="67">
        <f t="shared" ca="1" si="101"/>
        <v>0</v>
      </c>
      <c r="Y272" s="67" t="e">
        <f t="shared" ca="1" si="108"/>
        <v>#N/A</v>
      </c>
      <c r="Z272" s="67" t="e">
        <f t="shared" ca="1" si="109"/>
        <v>#N/A</v>
      </c>
      <c r="AA272" s="5" t="str">
        <f>IF(Setup!$I$15="Yes",'Demand background (hide)'!AJ260+'SPC background (hide)'!C272,"")</f>
        <v/>
      </c>
      <c r="AC272" s="5" t="e">
        <f t="shared" ca="1" si="102"/>
        <v>#N/A</v>
      </c>
      <c r="AD272" s="5" t="e">
        <f t="shared" ca="1" si="103"/>
        <v>#N/A</v>
      </c>
    </row>
    <row r="273" spans="1:30" x14ac:dyDescent="0.25">
      <c r="A273" s="67" t="str">
        <f ca="1">Demand!C270</f>
        <v/>
      </c>
      <c r="B273" s="67">
        <v>258</v>
      </c>
      <c r="C273" s="5">
        <f ca="1">'Demand background (hide)'!Y261</f>
        <v>0</v>
      </c>
      <c r="D273" s="67">
        <f t="shared" ref="D273:D275" si="110">IF(AND($B273&gt;=$C$4,$B273&lt;=$D$5+$C$5-1),1,0)</f>
        <v>0</v>
      </c>
      <c r="E273" s="67" t="e">
        <f t="shared" ref="E273:E275" ca="1" si="111">IF(AND($B273&gt;=$D$6,$B273&lt;=$D$7+$C$7-1),1,0)</f>
        <v>#N/A</v>
      </c>
      <c r="F273" s="67" t="e">
        <f t="shared" ref="F273:F275" ca="1" si="112">IF(AND($B273&gt;=$D$8,$B273&lt;=$D$9+$C$9-1),1,0)</f>
        <v>#N/A</v>
      </c>
      <c r="G273" s="67" t="e">
        <f t="shared" ref="G273:G275" ca="1" si="113">IF(AND($B273&gt;=$D$10,$B273&lt;=$D$11+$C$11-1),1,0)</f>
        <v>#N/A</v>
      </c>
      <c r="H273" s="67" t="e">
        <f>IF('Demand background (hide)'!AN261&lt;&gt;"",'SPC background (hide)'!C273,NA())</f>
        <v>#N/A</v>
      </c>
      <c r="I273" s="67" t="e">
        <f t="shared" ref="I273:I275" ca="1" si="114">VLOOKUP(A273,$AG$2:$AI$54,3,0)</f>
        <v>#N/A</v>
      </c>
      <c r="J273" s="5" t="e">
        <f t="shared" ref="J273:J275" ca="1" si="115">VLOOKUP($A273,$AG$2:$AQ$54,COLUMN(E$1),0)</f>
        <v>#N/A</v>
      </c>
      <c r="K273" s="5" t="e">
        <f t="shared" ref="K273:K275" ca="1" si="116">VLOOKUP($A273,$AG$2:$AQ$54,COLUMN(F$1),0)</f>
        <v>#N/A</v>
      </c>
      <c r="L273" s="5" t="e">
        <f t="shared" ref="L273:L275" ca="1" si="117">VLOOKUP($A273,$AG$2:$AQ$54,COLUMN(G$1),0)</f>
        <v>#N/A</v>
      </c>
      <c r="M273" s="5" t="e">
        <f t="shared" ref="M273:M275" ca="1" si="118">VLOOKUP($A273,$AG$2:$AQ$54,COLUMN(H$1),0)</f>
        <v>#N/A</v>
      </c>
      <c r="N273" s="5" t="e">
        <f t="shared" ref="N273:N275" ca="1" si="119">VLOOKUP($A273,$AG$2:$AQ$54,COLUMN(I$1),0)</f>
        <v>#N/A</v>
      </c>
      <c r="O273" s="5" t="e">
        <f t="shared" ref="O273:O275" ca="1" si="120">VLOOKUP($A273,$AG$2:$AQ$54,COLUMN(J$1),0)</f>
        <v>#N/A</v>
      </c>
      <c r="P273" s="5" t="e">
        <f t="shared" ref="P273:P275" ca="1" si="121">VLOOKUP($A273,$AG$2:$AQ$54,COLUMN(K$1),0)</f>
        <v>#N/A</v>
      </c>
      <c r="Q273" s="5" t="e">
        <f t="shared" ref="Q273:Q275" ca="1" si="122">IF(ISNA(H273)=TRUE,IF(OR(C273&gt;P273,C273&lt;J273),C273,NA()),NA())</f>
        <v>#N/A</v>
      </c>
      <c r="R273" s="5" t="e">
        <f t="shared" ca="1" si="104"/>
        <v>#N/A</v>
      </c>
      <c r="S273" s="67" t="e">
        <f t="shared" ca="1" si="105"/>
        <v>#N/A</v>
      </c>
      <c r="T273" s="67" t="e">
        <f t="shared" ca="1" si="106"/>
        <v>#N/A</v>
      </c>
      <c r="U273" s="67" t="e">
        <f t="shared" ca="1" si="107"/>
        <v>#N/A</v>
      </c>
      <c r="V273" s="5" t="e">
        <f t="shared" ca="1" si="86"/>
        <v>#N/A</v>
      </c>
      <c r="W273" s="5" t="e">
        <f t="shared" ref="W273:W275" ca="1" si="123">IF(ISNA(H273)=TRUE,IF(ABS(SUM(V273:V281))=9,C273,NA()),NA())</f>
        <v>#N/A</v>
      </c>
      <c r="X273" s="67">
        <f t="shared" ca="1" si="101"/>
        <v>0</v>
      </c>
      <c r="Y273" s="67" t="e">
        <f t="shared" ca="1" si="108"/>
        <v>#N/A</v>
      </c>
      <c r="Z273" s="67" t="e">
        <f t="shared" ca="1" si="109"/>
        <v>#N/A</v>
      </c>
      <c r="AA273" s="5" t="str">
        <f>IF(Setup!$I$15="Yes",'Demand background (hide)'!AJ261+'SPC background (hide)'!C273,"")</f>
        <v/>
      </c>
      <c r="AC273" s="5" t="e">
        <f t="shared" ref="AC273:AC275" ca="1" si="124">VLOOKUP($A273,$AG$2:$AS$54,12,0)</f>
        <v>#N/A</v>
      </c>
      <c r="AD273" s="5" t="e">
        <f t="shared" ref="AD273:AD275" ca="1" si="125">VLOOKUP($A273,$AG$2:$AS$54,13,0)</f>
        <v>#N/A</v>
      </c>
    </row>
    <row r="274" spans="1:30" x14ac:dyDescent="0.25">
      <c r="A274" s="67" t="str">
        <f ca="1">Demand!C271</f>
        <v/>
      </c>
      <c r="B274" s="67">
        <v>259</v>
      </c>
      <c r="C274" s="5">
        <f ca="1">'Demand background (hide)'!Y262</f>
        <v>0</v>
      </c>
      <c r="D274" s="67">
        <f t="shared" si="110"/>
        <v>0</v>
      </c>
      <c r="E274" s="67" t="e">
        <f t="shared" ca="1" si="111"/>
        <v>#N/A</v>
      </c>
      <c r="F274" s="67" t="e">
        <f t="shared" ca="1" si="112"/>
        <v>#N/A</v>
      </c>
      <c r="G274" s="67" t="e">
        <f t="shared" ca="1" si="113"/>
        <v>#N/A</v>
      </c>
      <c r="H274" s="67" t="e">
        <f>IF('Demand background (hide)'!AN262&lt;&gt;"",'SPC background (hide)'!C274,NA())</f>
        <v>#N/A</v>
      </c>
      <c r="I274" s="67" t="e">
        <f t="shared" ca="1" si="114"/>
        <v>#N/A</v>
      </c>
      <c r="J274" s="5" t="e">
        <f t="shared" ca="1" si="115"/>
        <v>#N/A</v>
      </c>
      <c r="K274" s="5" t="e">
        <f t="shared" ca="1" si="116"/>
        <v>#N/A</v>
      </c>
      <c r="L274" s="5" t="e">
        <f t="shared" ca="1" si="117"/>
        <v>#N/A</v>
      </c>
      <c r="M274" s="5" t="e">
        <f t="shared" ca="1" si="118"/>
        <v>#N/A</v>
      </c>
      <c r="N274" s="5" t="e">
        <f t="shared" ca="1" si="119"/>
        <v>#N/A</v>
      </c>
      <c r="O274" s="5" t="e">
        <f t="shared" ca="1" si="120"/>
        <v>#N/A</v>
      </c>
      <c r="P274" s="5" t="e">
        <f t="shared" ca="1" si="121"/>
        <v>#N/A</v>
      </c>
      <c r="Q274" s="5" t="e">
        <f t="shared" ca="1" si="122"/>
        <v>#N/A</v>
      </c>
      <c r="R274" s="5" t="e">
        <f t="shared" ref="R274:R275" ca="1" si="126">IF(C274&gt;O274,2,IF(C274&lt;K274,-2,IF(C274&gt;M274,1,IF(C274&lt;M274,-1,0))))</f>
        <v>#N/A</v>
      </c>
      <c r="S274" s="67" t="e">
        <f t="shared" ref="S274:S275" ca="1" si="127">IF(ISNA(H274),IF(ABS(SUM(R274:R276))&gt;=5,C274,NA()),NA())</f>
        <v>#N/A</v>
      </c>
      <c r="T274" s="67" t="e">
        <f t="shared" ref="T274:T275" ca="1" si="128">IF(C274&gt;N274,2,IF(C274&lt;L274,-2,IF(C274&gt;M274,1,IF(C274&lt;M274,-1,0))))</f>
        <v>#N/A</v>
      </c>
      <c r="U274" s="67" t="e">
        <f t="shared" ref="U274:U275" ca="1" si="129">IF(ISNA(H274)=TRUE,IF(ABS(SUM(T274:T278))&gt;=9,C274,NA()),NA())</f>
        <v>#N/A</v>
      </c>
      <c r="V274" s="5" t="e">
        <f t="shared" ca="1" si="86"/>
        <v>#N/A</v>
      </c>
      <c r="W274" s="5" t="e">
        <f t="shared" ca="1" si="123"/>
        <v>#N/A</v>
      </c>
      <c r="X274" s="67">
        <f t="shared" ca="1" si="101"/>
        <v>0</v>
      </c>
      <c r="Y274" s="67" t="e">
        <f t="shared" ref="Y274:Y275" ca="1" si="130">IF(ISNA(H274)=TRUE,IF(ABS(SUM(X274:X279))=6,C274,NA()),NA())</f>
        <v>#N/A</v>
      </c>
      <c r="Z274" s="67" t="e">
        <f t="shared" ref="Z274:Z275" ca="1" si="131">IF(ISNA(H274)=TRUE,IF(AND(ABS(SUM(T274:T281))=8,SUM(T274:T281)&lt;ABS(SUM(T274:T281))),C274,NA()),NA())</f>
        <v>#N/A</v>
      </c>
      <c r="AA274" s="5" t="str">
        <f>IF(Setup!$I$15="Yes",'Demand background (hide)'!AJ262+'SPC background (hide)'!C274,"")</f>
        <v/>
      </c>
      <c r="AC274" s="5" t="e">
        <f t="shared" ca="1" si="124"/>
        <v>#N/A</v>
      </c>
      <c r="AD274" s="5" t="e">
        <f t="shared" ca="1" si="125"/>
        <v>#N/A</v>
      </c>
    </row>
    <row r="275" spans="1:30" x14ac:dyDescent="0.25">
      <c r="A275" s="67" t="str">
        <f ca="1">Demand!C272</f>
        <v/>
      </c>
      <c r="B275" s="67">
        <v>260</v>
      </c>
      <c r="C275" s="5">
        <f ca="1">'Demand background (hide)'!Y263</f>
        <v>0</v>
      </c>
      <c r="D275" s="67">
        <f t="shared" si="110"/>
        <v>0</v>
      </c>
      <c r="E275" s="67" t="e">
        <f t="shared" ca="1" si="111"/>
        <v>#N/A</v>
      </c>
      <c r="F275" s="67" t="e">
        <f t="shared" ca="1" si="112"/>
        <v>#N/A</v>
      </c>
      <c r="G275" s="67" t="e">
        <f t="shared" ca="1" si="113"/>
        <v>#N/A</v>
      </c>
      <c r="H275" s="67" t="e">
        <f>IF('Demand background (hide)'!AN263&lt;&gt;"",'SPC background (hide)'!C275,NA())</f>
        <v>#N/A</v>
      </c>
      <c r="I275" s="67" t="e">
        <f t="shared" ca="1" si="114"/>
        <v>#N/A</v>
      </c>
      <c r="J275" s="5" t="e">
        <f t="shared" ca="1" si="115"/>
        <v>#N/A</v>
      </c>
      <c r="K275" s="5" t="e">
        <f t="shared" ca="1" si="116"/>
        <v>#N/A</v>
      </c>
      <c r="L275" s="5" t="e">
        <f t="shared" ca="1" si="117"/>
        <v>#N/A</v>
      </c>
      <c r="M275" s="5" t="e">
        <f t="shared" ca="1" si="118"/>
        <v>#N/A</v>
      </c>
      <c r="N275" s="5" t="e">
        <f t="shared" ca="1" si="119"/>
        <v>#N/A</v>
      </c>
      <c r="O275" s="5" t="e">
        <f t="shared" ca="1" si="120"/>
        <v>#N/A</v>
      </c>
      <c r="P275" s="5" t="e">
        <f t="shared" ca="1" si="121"/>
        <v>#N/A</v>
      </c>
      <c r="Q275" s="5" t="e">
        <f t="shared" ca="1" si="122"/>
        <v>#N/A</v>
      </c>
      <c r="R275" s="5" t="e">
        <f t="shared" ca="1" si="126"/>
        <v>#N/A</v>
      </c>
      <c r="S275" s="67" t="e">
        <f t="shared" ca="1" si="127"/>
        <v>#N/A</v>
      </c>
      <c r="T275" s="67" t="e">
        <f t="shared" ca="1" si="128"/>
        <v>#N/A</v>
      </c>
      <c r="U275" s="67" t="e">
        <f t="shared" ca="1" si="129"/>
        <v>#N/A</v>
      </c>
      <c r="V275" s="5" t="e">
        <f t="shared" ca="1" si="86"/>
        <v>#N/A</v>
      </c>
      <c r="W275" s="5" t="e">
        <f t="shared" ca="1" si="123"/>
        <v>#N/A</v>
      </c>
      <c r="X275" s="67">
        <f t="shared" ca="1" si="101"/>
        <v>0</v>
      </c>
      <c r="Y275" s="67" t="e">
        <f t="shared" ca="1" si="130"/>
        <v>#N/A</v>
      </c>
      <c r="Z275" s="67" t="e">
        <f t="shared" ca="1" si="131"/>
        <v>#N/A</v>
      </c>
      <c r="AA275" s="5" t="str">
        <f>IF(Setup!$I$15="Yes",'Demand background (hide)'!AJ263+'SPC background (hide)'!C275,"")</f>
        <v/>
      </c>
      <c r="AC275" s="5" t="e">
        <f t="shared" ca="1" si="124"/>
        <v>#N/A</v>
      </c>
      <c r="AD275" s="5" t="e">
        <f t="shared" ca="1" si="125"/>
        <v>#N/A</v>
      </c>
    </row>
  </sheetData>
  <pageMargins left="0.7" right="0.7" top="0.75" bottom="0.75" header="0.3" footer="0.3"/>
  <pageSetup paperSize="9" orientation="portrait" horizontalDpi="90" verticalDpi="9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dimension ref="A1:T272"/>
  <sheetViews>
    <sheetView showGridLines="0" showRowColHeaders="0" topLeftCell="B1" workbookViewId="0">
      <selection activeCell="O11" sqref="O11"/>
    </sheetView>
  </sheetViews>
  <sheetFormatPr defaultRowHeight="13.8" x14ac:dyDescent="0.25"/>
  <cols>
    <col min="1" max="1" width="9" hidden="1" customWidth="1"/>
    <col min="2" max="2" width="12.59765625" bestFit="1" customWidth="1"/>
    <col min="3" max="3" width="13" customWidth="1"/>
    <col min="4" max="4" width="9.8984375" hidden="1" customWidth="1"/>
    <col min="5" max="14" width="13.09765625" hidden="1" customWidth="1"/>
    <col min="15" max="15" width="18.8984375" customWidth="1"/>
    <col min="17" max="18" width="9" customWidth="1"/>
    <col min="20" max="20" width="9.8984375" bestFit="1" customWidth="1"/>
  </cols>
  <sheetData>
    <row r="1" spans="1:20" x14ac:dyDescent="0.25">
      <c r="A1" t="s">
        <v>53</v>
      </c>
    </row>
    <row r="2" spans="1:20" x14ac:dyDescent="0.25">
      <c r="B2" t="s">
        <v>224</v>
      </c>
    </row>
    <row r="3" spans="1:20" x14ac:dyDescent="0.25">
      <c r="A3" t="s">
        <v>55</v>
      </c>
      <c r="B3" t="s">
        <v>225</v>
      </c>
    </row>
    <row r="5" spans="1:20" x14ac:dyDescent="0.25">
      <c r="A5" t="s">
        <v>54</v>
      </c>
    </row>
    <row r="6" spans="1:20" x14ac:dyDescent="0.25">
      <c r="A6">
        <f ca="1">MAX(A13:A272)</f>
        <v>1</v>
      </c>
      <c r="B6" t="s">
        <v>217</v>
      </c>
      <c r="C6" s="394" t="s">
        <v>24</v>
      </c>
      <c r="D6" s="395"/>
    </row>
    <row r="8" spans="1:20" x14ac:dyDescent="0.25">
      <c r="B8" t="s">
        <v>218</v>
      </c>
      <c r="C8" s="211"/>
    </row>
    <row r="10" spans="1:20" x14ac:dyDescent="0.25">
      <c r="B10" s="397" t="s">
        <v>128</v>
      </c>
      <c r="C10" s="397" t="s">
        <v>56</v>
      </c>
      <c r="D10" s="397" t="s">
        <v>1</v>
      </c>
      <c r="E10" s="267" t="str">
        <f ca="1">OFFSET('Control sheet (hide)'!$AA$3,COLUMN(A1)-1,0,1,1)</f>
        <v>Modality 1</v>
      </c>
      <c r="F10" s="267" t="str">
        <f ca="1">OFFSET('Control sheet (hide)'!$AA$3,COLUMN(B1)-1,0,1,1)</f>
        <v>Modality 2</v>
      </c>
      <c r="G10" s="267" t="str">
        <f ca="1">OFFSET('Control sheet (hide)'!$AA$3,COLUMN(C1)-1,0,1,1)</f>
        <v>Modality 3</v>
      </c>
      <c r="H10" s="267" t="str">
        <f ca="1">OFFSET('Control sheet (hide)'!$AA$3,COLUMN(D1)-1,0,1,1)</f>
        <v>Modality 4</v>
      </c>
      <c r="I10" s="267" t="str">
        <f ca="1">OFFSET('Control sheet (hide)'!$AA$3,COLUMN(E1)-1,0,1,1)</f>
        <v>Modality 5</v>
      </c>
      <c r="J10" s="267" t="str">
        <f ca="1">OFFSET('Control sheet (hide)'!$AA$3,COLUMN(F1)-1,0,1,1)</f>
        <v>Modality 6</v>
      </c>
      <c r="K10" s="267" t="str">
        <f ca="1">OFFSET('Control sheet (hide)'!$AA$3,COLUMN(G1)-1,0,1,1)</f>
        <v>Modality 7</v>
      </c>
      <c r="L10" s="267" t="str">
        <f ca="1">OFFSET('Control sheet (hide)'!$AA$3,COLUMN(H1)-1,0,1,1)</f>
        <v>Modality 8</v>
      </c>
      <c r="M10" s="267" t="str">
        <f ca="1">OFFSET('Control sheet (hide)'!$AA$3,COLUMN(I1)-1,0,1,1)</f>
        <v>Modality 9</v>
      </c>
      <c r="N10" s="267" t="str">
        <f ca="1">OFFSET('Control sheet (hide)'!$AA$3,COLUMN(J1)-1,0,1,1)</f>
        <v>Modality 10</v>
      </c>
      <c r="O10" s="6" t="s">
        <v>219</v>
      </c>
      <c r="P10" s="396" t="s">
        <v>222</v>
      </c>
      <c r="Q10" s="396" t="str">
        <f>"Total "&amp;"("&amp;Setup!$I$17&amp;")"</f>
        <v>Total (Points)</v>
      </c>
      <c r="R10" s="396" t="s">
        <v>111</v>
      </c>
    </row>
    <row r="11" spans="1:20" x14ac:dyDescent="0.25">
      <c r="B11" s="397"/>
      <c r="C11" s="397"/>
      <c r="D11" s="397"/>
      <c r="E11" s="267" t="str">
        <f ca="1">IF(Setup!$I$17&lt;&gt;"Patients",Setup!$I$17&amp;": "&amp;OFFSET('Demand background (hide)'!$BN$6,COLUMN(A1)-1,0,1,1),"")</f>
        <v>Points: 2</v>
      </c>
      <c r="F11" s="267" t="str">
        <f ca="1">IF(Setup!$I$17&lt;&gt;"Patients",Setup!$I$17&amp;": "&amp;OFFSET('Demand background (hide)'!$BN$6,COLUMN(B1)-1,0,1,1),"")</f>
        <v>Points: 0</v>
      </c>
      <c r="G11" s="267" t="str">
        <f ca="1">IF(Setup!$I$17&lt;&gt;"Patients",Setup!$I$17&amp;": "&amp;OFFSET('Demand background (hide)'!$BN$6,COLUMN(C1)-1,0,1,1),"")</f>
        <v>Points: 0</v>
      </c>
      <c r="H11" s="267" t="str">
        <f ca="1">IF(Setup!$I$17&lt;&gt;"Patients",Setup!$I$17&amp;": "&amp;OFFSET('Demand background (hide)'!$BN$6,COLUMN(D1)-1,0,1,1),"")</f>
        <v>Points: 0</v>
      </c>
      <c r="I11" s="267" t="str">
        <f ca="1">IF(Setup!$I$17&lt;&gt;"Patients",Setup!$I$17&amp;": "&amp;OFFSET('Demand background (hide)'!$BN$6,COLUMN(E1)-1,0,1,1),"")</f>
        <v>Points: 0</v>
      </c>
      <c r="J11" s="267" t="str">
        <f ca="1">IF(Setup!$I$17&lt;&gt;"Patients",Setup!$I$17&amp;": "&amp;OFFSET('Demand background (hide)'!$BN$6,COLUMN(F1)-1,0,1,1),"")</f>
        <v>Points: 0</v>
      </c>
      <c r="K11" s="267" t="str">
        <f ca="1">IF(Setup!$I$17&lt;&gt;"Patients",Setup!$I$17&amp;": "&amp;OFFSET('Demand background (hide)'!$BN$6,COLUMN(G1)-1,0,1,1),"")</f>
        <v>Points: 0</v>
      </c>
      <c r="L11" s="267" t="str">
        <f ca="1">IF(Setup!$I$17&lt;&gt;"Patients",Setup!$I$17&amp;": "&amp;OFFSET('Demand background (hide)'!$BN$6,COLUMN(H1)-1,0,1,1),"")</f>
        <v>Points: 0</v>
      </c>
      <c r="M11" s="267" t="str">
        <f ca="1">IF(Setup!$I$17&lt;&gt;"Patients",Setup!$I$17&amp;": "&amp;OFFSET('Demand background (hide)'!$BN$6,COLUMN(I1)-1,0,1,1),"")</f>
        <v>Points: 0</v>
      </c>
      <c r="N11" s="267" t="str">
        <f ca="1">IF(Setup!$I$17&lt;&gt;"Patients",Setup!$I$17&amp;": "&amp;OFFSET('Demand background (hide)'!$BN$6,COLUMN(J1)-1,0,1,1),"")</f>
        <v>Points: 0</v>
      </c>
      <c r="O11" s="6" t="str">
        <f ca="1">IF(Setup!$I$17&lt;&gt;"Patients",Setup!$I$17&amp;": "&amp;TEXT(OFFSET('Demand background (hide)'!$BN$6,COLUMN(K1)-1,0,1,1),"#"),"")</f>
        <v>Points: 2</v>
      </c>
      <c r="P11" s="396"/>
      <c r="Q11" s="396"/>
      <c r="R11" s="396"/>
    </row>
    <row r="12" spans="1:20" x14ac:dyDescent="0.25">
      <c r="B12" s="397"/>
      <c r="C12" s="397"/>
      <c r="D12" s="397"/>
      <c r="E12" s="6"/>
      <c r="F12" s="6"/>
      <c r="G12" s="6"/>
      <c r="H12" s="6"/>
      <c r="I12" s="6"/>
      <c r="J12" s="6"/>
      <c r="K12" s="6"/>
      <c r="L12" s="6"/>
      <c r="M12" s="6"/>
      <c r="N12" s="6"/>
      <c r="O12" s="6"/>
      <c r="P12" s="396"/>
      <c r="Q12" s="396"/>
      <c r="R12" s="396"/>
    </row>
    <row r="13" spans="1:20" x14ac:dyDescent="0.25">
      <c r="A13">
        <f>1</f>
        <v>1</v>
      </c>
      <c r="B13" s="268">
        <f>IF(C8&lt;&gt;"",YEAR(C8),1)</f>
        <v>1</v>
      </c>
      <c r="C13" s="269">
        <f>IF($C$8&lt;&gt;"",WEEKNUM($C$8,21),1)</f>
        <v>1</v>
      </c>
      <c r="D13" s="330" t="str">
        <f>IF($C$8&lt;&gt;"",C8,"")</f>
        <v/>
      </c>
      <c r="E13" s="153"/>
      <c r="F13" s="153"/>
      <c r="G13" s="153"/>
      <c r="H13" s="153"/>
      <c r="I13" s="153"/>
      <c r="J13" s="153"/>
      <c r="K13" s="153"/>
      <c r="L13" s="153"/>
      <c r="M13" s="153"/>
      <c r="N13" s="153"/>
      <c r="O13" s="153"/>
      <c r="P13" s="269" t="str">
        <f ca="1">IF('Planned background (hide)'!B2&lt;Num_Modalities,IF($C$6="Overall",O13,SUM(OFFSET($E13,0,0,1,Num_Modalities))),"")</f>
        <v/>
      </c>
      <c r="Q13" s="273" t="str">
        <f ca="1">IF(AND('Planned background (hide)'!B2&lt;Num_Modalities,R13&lt;&gt;"Yes"),'Planned background (hide)'!S3,"")</f>
        <v/>
      </c>
      <c r="R13" s="153"/>
      <c r="T13" s="36"/>
    </row>
    <row r="14" spans="1:20" x14ac:dyDescent="0.25">
      <c r="A14" t="str">
        <f ca="1">IF(P14&lt;&gt;"",ROW(A2),"")</f>
        <v/>
      </c>
      <c r="B14" s="268" t="str">
        <f t="shared" ref="B14:B45" ca="1" si="0">IF(A14&lt;=PMaxRows,IF($C$8&lt;&gt;"",IF(YEAR(D14)&lt;&gt;YEAR(D13),YEAR(D14)," "),IF(C14&lt;&gt;1,"",OFFSET(B14,-C13,0,1,1)+1))," ")</f>
        <v xml:space="preserve"> </v>
      </c>
      <c r="C14" s="269" t="str">
        <f t="shared" ref="C14:C45" ca="1" si="1">IF(ROW(A2)&lt;=PMaxRows,IF($C$8&lt;&gt;"",WEEKNUM(D14,21),IF(MOD((C13+1),53)&gt;0,MOD((C13+1),53),53)),"")</f>
        <v/>
      </c>
      <c r="D14" s="330" t="str">
        <f t="shared" ref="D14:D45" ca="1" si="2">IF(ROW(A2)&lt;=PMaxRows,IF($C$8&lt;&gt;"",D13+7,""),"")</f>
        <v/>
      </c>
      <c r="E14" s="153"/>
      <c r="F14" s="153"/>
      <c r="G14" s="153"/>
      <c r="H14" s="153"/>
      <c r="I14" s="153"/>
      <c r="J14" s="153"/>
      <c r="K14" s="153"/>
      <c r="L14" s="153"/>
      <c r="M14" s="153"/>
      <c r="N14" s="153"/>
      <c r="O14" s="153"/>
      <c r="P14" s="269" t="str">
        <f ca="1">IF('Planned background (hide)'!B3&lt;Num_Modalities,IF($C$6="Overall",O14,SUM(OFFSET($E14,0,0,1,Num_Modalities))),"")</f>
        <v/>
      </c>
      <c r="Q14" s="273" t="str">
        <f ca="1">IF(AND('Planned background (hide)'!B3&lt;Num_Modalities,R14&lt;&gt;"Yes"),'Planned background (hide)'!S4,"")</f>
        <v/>
      </c>
      <c r="R14" s="153"/>
      <c r="T14" s="36"/>
    </row>
    <row r="15" spans="1:20" x14ac:dyDescent="0.25">
      <c r="A15" s="67" t="str">
        <f t="shared" ref="A15:A64" ca="1" si="3">IF(P15&lt;&gt;"",ROW(A3),"")</f>
        <v/>
      </c>
      <c r="B15" s="268" t="str">
        <f t="shared" ca="1" si="0"/>
        <v xml:space="preserve"> </v>
      </c>
      <c r="C15" s="269" t="str">
        <f t="shared" ca="1" si="1"/>
        <v/>
      </c>
      <c r="D15" s="330" t="str">
        <f t="shared" ca="1" si="2"/>
        <v/>
      </c>
      <c r="E15" s="153"/>
      <c r="F15" s="153"/>
      <c r="G15" s="153"/>
      <c r="H15" s="153"/>
      <c r="I15" s="153"/>
      <c r="J15" s="153"/>
      <c r="K15" s="153"/>
      <c r="L15" s="153"/>
      <c r="M15" s="153"/>
      <c r="N15" s="153"/>
      <c r="O15" s="153"/>
      <c r="P15" s="269" t="str">
        <f ca="1">IF('Planned background (hide)'!B4&lt;Num_Modalities,IF($C$6="Overall",O15,SUM(OFFSET($E15,0,0,1,Num_Modalities))),"")</f>
        <v/>
      </c>
      <c r="Q15" s="273" t="str">
        <f ca="1">IF(AND('Planned background (hide)'!B4&lt;Num_Modalities,R15&lt;&gt;"Yes"),'Planned background (hide)'!S5,"")</f>
        <v/>
      </c>
      <c r="R15" s="153"/>
      <c r="T15" s="36"/>
    </row>
    <row r="16" spans="1:20" x14ac:dyDescent="0.25">
      <c r="A16" s="67" t="str">
        <f t="shared" ca="1" si="3"/>
        <v/>
      </c>
      <c r="B16" s="268" t="str">
        <f t="shared" ca="1" si="0"/>
        <v xml:space="preserve"> </v>
      </c>
      <c r="C16" s="269" t="str">
        <f t="shared" ca="1" si="1"/>
        <v/>
      </c>
      <c r="D16" s="330" t="str">
        <f t="shared" ca="1" si="2"/>
        <v/>
      </c>
      <c r="E16" s="153"/>
      <c r="F16" s="153"/>
      <c r="G16" s="153"/>
      <c r="H16" s="153"/>
      <c r="I16" s="153"/>
      <c r="J16" s="153"/>
      <c r="K16" s="153"/>
      <c r="L16" s="153"/>
      <c r="M16" s="153"/>
      <c r="N16" s="153"/>
      <c r="O16" s="153"/>
      <c r="P16" s="269" t="str">
        <f ca="1">IF('Planned background (hide)'!B5&lt;Num_Modalities,IF($C$6="Overall",O16,SUM(OFFSET($E16,0,0,1,Num_Modalities))),"")</f>
        <v/>
      </c>
      <c r="Q16" s="273" t="str">
        <f ca="1">IF(AND('Planned background (hide)'!B5&lt;Num_Modalities,R16&lt;&gt;"Yes"),'Planned background (hide)'!S6,"")</f>
        <v/>
      </c>
      <c r="R16" s="153"/>
      <c r="T16" s="36"/>
    </row>
    <row r="17" spans="1:20" x14ac:dyDescent="0.25">
      <c r="A17" s="67" t="str">
        <f t="shared" ca="1" si="3"/>
        <v/>
      </c>
      <c r="B17" s="268" t="str">
        <f t="shared" ca="1" si="0"/>
        <v xml:space="preserve"> </v>
      </c>
      <c r="C17" s="269" t="str">
        <f t="shared" ca="1" si="1"/>
        <v/>
      </c>
      <c r="D17" s="330" t="str">
        <f t="shared" ca="1" si="2"/>
        <v/>
      </c>
      <c r="E17" s="153"/>
      <c r="F17" s="153"/>
      <c r="G17" s="153"/>
      <c r="H17" s="153"/>
      <c r="I17" s="153"/>
      <c r="J17" s="153"/>
      <c r="K17" s="153"/>
      <c r="L17" s="153"/>
      <c r="M17" s="153"/>
      <c r="N17" s="153"/>
      <c r="O17" s="153"/>
      <c r="P17" s="269" t="str">
        <f ca="1">IF('Planned background (hide)'!B6&lt;Num_Modalities,IF($C$6="Overall",O17,SUM(OFFSET($E17,0,0,1,Num_Modalities))),"")</f>
        <v/>
      </c>
      <c r="Q17" s="273" t="str">
        <f ca="1">IF(AND('Planned background (hide)'!B6&lt;Num_Modalities,R17&lt;&gt;"Yes"),'Planned background (hide)'!S7,"")</f>
        <v/>
      </c>
      <c r="R17" s="153"/>
      <c r="T17" s="36"/>
    </row>
    <row r="18" spans="1:20" x14ac:dyDescent="0.25">
      <c r="A18" s="67" t="str">
        <f t="shared" ca="1" si="3"/>
        <v/>
      </c>
      <c r="B18" s="268" t="str">
        <f t="shared" ca="1" si="0"/>
        <v xml:space="preserve"> </v>
      </c>
      <c r="C18" s="269" t="str">
        <f t="shared" ca="1" si="1"/>
        <v/>
      </c>
      <c r="D18" s="330" t="str">
        <f t="shared" ca="1" si="2"/>
        <v/>
      </c>
      <c r="E18" s="153"/>
      <c r="F18" s="153"/>
      <c r="G18" s="153"/>
      <c r="H18" s="153"/>
      <c r="I18" s="153"/>
      <c r="J18" s="153"/>
      <c r="K18" s="153"/>
      <c r="L18" s="153"/>
      <c r="M18" s="153"/>
      <c r="N18" s="153"/>
      <c r="O18" s="153"/>
      <c r="P18" s="269" t="str">
        <f ca="1">IF('Planned background (hide)'!B7&lt;Num_Modalities,IF($C$6="Overall",O18,SUM(OFFSET($E18,0,0,1,Num_Modalities))),"")</f>
        <v/>
      </c>
      <c r="Q18" s="273" t="str">
        <f ca="1">IF(AND('Planned background (hide)'!B7&lt;Num_Modalities,R18&lt;&gt;"Yes"),'Planned background (hide)'!S8,"")</f>
        <v/>
      </c>
      <c r="R18" s="153"/>
      <c r="T18" s="36"/>
    </row>
    <row r="19" spans="1:20" x14ac:dyDescent="0.25">
      <c r="A19" s="67" t="str">
        <f t="shared" ca="1" si="3"/>
        <v/>
      </c>
      <c r="B19" s="268" t="str">
        <f t="shared" ca="1" si="0"/>
        <v xml:space="preserve"> </v>
      </c>
      <c r="C19" s="269" t="str">
        <f t="shared" ca="1" si="1"/>
        <v/>
      </c>
      <c r="D19" s="330" t="str">
        <f t="shared" ca="1" si="2"/>
        <v/>
      </c>
      <c r="E19" s="153"/>
      <c r="F19" s="153"/>
      <c r="G19" s="153"/>
      <c r="H19" s="153"/>
      <c r="I19" s="153"/>
      <c r="J19" s="153"/>
      <c r="K19" s="153"/>
      <c r="L19" s="153"/>
      <c r="M19" s="153"/>
      <c r="N19" s="153"/>
      <c r="O19" s="153"/>
      <c r="P19" s="269" t="str">
        <f ca="1">IF('Planned background (hide)'!B8&lt;Num_Modalities,IF($C$6="Overall",O19,SUM(OFFSET($E19,0,0,1,Num_Modalities))),"")</f>
        <v/>
      </c>
      <c r="Q19" s="273" t="str">
        <f ca="1">IF(AND('Planned background (hide)'!B8&lt;Num_Modalities,R19&lt;&gt;"Yes"),'Planned background (hide)'!S9,"")</f>
        <v/>
      </c>
      <c r="R19" s="153"/>
      <c r="T19" s="36"/>
    </row>
    <row r="20" spans="1:20" x14ac:dyDescent="0.25">
      <c r="A20" s="67" t="str">
        <f t="shared" ca="1" si="3"/>
        <v/>
      </c>
      <c r="B20" s="268" t="str">
        <f t="shared" ca="1" si="0"/>
        <v xml:space="preserve"> </v>
      </c>
      <c r="C20" s="269" t="str">
        <f t="shared" ca="1" si="1"/>
        <v/>
      </c>
      <c r="D20" s="330" t="str">
        <f t="shared" ca="1" si="2"/>
        <v/>
      </c>
      <c r="E20" s="153"/>
      <c r="F20" s="153"/>
      <c r="G20" s="153"/>
      <c r="H20" s="153"/>
      <c r="I20" s="153"/>
      <c r="J20" s="153"/>
      <c r="K20" s="153"/>
      <c r="L20" s="153"/>
      <c r="M20" s="153"/>
      <c r="N20" s="153"/>
      <c r="O20" s="153"/>
      <c r="P20" s="269" t="str">
        <f ca="1">IF('Planned background (hide)'!B9&lt;Num_Modalities,IF($C$6="Overall",O20,SUM(OFFSET($E20,0,0,1,Num_Modalities))),"")</f>
        <v/>
      </c>
      <c r="Q20" s="273" t="str">
        <f ca="1">IF(AND('Planned background (hide)'!B9&lt;Num_Modalities,R20&lt;&gt;"Yes"),'Planned background (hide)'!S10,"")</f>
        <v/>
      </c>
      <c r="R20" s="153"/>
      <c r="T20" s="36"/>
    </row>
    <row r="21" spans="1:20" x14ac:dyDescent="0.25">
      <c r="A21" s="67" t="str">
        <f t="shared" ca="1" si="3"/>
        <v/>
      </c>
      <c r="B21" s="268" t="str">
        <f t="shared" ca="1" si="0"/>
        <v xml:space="preserve"> </v>
      </c>
      <c r="C21" s="269" t="str">
        <f t="shared" ca="1" si="1"/>
        <v/>
      </c>
      <c r="D21" s="330" t="str">
        <f t="shared" ca="1" si="2"/>
        <v/>
      </c>
      <c r="E21" s="153"/>
      <c r="F21" s="153"/>
      <c r="G21" s="153"/>
      <c r="H21" s="153"/>
      <c r="I21" s="153"/>
      <c r="J21" s="153"/>
      <c r="K21" s="153"/>
      <c r="L21" s="153"/>
      <c r="M21" s="153"/>
      <c r="N21" s="153"/>
      <c r="O21" s="153"/>
      <c r="P21" s="269" t="str">
        <f ca="1">IF('Planned background (hide)'!B10&lt;Num_Modalities,IF($C$6="Overall",O21,SUM(OFFSET($E21,0,0,1,Num_Modalities))),"")</f>
        <v/>
      </c>
      <c r="Q21" s="273" t="str">
        <f ca="1">IF(AND('Planned background (hide)'!B10&lt;Num_Modalities,R21&lt;&gt;"Yes"),'Planned background (hide)'!S11,"")</f>
        <v/>
      </c>
      <c r="R21" s="153"/>
      <c r="T21" s="36"/>
    </row>
    <row r="22" spans="1:20" x14ac:dyDescent="0.25">
      <c r="A22" s="67" t="str">
        <f t="shared" ca="1" si="3"/>
        <v/>
      </c>
      <c r="B22" s="268" t="str">
        <f t="shared" ca="1" si="0"/>
        <v xml:space="preserve"> </v>
      </c>
      <c r="C22" s="269" t="str">
        <f t="shared" ca="1" si="1"/>
        <v/>
      </c>
      <c r="D22" s="330" t="str">
        <f t="shared" ca="1" si="2"/>
        <v/>
      </c>
      <c r="E22" s="153"/>
      <c r="F22" s="153"/>
      <c r="G22" s="153"/>
      <c r="H22" s="153"/>
      <c r="I22" s="153"/>
      <c r="J22" s="153"/>
      <c r="K22" s="153"/>
      <c r="L22" s="153"/>
      <c r="M22" s="153"/>
      <c r="N22" s="153"/>
      <c r="O22" s="153"/>
      <c r="P22" s="269" t="str">
        <f ca="1">IF('Planned background (hide)'!B11&lt;Num_Modalities,IF($C$6="Overall",O22,SUM(OFFSET($E22,0,0,1,Num_Modalities))),"")</f>
        <v/>
      </c>
      <c r="Q22" s="273" t="str">
        <f ca="1">IF(AND('Planned background (hide)'!B11&lt;Num_Modalities,R22&lt;&gt;"Yes"),'Planned background (hide)'!S12,"")</f>
        <v/>
      </c>
      <c r="R22" s="153"/>
      <c r="T22" s="36"/>
    </row>
    <row r="23" spans="1:20" x14ac:dyDescent="0.25">
      <c r="A23" s="67" t="str">
        <f t="shared" ca="1" si="3"/>
        <v/>
      </c>
      <c r="B23" s="268" t="str">
        <f t="shared" ca="1" si="0"/>
        <v xml:space="preserve"> </v>
      </c>
      <c r="C23" s="269" t="str">
        <f t="shared" ca="1" si="1"/>
        <v/>
      </c>
      <c r="D23" s="330" t="str">
        <f t="shared" ca="1" si="2"/>
        <v/>
      </c>
      <c r="E23" s="153"/>
      <c r="F23" s="153"/>
      <c r="G23" s="153"/>
      <c r="H23" s="153"/>
      <c r="I23" s="153"/>
      <c r="J23" s="153"/>
      <c r="K23" s="153"/>
      <c r="L23" s="153"/>
      <c r="M23" s="153"/>
      <c r="N23" s="153"/>
      <c r="O23" s="153"/>
      <c r="P23" s="269" t="str">
        <f ca="1">IF('Planned background (hide)'!B12&lt;Num_Modalities,IF($C$6="Overall",O23,SUM(OFFSET($E23,0,0,1,Num_Modalities))),"")</f>
        <v/>
      </c>
      <c r="Q23" s="273" t="str">
        <f ca="1">IF(AND('Planned background (hide)'!B12&lt;Num_Modalities,R23&lt;&gt;"Yes"),'Planned background (hide)'!S13,"")</f>
        <v/>
      </c>
      <c r="R23" s="153"/>
      <c r="T23" s="36"/>
    </row>
    <row r="24" spans="1:20" x14ac:dyDescent="0.25">
      <c r="A24" s="67" t="str">
        <f t="shared" ca="1" si="3"/>
        <v/>
      </c>
      <c r="B24" s="268" t="str">
        <f t="shared" ca="1" si="0"/>
        <v xml:space="preserve"> </v>
      </c>
      <c r="C24" s="269" t="str">
        <f t="shared" ca="1" si="1"/>
        <v/>
      </c>
      <c r="D24" s="330" t="str">
        <f t="shared" ca="1" si="2"/>
        <v/>
      </c>
      <c r="E24" s="153"/>
      <c r="F24" s="153"/>
      <c r="G24" s="153"/>
      <c r="H24" s="153"/>
      <c r="I24" s="153"/>
      <c r="J24" s="153"/>
      <c r="K24" s="153"/>
      <c r="L24" s="153"/>
      <c r="M24" s="153"/>
      <c r="N24" s="153"/>
      <c r="O24" s="153"/>
      <c r="P24" s="269" t="str">
        <f ca="1">IF('Planned background (hide)'!B13&lt;Num_Modalities,IF($C$6="Overall",O24,SUM(OFFSET($E24,0,0,1,Num_Modalities))),"")</f>
        <v/>
      </c>
      <c r="Q24" s="273" t="str">
        <f ca="1">IF(AND('Planned background (hide)'!B13&lt;Num_Modalities,R24&lt;&gt;"Yes"),'Planned background (hide)'!S14,"")</f>
        <v/>
      </c>
      <c r="R24" s="153"/>
      <c r="T24" s="36"/>
    </row>
    <row r="25" spans="1:20" x14ac:dyDescent="0.25">
      <c r="A25" s="67" t="str">
        <f t="shared" ca="1" si="3"/>
        <v/>
      </c>
      <c r="B25" s="268" t="str">
        <f t="shared" ca="1" si="0"/>
        <v xml:space="preserve"> </v>
      </c>
      <c r="C25" s="269" t="str">
        <f t="shared" ca="1" si="1"/>
        <v/>
      </c>
      <c r="D25" s="330" t="str">
        <f t="shared" ca="1" si="2"/>
        <v/>
      </c>
      <c r="E25" s="153"/>
      <c r="F25" s="153"/>
      <c r="G25" s="153"/>
      <c r="H25" s="153"/>
      <c r="I25" s="153"/>
      <c r="J25" s="153"/>
      <c r="K25" s="153"/>
      <c r="L25" s="153"/>
      <c r="M25" s="153"/>
      <c r="N25" s="153"/>
      <c r="O25" s="153"/>
      <c r="P25" s="269" t="str">
        <f ca="1">IF('Planned background (hide)'!B14&lt;Num_Modalities,IF($C$6="Overall",O25,SUM(OFFSET($E25,0,0,1,Num_Modalities))),"")</f>
        <v/>
      </c>
      <c r="Q25" s="273" t="str">
        <f ca="1">IF(AND('Planned background (hide)'!B14&lt;Num_Modalities,R25&lt;&gt;"Yes"),'Planned background (hide)'!S15,"")</f>
        <v/>
      </c>
      <c r="R25" s="153"/>
      <c r="T25" s="36"/>
    </row>
    <row r="26" spans="1:20" x14ac:dyDescent="0.25">
      <c r="A26" s="67" t="str">
        <f t="shared" ca="1" si="3"/>
        <v/>
      </c>
      <c r="B26" s="268" t="str">
        <f t="shared" ca="1" si="0"/>
        <v xml:space="preserve"> </v>
      </c>
      <c r="C26" s="269" t="str">
        <f t="shared" ca="1" si="1"/>
        <v/>
      </c>
      <c r="D26" s="330" t="str">
        <f t="shared" ca="1" si="2"/>
        <v/>
      </c>
      <c r="E26" s="153"/>
      <c r="F26" s="153"/>
      <c r="G26" s="153"/>
      <c r="H26" s="153"/>
      <c r="I26" s="153"/>
      <c r="J26" s="153"/>
      <c r="K26" s="153"/>
      <c r="L26" s="153"/>
      <c r="M26" s="153"/>
      <c r="N26" s="153"/>
      <c r="O26" s="153"/>
      <c r="P26" s="269" t="str">
        <f ca="1">IF('Planned background (hide)'!B15&lt;Num_Modalities,IF($C$6="Overall",O26,SUM(OFFSET($E26,0,0,1,Num_Modalities))),"")</f>
        <v/>
      </c>
      <c r="Q26" s="273" t="str">
        <f ca="1">IF(AND('Planned background (hide)'!B15&lt;Num_Modalities,R26&lt;&gt;"Yes"),'Planned background (hide)'!S16,"")</f>
        <v/>
      </c>
      <c r="R26" s="153"/>
      <c r="T26" s="36"/>
    </row>
    <row r="27" spans="1:20" x14ac:dyDescent="0.25">
      <c r="A27" s="67" t="str">
        <f t="shared" ca="1" si="3"/>
        <v/>
      </c>
      <c r="B27" s="268" t="str">
        <f t="shared" ca="1" si="0"/>
        <v xml:space="preserve"> </v>
      </c>
      <c r="C27" s="269" t="str">
        <f t="shared" ca="1" si="1"/>
        <v/>
      </c>
      <c r="D27" s="330" t="str">
        <f t="shared" ca="1" si="2"/>
        <v/>
      </c>
      <c r="E27" s="153"/>
      <c r="F27" s="153"/>
      <c r="G27" s="153"/>
      <c r="H27" s="153"/>
      <c r="I27" s="153"/>
      <c r="J27" s="153"/>
      <c r="K27" s="153"/>
      <c r="L27" s="153"/>
      <c r="M27" s="153"/>
      <c r="N27" s="153"/>
      <c r="O27" s="153"/>
      <c r="P27" s="269" t="str">
        <f ca="1">IF('Planned background (hide)'!B16&lt;Num_Modalities,IF($C$6="Overall",O27,SUM(OFFSET($E27,0,0,1,Num_Modalities))),"")</f>
        <v/>
      </c>
      <c r="Q27" s="273" t="str">
        <f ca="1">IF(AND('Planned background (hide)'!B16&lt;Num_Modalities,R27&lt;&gt;"Yes"),'Planned background (hide)'!S17,"")</f>
        <v/>
      </c>
      <c r="R27" s="153"/>
      <c r="T27" s="36"/>
    </row>
    <row r="28" spans="1:20" x14ac:dyDescent="0.25">
      <c r="A28" s="67" t="str">
        <f t="shared" ca="1" si="3"/>
        <v/>
      </c>
      <c r="B28" s="268" t="str">
        <f t="shared" ca="1" si="0"/>
        <v xml:space="preserve"> </v>
      </c>
      <c r="C28" s="269" t="str">
        <f t="shared" ca="1" si="1"/>
        <v/>
      </c>
      <c r="D28" s="330" t="str">
        <f t="shared" ca="1" si="2"/>
        <v/>
      </c>
      <c r="E28" s="153"/>
      <c r="F28" s="153"/>
      <c r="G28" s="153"/>
      <c r="H28" s="153"/>
      <c r="I28" s="153"/>
      <c r="J28" s="153"/>
      <c r="K28" s="153"/>
      <c r="L28" s="153"/>
      <c r="M28" s="153"/>
      <c r="N28" s="153"/>
      <c r="O28" s="153"/>
      <c r="P28" s="269" t="str">
        <f ca="1">IF('Planned background (hide)'!B17&lt;Num_Modalities,IF($C$6="Overall",O28,SUM(OFFSET($E28,0,0,1,Num_Modalities))),"")</f>
        <v/>
      </c>
      <c r="Q28" s="273" t="str">
        <f ca="1">IF(AND('Planned background (hide)'!B17&lt;Num_Modalities,R28&lt;&gt;"Yes"),'Planned background (hide)'!S18,"")</f>
        <v/>
      </c>
      <c r="R28" s="153"/>
      <c r="T28" s="36"/>
    </row>
    <row r="29" spans="1:20" x14ac:dyDescent="0.25">
      <c r="A29" s="67" t="str">
        <f t="shared" ca="1" si="3"/>
        <v/>
      </c>
      <c r="B29" s="268" t="str">
        <f t="shared" ca="1" si="0"/>
        <v xml:space="preserve"> </v>
      </c>
      <c r="C29" s="269" t="str">
        <f t="shared" ca="1" si="1"/>
        <v/>
      </c>
      <c r="D29" s="330" t="str">
        <f t="shared" ca="1" si="2"/>
        <v/>
      </c>
      <c r="E29" s="153"/>
      <c r="F29" s="153"/>
      <c r="G29" s="153"/>
      <c r="H29" s="153"/>
      <c r="I29" s="153"/>
      <c r="J29" s="153"/>
      <c r="K29" s="153"/>
      <c r="L29" s="153"/>
      <c r="M29" s="153"/>
      <c r="N29" s="153"/>
      <c r="O29" s="153"/>
      <c r="P29" s="269" t="str">
        <f ca="1">IF('Planned background (hide)'!B18&lt;Num_Modalities,IF($C$6="Overall",O29,SUM(OFFSET($E29,0,0,1,Num_Modalities))),"")</f>
        <v/>
      </c>
      <c r="Q29" s="273" t="str">
        <f ca="1">IF(AND('Planned background (hide)'!B18&lt;Num_Modalities,R29&lt;&gt;"Yes"),'Planned background (hide)'!S19,"")</f>
        <v/>
      </c>
      <c r="R29" s="153"/>
      <c r="T29" s="36"/>
    </row>
    <row r="30" spans="1:20" x14ac:dyDescent="0.25">
      <c r="A30" s="67" t="str">
        <f t="shared" ca="1" si="3"/>
        <v/>
      </c>
      <c r="B30" s="268" t="str">
        <f t="shared" ca="1" si="0"/>
        <v xml:space="preserve"> </v>
      </c>
      <c r="C30" s="269" t="str">
        <f t="shared" ca="1" si="1"/>
        <v/>
      </c>
      <c r="D30" s="330" t="str">
        <f t="shared" ca="1" si="2"/>
        <v/>
      </c>
      <c r="E30" s="153"/>
      <c r="F30" s="153"/>
      <c r="G30" s="153"/>
      <c r="H30" s="153"/>
      <c r="I30" s="153"/>
      <c r="J30" s="153"/>
      <c r="K30" s="153"/>
      <c r="L30" s="153"/>
      <c r="M30" s="153"/>
      <c r="N30" s="153"/>
      <c r="O30" s="153"/>
      <c r="P30" s="269" t="str">
        <f ca="1">IF('Planned background (hide)'!B19&lt;Num_Modalities,IF($C$6="Overall",O30,SUM(OFFSET($E30,0,0,1,Num_Modalities))),"")</f>
        <v/>
      </c>
      <c r="Q30" s="273" t="str">
        <f ca="1">IF(AND('Planned background (hide)'!B19&lt;Num_Modalities,R30&lt;&gt;"Yes"),'Planned background (hide)'!S20,"")</f>
        <v/>
      </c>
      <c r="R30" s="153"/>
      <c r="T30" s="36"/>
    </row>
    <row r="31" spans="1:20" x14ac:dyDescent="0.25">
      <c r="A31" s="67" t="str">
        <f t="shared" ca="1" si="3"/>
        <v/>
      </c>
      <c r="B31" s="268" t="str">
        <f t="shared" ca="1" si="0"/>
        <v xml:space="preserve"> </v>
      </c>
      <c r="C31" s="269" t="str">
        <f t="shared" ca="1" si="1"/>
        <v/>
      </c>
      <c r="D31" s="330" t="str">
        <f t="shared" ca="1" si="2"/>
        <v/>
      </c>
      <c r="E31" s="153"/>
      <c r="F31" s="153"/>
      <c r="G31" s="153"/>
      <c r="H31" s="153"/>
      <c r="I31" s="153"/>
      <c r="J31" s="153"/>
      <c r="K31" s="153"/>
      <c r="L31" s="153"/>
      <c r="M31" s="153"/>
      <c r="N31" s="153"/>
      <c r="O31" s="153"/>
      <c r="P31" s="269" t="str">
        <f ca="1">IF('Planned background (hide)'!B20&lt;Num_Modalities,IF($C$6="Overall",O31,SUM(OFFSET($E31,0,0,1,Num_Modalities))),"")</f>
        <v/>
      </c>
      <c r="Q31" s="273" t="str">
        <f ca="1">IF(AND('Planned background (hide)'!B20&lt;Num_Modalities,R31&lt;&gt;"Yes"),'Planned background (hide)'!S21,"")</f>
        <v/>
      </c>
      <c r="R31" s="153"/>
      <c r="T31" s="36"/>
    </row>
    <row r="32" spans="1:20" x14ac:dyDescent="0.25">
      <c r="A32" s="67" t="str">
        <f t="shared" ca="1" si="3"/>
        <v/>
      </c>
      <c r="B32" s="268" t="str">
        <f t="shared" ca="1" si="0"/>
        <v xml:space="preserve"> </v>
      </c>
      <c r="C32" s="269" t="str">
        <f t="shared" ca="1" si="1"/>
        <v/>
      </c>
      <c r="D32" s="330" t="str">
        <f t="shared" ca="1" si="2"/>
        <v/>
      </c>
      <c r="E32" s="153"/>
      <c r="F32" s="153"/>
      <c r="G32" s="153"/>
      <c r="H32" s="153"/>
      <c r="I32" s="153"/>
      <c r="J32" s="153"/>
      <c r="K32" s="153"/>
      <c r="L32" s="153"/>
      <c r="M32" s="153"/>
      <c r="N32" s="153"/>
      <c r="O32" s="153"/>
      <c r="P32" s="269" t="str">
        <f ca="1">IF('Planned background (hide)'!B21&lt;Num_Modalities,IF($C$6="Overall",O32,SUM(OFFSET($E32,0,0,1,Num_Modalities))),"")</f>
        <v/>
      </c>
      <c r="Q32" s="273" t="str">
        <f ca="1">IF(AND('Planned background (hide)'!B21&lt;Num_Modalities,R32&lt;&gt;"Yes"),'Planned background (hide)'!S22,"")</f>
        <v/>
      </c>
      <c r="R32" s="153"/>
      <c r="T32" s="36"/>
    </row>
    <row r="33" spans="1:20" x14ac:dyDescent="0.25">
      <c r="A33" s="67" t="str">
        <f t="shared" ca="1" si="3"/>
        <v/>
      </c>
      <c r="B33" s="268" t="str">
        <f t="shared" ca="1" si="0"/>
        <v xml:space="preserve"> </v>
      </c>
      <c r="C33" s="269" t="str">
        <f t="shared" ca="1" si="1"/>
        <v/>
      </c>
      <c r="D33" s="330" t="str">
        <f t="shared" ca="1" si="2"/>
        <v/>
      </c>
      <c r="E33" s="153"/>
      <c r="F33" s="153"/>
      <c r="G33" s="153"/>
      <c r="H33" s="153"/>
      <c r="I33" s="153"/>
      <c r="J33" s="153"/>
      <c r="K33" s="153"/>
      <c r="L33" s="153"/>
      <c r="M33" s="153"/>
      <c r="N33" s="153"/>
      <c r="O33" s="153"/>
      <c r="P33" s="269" t="str">
        <f ca="1">IF('Planned background (hide)'!B22&lt;Num_Modalities,IF($C$6="Overall",O33,SUM(OFFSET($E33,0,0,1,Num_Modalities))),"")</f>
        <v/>
      </c>
      <c r="Q33" s="273" t="str">
        <f ca="1">IF(AND('Planned background (hide)'!B22&lt;Num_Modalities,R33&lt;&gt;"Yes"),'Planned background (hide)'!S23,"")</f>
        <v/>
      </c>
      <c r="R33" s="153"/>
      <c r="T33" s="36"/>
    </row>
    <row r="34" spans="1:20" x14ac:dyDescent="0.25">
      <c r="A34" s="67" t="str">
        <f t="shared" ca="1" si="3"/>
        <v/>
      </c>
      <c r="B34" s="268" t="str">
        <f t="shared" ca="1" si="0"/>
        <v xml:space="preserve"> </v>
      </c>
      <c r="C34" s="269" t="str">
        <f t="shared" ca="1" si="1"/>
        <v/>
      </c>
      <c r="D34" s="330" t="str">
        <f t="shared" ca="1" si="2"/>
        <v/>
      </c>
      <c r="E34" s="153"/>
      <c r="F34" s="153"/>
      <c r="G34" s="153"/>
      <c r="H34" s="153"/>
      <c r="I34" s="153"/>
      <c r="J34" s="153"/>
      <c r="K34" s="153"/>
      <c r="L34" s="153"/>
      <c r="M34" s="153"/>
      <c r="N34" s="153"/>
      <c r="O34" s="153"/>
      <c r="P34" s="269" t="str">
        <f ca="1">IF('Planned background (hide)'!B23&lt;Num_Modalities,IF($C$6="Overall",O34,SUM(OFFSET($E34,0,0,1,Num_Modalities))),"")</f>
        <v/>
      </c>
      <c r="Q34" s="273" t="str">
        <f ca="1">IF(AND('Planned background (hide)'!B23&lt;Num_Modalities,R34&lt;&gt;"Yes"),'Planned background (hide)'!S24,"")</f>
        <v/>
      </c>
      <c r="R34" s="153"/>
      <c r="T34" s="36"/>
    </row>
    <row r="35" spans="1:20" x14ac:dyDescent="0.25">
      <c r="A35" s="67" t="str">
        <f t="shared" ca="1" si="3"/>
        <v/>
      </c>
      <c r="B35" s="268" t="str">
        <f t="shared" ca="1" si="0"/>
        <v xml:space="preserve"> </v>
      </c>
      <c r="C35" s="269" t="str">
        <f t="shared" ca="1" si="1"/>
        <v/>
      </c>
      <c r="D35" s="330" t="str">
        <f t="shared" ca="1" si="2"/>
        <v/>
      </c>
      <c r="E35" s="153"/>
      <c r="F35" s="153"/>
      <c r="G35" s="153"/>
      <c r="H35" s="153"/>
      <c r="I35" s="153"/>
      <c r="J35" s="153"/>
      <c r="K35" s="153"/>
      <c r="L35" s="153"/>
      <c r="M35" s="153"/>
      <c r="N35" s="153"/>
      <c r="O35" s="153"/>
      <c r="P35" s="269" t="str">
        <f ca="1">IF('Planned background (hide)'!B24&lt;Num_Modalities,IF($C$6="Overall",O35,SUM(OFFSET($E35,0,0,1,Num_Modalities))),"")</f>
        <v/>
      </c>
      <c r="Q35" s="273" t="str">
        <f ca="1">IF(AND('Planned background (hide)'!B24&lt;Num_Modalities,R35&lt;&gt;"Yes"),'Planned background (hide)'!S25,"")</f>
        <v/>
      </c>
      <c r="R35" s="153"/>
      <c r="T35" s="36"/>
    </row>
    <row r="36" spans="1:20" x14ac:dyDescent="0.25">
      <c r="A36" s="67" t="str">
        <f t="shared" ca="1" si="3"/>
        <v/>
      </c>
      <c r="B36" s="268" t="str">
        <f t="shared" ca="1" si="0"/>
        <v xml:space="preserve"> </v>
      </c>
      <c r="C36" s="269" t="str">
        <f t="shared" ca="1" si="1"/>
        <v/>
      </c>
      <c r="D36" s="330" t="str">
        <f t="shared" ca="1" si="2"/>
        <v/>
      </c>
      <c r="E36" s="153"/>
      <c r="F36" s="153"/>
      <c r="G36" s="153"/>
      <c r="H36" s="153"/>
      <c r="I36" s="153"/>
      <c r="J36" s="153"/>
      <c r="K36" s="153"/>
      <c r="L36" s="153"/>
      <c r="M36" s="153"/>
      <c r="N36" s="153"/>
      <c r="O36" s="153"/>
      <c r="P36" s="269" t="str">
        <f ca="1">IF('Planned background (hide)'!B25&lt;Num_Modalities,IF($C$6="Overall",O36,SUM(OFFSET($E36,0,0,1,Num_Modalities))),"")</f>
        <v/>
      </c>
      <c r="Q36" s="273" t="str">
        <f ca="1">IF(AND('Planned background (hide)'!B25&lt;Num_Modalities,R36&lt;&gt;"Yes"),'Planned background (hide)'!S26,"")</f>
        <v/>
      </c>
      <c r="R36" s="153"/>
      <c r="T36" s="36"/>
    </row>
    <row r="37" spans="1:20" x14ac:dyDescent="0.25">
      <c r="A37" s="67" t="str">
        <f t="shared" ca="1" si="3"/>
        <v/>
      </c>
      <c r="B37" s="268" t="str">
        <f t="shared" ca="1" si="0"/>
        <v xml:space="preserve"> </v>
      </c>
      <c r="C37" s="269" t="str">
        <f t="shared" ca="1" si="1"/>
        <v/>
      </c>
      <c r="D37" s="330" t="str">
        <f t="shared" ca="1" si="2"/>
        <v/>
      </c>
      <c r="E37" s="153"/>
      <c r="F37" s="153"/>
      <c r="G37" s="153"/>
      <c r="H37" s="153"/>
      <c r="I37" s="153"/>
      <c r="J37" s="153"/>
      <c r="K37" s="153"/>
      <c r="L37" s="153"/>
      <c r="M37" s="153"/>
      <c r="N37" s="153"/>
      <c r="O37" s="153"/>
      <c r="P37" s="269" t="str">
        <f ca="1">IF('Planned background (hide)'!B26&lt;Num_Modalities,IF($C$6="Overall",O37,SUM(OFFSET($E37,0,0,1,Num_Modalities))),"")</f>
        <v/>
      </c>
      <c r="Q37" s="273" t="str">
        <f ca="1">IF(AND('Planned background (hide)'!B26&lt;Num_Modalities,R37&lt;&gt;"Yes"),'Planned background (hide)'!S27,"")</f>
        <v/>
      </c>
      <c r="R37" s="153"/>
      <c r="T37" s="36"/>
    </row>
    <row r="38" spans="1:20" x14ac:dyDescent="0.25">
      <c r="A38" s="67" t="str">
        <f t="shared" ca="1" si="3"/>
        <v/>
      </c>
      <c r="B38" s="268" t="str">
        <f t="shared" ca="1" si="0"/>
        <v xml:space="preserve"> </v>
      </c>
      <c r="C38" s="269" t="str">
        <f t="shared" ca="1" si="1"/>
        <v/>
      </c>
      <c r="D38" s="330" t="str">
        <f t="shared" ca="1" si="2"/>
        <v/>
      </c>
      <c r="E38" s="153"/>
      <c r="F38" s="153"/>
      <c r="G38" s="153"/>
      <c r="H38" s="153"/>
      <c r="I38" s="153"/>
      <c r="J38" s="153"/>
      <c r="K38" s="153"/>
      <c r="L38" s="153"/>
      <c r="M38" s="153"/>
      <c r="N38" s="153"/>
      <c r="O38" s="153"/>
      <c r="P38" s="269" t="str">
        <f ca="1">IF('Planned background (hide)'!B27&lt;Num_Modalities,IF($C$6="Overall",O38,SUM(OFFSET($E38,0,0,1,Num_Modalities))),"")</f>
        <v/>
      </c>
      <c r="Q38" s="273" t="str">
        <f ca="1">IF(AND('Planned background (hide)'!B27&lt;Num_Modalities,R38&lt;&gt;"Yes"),'Planned background (hide)'!S28,"")</f>
        <v/>
      </c>
      <c r="R38" s="153"/>
      <c r="T38" s="36"/>
    </row>
    <row r="39" spans="1:20" x14ac:dyDescent="0.25">
      <c r="A39" s="67" t="str">
        <f t="shared" ca="1" si="3"/>
        <v/>
      </c>
      <c r="B39" s="268" t="str">
        <f t="shared" ca="1" si="0"/>
        <v xml:space="preserve"> </v>
      </c>
      <c r="C39" s="269" t="str">
        <f t="shared" ca="1" si="1"/>
        <v/>
      </c>
      <c r="D39" s="330" t="str">
        <f t="shared" ca="1" si="2"/>
        <v/>
      </c>
      <c r="E39" s="153"/>
      <c r="F39" s="153"/>
      <c r="G39" s="153"/>
      <c r="H39" s="153"/>
      <c r="I39" s="153"/>
      <c r="J39" s="153"/>
      <c r="K39" s="153"/>
      <c r="L39" s="153"/>
      <c r="M39" s="153"/>
      <c r="N39" s="153"/>
      <c r="O39" s="153"/>
      <c r="P39" s="269" t="str">
        <f ca="1">IF('Planned background (hide)'!B28&lt;Num_Modalities,IF($C$6="Overall",O39,SUM(OFFSET($E39,0,0,1,Num_Modalities))),"")</f>
        <v/>
      </c>
      <c r="Q39" s="273" t="str">
        <f ca="1">IF(AND('Planned background (hide)'!B28&lt;Num_Modalities,R39&lt;&gt;"Yes"),'Planned background (hide)'!S29,"")</f>
        <v/>
      </c>
      <c r="R39" s="153"/>
      <c r="T39" s="36"/>
    </row>
    <row r="40" spans="1:20" x14ac:dyDescent="0.25">
      <c r="A40" s="67" t="str">
        <f t="shared" ca="1" si="3"/>
        <v/>
      </c>
      <c r="B40" s="268" t="str">
        <f t="shared" ca="1" si="0"/>
        <v xml:space="preserve"> </v>
      </c>
      <c r="C40" s="269" t="str">
        <f t="shared" ca="1" si="1"/>
        <v/>
      </c>
      <c r="D40" s="330" t="str">
        <f t="shared" ca="1" si="2"/>
        <v/>
      </c>
      <c r="E40" s="153"/>
      <c r="F40" s="153"/>
      <c r="G40" s="153"/>
      <c r="H40" s="153"/>
      <c r="I40" s="153"/>
      <c r="J40" s="153"/>
      <c r="K40" s="153"/>
      <c r="L40" s="153"/>
      <c r="M40" s="153"/>
      <c r="N40" s="153"/>
      <c r="O40" s="153"/>
      <c r="P40" s="269" t="str">
        <f ca="1">IF('Planned background (hide)'!B29&lt;Num_Modalities,IF($C$6="Overall",O40,SUM(OFFSET($E40,0,0,1,Num_Modalities))),"")</f>
        <v/>
      </c>
      <c r="Q40" s="273" t="str">
        <f ca="1">IF(AND('Planned background (hide)'!B29&lt;Num_Modalities,R40&lt;&gt;"Yes"),'Planned background (hide)'!S30,"")</f>
        <v/>
      </c>
      <c r="R40" s="153"/>
      <c r="T40" s="36"/>
    </row>
    <row r="41" spans="1:20" x14ac:dyDescent="0.25">
      <c r="A41" s="67" t="str">
        <f t="shared" ca="1" si="3"/>
        <v/>
      </c>
      <c r="B41" s="268" t="str">
        <f t="shared" ca="1" si="0"/>
        <v xml:space="preserve"> </v>
      </c>
      <c r="C41" s="269" t="str">
        <f t="shared" ca="1" si="1"/>
        <v/>
      </c>
      <c r="D41" s="330" t="str">
        <f t="shared" ca="1" si="2"/>
        <v/>
      </c>
      <c r="E41" s="153"/>
      <c r="F41" s="153"/>
      <c r="G41" s="153"/>
      <c r="H41" s="153"/>
      <c r="I41" s="153"/>
      <c r="J41" s="153"/>
      <c r="K41" s="153"/>
      <c r="L41" s="153"/>
      <c r="M41" s="153"/>
      <c r="N41" s="153"/>
      <c r="O41" s="153"/>
      <c r="P41" s="269" t="str">
        <f ca="1">IF('Planned background (hide)'!B30&lt;Num_Modalities,IF($C$6="Overall",O41,SUM(OFFSET($E41,0,0,1,Num_Modalities))),"")</f>
        <v/>
      </c>
      <c r="Q41" s="273" t="str">
        <f ca="1">IF(AND('Planned background (hide)'!B30&lt;Num_Modalities,R41&lt;&gt;"Yes"),'Planned background (hide)'!S31,"")</f>
        <v/>
      </c>
      <c r="R41" s="153"/>
      <c r="T41" s="36"/>
    </row>
    <row r="42" spans="1:20" x14ac:dyDescent="0.25">
      <c r="A42" s="67" t="str">
        <f t="shared" ca="1" si="3"/>
        <v/>
      </c>
      <c r="B42" s="268" t="str">
        <f t="shared" ca="1" si="0"/>
        <v xml:space="preserve"> </v>
      </c>
      <c r="C42" s="269" t="str">
        <f t="shared" ca="1" si="1"/>
        <v/>
      </c>
      <c r="D42" s="330" t="str">
        <f t="shared" ca="1" si="2"/>
        <v/>
      </c>
      <c r="E42" s="153"/>
      <c r="F42" s="153"/>
      <c r="G42" s="153"/>
      <c r="H42" s="153"/>
      <c r="I42" s="153"/>
      <c r="J42" s="153"/>
      <c r="K42" s="153"/>
      <c r="L42" s="153"/>
      <c r="M42" s="153"/>
      <c r="N42" s="153"/>
      <c r="O42" s="153"/>
      <c r="P42" s="269" t="str">
        <f ca="1">IF('Planned background (hide)'!B31&lt;Num_Modalities,IF($C$6="Overall",O42,SUM(OFFSET($E42,0,0,1,Num_Modalities))),"")</f>
        <v/>
      </c>
      <c r="Q42" s="273" t="str">
        <f ca="1">IF(AND('Planned background (hide)'!B31&lt;Num_Modalities,R42&lt;&gt;"Yes"),'Planned background (hide)'!S32,"")</f>
        <v/>
      </c>
      <c r="R42" s="153"/>
      <c r="T42" s="36"/>
    </row>
    <row r="43" spans="1:20" x14ac:dyDescent="0.25">
      <c r="A43" s="67" t="str">
        <f t="shared" ca="1" si="3"/>
        <v/>
      </c>
      <c r="B43" s="268" t="str">
        <f t="shared" ca="1" si="0"/>
        <v xml:space="preserve"> </v>
      </c>
      <c r="C43" s="269" t="str">
        <f t="shared" ca="1" si="1"/>
        <v/>
      </c>
      <c r="D43" s="330" t="str">
        <f t="shared" ca="1" si="2"/>
        <v/>
      </c>
      <c r="E43" s="153"/>
      <c r="F43" s="153"/>
      <c r="G43" s="153"/>
      <c r="H43" s="153"/>
      <c r="I43" s="153"/>
      <c r="J43" s="153"/>
      <c r="K43" s="153"/>
      <c r="L43" s="153"/>
      <c r="M43" s="153"/>
      <c r="N43" s="153"/>
      <c r="O43" s="153"/>
      <c r="P43" s="269" t="str">
        <f ca="1">IF('Planned background (hide)'!B32&lt;Num_Modalities,IF($C$6="Overall",O43,SUM(OFFSET($E43,0,0,1,Num_Modalities))),"")</f>
        <v/>
      </c>
      <c r="Q43" s="273" t="str">
        <f ca="1">IF(AND('Planned background (hide)'!B32&lt;Num_Modalities,R43&lt;&gt;"Yes"),'Planned background (hide)'!S33,"")</f>
        <v/>
      </c>
      <c r="R43" s="153"/>
      <c r="T43" s="36"/>
    </row>
    <row r="44" spans="1:20" x14ac:dyDescent="0.25">
      <c r="A44" s="67" t="str">
        <f t="shared" ca="1" si="3"/>
        <v/>
      </c>
      <c r="B44" s="268" t="str">
        <f t="shared" ca="1" si="0"/>
        <v xml:space="preserve"> </v>
      </c>
      <c r="C44" s="269" t="str">
        <f t="shared" ca="1" si="1"/>
        <v/>
      </c>
      <c r="D44" s="330" t="str">
        <f t="shared" ca="1" si="2"/>
        <v/>
      </c>
      <c r="E44" s="153"/>
      <c r="F44" s="153"/>
      <c r="G44" s="153"/>
      <c r="H44" s="153"/>
      <c r="I44" s="153"/>
      <c r="J44" s="153"/>
      <c r="K44" s="153"/>
      <c r="L44" s="153"/>
      <c r="M44" s="153"/>
      <c r="N44" s="153"/>
      <c r="O44" s="153"/>
      <c r="P44" s="269" t="str">
        <f ca="1">IF('Planned background (hide)'!B33&lt;Num_Modalities,IF($C$6="Overall",O44,SUM(OFFSET($E44,0,0,1,Num_Modalities))),"")</f>
        <v/>
      </c>
      <c r="Q44" s="273" t="str">
        <f ca="1">IF(AND('Planned background (hide)'!B33&lt;Num_Modalities,R44&lt;&gt;"Yes"),'Planned background (hide)'!S34,"")</f>
        <v/>
      </c>
      <c r="R44" s="153"/>
      <c r="T44" s="36"/>
    </row>
    <row r="45" spans="1:20" x14ac:dyDescent="0.25">
      <c r="A45" s="67" t="str">
        <f t="shared" ca="1" si="3"/>
        <v/>
      </c>
      <c r="B45" s="268" t="str">
        <f t="shared" ca="1" si="0"/>
        <v xml:space="preserve"> </v>
      </c>
      <c r="C45" s="269" t="str">
        <f t="shared" ca="1" si="1"/>
        <v/>
      </c>
      <c r="D45" s="330" t="str">
        <f t="shared" ca="1" si="2"/>
        <v/>
      </c>
      <c r="E45" s="153"/>
      <c r="F45" s="153"/>
      <c r="G45" s="153"/>
      <c r="H45" s="153"/>
      <c r="I45" s="153"/>
      <c r="J45" s="153"/>
      <c r="K45" s="153"/>
      <c r="L45" s="153"/>
      <c r="M45" s="153"/>
      <c r="N45" s="153"/>
      <c r="O45" s="153"/>
      <c r="P45" s="269" t="str">
        <f ca="1">IF('Planned background (hide)'!B34&lt;Num_Modalities,IF($C$6="Overall",O45,SUM(OFFSET($E45,0,0,1,Num_Modalities))),"")</f>
        <v/>
      </c>
      <c r="Q45" s="273" t="str">
        <f ca="1">IF(AND('Planned background (hide)'!B34&lt;Num_Modalities,R45&lt;&gt;"Yes"),'Planned background (hide)'!S35,"")</f>
        <v/>
      </c>
      <c r="R45" s="153"/>
      <c r="T45" s="36"/>
    </row>
    <row r="46" spans="1:20" x14ac:dyDescent="0.25">
      <c r="A46" s="67" t="str">
        <f t="shared" ca="1" si="3"/>
        <v/>
      </c>
      <c r="B46" s="268" t="str">
        <f t="shared" ref="B46:B64" ca="1" si="4">IF(A46&lt;=PMaxRows,IF($C$8&lt;&gt;"",IF(YEAR(D46)&lt;&gt;YEAR(D45),YEAR(D46)," "),IF(C46&lt;&gt;1,"",OFFSET(B46,-C45,0,1,1)+1))," ")</f>
        <v xml:space="preserve"> </v>
      </c>
      <c r="C46" s="269" t="str">
        <f t="shared" ref="C46:C64" ca="1" si="5">IF(ROW(A34)&lt;=PMaxRows,IF($C$8&lt;&gt;"",WEEKNUM(D46,21),IF(MOD((C45+1),53)&gt;0,MOD((C45+1),53),53)),"")</f>
        <v/>
      </c>
      <c r="D46" s="330" t="str">
        <f t="shared" ref="D46:D64" ca="1" si="6">IF(ROW(A34)&lt;=PMaxRows,IF($C$8&lt;&gt;"",D45+7,""),"")</f>
        <v/>
      </c>
      <c r="E46" s="153"/>
      <c r="F46" s="153"/>
      <c r="G46" s="153"/>
      <c r="H46" s="153"/>
      <c r="I46" s="153"/>
      <c r="J46" s="153"/>
      <c r="K46" s="153"/>
      <c r="L46" s="153"/>
      <c r="M46" s="153"/>
      <c r="N46" s="153"/>
      <c r="O46" s="153"/>
      <c r="P46" s="269" t="str">
        <f ca="1">IF('Planned background (hide)'!B35&lt;Num_Modalities,IF($C$6="Overall",O46,SUM(OFFSET($E46,0,0,1,Num_Modalities))),"")</f>
        <v/>
      </c>
      <c r="Q46" s="273" t="str">
        <f ca="1">IF(AND('Planned background (hide)'!B35&lt;Num_Modalities,R46&lt;&gt;"Yes"),'Planned background (hide)'!S36,"")</f>
        <v/>
      </c>
      <c r="R46" s="153"/>
      <c r="T46" s="36"/>
    </row>
    <row r="47" spans="1:20" x14ac:dyDescent="0.25">
      <c r="A47" s="67" t="str">
        <f t="shared" ca="1" si="3"/>
        <v/>
      </c>
      <c r="B47" s="268" t="str">
        <f t="shared" ca="1" si="4"/>
        <v xml:space="preserve"> </v>
      </c>
      <c r="C47" s="269" t="str">
        <f t="shared" ca="1" si="5"/>
        <v/>
      </c>
      <c r="D47" s="330" t="str">
        <f t="shared" ca="1" si="6"/>
        <v/>
      </c>
      <c r="E47" s="153"/>
      <c r="F47" s="153"/>
      <c r="G47" s="153"/>
      <c r="H47" s="153"/>
      <c r="I47" s="153"/>
      <c r="J47" s="153"/>
      <c r="K47" s="153"/>
      <c r="L47" s="153"/>
      <c r="M47" s="153"/>
      <c r="N47" s="153"/>
      <c r="O47" s="153"/>
      <c r="P47" s="269" t="str">
        <f ca="1">IF('Planned background (hide)'!B36&lt;Num_Modalities,IF($C$6="Overall",O47,SUM(OFFSET($E47,0,0,1,Num_Modalities))),"")</f>
        <v/>
      </c>
      <c r="Q47" s="273" t="str">
        <f ca="1">IF(AND('Planned background (hide)'!B36&lt;Num_Modalities,R47&lt;&gt;"Yes"),'Planned background (hide)'!S37,"")</f>
        <v/>
      </c>
      <c r="R47" s="153"/>
      <c r="T47" s="36"/>
    </row>
    <row r="48" spans="1:20" x14ac:dyDescent="0.25">
      <c r="A48" s="67" t="str">
        <f t="shared" ca="1" si="3"/>
        <v/>
      </c>
      <c r="B48" s="268" t="str">
        <f t="shared" ca="1" si="4"/>
        <v xml:space="preserve"> </v>
      </c>
      <c r="C48" s="269" t="str">
        <f t="shared" ca="1" si="5"/>
        <v/>
      </c>
      <c r="D48" s="330" t="str">
        <f t="shared" ca="1" si="6"/>
        <v/>
      </c>
      <c r="E48" s="153"/>
      <c r="F48" s="153"/>
      <c r="G48" s="153"/>
      <c r="H48" s="153"/>
      <c r="I48" s="153"/>
      <c r="J48" s="153"/>
      <c r="K48" s="153"/>
      <c r="L48" s="153"/>
      <c r="M48" s="153"/>
      <c r="N48" s="153"/>
      <c r="O48" s="153"/>
      <c r="P48" s="269" t="str">
        <f ca="1">IF('Planned background (hide)'!B37&lt;Num_Modalities,IF($C$6="Overall",O48,SUM(OFFSET($E48,0,0,1,Num_Modalities))),"")</f>
        <v/>
      </c>
      <c r="Q48" s="273" t="str">
        <f ca="1">IF(AND('Planned background (hide)'!B37&lt;Num_Modalities,R48&lt;&gt;"Yes"),'Planned background (hide)'!S38,"")</f>
        <v/>
      </c>
      <c r="R48" s="153"/>
      <c r="T48" s="36"/>
    </row>
    <row r="49" spans="1:20" x14ac:dyDescent="0.25">
      <c r="A49" s="67" t="str">
        <f t="shared" ca="1" si="3"/>
        <v/>
      </c>
      <c r="B49" s="268" t="str">
        <f t="shared" ca="1" si="4"/>
        <v xml:space="preserve"> </v>
      </c>
      <c r="C49" s="269" t="str">
        <f t="shared" ca="1" si="5"/>
        <v/>
      </c>
      <c r="D49" s="330" t="str">
        <f t="shared" ca="1" si="6"/>
        <v/>
      </c>
      <c r="E49" s="153"/>
      <c r="F49" s="153"/>
      <c r="G49" s="153"/>
      <c r="H49" s="153"/>
      <c r="I49" s="153"/>
      <c r="J49" s="153"/>
      <c r="K49" s="153"/>
      <c r="L49" s="153"/>
      <c r="M49" s="153"/>
      <c r="N49" s="153"/>
      <c r="O49" s="153"/>
      <c r="P49" s="269" t="str">
        <f ca="1">IF('Planned background (hide)'!B38&lt;Num_Modalities,IF($C$6="Overall",O49,SUM(OFFSET($E49,0,0,1,Num_Modalities))),"")</f>
        <v/>
      </c>
      <c r="Q49" s="273" t="str">
        <f ca="1">IF(AND('Planned background (hide)'!B38&lt;Num_Modalities,R49&lt;&gt;"Yes"),'Planned background (hide)'!S39,"")</f>
        <v/>
      </c>
      <c r="R49" s="153"/>
      <c r="T49" s="36"/>
    </row>
    <row r="50" spans="1:20" x14ac:dyDescent="0.25">
      <c r="A50" s="67" t="str">
        <f t="shared" ca="1" si="3"/>
        <v/>
      </c>
      <c r="B50" s="268" t="str">
        <f t="shared" ca="1" si="4"/>
        <v xml:space="preserve"> </v>
      </c>
      <c r="C50" s="269" t="str">
        <f t="shared" ca="1" si="5"/>
        <v/>
      </c>
      <c r="D50" s="330" t="str">
        <f t="shared" ca="1" si="6"/>
        <v/>
      </c>
      <c r="E50" s="153"/>
      <c r="F50" s="153"/>
      <c r="G50" s="153"/>
      <c r="H50" s="153"/>
      <c r="I50" s="153"/>
      <c r="J50" s="153"/>
      <c r="K50" s="153"/>
      <c r="L50" s="153"/>
      <c r="M50" s="153"/>
      <c r="N50" s="153"/>
      <c r="O50" s="153"/>
      <c r="P50" s="269" t="str">
        <f ca="1">IF('Planned background (hide)'!B39&lt;Num_Modalities,IF($C$6="Overall",O50,SUM(OFFSET($E50,0,0,1,Num_Modalities))),"")</f>
        <v/>
      </c>
      <c r="Q50" s="273" t="str">
        <f ca="1">IF(AND('Planned background (hide)'!B39&lt;Num_Modalities,R50&lt;&gt;"Yes"),'Planned background (hide)'!S40,"")</f>
        <v/>
      </c>
      <c r="R50" s="153"/>
      <c r="T50" s="36"/>
    </row>
    <row r="51" spans="1:20" x14ac:dyDescent="0.25">
      <c r="A51" s="67" t="str">
        <f t="shared" ca="1" si="3"/>
        <v/>
      </c>
      <c r="B51" s="268" t="str">
        <f t="shared" ca="1" si="4"/>
        <v xml:space="preserve"> </v>
      </c>
      <c r="C51" s="269" t="str">
        <f t="shared" ca="1" si="5"/>
        <v/>
      </c>
      <c r="D51" s="330" t="str">
        <f t="shared" ca="1" si="6"/>
        <v/>
      </c>
      <c r="E51" s="153"/>
      <c r="F51" s="153"/>
      <c r="G51" s="153"/>
      <c r="H51" s="153"/>
      <c r="I51" s="153"/>
      <c r="J51" s="153"/>
      <c r="K51" s="153"/>
      <c r="L51" s="153"/>
      <c r="M51" s="153"/>
      <c r="N51" s="153"/>
      <c r="O51" s="153"/>
      <c r="P51" s="269" t="str">
        <f ca="1">IF('Planned background (hide)'!B40&lt;Num_Modalities,IF($C$6="Overall",O51,SUM(OFFSET($E51,0,0,1,Num_Modalities))),"")</f>
        <v/>
      </c>
      <c r="Q51" s="273" t="str">
        <f ca="1">IF(AND('Planned background (hide)'!B40&lt;Num_Modalities,R51&lt;&gt;"Yes"),'Planned background (hide)'!S41,"")</f>
        <v/>
      </c>
      <c r="R51" s="153"/>
      <c r="T51" s="36"/>
    </row>
    <row r="52" spans="1:20" x14ac:dyDescent="0.25">
      <c r="A52" s="67" t="str">
        <f t="shared" ca="1" si="3"/>
        <v/>
      </c>
      <c r="B52" s="268" t="str">
        <f t="shared" ca="1" si="4"/>
        <v xml:space="preserve"> </v>
      </c>
      <c r="C52" s="269" t="str">
        <f t="shared" ca="1" si="5"/>
        <v/>
      </c>
      <c r="D52" s="330" t="str">
        <f t="shared" ca="1" si="6"/>
        <v/>
      </c>
      <c r="E52" s="153"/>
      <c r="F52" s="153"/>
      <c r="G52" s="153"/>
      <c r="H52" s="153"/>
      <c r="I52" s="153"/>
      <c r="J52" s="153"/>
      <c r="K52" s="153"/>
      <c r="L52" s="153"/>
      <c r="M52" s="153"/>
      <c r="N52" s="153"/>
      <c r="O52" s="153"/>
      <c r="P52" s="269" t="str">
        <f ca="1">IF('Planned background (hide)'!B41&lt;Num_Modalities,IF($C$6="Overall",O52,SUM(OFFSET($E52,0,0,1,Num_Modalities))),"")</f>
        <v/>
      </c>
      <c r="Q52" s="273" t="str">
        <f ca="1">IF(AND('Planned background (hide)'!B41&lt;Num_Modalities,R52&lt;&gt;"Yes"),'Planned background (hide)'!S42,"")</f>
        <v/>
      </c>
      <c r="R52" s="153"/>
      <c r="T52" s="36"/>
    </row>
    <row r="53" spans="1:20" x14ac:dyDescent="0.25">
      <c r="A53" s="67" t="str">
        <f t="shared" ca="1" si="3"/>
        <v/>
      </c>
      <c r="B53" s="268" t="str">
        <f t="shared" ca="1" si="4"/>
        <v xml:space="preserve"> </v>
      </c>
      <c r="C53" s="269" t="str">
        <f t="shared" ca="1" si="5"/>
        <v/>
      </c>
      <c r="D53" s="330" t="str">
        <f t="shared" ca="1" si="6"/>
        <v/>
      </c>
      <c r="E53" s="153"/>
      <c r="F53" s="153"/>
      <c r="G53" s="153"/>
      <c r="H53" s="153"/>
      <c r="I53" s="153"/>
      <c r="J53" s="153"/>
      <c r="K53" s="153"/>
      <c r="L53" s="153"/>
      <c r="M53" s="153"/>
      <c r="N53" s="153"/>
      <c r="O53" s="153"/>
      <c r="P53" s="269" t="str">
        <f ca="1">IF('Planned background (hide)'!B42&lt;Num_Modalities,IF($C$6="Overall",O53,SUM(OFFSET($E53,0,0,1,Num_Modalities))),"")</f>
        <v/>
      </c>
      <c r="Q53" s="273" t="str">
        <f ca="1">IF(AND('Planned background (hide)'!B42&lt;Num_Modalities,R53&lt;&gt;"Yes"),'Planned background (hide)'!S43,"")</f>
        <v/>
      </c>
      <c r="R53" s="153"/>
      <c r="T53" s="36"/>
    </row>
    <row r="54" spans="1:20" x14ac:dyDescent="0.25">
      <c r="A54" s="67" t="str">
        <f t="shared" ca="1" si="3"/>
        <v/>
      </c>
      <c r="B54" s="268" t="str">
        <f t="shared" ca="1" si="4"/>
        <v xml:space="preserve"> </v>
      </c>
      <c r="C54" s="269" t="str">
        <f t="shared" ca="1" si="5"/>
        <v/>
      </c>
      <c r="D54" s="330" t="str">
        <f t="shared" ca="1" si="6"/>
        <v/>
      </c>
      <c r="E54" s="153"/>
      <c r="F54" s="153"/>
      <c r="G54" s="153"/>
      <c r="H54" s="153"/>
      <c r="I54" s="153"/>
      <c r="J54" s="153"/>
      <c r="K54" s="153"/>
      <c r="L54" s="153"/>
      <c r="M54" s="153"/>
      <c r="N54" s="153"/>
      <c r="O54" s="153"/>
      <c r="P54" s="269" t="str">
        <f ca="1">IF('Planned background (hide)'!B43&lt;Num_Modalities,IF($C$6="Overall",O54,SUM(OFFSET($E54,0,0,1,Num_Modalities))),"")</f>
        <v/>
      </c>
      <c r="Q54" s="273" t="str">
        <f ca="1">IF(AND('Planned background (hide)'!B43&lt;Num_Modalities,R54&lt;&gt;"Yes"),'Planned background (hide)'!S44,"")</f>
        <v/>
      </c>
      <c r="R54" s="153"/>
      <c r="T54" s="36"/>
    </row>
    <row r="55" spans="1:20" x14ac:dyDescent="0.25">
      <c r="A55" s="67" t="str">
        <f t="shared" ca="1" si="3"/>
        <v/>
      </c>
      <c r="B55" s="268" t="str">
        <f t="shared" ca="1" si="4"/>
        <v xml:space="preserve"> </v>
      </c>
      <c r="C55" s="269" t="str">
        <f t="shared" ca="1" si="5"/>
        <v/>
      </c>
      <c r="D55" s="330" t="str">
        <f t="shared" ca="1" si="6"/>
        <v/>
      </c>
      <c r="E55" s="153"/>
      <c r="F55" s="153"/>
      <c r="G55" s="153"/>
      <c r="H55" s="153"/>
      <c r="I55" s="153"/>
      <c r="J55" s="153"/>
      <c r="K55" s="153"/>
      <c r="L55" s="153"/>
      <c r="M55" s="153"/>
      <c r="N55" s="153"/>
      <c r="O55" s="153"/>
      <c r="P55" s="269" t="str">
        <f ca="1">IF('Planned background (hide)'!B44&lt;Num_Modalities,IF($C$6="Overall",O55,SUM(OFFSET($E55,0,0,1,Num_Modalities))),"")</f>
        <v/>
      </c>
      <c r="Q55" s="273" t="str">
        <f ca="1">IF(AND('Planned background (hide)'!B44&lt;Num_Modalities,R55&lt;&gt;"Yes"),'Planned background (hide)'!S45,"")</f>
        <v/>
      </c>
      <c r="R55" s="153"/>
      <c r="T55" s="36"/>
    </row>
    <row r="56" spans="1:20" x14ac:dyDescent="0.25">
      <c r="A56" s="67" t="str">
        <f t="shared" ca="1" si="3"/>
        <v/>
      </c>
      <c r="B56" s="268" t="str">
        <f t="shared" ca="1" si="4"/>
        <v xml:space="preserve"> </v>
      </c>
      <c r="C56" s="269" t="str">
        <f t="shared" ca="1" si="5"/>
        <v/>
      </c>
      <c r="D56" s="330" t="str">
        <f t="shared" ca="1" si="6"/>
        <v/>
      </c>
      <c r="E56" s="153"/>
      <c r="F56" s="153"/>
      <c r="G56" s="153"/>
      <c r="H56" s="153"/>
      <c r="I56" s="153"/>
      <c r="J56" s="153"/>
      <c r="K56" s="153"/>
      <c r="L56" s="153"/>
      <c r="M56" s="153"/>
      <c r="N56" s="153"/>
      <c r="O56" s="153"/>
      <c r="P56" s="269" t="str">
        <f ca="1">IF('Planned background (hide)'!B45&lt;Num_Modalities,IF($C$6="Overall",O56,SUM(OFFSET($E56,0,0,1,Num_Modalities))),"")</f>
        <v/>
      </c>
      <c r="Q56" s="273" t="str">
        <f ca="1">IF(AND('Planned background (hide)'!B45&lt;Num_Modalities,R56&lt;&gt;"Yes"),'Planned background (hide)'!S46,"")</f>
        <v/>
      </c>
      <c r="R56" s="153"/>
      <c r="T56" s="36"/>
    </row>
    <row r="57" spans="1:20" x14ac:dyDescent="0.25">
      <c r="A57" s="67" t="str">
        <f t="shared" ca="1" si="3"/>
        <v/>
      </c>
      <c r="B57" s="268" t="str">
        <f t="shared" ca="1" si="4"/>
        <v xml:space="preserve"> </v>
      </c>
      <c r="C57" s="269" t="str">
        <f t="shared" ca="1" si="5"/>
        <v/>
      </c>
      <c r="D57" s="330" t="str">
        <f t="shared" ca="1" si="6"/>
        <v/>
      </c>
      <c r="E57" s="153"/>
      <c r="F57" s="153"/>
      <c r="G57" s="153"/>
      <c r="H57" s="153"/>
      <c r="I57" s="153"/>
      <c r="J57" s="153"/>
      <c r="K57" s="153"/>
      <c r="L57" s="153"/>
      <c r="M57" s="153"/>
      <c r="N57" s="153"/>
      <c r="O57" s="153"/>
      <c r="P57" s="269" t="str">
        <f ca="1">IF('Planned background (hide)'!B46&lt;Num_Modalities,IF($C$6="Overall",O57,SUM(OFFSET($E57,0,0,1,Num_Modalities))),"")</f>
        <v/>
      </c>
      <c r="Q57" s="273" t="str">
        <f ca="1">IF(AND('Planned background (hide)'!B46&lt;Num_Modalities,R57&lt;&gt;"Yes"),'Planned background (hide)'!S47,"")</f>
        <v/>
      </c>
      <c r="R57" s="153"/>
      <c r="T57" s="36"/>
    </row>
    <row r="58" spans="1:20" x14ac:dyDescent="0.25">
      <c r="A58" s="67" t="str">
        <f t="shared" ca="1" si="3"/>
        <v/>
      </c>
      <c r="B58" s="268" t="str">
        <f t="shared" ca="1" si="4"/>
        <v xml:space="preserve"> </v>
      </c>
      <c r="C58" s="269" t="str">
        <f t="shared" ca="1" si="5"/>
        <v/>
      </c>
      <c r="D58" s="330" t="str">
        <f t="shared" ca="1" si="6"/>
        <v/>
      </c>
      <c r="E58" s="153"/>
      <c r="F58" s="153"/>
      <c r="G58" s="153"/>
      <c r="H58" s="153"/>
      <c r="I58" s="153"/>
      <c r="J58" s="153"/>
      <c r="K58" s="153"/>
      <c r="L58" s="153"/>
      <c r="M58" s="153"/>
      <c r="N58" s="153"/>
      <c r="O58" s="153"/>
      <c r="P58" s="269" t="str">
        <f ca="1">IF('Planned background (hide)'!B47&lt;Num_Modalities,IF($C$6="Overall",O58,SUM(OFFSET($E58,0,0,1,Num_Modalities))),"")</f>
        <v/>
      </c>
      <c r="Q58" s="273" t="str">
        <f ca="1">IF(AND('Planned background (hide)'!B47&lt;Num_Modalities,R58&lt;&gt;"Yes"),'Planned background (hide)'!S48,"")</f>
        <v/>
      </c>
      <c r="R58" s="153"/>
      <c r="T58" s="36"/>
    </row>
    <row r="59" spans="1:20" x14ac:dyDescent="0.25">
      <c r="A59" s="67" t="str">
        <f t="shared" ca="1" si="3"/>
        <v/>
      </c>
      <c r="B59" s="268" t="str">
        <f t="shared" ca="1" si="4"/>
        <v xml:space="preserve"> </v>
      </c>
      <c r="C59" s="269" t="str">
        <f t="shared" ca="1" si="5"/>
        <v/>
      </c>
      <c r="D59" s="330" t="str">
        <f t="shared" ca="1" si="6"/>
        <v/>
      </c>
      <c r="E59" s="153"/>
      <c r="F59" s="153"/>
      <c r="G59" s="153"/>
      <c r="H59" s="153"/>
      <c r="I59" s="153"/>
      <c r="J59" s="153"/>
      <c r="K59" s="153"/>
      <c r="L59" s="153"/>
      <c r="M59" s="153"/>
      <c r="N59" s="153"/>
      <c r="O59" s="153"/>
      <c r="P59" s="269" t="str">
        <f ca="1">IF('Planned background (hide)'!B48&lt;Num_Modalities,IF($C$6="Overall",O59,SUM(OFFSET($E59,0,0,1,Num_Modalities))),"")</f>
        <v/>
      </c>
      <c r="Q59" s="273" t="str">
        <f ca="1">IF(AND('Planned background (hide)'!B48&lt;Num_Modalities,R59&lt;&gt;"Yes"),'Planned background (hide)'!S49,"")</f>
        <v/>
      </c>
      <c r="R59" s="153"/>
      <c r="T59" s="36"/>
    </row>
    <row r="60" spans="1:20" x14ac:dyDescent="0.25">
      <c r="A60" s="67" t="str">
        <f t="shared" ca="1" si="3"/>
        <v/>
      </c>
      <c r="B60" s="268" t="str">
        <f t="shared" ca="1" si="4"/>
        <v xml:space="preserve"> </v>
      </c>
      <c r="C60" s="269" t="str">
        <f t="shared" ca="1" si="5"/>
        <v/>
      </c>
      <c r="D60" s="330" t="str">
        <f t="shared" ca="1" si="6"/>
        <v/>
      </c>
      <c r="E60" s="153"/>
      <c r="F60" s="153"/>
      <c r="G60" s="153"/>
      <c r="H60" s="153"/>
      <c r="I60" s="153"/>
      <c r="J60" s="153"/>
      <c r="K60" s="153"/>
      <c r="L60" s="153"/>
      <c r="M60" s="153"/>
      <c r="N60" s="153"/>
      <c r="O60" s="153"/>
      <c r="P60" s="269" t="str">
        <f ca="1">IF('Planned background (hide)'!B49&lt;Num_Modalities,IF($C$6="Overall",O60,SUM(OFFSET($E60,0,0,1,Num_Modalities))),"")</f>
        <v/>
      </c>
      <c r="Q60" s="273" t="str">
        <f ca="1">IF(AND('Planned background (hide)'!B49&lt;Num_Modalities,R60&lt;&gt;"Yes"),'Planned background (hide)'!S50,"")</f>
        <v/>
      </c>
      <c r="R60" s="153"/>
      <c r="T60" s="36"/>
    </row>
    <row r="61" spans="1:20" x14ac:dyDescent="0.25">
      <c r="A61" s="67" t="str">
        <f t="shared" ca="1" si="3"/>
        <v/>
      </c>
      <c r="B61" s="268" t="str">
        <f t="shared" ca="1" si="4"/>
        <v xml:space="preserve"> </v>
      </c>
      <c r="C61" s="269" t="str">
        <f t="shared" ca="1" si="5"/>
        <v/>
      </c>
      <c r="D61" s="330" t="str">
        <f t="shared" ca="1" si="6"/>
        <v/>
      </c>
      <c r="E61" s="153"/>
      <c r="F61" s="153"/>
      <c r="G61" s="153"/>
      <c r="H61" s="153"/>
      <c r="I61" s="153"/>
      <c r="J61" s="153"/>
      <c r="K61" s="153"/>
      <c r="L61" s="153"/>
      <c r="M61" s="153"/>
      <c r="N61" s="153"/>
      <c r="O61" s="153"/>
      <c r="P61" s="269" t="str">
        <f ca="1">IF('Planned background (hide)'!B50&lt;Num_Modalities,IF($C$6="Overall",O61,SUM(OFFSET($E61,0,0,1,Num_Modalities))),"")</f>
        <v/>
      </c>
      <c r="Q61" s="273" t="str">
        <f ca="1">IF(AND('Planned background (hide)'!B50&lt;Num_Modalities,R61&lt;&gt;"Yes"),'Planned background (hide)'!S51,"")</f>
        <v/>
      </c>
      <c r="R61" s="153"/>
      <c r="T61" s="36"/>
    </row>
    <row r="62" spans="1:20" x14ac:dyDescent="0.25">
      <c r="A62" s="67" t="str">
        <f t="shared" ca="1" si="3"/>
        <v/>
      </c>
      <c r="B62" s="268" t="str">
        <f t="shared" ca="1" si="4"/>
        <v xml:space="preserve"> </v>
      </c>
      <c r="C62" s="269" t="str">
        <f t="shared" ca="1" si="5"/>
        <v/>
      </c>
      <c r="D62" s="330" t="str">
        <f t="shared" ca="1" si="6"/>
        <v/>
      </c>
      <c r="E62" s="153"/>
      <c r="F62" s="153"/>
      <c r="G62" s="153"/>
      <c r="H62" s="153"/>
      <c r="I62" s="153"/>
      <c r="J62" s="153"/>
      <c r="K62" s="153"/>
      <c r="L62" s="153"/>
      <c r="M62" s="153"/>
      <c r="N62" s="153"/>
      <c r="O62" s="153"/>
      <c r="P62" s="269" t="str">
        <f ca="1">IF('Planned background (hide)'!B51&lt;Num_Modalities,IF($C$6="Overall",O62,SUM(OFFSET($E62,0,0,1,Num_Modalities))),"")</f>
        <v/>
      </c>
      <c r="Q62" s="273" t="str">
        <f ca="1">IF(AND('Planned background (hide)'!B51&lt;Num_Modalities,R62&lt;&gt;"Yes"),'Planned background (hide)'!S52,"")</f>
        <v/>
      </c>
      <c r="R62" s="153"/>
      <c r="T62" s="36"/>
    </row>
    <row r="63" spans="1:20" x14ac:dyDescent="0.25">
      <c r="A63" s="67" t="str">
        <f t="shared" ca="1" si="3"/>
        <v/>
      </c>
      <c r="B63" s="268" t="str">
        <f t="shared" ca="1" si="4"/>
        <v xml:space="preserve"> </v>
      </c>
      <c r="C63" s="269" t="str">
        <f t="shared" ca="1" si="5"/>
        <v/>
      </c>
      <c r="D63" s="330" t="str">
        <f t="shared" ca="1" si="6"/>
        <v/>
      </c>
      <c r="E63" s="153"/>
      <c r="F63" s="153"/>
      <c r="G63" s="153"/>
      <c r="H63" s="153"/>
      <c r="I63" s="153"/>
      <c r="J63" s="153"/>
      <c r="K63" s="153"/>
      <c r="L63" s="153"/>
      <c r="M63" s="153"/>
      <c r="N63" s="153"/>
      <c r="O63" s="153"/>
      <c r="P63" s="269" t="str">
        <f ca="1">IF('Planned background (hide)'!B52&lt;Num_Modalities,IF($C$6="Overall",O63,SUM(OFFSET($E63,0,0,1,Num_Modalities))),"")</f>
        <v/>
      </c>
      <c r="Q63" s="273" t="str">
        <f ca="1">IF(AND('Planned background (hide)'!B52&lt;Num_Modalities,R63&lt;&gt;"Yes"),'Planned background (hide)'!S53,"")</f>
        <v/>
      </c>
      <c r="R63" s="153"/>
      <c r="T63" s="36"/>
    </row>
    <row r="64" spans="1:20" x14ac:dyDescent="0.25">
      <c r="A64" s="67" t="str">
        <f t="shared" ca="1" si="3"/>
        <v/>
      </c>
      <c r="B64" s="268" t="str">
        <f t="shared" ca="1" si="4"/>
        <v xml:space="preserve"> </v>
      </c>
      <c r="C64" s="269" t="str">
        <f t="shared" ca="1" si="5"/>
        <v/>
      </c>
      <c r="D64" s="330" t="str">
        <f t="shared" ca="1" si="6"/>
        <v/>
      </c>
      <c r="E64" s="153"/>
      <c r="F64" s="153"/>
      <c r="G64" s="153"/>
      <c r="H64" s="153"/>
      <c r="I64" s="153"/>
      <c r="J64" s="153"/>
      <c r="K64" s="153"/>
      <c r="L64" s="153"/>
      <c r="M64" s="153"/>
      <c r="N64" s="153"/>
      <c r="O64" s="153"/>
      <c r="P64" s="269" t="str">
        <f ca="1">IF('Planned background (hide)'!B53&lt;Num_Modalities,IF($C$6="Overall",O64,SUM(OFFSET($E64,0,0,1,Num_Modalities))),"")</f>
        <v/>
      </c>
      <c r="Q64" s="273" t="str">
        <f ca="1">IF(AND('Planned background (hide)'!B53&lt;Num_Modalities,R64&lt;&gt;"Yes"),'Planned background (hide)'!S54,"")</f>
        <v/>
      </c>
      <c r="R64" s="153"/>
      <c r="T64" s="36"/>
    </row>
    <row r="65" spans="2:4" x14ac:dyDescent="0.25">
      <c r="B65" s="48"/>
      <c r="D65" s="36"/>
    </row>
    <row r="66" spans="2:4" x14ac:dyDescent="0.25">
      <c r="B66" s="48"/>
      <c r="D66" s="36"/>
    </row>
    <row r="67" spans="2:4" x14ac:dyDescent="0.25">
      <c r="B67" s="48"/>
      <c r="D67" s="36"/>
    </row>
    <row r="68" spans="2:4" x14ac:dyDescent="0.25">
      <c r="B68" s="48"/>
      <c r="D68" s="36"/>
    </row>
    <row r="69" spans="2:4" x14ac:dyDescent="0.25">
      <c r="B69" s="48"/>
      <c r="D69" s="36"/>
    </row>
    <row r="70" spans="2:4" x14ac:dyDescent="0.25">
      <c r="B70" s="48"/>
      <c r="D70" s="36"/>
    </row>
    <row r="71" spans="2:4" x14ac:dyDescent="0.25">
      <c r="B71" s="48"/>
      <c r="D71" s="36"/>
    </row>
    <row r="72" spans="2:4" x14ac:dyDescent="0.25">
      <c r="B72" s="48"/>
      <c r="D72" s="36"/>
    </row>
    <row r="73" spans="2:4" x14ac:dyDescent="0.25">
      <c r="B73" s="48"/>
      <c r="D73" s="36"/>
    </row>
    <row r="74" spans="2:4" x14ac:dyDescent="0.25">
      <c r="B74" s="48"/>
      <c r="D74" s="36"/>
    </row>
    <row r="75" spans="2:4" x14ac:dyDescent="0.25">
      <c r="B75" s="48"/>
      <c r="D75" s="36"/>
    </row>
    <row r="76" spans="2:4" x14ac:dyDescent="0.25">
      <c r="B76" s="48"/>
      <c r="D76" s="36"/>
    </row>
    <row r="77" spans="2:4" x14ac:dyDescent="0.25">
      <c r="B77" s="48"/>
      <c r="D77" s="36"/>
    </row>
    <row r="78" spans="2:4" x14ac:dyDescent="0.25">
      <c r="B78" s="48"/>
      <c r="D78" s="36"/>
    </row>
    <row r="79" spans="2:4" x14ac:dyDescent="0.25">
      <c r="B79" s="48"/>
      <c r="D79" s="36"/>
    </row>
    <row r="80" spans="2:4" x14ac:dyDescent="0.25">
      <c r="B80" s="48"/>
      <c r="D80" s="36"/>
    </row>
    <row r="81" spans="2:4" x14ac:dyDescent="0.25">
      <c r="B81" s="48"/>
      <c r="D81" s="36"/>
    </row>
    <row r="82" spans="2:4" x14ac:dyDescent="0.25">
      <c r="B82" s="48"/>
      <c r="D82" s="36"/>
    </row>
    <row r="83" spans="2:4" x14ac:dyDescent="0.25">
      <c r="B83" s="48"/>
      <c r="D83" s="36"/>
    </row>
    <row r="84" spans="2:4" x14ac:dyDescent="0.25">
      <c r="B84" s="48"/>
      <c r="D84" s="36"/>
    </row>
    <row r="85" spans="2:4" x14ac:dyDescent="0.25">
      <c r="B85" s="48"/>
      <c r="D85" s="36"/>
    </row>
    <row r="86" spans="2:4" x14ac:dyDescent="0.25">
      <c r="B86" s="48"/>
      <c r="D86" s="36"/>
    </row>
    <row r="87" spans="2:4" x14ac:dyDescent="0.25">
      <c r="B87" s="48"/>
      <c r="D87" s="36"/>
    </row>
    <row r="88" spans="2:4" x14ac:dyDescent="0.25">
      <c r="B88" s="48"/>
      <c r="D88" s="36"/>
    </row>
    <row r="89" spans="2:4" x14ac:dyDescent="0.25">
      <c r="B89" s="48"/>
      <c r="D89" s="36"/>
    </row>
    <row r="90" spans="2:4" x14ac:dyDescent="0.25">
      <c r="B90" s="48"/>
      <c r="D90" s="36"/>
    </row>
    <row r="91" spans="2:4" x14ac:dyDescent="0.25">
      <c r="B91" s="48"/>
      <c r="D91" s="36"/>
    </row>
    <row r="92" spans="2:4" x14ac:dyDescent="0.25">
      <c r="B92" s="48"/>
      <c r="D92" s="36"/>
    </row>
    <row r="93" spans="2:4" x14ac:dyDescent="0.25">
      <c r="B93" s="48"/>
      <c r="D93" s="36"/>
    </row>
    <row r="94" spans="2:4" x14ac:dyDescent="0.25">
      <c r="B94" s="48"/>
      <c r="D94" s="36"/>
    </row>
    <row r="95" spans="2:4" x14ac:dyDescent="0.25">
      <c r="B95" s="48"/>
      <c r="D95" s="36"/>
    </row>
    <row r="96" spans="2:4" x14ac:dyDescent="0.25">
      <c r="B96" s="48"/>
      <c r="D96" s="36"/>
    </row>
    <row r="97" spans="2:4" x14ac:dyDescent="0.25">
      <c r="B97" s="48"/>
      <c r="D97" s="36"/>
    </row>
    <row r="98" spans="2:4" x14ac:dyDescent="0.25">
      <c r="B98" s="48"/>
      <c r="D98" s="36"/>
    </row>
    <row r="99" spans="2:4" x14ac:dyDescent="0.25">
      <c r="B99" s="48"/>
      <c r="D99" s="36"/>
    </row>
    <row r="100" spans="2:4" x14ac:dyDescent="0.25">
      <c r="B100" s="48"/>
      <c r="D100" s="36"/>
    </row>
    <row r="101" spans="2:4" x14ac:dyDescent="0.25">
      <c r="B101" s="48"/>
      <c r="D101" s="36"/>
    </row>
    <row r="102" spans="2:4" x14ac:dyDescent="0.25">
      <c r="B102" s="48"/>
      <c r="D102" s="36"/>
    </row>
    <row r="103" spans="2:4" x14ac:dyDescent="0.25">
      <c r="B103" s="48"/>
      <c r="D103" s="36"/>
    </row>
    <row r="104" spans="2:4" x14ac:dyDescent="0.25">
      <c r="B104" s="48"/>
      <c r="D104" s="36"/>
    </row>
    <row r="105" spans="2:4" x14ac:dyDescent="0.25">
      <c r="B105" s="48"/>
      <c r="D105" s="36"/>
    </row>
    <row r="106" spans="2:4" x14ac:dyDescent="0.25">
      <c r="B106" s="48"/>
      <c r="D106" s="36"/>
    </row>
    <row r="107" spans="2:4" x14ac:dyDescent="0.25">
      <c r="B107" s="48"/>
      <c r="D107" s="36"/>
    </row>
    <row r="108" spans="2:4" x14ac:dyDescent="0.25">
      <c r="B108" s="48"/>
      <c r="D108" s="36"/>
    </row>
    <row r="109" spans="2:4" x14ac:dyDescent="0.25">
      <c r="B109" s="48"/>
      <c r="D109" s="36"/>
    </row>
    <row r="110" spans="2:4" x14ac:dyDescent="0.25">
      <c r="B110" s="48"/>
      <c r="D110" s="36"/>
    </row>
    <row r="111" spans="2:4" x14ac:dyDescent="0.25">
      <c r="B111" s="48"/>
      <c r="D111" s="36"/>
    </row>
    <row r="112" spans="2:4" x14ac:dyDescent="0.25">
      <c r="B112" s="48"/>
      <c r="D112" s="36"/>
    </row>
    <row r="113" spans="2:4" x14ac:dyDescent="0.25">
      <c r="B113" s="48"/>
      <c r="D113" s="36"/>
    </row>
    <row r="114" spans="2:4" x14ac:dyDescent="0.25">
      <c r="B114" s="48"/>
      <c r="D114" s="36"/>
    </row>
    <row r="115" spans="2:4" x14ac:dyDescent="0.25">
      <c r="B115" s="48"/>
      <c r="D115" s="36"/>
    </row>
    <row r="116" spans="2:4" x14ac:dyDescent="0.25">
      <c r="B116" s="48"/>
      <c r="D116" s="36"/>
    </row>
    <row r="117" spans="2:4" x14ac:dyDescent="0.25">
      <c r="B117" s="48"/>
      <c r="D117" s="36"/>
    </row>
    <row r="118" spans="2:4" x14ac:dyDescent="0.25">
      <c r="B118" s="48"/>
      <c r="D118" s="36"/>
    </row>
    <row r="119" spans="2:4" x14ac:dyDescent="0.25">
      <c r="B119" s="48"/>
      <c r="D119" s="36"/>
    </row>
    <row r="120" spans="2:4" x14ac:dyDescent="0.25">
      <c r="B120" s="48"/>
      <c r="D120" s="36"/>
    </row>
    <row r="121" spans="2:4" x14ac:dyDescent="0.25">
      <c r="B121" s="48"/>
      <c r="D121" s="36"/>
    </row>
    <row r="122" spans="2:4" x14ac:dyDescent="0.25">
      <c r="B122" s="48"/>
      <c r="D122" s="36"/>
    </row>
    <row r="123" spans="2:4" x14ac:dyDescent="0.25">
      <c r="B123" s="48"/>
      <c r="D123" s="36"/>
    </row>
    <row r="124" spans="2:4" x14ac:dyDescent="0.25">
      <c r="B124" s="48"/>
      <c r="D124" s="36"/>
    </row>
    <row r="125" spans="2:4" x14ac:dyDescent="0.25">
      <c r="B125" s="48"/>
      <c r="D125" s="36"/>
    </row>
    <row r="126" spans="2:4" x14ac:dyDescent="0.25">
      <c r="B126" s="48"/>
      <c r="D126" s="36"/>
    </row>
    <row r="127" spans="2:4" x14ac:dyDescent="0.25">
      <c r="B127" s="48"/>
      <c r="D127" s="36"/>
    </row>
    <row r="128" spans="2:4" x14ac:dyDescent="0.25">
      <c r="B128" s="48"/>
      <c r="D128" s="36"/>
    </row>
    <row r="129" spans="2:4" x14ac:dyDescent="0.25">
      <c r="B129" s="48"/>
      <c r="D129" s="36"/>
    </row>
    <row r="130" spans="2:4" x14ac:dyDescent="0.25">
      <c r="B130" s="48"/>
      <c r="D130" s="36"/>
    </row>
    <row r="131" spans="2:4" x14ac:dyDescent="0.25">
      <c r="B131" s="48"/>
      <c r="D131" s="36"/>
    </row>
    <row r="132" spans="2:4" x14ac:dyDescent="0.25">
      <c r="B132" s="48"/>
      <c r="D132" s="36"/>
    </row>
    <row r="133" spans="2:4" x14ac:dyDescent="0.25">
      <c r="B133" s="48"/>
      <c r="D133" s="36"/>
    </row>
    <row r="134" spans="2:4" x14ac:dyDescent="0.25">
      <c r="B134" s="48"/>
      <c r="D134" s="36"/>
    </row>
    <row r="135" spans="2:4" x14ac:dyDescent="0.25">
      <c r="B135" s="48"/>
      <c r="D135" s="36"/>
    </row>
    <row r="136" spans="2:4" x14ac:dyDescent="0.25">
      <c r="B136" s="48"/>
      <c r="D136" s="36"/>
    </row>
    <row r="137" spans="2:4" x14ac:dyDescent="0.25">
      <c r="B137" s="48"/>
      <c r="D137" s="36"/>
    </row>
    <row r="138" spans="2:4" x14ac:dyDescent="0.25">
      <c r="B138" s="48"/>
      <c r="D138" s="36"/>
    </row>
    <row r="139" spans="2:4" x14ac:dyDescent="0.25">
      <c r="B139" s="48"/>
      <c r="D139" s="36"/>
    </row>
    <row r="140" spans="2:4" x14ac:dyDescent="0.25">
      <c r="B140" s="48"/>
      <c r="D140" s="36"/>
    </row>
    <row r="141" spans="2:4" x14ac:dyDescent="0.25">
      <c r="B141" s="48"/>
      <c r="D141" s="36"/>
    </row>
    <row r="142" spans="2:4" x14ac:dyDescent="0.25">
      <c r="B142" s="48"/>
      <c r="D142" s="36"/>
    </row>
    <row r="143" spans="2:4" x14ac:dyDescent="0.25">
      <c r="B143" s="48"/>
      <c r="D143" s="36"/>
    </row>
    <row r="144" spans="2:4" x14ac:dyDescent="0.25">
      <c r="B144" s="48"/>
      <c r="D144" s="36"/>
    </row>
    <row r="145" spans="2:4" x14ac:dyDescent="0.25">
      <c r="B145" s="48"/>
      <c r="D145" s="36"/>
    </row>
    <row r="146" spans="2:4" x14ac:dyDescent="0.25">
      <c r="B146" s="48"/>
      <c r="D146" s="36"/>
    </row>
    <row r="147" spans="2:4" x14ac:dyDescent="0.25">
      <c r="B147" s="48"/>
      <c r="D147" s="36"/>
    </row>
    <row r="148" spans="2:4" x14ac:dyDescent="0.25">
      <c r="B148" s="48"/>
      <c r="D148" s="36"/>
    </row>
    <row r="149" spans="2:4" x14ac:dyDescent="0.25">
      <c r="B149" s="48"/>
      <c r="D149" s="36"/>
    </row>
    <row r="150" spans="2:4" x14ac:dyDescent="0.25">
      <c r="B150" s="48"/>
      <c r="D150" s="36"/>
    </row>
    <row r="151" spans="2:4" x14ac:dyDescent="0.25">
      <c r="B151" s="48"/>
      <c r="D151" s="36"/>
    </row>
    <row r="152" spans="2:4" x14ac:dyDescent="0.25">
      <c r="B152" s="48"/>
      <c r="D152" s="36"/>
    </row>
    <row r="153" spans="2:4" x14ac:dyDescent="0.25">
      <c r="B153" s="48"/>
      <c r="D153" s="36"/>
    </row>
    <row r="154" spans="2:4" x14ac:dyDescent="0.25">
      <c r="B154" s="48"/>
      <c r="D154" s="36"/>
    </row>
    <row r="155" spans="2:4" x14ac:dyDescent="0.25">
      <c r="B155" s="48"/>
      <c r="D155" s="36"/>
    </row>
    <row r="156" spans="2:4" x14ac:dyDescent="0.25">
      <c r="B156" s="48"/>
      <c r="D156" s="36"/>
    </row>
    <row r="157" spans="2:4" x14ac:dyDescent="0.25">
      <c r="B157" s="48"/>
      <c r="D157" s="36"/>
    </row>
    <row r="158" spans="2:4" x14ac:dyDescent="0.25">
      <c r="B158" s="48"/>
      <c r="D158" s="36"/>
    </row>
    <row r="159" spans="2:4" x14ac:dyDescent="0.25">
      <c r="B159" s="48"/>
      <c r="D159" s="36"/>
    </row>
    <row r="160" spans="2:4" x14ac:dyDescent="0.25">
      <c r="B160" s="48"/>
      <c r="D160" s="36"/>
    </row>
    <row r="161" spans="2:4" x14ac:dyDescent="0.25">
      <c r="B161" s="48"/>
      <c r="D161" s="36"/>
    </row>
    <row r="162" spans="2:4" x14ac:dyDescent="0.25">
      <c r="B162" s="48"/>
      <c r="D162" s="36"/>
    </row>
    <row r="163" spans="2:4" x14ac:dyDescent="0.25">
      <c r="B163" s="48"/>
      <c r="D163" s="36"/>
    </row>
    <row r="164" spans="2:4" x14ac:dyDescent="0.25">
      <c r="B164" s="48"/>
      <c r="D164" s="36"/>
    </row>
    <row r="165" spans="2:4" x14ac:dyDescent="0.25">
      <c r="B165" s="48"/>
      <c r="D165" s="36"/>
    </row>
    <row r="166" spans="2:4" x14ac:dyDescent="0.25">
      <c r="B166" s="48"/>
      <c r="D166" s="36"/>
    </row>
    <row r="167" spans="2:4" x14ac:dyDescent="0.25">
      <c r="B167" s="48"/>
      <c r="D167" s="36"/>
    </row>
    <row r="168" spans="2:4" x14ac:dyDescent="0.25">
      <c r="B168" s="48"/>
      <c r="D168" s="36"/>
    </row>
    <row r="169" spans="2:4" x14ac:dyDescent="0.25">
      <c r="B169" s="48"/>
      <c r="D169" s="36"/>
    </row>
    <row r="170" spans="2:4" x14ac:dyDescent="0.25">
      <c r="B170" s="48"/>
      <c r="D170" s="36"/>
    </row>
    <row r="171" spans="2:4" x14ac:dyDescent="0.25">
      <c r="B171" s="48"/>
      <c r="D171" s="36"/>
    </row>
    <row r="172" spans="2:4" x14ac:dyDescent="0.25">
      <c r="B172" s="48"/>
      <c r="D172" s="36"/>
    </row>
    <row r="173" spans="2:4" x14ac:dyDescent="0.25">
      <c r="B173" s="48"/>
      <c r="D173" s="36"/>
    </row>
    <row r="174" spans="2:4" x14ac:dyDescent="0.25">
      <c r="B174" s="48"/>
      <c r="D174" s="36"/>
    </row>
    <row r="175" spans="2:4" x14ac:dyDescent="0.25">
      <c r="B175" s="48"/>
      <c r="D175" s="36"/>
    </row>
    <row r="176" spans="2:4" x14ac:dyDescent="0.25">
      <c r="B176" s="48"/>
      <c r="D176" s="36"/>
    </row>
    <row r="177" spans="2:4" x14ac:dyDescent="0.25">
      <c r="B177" s="48"/>
      <c r="D177" s="36"/>
    </row>
    <row r="178" spans="2:4" x14ac:dyDescent="0.25">
      <c r="B178" s="48"/>
      <c r="D178" s="36"/>
    </row>
    <row r="179" spans="2:4" x14ac:dyDescent="0.25">
      <c r="B179" s="48"/>
      <c r="D179" s="36"/>
    </row>
    <row r="180" spans="2:4" x14ac:dyDescent="0.25">
      <c r="B180" s="48"/>
      <c r="D180" s="36"/>
    </row>
    <row r="181" spans="2:4" x14ac:dyDescent="0.25">
      <c r="B181" s="48"/>
      <c r="D181" s="36"/>
    </row>
    <row r="182" spans="2:4" x14ac:dyDescent="0.25">
      <c r="B182" s="48"/>
      <c r="D182" s="36"/>
    </row>
    <row r="183" spans="2:4" x14ac:dyDescent="0.25">
      <c r="B183" s="48"/>
      <c r="D183" s="36"/>
    </row>
    <row r="184" spans="2:4" x14ac:dyDescent="0.25">
      <c r="B184" s="48"/>
      <c r="D184" s="36"/>
    </row>
    <row r="185" spans="2:4" x14ac:dyDescent="0.25">
      <c r="B185" s="48"/>
      <c r="D185" s="36"/>
    </row>
    <row r="186" spans="2:4" x14ac:dyDescent="0.25">
      <c r="B186" s="48"/>
      <c r="D186" s="36"/>
    </row>
    <row r="187" spans="2:4" x14ac:dyDescent="0.25">
      <c r="B187" s="48"/>
      <c r="D187" s="36"/>
    </row>
    <row r="188" spans="2:4" x14ac:dyDescent="0.25">
      <c r="B188" s="48"/>
      <c r="D188" s="36"/>
    </row>
    <row r="189" spans="2:4" x14ac:dyDescent="0.25">
      <c r="B189" s="48"/>
      <c r="D189" s="36"/>
    </row>
    <row r="190" spans="2:4" x14ac:dyDescent="0.25">
      <c r="B190" s="48"/>
      <c r="D190" s="36"/>
    </row>
    <row r="191" spans="2:4" x14ac:dyDescent="0.25">
      <c r="B191" s="48"/>
      <c r="D191" s="36"/>
    </row>
    <row r="192" spans="2:4" x14ac:dyDescent="0.25">
      <c r="B192" s="48"/>
      <c r="D192" s="36"/>
    </row>
    <row r="193" spans="2:4" x14ac:dyDescent="0.25">
      <c r="B193" s="48"/>
      <c r="D193" s="36"/>
    </row>
    <row r="194" spans="2:4" x14ac:dyDescent="0.25">
      <c r="B194" s="48"/>
      <c r="D194" s="36"/>
    </row>
    <row r="195" spans="2:4" x14ac:dyDescent="0.25">
      <c r="B195" s="48"/>
      <c r="D195" s="36"/>
    </row>
    <row r="196" spans="2:4" x14ac:dyDescent="0.25">
      <c r="B196" s="48"/>
      <c r="D196" s="36"/>
    </row>
    <row r="197" spans="2:4" x14ac:dyDescent="0.25">
      <c r="B197" s="48"/>
      <c r="D197" s="36"/>
    </row>
    <row r="198" spans="2:4" x14ac:dyDescent="0.25">
      <c r="B198" s="48"/>
      <c r="D198" s="36"/>
    </row>
    <row r="199" spans="2:4" x14ac:dyDescent="0.25">
      <c r="B199" s="48"/>
      <c r="D199" s="36"/>
    </row>
    <row r="200" spans="2:4" x14ac:dyDescent="0.25">
      <c r="B200" s="48"/>
      <c r="D200" s="36"/>
    </row>
    <row r="201" spans="2:4" x14ac:dyDescent="0.25">
      <c r="B201" s="48"/>
      <c r="D201" s="36"/>
    </row>
    <row r="202" spans="2:4" x14ac:dyDescent="0.25">
      <c r="B202" s="48"/>
      <c r="D202" s="36"/>
    </row>
    <row r="203" spans="2:4" x14ac:dyDescent="0.25">
      <c r="B203" s="48"/>
      <c r="D203" s="36"/>
    </row>
    <row r="204" spans="2:4" x14ac:dyDescent="0.25">
      <c r="B204" s="48"/>
      <c r="D204" s="36"/>
    </row>
    <row r="205" spans="2:4" x14ac:dyDescent="0.25">
      <c r="B205" s="48"/>
      <c r="D205" s="36"/>
    </row>
    <row r="206" spans="2:4" x14ac:dyDescent="0.25">
      <c r="B206" s="48"/>
      <c r="D206" s="36"/>
    </row>
    <row r="207" spans="2:4" x14ac:dyDescent="0.25">
      <c r="B207" s="48"/>
      <c r="D207" s="36"/>
    </row>
    <row r="208" spans="2:4" x14ac:dyDescent="0.25">
      <c r="B208" s="48"/>
      <c r="D208" s="36"/>
    </row>
    <row r="209" spans="2:4" x14ac:dyDescent="0.25">
      <c r="B209" s="48"/>
      <c r="D209" s="36"/>
    </row>
    <row r="210" spans="2:4" x14ac:dyDescent="0.25">
      <c r="B210" s="48"/>
      <c r="D210" s="36"/>
    </row>
    <row r="211" spans="2:4" x14ac:dyDescent="0.25">
      <c r="B211" s="48"/>
      <c r="D211" s="36"/>
    </row>
    <row r="212" spans="2:4" x14ac:dyDescent="0.25">
      <c r="B212" s="48"/>
      <c r="D212" s="36"/>
    </row>
    <row r="213" spans="2:4" x14ac:dyDescent="0.25">
      <c r="B213" s="48"/>
      <c r="D213" s="36"/>
    </row>
    <row r="214" spans="2:4" x14ac:dyDescent="0.25">
      <c r="B214" s="48"/>
      <c r="D214" s="36"/>
    </row>
    <row r="215" spans="2:4" x14ac:dyDescent="0.25">
      <c r="B215" s="48"/>
      <c r="D215" s="36"/>
    </row>
    <row r="216" spans="2:4" x14ac:dyDescent="0.25">
      <c r="B216" s="48"/>
      <c r="D216" s="36"/>
    </row>
    <row r="217" spans="2:4" x14ac:dyDescent="0.25">
      <c r="B217" s="48"/>
      <c r="D217" s="36"/>
    </row>
    <row r="218" spans="2:4" x14ac:dyDescent="0.25">
      <c r="B218" s="48"/>
      <c r="D218" s="36"/>
    </row>
    <row r="219" spans="2:4" x14ac:dyDescent="0.25">
      <c r="B219" s="48"/>
      <c r="D219" s="36"/>
    </row>
    <row r="220" spans="2:4" x14ac:dyDescent="0.25">
      <c r="B220" s="48"/>
      <c r="D220" s="36"/>
    </row>
    <row r="221" spans="2:4" x14ac:dyDescent="0.25">
      <c r="B221" s="48"/>
      <c r="D221" s="36"/>
    </row>
    <row r="222" spans="2:4" x14ac:dyDescent="0.25">
      <c r="B222" s="48"/>
      <c r="D222" s="36"/>
    </row>
    <row r="223" spans="2:4" x14ac:dyDescent="0.25">
      <c r="B223" s="48"/>
      <c r="D223" s="36"/>
    </row>
    <row r="224" spans="2:4" x14ac:dyDescent="0.25">
      <c r="B224" s="48"/>
      <c r="D224" s="36"/>
    </row>
    <row r="225" spans="2:4" x14ac:dyDescent="0.25">
      <c r="B225" s="48"/>
      <c r="D225" s="36"/>
    </row>
    <row r="226" spans="2:4" x14ac:dyDescent="0.25">
      <c r="B226" s="48"/>
      <c r="D226" s="36"/>
    </row>
    <row r="227" spans="2:4" x14ac:dyDescent="0.25">
      <c r="B227" s="48"/>
      <c r="D227" s="36"/>
    </row>
    <row r="228" spans="2:4" x14ac:dyDescent="0.25">
      <c r="B228" s="48"/>
      <c r="D228" s="36"/>
    </row>
    <row r="229" spans="2:4" x14ac:dyDescent="0.25">
      <c r="B229" s="48"/>
      <c r="D229" s="36"/>
    </row>
    <row r="230" spans="2:4" x14ac:dyDescent="0.25">
      <c r="B230" s="48"/>
      <c r="D230" s="36"/>
    </row>
    <row r="231" spans="2:4" x14ac:dyDescent="0.25">
      <c r="B231" s="48"/>
      <c r="D231" s="36"/>
    </row>
    <row r="232" spans="2:4" x14ac:dyDescent="0.25">
      <c r="B232" s="48"/>
      <c r="D232" s="36"/>
    </row>
    <row r="233" spans="2:4" x14ac:dyDescent="0.25">
      <c r="B233" s="48"/>
      <c r="D233" s="36"/>
    </row>
    <row r="234" spans="2:4" x14ac:dyDescent="0.25">
      <c r="B234" s="48"/>
      <c r="D234" s="36"/>
    </row>
    <row r="235" spans="2:4" x14ac:dyDescent="0.25">
      <c r="B235" s="48"/>
      <c r="D235" s="36"/>
    </row>
    <row r="236" spans="2:4" x14ac:dyDescent="0.25">
      <c r="B236" s="48"/>
      <c r="D236" s="36"/>
    </row>
    <row r="237" spans="2:4" x14ac:dyDescent="0.25">
      <c r="B237" s="48"/>
      <c r="D237" s="36"/>
    </row>
    <row r="238" spans="2:4" x14ac:dyDescent="0.25">
      <c r="B238" s="48"/>
      <c r="D238" s="36"/>
    </row>
    <row r="239" spans="2:4" x14ac:dyDescent="0.25">
      <c r="B239" s="48"/>
      <c r="D239" s="36"/>
    </row>
    <row r="240" spans="2:4" x14ac:dyDescent="0.25">
      <c r="B240" s="48"/>
      <c r="D240" s="36"/>
    </row>
    <row r="241" spans="2:4" x14ac:dyDescent="0.25">
      <c r="B241" s="48"/>
      <c r="D241" s="36"/>
    </row>
    <row r="242" spans="2:4" x14ac:dyDescent="0.25">
      <c r="B242" s="48"/>
      <c r="D242" s="36"/>
    </row>
    <row r="243" spans="2:4" x14ac:dyDescent="0.25">
      <c r="B243" s="48"/>
      <c r="D243" s="36"/>
    </row>
    <row r="244" spans="2:4" x14ac:dyDescent="0.25">
      <c r="B244" s="48"/>
      <c r="D244" s="36"/>
    </row>
    <row r="245" spans="2:4" x14ac:dyDescent="0.25">
      <c r="B245" s="48"/>
      <c r="D245" s="36"/>
    </row>
    <row r="246" spans="2:4" x14ac:dyDescent="0.25">
      <c r="B246" s="48"/>
      <c r="D246" s="36"/>
    </row>
    <row r="247" spans="2:4" x14ac:dyDescent="0.25">
      <c r="B247" s="48"/>
      <c r="D247" s="36"/>
    </row>
    <row r="248" spans="2:4" x14ac:dyDescent="0.25">
      <c r="B248" s="48"/>
      <c r="D248" s="36"/>
    </row>
    <row r="249" spans="2:4" x14ac:dyDescent="0.25">
      <c r="B249" s="48"/>
      <c r="D249" s="36"/>
    </row>
    <row r="250" spans="2:4" x14ac:dyDescent="0.25">
      <c r="B250" s="48"/>
      <c r="D250" s="36"/>
    </row>
    <row r="251" spans="2:4" x14ac:dyDescent="0.25">
      <c r="B251" s="48"/>
      <c r="D251" s="36"/>
    </row>
    <row r="252" spans="2:4" x14ac:dyDescent="0.25">
      <c r="B252" s="48"/>
      <c r="D252" s="36"/>
    </row>
    <row r="253" spans="2:4" x14ac:dyDescent="0.25">
      <c r="B253" s="48"/>
      <c r="D253" s="36"/>
    </row>
    <row r="254" spans="2:4" x14ac:dyDescent="0.25">
      <c r="B254" s="48"/>
      <c r="D254" s="36"/>
    </row>
    <row r="255" spans="2:4" x14ac:dyDescent="0.25">
      <c r="B255" s="48"/>
      <c r="D255" s="36"/>
    </row>
    <row r="256" spans="2:4" x14ac:dyDescent="0.25">
      <c r="B256" s="48"/>
      <c r="D256" s="36"/>
    </row>
    <row r="257" spans="2:4" x14ac:dyDescent="0.25">
      <c r="B257" s="48"/>
      <c r="D257" s="36"/>
    </row>
    <row r="258" spans="2:4" x14ac:dyDescent="0.25">
      <c r="B258" s="48"/>
      <c r="D258" s="36"/>
    </row>
    <row r="259" spans="2:4" x14ac:dyDescent="0.25">
      <c r="B259" s="48"/>
      <c r="D259" s="36"/>
    </row>
    <row r="260" spans="2:4" x14ac:dyDescent="0.25">
      <c r="B260" s="48"/>
      <c r="D260" s="36"/>
    </row>
    <row r="261" spans="2:4" x14ac:dyDescent="0.25">
      <c r="B261" s="48"/>
      <c r="D261" s="36"/>
    </row>
    <row r="262" spans="2:4" x14ac:dyDescent="0.25">
      <c r="B262" s="48"/>
      <c r="D262" s="36"/>
    </row>
    <row r="263" spans="2:4" x14ac:dyDescent="0.25">
      <c r="B263" s="48"/>
      <c r="D263" s="36"/>
    </row>
    <row r="264" spans="2:4" x14ac:dyDescent="0.25">
      <c r="B264" s="48"/>
      <c r="D264" s="36"/>
    </row>
    <row r="265" spans="2:4" x14ac:dyDescent="0.25">
      <c r="B265" s="48"/>
      <c r="D265" s="36"/>
    </row>
    <row r="266" spans="2:4" x14ac:dyDescent="0.25">
      <c r="B266" s="48"/>
      <c r="D266" s="36"/>
    </row>
    <row r="267" spans="2:4" x14ac:dyDescent="0.25">
      <c r="B267" s="48"/>
      <c r="D267" s="36"/>
    </row>
    <row r="268" spans="2:4" x14ac:dyDescent="0.25">
      <c r="B268" s="48"/>
      <c r="D268" s="36"/>
    </row>
    <row r="269" spans="2:4" x14ac:dyDescent="0.25">
      <c r="B269" s="48"/>
      <c r="D269" s="36"/>
    </row>
    <row r="270" spans="2:4" x14ac:dyDescent="0.25">
      <c r="B270" s="48"/>
      <c r="D270" s="36"/>
    </row>
    <row r="271" spans="2:4" x14ac:dyDescent="0.25">
      <c r="B271" s="48"/>
      <c r="D271" s="36"/>
    </row>
    <row r="272" spans="2:4" x14ac:dyDescent="0.25">
      <c r="B272" s="48"/>
      <c r="D272" s="36"/>
    </row>
  </sheetData>
  <sheetProtection algorithmName="SHA-512" hashValue="ob5FCrVwmdUJG46Eu8yKmwwQaZe31mL1OdE5RtvYDOZ/tQoMAz5PQIEyw8UQb6lT8nEIS+DYSe9ajeb+XLlfqw==" saltValue="wN9kEHs9uhRKy95MxXe1NA==" spinCount="100000" sheet="1" objects="1" scenarios="1"/>
  <mergeCells count="7">
    <mergeCell ref="C6:D6"/>
    <mergeCell ref="R10:R12"/>
    <mergeCell ref="B10:B12"/>
    <mergeCell ref="C10:C12"/>
    <mergeCell ref="D10:D12"/>
    <mergeCell ref="P10:P12"/>
    <mergeCell ref="Q10:Q12"/>
  </mergeCells>
  <conditionalFormatting sqref="B13:R64">
    <cfRule type="expression" dxfId="30" priority="1">
      <formula>IF(ROW($A13)-12&lt;=$A$6,TRUE,FALSE)</formula>
    </cfRule>
  </conditionalFormatting>
  <dataValidations count="1">
    <dataValidation type="date" allowBlank="1" showInputMessage="1" showErrorMessage="1" sqref="C8" xr:uid="{00000000-0002-0000-0900-000000000000}">
      <formula1>36526</formula1>
      <formula2>55153</formula2>
    </dataValidation>
  </dataValidations>
  <pageMargins left="0.7" right="0.7" top="0.75" bottom="0.75" header="0.3" footer="0.3"/>
  <pageSetup paperSize="9" orientation="portrait" horizontalDpi="90" verticalDpi="90"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900-000001000000}">
          <x14:formula1>
            <xm:f>'Control sheet (hide)'!$C$2:$C$3</xm:f>
          </x14:formula1>
          <xm:sqref>R13:R272</xm:sqref>
        </x14:dataValidation>
        <x14:dataValidation type="list" allowBlank="1" showInputMessage="1" showErrorMessage="1" xr:uid="{00000000-0002-0000-0900-000002000000}">
          <x14:formula1>
            <xm:f>'Control sheet (hide)'!$E$13:$E$14</xm:f>
          </x14:formula1>
          <xm:sqref>C6</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dimension ref="B1:BK55"/>
  <sheetViews>
    <sheetView topLeftCell="AM1" workbookViewId="0">
      <selection activeCell="O11" sqref="O11"/>
    </sheetView>
  </sheetViews>
  <sheetFormatPr defaultRowHeight="13.8" x14ac:dyDescent="0.25"/>
  <cols>
    <col min="2" max="2" width="17.3984375" bestFit="1" customWidth="1"/>
    <col min="3" max="3" width="12.5" bestFit="1" customWidth="1"/>
    <col min="5" max="5" width="13" bestFit="1" customWidth="1"/>
    <col min="6" max="7" width="13" customWidth="1"/>
    <col min="8" max="9" width="11.09765625" bestFit="1" customWidth="1"/>
    <col min="10" max="10" width="14.5" bestFit="1" customWidth="1"/>
    <col min="11" max="12" width="8.8984375" bestFit="1" customWidth="1"/>
    <col min="13" max="14" width="8.8984375" customWidth="1"/>
    <col min="15" max="17" width="8.8984375" bestFit="1" customWidth="1"/>
    <col min="18" max="18" width="6.59765625" bestFit="1" customWidth="1"/>
    <col min="19" max="19" width="5.3984375" bestFit="1" customWidth="1"/>
    <col min="21" max="21" width="15.5" bestFit="1" customWidth="1"/>
    <col min="23" max="23" width="9.8984375" bestFit="1" customWidth="1"/>
    <col min="29" max="29" width="14.59765625" customWidth="1"/>
    <col min="30" max="30" width="9.8984375" style="36" customWidth="1"/>
    <col min="31" max="39" width="9" customWidth="1"/>
    <col min="40" max="41" width="9" hidden="1" customWidth="1"/>
    <col min="42" max="50" width="9" customWidth="1"/>
  </cols>
  <sheetData>
    <row r="1" spans="2:63" x14ac:dyDescent="0.25">
      <c r="B1" t="s">
        <v>220</v>
      </c>
      <c r="C1" t="s">
        <v>221</v>
      </c>
      <c r="E1" t="s">
        <v>223</v>
      </c>
      <c r="H1">
        <f ca="1">OFFSET('Demand background (hide)'!$BN$6,COLUMN(A1)-1,0,1,1)</f>
        <v>2</v>
      </c>
      <c r="I1">
        <f ca="1">OFFSET('Demand background (hide)'!$BN$6,COLUMN(B1)-1,0,1,1)</f>
        <v>0</v>
      </c>
      <c r="J1">
        <f ca="1">OFFSET('Demand background (hide)'!$BN$6,COLUMN(C1)-1,0,1,1)</f>
        <v>0</v>
      </c>
      <c r="K1">
        <f ca="1">OFFSET('Demand background (hide)'!$BN$6,COLUMN(D1)-1,0,1,1)</f>
        <v>0</v>
      </c>
      <c r="L1">
        <f ca="1">OFFSET('Demand background (hide)'!$BN$6,COLUMN(E1)-1,0,1,1)</f>
        <v>0</v>
      </c>
      <c r="M1">
        <f ca="1">OFFSET('Demand background (hide)'!$BN$6,COLUMN(F1)-1,0,1,1)</f>
        <v>0</v>
      </c>
      <c r="N1">
        <f ca="1">OFFSET('Demand background (hide)'!$BN$6,COLUMN(G1)-1,0,1,1)</f>
        <v>0</v>
      </c>
      <c r="O1">
        <f ca="1">OFFSET('Demand background (hide)'!$BN$6,COLUMN(H1)-1,0,1,1)</f>
        <v>0</v>
      </c>
      <c r="P1">
        <f ca="1">OFFSET('Demand background (hide)'!$BN$6,COLUMN(I1)-1,0,1,1)</f>
        <v>0</v>
      </c>
      <c r="Q1">
        <f ca="1">OFFSET('Demand background (hide)'!$BN$6,COLUMN(J1)-1,0,1,1)</f>
        <v>0</v>
      </c>
      <c r="R1">
        <f ca="1">OFFSET('Demand background (hide)'!$BN$6,COLUMN(K1)-1,0,1,1)</f>
        <v>2</v>
      </c>
      <c r="S1">
        <f ca="1">OFFSET('Demand background (hide)'!$BN$6,COLUMN(L1)-1,0,1,1)</f>
        <v>0</v>
      </c>
      <c r="AB1" t="s">
        <v>256</v>
      </c>
      <c r="AP1" t="s">
        <v>271</v>
      </c>
    </row>
    <row r="2" spans="2:63" x14ac:dyDescent="0.25">
      <c r="B2">
        <f ca="1">IF(Planned!$C$6&lt;&gt;"Overall",COUNTBLANK(OFFSET(Planned!E13,0,0,1,Num_Modalities)),IF(COUNTBLANK(Planned!O13)=1,Num_Modalities,0))</f>
        <v>1</v>
      </c>
      <c r="C2">
        <f ca="1">SUM(OFFSET(Planned!$E13,0,0,1,Num_Modalities))</f>
        <v>0</v>
      </c>
      <c r="E2" t="s">
        <v>150</v>
      </c>
      <c r="F2" t="s">
        <v>56</v>
      </c>
      <c r="G2" t="s">
        <v>1</v>
      </c>
      <c r="H2" t="str">
        <f ca="1">OFFSET('Control sheet (hide)'!$AA$3,COLUMN(A1)-1,0,1,1)</f>
        <v>Modality 1</v>
      </c>
      <c r="I2" t="str">
        <f ca="1">OFFSET('Control sheet (hide)'!$AA$3,COLUMN(B1)-1,0,1,1)</f>
        <v>Modality 2</v>
      </c>
      <c r="J2" t="str">
        <f ca="1">OFFSET('Control sheet (hide)'!$AA$3,COLUMN(C1)-1,0,1,1)</f>
        <v>Modality 3</v>
      </c>
      <c r="K2" t="str">
        <f ca="1">OFFSET('Control sheet (hide)'!$AA$3,COLUMN(D1)-1,0,1,1)</f>
        <v>Modality 4</v>
      </c>
      <c r="L2" t="str">
        <f ca="1">OFFSET('Control sheet (hide)'!$AA$3,COLUMN(E1)-1,0,1,1)</f>
        <v>Modality 5</v>
      </c>
      <c r="M2" t="str">
        <f ca="1">OFFSET('Control sheet (hide)'!$AA$3,COLUMN(F1)-1,0,1,1)</f>
        <v>Modality 6</v>
      </c>
      <c r="N2" t="str">
        <f ca="1">OFFSET('Control sheet (hide)'!$AA$3,COLUMN(G1)-1,0,1,1)</f>
        <v>Modality 7</v>
      </c>
      <c r="O2" t="str">
        <f ca="1">OFFSET('Control sheet (hide)'!$AA$3,COLUMN(H1)-1,0,1,1)</f>
        <v>Modality 8</v>
      </c>
      <c r="P2" t="str">
        <f ca="1">OFFSET('Control sheet (hide)'!$AA$3,COLUMN(I1)-1,0,1,1)</f>
        <v>Modality 9</v>
      </c>
      <c r="Q2" t="str">
        <f ca="1">OFFSET('Control sheet (hide)'!$AA$3,COLUMN(J1)-1,0,1,1)</f>
        <v>Modality 10</v>
      </c>
      <c r="R2" s="5" t="s">
        <v>24</v>
      </c>
      <c r="S2" t="s">
        <v>67</v>
      </c>
      <c r="AB2" t="str">
        <f t="shared" ref="AB2:AB33" si="0">E2</f>
        <v>Index</v>
      </c>
      <c r="AC2" t="s">
        <v>262</v>
      </c>
      <c r="AD2" s="36" t="s">
        <v>270</v>
      </c>
      <c r="AE2" t="s">
        <v>267</v>
      </c>
      <c r="AF2" t="s">
        <v>156</v>
      </c>
      <c r="AG2" t="s">
        <v>257</v>
      </c>
      <c r="AH2" t="s">
        <v>263</v>
      </c>
      <c r="AI2" s="51" t="s">
        <v>258</v>
      </c>
      <c r="AJ2" s="51" t="s">
        <v>259</v>
      </c>
      <c r="AK2" s="51" t="s">
        <v>260</v>
      </c>
      <c r="AL2" s="51" t="s">
        <v>261</v>
      </c>
      <c r="AM2" s="51" t="s">
        <v>264</v>
      </c>
      <c r="AN2" t="s">
        <v>265</v>
      </c>
      <c r="AO2" t="s">
        <v>266</v>
      </c>
      <c r="AP2">
        <v>1</v>
      </c>
      <c r="AQ2" t="s">
        <v>272</v>
      </c>
      <c r="AR2">
        <v>2</v>
      </c>
      <c r="AS2" t="s">
        <v>273</v>
      </c>
      <c r="AT2">
        <v>3</v>
      </c>
      <c r="AU2" t="s">
        <v>274</v>
      </c>
      <c r="AV2">
        <v>4</v>
      </c>
      <c r="AW2" t="s">
        <v>74</v>
      </c>
      <c r="AZ2" s="3"/>
      <c r="BA2" s="3"/>
    </row>
    <row r="3" spans="2:63" x14ac:dyDescent="0.25">
      <c r="B3" s="67">
        <f ca="1">IF(Planned!$C$6&lt;&gt;"Overall",COUNTBLANK(OFFSET(Planned!E14,0,0,1,Num_Modalities)),IF(COUNTBLANK(Planned!O14)=1,Num_Modalities,0))</f>
        <v>1</v>
      </c>
      <c r="C3">
        <f ca="1">SUM(OFFSET(Planned!$E14,0,0,1,Num_Modalities))</f>
        <v>0</v>
      </c>
      <c r="E3">
        <f>Planned!A13</f>
        <v>1</v>
      </c>
      <c r="F3" s="36">
        <f>Planned!C13</f>
        <v>1</v>
      </c>
      <c r="G3" s="49" t="str">
        <f>Planned!D13</f>
        <v/>
      </c>
      <c r="H3">
        <f ca="1">Planned!E13*'Planned background (hide)'!H$1</f>
        <v>0</v>
      </c>
      <c r="I3">
        <f ca="1">Planned!F13*'Planned background (hide)'!I$1</f>
        <v>0</v>
      </c>
      <c r="J3">
        <f ca="1">Planned!G13*'Planned background (hide)'!J$1</f>
        <v>0</v>
      </c>
      <c r="K3">
        <f ca="1">Planned!H13*'Planned background (hide)'!K$1</f>
        <v>0</v>
      </c>
      <c r="L3">
        <f ca="1">Planned!I13*'Planned background (hide)'!L$1</f>
        <v>0</v>
      </c>
      <c r="M3">
        <f ca="1">Planned!J13*'Planned background (hide)'!M$1</f>
        <v>0</v>
      </c>
      <c r="N3">
        <f ca="1">Planned!K13*'Planned background (hide)'!N$1</f>
        <v>0</v>
      </c>
      <c r="O3">
        <f ca="1">Planned!L13*'Planned background (hide)'!O$1</f>
        <v>0</v>
      </c>
      <c r="P3">
        <f ca="1">Planned!K13*'Planned background (hide)'!P$1</f>
        <v>0</v>
      </c>
      <c r="Q3">
        <f ca="1">Planned!L13*'Planned background (hide)'!Q$1</f>
        <v>0</v>
      </c>
      <c r="R3" s="5">
        <f ca="1">IF(Planned!$C$6="Overall",Planned!O13*'Planned background (hide)'!R$1,"")</f>
        <v>0</v>
      </c>
      <c r="S3" s="5">
        <f ca="1">IF(Planned!R13&lt;&gt;"Yes",IF(Planned!$C$6&lt;&gt;"Overall",SUM(OFFSET('Planned background (hide)'!H3,0,0,1,Num_Modalities)),'Planned background (hide)'!R3),"")</f>
        <v>0</v>
      </c>
      <c r="V3" s="5"/>
      <c r="AB3">
        <f t="shared" si="0"/>
        <v>1</v>
      </c>
      <c r="AC3" s="36">
        <f>IF(Planned!$C$8=0,'Planned background (hide)'!F3,'Planned background (hide)'!G3)</f>
        <v>1</v>
      </c>
      <c r="AD3" s="36">
        <f>IF(AND(AB3&gt;=$U$18,AB3&lt;($U$18+$AA$19)),1,0)</f>
        <v>1</v>
      </c>
      <c r="AE3" s="5">
        <f t="shared" ref="AE3:AE34" ca="1" si="1">S3</f>
        <v>0</v>
      </c>
      <c r="AF3" s="5">
        <f ca="1">$V$23</f>
        <v>0</v>
      </c>
      <c r="AG3">
        <f ca="1">$V$25</f>
        <v>0</v>
      </c>
      <c r="AH3">
        <f ca="1">IF(AF3-(3*AG3)&lt;=0,0,AF3-(3*AG3))</f>
        <v>0</v>
      </c>
      <c r="AI3">
        <f ca="1">IF(AF3-(2*AG3)&lt;=0,0,AF3-(2*AG3))</f>
        <v>0</v>
      </c>
      <c r="AJ3">
        <f ca="1">IF(AF3-(1*AG3)&lt;=0,0,AF3-(1*AG3))</f>
        <v>0</v>
      </c>
      <c r="AK3">
        <f ca="1">AF3+(1*AG3)</f>
        <v>0</v>
      </c>
      <c r="AL3">
        <f ca="1">AF3+(2*AG3)</f>
        <v>0</v>
      </c>
      <c r="AM3">
        <f ca="1">AF3+(3*AG3)</f>
        <v>0</v>
      </c>
      <c r="AN3">
        <f ca="1">$V$26</f>
        <v>0</v>
      </c>
      <c r="AO3">
        <f ca="1">$V$27</f>
        <v>0</v>
      </c>
      <c r="AP3" t="e">
        <f ca="1">IF(OR(AE3&gt;AM3,AE3&lt;AH3),AE3,NA())</f>
        <v>#N/A</v>
      </c>
      <c r="AQ3">
        <f ca="1">IF(AE3&gt;AL3,1,IF(AE3&lt;AI3,-1,0))</f>
        <v>0</v>
      </c>
      <c r="AU3">
        <f ca="1">IF(AE3&gt;AF3,1,IF(AE3&lt;AF3,-1,0))</f>
        <v>0</v>
      </c>
      <c r="AZ3" s="3"/>
      <c r="BA3" s="3"/>
      <c r="BH3" s="48">
        <f>IF(OR(Planned!B13=1,Planned!B13=""),AC3,Planned!B13)</f>
        <v>1</v>
      </c>
      <c r="BI3" t="str">
        <f>TEXT(Planned!D13,"mmm")</f>
        <v/>
      </c>
    </row>
    <row r="4" spans="2:63" x14ac:dyDescent="0.25">
      <c r="B4" s="67">
        <f ca="1">IF(Planned!$C$6&lt;&gt;"Overall",COUNTBLANK(OFFSET(Planned!E15,0,0,1,Num_Modalities)),IF(COUNTBLANK(Planned!O15)=1,Num_Modalities,0))</f>
        <v>1</v>
      </c>
      <c r="C4">
        <f ca="1">SUM(OFFSET(Planned!$E15,0,0,1,Num_Modalities))</f>
        <v>0</v>
      </c>
      <c r="E4">
        <f>E3+1</f>
        <v>2</v>
      </c>
      <c r="F4" s="36">
        <f>IF(G4&lt;&gt;"",WEEKNUM(G4,21),IF(MOD(F3+1,52)=0,52,MOD(F3+1,52)))</f>
        <v>2</v>
      </c>
      <c r="G4" s="49" t="str">
        <f>IF(G3="","",G3+7)</f>
        <v/>
      </c>
      <c r="H4">
        <f ca="1">Planned!E14*'Planned background (hide)'!H$1</f>
        <v>0</v>
      </c>
      <c r="I4">
        <f ca="1">Planned!F14*'Planned background (hide)'!I$1</f>
        <v>0</v>
      </c>
      <c r="J4">
        <f ca="1">Planned!G14*'Planned background (hide)'!J$1</f>
        <v>0</v>
      </c>
      <c r="K4">
        <f ca="1">Planned!H14*'Planned background (hide)'!K$1</f>
        <v>0</v>
      </c>
      <c r="L4">
        <f ca="1">Planned!I14*'Planned background (hide)'!L$1</f>
        <v>0</v>
      </c>
      <c r="M4">
        <f ca="1">Planned!J14*'Planned background (hide)'!M$1</f>
        <v>0</v>
      </c>
      <c r="N4">
        <f ca="1">Planned!K14*'Planned background (hide)'!N$1</f>
        <v>0</v>
      </c>
      <c r="O4">
        <f ca="1">Planned!J14*'Planned background (hide)'!O$1</f>
        <v>0</v>
      </c>
      <c r="P4">
        <f ca="1">Planned!K14*'Planned background (hide)'!P$1</f>
        <v>0</v>
      </c>
      <c r="Q4">
        <f ca="1">Planned!L14*'Planned background (hide)'!Q$1</f>
        <v>0</v>
      </c>
      <c r="R4" s="5">
        <f ca="1">IF(Planned!$C$6="Overall",Planned!O14*'Planned background (hide)'!R$1,"")</f>
        <v>0</v>
      </c>
      <c r="S4" s="5">
        <f ca="1">IF(Planned!R14&lt;&gt;"Yes",IF(Planned!$C$6&lt;&gt;"Overall",SUM(OFFSET('Planned background (hide)'!H4,0,0,1,Num_Modalities)),'Planned background (hide)'!R4),"")</f>
        <v>0</v>
      </c>
      <c r="AB4">
        <f t="shared" si="0"/>
        <v>2</v>
      </c>
      <c r="AC4" s="36">
        <f>IF(Planned!$C$8=0,'Planned background (hide)'!F4,'Planned background (hide)'!G4)</f>
        <v>2</v>
      </c>
      <c r="AD4" s="36">
        <f t="shared" ref="AD4:AD54" si="2">IF(AND(AB4&gt;$U$18,AB4&lt;($U$18+$AA$19)),1,0)</f>
        <v>1</v>
      </c>
      <c r="AE4" s="5">
        <f t="shared" ca="1" si="1"/>
        <v>0</v>
      </c>
      <c r="AF4" s="5">
        <f t="shared" ref="AF4:AF55" ca="1" si="3">$V$23</f>
        <v>0</v>
      </c>
      <c r="AG4">
        <f t="shared" ref="AG4:AG55" ca="1" si="4">$V$25</f>
        <v>0</v>
      </c>
      <c r="AH4" s="67">
        <f t="shared" ref="AH4:AH54" ca="1" si="5">IF(AF4-(3*AG4)&lt;=0,0,AF4-(3*AG4))</f>
        <v>0</v>
      </c>
      <c r="AI4" s="67">
        <f t="shared" ref="AI4:AI54" ca="1" si="6">IF(AF4-(2*AG4)&lt;=0,0,AF4-(2*AG4))</f>
        <v>0</v>
      </c>
      <c r="AJ4" s="67">
        <f t="shared" ref="AJ4:AJ54" ca="1" si="7">IF(AF4-(1*AG4)&lt;=0,0,AF4-(1*AG4))</f>
        <v>0</v>
      </c>
      <c r="AK4">
        <f t="shared" ref="AK4:AK54" ca="1" si="8">AF4+(1*AG4)</f>
        <v>0</v>
      </c>
      <c r="AL4">
        <f t="shared" ref="AL4:AL54" ca="1" si="9">AF4+(2*AG4)</f>
        <v>0</v>
      </c>
      <c r="AM4">
        <f t="shared" ref="AM4:AM54" ca="1" si="10">AF4+(3*AG4)</f>
        <v>0</v>
      </c>
      <c r="AN4">
        <f t="shared" ref="AN4:AN55" ca="1" si="11">$V$26</f>
        <v>0</v>
      </c>
      <c r="AO4">
        <f t="shared" ref="AO4:AO55" ca="1" si="12">$V$27</f>
        <v>0</v>
      </c>
      <c r="AP4" t="e">
        <f t="shared" ref="AP4:AP54" ca="1" si="13">IF(OR(AE4&gt;AM4,AE4&lt;AH4),AE4,NA())</f>
        <v>#N/A</v>
      </c>
      <c r="AQ4">
        <f ca="1">IF(AE4&gt;AL4,1,IF(AE4&lt;AI4,-1,0))</f>
        <v>0</v>
      </c>
      <c r="AS4">
        <f ca="1">IF(AE4&gt;AE3,1,IF(AE4&lt;AE3,-1,0))</f>
        <v>0</v>
      </c>
      <c r="AU4">
        <f t="shared" ref="AU4:AU54" ca="1" si="14">IF(AE4&gt;AF4,1,IF(AE4&lt;AF4,-1,0))</f>
        <v>0</v>
      </c>
      <c r="AW4" s="5">
        <f ca="1">ABS(AE4-AE3)</f>
        <v>0</v>
      </c>
      <c r="AZ4" s="3"/>
      <c r="BA4" s="3"/>
      <c r="BH4" s="48" t="str">
        <f ca="1">IF(OR(Planned!B14=1,Planned!B14=""),AC4,Planned!B14)</f>
        <v xml:space="preserve"> </v>
      </c>
      <c r="BI4" t="str">
        <f ca="1">IF(TEXT(Planned!D14,"mmm")&lt;&gt;TEXT(Planned!D13,"mmm"),TEXT(Planned!D14,"mmm"),"")</f>
        <v/>
      </c>
      <c r="BK4" s="67"/>
    </row>
    <row r="5" spans="2:63" x14ac:dyDescent="0.25">
      <c r="B5" s="67">
        <f ca="1">IF(Planned!$C$6&lt;&gt;"Overall",COUNTBLANK(OFFSET(Planned!E16,0,0,1,Num_Modalities)),IF(COUNTBLANK(Planned!O16)=1,Num_Modalities,0))</f>
        <v>1</v>
      </c>
      <c r="C5">
        <f ca="1">SUM(OFFSET(Planned!$E16,0,0,1,Num_Modalities))</f>
        <v>0</v>
      </c>
      <c r="E5" s="67">
        <f t="shared" ref="E5:E55" si="15">E4+1</f>
        <v>3</v>
      </c>
      <c r="F5" s="36">
        <f t="shared" ref="F5:F54" si="16">IF(G5&lt;&gt;"",WEEKNUM(G5,21),IF(MOD(F4+1,52)=0,52,MOD(F4+1,52)))</f>
        <v>3</v>
      </c>
      <c r="G5" s="68" t="str">
        <f t="shared" ref="G5:G55" si="17">IF(G4="","",G4+7)</f>
        <v/>
      </c>
      <c r="H5">
        <f ca="1">Planned!E15*'Planned background (hide)'!H$1</f>
        <v>0</v>
      </c>
      <c r="I5">
        <f ca="1">Planned!F15*'Planned background (hide)'!I$1</f>
        <v>0</v>
      </c>
      <c r="J5">
        <f ca="1">Planned!G15*'Planned background (hide)'!J$1</f>
        <v>0</v>
      </c>
      <c r="K5">
        <f ca="1">Planned!H15*'Planned background (hide)'!K$1</f>
        <v>0</v>
      </c>
      <c r="L5">
        <f ca="1">Planned!I15*'Planned background (hide)'!L$1</f>
        <v>0</v>
      </c>
      <c r="M5">
        <f ca="1">Planned!J15*'Planned background (hide)'!M$1</f>
        <v>0</v>
      </c>
      <c r="N5">
        <f ca="1">Planned!K15*'Planned background (hide)'!N$1</f>
        <v>0</v>
      </c>
      <c r="O5">
        <f ca="1">Planned!J15*'Planned background (hide)'!O$1</f>
        <v>0</v>
      </c>
      <c r="P5">
        <f ca="1">Planned!K15*'Planned background (hide)'!P$1</f>
        <v>0</v>
      </c>
      <c r="Q5">
        <f ca="1">Planned!L15*'Planned background (hide)'!Q$1</f>
        <v>0</v>
      </c>
      <c r="R5" s="5">
        <f ca="1">IF(Planned!$C$6="Overall",Planned!O15*'Planned background (hide)'!R$1,"")</f>
        <v>0</v>
      </c>
      <c r="S5" s="5">
        <f ca="1">IF(Planned!R15&lt;&gt;"Yes",IF(Planned!$C$6&lt;&gt;"Overall",SUM(OFFSET('Planned background (hide)'!H5,0,0,1,Num_Modalities)),'Planned background (hide)'!R5),"")</f>
        <v>0</v>
      </c>
      <c r="AB5">
        <f t="shared" si="0"/>
        <v>3</v>
      </c>
      <c r="AC5" s="36">
        <f>IF(Planned!$C$8=0,'Planned background (hide)'!F5,'Planned background (hide)'!G5)</f>
        <v>3</v>
      </c>
      <c r="AD5" s="36">
        <f t="shared" si="2"/>
        <v>1</v>
      </c>
      <c r="AE5" s="5">
        <f t="shared" ca="1" si="1"/>
        <v>0</v>
      </c>
      <c r="AF5" s="5">
        <f t="shared" ca="1" si="3"/>
        <v>0</v>
      </c>
      <c r="AG5">
        <f t="shared" ca="1" si="4"/>
        <v>0</v>
      </c>
      <c r="AH5" s="67">
        <f t="shared" ca="1" si="5"/>
        <v>0</v>
      </c>
      <c r="AI5" s="67">
        <f t="shared" ca="1" si="6"/>
        <v>0</v>
      </c>
      <c r="AJ5" s="67">
        <f t="shared" ca="1" si="7"/>
        <v>0</v>
      </c>
      <c r="AK5">
        <f t="shared" ca="1" si="8"/>
        <v>0</v>
      </c>
      <c r="AL5">
        <f t="shared" ca="1" si="9"/>
        <v>0</v>
      </c>
      <c r="AM5">
        <f t="shared" ca="1" si="10"/>
        <v>0</v>
      </c>
      <c r="AN5">
        <f t="shared" ca="1" si="11"/>
        <v>0</v>
      </c>
      <c r="AO5">
        <f t="shared" ca="1" si="12"/>
        <v>0</v>
      </c>
      <c r="AP5" t="e">
        <f t="shared" ca="1" si="13"/>
        <v>#N/A</v>
      </c>
      <c r="AQ5">
        <f t="shared" ref="AQ5:AQ54" ca="1" si="18">IF(AE5&gt;AL5,1,IF(AE5&lt;AI5,-1,0))</f>
        <v>0</v>
      </c>
      <c r="AR5" t="e">
        <f ca="1">IF(ABS(SUM(AQ3:AQ5))&gt;=2,AE5,NA())</f>
        <v>#N/A</v>
      </c>
      <c r="AS5">
        <f t="shared" ref="AS5:AS54" ca="1" si="19">IF(AE5&gt;AE4,1,IF(AE5&lt;AE4,-1,0))</f>
        <v>0</v>
      </c>
      <c r="AU5">
        <f t="shared" ca="1" si="14"/>
        <v>0</v>
      </c>
      <c r="AW5" s="5">
        <f t="shared" ref="AW5:AW54" ca="1" si="20">ABS(AE5-AE4)</f>
        <v>0</v>
      </c>
      <c r="AZ5" s="3"/>
      <c r="BA5" s="3"/>
      <c r="BH5" s="48" t="str">
        <f ca="1">IF(OR(Planned!B15=1,Planned!B15=""),AC5,Planned!B15)</f>
        <v xml:space="preserve"> </v>
      </c>
      <c r="BI5" t="str">
        <f ca="1">IF(TEXT(Planned!D15,"mmm")&lt;&gt;TEXT(Planned!D14,"mmm"),TEXT(Planned!D15,"mmm"),"")</f>
        <v/>
      </c>
      <c r="BK5" s="67"/>
    </row>
    <row r="6" spans="2:63" x14ac:dyDescent="0.25">
      <c r="B6" s="67">
        <f ca="1">IF(Planned!$C$6&lt;&gt;"Overall",COUNTBLANK(OFFSET(Planned!E17,0,0,1,Num_Modalities)),IF(COUNTBLANK(Planned!O17)=1,Num_Modalities,0))</f>
        <v>1</v>
      </c>
      <c r="C6">
        <f ca="1">SUM(OFFSET(Planned!$E17,0,0,1,Num_Modalities))</f>
        <v>0</v>
      </c>
      <c r="E6" s="67">
        <f t="shared" si="15"/>
        <v>4</v>
      </c>
      <c r="F6" s="36">
        <f t="shared" si="16"/>
        <v>4</v>
      </c>
      <c r="G6" s="68" t="str">
        <f t="shared" si="17"/>
        <v/>
      </c>
      <c r="H6">
        <f ca="1">Planned!E16*'Planned background (hide)'!H$1</f>
        <v>0</v>
      </c>
      <c r="I6">
        <f ca="1">Planned!F16*'Planned background (hide)'!I$1</f>
        <v>0</v>
      </c>
      <c r="J6">
        <f ca="1">Planned!G16*'Planned background (hide)'!J$1</f>
        <v>0</v>
      </c>
      <c r="K6">
        <f ca="1">Planned!H16*'Planned background (hide)'!K$1</f>
        <v>0</v>
      </c>
      <c r="L6">
        <f ca="1">Planned!I16*'Planned background (hide)'!L$1</f>
        <v>0</v>
      </c>
      <c r="M6">
        <f ca="1">Planned!J16*'Planned background (hide)'!M$1</f>
        <v>0</v>
      </c>
      <c r="N6">
        <f ca="1">Planned!K16*'Planned background (hide)'!N$1</f>
        <v>0</v>
      </c>
      <c r="O6">
        <f ca="1">Planned!J16*'Planned background (hide)'!O$1</f>
        <v>0</v>
      </c>
      <c r="P6">
        <f ca="1">Planned!K16*'Planned background (hide)'!P$1</f>
        <v>0</v>
      </c>
      <c r="Q6">
        <f ca="1">Planned!L16*'Planned background (hide)'!Q$1</f>
        <v>0</v>
      </c>
      <c r="R6" s="5">
        <f ca="1">IF(Planned!$C$6="Overall",Planned!O16*'Planned background (hide)'!R$1,"")</f>
        <v>0</v>
      </c>
      <c r="S6" s="5">
        <f ca="1">IF(Planned!R16&lt;&gt;"Yes",IF(Planned!$C$6&lt;&gt;"Overall",SUM(OFFSET('Planned background (hide)'!H6,0,0,1,Num_Modalities)),'Planned background (hide)'!R6),"")</f>
        <v>0</v>
      </c>
      <c r="AB6">
        <f t="shared" si="0"/>
        <v>4</v>
      </c>
      <c r="AC6" s="36">
        <f>IF(Planned!$C$8=0,'Planned background (hide)'!F6,'Planned background (hide)'!G6)</f>
        <v>4</v>
      </c>
      <c r="AD6" s="36">
        <f t="shared" si="2"/>
        <v>1</v>
      </c>
      <c r="AE6" s="5">
        <f t="shared" ca="1" si="1"/>
        <v>0</v>
      </c>
      <c r="AF6" s="5">
        <f t="shared" ca="1" si="3"/>
        <v>0</v>
      </c>
      <c r="AG6">
        <f t="shared" ca="1" si="4"/>
        <v>0</v>
      </c>
      <c r="AH6" s="67">
        <f t="shared" ca="1" si="5"/>
        <v>0</v>
      </c>
      <c r="AI6" s="67">
        <f t="shared" ca="1" si="6"/>
        <v>0</v>
      </c>
      <c r="AJ6" s="67">
        <f t="shared" ca="1" si="7"/>
        <v>0</v>
      </c>
      <c r="AK6">
        <f t="shared" ca="1" si="8"/>
        <v>0</v>
      </c>
      <c r="AL6">
        <f t="shared" ca="1" si="9"/>
        <v>0</v>
      </c>
      <c r="AM6">
        <f t="shared" ca="1" si="10"/>
        <v>0</v>
      </c>
      <c r="AN6">
        <f t="shared" ca="1" si="11"/>
        <v>0</v>
      </c>
      <c r="AO6">
        <f t="shared" ca="1" si="12"/>
        <v>0</v>
      </c>
      <c r="AP6" t="e">
        <f t="shared" ca="1" si="13"/>
        <v>#N/A</v>
      </c>
      <c r="AQ6">
        <f t="shared" ca="1" si="18"/>
        <v>0</v>
      </c>
      <c r="AR6" t="e">
        <f t="shared" ref="AR6:AR54" ca="1" si="21">IF(ABS(SUM(AQ4:AQ6))&gt;=2,AE6,NA())</f>
        <v>#N/A</v>
      </c>
      <c r="AS6">
        <f t="shared" ca="1" si="19"/>
        <v>0</v>
      </c>
      <c r="AU6">
        <f t="shared" ca="1" si="14"/>
        <v>0</v>
      </c>
      <c r="AW6" s="5">
        <f t="shared" ca="1" si="20"/>
        <v>0</v>
      </c>
      <c r="AZ6" s="3"/>
      <c r="BA6" s="3"/>
      <c r="BH6" s="48" t="str">
        <f ca="1">IF(OR(Planned!B16=1,Planned!B16=""),AC6,Planned!B16)</f>
        <v xml:space="preserve"> </v>
      </c>
      <c r="BI6" t="str">
        <f ca="1">IF(TEXT(Planned!D16,"mmm")&lt;&gt;TEXT(Planned!D15,"mmm"),TEXT(Planned!D16,"mmm"),"")</f>
        <v/>
      </c>
      <c r="BK6" s="67"/>
    </row>
    <row r="7" spans="2:63" x14ac:dyDescent="0.25">
      <c r="B7" s="67">
        <f ca="1">IF(Planned!$C$6&lt;&gt;"Overall",COUNTBLANK(OFFSET(Planned!E18,0,0,1,Num_Modalities)),IF(COUNTBLANK(Planned!O18)=1,Num_Modalities,0))</f>
        <v>1</v>
      </c>
      <c r="C7">
        <f ca="1">SUM(OFFSET(Planned!$E18,0,0,1,Num_Modalities))</f>
        <v>0</v>
      </c>
      <c r="E7" s="67">
        <f t="shared" si="15"/>
        <v>5</v>
      </c>
      <c r="F7" s="36">
        <f t="shared" si="16"/>
        <v>5</v>
      </c>
      <c r="G7" s="68" t="str">
        <f t="shared" si="17"/>
        <v/>
      </c>
      <c r="H7">
        <f ca="1">Planned!E17*'Planned background (hide)'!H$1</f>
        <v>0</v>
      </c>
      <c r="I7">
        <f ca="1">Planned!F17*'Planned background (hide)'!I$1</f>
        <v>0</v>
      </c>
      <c r="J7">
        <f ca="1">Planned!G17*'Planned background (hide)'!J$1</f>
        <v>0</v>
      </c>
      <c r="K7">
        <f ca="1">Planned!H17*'Planned background (hide)'!K$1</f>
        <v>0</v>
      </c>
      <c r="L7">
        <f ca="1">Planned!I17*'Planned background (hide)'!L$1</f>
        <v>0</v>
      </c>
      <c r="M7">
        <f ca="1">Planned!J17*'Planned background (hide)'!M$1</f>
        <v>0</v>
      </c>
      <c r="N7">
        <f ca="1">Planned!K17*'Planned background (hide)'!N$1</f>
        <v>0</v>
      </c>
      <c r="O7">
        <f ca="1">Planned!J17*'Planned background (hide)'!O$1</f>
        <v>0</v>
      </c>
      <c r="P7">
        <f ca="1">Planned!K17*'Planned background (hide)'!P$1</f>
        <v>0</v>
      </c>
      <c r="Q7">
        <f ca="1">Planned!L17*'Planned background (hide)'!Q$1</f>
        <v>0</v>
      </c>
      <c r="R7" s="5">
        <f ca="1">IF(Planned!$C$6="Overall",Planned!O17*'Planned background (hide)'!R$1,"")</f>
        <v>0</v>
      </c>
      <c r="S7" s="5">
        <f ca="1">IF(Planned!R17&lt;&gt;"Yes",IF(Planned!$C$6&lt;&gt;"Overall",SUM(OFFSET('Planned background (hide)'!H7,0,0,1,Num_Modalities)),'Planned background (hide)'!R7),"")</f>
        <v>0</v>
      </c>
      <c r="U7" s="54"/>
      <c r="AB7">
        <f t="shared" si="0"/>
        <v>5</v>
      </c>
      <c r="AC7" s="36">
        <f>IF(Planned!$C$8=0,'Planned background (hide)'!F7,'Planned background (hide)'!G7)</f>
        <v>5</v>
      </c>
      <c r="AD7" s="36">
        <f t="shared" si="2"/>
        <v>1</v>
      </c>
      <c r="AE7" s="5">
        <f t="shared" ca="1" si="1"/>
        <v>0</v>
      </c>
      <c r="AF7" s="5">
        <f t="shared" ca="1" si="3"/>
        <v>0</v>
      </c>
      <c r="AG7">
        <f t="shared" ca="1" si="4"/>
        <v>0</v>
      </c>
      <c r="AH7" s="67">
        <f t="shared" ca="1" si="5"/>
        <v>0</v>
      </c>
      <c r="AI7" s="67">
        <f t="shared" ca="1" si="6"/>
        <v>0</v>
      </c>
      <c r="AJ7" s="67">
        <f t="shared" ca="1" si="7"/>
        <v>0</v>
      </c>
      <c r="AK7">
        <f t="shared" ca="1" si="8"/>
        <v>0</v>
      </c>
      <c r="AL7">
        <f t="shared" ca="1" si="9"/>
        <v>0</v>
      </c>
      <c r="AM7">
        <f t="shared" ca="1" si="10"/>
        <v>0</v>
      </c>
      <c r="AN7">
        <f t="shared" ca="1" si="11"/>
        <v>0</v>
      </c>
      <c r="AO7">
        <f t="shared" ca="1" si="12"/>
        <v>0</v>
      </c>
      <c r="AP7" t="e">
        <f t="shared" ca="1" si="13"/>
        <v>#N/A</v>
      </c>
      <c r="AQ7">
        <f t="shared" ca="1" si="18"/>
        <v>0</v>
      </c>
      <c r="AR7" t="e">
        <f t="shared" ca="1" si="21"/>
        <v>#N/A</v>
      </c>
      <c r="AS7">
        <f t="shared" ca="1" si="19"/>
        <v>0</v>
      </c>
      <c r="AU7">
        <f t="shared" ca="1" si="14"/>
        <v>0</v>
      </c>
      <c r="AW7" s="5">
        <f t="shared" ca="1" si="20"/>
        <v>0</v>
      </c>
      <c r="AZ7" s="3"/>
      <c r="BA7" s="3"/>
      <c r="BH7" s="48" t="str">
        <f ca="1">IF(OR(Planned!B17=1,Planned!B17=""),AC7,Planned!B17)</f>
        <v xml:space="preserve"> </v>
      </c>
      <c r="BI7" t="str">
        <f ca="1">IF(TEXT(Planned!D17,"mmm")&lt;&gt;TEXT(Planned!D16,"mmm"),TEXT(Planned!D17,"mmm"),"")</f>
        <v/>
      </c>
      <c r="BK7" s="67"/>
    </row>
    <row r="8" spans="2:63" x14ac:dyDescent="0.25">
      <c r="B8" s="67">
        <f ca="1">IF(Planned!$C$6&lt;&gt;"Overall",COUNTBLANK(OFFSET(Planned!E19,0,0,1,Num_Modalities)),IF(COUNTBLANK(Planned!O19)=1,Num_Modalities,0))</f>
        <v>1</v>
      </c>
      <c r="C8">
        <f ca="1">SUM(OFFSET(Planned!$E19,0,0,1,Num_Modalities))</f>
        <v>0</v>
      </c>
      <c r="E8" s="67">
        <f t="shared" si="15"/>
        <v>6</v>
      </c>
      <c r="F8" s="36">
        <f t="shared" si="16"/>
        <v>6</v>
      </c>
      <c r="G8" s="68" t="str">
        <f t="shared" si="17"/>
        <v/>
      </c>
      <c r="H8">
        <f ca="1">Planned!E18*'Planned background (hide)'!H$1</f>
        <v>0</v>
      </c>
      <c r="I8">
        <f ca="1">Planned!F18*'Planned background (hide)'!I$1</f>
        <v>0</v>
      </c>
      <c r="J8">
        <f ca="1">Planned!G18*'Planned background (hide)'!J$1</f>
        <v>0</v>
      </c>
      <c r="K8">
        <f ca="1">Planned!H18*'Planned background (hide)'!K$1</f>
        <v>0</v>
      </c>
      <c r="L8">
        <f ca="1">Planned!I18*'Planned background (hide)'!L$1</f>
        <v>0</v>
      </c>
      <c r="M8">
        <f ca="1">Planned!J18*'Planned background (hide)'!M$1</f>
        <v>0</v>
      </c>
      <c r="N8">
        <f ca="1">Planned!K18*'Planned background (hide)'!N$1</f>
        <v>0</v>
      </c>
      <c r="O8">
        <f ca="1">Planned!J18*'Planned background (hide)'!O$1</f>
        <v>0</v>
      </c>
      <c r="P8">
        <f ca="1">Planned!K18*'Planned background (hide)'!P$1</f>
        <v>0</v>
      </c>
      <c r="Q8">
        <f ca="1">Planned!L18*'Planned background (hide)'!Q$1</f>
        <v>0</v>
      </c>
      <c r="R8" s="5">
        <f ca="1">IF(Planned!$C$6="Overall",Planned!O18*'Planned background (hide)'!R$1,"")</f>
        <v>0</v>
      </c>
      <c r="S8" s="5">
        <f ca="1">IF(Planned!R18&lt;&gt;"Yes",IF(Planned!$C$6&lt;&gt;"Overall",SUM(OFFSET('Planned background (hide)'!H8,0,0,1,Num_Modalities)),'Planned background (hide)'!R8),"")</f>
        <v>0</v>
      </c>
      <c r="U8" s="54"/>
      <c r="AB8">
        <f t="shared" si="0"/>
        <v>6</v>
      </c>
      <c r="AC8" s="36">
        <f>IF(Planned!$C$8=0,'Planned background (hide)'!F8,'Planned background (hide)'!G8)</f>
        <v>6</v>
      </c>
      <c r="AD8" s="36">
        <f t="shared" si="2"/>
        <v>0</v>
      </c>
      <c r="AE8" s="5">
        <f t="shared" ca="1" si="1"/>
        <v>0</v>
      </c>
      <c r="AF8" s="5">
        <f t="shared" ca="1" si="3"/>
        <v>0</v>
      </c>
      <c r="AG8">
        <f t="shared" ca="1" si="4"/>
        <v>0</v>
      </c>
      <c r="AH8" s="67">
        <f t="shared" ca="1" si="5"/>
        <v>0</v>
      </c>
      <c r="AI8" s="67">
        <f t="shared" ca="1" si="6"/>
        <v>0</v>
      </c>
      <c r="AJ8" s="67">
        <f t="shared" ca="1" si="7"/>
        <v>0</v>
      </c>
      <c r="AK8">
        <f t="shared" ca="1" si="8"/>
        <v>0</v>
      </c>
      <c r="AL8">
        <f t="shared" ca="1" si="9"/>
        <v>0</v>
      </c>
      <c r="AM8">
        <f t="shared" ca="1" si="10"/>
        <v>0</v>
      </c>
      <c r="AN8">
        <f t="shared" ca="1" si="11"/>
        <v>0</v>
      </c>
      <c r="AO8">
        <f t="shared" ca="1" si="12"/>
        <v>0</v>
      </c>
      <c r="AP8" t="e">
        <f t="shared" ca="1" si="13"/>
        <v>#N/A</v>
      </c>
      <c r="AQ8">
        <f t="shared" ca="1" si="18"/>
        <v>0</v>
      </c>
      <c r="AR8" t="e">
        <f t="shared" ca="1" si="21"/>
        <v>#N/A</v>
      </c>
      <c r="AS8">
        <f t="shared" ca="1" si="19"/>
        <v>0</v>
      </c>
      <c r="AU8">
        <f t="shared" ca="1" si="14"/>
        <v>0</v>
      </c>
      <c r="AW8" s="5">
        <f t="shared" ca="1" si="20"/>
        <v>0</v>
      </c>
      <c r="AZ8" s="3"/>
      <c r="BA8" s="3"/>
      <c r="BH8" s="48" t="str">
        <f ca="1">IF(OR(Planned!B18=1,Planned!B18=""),AC8,Planned!B18)</f>
        <v xml:space="preserve"> </v>
      </c>
      <c r="BI8" t="str">
        <f ca="1">IF(TEXT(Planned!D18,"mmm")&lt;&gt;TEXT(Planned!D17,"mmm"),TEXT(Planned!D18,"mmm"),"")</f>
        <v/>
      </c>
      <c r="BK8" s="67"/>
    </row>
    <row r="9" spans="2:63" x14ac:dyDescent="0.25">
      <c r="B9" s="67">
        <f ca="1">IF(Planned!$C$6&lt;&gt;"Overall",COUNTBLANK(OFFSET(Planned!E20,0,0,1,Num_Modalities)),IF(COUNTBLANK(Planned!O20)=1,Num_Modalities,0))</f>
        <v>1</v>
      </c>
      <c r="C9">
        <f ca="1">SUM(OFFSET(Planned!$E20,0,0,1,Num_Modalities))</f>
        <v>0</v>
      </c>
      <c r="E9" s="67">
        <f t="shared" si="15"/>
        <v>7</v>
      </c>
      <c r="F9" s="36">
        <f t="shared" si="16"/>
        <v>7</v>
      </c>
      <c r="G9" s="68" t="str">
        <f t="shared" si="17"/>
        <v/>
      </c>
      <c r="H9">
        <f ca="1">Planned!E19*'Planned background (hide)'!H$1</f>
        <v>0</v>
      </c>
      <c r="I9">
        <f ca="1">Planned!F19*'Planned background (hide)'!I$1</f>
        <v>0</v>
      </c>
      <c r="J9">
        <f ca="1">Planned!G19*'Planned background (hide)'!J$1</f>
        <v>0</v>
      </c>
      <c r="K9">
        <f ca="1">Planned!H19*'Planned background (hide)'!K$1</f>
        <v>0</v>
      </c>
      <c r="L9">
        <f ca="1">Planned!I19*'Planned background (hide)'!L$1</f>
        <v>0</v>
      </c>
      <c r="M9">
        <f ca="1">Planned!J19*'Planned background (hide)'!M$1</f>
        <v>0</v>
      </c>
      <c r="N9">
        <f ca="1">Planned!K19*'Planned background (hide)'!N$1</f>
        <v>0</v>
      </c>
      <c r="O9">
        <f ca="1">Planned!J19*'Planned background (hide)'!O$1</f>
        <v>0</v>
      </c>
      <c r="P9">
        <f ca="1">Planned!K19*'Planned background (hide)'!P$1</f>
        <v>0</v>
      </c>
      <c r="Q9">
        <f ca="1">Planned!L19*'Planned background (hide)'!Q$1</f>
        <v>0</v>
      </c>
      <c r="R9" s="5">
        <f ca="1">IF(Planned!$C$6="Overall",Planned!O19*'Planned background (hide)'!R$1,"")</f>
        <v>0</v>
      </c>
      <c r="S9" s="5">
        <f ca="1">IF(Planned!R19&lt;&gt;"Yes",IF(Planned!$C$6&lt;&gt;"Overall",SUM(OFFSET('Planned background (hide)'!H9,0,0,1,Num_Modalities)),'Planned background (hide)'!R9),"")</f>
        <v>0</v>
      </c>
      <c r="AB9">
        <f t="shared" si="0"/>
        <v>7</v>
      </c>
      <c r="AC9" s="36">
        <f>IF(Planned!$C$8=0,'Planned background (hide)'!F9,'Planned background (hide)'!G9)</f>
        <v>7</v>
      </c>
      <c r="AD9" s="36">
        <f t="shared" si="2"/>
        <v>0</v>
      </c>
      <c r="AE9" s="5">
        <f t="shared" ca="1" si="1"/>
        <v>0</v>
      </c>
      <c r="AF9" s="5">
        <f t="shared" ca="1" si="3"/>
        <v>0</v>
      </c>
      <c r="AG9">
        <f t="shared" ca="1" si="4"/>
        <v>0</v>
      </c>
      <c r="AH9" s="67">
        <f t="shared" ca="1" si="5"/>
        <v>0</v>
      </c>
      <c r="AI9" s="67">
        <f t="shared" ca="1" si="6"/>
        <v>0</v>
      </c>
      <c r="AJ9" s="67">
        <f t="shared" ca="1" si="7"/>
        <v>0</v>
      </c>
      <c r="AK9">
        <f t="shared" ca="1" si="8"/>
        <v>0</v>
      </c>
      <c r="AL9">
        <f t="shared" ca="1" si="9"/>
        <v>0</v>
      </c>
      <c r="AM9">
        <f t="shared" ca="1" si="10"/>
        <v>0</v>
      </c>
      <c r="AN9">
        <f t="shared" ca="1" si="11"/>
        <v>0</v>
      </c>
      <c r="AO9">
        <f t="shared" ca="1" si="12"/>
        <v>0</v>
      </c>
      <c r="AP9" t="e">
        <f t="shared" ca="1" si="13"/>
        <v>#N/A</v>
      </c>
      <c r="AQ9">
        <f t="shared" ca="1" si="18"/>
        <v>0</v>
      </c>
      <c r="AR9" t="e">
        <f t="shared" ca="1" si="21"/>
        <v>#N/A</v>
      </c>
      <c r="AS9">
        <f t="shared" ca="1" si="19"/>
        <v>0</v>
      </c>
      <c r="AT9" t="e">
        <f ca="1">IF(ABS(SUM(AS4:AS9))=6,AE9,NA())</f>
        <v>#N/A</v>
      </c>
      <c r="AU9">
        <f t="shared" ca="1" si="14"/>
        <v>0</v>
      </c>
      <c r="AW9" s="5">
        <f t="shared" ca="1" si="20"/>
        <v>0</v>
      </c>
      <c r="BH9" s="48" t="str">
        <f ca="1">IF(OR(Planned!B19=1,Planned!B19=""),AC9,Planned!B19)</f>
        <v xml:space="preserve"> </v>
      </c>
      <c r="BI9" t="str">
        <f ca="1">IF(TEXT(Planned!D19,"mmm")&lt;&gt;TEXT(Planned!D18,"mmm"),TEXT(Planned!D19,"mmm"),"")</f>
        <v/>
      </c>
      <c r="BK9" s="67"/>
    </row>
    <row r="10" spans="2:63" x14ac:dyDescent="0.25">
      <c r="B10" s="67">
        <f ca="1">IF(Planned!$C$6&lt;&gt;"Overall",COUNTBLANK(OFFSET(Planned!E21,0,0,1,Num_Modalities)),IF(COUNTBLANK(Planned!O21)=1,Num_Modalities,0))</f>
        <v>1</v>
      </c>
      <c r="C10">
        <f ca="1">SUM(OFFSET(Planned!$E21,0,0,1,Num_Modalities))</f>
        <v>0</v>
      </c>
      <c r="E10" s="67">
        <f t="shared" si="15"/>
        <v>8</v>
      </c>
      <c r="F10" s="36">
        <f t="shared" si="16"/>
        <v>8</v>
      </c>
      <c r="G10" s="68" t="str">
        <f t="shared" si="17"/>
        <v/>
      </c>
      <c r="H10">
        <f ca="1">Planned!E20*'Planned background (hide)'!H$1</f>
        <v>0</v>
      </c>
      <c r="I10">
        <f ca="1">Planned!F20*'Planned background (hide)'!I$1</f>
        <v>0</v>
      </c>
      <c r="J10">
        <f ca="1">Planned!G20*'Planned background (hide)'!J$1</f>
        <v>0</v>
      </c>
      <c r="K10">
        <f ca="1">Planned!H20*'Planned background (hide)'!K$1</f>
        <v>0</v>
      </c>
      <c r="L10">
        <f ca="1">Planned!I20*'Planned background (hide)'!L$1</f>
        <v>0</v>
      </c>
      <c r="M10">
        <f ca="1">Planned!J20*'Planned background (hide)'!M$1</f>
        <v>0</v>
      </c>
      <c r="N10">
        <f ca="1">Planned!K20*'Planned background (hide)'!N$1</f>
        <v>0</v>
      </c>
      <c r="O10">
        <f ca="1">Planned!J20*'Planned background (hide)'!O$1</f>
        <v>0</v>
      </c>
      <c r="P10">
        <f ca="1">Planned!K20*'Planned background (hide)'!P$1</f>
        <v>0</v>
      </c>
      <c r="Q10">
        <f ca="1">Planned!L20*'Planned background (hide)'!Q$1</f>
        <v>0</v>
      </c>
      <c r="R10" s="5">
        <f ca="1">IF(Planned!$C$6="Overall",Planned!O20*'Planned background (hide)'!R$1,"")</f>
        <v>0</v>
      </c>
      <c r="S10" s="5">
        <f ca="1">IF(Planned!R20&lt;&gt;"Yes",IF(Planned!$C$6&lt;&gt;"Overall",SUM(OFFSET('Planned background (hide)'!H10,0,0,1,Num_Modalities)),'Planned background (hide)'!R10),"")</f>
        <v>0</v>
      </c>
      <c r="AB10">
        <f t="shared" si="0"/>
        <v>8</v>
      </c>
      <c r="AC10" s="36">
        <f>IF(Planned!$C$8=0,'Planned background (hide)'!F10,'Planned background (hide)'!G10)</f>
        <v>8</v>
      </c>
      <c r="AD10" s="36">
        <f t="shared" si="2"/>
        <v>0</v>
      </c>
      <c r="AE10" s="5">
        <f t="shared" ca="1" si="1"/>
        <v>0</v>
      </c>
      <c r="AF10" s="5">
        <f t="shared" ca="1" si="3"/>
        <v>0</v>
      </c>
      <c r="AG10">
        <f t="shared" ca="1" si="4"/>
        <v>0</v>
      </c>
      <c r="AH10" s="67">
        <f t="shared" ca="1" si="5"/>
        <v>0</v>
      </c>
      <c r="AI10" s="67">
        <f t="shared" ca="1" si="6"/>
        <v>0</v>
      </c>
      <c r="AJ10" s="67">
        <f t="shared" ca="1" si="7"/>
        <v>0</v>
      </c>
      <c r="AK10">
        <f t="shared" ca="1" si="8"/>
        <v>0</v>
      </c>
      <c r="AL10">
        <f t="shared" ca="1" si="9"/>
        <v>0</v>
      </c>
      <c r="AM10">
        <f t="shared" ca="1" si="10"/>
        <v>0</v>
      </c>
      <c r="AN10">
        <f t="shared" ca="1" si="11"/>
        <v>0</v>
      </c>
      <c r="AO10">
        <f t="shared" ca="1" si="12"/>
        <v>0</v>
      </c>
      <c r="AP10" t="e">
        <f t="shared" ca="1" si="13"/>
        <v>#N/A</v>
      </c>
      <c r="AQ10">
        <f t="shared" ca="1" si="18"/>
        <v>0</v>
      </c>
      <c r="AR10" t="e">
        <f t="shared" ca="1" si="21"/>
        <v>#N/A</v>
      </c>
      <c r="AS10">
        <f t="shared" ca="1" si="19"/>
        <v>0</v>
      </c>
      <c r="AT10" t="e">
        <f t="shared" ref="AT10:AT54" ca="1" si="22">IF(ABS(SUM(AS5:AS10))=6,AE10,NA())</f>
        <v>#N/A</v>
      </c>
      <c r="AU10">
        <f t="shared" ca="1" si="14"/>
        <v>0</v>
      </c>
      <c r="AW10" s="5">
        <f t="shared" ca="1" si="20"/>
        <v>0</v>
      </c>
      <c r="BH10" s="48" t="str">
        <f ca="1">IF(OR(Planned!B20=1,Planned!B20=""),AC10,Planned!B20)</f>
        <v xml:space="preserve"> </v>
      </c>
      <c r="BI10" t="str">
        <f ca="1">IF(TEXT(Planned!D20,"mmm")&lt;&gt;TEXT(Planned!D19,"mmm"),TEXT(Planned!D20,"mmm"),"")</f>
        <v/>
      </c>
      <c r="BK10" s="67"/>
    </row>
    <row r="11" spans="2:63" x14ac:dyDescent="0.25">
      <c r="B11" s="67">
        <f ca="1">IF(Planned!$C$6&lt;&gt;"Overall",COUNTBLANK(OFFSET(Planned!E22,0,0,1,Num_Modalities)),IF(COUNTBLANK(Planned!O22)=1,Num_Modalities,0))</f>
        <v>1</v>
      </c>
      <c r="C11">
        <f ca="1">SUM(OFFSET(Planned!$E22,0,0,1,Num_Modalities))</f>
        <v>0</v>
      </c>
      <c r="E11" s="67">
        <f t="shared" si="15"/>
        <v>9</v>
      </c>
      <c r="F11" s="36">
        <f t="shared" si="16"/>
        <v>9</v>
      </c>
      <c r="G11" s="68" t="str">
        <f t="shared" si="17"/>
        <v/>
      </c>
      <c r="H11">
        <f ca="1">Planned!E21*'Planned background (hide)'!H$1</f>
        <v>0</v>
      </c>
      <c r="I11">
        <f ca="1">Planned!F21*'Planned background (hide)'!I$1</f>
        <v>0</v>
      </c>
      <c r="J11">
        <f ca="1">Planned!G21*'Planned background (hide)'!J$1</f>
        <v>0</v>
      </c>
      <c r="K11">
        <f ca="1">Planned!H21*'Planned background (hide)'!K$1</f>
        <v>0</v>
      </c>
      <c r="L11">
        <f ca="1">Planned!I21*'Planned background (hide)'!L$1</f>
        <v>0</v>
      </c>
      <c r="M11">
        <f ca="1">Planned!J21*'Planned background (hide)'!M$1</f>
        <v>0</v>
      </c>
      <c r="N11">
        <f ca="1">Planned!K21*'Planned background (hide)'!N$1</f>
        <v>0</v>
      </c>
      <c r="O11">
        <f ca="1">Planned!J21*'Planned background (hide)'!O$1</f>
        <v>0</v>
      </c>
      <c r="P11">
        <f ca="1">Planned!K21*'Planned background (hide)'!P$1</f>
        <v>0</v>
      </c>
      <c r="Q11">
        <f ca="1">Planned!L21*'Planned background (hide)'!Q$1</f>
        <v>0</v>
      </c>
      <c r="R11" s="5">
        <f ca="1">IF(Planned!$C$6="Overall",Planned!O21*'Planned background (hide)'!R$1,"")</f>
        <v>0</v>
      </c>
      <c r="S11" s="5">
        <f ca="1">IF(Planned!R21&lt;&gt;"Yes",IF(Planned!$C$6&lt;&gt;"Overall",SUM(OFFSET('Planned background (hide)'!H11,0,0,1,Num_Modalities)),'Planned background (hide)'!R11),"")</f>
        <v>0</v>
      </c>
      <c r="AB11">
        <f t="shared" si="0"/>
        <v>9</v>
      </c>
      <c r="AC11" s="36">
        <f>IF(Planned!$C$8=0,'Planned background (hide)'!F11,'Planned background (hide)'!G11)</f>
        <v>9</v>
      </c>
      <c r="AD11" s="36">
        <f t="shared" si="2"/>
        <v>0</v>
      </c>
      <c r="AE11" s="5">
        <f t="shared" ca="1" si="1"/>
        <v>0</v>
      </c>
      <c r="AF11" s="5">
        <f t="shared" ca="1" si="3"/>
        <v>0</v>
      </c>
      <c r="AG11">
        <f t="shared" ca="1" si="4"/>
        <v>0</v>
      </c>
      <c r="AH11" s="67">
        <f t="shared" ca="1" si="5"/>
        <v>0</v>
      </c>
      <c r="AI11" s="67">
        <f t="shared" ca="1" si="6"/>
        <v>0</v>
      </c>
      <c r="AJ11" s="67">
        <f t="shared" ca="1" si="7"/>
        <v>0</v>
      </c>
      <c r="AK11">
        <f t="shared" ca="1" si="8"/>
        <v>0</v>
      </c>
      <c r="AL11">
        <f t="shared" ca="1" si="9"/>
        <v>0</v>
      </c>
      <c r="AM11">
        <f t="shared" ca="1" si="10"/>
        <v>0</v>
      </c>
      <c r="AN11">
        <f t="shared" ca="1" si="11"/>
        <v>0</v>
      </c>
      <c r="AO11">
        <f t="shared" ca="1" si="12"/>
        <v>0</v>
      </c>
      <c r="AP11" t="e">
        <f t="shared" ca="1" si="13"/>
        <v>#N/A</v>
      </c>
      <c r="AQ11">
        <f t="shared" ca="1" si="18"/>
        <v>0</v>
      </c>
      <c r="AR11" t="e">
        <f t="shared" ca="1" si="21"/>
        <v>#N/A</v>
      </c>
      <c r="AS11">
        <f t="shared" ca="1" si="19"/>
        <v>0</v>
      </c>
      <c r="AT11" t="e">
        <f t="shared" ca="1" si="22"/>
        <v>#N/A</v>
      </c>
      <c r="AU11">
        <f t="shared" ca="1" si="14"/>
        <v>0</v>
      </c>
      <c r="AV11" t="e">
        <f ca="1">IF(ABS(SUM(AU3:AU11))=9,AE11,NA())</f>
        <v>#N/A</v>
      </c>
      <c r="AW11" s="5">
        <f t="shared" ca="1" si="20"/>
        <v>0</v>
      </c>
      <c r="BH11" s="48" t="str">
        <f ca="1">IF(OR(Planned!B21=1,Planned!B21=""),AC11,Planned!B21)</f>
        <v xml:space="preserve"> </v>
      </c>
      <c r="BI11" t="str">
        <f ca="1">IF(TEXT(Planned!D21,"mmm")&lt;&gt;TEXT(Planned!D20,"mmm"),TEXT(Planned!D21,"mmm"),"")</f>
        <v/>
      </c>
      <c r="BK11" s="67"/>
    </row>
    <row r="12" spans="2:63" x14ac:dyDescent="0.25">
      <c r="B12" s="67">
        <f ca="1">IF(Planned!$C$6&lt;&gt;"Overall",COUNTBLANK(OFFSET(Planned!E23,0,0,1,Num_Modalities)),IF(COUNTBLANK(Planned!O23)=1,Num_Modalities,0))</f>
        <v>1</v>
      </c>
      <c r="C12">
        <f ca="1">SUM(OFFSET(Planned!$E23,0,0,1,Num_Modalities))</f>
        <v>0</v>
      </c>
      <c r="E12" s="67">
        <f t="shared" si="15"/>
        <v>10</v>
      </c>
      <c r="F12" s="36">
        <f t="shared" si="16"/>
        <v>10</v>
      </c>
      <c r="G12" s="68" t="str">
        <f t="shared" si="17"/>
        <v/>
      </c>
      <c r="H12">
        <f ca="1">Planned!E22*'Planned background (hide)'!H$1</f>
        <v>0</v>
      </c>
      <c r="I12">
        <f ca="1">Planned!F22*'Planned background (hide)'!I$1</f>
        <v>0</v>
      </c>
      <c r="J12">
        <f ca="1">Planned!G22*'Planned background (hide)'!J$1</f>
        <v>0</v>
      </c>
      <c r="K12">
        <f ca="1">Planned!H22*'Planned background (hide)'!K$1</f>
        <v>0</v>
      </c>
      <c r="L12">
        <f ca="1">Planned!I22*'Planned background (hide)'!L$1</f>
        <v>0</v>
      </c>
      <c r="M12">
        <f ca="1">Planned!J22*'Planned background (hide)'!M$1</f>
        <v>0</v>
      </c>
      <c r="N12">
        <f ca="1">Planned!K22*'Planned background (hide)'!N$1</f>
        <v>0</v>
      </c>
      <c r="O12">
        <f ca="1">Planned!J22*'Planned background (hide)'!O$1</f>
        <v>0</v>
      </c>
      <c r="P12">
        <f ca="1">Planned!K22*'Planned background (hide)'!P$1</f>
        <v>0</v>
      </c>
      <c r="Q12">
        <f ca="1">Planned!L22*'Planned background (hide)'!Q$1</f>
        <v>0</v>
      </c>
      <c r="R12" s="5">
        <f ca="1">IF(Planned!$C$6="Overall",Planned!O22*'Planned background (hide)'!R$1,"")</f>
        <v>0</v>
      </c>
      <c r="S12" s="5">
        <f ca="1">IF(Planned!R22&lt;&gt;"Yes",IF(Planned!$C$6&lt;&gt;"Overall",SUM(OFFSET('Planned background (hide)'!H12,0,0,1,Num_Modalities)),'Planned background (hide)'!R12),"")</f>
        <v>0</v>
      </c>
      <c r="W12" s="49"/>
      <c r="AB12">
        <f t="shared" si="0"/>
        <v>10</v>
      </c>
      <c r="AC12" s="36">
        <f>IF(Planned!$C$8=0,'Planned background (hide)'!F12,'Planned background (hide)'!G12)</f>
        <v>10</v>
      </c>
      <c r="AD12" s="36">
        <f t="shared" si="2"/>
        <v>0</v>
      </c>
      <c r="AE12" s="5">
        <f t="shared" ca="1" si="1"/>
        <v>0</v>
      </c>
      <c r="AF12" s="5">
        <f t="shared" ca="1" si="3"/>
        <v>0</v>
      </c>
      <c r="AG12">
        <f t="shared" ca="1" si="4"/>
        <v>0</v>
      </c>
      <c r="AH12" s="67">
        <f t="shared" ca="1" si="5"/>
        <v>0</v>
      </c>
      <c r="AI12" s="67">
        <f t="shared" ca="1" si="6"/>
        <v>0</v>
      </c>
      <c r="AJ12" s="67">
        <f t="shared" ca="1" si="7"/>
        <v>0</v>
      </c>
      <c r="AK12">
        <f t="shared" ca="1" si="8"/>
        <v>0</v>
      </c>
      <c r="AL12">
        <f t="shared" ca="1" si="9"/>
        <v>0</v>
      </c>
      <c r="AM12">
        <f t="shared" ca="1" si="10"/>
        <v>0</v>
      </c>
      <c r="AN12">
        <f t="shared" ca="1" si="11"/>
        <v>0</v>
      </c>
      <c r="AO12">
        <f t="shared" ca="1" si="12"/>
        <v>0</v>
      </c>
      <c r="AP12" t="e">
        <f t="shared" ca="1" si="13"/>
        <v>#N/A</v>
      </c>
      <c r="AQ12">
        <f t="shared" ca="1" si="18"/>
        <v>0</v>
      </c>
      <c r="AR12" t="e">
        <f t="shared" ca="1" si="21"/>
        <v>#N/A</v>
      </c>
      <c r="AS12">
        <f t="shared" ca="1" si="19"/>
        <v>0</v>
      </c>
      <c r="AT12" t="e">
        <f t="shared" ca="1" si="22"/>
        <v>#N/A</v>
      </c>
      <c r="AU12">
        <f t="shared" ca="1" si="14"/>
        <v>0</v>
      </c>
      <c r="AV12" t="e">
        <f t="shared" ref="AV12:AV54" ca="1" si="23">IF(ABS(SUM(AU4:AU12))=9,AE12,NA())</f>
        <v>#N/A</v>
      </c>
      <c r="AW12" s="5">
        <f t="shared" ca="1" si="20"/>
        <v>0</v>
      </c>
      <c r="BH12" s="48" t="str">
        <f ca="1">IF(OR(Planned!B22=1,Planned!B22=""),AC12,Planned!B22)</f>
        <v xml:space="preserve"> </v>
      </c>
      <c r="BI12" t="str">
        <f ca="1">IF(TEXT(Planned!D22,"mmm")&lt;&gt;TEXT(Planned!D21,"mmm"),TEXT(Planned!D22,"mmm"),"")</f>
        <v/>
      </c>
      <c r="BK12" s="67"/>
    </row>
    <row r="13" spans="2:63" x14ac:dyDescent="0.25">
      <c r="B13" s="67">
        <f ca="1">IF(Planned!$C$6&lt;&gt;"Overall",COUNTBLANK(OFFSET(Planned!E24,0,0,1,Num_Modalities)),IF(COUNTBLANK(Planned!O24)=1,Num_Modalities,0))</f>
        <v>1</v>
      </c>
      <c r="C13">
        <f ca="1">SUM(OFFSET(Planned!$E24,0,0,1,Num_Modalities))</f>
        <v>0</v>
      </c>
      <c r="E13" s="67">
        <f t="shared" si="15"/>
        <v>11</v>
      </c>
      <c r="F13" s="36">
        <f t="shared" si="16"/>
        <v>11</v>
      </c>
      <c r="G13" s="68" t="str">
        <f t="shared" si="17"/>
        <v/>
      </c>
      <c r="H13">
        <f ca="1">Planned!E23*'Planned background (hide)'!H$1</f>
        <v>0</v>
      </c>
      <c r="I13">
        <f ca="1">Planned!F23*'Planned background (hide)'!I$1</f>
        <v>0</v>
      </c>
      <c r="J13">
        <f ca="1">Planned!G23*'Planned background (hide)'!J$1</f>
        <v>0</v>
      </c>
      <c r="K13">
        <f ca="1">Planned!H23*'Planned background (hide)'!K$1</f>
        <v>0</v>
      </c>
      <c r="L13">
        <f ca="1">Planned!I23*'Planned background (hide)'!L$1</f>
        <v>0</v>
      </c>
      <c r="M13">
        <f ca="1">Planned!J23*'Planned background (hide)'!M$1</f>
        <v>0</v>
      </c>
      <c r="N13">
        <f ca="1">Planned!K23*'Planned background (hide)'!N$1</f>
        <v>0</v>
      </c>
      <c r="O13">
        <f ca="1">Planned!J23*'Planned background (hide)'!O$1</f>
        <v>0</v>
      </c>
      <c r="P13">
        <f ca="1">Planned!K23*'Planned background (hide)'!P$1</f>
        <v>0</v>
      </c>
      <c r="Q13">
        <f ca="1">Planned!L23*'Planned background (hide)'!Q$1</f>
        <v>0</v>
      </c>
      <c r="R13" s="5">
        <f ca="1">IF(Planned!$C$6="Overall",Planned!O23*'Planned background (hide)'!R$1,"")</f>
        <v>0</v>
      </c>
      <c r="S13" s="5">
        <f ca="1">IF(Planned!R23&lt;&gt;"Yes",IF(Planned!$C$6&lt;&gt;"Overall",SUM(OFFSET('Planned background (hide)'!H13,0,0,1,Num_Modalities)),'Planned background (hide)'!R13),"")</f>
        <v>0</v>
      </c>
      <c r="W13" s="49"/>
      <c r="AB13">
        <f t="shared" si="0"/>
        <v>11</v>
      </c>
      <c r="AC13" s="36">
        <f>IF(Planned!$C$8=0,'Planned background (hide)'!F13,'Planned background (hide)'!G13)</f>
        <v>11</v>
      </c>
      <c r="AD13" s="36">
        <f t="shared" si="2"/>
        <v>0</v>
      </c>
      <c r="AE13" s="5">
        <f t="shared" ca="1" si="1"/>
        <v>0</v>
      </c>
      <c r="AF13" s="5">
        <f t="shared" ca="1" si="3"/>
        <v>0</v>
      </c>
      <c r="AG13">
        <f t="shared" ca="1" si="4"/>
        <v>0</v>
      </c>
      <c r="AH13" s="67">
        <f t="shared" ca="1" si="5"/>
        <v>0</v>
      </c>
      <c r="AI13" s="67">
        <f t="shared" ca="1" si="6"/>
        <v>0</v>
      </c>
      <c r="AJ13" s="67">
        <f t="shared" ca="1" si="7"/>
        <v>0</v>
      </c>
      <c r="AK13">
        <f t="shared" ca="1" si="8"/>
        <v>0</v>
      </c>
      <c r="AL13">
        <f t="shared" ca="1" si="9"/>
        <v>0</v>
      </c>
      <c r="AM13">
        <f t="shared" ca="1" si="10"/>
        <v>0</v>
      </c>
      <c r="AN13">
        <f t="shared" ca="1" si="11"/>
        <v>0</v>
      </c>
      <c r="AO13">
        <f t="shared" ca="1" si="12"/>
        <v>0</v>
      </c>
      <c r="AP13" t="e">
        <f t="shared" ca="1" si="13"/>
        <v>#N/A</v>
      </c>
      <c r="AQ13">
        <f t="shared" ca="1" si="18"/>
        <v>0</v>
      </c>
      <c r="AR13" t="e">
        <f t="shared" ca="1" si="21"/>
        <v>#N/A</v>
      </c>
      <c r="AS13">
        <f t="shared" ca="1" si="19"/>
        <v>0</v>
      </c>
      <c r="AT13" t="e">
        <f t="shared" ca="1" si="22"/>
        <v>#N/A</v>
      </c>
      <c r="AU13">
        <f t="shared" ca="1" si="14"/>
        <v>0</v>
      </c>
      <c r="AV13" t="e">
        <f t="shared" ca="1" si="23"/>
        <v>#N/A</v>
      </c>
      <c r="AW13" s="5">
        <f t="shared" ca="1" si="20"/>
        <v>0</v>
      </c>
      <c r="BH13" s="48" t="str">
        <f ca="1">IF(OR(Planned!B23=1,Planned!B23=""),AC13,Planned!B23)</f>
        <v xml:space="preserve"> </v>
      </c>
      <c r="BI13" t="str">
        <f ca="1">IF(TEXT(Planned!D23,"mmm")&lt;&gt;TEXT(Planned!D22,"mmm"),TEXT(Planned!D23,"mmm"),"")</f>
        <v/>
      </c>
      <c r="BK13" s="67"/>
    </row>
    <row r="14" spans="2:63" x14ac:dyDescent="0.25">
      <c r="B14" s="67">
        <f ca="1">IF(Planned!$C$6&lt;&gt;"Overall",COUNTBLANK(OFFSET(Planned!E25,0,0,1,Num_Modalities)),IF(COUNTBLANK(Planned!O25)=1,Num_Modalities,0))</f>
        <v>1</v>
      </c>
      <c r="C14">
        <f ca="1">SUM(OFFSET(Planned!$E25,0,0,1,Num_Modalities))</f>
        <v>0</v>
      </c>
      <c r="E14" s="67">
        <f t="shared" si="15"/>
        <v>12</v>
      </c>
      <c r="F14" s="36">
        <f t="shared" si="16"/>
        <v>12</v>
      </c>
      <c r="G14" s="68" t="str">
        <f t="shared" si="17"/>
        <v/>
      </c>
      <c r="H14">
        <f ca="1">Planned!E24*'Planned background (hide)'!H$1</f>
        <v>0</v>
      </c>
      <c r="I14">
        <f ca="1">Planned!F24*'Planned background (hide)'!I$1</f>
        <v>0</v>
      </c>
      <c r="J14">
        <f ca="1">Planned!G24*'Planned background (hide)'!J$1</f>
        <v>0</v>
      </c>
      <c r="K14">
        <f ca="1">Planned!H24*'Planned background (hide)'!K$1</f>
        <v>0</v>
      </c>
      <c r="L14">
        <f ca="1">Planned!I24*'Planned background (hide)'!L$1</f>
        <v>0</v>
      </c>
      <c r="M14">
        <f ca="1">Planned!J24*'Planned background (hide)'!M$1</f>
        <v>0</v>
      </c>
      <c r="N14">
        <f ca="1">Planned!K24*'Planned background (hide)'!N$1</f>
        <v>0</v>
      </c>
      <c r="O14">
        <f ca="1">Planned!J24*'Planned background (hide)'!O$1</f>
        <v>0</v>
      </c>
      <c r="P14">
        <f ca="1">Planned!K24*'Planned background (hide)'!P$1</f>
        <v>0</v>
      </c>
      <c r="Q14">
        <f ca="1">Planned!L24*'Planned background (hide)'!Q$1</f>
        <v>0</v>
      </c>
      <c r="R14" s="5">
        <f ca="1">IF(Planned!$C$6="Overall",Planned!O24*'Planned background (hide)'!R$1,"")</f>
        <v>0</v>
      </c>
      <c r="S14" s="5">
        <f ca="1">IF(Planned!R24&lt;&gt;"Yes",IF(Planned!$C$6&lt;&gt;"Overall",SUM(OFFSET('Planned background (hide)'!H14,0,0,1,Num_Modalities)),'Planned background (hide)'!R14),"")</f>
        <v>0</v>
      </c>
      <c r="W14" s="49"/>
      <c r="AB14">
        <f t="shared" si="0"/>
        <v>12</v>
      </c>
      <c r="AC14" s="36">
        <f>IF(Planned!$C$8=0,'Planned background (hide)'!F14,'Planned background (hide)'!G14)</f>
        <v>12</v>
      </c>
      <c r="AD14" s="36">
        <f t="shared" si="2"/>
        <v>0</v>
      </c>
      <c r="AE14" s="5">
        <f t="shared" ca="1" si="1"/>
        <v>0</v>
      </c>
      <c r="AF14" s="5">
        <f t="shared" ca="1" si="3"/>
        <v>0</v>
      </c>
      <c r="AG14">
        <f t="shared" ca="1" si="4"/>
        <v>0</v>
      </c>
      <c r="AH14" s="67">
        <f t="shared" ca="1" si="5"/>
        <v>0</v>
      </c>
      <c r="AI14" s="67">
        <f t="shared" ca="1" si="6"/>
        <v>0</v>
      </c>
      <c r="AJ14" s="67">
        <f t="shared" ca="1" si="7"/>
        <v>0</v>
      </c>
      <c r="AK14">
        <f t="shared" ca="1" si="8"/>
        <v>0</v>
      </c>
      <c r="AL14">
        <f t="shared" ca="1" si="9"/>
        <v>0</v>
      </c>
      <c r="AM14">
        <f t="shared" ca="1" si="10"/>
        <v>0</v>
      </c>
      <c r="AN14">
        <f t="shared" ca="1" si="11"/>
        <v>0</v>
      </c>
      <c r="AO14">
        <f t="shared" ca="1" si="12"/>
        <v>0</v>
      </c>
      <c r="AP14" t="e">
        <f t="shared" ca="1" si="13"/>
        <v>#N/A</v>
      </c>
      <c r="AQ14">
        <f t="shared" ca="1" si="18"/>
        <v>0</v>
      </c>
      <c r="AR14" t="e">
        <f t="shared" ca="1" si="21"/>
        <v>#N/A</v>
      </c>
      <c r="AS14">
        <f t="shared" ca="1" si="19"/>
        <v>0</v>
      </c>
      <c r="AT14" t="e">
        <f t="shared" ca="1" si="22"/>
        <v>#N/A</v>
      </c>
      <c r="AU14">
        <f t="shared" ca="1" si="14"/>
        <v>0</v>
      </c>
      <c r="AV14" t="e">
        <f t="shared" ca="1" si="23"/>
        <v>#N/A</v>
      </c>
      <c r="AW14" s="5">
        <f t="shared" ca="1" si="20"/>
        <v>0</v>
      </c>
      <c r="BH14" s="48" t="str">
        <f ca="1">IF(OR(Planned!B24=1,Planned!B24=""),AC14,Planned!B24)</f>
        <v xml:space="preserve"> </v>
      </c>
      <c r="BI14" t="str">
        <f ca="1">IF(TEXT(Planned!D24,"mmm")&lt;&gt;TEXT(Planned!D23,"mmm"),TEXT(Planned!D24,"mmm"),"")</f>
        <v/>
      </c>
      <c r="BK14" s="67"/>
    </row>
    <row r="15" spans="2:63" x14ac:dyDescent="0.25">
      <c r="B15" s="67">
        <f ca="1">IF(Planned!$C$6&lt;&gt;"Overall",COUNTBLANK(OFFSET(Planned!E26,0,0,1,Num_Modalities)),IF(COUNTBLANK(Planned!O26)=1,Num_Modalities,0))</f>
        <v>1</v>
      </c>
      <c r="C15">
        <f ca="1">SUM(OFFSET(Planned!$E26,0,0,1,Num_Modalities))</f>
        <v>0</v>
      </c>
      <c r="E15" s="67">
        <f t="shared" si="15"/>
        <v>13</v>
      </c>
      <c r="F15" s="36">
        <f t="shared" si="16"/>
        <v>13</v>
      </c>
      <c r="G15" s="68" t="str">
        <f t="shared" si="17"/>
        <v/>
      </c>
      <c r="H15">
        <f ca="1">Planned!E25*'Planned background (hide)'!H$1</f>
        <v>0</v>
      </c>
      <c r="I15">
        <f ca="1">Planned!F25*'Planned background (hide)'!I$1</f>
        <v>0</v>
      </c>
      <c r="J15">
        <f ca="1">Planned!G25*'Planned background (hide)'!J$1</f>
        <v>0</v>
      </c>
      <c r="K15">
        <f ca="1">Planned!H25*'Planned background (hide)'!K$1</f>
        <v>0</v>
      </c>
      <c r="L15">
        <f ca="1">Planned!I25*'Planned background (hide)'!L$1</f>
        <v>0</v>
      </c>
      <c r="M15">
        <f ca="1">Planned!J25*'Planned background (hide)'!M$1</f>
        <v>0</v>
      </c>
      <c r="N15">
        <f ca="1">Planned!K25*'Planned background (hide)'!N$1</f>
        <v>0</v>
      </c>
      <c r="O15">
        <f ca="1">Planned!J25*'Planned background (hide)'!O$1</f>
        <v>0</v>
      </c>
      <c r="P15">
        <f ca="1">Planned!K25*'Planned background (hide)'!P$1</f>
        <v>0</v>
      </c>
      <c r="Q15">
        <f ca="1">Planned!L25*'Planned background (hide)'!Q$1</f>
        <v>0</v>
      </c>
      <c r="R15" s="5">
        <f ca="1">IF(Planned!$C$6="Overall",Planned!O25*'Planned background (hide)'!R$1,"")</f>
        <v>0</v>
      </c>
      <c r="S15" s="5">
        <f ca="1">IF(Planned!R25&lt;&gt;"Yes",IF(Planned!$C$6&lt;&gt;"Overall",SUM(OFFSET('Planned background (hide)'!H15,0,0,1,Num_Modalities)),'Planned background (hide)'!R15),"")</f>
        <v>0</v>
      </c>
      <c r="W15" s="49"/>
      <c r="AB15">
        <f t="shared" si="0"/>
        <v>13</v>
      </c>
      <c r="AC15" s="36">
        <f>IF(Planned!$C$8=0,'Planned background (hide)'!F15,'Planned background (hide)'!G15)</f>
        <v>13</v>
      </c>
      <c r="AD15" s="36">
        <f t="shared" si="2"/>
        <v>0</v>
      </c>
      <c r="AE15" s="5">
        <f t="shared" ca="1" si="1"/>
        <v>0</v>
      </c>
      <c r="AF15" s="5">
        <f t="shared" ca="1" si="3"/>
        <v>0</v>
      </c>
      <c r="AG15">
        <f t="shared" ca="1" si="4"/>
        <v>0</v>
      </c>
      <c r="AH15" s="67">
        <f t="shared" ca="1" si="5"/>
        <v>0</v>
      </c>
      <c r="AI15" s="67">
        <f t="shared" ca="1" si="6"/>
        <v>0</v>
      </c>
      <c r="AJ15" s="67">
        <f t="shared" ca="1" si="7"/>
        <v>0</v>
      </c>
      <c r="AK15">
        <f t="shared" ca="1" si="8"/>
        <v>0</v>
      </c>
      <c r="AL15">
        <f t="shared" ca="1" si="9"/>
        <v>0</v>
      </c>
      <c r="AM15">
        <f t="shared" ca="1" si="10"/>
        <v>0</v>
      </c>
      <c r="AN15">
        <f t="shared" ca="1" si="11"/>
        <v>0</v>
      </c>
      <c r="AO15">
        <f t="shared" ca="1" si="12"/>
        <v>0</v>
      </c>
      <c r="AP15" t="e">
        <f t="shared" ca="1" si="13"/>
        <v>#N/A</v>
      </c>
      <c r="AQ15">
        <f t="shared" ca="1" si="18"/>
        <v>0</v>
      </c>
      <c r="AR15" t="e">
        <f t="shared" ca="1" si="21"/>
        <v>#N/A</v>
      </c>
      <c r="AS15">
        <f t="shared" ca="1" si="19"/>
        <v>0</v>
      </c>
      <c r="AT15" t="e">
        <f t="shared" ca="1" si="22"/>
        <v>#N/A</v>
      </c>
      <c r="AU15">
        <f t="shared" ca="1" si="14"/>
        <v>0</v>
      </c>
      <c r="AV15" t="e">
        <f t="shared" ca="1" si="23"/>
        <v>#N/A</v>
      </c>
      <c r="AW15" s="5">
        <f t="shared" ca="1" si="20"/>
        <v>0</v>
      </c>
      <c r="BH15" s="48" t="str">
        <f ca="1">IF(OR(Planned!B25=1,Planned!B25=""),AC15,Planned!B25)</f>
        <v xml:space="preserve"> </v>
      </c>
      <c r="BI15" t="str">
        <f ca="1">IF(TEXT(Planned!D25,"mmm")&lt;&gt;TEXT(Planned!D24,"mmm"),TEXT(Planned!D25,"mmm"),"")</f>
        <v/>
      </c>
      <c r="BK15" s="67"/>
    </row>
    <row r="16" spans="2:63" x14ac:dyDescent="0.25">
      <c r="B16" s="67">
        <f ca="1">IF(Planned!$C$6&lt;&gt;"Overall",COUNTBLANK(OFFSET(Planned!E27,0,0,1,Num_Modalities)),IF(COUNTBLANK(Planned!O27)=1,Num_Modalities,0))</f>
        <v>1</v>
      </c>
      <c r="C16">
        <f ca="1">SUM(OFFSET(Planned!$E27,0,0,1,Num_Modalities))</f>
        <v>0</v>
      </c>
      <c r="E16" s="67">
        <f t="shared" si="15"/>
        <v>14</v>
      </c>
      <c r="F16" s="36">
        <f t="shared" si="16"/>
        <v>14</v>
      </c>
      <c r="G16" s="68" t="str">
        <f t="shared" si="17"/>
        <v/>
      </c>
      <c r="H16">
        <f ca="1">Planned!E26*'Planned background (hide)'!H$1</f>
        <v>0</v>
      </c>
      <c r="I16">
        <f ca="1">Planned!F26*'Planned background (hide)'!I$1</f>
        <v>0</v>
      </c>
      <c r="J16">
        <f ca="1">Planned!G26*'Planned background (hide)'!J$1</f>
        <v>0</v>
      </c>
      <c r="K16">
        <f ca="1">Planned!H26*'Planned background (hide)'!K$1</f>
        <v>0</v>
      </c>
      <c r="L16">
        <f ca="1">Planned!I26*'Planned background (hide)'!L$1</f>
        <v>0</v>
      </c>
      <c r="M16">
        <f ca="1">Planned!J26*'Planned background (hide)'!M$1</f>
        <v>0</v>
      </c>
      <c r="N16">
        <f ca="1">Planned!K26*'Planned background (hide)'!N$1</f>
        <v>0</v>
      </c>
      <c r="O16">
        <f ca="1">Planned!J26*'Planned background (hide)'!O$1</f>
        <v>0</v>
      </c>
      <c r="P16">
        <f ca="1">Planned!K26*'Planned background (hide)'!P$1</f>
        <v>0</v>
      </c>
      <c r="Q16">
        <f ca="1">Planned!L26*'Planned background (hide)'!Q$1</f>
        <v>0</v>
      </c>
      <c r="R16" s="5">
        <f ca="1">IF(Planned!$C$6="Overall",Planned!O26*'Planned background (hide)'!R$1,"")</f>
        <v>0</v>
      </c>
      <c r="S16" s="5">
        <f ca="1">IF(Planned!R26&lt;&gt;"Yes",IF(Planned!$C$6&lt;&gt;"Overall",SUM(OFFSET('Planned background (hide)'!H16,0,0,1,Num_Modalities)),'Planned background (hide)'!R16),"")</f>
        <v>0</v>
      </c>
      <c r="W16" s="49"/>
      <c r="AB16">
        <f t="shared" si="0"/>
        <v>14</v>
      </c>
      <c r="AC16" s="36">
        <f>IF(Planned!$C$8=0,'Planned background (hide)'!F16,'Planned background (hide)'!G16)</f>
        <v>14</v>
      </c>
      <c r="AD16" s="36">
        <f t="shared" si="2"/>
        <v>0</v>
      </c>
      <c r="AE16" s="5">
        <f t="shared" ca="1" si="1"/>
        <v>0</v>
      </c>
      <c r="AF16" s="5">
        <f t="shared" ca="1" si="3"/>
        <v>0</v>
      </c>
      <c r="AG16">
        <f t="shared" ca="1" si="4"/>
        <v>0</v>
      </c>
      <c r="AH16" s="67">
        <f t="shared" ca="1" si="5"/>
        <v>0</v>
      </c>
      <c r="AI16" s="67">
        <f t="shared" ca="1" si="6"/>
        <v>0</v>
      </c>
      <c r="AJ16" s="67">
        <f t="shared" ca="1" si="7"/>
        <v>0</v>
      </c>
      <c r="AK16">
        <f t="shared" ca="1" si="8"/>
        <v>0</v>
      </c>
      <c r="AL16">
        <f t="shared" ca="1" si="9"/>
        <v>0</v>
      </c>
      <c r="AM16">
        <f t="shared" ca="1" si="10"/>
        <v>0</v>
      </c>
      <c r="AN16">
        <f t="shared" ca="1" si="11"/>
        <v>0</v>
      </c>
      <c r="AO16">
        <f t="shared" ca="1" si="12"/>
        <v>0</v>
      </c>
      <c r="AP16" t="e">
        <f t="shared" ca="1" si="13"/>
        <v>#N/A</v>
      </c>
      <c r="AQ16">
        <f t="shared" ca="1" si="18"/>
        <v>0</v>
      </c>
      <c r="AR16" t="e">
        <f t="shared" ca="1" si="21"/>
        <v>#N/A</v>
      </c>
      <c r="AS16">
        <f t="shared" ca="1" si="19"/>
        <v>0</v>
      </c>
      <c r="AT16" t="e">
        <f t="shared" ca="1" si="22"/>
        <v>#N/A</v>
      </c>
      <c r="AU16">
        <f t="shared" ca="1" si="14"/>
        <v>0</v>
      </c>
      <c r="AV16" t="e">
        <f t="shared" ca="1" si="23"/>
        <v>#N/A</v>
      </c>
      <c r="AW16" s="5">
        <f t="shared" ca="1" si="20"/>
        <v>0</v>
      </c>
      <c r="BH16" s="48" t="str">
        <f ca="1">IF(OR(Planned!B26=1,Planned!B26=""),AC16,Planned!B26)</f>
        <v xml:space="preserve"> </v>
      </c>
      <c r="BI16" t="str">
        <f ca="1">IF(TEXT(Planned!D26,"mmm")&lt;&gt;TEXT(Planned!D25,"mmm"),TEXT(Planned!D26,"mmm"),"")</f>
        <v/>
      </c>
      <c r="BK16" s="67"/>
    </row>
    <row r="17" spans="2:63" x14ac:dyDescent="0.25">
      <c r="B17" s="67">
        <f ca="1">IF(Planned!$C$6&lt;&gt;"Overall",COUNTBLANK(OFFSET(Planned!E28,0,0,1,Num_Modalities)),IF(COUNTBLANK(Planned!O28)=1,Num_Modalities,0))</f>
        <v>1</v>
      </c>
      <c r="C17">
        <f ca="1">SUM(OFFSET(Planned!$E28,0,0,1,Num_Modalities))</f>
        <v>0</v>
      </c>
      <c r="E17" s="67">
        <f t="shared" si="15"/>
        <v>15</v>
      </c>
      <c r="F17" s="36">
        <f t="shared" si="16"/>
        <v>15</v>
      </c>
      <c r="G17" s="68" t="str">
        <f t="shared" si="17"/>
        <v/>
      </c>
      <c r="H17">
        <f ca="1">Planned!E27*'Planned background (hide)'!H$1</f>
        <v>0</v>
      </c>
      <c r="I17">
        <f ca="1">Planned!F27*'Planned background (hide)'!I$1</f>
        <v>0</v>
      </c>
      <c r="J17">
        <f ca="1">Planned!G27*'Planned background (hide)'!J$1</f>
        <v>0</v>
      </c>
      <c r="K17">
        <f ca="1">Planned!H27*'Planned background (hide)'!K$1</f>
        <v>0</v>
      </c>
      <c r="L17">
        <f ca="1">Planned!I27*'Planned background (hide)'!L$1</f>
        <v>0</v>
      </c>
      <c r="M17">
        <f ca="1">Planned!J27*'Planned background (hide)'!M$1</f>
        <v>0</v>
      </c>
      <c r="N17">
        <f ca="1">Planned!K27*'Planned background (hide)'!N$1</f>
        <v>0</v>
      </c>
      <c r="O17">
        <f ca="1">Planned!J27*'Planned background (hide)'!O$1</f>
        <v>0</v>
      </c>
      <c r="P17">
        <f ca="1">Planned!K27*'Planned background (hide)'!P$1</f>
        <v>0</v>
      </c>
      <c r="Q17">
        <f ca="1">Planned!L27*'Planned background (hide)'!Q$1</f>
        <v>0</v>
      </c>
      <c r="R17" s="5">
        <f ca="1">IF(Planned!$C$6="Overall",Planned!O27*'Planned background (hide)'!R$1,"")</f>
        <v>0</v>
      </c>
      <c r="S17" s="5">
        <f ca="1">IF(Planned!R27&lt;&gt;"Yes",IF(Planned!$C$6&lt;&gt;"Overall",SUM(OFFSET('Planned background (hide)'!H17,0,0,1,Num_Modalities)),'Planned background (hide)'!R17),"")</f>
        <v>0</v>
      </c>
      <c r="U17" t="s">
        <v>132</v>
      </c>
      <c r="V17" t="s">
        <v>134</v>
      </c>
      <c r="W17" t="s">
        <v>131</v>
      </c>
      <c r="X17" t="s">
        <v>135</v>
      </c>
      <c r="Y17" t="s">
        <v>136</v>
      </c>
      <c r="Z17" t="s">
        <v>133</v>
      </c>
      <c r="AA17" t="s">
        <v>198</v>
      </c>
      <c r="AB17">
        <f t="shared" si="0"/>
        <v>15</v>
      </c>
      <c r="AC17" s="36">
        <f>IF(Planned!$C$8=0,'Planned background (hide)'!F17,'Planned background (hide)'!G17)</f>
        <v>15</v>
      </c>
      <c r="AD17" s="36">
        <f t="shared" si="2"/>
        <v>0</v>
      </c>
      <c r="AE17" s="5">
        <f t="shared" ca="1" si="1"/>
        <v>0</v>
      </c>
      <c r="AF17" s="5">
        <f t="shared" ca="1" si="3"/>
        <v>0</v>
      </c>
      <c r="AG17">
        <f t="shared" ca="1" si="4"/>
        <v>0</v>
      </c>
      <c r="AH17" s="67">
        <f t="shared" ca="1" si="5"/>
        <v>0</v>
      </c>
      <c r="AI17" s="67">
        <f t="shared" ca="1" si="6"/>
        <v>0</v>
      </c>
      <c r="AJ17" s="67">
        <f t="shared" ca="1" si="7"/>
        <v>0</v>
      </c>
      <c r="AK17">
        <f t="shared" ca="1" si="8"/>
        <v>0</v>
      </c>
      <c r="AL17">
        <f t="shared" ca="1" si="9"/>
        <v>0</v>
      </c>
      <c r="AM17">
        <f t="shared" ca="1" si="10"/>
        <v>0</v>
      </c>
      <c r="AN17">
        <f t="shared" ca="1" si="11"/>
        <v>0</v>
      </c>
      <c r="AO17">
        <f t="shared" ca="1" si="12"/>
        <v>0</v>
      </c>
      <c r="AP17" t="e">
        <f t="shared" ca="1" si="13"/>
        <v>#N/A</v>
      </c>
      <c r="AQ17">
        <f t="shared" ca="1" si="18"/>
        <v>0</v>
      </c>
      <c r="AR17" t="e">
        <f t="shared" ca="1" si="21"/>
        <v>#N/A</v>
      </c>
      <c r="AS17">
        <f t="shared" ca="1" si="19"/>
        <v>0</v>
      </c>
      <c r="AT17" t="e">
        <f t="shared" ca="1" si="22"/>
        <v>#N/A</v>
      </c>
      <c r="AU17">
        <f t="shared" ca="1" si="14"/>
        <v>0</v>
      </c>
      <c r="AV17" t="e">
        <f t="shared" ca="1" si="23"/>
        <v>#N/A</v>
      </c>
      <c r="AW17" s="5">
        <f t="shared" ca="1" si="20"/>
        <v>0</v>
      </c>
      <c r="BH17" s="48" t="str">
        <f ca="1">IF(OR(Planned!B27=1,Planned!B27=""),AC17,Planned!B27)</f>
        <v xml:space="preserve"> </v>
      </c>
      <c r="BI17" t="str">
        <f ca="1">IF(TEXT(Planned!D27,"mmm")&lt;&gt;TEXT(Planned!D26,"mmm"),TEXT(Planned!D27,"mmm"),"")</f>
        <v/>
      </c>
      <c r="BK17" s="67"/>
    </row>
    <row r="18" spans="2:63" x14ac:dyDescent="0.25">
      <c r="B18" s="67">
        <f ca="1">IF(Planned!$C$6&lt;&gt;"Overall",COUNTBLANK(OFFSET(Planned!E29,0,0,1,Num_Modalities)),IF(COUNTBLANK(Planned!O29)=1,Num_Modalities,0))</f>
        <v>1</v>
      </c>
      <c r="C18">
        <f ca="1">SUM(OFFSET(Planned!$E29,0,0,1,Num_Modalities))</f>
        <v>0</v>
      </c>
      <c r="E18" s="67">
        <f t="shared" si="15"/>
        <v>16</v>
      </c>
      <c r="F18" s="36">
        <f t="shared" si="16"/>
        <v>16</v>
      </c>
      <c r="G18" s="68" t="str">
        <f t="shared" si="17"/>
        <v/>
      </c>
      <c r="H18">
        <f ca="1">Planned!E28*'Planned background (hide)'!H$1</f>
        <v>0</v>
      </c>
      <c r="I18">
        <f ca="1">Planned!F28*'Planned background (hide)'!I$1</f>
        <v>0</v>
      </c>
      <c r="J18">
        <f ca="1">Planned!G28*'Planned background (hide)'!J$1</f>
        <v>0</v>
      </c>
      <c r="K18">
        <f ca="1">Planned!H28*'Planned background (hide)'!K$1</f>
        <v>0</v>
      </c>
      <c r="L18">
        <f ca="1">Planned!I28*'Planned background (hide)'!L$1</f>
        <v>0</v>
      </c>
      <c r="M18">
        <f ca="1">Planned!J28*'Planned background (hide)'!M$1</f>
        <v>0</v>
      </c>
      <c r="N18">
        <f ca="1">Planned!K28*'Planned background (hide)'!N$1</f>
        <v>0</v>
      </c>
      <c r="O18">
        <f ca="1">Planned!J28*'Planned background (hide)'!O$1</f>
        <v>0</v>
      </c>
      <c r="P18">
        <f ca="1">Planned!K28*'Planned background (hide)'!P$1</f>
        <v>0</v>
      </c>
      <c r="Q18">
        <f ca="1">Planned!L28*'Planned background (hide)'!Q$1</f>
        <v>0</v>
      </c>
      <c r="R18" s="5">
        <f ca="1">IF(Planned!$C$6="Overall",Planned!O28*'Planned background (hide)'!R$1,"")</f>
        <v>0</v>
      </c>
      <c r="S18" s="5">
        <f ca="1">IF(Planned!R28&lt;&gt;"Yes",IF(Planned!$C$6&lt;&gt;"Overall",SUM(OFFSET('Planned background (hide)'!H18,0,0,1,Num_Modalities)),'Planned background (hide)'!R18),"")</f>
        <v>0</v>
      </c>
      <c r="U18">
        <v>1</v>
      </c>
      <c r="V18">
        <v>1</v>
      </c>
      <c r="W18">
        <f ca="1">MAX(0,PMaxRows-4)</f>
        <v>0</v>
      </c>
      <c r="X18">
        <f ca="1">W18-V18</f>
        <v>-1</v>
      </c>
      <c r="AB18">
        <f t="shared" si="0"/>
        <v>16</v>
      </c>
      <c r="AC18" s="36">
        <f>IF(Planned!$C$8=0,'Planned background (hide)'!F18,'Planned background (hide)'!G18)</f>
        <v>16</v>
      </c>
      <c r="AD18" s="36">
        <f t="shared" si="2"/>
        <v>0</v>
      </c>
      <c r="AE18" s="5">
        <f t="shared" ca="1" si="1"/>
        <v>0</v>
      </c>
      <c r="AF18" s="5">
        <f t="shared" ca="1" si="3"/>
        <v>0</v>
      </c>
      <c r="AG18">
        <f t="shared" ca="1" si="4"/>
        <v>0</v>
      </c>
      <c r="AH18" s="67">
        <f t="shared" ca="1" si="5"/>
        <v>0</v>
      </c>
      <c r="AI18" s="67">
        <f t="shared" ca="1" si="6"/>
        <v>0</v>
      </c>
      <c r="AJ18" s="67">
        <f t="shared" ca="1" si="7"/>
        <v>0</v>
      </c>
      <c r="AK18">
        <f t="shared" ca="1" si="8"/>
        <v>0</v>
      </c>
      <c r="AL18">
        <f t="shared" ca="1" si="9"/>
        <v>0</v>
      </c>
      <c r="AM18">
        <f t="shared" ca="1" si="10"/>
        <v>0</v>
      </c>
      <c r="AN18">
        <f t="shared" ca="1" si="11"/>
        <v>0</v>
      </c>
      <c r="AO18">
        <f t="shared" ca="1" si="12"/>
        <v>0</v>
      </c>
      <c r="AP18" t="e">
        <f t="shared" ca="1" si="13"/>
        <v>#N/A</v>
      </c>
      <c r="AQ18">
        <f t="shared" ca="1" si="18"/>
        <v>0</v>
      </c>
      <c r="AR18" t="e">
        <f t="shared" ca="1" si="21"/>
        <v>#N/A</v>
      </c>
      <c r="AS18">
        <f t="shared" ca="1" si="19"/>
        <v>0</v>
      </c>
      <c r="AT18" t="e">
        <f t="shared" ca="1" si="22"/>
        <v>#N/A</v>
      </c>
      <c r="AU18">
        <f t="shared" ca="1" si="14"/>
        <v>0</v>
      </c>
      <c r="AV18" t="e">
        <f t="shared" ca="1" si="23"/>
        <v>#N/A</v>
      </c>
      <c r="AW18" s="5">
        <f t="shared" ca="1" si="20"/>
        <v>0</v>
      </c>
      <c r="BH18" s="48" t="str">
        <f ca="1">IF(OR(Planned!B28=1,Planned!B28=""),AC18,Planned!B28)</f>
        <v xml:space="preserve"> </v>
      </c>
      <c r="BI18" t="str">
        <f ca="1">IF(TEXT(Planned!D28,"mmm")&lt;&gt;TEXT(Planned!D27,"mmm"),TEXT(Planned!D28,"mmm"),"")</f>
        <v/>
      </c>
      <c r="BK18" s="67"/>
    </row>
    <row r="19" spans="2:63" x14ac:dyDescent="0.25">
      <c r="B19" s="67">
        <f ca="1">IF(Planned!$C$6&lt;&gt;"Overall",COUNTBLANK(OFFSET(Planned!E30,0,0,1,Num_Modalities)),IF(COUNTBLANK(Planned!O30)=1,Num_Modalities,0))</f>
        <v>1</v>
      </c>
      <c r="C19">
        <f ca="1">SUM(OFFSET(Planned!$E30,0,0,1,Num_Modalities))</f>
        <v>0</v>
      </c>
      <c r="E19" s="67">
        <f t="shared" si="15"/>
        <v>17</v>
      </c>
      <c r="F19" s="36">
        <f t="shared" si="16"/>
        <v>17</v>
      </c>
      <c r="G19" s="68" t="str">
        <f t="shared" si="17"/>
        <v/>
      </c>
      <c r="H19">
        <f ca="1">Planned!E29*'Planned background (hide)'!H$1</f>
        <v>0</v>
      </c>
      <c r="I19">
        <f ca="1">Planned!F29*'Planned background (hide)'!I$1</f>
        <v>0</v>
      </c>
      <c r="J19">
        <f ca="1">Planned!G29*'Planned background (hide)'!J$1</f>
        <v>0</v>
      </c>
      <c r="K19">
        <f ca="1">Planned!H29*'Planned background (hide)'!K$1</f>
        <v>0</v>
      </c>
      <c r="L19">
        <f ca="1">Planned!I29*'Planned background (hide)'!L$1</f>
        <v>0</v>
      </c>
      <c r="M19">
        <f ca="1">Planned!J29*'Planned background (hide)'!M$1</f>
        <v>0</v>
      </c>
      <c r="N19">
        <f ca="1">Planned!K29*'Planned background (hide)'!N$1</f>
        <v>0</v>
      </c>
      <c r="O19">
        <f ca="1">Planned!J29*'Planned background (hide)'!O$1</f>
        <v>0</v>
      </c>
      <c r="P19">
        <f ca="1">Planned!K29*'Planned background (hide)'!P$1</f>
        <v>0</v>
      </c>
      <c r="Q19">
        <f ca="1">Planned!L29*'Planned background (hide)'!Q$1</f>
        <v>0</v>
      </c>
      <c r="R19" s="5">
        <f ca="1">IF(Planned!$C$6="Overall",Planned!O29*'Planned background (hide)'!R$1,"")</f>
        <v>0</v>
      </c>
      <c r="S19" s="5">
        <f ca="1">IF(Planned!R29&lt;&gt;"Yes",IF(Planned!$C$6&lt;&gt;"Overall",SUM(OFFSET('Planned background (hide)'!H19,0,0,1,Num_Modalities)),'Planned background (hide)'!R19),"")</f>
        <v>0</v>
      </c>
      <c r="U19">
        <v>1</v>
      </c>
      <c r="V19">
        <f>U18+4</f>
        <v>5</v>
      </c>
      <c r="W19">
        <f ca="1">MIN(U18+52,PMaxRows+1)</f>
        <v>2</v>
      </c>
      <c r="X19">
        <f ca="1">W19-V19</f>
        <v>-3</v>
      </c>
      <c r="Y19">
        <f>U19+V19-U18</f>
        <v>5</v>
      </c>
      <c r="Z19">
        <f>V19+U19-U18</f>
        <v>5</v>
      </c>
      <c r="AA19">
        <f>Y19</f>
        <v>5</v>
      </c>
      <c r="AB19">
        <f t="shared" si="0"/>
        <v>17</v>
      </c>
      <c r="AC19" s="36">
        <f>IF(Planned!$C$8=0,'Planned background (hide)'!F19,'Planned background (hide)'!G19)</f>
        <v>17</v>
      </c>
      <c r="AD19" s="36">
        <f t="shared" si="2"/>
        <v>0</v>
      </c>
      <c r="AE19" s="5">
        <f t="shared" ca="1" si="1"/>
        <v>0</v>
      </c>
      <c r="AF19" s="5">
        <f t="shared" ca="1" si="3"/>
        <v>0</v>
      </c>
      <c r="AG19">
        <f t="shared" ca="1" si="4"/>
        <v>0</v>
      </c>
      <c r="AH19" s="67">
        <f t="shared" ca="1" si="5"/>
        <v>0</v>
      </c>
      <c r="AI19" s="67">
        <f t="shared" ca="1" si="6"/>
        <v>0</v>
      </c>
      <c r="AJ19" s="67">
        <f t="shared" ca="1" si="7"/>
        <v>0</v>
      </c>
      <c r="AK19">
        <f t="shared" ca="1" si="8"/>
        <v>0</v>
      </c>
      <c r="AL19">
        <f t="shared" ca="1" si="9"/>
        <v>0</v>
      </c>
      <c r="AM19">
        <f t="shared" ca="1" si="10"/>
        <v>0</v>
      </c>
      <c r="AN19">
        <f t="shared" ca="1" si="11"/>
        <v>0</v>
      </c>
      <c r="AO19">
        <f t="shared" ca="1" si="12"/>
        <v>0</v>
      </c>
      <c r="AP19" t="e">
        <f t="shared" ca="1" si="13"/>
        <v>#N/A</v>
      </c>
      <c r="AQ19">
        <f t="shared" ca="1" si="18"/>
        <v>0</v>
      </c>
      <c r="AR19" t="e">
        <f t="shared" ca="1" si="21"/>
        <v>#N/A</v>
      </c>
      <c r="AS19">
        <f t="shared" ca="1" si="19"/>
        <v>0</v>
      </c>
      <c r="AT19" t="e">
        <f t="shared" ca="1" si="22"/>
        <v>#N/A</v>
      </c>
      <c r="AU19">
        <f t="shared" ca="1" si="14"/>
        <v>0</v>
      </c>
      <c r="AV19" t="e">
        <f t="shared" ca="1" si="23"/>
        <v>#N/A</v>
      </c>
      <c r="AW19" s="5">
        <f t="shared" ca="1" si="20"/>
        <v>0</v>
      </c>
      <c r="BH19" s="48" t="str">
        <f ca="1">IF(OR(Planned!B29=1,Planned!B29=""),AC19,Planned!B29)</f>
        <v xml:space="preserve"> </v>
      </c>
      <c r="BI19" t="str">
        <f ca="1">IF(TEXT(Planned!D29,"mmm")&lt;&gt;TEXT(Planned!D28,"mmm"),TEXT(Planned!D29,"mmm"),"")</f>
        <v/>
      </c>
      <c r="BK19" s="67"/>
    </row>
    <row r="20" spans="2:63" x14ac:dyDescent="0.25">
      <c r="B20" s="67">
        <f ca="1">IF(Planned!$C$6&lt;&gt;"Overall",COUNTBLANK(OFFSET(Planned!E31,0,0,1,Num_Modalities)),IF(COUNTBLANK(Planned!O31)=1,Num_Modalities,0))</f>
        <v>1</v>
      </c>
      <c r="C20">
        <f ca="1">SUM(OFFSET(Planned!$E31,0,0,1,Num_Modalities))</f>
        <v>0</v>
      </c>
      <c r="E20" s="67">
        <f t="shared" si="15"/>
        <v>18</v>
      </c>
      <c r="F20" s="36">
        <f t="shared" si="16"/>
        <v>18</v>
      </c>
      <c r="G20" s="68" t="str">
        <f t="shared" si="17"/>
        <v/>
      </c>
      <c r="H20">
        <f ca="1">Planned!E30*'Planned background (hide)'!H$1</f>
        <v>0</v>
      </c>
      <c r="I20">
        <f ca="1">Planned!F30*'Planned background (hide)'!I$1</f>
        <v>0</v>
      </c>
      <c r="J20">
        <f ca="1">Planned!G30*'Planned background (hide)'!J$1</f>
        <v>0</v>
      </c>
      <c r="K20">
        <f ca="1">Planned!H30*'Planned background (hide)'!K$1</f>
        <v>0</v>
      </c>
      <c r="L20">
        <f ca="1">Planned!I30*'Planned background (hide)'!L$1</f>
        <v>0</v>
      </c>
      <c r="M20">
        <f ca="1">Planned!J30*'Planned background (hide)'!M$1</f>
        <v>0</v>
      </c>
      <c r="N20">
        <f ca="1">Planned!K30*'Planned background (hide)'!N$1</f>
        <v>0</v>
      </c>
      <c r="O20">
        <f ca="1">Planned!J30*'Planned background (hide)'!O$1</f>
        <v>0</v>
      </c>
      <c r="P20">
        <f ca="1">Planned!K30*'Planned background (hide)'!P$1</f>
        <v>0</v>
      </c>
      <c r="Q20">
        <f ca="1">Planned!L30*'Planned background (hide)'!Q$1</f>
        <v>0</v>
      </c>
      <c r="R20" s="5">
        <f ca="1">IF(Planned!$C$6="Overall",Planned!O30*'Planned background (hide)'!R$1,"")</f>
        <v>0</v>
      </c>
      <c r="S20" s="5">
        <f ca="1">IF(Planned!R30&lt;&gt;"Yes",IF(Planned!$C$6&lt;&gt;"Overall",SUM(OFFSET('Planned background (hide)'!H20,0,0,1,Num_Modalities)),'Planned background (hide)'!R20),"")</f>
        <v>0</v>
      </c>
      <c r="W20" s="49"/>
      <c r="AB20">
        <f t="shared" si="0"/>
        <v>18</v>
      </c>
      <c r="AC20" s="36">
        <f>IF(Planned!$C$8=0,'Planned background (hide)'!F20,'Planned background (hide)'!G20)</f>
        <v>18</v>
      </c>
      <c r="AD20" s="36">
        <f t="shared" si="2"/>
        <v>0</v>
      </c>
      <c r="AE20" s="5">
        <f t="shared" ca="1" si="1"/>
        <v>0</v>
      </c>
      <c r="AF20" s="5">
        <f t="shared" ca="1" si="3"/>
        <v>0</v>
      </c>
      <c r="AG20">
        <f t="shared" ca="1" si="4"/>
        <v>0</v>
      </c>
      <c r="AH20" s="67">
        <f t="shared" ca="1" si="5"/>
        <v>0</v>
      </c>
      <c r="AI20" s="67">
        <f t="shared" ca="1" si="6"/>
        <v>0</v>
      </c>
      <c r="AJ20" s="67">
        <f t="shared" ca="1" si="7"/>
        <v>0</v>
      </c>
      <c r="AK20">
        <f t="shared" ca="1" si="8"/>
        <v>0</v>
      </c>
      <c r="AL20">
        <f t="shared" ca="1" si="9"/>
        <v>0</v>
      </c>
      <c r="AM20">
        <f t="shared" ca="1" si="10"/>
        <v>0</v>
      </c>
      <c r="AN20">
        <f t="shared" ca="1" si="11"/>
        <v>0</v>
      </c>
      <c r="AO20">
        <f t="shared" ca="1" si="12"/>
        <v>0</v>
      </c>
      <c r="AP20" t="e">
        <f t="shared" ca="1" si="13"/>
        <v>#N/A</v>
      </c>
      <c r="AQ20">
        <f t="shared" ca="1" si="18"/>
        <v>0</v>
      </c>
      <c r="AR20" t="e">
        <f t="shared" ca="1" si="21"/>
        <v>#N/A</v>
      </c>
      <c r="AS20">
        <f t="shared" ca="1" si="19"/>
        <v>0</v>
      </c>
      <c r="AT20" t="e">
        <f t="shared" ca="1" si="22"/>
        <v>#N/A</v>
      </c>
      <c r="AU20">
        <f t="shared" ca="1" si="14"/>
        <v>0</v>
      </c>
      <c r="AV20" t="e">
        <f t="shared" ca="1" si="23"/>
        <v>#N/A</v>
      </c>
      <c r="AW20" s="5">
        <f t="shared" ca="1" si="20"/>
        <v>0</v>
      </c>
      <c r="BH20" s="48" t="str">
        <f ca="1">IF(OR(Planned!B30=1,Planned!B30=""),AC20,Planned!B30)</f>
        <v xml:space="preserve"> </v>
      </c>
      <c r="BI20" t="str">
        <f ca="1">IF(TEXT(Planned!D30,"mmm")&lt;&gt;TEXT(Planned!D29,"mmm"),TEXT(Planned!D30,"mmm"),"")</f>
        <v/>
      </c>
      <c r="BK20" s="67"/>
    </row>
    <row r="21" spans="2:63" x14ac:dyDescent="0.25">
      <c r="B21" s="67">
        <f ca="1">IF(Planned!$C$6&lt;&gt;"Overall",COUNTBLANK(OFFSET(Planned!E32,0,0,1,Num_Modalities)),IF(COUNTBLANK(Planned!O32)=1,Num_Modalities,0))</f>
        <v>1</v>
      </c>
      <c r="C21">
        <f ca="1">SUM(OFFSET(Planned!$E32,0,0,1,Num_Modalities))</f>
        <v>0</v>
      </c>
      <c r="E21" s="67">
        <f t="shared" si="15"/>
        <v>19</v>
      </c>
      <c r="F21" s="36">
        <f t="shared" si="16"/>
        <v>19</v>
      </c>
      <c r="G21" s="68" t="str">
        <f t="shared" si="17"/>
        <v/>
      </c>
      <c r="H21">
        <f ca="1">Planned!E31*'Planned background (hide)'!H$1</f>
        <v>0</v>
      </c>
      <c r="I21">
        <f ca="1">Planned!F31*'Planned background (hide)'!I$1</f>
        <v>0</v>
      </c>
      <c r="J21">
        <f ca="1">Planned!G31*'Planned background (hide)'!J$1</f>
        <v>0</v>
      </c>
      <c r="K21">
        <f ca="1">Planned!H31*'Planned background (hide)'!K$1</f>
        <v>0</v>
      </c>
      <c r="L21">
        <f ca="1">Planned!I31*'Planned background (hide)'!L$1</f>
        <v>0</v>
      </c>
      <c r="M21">
        <f ca="1">Planned!J31*'Planned background (hide)'!M$1</f>
        <v>0</v>
      </c>
      <c r="N21">
        <f ca="1">Planned!K31*'Planned background (hide)'!N$1</f>
        <v>0</v>
      </c>
      <c r="O21">
        <f ca="1">Planned!J31*'Planned background (hide)'!O$1</f>
        <v>0</v>
      </c>
      <c r="P21">
        <f ca="1">Planned!K31*'Planned background (hide)'!P$1</f>
        <v>0</v>
      </c>
      <c r="Q21">
        <f ca="1">Planned!L31*'Planned background (hide)'!Q$1</f>
        <v>0</v>
      </c>
      <c r="R21" s="5">
        <f ca="1">IF(Planned!$C$6="Overall",Planned!O31*'Planned background (hide)'!R$1,"")</f>
        <v>0</v>
      </c>
      <c r="S21" s="5">
        <f ca="1">IF(Planned!R31&lt;&gt;"Yes",IF(Planned!$C$6&lt;&gt;"Overall",SUM(OFFSET('Planned background (hide)'!H21,0,0,1,Num_Modalities)),'Planned background (hide)'!R21),"")</f>
        <v>0</v>
      </c>
      <c r="W21" s="49"/>
      <c r="AB21">
        <f t="shared" si="0"/>
        <v>19</v>
      </c>
      <c r="AC21" s="36">
        <f>IF(Planned!$C$8=0,'Planned background (hide)'!F21,'Planned background (hide)'!G21)</f>
        <v>19</v>
      </c>
      <c r="AD21" s="36">
        <f t="shared" si="2"/>
        <v>0</v>
      </c>
      <c r="AE21" s="5">
        <f t="shared" ca="1" si="1"/>
        <v>0</v>
      </c>
      <c r="AF21" s="5">
        <f t="shared" ca="1" si="3"/>
        <v>0</v>
      </c>
      <c r="AG21">
        <f t="shared" ca="1" si="4"/>
        <v>0</v>
      </c>
      <c r="AH21" s="67">
        <f t="shared" ca="1" si="5"/>
        <v>0</v>
      </c>
      <c r="AI21" s="67">
        <f t="shared" ca="1" si="6"/>
        <v>0</v>
      </c>
      <c r="AJ21" s="67">
        <f t="shared" ca="1" si="7"/>
        <v>0</v>
      </c>
      <c r="AK21">
        <f t="shared" ca="1" si="8"/>
        <v>0</v>
      </c>
      <c r="AL21">
        <f t="shared" ca="1" si="9"/>
        <v>0</v>
      </c>
      <c r="AM21">
        <f t="shared" ca="1" si="10"/>
        <v>0</v>
      </c>
      <c r="AN21">
        <f t="shared" ca="1" si="11"/>
        <v>0</v>
      </c>
      <c r="AO21">
        <f t="shared" ca="1" si="12"/>
        <v>0</v>
      </c>
      <c r="AP21" t="e">
        <f t="shared" ca="1" si="13"/>
        <v>#N/A</v>
      </c>
      <c r="AQ21">
        <f t="shared" ca="1" si="18"/>
        <v>0</v>
      </c>
      <c r="AR21" t="e">
        <f t="shared" ca="1" si="21"/>
        <v>#N/A</v>
      </c>
      <c r="AS21">
        <f t="shared" ca="1" si="19"/>
        <v>0</v>
      </c>
      <c r="AT21" t="e">
        <f t="shared" ca="1" si="22"/>
        <v>#N/A</v>
      </c>
      <c r="AU21">
        <f t="shared" ca="1" si="14"/>
        <v>0</v>
      </c>
      <c r="AV21" t="e">
        <f t="shared" ca="1" si="23"/>
        <v>#N/A</v>
      </c>
      <c r="AW21" s="5">
        <f t="shared" ca="1" si="20"/>
        <v>0</v>
      </c>
      <c r="BH21" s="48" t="str">
        <f ca="1">IF(OR(Planned!B31=1,Planned!B31=""),AC21,Planned!B31)</f>
        <v xml:space="preserve"> </v>
      </c>
      <c r="BI21" t="str">
        <f ca="1">IF(TEXT(Planned!D31,"mmm")&lt;&gt;TEXT(Planned!D30,"mmm"),TEXT(Planned!D31,"mmm"),"")</f>
        <v/>
      </c>
      <c r="BK21" s="67"/>
    </row>
    <row r="22" spans="2:63" x14ac:dyDescent="0.25">
      <c r="B22" s="67">
        <f ca="1">IF(Planned!$C$6&lt;&gt;"Overall",COUNTBLANK(OFFSET(Planned!E33,0,0,1,Num_Modalities)),IF(COUNTBLANK(Planned!O33)=1,Num_Modalities,0))</f>
        <v>1</v>
      </c>
      <c r="C22">
        <f ca="1">SUM(OFFSET(Planned!$E33,0,0,1,Num_Modalities))</f>
        <v>0</v>
      </c>
      <c r="E22" s="67">
        <f t="shared" si="15"/>
        <v>20</v>
      </c>
      <c r="F22" s="36">
        <f t="shared" si="16"/>
        <v>20</v>
      </c>
      <c r="G22" s="68" t="str">
        <f t="shared" si="17"/>
        <v/>
      </c>
      <c r="H22">
        <f ca="1">Planned!E32*'Planned background (hide)'!H$1</f>
        <v>0</v>
      </c>
      <c r="I22">
        <f ca="1">Planned!F32*'Planned background (hide)'!I$1</f>
        <v>0</v>
      </c>
      <c r="J22">
        <f ca="1">Planned!G32*'Planned background (hide)'!J$1</f>
        <v>0</v>
      </c>
      <c r="K22">
        <f ca="1">Planned!H32*'Planned background (hide)'!K$1</f>
        <v>0</v>
      </c>
      <c r="L22">
        <f ca="1">Planned!I32*'Planned background (hide)'!L$1</f>
        <v>0</v>
      </c>
      <c r="M22">
        <f ca="1">Planned!J32*'Planned background (hide)'!M$1</f>
        <v>0</v>
      </c>
      <c r="N22">
        <f ca="1">Planned!K32*'Planned background (hide)'!N$1</f>
        <v>0</v>
      </c>
      <c r="O22">
        <f ca="1">Planned!J32*'Planned background (hide)'!O$1</f>
        <v>0</v>
      </c>
      <c r="P22">
        <f ca="1">Planned!K32*'Planned background (hide)'!P$1</f>
        <v>0</v>
      </c>
      <c r="Q22">
        <f ca="1">Planned!L32*'Planned background (hide)'!Q$1</f>
        <v>0</v>
      </c>
      <c r="R22" s="5">
        <f ca="1">IF(Planned!$C$6="Overall",Planned!O32*'Planned background (hide)'!R$1,"")</f>
        <v>0</v>
      </c>
      <c r="S22" s="5">
        <f ca="1">IF(Planned!R32&lt;&gt;"Yes",IF(Planned!$C$6&lt;&gt;"Overall",SUM(OFFSET('Planned background (hide)'!H22,0,0,1,Num_Modalities)),'Planned background (hide)'!R22),"")</f>
        <v>0</v>
      </c>
      <c r="U22" t="s">
        <v>281</v>
      </c>
      <c r="W22" s="49"/>
      <c r="AB22">
        <f t="shared" si="0"/>
        <v>20</v>
      </c>
      <c r="AC22" s="36">
        <f>IF(Planned!$C$8=0,'Planned background (hide)'!F22,'Planned background (hide)'!G22)</f>
        <v>20</v>
      </c>
      <c r="AD22" s="36">
        <f t="shared" si="2"/>
        <v>0</v>
      </c>
      <c r="AE22" s="5">
        <f t="shared" ca="1" si="1"/>
        <v>0</v>
      </c>
      <c r="AF22" s="5">
        <f t="shared" ca="1" si="3"/>
        <v>0</v>
      </c>
      <c r="AG22">
        <f t="shared" ca="1" si="4"/>
        <v>0</v>
      </c>
      <c r="AH22" s="67">
        <f t="shared" ca="1" si="5"/>
        <v>0</v>
      </c>
      <c r="AI22" s="67">
        <f t="shared" ca="1" si="6"/>
        <v>0</v>
      </c>
      <c r="AJ22" s="67">
        <f t="shared" ca="1" si="7"/>
        <v>0</v>
      </c>
      <c r="AK22">
        <f t="shared" ca="1" si="8"/>
        <v>0</v>
      </c>
      <c r="AL22">
        <f t="shared" ca="1" si="9"/>
        <v>0</v>
      </c>
      <c r="AM22">
        <f t="shared" ca="1" si="10"/>
        <v>0</v>
      </c>
      <c r="AN22">
        <f t="shared" ca="1" si="11"/>
        <v>0</v>
      </c>
      <c r="AO22">
        <f t="shared" ca="1" si="12"/>
        <v>0</v>
      </c>
      <c r="AP22" t="e">
        <f t="shared" ca="1" si="13"/>
        <v>#N/A</v>
      </c>
      <c r="AQ22">
        <f t="shared" ca="1" si="18"/>
        <v>0</v>
      </c>
      <c r="AR22" t="e">
        <f t="shared" ca="1" si="21"/>
        <v>#N/A</v>
      </c>
      <c r="AS22">
        <f t="shared" ca="1" si="19"/>
        <v>0</v>
      </c>
      <c r="AT22" t="e">
        <f t="shared" ca="1" si="22"/>
        <v>#N/A</v>
      </c>
      <c r="AU22">
        <f t="shared" ca="1" si="14"/>
        <v>0</v>
      </c>
      <c r="AV22" t="e">
        <f t="shared" ca="1" si="23"/>
        <v>#N/A</v>
      </c>
      <c r="AW22" s="5">
        <f t="shared" ca="1" si="20"/>
        <v>0</v>
      </c>
      <c r="BH22" s="48" t="str">
        <f ca="1">IF(OR(Planned!B32=1,Planned!B32=""),AC22,Planned!B32)</f>
        <v xml:space="preserve"> </v>
      </c>
      <c r="BI22" t="str">
        <f ca="1">IF(TEXT(Planned!D32,"mmm")&lt;&gt;TEXT(Planned!D31,"mmm"),TEXT(Planned!D32,"mmm"),"")</f>
        <v/>
      </c>
      <c r="BK22" s="67"/>
    </row>
    <row r="23" spans="2:63" x14ac:dyDescent="0.25">
      <c r="B23" s="67">
        <f ca="1">IF(Planned!$C$6&lt;&gt;"Overall",COUNTBLANK(OFFSET(Planned!E34,0,0,1,Num_Modalities)),IF(COUNTBLANK(Planned!O34)=1,Num_Modalities,0))</f>
        <v>1</v>
      </c>
      <c r="C23">
        <f ca="1">SUM(OFFSET(Planned!$E34,0,0,1,Num_Modalities))</f>
        <v>0</v>
      </c>
      <c r="E23" s="67">
        <f t="shared" si="15"/>
        <v>21</v>
      </c>
      <c r="F23" s="36">
        <f t="shared" si="16"/>
        <v>21</v>
      </c>
      <c r="G23" s="68" t="str">
        <f t="shared" si="17"/>
        <v/>
      </c>
      <c r="H23">
        <f ca="1">Planned!E33*'Planned background (hide)'!H$1</f>
        <v>0</v>
      </c>
      <c r="I23">
        <f ca="1">Planned!F33*'Planned background (hide)'!I$1</f>
        <v>0</v>
      </c>
      <c r="J23">
        <f ca="1">Planned!G33*'Planned background (hide)'!J$1</f>
        <v>0</v>
      </c>
      <c r="K23">
        <f ca="1">Planned!H33*'Planned background (hide)'!K$1</f>
        <v>0</v>
      </c>
      <c r="L23">
        <f ca="1">Planned!I33*'Planned background (hide)'!L$1</f>
        <v>0</v>
      </c>
      <c r="M23">
        <f ca="1">Planned!J33*'Planned background (hide)'!M$1</f>
        <v>0</v>
      </c>
      <c r="N23">
        <f ca="1">Planned!K33*'Planned background (hide)'!N$1</f>
        <v>0</v>
      </c>
      <c r="O23">
        <f ca="1">Planned!J33*'Planned background (hide)'!O$1</f>
        <v>0</v>
      </c>
      <c r="P23">
        <f ca="1">Planned!K33*'Planned background (hide)'!P$1</f>
        <v>0</v>
      </c>
      <c r="Q23">
        <f ca="1">Planned!L33*'Planned background (hide)'!Q$1</f>
        <v>0</v>
      </c>
      <c r="R23" s="5">
        <f ca="1">IF(Planned!$C$6="Overall",Planned!O33*'Planned background (hide)'!R$1,"")</f>
        <v>0</v>
      </c>
      <c r="S23" s="5">
        <f ca="1">IF(Planned!R33&lt;&gt;"Yes",IF(Planned!$C$6&lt;&gt;"Overall",SUM(OFFSET('Planned background (hide)'!H23,0,0,1,Num_Modalities)),'Planned background (hide)'!R23),"")</f>
        <v>0</v>
      </c>
      <c r="U23" t="s">
        <v>156</v>
      </c>
      <c r="V23" s="59">
        <f ca="1">AVERAGEIF(AD3:AD55,1,AE3:AE55)</f>
        <v>0</v>
      </c>
      <c r="W23" s="49"/>
      <c r="AB23">
        <f t="shared" si="0"/>
        <v>21</v>
      </c>
      <c r="AC23" s="36">
        <f>IF(Planned!$C$8=0,'Planned background (hide)'!F23,'Planned background (hide)'!G23)</f>
        <v>21</v>
      </c>
      <c r="AD23" s="36">
        <f t="shared" si="2"/>
        <v>0</v>
      </c>
      <c r="AE23" s="5">
        <f t="shared" ca="1" si="1"/>
        <v>0</v>
      </c>
      <c r="AF23" s="5">
        <f t="shared" ca="1" si="3"/>
        <v>0</v>
      </c>
      <c r="AG23">
        <f t="shared" ca="1" si="4"/>
        <v>0</v>
      </c>
      <c r="AH23" s="67">
        <f t="shared" ca="1" si="5"/>
        <v>0</v>
      </c>
      <c r="AI23" s="67">
        <f t="shared" ca="1" si="6"/>
        <v>0</v>
      </c>
      <c r="AJ23" s="67">
        <f t="shared" ca="1" si="7"/>
        <v>0</v>
      </c>
      <c r="AK23">
        <f t="shared" ca="1" si="8"/>
        <v>0</v>
      </c>
      <c r="AL23">
        <f t="shared" ca="1" si="9"/>
        <v>0</v>
      </c>
      <c r="AM23">
        <f t="shared" ca="1" si="10"/>
        <v>0</v>
      </c>
      <c r="AN23">
        <f t="shared" ca="1" si="11"/>
        <v>0</v>
      </c>
      <c r="AO23">
        <f t="shared" ca="1" si="12"/>
        <v>0</v>
      </c>
      <c r="AP23" t="e">
        <f t="shared" ca="1" si="13"/>
        <v>#N/A</v>
      </c>
      <c r="AQ23">
        <f t="shared" ca="1" si="18"/>
        <v>0</v>
      </c>
      <c r="AR23" t="e">
        <f t="shared" ca="1" si="21"/>
        <v>#N/A</v>
      </c>
      <c r="AS23">
        <f t="shared" ca="1" si="19"/>
        <v>0</v>
      </c>
      <c r="AT23" t="e">
        <f t="shared" ca="1" si="22"/>
        <v>#N/A</v>
      </c>
      <c r="AU23">
        <f t="shared" ca="1" si="14"/>
        <v>0</v>
      </c>
      <c r="AV23" t="e">
        <f t="shared" ca="1" si="23"/>
        <v>#N/A</v>
      </c>
      <c r="AW23" s="5">
        <f t="shared" ca="1" si="20"/>
        <v>0</v>
      </c>
      <c r="BH23" s="48" t="str">
        <f ca="1">IF(OR(Planned!B33=1,Planned!B33=""),AC23,Planned!B33)</f>
        <v xml:space="preserve"> </v>
      </c>
      <c r="BI23" t="str">
        <f ca="1">IF(TEXT(Planned!D33,"mmm")&lt;&gt;TEXT(Planned!D32,"mmm"),TEXT(Planned!D33,"mmm"),"")</f>
        <v/>
      </c>
      <c r="BK23" s="67"/>
    </row>
    <row r="24" spans="2:63" x14ac:dyDescent="0.25">
      <c r="B24" s="67">
        <f ca="1">IF(Planned!$C$6&lt;&gt;"Overall",COUNTBLANK(OFFSET(Planned!E35,0,0,1,Num_Modalities)),IF(COUNTBLANK(Planned!O35)=1,Num_Modalities,0))</f>
        <v>1</v>
      </c>
      <c r="C24">
        <f ca="1">SUM(OFFSET(Planned!$E35,0,0,1,Num_Modalities))</f>
        <v>0</v>
      </c>
      <c r="E24" s="67">
        <f t="shared" si="15"/>
        <v>22</v>
      </c>
      <c r="F24" s="36">
        <f t="shared" si="16"/>
        <v>22</v>
      </c>
      <c r="G24" s="68" t="str">
        <f t="shared" si="17"/>
        <v/>
      </c>
      <c r="H24">
        <f ca="1">Planned!E34*'Planned background (hide)'!H$1</f>
        <v>0</v>
      </c>
      <c r="I24">
        <f ca="1">Planned!F34*'Planned background (hide)'!I$1</f>
        <v>0</v>
      </c>
      <c r="J24">
        <f ca="1">Planned!G34*'Planned background (hide)'!J$1</f>
        <v>0</v>
      </c>
      <c r="K24">
        <f ca="1">Planned!H34*'Planned background (hide)'!K$1</f>
        <v>0</v>
      </c>
      <c r="L24">
        <f ca="1">Planned!I34*'Planned background (hide)'!L$1</f>
        <v>0</v>
      </c>
      <c r="M24">
        <f ca="1">Planned!J34*'Planned background (hide)'!M$1</f>
        <v>0</v>
      </c>
      <c r="N24">
        <f ca="1">Planned!K34*'Planned background (hide)'!N$1</f>
        <v>0</v>
      </c>
      <c r="O24">
        <f ca="1">Planned!J34*'Planned background (hide)'!O$1</f>
        <v>0</v>
      </c>
      <c r="P24">
        <f ca="1">Planned!K34*'Planned background (hide)'!P$1</f>
        <v>0</v>
      </c>
      <c r="Q24">
        <f ca="1">Planned!L34*'Planned background (hide)'!Q$1</f>
        <v>0</v>
      </c>
      <c r="R24" s="5">
        <f ca="1">IF(Planned!$C$6="Overall",Planned!O34*'Planned background (hide)'!R$1,"")</f>
        <v>0</v>
      </c>
      <c r="S24" s="5">
        <f ca="1">IF(Planned!R34&lt;&gt;"Yes",IF(Planned!$C$6&lt;&gt;"Overall",SUM(OFFSET('Planned background (hide)'!H24,0,0,1,Num_Modalities)),'Planned background (hide)'!R24),"")</f>
        <v>0</v>
      </c>
      <c r="U24" t="s">
        <v>278</v>
      </c>
      <c r="V24" s="59">
        <f ca="1">AVERAGEIF(AD3:AD55,1,AW3:AW55)</f>
        <v>0</v>
      </c>
      <c r="W24" s="49"/>
      <c r="AB24">
        <f t="shared" si="0"/>
        <v>22</v>
      </c>
      <c r="AC24" s="36">
        <f>IF(Planned!$C$8=0,'Planned background (hide)'!F24,'Planned background (hide)'!G24)</f>
        <v>22</v>
      </c>
      <c r="AD24" s="36">
        <f t="shared" si="2"/>
        <v>0</v>
      </c>
      <c r="AE24" s="5">
        <f t="shared" ca="1" si="1"/>
        <v>0</v>
      </c>
      <c r="AF24" s="5">
        <f t="shared" ca="1" si="3"/>
        <v>0</v>
      </c>
      <c r="AG24">
        <f t="shared" ca="1" si="4"/>
        <v>0</v>
      </c>
      <c r="AH24" s="67">
        <f t="shared" ca="1" si="5"/>
        <v>0</v>
      </c>
      <c r="AI24" s="67">
        <f t="shared" ca="1" si="6"/>
        <v>0</v>
      </c>
      <c r="AJ24" s="67">
        <f t="shared" ca="1" si="7"/>
        <v>0</v>
      </c>
      <c r="AK24">
        <f t="shared" ca="1" si="8"/>
        <v>0</v>
      </c>
      <c r="AL24">
        <f t="shared" ca="1" si="9"/>
        <v>0</v>
      </c>
      <c r="AM24">
        <f t="shared" ca="1" si="10"/>
        <v>0</v>
      </c>
      <c r="AN24">
        <f t="shared" ca="1" si="11"/>
        <v>0</v>
      </c>
      <c r="AO24">
        <f t="shared" ca="1" si="12"/>
        <v>0</v>
      </c>
      <c r="AP24" t="e">
        <f t="shared" ca="1" si="13"/>
        <v>#N/A</v>
      </c>
      <c r="AQ24">
        <f t="shared" ca="1" si="18"/>
        <v>0</v>
      </c>
      <c r="AR24" t="e">
        <f t="shared" ca="1" si="21"/>
        <v>#N/A</v>
      </c>
      <c r="AS24">
        <f t="shared" ca="1" si="19"/>
        <v>0</v>
      </c>
      <c r="AT24" t="e">
        <f t="shared" ca="1" si="22"/>
        <v>#N/A</v>
      </c>
      <c r="AU24">
        <f t="shared" ca="1" si="14"/>
        <v>0</v>
      </c>
      <c r="AV24" t="e">
        <f t="shared" ca="1" si="23"/>
        <v>#N/A</v>
      </c>
      <c r="AW24" s="5">
        <f t="shared" ca="1" si="20"/>
        <v>0</v>
      </c>
      <c r="BH24" s="48" t="str">
        <f ca="1">IF(OR(Planned!B34=1,Planned!B34=""),AC24,Planned!B34)</f>
        <v xml:space="preserve"> </v>
      </c>
      <c r="BI24" t="str">
        <f ca="1">IF(TEXT(Planned!D34,"mmm")&lt;&gt;TEXT(Planned!D33,"mmm"),TEXT(Planned!D34,"mmm"),"")</f>
        <v/>
      </c>
      <c r="BK24" s="67"/>
    </row>
    <row r="25" spans="2:63" x14ac:dyDescent="0.25">
      <c r="B25" s="67">
        <f ca="1">IF(Planned!$C$6&lt;&gt;"Overall",COUNTBLANK(OFFSET(Planned!E36,0,0,1,Num_Modalities)),IF(COUNTBLANK(Planned!O36)=1,Num_Modalities,0))</f>
        <v>1</v>
      </c>
      <c r="C25">
        <f ca="1">SUM(OFFSET(Planned!$E36,0,0,1,Num_Modalities))</f>
        <v>0</v>
      </c>
      <c r="E25" s="67">
        <f t="shared" si="15"/>
        <v>23</v>
      </c>
      <c r="F25" s="36">
        <f t="shared" si="16"/>
        <v>23</v>
      </c>
      <c r="G25" s="68" t="str">
        <f t="shared" si="17"/>
        <v/>
      </c>
      <c r="H25">
        <f ca="1">Planned!E35*'Planned background (hide)'!H$1</f>
        <v>0</v>
      </c>
      <c r="I25">
        <f ca="1">Planned!F35*'Planned background (hide)'!I$1</f>
        <v>0</v>
      </c>
      <c r="J25">
        <f ca="1">Planned!G35*'Planned background (hide)'!J$1</f>
        <v>0</v>
      </c>
      <c r="K25">
        <f ca="1">Planned!H35*'Planned background (hide)'!K$1</f>
        <v>0</v>
      </c>
      <c r="L25">
        <f ca="1">Planned!I35*'Planned background (hide)'!L$1</f>
        <v>0</v>
      </c>
      <c r="M25">
        <f ca="1">Planned!J35*'Planned background (hide)'!M$1</f>
        <v>0</v>
      </c>
      <c r="N25">
        <f ca="1">Planned!K35*'Planned background (hide)'!N$1</f>
        <v>0</v>
      </c>
      <c r="O25">
        <f ca="1">Planned!J35*'Planned background (hide)'!O$1</f>
        <v>0</v>
      </c>
      <c r="P25">
        <f ca="1">Planned!K35*'Planned background (hide)'!P$1</f>
        <v>0</v>
      </c>
      <c r="Q25">
        <f ca="1">Planned!L35*'Planned background (hide)'!Q$1</f>
        <v>0</v>
      </c>
      <c r="R25" s="5">
        <f ca="1">IF(Planned!$C$6="Overall",Planned!O35*'Planned background (hide)'!R$1,"")</f>
        <v>0</v>
      </c>
      <c r="S25" s="5">
        <f ca="1">IF(Planned!R35&lt;&gt;"Yes",IF(Planned!$C$6&lt;&gt;"Overall",SUM(OFFSET('Planned background (hide)'!H25,0,0,1,Num_Modalities)),'Planned background (hide)'!R25),"")</f>
        <v>0</v>
      </c>
      <c r="U25" t="s">
        <v>257</v>
      </c>
      <c r="V25" s="59">
        <f ca="1">V24/1.128</f>
        <v>0</v>
      </c>
      <c r="AB25">
        <f t="shared" si="0"/>
        <v>23</v>
      </c>
      <c r="AC25" s="36">
        <f>IF(Planned!$C$8=0,'Planned background (hide)'!F25,'Planned background (hide)'!G25)</f>
        <v>23</v>
      </c>
      <c r="AD25" s="36">
        <f t="shared" si="2"/>
        <v>0</v>
      </c>
      <c r="AE25" s="5">
        <f t="shared" ca="1" si="1"/>
        <v>0</v>
      </c>
      <c r="AF25" s="5">
        <f t="shared" ca="1" si="3"/>
        <v>0</v>
      </c>
      <c r="AG25">
        <f t="shared" ca="1" si="4"/>
        <v>0</v>
      </c>
      <c r="AH25" s="67">
        <f t="shared" ca="1" si="5"/>
        <v>0</v>
      </c>
      <c r="AI25" s="67">
        <f t="shared" ca="1" si="6"/>
        <v>0</v>
      </c>
      <c r="AJ25" s="67">
        <f t="shared" ca="1" si="7"/>
        <v>0</v>
      </c>
      <c r="AK25">
        <f t="shared" ca="1" si="8"/>
        <v>0</v>
      </c>
      <c r="AL25">
        <f t="shared" ca="1" si="9"/>
        <v>0</v>
      </c>
      <c r="AM25">
        <f t="shared" ca="1" si="10"/>
        <v>0</v>
      </c>
      <c r="AN25">
        <f t="shared" ca="1" si="11"/>
        <v>0</v>
      </c>
      <c r="AO25">
        <f t="shared" ca="1" si="12"/>
        <v>0</v>
      </c>
      <c r="AP25" t="e">
        <f t="shared" ca="1" si="13"/>
        <v>#N/A</v>
      </c>
      <c r="AQ25">
        <f t="shared" ca="1" si="18"/>
        <v>0</v>
      </c>
      <c r="AR25" t="e">
        <f t="shared" ca="1" si="21"/>
        <v>#N/A</v>
      </c>
      <c r="AS25">
        <f t="shared" ca="1" si="19"/>
        <v>0</v>
      </c>
      <c r="AT25" t="e">
        <f t="shared" ca="1" si="22"/>
        <v>#N/A</v>
      </c>
      <c r="AU25">
        <f t="shared" ca="1" si="14"/>
        <v>0</v>
      </c>
      <c r="AV25" t="e">
        <f t="shared" ca="1" si="23"/>
        <v>#N/A</v>
      </c>
      <c r="AW25" s="5">
        <f t="shared" ca="1" si="20"/>
        <v>0</v>
      </c>
      <c r="BH25" s="48" t="str">
        <f ca="1">IF(OR(Planned!B35=1,Planned!B35=""),AC25,Planned!B35)</f>
        <v xml:space="preserve"> </v>
      </c>
      <c r="BI25" t="str">
        <f ca="1">IF(TEXT(Planned!D35,"mmm")&lt;&gt;TEXT(Planned!D34,"mmm"),TEXT(Planned!D35,"mmm"),"")</f>
        <v/>
      </c>
      <c r="BK25" s="67"/>
    </row>
    <row r="26" spans="2:63" x14ac:dyDescent="0.25">
      <c r="B26" s="67">
        <f ca="1">IF(Planned!$C$6&lt;&gt;"Overall",COUNTBLANK(OFFSET(Planned!E37,0,0,1,Num_Modalities)),IF(COUNTBLANK(Planned!O37)=1,Num_Modalities,0))</f>
        <v>1</v>
      </c>
      <c r="C26">
        <f ca="1">SUM(OFFSET(Planned!$E37,0,0,1,Num_Modalities))</f>
        <v>0</v>
      </c>
      <c r="E26" s="67">
        <f t="shared" si="15"/>
        <v>24</v>
      </c>
      <c r="F26" s="36">
        <f t="shared" si="16"/>
        <v>24</v>
      </c>
      <c r="G26" s="68" t="str">
        <f t="shared" si="17"/>
        <v/>
      </c>
      <c r="H26">
        <f ca="1">Planned!E36*'Planned background (hide)'!H$1</f>
        <v>0</v>
      </c>
      <c r="I26">
        <f ca="1">Planned!F36*'Planned background (hide)'!I$1</f>
        <v>0</v>
      </c>
      <c r="J26">
        <f ca="1">Planned!G36*'Planned background (hide)'!J$1</f>
        <v>0</v>
      </c>
      <c r="K26">
        <f ca="1">Planned!H36*'Planned background (hide)'!K$1</f>
        <v>0</v>
      </c>
      <c r="L26">
        <f ca="1">Planned!I36*'Planned background (hide)'!L$1</f>
        <v>0</v>
      </c>
      <c r="M26">
        <f ca="1">Planned!J36*'Planned background (hide)'!M$1</f>
        <v>0</v>
      </c>
      <c r="N26">
        <f ca="1">Planned!K36*'Planned background (hide)'!N$1</f>
        <v>0</v>
      </c>
      <c r="O26">
        <f ca="1">Planned!J36*'Planned background (hide)'!O$1</f>
        <v>0</v>
      </c>
      <c r="P26">
        <f ca="1">Planned!K36*'Planned background (hide)'!P$1</f>
        <v>0</v>
      </c>
      <c r="Q26">
        <f ca="1">Planned!L36*'Planned background (hide)'!Q$1</f>
        <v>0</v>
      </c>
      <c r="R26" s="5">
        <f ca="1">IF(Planned!$C$6="Overall",Planned!O36*'Planned background (hide)'!R$1,"")</f>
        <v>0</v>
      </c>
      <c r="S26" s="5">
        <f ca="1">IF(Planned!R36&lt;&gt;"Yes",IF(Planned!$C$6&lt;&gt;"Overall",SUM(OFFSET('Planned background (hide)'!H26,0,0,1,Num_Modalities)),'Planned background (hide)'!R26),"")</f>
        <v>0</v>
      </c>
      <c r="U26" t="s">
        <v>279</v>
      </c>
      <c r="V26" s="59">
        <f t="array" aca="1" ref="V26" ca="1">PERCENTILE(IF(AD3:AD55=1,AE3:AE55,""),'Control sheet (hide)'!$I$9)</f>
        <v>0</v>
      </c>
      <c r="AB26">
        <f t="shared" si="0"/>
        <v>24</v>
      </c>
      <c r="AC26" s="36">
        <f>IF(Planned!$C$8=0,'Planned background (hide)'!F26,'Planned background (hide)'!G26)</f>
        <v>24</v>
      </c>
      <c r="AD26" s="36">
        <f t="shared" si="2"/>
        <v>0</v>
      </c>
      <c r="AE26" s="5">
        <f t="shared" ca="1" si="1"/>
        <v>0</v>
      </c>
      <c r="AF26" s="5">
        <f t="shared" ca="1" si="3"/>
        <v>0</v>
      </c>
      <c r="AG26">
        <f t="shared" ca="1" si="4"/>
        <v>0</v>
      </c>
      <c r="AH26" s="67">
        <f t="shared" ca="1" si="5"/>
        <v>0</v>
      </c>
      <c r="AI26" s="67">
        <f t="shared" ca="1" si="6"/>
        <v>0</v>
      </c>
      <c r="AJ26" s="67">
        <f t="shared" ca="1" si="7"/>
        <v>0</v>
      </c>
      <c r="AK26">
        <f t="shared" ca="1" si="8"/>
        <v>0</v>
      </c>
      <c r="AL26">
        <f t="shared" ca="1" si="9"/>
        <v>0</v>
      </c>
      <c r="AM26">
        <f t="shared" ca="1" si="10"/>
        <v>0</v>
      </c>
      <c r="AN26">
        <f t="shared" ca="1" si="11"/>
        <v>0</v>
      </c>
      <c r="AO26">
        <f t="shared" ca="1" si="12"/>
        <v>0</v>
      </c>
      <c r="AP26" t="e">
        <f t="shared" ca="1" si="13"/>
        <v>#N/A</v>
      </c>
      <c r="AQ26">
        <f t="shared" ca="1" si="18"/>
        <v>0</v>
      </c>
      <c r="AR26" t="e">
        <f t="shared" ca="1" si="21"/>
        <v>#N/A</v>
      </c>
      <c r="AS26">
        <f t="shared" ca="1" si="19"/>
        <v>0</v>
      </c>
      <c r="AT26" t="e">
        <f t="shared" ca="1" si="22"/>
        <v>#N/A</v>
      </c>
      <c r="AU26">
        <f t="shared" ca="1" si="14"/>
        <v>0</v>
      </c>
      <c r="AV26" t="e">
        <f t="shared" ca="1" si="23"/>
        <v>#N/A</v>
      </c>
      <c r="AW26" s="5">
        <f t="shared" ca="1" si="20"/>
        <v>0</v>
      </c>
      <c r="BH26" s="48" t="str">
        <f ca="1">IF(OR(Planned!B36=1,Planned!B36=""),AC26,Planned!B36)</f>
        <v xml:space="preserve"> </v>
      </c>
      <c r="BI26" t="str">
        <f ca="1">IF(TEXT(Planned!D36,"mmm")&lt;&gt;TEXT(Planned!D35,"mmm"),TEXT(Planned!D36,"mmm"),"")</f>
        <v/>
      </c>
      <c r="BK26" s="67"/>
    </row>
    <row r="27" spans="2:63" x14ac:dyDescent="0.25">
      <c r="B27" s="67">
        <f ca="1">IF(Planned!$C$6&lt;&gt;"Overall",COUNTBLANK(OFFSET(Planned!E38,0,0,1,Num_Modalities)),IF(COUNTBLANK(Planned!O38)=1,Num_Modalities,0))</f>
        <v>1</v>
      </c>
      <c r="C27">
        <f ca="1">SUM(OFFSET(Planned!$E38,0,0,1,Num_Modalities))</f>
        <v>0</v>
      </c>
      <c r="E27" s="67">
        <f t="shared" si="15"/>
        <v>25</v>
      </c>
      <c r="F27" s="36">
        <f t="shared" si="16"/>
        <v>25</v>
      </c>
      <c r="G27" s="68" t="str">
        <f t="shared" si="17"/>
        <v/>
      </c>
      <c r="H27">
        <f ca="1">Planned!E37*'Planned background (hide)'!H$1</f>
        <v>0</v>
      </c>
      <c r="I27">
        <f ca="1">Planned!F37*'Planned background (hide)'!I$1</f>
        <v>0</v>
      </c>
      <c r="J27">
        <f ca="1">Planned!G37*'Planned background (hide)'!J$1</f>
        <v>0</v>
      </c>
      <c r="K27">
        <f ca="1">Planned!H37*'Planned background (hide)'!K$1</f>
        <v>0</v>
      </c>
      <c r="L27">
        <f ca="1">Planned!I37*'Planned background (hide)'!L$1</f>
        <v>0</v>
      </c>
      <c r="M27">
        <f ca="1">Planned!J37*'Planned background (hide)'!M$1</f>
        <v>0</v>
      </c>
      <c r="N27">
        <f ca="1">Planned!K37*'Planned background (hide)'!N$1</f>
        <v>0</v>
      </c>
      <c r="O27">
        <f ca="1">Planned!J37*'Planned background (hide)'!O$1</f>
        <v>0</v>
      </c>
      <c r="P27">
        <f ca="1">Planned!K37*'Planned background (hide)'!P$1</f>
        <v>0</v>
      </c>
      <c r="Q27">
        <f ca="1">Planned!L37*'Planned background (hide)'!Q$1</f>
        <v>0</v>
      </c>
      <c r="R27" s="5">
        <f ca="1">IF(Planned!$C$6="Overall",Planned!O37*'Planned background (hide)'!R$1,"")</f>
        <v>0</v>
      </c>
      <c r="S27" s="5">
        <f ca="1">IF(Planned!R37&lt;&gt;"Yes",IF(Planned!$C$6&lt;&gt;"Overall",SUM(OFFSET('Planned background (hide)'!H27,0,0,1,Num_Modalities)),'Planned background (hide)'!R27),"")</f>
        <v>0</v>
      </c>
      <c r="U27" t="s">
        <v>280</v>
      </c>
      <c r="V27" s="59">
        <f t="array" aca="1" ref="V27" ca="1">PERCENTILE(IF(AD3:AD55=1,AE3:AE55,""),0.85)</f>
        <v>0</v>
      </c>
      <c r="AB27">
        <f t="shared" si="0"/>
        <v>25</v>
      </c>
      <c r="AC27" s="36">
        <f>IF(Planned!$C$8=0,'Planned background (hide)'!F27,'Planned background (hide)'!G27)</f>
        <v>25</v>
      </c>
      <c r="AD27" s="36">
        <f t="shared" si="2"/>
        <v>0</v>
      </c>
      <c r="AE27" s="5">
        <f t="shared" ca="1" si="1"/>
        <v>0</v>
      </c>
      <c r="AF27" s="5">
        <f t="shared" ca="1" si="3"/>
        <v>0</v>
      </c>
      <c r="AG27">
        <f t="shared" ca="1" si="4"/>
        <v>0</v>
      </c>
      <c r="AH27" s="67">
        <f t="shared" ca="1" si="5"/>
        <v>0</v>
      </c>
      <c r="AI27" s="67">
        <f t="shared" ca="1" si="6"/>
        <v>0</v>
      </c>
      <c r="AJ27" s="67">
        <f t="shared" ca="1" si="7"/>
        <v>0</v>
      </c>
      <c r="AK27">
        <f t="shared" ca="1" si="8"/>
        <v>0</v>
      </c>
      <c r="AL27">
        <f t="shared" ca="1" si="9"/>
        <v>0</v>
      </c>
      <c r="AM27">
        <f t="shared" ca="1" si="10"/>
        <v>0</v>
      </c>
      <c r="AN27">
        <f t="shared" ca="1" si="11"/>
        <v>0</v>
      </c>
      <c r="AO27">
        <f t="shared" ca="1" si="12"/>
        <v>0</v>
      </c>
      <c r="AP27" t="e">
        <f t="shared" ca="1" si="13"/>
        <v>#N/A</v>
      </c>
      <c r="AQ27">
        <f t="shared" ca="1" si="18"/>
        <v>0</v>
      </c>
      <c r="AR27" t="e">
        <f t="shared" ca="1" si="21"/>
        <v>#N/A</v>
      </c>
      <c r="AS27">
        <f t="shared" ca="1" si="19"/>
        <v>0</v>
      </c>
      <c r="AT27" t="e">
        <f t="shared" ca="1" si="22"/>
        <v>#N/A</v>
      </c>
      <c r="AU27">
        <f t="shared" ca="1" si="14"/>
        <v>0</v>
      </c>
      <c r="AV27" t="e">
        <f t="shared" ca="1" si="23"/>
        <v>#N/A</v>
      </c>
      <c r="AW27" s="5">
        <f t="shared" ca="1" si="20"/>
        <v>0</v>
      </c>
      <c r="BH27" s="48" t="str">
        <f ca="1">IF(OR(Planned!B37=1,Planned!B37=""),AC27,Planned!B37)</f>
        <v xml:space="preserve"> </v>
      </c>
      <c r="BI27" t="str">
        <f ca="1">IF(TEXT(Planned!D37,"mmm")&lt;&gt;TEXT(Planned!D36,"mmm"),TEXT(Planned!D37,"mmm"),"")</f>
        <v/>
      </c>
      <c r="BK27" s="67"/>
    </row>
    <row r="28" spans="2:63" x14ac:dyDescent="0.25">
      <c r="B28" s="67">
        <f ca="1">IF(Planned!$C$6&lt;&gt;"Overall",COUNTBLANK(OFFSET(Planned!E39,0,0,1,Num_Modalities)),IF(COUNTBLANK(Planned!O39)=1,Num_Modalities,0))</f>
        <v>1</v>
      </c>
      <c r="C28">
        <f ca="1">SUM(OFFSET(Planned!$E39,0,0,1,Num_Modalities))</f>
        <v>0</v>
      </c>
      <c r="E28" s="67">
        <f t="shared" si="15"/>
        <v>26</v>
      </c>
      <c r="F28" s="36">
        <f t="shared" si="16"/>
        <v>26</v>
      </c>
      <c r="G28" s="68" t="str">
        <f t="shared" si="17"/>
        <v/>
      </c>
      <c r="H28">
        <f ca="1">Planned!E38*'Planned background (hide)'!H$1</f>
        <v>0</v>
      </c>
      <c r="I28">
        <f ca="1">Planned!F38*'Planned background (hide)'!I$1</f>
        <v>0</v>
      </c>
      <c r="J28">
        <f ca="1">Planned!G38*'Planned background (hide)'!J$1</f>
        <v>0</v>
      </c>
      <c r="K28">
        <f ca="1">Planned!H38*'Planned background (hide)'!K$1</f>
        <v>0</v>
      </c>
      <c r="L28">
        <f ca="1">Planned!I38*'Planned background (hide)'!L$1</f>
        <v>0</v>
      </c>
      <c r="M28">
        <f ca="1">Planned!J38*'Planned background (hide)'!M$1</f>
        <v>0</v>
      </c>
      <c r="N28">
        <f ca="1">Planned!K38*'Planned background (hide)'!N$1</f>
        <v>0</v>
      </c>
      <c r="O28">
        <f ca="1">Planned!J38*'Planned background (hide)'!O$1</f>
        <v>0</v>
      </c>
      <c r="P28">
        <f ca="1">Planned!K38*'Planned background (hide)'!P$1</f>
        <v>0</v>
      </c>
      <c r="Q28">
        <f ca="1">Planned!L38*'Planned background (hide)'!Q$1</f>
        <v>0</v>
      </c>
      <c r="R28" s="5">
        <f ca="1">IF(Planned!$C$6="Overall",Planned!O38*'Planned background (hide)'!R$1,"")</f>
        <v>0</v>
      </c>
      <c r="S28" s="5">
        <f ca="1">IF(Planned!R38&lt;&gt;"Yes",IF(Planned!$C$6&lt;&gt;"Overall",SUM(OFFSET('Planned background (hide)'!H28,0,0,1,Num_Modalities)),'Planned background (hide)'!R28),"")</f>
        <v>0</v>
      </c>
      <c r="AB28">
        <f t="shared" si="0"/>
        <v>26</v>
      </c>
      <c r="AC28" s="36">
        <f>IF(Planned!$C$8=0,'Planned background (hide)'!F28,'Planned background (hide)'!G28)</f>
        <v>26</v>
      </c>
      <c r="AD28" s="36">
        <f t="shared" si="2"/>
        <v>0</v>
      </c>
      <c r="AE28" s="5">
        <f t="shared" ca="1" si="1"/>
        <v>0</v>
      </c>
      <c r="AF28" s="5">
        <f t="shared" ca="1" si="3"/>
        <v>0</v>
      </c>
      <c r="AG28">
        <f t="shared" ca="1" si="4"/>
        <v>0</v>
      </c>
      <c r="AH28" s="67">
        <f t="shared" ca="1" si="5"/>
        <v>0</v>
      </c>
      <c r="AI28" s="67">
        <f t="shared" ca="1" si="6"/>
        <v>0</v>
      </c>
      <c r="AJ28" s="67">
        <f t="shared" ca="1" si="7"/>
        <v>0</v>
      </c>
      <c r="AK28">
        <f t="shared" ca="1" si="8"/>
        <v>0</v>
      </c>
      <c r="AL28">
        <f t="shared" ca="1" si="9"/>
        <v>0</v>
      </c>
      <c r="AM28">
        <f t="shared" ca="1" si="10"/>
        <v>0</v>
      </c>
      <c r="AN28">
        <f t="shared" ca="1" si="11"/>
        <v>0</v>
      </c>
      <c r="AO28">
        <f t="shared" ca="1" si="12"/>
        <v>0</v>
      </c>
      <c r="AP28" t="e">
        <f t="shared" ca="1" si="13"/>
        <v>#N/A</v>
      </c>
      <c r="AQ28">
        <f t="shared" ca="1" si="18"/>
        <v>0</v>
      </c>
      <c r="AR28" t="e">
        <f t="shared" ca="1" si="21"/>
        <v>#N/A</v>
      </c>
      <c r="AS28">
        <f t="shared" ca="1" si="19"/>
        <v>0</v>
      </c>
      <c r="AT28" t="e">
        <f t="shared" ca="1" si="22"/>
        <v>#N/A</v>
      </c>
      <c r="AU28">
        <f t="shared" ca="1" si="14"/>
        <v>0</v>
      </c>
      <c r="AV28" t="e">
        <f t="shared" ca="1" si="23"/>
        <v>#N/A</v>
      </c>
      <c r="AW28" s="5">
        <f t="shared" ca="1" si="20"/>
        <v>0</v>
      </c>
      <c r="BH28" s="48" t="str">
        <f ca="1">IF(OR(Planned!B38=1,Planned!B38=""),AC28,Planned!B38)</f>
        <v xml:space="preserve"> </v>
      </c>
      <c r="BI28" t="str">
        <f ca="1">IF(TEXT(Planned!D38,"mmm")&lt;&gt;TEXT(Planned!D37,"mmm"),TEXT(Planned!D38,"mmm"),"")</f>
        <v/>
      </c>
      <c r="BK28" s="67"/>
    </row>
    <row r="29" spans="2:63" x14ac:dyDescent="0.25">
      <c r="B29" s="67">
        <f ca="1">IF(Planned!$C$6&lt;&gt;"Overall",COUNTBLANK(OFFSET(Planned!E40,0,0,1,Num_Modalities)),IF(COUNTBLANK(Planned!O40)=1,Num_Modalities,0))</f>
        <v>1</v>
      </c>
      <c r="C29">
        <f ca="1">SUM(OFFSET(Planned!$E40,0,0,1,Num_Modalities))</f>
        <v>0</v>
      </c>
      <c r="E29" s="67">
        <f t="shared" si="15"/>
        <v>27</v>
      </c>
      <c r="F29" s="36">
        <f t="shared" si="16"/>
        <v>27</v>
      </c>
      <c r="G29" s="68" t="str">
        <f t="shared" si="17"/>
        <v/>
      </c>
      <c r="H29">
        <f ca="1">Planned!E39*'Planned background (hide)'!H$1</f>
        <v>0</v>
      </c>
      <c r="I29">
        <f ca="1">Planned!F39*'Planned background (hide)'!I$1</f>
        <v>0</v>
      </c>
      <c r="J29">
        <f ca="1">Planned!G39*'Planned background (hide)'!J$1</f>
        <v>0</v>
      </c>
      <c r="K29">
        <f ca="1">Planned!H39*'Planned background (hide)'!K$1</f>
        <v>0</v>
      </c>
      <c r="L29">
        <f ca="1">Planned!I39*'Planned background (hide)'!L$1</f>
        <v>0</v>
      </c>
      <c r="M29">
        <f ca="1">Planned!J39*'Planned background (hide)'!M$1</f>
        <v>0</v>
      </c>
      <c r="N29">
        <f ca="1">Planned!K39*'Planned background (hide)'!N$1</f>
        <v>0</v>
      </c>
      <c r="O29">
        <f ca="1">Planned!J39*'Planned background (hide)'!O$1</f>
        <v>0</v>
      </c>
      <c r="P29">
        <f ca="1">Planned!K39*'Planned background (hide)'!P$1</f>
        <v>0</v>
      </c>
      <c r="Q29">
        <f ca="1">Planned!L39*'Planned background (hide)'!Q$1</f>
        <v>0</v>
      </c>
      <c r="R29" s="5">
        <f ca="1">IF(Planned!$C$6="Overall",Planned!O39*'Planned background (hide)'!R$1,"")</f>
        <v>0</v>
      </c>
      <c r="S29" s="5">
        <f ca="1">IF(Planned!R39&lt;&gt;"Yes",IF(Planned!$C$6&lt;&gt;"Overall",SUM(OFFSET('Planned background (hide)'!H29,0,0,1,Num_Modalities)),'Planned background (hide)'!R29),"")</f>
        <v>0</v>
      </c>
      <c r="AB29">
        <f t="shared" si="0"/>
        <v>27</v>
      </c>
      <c r="AC29" s="36">
        <f>IF(Planned!$C$8=0,'Planned background (hide)'!F29,'Planned background (hide)'!G29)</f>
        <v>27</v>
      </c>
      <c r="AD29" s="36">
        <f t="shared" si="2"/>
        <v>0</v>
      </c>
      <c r="AE29" s="5">
        <f t="shared" ca="1" si="1"/>
        <v>0</v>
      </c>
      <c r="AF29" s="5">
        <f t="shared" ca="1" si="3"/>
        <v>0</v>
      </c>
      <c r="AG29">
        <f t="shared" ca="1" si="4"/>
        <v>0</v>
      </c>
      <c r="AH29" s="67">
        <f t="shared" ca="1" si="5"/>
        <v>0</v>
      </c>
      <c r="AI29" s="67">
        <f t="shared" ca="1" si="6"/>
        <v>0</v>
      </c>
      <c r="AJ29" s="67">
        <f t="shared" ca="1" si="7"/>
        <v>0</v>
      </c>
      <c r="AK29">
        <f t="shared" ca="1" si="8"/>
        <v>0</v>
      </c>
      <c r="AL29">
        <f t="shared" ca="1" si="9"/>
        <v>0</v>
      </c>
      <c r="AM29">
        <f t="shared" ca="1" si="10"/>
        <v>0</v>
      </c>
      <c r="AN29">
        <f t="shared" ca="1" si="11"/>
        <v>0</v>
      </c>
      <c r="AO29">
        <f t="shared" ca="1" si="12"/>
        <v>0</v>
      </c>
      <c r="AP29" t="e">
        <f t="shared" ca="1" si="13"/>
        <v>#N/A</v>
      </c>
      <c r="AQ29">
        <f t="shared" ca="1" si="18"/>
        <v>0</v>
      </c>
      <c r="AR29" t="e">
        <f t="shared" ca="1" si="21"/>
        <v>#N/A</v>
      </c>
      <c r="AS29">
        <f t="shared" ca="1" si="19"/>
        <v>0</v>
      </c>
      <c r="AT29" t="e">
        <f t="shared" ca="1" si="22"/>
        <v>#N/A</v>
      </c>
      <c r="AU29">
        <f t="shared" ca="1" si="14"/>
        <v>0</v>
      </c>
      <c r="AV29" t="e">
        <f t="shared" ca="1" si="23"/>
        <v>#N/A</v>
      </c>
      <c r="AW29" s="5">
        <f t="shared" ca="1" si="20"/>
        <v>0</v>
      </c>
      <c r="BH29" s="48" t="str">
        <f ca="1">IF(OR(Planned!B39=1,Planned!B39=""),AC29,Planned!B39)</f>
        <v xml:space="preserve"> </v>
      </c>
      <c r="BI29" t="str">
        <f ca="1">IF(TEXT(Planned!D39,"mmm")&lt;&gt;TEXT(Planned!D38,"mmm"),TEXT(Planned!D39,"mmm"),"")</f>
        <v/>
      </c>
      <c r="BK29" s="67"/>
    </row>
    <row r="30" spans="2:63" x14ac:dyDescent="0.25">
      <c r="B30" s="67">
        <f ca="1">IF(Planned!$C$6&lt;&gt;"Overall",COUNTBLANK(OFFSET(Planned!E41,0,0,1,Num_Modalities)),IF(COUNTBLANK(Planned!O41)=1,Num_Modalities,0))</f>
        <v>1</v>
      </c>
      <c r="C30">
        <f ca="1">SUM(OFFSET(Planned!$E41,0,0,1,Num_Modalities))</f>
        <v>0</v>
      </c>
      <c r="E30" s="67">
        <f t="shared" si="15"/>
        <v>28</v>
      </c>
      <c r="F30" s="36">
        <f t="shared" si="16"/>
        <v>28</v>
      </c>
      <c r="G30" s="68" t="str">
        <f t="shared" si="17"/>
        <v/>
      </c>
      <c r="H30">
        <f ca="1">Planned!E40*'Planned background (hide)'!H$1</f>
        <v>0</v>
      </c>
      <c r="I30">
        <f ca="1">Planned!F40*'Planned background (hide)'!I$1</f>
        <v>0</v>
      </c>
      <c r="J30">
        <f ca="1">Planned!G40*'Planned background (hide)'!J$1</f>
        <v>0</v>
      </c>
      <c r="K30">
        <f ca="1">Planned!H40*'Planned background (hide)'!K$1</f>
        <v>0</v>
      </c>
      <c r="L30">
        <f ca="1">Planned!I40*'Planned background (hide)'!L$1</f>
        <v>0</v>
      </c>
      <c r="M30">
        <f ca="1">Planned!J40*'Planned background (hide)'!M$1</f>
        <v>0</v>
      </c>
      <c r="N30">
        <f ca="1">Planned!K40*'Planned background (hide)'!N$1</f>
        <v>0</v>
      </c>
      <c r="O30">
        <f ca="1">Planned!J40*'Planned background (hide)'!O$1</f>
        <v>0</v>
      </c>
      <c r="P30">
        <f ca="1">Planned!K40*'Planned background (hide)'!P$1</f>
        <v>0</v>
      </c>
      <c r="Q30">
        <f ca="1">Planned!L40*'Planned background (hide)'!Q$1</f>
        <v>0</v>
      </c>
      <c r="R30" s="5">
        <f ca="1">IF(Planned!$C$6="Overall",Planned!O40*'Planned background (hide)'!R$1,"")</f>
        <v>0</v>
      </c>
      <c r="S30" s="5">
        <f ca="1">IF(Planned!R40&lt;&gt;"Yes",IF(Planned!$C$6&lt;&gt;"Overall",SUM(OFFSET('Planned background (hide)'!H30,0,0,1,Num_Modalities)),'Planned background (hide)'!R30),"")</f>
        <v>0</v>
      </c>
      <c r="AB30">
        <f t="shared" si="0"/>
        <v>28</v>
      </c>
      <c r="AC30" s="36">
        <f>IF(Planned!$C$8=0,'Planned background (hide)'!F30,'Planned background (hide)'!G30)</f>
        <v>28</v>
      </c>
      <c r="AD30" s="36">
        <f t="shared" si="2"/>
        <v>0</v>
      </c>
      <c r="AE30" s="5">
        <f t="shared" ca="1" si="1"/>
        <v>0</v>
      </c>
      <c r="AF30" s="5">
        <f t="shared" ca="1" si="3"/>
        <v>0</v>
      </c>
      <c r="AG30">
        <f t="shared" ca="1" si="4"/>
        <v>0</v>
      </c>
      <c r="AH30" s="67">
        <f t="shared" ca="1" si="5"/>
        <v>0</v>
      </c>
      <c r="AI30" s="67">
        <f t="shared" ca="1" si="6"/>
        <v>0</v>
      </c>
      <c r="AJ30" s="67">
        <f t="shared" ca="1" si="7"/>
        <v>0</v>
      </c>
      <c r="AK30">
        <f t="shared" ca="1" si="8"/>
        <v>0</v>
      </c>
      <c r="AL30">
        <f t="shared" ca="1" si="9"/>
        <v>0</v>
      </c>
      <c r="AM30">
        <f t="shared" ca="1" si="10"/>
        <v>0</v>
      </c>
      <c r="AN30">
        <f t="shared" ca="1" si="11"/>
        <v>0</v>
      </c>
      <c r="AO30">
        <f t="shared" ca="1" si="12"/>
        <v>0</v>
      </c>
      <c r="AP30" t="e">
        <f t="shared" ca="1" si="13"/>
        <v>#N/A</v>
      </c>
      <c r="AQ30">
        <f t="shared" ca="1" si="18"/>
        <v>0</v>
      </c>
      <c r="AR30" t="e">
        <f t="shared" ca="1" si="21"/>
        <v>#N/A</v>
      </c>
      <c r="AS30">
        <f t="shared" ca="1" si="19"/>
        <v>0</v>
      </c>
      <c r="AT30" t="e">
        <f t="shared" ca="1" si="22"/>
        <v>#N/A</v>
      </c>
      <c r="AU30">
        <f t="shared" ca="1" si="14"/>
        <v>0</v>
      </c>
      <c r="AV30" t="e">
        <f t="shared" ca="1" si="23"/>
        <v>#N/A</v>
      </c>
      <c r="AW30" s="5">
        <f t="shared" ca="1" si="20"/>
        <v>0</v>
      </c>
      <c r="BH30" s="48" t="str">
        <f ca="1">IF(OR(Planned!B40=1,Planned!B40=""),AC30,Planned!B40)</f>
        <v xml:space="preserve"> </v>
      </c>
      <c r="BI30" t="str">
        <f ca="1">IF(TEXT(Planned!D40,"mmm")&lt;&gt;TEXT(Planned!D39,"mmm"),TEXT(Planned!D40,"mmm"),"")</f>
        <v/>
      </c>
      <c r="BK30" s="67"/>
    </row>
    <row r="31" spans="2:63" x14ac:dyDescent="0.25">
      <c r="B31" s="67">
        <f ca="1">IF(Planned!$C$6&lt;&gt;"Overall",COUNTBLANK(OFFSET(Planned!E42,0,0,1,Num_Modalities)),IF(COUNTBLANK(Planned!O42)=1,Num_Modalities,0))</f>
        <v>1</v>
      </c>
      <c r="C31">
        <f ca="1">SUM(OFFSET(Planned!$E42,0,0,1,Num_Modalities))</f>
        <v>0</v>
      </c>
      <c r="E31" s="67">
        <f t="shared" si="15"/>
        <v>29</v>
      </c>
      <c r="F31" s="36">
        <f t="shared" si="16"/>
        <v>29</v>
      </c>
      <c r="G31" s="68" t="str">
        <f t="shared" si="17"/>
        <v/>
      </c>
      <c r="H31">
        <f ca="1">Planned!E41*'Planned background (hide)'!H$1</f>
        <v>0</v>
      </c>
      <c r="I31">
        <f ca="1">Planned!F41*'Planned background (hide)'!I$1</f>
        <v>0</v>
      </c>
      <c r="J31">
        <f ca="1">Planned!G41*'Planned background (hide)'!J$1</f>
        <v>0</v>
      </c>
      <c r="K31">
        <f ca="1">Planned!H41*'Planned background (hide)'!K$1</f>
        <v>0</v>
      </c>
      <c r="L31">
        <f ca="1">Planned!I41*'Planned background (hide)'!L$1</f>
        <v>0</v>
      </c>
      <c r="M31">
        <f ca="1">Planned!J41*'Planned background (hide)'!M$1</f>
        <v>0</v>
      </c>
      <c r="N31">
        <f ca="1">Planned!K41*'Planned background (hide)'!N$1</f>
        <v>0</v>
      </c>
      <c r="O31">
        <f ca="1">Planned!J41*'Planned background (hide)'!O$1</f>
        <v>0</v>
      </c>
      <c r="P31">
        <f ca="1">Planned!K41*'Planned background (hide)'!P$1</f>
        <v>0</v>
      </c>
      <c r="Q31">
        <f ca="1">Planned!L41*'Planned background (hide)'!Q$1</f>
        <v>0</v>
      </c>
      <c r="R31" s="5">
        <f ca="1">IF(Planned!$C$6="Overall",Planned!O41*'Planned background (hide)'!R$1,"")</f>
        <v>0</v>
      </c>
      <c r="S31" s="5">
        <f ca="1">IF(Planned!R41&lt;&gt;"Yes",IF(Planned!$C$6&lt;&gt;"Overall",SUM(OFFSET('Planned background (hide)'!H31,0,0,1,Num_Modalities)),'Planned background (hide)'!R31),"")</f>
        <v>0</v>
      </c>
      <c r="AB31">
        <f t="shared" si="0"/>
        <v>29</v>
      </c>
      <c r="AC31" s="36">
        <f>IF(Planned!$C$8=0,'Planned background (hide)'!F31,'Planned background (hide)'!G31)</f>
        <v>29</v>
      </c>
      <c r="AD31" s="36">
        <f t="shared" si="2"/>
        <v>0</v>
      </c>
      <c r="AE31" s="5">
        <f t="shared" ca="1" si="1"/>
        <v>0</v>
      </c>
      <c r="AF31" s="5">
        <f t="shared" ca="1" si="3"/>
        <v>0</v>
      </c>
      <c r="AG31">
        <f t="shared" ca="1" si="4"/>
        <v>0</v>
      </c>
      <c r="AH31" s="67">
        <f t="shared" ca="1" si="5"/>
        <v>0</v>
      </c>
      <c r="AI31" s="67">
        <f t="shared" ca="1" si="6"/>
        <v>0</v>
      </c>
      <c r="AJ31" s="67">
        <f t="shared" ca="1" si="7"/>
        <v>0</v>
      </c>
      <c r="AK31">
        <f t="shared" ca="1" si="8"/>
        <v>0</v>
      </c>
      <c r="AL31">
        <f t="shared" ca="1" si="9"/>
        <v>0</v>
      </c>
      <c r="AM31">
        <f t="shared" ca="1" si="10"/>
        <v>0</v>
      </c>
      <c r="AN31">
        <f t="shared" ca="1" si="11"/>
        <v>0</v>
      </c>
      <c r="AO31">
        <f t="shared" ca="1" si="12"/>
        <v>0</v>
      </c>
      <c r="AP31" t="e">
        <f t="shared" ca="1" si="13"/>
        <v>#N/A</v>
      </c>
      <c r="AQ31">
        <f t="shared" ca="1" si="18"/>
        <v>0</v>
      </c>
      <c r="AR31" t="e">
        <f t="shared" ca="1" si="21"/>
        <v>#N/A</v>
      </c>
      <c r="AS31">
        <f t="shared" ca="1" si="19"/>
        <v>0</v>
      </c>
      <c r="AT31" t="e">
        <f t="shared" ca="1" si="22"/>
        <v>#N/A</v>
      </c>
      <c r="AU31">
        <f t="shared" ca="1" si="14"/>
        <v>0</v>
      </c>
      <c r="AV31" t="e">
        <f t="shared" ca="1" si="23"/>
        <v>#N/A</v>
      </c>
      <c r="AW31" s="5">
        <f t="shared" ca="1" si="20"/>
        <v>0</v>
      </c>
      <c r="BH31" s="48" t="str">
        <f ca="1">IF(OR(Planned!B41=1,Planned!B41=""),AC31,Planned!B41)</f>
        <v xml:space="preserve"> </v>
      </c>
      <c r="BI31" t="str">
        <f ca="1">IF(TEXT(Planned!D41,"mmm")&lt;&gt;TEXT(Planned!D40,"mmm"),TEXT(Planned!D41,"mmm"),"")</f>
        <v/>
      </c>
      <c r="BK31" s="67"/>
    </row>
    <row r="32" spans="2:63" x14ac:dyDescent="0.25">
      <c r="B32" s="67">
        <f ca="1">IF(Planned!$C$6&lt;&gt;"Overall",COUNTBLANK(OFFSET(Planned!E43,0,0,1,Num_Modalities)),IF(COUNTBLANK(Planned!O43)=1,Num_Modalities,0))</f>
        <v>1</v>
      </c>
      <c r="C32">
        <f ca="1">SUM(OFFSET(Planned!$E43,0,0,1,Num_Modalities))</f>
        <v>0</v>
      </c>
      <c r="E32" s="67">
        <f t="shared" si="15"/>
        <v>30</v>
      </c>
      <c r="F32" s="36">
        <f t="shared" si="16"/>
        <v>30</v>
      </c>
      <c r="G32" s="68" t="str">
        <f t="shared" si="17"/>
        <v/>
      </c>
      <c r="H32">
        <f ca="1">Planned!E42*'Planned background (hide)'!H$1</f>
        <v>0</v>
      </c>
      <c r="I32">
        <f ca="1">Planned!F42*'Planned background (hide)'!I$1</f>
        <v>0</v>
      </c>
      <c r="J32">
        <f ca="1">Planned!G42*'Planned background (hide)'!J$1</f>
        <v>0</v>
      </c>
      <c r="K32">
        <f ca="1">Planned!H42*'Planned background (hide)'!K$1</f>
        <v>0</v>
      </c>
      <c r="L32">
        <f ca="1">Planned!I42*'Planned background (hide)'!L$1</f>
        <v>0</v>
      </c>
      <c r="M32">
        <f ca="1">Planned!J42*'Planned background (hide)'!M$1</f>
        <v>0</v>
      </c>
      <c r="N32">
        <f ca="1">Planned!K42*'Planned background (hide)'!N$1</f>
        <v>0</v>
      </c>
      <c r="O32">
        <f ca="1">Planned!J42*'Planned background (hide)'!O$1</f>
        <v>0</v>
      </c>
      <c r="P32">
        <f ca="1">Planned!K42*'Planned background (hide)'!P$1</f>
        <v>0</v>
      </c>
      <c r="Q32">
        <f ca="1">Planned!L42*'Planned background (hide)'!Q$1</f>
        <v>0</v>
      </c>
      <c r="R32" s="5">
        <f ca="1">IF(Planned!$C$6="Overall",Planned!O42*'Planned background (hide)'!R$1,"")</f>
        <v>0</v>
      </c>
      <c r="S32" s="5">
        <f ca="1">IF(Planned!R42&lt;&gt;"Yes",IF(Planned!$C$6&lt;&gt;"Overall",SUM(OFFSET('Planned background (hide)'!H32,0,0,1,Num_Modalities)),'Planned background (hide)'!R32),"")</f>
        <v>0</v>
      </c>
      <c r="AB32">
        <f t="shared" si="0"/>
        <v>30</v>
      </c>
      <c r="AC32" s="36">
        <f>IF(Planned!$C$8=0,'Planned background (hide)'!F32,'Planned background (hide)'!G32)</f>
        <v>30</v>
      </c>
      <c r="AD32" s="36">
        <f t="shared" si="2"/>
        <v>0</v>
      </c>
      <c r="AE32" s="5">
        <f t="shared" ca="1" si="1"/>
        <v>0</v>
      </c>
      <c r="AF32" s="5">
        <f t="shared" ca="1" si="3"/>
        <v>0</v>
      </c>
      <c r="AG32">
        <f t="shared" ca="1" si="4"/>
        <v>0</v>
      </c>
      <c r="AH32" s="67">
        <f t="shared" ca="1" si="5"/>
        <v>0</v>
      </c>
      <c r="AI32" s="67">
        <f t="shared" ca="1" si="6"/>
        <v>0</v>
      </c>
      <c r="AJ32" s="67">
        <f t="shared" ca="1" si="7"/>
        <v>0</v>
      </c>
      <c r="AK32">
        <f t="shared" ca="1" si="8"/>
        <v>0</v>
      </c>
      <c r="AL32">
        <f t="shared" ca="1" si="9"/>
        <v>0</v>
      </c>
      <c r="AM32">
        <f t="shared" ca="1" si="10"/>
        <v>0</v>
      </c>
      <c r="AN32">
        <f t="shared" ca="1" si="11"/>
        <v>0</v>
      </c>
      <c r="AO32">
        <f t="shared" ca="1" si="12"/>
        <v>0</v>
      </c>
      <c r="AP32" t="e">
        <f t="shared" ca="1" si="13"/>
        <v>#N/A</v>
      </c>
      <c r="AQ32">
        <f t="shared" ca="1" si="18"/>
        <v>0</v>
      </c>
      <c r="AR32" t="e">
        <f t="shared" ca="1" si="21"/>
        <v>#N/A</v>
      </c>
      <c r="AS32">
        <f t="shared" ca="1" si="19"/>
        <v>0</v>
      </c>
      <c r="AT32" t="e">
        <f t="shared" ca="1" si="22"/>
        <v>#N/A</v>
      </c>
      <c r="AU32">
        <f t="shared" ca="1" si="14"/>
        <v>0</v>
      </c>
      <c r="AV32" t="e">
        <f t="shared" ca="1" si="23"/>
        <v>#N/A</v>
      </c>
      <c r="AW32" s="5">
        <f t="shared" ca="1" si="20"/>
        <v>0</v>
      </c>
      <c r="BH32" s="48" t="str">
        <f ca="1">IF(OR(Planned!B42=1,Planned!B42=""),AC32,Planned!B42)</f>
        <v xml:space="preserve"> </v>
      </c>
      <c r="BI32" t="str">
        <f ca="1">IF(TEXT(Planned!D42,"mmm")&lt;&gt;TEXT(Planned!D41,"mmm"),TEXT(Planned!D42,"mmm"),"")</f>
        <v/>
      </c>
      <c r="BK32" s="67"/>
    </row>
    <row r="33" spans="2:63" x14ac:dyDescent="0.25">
      <c r="B33" s="67">
        <f ca="1">IF(Planned!$C$6&lt;&gt;"Overall",COUNTBLANK(OFFSET(Planned!E44,0,0,1,Num_Modalities)),IF(COUNTBLANK(Planned!O44)=1,Num_Modalities,0))</f>
        <v>1</v>
      </c>
      <c r="C33">
        <f ca="1">SUM(OFFSET(Planned!$E44,0,0,1,Num_Modalities))</f>
        <v>0</v>
      </c>
      <c r="E33" s="67">
        <f t="shared" si="15"/>
        <v>31</v>
      </c>
      <c r="F33" s="36">
        <f t="shared" si="16"/>
        <v>31</v>
      </c>
      <c r="G33" s="68" t="str">
        <f t="shared" si="17"/>
        <v/>
      </c>
      <c r="H33">
        <f ca="1">Planned!E43*'Planned background (hide)'!H$1</f>
        <v>0</v>
      </c>
      <c r="I33">
        <f ca="1">Planned!F43*'Planned background (hide)'!I$1</f>
        <v>0</v>
      </c>
      <c r="J33">
        <f ca="1">Planned!G43*'Planned background (hide)'!J$1</f>
        <v>0</v>
      </c>
      <c r="K33">
        <f ca="1">Planned!H43*'Planned background (hide)'!K$1</f>
        <v>0</v>
      </c>
      <c r="L33">
        <f ca="1">Planned!I43*'Planned background (hide)'!L$1</f>
        <v>0</v>
      </c>
      <c r="M33">
        <f ca="1">Planned!J43*'Planned background (hide)'!M$1</f>
        <v>0</v>
      </c>
      <c r="N33">
        <f ca="1">Planned!K43*'Planned background (hide)'!N$1</f>
        <v>0</v>
      </c>
      <c r="O33">
        <f ca="1">Planned!J43*'Planned background (hide)'!O$1</f>
        <v>0</v>
      </c>
      <c r="P33">
        <f ca="1">Planned!K43*'Planned background (hide)'!P$1</f>
        <v>0</v>
      </c>
      <c r="Q33">
        <f ca="1">Planned!L43*'Planned background (hide)'!Q$1</f>
        <v>0</v>
      </c>
      <c r="R33" s="5">
        <f ca="1">IF(Planned!$C$6="Overall",Planned!O43*'Planned background (hide)'!R$1,"")</f>
        <v>0</v>
      </c>
      <c r="S33" s="5">
        <f ca="1">IF(Planned!R43&lt;&gt;"Yes",IF(Planned!$C$6&lt;&gt;"Overall",SUM(OFFSET('Planned background (hide)'!H33,0,0,1,Num_Modalities)),'Planned background (hide)'!R33),"")</f>
        <v>0</v>
      </c>
      <c r="AB33">
        <f t="shared" si="0"/>
        <v>31</v>
      </c>
      <c r="AC33" s="36">
        <f>IF(Planned!$C$8=0,'Planned background (hide)'!F33,'Planned background (hide)'!G33)</f>
        <v>31</v>
      </c>
      <c r="AD33" s="36">
        <f t="shared" si="2"/>
        <v>0</v>
      </c>
      <c r="AE33" s="5">
        <f t="shared" ca="1" si="1"/>
        <v>0</v>
      </c>
      <c r="AF33" s="5">
        <f t="shared" ca="1" si="3"/>
        <v>0</v>
      </c>
      <c r="AG33">
        <f t="shared" ca="1" si="4"/>
        <v>0</v>
      </c>
      <c r="AH33" s="67">
        <f t="shared" ca="1" si="5"/>
        <v>0</v>
      </c>
      <c r="AI33" s="67">
        <f t="shared" ca="1" si="6"/>
        <v>0</v>
      </c>
      <c r="AJ33" s="67">
        <f t="shared" ca="1" si="7"/>
        <v>0</v>
      </c>
      <c r="AK33">
        <f t="shared" ca="1" si="8"/>
        <v>0</v>
      </c>
      <c r="AL33">
        <f t="shared" ca="1" si="9"/>
        <v>0</v>
      </c>
      <c r="AM33">
        <f t="shared" ca="1" si="10"/>
        <v>0</v>
      </c>
      <c r="AN33">
        <f t="shared" ca="1" si="11"/>
        <v>0</v>
      </c>
      <c r="AO33">
        <f t="shared" ca="1" si="12"/>
        <v>0</v>
      </c>
      <c r="AP33" t="e">
        <f t="shared" ca="1" si="13"/>
        <v>#N/A</v>
      </c>
      <c r="AQ33">
        <f t="shared" ca="1" si="18"/>
        <v>0</v>
      </c>
      <c r="AR33" t="e">
        <f t="shared" ca="1" si="21"/>
        <v>#N/A</v>
      </c>
      <c r="AS33">
        <f t="shared" ca="1" si="19"/>
        <v>0</v>
      </c>
      <c r="AT33" t="e">
        <f t="shared" ca="1" si="22"/>
        <v>#N/A</v>
      </c>
      <c r="AU33">
        <f t="shared" ca="1" si="14"/>
        <v>0</v>
      </c>
      <c r="AV33" t="e">
        <f t="shared" ca="1" si="23"/>
        <v>#N/A</v>
      </c>
      <c r="AW33" s="5">
        <f t="shared" ca="1" si="20"/>
        <v>0</v>
      </c>
      <c r="BH33" s="48" t="str">
        <f ca="1">IF(OR(Planned!B43=1,Planned!B43=""),AC33,Planned!B43)</f>
        <v xml:space="preserve"> </v>
      </c>
      <c r="BI33" t="str">
        <f ca="1">IF(TEXT(Planned!D43,"mmm")&lt;&gt;TEXT(Planned!D42,"mmm"),TEXT(Planned!D43,"mmm"),"")</f>
        <v/>
      </c>
      <c r="BK33" s="67"/>
    </row>
    <row r="34" spans="2:63" x14ac:dyDescent="0.25">
      <c r="B34" s="67">
        <f ca="1">IF(Planned!$C$6&lt;&gt;"Overall",COUNTBLANK(OFFSET(Planned!E45,0,0,1,Num_Modalities)),IF(COUNTBLANK(Planned!O45)=1,Num_Modalities,0))</f>
        <v>1</v>
      </c>
      <c r="C34">
        <f ca="1">SUM(OFFSET(Planned!$E45,0,0,1,Num_Modalities))</f>
        <v>0</v>
      </c>
      <c r="E34" s="67">
        <f t="shared" si="15"/>
        <v>32</v>
      </c>
      <c r="F34" s="36">
        <f t="shared" si="16"/>
        <v>32</v>
      </c>
      <c r="G34" s="68" t="str">
        <f t="shared" si="17"/>
        <v/>
      </c>
      <c r="H34">
        <f ca="1">Planned!E44*'Planned background (hide)'!H$1</f>
        <v>0</v>
      </c>
      <c r="I34">
        <f ca="1">Planned!F44*'Planned background (hide)'!I$1</f>
        <v>0</v>
      </c>
      <c r="J34">
        <f ca="1">Planned!G44*'Planned background (hide)'!J$1</f>
        <v>0</v>
      </c>
      <c r="K34">
        <f ca="1">Planned!H44*'Planned background (hide)'!K$1</f>
        <v>0</v>
      </c>
      <c r="L34">
        <f ca="1">Planned!I44*'Planned background (hide)'!L$1</f>
        <v>0</v>
      </c>
      <c r="M34">
        <f ca="1">Planned!J44*'Planned background (hide)'!M$1</f>
        <v>0</v>
      </c>
      <c r="N34">
        <f ca="1">Planned!K44*'Planned background (hide)'!N$1</f>
        <v>0</v>
      </c>
      <c r="O34">
        <f ca="1">Planned!J44*'Planned background (hide)'!O$1</f>
        <v>0</v>
      </c>
      <c r="P34">
        <f ca="1">Planned!K44*'Planned background (hide)'!P$1</f>
        <v>0</v>
      </c>
      <c r="Q34">
        <f ca="1">Planned!L44*'Planned background (hide)'!Q$1</f>
        <v>0</v>
      </c>
      <c r="R34" s="5">
        <f ca="1">IF(Planned!$C$6="Overall",Planned!O44*'Planned background (hide)'!R$1,"")</f>
        <v>0</v>
      </c>
      <c r="S34" s="5">
        <f ca="1">IF(Planned!R44&lt;&gt;"Yes",IF(Planned!$C$6&lt;&gt;"Overall",SUM(OFFSET('Planned background (hide)'!H34,0,0,1,Num_Modalities)),'Planned background (hide)'!R34),"")</f>
        <v>0</v>
      </c>
      <c r="AB34">
        <f t="shared" ref="AB34:AB52" si="24">E34</f>
        <v>32</v>
      </c>
      <c r="AC34" s="36">
        <f>IF(Planned!$C$8=0,'Planned background (hide)'!F34,'Planned background (hide)'!G34)</f>
        <v>32</v>
      </c>
      <c r="AD34" s="36">
        <f t="shared" si="2"/>
        <v>0</v>
      </c>
      <c r="AE34" s="5">
        <f t="shared" ca="1" si="1"/>
        <v>0</v>
      </c>
      <c r="AF34" s="5">
        <f t="shared" ca="1" si="3"/>
        <v>0</v>
      </c>
      <c r="AG34">
        <f t="shared" ca="1" si="4"/>
        <v>0</v>
      </c>
      <c r="AH34" s="67">
        <f t="shared" ca="1" si="5"/>
        <v>0</v>
      </c>
      <c r="AI34" s="67">
        <f t="shared" ca="1" si="6"/>
        <v>0</v>
      </c>
      <c r="AJ34" s="67">
        <f t="shared" ca="1" si="7"/>
        <v>0</v>
      </c>
      <c r="AK34">
        <f t="shared" ca="1" si="8"/>
        <v>0</v>
      </c>
      <c r="AL34">
        <f t="shared" ca="1" si="9"/>
        <v>0</v>
      </c>
      <c r="AM34">
        <f t="shared" ca="1" si="10"/>
        <v>0</v>
      </c>
      <c r="AN34">
        <f t="shared" ca="1" si="11"/>
        <v>0</v>
      </c>
      <c r="AO34">
        <f t="shared" ca="1" si="12"/>
        <v>0</v>
      </c>
      <c r="AP34" t="e">
        <f t="shared" ca="1" si="13"/>
        <v>#N/A</v>
      </c>
      <c r="AQ34">
        <f t="shared" ca="1" si="18"/>
        <v>0</v>
      </c>
      <c r="AR34" t="e">
        <f t="shared" ca="1" si="21"/>
        <v>#N/A</v>
      </c>
      <c r="AS34">
        <f t="shared" ca="1" si="19"/>
        <v>0</v>
      </c>
      <c r="AT34" t="e">
        <f t="shared" ca="1" si="22"/>
        <v>#N/A</v>
      </c>
      <c r="AU34">
        <f t="shared" ca="1" si="14"/>
        <v>0</v>
      </c>
      <c r="AV34" t="e">
        <f t="shared" ca="1" si="23"/>
        <v>#N/A</v>
      </c>
      <c r="AW34" s="5">
        <f t="shared" ca="1" si="20"/>
        <v>0</v>
      </c>
      <c r="BH34" s="48" t="str">
        <f ca="1">IF(OR(Planned!B44=1,Planned!B44=""),AC34,Planned!B44)</f>
        <v xml:space="preserve"> </v>
      </c>
      <c r="BI34" t="str">
        <f ca="1">IF(TEXT(Planned!D44,"mmm")&lt;&gt;TEXT(Planned!D43,"mmm"),TEXT(Planned!D44,"mmm"),"")</f>
        <v/>
      </c>
      <c r="BK34" s="67"/>
    </row>
    <row r="35" spans="2:63" x14ac:dyDescent="0.25">
      <c r="B35" s="67">
        <f ca="1">IF(Planned!$C$6&lt;&gt;"Overall",COUNTBLANK(OFFSET(Planned!E46,0,0,1,Num_Modalities)),IF(COUNTBLANK(Planned!O46)=1,Num_Modalities,0))</f>
        <v>1</v>
      </c>
      <c r="C35">
        <f ca="1">SUM(OFFSET(Planned!$E46,0,0,1,Num_Modalities))</f>
        <v>0</v>
      </c>
      <c r="E35" s="67">
        <f t="shared" si="15"/>
        <v>33</v>
      </c>
      <c r="F35" s="36">
        <f t="shared" si="16"/>
        <v>33</v>
      </c>
      <c r="G35" s="68" t="str">
        <f t="shared" si="17"/>
        <v/>
      </c>
      <c r="H35">
        <f ca="1">Planned!E45*'Planned background (hide)'!H$1</f>
        <v>0</v>
      </c>
      <c r="I35">
        <f ca="1">Planned!F45*'Planned background (hide)'!I$1</f>
        <v>0</v>
      </c>
      <c r="J35">
        <f ca="1">Planned!G45*'Planned background (hide)'!J$1</f>
        <v>0</v>
      </c>
      <c r="K35">
        <f ca="1">Planned!H45*'Planned background (hide)'!K$1</f>
        <v>0</v>
      </c>
      <c r="L35">
        <f ca="1">Planned!I45*'Planned background (hide)'!L$1</f>
        <v>0</v>
      </c>
      <c r="M35">
        <f ca="1">Planned!J45*'Planned background (hide)'!M$1</f>
        <v>0</v>
      </c>
      <c r="N35">
        <f ca="1">Planned!K45*'Planned background (hide)'!N$1</f>
        <v>0</v>
      </c>
      <c r="O35">
        <f ca="1">Planned!J45*'Planned background (hide)'!O$1</f>
        <v>0</v>
      </c>
      <c r="P35">
        <f ca="1">Planned!K45*'Planned background (hide)'!P$1</f>
        <v>0</v>
      </c>
      <c r="Q35">
        <f ca="1">Planned!L45*'Planned background (hide)'!Q$1</f>
        <v>0</v>
      </c>
      <c r="R35" s="5">
        <f ca="1">IF(Planned!$C$6="Overall",Planned!O45*'Planned background (hide)'!R$1,"")</f>
        <v>0</v>
      </c>
      <c r="S35" s="5">
        <f ca="1">IF(Planned!R45&lt;&gt;"Yes",IF(Planned!$C$6&lt;&gt;"Overall",SUM(OFFSET('Planned background (hide)'!H35,0,0,1,Num_Modalities)),'Planned background (hide)'!R35),"")</f>
        <v>0</v>
      </c>
      <c r="AB35">
        <f t="shared" si="24"/>
        <v>33</v>
      </c>
      <c r="AC35" s="36">
        <f>IF(Planned!$C$8=0,'Planned background (hide)'!F35,'Planned background (hide)'!G35)</f>
        <v>33</v>
      </c>
      <c r="AD35" s="36">
        <f t="shared" si="2"/>
        <v>0</v>
      </c>
      <c r="AE35" s="5">
        <f t="shared" ref="AE35:AE54" ca="1" si="25">S35</f>
        <v>0</v>
      </c>
      <c r="AF35" s="5">
        <f t="shared" ca="1" si="3"/>
        <v>0</v>
      </c>
      <c r="AG35">
        <f t="shared" ca="1" si="4"/>
        <v>0</v>
      </c>
      <c r="AH35" s="67">
        <f t="shared" ca="1" si="5"/>
        <v>0</v>
      </c>
      <c r="AI35" s="67">
        <f t="shared" ca="1" si="6"/>
        <v>0</v>
      </c>
      <c r="AJ35" s="67">
        <f t="shared" ca="1" si="7"/>
        <v>0</v>
      </c>
      <c r="AK35">
        <f t="shared" ca="1" si="8"/>
        <v>0</v>
      </c>
      <c r="AL35">
        <f t="shared" ca="1" si="9"/>
        <v>0</v>
      </c>
      <c r="AM35">
        <f t="shared" ca="1" si="10"/>
        <v>0</v>
      </c>
      <c r="AN35">
        <f t="shared" ca="1" si="11"/>
        <v>0</v>
      </c>
      <c r="AO35">
        <f t="shared" ca="1" si="12"/>
        <v>0</v>
      </c>
      <c r="AP35" t="e">
        <f t="shared" ca="1" si="13"/>
        <v>#N/A</v>
      </c>
      <c r="AQ35">
        <f t="shared" ca="1" si="18"/>
        <v>0</v>
      </c>
      <c r="AR35" t="e">
        <f t="shared" ca="1" si="21"/>
        <v>#N/A</v>
      </c>
      <c r="AS35">
        <f t="shared" ca="1" si="19"/>
        <v>0</v>
      </c>
      <c r="AT35" t="e">
        <f t="shared" ca="1" si="22"/>
        <v>#N/A</v>
      </c>
      <c r="AU35">
        <f t="shared" ca="1" si="14"/>
        <v>0</v>
      </c>
      <c r="AV35" t="e">
        <f t="shared" ca="1" si="23"/>
        <v>#N/A</v>
      </c>
      <c r="AW35" s="5">
        <f t="shared" ca="1" si="20"/>
        <v>0</v>
      </c>
      <c r="BH35" s="48" t="str">
        <f ca="1">IF(OR(Planned!B45=1,Planned!B45=""),AC35,Planned!B45)</f>
        <v xml:space="preserve"> </v>
      </c>
      <c r="BI35" t="str">
        <f ca="1">IF(TEXT(Planned!D45,"mmm")&lt;&gt;TEXT(Planned!D44,"mmm"),TEXT(Planned!D45,"mmm"),"")</f>
        <v/>
      </c>
      <c r="BK35" s="67"/>
    </row>
    <row r="36" spans="2:63" x14ac:dyDescent="0.25">
      <c r="B36" s="67">
        <f ca="1">IF(Planned!$C$6&lt;&gt;"Overall",COUNTBLANK(OFFSET(Planned!E47,0,0,1,Num_Modalities)),IF(COUNTBLANK(Planned!O47)=1,Num_Modalities,0))</f>
        <v>1</v>
      </c>
      <c r="C36">
        <f ca="1">SUM(OFFSET(Planned!$E47,0,0,1,Num_Modalities))</f>
        <v>0</v>
      </c>
      <c r="E36" s="67">
        <f t="shared" si="15"/>
        <v>34</v>
      </c>
      <c r="F36" s="36">
        <f t="shared" si="16"/>
        <v>34</v>
      </c>
      <c r="G36" s="68" t="str">
        <f t="shared" si="17"/>
        <v/>
      </c>
      <c r="H36">
        <f ca="1">Planned!E46*'Planned background (hide)'!H$1</f>
        <v>0</v>
      </c>
      <c r="I36">
        <f ca="1">Planned!F46*'Planned background (hide)'!I$1</f>
        <v>0</v>
      </c>
      <c r="J36">
        <f ca="1">Planned!G46*'Planned background (hide)'!J$1</f>
        <v>0</v>
      </c>
      <c r="K36">
        <f ca="1">Planned!H46*'Planned background (hide)'!K$1</f>
        <v>0</v>
      </c>
      <c r="L36">
        <f ca="1">Planned!I46*'Planned background (hide)'!L$1</f>
        <v>0</v>
      </c>
      <c r="M36">
        <f ca="1">Planned!J46*'Planned background (hide)'!M$1</f>
        <v>0</v>
      </c>
      <c r="N36">
        <f ca="1">Planned!K46*'Planned background (hide)'!N$1</f>
        <v>0</v>
      </c>
      <c r="O36">
        <f ca="1">Planned!J46*'Planned background (hide)'!O$1</f>
        <v>0</v>
      </c>
      <c r="P36">
        <f ca="1">Planned!K46*'Planned background (hide)'!P$1</f>
        <v>0</v>
      </c>
      <c r="Q36">
        <f ca="1">Planned!L46*'Planned background (hide)'!Q$1</f>
        <v>0</v>
      </c>
      <c r="R36" s="5">
        <f ca="1">IF(Planned!$C$6="Overall",Planned!O46*'Planned background (hide)'!R$1,"")</f>
        <v>0</v>
      </c>
      <c r="S36" s="5">
        <f ca="1">IF(Planned!R46&lt;&gt;"Yes",IF(Planned!$C$6&lt;&gt;"Overall",SUM(OFFSET('Planned background (hide)'!H36,0,0,1,Num_Modalities)),'Planned background (hide)'!R36),"")</f>
        <v>0</v>
      </c>
      <c r="AB36">
        <f t="shared" si="24"/>
        <v>34</v>
      </c>
      <c r="AC36" s="36">
        <f>IF(Planned!$C$8=0,'Planned background (hide)'!F36,'Planned background (hide)'!G36)</f>
        <v>34</v>
      </c>
      <c r="AD36" s="36">
        <f t="shared" si="2"/>
        <v>0</v>
      </c>
      <c r="AE36" s="5">
        <f t="shared" ca="1" si="25"/>
        <v>0</v>
      </c>
      <c r="AF36" s="5">
        <f t="shared" ca="1" si="3"/>
        <v>0</v>
      </c>
      <c r="AG36">
        <f t="shared" ca="1" si="4"/>
        <v>0</v>
      </c>
      <c r="AH36" s="67">
        <f t="shared" ca="1" si="5"/>
        <v>0</v>
      </c>
      <c r="AI36" s="67">
        <f t="shared" ca="1" si="6"/>
        <v>0</v>
      </c>
      <c r="AJ36" s="67">
        <f t="shared" ca="1" si="7"/>
        <v>0</v>
      </c>
      <c r="AK36">
        <f t="shared" ca="1" si="8"/>
        <v>0</v>
      </c>
      <c r="AL36">
        <f t="shared" ca="1" si="9"/>
        <v>0</v>
      </c>
      <c r="AM36">
        <f t="shared" ca="1" si="10"/>
        <v>0</v>
      </c>
      <c r="AN36">
        <f t="shared" ca="1" si="11"/>
        <v>0</v>
      </c>
      <c r="AO36">
        <f t="shared" ca="1" si="12"/>
        <v>0</v>
      </c>
      <c r="AP36" t="e">
        <f t="shared" ca="1" si="13"/>
        <v>#N/A</v>
      </c>
      <c r="AQ36">
        <f t="shared" ca="1" si="18"/>
        <v>0</v>
      </c>
      <c r="AR36" t="e">
        <f t="shared" ca="1" si="21"/>
        <v>#N/A</v>
      </c>
      <c r="AS36">
        <f t="shared" ca="1" si="19"/>
        <v>0</v>
      </c>
      <c r="AT36" t="e">
        <f t="shared" ca="1" si="22"/>
        <v>#N/A</v>
      </c>
      <c r="AU36">
        <f t="shared" ca="1" si="14"/>
        <v>0</v>
      </c>
      <c r="AV36" t="e">
        <f t="shared" ca="1" si="23"/>
        <v>#N/A</v>
      </c>
      <c r="AW36" s="5">
        <f t="shared" ca="1" si="20"/>
        <v>0</v>
      </c>
      <c r="BH36" s="48" t="str">
        <f ca="1">IF(OR(Planned!B46=1,Planned!B46=""),AC36,Planned!B46)</f>
        <v xml:space="preserve"> </v>
      </c>
      <c r="BI36" t="str">
        <f ca="1">IF(TEXT(Planned!D46,"mmm")&lt;&gt;TEXT(Planned!D45,"mmm"),TEXT(Planned!D46,"mmm"),"")</f>
        <v/>
      </c>
      <c r="BK36" s="67"/>
    </row>
    <row r="37" spans="2:63" x14ac:dyDescent="0.25">
      <c r="B37" s="67">
        <f ca="1">IF(Planned!$C$6&lt;&gt;"Overall",COUNTBLANK(OFFSET(Planned!E48,0,0,1,Num_Modalities)),IF(COUNTBLANK(Planned!O48)=1,Num_Modalities,0))</f>
        <v>1</v>
      </c>
      <c r="C37">
        <f ca="1">SUM(OFFSET(Planned!$E48,0,0,1,Num_Modalities))</f>
        <v>0</v>
      </c>
      <c r="E37" s="67">
        <f t="shared" si="15"/>
        <v>35</v>
      </c>
      <c r="F37" s="36">
        <f t="shared" si="16"/>
        <v>35</v>
      </c>
      <c r="G37" s="68" t="str">
        <f t="shared" si="17"/>
        <v/>
      </c>
      <c r="H37">
        <f ca="1">Planned!E47*'Planned background (hide)'!H$1</f>
        <v>0</v>
      </c>
      <c r="I37">
        <f ca="1">Planned!F47*'Planned background (hide)'!I$1</f>
        <v>0</v>
      </c>
      <c r="J37">
        <f ca="1">Planned!G47*'Planned background (hide)'!J$1</f>
        <v>0</v>
      </c>
      <c r="K37">
        <f ca="1">Planned!H47*'Planned background (hide)'!K$1</f>
        <v>0</v>
      </c>
      <c r="L37">
        <f ca="1">Planned!I47*'Planned background (hide)'!L$1</f>
        <v>0</v>
      </c>
      <c r="M37">
        <f ca="1">Planned!J47*'Planned background (hide)'!M$1</f>
        <v>0</v>
      </c>
      <c r="N37">
        <f ca="1">Planned!K47*'Planned background (hide)'!N$1</f>
        <v>0</v>
      </c>
      <c r="O37">
        <f ca="1">Planned!J47*'Planned background (hide)'!O$1</f>
        <v>0</v>
      </c>
      <c r="P37">
        <f ca="1">Planned!K47*'Planned background (hide)'!P$1</f>
        <v>0</v>
      </c>
      <c r="Q37">
        <f ca="1">Planned!L47*'Planned background (hide)'!Q$1</f>
        <v>0</v>
      </c>
      <c r="R37" s="5">
        <f ca="1">IF(Planned!$C$6="Overall",Planned!O47*'Planned background (hide)'!R$1,"")</f>
        <v>0</v>
      </c>
      <c r="S37" s="5">
        <f ca="1">IF(Planned!R47&lt;&gt;"Yes",IF(Planned!$C$6&lt;&gt;"Overall",SUM(OFFSET('Planned background (hide)'!H37,0,0,1,Num_Modalities)),'Planned background (hide)'!R37),"")</f>
        <v>0</v>
      </c>
      <c r="AB37">
        <f t="shared" si="24"/>
        <v>35</v>
      </c>
      <c r="AC37" s="36">
        <f>IF(Planned!$C$8=0,'Planned background (hide)'!F37,'Planned background (hide)'!G37)</f>
        <v>35</v>
      </c>
      <c r="AD37" s="36">
        <f t="shared" si="2"/>
        <v>0</v>
      </c>
      <c r="AE37" s="5">
        <f t="shared" ca="1" si="25"/>
        <v>0</v>
      </c>
      <c r="AF37" s="5">
        <f t="shared" ca="1" si="3"/>
        <v>0</v>
      </c>
      <c r="AG37">
        <f t="shared" ca="1" si="4"/>
        <v>0</v>
      </c>
      <c r="AH37" s="67">
        <f t="shared" ca="1" si="5"/>
        <v>0</v>
      </c>
      <c r="AI37" s="67">
        <f t="shared" ca="1" si="6"/>
        <v>0</v>
      </c>
      <c r="AJ37" s="67">
        <f t="shared" ca="1" si="7"/>
        <v>0</v>
      </c>
      <c r="AK37">
        <f t="shared" ca="1" si="8"/>
        <v>0</v>
      </c>
      <c r="AL37">
        <f t="shared" ca="1" si="9"/>
        <v>0</v>
      </c>
      <c r="AM37">
        <f t="shared" ca="1" si="10"/>
        <v>0</v>
      </c>
      <c r="AN37">
        <f t="shared" ca="1" si="11"/>
        <v>0</v>
      </c>
      <c r="AO37">
        <f t="shared" ca="1" si="12"/>
        <v>0</v>
      </c>
      <c r="AP37" t="e">
        <f t="shared" ca="1" si="13"/>
        <v>#N/A</v>
      </c>
      <c r="AQ37">
        <f t="shared" ca="1" si="18"/>
        <v>0</v>
      </c>
      <c r="AR37" t="e">
        <f t="shared" ca="1" si="21"/>
        <v>#N/A</v>
      </c>
      <c r="AS37">
        <f t="shared" ca="1" si="19"/>
        <v>0</v>
      </c>
      <c r="AT37" t="e">
        <f t="shared" ca="1" si="22"/>
        <v>#N/A</v>
      </c>
      <c r="AU37">
        <f t="shared" ca="1" si="14"/>
        <v>0</v>
      </c>
      <c r="AV37" t="e">
        <f t="shared" ca="1" si="23"/>
        <v>#N/A</v>
      </c>
      <c r="AW37" s="5">
        <f t="shared" ca="1" si="20"/>
        <v>0</v>
      </c>
      <c r="BH37" s="48" t="str">
        <f ca="1">IF(OR(Planned!B47=1,Planned!B47=""),AC37,Planned!B47)</f>
        <v xml:space="preserve"> </v>
      </c>
      <c r="BI37" t="str">
        <f ca="1">IF(TEXT(Planned!D47,"mmm")&lt;&gt;TEXT(Planned!D46,"mmm"),TEXT(Planned!D47,"mmm"),"")</f>
        <v/>
      </c>
      <c r="BK37" s="67"/>
    </row>
    <row r="38" spans="2:63" x14ac:dyDescent="0.25">
      <c r="B38" s="67">
        <f ca="1">IF(Planned!$C$6&lt;&gt;"Overall",COUNTBLANK(OFFSET(Planned!E49,0,0,1,Num_Modalities)),IF(COUNTBLANK(Planned!O49)=1,Num_Modalities,0))</f>
        <v>1</v>
      </c>
      <c r="C38">
        <f ca="1">SUM(OFFSET(Planned!$E49,0,0,1,Num_Modalities))</f>
        <v>0</v>
      </c>
      <c r="E38" s="67">
        <f t="shared" si="15"/>
        <v>36</v>
      </c>
      <c r="F38" s="36">
        <f t="shared" si="16"/>
        <v>36</v>
      </c>
      <c r="G38" s="68" t="str">
        <f t="shared" si="17"/>
        <v/>
      </c>
      <c r="H38">
        <f ca="1">Planned!E48*'Planned background (hide)'!H$1</f>
        <v>0</v>
      </c>
      <c r="I38">
        <f ca="1">Planned!F48*'Planned background (hide)'!I$1</f>
        <v>0</v>
      </c>
      <c r="J38">
        <f ca="1">Planned!G48*'Planned background (hide)'!J$1</f>
        <v>0</v>
      </c>
      <c r="K38">
        <f ca="1">Planned!H48*'Planned background (hide)'!K$1</f>
        <v>0</v>
      </c>
      <c r="L38">
        <f ca="1">Planned!I48*'Planned background (hide)'!L$1</f>
        <v>0</v>
      </c>
      <c r="M38">
        <f ca="1">Planned!J48*'Planned background (hide)'!M$1</f>
        <v>0</v>
      </c>
      <c r="N38">
        <f ca="1">Planned!K48*'Planned background (hide)'!N$1</f>
        <v>0</v>
      </c>
      <c r="O38">
        <f ca="1">Planned!J48*'Planned background (hide)'!O$1</f>
        <v>0</v>
      </c>
      <c r="P38">
        <f ca="1">Planned!K48*'Planned background (hide)'!P$1</f>
        <v>0</v>
      </c>
      <c r="Q38">
        <f ca="1">Planned!L48*'Planned background (hide)'!Q$1</f>
        <v>0</v>
      </c>
      <c r="R38" s="5">
        <f ca="1">IF(Planned!$C$6="Overall",Planned!O48*'Planned background (hide)'!R$1,"")</f>
        <v>0</v>
      </c>
      <c r="S38" s="5">
        <f ca="1">IF(Planned!R48&lt;&gt;"Yes",IF(Planned!$C$6&lt;&gt;"Overall",SUM(OFFSET('Planned background (hide)'!H38,0,0,1,Num_Modalities)),'Planned background (hide)'!R38),"")</f>
        <v>0</v>
      </c>
      <c r="AB38">
        <f t="shared" si="24"/>
        <v>36</v>
      </c>
      <c r="AC38" s="36">
        <f>IF(Planned!$C$8=0,'Planned background (hide)'!F38,'Planned background (hide)'!G38)</f>
        <v>36</v>
      </c>
      <c r="AD38" s="36">
        <f t="shared" si="2"/>
        <v>0</v>
      </c>
      <c r="AE38" s="5">
        <f t="shared" ca="1" si="25"/>
        <v>0</v>
      </c>
      <c r="AF38" s="5">
        <f t="shared" ca="1" si="3"/>
        <v>0</v>
      </c>
      <c r="AG38">
        <f t="shared" ca="1" si="4"/>
        <v>0</v>
      </c>
      <c r="AH38" s="67">
        <f t="shared" ca="1" si="5"/>
        <v>0</v>
      </c>
      <c r="AI38" s="67">
        <f t="shared" ca="1" si="6"/>
        <v>0</v>
      </c>
      <c r="AJ38" s="67">
        <f t="shared" ca="1" si="7"/>
        <v>0</v>
      </c>
      <c r="AK38">
        <f t="shared" ca="1" si="8"/>
        <v>0</v>
      </c>
      <c r="AL38">
        <f t="shared" ca="1" si="9"/>
        <v>0</v>
      </c>
      <c r="AM38">
        <f t="shared" ca="1" si="10"/>
        <v>0</v>
      </c>
      <c r="AN38">
        <f t="shared" ca="1" si="11"/>
        <v>0</v>
      </c>
      <c r="AO38">
        <f t="shared" ca="1" si="12"/>
        <v>0</v>
      </c>
      <c r="AP38" t="e">
        <f t="shared" ca="1" si="13"/>
        <v>#N/A</v>
      </c>
      <c r="AQ38">
        <f t="shared" ca="1" si="18"/>
        <v>0</v>
      </c>
      <c r="AR38" t="e">
        <f t="shared" ca="1" si="21"/>
        <v>#N/A</v>
      </c>
      <c r="AS38">
        <f t="shared" ca="1" si="19"/>
        <v>0</v>
      </c>
      <c r="AT38" t="e">
        <f t="shared" ca="1" si="22"/>
        <v>#N/A</v>
      </c>
      <c r="AU38">
        <f t="shared" ca="1" si="14"/>
        <v>0</v>
      </c>
      <c r="AV38" t="e">
        <f t="shared" ca="1" si="23"/>
        <v>#N/A</v>
      </c>
      <c r="AW38" s="5">
        <f t="shared" ca="1" si="20"/>
        <v>0</v>
      </c>
      <c r="BH38" s="48" t="str">
        <f ca="1">IF(OR(Planned!B48=1,Planned!B48=""),AC38,Planned!B48)</f>
        <v xml:space="preserve"> </v>
      </c>
      <c r="BI38" t="str">
        <f ca="1">IF(TEXT(Planned!D48,"mmm")&lt;&gt;TEXT(Planned!D47,"mmm"),TEXT(Planned!D48,"mmm"),"")</f>
        <v/>
      </c>
      <c r="BK38" s="67"/>
    </row>
    <row r="39" spans="2:63" x14ac:dyDescent="0.25">
      <c r="B39" s="67">
        <f ca="1">IF(Planned!$C$6&lt;&gt;"Overall",COUNTBLANK(OFFSET(Planned!E50,0,0,1,Num_Modalities)),IF(COUNTBLANK(Planned!O50)=1,Num_Modalities,0))</f>
        <v>1</v>
      </c>
      <c r="C39">
        <f ca="1">SUM(OFFSET(Planned!$E50,0,0,1,Num_Modalities))</f>
        <v>0</v>
      </c>
      <c r="E39" s="67">
        <f t="shared" si="15"/>
        <v>37</v>
      </c>
      <c r="F39" s="36">
        <f t="shared" si="16"/>
        <v>37</v>
      </c>
      <c r="G39" s="68" t="str">
        <f t="shared" si="17"/>
        <v/>
      </c>
      <c r="H39">
        <f ca="1">Planned!E49*'Planned background (hide)'!H$1</f>
        <v>0</v>
      </c>
      <c r="I39">
        <f ca="1">Planned!F49*'Planned background (hide)'!I$1</f>
        <v>0</v>
      </c>
      <c r="J39">
        <f ca="1">Planned!G49*'Planned background (hide)'!J$1</f>
        <v>0</v>
      </c>
      <c r="K39">
        <f ca="1">Planned!H49*'Planned background (hide)'!K$1</f>
        <v>0</v>
      </c>
      <c r="L39">
        <f ca="1">Planned!I49*'Planned background (hide)'!L$1</f>
        <v>0</v>
      </c>
      <c r="M39">
        <f ca="1">Planned!J49*'Planned background (hide)'!M$1</f>
        <v>0</v>
      </c>
      <c r="N39">
        <f ca="1">Planned!K49*'Planned background (hide)'!N$1</f>
        <v>0</v>
      </c>
      <c r="O39">
        <f ca="1">Planned!J49*'Planned background (hide)'!O$1</f>
        <v>0</v>
      </c>
      <c r="P39">
        <f ca="1">Planned!K49*'Planned background (hide)'!P$1</f>
        <v>0</v>
      </c>
      <c r="Q39">
        <f ca="1">Planned!L49*'Planned background (hide)'!Q$1</f>
        <v>0</v>
      </c>
      <c r="R39" s="5">
        <f ca="1">IF(Planned!$C$6="Overall",Planned!O49*'Planned background (hide)'!R$1,"")</f>
        <v>0</v>
      </c>
      <c r="S39" s="5">
        <f ca="1">IF(Planned!R49&lt;&gt;"Yes",IF(Planned!$C$6&lt;&gt;"Overall",SUM(OFFSET('Planned background (hide)'!H39,0,0,1,Num_Modalities)),'Planned background (hide)'!R39),"")</f>
        <v>0</v>
      </c>
      <c r="AB39">
        <f t="shared" si="24"/>
        <v>37</v>
      </c>
      <c r="AC39" s="36">
        <f>IF(Planned!$C$8=0,'Planned background (hide)'!F39,'Planned background (hide)'!G39)</f>
        <v>37</v>
      </c>
      <c r="AD39" s="36">
        <f t="shared" si="2"/>
        <v>0</v>
      </c>
      <c r="AE39" s="5">
        <f t="shared" ca="1" si="25"/>
        <v>0</v>
      </c>
      <c r="AF39" s="5">
        <f t="shared" ca="1" si="3"/>
        <v>0</v>
      </c>
      <c r="AG39">
        <f t="shared" ca="1" si="4"/>
        <v>0</v>
      </c>
      <c r="AH39" s="67">
        <f t="shared" ca="1" si="5"/>
        <v>0</v>
      </c>
      <c r="AI39" s="67">
        <f t="shared" ca="1" si="6"/>
        <v>0</v>
      </c>
      <c r="AJ39" s="67">
        <f t="shared" ca="1" si="7"/>
        <v>0</v>
      </c>
      <c r="AK39">
        <f t="shared" ca="1" si="8"/>
        <v>0</v>
      </c>
      <c r="AL39">
        <f t="shared" ca="1" si="9"/>
        <v>0</v>
      </c>
      <c r="AM39">
        <f t="shared" ca="1" si="10"/>
        <v>0</v>
      </c>
      <c r="AN39">
        <f t="shared" ca="1" si="11"/>
        <v>0</v>
      </c>
      <c r="AO39">
        <f t="shared" ca="1" si="12"/>
        <v>0</v>
      </c>
      <c r="AP39" t="e">
        <f t="shared" ca="1" si="13"/>
        <v>#N/A</v>
      </c>
      <c r="AQ39">
        <f t="shared" ca="1" si="18"/>
        <v>0</v>
      </c>
      <c r="AR39" t="e">
        <f t="shared" ca="1" si="21"/>
        <v>#N/A</v>
      </c>
      <c r="AS39">
        <f t="shared" ca="1" si="19"/>
        <v>0</v>
      </c>
      <c r="AT39" t="e">
        <f t="shared" ca="1" si="22"/>
        <v>#N/A</v>
      </c>
      <c r="AU39">
        <f t="shared" ca="1" si="14"/>
        <v>0</v>
      </c>
      <c r="AV39" t="e">
        <f t="shared" ca="1" si="23"/>
        <v>#N/A</v>
      </c>
      <c r="AW39" s="5">
        <f t="shared" ca="1" si="20"/>
        <v>0</v>
      </c>
      <c r="BH39" s="48" t="str">
        <f ca="1">IF(OR(Planned!B49=1,Planned!B49=""),AC39,Planned!B49)</f>
        <v xml:space="preserve"> </v>
      </c>
      <c r="BI39" t="str">
        <f ca="1">IF(TEXT(Planned!D49,"mmm")&lt;&gt;TEXT(Planned!D48,"mmm"),TEXT(Planned!D49,"mmm"),"")</f>
        <v/>
      </c>
      <c r="BK39" s="67"/>
    </row>
    <row r="40" spans="2:63" x14ac:dyDescent="0.25">
      <c r="B40" s="67">
        <f ca="1">IF(Planned!$C$6&lt;&gt;"Overall",COUNTBLANK(OFFSET(Planned!E51,0,0,1,Num_Modalities)),IF(COUNTBLANK(Planned!O51)=1,Num_Modalities,0))</f>
        <v>1</v>
      </c>
      <c r="C40">
        <f ca="1">SUM(OFFSET(Planned!$E51,0,0,1,Num_Modalities))</f>
        <v>0</v>
      </c>
      <c r="E40" s="67">
        <f t="shared" si="15"/>
        <v>38</v>
      </c>
      <c r="F40" s="36">
        <f t="shared" si="16"/>
        <v>38</v>
      </c>
      <c r="G40" s="68" t="str">
        <f t="shared" si="17"/>
        <v/>
      </c>
      <c r="H40">
        <f ca="1">Planned!E50*'Planned background (hide)'!H$1</f>
        <v>0</v>
      </c>
      <c r="I40">
        <f ca="1">Planned!F50*'Planned background (hide)'!I$1</f>
        <v>0</v>
      </c>
      <c r="J40">
        <f ca="1">Planned!G50*'Planned background (hide)'!J$1</f>
        <v>0</v>
      </c>
      <c r="K40">
        <f ca="1">Planned!H50*'Planned background (hide)'!K$1</f>
        <v>0</v>
      </c>
      <c r="L40">
        <f ca="1">Planned!I50*'Planned background (hide)'!L$1</f>
        <v>0</v>
      </c>
      <c r="M40">
        <f ca="1">Planned!J50*'Planned background (hide)'!M$1</f>
        <v>0</v>
      </c>
      <c r="N40">
        <f ca="1">Planned!K50*'Planned background (hide)'!N$1</f>
        <v>0</v>
      </c>
      <c r="O40">
        <f ca="1">Planned!J50*'Planned background (hide)'!O$1</f>
        <v>0</v>
      </c>
      <c r="P40">
        <f ca="1">Planned!K50*'Planned background (hide)'!P$1</f>
        <v>0</v>
      </c>
      <c r="Q40">
        <f ca="1">Planned!L50*'Planned background (hide)'!Q$1</f>
        <v>0</v>
      </c>
      <c r="R40" s="5">
        <f ca="1">IF(Planned!$C$6="Overall",Planned!O50*'Planned background (hide)'!R$1,"")</f>
        <v>0</v>
      </c>
      <c r="S40" s="5">
        <f ca="1">IF(Planned!R50&lt;&gt;"Yes",IF(Planned!$C$6&lt;&gt;"Overall",SUM(OFFSET('Planned background (hide)'!H40,0,0,1,Num_Modalities)),'Planned background (hide)'!R40),"")</f>
        <v>0</v>
      </c>
      <c r="AB40">
        <f t="shared" si="24"/>
        <v>38</v>
      </c>
      <c r="AC40" s="36">
        <f>IF(Planned!$C$8=0,'Planned background (hide)'!F40,'Planned background (hide)'!G40)</f>
        <v>38</v>
      </c>
      <c r="AD40" s="36">
        <f t="shared" si="2"/>
        <v>0</v>
      </c>
      <c r="AE40" s="5">
        <f t="shared" ca="1" si="25"/>
        <v>0</v>
      </c>
      <c r="AF40" s="5">
        <f t="shared" ca="1" si="3"/>
        <v>0</v>
      </c>
      <c r="AG40">
        <f t="shared" ca="1" si="4"/>
        <v>0</v>
      </c>
      <c r="AH40" s="67">
        <f t="shared" ca="1" si="5"/>
        <v>0</v>
      </c>
      <c r="AI40" s="67">
        <f t="shared" ca="1" si="6"/>
        <v>0</v>
      </c>
      <c r="AJ40" s="67">
        <f t="shared" ca="1" si="7"/>
        <v>0</v>
      </c>
      <c r="AK40">
        <f t="shared" ca="1" si="8"/>
        <v>0</v>
      </c>
      <c r="AL40">
        <f t="shared" ca="1" si="9"/>
        <v>0</v>
      </c>
      <c r="AM40">
        <f t="shared" ca="1" si="10"/>
        <v>0</v>
      </c>
      <c r="AN40">
        <f t="shared" ca="1" si="11"/>
        <v>0</v>
      </c>
      <c r="AO40">
        <f t="shared" ca="1" si="12"/>
        <v>0</v>
      </c>
      <c r="AP40" t="e">
        <f t="shared" ca="1" si="13"/>
        <v>#N/A</v>
      </c>
      <c r="AQ40">
        <f t="shared" ca="1" si="18"/>
        <v>0</v>
      </c>
      <c r="AR40" t="e">
        <f t="shared" ca="1" si="21"/>
        <v>#N/A</v>
      </c>
      <c r="AS40">
        <f t="shared" ca="1" si="19"/>
        <v>0</v>
      </c>
      <c r="AT40" t="e">
        <f t="shared" ca="1" si="22"/>
        <v>#N/A</v>
      </c>
      <c r="AU40">
        <f t="shared" ca="1" si="14"/>
        <v>0</v>
      </c>
      <c r="AV40" t="e">
        <f t="shared" ca="1" si="23"/>
        <v>#N/A</v>
      </c>
      <c r="AW40" s="5">
        <f t="shared" ca="1" si="20"/>
        <v>0</v>
      </c>
      <c r="BH40" s="48" t="str">
        <f ca="1">IF(OR(Planned!B50=1,Planned!B50=""),AC40,Planned!B50)</f>
        <v xml:space="preserve"> </v>
      </c>
      <c r="BI40" t="str">
        <f ca="1">IF(TEXT(Planned!D50,"mmm")&lt;&gt;TEXT(Planned!D49,"mmm"),TEXT(Planned!D50,"mmm"),"")</f>
        <v/>
      </c>
      <c r="BK40" s="67"/>
    </row>
    <row r="41" spans="2:63" x14ac:dyDescent="0.25">
      <c r="B41" s="67">
        <f ca="1">IF(Planned!$C$6&lt;&gt;"Overall",COUNTBLANK(OFFSET(Planned!E52,0,0,1,Num_Modalities)),IF(COUNTBLANK(Planned!O52)=1,Num_Modalities,0))</f>
        <v>1</v>
      </c>
      <c r="C41">
        <f ca="1">SUM(OFFSET(Planned!$E52,0,0,1,Num_Modalities))</f>
        <v>0</v>
      </c>
      <c r="E41" s="67">
        <f t="shared" si="15"/>
        <v>39</v>
      </c>
      <c r="F41" s="36">
        <f t="shared" si="16"/>
        <v>39</v>
      </c>
      <c r="G41" s="68" t="str">
        <f t="shared" si="17"/>
        <v/>
      </c>
      <c r="H41">
        <f ca="1">Planned!E51*'Planned background (hide)'!H$1</f>
        <v>0</v>
      </c>
      <c r="I41">
        <f ca="1">Planned!F51*'Planned background (hide)'!I$1</f>
        <v>0</v>
      </c>
      <c r="J41">
        <f ca="1">Planned!G51*'Planned background (hide)'!J$1</f>
        <v>0</v>
      </c>
      <c r="K41">
        <f ca="1">Planned!H51*'Planned background (hide)'!K$1</f>
        <v>0</v>
      </c>
      <c r="L41">
        <f ca="1">Planned!I51*'Planned background (hide)'!L$1</f>
        <v>0</v>
      </c>
      <c r="M41">
        <f ca="1">Planned!J51*'Planned background (hide)'!M$1</f>
        <v>0</v>
      </c>
      <c r="N41">
        <f ca="1">Planned!K51*'Planned background (hide)'!N$1</f>
        <v>0</v>
      </c>
      <c r="O41">
        <f ca="1">Planned!J51*'Planned background (hide)'!O$1</f>
        <v>0</v>
      </c>
      <c r="P41">
        <f ca="1">Planned!K51*'Planned background (hide)'!P$1</f>
        <v>0</v>
      </c>
      <c r="Q41">
        <f ca="1">Planned!L51*'Planned background (hide)'!Q$1</f>
        <v>0</v>
      </c>
      <c r="R41" s="5">
        <f ca="1">IF(Planned!$C$6="Overall",Planned!O51*'Planned background (hide)'!R$1,"")</f>
        <v>0</v>
      </c>
      <c r="S41" s="5">
        <f ca="1">IF(Planned!R51&lt;&gt;"Yes",IF(Planned!$C$6&lt;&gt;"Overall",SUM(OFFSET('Planned background (hide)'!H41,0,0,1,Num_Modalities)),'Planned background (hide)'!R41),"")</f>
        <v>0</v>
      </c>
      <c r="AB41">
        <f t="shared" si="24"/>
        <v>39</v>
      </c>
      <c r="AC41" s="36">
        <f>IF(Planned!$C$8=0,'Planned background (hide)'!F41,'Planned background (hide)'!G41)</f>
        <v>39</v>
      </c>
      <c r="AD41" s="36">
        <f t="shared" si="2"/>
        <v>0</v>
      </c>
      <c r="AE41" s="5">
        <f t="shared" ca="1" si="25"/>
        <v>0</v>
      </c>
      <c r="AF41" s="5">
        <f t="shared" ca="1" si="3"/>
        <v>0</v>
      </c>
      <c r="AG41">
        <f t="shared" ca="1" si="4"/>
        <v>0</v>
      </c>
      <c r="AH41" s="67">
        <f t="shared" ca="1" si="5"/>
        <v>0</v>
      </c>
      <c r="AI41" s="67">
        <f t="shared" ca="1" si="6"/>
        <v>0</v>
      </c>
      <c r="AJ41" s="67">
        <f t="shared" ca="1" si="7"/>
        <v>0</v>
      </c>
      <c r="AK41">
        <f t="shared" ca="1" si="8"/>
        <v>0</v>
      </c>
      <c r="AL41">
        <f t="shared" ca="1" si="9"/>
        <v>0</v>
      </c>
      <c r="AM41">
        <f t="shared" ca="1" si="10"/>
        <v>0</v>
      </c>
      <c r="AN41">
        <f t="shared" ca="1" si="11"/>
        <v>0</v>
      </c>
      <c r="AO41">
        <f t="shared" ca="1" si="12"/>
        <v>0</v>
      </c>
      <c r="AP41" t="e">
        <f t="shared" ca="1" si="13"/>
        <v>#N/A</v>
      </c>
      <c r="AQ41">
        <f t="shared" ca="1" si="18"/>
        <v>0</v>
      </c>
      <c r="AR41" t="e">
        <f t="shared" ca="1" si="21"/>
        <v>#N/A</v>
      </c>
      <c r="AS41">
        <f t="shared" ca="1" si="19"/>
        <v>0</v>
      </c>
      <c r="AT41" t="e">
        <f t="shared" ca="1" si="22"/>
        <v>#N/A</v>
      </c>
      <c r="AU41">
        <f t="shared" ca="1" si="14"/>
        <v>0</v>
      </c>
      <c r="AV41" t="e">
        <f t="shared" ca="1" si="23"/>
        <v>#N/A</v>
      </c>
      <c r="AW41" s="5">
        <f t="shared" ca="1" si="20"/>
        <v>0</v>
      </c>
      <c r="BH41" s="48" t="str">
        <f ca="1">IF(OR(Planned!B51=1,Planned!B51=""),AC41,Planned!B51)</f>
        <v xml:space="preserve"> </v>
      </c>
      <c r="BI41" t="str">
        <f ca="1">IF(TEXT(Planned!D51,"mmm")&lt;&gt;TEXT(Planned!D50,"mmm"),TEXT(Planned!D51,"mmm"),"")</f>
        <v/>
      </c>
      <c r="BK41" s="67"/>
    </row>
    <row r="42" spans="2:63" x14ac:dyDescent="0.25">
      <c r="B42" s="67">
        <f ca="1">IF(Planned!$C$6&lt;&gt;"Overall",COUNTBLANK(OFFSET(Planned!E53,0,0,1,Num_Modalities)),IF(COUNTBLANK(Planned!O53)=1,Num_Modalities,0))</f>
        <v>1</v>
      </c>
      <c r="C42">
        <f ca="1">SUM(OFFSET(Planned!$E53,0,0,1,Num_Modalities))</f>
        <v>0</v>
      </c>
      <c r="E42" s="67">
        <f t="shared" si="15"/>
        <v>40</v>
      </c>
      <c r="F42" s="36">
        <f t="shared" si="16"/>
        <v>40</v>
      </c>
      <c r="G42" s="68" t="str">
        <f t="shared" si="17"/>
        <v/>
      </c>
      <c r="H42">
        <f ca="1">Planned!E52*'Planned background (hide)'!H$1</f>
        <v>0</v>
      </c>
      <c r="I42">
        <f ca="1">Planned!F52*'Planned background (hide)'!I$1</f>
        <v>0</v>
      </c>
      <c r="J42">
        <f ca="1">Planned!G52*'Planned background (hide)'!J$1</f>
        <v>0</v>
      </c>
      <c r="K42">
        <f ca="1">Planned!H52*'Planned background (hide)'!K$1</f>
        <v>0</v>
      </c>
      <c r="L42">
        <f ca="1">Planned!I52*'Planned background (hide)'!L$1</f>
        <v>0</v>
      </c>
      <c r="M42">
        <f ca="1">Planned!J52*'Planned background (hide)'!M$1</f>
        <v>0</v>
      </c>
      <c r="N42">
        <f ca="1">Planned!K52*'Planned background (hide)'!N$1</f>
        <v>0</v>
      </c>
      <c r="O42">
        <f ca="1">Planned!J52*'Planned background (hide)'!O$1</f>
        <v>0</v>
      </c>
      <c r="P42">
        <f ca="1">Planned!K52*'Planned background (hide)'!P$1</f>
        <v>0</v>
      </c>
      <c r="Q42">
        <f ca="1">Planned!L52*'Planned background (hide)'!Q$1</f>
        <v>0</v>
      </c>
      <c r="R42" s="5">
        <f ca="1">IF(Planned!$C$6="Overall",Planned!O52*'Planned background (hide)'!R$1,"")</f>
        <v>0</v>
      </c>
      <c r="S42" s="5">
        <f ca="1">IF(Planned!R52&lt;&gt;"Yes",IF(Planned!$C$6&lt;&gt;"Overall",SUM(OFFSET('Planned background (hide)'!H42,0,0,1,Num_Modalities)),'Planned background (hide)'!R42),"")</f>
        <v>0</v>
      </c>
      <c r="AB42">
        <f t="shared" si="24"/>
        <v>40</v>
      </c>
      <c r="AC42" s="36">
        <f>IF(Planned!$C$8=0,'Planned background (hide)'!F42,'Planned background (hide)'!G42)</f>
        <v>40</v>
      </c>
      <c r="AD42" s="36">
        <f t="shared" si="2"/>
        <v>0</v>
      </c>
      <c r="AE42" s="5">
        <f t="shared" ca="1" si="25"/>
        <v>0</v>
      </c>
      <c r="AF42" s="5">
        <f t="shared" ca="1" si="3"/>
        <v>0</v>
      </c>
      <c r="AG42">
        <f t="shared" ca="1" si="4"/>
        <v>0</v>
      </c>
      <c r="AH42" s="67">
        <f t="shared" ca="1" si="5"/>
        <v>0</v>
      </c>
      <c r="AI42" s="67">
        <f t="shared" ca="1" si="6"/>
        <v>0</v>
      </c>
      <c r="AJ42" s="67">
        <f t="shared" ca="1" si="7"/>
        <v>0</v>
      </c>
      <c r="AK42">
        <f t="shared" ca="1" si="8"/>
        <v>0</v>
      </c>
      <c r="AL42">
        <f t="shared" ca="1" si="9"/>
        <v>0</v>
      </c>
      <c r="AM42">
        <f t="shared" ca="1" si="10"/>
        <v>0</v>
      </c>
      <c r="AN42">
        <f t="shared" ca="1" si="11"/>
        <v>0</v>
      </c>
      <c r="AO42">
        <f t="shared" ca="1" si="12"/>
        <v>0</v>
      </c>
      <c r="AP42" t="e">
        <f t="shared" ca="1" si="13"/>
        <v>#N/A</v>
      </c>
      <c r="AQ42">
        <f t="shared" ca="1" si="18"/>
        <v>0</v>
      </c>
      <c r="AR42" t="e">
        <f t="shared" ca="1" si="21"/>
        <v>#N/A</v>
      </c>
      <c r="AS42">
        <f t="shared" ca="1" si="19"/>
        <v>0</v>
      </c>
      <c r="AT42" t="e">
        <f t="shared" ca="1" si="22"/>
        <v>#N/A</v>
      </c>
      <c r="AU42">
        <f t="shared" ca="1" si="14"/>
        <v>0</v>
      </c>
      <c r="AV42" t="e">
        <f t="shared" ca="1" si="23"/>
        <v>#N/A</v>
      </c>
      <c r="AW42" s="5">
        <f t="shared" ca="1" si="20"/>
        <v>0</v>
      </c>
      <c r="BH42" s="48" t="str">
        <f ca="1">IF(OR(Planned!B52=1,Planned!B52=""),AC42,Planned!B52)</f>
        <v xml:space="preserve"> </v>
      </c>
      <c r="BI42" t="str">
        <f ca="1">IF(TEXT(Planned!D52,"mmm")&lt;&gt;TEXT(Planned!D51,"mmm"),TEXT(Planned!D52,"mmm"),"")</f>
        <v/>
      </c>
      <c r="BK42" s="67"/>
    </row>
    <row r="43" spans="2:63" x14ac:dyDescent="0.25">
      <c r="B43" s="67">
        <f ca="1">IF(Planned!$C$6&lt;&gt;"Overall",COUNTBLANK(OFFSET(Planned!E54,0,0,1,Num_Modalities)),IF(COUNTBLANK(Planned!O54)=1,Num_Modalities,0))</f>
        <v>1</v>
      </c>
      <c r="C43">
        <f ca="1">SUM(OFFSET(Planned!$E54,0,0,1,Num_Modalities))</f>
        <v>0</v>
      </c>
      <c r="E43" s="67">
        <f t="shared" si="15"/>
        <v>41</v>
      </c>
      <c r="F43" s="36">
        <f t="shared" si="16"/>
        <v>41</v>
      </c>
      <c r="G43" s="68" t="str">
        <f t="shared" si="17"/>
        <v/>
      </c>
      <c r="H43">
        <f ca="1">Planned!E53*'Planned background (hide)'!H$1</f>
        <v>0</v>
      </c>
      <c r="I43">
        <f ca="1">Planned!F53*'Planned background (hide)'!I$1</f>
        <v>0</v>
      </c>
      <c r="J43">
        <f ca="1">Planned!G53*'Planned background (hide)'!J$1</f>
        <v>0</v>
      </c>
      <c r="K43">
        <f ca="1">Planned!H53*'Planned background (hide)'!K$1</f>
        <v>0</v>
      </c>
      <c r="L43">
        <f ca="1">Planned!I53*'Planned background (hide)'!L$1</f>
        <v>0</v>
      </c>
      <c r="M43">
        <f ca="1">Planned!J53*'Planned background (hide)'!M$1</f>
        <v>0</v>
      </c>
      <c r="N43">
        <f ca="1">Planned!K53*'Planned background (hide)'!N$1</f>
        <v>0</v>
      </c>
      <c r="O43">
        <f ca="1">Planned!J53*'Planned background (hide)'!O$1</f>
        <v>0</v>
      </c>
      <c r="P43">
        <f ca="1">Planned!K53*'Planned background (hide)'!P$1</f>
        <v>0</v>
      </c>
      <c r="Q43">
        <f ca="1">Planned!L53*'Planned background (hide)'!Q$1</f>
        <v>0</v>
      </c>
      <c r="R43" s="5">
        <f ca="1">IF(Planned!$C$6="Overall",Planned!O53*'Planned background (hide)'!R$1,"")</f>
        <v>0</v>
      </c>
      <c r="S43" s="5">
        <f ca="1">IF(Planned!R53&lt;&gt;"Yes",IF(Planned!$C$6&lt;&gt;"Overall",SUM(OFFSET('Planned background (hide)'!H43,0,0,1,Num_Modalities)),'Planned background (hide)'!R43),"")</f>
        <v>0</v>
      </c>
      <c r="AB43">
        <f t="shared" si="24"/>
        <v>41</v>
      </c>
      <c r="AC43" s="36">
        <f>IF(Planned!$C$8=0,'Planned background (hide)'!F43,'Planned background (hide)'!G43)</f>
        <v>41</v>
      </c>
      <c r="AD43" s="36">
        <f t="shared" si="2"/>
        <v>0</v>
      </c>
      <c r="AE43" s="5">
        <f t="shared" ca="1" si="25"/>
        <v>0</v>
      </c>
      <c r="AF43" s="5">
        <f t="shared" ca="1" si="3"/>
        <v>0</v>
      </c>
      <c r="AG43">
        <f t="shared" ca="1" si="4"/>
        <v>0</v>
      </c>
      <c r="AH43" s="67">
        <f t="shared" ca="1" si="5"/>
        <v>0</v>
      </c>
      <c r="AI43" s="67">
        <f t="shared" ca="1" si="6"/>
        <v>0</v>
      </c>
      <c r="AJ43" s="67">
        <f t="shared" ca="1" si="7"/>
        <v>0</v>
      </c>
      <c r="AK43">
        <f t="shared" ca="1" si="8"/>
        <v>0</v>
      </c>
      <c r="AL43">
        <f t="shared" ca="1" si="9"/>
        <v>0</v>
      </c>
      <c r="AM43">
        <f t="shared" ca="1" si="10"/>
        <v>0</v>
      </c>
      <c r="AN43">
        <f t="shared" ca="1" si="11"/>
        <v>0</v>
      </c>
      <c r="AO43">
        <f t="shared" ca="1" si="12"/>
        <v>0</v>
      </c>
      <c r="AP43" t="e">
        <f t="shared" ca="1" si="13"/>
        <v>#N/A</v>
      </c>
      <c r="AQ43">
        <f t="shared" ca="1" si="18"/>
        <v>0</v>
      </c>
      <c r="AR43" t="e">
        <f t="shared" ca="1" si="21"/>
        <v>#N/A</v>
      </c>
      <c r="AS43">
        <f t="shared" ca="1" si="19"/>
        <v>0</v>
      </c>
      <c r="AT43" t="e">
        <f t="shared" ca="1" si="22"/>
        <v>#N/A</v>
      </c>
      <c r="AU43">
        <f t="shared" ca="1" si="14"/>
        <v>0</v>
      </c>
      <c r="AV43" t="e">
        <f t="shared" ca="1" si="23"/>
        <v>#N/A</v>
      </c>
      <c r="AW43" s="5">
        <f t="shared" ca="1" si="20"/>
        <v>0</v>
      </c>
      <c r="BH43" s="48" t="str">
        <f ca="1">IF(OR(Planned!B53=1,Planned!B53=""),AC43,Planned!B53)</f>
        <v xml:space="preserve"> </v>
      </c>
      <c r="BI43" t="str">
        <f ca="1">IF(TEXT(Planned!D53,"mmm")&lt;&gt;TEXT(Planned!D52,"mmm"),TEXT(Planned!D53,"mmm"),"")</f>
        <v/>
      </c>
      <c r="BK43" s="67"/>
    </row>
    <row r="44" spans="2:63" x14ac:dyDescent="0.25">
      <c r="B44" s="67">
        <f ca="1">IF(Planned!$C$6&lt;&gt;"Overall",COUNTBLANK(OFFSET(Planned!E55,0,0,1,Num_Modalities)),IF(COUNTBLANK(Planned!O55)=1,Num_Modalities,0))</f>
        <v>1</v>
      </c>
      <c r="C44">
        <f ca="1">SUM(OFFSET(Planned!$E55,0,0,1,Num_Modalities))</f>
        <v>0</v>
      </c>
      <c r="E44" s="67">
        <f t="shared" si="15"/>
        <v>42</v>
      </c>
      <c r="F44" s="36">
        <f t="shared" si="16"/>
        <v>42</v>
      </c>
      <c r="G44" s="68" t="str">
        <f t="shared" si="17"/>
        <v/>
      </c>
      <c r="H44">
        <f ca="1">Planned!E54*'Planned background (hide)'!H$1</f>
        <v>0</v>
      </c>
      <c r="I44">
        <f ca="1">Planned!F54*'Planned background (hide)'!I$1</f>
        <v>0</v>
      </c>
      <c r="J44">
        <f ca="1">Planned!G54*'Planned background (hide)'!J$1</f>
        <v>0</v>
      </c>
      <c r="K44">
        <f ca="1">Planned!H54*'Planned background (hide)'!K$1</f>
        <v>0</v>
      </c>
      <c r="L44">
        <f ca="1">Planned!I54*'Planned background (hide)'!L$1</f>
        <v>0</v>
      </c>
      <c r="M44">
        <f ca="1">Planned!J54*'Planned background (hide)'!M$1</f>
        <v>0</v>
      </c>
      <c r="N44">
        <f ca="1">Planned!K54*'Planned background (hide)'!N$1</f>
        <v>0</v>
      </c>
      <c r="O44">
        <f ca="1">Planned!J54*'Planned background (hide)'!O$1</f>
        <v>0</v>
      </c>
      <c r="P44">
        <f ca="1">Planned!K54*'Planned background (hide)'!P$1</f>
        <v>0</v>
      </c>
      <c r="Q44">
        <f ca="1">Planned!L54*'Planned background (hide)'!Q$1</f>
        <v>0</v>
      </c>
      <c r="R44" s="5">
        <f ca="1">IF(Planned!$C$6="Overall",Planned!O54*'Planned background (hide)'!R$1,"")</f>
        <v>0</v>
      </c>
      <c r="S44" s="5">
        <f ca="1">IF(Planned!R54&lt;&gt;"Yes",IF(Planned!$C$6&lt;&gt;"Overall",SUM(OFFSET('Planned background (hide)'!H44,0,0,1,Num_Modalities)),'Planned background (hide)'!R44),"")</f>
        <v>0</v>
      </c>
      <c r="AB44">
        <f t="shared" si="24"/>
        <v>42</v>
      </c>
      <c r="AC44" s="36">
        <f>IF(Planned!$C$8=0,'Planned background (hide)'!F44,'Planned background (hide)'!G44)</f>
        <v>42</v>
      </c>
      <c r="AD44" s="36">
        <f t="shared" si="2"/>
        <v>0</v>
      </c>
      <c r="AE44" s="5">
        <f t="shared" ca="1" si="25"/>
        <v>0</v>
      </c>
      <c r="AF44" s="5">
        <f t="shared" ca="1" si="3"/>
        <v>0</v>
      </c>
      <c r="AG44">
        <f t="shared" ca="1" si="4"/>
        <v>0</v>
      </c>
      <c r="AH44" s="67">
        <f t="shared" ca="1" si="5"/>
        <v>0</v>
      </c>
      <c r="AI44" s="67">
        <f t="shared" ca="1" si="6"/>
        <v>0</v>
      </c>
      <c r="AJ44" s="67">
        <f t="shared" ca="1" si="7"/>
        <v>0</v>
      </c>
      <c r="AK44">
        <f t="shared" ca="1" si="8"/>
        <v>0</v>
      </c>
      <c r="AL44">
        <f t="shared" ca="1" si="9"/>
        <v>0</v>
      </c>
      <c r="AM44">
        <f t="shared" ca="1" si="10"/>
        <v>0</v>
      </c>
      <c r="AN44">
        <f t="shared" ca="1" si="11"/>
        <v>0</v>
      </c>
      <c r="AO44">
        <f t="shared" ca="1" si="12"/>
        <v>0</v>
      </c>
      <c r="AP44" t="e">
        <f t="shared" ca="1" si="13"/>
        <v>#N/A</v>
      </c>
      <c r="AQ44">
        <f t="shared" ca="1" si="18"/>
        <v>0</v>
      </c>
      <c r="AR44" t="e">
        <f t="shared" ca="1" si="21"/>
        <v>#N/A</v>
      </c>
      <c r="AS44">
        <f t="shared" ca="1" si="19"/>
        <v>0</v>
      </c>
      <c r="AT44" t="e">
        <f t="shared" ca="1" si="22"/>
        <v>#N/A</v>
      </c>
      <c r="AU44">
        <f t="shared" ca="1" si="14"/>
        <v>0</v>
      </c>
      <c r="AV44" t="e">
        <f t="shared" ca="1" si="23"/>
        <v>#N/A</v>
      </c>
      <c r="AW44" s="5">
        <f t="shared" ca="1" si="20"/>
        <v>0</v>
      </c>
      <c r="BH44" s="48" t="str">
        <f ca="1">IF(OR(Planned!B54=1,Planned!B54=""),AC44,Planned!B54)</f>
        <v xml:space="preserve"> </v>
      </c>
      <c r="BI44" t="str">
        <f ca="1">IF(TEXT(Planned!D54,"mmm")&lt;&gt;TEXT(Planned!D53,"mmm"),TEXT(Planned!D54,"mmm"),"")</f>
        <v/>
      </c>
      <c r="BK44" s="67"/>
    </row>
    <row r="45" spans="2:63" x14ac:dyDescent="0.25">
      <c r="B45" s="67">
        <f ca="1">IF(Planned!$C$6&lt;&gt;"Overall",COUNTBLANK(OFFSET(Planned!E56,0,0,1,Num_Modalities)),IF(COUNTBLANK(Planned!O56)=1,Num_Modalities,0))</f>
        <v>1</v>
      </c>
      <c r="C45">
        <f ca="1">SUM(OFFSET(Planned!$E56,0,0,1,Num_Modalities))</f>
        <v>0</v>
      </c>
      <c r="E45" s="67">
        <f t="shared" si="15"/>
        <v>43</v>
      </c>
      <c r="F45" s="36">
        <f t="shared" si="16"/>
        <v>43</v>
      </c>
      <c r="G45" s="68" t="str">
        <f t="shared" si="17"/>
        <v/>
      </c>
      <c r="H45">
        <f ca="1">Planned!E55*'Planned background (hide)'!H$1</f>
        <v>0</v>
      </c>
      <c r="I45">
        <f ca="1">Planned!F55*'Planned background (hide)'!I$1</f>
        <v>0</v>
      </c>
      <c r="J45">
        <f ca="1">Planned!G55*'Planned background (hide)'!J$1</f>
        <v>0</v>
      </c>
      <c r="K45">
        <f ca="1">Planned!H55*'Planned background (hide)'!K$1</f>
        <v>0</v>
      </c>
      <c r="L45">
        <f ca="1">Planned!I55*'Planned background (hide)'!L$1</f>
        <v>0</v>
      </c>
      <c r="M45">
        <f ca="1">Planned!J55*'Planned background (hide)'!M$1</f>
        <v>0</v>
      </c>
      <c r="N45">
        <f ca="1">Planned!K55*'Planned background (hide)'!N$1</f>
        <v>0</v>
      </c>
      <c r="O45">
        <f ca="1">Planned!J55*'Planned background (hide)'!O$1</f>
        <v>0</v>
      </c>
      <c r="P45">
        <f ca="1">Planned!K55*'Planned background (hide)'!P$1</f>
        <v>0</v>
      </c>
      <c r="Q45">
        <f ca="1">Planned!L55*'Planned background (hide)'!Q$1</f>
        <v>0</v>
      </c>
      <c r="R45" s="5">
        <f ca="1">IF(Planned!$C$6="Overall",Planned!O55*'Planned background (hide)'!R$1,"")</f>
        <v>0</v>
      </c>
      <c r="S45" s="5">
        <f ca="1">IF(Planned!R55&lt;&gt;"Yes",IF(Planned!$C$6&lt;&gt;"Overall",SUM(OFFSET('Planned background (hide)'!H45,0,0,1,Num_Modalities)),'Planned background (hide)'!R45),"")</f>
        <v>0</v>
      </c>
      <c r="AB45">
        <f t="shared" si="24"/>
        <v>43</v>
      </c>
      <c r="AC45" s="36">
        <f>IF(Planned!$C$8=0,'Planned background (hide)'!F45,'Planned background (hide)'!G45)</f>
        <v>43</v>
      </c>
      <c r="AD45" s="36">
        <f t="shared" si="2"/>
        <v>0</v>
      </c>
      <c r="AE45" s="5">
        <f t="shared" ca="1" si="25"/>
        <v>0</v>
      </c>
      <c r="AF45" s="5">
        <f t="shared" ca="1" si="3"/>
        <v>0</v>
      </c>
      <c r="AG45">
        <f t="shared" ca="1" si="4"/>
        <v>0</v>
      </c>
      <c r="AH45" s="67">
        <f t="shared" ca="1" si="5"/>
        <v>0</v>
      </c>
      <c r="AI45" s="67">
        <f t="shared" ca="1" si="6"/>
        <v>0</v>
      </c>
      <c r="AJ45" s="67">
        <f t="shared" ca="1" si="7"/>
        <v>0</v>
      </c>
      <c r="AK45">
        <f t="shared" ca="1" si="8"/>
        <v>0</v>
      </c>
      <c r="AL45">
        <f t="shared" ca="1" si="9"/>
        <v>0</v>
      </c>
      <c r="AM45">
        <f t="shared" ca="1" si="10"/>
        <v>0</v>
      </c>
      <c r="AN45">
        <f t="shared" ca="1" si="11"/>
        <v>0</v>
      </c>
      <c r="AO45">
        <f t="shared" ca="1" si="12"/>
        <v>0</v>
      </c>
      <c r="AP45" t="e">
        <f t="shared" ca="1" si="13"/>
        <v>#N/A</v>
      </c>
      <c r="AQ45">
        <f t="shared" ca="1" si="18"/>
        <v>0</v>
      </c>
      <c r="AR45" t="e">
        <f t="shared" ca="1" si="21"/>
        <v>#N/A</v>
      </c>
      <c r="AS45">
        <f t="shared" ca="1" si="19"/>
        <v>0</v>
      </c>
      <c r="AT45" t="e">
        <f t="shared" ca="1" si="22"/>
        <v>#N/A</v>
      </c>
      <c r="AU45">
        <f t="shared" ca="1" si="14"/>
        <v>0</v>
      </c>
      <c r="AV45" t="e">
        <f t="shared" ca="1" si="23"/>
        <v>#N/A</v>
      </c>
      <c r="AW45" s="5">
        <f t="shared" ca="1" si="20"/>
        <v>0</v>
      </c>
      <c r="BH45" s="48" t="str">
        <f ca="1">IF(OR(Planned!B55=1,Planned!B55=""),AC45,Planned!B55)</f>
        <v xml:space="preserve"> </v>
      </c>
      <c r="BI45" t="str">
        <f ca="1">IF(TEXT(Planned!D55,"mmm")&lt;&gt;TEXT(Planned!D54,"mmm"),TEXT(Planned!D55,"mmm"),"")</f>
        <v/>
      </c>
      <c r="BK45" s="67"/>
    </row>
    <row r="46" spans="2:63" x14ac:dyDescent="0.25">
      <c r="B46" s="67">
        <f ca="1">IF(Planned!$C$6&lt;&gt;"Overall",COUNTBLANK(OFFSET(Planned!E57,0,0,1,Num_Modalities)),IF(COUNTBLANK(Planned!O57)=1,Num_Modalities,0))</f>
        <v>1</v>
      </c>
      <c r="C46">
        <f ca="1">SUM(OFFSET(Planned!$E57,0,0,1,Num_Modalities))</f>
        <v>0</v>
      </c>
      <c r="E46" s="67">
        <f t="shared" si="15"/>
        <v>44</v>
      </c>
      <c r="F46" s="36">
        <f t="shared" si="16"/>
        <v>44</v>
      </c>
      <c r="G46" s="68" t="str">
        <f t="shared" si="17"/>
        <v/>
      </c>
      <c r="H46">
        <f ca="1">Planned!E56*'Planned background (hide)'!H$1</f>
        <v>0</v>
      </c>
      <c r="I46">
        <f ca="1">Planned!F56*'Planned background (hide)'!I$1</f>
        <v>0</v>
      </c>
      <c r="J46">
        <f ca="1">Planned!G56*'Planned background (hide)'!J$1</f>
        <v>0</v>
      </c>
      <c r="K46">
        <f ca="1">Planned!H56*'Planned background (hide)'!K$1</f>
        <v>0</v>
      </c>
      <c r="L46">
        <f ca="1">Planned!I56*'Planned background (hide)'!L$1</f>
        <v>0</v>
      </c>
      <c r="M46">
        <f ca="1">Planned!J56*'Planned background (hide)'!M$1</f>
        <v>0</v>
      </c>
      <c r="N46">
        <f ca="1">Planned!K56*'Planned background (hide)'!N$1</f>
        <v>0</v>
      </c>
      <c r="O46">
        <f ca="1">Planned!J56*'Planned background (hide)'!O$1</f>
        <v>0</v>
      </c>
      <c r="P46">
        <f ca="1">Planned!K56*'Planned background (hide)'!P$1</f>
        <v>0</v>
      </c>
      <c r="Q46">
        <f ca="1">Planned!L56*'Planned background (hide)'!Q$1</f>
        <v>0</v>
      </c>
      <c r="R46" s="5">
        <f ca="1">IF(Planned!$C$6="Overall",Planned!O56*'Planned background (hide)'!R$1,"")</f>
        <v>0</v>
      </c>
      <c r="S46" s="5">
        <f ca="1">IF(Planned!R56&lt;&gt;"Yes",IF(Planned!$C$6&lt;&gt;"Overall",SUM(OFFSET('Planned background (hide)'!H46,0,0,1,Num_Modalities)),'Planned background (hide)'!R46),"")</f>
        <v>0</v>
      </c>
      <c r="AB46">
        <f t="shared" si="24"/>
        <v>44</v>
      </c>
      <c r="AC46" s="36">
        <f>IF(Planned!$C$8=0,'Planned background (hide)'!F46,'Planned background (hide)'!G46)</f>
        <v>44</v>
      </c>
      <c r="AD46" s="36">
        <f t="shared" si="2"/>
        <v>0</v>
      </c>
      <c r="AE46" s="5">
        <f t="shared" ca="1" si="25"/>
        <v>0</v>
      </c>
      <c r="AF46" s="5">
        <f t="shared" ca="1" si="3"/>
        <v>0</v>
      </c>
      <c r="AG46">
        <f t="shared" ca="1" si="4"/>
        <v>0</v>
      </c>
      <c r="AH46" s="67">
        <f t="shared" ca="1" si="5"/>
        <v>0</v>
      </c>
      <c r="AI46" s="67">
        <f t="shared" ca="1" si="6"/>
        <v>0</v>
      </c>
      <c r="AJ46" s="67">
        <f t="shared" ca="1" si="7"/>
        <v>0</v>
      </c>
      <c r="AK46">
        <f t="shared" ca="1" si="8"/>
        <v>0</v>
      </c>
      <c r="AL46">
        <f t="shared" ca="1" si="9"/>
        <v>0</v>
      </c>
      <c r="AM46">
        <f t="shared" ca="1" si="10"/>
        <v>0</v>
      </c>
      <c r="AN46">
        <f t="shared" ca="1" si="11"/>
        <v>0</v>
      </c>
      <c r="AO46">
        <f t="shared" ca="1" si="12"/>
        <v>0</v>
      </c>
      <c r="AP46" t="e">
        <f t="shared" ca="1" si="13"/>
        <v>#N/A</v>
      </c>
      <c r="AQ46">
        <f t="shared" ca="1" si="18"/>
        <v>0</v>
      </c>
      <c r="AR46" t="e">
        <f t="shared" ca="1" si="21"/>
        <v>#N/A</v>
      </c>
      <c r="AS46">
        <f t="shared" ca="1" si="19"/>
        <v>0</v>
      </c>
      <c r="AT46" t="e">
        <f t="shared" ca="1" si="22"/>
        <v>#N/A</v>
      </c>
      <c r="AU46">
        <f t="shared" ca="1" si="14"/>
        <v>0</v>
      </c>
      <c r="AV46" t="e">
        <f t="shared" ca="1" si="23"/>
        <v>#N/A</v>
      </c>
      <c r="AW46" s="5">
        <f t="shared" ca="1" si="20"/>
        <v>0</v>
      </c>
      <c r="BH46" s="48" t="str">
        <f ca="1">IF(OR(Planned!B56=1,Planned!B56=""),AC46,Planned!B56)</f>
        <v xml:space="preserve"> </v>
      </c>
      <c r="BI46" t="str">
        <f ca="1">IF(TEXT(Planned!D56,"mmm")&lt;&gt;TEXT(Planned!D55,"mmm"),TEXT(Planned!D56,"mmm"),"")</f>
        <v/>
      </c>
      <c r="BK46" s="67"/>
    </row>
    <row r="47" spans="2:63" x14ac:dyDescent="0.25">
      <c r="B47" s="67">
        <f ca="1">IF(Planned!$C$6&lt;&gt;"Overall",COUNTBLANK(OFFSET(Planned!E58,0,0,1,Num_Modalities)),IF(COUNTBLANK(Planned!O58)=1,Num_Modalities,0))</f>
        <v>1</v>
      </c>
      <c r="C47">
        <f ca="1">SUM(OFFSET(Planned!$E58,0,0,1,Num_Modalities))</f>
        <v>0</v>
      </c>
      <c r="E47" s="67">
        <f t="shared" si="15"/>
        <v>45</v>
      </c>
      <c r="F47" s="36">
        <f t="shared" si="16"/>
        <v>45</v>
      </c>
      <c r="G47" s="68" t="str">
        <f t="shared" si="17"/>
        <v/>
      </c>
      <c r="H47">
        <f ca="1">Planned!E57*'Planned background (hide)'!H$1</f>
        <v>0</v>
      </c>
      <c r="I47">
        <f ca="1">Planned!F57*'Planned background (hide)'!I$1</f>
        <v>0</v>
      </c>
      <c r="J47">
        <f ca="1">Planned!G57*'Planned background (hide)'!J$1</f>
        <v>0</v>
      </c>
      <c r="K47">
        <f ca="1">Planned!H57*'Planned background (hide)'!K$1</f>
        <v>0</v>
      </c>
      <c r="L47">
        <f ca="1">Planned!I57*'Planned background (hide)'!L$1</f>
        <v>0</v>
      </c>
      <c r="M47">
        <f ca="1">Planned!J57*'Planned background (hide)'!M$1</f>
        <v>0</v>
      </c>
      <c r="N47">
        <f ca="1">Planned!K57*'Planned background (hide)'!N$1</f>
        <v>0</v>
      </c>
      <c r="O47">
        <f ca="1">Planned!J57*'Planned background (hide)'!O$1</f>
        <v>0</v>
      </c>
      <c r="P47">
        <f ca="1">Planned!K57*'Planned background (hide)'!P$1</f>
        <v>0</v>
      </c>
      <c r="Q47">
        <f ca="1">Planned!L57*'Planned background (hide)'!Q$1</f>
        <v>0</v>
      </c>
      <c r="R47" s="5">
        <f ca="1">IF(Planned!$C$6="Overall",Planned!O57*'Planned background (hide)'!R$1,"")</f>
        <v>0</v>
      </c>
      <c r="S47" s="5">
        <f ca="1">IF(Planned!R57&lt;&gt;"Yes",IF(Planned!$C$6&lt;&gt;"Overall",SUM(OFFSET('Planned background (hide)'!H47,0,0,1,Num_Modalities)),'Planned background (hide)'!R47),"")</f>
        <v>0</v>
      </c>
      <c r="AB47">
        <f t="shared" si="24"/>
        <v>45</v>
      </c>
      <c r="AC47" s="36">
        <f>IF(Planned!$C$8=0,'Planned background (hide)'!F47,'Planned background (hide)'!G47)</f>
        <v>45</v>
      </c>
      <c r="AD47" s="36">
        <f t="shared" si="2"/>
        <v>0</v>
      </c>
      <c r="AE47" s="5">
        <f t="shared" ca="1" si="25"/>
        <v>0</v>
      </c>
      <c r="AF47" s="5">
        <f t="shared" ca="1" si="3"/>
        <v>0</v>
      </c>
      <c r="AG47">
        <f t="shared" ca="1" si="4"/>
        <v>0</v>
      </c>
      <c r="AH47" s="67">
        <f t="shared" ca="1" si="5"/>
        <v>0</v>
      </c>
      <c r="AI47" s="67">
        <f t="shared" ca="1" si="6"/>
        <v>0</v>
      </c>
      <c r="AJ47" s="67">
        <f t="shared" ca="1" si="7"/>
        <v>0</v>
      </c>
      <c r="AK47">
        <f t="shared" ca="1" si="8"/>
        <v>0</v>
      </c>
      <c r="AL47">
        <f t="shared" ca="1" si="9"/>
        <v>0</v>
      </c>
      <c r="AM47">
        <f t="shared" ca="1" si="10"/>
        <v>0</v>
      </c>
      <c r="AN47">
        <f t="shared" ca="1" si="11"/>
        <v>0</v>
      </c>
      <c r="AO47">
        <f t="shared" ca="1" si="12"/>
        <v>0</v>
      </c>
      <c r="AP47" t="e">
        <f t="shared" ca="1" si="13"/>
        <v>#N/A</v>
      </c>
      <c r="AQ47">
        <f t="shared" ca="1" si="18"/>
        <v>0</v>
      </c>
      <c r="AR47" t="e">
        <f t="shared" ca="1" si="21"/>
        <v>#N/A</v>
      </c>
      <c r="AS47">
        <f t="shared" ca="1" si="19"/>
        <v>0</v>
      </c>
      <c r="AT47" t="e">
        <f t="shared" ca="1" si="22"/>
        <v>#N/A</v>
      </c>
      <c r="AU47">
        <f t="shared" ca="1" si="14"/>
        <v>0</v>
      </c>
      <c r="AV47" t="e">
        <f t="shared" ca="1" si="23"/>
        <v>#N/A</v>
      </c>
      <c r="AW47" s="5">
        <f t="shared" ca="1" si="20"/>
        <v>0</v>
      </c>
      <c r="BH47" s="48" t="str">
        <f ca="1">IF(OR(Planned!B57=1,Planned!B57=""),AC47,Planned!B57)</f>
        <v xml:space="preserve"> </v>
      </c>
      <c r="BI47" t="str">
        <f ca="1">IF(TEXT(Planned!D57,"mmm")&lt;&gt;TEXT(Planned!D56,"mmm"),TEXT(Planned!D57,"mmm"),"")</f>
        <v/>
      </c>
      <c r="BK47" s="67"/>
    </row>
    <row r="48" spans="2:63" x14ac:dyDescent="0.25">
      <c r="B48" s="67">
        <f ca="1">IF(Planned!$C$6&lt;&gt;"Overall",COUNTBLANK(OFFSET(Planned!E59,0,0,1,Num_Modalities)),IF(COUNTBLANK(Planned!O59)=1,Num_Modalities,0))</f>
        <v>1</v>
      </c>
      <c r="C48">
        <f ca="1">SUM(OFFSET(Planned!$E59,0,0,1,Num_Modalities))</f>
        <v>0</v>
      </c>
      <c r="E48" s="67">
        <f t="shared" si="15"/>
        <v>46</v>
      </c>
      <c r="F48" s="36">
        <f t="shared" si="16"/>
        <v>46</v>
      </c>
      <c r="G48" s="68" t="str">
        <f t="shared" si="17"/>
        <v/>
      </c>
      <c r="H48">
        <f ca="1">Planned!E58*'Planned background (hide)'!H$1</f>
        <v>0</v>
      </c>
      <c r="I48">
        <f ca="1">Planned!F58*'Planned background (hide)'!I$1</f>
        <v>0</v>
      </c>
      <c r="J48">
        <f ca="1">Planned!G58*'Planned background (hide)'!J$1</f>
        <v>0</v>
      </c>
      <c r="K48">
        <f ca="1">Planned!H58*'Planned background (hide)'!K$1</f>
        <v>0</v>
      </c>
      <c r="L48">
        <f ca="1">Planned!I58*'Planned background (hide)'!L$1</f>
        <v>0</v>
      </c>
      <c r="M48">
        <f ca="1">Planned!J58*'Planned background (hide)'!M$1</f>
        <v>0</v>
      </c>
      <c r="N48">
        <f ca="1">Planned!K58*'Planned background (hide)'!N$1</f>
        <v>0</v>
      </c>
      <c r="O48">
        <f ca="1">Planned!J58*'Planned background (hide)'!O$1</f>
        <v>0</v>
      </c>
      <c r="P48">
        <f ca="1">Planned!K58*'Planned background (hide)'!P$1</f>
        <v>0</v>
      </c>
      <c r="Q48">
        <f ca="1">Planned!L58*'Planned background (hide)'!Q$1</f>
        <v>0</v>
      </c>
      <c r="R48" s="5">
        <f ca="1">IF(Planned!$C$6="Overall",Planned!O58*'Planned background (hide)'!R$1,"")</f>
        <v>0</v>
      </c>
      <c r="S48" s="5">
        <f ca="1">IF(Planned!R58&lt;&gt;"Yes",IF(Planned!$C$6&lt;&gt;"Overall",SUM(OFFSET('Planned background (hide)'!H48,0,0,1,Num_Modalities)),'Planned background (hide)'!R48),"")</f>
        <v>0</v>
      </c>
      <c r="AB48">
        <f t="shared" si="24"/>
        <v>46</v>
      </c>
      <c r="AC48" s="36">
        <f>IF(Planned!$C$8=0,'Planned background (hide)'!F48,'Planned background (hide)'!G48)</f>
        <v>46</v>
      </c>
      <c r="AD48" s="36">
        <f t="shared" si="2"/>
        <v>0</v>
      </c>
      <c r="AE48" s="5">
        <f t="shared" ca="1" si="25"/>
        <v>0</v>
      </c>
      <c r="AF48" s="5">
        <f t="shared" ca="1" si="3"/>
        <v>0</v>
      </c>
      <c r="AG48">
        <f t="shared" ca="1" si="4"/>
        <v>0</v>
      </c>
      <c r="AH48" s="67">
        <f t="shared" ca="1" si="5"/>
        <v>0</v>
      </c>
      <c r="AI48" s="67">
        <f t="shared" ca="1" si="6"/>
        <v>0</v>
      </c>
      <c r="AJ48" s="67">
        <f t="shared" ca="1" si="7"/>
        <v>0</v>
      </c>
      <c r="AK48">
        <f t="shared" ca="1" si="8"/>
        <v>0</v>
      </c>
      <c r="AL48">
        <f t="shared" ca="1" si="9"/>
        <v>0</v>
      </c>
      <c r="AM48">
        <f t="shared" ca="1" si="10"/>
        <v>0</v>
      </c>
      <c r="AN48">
        <f t="shared" ca="1" si="11"/>
        <v>0</v>
      </c>
      <c r="AO48">
        <f t="shared" ca="1" si="12"/>
        <v>0</v>
      </c>
      <c r="AP48" t="e">
        <f t="shared" ca="1" si="13"/>
        <v>#N/A</v>
      </c>
      <c r="AQ48">
        <f t="shared" ca="1" si="18"/>
        <v>0</v>
      </c>
      <c r="AR48" t="e">
        <f t="shared" ca="1" si="21"/>
        <v>#N/A</v>
      </c>
      <c r="AS48">
        <f t="shared" ca="1" si="19"/>
        <v>0</v>
      </c>
      <c r="AT48" t="e">
        <f t="shared" ca="1" si="22"/>
        <v>#N/A</v>
      </c>
      <c r="AU48">
        <f t="shared" ca="1" si="14"/>
        <v>0</v>
      </c>
      <c r="AV48" t="e">
        <f t="shared" ca="1" si="23"/>
        <v>#N/A</v>
      </c>
      <c r="AW48" s="5">
        <f t="shared" ca="1" si="20"/>
        <v>0</v>
      </c>
      <c r="BH48" s="48" t="str">
        <f ca="1">IF(OR(Planned!B58=1,Planned!B58=""),AC48,Planned!B58)</f>
        <v xml:space="preserve"> </v>
      </c>
      <c r="BI48" t="str">
        <f ca="1">IF(TEXT(Planned!D58,"mmm")&lt;&gt;TEXT(Planned!D57,"mmm"),TEXT(Planned!D58,"mmm"),"")</f>
        <v/>
      </c>
      <c r="BK48" s="67"/>
    </row>
    <row r="49" spans="2:63" x14ac:dyDescent="0.25">
      <c r="B49" s="67">
        <f ca="1">IF(Planned!$C$6&lt;&gt;"Overall",COUNTBLANK(OFFSET(Planned!E60,0,0,1,Num_Modalities)),IF(COUNTBLANK(Planned!O60)=1,Num_Modalities,0))</f>
        <v>1</v>
      </c>
      <c r="C49">
        <f ca="1">SUM(OFFSET(Planned!$E60,0,0,1,Num_Modalities))</f>
        <v>0</v>
      </c>
      <c r="E49" s="67">
        <f t="shared" si="15"/>
        <v>47</v>
      </c>
      <c r="F49" s="36">
        <f t="shared" si="16"/>
        <v>47</v>
      </c>
      <c r="G49" s="68" t="str">
        <f t="shared" si="17"/>
        <v/>
      </c>
      <c r="H49">
        <f ca="1">Planned!E59*'Planned background (hide)'!H$1</f>
        <v>0</v>
      </c>
      <c r="I49">
        <f ca="1">Planned!F59*'Planned background (hide)'!I$1</f>
        <v>0</v>
      </c>
      <c r="J49">
        <f ca="1">Planned!G59*'Planned background (hide)'!J$1</f>
        <v>0</v>
      </c>
      <c r="K49">
        <f ca="1">Planned!H59*'Planned background (hide)'!K$1</f>
        <v>0</v>
      </c>
      <c r="L49">
        <f ca="1">Planned!I59*'Planned background (hide)'!L$1</f>
        <v>0</v>
      </c>
      <c r="M49">
        <f ca="1">Planned!J59*'Planned background (hide)'!M$1</f>
        <v>0</v>
      </c>
      <c r="N49">
        <f ca="1">Planned!K59*'Planned background (hide)'!N$1</f>
        <v>0</v>
      </c>
      <c r="O49">
        <f ca="1">Planned!J59*'Planned background (hide)'!O$1</f>
        <v>0</v>
      </c>
      <c r="P49">
        <f ca="1">Planned!K59*'Planned background (hide)'!P$1</f>
        <v>0</v>
      </c>
      <c r="Q49">
        <f ca="1">Planned!L59*'Planned background (hide)'!Q$1</f>
        <v>0</v>
      </c>
      <c r="R49" s="5">
        <f ca="1">IF(Planned!$C$6="Overall",Planned!O59*'Planned background (hide)'!R$1,"")</f>
        <v>0</v>
      </c>
      <c r="S49" s="5">
        <f ca="1">IF(Planned!R59&lt;&gt;"Yes",IF(Planned!$C$6&lt;&gt;"Overall",SUM(OFFSET('Planned background (hide)'!H49,0,0,1,Num_Modalities)),'Planned background (hide)'!R49),"")</f>
        <v>0</v>
      </c>
      <c r="AB49">
        <f t="shared" si="24"/>
        <v>47</v>
      </c>
      <c r="AC49" s="36">
        <f>IF(Planned!$C$8=0,'Planned background (hide)'!F49,'Planned background (hide)'!G49)</f>
        <v>47</v>
      </c>
      <c r="AD49" s="36">
        <f t="shared" si="2"/>
        <v>0</v>
      </c>
      <c r="AE49" s="5">
        <f t="shared" ca="1" si="25"/>
        <v>0</v>
      </c>
      <c r="AF49" s="5">
        <f t="shared" ca="1" si="3"/>
        <v>0</v>
      </c>
      <c r="AG49">
        <f t="shared" ca="1" si="4"/>
        <v>0</v>
      </c>
      <c r="AH49" s="67">
        <f t="shared" ca="1" si="5"/>
        <v>0</v>
      </c>
      <c r="AI49" s="67">
        <f t="shared" ca="1" si="6"/>
        <v>0</v>
      </c>
      <c r="AJ49" s="67">
        <f t="shared" ca="1" si="7"/>
        <v>0</v>
      </c>
      <c r="AK49">
        <f t="shared" ca="1" si="8"/>
        <v>0</v>
      </c>
      <c r="AL49">
        <f t="shared" ca="1" si="9"/>
        <v>0</v>
      </c>
      <c r="AM49">
        <f t="shared" ca="1" si="10"/>
        <v>0</v>
      </c>
      <c r="AN49">
        <f t="shared" ca="1" si="11"/>
        <v>0</v>
      </c>
      <c r="AO49">
        <f t="shared" ca="1" si="12"/>
        <v>0</v>
      </c>
      <c r="AP49" t="e">
        <f t="shared" ca="1" si="13"/>
        <v>#N/A</v>
      </c>
      <c r="AQ49">
        <f t="shared" ca="1" si="18"/>
        <v>0</v>
      </c>
      <c r="AR49" t="e">
        <f t="shared" ca="1" si="21"/>
        <v>#N/A</v>
      </c>
      <c r="AS49">
        <f t="shared" ca="1" si="19"/>
        <v>0</v>
      </c>
      <c r="AT49" t="e">
        <f t="shared" ca="1" si="22"/>
        <v>#N/A</v>
      </c>
      <c r="AU49">
        <f t="shared" ca="1" si="14"/>
        <v>0</v>
      </c>
      <c r="AV49" t="e">
        <f t="shared" ca="1" si="23"/>
        <v>#N/A</v>
      </c>
      <c r="AW49" s="5">
        <f t="shared" ca="1" si="20"/>
        <v>0</v>
      </c>
      <c r="BH49" s="48" t="str">
        <f ca="1">IF(OR(Planned!B59=1,Planned!B59=""),AC49,Planned!B59)</f>
        <v xml:space="preserve"> </v>
      </c>
      <c r="BI49" t="str">
        <f ca="1">IF(TEXT(Planned!D59,"mmm")&lt;&gt;TEXT(Planned!D58,"mmm"),TEXT(Planned!D59,"mmm"),"")</f>
        <v/>
      </c>
      <c r="BK49" s="67"/>
    </row>
    <row r="50" spans="2:63" x14ac:dyDescent="0.25">
      <c r="B50" s="67">
        <f ca="1">IF(Planned!$C$6&lt;&gt;"Overall",COUNTBLANK(OFFSET(Planned!E61,0,0,1,Num_Modalities)),IF(COUNTBLANK(Planned!O61)=1,Num_Modalities,0))</f>
        <v>1</v>
      </c>
      <c r="C50">
        <f ca="1">SUM(OFFSET(Planned!$E61,0,0,1,Num_Modalities))</f>
        <v>0</v>
      </c>
      <c r="E50" s="67">
        <f t="shared" si="15"/>
        <v>48</v>
      </c>
      <c r="F50" s="36">
        <f t="shared" si="16"/>
        <v>48</v>
      </c>
      <c r="G50" s="68" t="str">
        <f t="shared" si="17"/>
        <v/>
      </c>
      <c r="H50">
        <f ca="1">Planned!E60*'Planned background (hide)'!H$1</f>
        <v>0</v>
      </c>
      <c r="I50">
        <f ca="1">Planned!F60*'Planned background (hide)'!I$1</f>
        <v>0</v>
      </c>
      <c r="J50">
        <f ca="1">Planned!G60*'Planned background (hide)'!J$1</f>
        <v>0</v>
      </c>
      <c r="K50">
        <f ca="1">Planned!H60*'Planned background (hide)'!K$1</f>
        <v>0</v>
      </c>
      <c r="L50">
        <f ca="1">Planned!I60*'Planned background (hide)'!L$1</f>
        <v>0</v>
      </c>
      <c r="M50">
        <f ca="1">Planned!J60*'Planned background (hide)'!M$1</f>
        <v>0</v>
      </c>
      <c r="N50">
        <f ca="1">Planned!K60*'Planned background (hide)'!N$1</f>
        <v>0</v>
      </c>
      <c r="O50">
        <f ca="1">Planned!J60*'Planned background (hide)'!O$1</f>
        <v>0</v>
      </c>
      <c r="P50">
        <f ca="1">Planned!K60*'Planned background (hide)'!P$1</f>
        <v>0</v>
      </c>
      <c r="Q50">
        <f ca="1">Planned!L60*'Planned background (hide)'!Q$1</f>
        <v>0</v>
      </c>
      <c r="R50" s="5">
        <f ca="1">IF(Planned!$C$6="Overall",Planned!O60*'Planned background (hide)'!R$1,"")</f>
        <v>0</v>
      </c>
      <c r="S50" s="5">
        <f ca="1">IF(Planned!R60&lt;&gt;"Yes",IF(Planned!$C$6&lt;&gt;"Overall",SUM(OFFSET('Planned background (hide)'!H50,0,0,1,Num_Modalities)),'Planned background (hide)'!R50),"")</f>
        <v>0</v>
      </c>
      <c r="AB50">
        <f t="shared" si="24"/>
        <v>48</v>
      </c>
      <c r="AC50" s="36">
        <f>IF(Planned!$C$8=0,'Planned background (hide)'!F50,'Planned background (hide)'!G50)</f>
        <v>48</v>
      </c>
      <c r="AD50" s="36">
        <f t="shared" si="2"/>
        <v>0</v>
      </c>
      <c r="AE50" s="5">
        <f t="shared" ca="1" si="25"/>
        <v>0</v>
      </c>
      <c r="AF50" s="5">
        <f t="shared" ca="1" si="3"/>
        <v>0</v>
      </c>
      <c r="AG50">
        <f t="shared" ca="1" si="4"/>
        <v>0</v>
      </c>
      <c r="AH50" s="67">
        <f t="shared" ca="1" si="5"/>
        <v>0</v>
      </c>
      <c r="AI50" s="67">
        <f t="shared" ca="1" si="6"/>
        <v>0</v>
      </c>
      <c r="AJ50" s="67">
        <f t="shared" ca="1" si="7"/>
        <v>0</v>
      </c>
      <c r="AK50">
        <f t="shared" ca="1" si="8"/>
        <v>0</v>
      </c>
      <c r="AL50">
        <f t="shared" ca="1" si="9"/>
        <v>0</v>
      </c>
      <c r="AM50">
        <f t="shared" ca="1" si="10"/>
        <v>0</v>
      </c>
      <c r="AN50">
        <f t="shared" ca="1" si="11"/>
        <v>0</v>
      </c>
      <c r="AO50">
        <f t="shared" ca="1" si="12"/>
        <v>0</v>
      </c>
      <c r="AP50" t="e">
        <f t="shared" ca="1" si="13"/>
        <v>#N/A</v>
      </c>
      <c r="AQ50">
        <f t="shared" ca="1" si="18"/>
        <v>0</v>
      </c>
      <c r="AR50" t="e">
        <f t="shared" ca="1" si="21"/>
        <v>#N/A</v>
      </c>
      <c r="AS50">
        <f t="shared" ca="1" si="19"/>
        <v>0</v>
      </c>
      <c r="AT50" t="e">
        <f t="shared" ca="1" si="22"/>
        <v>#N/A</v>
      </c>
      <c r="AU50">
        <f t="shared" ca="1" si="14"/>
        <v>0</v>
      </c>
      <c r="AV50" t="e">
        <f t="shared" ca="1" si="23"/>
        <v>#N/A</v>
      </c>
      <c r="AW50" s="5">
        <f t="shared" ca="1" si="20"/>
        <v>0</v>
      </c>
      <c r="BH50" s="48" t="str">
        <f ca="1">IF(OR(Planned!B60=1,Planned!B60=""),AC50,Planned!B60)</f>
        <v xml:space="preserve"> </v>
      </c>
      <c r="BI50" t="str">
        <f ca="1">IF(TEXT(Planned!D60,"mmm")&lt;&gt;TEXT(Planned!D59,"mmm"),TEXT(Planned!D60,"mmm"),"")</f>
        <v/>
      </c>
      <c r="BK50" s="67"/>
    </row>
    <row r="51" spans="2:63" x14ac:dyDescent="0.25">
      <c r="B51" s="67">
        <f ca="1">IF(Planned!$C$6&lt;&gt;"Overall",COUNTBLANK(OFFSET(Planned!E62,0,0,1,Num_Modalities)),IF(COUNTBLANK(Planned!O62)=1,Num_Modalities,0))</f>
        <v>1</v>
      </c>
      <c r="C51">
        <f ca="1">SUM(OFFSET(Planned!$E62,0,0,1,Num_Modalities))</f>
        <v>0</v>
      </c>
      <c r="E51" s="67">
        <f t="shared" si="15"/>
        <v>49</v>
      </c>
      <c r="F51" s="36">
        <f t="shared" si="16"/>
        <v>49</v>
      </c>
      <c r="G51" s="68" t="str">
        <f t="shared" si="17"/>
        <v/>
      </c>
      <c r="H51">
        <f ca="1">Planned!E61*'Planned background (hide)'!H$1</f>
        <v>0</v>
      </c>
      <c r="I51">
        <f ca="1">Planned!F61*'Planned background (hide)'!I$1</f>
        <v>0</v>
      </c>
      <c r="J51">
        <f ca="1">Planned!G61*'Planned background (hide)'!J$1</f>
        <v>0</v>
      </c>
      <c r="K51">
        <f ca="1">Planned!H61*'Planned background (hide)'!K$1</f>
        <v>0</v>
      </c>
      <c r="L51">
        <f ca="1">Planned!I61*'Planned background (hide)'!L$1</f>
        <v>0</v>
      </c>
      <c r="M51">
        <f ca="1">Planned!J61*'Planned background (hide)'!M$1</f>
        <v>0</v>
      </c>
      <c r="N51">
        <f ca="1">Planned!K61*'Planned background (hide)'!N$1</f>
        <v>0</v>
      </c>
      <c r="O51">
        <f ca="1">Planned!J61*'Planned background (hide)'!O$1</f>
        <v>0</v>
      </c>
      <c r="P51">
        <f ca="1">Planned!K61*'Planned background (hide)'!P$1</f>
        <v>0</v>
      </c>
      <c r="Q51">
        <f ca="1">Planned!L61*'Planned background (hide)'!Q$1</f>
        <v>0</v>
      </c>
      <c r="R51" s="5">
        <f ca="1">IF(Planned!$C$6="Overall",Planned!O61*'Planned background (hide)'!R$1,"")</f>
        <v>0</v>
      </c>
      <c r="S51" s="5">
        <f ca="1">IF(Planned!R61&lt;&gt;"Yes",IF(Planned!$C$6&lt;&gt;"Overall",SUM(OFFSET('Planned background (hide)'!H51,0,0,1,Num_Modalities)),'Planned background (hide)'!R51),"")</f>
        <v>0</v>
      </c>
      <c r="AB51">
        <f t="shared" si="24"/>
        <v>49</v>
      </c>
      <c r="AC51" s="36">
        <f>IF(Planned!$C$8=0,'Planned background (hide)'!F51,'Planned background (hide)'!G51)</f>
        <v>49</v>
      </c>
      <c r="AD51" s="36">
        <f t="shared" si="2"/>
        <v>0</v>
      </c>
      <c r="AE51" s="5">
        <f t="shared" ca="1" si="25"/>
        <v>0</v>
      </c>
      <c r="AF51" s="5">
        <f t="shared" ca="1" si="3"/>
        <v>0</v>
      </c>
      <c r="AG51">
        <f t="shared" ca="1" si="4"/>
        <v>0</v>
      </c>
      <c r="AH51" s="67">
        <f t="shared" ca="1" si="5"/>
        <v>0</v>
      </c>
      <c r="AI51" s="67">
        <f t="shared" ca="1" si="6"/>
        <v>0</v>
      </c>
      <c r="AJ51" s="67">
        <f t="shared" ca="1" si="7"/>
        <v>0</v>
      </c>
      <c r="AK51">
        <f t="shared" ca="1" si="8"/>
        <v>0</v>
      </c>
      <c r="AL51">
        <f t="shared" ca="1" si="9"/>
        <v>0</v>
      </c>
      <c r="AM51">
        <f t="shared" ca="1" si="10"/>
        <v>0</v>
      </c>
      <c r="AN51">
        <f t="shared" ca="1" si="11"/>
        <v>0</v>
      </c>
      <c r="AO51">
        <f t="shared" ca="1" si="12"/>
        <v>0</v>
      </c>
      <c r="AP51" t="e">
        <f t="shared" ca="1" si="13"/>
        <v>#N/A</v>
      </c>
      <c r="AQ51">
        <f t="shared" ca="1" si="18"/>
        <v>0</v>
      </c>
      <c r="AR51" t="e">
        <f t="shared" ca="1" si="21"/>
        <v>#N/A</v>
      </c>
      <c r="AS51">
        <f t="shared" ca="1" si="19"/>
        <v>0</v>
      </c>
      <c r="AT51" t="e">
        <f t="shared" ca="1" si="22"/>
        <v>#N/A</v>
      </c>
      <c r="AU51">
        <f t="shared" ca="1" si="14"/>
        <v>0</v>
      </c>
      <c r="AV51" t="e">
        <f t="shared" ca="1" si="23"/>
        <v>#N/A</v>
      </c>
      <c r="AW51" s="5">
        <f t="shared" ca="1" si="20"/>
        <v>0</v>
      </c>
      <c r="BH51" s="48" t="str">
        <f ca="1">IF(OR(Planned!B61=1,Planned!B61=""),AC51,Planned!B61)</f>
        <v xml:space="preserve"> </v>
      </c>
      <c r="BI51" t="str">
        <f ca="1">IF(TEXT(Planned!D61,"mmm")&lt;&gt;TEXT(Planned!D60,"mmm"),TEXT(Planned!D61,"mmm"),"")</f>
        <v/>
      </c>
      <c r="BK51" s="67"/>
    </row>
    <row r="52" spans="2:63" x14ac:dyDescent="0.25">
      <c r="B52" s="67">
        <f ca="1">IF(Planned!$C$6&lt;&gt;"Overall",COUNTBLANK(OFFSET(Planned!E63,0,0,1,Num_Modalities)),IF(COUNTBLANK(Planned!O63)=1,Num_Modalities,0))</f>
        <v>1</v>
      </c>
      <c r="C52">
        <f ca="1">SUM(OFFSET(Planned!$E63,0,0,1,Num_Modalities))</f>
        <v>0</v>
      </c>
      <c r="E52" s="67">
        <f t="shared" si="15"/>
        <v>50</v>
      </c>
      <c r="F52" s="36">
        <f t="shared" si="16"/>
        <v>50</v>
      </c>
      <c r="G52" s="68" t="str">
        <f t="shared" si="17"/>
        <v/>
      </c>
      <c r="H52">
        <f ca="1">Planned!E62*'Planned background (hide)'!H$1</f>
        <v>0</v>
      </c>
      <c r="I52">
        <f ca="1">Planned!F62*'Planned background (hide)'!I$1</f>
        <v>0</v>
      </c>
      <c r="J52">
        <f ca="1">Planned!G62*'Planned background (hide)'!J$1</f>
        <v>0</v>
      </c>
      <c r="K52">
        <f ca="1">Planned!H62*'Planned background (hide)'!K$1</f>
        <v>0</v>
      </c>
      <c r="L52">
        <f ca="1">Planned!I62*'Planned background (hide)'!L$1</f>
        <v>0</v>
      </c>
      <c r="M52">
        <f ca="1">Planned!J62*'Planned background (hide)'!M$1</f>
        <v>0</v>
      </c>
      <c r="N52">
        <f ca="1">Planned!K62*'Planned background (hide)'!N$1</f>
        <v>0</v>
      </c>
      <c r="O52">
        <f ca="1">Planned!J62*'Planned background (hide)'!O$1</f>
        <v>0</v>
      </c>
      <c r="P52">
        <f ca="1">Planned!K62*'Planned background (hide)'!P$1</f>
        <v>0</v>
      </c>
      <c r="Q52">
        <f ca="1">Planned!L62*'Planned background (hide)'!Q$1</f>
        <v>0</v>
      </c>
      <c r="R52" s="5">
        <f ca="1">IF(Planned!$C$6="Overall",Planned!O62*'Planned background (hide)'!R$1,"")</f>
        <v>0</v>
      </c>
      <c r="S52" s="5">
        <f ca="1">IF(Planned!R62&lt;&gt;"Yes",IF(Planned!$C$6&lt;&gt;"Overall",SUM(OFFSET('Planned background (hide)'!H52,0,0,1,Num_Modalities)),'Planned background (hide)'!R52),"")</f>
        <v>0</v>
      </c>
      <c r="AB52">
        <f t="shared" si="24"/>
        <v>50</v>
      </c>
      <c r="AC52" s="36">
        <f>IF(Planned!$C$8=0,'Planned background (hide)'!F52,'Planned background (hide)'!G52)</f>
        <v>50</v>
      </c>
      <c r="AD52" s="36">
        <f t="shared" si="2"/>
        <v>0</v>
      </c>
      <c r="AE52" s="5">
        <f t="shared" ca="1" si="25"/>
        <v>0</v>
      </c>
      <c r="AF52" s="5">
        <f t="shared" ca="1" si="3"/>
        <v>0</v>
      </c>
      <c r="AG52">
        <f t="shared" ca="1" si="4"/>
        <v>0</v>
      </c>
      <c r="AH52" s="67">
        <f t="shared" ca="1" si="5"/>
        <v>0</v>
      </c>
      <c r="AI52" s="67">
        <f t="shared" ca="1" si="6"/>
        <v>0</v>
      </c>
      <c r="AJ52" s="67">
        <f t="shared" ca="1" si="7"/>
        <v>0</v>
      </c>
      <c r="AK52">
        <f t="shared" ca="1" si="8"/>
        <v>0</v>
      </c>
      <c r="AL52">
        <f t="shared" ca="1" si="9"/>
        <v>0</v>
      </c>
      <c r="AM52">
        <f t="shared" ca="1" si="10"/>
        <v>0</v>
      </c>
      <c r="AN52">
        <f t="shared" ca="1" si="11"/>
        <v>0</v>
      </c>
      <c r="AO52">
        <f t="shared" ca="1" si="12"/>
        <v>0</v>
      </c>
      <c r="AP52" t="e">
        <f t="shared" ca="1" si="13"/>
        <v>#N/A</v>
      </c>
      <c r="AQ52">
        <f t="shared" ca="1" si="18"/>
        <v>0</v>
      </c>
      <c r="AR52" t="e">
        <f t="shared" ca="1" si="21"/>
        <v>#N/A</v>
      </c>
      <c r="AS52">
        <f t="shared" ca="1" si="19"/>
        <v>0</v>
      </c>
      <c r="AT52" t="e">
        <f t="shared" ca="1" si="22"/>
        <v>#N/A</v>
      </c>
      <c r="AU52">
        <f t="shared" ca="1" si="14"/>
        <v>0</v>
      </c>
      <c r="AV52" t="e">
        <f t="shared" ca="1" si="23"/>
        <v>#N/A</v>
      </c>
      <c r="AW52" s="5">
        <f t="shared" ca="1" si="20"/>
        <v>0</v>
      </c>
      <c r="BH52" s="48" t="str">
        <f ca="1">IF(OR(Planned!B62=1,Planned!B62=""),AC52,Planned!B62)</f>
        <v xml:space="preserve"> </v>
      </c>
      <c r="BI52" t="str">
        <f ca="1">IF(TEXT(Planned!D62,"mmm")&lt;&gt;TEXT(Planned!D61,"mmm"),TEXT(Planned!D62,"mmm"),"")</f>
        <v/>
      </c>
      <c r="BK52" s="67"/>
    </row>
    <row r="53" spans="2:63" x14ac:dyDescent="0.25">
      <c r="B53" s="67">
        <f ca="1">IF(Planned!$C$6&lt;&gt;"Overall",COUNTBLANK(OFFSET(Planned!E64,0,0,1,Num_Modalities)),IF(COUNTBLANK(Planned!O64)=1,Num_Modalities,0))</f>
        <v>1</v>
      </c>
      <c r="C53">
        <f ca="1">SUM(OFFSET(Planned!$E64,0,0,1,Num_Modalities))</f>
        <v>0</v>
      </c>
      <c r="E53" s="67">
        <f t="shared" si="15"/>
        <v>51</v>
      </c>
      <c r="F53" s="36">
        <f t="shared" si="16"/>
        <v>51</v>
      </c>
      <c r="G53" s="68" t="str">
        <f t="shared" si="17"/>
        <v/>
      </c>
      <c r="H53">
        <f ca="1">Planned!E63*'Planned background (hide)'!H$1</f>
        <v>0</v>
      </c>
      <c r="I53">
        <f ca="1">Planned!F63*'Planned background (hide)'!I$1</f>
        <v>0</v>
      </c>
      <c r="J53">
        <f ca="1">Planned!G63*'Planned background (hide)'!J$1</f>
        <v>0</v>
      </c>
      <c r="K53">
        <f ca="1">Planned!H63*'Planned background (hide)'!K$1</f>
        <v>0</v>
      </c>
      <c r="L53">
        <f ca="1">Planned!I63*'Planned background (hide)'!L$1</f>
        <v>0</v>
      </c>
      <c r="M53">
        <f ca="1">Planned!J63*'Planned background (hide)'!M$1</f>
        <v>0</v>
      </c>
      <c r="N53">
        <f ca="1">Planned!K63*'Planned background (hide)'!N$1</f>
        <v>0</v>
      </c>
      <c r="O53">
        <f ca="1">Planned!J63*'Planned background (hide)'!O$1</f>
        <v>0</v>
      </c>
      <c r="P53">
        <f ca="1">Planned!K63*'Planned background (hide)'!P$1</f>
        <v>0</v>
      </c>
      <c r="Q53">
        <f ca="1">Planned!L63*'Planned background (hide)'!Q$1</f>
        <v>0</v>
      </c>
      <c r="R53" s="5">
        <f ca="1">IF(Planned!$C$6="Overall",Planned!O63*'Planned background (hide)'!R$1,"")</f>
        <v>0</v>
      </c>
      <c r="S53" s="5">
        <f ca="1">IF(Planned!R63&lt;&gt;"Yes",IF(Planned!$C$6&lt;&gt;"Overall",SUM(OFFSET('Planned background (hide)'!H53,0,0,1,Num_Modalities)),'Planned background (hide)'!R53),"")</f>
        <v>0</v>
      </c>
      <c r="AB53">
        <f t="shared" ref="AB53:AB55" si="26">E53</f>
        <v>51</v>
      </c>
      <c r="AC53" s="36">
        <f>IF(Planned!$C$8=0,'Planned background (hide)'!F53,'Planned background (hide)'!G53)</f>
        <v>51</v>
      </c>
      <c r="AD53" s="36">
        <f t="shared" si="2"/>
        <v>0</v>
      </c>
      <c r="AE53" s="5">
        <f t="shared" ca="1" si="25"/>
        <v>0</v>
      </c>
      <c r="AF53" s="5">
        <f t="shared" ca="1" si="3"/>
        <v>0</v>
      </c>
      <c r="AG53">
        <f t="shared" ca="1" si="4"/>
        <v>0</v>
      </c>
      <c r="AH53" s="67">
        <f t="shared" ca="1" si="5"/>
        <v>0</v>
      </c>
      <c r="AI53" s="67">
        <f t="shared" ca="1" si="6"/>
        <v>0</v>
      </c>
      <c r="AJ53" s="67">
        <f t="shared" ca="1" si="7"/>
        <v>0</v>
      </c>
      <c r="AK53">
        <f t="shared" ca="1" si="8"/>
        <v>0</v>
      </c>
      <c r="AL53">
        <f t="shared" ca="1" si="9"/>
        <v>0</v>
      </c>
      <c r="AM53">
        <f t="shared" ca="1" si="10"/>
        <v>0</v>
      </c>
      <c r="AN53">
        <f t="shared" ca="1" si="11"/>
        <v>0</v>
      </c>
      <c r="AO53">
        <f t="shared" ca="1" si="12"/>
        <v>0</v>
      </c>
      <c r="AP53" t="e">
        <f t="shared" ca="1" si="13"/>
        <v>#N/A</v>
      </c>
      <c r="AQ53">
        <f t="shared" ca="1" si="18"/>
        <v>0</v>
      </c>
      <c r="AR53" t="e">
        <f t="shared" ca="1" si="21"/>
        <v>#N/A</v>
      </c>
      <c r="AS53">
        <f t="shared" ca="1" si="19"/>
        <v>0</v>
      </c>
      <c r="AT53" t="e">
        <f t="shared" ca="1" si="22"/>
        <v>#N/A</v>
      </c>
      <c r="AU53">
        <f t="shared" ca="1" si="14"/>
        <v>0</v>
      </c>
      <c r="AV53" t="e">
        <f t="shared" ca="1" si="23"/>
        <v>#N/A</v>
      </c>
      <c r="AW53" s="5">
        <f t="shared" ca="1" si="20"/>
        <v>0</v>
      </c>
      <c r="BH53" s="48" t="str">
        <f ca="1">IF(OR(Planned!B63=1,Planned!B63=""),AC53,Planned!B63)</f>
        <v xml:space="preserve"> </v>
      </c>
      <c r="BI53" t="str">
        <f ca="1">IF(TEXT(Planned!D63,"mmm")&lt;&gt;TEXT(Planned!D62,"mmm"),TEXT(Planned!D63,"mmm"),"")</f>
        <v/>
      </c>
    </row>
    <row r="54" spans="2:63" x14ac:dyDescent="0.25">
      <c r="E54" s="67">
        <f t="shared" si="15"/>
        <v>52</v>
      </c>
      <c r="F54" s="36">
        <f t="shared" si="16"/>
        <v>52</v>
      </c>
      <c r="G54" s="68" t="str">
        <f t="shared" si="17"/>
        <v/>
      </c>
      <c r="H54">
        <f ca="1">Planned!E64*'Planned background (hide)'!H$1</f>
        <v>0</v>
      </c>
      <c r="I54">
        <f ca="1">Planned!F64*'Planned background (hide)'!I$1</f>
        <v>0</v>
      </c>
      <c r="J54">
        <f ca="1">Planned!G64*'Planned background (hide)'!J$1</f>
        <v>0</v>
      </c>
      <c r="K54">
        <f ca="1">Planned!H64*'Planned background (hide)'!K$1</f>
        <v>0</v>
      </c>
      <c r="L54">
        <f ca="1">Planned!I64*'Planned background (hide)'!L$1</f>
        <v>0</v>
      </c>
      <c r="M54">
        <f ca="1">Planned!J64*'Planned background (hide)'!M$1</f>
        <v>0</v>
      </c>
      <c r="N54">
        <f ca="1">Planned!K64*'Planned background (hide)'!N$1</f>
        <v>0</v>
      </c>
      <c r="O54">
        <f ca="1">Planned!J64*'Planned background (hide)'!O$1</f>
        <v>0</v>
      </c>
      <c r="P54">
        <f ca="1">Planned!K64*'Planned background (hide)'!P$1</f>
        <v>0</v>
      </c>
      <c r="Q54">
        <f ca="1">Planned!L64*'Planned background (hide)'!Q$1</f>
        <v>0</v>
      </c>
      <c r="R54" s="5">
        <f ca="1">IF(Planned!$C$6="Overall",Planned!O64*'Planned background (hide)'!R$1,"")</f>
        <v>0</v>
      </c>
      <c r="S54" s="5">
        <f ca="1">IF(Planned!R64&lt;&gt;"Yes",IF(Planned!$C$6&lt;&gt;"Overall",SUM(OFFSET('Planned background (hide)'!H54,0,0,1,Num_Modalities)),'Planned background (hide)'!R54),"")</f>
        <v>0</v>
      </c>
      <c r="AB54">
        <f t="shared" si="26"/>
        <v>52</v>
      </c>
      <c r="AC54" s="36">
        <f>IF(Planned!$C$8=0,'Planned background (hide)'!F54,'Planned background (hide)'!G54)</f>
        <v>52</v>
      </c>
      <c r="AD54" s="36">
        <f t="shared" si="2"/>
        <v>0</v>
      </c>
      <c r="AE54" s="5">
        <f t="shared" ca="1" si="25"/>
        <v>0</v>
      </c>
      <c r="AF54" s="5">
        <f t="shared" ca="1" si="3"/>
        <v>0</v>
      </c>
      <c r="AG54">
        <f t="shared" ca="1" si="4"/>
        <v>0</v>
      </c>
      <c r="AH54" s="67">
        <f t="shared" ca="1" si="5"/>
        <v>0</v>
      </c>
      <c r="AI54" s="67">
        <f t="shared" ca="1" si="6"/>
        <v>0</v>
      </c>
      <c r="AJ54" s="67">
        <f t="shared" ca="1" si="7"/>
        <v>0</v>
      </c>
      <c r="AK54">
        <f t="shared" ca="1" si="8"/>
        <v>0</v>
      </c>
      <c r="AL54">
        <f t="shared" ca="1" si="9"/>
        <v>0</v>
      </c>
      <c r="AM54">
        <f t="shared" ca="1" si="10"/>
        <v>0</v>
      </c>
      <c r="AN54">
        <f t="shared" ca="1" si="11"/>
        <v>0</v>
      </c>
      <c r="AO54">
        <f t="shared" ca="1" si="12"/>
        <v>0</v>
      </c>
      <c r="AP54" t="e">
        <f t="shared" ca="1" si="13"/>
        <v>#N/A</v>
      </c>
      <c r="AQ54">
        <f t="shared" ca="1" si="18"/>
        <v>0</v>
      </c>
      <c r="AR54" t="e">
        <f t="shared" ca="1" si="21"/>
        <v>#N/A</v>
      </c>
      <c r="AS54">
        <f t="shared" ca="1" si="19"/>
        <v>0</v>
      </c>
      <c r="AT54" t="e">
        <f t="shared" ca="1" si="22"/>
        <v>#N/A</v>
      </c>
      <c r="AU54">
        <f t="shared" ca="1" si="14"/>
        <v>0</v>
      </c>
      <c r="AV54" t="e">
        <f t="shared" ca="1" si="23"/>
        <v>#N/A</v>
      </c>
      <c r="AW54" s="5">
        <f t="shared" ca="1" si="20"/>
        <v>0</v>
      </c>
      <c r="BH54" s="48" t="str">
        <f ca="1">IF(OR(Planned!B64=1,Planned!B64=""),AC54,Planned!B64)</f>
        <v xml:space="preserve"> </v>
      </c>
      <c r="BI54" t="str">
        <f ca="1">IF(TEXT(Planned!D64,"mmm")&lt;&gt;TEXT(Planned!D63,"mmm"),TEXT(Planned!D64,"mmm"),"")</f>
        <v/>
      </c>
    </row>
    <row r="55" spans="2:63" x14ac:dyDescent="0.25">
      <c r="E55" s="67">
        <f t="shared" si="15"/>
        <v>53</v>
      </c>
      <c r="F55" s="299">
        <f>IF(MAX(F3:F54)=53,(WEEKNUM(G55,21)),53)</f>
        <v>53</v>
      </c>
      <c r="G55" s="298" t="str">
        <f t="shared" si="17"/>
        <v/>
      </c>
      <c r="H55" s="67">
        <f ca="1">Planned!E65*'Planned background (hide)'!H$1</f>
        <v>0</v>
      </c>
      <c r="I55" s="67">
        <f ca="1">Planned!F65*'Planned background (hide)'!I$1</f>
        <v>0</v>
      </c>
      <c r="J55" s="67">
        <f ca="1">Planned!G65*'Planned background (hide)'!J$1</f>
        <v>0</v>
      </c>
      <c r="K55" s="67">
        <f ca="1">Planned!H65*'Planned background (hide)'!K$1</f>
        <v>0</v>
      </c>
      <c r="L55" s="67">
        <f ca="1">Planned!I65*'Planned background (hide)'!L$1</f>
        <v>0</v>
      </c>
      <c r="M55" s="67">
        <f ca="1">Planned!J65*'Planned background (hide)'!M$1</f>
        <v>0</v>
      </c>
      <c r="N55" s="67">
        <f ca="1">Planned!K65*'Planned background (hide)'!N$1</f>
        <v>0</v>
      </c>
      <c r="O55" s="67">
        <f ca="1">Planned!J65*'Planned background (hide)'!O$1</f>
        <v>0</v>
      </c>
      <c r="P55" s="67">
        <f ca="1">Planned!K65*'Planned background (hide)'!P$1</f>
        <v>0</v>
      </c>
      <c r="Q55" s="67">
        <f ca="1">Planned!L65*'Planned background (hide)'!Q$1</f>
        <v>0</v>
      </c>
      <c r="R55" s="5">
        <f ca="1">IF(Planned!$C$6="Overall",Planned!O65*'Planned background (hide)'!R$1,"")</f>
        <v>0</v>
      </c>
      <c r="S55" s="5">
        <f ca="1">IF(Planned!R65&lt;&gt;"Yes",IF(Planned!$C$6&lt;&gt;"Overall",SUM(OFFSET('Planned background (hide)'!H55,0,0,1,Num_Modalities)),'Planned background (hide)'!R55),"")</f>
        <v>0</v>
      </c>
      <c r="AB55" s="67">
        <f t="shared" si="26"/>
        <v>53</v>
      </c>
      <c r="AC55" s="36">
        <f>IF(Planned!$C$8=0,'Planned background (hide)'!F55,'Planned background (hide)'!G55)</f>
        <v>53</v>
      </c>
      <c r="AD55" s="36">
        <f t="shared" ref="AD55" si="27">IF(AND(AB55&gt;$U$18,AB55&lt;($U$18+$AA$19)),1,0)</f>
        <v>0</v>
      </c>
      <c r="AE55" s="5">
        <f ca="1">S55</f>
        <v>0</v>
      </c>
      <c r="AF55" s="5">
        <f t="shared" ca="1" si="3"/>
        <v>0</v>
      </c>
      <c r="AG55" s="67">
        <f t="shared" ca="1" si="4"/>
        <v>0</v>
      </c>
      <c r="AH55" s="67">
        <f t="shared" ref="AH55" ca="1" si="28">IF(AF55-(3*AG55)&lt;=0,0,AF55-(3*AG55))</f>
        <v>0</v>
      </c>
      <c r="AI55" s="67">
        <f t="shared" ref="AI55" ca="1" si="29">IF(AF55-(2*AG55)&lt;=0,0,AF55-(2*AG55))</f>
        <v>0</v>
      </c>
      <c r="AJ55" s="67">
        <f t="shared" ref="AJ55" ca="1" si="30">IF(AF55-(1*AG55)&lt;=0,0,AF55-(1*AG55))</f>
        <v>0</v>
      </c>
      <c r="AK55" s="67">
        <f t="shared" ref="AK55" ca="1" si="31">AF55+(1*AG55)</f>
        <v>0</v>
      </c>
      <c r="AL55" s="67">
        <f t="shared" ref="AL55" ca="1" si="32">AF55+(2*AG55)</f>
        <v>0</v>
      </c>
      <c r="AM55" s="67">
        <f t="shared" ref="AM55" ca="1" si="33">AF55+(3*AG55)</f>
        <v>0</v>
      </c>
      <c r="AN55" s="67">
        <f t="shared" ca="1" si="11"/>
        <v>0</v>
      </c>
      <c r="AO55" s="67">
        <f t="shared" ca="1" si="12"/>
        <v>0</v>
      </c>
      <c r="AP55" s="67" t="e">
        <f t="shared" ref="AP55" ca="1" si="34">IF(OR(AE55&gt;AM55,AE55&lt;AH55),AE55,NA())</f>
        <v>#N/A</v>
      </c>
      <c r="AQ55" s="67">
        <f t="shared" ref="AQ55" ca="1" si="35">IF(AE55&gt;AL55,1,IF(AE55&lt;AI55,-1,0))</f>
        <v>0</v>
      </c>
      <c r="AR55" s="67" t="e">
        <f t="shared" ref="AR55" ca="1" si="36">IF(ABS(SUM(AQ53:AQ55))&gt;=2,AE55,NA())</f>
        <v>#N/A</v>
      </c>
      <c r="AS55" s="67">
        <f t="shared" ref="AS55" ca="1" si="37">IF(AE55&gt;AE54,1,IF(AE55&lt;AE54,-1,0))</f>
        <v>0</v>
      </c>
      <c r="AT55" s="67" t="e">
        <f t="shared" ref="AT55" ca="1" si="38">IF(ABS(SUM(AS50:AS55))=6,AE55,NA())</f>
        <v>#N/A</v>
      </c>
      <c r="AU55" s="67">
        <f t="shared" ref="AU55" ca="1" si="39">IF(AE55&gt;AF55,1,IF(AE55&lt;AF55,-1,0))</f>
        <v>0</v>
      </c>
      <c r="AV55" s="67" t="e">
        <f t="shared" ref="AV55" ca="1" si="40">IF(ABS(SUM(AU47:AU55))=9,AE55,NA())</f>
        <v>#N/A</v>
      </c>
      <c r="AW55" s="5">
        <f t="shared" ref="AW55" ca="1" si="41">ABS(AE55-AE54)</f>
        <v>0</v>
      </c>
    </row>
  </sheetData>
  <pageMargins left="0.7" right="0.7" top="0.75" bottom="0.75" header="0.3" footer="0.3"/>
  <pageSetup paperSize="9" orientation="portrait" horizontalDpi="90" verticalDpi="90" r:id="rId1"/>
  <extLst>
    <ext xmlns:x14="http://schemas.microsoft.com/office/spreadsheetml/2009/9/main" uri="{78C0D931-6437-407d-A8EE-F0AAD7539E65}">
      <x14:conditionalFormattings>
        <x14:conditionalFormatting xmlns:xm="http://schemas.microsoft.com/office/excel/2006/main">
          <x14:cfRule type="expression" priority="1" id="{B013BC81-2EF5-43C4-8C4C-A25EF7074A15}">
            <xm:f>Planned!$C$8=0</xm:f>
            <x14:dxf>
              <numFmt numFmtId="1" formatCode="0"/>
            </x14:dxf>
          </x14:cfRule>
          <x14:cfRule type="expression" priority="2" id="{E57B278D-A223-4C0A-B6C1-C3575E2C12D0}">
            <xm:f>Planned!$C$8&lt;&gt;0</xm:f>
            <x14:dxf>
              <numFmt numFmtId="19" formatCode="dd/mm/yyyy"/>
            </x14:dxf>
          </x14:cfRule>
          <xm:sqref>AC3:AC55</xm:sqref>
        </x14:conditionalFormatting>
      </x14:conditionalFormatting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dimension ref="A1:T35"/>
  <sheetViews>
    <sheetView showGridLines="0" showRowColHeaders="0" zoomScaleNormal="100" workbookViewId="0">
      <selection activeCell="O11" sqref="O11"/>
    </sheetView>
  </sheetViews>
  <sheetFormatPr defaultColWidth="9" defaultRowHeight="13.8" x14ac:dyDescent="0.25"/>
  <cols>
    <col min="1" max="1" width="17.3984375" style="52" customWidth="1"/>
    <col min="2" max="2" width="11.5" style="52" customWidth="1"/>
    <col min="3" max="19" width="9" style="52"/>
    <col min="20" max="20" width="9.8984375" style="52" bestFit="1" customWidth="1"/>
    <col min="21" max="16384" width="9" style="52"/>
  </cols>
  <sheetData>
    <row r="1" spans="1:20" x14ac:dyDescent="0.25">
      <c r="B1" s="53"/>
    </row>
    <row r="3" spans="1:20" x14ac:dyDescent="0.25">
      <c r="A3" s="56" t="s">
        <v>185</v>
      </c>
    </row>
    <row r="4" spans="1:20" x14ac:dyDescent="0.25">
      <c r="A4" s="38" t="s">
        <v>268</v>
      </c>
    </row>
    <row r="5" spans="1:20" x14ac:dyDescent="0.25">
      <c r="A5" s="38" t="s">
        <v>269</v>
      </c>
    </row>
    <row r="7" spans="1:20" x14ac:dyDescent="0.25">
      <c r="A7" s="55" t="s">
        <v>147</v>
      </c>
      <c r="T7" s="58"/>
    </row>
    <row r="8" spans="1:20" x14ac:dyDescent="0.25">
      <c r="A8" s="56" t="str">
        <f>'Planned background (hide)'!AA19&amp;" weeks"</f>
        <v>5 weeks</v>
      </c>
      <c r="T8" s="58"/>
    </row>
    <row r="10" spans="1:20" x14ac:dyDescent="0.25">
      <c r="A10" s="52" t="s">
        <v>195</v>
      </c>
      <c r="C10" s="212" t="s">
        <v>20</v>
      </c>
    </row>
    <row r="11" spans="1:20" x14ac:dyDescent="0.25">
      <c r="C11" s="57"/>
    </row>
    <row r="12" spans="1:20" x14ac:dyDescent="0.25">
      <c r="A12" s="52" t="s">
        <v>196</v>
      </c>
      <c r="C12" s="212" t="s">
        <v>22</v>
      </c>
    </row>
    <row r="27" spans="1:2" x14ac:dyDescent="0.25">
      <c r="A27" s="56" t="s">
        <v>178</v>
      </c>
    </row>
    <row r="28" spans="1:2" x14ac:dyDescent="0.25">
      <c r="A28" s="40"/>
      <c r="B28" s="52" t="s">
        <v>175</v>
      </c>
    </row>
    <row r="29" spans="1:2" x14ac:dyDescent="0.25">
      <c r="A29" s="41"/>
      <c r="B29" s="52" t="s">
        <v>176</v>
      </c>
    </row>
    <row r="30" spans="1:2" x14ac:dyDescent="0.25">
      <c r="A30" s="42"/>
      <c r="B30" s="52" t="s">
        <v>197</v>
      </c>
    </row>
    <row r="31" spans="1:2" x14ac:dyDescent="0.25">
      <c r="A31" s="43"/>
      <c r="B31" s="52" t="s">
        <v>177</v>
      </c>
    </row>
    <row r="34" spans="4:4" x14ac:dyDescent="0.25">
      <c r="D34" s="61"/>
    </row>
    <row r="35" spans="4:4" x14ac:dyDescent="0.25">
      <c r="D35" s="61"/>
    </row>
  </sheetData>
  <sheetProtection algorithmName="SHA-512" hashValue="CAMLju7Gz0zpGafnI9psBpSon9D1mrQIIOTIkPnwpjo4ziO9MUEbSKTKhoJMxUnEYzrzQdYPqDUmnmfIHxvNSQ==" saltValue="KCPn/NiMDZgtTLNl6Ayw+w==" spinCount="100000" sheet="1" objects="1" scenarios="1"/>
  <dataValidations count="1">
    <dataValidation showInputMessage="1" showErrorMessage="1" sqref="B1" xr:uid="{00000000-0002-0000-0B00-000000000000}"/>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62465" r:id="rId4" name="PlannedRangeStart">
              <controlPr defaultSize="0" autoLine="0" autoPict="0" macro="[0]!PlannedRangeStart_Change">
                <anchor moveWithCells="1">
                  <from>
                    <xdr:col>1</xdr:col>
                    <xdr:colOff>0</xdr:colOff>
                    <xdr:row>3</xdr:row>
                    <xdr:rowOff>0</xdr:rowOff>
                  </from>
                  <to>
                    <xdr:col>1</xdr:col>
                    <xdr:colOff>868680</xdr:colOff>
                    <xdr:row>3</xdr:row>
                    <xdr:rowOff>175260</xdr:rowOff>
                  </to>
                </anchor>
              </controlPr>
            </control>
          </mc:Choice>
        </mc:AlternateContent>
        <mc:AlternateContent xmlns:mc="http://schemas.openxmlformats.org/markup-compatibility/2006">
          <mc:Choice Requires="x14">
            <control shapeId="62474" r:id="rId5" name="Section1Start">
              <controlPr defaultSize="0" autoLine="0" autoPict="0">
                <anchor moveWithCells="1">
                  <from>
                    <xdr:col>1</xdr:col>
                    <xdr:colOff>0</xdr:colOff>
                    <xdr:row>4</xdr:row>
                    <xdr:rowOff>0</xdr:rowOff>
                  </from>
                  <to>
                    <xdr:col>1</xdr:col>
                    <xdr:colOff>868680</xdr:colOff>
                    <xdr:row>4</xdr:row>
                    <xdr:rowOff>175260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1000000}">
          <x14:formula1>
            <xm:f>'Control sheet (hide)'!$C$3:$C$4</xm:f>
          </x14:formula1>
          <xm:sqref>C10 C12</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8"/>
  <dimension ref="A1:BL259"/>
  <sheetViews>
    <sheetView showGridLines="0" showRowColHeaders="0" zoomScaleNormal="100" workbookViewId="0">
      <selection activeCell="C3" sqref="C3"/>
    </sheetView>
  </sheetViews>
  <sheetFormatPr defaultRowHeight="13.8" x14ac:dyDescent="0.25"/>
  <cols>
    <col min="1" max="1" width="2.59765625" style="52" customWidth="1"/>
    <col min="2" max="2" width="20.59765625" customWidth="1"/>
    <col min="3" max="3" width="16.69921875" customWidth="1"/>
    <col min="4" max="4" width="13" bestFit="1" customWidth="1"/>
    <col min="5" max="5" width="7.09765625" customWidth="1"/>
    <col min="6" max="6" width="7.69921875" customWidth="1"/>
    <col min="7" max="7" width="7.69921875" style="67" hidden="1" customWidth="1"/>
    <col min="8" max="8" width="8.59765625" customWidth="1"/>
    <col min="9" max="9" width="10.5" customWidth="1"/>
    <col min="10" max="10" width="11.3984375" style="52" hidden="1" customWidth="1"/>
    <col min="11" max="11" width="9.8984375" style="72" hidden="1" customWidth="1"/>
    <col min="12" max="12" width="9" style="72" customWidth="1"/>
    <col min="13" max="13" width="3.19921875" style="72" customWidth="1"/>
    <col min="14" max="14" width="20.59765625" customWidth="1"/>
    <col min="15" max="15" width="16.19921875" bestFit="1" customWidth="1"/>
    <col min="16" max="16" width="13" customWidth="1"/>
    <col min="17" max="17" width="6.5" customWidth="1"/>
    <col min="18" max="18" width="8.3984375" customWidth="1"/>
    <col min="19" max="19" width="8.3984375" style="67" hidden="1" customWidth="1"/>
    <col min="20" max="20" width="8.69921875" customWidth="1"/>
    <col min="21" max="21" width="10.59765625" customWidth="1"/>
    <col min="22" max="64" width="9" style="52"/>
  </cols>
  <sheetData>
    <row r="1" spans="1:22" s="52" customFormat="1" x14ac:dyDescent="0.25">
      <c r="B1" s="72"/>
      <c r="C1" s="72"/>
      <c r="D1" s="72"/>
      <c r="E1" s="72"/>
      <c r="F1" s="72"/>
      <c r="G1" s="72"/>
      <c r="H1" s="72"/>
      <c r="I1" s="72"/>
      <c r="J1" s="72"/>
      <c r="K1" s="72"/>
      <c r="L1" s="72"/>
      <c r="M1" s="72"/>
      <c r="N1" s="72"/>
      <c r="O1" s="72"/>
      <c r="P1" s="72"/>
      <c r="Q1" s="72"/>
      <c r="R1" s="72"/>
      <c r="S1" s="72"/>
      <c r="T1" s="72"/>
      <c r="U1" s="72"/>
    </row>
    <row r="2" spans="1:22" s="52" customFormat="1" x14ac:dyDescent="0.25">
      <c r="B2" s="106" t="s">
        <v>391</v>
      </c>
      <c r="C2" s="106"/>
      <c r="D2" s="72"/>
      <c r="E2" s="72"/>
      <c r="F2" s="72"/>
      <c r="G2" s="72"/>
      <c r="H2" s="72"/>
      <c r="I2" s="72"/>
      <c r="J2" s="72"/>
      <c r="K2" s="72"/>
      <c r="L2" s="72"/>
      <c r="M2" s="72"/>
      <c r="N2" s="72"/>
      <c r="O2" s="72"/>
      <c r="P2" s="72"/>
      <c r="Q2" s="72"/>
      <c r="R2" s="72"/>
      <c r="S2" s="72"/>
      <c r="T2" s="72"/>
      <c r="U2" s="72"/>
    </row>
    <row r="3" spans="1:22" s="52" customFormat="1" x14ac:dyDescent="0.25">
      <c r="B3" s="72" t="s">
        <v>474</v>
      </c>
      <c r="C3" s="346">
        <f>'Demand adjustments for Covid'!F12</f>
        <v>43934</v>
      </c>
      <c r="D3" s="72"/>
      <c r="F3" s="72"/>
      <c r="G3" s="72"/>
      <c r="H3" s="72"/>
      <c r="I3" s="72"/>
      <c r="J3" s="72"/>
      <c r="K3" s="72"/>
      <c r="L3" s="72"/>
      <c r="M3" s="72"/>
      <c r="N3" s="72"/>
      <c r="O3" s="72"/>
      <c r="P3" s="72"/>
      <c r="Q3" s="72"/>
      <c r="R3" s="72"/>
      <c r="S3" s="72"/>
      <c r="T3" s="72"/>
      <c r="U3" s="72"/>
    </row>
    <row r="4" spans="1:22" x14ac:dyDescent="0.25">
      <c r="B4" t="s">
        <v>437</v>
      </c>
      <c r="C4" s="270">
        <f>IF(C3="","",DATE(YEAR(C3)+1,MONTH(C3),DAY(C3))-1)</f>
        <v>44298</v>
      </c>
      <c r="D4" s="74"/>
      <c r="F4" s="72"/>
      <c r="G4" s="72"/>
      <c r="H4" s="72"/>
      <c r="I4" s="72"/>
      <c r="J4" s="67"/>
      <c r="K4" s="67"/>
      <c r="L4" s="67"/>
      <c r="M4" s="67"/>
      <c r="N4" s="72"/>
      <c r="O4" s="72"/>
      <c r="P4" s="72"/>
      <c r="Q4" s="72"/>
      <c r="R4" s="72"/>
      <c r="S4" s="72"/>
      <c r="T4" s="72"/>
      <c r="U4" s="72"/>
    </row>
    <row r="5" spans="1:22" s="52" customFormat="1" x14ac:dyDescent="0.25">
      <c r="D5" s="72"/>
      <c r="E5" s="72"/>
      <c r="F5" s="72"/>
      <c r="G5" s="72"/>
      <c r="H5" s="72"/>
      <c r="I5" s="72"/>
      <c r="J5" s="72"/>
      <c r="K5" s="72"/>
      <c r="L5" s="72"/>
      <c r="M5" s="72"/>
      <c r="N5" s="72"/>
      <c r="O5" s="72"/>
      <c r="P5" s="72"/>
      <c r="Q5" s="72"/>
      <c r="R5" s="72"/>
      <c r="S5" s="72"/>
      <c r="T5" s="72"/>
      <c r="U5" s="72"/>
    </row>
    <row r="6" spans="1:22" s="52" customFormat="1" x14ac:dyDescent="0.25">
      <c r="B6" s="117" t="s">
        <v>438</v>
      </c>
      <c r="C6" s="117" t="s">
        <v>439</v>
      </c>
      <c r="D6" s="72"/>
      <c r="E6" s="72"/>
      <c r="F6" s="72"/>
      <c r="G6" s="72"/>
      <c r="H6" s="72"/>
      <c r="I6" s="72"/>
      <c r="J6" s="72"/>
      <c r="K6" s="72"/>
      <c r="L6" s="72"/>
      <c r="M6" s="72"/>
      <c r="N6" s="72"/>
      <c r="O6" s="72"/>
      <c r="P6" s="72"/>
      <c r="Q6" s="72"/>
      <c r="R6" s="72"/>
      <c r="S6" s="72"/>
      <c r="T6" s="72"/>
      <c r="U6" s="72"/>
    </row>
    <row r="7" spans="1:22" s="52" customFormat="1" x14ac:dyDescent="0.25">
      <c r="B7" s="76"/>
      <c r="C7" s="76"/>
      <c r="D7" s="72"/>
      <c r="E7" s="72"/>
      <c r="F7" s="72"/>
      <c r="G7" s="72"/>
      <c r="H7" s="72"/>
      <c r="I7" s="72"/>
      <c r="J7" s="72"/>
      <c r="K7" s="72"/>
      <c r="L7" s="72"/>
      <c r="M7" s="72"/>
      <c r="N7" s="72"/>
      <c r="O7" s="72"/>
      <c r="P7" s="72"/>
      <c r="Q7" s="72"/>
      <c r="R7" s="72"/>
      <c r="S7" s="72"/>
      <c r="T7" s="72"/>
      <c r="U7" s="72"/>
    </row>
    <row r="8" spans="1:22" s="52" customFormat="1" x14ac:dyDescent="0.25">
      <c r="B8" s="75"/>
      <c r="C8" s="75"/>
      <c r="D8" s="72"/>
      <c r="E8" s="72"/>
      <c r="F8" s="72"/>
      <c r="G8" s="72"/>
      <c r="H8" s="72"/>
      <c r="I8" s="72"/>
      <c r="J8" s="72"/>
      <c r="K8" s="72"/>
      <c r="L8" s="72"/>
      <c r="M8" s="72"/>
      <c r="N8" s="72"/>
      <c r="O8" s="72"/>
      <c r="P8" s="72"/>
      <c r="Q8" s="72"/>
      <c r="R8" s="72"/>
      <c r="S8" s="72"/>
      <c r="T8" s="72"/>
      <c r="U8" s="72"/>
    </row>
    <row r="9" spans="1:22" hidden="1" x14ac:dyDescent="0.25">
      <c r="B9" s="118" t="s">
        <v>469</v>
      </c>
      <c r="C9" s="118" t="s">
        <v>476</v>
      </c>
      <c r="D9" s="72"/>
      <c r="E9" s="72"/>
      <c r="F9" s="72"/>
      <c r="G9" s="72"/>
      <c r="H9" s="72"/>
      <c r="I9" s="72"/>
      <c r="J9" s="67"/>
      <c r="K9" s="67"/>
      <c r="L9" s="67"/>
      <c r="M9" s="67"/>
      <c r="N9" s="72"/>
      <c r="O9" s="72"/>
      <c r="P9" s="72"/>
      <c r="Q9" s="72"/>
      <c r="R9" s="72"/>
      <c r="S9" s="72"/>
      <c r="T9" s="72"/>
      <c r="U9" s="72"/>
    </row>
    <row r="10" spans="1:22" hidden="1" x14ac:dyDescent="0.25">
      <c r="B10" s="69"/>
      <c r="C10" s="69"/>
      <c r="D10" s="72"/>
      <c r="E10" s="72"/>
      <c r="F10" s="72"/>
      <c r="G10" s="72"/>
      <c r="H10" s="72"/>
      <c r="I10" s="72"/>
      <c r="J10" s="67"/>
      <c r="K10" s="67"/>
      <c r="L10" s="67"/>
      <c r="M10" s="67"/>
      <c r="N10" s="72"/>
      <c r="O10" s="72"/>
      <c r="P10" s="72"/>
      <c r="Q10" s="72"/>
      <c r="R10" s="72"/>
      <c r="S10" s="72"/>
      <c r="T10" s="72"/>
      <c r="U10" s="72"/>
    </row>
    <row r="11" spans="1:22" s="52" customFormat="1" x14ac:dyDescent="0.25">
      <c r="B11" s="169" t="s">
        <v>490</v>
      </c>
      <c r="C11" s="170" t="s">
        <v>19</v>
      </c>
      <c r="D11" s="227" t="str">
        <f ca="1">"On aggregate, 1 patient = "&amp;TEXT('Demand background (hide)'!$BN$16,"#.#")&amp;" "&amp;Setup!$I$17</f>
        <v>On aggregate, 1 patient = 2. Points</v>
      </c>
      <c r="E11" s="72"/>
      <c r="F11" s="72"/>
      <c r="G11" s="72"/>
      <c r="H11" s="72"/>
      <c r="I11" s="72"/>
      <c r="J11" s="72"/>
      <c r="K11" s="72"/>
      <c r="L11" s="72"/>
      <c r="M11" s="72"/>
      <c r="N11" s="72"/>
      <c r="O11" s="72"/>
      <c r="P11" s="72"/>
      <c r="Q11" s="72"/>
      <c r="R11" s="72"/>
      <c r="S11" s="72"/>
      <c r="T11" s="72"/>
      <c r="U11" s="72"/>
    </row>
    <row r="12" spans="1:22" s="52" customFormat="1" x14ac:dyDescent="0.25">
      <c r="D12" s="77"/>
      <c r="E12" s="77"/>
      <c r="F12" s="77"/>
      <c r="G12" s="77"/>
      <c r="H12" s="77"/>
      <c r="I12" s="77"/>
      <c r="J12" s="75"/>
      <c r="K12" s="75"/>
      <c r="L12" s="75"/>
      <c r="M12" s="75"/>
      <c r="N12" s="77"/>
      <c r="O12" s="77"/>
      <c r="P12" s="77"/>
      <c r="Q12" s="77"/>
      <c r="R12" s="77"/>
      <c r="S12" s="77"/>
      <c r="T12" s="77"/>
      <c r="U12" s="77"/>
    </row>
    <row r="13" spans="1:22" s="52" customFormat="1" ht="14.25" customHeight="1" x14ac:dyDescent="0.25">
      <c r="B13" s="398" t="s">
        <v>440</v>
      </c>
      <c r="C13" s="398"/>
      <c r="D13" s="73"/>
      <c r="E13" s="73"/>
      <c r="F13" s="73"/>
      <c r="G13" s="73"/>
      <c r="H13" s="73"/>
      <c r="I13" s="73"/>
      <c r="J13" s="72"/>
      <c r="K13" s="72"/>
      <c r="L13" s="72"/>
      <c r="M13" s="72"/>
      <c r="N13" s="72"/>
      <c r="O13" s="72"/>
      <c r="P13" s="72"/>
      <c r="Q13" s="72"/>
      <c r="R13" s="72"/>
      <c r="S13" s="72"/>
      <c r="T13" s="72"/>
      <c r="U13" s="72"/>
    </row>
    <row r="14" spans="1:22" x14ac:dyDescent="0.25">
      <c r="B14" s="119" t="s">
        <v>434</v>
      </c>
      <c r="C14" s="75"/>
      <c r="D14" s="72"/>
      <c r="E14" s="72"/>
      <c r="F14" s="72"/>
      <c r="G14" s="72"/>
      <c r="H14" s="72"/>
      <c r="I14" s="72"/>
      <c r="J14" s="67"/>
      <c r="K14" s="67"/>
      <c r="L14" s="67"/>
      <c r="M14" s="67"/>
      <c r="N14" s="120" t="s">
        <v>436</v>
      </c>
      <c r="O14" s="72"/>
      <c r="P14" s="72"/>
      <c r="Q14" s="72"/>
      <c r="R14" s="72"/>
      <c r="S14" s="72"/>
      <c r="T14" s="72"/>
      <c r="U14" s="72"/>
    </row>
    <row r="15" spans="1:22" x14ac:dyDescent="0.25">
      <c r="A15" s="227"/>
      <c r="B15" s="72"/>
      <c r="C15" s="72"/>
      <c r="D15" s="72"/>
      <c r="E15" s="72"/>
      <c r="F15" s="72"/>
      <c r="G15" s="71"/>
      <c r="H15" s="226">
        <f>SUM(H17:H116)</f>
        <v>4200</v>
      </c>
      <c r="I15" s="226">
        <f>H15/52</f>
        <v>80.769230769230774</v>
      </c>
      <c r="J15" s="67"/>
      <c r="K15" s="67"/>
      <c r="L15" s="67"/>
      <c r="M15" s="67"/>
      <c r="N15" s="72"/>
      <c r="O15" s="72"/>
      <c r="P15" s="72"/>
      <c r="Q15" s="72"/>
      <c r="R15" s="120" t="s">
        <v>255</v>
      </c>
      <c r="S15" s="120"/>
      <c r="T15" s="225">
        <f>SUM(T17:T116)</f>
        <v>0</v>
      </c>
      <c r="U15" s="225">
        <f>SUM(U17:U116)</f>
        <v>0</v>
      </c>
    </row>
    <row r="16" spans="1:22" ht="44.25" customHeight="1" x14ac:dyDescent="0.25">
      <c r="A16" s="294">
        <f>MAX(A17:A116)</f>
        <v>1</v>
      </c>
      <c r="B16" s="296" t="s">
        <v>512</v>
      </c>
      <c r="C16" s="296" t="s">
        <v>513</v>
      </c>
      <c r="D16" s="296" t="s">
        <v>514</v>
      </c>
      <c r="E16" s="296" t="s">
        <v>253</v>
      </c>
      <c r="F16" s="296" t="str">
        <f>C11&amp;" Per Clinic"</f>
        <v>Patients Per Clinic</v>
      </c>
      <c r="G16" s="296" t="s">
        <v>441</v>
      </c>
      <c r="H16" s="296" t="str">
        <f>"Total 
("&amp;$C$11&amp;")"</f>
        <v>Total 
(Patients)</v>
      </c>
      <c r="I16" s="296" t="s">
        <v>254</v>
      </c>
      <c r="J16" s="67"/>
      <c r="K16" s="67"/>
      <c r="L16" s="67"/>
      <c r="M16" s="295">
        <f>MAX(M17:M116)</f>
        <v>1</v>
      </c>
      <c r="N16" s="297" t="s">
        <v>512</v>
      </c>
      <c r="O16" s="297" t="s">
        <v>513</v>
      </c>
      <c r="P16" s="297" t="s">
        <v>514</v>
      </c>
      <c r="Q16" s="297" t="s">
        <v>253</v>
      </c>
      <c r="R16" s="297" t="str">
        <f>C11&amp;" Per Clinic"</f>
        <v>Patients Per Clinic</v>
      </c>
      <c r="S16" s="297" t="s">
        <v>441</v>
      </c>
      <c r="T16" s="297" t="str">
        <f>"Total 
("&amp;C11&amp;")"</f>
        <v>Total 
(Patients)</v>
      </c>
      <c r="U16" s="297" t="s">
        <v>254</v>
      </c>
      <c r="V16" s="315" t="s">
        <v>1118</v>
      </c>
    </row>
    <row r="17" spans="1:22" x14ac:dyDescent="0.25">
      <c r="A17" s="294">
        <f>IF(B17&lt;&gt;"",ROW(A1),0)</f>
        <v>1</v>
      </c>
      <c r="B17" s="164" t="s">
        <v>1211</v>
      </c>
      <c r="C17" s="164"/>
      <c r="D17" s="164"/>
      <c r="E17" s="176">
        <v>42</v>
      </c>
      <c r="F17" s="176">
        <v>100</v>
      </c>
      <c r="G17" s="131"/>
      <c r="H17" s="223">
        <f>IF(ROW(A1)&lt;=$A$16,F17*E17,"")</f>
        <v>4200</v>
      </c>
      <c r="I17" s="301">
        <f>IFERROR(H17/52,"")</f>
        <v>80.769230769230774</v>
      </c>
      <c r="J17" s="67"/>
      <c r="K17" s="67"/>
      <c r="L17" s="67"/>
      <c r="M17" s="295">
        <f>IF(N17&lt;&gt;"",ROW(A1),0)</f>
        <v>1</v>
      </c>
      <c r="N17" s="177" t="s">
        <v>1212</v>
      </c>
      <c r="O17" s="177"/>
      <c r="P17" s="177"/>
      <c r="Q17" s="178"/>
      <c r="R17" s="178"/>
      <c r="S17" s="132"/>
      <c r="T17" s="224">
        <f>IF(ROW(A1)&lt;=$M$16,R17*Q17,"")</f>
        <v>0</v>
      </c>
      <c r="U17" s="302">
        <f>IFERROR(T17/52,"")</f>
        <v>0</v>
      </c>
      <c r="V17" s="324"/>
    </row>
    <row r="18" spans="1:22" x14ac:dyDescent="0.25">
      <c r="A18" s="294">
        <f t="shared" ref="A18:A81" si="0">IF(B18&lt;&gt;"",ROW(A2),0)</f>
        <v>0</v>
      </c>
      <c r="B18" s="164"/>
      <c r="C18" s="164"/>
      <c r="D18" s="164"/>
      <c r="E18" s="176"/>
      <c r="F18" s="176"/>
      <c r="G18" s="131"/>
      <c r="H18" s="223" t="str">
        <f t="shared" ref="H18:H81" si="1">IF(ROW(A2)&lt;=$A$16,F18*E18,"")</f>
        <v/>
      </c>
      <c r="I18" s="301" t="str">
        <f t="shared" ref="I18:I81" si="2">IFERROR(H18/52,"")</f>
        <v/>
      </c>
      <c r="J18" s="67"/>
      <c r="K18" s="67"/>
      <c r="L18" s="67"/>
      <c r="M18" s="295">
        <f t="shared" ref="M18:M81" si="3">IF(N18&lt;&gt;"",ROW(A2),0)</f>
        <v>0</v>
      </c>
      <c r="N18" s="164"/>
      <c r="O18" s="164"/>
      <c r="P18" s="164"/>
      <c r="Q18" s="176"/>
      <c r="R18" s="176"/>
      <c r="S18" s="131"/>
      <c r="T18" s="224" t="str">
        <f t="shared" ref="T18:T81" si="4">IF(ROW(A2)&lt;=$M$16,R18*Q18,"")</f>
        <v/>
      </c>
      <c r="U18" s="301" t="str">
        <f t="shared" ref="U18:U81" si="5">IFERROR(T18/52,"")</f>
        <v/>
      </c>
      <c r="V18" s="324"/>
    </row>
    <row r="19" spans="1:22" x14ac:dyDescent="0.25">
      <c r="A19" s="294">
        <f t="shared" si="0"/>
        <v>0</v>
      </c>
      <c r="B19" s="164"/>
      <c r="C19" s="164"/>
      <c r="D19" s="164"/>
      <c r="E19" s="176"/>
      <c r="F19" s="176"/>
      <c r="G19" s="131"/>
      <c r="H19" s="223" t="str">
        <f t="shared" si="1"/>
        <v/>
      </c>
      <c r="I19" s="301" t="str">
        <f t="shared" si="2"/>
        <v/>
      </c>
      <c r="J19" s="67"/>
      <c r="K19" s="67"/>
      <c r="L19" s="67"/>
      <c r="M19" s="295">
        <f t="shared" si="3"/>
        <v>0</v>
      </c>
      <c r="N19" s="164"/>
      <c r="O19" s="164"/>
      <c r="P19" s="164"/>
      <c r="Q19" s="176"/>
      <c r="R19" s="176"/>
      <c r="S19" s="131"/>
      <c r="T19" s="224" t="str">
        <f t="shared" si="4"/>
        <v/>
      </c>
      <c r="U19" s="223" t="str">
        <f t="shared" si="5"/>
        <v/>
      </c>
      <c r="V19" s="325"/>
    </row>
    <row r="20" spans="1:22" x14ac:dyDescent="0.25">
      <c r="A20" s="294">
        <f t="shared" si="0"/>
        <v>0</v>
      </c>
      <c r="B20" s="164"/>
      <c r="C20" s="164"/>
      <c r="D20" s="164"/>
      <c r="E20" s="176"/>
      <c r="F20" s="176"/>
      <c r="G20" s="131"/>
      <c r="H20" s="223" t="str">
        <f t="shared" si="1"/>
        <v/>
      </c>
      <c r="I20" s="301" t="str">
        <f t="shared" si="2"/>
        <v/>
      </c>
      <c r="J20" s="67"/>
      <c r="K20" s="67"/>
      <c r="L20" s="67"/>
      <c r="M20" s="295">
        <f t="shared" si="3"/>
        <v>0</v>
      </c>
      <c r="N20" s="164"/>
      <c r="O20" s="164"/>
      <c r="P20" s="164"/>
      <c r="Q20" s="176"/>
      <c r="R20" s="176"/>
      <c r="S20" s="131"/>
      <c r="T20" s="224" t="str">
        <f t="shared" si="4"/>
        <v/>
      </c>
      <c r="U20" s="223" t="str">
        <f t="shared" si="5"/>
        <v/>
      </c>
      <c r="V20" s="325"/>
    </row>
    <row r="21" spans="1:22" x14ac:dyDescent="0.25">
      <c r="A21" s="294">
        <f t="shared" si="0"/>
        <v>0</v>
      </c>
      <c r="B21" s="314"/>
      <c r="C21" s="164"/>
      <c r="D21" s="164"/>
      <c r="E21" s="176"/>
      <c r="F21" s="176"/>
      <c r="G21" s="131"/>
      <c r="H21" s="223" t="str">
        <f t="shared" si="1"/>
        <v/>
      </c>
      <c r="I21" s="223" t="str">
        <f t="shared" si="2"/>
        <v/>
      </c>
      <c r="J21" s="67"/>
      <c r="K21" s="67"/>
      <c r="L21" s="67"/>
      <c r="M21" s="295">
        <f t="shared" si="3"/>
        <v>0</v>
      </c>
      <c r="N21" s="164"/>
      <c r="O21" s="164"/>
      <c r="P21" s="164"/>
      <c r="Q21" s="176"/>
      <c r="R21" s="176"/>
      <c r="S21" s="131"/>
      <c r="T21" s="224" t="str">
        <f t="shared" si="4"/>
        <v/>
      </c>
      <c r="U21" s="223" t="str">
        <f t="shared" si="5"/>
        <v/>
      </c>
      <c r="V21" s="325"/>
    </row>
    <row r="22" spans="1:22" x14ac:dyDescent="0.25">
      <c r="A22" s="294">
        <f t="shared" si="0"/>
        <v>0</v>
      </c>
      <c r="B22" s="164"/>
      <c r="C22" s="164"/>
      <c r="D22" s="164"/>
      <c r="E22" s="176"/>
      <c r="F22" s="176"/>
      <c r="G22" s="131"/>
      <c r="H22" s="223" t="str">
        <f t="shared" si="1"/>
        <v/>
      </c>
      <c r="I22" s="223" t="str">
        <f t="shared" si="2"/>
        <v/>
      </c>
      <c r="J22" s="67"/>
      <c r="K22" s="67"/>
      <c r="L22" s="67"/>
      <c r="M22" s="295">
        <f t="shared" si="3"/>
        <v>0</v>
      </c>
      <c r="N22" s="164"/>
      <c r="O22" s="164"/>
      <c r="P22" s="164"/>
      <c r="Q22" s="176"/>
      <c r="R22" s="176"/>
      <c r="S22" s="131"/>
      <c r="T22" s="224" t="str">
        <f t="shared" si="4"/>
        <v/>
      </c>
      <c r="U22" s="223" t="str">
        <f t="shared" si="5"/>
        <v/>
      </c>
      <c r="V22" s="325"/>
    </row>
    <row r="23" spans="1:22" x14ac:dyDescent="0.25">
      <c r="A23" s="294">
        <f t="shared" si="0"/>
        <v>0</v>
      </c>
      <c r="B23" s="164"/>
      <c r="C23" s="164"/>
      <c r="D23" s="164"/>
      <c r="E23" s="176"/>
      <c r="F23" s="176"/>
      <c r="G23" s="131"/>
      <c r="H23" s="223" t="str">
        <f t="shared" si="1"/>
        <v/>
      </c>
      <c r="I23" s="223" t="str">
        <f t="shared" si="2"/>
        <v/>
      </c>
      <c r="J23" s="67"/>
      <c r="K23" s="67"/>
      <c r="L23" s="67"/>
      <c r="M23" s="295">
        <f t="shared" si="3"/>
        <v>0</v>
      </c>
      <c r="N23" s="164"/>
      <c r="O23" s="164"/>
      <c r="P23" s="164"/>
      <c r="Q23" s="176"/>
      <c r="R23" s="176"/>
      <c r="S23" s="131"/>
      <c r="T23" s="224" t="str">
        <f t="shared" si="4"/>
        <v/>
      </c>
      <c r="U23" s="223" t="str">
        <f t="shared" si="5"/>
        <v/>
      </c>
      <c r="V23" s="325"/>
    </row>
    <row r="24" spans="1:22" x14ac:dyDescent="0.25">
      <c r="A24" s="294">
        <f t="shared" si="0"/>
        <v>0</v>
      </c>
      <c r="B24" s="164"/>
      <c r="C24" s="164"/>
      <c r="D24" s="164"/>
      <c r="E24" s="176"/>
      <c r="F24" s="176"/>
      <c r="G24" s="131"/>
      <c r="H24" s="223" t="str">
        <f t="shared" si="1"/>
        <v/>
      </c>
      <c r="I24" s="223" t="str">
        <f t="shared" si="2"/>
        <v/>
      </c>
      <c r="J24" s="67"/>
      <c r="K24" s="67"/>
      <c r="L24" s="67"/>
      <c r="M24" s="295">
        <f t="shared" si="3"/>
        <v>0</v>
      </c>
      <c r="N24" s="164"/>
      <c r="O24" s="164"/>
      <c r="P24" s="164"/>
      <c r="Q24" s="176"/>
      <c r="R24" s="176"/>
      <c r="S24" s="131"/>
      <c r="T24" s="224" t="str">
        <f t="shared" si="4"/>
        <v/>
      </c>
      <c r="U24" s="223" t="str">
        <f t="shared" si="5"/>
        <v/>
      </c>
      <c r="V24" s="325"/>
    </row>
    <row r="25" spans="1:22" x14ac:dyDescent="0.25">
      <c r="A25" s="294">
        <f t="shared" si="0"/>
        <v>0</v>
      </c>
      <c r="B25" s="164"/>
      <c r="C25" s="164"/>
      <c r="D25" s="164"/>
      <c r="E25" s="176"/>
      <c r="F25" s="176"/>
      <c r="G25" s="131"/>
      <c r="H25" s="223" t="str">
        <f t="shared" si="1"/>
        <v/>
      </c>
      <c r="I25" s="223" t="str">
        <f t="shared" si="2"/>
        <v/>
      </c>
      <c r="J25" s="67"/>
      <c r="K25" s="67"/>
      <c r="L25" s="67"/>
      <c r="M25" s="295">
        <f t="shared" si="3"/>
        <v>0</v>
      </c>
      <c r="N25" s="164"/>
      <c r="O25" s="164"/>
      <c r="P25" s="164"/>
      <c r="Q25" s="176"/>
      <c r="R25" s="176"/>
      <c r="S25" s="131"/>
      <c r="T25" s="224" t="str">
        <f t="shared" si="4"/>
        <v/>
      </c>
      <c r="U25" s="223" t="str">
        <f t="shared" si="5"/>
        <v/>
      </c>
      <c r="V25" s="325"/>
    </row>
    <row r="26" spans="1:22" x14ac:dyDescent="0.25">
      <c r="A26" s="294">
        <f t="shared" si="0"/>
        <v>0</v>
      </c>
      <c r="B26" s="164"/>
      <c r="C26" s="164"/>
      <c r="D26" s="164"/>
      <c r="E26" s="176"/>
      <c r="F26" s="176"/>
      <c r="G26" s="131"/>
      <c r="H26" s="223" t="str">
        <f t="shared" si="1"/>
        <v/>
      </c>
      <c r="I26" s="223" t="str">
        <f t="shared" si="2"/>
        <v/>
      </c>
      <c r="J26" s="67"/>
      <c r="K26" s="67"/>
      <c r="L26" s="67"/>
      <c r="M26" s="295">
        <f t="shared" si="3"/>
        <v>0</v>
      </c>
      <c r="N26" s="164"/>
      <c r="O26" s="164"/>
      <c r="P26" s="164"/>
      <c r="Q26" s="176"/>
      <c r="R26" s="176"/>
      <c r="S26" s="131"/>
      <c r="T26" s="224" t="str">
        <f t="shared" si="4"/>
        <v/>
      </c>
      <c r="U26" s="223" t="str">
        <f t="shared" si="5"/>
        <v/>
      </c>
      <c r="V26" s="325"/>
    </row>
    <row r="27" spans="1:22" x14ac:dyDescent="0.25">
      <c r="A27" s="294">
        <f t="shared" si="0"/>
        <v>0</v>
      </c>
      <c r="B27" s="164"/>
      <c r="C27" s="164"/>
      <c r="D27" s="164"/>
      <c r="E27" s="176"/>
      <c r="F27" s="176"/>
      <c r="G27" s="131"/>
      <c r="H27" s="223" t="str">
        <f t="shared" si="1"/>
        <v/>
      </c>
      <c r="I27" s="223" t="str">
        <f t="shared" si="2"/>
        <v/>
      </c>
      <c r="J27" s="67"/>
      <c r="K27" s="67"/>
      <c r="L27" s="67"/>
      <c r="M27" s="295">
        <f t="shared" si="3"/>
        <v>0</v>
      </c>
      <c r="N27" s="164"/>
      <c r="O27" s="164"/>
      <c r="P27" s="164"/>
      <c r="Q27" s="176"/>
      <c r="R27" s="176"/>
      <c r="S27" s="131"/>
      <c r="T27" s="224" t="str">
        <f t="shared" si="4"/>
        <v/>
      </c>
      <c r="U27" s="223" t="str">
        <f t="shared" si="5"/>
        <v/>
      </c>
      <c r="V27" s="325"/>
    </row>
    <row r="28" spans="1:22" x14ac:dyDescent="0.25">
      <c r="A28" s="294">
        <f t="shared" si="0"/>
        <v>0</v>
      </c>
      <c r="B28" s="164"/>
      <c r="C28" s="164"/>
      <c r="D28" s="164"/>
      <c r="E28" s="176"/>
      <c r="F28" s="176"/>
      <c r="G28" s="131"/>
      <c r="H28" s="223" t="str">
        <f t="shared" si="1"/>
        <v/>
      </c>
      <c r="I28" s="223" t="str">
        <f t="shared" si="2"/>
        <v/>
      </c>
      <c r="J28" s="67"/>
      <c r="K28" s="67"/>
      <c r="L28" s="67"/>
      <c r="M28" s="295">
        <f t="shared" si="3"/>
        <v>0</v>
      </c>
      <c r="N28" s="164"/>
      <c r="O28" s="164"/>
      <c r="P28" s="164"/>
      <c r="Q28" s="176"/>
      <c r="R28" s="176"/>
      <c r="S28" s="131"/>
      <c r="T28" s="224" t="str">
        <f t="shared" si="4"/>
        <v/>
      </c>
      <c r="U28" s="223" t="str">
        <f t="shared" si="5"/>
        <v/>
      </c>
      <c r="V28" s="325"/>
    </row>
    <row r="29" spans="1:22" x14ac:dyDescent="0.25">
      <c r="A29" s="294">
        <f t="shared" si="0"/>
        <v>0</v>
      </c>
      <c r="B29" s="164"/>
      <c r="C29" s="164"/>
      <c r="D29" s="164"/>
      <c r="E29" s="176"/>
      <c r="F29" s="176"/>
      <c r="G29" s="131"/>
      <c r="H29" s="223" t="str">
        <f t="shared" si="1"/>
        <v/>
      </c>
      <c r="I29" s="223" t="str">
        <f t="shared" si="2"/>
        <v/>
      </c>
      <c r="J29" s="67"/>
      <c r="K29" s="67"/>
      <c r="L29" s="67"/>
      <c r="M29" s="295">
        <f t="shared" si="3"/>
        <v>0</v>
      </c>
      <c r="N29" s="164"/>
      <c r="O29" s="164"/>
      <c r="P29" s="164"/>
      <c r="Q29" s="176"/>
      <c r="R29" s="176"/>
      <c r="S29" s="131"/>
      <c r="T29" s="224" t="str">
        <f t="shared" si="4"/>
        <v/>
      </c>
      <c r="U29" s="223" t="str">
        <f t="shared" si="5"/>
        <v/>
      </c>
      <c r="V29" s="325"/>
    </row>
    <row r="30" spans="1:22" x14ac:dyDescent="0.25">
      <c r="A30" s="294">
        <f t="shared" si="0"/>
        <v>0</v>
      </c>
      <c r="B30" s="164"/>
      <c r="C30" s="164"/>
      <c r="D30" s="164"/>
      <c r="E30" s="176"/>
      <c r="F30" s="176"/>
      <c r="G30" s="131"/>
      <c r="H30" s="223" t="str">
        <f t="shared" si="1"/>
        <v/>
      </c>
      <c r="I30" s="223" t="str">
        <f t="shared" si="2"/>
        <v/>
      </c>
      <c r="J30" s="67"/>
      <c r="K30" s="67"/>
      <c r="L30" s="67"/>
      <c r="M30" s="295">
        <f t="shared" si="3"/>
        <v>0</v>
      </c>
      <c r="N30" s="164"/>
      <c r="O30" s="164"/>
      <c r="P30" s="164"/>
      <c r="Q30" s="176"/>
      <c r="R30" s="176"/>
      <c r="S30" s="131"/>
      <c r="T30" s="224" t="str">
        <f t="shared" si="4"/>
        <v/>
      </c>
      <c r="U30" s="223" t="str">
        <f t="shared" si="5"/>
        <v/>
      </c>
      <c r="V30" s="325"/>
    </row>
    <row r="31" spans="1:22" x14ac:dyDescent="0.25">
      <c r="A31" s="294">
        <f t="shared" si="0"/>
        <v>0</v>
      </c>
      <c r="B31" s="164"/>
      <c r="C31" s="164"/>
      <c r="D31" s="164"/>
      <c r="E31" s="176"/>
      <c r="F31" s="176"/>
      <c r="G31" s="131"/>
      <c r="H31" s="223" t="str">
        <f t="shared" si="1"/>
        <v/>
      </c>
      <c r="I31" s="223" t="str">
        <f t="shared" si="2"/>
        <v/>
      </c>
      <c r="J31" s="67"/>
      <c r="K31" s="67"/>
      <c r="L31" s="67"/>
      <c r="M31" s="295">
        <f t="shared" si="3"/>
        <v>0</v>
      </c>
      <c r="N31" s="164"/>
      <c r="O31" s="164"/>
      <c r="P31" s="164"/>
      <c r="Q31" s="176"/>
      <c r="R31" s="176"/>
      <c r="S31" s="131"/>
      <c r="T31" s="224" t="str">
        <f t="shared" si="4"/>
        <v/>
      </c>
      <c r="U31" s="223" t="str">
        <f t="shared" si="5"/>
        <v/>
      </c>
      <c r="V31" s="325"/>
    </row>
    <row r="32" spans="1:22" x14ac:dyDescent="0.25">
      <c r="A32" s="294">
        <f t="shared" si="0"/>
        <v>0</v>
      </c>
      <c r="B32" s="164"/>
      <c r="C32" s="164"/>
      <c r="D32" s="164"/>
      <c r="E32" s="176"/>
      <c r="F32" s="176"/>
      <c r="G32" s="131"/>
      <c r="H32" s="223" t="str">
        <f t="shared" si="1"/>
        <v/>
      </c>
      <c r="I32" s="223" t="str">
        <f t="shared" si="2"/>
        <v/>
      </c>
      <c r="J32" s="67"/>
      <c r="K32" s="67"/>
      <c r="L32" s="67"/>
      <c r="M32" s="295">
        <f t="shared" si="3"/>
        <v>0</v>
      </c>
      <c r="N32" s="164"/>
      <c r="O32" s="164"/>
      <c r="P32" s="164"/>
      <c r="Q32" s="176"/>
      <c r="R32" s="176"/>
      <c r="S32" s="131"/>
      <c r="T32" s="224" t="str">
        <f t="shared" si="4"/>
        <v/>
      </c>
      <c r="U32" s="223" t="str">
        <f t="shared" si="5"/>
        <v/>
      </c>
      <c r="V32" s="325"/>
    </row>
    <row r="33" spans="1:22" x14ac:dyDescent="0.25">
      <c r="A33" s="294">
        <f t="shared" si="0"/>
        <v>0</v>
      </c>
      <c r="B33" s="164"/>
      <c r="C33" s="164"/>
      <c r="D33" s="164"/>
      <c r="E33" s="176"/>
      <c r="F33" s="176"/>
      <c r="G33" s="131"/>
      <c r="H33" s="223" t="str">
        <f t="shared" si="1"/>
        <v/>
      </c>
      <c r="I33" s="223" t="str">
        <f t="shared" si="2"/>
        <v/>
      </c>
      <c r="J33" s="67"/>
      <c r="K33" s="67"/>
      <c r="L33" s="67"/>
      <c r="M33" s="295">
        <f t="shared" si="3"/>
        <v>0</v>
      </c>
      <c r="N33" s="164"/>
      <c r="O33" s="164"/>
      <c r="P33" s="164"/>
      <c r="Q33" s="176"/>
      <c r="R33" s="176"/>
      <c r="S33" s="131"/>
      <c r="T33" s="224" t="str">
        <f t="shared" si="4"/>
        <v/>
      </c>
      <c r="U33" s="223" t="str">
        <f t="shared" si="5"/>
        <v/>
      </c>
      <c r="V33" s="325"/>
    </row>
    <row r="34" spans="1:22" x14ac:dyDescent="0.25">
      <c r="A34" s="294">
        <f t="shared" si="0"/>
        <v>0</v>
      </c>
      <c r="B34" s="164"/>
      <c r="C34" s="164"/>
      <c r="D34" s="164"/>
      <c r="E34" s="176"/>
      <c r="F34" s="176"/>
      <c r="G34" s="131"/>
      <c r="H34" s="223" t="str">
        <f t="shared" si="1"/>
        <v/>
      </c>
      <c r="I34" s="223" t="str">
        <f t="shared" si="2"/>
        <v/>
      </c>
      <c r="J34" s="67"/>
      <c r="K34" s="67"/>
      <c r="L34" s="67"/>
      <c r="M34" s="295">
        <f t="shared" si="3"/>
        <v>0</v>
      </c>
      <c r="N34" s="164"/>
      <c r="O34" s="164"/>
      <c r="P34" s="164"/>
      <c r="Q34" s="176"/>
      <c r="R34" s="176"/>
      <c r="S34" s="131"/>
      <c r="T34" s="224" t="str">
        <f t="shared" si="4"/>
        <v/>
      </c>
      <c r="U34" s="223" t="str">
        <f t="shared" si="5"/>
        <v/>
      </c>
      <c r="V34" s="325"/>
    </row>
    <row r="35" spans="1:22" x14ac:dyDescent="0.25">
      <c r="A35" s="294">
        <f t="shared" si="0"/>
        <v>0</v>
      </c>
      <c r="B35" s="164"/>
      <c r="C35" s="164"/>
      <c r="D35" s="164"/>
      <c r="E35" s="176"/>
      <c r="F35" s="176"/>
      <c r="G35" s="131"/>
      <c r="H35" s="223" t="str">
        <f t="shared" si="1"/>
        <v/>
      </c>
      <c r="I35" s="223" t="str">
        <f t="shared" si="2"/>
        <v/>
      </c>
      <c r="J35" s="67"/>
      <c r="K35" s="67"/>
      <c r="L35" s="67"/>
      <c r="M35" s="295">
        <f t="shared" si="3"/>
        <v>0</v>
      </c>
      <c r="N35" s="164"/>
      <c r="O35" s="164"/>
      <c r="P35" s="164"/>
      <c r="Q35" s="176"/>
      <c r="R35" s="176"/>
      <c r="S35" s="131"/>
      <c r="T35" s="224" t="str">
        <f t="shared" si="4"/>
        <v/>
      </c>
      <c r="U35" s="223" t="str">
        <f t="shared" si="5"/>
        <v/>
      </c>
      <c r="V35" s="325"/>
    </row>
    <row r="36" spans="1:22" x14ac:dyDescent="0.25">
      <c r="A36" s="294">
        <f t="shared" si="0"/>
        <v>0</v>
      </c>
      <c r="B36" s="164"/>
      <c r="C36" s="164"/>
      <c r="D36" s="164"/>
      <c r="E36" s="176"/>
      <c r="F36" s="176"/>
      <c r="G36" s="131"/>
      <c r="H36" s="223" t="str">
        <f t="shared" si="1"/>
        <v/>
      </c>
      <c r="I36" s="223" t="str">
        <f t="shared" si="2"/>
        <v/>
      </c>
      <c r="J36" s="67"/>
      <c r="K36" s="67"/>
      <c r="L36" s="67"/>
      <c r="M36" s="295">
        <f t="shared" si="3"/>
        <v>0</v>
      </c>
      <c r="N36" s="164"/>
      <c r="O36" s="164"/>
      <c r="P36" s="164"/>
      <c r="Q36" s="176"/>
      <c r="R36" s="176"/>
      <c r="S36" s="131"/>
      <c r="T36" s="224" t="str">
        <f t="shared" si="4"/>
        <v/>
      </c>
      <c r="U36" s="223" t="str">
        <f t="shared" si="5"/>
        <v/>
      </c>
      <c r="V36" s="325"/>
    </row>
    <row r="37" spans="1:22" x14ac:dyDescent="0.25">
      <c r="A37" s="294">
        <f t="shared" si="0"/>
        <v>0</v>
      </c>
      <c r="B37" s="164"/>
      <c r="C37" s="164"/>
      <c r="D37" s="164"/>
      <c r="E37" s="176"/>
      <c r="F37" s="176"/>
      <c r="G37" s="131"/>
      <c r="H37" s="223" t="str">
        <f t="shared" si="1"/>
        <v/>
      </c>
      <c r="I37" s="223" t="str">
        <f t="shared" si="2"/>
        <v/>
      </c>
      <c r="J37" s="67"/>
      <c r="K37" s="67"/>
      <c r="L37" s="67"/>
      <c r="M37" s="295">
        <f t="shared" si="3"/>
        <v>0</v>
      </c>
      <c r="N37" s="164"/>
      <c r="O37" s="164"/>
      <c r="P37" s="164"/>
      <c r="Q37" s="176"/>
      <c r="R37" s="176"/>
      <c r="S37" s="131"/>
      <c r="T37" s="224" t="str">
        <f t="shared" si="4"/>
        <v/>
      </c>
      <c r="U37" s="223" t="str">
        <f t="shared" si="5"/>
        <v/>
      </c>
      <c r="V37" s="325"/>
    </row>
    <row r="38" spans="1:22" x14ac:dyDescent="0.25">
      <c r="A38" s="294">
        <f t="shared" si="0"/>
        <v>0</v>
      </c>
      <c r="B38" s="164"/>
      <c r="C38" s="164"/>
      <c r="D38" s="164"/>
      <c r="E38" s="176"/>
      <c r="F38" s="176"/>
      <c r="G38" s="131"/>
      <c r="H38" s="223" t="str">
        <f t="shared" si="1"/>
        <v/>
      </c>
      <c r="I38" s="223" t="str">
        <f t="shared" si="2"/>
        <v/>
      </c>
      <c r="J38" s="67"/>
      <c r="K38" s="67"/>
      <c r="L38" s="67"/>
      <c r="M38" s="295">
        <f t="shared" si="3"/>
        <v>0</v>
      </c>
      <c r="N38" s="164"/>
      <c r="O38" s="164"/>
      <c r="P38" s="164"/>
      <c r="Q38" s="176"/>
      <c r="R38" s="176"/>
      <c r="S38" s="131"/>
      <c r="T38" s="224" t="str">
        <f t="shared" si="4"/>
        <v/>
      </c>
      <c r="U38" s="223" t="str">
        <f t="shared" si="5"/>
        <v/>
      </c>
      <c r="V38" s="325"/>
    </row>
    <row r="39" spans="1:22" x14ac:dyDescent="0.25">
      <c r="A39" s="294">
        <f t="shared" si="0"/>
        <v>0</v>
      </c>
      <c r="B39" s="164"/>
      <c r="C39" s="164"/>
      <c r="D39" s="164"/>
      <c r="E39" s="176"/>
      <c r="F39" s="176"/>
      <c r="G39" s="131"/>
      <c r="H39" s="223" t="str">
        <f t="shared" si="1"/>
        <v/>
      </c>
      <c r="I39" s="223" t="str">
        <f t="shared" si="2"/>
        <v/>
      </c>
      <c r="J39" s="67"/>
      <c r="K39" s="67"/>
      <c r="L39" s="67"/>
      <c r="M39" s="295">
        <f t="shared" si="3"/>
        <v>0</v>
      </c>
      <c r="N39" s="164"/>
      <c r="O39" s="164"/>
      <c r="P39" s="164"/>
      <c r="Q39" s="176"/>
      <c r="R39" s="176"/>
      <c r="S39" s="131"/>
      <c r="T39" s="224" t="str">
        <f t="shared" si="4"/>
        <v/>
      </c>
      <c r="U39" s="223" t="str">
        <f t="shared" si="5"/>
        <v/>
      </c>
      <c r="V39" s="325"/>
    </row>
    <row r="40" spans="1:22" x14ac:dyDescent="0.25">
      <c r="A40" s="294">
        <f t="shared" si="0"/>
        <v>0</v>
      </c>
      <c r="B40" s="164"/>
      <c r="C40" s="164"/>
      <c r="D40" s="164"/>
      <c r="E40" s="176"/>
      <c r="F40" s="176"/>
      <c r="G40" s="131"/>
      <c r="H40" s="223" t="str">
        <f t="shared" si="1"/>
        <v/>
      </c>
      <c r="I40" s="223" t="str">
        <f t="shared" si="2"/>
        <v/>
      </c>
      <c r="J40" s="67"/>
      <c r="K40" s="67"/>
      <c r="L40" s="67"/>
      <c r="M40" s="295">
        <f t="shared" si="3"/>
        <v>0</v>
      </c>
      <c r="N40" s="164"/>
      <c r="O40" s="164"/>
      <c r="P40" s="164"/>
      <c r="Q40" s="176"/>
      <c r="R40" s="176"/>
      <c r="S40" s="131"/>
      <c r="T40" s="224" t="str">
        <f t="shared" si="4"/>
        <v/>
      </c>
      <c r="U40" s="223" t="str">
        <f t="shared" si="5"/>
        <v/>
      </c>
      <c r="V40" s="325"/>
    </row>
    <row r="41" spans="1:22" x14ac:dyDescent="0.25">
      <c r="A41" s="294">
        <f t="shared" si="0"/>
        <v>0</v>
      </c>
      <c r="B41" s="164"/>
      <c r="C41" s="164"/>
      <c r="D41" s="164"/>
      <c r="E41" s="176"/>
      <c r="F41" s="176"/>
      <c r="G41" s="131"/>
      <c r="H41" s="223" t="str">
        <f t="shared" si="1"/>
        <v/>
      </c>
      <c r="I41" s="223" t="str">
        <f t="shared" si="2"/>
        <v/>
      </c>
      <c r="J41" s="67"/>
      <c r="K41" s="67"/>
      <c r="L41" s="67"/>
      <c r="M41" s="295">
        <f t="shared" si="3"/>
        <v>0</v>
      </c>
      <c r="N41" s="164"/>
      <c r="O41" s="164"/>
      <c r="P41" s="164"/>
      <c r="Q41" s="176"/>
      <c r="R41" s="176"/>
      <c r="S41" s="131"/>
      <c r="T41" s="224" t="str">
        <f t="shared" si="4"/>
        <v/>
      </c>
      <c r="U41" s="223" t="str">
        <f t="shared" si="5"/>
        <v/>
      </c>
      <c r="V41" s="325"/>
    </row>
    <row r="42" spans="1:22" x14ac:dyDescent="0.25">
      <c r="A42" s="294">
        <f t="shared" si="0"/>
        <v>0</v>
      </c>
      <c r="B42" s="164"/>
      <c r="C42" s="164"/>
      <c r="D42" s="164"/>
      <c r="E42" s="176"/>
      <c r="F42" s="176"/>
      <c r="G42" s="131"/>
      <c r="H42" s="223" t="str">
        <f t="shared" si="1"/>
        <v/>
      </c>
      <c r="I42" s="223" t="str">
        <f t="shared" si="2"/>
        <v/>
      </c>
      <c r="J42" s="67"/>
      <c r="K42" s="67"/>
      <c r="L42" s="67"/>
      <c r="M42" s="295">
        <f t="shared" si="3"/>
        <v>0</v>
      </c>
      <c r="N42" s="164"/>
      <c r="O42" s="164"/>
      <c r="P42" s="164"/>
      <c r="Q42" s="176"/>
      <c r="R42" s="176"/>
      <c r="S42" s="131"/>
      <c r="T42" s="224" t="str">
        <f t="shared" si="4"/>
        <v/>
      </c>
      <c r="U42" s="223" t="str">
        <f t="shared" si="5"/>
        <v/>
      </c>
      <c r="V42" s="325"/>
    </row>
    <row r="43" spans="1:22" x14ac:dyDescent="0.25">
      <c r="A43" s="294">
        <f t="shared" si="0"/>
        <v>0</v>
      </c>
      <c r="B43" s="164"/>
      <c r="C43" s="164"/>
      <c r="D43" s="164"/>
      <c r="E43" s="176"/>
      <c r="F43" s="176"/>
      <c r="G43" s="131"/>
      <c r="H43" s="223" t="str">
        <f t="shared" si="1"/>
        <v/>
      </c>
      <c r="I43" s="223" t="str">
        <f t="shared" si="2"/>
        <v/>
      </c>
      <c r="J43" s="67"/>
      <c r="K43" s="67"/>
      <c r="L43" s="67"/>
      <c r="M43" s="295">
        <f t="shared" si="3"/>
        <v>0</v>
      </c>
      <c r="N43" s="164"/>
      <c r="O43" s="164"/>
      <c r="P43" s="164"/>
      <c r="Q43" s="176"/>
      <c r="R43" s="176"/>
      <c r="S43" s="131"/>
      <c r="T43" s="224" t="str">
        <f t="shared" si="4"/>
        <v/>
      </c>
      <c r="U43" s="223" t="str">
        <f t="shared" si="5"/>
        <v/>
      </c>
      <c r="V43" s="325"/>
    </row>
    <row r="44" spans="1:22" x14ac:dyDescent="0.25">
      <c r="A44" s="294">
        <f t="shared" si="0"/>
        <v>0</v>
      </c>
      <c r="B44" s="164"/>
      <c r="C44" s="164"/>
      <c r="D44" s="164"/>
      <c r="E44" s="176"/>
      <c r="F44" s="176"/>
      <c r="G44" s="131"/>
      <c r="H44" s="223" t="str">
        <f t="shared" si="1"/>
        <v/>
      </c>
      <c r="I44" s="223" t="str">
        <f t="shared" si="2"/>
        <v/>
      </c>
      <c r="J44" s="67"/>
      <c r="K44" s="67"/>
      <c r="L44" s="67"/>
      <c r="M44" s="295">
        <f t="shared" si="3"/>
        <v>0</v>
      </c>
      <c r="N44" s="164"/>
      <c r="O44" s="164"/>
      <c r="P44" s="164"/>
      <c r="Q44" s="176"/>
      <c r="R44" s="176"/>
      <c r="S44" s="131"/>
      <c r="T44" s="224" t="str">
        <f t="shared" si="4"/>
        <v/>
      </c>
      <c r="U44" s="223" t="str">
        <f t="shared" si="5"/>
        <v/>
      </c>
      <c r="V44" s="325"/>
    </row>
    <row r="45" spans="1:22" x14ac:dyDescent="0.25">
      <c r="A45" s="294">
        <f t="shared" si="0"/>
        <v>0</v>
      </c>
      <c r="B45" s="164"/>
      <c r="C45" s="164"/>
      <c r="D45" s="164"/>
      <c r="E45" s="176"/>
      <c r="F45" s="176"/>
      <c r="G45" s="131"/>
      <c r="H45" s="223" t="str">
        <f t="shared" si="1"/>
        <v/>
      </c>
      <c r="I45" s="223" t="str">
        <f t="shared" si="2"/>
        <v/>
      </c>
      <c r="J45" s="67"/>
      <c r="K45" s="67"/>
      <c r="L45" s="67"/>
      <c r="M45" s="295">
        <f t="shared" si="3"/>
        <v>0</v>
      </c>
      <c r="N45" s="164"/>
      <c r="O45" s="164"/>
      <c r="P45" s="164"/>
      <c r="Q45" s="176"/>
      <c r="R45" s="176"/>
      <c r="S45" s="131"/>
      <c r="T45" s="224" t="str">
        <f t="shared" si="4"/>
        <v/>
      </c>
      <c r="U45" s="223" t="str">
        <f t="shared" si="5"/>
        <v/>
      </c>
      <c r="V45" s="325"/>
    </row>
    <row r="46" spans="1:22" x14ac:dyDescent="0.25">
      <c r="A46" s="294">
        <f t="shared" si="0"/>
        <v>0</v>
      </c>
      <c r="B46" s="164"/>
      <c r="C46" s="164"/>
      <c r="D46" s="164"/>
      <c r="E46" s="176"/>
      <c r="F46" s="176"/>
      <c r="G46" s="131"/>
      <c r="H46" s="223" t="str">
        <f t="shared" si="1"/>
        <v/>
      </c>
      <c r="I46" s="223" t="str">
        <f t="shared" si="2"/>
        <v/>
      </c>
      <c r="J46" s="67"/>
      <c r="K46" s="67"/>
      <c r="L46" s="67"/>
      <c r="M46" s="295">
        <f t="shared" si="3"/>
        <v>0</v>
      </c>
      <c r="N46" s="164"/>
      <c r="O46" s="164"/>
      <c r="P46" s="164"/>
      <c r="Q46" s="176"/>
      <c r="R46" s="176"/>
      <c r="S46" s="131"/>
      <c r="T46" s="224" t="str">
        <f t="shared" si="4"/>
        <v/>
      </c>
      <c r="U46" s="223" t="str">
        <f t="shared" si="5"/>
        <v/>
      </c>
      <c r="V46" s="325"/>
    </row>
    <row r="47" spans="1:22" x14ac:dyDescent="0.25">
      <c r="A47" s="294">
        <f t="shared" si="0"/>
        <v>0</v>
      </c>
      <c r="B47" s="164"/>
      <c r="C47" s="164"/>
      <c r="D47" s="164"/>
      <c r="E47" s="176"/>
      <c r="F47" s="176"/>
      <c r="G47" s="131"/>
      <c r="H47" s="223" t="str">
        <f t="shared" si="1"/>
        <v/>
      </c>
      <c r="I47" s="223" t="str">
        <f t="shared" si="2"/>
        <v/>
      </c>
      <c r="J47" s="67"/>
      <c r="K47" s="67"/>
      <c r="L47" s="67"/>
      <c r="M47" s="295">
        <f t="shared" si="3"/>
        <v>0</v>
      </c>
      <c r="N47" s="164"/>
      <c r="O47" s="164"/>
      <c r="P47" s="164"/>
      <c r="Q47" s="176"/>
      <c r="R47" s="176"/>
      <c r="S47" s="131"/>
      <c r="T47" s="224" t="str">
        <f t="shared" si="4"/>
        <v/>
      </c>
      <c r="U47" s="223" t="str">
        <f t="shared" si="5"/>
        <v/>
      </c>
      <c r="V47" s="325"/>
    </row>
    <row r="48" spans="1:22" x14ac:dyDescent="0.25">
      <c r="A48" s="294">
        <f t="shared" si="0"/>
        <v>0</v>
      </c>
      <c r="B48" s="164"/>
      <c r="C48" s="164"/>
      <c r="D48" s="164"/>
      <c r="E48" s="176"/>
      <c r="F48" s="176"/>
      <c r="G48" s="131"/>
      <c r="H48" s="223" t="str">
        <f t="shared" si="1"/>
        <v/>
      </c>
      <c r="I48" s="223" t="str">
        <f t="shared" si="2"/>
        <v/>
      </c>
      <c r="J48" s="67"/>
      <c r="K48" s="67"/>
      <c r="L48" s="67"/>
      <c r="M48" s="295">
        <f t="shared" si="3"/>
        <v>0</v>
      </c>
      <c r="N48" s="164"/>
      <c r="O48" s="164"/>
      <c r="P48" s="164"/>
      <c r="Q48" s="176"/>
      <c r="R48" s="176"/>
      <c r="S48" s="131"/>
      <c r="T48" s="224" t="str">
        <f t="shared" si="4"/>
        <v/>
      </c>
      <c r="U48" s="223" t="str">
        <f t="shared" si="5"/>
        <v/>
      </c>
      <c r="V48" s="325"/>
    </row>
    <row r="49" spans="1:22" x14ac:dyDescent="0.25">
      <c r="A49" s="294">
        <f t="shared" si="0"/>
        <v>0</v>
      </c>
      <c r="B49" s="164"/>
      <c r="C49" s="164"/>
      <c r="D49" s="164"/>
      <c r="E49" s="176"/>
      <c r="F49" s="176"/>
      <c r="G49" s="131"/>
      <c r="H49" s="223" t="str">
        <f t="shared" si="1"/>
        <v/>
      </c>
      <c r="I49" s="223" t="str">
        <f t="shared" si="2"/>
        <v/>
      </c>
      <c r="J49" s="67"/>
      <c r="K49" s="67"/>
      <c r="L49" s="67"/>
      <c r="M49" s="295">
        <f t="shared" si="3"/>
        <v>0</v>
      </c>
      <c r="N49" s="164"/>
      <c r="O49" s="164"/>
      <c r="P49" s="164"/>
      <c r="Q49" s="176"/>
      <c r="R49" s="176"/>
      <c r="S49" s="131"/>
      <c r="T49" s="224" t="str">
        <f t="shared" si="4"/>
        <v/>
      </c>
      <c r="U49" s="223" t="str">
        <f t="shared" si="5"/>
        <v/>
      </c>
      <c r="V49" s="325"/>
    </row>
    <row r="50" spans="1:22" x14ac:dyDescent="0.25">
      <c r="A50" s="294">
        <f t="shared" si="0"/>
        <v>0</v>
      </c>
      <c r="B50" s="164"/>
      <c r="C50" s="164"/>
      <c r="D50" s="164"/>
      <c r="E50" s="176"/>
      <c r="F50" s="176"/>
      <c r="G50" s="131"/>
      <c r="H50" s="223" t="str">
        <f t="shared" si="1"/>
        <v/>
      </c>
      <c r="I50" s="223" t="str">
        <f t="shared" si="2"/>
        <v/>
      </c>
      <c r="J50" s="67"/>
      <c r="K50" s="67"/>
      <c r="L50" s="67"/>
      <c r="M50" s="295">
        <f t="shared" si="3"/>
        <v>0</v>
      </c>
      <c r="N50" s="164"/>
      <c r="O50" s="164"/>
      <c r="P50" s="164"/>
      <c r="Q50" s="176"/>
      <c r="R50" s="176"/>
      <c r="S50" s="131"/>
      <c r="T50" s="224" t="str">
        <f t="shared" si="4"/>
        <v/>
      </c>
      <c r="U50" s="223" t="str">
        <f t="shared" si="5"/>
        <v/>
      </c>
      <c r="V50" s="325"/>
    </row>
    <row r="51" spans="1:22" x14ac:dyDescent="0.25">
      <c r="A51" s="294">
        <f t="shared" si="0"/>
        <v>0</v>
      </c>
      <c r="B51" s="164"/>
      <c r="C51" s="164"/>
      <c r="D51" s="164"/>
      <c r="E51" s="176"/>
      <c r="F51" s="176"/>
      <c r="G51" s="131"/>
      <c r="H51" s="223" t="str">
        <f t="shared" si="1"/>
        <v/>
      </c>
      <c r="I51" s="223" t="str">
        <f t="shared" si="2"/>
        <v/>
      </c>
      <c r="J51" s="67"/>
      <c r="K51" s="67"/>
      <c r="L51" s="67"/>
      <c r="M51" s="295">
        <f t="shared" si="3"/>
        <v>0</v>
      </c>
      <c r="N51" s="164"/>
      <c r="O51" s="164"/>
      <c r="P51" s="164"/>
      <c r="Q51" s="176"/>
      <c r="R51" s="176"/>
      <c r="S51" s="131"/>
      <c r="T51" s="224" t="str">
        <f t="shared" si="4"/>
        <v/>
      </c>
      <c r="U51" s="223" t="str">
        <f t="shared" si="5"/>
        <v/>
      </c>
      <c r="V51" s="325"/>
    </row>
    <row r="52" spans="1:22" x14ac:dyDescent="0.25">
      <c r="A52" s="294">
        <f t="shared" si="0"/>
        <v>0</v>
      </c>
      <c r="B52" s="164"/>
      <c r="C52" s="164"/>
      <c r="D52" s="164"/>
      <c r="E52" s="176"/>
      <c r="F52" s="176"/>
      <c r="G52" s="131"/>
      <c r="H52" s="223" t="str">
        <f t="shared" si="1"/>
        <v/>
      </c>
      <c r="I52" s="223" t="str">
        <f t="shared" si="2"/>
        <v/>
      </c>
      <c r="J52" s="67"/>
      <c r="K52" s="67"/>
      <c r="L52" s="67"/>
      <c r="M52" s="295">
        <f t="shared" si="3"/>
        <v>0</v>
      </c>
      <c r="N52" s="164"/>
      <c r="O52" s="164"/>
      <c r="P52" s="164"/>
      <c r="Q52" s="176"/>
      <c r="R52" s="176"/>
      <c r="S52" s="131"/>
      <c r="T52" s="224" t="str">
        <f t="shared" si="4"/>
        <v/>
      </c>
      <c r="U52" s="223" t="str">
        <f t="shared" si="5"/>
        <v/>
      </c>
      <c r="V52" s="325"/>
    </row>
    <row r="53" spans="1:22" x14ac:dyDescent="0.25">
      <c r="A53" s="294">
        <f t="shared" si="0"/>
        <v>0</v>
      </c>
      <c r="B53" s="164"/>
      <c r="C53" s="164"/>
      <c r="D53" s="164"/>
      <c r="E53" s="176"/>
      <c r="F53" s="176"/>
      <c r="G53" s="131"/>
      <c r="H53" s="223" t="str">
        <f t="shared" si="1"/>
        <v/>
      </c>
      <c r="I53" s="223" t="str">
        <f t="shared" si="2"/>
        <v/>
      </c>
      <c r="J53" s="67"/>
      <c r="K53" s="67"/>
      <c r="L53" s="67"/>
      <c r="M53" s="295">
        <f t="shared" si="3"/>
        <v>0</v>
      </c>
      <c r="N53" s="164"/>
      <c r="O53" s="164"/>
      <c r="P53" s="164"/>
      <c r="Q53" s="176"/>
      <c r="R53" s="176"/>
      <c r="S53" s="131"/>
      <c r="T53" s="224" t="str">
        <f t="shared" si="4"/>
        <v/>
      </c>
      <c r="U53" s="223" t="str">
        <f t="shared" si="5"/>
        <v/>
      </c>
      <c r="V53" s="325"/>
    </row>
    <row r="54" spans="1:22" x14ac:dyDescent="0.25">
      <c r="A54" s="294">
        <f t="shared" si="0"/>
        <v>0</v>
      </c>
      <c r="B54" s="164"/>
      <c r="C54" s="164"/>
      <c r="D54" s="164"/>
      <c r="E54" s="176"/>
      <c r="F54" s="176"/>
      <c r="G54" s="131"/>
      <c r="H54" s="223" t="str">
        <f t="shared" si="1"/>
        <v/>
      </c>
      <c r="I54" s="223" t="str">
        <f t="shared" si="2"/>
        <v/>
      </c>
      <c r="J54" s="67"/>
      <c r="K54" s="67"/>
      <c r="L54" s="67"/>
      <c r="M54" s="295">
        <f t="shared" si="3"/>
        <v>0</v>
      </c>
      <c r="N54" s="164"/>
      <c r="O54" s="164"/>
      <c r="P54" s="164"/>
      <c r="Q54" s="176"/>
      <c r="R54" s="176"/>
      <c r="S54" s="131"/>
      <c r="T54" s="224" t="str">
        <f t="shared" si="4"/>
        <v/>
      </c>
      <c r="U54" s="223" t="str">
        <f t="shared" si="5"/>
        <v/>
      </c>
      <c r="V54" s="325"/>
    </row>
    <row r="55" spans="1:22" x14ac:dyDescent="0.25">
      <c r="A55" s="294">
        <f t="shared" si="0"/>
        <v>0</v>
      </c>
      <c r="B55" s="164"/>
      <c r="C55" s="164"/>
      <c r="D55" s="164"/>
      <c r="E55" s="176"/>
      <c r="F55" s="176"/>
      <c r="G55" s="131"/>
      <c r="H55" s="223" t="str">
        <f t="shared" si="1"/>
        <v/>
      </c>
      <c r="I55" s="223" t="str">
        <f t="shared" si="2"/>
        <v/>
      </c>
      <c r="J55" s="67"/>
      <c r="K55" s="67"/>
      <c r="L55" s="67"/>
      <c r="M55" s="295">
        <f t="shared" si="3"/>
        <v>0</v>
      </c>
      <c r="N55" s="164"/>
      <c r="O55" s="164"/>
      <c r="P55" s="164"/>
      <c r="Q55" s="176"/>
      <c r="R55" s="176"/>
      <c r="S55" s="131"/>
      <c r="T55" s="224" t="str">
        <f t="shared" si="4"/>
        <v/>
      </c>
      <c r="U55" s="223" t="str">
        <f t="shared" si="5"/>
        <v/>
      </c>
      <c r="V55" s="325"/>
    </row>
    <row r="56" spans="1:22" x14ac:dyDescent="0.25">
      <c r="A56" s="294">
        <f t="shared" si="0"/>
        <v>0</v>
      </c>
      <c r="B56" s="164"/>
      <c r="C56" s="164"/>
      <c r="D56" s="164"/>
      <c r="E56" s="176"/>
      <c r="F56" s="176"/>
      <c r="G56" s="131"/>
      <c r="H56" s="223" t="str">
        <f t="shared" si="1"/>
        <v/>
      </c>
      <c r="I56" s="223" t="str">
        <f t="shared" si="2"/>
        <v/>
      </c>
      <c r="J56" s="67"/>
      <c r="K56" s="67"/>
      <c r="L56" s="67"/>
      <c r="M56" s="295">
        <f t="shared" si="3"/>
        <v>0</v>
      </c>
      <c r="N56" s="164"/>
      <c r="O56" s="164"/>
      <c r="P56" s="164"/>
      <c r="Q56" s="176"/>
      <c r="R56" s="176"/>
      <c r="S56" s="131"/>
      <c r="T56" s="224" t="str">
        <f t="shared" si="4"/>
        <v/>
      </c>
      <c r="U56" s="223" t="str">
        <f t="shared" si="5"/>
        <v/>
      </c>
      <c r="V56" s="325"/>
    </row>
    <row r="57" spans="1:22" x14ac:dyDescent="0.25">
      <c r="A57" s="294">
        <f t="shared" si="0"/>
        <v>0</v>
      </c>
      <c r="B57" s="164"/>
      <c r="C57" s="164"/>
      <c r="D57" s="164"/>
      <c r="E57" s="176"/>
      <c r="F57" s="176"/>
      <c r="G57" s="131"/>
      <c r="H57" s="223" t="str">
        <f t="shared" si="1"/>
        <v/>
      </c>
      <c r="I57" s="223" t="str">
        <f t="shared" si="2"/>
        <v/>
      </c>
      <c r="J57" s="67"/>
      <c r="K57" s="67"/>
      <c r="L57" s="67"/>
      <c r="M57" s="295">
        <f t="shared" si="3"/>
        <v>0</v>
      </c>
      <c r="N57" s="164"/>
      <c r="O57" s="164"/>
      <c r="P57" s="164"/>
      <c r="Q57" s="176"/>
      <c r="R57" s="176"/>
      <c r="S57" s="131"/>
      <c r="T57" s="224" t="str">
        <f t="shared" si="4"/>
        <v/>
      </c>
      <c r="U57" s="223" t="str">
        <f t="shared" si="5"/>
        <v/>
      </c>
      <c r="V57" s="325"/>
    </row>
    <row r="58" spans="1:22" x14ac:dyDescent="0.25">
      <c r="A58" s="294">
        <f t="shared" si="0"/>
        <v>0</v>
      </c>
      <c r="B58" s="164"/>
      <c r="C58" s="164"/>
      <c r="D58" s="164"/>
      <c r="E58" s="176"/>
      <c r="F58" s="176"/>
      <c r="G58" s="131"/>
      <c r="H58" s="223" t="str">
        <f t="shared" si="1"/>
        <v/>
      </c>
      <c r="I58" s="223" t="str">
        <f t="shared" si="2"/>
        <v/>
      </c>
      <c r="J58" s="67"/>
      <c r="K58" s="67"/>
      <c r="L58" s="67"/>
      <c r="M58" s="295">
        <f t="shared" si="3"/>
        <v>0</v>
      </c>
      <c r="N58" s="164"/>
      <c r="O58" s="164"/>
      <c r="P58" s="164"/>
      <c r="Q58" s="176"/>
      <c r="R58" s="176"/>
      <c r="S58" s="131"/>
      <c r="T58" s="224" t="str">
        <f t="shared" si="4"/>
        <v/>
      </c>
      <c r="U58" s="223" t="str">
        <f t="shared" si="5"/>
        <v/>
      </c>
      <c r="V58" s="325"/>
    </row>
    <row r="59" spans="1:22" x14ac:dyDescent="0.25">
      <c r="A59" s="294">
        <f t="shared" si="0"/>
        <v>0</v>
      </c>
      <c r="B59" s="164"/>
      <c r="C59" s="164"/>
      <c r="D59" s="164"/>
      <c r="E59" s="176"/>
      <c r="F59" s="176"/>
      <c r="G59" s="131"/>
      <c r="H59" s="223" t="str">
        <f t="shared" si="1"/>
        <v/>
      </c>
      <c r="I59" s="223" t="str">
        <f t="shared" si="2"/>
        <v/>
      </c>
      <c r="J59" s="67"/>
      <c r="K59" s="67"/>
      <c r="L59" s="67"/>
      <c r="M59" s="295">
        <f t="shared" si="3"/>
        <v>0</v>
      </c>
      <c r="N59" s="164"/>
      <c r="O59" s="164"/>
      <c r="P59" s="164"/>
      <c r="Q59" s="176"/>
      <c r="R59" s="176"/>
      <c r="S59" s="131"/>
      <c r="T59" s="224" t="str">
        <f t="shared" si="4"/>
        <v/>
      </c>
      <c r="U59" s="223" t="str">
        <f t="shared" si="5"/>
        <v/>
      </c>
      <c r="V59" s="325"/>
    </row>
    <row r="60" spans="1:22" x14ac:dyDescent="0.25">
      <c r="A60" s="294">
        <f t="shared" si="0"/>
        <v>0</v>
      </c>
      <c r="B60" s="164"/>
      <c r="C60" s="164"/>
      <c r="D60" s="164"/>
      <c r="E60" s="176"/>
      <c r="F60" s="176"/>
      <c r="G60" s="131"/>
      <c r="H60" s="223" t="str">
        <f t="shared" si="1"/>
        <v/>
      </c>
      <c r="I60" s="223" t="str">
        <f t="shared" si="2"/>
        <v/>
      </c>
      <c r="J60" s="67"/>
      <c r="K60" s="67"/>
      <c r="L60" s="67"/>
      <c r="M60" s="295">
        <f t="shared" si="3"/>
        <v>0</v>
      </c>
      <c r="N60" s="164"/>
      <c r="O60" s="164"/>
      <c r="P60" s="164"/>
      <c r="Q60" s="176"/>
      <c r="R60" s="176"/>
      <c r="S60" s="131"/>
      <c r="T60" s="224" t="str">
        <f t="shared" si="4"/>
        <v/>
      </c>
      <c r="U60" s="223" t="str">
        <f t="shared" si="5"/>
        <v/>
      </c>
      <c r="V60" s="325"/>
    </row>
    <row r="61" spans="1:22" x14ac:dyDescent="0.25">
      <c r="A61" s="294">
        <f t="shared" si="0"/>
        <v>0</v>
      </c>
      <c r="B61" s="164"/>
      <c r="C61" s="164"/>
      <c r="D61" s="164"/>
      <c r="E61" s="176"/>
      <c r="F61" s="176"/>
      <c r="G61" s="131"/>
      <c r="H61" s="223" t="str">
        <f t="shared" si="1"/>
        <v/>
      </c>
      <c r="I61" s="223" t="str">
        <f t="shared" si="2"/>
        <v/>
      </c>
      <c r="J61" s="67"/>
      <c r="K61" s="67"/>
      <c r="L61" s="67"/>
      <c r="M61" s="295">
        <f t="shared" si="3"/>
        <v>0</v>
      </c>
      <c r="N61" s="164"/>
      <c r="O61" s="164"/>
      <c r="P61" s="164"/>
      <c r="Q61" s="176"/>
      <c r="R61" s="176"/>
      <c r="S61" s="131"/>
      <c r="T61" s="224" t="str">
        <f t="shared" si="4"/>
        <v/>
      </c>
      <c r="U61" s="223" t="str">
        <f t="shared" si="5"/>
        <v/>
      </c>
      <c r="V61" s="325"/>
    </row>
    <row r="62" spans="1:22" x14ac:dyDescent="0.25">
      <c r="A62" s="294">
        <f t="shared" si="0"/>
        <v>0</v>
      </c>
      <c r="B62" s="164"/>
      <c r="C62" s="164"/>
      <c r="D62" s="164"/>
      <c r="E62" s="176"/>
      <c r="F62" s="176"/>
      <c r="G62" s="131"/>
      <c r="H62" s="223" t="str">
        <f t="shared" si="1"/>
        <v/>
      </c>
      <c r="I62" s="223" t="str">
        <f t="shared" si="2"/>
        <v/>
      </c>
      <c r="J62" s="67"/>
      <c r="K62" s="67"/>
      <c r="L62" s="67"/>
      <c r="M62" s="295">
        <f t="shared" si="3"/>
        <v>0</v>
      </c>
      <c r="N62" s="164"/>
      <c r="O62" s="164"/>
      <c r="P62" s="164"/>
      <c r="Q62" s="176"/>
      <c r="R62" s="176"/>
      <c r="S62" s="131"/>
      <c r="T62" s="224" t="str">
        <f t="shared" si="4"/>
        <v/>
      </c>
      <c r="U62" s="223" t="str">
        <f t="shared" si="5"/>
        <v/>
      </c>
      <c r="V62" s="325"/>
    </row>
    <row r="63" spans="1:22" x14ac:dyDescent="0.25">
      <c r="A63" s="294">
        <f t="shared" si="0"/>
        <v>0</v>
      </c>
      <c r="B63" s="164"/>
      <c r="C63" s="164"/>
      <c r="D63" s="164"/>
      <c r="E63" s="176"/>
      <c r="F63" s="176"/>
      <c r="G63" s="131"/>
      <c r="H63" s="223" t="str">
        <f t="shared" si="1"/>
        <v/>
      </c>
      <c r="I63" s="223" t="str">
        <f t="shared" si="2"/>
        <v/>
      </c>
      <c r="J63" s="67"/>
      <c r="K63" s="67"/>
      <c r="L63" s="67"/>
      <c r="M63" s="295">
        <f t="shared" si="3"/>
        <v>0</v>
      </c>
      <c r="N63" s="164"/>
      <c r="O63" s="164"/>
      <c r="P63" s="164"/>
      <c r="Q63" s="176"/>
      <c r="R63" s="176"/>
      <c r="S63" s="131"/>
      <c r="T63" s="224" t="str">
        <f t="shared" si="4"/>
        <v/>
      </c>
      <c r="U63" s="223" t="str">
        <f t="shared" si="5"/>
        <v/>
      </c>
      <c r="V63" s="325"/>
    </row>
    <row r="64" spans="1:22" x14ac:dyDescent="0.25">
      <c r="A64" s="294">
        <f t="shared" si="0"/>
        <v>0</v>
      </c>
      <c r="B64" s="164"/>
      <c r="C64" s="164"/>
      <c r="D64" s="164"/>
      <c r="E64" s="176"/>
      <c r="F64" s="176"/>
      <c r="G64" s="131"/>
      <c r="H64" s="223" t="str">
        <f t="shared" si="1"/>
        <v/>
      </c>
      <c r="I64" s="223" t="str">
        <f t="shared" si="2"/>
        <v/>
      </c>
      <c r="J64" s="67"/>
      <c r="K64" s="67"/>
      <c r="L64" s="67"/>
      <c r="M64" s="295">
        <f t="shared" si="3"/>
        <v>0</v>
      </c>
      <c r="N64" s="164"/>
      <c r="O64" s="164"/>
      <c r="P64" s="164"/>
      <c r="Q64" s="176"/>
      <c r="R64" s="176"/>
      <c r="S64" s="131"/>
      <c r="T64" s="224" t="str">
        <f t="shared" si="4"/>
        <v/>
      </c>
      <c r="U64" s="223" t="str">
        <f t="shared" si="5"/>
        <v/>
      </c>
      <c r="V64" s="325"/>
    </row>
    <row r="65" spans="1:22" x14ac:dyDescent="0.25">
      <c r="A65" s="294">
        <f t="shared" si="0"/>
        <v>0</v>
      </c>
      <c r="B65" s="164"/>
      <c r="C65" s="164"/>
      <c r="D65" s="164"/>
      <c r="E65" s="176"/>
      <c r="F65" s="176"/>
      <c r="G65" s="131"/>
      <c r="H65" s="223" t="str">
        <f t="shared" si="1"/>
        <v/>
      </c>
      <c r="I65" s="223" t="str">
        <f t="shared" si="2"/>
        <v/>
      </c>
      <c r="J65" s="67"/>
      <c r="K65" s="67"/>
      <c r="L65" s="67"/>
      <c r="M65" s="295">
        <f t="shared" si="3"/>
        <v>0</v>
      </c>
      <c r="N65" s="164"/>
      <c r="O65" s="164"/>
      <c r="P65" s="164"/>
      <c r="Q65" s="176"/>
      <c r="R65" s="176"/>
      <c r="S65" s="131"/>
      <c r="T65" s="224" t="str">
        <f t="shared" si="4"/>
        <v/>
      </c>
      <c r="U65" s="223" t="str">
        <f t="shared" si="5"/>
        <v/>
      </c>
      <c r="V65" s="325"/>
    </row>
    <row r="66" spans="1:22" x14ac:dyDescent="0.25">
      <c r="A66" s="294">
        <f t="shared" si="0"/>
        <v>0</v>
      </c>
      <c r="B66" s="164"/>
      <c r="C66" s="164"/>
      <c r="D66" s="164"/>
      <c r="E66" s="176"/>
      <c r="F66" s="176"/>
      <c r="G66" s="131"/>
      <c r="H66" s="223" t="str">
        <f t="shared" si="1"/>
        <v/>
      </c>
      <c r="I66" s="223" t="str">
        <f t="shared" si="2"/>
        <v/>
      </c>
      <c r="J66" s="67"/>
      <c r="K66" s="67"/>
      <c r="L66" s="67"/>
      <c r="M66" s="295">
        <f t="shared" si="3"/>
        <v>0</v>
      </c>
      <c r="N66" s="164"/>
      <c r="O66" s="164"/>
      <c r="P66" s="164"/>
      <c r="Q66" s="176"/>
      <c r="R66" s="176"/>
      <c r="S66" s="131"/>
      <c r="T66" s="224" t="str">
        <f t="shared" si="4"/>
        <v/>
      </c>
      <c r="U66" s="223" t="str">
        <f t="shared" si="5"/>
        <v/>
      </c>
      <c r="V66" s="325"/>
    </row>
    <row r="67" spans="1:22" x14ac:dyDescent="0.25">
      <c r="A67" s="294">
        <f t="shared" si="0"/>
        <v>0</v>
      </c>
      <c r="B67" s="164"/>
      <c r="C67" s="164"/>
      <c r="D67" s="164"/>
      <c r="E67" s="176"/>
      <c r="F67" s="176"/>
      <c r="G67" s="131"/>
      <c r="H67" s="223" t="str">
        <f t="shared" si="1"/>
        <v/>
      </c>
      <c r="I67" s="223" t="str">
        <f t="shared" si="2"/>
        <v/>
      </c>
      <c r="J67" s="67"/>
      <c r="K67" s="67"/>
      <c r="L67" s="67"/>
      <c r="M67" s="295">
        <f t="shared" si="3"/>
        <v>0</v>
      </c>
      <c r="N67" s="164"/>
      <c r="O67" s="164"/>
      <c r="P67" s="164"/>
      <c r="Q67" s="176"/>
      <c r="R67" s="176"/>
      <c r="S67" s="131"/>
      <c r="T67" s="224" t="str">
        <f t="shared" si="4"/>
        <v/>
      </c>
      <c r="U67" s="223" t="str">
        <f t="shared" si="5"/>
        <v/>
      </c>
      <c r="V67" s="325"/>
    </row>
    <row r="68" spans="1:22" x14ac:dyDescent="0.25">
      <c r="A68" s="294">
        <f t="shared" si="0"/>
        <v>0</v>
      </c>
      <c r="B68" s="164"/>
      <c r="C68" s="164"/>
      <c r="D68" s="164"/>
      <c r="E68" s="176"/>
      <c r="F68" s="176"/>
      <c r="G68" s="131"/>
      <c r="H68" s="223" t="str">
        <f t="shared" si="1"/>
        <v/>
      </c>
      <c r="I68" s="223" t="str">
        <f t="shared" si="2"/>
        <v/>
      </c>
      <c r="J68" s="67"/>
      <c r="K68" s="67"/>
      <c r="L68" s="67"/>
      <c r="M68" s="295">
        <f t="shared" si="3"/>
        <v>0</v>
      </c>
      <c r="N68" s="164"/>
      <c r="O68" s="164"/>
      <c r="P68" s="164"/>
      <c r="Q68" s="176"/>
      <c r="R68" s="176"/>
      <c r="S68" s="131"/>
      <c r="T68" s="224" t="str">
        <f t="shared" si="4"/>
        <v/>
      </c>
      <c r="U68" s="223" t="str">
        <f t="shared" si="5"/>
        <v/>
      </c>
      <c r="V68" s="325"/>
    </row>
    <row r="69" spans="1:22" x14ac:dyDescent="0.25">
      <c r="A69" s="294">
        <f t="shared" si="0"/>
        <v>0</v>
      </c>
      <c r="B69" s="164"/>
      <c r="C69" s="164"/>
      <c r="D69" s="164"/>
      <c r="E69" s="176"/>
      <c r="F69" s="176"/>
      <c r="G69" s="131"/>
      <c r="H69" s="223" t="str">
        <f t="shared" si="1"/>
        <v/>
      </c>
      <c r="I69" s="223" t="str">
        <f t="shared" si="2"/>
        <v/>
      </c>
      <c r="J69" s="67"/>
      <c r="K69" s="67"/>
      <c r="L69" s="67"/>
      <c r="M69" s="295">
        <f t="shared" si="3"/>
        <v>0</v>
      </c>
      <c r="N69" s="164"/>
      <c r="O69" s="164"/>
      <c r="P69" s="164"/>
      <c r="Q69" s="176"/>
      <c r="R69" s="176"/>
      <c r="S69" s="131"/>
      <c r="T69" s="224" t="str">
        <f t="shared" si="4"/>
        <v/>
      </c>
      <c r="U69" s="223" t="str">
        <f t="shared" si="5"/>
        <v/>
      </c>
      <c r="V69" s="325"/>
    </row>
    <row r="70" spans="1:22" x14ac:dyDescent="0.25">
      <c r="A70" s="294">
        <f t="shared" si="0"/>
        <v>0</v>
      </c>
      <c r="B70" s="164"/>
      <c r="C70" s="164"/>
      <c r="D70" s="164"/>
      <c r="E70" s="176"/>
      <c r="F70" s="176"/>
      <c r="G70" s="131"/>
      <c r="H70" s="223" t="str">
        <f t="shared" si="1"/>
        <v/>
      </c>
      <c r="I70" s="223" t="str">
        <f t="shared" si="2"/>
        <v/>
      </c>
      <c r="J70" s="67"/>
      <c r="K70" s="67"/>
      <c r="L70" s="67"/>
      <c r="M70" s="295">
        <f t="shared" si="3"/>
        <v>0</v>
      </c>
      <c r="N70" s="164"/>
      <c r="O70" s="164"/>
      <c r="P70" s="164"/>
      <c r="Q70" s="176"/>
      <c r="R70" s="176"/>
      <c r="S70" s="131"/>
      <c r="T70" s="224" t="str">
        <f t="shared" si="4"/>
        <v/>
      </c>
      <c r="U70" s="223" t="str">
        <f t="shared" si="5"/>
        <v/>
      </c>
      <c r="V70" s="325"/>
    </row>
    <row r="71" spans="1:22" x14ac:dyDescent="0.25">
      <c r="A71" s="294">
        <f t="shared" si="0"/>
        <v>0</v>
      </c>
      <c r="B71" s="164"/>
      <c r="C71" s="164"/>
      <c r="D71" s="164"/>
      <c r="E71" s="176"/>
      <c r="F71" s="176"/>
      <c r="G71" s="131"/>
      <c r="H71" s="223" t="str">
        <f t="shared" si="1"/>
        <v/>
      </c>
      <c r="I71" s="223" t="str">
        <f t="shared" si="2"/>
        <v/>
      </c>
      <c r="J71" s="67"/>
      <c r="K71" s="67"/>
      <c r="L71" s="67"/>
      <c r="M71" s="295">
        <f t="shared" si="3"/>
        <v>0</v>
      </c>
      <c r="N71" s="164"/>
      <c r="O71" s="164"/>
      <c r="P71" s="164"/>
      <c r="Q71" s="176"/>
      <c r="R71" s="176"/>
      <c r="S71" s="131"/>
      <c r="T71" s="224" t="str">
        <f t="shared" si="4"/>
        <v/>
      </c>
      <c r="U71" s="223" t="str">
        <f t="shared" si="5"/>
        <v/>
      </c>
      <c r="V71" s="325"/>
    </row>
    <row r="72" spans="1:22" x14ac:dyDescent="0.25">
      <c r="A72" s="294">
        <f t="shared" si="0"/>
        <v>0</v>
      </c>
      <c r="B72" s="164"/>
      <c r="C72" s="164"/>
      <c r="D72" s="164"/>
      <c r="E72" s="176"/>
      <c r="F72" s="176"/>
      <c r="G72" s="131"/>
      <c r="H72" s="223" t="str">
        <f t="shared" si="1"/>
        <v/>
      </c>
      <c r="I72" s="223" t="str">
        <f t="shared" si="2"/>
        <v/>
      </c>
      <c r="J72" s="67"/>
      <c r="K72" s="67"/>
      <c r="L72" s="67"/>
      <c r="M72" s="295">
        <f t="shared" si="3"/>
        <v>0</v>
      </c>
      <c r="N72" s="164"/>
      <c r="O72" s="164"/>
      <c r="P72" s="164"/>
      <c r="Q72" s="176"/>
      <c r="R72" s="176"/>
      <c r="S72" s="131"/>
      <c r="T72" s="224" t="str">
        <f t="shared" si="4"/>
        <v/>
      </c>
      <c r="U72" s="223" t="str">
        <f t="shared" si="5"/>
        <v/>
      </c>
      <c r="V72" s="325"/>
    </row>
    <row r="73" spans="1:22" x14ac:dyDescent="0.25">
      <c r="A73" s="294">
        <f t="shared" si="0"/>
        <v>0</v>
      </c>
      <c r="B73" s="164"/>
      <c r="C73" s="164"/>
      <c r="D73" s="164"/>
      <c r="E73" s="176"/>
      <c r="F73" s="176"/>
      <c r="G73" s="131"/>
      <c r="H73" s="223" t="str">
        <f t="shared" si="1"/>
        <v/>
      </c>
      <c r="I73" s="223" t="str">
        <f t="shared" si="2"/>
        <v/>
      </c>
      <c r="J73" s="67"/>
      <c r="K73" s="67"/>
      <c r="L73" s="67"/>
      <c r="M73" s="295">
        <f t="shared" si="3"/>
        <v>0</v>
      </c>
      <c r="N73" s="164"/>
      <c r="O73" s="164"/>
      <c r="P73" s="164"/>
      <c r="Q73" s="176"/>
      <c r="R73" s="176"/>
      <c r="S73" s="131"/>
      <c r="T73" s="224" t="str">
        <f t="shared" si="4"/>
        <v/>
      </c>
      <c r="U73" s="223" t="str">
        <f t="shared" si="5"/>
        <v/>
      </c>
      <c r="V73" s="325"/>
    </row>
    <row r="74" spans="1:22" x14ac:dyDescent="0.25">
      <c r="A74" s="294">
        <f t="shared" si="0"/>
        <v>0</v>
      </c>
      <c r="B74" s="164"/>
      <c r="C74" s="164"/>
      <c r="D74" s="164"/>
      <c r="E74" s="176"/>
      <c r="F74" s="176"/>
      <c r="G74" s="131"/>
      <c r="H74" s="223" t="str">
        <f t="shared" si="1"/>
        <v/>
      </c>
      <c r="I74" s="223" t="str">
        <f t="shared" si="2"/>
        <v/>
      </c>
      <c r="J74" s="67"/>
      <c r="K74" s="67"/>
      <c r="L74" s="67"/>
      <c r="M74" s="295">
        <f t="shared" si="3"/>
        <v>0</v>
      </c>
      <c r="N74" s="164"/>
      <c r="O74" s="164"/>
      <c r="P74" s="164"/>
      <c r="Q74" s="176"/>
      <c r="R74" s="176"/>
      <c r="S74" s="131"/>
      <c r="T74" s="224" t="str">
        <f t="shared" si="4"/>
        <v/>
      </c>
      <c r="U74" s="223" t="str">
        <f t="shared" si="5"/>
        <v/>
      </c>
      <c r="V74" s="325"/>
    </row>
    <row r="75" spans="1:22" x14ac:dyDescent="0.25">
      <c r="A75" s="294">
        <f t="shared" si="0"/>
        <v>0</v>
      </c>
      <c r="B75" s="164"/>
      <c r="C75" s="164"/>
      <c r="D75" s="164"/>
      <c r="E75" s="176"/>
      <c r="F75" s="176"/>
      <c r="G75" s="131"/>
      <c r="H75" s="223" t="str">
        <f t="shared" si="1"/>
        <v/>
      </c>
      <c r="I75" s="223" t="str">
        <f t="shared" si="2"/>
        <v/>
      </c>
      <c r="J75" s="67"/>
      <c r="K75" s="67"/>
      <c r="L75" s="67"/>
      <c r="M75" s="295">
        <f t="shared" si="3"/>
        <v>0</v>
      </c>
      <c r="N75" s="164"/>
      <c r="O75" s="164"/>
      <c r="P75" s="164"/>
      <c r="Q75" s="176"/>
      <c r="R75" s="176"/>
      <c r="S75" s="131"/>
      <c r="T75" s="224" t="str">
        <f t="shared" si="4"/>
        <v/>
      </c>
      <c r="U75" s="223" t="str">
        <f t="shared" si="5"/>
        <v/>
      </c>
      <c r="V75" s="325"/>
    </row>
    <row r="76" spans="1:22" x14ac:dyDescent="0.25">
      <c r="A76" s="294">
        <f t="shared" si="0"/>
        <v>0</v>
      </c>
      <c r="B76" s="164"/>
      <c r="C76" s="164"/>
      <c r="D76" s="164"/>
      <c r="E76" s="176"/>
      <c r="F76" s="176"/>
      <c r="G76" s="131"/>
      <c r="H76" s="223" t="str">
        <f t="shared" si="1"/>
        <v/>
      </c>
      <c r="I76" s="223" t="str">
        <f t="shared" si="2"/>
        <v/>
      </c>
      <c r="J76" s="67"/>
      <c r="K76" s="67"/>
      <c r="L76" s="67"/>
      <c r="M76" s="295">
        <f t="shared" si="3"/>
        <v>0</v>
      </c>
      <c r="N76" s="164"/>
      <c r="O76" s="164"/>
      <c r="P76" s="164"/>
      <c r="Q76" s="176"/>
      <c r="R76" s="176"/>
      <c r="S76" s="131"/>
      <c r="T76" s="224" t="str">
        <f t="shared" si="4"/>
        <v/>
      </c>
      <c r="U76" s="223" t="str">
        <f t="shared" si="5"/>
        <v/>
      </c>
      <c r="V76" s="325"/>
    </row>
    <row r="77" spans="1:22" x14ac:dyDescent="0.25">
      <c r="A77" s="294">
        <f t="shared" si="0"/>
        <v>0</v>
      </c>
      <c r="B77" s="164"/>
      <c r="C77" s="164"/>
      <c r="D77" s="164"/>
      <c r="E77" s="176"/>
      <c r="F77" s="176"/>
      <c r="G77" s="131"/>
      <c r="H77" s="223" t="str">
        <f t="shared" si="1"/>
        <v/>
      </c>
      <c r="I77" s="223" t="str">
        <f t="shared" si="2"/>
        <v/>
      </c>
      <c r="J77" s="67"/>
      <c r="K77" s="67"/>
      <c r="L77" s="67"/>
      <c r="M77" s="295">
        <f t="shared" si="3"/>
        <v>0</v>
      </c>
      <c r="N77" s="164"/>
      <c r="O77" s="164"/>
      <c r="P77" s="164"/>
      <c r="Q77" s="176"/>
      <c r="R77" s="176"/>
      <c r="S77" s="131"/>
      <c r="T77" s="224" t="str">
        <f t="shared" si="4"/>
        <v/>
      </c>
      <c r="U77" s="223" t="str">
        <f t="shared" si="5"/>
        <v/>
      </c>
      <c r="V77" s="325"/>
    </row>
    <row r="78" spans="1:22" x14ac:dyDescent="0.25">
      <c r="A78" s="294">
        <f t="shared" si="0"/>
        <v>0</v>
      </c>
      <c r="B78" s="164"/>
      <c r="C78" s="164"/>
      <c r="D78" s="164"/>
      <c r="E78" s="176"/>
      <c r="F78" s="176"/>
      <c r="G78" s="131"/>
      <c r="H78" s="223" t="str">
        <f t="shared" si="1"/>
        <v/>
      </c>
      <c r="I78" s="223" t="str">
        <f t="shared" si="2"/>
        <v/>
      </c>
      <c r="J78" s="67"/>
      <c r="K78" s="67"/>
      <c r="L78" s="67"/>
      <c r="M78" s="295">
        <f t="shared" si="3"/>
        <v>0</v>
      </c>
      <c r="N78" s="164"/>
      <c r="O78" s="164"/>
      <c r="P78" s="164"/>
      <c r="Q78" s="176"/>
      <c r="R78" s="176"/>
      <c r="S78" s="131"/>
      <c r="T78" s="224" t="str">
        <f t="shared" si="4"/>
        <v/>
      </c>
      <c r="U78" s="223" t="str">
        <f t="shared" si="5"/>
        <v/>
      </c>
      <c r="V78" s="325"/>
    </row>
    <row r="79" spans="1:22" x14ac:dyDescent="0.25">
      <c r="A79" s="294">
        <f t="shared" si="0"/>
        <v>0</v>
      </c>
      <c r="B79" s="164"/>
      <c r="C79" s="164"/>
      <c r="D79" s="164"/>
      <c r="E79" s="176"/>
      <c r="F79" s="176"/>
      <c r="G79" s="131"/>
      <c r="H79" s="223" t="str">
        <f t="shared" si="1"/>
        <v/>
      </c>
      <c r="I79" s="223" t="str">
        <f t="shared" si="2"/>
        <v/>
      </c>
      <c r="J79" s="67"/>
      <c r="K79" s="67"/>
      <c r="L79" s="67"/>
      <c r="M79" s="295">
        <f t="shared" si="3"/>
        <v>0</v>
      </c>
      <c r="N79" s="164"/>
      <c r="O79" s="164"/>
      <c r="P79" s="164"/>
      <c r="Q79" s="176"/>
      <c r="R79" s="176"/>
      <c r="S79" s="131"/>
      <c r="T79" s="224" t="str">
        <f t="shared" si="4"/>
        <v/>
      </c>
      <c r="U79" s="223" t="str">
        <f t="shared" si="5"/>
        <v/>
      </c>
      <c r="V79" s="325"/>
    </row>
    <row r="80" spans="1:22" x14ac:dyDescent="0.25">
      <c r="A80" s="294">
        <f t="shared" si="0"/>
        <v>0</v>
      </c>
      <c r="B80" s="164"/>
      <c r="C80" s="164"/>
      <c r="D80" s="164"/>
      <c r="E80" s="176"/>
      <c r="F80" s="176"/>
      <c r="G80" s="131"/>
      <c r="H80" s="223" t="str">
        <f t="shared" si="1"/>
        <v/>
      </c>
      <c r="I80" s="223" t="str">
        <f t="shared" si="2"/>
        <v/>
      </c>
      <c r="J80" s="67"/>
      <c r="K80" s="67"/>
      <c r="L80" s="67"/>
      <c r="M80" s="295">
        <f t="shared" si="3"/>
        <v>0</v>
      </c>
      <c r="N80" s="164"/>
      <c r="O80" s="164"/>
      <c r="P80" s="164"/>
      <c r="Q80" s="176"/>
      <c r="R80" s="176"/>
      <c r="S80" s="131"/>
      <c r="T80" s="224" t="str">
        <f t="shared" si="4"/>
        <v/>
      </c>
      <c r="U80" s="223" t="str">
        <f t="shared" si="5"/>
        <v/>
      </c>
      <c r="V80" s="325"/>
    </row>
    <row r="81" spans="1:22" x14ac:dyDescent="0.25">
      <c r="A81" s="294">
        <f t="shared" si="0"/>
        <v>0</v>
      </c>
      <c r="B81" s="164"/>
      <c r="C81" s="164"/>
      <c r="D81" s="164"/>
      <c r="E81" s="176"/>
      <c r="F81" s="176"/>
      <c r="G81" s="131"/>
      <c r="H81" s="223" t="str">
        <f t="shared" si="1"/>
        <v/>
      </c>
      <c r="I81" s="223" t="str">
        <f t="shared" si="2"/>
        <v/>
      </c>
      <c r="J81" s="67"/>
      <c r="K81" s="67"/>
      <c r="L81" s="67"/>
      <c r="M81" s="295">
        <f t="shared" si="3"/>
        <v>0</v>
      </c>
      <c r="N81" s="164"/>
      <c r="O81" s="164"/>
      <c r="P81" s="164"/>
      <c r="Q81" s="176"/>
      <c r="R81" s="176"/>
      <c r="S81" s="131"/>
      <c r="T81" s="224" t="str">
        <f t="shared" si="4"/>
        <v/>
      </c>
      <c r="U81" s="223" t="str">
        <f t="shared" si="5"/>
        <v/>
      </c>
      <c r="V81" s="325"/>
    </row>
    <row r="82" spans="1:22" x14ac:dyDescent="0.25">
      <c r="A82" s="294">
        <f t="shared" ref="A82:A116" si="6">IF(B82&lt;&gt;"",ROW(A66),0)</f>
        <v>0</v>
      </c>
      <c r="B82" s="164"/>
      <c r="C82" s="164"/>
      <c r="D82" s="164"/>
      <c r="E82" s="176"/>
      <c r="F82" s="176"/>
      <c r="G82" s="131"/>
      <c r="H82" s="223" t="str">
        <f t="shared" ref="H82:H116" si="7">IF(ROW(A66)&lt;=$A$16,F82*E82,"")</f>
        <v/>
      </c>
      <c r="I82" s="223" t="str">
        <f t="shared" ref="I82:I116" si="8">IFERROR(H82/52,"")</f>
        <v/>
      </c>
      <c r="J82" s="67"/>
      <c r="K82" s="67"/>
      <c r="L82" s="67"/>
      <c r="M82" s="295">
        <f t="shared" ref="M82:M116" si="9">IF(N82&lt;&gt;"",ROW(A66),0)</f>
        <v>0</v>
      </c>
      <c r="N82" s="164"/>
      <c r="O82" s="164"/>
      <c r="P82" s="164"/>
      <c r="Q82" s="176"/>
      <c r="R82" s="176"/>
      <c r="S82" s="131"/>
      <c r="T82" s="224" t="str">
        <f t="shared" ref="T82:T116" si="10">IF(ROW(A66)&lt;=$M$16,R82*Q82,"")</f>
        <v/>
      </c>
      <c r="U82" s="223" t="str">
        <f t="shared" ref="U82:U116" si="11">IFERROR(T82/52,"")</f>
        <v/>
      </c>
      <c r="V82" s="325"/>
    </row>
    <row r="83" spans="1:22" x14ac:dyDescent="0.25">
      <c r="A83" s="294">
        <f t="shared" si="6"/>
        <v>0</v>
      </c>
      <c r="B83" s="164"/>
      <c r="C83" s="164"/>
      <c r="D83" s="164"/>
      <c r="E83" s="176"/>
      <c r="F83" s="176"/>
      <c r="G83" s="131"/>
      <c r="H83" s="223" t="str">
        <f t="shared" si="7"/>
        <v/>
      </c>
      <c r="I83" s="223" t="str">
        <f t="shared" si="8"/>
        <v/>
      </c>
      <c r="J83" s="67"/>
      <c r="K83" s="67"/>
      <c r="L83" s="67"/>
      <c r="M83" s="295">
        <f t="shared" si="9"/>
        <v>0</v>
      </c>
      <c r="N83" s="164"/>
      <c r="O83" s="164"/>
      <c r="P83" s="164"/>
      <c r="Q83" s="176"/>
      <c r="R83" s="176"/>
      <c r="S83" s="131"/>
      <c r="T83" s="224" t="str">
        <f t="shared" si="10"/>
        <v/>
      </c>
      <c r="U83" s="223" t="str">
        <f t="shared" si="11"/>
        <v/>
      </c>
      <c r="V83" s="325"/>
    </row>
    <row r="84" spans="1:22" x14ac:dyDescent="0.25">
      <c r="A84" s="294">
        <f t="shared" si="6"/>
        <v>0</v>
      </c>
      <c r="B84" s="164"/>
      <c r="C84" s="164"/>
      <c r="D84" s="164"/>
      <c r="E84" s="176"/>
      <c r="F84" s="176"/>
      <c r="G84" s="131"/>
      <c r="H84" s="223" t="str">
        <f t="shared" si="7"/>
        <v/>
      </c>
      <c r="I84" s="223" t="str">
        <f t="shared" si="8"/>
        <v/>
      </c>
      <c r="J84" s="67"/>
      <c r="K84" s="67"/>
      <c r="L84" s="67"/>
      <c r="M84" s="295">
        <f t="shared" si="9"/>
        <v>0</v>
      </c>
      <c r="N84" s="164"/>
      <c r="O84" s="164"/>
      <c r="P84" s="164"/>
      <c r="Q84" s="176"/>
      <c r="R84" s="176"/>
      <c r="S84" s="131"/>
      <c r="T84" s="224" t="str">
        <f t="shared" si="10"/>
        <v/>
      </c>
      <c r="U84" s="223" t="str">
        <f t="shared" si="11"/>
        <v/>
      </c>
      <c r="V84" s="325"/>
    </row>
    <row r="85" spans="1:22" x14ac:dyDescent="0.25">
      <c r="A85" s="294">
        <f t="shared" si="6"/>
        <v>0</v>
      </c>
      <c r="B85" s="164"/>
      <c r="C85" s="164"/>
      <c r="D85" s="164"/>
      <c r="E85" s="176"/>
      <c r="F85" s="176"/>
      <c r="G85" s="131"/>
      <c r="H85" s="223" t="str">
        <f t="shared" si="7"/>
        <v/>
      </c>
      <c r="I85" s="223" t="str">
        <f t="shared" si="8"/>
        <v/>
      </c>
      <c r="J85" s="67"/>
      <c r="K85" s="67"/>
      <c r="L85" s="67"/>
      <c r="M85" s="295">
        <f t="shared" si="9"/>
        <v>0</v>
      </c>
      <c r="N85" s="164"/>
      <c r="O85" s="164"/>
      <c r="P85" s="164"/>
      <c r="Q85" s="176"/>
      <c r="R85" s="176"/>
      <c r="S85" s="131"/>
      <c r="T85" s="224" t="str">
        <f t="shared" si="10"/>
        <v/>
      </c>
      <c r="U85" s="223" t="str">
        <f t="shared" si="11"/>
        <v/>
      </c>
      <c r="V85" s="325"/>
    </row>
    <row r="86" spans="1:22" x14ac:dyDescent="0.25">
      <c r="A86" s="294">
        <f t="shared" si="6"/>
        <v>0</v>
      </c>
      <c r="B86" s="164"/>
      <c r="C86" s="164"/>
      <c r="D86" s="164"/>
      <c r="E86" s="176"/>
      <c r="F86" s="176"/>
      <c r="G86" s="131"/>
      <c r="H86" s="223" t="str">
        <f t="shared" si="7"/>
        <v/>
      </c>
      <c r="I86" s="223" t="str">
        <f t="shared" si="8"/>
        <v/>
      </c>
      <c r="J86" s="67"/>
      <c r="K86" s="67"/>
      <c r="L86" s="67"/>
      <c r="M86" s="295">
        <f t="shared" si="9"/>
        <v>0</v>
      </c>
      <c r="N86" s="164"/>
      <c r="O86" s="164"/>
      <c r="P86" s="164"/>
      <c r="Q86" s="176"/>
      <c r="R86" s="176"/>
      <c r="S86" s="131"/>
      <c r="T86" s="224" t="str">
        <f t="shared" si="10"/>
        <v/>
      </c>
      <c r="U86" s="223" t="str">
        <f t="shared" si="11"/>
        <v/>
      </c>
      <c r="V86" s="325"/>
    </row>
    <row r="87" spans="1:22" x14ac:dyDescent="0.25">
      <c r="A87" s="294">
        <f t="shared" si="6"/>
        <v>0</v>
      </c>
      <c r="B87" s="164"/>
      <c r="C87" s="164"/>
      <c r="D87" s="164"/>
      <c r="E87" s="176"/>
      <c r="F87" s="176"/>
      <c r="G87" s="131"/>
      <c r="H87" s="223" t="str">
        <f t="shared" si="7"/>
        <v/>
      </c>
      <c r="I87" s="223" t="str">
        <f t="shared" si="8"/>
        <v/>
      </c>
      <c r="J87" s="67"/>
      <c r="K87" s="67"/>
      <c r="L87" s="67"/>
      <c r="M87" s="295">
        <f t="shared" si="9"/>
        <v>0</v>
      </c>
      <c r="N87" s="164"/>
      <c r="O87" s="164"/>
      <c r="P87" s="164"/>
      <c r="Q87" s="176"/>
      <c r="R87" s="176"/>
      <c r="S87" s="131"/>
      <c r="T87" s="224" t="str">
        <f t="shared" si="10"/>
        <v/>
      </c>
      <c r="U87" s="223" t="str">
        <f t="shared" si="11"/>
        <v/>
      </c>
      <c r="V87" s="325"/>
    </row>
    <row r="88" spans="1:22" x14ac:dyDescent="0.25">
      <c r="A88" s="294">
        <f t="shared" si="6"/>
        <v>0</v>
      </c>
      <c r="B88" s="164"/>
      <c r="C88" s="164"/>
      <c r="D88" s="164"/>
      <c r="E88" s="176"/>
      <c r="F88" s="176"/>
      <c r="G88" s="131"/>
      <c r="H88" s="223" t="str">
        <f t="shared" si="7"/>
        <v/>
      </c>
      <c r="I88" s="223" t="str">
        <f t="shared" si="8"/>
        <v/>
      </c>
      <c r="J88" s="67"/>
      <c r="K88" s="67"/>
      <c r="L88" s="67"/>
      <c r="M88" s="295">
        <f t="shared" si="9"/>
        <v>0</v>
      </c>
      <c r="N88" s="164"/>
      <c r="O88" s="164"/>
      <c r="P88" s="164"/>
      <c r="Q88" s="176"/>
      <c r="R88" s="176"/>
      <c r="S88" s="131"/>
      <c r="T88" s="224" t="str">
        <f t="shared" si="10"/>
        <v/>
      </c>
      <c r="U88" s="223" t="str">
        <f t="shared" si="11"/>
        <v/>
      </c>
      <c r="V88" s="325"/>
    </row>
    <row r="89" spans="1:22" x14ac:dyDescent="0.25">
      <c r="A89" s="294">
        <f t="shared" si="6"/>
        <v>0</v>
      </c>
      <c r="B89" s="164"/>
      <c r="C89" s="164"/>
      <c r="D89" s="164"/>
      <c r="E89" s="176"/>
      <c r="F89" s="176"/>
      <c r="G89" s="131"/>
      <c r="H89" s="223" t="str">
        <f t="shared" si="7"/>
        <v/>
      </c>
      <c r="I89" s="223" t="str">
        <f t="shared" si="8"/>
        <v/>
      </c>
      <c r="J89" s="67"/>
      <c r="K89" s="67"/>
      <c r="L89" s="67"/>
      <c r="M89" s="295">
        <f t="shared" si="9"/>
        <v>0</v>
      </c>
      <c r="N89" s="164"/>
      <c r="O89" s="164"/>
      <c r="P89" s="164"/>
      <c r="Q89" s="176"/>
      <c r="R89" s="176"/>
      <c r="S89" s="131"/>
      <c r="T89" s="224" t="str">
        <f t="shared" si="10"/>
        <v/>
      </c>
      <c r="U89" s="223" t="str">
        <f t="shared" si="11"/>
        <v/>
      </c>
      <c r="V89" s="325"/>
    </row>
    <row r="90" spans="1:22" x14ac:dyDescent="0.25">
      <c r="A90" s="294">
        <f t="shared" si="6"/>
        <v>0</v>
      </c>
      <c r="B90" s="164"/>
      <c r="C90" s="164"/>
      <c r="D90" s="164"/>
      <c r="E90" s="176"/>
      <c r="F90" s="176"/>
      <c r="G90" s="131"/>
      <c r="H90" s="223" t="str">
        <f t="shared" si="7"/>
        <v/>
      </c>
      <c r="I90" s="223" t="str">
        <f t="shared" si="8"/>
        <v/>
      </c>
      <c r="J90" s="67"/>
      <c r="K90" s="67"/>
      <c r="L90" s="67"/>
      <c r="M90" s="295">
        <f t="shared" si="9"/>
        <v>0</v>
      </c>
      <c r="N90" s="164"/>
      <c r="O90" s="164"/>
      <c r="P90" s="164"/>
      <c r="Q90" s="176"/>
      <c r="R90" s="176"/>
      <c r="S90" s="131"/>
      <c r="T90" s="224" t="str">
        <f t="shared" si="10"/>
        <v/>
      </c>
      <c r="U90" s="223" t="str">
        <f t="shared" si="11"/>
        <v/>
      </c>
      <c r="V90" s="325"/>
    </row>
    <row r="91" spans="1:22" x14ac:dyDescent="0.25">
      <c r="A91" s="294">
        <f t="shared" si="6"/>
        <v>0</v>
      </c>
      <c r="B91" s="164"/>
      <c r="C91" s="164"/>
      <c r="D91" s="164"/>
      <c r="E91" s="176"/>
      <c r="F91" s="176"/>
      <c r="G91" s="131"/>
      <c r="H91" s="223" t="str">
        <f t="shared" si="7"/>
        <v/>
      </c>
      <c r="I91" s="223" t="str">
        <f t="shared" si="8"/>
        <v/>
      </c>
      <c r="J91" s="67"/>
      <c r="K91" s="67"/>
      <c r="L91" s="67"/>
      <c r="M91" s="295">
        <f t="shared" si="9"/>
        <v>0</v>
      </c>
      <c r="N91" s="164"/>
      <c r="O91" s="164"/>
      <c r="P91" s="164"/>
      <c r="Q91" s="176"/>
      <c r="R91" s="176"/>
      <c r="S91" s="131"/>
      <c r="T91" s="224" t="str">
        <f t="shared" si="10"/>
        <v/>
      </c>
      <c r="U91" s="223" t="str">
        <f t="shared" si="11"/>
        <v/>
      </c>
      <c r="V91" s="325"/>
    </row>
    <row r="92" spans="1:22" x14ac:dyDescent="0.25">
      <c r="A92" s="294">
        <f t="shared" si="6"/>
        <v>0</v>
      </c>
      <c r="B92" s="164"/>
      <c r="C92" s="164"/>
      <c r="D92" s="164"/>
      <c r="E92" s="176"/>
      <c r="F92" s="176"/>
      <c r="G92" s="131"/>
      <c r="H92" s="223" t="str">
        <f t="shared" si="7"/>
        <v/>
      </c>
      <c r="I92" s="223" t="str">
        <f t="shared" si="8"/>
        <v/>
      </c>
      <c r="J92" s="67"/>
      <c r="K92" s="67"/>
      <c r="L92" s="67"/>
      <c r="M92" s="295">
        <f t="shared" si="9"/>
        <v>0</v>
      </c>
      <c r="N92" s="164"/>
      <c r="O92" s="164"/>
      <c r="P92" s="164"/>
      <c r="Q92" s="176"/>
      <c r="R92" s="176"/>
      <c r="S92" s="131"/>
      <c r="T92" s="224" t="str">
        <f t="shared" si="10"/>
        <v/>
      </c>
      <c r="U92" s="223" t="str">
        <f t="shared" si="11"/>
        <v/>
      </c>
      <c r="V92" s="325"/>
    </row>
    <row r="93" spans="1:22" x14ac:dyDescent="0.25">
      <c r="A93" s="294">
        <f t="shared" si="6"/>
        <v>0</v>
      </c>
      <c r="B93" s="164"/>
      <c r="C93" s="164"/>
      <c r="D93" s="164"/>
      <c r="E93" s="176"/>
      <c r="F93" s="176"/>
      <c r="G93" s="131"/>
      <c r="H93" s="223" t="str">
        <f t="shared" si="7"/>
        <v/>
      </c>
      <c r="I93" s="223" t="str">
        <f t="shared" si="8"/>
        <v/>
      </c>
      <c r="J93" s="67"/>
      <c r="K93" s="67"/>
      <c r="L93" s="67"/>
      <c r="M93" s="295">
        <f t="shared" si="9"/>
        <v>0</v>
      </c>
      <c r="N93" s="164"/>
      <c r="O93" s="164"/>
      <c r="P93" s="164"/>
      <c r="Q93" s="176"/>
      <c r="R93" s="176"/>
      <c r="S93" s="131"/>
      <c r="T93" s="224" t="str">
        <f t="shared" si="10"/>
        <v/>
      </c>
      <c r="U93" s="223" t="str">
        <f t="shared" si="11"/>
        <v/>
      </c>
      <c r="V93" s="325"/>
    </row>
    <row r="94" spans="1:22" x14ac:dyDescent="0.25">
      <c r="A94" s="294">
        <f t="shared" si="6"/>
        <v>0</v>
      </c>
      <c r="B94" s="164"/>
      <c r="C94" s="164"/>
      <c r="D94" s="164"/>
      <c r="E94" s="176"/>
      <c r="F94" s="176"/>
      <c r="G94" s="131"/>
      <c r="H94" s="223" t="str">
        <f t="shared" si="7"/>
        <v/>
      </c>
      <c r="I94" s="223" t="str">
        <f t="shared" si="8"/>
        <v/>
      </c>
      <c r="J94" s="67"/>
      <c r="K94" s="67"/>
      <c r="L94" s="67"/>
      <c r="M94" s="295">
        <f t="shared" si="9"/>
        <v>0</v>
      </c>
      <c r="N94" s="164"/>
      <c r="O94" s="164"/>
      <c r="P94" s="164"/>
      <c r="Q94" s="176"/>
      <c r="R94" s="176"/>
      <c r="S94" s="131"/>
      <c r="T94" s="224" t="str">
        <f t="shared" si="10"/>
        <v/>
      </c>
      <c r="U94" s="223" t="str">
        <f t="shared" si="11"/>
        <v/>
      </c>
      <c r="V94" s="325"/>
    </row>
    <row r="95" spans="1:22" x14ac:dyDescent="0.25">
      <c r="A95" s="294">
        <f t="shared" si="6"/>
        <v>0</v>
      </c>
      <c r="B95" s="164"/>
      <c r="C95" s="164"/>
      <c r="D95" s="164"/>
      <c r="E95" s="176"/>
      <c r="F95" s="176"/>
      <c r="G95" s="131"/>
      <c r="H95" s="223" t="str">
        <f t="shared" si="7"/>
        <v/>
      </c>
      <c r="I95" s="223" t="str">
        <f t="shared" si="8"/>
        <v/>
      </c>
      <c r="J95" s="67"/>
      <c r="K95" s="67"/>
      <c r="L95" s="67"/>
      <c r="M95" s="295">
        <f t="shared" si="9"/>
        <v>0</v>
      </c>
      <c r="N95" s="164"/>
      <c r="O95" s="164"/>
      <c r="P95" s="164"/>
      <c r="Q95" s="176"/>
      <c r="R95" s="176"/>
      <c r="S95" s="131"/>
      <c r="T95" s="224" t="str">
        <f t="shared" si="10"/>
        <v/>
      </c>
      <c r="U95" s="223" t="str">
        <f t="shared" si="11"/>
        <v/>
      </c>
      <c r="V95" s="325"/>
    </row>
    <row r="96" spans="1:22" x14ac:dyDescent="0.25">
      <c r="A96" s="294">
        <f t="shared" si="6"/>
        <v>0</v>
      </c>
      <c r="B96" s="164"/>
      <c r="C96" s="164"/>
      <c r="D96" s="164"/>
      <c r="E96" s="176"/>
      <c r="F96" s="176"/>
      <c r="G96" s="131"/>
      <c r="H96" s="223" t="str">
        <f t="shared" si="7"/>
        <v/>
      </c>
      <c r="I96" s="223" t="str">
        <f t="shared" si="8"/>
        <v/>
      </c>
      <c r="J96" s="67"/>
      <c r="K96" s="67"/>
      <c r="L96" s="67"/>
      <c r="M96" s="295">
        <f t="shared" si="9"/>
        <v>0</v>
      </c>
      <c r="N96" s="164"/>
      <c r="O96" s="164"/>
      <c r="P96" s="164"/>
      <c r="Q96" s="176"/>
      <c r="R96" s="176"/>
      <c r="S96" s="131"/>
      <c r="T96" s="224" t="str">
        <f t="shared" si="10"/>
        <v/>
      </c>
      <c r="U96" s="223" t="str">
        <f t="shared" si="11"/>
        <v/>
      </c>
      <c r="V96" s="325"/>
    </row>
    <row r="97" spans="1:22" x14ac:dyDescent="0.25">
      <c r="A97" s="294">
        <f t="shared" si="6"/>
        <v>0</v>
      </c>
      <c r="B97" s="164"/>
      <c r="C97" s="164"/>
      <c r="D97" s="164"/>
      <c r="E97" s="176"/>
      <c r="F97" s="176"/>
      <c r="G97" s="131"/>
      <c r="H97" s="223" t="str">
        <f t="shared" si="7"/>
        <v/>
      </c>
      <c r="I97" s="223" t="str">
        <f t="shared" si="8"/>
        <v/>
      </c>
      <c r="J97" s="67"/>
      <c r="K97" s="67"/>
      <c r="L97" s="67"/>
      <c r="M97" s="295">
        <f t="shared" si="9"/>
        <v>0</v>
      </c>
      <c r="N97" s="164"/>
      <c r="O97" s="164"/>
      <c r="P97" s="164"/>
      <c r="Q97" s="176"/>
      <c r="R97" s="176"/>
      <c r="S97" s="131"/>
      <c r="T97" s="224" t="str">
        <f t="shared" si="10"/>
        <v/>
      </c>
      <c r="U97" s="223" t="str">
        <f t="shared" si="11"/>
        <v/>
      </c>
      <c r="V97" s="325"/>
    </row>
    <row r="98" spans="1:22" x14ac:dyDescent="0.25">
      <c r="A98" s="294">
        <f t="shared" si="6"/>
        <v>0</v>
      </c>
      <c r="B98" s="164"/>
      <c r="C98" s="164"/>
      <c r="D98" s="164"/>
      <c r="E98" s="176"/>
      <c r="F98" s="176"/>
      <c r="G98" s="131"/>
      <c r="H98" s="223" t="str">
        <f t="shared" si="7"/>
        <v/>
      </c>
      <c r="I98" s="223" t="str">
        <f t="shared" si="8"/>
        <v/>
      </c>
      <c r="J98" s="67"/>
      <c r="K98" s="67"/>
      <c r="L98" s="67"/>
      <c r="M98" s="295">
        <f t="shared" si="9"/>
        <v>0</v>
      </c>
      <c r="N98" s="164"/>
      <c r="O98" s="164"/>
      <c r="P98" s="164"/>
      <c r="Q98" s="176"/>
      <c r="R98" s="176"/>
      <c r="S98" s="131"/>
      <c r="T98" s="224" t="str">
        <f t="shared" si="10"/>
        <v/>
      </c>
      <c r="U98" s="223" t="str">
        <f t="shared" si="11"/>
        <v/>
      </c>
      <c r="V98" s="325"/>
    </row>
    <row r="99" spans="1:22" x14ac:dyDescent="0.25">
      <c r="A99" s="294">
        <f t="shared" si="6"/>
        <v>0</v>
      </c>
      <c r="B99" s="164"/>
      <c r="C99" s="164"/>
      <c r="D99" s="164"/>
      <c r="E99" s="176"/>
      <c r="F99" s="176"/>
      <c r="G99" s="131"/>
      <c r="H99" s="223" t="str">
        <f t="shared" si="7"/>
        <v/>
      </c>
      <c r="I99" s="223" t="str">
        <f t="shared" si="8"/>
        <v/>
      </c>
      <c r="J99" s="67"/>
      <c r="K99" s="67"/>
      <c r="L99" s="67"/>
      <c r="M99" s="295">
        <f t="shared" si="9"/>
        <v>0</v>
      </c>
      <c r="N99" s="164"/>
      <c r="O99" s="164"/>
      <c r="P99" s="164"/>
      <c r="Q99" s="176"/>
      <c r="R99" s="176"/>
      <c r="S99" s="131"/>
      <c r="T99" s="224" t="str">
        <f t="shared" si="10"/>
        <v/>
      </c>
      <c r="U99" s="223" t="str">
        <f t="shared" si="11"/>
        <v/>
      </c>
      <c r="V99" s="325"/>
    </row>
    <row r="100" spans="1:22" x14ac:dyDescent="0.25">
      <c r="A100" s="294">
        <f t="shared" si="6"/>
        <v>0</v>
      </c>
      <c r="B100" s="164"/>
      <c r="C100" s="164"/>
      <c r="D100" s="164"/>
      <c r="E100" s="176"/>
      <c r="F100" s="176"/>
      <c r="G100" s="131"/>
      <c r="H100" s="223" t="str">
        <f t="shared" si="7"/>
        <v/>
      </c>
      <c r="I100" s="223" t="str">
        <f t="shared" si="8"/>
        <v/>
      </c>
      <c r="J100" s="67"/>
      <c r="K100" s="67"/>
      <c r="L100" s="67"/>
      <c r="M100" s="295">
        <f t="shared" si="9"/>
        <v>0</v>
      </c>
      <c r="N100" s="164"/>
      <c r="O100" s="164"/>
      <c r="P100" s="164"/>
      <c r="Q100" s="176"/>
      <c r="R100" s="176"/>
      <c r="S100" s="131"/>
      <c r="T100" s="224" t="str">
        <f t="shared" si="10"/>
        <v/>
      </c>
      <c r="U100" s="223" t="str">
        <f t="shared" si="11"/>
        <v/>
      </c>
      <c r="V100" s="325"/>
    </row>
    <row r="101" spans="1:22" x14ac:dyDescent="0.25">
      <c r="A101" s="294">
        <f t="shared" si="6"/>
        <v>0</v>
      </c>
      <c r="B101" s="164"/>
      <c r="C101" s="164"/>
      <c r="D101" s="164"/>
      <c r="E101" s="176"/>
      <c r="F101" s="176"/>
      <c r="G101" s="131"/>
      <c r="H101" s="223" t="str">
        <f t="shared" si="7"/>
        <v/>
      </c>
      <c r="I101" s="223" t="str">
        <f t="shared" si="8"/>
        <v/>
      </c>
      <c r="J101" s="67"/>
      <c r="K101" s="67"/>
      <c r="L101" s="67"/>
      <c r="M101" s="295">
        <f t="shared" si="9"/>
        <v>0</v>
      </c>
      <c r="N101" s="164"/>
      <c r="O101" s="164"/>
      <c r="P101" s="164"/>
      <c r="Q101" s="176"/>
      <c r="R101" s="176"/>
      <c r="S101" s="131"/>
      <c r="T101" s="224" t="str">
        <f t="shared" si="10"/>
        <v/>
      </c>
      <c r="U101" s="223" t="str">
        <f t="shared" si="11"/>
        <v/>
      </c>
      <c r="V101" s="325"/>
    </row>
    <row r="102" spans="1:22" x14ac:dyDescent="0.25">
      <c r="A102" s="294">
        <f t="shared" si="6"/>
        <v>0</v>
      </c>
      <c r="B102" s="164"/>
      <c r="C102" s="164"/>
      <c r="D102" s="164"/>
      <c r="E102" s="176"/>
      <c r="F102" s="176"/>
      <c r="G102" s="131"/>
      <c r="H102" s="223" t="str">
        <f t="shared" si="7"/>
        <v/>
      </c>
      <c r="I102" s="223" t="str">
        <f t="shared" si="8"/>
        <v/>
      </c>
      <c r="J102" s="67"/>
      <c r="K102" s="67"/>
      <c r="L102" s="67"/>
      <c r="M102" s="295">
        <f t="shared" si="9"/>
        <v>0</v>
      </c>
      <c r="N102" s="164"/>
      <c r="O102" s="164"/>
      <c r="P102" s="164"/>
      <c r="Q102" s="176"/>
      <c r="R102" s="176"/>
      <c r="S102" s="131"/>
      <c r="T102" s="224" t="str">
        <f t="shared" si="10"/>
        <v/>
      </c>
      <c r="U102" s="223" t="str">
        <f t="shared" si="11"/>
        <v/>
      </c>
      <c r="V102" s="325"/>
    </row>
    <row r="103" spans="1:22" x14ac:dyDescent="0.25">
      <c r="A103" s="294">
        <f t="shared" si="6"/>
        <v>0</v>
      </c>
      <c r="B103" s="164"/>
      <c r="C103" s="164"/>
      <c r="D103" s="164"/>
      <c r="E103" s="176"/>
      <c r="F103" s="176"/>
      <c r="G103" s="131"/>
      <c r="H103" s="223" t="str">
        <f t="shared" si="7"/>
        <v/>
      </c>
      <c r="I103" s="223" t="str">
        <f t="shared" si="8"/>
        <v/>
      </c>
      <c r="J103" s="67"/>
      <c r="K103" s="67"/>
      <c r="L103" s="67"/>
      <c r="M103" s="295">
        <f t="shared" si="9"/>
        <v>0</v>
      </c>
      <c r="N103" s="164"/>
      <c r="O103" s="164"/>
      <c r="P103" s="164"/>
      <c r="Q103" s="176"/>
      <c r="R103" s="176"/>
      <c r="S103" s="131"/>
      <c r="T103" s="224" t="str">
        <f t="shared" si="10"/>
        <v/>
      </c>
      <c r="U103" s="223" t="str">
        <f t="shared" si="11"/>
        <v/>
      </c>
      <c r="V103" s="325"/>
    </row>
    <row r="104" spans="1:22" x14ac:dyDescent="0.25">
      <c r="A104" s="294">
        <f t="shared" si="6"/>
        <v>0</v>
      </c>
      <c r="B104" s="164"/>
      <c r="C104" s="164"/>
      <c r="D104" s="164"/>
      <c r="E104" s="176"/>
      <c r="F104" s="176"/>
      <c r="G104" s="131"/>
      <c r="H104" s="223" t="str">
        <f t="shared" si="7"/>
        <v/>
      </c>
      <c r="I104" s="223" t="str">
        <f t="shared" si="8"/>
        <v/>
      </c>
      <c r="J104" s="67"/>
      <c r="K104" s="67"/>
      <c r="L104" s="67"/>
      <c r="M104" s="295">
        <f t="shared" si="9"/>
        <v>0</v>
      </c>
      <c r="N104" s="164"/>
      <c r="O104" s="164"/>
      <c r="P104" s="164"/>
      <c r="Q104" s="176"/>
      <c r="R104" s="176"/>
      <c r="S104" s="131"/>
      <c r="T104" s="224" t="str">
        <f t="shared" si="10"/>
        <v/>
      </c>
      <c r="U104" s="223" t="str">
        <f t="shared" si="11"/>
        <v/>
      </c>
      <c r="V104" s="325"/>
    </row>
    <row r="105" spans="1:22" x14ac:dyDescent="0.25">
      <c r="A105" s="294">
        <f t="shared" si="6"/>
        <v>0</v>
      </c>
      <c r="B105" s="164"/>
      <c r="C105" s="164"/>
      <c r="D105" s="164"/>
      <c r="E105" s="176"/>
      <c r="F105" s="176"/>
      <c r="G105" s="131"/>
      <c r="H105" s="223" t="str">
        <f t="shared" si="7"/>
        <v/>
      </c>
      <c r="I105" s="223" t="str">
        <f t="shared" si="8"/>
        <v/>
      </c>
      <c r="J105" s="67"/>
      <c r="K105" s="67"/>
      <c r="L105" s="67"/>
      <c r="M105" s="295">
        <f t="shared" si="9"/>
        <v>0</v>
      </c>
      <c r="N105" s="164"/>
      <c r="O105" s="164"/>
      <c r="P105" s="164"/>
      <c r="Q105" s="176"/>
      <c r="R105" s="176"/>
      <c r="S105" s="131"/>
      <c r="T105" s="224" t="str">
        <f t="shared" si="10"/>
        <v/>
      </c>
      <c r="U105" s="223" t="str">
        <f t="shared" si="11"/>
        <v/>
      </c>
      <c r="V105" s="325"/>
    </row>
    <row r="106" spans="1:22" x14ac:dyDescent="0.25">
      <c r="A106" s="294">
        <f t="shared" si="6"/>
        <v>0</v>
      </c>
      <c r="B106" s="164"/>
      <c r="C106" s="164"/>
      <c r="D106" s="164"/>
      <c r="E106" s="176"/>
      <c r="F106" s="176"/>
      <c r="G106" s="131"/>
      <c r="H106" s="223" t="str">
        <f t="shared" si="7"/>
        <v/>
      </c>
      <c r="I106" s="223" t="str">
        <f t="shared" si="8"/>
        <v/>
      </c>
      <c r="J106" s="67"/>
      <c r="K106" s="67"/>
      <c r="L106" s="67"/>
      <c r="M106" s="295">
        <f t="shared" si="9"/>
        <v>0</v>
      </c>
      <c r="N106" s="164"/>
      <c r="O106" s="164"/>
      <c r="P106" s="164"/>
      <c r="Q106" s="176"/>
      <c r="R106" s="176"/>
      <c r="S106" s="131"/>
      <c r="T106" s="224" t="str">
        <f t="shared" si="10"/>
        <v/>
      </c>
      <c r="U106" s="223" t="str">
        <f t="shared" si="11"/>
        <v/>
      </c>
      <c r="V106" s="325"/>
    </row>
    <row r="107" spans="1:22" x14ac:dyDescent="0.25">
      <c r="A107" s="294">
        <f t="shared" si="6"/>
        <v>0</v>
      </c>
      <c r="B107" s="164"/>
      <c r="C107" s="164"/>
      <c r="D107" s="164"/>
      <c r="E107" s="176"/>
      <c r="F107" s="176"/>
      <c r="G107" s="131"/>
      <c r="H107" s="223" t="str">
        <f t="shared" si="7"/>
        <v/>
      </c>
      <c r="I107" s="223" t="str">
        <f t="shared" si="8"/>
        <v/>
      </c>
      <c r="J107" s="67"/>
      <c r="K107" s="67"/>
      <c r="L107" s="67"/>
      <c r="M107" s="295">
        <f t="shared" si="9"/>
        <v>0</v>
      </c>
      <c r="N107" s="164"/>
      <c r="O107" s="164"/>
      <c r="P107" s="164"/>
      <c r="Q107" s="176"/>
      <c r="R107" s="176"/>
      <c r="S107" s="131"/>
      <c r="T107" s="224" t="str">
        <f t="shared" si="10"/>
        <v/>
      </c>
      <c r="U107" s="223" t="str">
        <f t="shared" si="11"/>
        <v/>
      </c>
      <c r="V107" s="325"/>
    </row>
    <row r="108" spans="1:22" x14ac:dyDescent="0.25">
      <c r="A108" s="294">
        <f t="shared" si="6"/>
        <v>0</v>
      </c>
      <c r="B108" s="164"/>
      <c r="C108" s="164"/>
      <c r="D108" s="164"/>
      <c r="E108" s="176"/>
      <c r="F108" s="176"/>
      <c r="G108" s="131"/>
      <c r="H108" s="223" t="str">
        <f t="shared" si="7"/>
        <v/>
      </c>
      <c r="I108" s="223" t="str">
        <f t="shared" si="8"/>
        <v/>
      </c>
      <c r="J108" s="67"/>
      <c r="K108" s="67"/>
      <c r="L108" s="67"/>
      <c r="M108" s="295">
        <f t="shared" si="9"/>
        <v>0</v>
      </c>
      <c r="N108" s="164"/>
      <c r="O108" s="164"/>
      <c r="P108" s="164"/>
      <c r="Q108" s="176"/>
      <c r="R108" s="176"/>
      <c r="S108" s="131"/>
      <c r="T108" s="224" t="str">
        <f t="shared" si="10"/>
        <v/>
      </c>
      <c r="U108" s="223" t="str">
        <f t="shared" si="11"/>
        <v/>
      </c>
      <c r="V108" s="325"/>
    </row>
    <row r="109" spans="1:22" x14ac:dyDescent="0.25">
      <c r="A109" s="294">
        <f t="shared" si="6"/>
        <v>0</v>
      </c>
      <c r="B109" s="164"/>
      <c r="C109" s="164"/>
      <c r="D109" s="164"/>
      <c r="E109" s="176"/>
      <c r="F109" s="176"/>
      <c r="G109" s="131"/>
      <c r="H109" s="223" t="str">
        <f t="shared" si="7"/>
        <v/>
      </c>
      <c r="I109" s="223" t="str">
        <f t="shared" si="8"/>
        <v/>
      </c>
      <c r="J109" s="67"/>
      <c r="K109" s="67"/>
      <c r="L109" s="67"/>
      <c r="M109" s="295">
        <f t="shared" si="9"/>
        <v>0</v>
      </c>
      <c r="N109" s="164"/>
      <c r="O109" s="164"/>
      <c r="P109" s="164"/>
      <c r="Q109" s="176"/>
      <c r="R109" s="176"/>
      <c r="S109" s="131"/>
      <c r="T109" s="224" t="str">
        <f t="shared" si="10"/>
        <v/>
      </c>
      <c r="U109" s="223" t="str">
        <f t="shared" si="11"/>
        <v/>
      </c>
      <c r="V109" s="325"/>
    </row>
    <row r="110" spans="1:22" x14ac:dyDescent="0.25">
      <c r="A110" s="294">
        <f t="shared" si="6"/>
        <v>0</v>
      </c>
      <c r="B110" s="164"/>
      <c r="C110" s="164"/>
      <c r="D110" s="164"/>
      <c r="E110" s="176"/>
      <c r="F110" s="176"/>
      <c r="G110" s="131"/>
      <c r="H110" s="223" t="str">
        <f t="shared" si="7"/>
        <v/>
      </c>
      <c r="I110" s="223" t="str">
        <f t="shared" si="8"/>
        <v/>
      </c>
      <c r="J110" s="67"/>
      <c r="K110" s="67"/>
      <c r="L110" s="67"/>
      <c r="M110" s="295">
        <f t="shared" si="9"/>
        <v>0</v>
      </c>
      <c r="N110" s="164"/>
      <c r="O110" s="164"/>
      <c r="P110" s="164"/>
      <c r="Q110" s="176"/>
      <c r="R110" s="176"/>
      <c r="S110" s="131"/>
      <c r="T110" s="224" t="str">
        <f t="shared" si="10"/>
        <v/>
      </c>
      <c r="U110" s="223" t="str">
        <f t="shared" si="11"/>
        <v/>
      </c>
      <c r="V110" s="325"/>
    </row>
    <row r="111" spans="1:22" x14ac:dyDescent="0.25">
      <c r="A111" s="294">
        <f t="shared" si="6"/>
        <v>0</v>
      </c>
      <c r="B111" s="164"/>
      <c r="C111" s="164"/>
      <c r="D111" s="164"/>
      <c r="E111" s="176"/>
      <c r="F111" s="176"/>
      <c r="G111" s="131"/>
      <c r="H111" s="223" t="str">
        <f t="shared" si="7"/>
        <v/>
      </c>
      <c r="I111" s="223" t="str">
        <f t="shared" si="8"/>
        <v/>
      </c>
      <c r="J111" s="67"/>
      <c r="K111" s="67"/>
      <c r="L111" s="67"/>
      <c r="M111" s="295">
        <f t="shared" si="9"/>
        <v>0</v>
      </c>
      <c r="N111" s="164"/>
      <c r="O111" s="164"/>
      <c r="P111" s="164"/>
      <c r="Q111" s="176"/>
      <c r="R111" s="176"/>
      <c r="S111" s="131"/>
      <c r="T111" s="224" t="str">
        <f t="shared" si="10"/>
        <v/>
      </c>
      <c r="U111" s="223" t="str">
        <f t="shared" si="11"/>
        <v/>
      </c>
      <c r="V111" s="325"/>
    </row>
    <row r="112" spans="1:22" x14ac:dyDescent="0.25">
      <c r="A112" s="294">
        <f t="shared" si="6"/>
        <v>0</v>
      </c>
      <c r="B112" s="164"/>
      <c r="C112" s="164"/>
      <c r="D112" s="164"/>
      <c r="E112" s="176"/>
      <c r="F112" s="176"/>
      <c r="G112" s="131"/>
      <c r="H112" s="223" t="str">
        <f t="shared" si="7"/>
        <v/>
      </c>
      <c r="I112" s="223" t="str">
        <f t="shared" si="8"/>
        <v/>
      </c>
      <c r="J112" s="67"/>
      <c r="K112" s="67"/>
      <c r="L112" s="67"/>
      <c r="M112" s="295">
        <f t="shared" si="9"/>
        <v>0</v>
      </c>
      <c r="N112" s="164"/>
      <c r="O112" s="164"/>
      <c r="P112" s="164"/>
      <c r="Q112" s="176"/>
      <c r="R112" s="176"/>
      <c r="S112" s="131"/>
      <c r="T112" s="224" t="str">
        <f t="shared" si="10"/>
        <v/>
      </c>
      <c r="U112" s="223" t="str">
        <f t="shared" si="11"/>
        <v/>
      </c>
      <c r="V112" s="325"/>
    </row>
    <row r="113" spans="1:22" x14ac:dyDescent="0.25">
      <c r="A113" s="294">
        <f t="shared" si="6"/>
        <v>0</v>
      </c>
      <c r="B113" s="164"/>
      <c r="C113" s="164"/>
      <c r="D113" s="164"/>
      <c r="E113" s="176"/>
      <c r="F113" s="176"/>
      <c r="G113" s="131"/>
      <c r="H113" s="223" t="str">
        <f t="shared" si="7"/>
        <v/>
      </c>
      <c r="I113" s="223" t="str">
        <f t="shared" si="8"/>
        <v/>
      </c>
      <c r="J113" s="67"/>
      <c r="K113" s="67"/>
      <c r="L113" s="67"/>
      <c r="M113" s="295">
        <f t="shared" si="9"/>
        <v>0</v>
      </c>
      <c r="N113" s="164"/>
      <c r="O113" s="164"/>
      <c r="P113" s="164"/>
      <c r="Q113" s="176"/>
      <c r="R113" s="176"/>
      <c r="S113" s="131"/>
      <c r="T113" s="224" t="str">
        <f t="shared" si="10"/>
        <v/>
      </c>
      <c r="U113" s="223" t="str">
        <f t="shared" si="11"/>
        <v/>
      </c>
      <c r="V113" s="325"/>
    </row>
    <row r="114" spans="1:22" x14ac:dyDescent="0.25">
      <c r="A114" s="294">
        <f t="shared" si="6"/>
        <v>0</v>
      </c>
      <c r="B114" s="164"/>
      <c r="C114" s="164"/>
      <c r="D114" s="164"/>
      <c r="E114" s="176"/>
      <c r="F114" s="176"/>
      <c r="G114" s="131"/>
      <c r="H114" s="223" t="str">
        <f t="shared" si="7"/>
        <v/>
      </c>
      <c r="I114" s="223" t="str">
        <f t="shared" si="8"/>
        <v/>
      </c>
      <c r="J114" s="67"/>
      <c r="K114" s="67"/>
      <c r="L114" s="67"/>
      <c r="M114" s="295">
        <f t="shared" si="9"/>
        <v>0</v>
      </c>
      <c r="N114" s="164"/>
      <c r="O114" s="164"/>
      <c r="P114" s="164"/>
      <c r="Q114" s="176"/>
      <c r="R114" s="176"/>
      <c r="S114" s="131"/>
      <c r="T114" s="224" t="str">
        <f t="shared" si="10"/>
        <v/>
      </c>
      <c r="U114" s="223" t="str">
        <f t="shared" si="11"/>
        <v/>
      </c>
      <c r="V114" s="325"/>
    </row>
    <row r="115" spans="1:22" x14ac:dyDescent="0.25">
      <c r="A115" s="294">
        <f t="shared" si="6"/>
        <v>0</v>
      </c>
      <c r="B115" s="164"/>
      <c r="C115" s="164"/>
      <c r="D115" s="164"/>
      <c r="E115" s="176"/>
      <c r="F115" s="176"/>
      <c r="G115" s="131"/>
      <c r="H115" s="223" t="str">
        <f t="shared" si="7"/>
        <v/>
      </c>
      <c r="I115" s="223" t="str">
        <f t="shared" si="8"/>
        <v/>
      </c>
      <c r="J115" s="67"/>
      <c r="K115" s="67"/>
      <c r="L115" s="67"/>
      <c r="M115" s="295">
        <f t="shared" si="9"/>
        <v>0</v>
      </c>
      <c r="N115" s="164"/>
      <c r="O115" s="164"/>
      <c r="P115" s="164"/>
      <c r="Q115" s="176"/>
      <c r="R115" s="176"/>
      <c r="S115" s="131"/>
      <c r="T115" s="224" t="str">
        <f t="shared" si="10"/>
        <v/>
      </c>
      <c r="U115" s="223" t="str">
        <f t="shared" si="11"/>
        <v/>
      </c>
      <c r="V115" s="325"/>
    </row>
    <row r="116" spans="1:22" x14ac:dyDescent="0.25">
      <c r="A116" s="294">
        <f t="shared" si="6"/>
        <v>0</v>
      </c>
      <c r="B116" s="164"/>
      <c r="C116" s="164"/>
      <c r="D116" s="164"/>
      <c r="E116" s="176"/>
      <c r="F116" s="176"/>
      <c r="G116" s="131"/>
      <c r="H116" s="223" t="str">
        <f t="shared" si="7"/>
        <v/>
      </c>
      <c r="I116" s="223" t="str">
        <f t="shared" si="8"/>
        <v/>
      </c>
      <c r="J116" s="67"/>
      <c r="K116" s="67"/>
      <c r="L116" s="67"/>
      <c r="M116" s="295">
        <f t="shared" si="9"/>
        <v>0</v>
      </c>
      <c r="N116" s="164"/>
      <c r="O116" s="164"/>
      <c r="P116" s="164"/>
      <c r="Q116" s="176"/>
      <c r="R116" s="176"/>
      <c r="S116" s="131"/>
      <c r="T116" s="224" t="str">
        <f t="shared" si="10"/>
        <v/>
      </c>
      <c r="U116" s="223" t="str">
        <f t="shared" si="11"/>
        <v/>
      </c>
      <c r="V116" s="325"/>
    </row>
    <row r="117" spans="1:22" s="52" customFormat="1" x14ac:dyDescent="0.25">
      <c r="B117" s="72"/>
      <c r="C117" s="72"/>
      <c r="D117" s="72"/>
      <c r="E117" s="72"/>
      <c r="F117" s="72"/>
      <c r="G117" s="72"/>
      <c r="H117" s="72"/>
      <c r="I117" s="72"/>
      <c r="J117" s="72"/>
      <c r="K117" s="72"/>
      <c r="L117" s="72"/>
      <c r="M117" s="72"/>
      <c r="N117" s="72"/>
      <c r="O117" s="72"/>
      <c r="P117" s="72"/>
      <c r="Q117" s="72"/>
      <c r="R117" s="72"/>
      <c r="S117" s="72"/>
      <c r="T117" s="72"/>
      <c r="U117" s="72"/>
    </row>
    <row r="118" spans="1:22" s="52" customFormat="1" x14ac:dyDescent="0.25">
      <c r="B118" s="72"/>
      <c r="C118" s="72"/>
      <c r="D118" s="72"/>
      <c r="E118" s="72"/>
      <c r="F118" s="72"/>
      <c r="G118" s="72"/>
      <c r="H118" s="72"/>
      <c r="I118" s="72"/>
      <c r="J118" s="72"/>
      <c r="K118" s="72"/>
      <c r="L118" s="72"/>
      <c r="M118" s="72"/>
      <c r="N118" s="72"/>
      <c r="O118" s="72"/>
      <c r="P118" s="72"/>
      <c r="Q118" s="72"/>
      <c r="R118" s="72"/>
      <c r="S118" s="72"/>
      <c r="T118" s="72"/>
      <c r="U118" s="72"/>
    </row>
    <row r="119" spans="1:22" s="52" customFormat="1" x14ac:dyDescent="0.25">
      <c r="B119" s="72"/>
      <c r="C119" s="72"/>
      <c r="D119" s="72"/>
      <c r="E119" s="72"/>
      <c r="F119" s="72"/>
      <c r="G119" s="72"/>
      <c r="H119" s="72"/>
      <c r="I119" s="72"/>
      <c r="J119" s="72"/>
      <c r="K119" s="72"/>
      <c r="L119" s="72"/>
      <c r="M119" s="72"/>
      <c r="N119" s="72"/>
      <c r="O119" s="72"/>
      <c r="P119" s="72"/>
      <c r="Q119" s="72"/>
      <c r="R119" s="72"/>
      <c r="S119" s="72"/>
      <c r="T119" s="72"/>
      <c r="U119" s="72"/>
    </row>
    <row r="120" spans="1:22" s="52" customFormat="1" x14ac:dyDescent="0.25">
      <c r="B120" s="72"/>
      <c r="C120" s="72"/>
      <c r="D120" s="72"/>
      <c r="E120" s="72"/>
      <c r="F120" s="72"/>
      <c r="G120" s="72"/>
      <c r="H120" s="72"/>
      <c r="I120" s="72"/>
      <c r="J120" s="72"/>
      <c r="K120" s="72"/>
      <c r="L120" s="72"/>
      <c r="M120" s="72"/>
      <c r="N120" s="72"/>
      <c r="O120" s="72"/>
      <c r="P120" s="72"/>
      <c r="Q120" s="72"/>
      <c r="R120" s="72"/>
      <c r="S120" s="72"/>
      <c r="T120" s="72"/>
      <c r="U120" s="72"/>
    </row>
    <row r="121" spans="1:22" s="52" customFormat="1" x14ac:dyDescent="0.25">
      <c r="B121" s="72"/>
      <c r="C121" s="72"/>
      <c r="D121" s="72"/>
      <c r="E121" s="72"/>
      <c r="F121" s="72"/>
      <c r="G121" s="72"/>
      <c r="H121" s="72"/>
      <c r="I121" s="72"/>
      <c r="J121" s="72"/>
      <c r="K121" s="72"/>
      <c r="L121" s="72"/>
      <c r="M121" s="72"/>
      <c r="N121" s="72"/>
      <c r="O121" s="72"/>
      <c r="P121" s="72"/>
      <c r="Q121" s="72"/>
      <c r="R121" s="72"/>
      <c r="S121" s="72"/>
      <c r="T121" s="72"/>
      <c r="U121" s="72"/>
    </row>
    <row r="122" spans="1:22" s="52" customFormat="1" x14ac:dyDescent="0.25">
      <c r="B122" s="72"/>
      <c r="C122" s="72"/>
      <c r="D122" s="72"/>
      <c r="E122" s="72"/>
      <c r="F122" s="72"/>
      <c r="G122" s="72"/>
      <c r="H122" s="72"/>
      <c r="I122" s="72"/>
      <c r="J122" s="72"/>
      <c r="K122" s="72"/>
      <c r="L122" s="72"/>
      <c r="M122" s="72"/>
      <c r="N122" s="72"/>
      <c r="O122" s="72"/>
      <c r="P122" s="72"/>
      <c r="Q122" s="72"/>
      <c r="R122" s="72"/>
      <c r="S122" s="72"/>
      <c r="T122" s="72"/>
      <c r="U122" s="72"/>
    </row>
    <row r="123" spans="1:22" s="52" customFormat="1" x14ac:dyDescent="0.25">
      <c r="B123" s="72"/>
      <c r="C123" s="72"/>
      <c r="D123" s="72"/>
      <c r="E123" s="72"/>
      <c r="F123" s="72"/>
      <c r="G123" s="72"/>
      <c r="H123" s="72"/>
      <c r="I123" s="72"/>
      <c r="J123" s="72"/>
      <c r="K123" s="72"/>
      <c r="L123" s="72"/>
      <c r="M123" s="72"/>
      <c r="N123" s="72"/>
      <c r="O123" s="72"/>
      <c r="P123" s="72"/>
      <c r="Q123" s="72"/>
      <c r="R123" s="72"/>
      <c r="S123" s="72"/>
      <c r="T123" s="72"/>
      <c r="U123" s="72"/>
    </row>
    <row r="124" spans="1:22" s="52" customFormat="1" x14ac:dyDescent="0.25">
      <c r="B124" s="72"/>
      <c r="C124" s="72"/>
      <c r="D124" s="72"/>
      <c r="E124" s="72"/>
      <c r="F124" s="72"/>
      <c r="G124" s="72"/>
      <c r="H124" s="72"/>
      <c r="I124" s="72"/>
      <c r="J124" s="72"/>
      <c r="K124" s="72"/>
      <c r="L124" s="72"/>
      <c r="M124" s="72"/>
      <c r="N124" s="72"/>
      <c r="O124" s="72"/>
      <c r="P124" s="72"/>
      <c r="Q124" s="72"/>
      <c r="R124" s="72"/>
      <c r="S124" s="72"/>
      <c r="T124" s="72"/>
      <c r="U124" s="72"/>
    </row>
    <row r="125" spans="1:22" s="52" customFormat="1" x14ac:dyDescent="0.25">
      <c r="B125" s="72"/>
      <c r="C125" s="72"/>
      <c r="D125" s="72"/>
      <c r="E125" s="72"/>
      <c r="F125" s="72"/>
      <c r="G125" s="72"/>
      <c r="H125" s="72"/>
      <c r="I125" s="72"/>
      <c r="J125" s="72"/>
      <c r="K125" s="72"/>
      <c r="L125" s="72"/>
      <c r="M125" s="72"/>
      <c r="N125" s="72"/>
      <c r="O125" s="72"/>
      <c r="P125" s="72"/>
      <c r="Q125" s="72"/>
      <c r="R125" s="72"/>
      <c r="S125" s="72"/>
      <c r="T125" s="72"/>
      <c r="U125" s="72"/>
    </row>
    <row r="126" spans="1:22" s="52" customFormat="1" x14ac:dyDescent="0.25">
      <c r="B126" s="72"/>
      <c r="C126" s="72"/>
      <c r="D126" s="72"/>
      <c r="E126" s="72"/>
      <c r="F126" s="72"/>
      <c r="G126" s="72"/>
      <c r="H126" s="72"/>
      <c r="I126" s="72"/>
      <c r="J126" s="72"/>
      <c r="K126" s="72"/>
      <c r="L126" s="72"/>
      <c r="M126" s="72"/>
      <c r="N126" s="72"/>
      <c r="O126" s="72"/>
      <c r="P126" s="72"/>
      <c r="Q126" s="72"/>
      <c r="R126" s="72"/>
      <c r="S126" s="72"/>
      <c r="T126" s="72"/>
      <c r="U126" s="72"/>
    </row>
    <row r="127" spans="1:22" s="52" customFormat="1" x14ac:dyDescent="0.25">
      <c r="B127" s="72"/>
      <c r="C127" s="72"/>
      <c r="D127" s="72"/>
      <c r="E127" s="72"/>
      <c r="F127" s="72"/>
      <c r="G127" s="72"/>
      <c r="H127" s="72"/>
      <c r="I127" s="72"/>
      <c r="J127" s="72"/>
      <c r="K127" s="72"/>
      <c r="L127" s="72"/>
      <c r="M127" s="72"/>
      <c r="N127" s="72"/>
      <c r="O127" s="72"/>
      <c r="P127" s="72"/>
      <c r="Q127" s="72"/>
      <c r="R127" s="72"/>
      <c r="S127" s="72"/>
      <c r="T127" s="72"/>
      <c r="U127" s="72"/>
    </row>
    <row r="128" spans="1:22" s="52" customFormat="1" x14ac:dyDescent="0.25">
      <c r="B128" s="72"/>
      <c r="C128" s="72"/>
      <c r="D128" s="72"/>
      <c r="E128" s="72"/>
      <c r="F128" s="72"/>
      <c r="G128" s="72"/>
      <c r="H128" s="72"/>
      <c r="I128" s="72"/>
      <c r="J128" s="72"/>
      <c r="K128" s="72"/>
      <c r="L128" s="72"/>
      <c r="M128" s="72"/>
      <c r="N128" s="72"/>
      <c r="O128" s="72"/>
      <c r="P128" s="72"/>
      <c r="Q128" s="72"/>
      <c r="R128" s="72"/>
      <c r="S128" s="72"/>
      <c r="T128" s="72"/>
      <c r="U128" s="72"/>
    </row>
    <row r="129" spans="2:21" s="52" customFormat="1" x14ac:dyDescent="0.25">
      <c r="B129" s="72"/>
      <c r="C129" s="72"/>
      <c r="D129" s="72"/>
      <c r="E129" s="72"/>
      <c r="F129" s="72"/>
      <c r="G129" s="72"/>
      <c r="H129" s="72"/>
      <c r="I129" s="72"/>
      <c r="J129" s="72"/>
      <c r="K129" s="72"/>
      <c r="L129" s="72"/>
      <c r="M129" s="72"/>
      <c r="N129" s="72"/>
      <c r="O129" s="72"/>
      <c r="P129" s="72"/>
      <c r="Q129" s="72"/>
      <c r="R129" s="72"/>
      <c r="S129" s="72"/>
      <c r="T129" s="72"/>
      <c r="U129" s="72"/>
    </row>
    <row r="130" spans="2:21" s="52" customFormat="1" x14ac:dyDescent="0.25">
      <c r="B130" s="72"/>
      <c r="C130" s="72"/>
      <c r="D130" s="72"/>
      <c r="E130" s="72"/>
      <c r="F130" s="72"/>
      <c r="G130" s="72"/>
      <c r="H130" s="72"/>
      <c r="I130" s="72"/>
      <c r="J130" s="72"/>
      <c r="K130" s="72"/>
      <c r="L130" s="72"/>
      <c r="M130" s="72"/>
      <c r="N130" s="72"/>
      <c r="O130" s="72"/>
      <c r="P130" s="72"/>
      <c r="Q130" s="72"/>
      <c r="R130" s="72"/>
      <c r="S130" s="72"/>
      <c r="T130" s="72"/>
      <c r="U130" s="72"/>
    </row>
    <row r="131" spans="2:21" s="52" customFormat="1" x14ac:dyDescent="0.25">
      <c r="G131" s="72"/>
      <c r="K131" s="72"/>
      <c r="L131" s="72"/>
      <c r="M131" s="72"/>
      <c r="S131" s="72"/>
    </row>
    <row r="132" spans="2:21" s="52" customFormat="1" x14ac:dyDescent="0.25">
      <c r="G132" s="72"/>
      <c r="K132" s="72"/>
      <c r="L132" s="72"/>
      <c r="M132" s="72"/>
      <c r="S132" s="72"/>
    </row>
    <row r="133" spans="2:21" s="52" customFormat="1" x14ac:dyDescent="0.25">
      <c r="G133" s="72"/>
      <c r="K133" s="72"/>
      <c r="L133" s="72"/>
      <c r="M133" s="72"/>
      <c r="S133" s="72"/>
    </row>
    <row r="134" spans="2:21" s="52" customFormat="1" x14ac:dyDescent="0.25">
      <c r="G134" s="72"/>
      <c r="K134" s="72"/>
      <c r="L134" s="72"/>
      <c r="M134" s="72"/>
      <c r="S134" s="72"/>
    </row>
    <row r="135" spans="2:21" s="52" customFormat="1" x14ac:dyDescent="0.25">
      <c r="G135" s="72"/>
      <c r="K135" s="72"/>
      <c r="L135" s="72"/>
      <c r="M135" s="72"/>
      <c r="S135" s="72"/>
    </row>
    <row r="136" spans="2:21" s="52" customFormat="1" x14ac:dyDescent="0.25">
      <c r="G136" s="72"/>
      <c r="K136" s="72"/>
      <c r="L136" s="72"/>
      <c r="M136" s="72"/>
      <c r="S136" s="72"/>
    </row>
    <row r="137" spans="2:21" s="52" customFormat="1" x14ac:dyDescent="0.25">
      <c r="G137" s="72"/>
      <c r="K137" s="72"/>
      <c r="L137" s="72"/>
      <c r="M137" s="72"/>
      <c r="S137" s="72"/>
    </row>
    <row r="138" spans="2:21" s="52" customFormat="1" x14ac:dyDescent="0.25">
      <c r="G138" s="72"/>
      <c r="K138" s="72"/>
      <c r="L138" s="72"/>
      <c r="M138" s="72"/>
      <c r="S138" s="72"/>
    </row>
    <row r="139" spans="2:21" s="52" customFormat="1" x14ac:dyDescent="0.25">
      <c r="G139" s="72"/>
      <c r="K139" s="72"/>
      <c r="L139" s="72"/>
      <c r="M139" s="72"/>
      <c r="S139" s="72"/>
    </row>
    <row r="140" spans="2:21" s="52" customFormat="1" x14ac:dyDescent="0.25">
      <c r="G140" s="72"/>
      <c r="K140" s="72"/>
      <c r="L140" s="72"/>
      <c r="M140" s="72"/>
      <c r="S140" s="72"/>
    </row>
    <row r="141" spans="2:21" s="52" customFormat="1" x14ac:dyDescent="0.25">
      <c r="G141" s="72"/>
      <c r="K141" s="72"/>
      <c r="L141" s="72"/>
      <c r="M141" s="72"/>
      <c r="S141" s="72"/>
    </row>
    <row r="142" spans="2:21" s="52" customFormat="1" x14ac:dyDescent="0.25">
      <c r="G142" s="72"/>
      <c r="K142" s="72"/>
      <c r="L142" s="72"/>
      <c r="M142" s="72"/>
      <c r="S142" s="72"/>
    </row>
    <row r="143" spans="2:21" s="52" customFormat="1" x14ac:dyDescent="0.25">
      <c r="G143" s="72"/>
      <c r="K143" s="72"/>
      <c r="L143" s="72"/>
      <c r="M143" s="72"/>
      <c r="S143" s="72"/>
    </row>
    <row r="144" spans="2:21" s="52" customFormat="1" x14ac:dyDescent="0.25">
      <c r="G144" s="72"/>
      <c r="K144" s="72"/>
      <c r="L144" s="72"/>
      <c r="M144" s="72"/>
      <c r="S144" s="72"/>
    </row>
    <row r="145" spans="7:19" s="52" customFormat="1" x14ac:dyDescent="0.25">
      <c r="G145" s="72"/>
      <c r="K145" s="72"/>
      <c r="L145" s="72"/>
      <c r="M145" s="72"/>
      <c r="S145" s="72"/>
    </row>
    <row r="146" spans="7:19" s="52" customFormat="1" x14ac:dyDescent="0.25">
      <c r="G146" s="72"/>
      <c r="K146" s="72"/>
      <c r="L146" s="72"/>
      <c r="M146" s="72"/>
      <c r="S146" s="72"/>
    </row>
    <row r="147" spans="7:19" s="52" customFormat="1" x14ac:dyDescent="0.25">
      <c r="G147" s="72"/>
      <c r="K147" s="72"/>
      <c r="L147" s="72"/>
      <c r="M147" s="72"/>
      <c r="S147" s="72"/>
    </row>
    <row r="148" spans="7:19" s="52" customFormat="1" x14ac:dyDescent="0.25">
      <c r="G148" s="72"/>
      <c r="K148" s="72"/>
      <c r="L148" s="72"/>
      <c r="M148" s="72"/>
      <c r="S148" s="72"/>
    </row>
    <row r="149" spans="7:19" s="52" customFormat="1" x14ac:dyDescent="0.25">
      <c r="G149" s="72"/>
      <c r="K149" s="72"/>
      <c r="L149" s="72"/>
      <c r="M149" s="72"/>
      <c r="S149" s="72"/>
    </row>
    <row r="150" spans="7:19" s="52" customFormat="1" x14ac:dyDescent="0.25">
      <c r="G150" s="72"/>
      <c r="K150" s="72"/>
      <c r="L150" s="72"/>
      <c r="M150" s="72"/>
      <c r="S150" s="72"/>
    </row>
    <row r="151" spans="7:19" s="52" customFormat="1" x14ac:dyDescent="0.25">
      <c r="G151" s="72"/>
      <c r="K151" s="72"/>
      <c r="L151" s="72"/>
      <c r="M151" s="72"/>
      <c r="S151" s="72"/>
    </row>
    <row r="152" spans="7:19" s="52" customFormat="1" x14ac:dyDescent="0.25">
      <c r="G152" s="72"/>
      <c r="K152" s="72"/>
      <c r="L152" s="72"/>
      <c r="M152" s="72"/>
      <c r="S152" s="72"/>
    </row>
    <row r="153" spans="7:19" s="52" customFormat="1" x14ac:dyDescent="0.25">
      <c r="G153" s="72"/>
      <c r="K153" s="72"/>
      <c r="L153" s="72"/>
      <c r="M153" s="72"/>
      <c r="S153" s="72"/>
    </row>
    <row r="154" spans="7:19" s="52" customFormat="1" x14ac:dyDescent="0.25">
      <c r="G154" s="72"/>
      <c r="K154" s="72"/>
      <c r="L154" s="72"/>
      <c r="M154" s="72"/>
      <c r="S154" s="72"/>
    </row>
    <row r="155" spans="7:19" s="52" customFormat="1" x14ac:dyDescent="0.25">
      <c r="G155" s="72"/>
      <c r="K155" s="72"/>
      <c r="L155" s="72"/>
      <c r="M155" s="72"/>
      <c r="S155" s="72"/>
    </row>
    <row r="156" spans="7:19" s="52" customFormat="1" x14ac:dyDescent="0.25">
      <c r="G156" s="72"/>
      <c r="K156" s="72"/>
      <c r="L156" s="72"/>
      <c r="M156" s="72"/>
      <c r="S156" s="72"/>
    </row>
    <row r="157" spans="7:19" s="52" customFormat="1" x14ac:dyDescent="0.25">
      <c r="G157" s="72"/>
      <c r="K157" s="72"/>
      <c r="L157" s="72"/>
      <c r="M157" s="72"/>
      <c r="S157" s="72"/>
    </row>
    <row r="158" spans="7:19" s="52" customFormat="1" x14ac:dyDescent="0.25">
      <c r="G158" s="72"/>
      <c r="K158" s="72"/>
      <c r="L158" s="72"/>
      <c r="M158" s="72"/>
      <c r="S158" s="72"/>
    </row>
    <row r="159" spans="7:19" s="52" customFormat="1" x14ac:dyDescent="0.25">
      <c r="G159" s="72"/>
      <c r="K159" s="72"/>
      <c r="L159" s="72"/>
      <c r="M159" s="72"/>
      <c r="S159" s="72"/>
    </row>
    <row r="160" spans="7:19" s="52" customFormat="1" x14ac:dyDescent="0.25">
      <c r="G160" s="72"/>
      <c r="K160" s="72"/>
      <c r="L160" s="72"/>
      <c r="M160" s="72"/>
      <c r="S160" s="72"/>
    </row>
    <row r="161" spans="7:19" s="52" customFormat="1" x14ac:dyDescent="0.25">
      <c r="G161" s="72"/>
      <c r="K161" s="72"/>
      <c r="L161" s="72"/>
      <c r="M161" s="72"/>
      <c r="S161" s="72"/>
    </row>
    <row r="162" spans="7:19" s="52" customFormat="1" x14ac:dyDescent="0.25">
      <c r="G162" s="72"/>
      <c r="K162" s="72"/>
      <c r="L162" s="72"/>
      <c r="M162" s="72"/>
      <c r="S162" s="72"/>
    </row>
    <row r="163" spans="7:19" s="52" customFormat="1" x14ac:dyDescent="0.25">
      <c r="G163" s="72"/>
      <c r="K163" s="72"/>
      <c r="L163" s="72"/>
      <c r="M163" s="72"/>
      <c r="S163" s="72"/>
    </row>
    <row r="164" spans="7:19" s="52" customFormat="1" x14ac:dyDescent="0.25">
      <c r="G164" s="72"/>
      <c r="K164" s="72"/>
      <c r="L164" s="72"/>
      <c r="M164" s="72"/>
      <c r="S164" s="72"/>
    </row>
    <row r="165" spans="7:19" s="52" customFormat="1" x14ac:dyDescent="0.25">
      <c r="G165" s="72"/>
      <c r="K165" s="72"/>
      <c r="L165" s="72"/>
      <c r="M165" s="72"/>
      <c r="S165" s="72"/>
    </row>
    <row r="166" spans="7:19" s="52" customFormat="1" x14ac:dyDescent="0.25">
      <c r="G166" s="72"/>
      <c r="K166" s="72"/>
      <c r="L166" s="72"/>
      <c r="M166" s="72"/>
      <c r="S166" s="72"/>
    </row>
    <row r="167" spans="7:19" s="52" customFormat="1" x14ac:dyDescent="0.25">
      <c r="G167" s="72"/>
      <c r="K167" s="72"/>
      <c r="L167" s="72"/>
      <c r="M167" s="72"/>
      <c r="S167" s="72"/>
    </row>
    <row r="168" spans="7:19" s="52" customFormat="1" x14ac:dyDescent="0.25">
      <c r="G168" s="72"/>
      <c r="K168" s="72"/>
      <c r="L168" s="72"/>
      <c r="M168" s="72"/>
      <c r="S168" s="72"/>
    </row>
    <row r="169" spans="7:19" s="52" customFormat="1" x14ac:dyDescent="0.25">
      <c r="G169" s="72"/>
      <c r="K169" s="72"/>
      <c r="L169" s="72"/>
      <c r="M169" s="72"/>
      <c r="S169" s="72"/>
    </row>
    <row r="170" spans="7:19" s="52" customFormat="1" x14ac:dyDescent="0.25">
      <c r="G170" s="72"/>
      <c r="K170" s="72"/>
      <c r="L170" s="72"/>
      <c r="M170" s="72"/>
      <c r="S170" s="72"/>
    </row>
    <row r="171" spans="7:19" s="52" customFormat="1" x14ac:dyDescent="0.25">
      <c r="G171" s="72"/>
      <c r="K171" s="72"/>
      <c r="L171" s="72"/>
      <c r="M171" s="72"/>
      <c r="S171" s="72"/>
    </row>
    <row r="172" spans="7:19" s="52" customFormat="1" x14ac:dyDescent="0.25">
      <c r="G172" s="72"/>
      <c r="K172" s="72"/>
      <c r="L172" s="72"/>
      <c r="M172" s="72"/>
      <c r="S172" s="72"/>
    </row>
    <row r="173" spans="7:19" s="52" customFormat="1" x14ac:dyDescent="0.25">
      <c r="G173" s="72"/>
      <c r="K173" s="72"/>
      <c r="L173" s="72"/>
      <c r="M173" s="72"/>
      <c r="S173" s="72"/>
    </row>
    <row r="174" spans="7:19" s="52" customFormat="1" x14ac:dyDescent="0.25">
      <c r="G174" s="72"/>
      <c r="K174" s="72"/>
      <c r="L174" s="72"/>
      <c r="M174" s="72"/>
      <c r="S174" s="72"/>
    </row>
    <row r="175" spans="7:19" s="52" customFormat="1" x14ac:dyDescent="0.25">
      <c r="G175" s="72"/>
      <c r="K175" s="72"/>
      <c r="L175" s="72"/>
      <c r="M175" s="72"/>
      <c r="S175" s="72"/>
    </row>
    <row r="176" spans="7:19" s="52" customFormat="1" x14ac:dyDescent="0.25">
      <c r="G176" s="72"/>
      <c r="K176" s="72"/>
      <c r="L176" s="72"/>
      <c r="M176" s="72"/>
      <c r="S176" s="72"/>
    </row>
    <row r="177" spans="7:19" s="52" customFormat="1" x14ac:dyDescent="0.25">
      <c r="G177" s="72"/>
      <c r="K177" s="72"/>
      <c r="L177" s="72"/>
      <c r="M177" s="72"/>
      <c r="S177" s="72"/>
    </row>
    <row r="178" spans="7:19" s="52" customFormat="1" x14ac:dyDescent="0.25">
      <c r="G178" s="72"/>
      <c r="K178" s="72"/>
      <c r="L178" s="72"/>
      <c r="M178" s="72"/>
      <c r="S178" s="72"/>
    </row>
    <row r="179" spans="7:19" s="52" customFormat="1" x14ac:dyDescent="0.25">
      <c r="G179" s="72"/>
      <c r="K179" s="72"/>
      <c r="L179" s="72"/>
      <c r="M179" s="72"/>
      <c r="S179" s="72"/>
    </row>
    <row r="180" spans="7:19" s="52" customFormat="1" x14ac:dyDescent="0.25">
      <c r="G180" s="72"/>
      <c r="K180" s="72"/>
      <c r="L180" s="72"/>
      <c r="M180" s="72"/>
      <c r="S180" s="72"/>
    </row>
    <row r="181" spans="7:19" s="52" customFormat="1" x14ac:dyDescent="0.25">
      <c r="G181" s="72"/>
      <c r="K181" s="72"/>
      <c r="L181" s="72"/>
      <c r="M181" s="72"/>
      <c r="S181" s="72"/>
    </row>
    <row r="182" spans="7:19" s="52" customFormat="1" x14ac:dyDescent="0.25">
      <c r="G182" s="72"/>
      <c r="K182" s="72"/>
      <c r="L182" s="72"/>
      <c r="M182" s="72"/>
      <c r="S182" s="72"/>
    </row>
    <row r="183" spans="7:19" s="52" customFormat="1" x14ac:dyDescent="0.25">
      <c r="G183" s="72"/>
      <c r="K183" s="72"/>
      <c r="L183" s="72"/>
      <c r="M183" s="72"/>
      <c r="S183" s="72"/>
    </row>
    <row r="184" spans="7:19" s="52" customFormat="1" x14ac:dyDescent="0.25">
      <c r="G184" s="72"/>
      <c r="K184" s="72"/>
      <c r="L184" s="72"/>
      <c r="M184" s="72"/>
      <c r="S184" s="72"/>
    </row>
    <row r="185" spans="7:19" s="52" customFormat="1" x14ac:dyDescent="0.25">
      <c r="G185" s="72"/>
      <c r="K185" s="72"/>
      <c r="L185" s="72"/>
      <c r="M185" s="72"/>
      <c r="S185" s="72"/>
    </row>
    <row r="186" spans="7:19" s="52" customFormat="1" x14ac:dyDescent="0.25">
      <c r="G186" s="72"/>
      <c r="K186" s="72"/>
      <c r="L186" s="72"/>
      <c r="M186" s="72"/>
      <c r="S186" s="72"/>
    </row>
    <row r="187" spans="7:19" s="52" customFormat="1" x14ac:dyDescent="0.25">
      <c r="G187" s="72"/>
      <c r="K187" s="72"/>
      <c r="L187" s="72"/>
      <c r="M187" s="72"/>
      <c r="S187" s="72"/>
    </row>
    <row r="188" spans="7:19" s="52" customFormat="1" x14ac:dyDescent="0.25">
      <c r="G188" s="72"/>
      <c r="K188" s="72"/>
      <c r="L188" s="72"/>
      <c r="M188" s="72"/>
      <c r="S188" s="72"/>
    </row>
    <row r="189" spans="7:19" s="52" customFormat="1" x14ac:dyDescent="0.25">
      <c r="G189" s="72"/>
      <c r="K189" s="72"/>
      <c r="L189" s="72"/>
      <c r="M189" s="72"/>
      <c r="S189" s="72"/>
    </row>
    <row r="190" spans="7:19" s="52" customFormat="1" x14ac:dyDescent="0.25">
      <c r="G190" s="72"/>
      <c r="K190" s="72"/>
      <c r="L190" s="72"/>
      <c r="M190" s="72"/>
      <c r="S190" s="72"/>
    </row>
    <row r="191" spans="7:19" s="52" customFormat="1" x14ac:dyDescent="0.25">
      <c r="G191" s="72"/>
      <c r="K191" s="72"/>
      <c r="L191" s="72"/>
      <c r="M191" s="72"/>
      <c r="S191" s="72"/>
    </row>
    <row r="192" spans="7:19" s="52" customFormat="1" x14ac:dyDescent="0.25">
      <c r="G192" s="72"/>
      <c r="K192" s="72"/>
      <c r="L192" s="72"/>
      <c r="M192" s="72"/>
      <c r="S192" s="72"/>
    </row>
    <row r="193" spans="7:19" s="52" customFormat="1" x14ac:dyDescent="0.25">
      <c r="G193" s="72"/>
      <c r="K193" s="72"/>
      <c r="L193" s="72"/>
      <c r="M193" s="72"/>
      <c r="S193" s="72"/>
    </row>
    <row r="194" spans="7:19" s="52" customFormat="1" x14ac:dyDescent="0.25">
      <c r="G194" s="72"/>
      <c r="K194" s="72"/>
      <c r="L194" s="72"/>
      <c r="M194" s="72"/>
      <c r="S194" s="72"/>
    </row>
    <row r="195" spans="7:19" s="52" customFormat="1" x14ac:dyDescent="0.25">
      <c r="G195" s="72"/>
      <c r="K195" s="72"/>
      <c r="L195" s="72"/>
      <c r="M195" s="72"/>
      <c r="S195" s="72"/>
    </row>
    <row r="196" spans="7:19" s="52" customFormat="1" x14ac:dyDescent="0.25">
      <c r="G196" s="72"/>
      <c r="K196" s="72"/>
      <c r="L196" s="72"/>
      <c r="M196" s="72"/>
      <c r="S196" s="72"/>
    </row>
    <row r="197" spans="7:19" s="52" customFormat="1" x14ac:dyDescent="0.25">
      <c r="G197" s="72"/>
      <c r="K197" s="72"/>
      <c r="L197" s="72"/>
      <c r="M197" s="72"/>
      <c r="S197" s="72"/>
    </row>
    <row r="198" spans="7:19" s="52" customFormat="1" x14ac:dyDescent="0.25">
      <c r="G198" s="72"/>
      <c r="K198" s="72"/>
      <c r="L198" s="72"/>
      <c r="M198" s="72"/>
      <c r="S198" s="72"/>
    </row>
    <row r="199" spans="7:19" s="52" customFormat="1" x14ac:dyDescent="0.25">
      <c r="G199" s="72"/>
      <c r="K199" s="72"/>
      <c r="L199" s="72"/>
      <c r="M199" s="72"/>
      <c r="S199" s="72"/>
    </row>
    <row r="200" spans="7:19" s="52" customFormat="1" x14ac:dyDescent="0.25">
      <c r="G200" s="72"/>
      <c r="K200" s="72"/>
      <c r="L200" s="72"/>
      <c r="M200" s="72"/>
      <c r="S200" s="72"/>
    </row>
    <row r="201" spans="7:19" s="52" customFormat="1" x14ac:dyDescent="0.25">
      <c r="G201" s="72"/>
      <c r="K201" s="72"/>
      <c r="L201" s="72"/>
      <c r="M201" s="72"/>
      <c r="S201" s="72"/>
    </row>
    <row r="202" spans="7:19" s="52" customFormat="1" x14ac:dyDescent="0.25">
      <c r="G202" s="72"/>
      <c r="K202" s="72"/>
      <c r="L202" s="72"/>
      <c r="M202" s="72"/>
      <c r="S202" s="72"/>
    </row>
    <row r="203" spans="7:19" s="52" customFormat="1" x14ac:dyDescent="0.25">
      <c r="G203" s="72"/>
      <c r="K203" s="72"/>
      <c r="L203" s="72"/>
      <c r="M203" s="72"/>
      <c r="S203" s="72"/>
    </row>
    <row r="204" spans="7:19" s="52" customFormat="1" x14ac:dyDescent="0.25">
      <c r="G204" s="72"/>
      <c r="K204" s="72"/>
      <c r="L204" s="72"/>
      <c r="M204" s="72"/>
      <c r="S204" s="72"/>
    </row>
    <row r="205" spans="7:19" s="52" customFormat="1" x14ac:dyDescent="0.25">
      <c r="G205" s="72"/>
      <c r="K205" s="72"/>
      <c r="L205" s="72"/>
      <c r="M205" s="72"/>
      <c r="S205" s="72"/>
    </row>
    <row r="206" spans="7:19" s="52" customFormat="1" x14ac:dyDescent="0.25">
      <c r="G206" s="72"/>
      <c r="K206" s="72"/>
      <c r="L206" s="72"/>
      <c r="M206" s="72"/>
      <c r="S206" s="72"/>
    </row>
    <row r="207" spans="7:19" s="52" customFormat="1" x14ac:dyDescent="0.25">
      <c r="G207" s="72"/>
      <c r="K207" s="72"/>
      <c r="L207" s="72"/>
      <c r="M207" s="72"/>
      <c r="S207" s="72"/>
    </row>
    <row r="208" spans="7:19" s="52" customFormat="1" x14ac:dyDescent="0.25">
      <c r="G208" s="72"/>
      <c r="K208" s="72"/>
      <c r="L208" s="72"/>
      <c r="M208" s="72"/>
      <c r="S208" s="72"/>
    </row>
    <row r="209" spans="7:19" s="52" customFormat="1" x14ac:dyDescent="0.25">
      <c r="G209" s="72"/>
      <c r="K209" s="72"/>
      <c r="L209" s="72"/>
      <c r="M209" s="72"/>
      <c r="S209" s="72"/>
    </row>
    <row r="210" spans="7:19" s="52" customFormat="1" x14ac:dyDescent="0.25">
      <c r="G210" s="72"/>
      <c r="K210" s="72"/>
      <c r="L210" s="72"/>
      <c r="M210" s="72"/>
      <c r="S210" s="72"/>
    </row>
    <row r="211" spans="7:19" s="52" customFormat="1" x14ac:dyDescent="0.25">
      <c r="G211" s="72"/>
      <c r="K211" s="72"/>
      <c r="L211" s="72"/>
      <c r="M211" s="72"/>
      <c r="S211" s="72"/>
    </row>
    <row r="212" spans="7:19" s="52" customFormat="1" x14ac:dyDescent="0.25">
      <c r="G212" s="72"/>
      <c r="K212" s="72"/>
      <c r="L212" s="72"/>
      <c r="M212" s="72"/>
      <c r="S212" s="72"/>
    </row>
    <row r="213" spans="7:19" s="52" customFormat="1" x14ac:dyDescent="0.25">
      <c r="G213" s="72"/>
      <c r="K213" s="72"/>
      <c r="L213" s="72"/>
      <c r="M213" s="72"/>
      <c r="S213" s="72"/>
    </row>
    <row r="214" spans="7:19" s="52" customFormat="1" x14ac:dyDescent="0.25">
      <c r="G214" s="72"/>
      <c r="K214" s="72"/>
      <c r="L214" s="72"/>
      <c r="M214" s="72"/>
      <c r="S214" s="72"/>
    </row>
    <row r="215" spans="7:19" s="52" customFormat="1" x14ac:dyDescent="0.25">
      <c r="G215" s="72"/>
      <c r="K215" s="72"/>
      <c r="L215" s="72"/>
      <c r="M215" s="72"/>
      <c r="S215" s="72"/>
    </row>
    <row r="216" spans="7:19" s="52" customFormat="1" x14ac:dyDescent="0.25">
      <c r="G216" s="72"/>
      <c r="K216" s="72"/>
      <c r="L216" s="72"/>
      <c r="M216" s="72"/>
      <c r="S216" s="72"/>
    </row>
    <row r="217" spans="7:19" s="52" customFormat="1" x14ac:dyDescent="0.25">
      <c r="G217" s="72"/>
      <c r="K217" s="72"/>
      <c r="L217" s="72"/>
      <c r="M217" s="72"/>
      <c r="S217" s="72"/>
    </row>
    <row r="218" spans="7:19" s="52" customFormat="1" x14ac:dyDescent="0.25">
      <c r="G218" s="72"/>
      <c r="K218" s="72"/>
      <c r="L218" s="72"/>
      <c r="M218" s="72"/>
      <c r="S218" s="72"/>
    </row>
    <row r="219" spans="7:19" s="52" customFormat="1" x14ac:dyDescent="0.25">
      <c r="G219" s="72"/>
      <c r="K219" s="72"/>
      <c r="L219" s="72"/>
      <c r="M219" s="72"/>
      <c r="S219" s="72"/>
    </row>
    <row r="220" spans="7:19" s="52" customFormat="1" x14ac:dyDescent="0.25">
      <c r="G220" s="72"/>
      <c r="K220" s="72"/>
      <c r="L220" s="72"/>
      <c r="M220" s="72"/>
      <c r="S220" s="72"/>
    </row>
    <row r="221" spans="7:19" s="52" customFormat="1" x14ac:dyDescent="0.25">
      <c r="G221" s="72"/>
      <c r="K221" s="72"/>
      <c r="L221" s="72"/>
      <c r="M221" s="72"/>
      <c r="S221" s="72"/>
    </row>
    <row r="222" spans="7:19" s="52" customFormat="1" x14ac:dyDescent="0.25">
      <c r="G222" s="72"/>
      <c r="K222" s="72"/>
      <c r="L222" s="72"/>
      <c r="M222" s="72"/>
      <c r="S222" s="72"/>
    </row>
    <row r="223" spans="7:19" s="52" customFormat="1" x14ac:dyDescent="0.25">
      <c r="G223" s="72"/>
      <c r="K223" s="72"/>
      <c r="L223" s="72"/>
      <c r="M223" s="72"/>
      <c r="S223" s="72"/>
    </row>
    <row r="224" spans="7:19" s="52" customFormat="1" x14ac:dyDescent="0.25">
      <c r="G224" s="72"/>
      <c r="K224" s="72"/>
      <c r="L224" s="72"/>
      <c r="M224" s="72"/>
      <c r="S224" s="72"/>
    </row>
    <row r="225" spans="7:19" s="52" customFormat="1" x14ac:dyDescent="0.25">
      <c r="G225" s="72"/>
      <c r="K225" s="72"/>
      <c r="L225" s="72"/>
      <c r="M225" s="72"/>
      <c r="S225" s="72"/>
    </row>
    <row r="226" spans="7:19" s="52" customFormat="1" x14ac:dyDescent="0.25">
      <c r="G226" s="72"/>
      <c r="K226" s="72"/>
      <c r="L226" s="72"/>
      <c r="M226" s="72"/>
      <c r="S226" s="72"/>
    </row>
    <row r="227" spans="7:19" s="52" customFormat="1" x14ac:dyDescent="0.25">
      <c r="G227" s="72"/>
      <c r="K227" s="72"/>
      <c r="L227" s="72"/>
      <c r="M227" s="72"/>
      <c r="S227" s="72"/>
    </row>
    <row r="228" spans="7:19" s="52" customFormat="1" x14ac:dyDescent="0.25">
      <c r="G228" s="72"/>
      <c r="K228" s="72"/>
      <c r="L228" s="72"/>
      <c r="M228" s="72"/>
      <c r="S228" s="72"/>
    </row>
    <row r="229" spans="7:19" s="52" customFormat="1" x14ac:dyDescent="0.25">
      <c r="G229" s="72"/>
      <c r="K229" s="72"/>
      <c r="L229" s="72"/>
      <c r="M229" s="72"/>
      <c r="S229" s="72"/>
    </row>
    <row r="230" spans="7:19" s="52" customFormat="1" x14ac:dyDescent="0.25">
      <c r="G230" s="72"/>
      <c r="K230" s="72"/>
      <c r="L230" s="72"/>
      <c r="M230" s="72"/>
      <c r="S230" s="72"/>
    </row>
    <row r="231" spans="7:19" s="52" customFormat="1" x14ac:dyDescent="0.25">
      <c r="G231" s="72"/>
      <c r="K231" s="72"/>
      <c r="L231" s="72"/>
      <c r="M231" s="72"/>
      <c r="S231" s="72"/>
    </row>
    <row r="232" spans="7:19" s="52" customFormat="1" x14ac:dyDescent="0.25">
      <c r="G232" s="72"/>
      <c r="K232" s="72"/>
      <c r="L232" s="72"/>
      <c r="M232" s="72"/>
      <c r="S232" s="72"/>
    </row>
    <row r="233" spans="7:19" s="52" customFormat="1" x14ac:dyDescent="0.25">
      <c r="G233" s="72"/>
      <c r="K233" s="72"/>
      <c r="L233" s="72"/>
      <c r="M233" s="72"/>
      <c r="S233" s="72"/>
    </row>
    <row r="234" spans="7:19" s="52" customFormat="1" x14ac:dyDescent="0.25">
      <c r="G234" s="72"/>
      <c r="K234" s="72"/>
      <c r="L234" s="72"/>
      <c r="M234" s="72"/>
      <c r="S234" s="72"/>
    </row>
    <row r="235" spans="7:19" s="52" customFormat="1" x14ac:dyDescent="0.25">
      <c r="G235" s="72"/>
      <c r="K235" s="72"/>
      <c r="L235" s="72"/>
      <c r="M235" s="72"/>
      <c r="S235" s="72"/>
    </row>
    <row r="236" spans="7:19" s="52" customFormat="1" x14ac:dyDescent="0.25">
      <c r="G236" s="72"/>
      <c r="K236" s="72"/>
      <c r="L236" s="72"/>
      <c r="M236" s="72"/>
      <c r="S236" s="72"/>
    </row>
    <row r="237" spans="7:19" s="52" customFormat="1" x14ac:dyDescent="0.25">
      <c r="G237" s="72"/>
      <c r="K237" s="72"/>
      <c r="L237" s="72"/>
      <c r="M237" s="72"/>
      <c r="S237" s="72"/>
    </row>
    <row r="238" spans="7:19" s="52" customFormat="1" x14ac:dyDescent="0.25">
      <c r="G238" s="72"/>
      <c r="K238" s="72"/>
      <c r="L238" s="72"/>
      <c r="M238" s="72"/>
      <c r="S238" s="72"/>
    </row>
    <row r="239" spans="7:19" s="52" customFormat="1" x14ac:dyDescent="0.25">
      <c r="G239" s="72"/>
      <c r="K239" s="72"/>
      <c r="L239" s="72"/>
      <c r="M239" s="72"/>
      <c r="S239" s="72"/>
    </row>
    <row r="240" spans="7:19" s="52" customFormat="1" x14ac:dyDescent="0.25">
      <c r="G240" s="72"/>
      <c r="K240" s="72"/>
      <c r="L240" s="72"/>
      <c r="M240" s="72"/>
      <c r="S240" s="72"/>
    </row>
    <row r="241" spans="5:19" s="52" customFormat="1" x14ac:dyDescent="0.25">
      <c r="G241" s="72"/>
      <c r="K241" s="72"/>
      <c r="L241" s="72"/>
      <c r="M241" s="72"/>
      <c r="S241" s="72"/>
    </row>
    <row r="242" spans="5:19" s="52" customFormat="1" x14ac:dyDescent="0.25">
      <c r="G242" s="72"/>
      <c r="K242" s="72"/>
      <c r="L242" s="72"/>
      <c r="M242" s="72"/>
      <c r="S242" s="72"/>
    </row>
    <row r="243" spans="5:19" s="52" customFormat="1" x14ac:dyDescent="0.25">
      <c r="E243" s="72"/>
      <c r="F243" s="72"/>
      <c r="G243" s="72"/>
      <c r="H243" s="72"/>
      <c r="I243" s="72"/>
      <c r="K243" s="72"/>
      <c r="L243" s="72"/>
      <c r="M243" s="72"/>
      <c r="S243" s="72"/>
    </row>
    <row r="244" spans="5:19" s="52" customFormat="1" x14ac:dyDescent="0.25">
      <c r="E244" s="72"/>
      <c r="F244" s="72"/>
      <c r="G244" s="72"/>
      <c r="H244" s="72"/>
      <c r="I244" s="72"/>
      <c r="K244" s="72"/>
      <c r="L244" s="72"/>
      <c r="M244" s="72"/>
      <c r="S244" s="72"/>
    </row>
    <row r="245" spans="5:19" s="52" customFormat="1" x14ac:dyDescent="0.25">
      <c r="E245" s="72"/>
      <c r="F245" s="72"/>
      <c r="G245" s="72"/>
      <c r="H245" s="72"/>
      <c r="I245" s="72"/>
      <c r="K245" s="72"/>
      <c r="L245" s="72"/>
      <c r="M245" s="72"/>
      <c r="S245" s="72"/>
    </row>
    <row r="246" spans="5:19" s="52" customFormat="1" x14ac:dyDescent="0.25">
      <c r="E246" s="72"/>
      <c r="F246" s="72"/>
      <c r="G246" s="72"/>
      <c r="H246" s="72"/>
      <c r="I246" s="72"/>
      <c r="K246" s="72"/>
      <c r="L246" s="72"/>
      <c r="M246" s="72"/>
      <c r="S246" s="72"/>
    </row>
    <row r="247" spans="5:19" s="52" customFormat="1" x14ac:dyDescent="0.25">
      <c r="E247" s="72"/>
      <c r="F247" s="72"/>
      <c r="G247" s="72"/>
      <c r="H247" s="72"/>
      <c r="I247" s="72"/>
      <c r="K247" s="72"/>
      <c r="L247" s="72"/>
      <c r="M247" s="72"/>
      <c r="S247" s="72"/>
    </row>
    <row r="248" spans="5:19" s="52" customFormat="1" x14ac:dyDescent="0.25">
      <c r="E248" s="72"/>
      <c r="F248" s="72"/>
      <c r="G248" s="72"/>
      <c r="H248" s="72"/>
      <c r="I248" s="72"/>
      <c r="K248" s="72"/>
      <c r="L248" s="72"/>
      <c r="M248" s="72"/>
      <c r="S248" s="72"/>
    </row>
    <row r="249" spans="5:19" s="52" customFormat="1" x14ac:dyDescent="0.25">
      <c r="E249" s="72"/>
      <c r="F249" s="72"/>
      <c r="G249" s="72"/>
      <c r="H249" s="72"/>
      <c r="I249" s="72"/>
      <c r="K249" s="72"/>
      <c r="L249" s="72"/>
      <c r="M249" s="72"/>
      <c r="S249" s="72"/>
    </row>
    <row r="250" spans="5:19" s="52" customFormat="1" x14ac:dyDescent="0.25">
      <c r="E250" s="72"/>
      <c r="F250" s="72"/>
      <c r="G250" s="72"/>
      <c r="H250" s="72"/>
      <c r="I250" s="72"/>
      <c r="K250" s="72"/>
      <c r="L250" s="72"/>
      <c r="M250" s="72"/>
      <c r="S250" s="72"/>
    </row>
    <row r="251" spans="5:19" s="52" customFormat="1" x14ac:dyDescent="0.25">
      <c r="E251" s="72"/>
      <c r="F251" s="72"/>
      <c r="G251" s="72"/>
      <c r="H251" s="72"/>
      <c r="I251" s="72"/>
      <c r="K251" s="72"/>
      <c r="L251" s="72"/>
      <c r="M251" s="72"/>
      <c r="S251" s="72"/>
    </row>
    <row r="252" spans="5:19" s="52" customFormat="1" x14ac:dyDescent="0.25">
      <c r="E252" s="72"/>
      <c r="F252" s="72"/>
      <c r="G252" s="72"/>
      <c r="H252" s="72"/>
      <c r="I252" s="72"/>
      <c r="K252" s="72"/>
      <c r="L252" s="72"/>
      <c r="M252" s="72"/>
      <c r="S252" s="72"/>
    </row>
    <row r="253" spans="5:19" s="52" customFormat="1" x14ac:dyDescent="0.25">
      <c r="E253" s="72"/>
      <c r="F253" s="72"/>
      <c r="G253" s="72"/>
      <c r="H253" s="72"/>
      <c r="I253" s="72"/>
      <c r="K253" s="72"/>
      <c r="L253" s="72"/>
      <c r="M253" s="72"/>
      <c r="S253" s="72"/>
    </row>
    <row r="254" spans="5:19" x14ac:dyDescent="0.25">
      <c r="E254" s="72"/>
      <c r="F254" s="72"/>
      <c r="G254" s="72"/>
      <c r="H254" s="72"/>
      <c r="I254" s="72"/>
    </row>
    <row r="255" spans="5:19" x14ac:dyDescent="0.25">
      <c r="E255" s="72"/>
      <c r="F255" s="72"/>
      <c r="G255" s="72"/>
      <c r="H255" s="72"/>
      <c r="I255" s="72"/>
    </row>
    <row r="256" spans="5:19" x14ac:dyDescent="0.25">
      <c r="E256" s="72"/>
      <c r="F256" s="72"/>
      <c r="G256" s="72"/>
      <c r="H256" s="72"/>
      <c r="I256" s="72"/>
    </row>
    <row r="257" spans="5:9" x14ac:dyDescent="0.25">
      <c r="E257" s="72"/>
      <c r="F257" s="72"/>
      <c r="G257" s="72"/>
      <c r="H257" s="72"/>
      <c r="I257" s="72"/>
    </row>
    <row r="258" spans="5:9" x14ac:dyDescent="0.25">
      <c r="E258" s="72"/>
      <c r="F258" s="72"/>
      <c r="G258" s="72"/>
      <c r="H258" s="72"/>
      <c r="I258" s="72"/>
    </row>
    <row r="259" spans="5:9" x14ac:dyDescent="0.25">
      <c r="E259" s="72"/>
      <c r="F259" s="72"/>
      <c r="G259" s="72"/>
      <c r="H259" s="72"/>
      <c r="I259" s="72"/>
    </row>
  </sheetData>
  <sheetProtection algorithmName="SHA-512" hashValue="0hTJcz1NyaKwxFVEAOsGtYwZpw6P+YazWXMLNdb7v6cd6bhb7Kyc55SvtWU0HKnHPcAZSkNJ152BJT4IQwzSmg==" saltValue="oE0NQs9B1G2Pj8Bnaj97QA==" spinCount="100000" sheet="1" objects="1" scenarios="1"/>
  <mergeCells count="1">
    <mergeCell ref="B13:C13"/>
  </mergeCells>
  <conditionalFormatting sqref="B17:I116">
    <cfRule type="expression" dxfId="27" priority="2">
      <formula>IF(ROW(B17)-16&lt;=$A$16,TRUE, FALSE)</formula>
    </cfRule>
  </conditionalFormatting>
  <conditionalFormatting sqref="N17:V116">
    <cfRule type="expression" dxfId="26" priority="1">
      <formula>IF(ROW(N17)-16&lt;=$M$16,TRUE, FALSE)</formula>
    </cfRule>
  </conditionalFormatting>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32778" r:id="rId4" name="Group Box 10">
              <controlPr defaultSize="0" autoFill="0" autoPict="0">
                <anchor moveWithCells="1">
                  <from>
                    <xdr:col>1</xdr:col>
                    <xdr:colOff>0</xdr:colOff>
                    <xdr:row>7</xdr:row>
                    <xdr:rowOff>99060</xdr:rowOff>
                  </from>
                  <to>
                    <xdr:col>3</xdr:col>
                    <xdr:colOff>251460</xdr:colOff>
                    <xdr:row>13</xdr:row>
                    <xdr:rowOff>83820</xdr:rowOff>
                  </to>
                </anchor>
              </controlPr>
            </control>
          </mc:Choice>
        </mc:AlternateContent>
        <mc:AlternateContent xmlns:mc="http://schemas.openxmlformats.org/markup-compatibility/2006">
          <mc:Choice Requires="x14">
            <control shapeId="32781" r:id="rId5" name="Group Box 13">
              <controlPr defaultSize="0" autoFill="0" autoPict="0">
                <anchor moveWithCells="1">
                  <from>
                    <xdr:col>1</xdr:col>
                    <xdr:colOff>0</xdr:colOff>
                    <xdr:row>2</xdr:row>
                    <xdr:rowOff>99060</xdr:rowOff>
                  </from>
                  <to>
                    <xdr:col>3</xdr:col>
                    <xdr:colOff>144780</xdr:colOff>
                    <xdr:row>6</xdr:row>
                    <xdr:rowOff>175260</xdr:rowOff>
                  </to>
                </anchor>
              </controlPr>
            </control>
          </mc:Choice>
        </mc:AlternateContent>
        <mc:AlternateContent xmlns:mc="http://schemas.openxmlformats.org/markup-compatibility/2006">
          <mc:Choice Requires="x14">
            <control shapeId="32782" r:id="rId6" name="Drop Down 14">
              <controlPr defaultSize="0" autoLine="0" autoPict="0">
                <anchor>
                  <from>
                    <xdr:col>1</xdr:col>
                    <xdr:colOff>1417320</xdr:colOff>
                    <xdr:row>15</xdr:row>
                    <xdr:rowOff>533400</xdr:rowOff>
                  </from>
                  <to>
                    <xdr:col>2</xdr:col>
                    <xdr:colOff>1127760</xdr:colOff>
                    <xdr:row>16</xdr:row>
                    <xdr:rowOff>175260</xdr:rowOff>
                  </to>
                </anchor>
              </controlPr>
            </control>
          </mc:Choice>
        </mc:AlternateContent>
        <mc:AlternateContent xmlns:mc="http://schemas.openxmlformats.org/markup-compatibility/2006">
          <mc:Choice Requires="x14">
            <control shapeId="32783" r:id="rId7" name="CAP_Simplified">
              <controlPr locked="0" defaultSize="0" autoFill="0" autoLine="0" autoPict="0" macro="[0]!Simplified_Calculator_Click">
                <anchor moveWithCells="1">
                  <from>
                    <xdr:col>1</xdr:col>
                    <xdr:colOff>640080</xdr:colOff>
                    <xdr:row>5</xdr:row>
                    <xdr:rowOff>160020</xdr:rowOff>
                  </from>
                  <to>
                    <xdr:col>1</xdr:col>
                    <xdr:colOff>944880</xdr:colOff>
                    <xdr:row>7</xdr:row>
                    <xdr:rowOff>30480</xdr:rowOff>
                  </to>
                </anchor>
              </controlPr>
            </control>
          </mc:Choice>
        </mc:AlternateContent>
        <mc:AlternateContent xmlns:mc="http://schemas.openxmlformats.org/markup-compatibility/2006">
          <mc:Choice Requires="x14">
            <control shapeId="32784" r:id="rId8" name="CAP_Advanced">
              <controlPr locked="0" defaultSize="0" autoFill="0" autoLine="0" autoPict="0" macro="[0]!Advanced_Calculator_Click">
                <anchor moveWithCells="1">
                  <from>
                    <xdr:col>2</xdr:col>
                    <xdr:colOff>563880</xdr:colOff>
                    <xdr:row>5</xdr:row>
                    <xdr:rowOff>160020</xdr:rowOff>
                  </from>
                  <to>
                    <xdr:col>2</xdr:col>
                    <xdr:colOff>868680</xdr:colOff>
                    <xdr:row>7</xdr:row>
                    <xdr:rowOff>30480</xdr:rowOff>
                  </to>
                </anchor>
              </controlPr>
            </control>
          </mc:Choice>
        </mc:AlternateContent>
        <mc:AlternateContent xmlns:mc="http://schemas.openxmlformats.org/markup-compatibility/2006">
          <mc:Choice Requires="x14">
            <control shapeId="32785" r:id="rId9" name="Option Button 17">
              <controlPr defaultSize="0" autoFill="0" autoLine="0" autoPict="0" macro="[0]!Capacity_Calculator_Click">
                <anchor moveWithCells="1">
                  <from>
                    <xdr:col>1</xdr:col>
                    <xdr:colOff>571500</xdr:colOff>
                    <xdr:row>8</xdr:row>
                    <xdr:rowOff>0</xdr:rowOff>
                  </from>
                  <to>
                    <xdr:col>1</xdr:col>
                    <xdr:colOff>876300</xdr:colOff>
                    <xdr:row>11</xdr:row>
                    <xdr:rowOff>38100</xdr:rowOff>
                  </to>
                </anchor>
              </controlPr>
            </control>
          </mc:Choice>
        </mc:AlternateContent>
        <mc:AlternateContent xmlns:mc="http://schemas.openxmlformats.org/markup-compatibility/2006">
          <mc:Choice Requires="x14">
            <control shapeId="32786" r:id="rId10" name="Option Button 18">
              <controlPr defaultSize="0" autoFill="0" autoLine="0" autoPict="0" macro="[0]!Historic_Data_Click">
                <anchor moveWithCells="1">
                  <from>
                    <xdr:col>2</xdr:col>
                    <xdr:colOff>571500</xdr:colOff>
                    <xdr:row>8</xdr:row>
                    <xdr:rowOff>0</xdr:rowOff>
                  </from>
                  <to>
                    <xdr:col>2</xdr:col>
                    <xdr:colOff>822960</xdr:colOff>
                    <xdr:row>11</xdr:row>
                    <xdr:rowOff>38100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C00-000000000000}">
          <x14:formula1>
            <xm:f>IF(Setup!$I$17="Patients",'Control sheet (hide)'!$E$2,IF(Setup!$I$17="Minutes",'Control sheet (hide)'!$E$9:$E$10,'Control sheet (hide)'!$E$6:$E$7))</xm:f>
          </x14:formula1>
          <xm:sqref>C11</xm:sqref>
        </x14:dataValidation>
        <x14:dataValidation type="list" allowBlank="1" showInputMessage="1" showErrorMessage="1" xr:uid="{00000000-0002-0000-0C00-000001000000}">
          <x14:formula1>
            <xm:f>IF($N17&lt;&gt;"",'Control sheet (hide)'!$E$28:$E$29,'Control sheet (hide)'!$E$28)</xm:f>
          </x14:formula1>
          <xm:sqref>V17:V116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5"/>
  <dimension ref="A2:S111"/>
  <sheetViews>
    <sheetView showGridLines="0" showRowColHeaders="0" workbookViewId="0">
      <selection activeCell="D3" sqref="D3"/>
    </sheetView>
  </sheetViews>
  <sheetFormatPr defaultColWidth="9" defaultRowHeight="13.8" x14ac:dyDescent="0.25"/>
  <cols>
    <col min="1" max="1" width="2.5" style="72" customWidth="1"/>
    <col min="2" max="2" width="40.59765625" style="72" customWidth="1"/>
    <col min="3" max="3" width="0.8984375" style="81" customWidth="1"/>
    <col min="4" max="5" width="10.8984375" style="72" customWidth="1"/>
    <col min="6" max="6" width="0.8984375" style="81" customWidth="1"/>
    <col min="7" max="8" width="10.8984375" style="72" customWidth="1"/>
    <col min="9" max="9" width="0.8984375" style="81" customWidth="1"/>
    <col min="10" max="11" width="10.8984375" style="72" customWidth="1"/>
    <col min="12" max="12" width="0.8984375" style="81" customWidth="1"/>
    <col min="13" max="14" width="10.8984375" style="72" customWidth="1"/>
    <col min="15" max="15" width="0.8984375" style="81" customWidth="1"/>
    <col min="16" max="17" width="10.8984375" style="72" customWidth="1"/>
    <col min="18" max="18" width="2.8984375" style="72" customWidth="1"/>
    <col min="19" max="16384" width="9" style="72"/>
  </cols>
  <sheetData>
    <row r="2" spans="1:19" ht="14.25" customHeight="1" x14ac:dyDescent="0.25">
      <c r="B2" s="108" t="s">
        <v>478</v>
      </c>
      <c r="C2" s="129"/>
      <c r="D2" s="129"/>
      <c r="E2" s="129"/>
      <c r="F2" s="111"/>
    </row>
    <row r="3" spans="1:19" x14ac:dyDescent="0.25">
      <c r="B3" s="140" t="s">
        <v>474</v>
      </c>
      <c r="C3" s="140"/>
      <c r="D3" s="271">
        <f ca="1">IF(Capacity!C3="",TODAY(),Capacity!C3)</f>
        <v>43934</v>
      </c>
      <c r="F3" s="112"/>
    </row>
    <row r="4" spans="1:19" x14ac:dyDescent="0.25">
      <c r="B4" s="140" t="s">
        <v>437</v>
      </c>
      <c r="C4" s="140"/>
      <c r="D4" s="272">
        <f>IF(Capacity!C4="",DATE(YEAR(D3)+1,MONTH(D3),DAY(D3))-1,Capacity!C4)</f>
        <v>44298</v>
      </c>
      <c r="F4" s="112"/>
    </row>
    <row r="6" spans="1:19" ht="15" customHeight="1" x14ac:dyDescent="0.25">
      <c r="C6" s="109"/>
      <c r="D6" s="107"/>
      <c r="E6" s="107"/>
      <c r="F6" s="109"/>
      <c r="G6" s="107"/>
      <c r="H6" s="107"/>
      <c r="I6" s="109"/>
      <c r="J6" s="107"/>
      <c r="K6" s="107"/>
      <c r="L6" s="109"/>
      <c r="M6" s="107"/>
      <c r="N6" s="107"/>
      <c r="O6" s="109"/>
      <c r="P6" s="107"/>
      <c r="Q6" s="107"/>
      <c r="R6" s="77"/>
      <c r="S6" s="78"/>
    </row>
    <row r="7" spans="1:19" ht="14.25" customHeight="1" x14ac:dyDescent="0.25">
      <c r="B7" s="107"/>
      <c r="C7" s="109"/>
      <c r="D7" s="107"/>
      <c r="E7" s="107"/>
      <c r="F7" s="109"/>
      <c r="G7" s="107"/>
      <c r="H7" s="107"/>
      <c r="I7" s="109"/>
      <c r="J7" s="107"/>
      <c r="K7" s="107"/>
      <c r="L7" s="109"/>
      <c r="M7" s="107"/>
      <c r="N7" s="107"/>
      <c r="O7" s="109"/>
      <c r="P7" s="107"/>
      <c r="Q7" s="107"/>
      <c r="R7" s="77"/>
      <c r="S7" s="78"/>
    </row>
    <row r="8" spans="1:19" x14ac:dyDescent="0.25">
      <c r="C8" s="110"/>
      <c r="D8" s="401" t="s">
        <v>475</v>
      </c>
      <c r="E8" s="401"/>
      <c r="F8" s="401"/>
      <c r="G8" s="401"/>
      <c r="H8" s="401"/>
      <c r="I8" s="401"/>
      <c r="J8" s="401"/>
      <c r="K8" s="401"/>
      <c r="L8" s="109"/>
      <c r="M8" s="107"/>
      <c r="N8" s="107"/>
      <c r="O8" s="109"/>
      <c r="P8" s="107"/>
      <c r="Q8" s="107"/>
      <c r="S8" s="78"/>
    </row>
    <row r="10" spans="1:19" x14ac:dyDescent="0.25">
      <c r="D10" s="400" t="s">
        <v>444</v>
      </c>
      <c r="E10" s="400"/>
      <c r="F10" s="113"/>
      <c r="G10" s="399" t="s">
        <v>445</v>
      </c>
      <c r="H10" s="399"/>
      <c r="I10" s="113"/>
      <c r="J10" s="400" t="s">
        <v>446</v>
      </c>
      <c r="K10" s="400"/>
      <c r="L10" s="113"/>
      <c r="M10" s="399" t="s">
        <v>447</v>
      </c>
      <c r="N10" s="399"/>
      <c r="O10" s="113"/>
      <c r="P10" s="400" t="s">
        <v>448</v>
      </c>
      <c r="Q10" s="400"/>
    </row>
    <row r="11" spans="1:19" x14ac:dyDescent="0.25">
      <c r="A11" s="74">
        <f>MAX(A12:A111)</f>
        <v>0</v>
      </c>
      <c r="B11" s="115" t="s">
        <v>950</v>
      </c>
      <c r="C11" s="114"/>
      <c r="D11" s="124" t="s">
        <v>148</v>
      </c>
      <c r="E11" s="124" t="s">
        <v>149</v>
      </c>
      <c r="F11" s="113"/>
      <c r="G11" s="125" t="s">
        <v>148</v>
      </c>
      <c r="H11" s="125" t="s">
        <v>149</v>
      </c>
      <c r="I11" s="113"/>
      <c r="J11" s="124" t="s">
        <v>148</v>
      </c>
      <c r="K11" s="124" t="s">
        <v>149</v>
      </c>
      <c r="L11" s="113"/>
      <c r="M11" s="125" t="s">
        <v>148</v>
      </c>
      <c r="N11" s="125" t="s">
        <v>149</v>
      </c>
      <c r="O11" s="113"/>
      <c r="P11" s="124" t="s">
        <v>148</v>
      </c>
      <c r="Q11" s="124" t="s">
        <v>149</v>
      </c>
    </row>
    <row r="12" spans="1:19" x14ac:dyDescent="0.25">
      <c r="A12" s="74">
        <f>IF(B12="",0,ROW(A1))</f>
        <v>0</v>
      </c>
      <c r="B12" s="172"/>
      <c r="D12" s="174"/>
      <c r="E12" s="174"/>
      <c r="F12" s="112"/>
      <c r="G12" s="174"/>
      <c r="H12" s="174"/>
      <c r="I12" s="112"/>
      <c r="J12" s="174"/>
      <c r="K12" s="174"/>
      <c r="L12" s="112"/>
      <c r="M12" s="174"/>
      <c r="N12" s="174"/>
      <c r="O12" s="112"/>
      <c r="P12" s="174"/>
      <c r="Q12" s="174"/>
    </row>
    <row r="13" spans="1:19" x14ac:dyDescent="0.25">
      <c r="A13" s="74">
        <f t="shared" ref="A13:A76" si="0">IF(B13="",0,ROW(A2))</f>
        <v>0</v>
      </c>
      <c r="B13" s="173"/>
      <c r="D13" s="175"/>
      <c r="E13" s="175"/>
      <c r="F13" s="112"/>
      <c r="G13" s="175"/>
      <c r="H13" s="175"/>
      <c r="J13" s="175"/>
      <c r="K13" s="175"/>
      <c r="M13" s="175"/>
      <c r="N13" s="175"/>
      <c r="P13" s="175"/>
      <c r="Q13" s="175"/>
    </row>
    <row r="14" spans="1:19" x14ac:dyDescent="0.25">
      <c r="A14" s="74">
        <f t="shared" si="0"/>
        <v>0</v>
      </c>
      <c r="B14" s="173"/>
      <c r="D14" s="175"/>
      <c r="E14" s="175"/>
      <c r="F14" s="112"/>
      <c r="G14" s="175"/>
      <c r="H14" s="175"/>
      <c r="J14" s="175"/>
      <c r="K14" s="175"/>
      <c r="M14" s="175"/>
      <c r="N14" s="175"/>
      <c r="P14" s="175"/>
      <c r="Q14" s="175"/>
    </row>
    <row r="15" spans="1:19" x14ac:dyDescent="0.25">
      <c r="A15" s="74">
        <f t="shared" si="0"/>
        <v>0</v>
      </c>
      <c r="B15" s="173"/>
      <c r="D15" s="175"/>
      <c r="E15" s="175"/>
      <c r="G15" s="175"/>
      <c r="H15" s="175"/>
      <c r="J15" s="175"/>
      <c r="K15" s="175"/>
      <c r="M15" s="175"/>
      <c r="N15" s="175"/>
      <c r="P15" s="175"/>
      <c r="Q15" s="175"/>
    </row>
    <row r="16" spans="1:19" x14ac:dyDescent="0.25">
      <c r="A16" s="74">
        <f t="shared" si="0"/>
        <v>0</v>
      </c>
      <c r="B16" s="173"/>
      <c r="D16" s="175"/>
      <c r="E16" s="175"/>
      <c r="G16" s="175"/>
      <c r="H16" s="175"/>
      <c r="J16" s="175"/>
      <c r="K16" s="175"/>
      <c r="M16" s="175"/>
      <c r="N16" s="175"/>
      <c r="P16" s="175"/>
      <c r="Q16" s="175"/>
    </row>
    <row r="17" spans="1:17" x14ac:dyDescent="0.25">
      <c r="A17" s="74">
        <f t="shared" si="0"/>
        <v>0</v>
      </c>
      <c r="B17" s="173"/>
      <c r="D17" s="175"/>
      <c r="E17" s="175"/>
      <c r="G17" s="175"/>
      <c r="H17" s="175"/>
      <c r="J17" s="175"/>
      <c r="K17" s="175"/>
      <c r="M17" s="175"/>
      <c r="N17" s="175"/>
      <c r="P17" s="175"/>
      <c r="Q17" s="175"/>
    </row>
    <row r="18" spans="1:17" x14ac:dyDescent="0.25">
      <c r="A18" s="74">
        <f t="shared" si="0"/>
        <v>0</v>
      </c>
      <c r="B18" s="173"/>
      <c r="D18" s="175"/>
      <c r="E18" s="175"/>
      <c r="G18" s="175"/>
      <c r="H18" s="175"/>
      <c r="J18" s="175"/>
      <c r="K18" s="175"/>
      <c r="M18" s="175"/>
      <c r="N18" s="175"/>
      <c r="P18" s="175"/>
      <c r="Q18" s="175"/>
    </row>
    <row r="19" spans="1:17" x14ac:dyDescent="0.25">
      <c r="A19" s="74">
        <f t="shared" si="0"/>
        <v>0</v>
      </c>
      <c r="B19" s="173"/>
      <c r="D19" s="175"/>
      <c r="E19" s="175"/>
      <c r="G19" s="175"/>
      <c r="H19" s="175"/>
      <c r="J19" s="175"/>
      <c r="K19" s="175"/>
      <c r="M19" s="175"/>
      <c r="N19" s="175"/>
      <c r="P19" s="175"/>
      <c r="Q19" s="175"/>
    </row>
    <row r="20" spans="1:17" x14ac:dyDescent="0.25">
      <c r="A20" s="74">
        <f t="shared" si="0"/>
        <v>0</v>
      </c>
      <c r="B20" s="173"/>
      <c r="D20" s="175"/>
      <c r="E20" s="175"/>
      <c r="G20" s="175"/>
      <c r="H20" s="175"/>
      <c r="J20" s="175"/>
      <c r="K20" s="175"/>
      <c r="M20" s="175"/>
      <c r="N20" s="175"/>
      <c r="P20" s="175"/>
      <c r="Q20" s="175"/>
    </row>
    <row r="21" spans="1:17" x14ac:dyDescent="0.25">
      <c r="A21" s="74">
        <f t="shared" si="0"/>
        <v>0</v>
      </c>
      <c r="B21" s="173"/>
      <c r="D21" s="175"/>
      <c r="E21" s="175"/>
      <c r="G21" s="175"/>
      <c r="H21" s="175"/>
      <c r="J21" s="175"/>
      <c r="K21" s="175"/>
      <c r="M21" s="175"/>
      <c r="N21" s="175"/>
      <c r="P21" s="175"/>
      <c r="Q21" s="175"/>
    </row>
    <row r="22" spans="1:17" x14ac:dyDescent="0.25">
      <c r="A22" s="74">
        <f t="shared" si="0"/>
        <v>0</v>
      </c>
      <c r="B22" s="173"/>
      <c r="D22" s="175"/>
      <c r="E22" s="175"/>
      <c r="G22" s="175"/>
      <c r="H22" s="175"/>
      <c r="J22" s="175"/>
      <c r="K22" s="175"/>
      <c r="M22" s="175"/>
      <c r="N22" s="175"/>
      <c r="P22" s="175"/>
      <c r="Q22" s="175"/>
    </row>
    <row r="23" spans="1:17" x14ac:dyDescent="0.25">
      <c r="A23" s="74">
        <f t="shared" si="0"/>
        <v>0</v>
      </c>
      <c r="B23" s="173"/>
      <c r="D23" s="175"/>
      <c r="E23" s="175"/>
      <c r="G23" s="175"/>
      <c r="H23" s="175"/>
      <c r="J23" s="175"/>
      <c r="K23" s="175"/>
      <c r="M23" s="175"/>
      <c r="N23" s="175"/>
      <c r="P23" s="175"/>
      <c r="Q23" s="175"/>
    </row>
    <row r="24" spans="1:17" x14ac:dyDescent="0.25">
      <c r="A24" s="74">
        <f t="shared" si="0"/>
        <v>0</v>
      </c>
      <c r="B24" s="173"/>
      <c r="D24" s="175"/>
      <c r="E24" s="175"/>
      <c r="G24" s="175"/>
      <c r="H24" s="175"/>
      <c r="J24" s="175"/>
      <c r="K24" s="175"/>
      <c r="M24" s="175"/>
      <c r="N24" s="175"/>
      <c r="P24" s="175"/>
      <c r="Q24" s="175"/>
    </row>
    <row r="25" spans="1:17" x14ac:dyDescent="0.25">
      <c r="A25" s="74">
        <f t="shared" si="0"/>
        <v>0</v>
      </c>
      <c r="B25" s="173"/>
      <c r="D25" s="175"/>
      <c r="E25" s="175"/>
      <c r="G25" s="175"/>
      <c r="H25" s="175"/>
      <c r="J25" s="175"/>
      <c r="K25" s="175"/>
      <c r="M25" s="175"/>
      <c r="N25" s="175"/>
      <c r="P25" s="175"/>
      <c r="Q25" s="175"/>
    </row>
    <row r="26" spans="1:17" x14ac:dyDescent="0.25">
      <c r="A26" s="74">
        <f t="shared" si="0"/>
        <v>0</v>
      </c>
      <c r="B26" s="173"/>
      <c r="D26" s="175"/>
      <c r="E26" s="175"/>
      <c r="G26" s="175"/>
      <c r="H26" s="175"/>
      <c r="J26" s="175"/>
      <c r="K26" s="175"/>
      <c r="M26" s="175"/>
      <c r="N26" s="175"/>
      <c r="P26" s="175"/>
      <c r="Q26" s="175"/>
    </row>
    <row r="27" spans="1:17" x14ac:dyDescent="0.25">
      <c r="A27" s="74">
        <f t="shared" si="0"/>
        <v>0</v>
      </c>
      <c r="B27" s="173"/>
      <c r="D27" s="175"/>
      <c r="E27" s="175"/>
      <c r="G27" s="175"/>
      <c r="H27" s="175"/>
      <c r="J27" s="175"/>
      <c r="K27" s="175"/>
      <c r="M27" s="175"/>
      <c r="N27" s="175"/>
      <c r="P27" s="175"/>
      <c r="Q27" s="175"/>
    </row>
    <row r="28" spans="1:17" x14ac:dyDescent="0.25">
      <c r="A28" s="74">
        <f t="shared" si="0"/>
        <v>0</v>
      </c>
      <c r="B28" s="173"/>
      <c r="D28" s="175"/>
      <c r="E28" s="175"/>
      <c r="G28" s="175"/>
      <c r="H28" s="175"/>
      <c r="J28" s="175"/>
      <c r="K28" s="175"/>
      <c r="M28" s="175"/>
      <c r="N28" s="175"/>
      <c r="P28" s="175"/>
      <c r="Q28" s="175"/>
    </row>
    <row r="29" spans="1:17" x14ac:dyDescent="0.25">
      <c r="A29" s="74">
        <f t="shared" si="0"/>
        <v>0</v>
      </c>
      <c r="B29" s="173"/>
      <c r="D29" s="175"/>
      <c r="E29" s="175"/>
      <c r="G29" s="175"/>
      <c r="H29" s="175"/>
      <c r="J29" s="175"/>
      <c r="K29" s="175"/>
      <c r="M29" s="175"/>
      <c r="N29" s="175"/>
      <c r="P29" s="175"/>
      <c r="Q29" s="175"/>
    </row>
    <row r="30" spans="1:17" x14ac:dyDescent="0.25">
      <c r="A30" s="74">
        <f t="shared" si="0"/>
        <v>0</v>
      </c>
      <c r="B30" s="173"/>
      <c r="D30" s="175"/>
      <c r="E30" s="175"/>
      <c r="G30" s="175"/>
      <c r="H30" s="175"/>
      <c r="J30" s="175"/>
      <c r="K30" s="175"/>
      <c r="M30" s="175"/>
      <c r="N30" s="175"/>
      <c r="P30" s="175"/>
      <c r="Q30" s="175"/>
    </row>
    <row r="31" spans="1:17" x14ac:dyDescent="0.25">
      <c r="A31" s="74">
        <f t="shared" si="0"/>
        <v>0</v>
      </c>
      <c r="B31" s="173"/>
      <c r="D31" s="175"/>
      <c r="E31" s="175"/>
      <c r="G31" s="175"/>
      <c r="H31" s="175"/>
      <c r="J31" s="175"/>
      <c r="K31" s="175"/>
      <c r="M31" s="175"/>
      <c r="N31" s="175"/>
      <c r="P31" s="175"/>
      <c r="Q31" s="175"/>
    </row>
    <row r="32" spans="1:17" x14ac:dyDescent="0.25">
      <c r="A32" s="74">
        <f t="shared" si="0"/>
        <v>0</v>
      </c>
      <c r="B32" s="173"/>
      <c r="D32" s="175"/>
      <c r="E32" s="175"/>
      <c r="G32" s="175"/>
      <c r="H32" s="175"/>
      <c r="J32" s="175"/>
      <c r="K32" s="175"/>
      <c r="M32" s="175"/>
      <c r="N32" s="175"/>
      <c r="P32" s="175"/>
      <c r="Q32" s="175"/>
    </row>
    <row r="33" spans="1:17" x14ac:dyDescent="0.25">
      <c r="A33" s="74">
        <f t="shared" si="0"/>
        <v>0</v>
      </c>
      <c r="B33" s="173"/>
      <c r="D33" s="175"/>
      <c r="E33" s="175"/>
      <c r="G33" s="175"/>
      <c r="H33" s="175"/>
      <c r="J33" s="175"/>
      <c r="K33" s="175"/>
      <c r="M33" s="175"/>
      <c r="N33" s="175"/>
      <c r="P33" s="175"/>
      <c r="Q33" s="175"/>
    </row>
    <row r="34" spans="1:17" x14ac:dyDescent="0.25">
      <c r="A34" s="74">
        <f t="shared" si="0"/>
        <v>0</v>
      </c>
      <c r="B34" s="173"/>
      <c r="D34" s="175"/>
      <c r="E34" s="175"/>
      <c r="G34" s="175"/>
      <c r="H34" s="175"/>
      <c r="J34" s="175"/>
      <c r="K34" s="175"/>
      <c r="M34" s="175"/>
      <c r="N34" s="175"/>
      <c r="P34" s="175"/>
      <c r="Q34" s="175"/>
    </row>
    <row r="35" spans="1:17" x14ac:dyDescent="0.25">
      <c r="A35" s="74">
        <f t="shared" si="0"/>
        <v>0</v>
      </c>
      <c r="B35" s="173"/>
      <c r="D35" s="175"/>
      <c r="E35" s="175"/>
      <c r="G35" s="175"/>
      <c r="H35" s="175"/>
      <c r="J35" s="175"/>
      <c r="K35" s="175"/>
      <c r="M35" s="175"/>
      <c r="N35" s="175"/>
      <c r="P35" s="175"/>
      <c r="Q35" s="175"/>
    </row>
    <row r="36" spans="1:17" x14ac:dyDescent="0.25">
      <c r="A36" s="74">
        <f t="shared" si="0"/>
        <v>0</v>
      </c>
      <c r="B36" s="173"/>
      <c r="D36" s="175"/>
      <c r="E36" s="175"/>
      <c r="G36" s="175"/>
      <c r="H36" s="175"/>
      <c r="J36" s="175"/>
      <c r="K36" s="175"/>
      <c r="M36" s="175"/>
      <c r="N36" s="175"/>
      <c r="P36" s="175"/>
      <c r="Q36" s="175"/>
    </row>
    <row r="37" spans="1:17" x14ac:dyDescent="0.25">
      <c r="A37" s="74">
        <f t="shared" si="0"/>
        <v>0</v>
      </c>
      <c r="B37" s="173"/>
      <c r="D37" s="175"/>
      <c r="E37" s="175"/>
      <c r="G37" s="175"/>
      <c r="H37" s="175"/>
      <c r="J37" s="175"/>
      <c r="K37" s="175"/>
      <c r="M37" s="175"/>
      <c r="N37" s="175"/>
      <c r="P37" s="175"/>
      <c r="Q37" s="175"/>
    </row>
    <row r="38" spans="1:17" x14ac:dyDescent="0.25">
      <c r="A38" s="74">
        <f t="shared" si="0"/>
        <v>0</v>
      </c>
      <c r="B38" s="173"/>
      <c r="D38" s="175"/>
      <c r="E38" s="175"/>
      <c r="G38" s="175"/>
      <c r="H38" s="175"/>
      <c r="J38" s="175"/>
      <c r="K38" s="175"/>
      <c r="M38" s="175"/>
      <c r="N38" s="175"/>
      <c r="P38" s="175"/>
      <c r="Q38" s="175"/>
    </row>
    <row r="39" spans="1:17" x14ac:dyDescent="0.25">
      <c r="A39" s="74">
        <f t="shared" si="0"/>
        <v>0</v>
      </c>
      <c r="B39" s="173"/>
      <c r="D39" s="175"/>
      <c r="E39" s="175"/>
      <c r="G39" s="175"/>
      <c r="H39" s="175"/>
      <c r="J39" s="175"/>
      <c r="K39" s="175"/>
      <c r="M39" s="175"/>
      <c r="N39" s="175"/>
      <c r="P39" s="175"/>
      <c r="Q39" s="175"/>
    </row>
    <row r="40" spans="1:17" x14ac:dyDescent="0.25">
      <c r="A40" s="74">
        <f t="shared" si="0"/>
        <v>0</v>
      </c>
      <c r="B40" s="173"/>
      <c r="D40" s="175"/>
      <c r="E40" s="175"/>
      <c r="G40" s="175"/>
      <c r="H40" s="175"/>
      <c r="J40" s="175"/>
      <c r="K40" s="175"/>
      <c r="M40" s="175"/>
      <c r="N40" s="175"/>
      <c r="P40" s="175"/>
      <c r="Q40" s="175"/>
    </row>
    <row r="41" spans="1:17" x14ac:dyDescent="0.25">
      <c r="A41" s="74">
        <f t="shared" si="0"/>
        <v>0</v>
      </c>
      <c r="B41" s="173"/>
      <c r="D41" s="175"/>
      <c r="E41" s="175"/>
      <c r="G41" s="175"/>
      <c r="H41" s="175"/>
      <c r="J41" s="175"/>
      <c r="K41" s="175"/>
      <c r="M41" s="175"/>
      <c r="N41" s="175"/>
      <c r="P41" s="175"/>
      <c r="Q41" s="175"/>
    </row>
    <row r="42" spans="1:17" x14ac:dyDescent="0.25">
      <c r="A42" s="74">
        <f t="shared" si="0"/>
        <v>0</v>
      </c>
      <c r="B42" s="173"/>
      <c r="D42" s="175"/>
      <c r="E42" s="175"/>
      <c r="G42" s="175"/>
      <c r="H42" s="175"/>
      <c r="J42" s="175"/>
      <c r="K42" s="175"/>
      <c r="M42" s="175"/>
      <c r="N42" s="175"/>
      <c r="P42" s="175"/>
      <c r="Q42" s="175"/>
    </row>
    <row r="43" spans="1:17" x14ac:dyDescent="0.25">
      <c r="A43" s="74">
        <f t="shared" si="0"/>
        <v>0</v>
      </c>
      <c r="B43" s="173"/>
      <c r="D43" s="175"/>
      <c r="E43" s="175"/>
      <c r="G43" s="175"/>
      <c r="H43" s="175"/>
      <c r="J43" s="175"/>
      <c r="K43" s="175"/>
      <c r="M43" s="175"/>
      <c r="N43" s="175"/>
      <c r="P43" s="175"/>
      <c r="Q43" s="175"/>
    </row>
    <row r="44" spans="1:17" x14ac:dyDescent="0.25">
      <c r="A44" s="74">
        <f t="shared" si="0"/>
        <v>0</v>
      </c>
      <c r="B44" s="173"/>
      <c r="D44" s="175"/>
      <c r="E44" s="175"/>
      <c r="G44" s="175"/>
      <c r="H44" s="175"/>
      <c r="J44" s="175"/>
      <c r="K44" s="175"/>
      <c r="M44" s="175"/>
      <c r="N44" s="175"/>
      <c r="P44" s="175"/>
      <c r="Q44" s="175"/>
    </row>
    <row r="45" spans="1:17" x14ac:dyDescent="0.25">
      <c r="A45" s="74">
        <f t="shared" si="0"/>
        <v>0</v>
      </c>
      <c r="B45" s="173"/>
      <c r="D45" s="175"/>
      <c r="E45" s="175"/>
      <c r="G45" s="175"/>
      <c r="H45" s="175"/>
      <c r="J45" s="175"/>
      <c r="K45" s="175"/>
      <c r="M45" s="175"/>
      <c r="N45" s="175"/>
      <c r="P45" s="175"/>
      <c r="Q45" s="175"/>
    </row>
    <row r="46" spans="1:17" x14ac:dyDescent="0.25">
      <c r="A46" s="74">
        <f t="shared" si="0"/>
        <v>0</v>
      </c>
      <c r="B46" s="173"/>
      <c r="D46" s="175"/>
      <c r="E46" s="175"/>
      <c r="G46" s="175"/>
      <c r="H46" s="175"/>
      <c r="J46" s="175"/>
      <c r="K46" s="175"/>
      <c r="M46" s="175"/>
      <c r="N46" s="175"/>
      <c r="P46" s="175"/>
      <c r="Q46" s="175"/>
    </row>
    <row r="47" spans="1:17" x14ac:dyDescent="0.25">
      <c r="A47" s="74">
        <f t="shared" si="0"/>
        <v>0</v>
      </c>
      <c r="B47" s="173"/>
      <c r="D47" s="175"/>
      <c r="E47" s="175"/>
      <c r="G47" s="175"/>
      <c r="H47" s="175"/>
      <c r="J47" s="175"/>
      <c r="K47" s="175"/>
      <c r="M47" s="175"/>
      <c r="N47" s="175"/>
      <c r="P47" s="175"/>
      <c r="Q47" s="175"/>
    </row>
    <row r="48" spans="1:17" x14ac:dyDescent="0.25">
      <c r="A48" s="74">
        <f t="shared" si="0"/>
        <v>0</v>
      </c>
      <c r="B48" s="173"/>
      <c r="D48" s="175"/>
      <c r="E48" s="175"/>
      <c r="G48" s="175"/>
      <c r="H48" s="175"/>
      <c r="J48" s="175"/>
      <c r="K48" s="175"/>
      <c r="M48" s="175"/>
      <c r="N48" s="175"/>
      <c r="P48" s="175"/>
      <c r="Q48" s="175"/>
    </row>
    <row r="49" spans="1:17" x14ac:dyDescent="0.25">
      <c r="A49" s="74">
        <f t="shared" si="0"/>
        <v>0</v>
      </c>
      <c r="B49" s="173"/>
      <c r="D49" s="175"/>
      <c r="E49" s="175"/>
      <c r="G49" s="175"/>
      <c r="H49" s="175"/>
      <c r="J49" s="175"/>
      <c r="K49" s="175"/>
      <c r="M49" s="175"/>
      <c r="N49" s="175"/>
      <c r="P49" s="175"/>
      <c r="Q49" s="175"/>
    </row>
    <row r="50" spans="1:17" x14ac:dyDescent="0.25">
      <c r="A50" s="74">
        <f t="shared" si="0"/>
        <v>0</v>
      </c>
      <c r="B50" s="173"/>
      <c r="D50" s="175"/>
      <c r="E50" s="175"/>
      <c r="G50" s="175"/>
      <c r="H50" s="175"/>
      <c r="J50" s="175"/>
      <c r="K50" s="175"/>
      <c r="M50" s="175"/>
      <c r="N50" s="175"/>
      <c r="P50" s="175"/>
      <c r="Q50" s="175"/>
    </row>
    <row r="51" spans="1:17" x14ac:dyDescent="0.25">
      <c r="A51" s="74">
        <f t="shared" si="0"/>
        <v>0</v>
      </c>
      <c r="B51" s="173"/>
      <c r="D51" s="175"/>
      <c r="E51" s="175"/>
      <c r="G51" s="175"/>
      <c r="H51" s="175"/>
      <c r="J51" s="175"/>
      <c r="K51" s="175"/>
      <c r="M51" s="175"/>
      <c r="N51" s="175"/>
      <c r="P51" s="175"/>
      <c r="Q51" s="175"/>
    </row>
    <row r="52" spans="1:17" x14ac:dyDescent="0.25">
      <c r="A52" s="74">
        <f t="shared" si="0"/>
        <v>0</v>
      </c>
      <c r="B52" s="173"/>
      <c r="D52" s="175"/>
      <c r="E52" s="175"/>
      <c r="G52" s="175"/>
      <c r="H52" s="175"/>
      <c r="J52" s="175"/>
      <c r="K52" s="175"/>
      <c r="M52" s="175"/>
      <c r="N52" s="175"/>
      <c r="P52" s="175"/>
      <c r="Q52" s="175"/>
    </row>
    <row r="53" spans="1:17" x14ac:dyDescent="0.25">
      <c r="A53" s="74">
        <f t="shared" si="0"/>
        <v>0</v>
      </c>
      <c r="B53" s="173"/>
      <c r="D53" s="175"/>
      <c r="E53" s="175"/>
      <c r="G53" s="175"/>
      <c r="H53" s="175"/>
      <c r="J53" s="175"/>
      <c r="K53" s="175"/>
      <c r="M53" s="175"/>
      <c r="N53" s="175"/>
      <c r="P53" s="175"/>
      <c r="Q53" s="175"/>
    </row>
    <row r="54" spans="1:17" x14ac:dyDescent="0.25">
      <c r="A54" s="74">
        <f t="shared" si="0"/>
        <v>0</v>
      </c>
      <c r="B54" s="173"/>
      <c r="D54" s="175"/>
      <c r="E54" s="175"/>
      <c r="G54" s="175"/>
      <c r="H54" s="175"/>
      <c r="J54" s="175"/>
      <c r="K54" s="175"/>
      <c r="M54" s="175"/>
      <c r="N54" s="175"/>
      <c r="P54" s="175"/>
      <c r="Q54" s="175"/>
    </row>
    <row r="55" spans="1:17" x14ac:dyDescent="0.25">
      <c r="A55" s="74">
        <f t="shared" si="0"/>
        <v>0</v>
      </c>
      <c r="B55" s="173"/>
      <c r="D55" s="175"/>
      <c r="E55" s="175"/>
      <c r="G55" s="175"/>
      <c r="H55" s="175"/>
      <c r="J55" s="175"/>
      <c r="K55" s="175"/>
      <c r="M55" s="175"/>
      <c r="N55" s="175"/>
      <c r="P55" s="175"/>
      <c r="Q55" s="175"/>
    </row>
    <row r="56" spans="1:17" x14ac:dyDescent="0.25">
      <c r="A56" s="74">
        <f t="shared" si="0"/>
        <v>0</v>
      </c>
      <c r="B56" s="173"/>
      <c r="D56" s="175"/>
      <c r="E56" s="175"/>
      <c r="G56" s="175"/>
      <c r="H56" s="175"/>
      <c r="J56" s="175"/>
      <c r="K56" s="175"/>
      <c r="M56" s="175"/>
      <c r="N56" s="175"/>
      <c r="P56" s="175"/>
      <c r="Q56" s="175"/>
    </row>
    <row r="57" spans="1:17" x14ac:dyDescent="0.25">
      <c r="A57" s="74">
        <f t="shared" si="0"/>
        <v>0</v>
      </c>
      <c r="B57" s="173"/>
      <c r="D57" s="175"/>
      <c r="E57" s="175"/>
      <c r="G57" s="175"/>
      <c r="H57" s="175"/>
      <c r="J57" s="175"/>
      <c r="K57" s="175"/>
      <c r="M57" s="175"/>
      <c r="N57" s="175"/>
      <c r="P57" s="175"/>
      <c r="Q57" s="175"/>
    </row>
    <row r="58" spans="1:17" x14ac:dyDescent="0.25">
      <c r="A58" s="74">
        <f t="shared" si="0"/>
        <v>0</v>
      </c>
      <c r="B58" s="173"/>
      <c r="D58" s="175"/>
      <c r="E58" s="175"/>
      <c r="G58" s="175"/>
      <c r="H58" s="175"/>
      <c r="J58" s="175"/>
      <c r="K58" s="175"/>
      <c r="M58" s="175"/>
      <c r="N58" s="175"/>
      <c r="P58" s="175"/>
      <c r="Q58" s="175"/>
    </row>
    <row r="59" spans="1:17" x14ac:dyDescent="0.25">
      <c r="A59" s="74">
        <f t="shared" si="0"/>
        <v>0</v>
      </c>
      <c r="B59" s="173"/>
      <c r="D59" s="175"/>
      <c r="E59" s="175"/>
      <c r="G59" s="175"/>
      <c r="H59" s="175"/>
      <c r="J59" s="175"/>
      <c r="K59" s="175"/>
      <c r="M59" s="175"/>
      <c r="N59" s="175"/>
      <c r="P59" s="175"/>
      <c r="Q59" s="175"/>
    </row>
    <row r="60" spans="1:17" x14ac:dyDescent="0.25">
      <c r="A60" s="74">
        <f t="shared" si="0"/>
        <v>0</v>
      </c>
      <c r="B60" s="173"/>
      <c r="D60" s="175"/>
      <c r="E60" s="175"/>
      <c r="G60" s="175"/>
      <c r="H60" s="175"/>
      <c r="J60" s="175"/>
      <c r="K60" s="175"/>
      <c r="M60" s="175"/>
      <c r="N60" s="175"/>
      <c r="P60" s="175"/>
      <c r="Q60" s="175"/>
    </row>
    <row r="61" spans="1:17" x14ac:dyDescent="0.25">
      <c r="A61" s="74">
        <f t="shared" si="0"/>
        <v>0</v>
      </c>
      <c r="B61" s="173"/>
      <c r="D61" s="175"/>
      <c r="E61" s="175"/>
      <c r="G61" s="175"/>
      <c r="H61" s="175"/>
      <c r="J61" s="175"/>
      <c r="K61" s="175"/>
      <c r="M61" s="175"/>
      <c r="N61" s="175"/>
      <c r="P61" s="175"/>
      <c r="Q61" s="175"/>
    </row>
    <row r="62" spans="1:17" x14ac:dyDescent="0.25">
      <c r="A62" s="74">
        <f t="shared" si="0"/>
        <v>0</v>
      </c>
      <c r="B62" s="173"/>
      <c r="D62" s="175"/>
      <c r="E62" s="175"/>
      <c r="G62" s="175"/>
      <c r="H62" s="175"/>
      <c r="J62" s="175"/>
      <c r="K62" s="175"/>
      <c r="M62" s="175"/>
      <c r="N62" s="175"/>
      <c r="P62" s="175"/>
      <c r="Q62" s="175"/>
    </row>
    <row r="63" spans="1:17" x14ac:dyDescent="0.25">
      <c r="A63" s="74">
        <f t="shared" si="0"/>
        <v>0</v>
      </c>
      <c r="B63" s="173"/>
      <c r="D63" s="175"/>
      <c r="E63" s="175"/>
      <c r="G63" s="175"/>
      <c r="H63" s="175"/>
      <c r="J63" s="175"/>
      <c r="K63" s="175"/>
      <c r="M63" s="175"/>
      <c r="N63" s="175"/>
      <c r="P63" s="175"/>
      <c r="Q63" s="175"/>
    </row>
    <row r="64" spans="1:17" x14ac:dyDescent="0.25">
      <c r="A64" s="74">
        <f t="shared" si="0"/>
        <v>0</v>
      </c>
      <c r="B64" s="173"/>
      <c r="D64" s="175"/>
      <c r="E64" s="175"/>
      <c r="G64" s="175"/>
      <c r="H64" s="175"/>
      <c r="J64" s="175"/>
      <c r="K64" s="175"/>
      <c r="M64" s="175"/>
      <c r="N64" s="175"/>
      <c r="P64" s="175"/>
      <c r="Q64" s="175"/>
    </row>
    <row r="65" spans="1:17" x14ac:dyDescent="0.25">
      <c r="A65" s="74">
        <f t="shared" si="0"/>
        <v>0</v>
      </c>
      <c r="B65" s="173"/>
      <c r="D65" s="175"/>
      <c r="E65" s="175"/>
      <c r="G65" s="175"/>
      <c r="H65" s="175"/>
      <c r="J65" s="175"/>
      <c r="K65" s="175"/>
      <c r="M65" s="175"/>
      <c r="N65" s="175"/>
      <c r="P65" s="175"/>
      <c r="Q65" s="175"/>
    </row>
    <row r="66" spans="1:17" x14ac:dyDescent="0.25">
      <c r="A66" s="74">
        <f t="shared" si="0"/>
        <v>0</v>
      </c>
      <c r="B66" s="173"/>
      <c r="D66" s="175"/>
      <c r="E66" s="175"/>
      <c r="G66" s="175"/>
      <c r="H66" s="175"/>
      <c r="J66" s="175"/>
      <c r="K66" s="175"/>
      <c r="M66" s="175"/>
      <c r="N66" s="175"/>
      <c r="P66" s="175"/>
      <c r="Q66" s="175"/>
    </row>
    <row r="67" spans="1:17" x14ac:dyDescent="0.25">
      <c r="A67" s="74">
        <f t="shared" si="0"/>
        <v>0</v>
      </c>
      <c r="B67" s="173"/>
      <c r="D67" s="175"/>
      <c r="E67" s="175"/>
      <c r="G67" s="175"/>
      <c r="H67" s="175"/>
      <c r="J67" s="175"/>
      <c r="K67" s="175"/>
      <c r="M67" s="175"/>
      <c r="N67" s="175"/>
      <c r="P67" s="175"/>
      <c r="Q67" s="175"/>
    </row>
    <row r="68" spans="1:17" x14ac:dyDescent="0.25">
      <c r="A68" s="74">
        <f t="shared" si="0"/>
        <v>0</v>
      </c>
      <c r="B68" s="173"/>
      <c r="D68" s="175"/>
      <c r="E68" s="175"/>
      <c r="G68" s="175"/>
      <c r="H68" s="175"/>
      <c r="J68" s="175"/>
      <c r="K68" s="175"/>
      <c r="M68" s="175"/>
      <c r="N68" s="175"/>
      <c r="P68" s="175"/>
      <c r="Q68" s="175"/>
    </row>
    <row r="69" spans="1:17" x14ac:dyDescent="0.25">
      <c r="A69" s="74">
        <f t="shared" si="0"/>
        <v>0</v>
      </c>
      <c r="B69" s="173"/>
      <c r="D69" s="175"/>
      <c r="E69" s="175"/>
      <c r="G69" s="175"/>
      <c r="H69" s="175"/>
      <c r="J69" s="175"/>
      <c r="K69" s="175"/>
      <c r="M69" s="175"/>
      <c r="N69" s="175"/>
      <c r="P69" s="175"/>
      <c r="Q69" s="175"/>
    </row>
    <row r="70" spans="1:17" x14ac:dyDescent="0.25">
      <c r="A70" s="74">
        <f t="shared" si="0"/>
        <v>0</v>
      </c>
      <c r="B70" s="173"/>
      <c r="D70" s="175"/>
      <c r="E70" s="175"/>
      <c r="G70" s="175"/>
      <c r="H70" s="175"/>
      <c r="J70" s="175"/>
      <c r="K70" s="175"/>
      <c r="M70" s="175"/>
      <c r="N70" s="175"/>
      <c r="P70" s="175"/>
      <c r="Q70" s="175"/>
    </row>
    <row r="71" spans="1:17" x14ac:dyDescent="0.25">
      <c r="A71" s="74">
        <f t="shared" si="0"/>
        <v>0</v>
      </c>
      <c r="B71" s="173"/>
      <c r="D71" s="175"/>
      <c r="E71" s="175"/>
      <c r="G71" s="175"/>
      <c r="H71" s="175"/>
      <c r="J71" s="175"/>
      <c r="K71" s="175"/>
      <c r="M71" s="175"/>
      <c r="N71" s="175"/>
      <c r="P71" s="175"/>
      <c r="Q71" s="175"/>
    </row>
    <row r="72" spans="1:17" x14ac:dyDescent="0.25">
      <c r="A72" s="74">
        <f t="shared" si="0"/>
        <v>0</v>
      </c>
      <c r="B72" s="173"/>
      <c r="D72" s="175"/>
      <c r="E72" s="175"/>
      <c r="G72" s="175"/>
      <c r="H72" s="175"/>
      <c r="J72" s="175"/>
      <c r="K72" s="175"/>
      <c r="M72" s="175"/>
      <c r="N72" s="175"/>
      <c r="P72" s="175"/>
      <c r="Q72" s="175"/>
    </row>
    <row r="73" spans="1:17" x14ac:dyDescent="0.25">
      <c r="A73" s="74">
        <f t="shared" si="0"/>
        <v>0</v>
      </c>
      <c r="B73" s="173"/>
      <c r="D73" s="175"/>
      <c r="E73" s="175"/>
      <c r="G73" s="175"/>
      <c r="H73" s="175"/>
      <c r="J73" s="175"/>
      <c r="K73" s="175"/>
      <c r="M73" s="175"/>
      <c r="N73" s="175"/>
      <c r="P73" s="175"/>
      <c r="Q73" s="175"/>
    </row>
    <row r="74" spans="1:17" x14ac:dyDescent="0.25">
      <c r="A74" s="74">
        <f t="shared" si="0"/>
        <v>0</v>
      </c>
      <c r="B74" s="173"/>
      <c r="D74" s="175"/>
      <c r="E74" s="175"/>
      <c r="G74" s="175"/>
      <c r="H74" s="175"/>
      <c r="J74" s="175"/>
      <c r="K74" s="175"/>
      <c r="M74" s="175"/>
      <c r="N74" s="175"/>
      <c r="P74" s="175"/>
      <c r="Q74" s="175"/>
    </row>
    <row r="75" spans="1:17" x14ac:dyDescent="0.25">
      <c r="A75" s="74">
        <f t="shared" si="0"/>
        <v>0</v>
      </c>
      <c r="B75" s="173"/>
      <c r="D75" s="175"/>
      <c r="E75" s="175"/>
      <c r="G75" s="175"/>
      <c r="H75" s="175"/>
      <c r="J75" s="175"/>
      <c r="K75" s="175"/>
      <c r="M75" s="175"/>
      <c r="N75" s="175"/>
      <c r="P75" s="175"/>
      <c r="Q75" s="175"/>
    </row>
    <row r="76" spans="1:17" x14ac:dyDescent="0.25">
      <c r="A76" s="74">
        <f t="shared" si="0"/>
        <v>0</v>
      </c>
      <c r="B76" s="173"/>
      <c r="D76" s="175"/>
      <c r="E76" s="175"/>
      <c r="G76" s="175"/>
      <c r="H76" s="175"/>
      <c r="J76" s="175"/>
      <c r="K76" s="175"/>
      <c r="M76" s="175"/>
      <c r="N76" s="175"/>
      <c r="P76" s="175"/>
      <c r="Q76" s="175"/>
    </row>
    <row r="77" spans="1:17" x14ac:dyDescent="0.25">
      <c r="A77" s="74">
        <f t="shared" ref="A77:A111" si="1">IF(B77="",0,ROW(A66))</f>
        <v>0</v>
      </c>
      <c r="B77" s="173"/>
      <c r="D77" s="175"/>
      <c r="E77" s="175"/>
      <c r="G77" s="175"/>
      <c r="H77" s="175"/>
      <c r="J77" s="175"/>
      <c r="K77" s="175"/>
      <c r="M77" s="175"/>
      <c r="N77" s="175"/>
      <c r="P77" s="175"/>
      <c r="Q77" s="175"/>
    </row>
    <row r="78" spans="1:17" x14ac:dyDescent="0.25">
      <c r="A78" s="74">
        <f t="shared" si="1"/>
        <v>0</v>
      </c>
      <c r="B78" s="173"/>
      <c r="D78" s="175"/>
      <c r="E78" s="175"/>
      <c r="G78" s="175"/>
      <c r="H78" s="175"/>
      <c r="J78" s="175"/>
      <c r="K78" s="175"/>
      <c r="M78" s="175"/>
      <c r="N78" s="175"/>
      <c r="P78" s="175"/>
      <c r="Q78" s="175"/>
    </row>
    <row r="79" spans="1:17" x14ac:dyDescent="0.25">
      <c r="A79" s="74">
        <f t="shared" si="1"/>
        <v>0</v>
      </c>
      <c r="B79" s="173"/>
      <c r="D79" s="175"/>
      <c r="E79" s="175"/>
      <c r="G79" s="175"/>
      <c r="H79" s="175"/>
      <c r="J79" s="175"/>
      <c r="K79" s="175"/>
      <c r="M79" s="175"/>
      <c r="N79" s="175"/>
      <c r="P79" s="175"/>
      <c r="Q79" s="175"/>
    </row>
    <row r="80" spans="1:17" x14ac:dyDescent="0.25">
      <c r="A80" s="74">
        <f t="shared" si="1"/>
        <v>0</v>
      </c>
      <c r="B80" s="173"/>
      <c r="D80" s="175"/>
      <c r="E80" s="175"/>
      <c r="G80" s="175"/>
      <c r="H80" s="175"/>
      <c r="J80" s="175"/>
      <c r="K80" s="175"/>
      <c r="M80" s="175"/>
      <c r="N80" s="175"/>
      <c r="P80" s="175"/>
      <c r="Q80" s="175"/>
    </row>
    <row r="81" spans="1:17" x14ac:dyDescent="0.25">
      <c r="A81" s="74">
        <f t="shared" si="1"/>
        <v>0</v>
      </c>
      <c r="B81" s="173"/>
      <c r="D81" s="175"/>
      <c r="E81" s="175"/>
      <c r="G81" s="175"/>
      <c r="H81" s="175"/>
      <c r="J81" s="175"/>
      <c r="K81" s="175"/>
      <c r="M81" s="175"/>
      <c r="N81" s="175"/>
      <c r="P81" s="175"/>
      <c r="Q81" s="175"/>
    </row>
    <row r="82" spans="1:17" x14ac:dyDescent="0.25">
      <c r="A82" s="74">
        <f t="shared" si="1"/>
        <v>0</v>
      </c>
      <c r="B82" s="173"/>
      <c r="D82" s="175"/>
      <c r="E82" s="175"/>
      <c r="G82" s="175"/>
      <c r="H82" s="175"/>
      <c r="J82" s="175"/>
      <c r="K82" s="175"/>
      <c r="M82" s="175"/>
      <c r="N82" s="175"/>
      <c r="P82" s="175"/>
      <c r="Q82" s="175"/>
    </row>
    <row r="83" spans="1:17" x14ac:dyDescent="0.25">
      <c r="A83" s="74">
        <f t="shared" si="1"/>
        <v>0</v>
      </c>
      <c r="B83" s="173"/>
      <c r="D83" s="175"/>
      <c r="E83" s="175"/>
      <c r="G83" s="175"/>
      <c r="H83" s="175"/>
      <c r="J83" s="175"/>
      <c r="K83" s="175"/>
      <c r="M83" s="175"/>
      <c r="N83" s="175"/>
      <c r="P83" s="175"/>
      <c r="Q83" s="175"/>
    </row>
    <row r="84" spans="1:17" x14ac:dyDescent="0.25">
      <c r="A84" s="74">
        <f t="shared" si="1"/>
        <v>0</v>
      </c>
      <c r="B84" s="173"/>
      <c r="D84" s="175"/>
      <c r="E84" s="175"/>
      <c r="G84" s="175"/>
      <c r="H84" s="175"/>
      <c r="J84" s="175"/>
      <c r="K84" s="175"/>
      <c r="M84" s="175"/>
      <c r="N84" s="175"/>
      <c r="P84" s="175"/>
      <c r="Q84" s="175"/>
    </row>
    <row r="85" spans="1:17" x14ac:dyDescent="0.25">
      <c r="A85" s="74">
        <f t="shared" si="1"/>
        <v>0</v>
      </c>
      <c r="B85" s="173"/>
      <c r="D85" s="175"/>
      <c r="E85" s="175"/>
      <c r="G85" s="175"/>
      <c r="H85" s="175"/>
      <c r="J85" s="175"/>
      <c r="K85" s="175"/>
      <c r="M85" s="175"/>
      <c r="N85" s="175"/>
      <c r="P85" s="175"/>
      <c r="Q85" s="175"/>
    </row>
    <row r="86" spans="1:17" x14ac:dyDescent="0.25">
      <c r="A86" s="74">
        <f t="shared" si="1"/>
        <v>0</v>
      </c>
      <c r="B86" s="173"/>
      <c r="D86" s="175"/>
      <c r="E86" s="175"/>
      <c r="G86" s="175"/>
      <c r="H86" s="175"/>
      <c r="J86" s="175"/>
      <c r="K86" s="175"/>
      <c r="M86" s="175"/>
      <c r="N86" s="175"/>
      <c r="P86" s="175"/>
      <c r="Q86" s="175"/>
    </row>
    <row r="87" spans="1:17" x14ac:dyDescent="0.25">
      <c r="A87" s="74">
        <f t="shared" si="1"/>
        <v>0</v>
      </c>
      <c r="B87" s="173"/>
      <c r="D87" s="175"/>
      <c r="E87" s="175"/>
      <c r="G87" s="175"/>
      <c r="H87" s="175"/>
      <c r="J87" s="175"/>
      <c r="K87" s="175"/>
      <c r="M87" s="175"/>
      <c r="N87" s="175"/>
      <c r="P87" s="175"/>
      <c r="Q87" s="175"/>
    </row>
    <row r="88" spans="1:17" x14ac:dyDescent="0.25">
      <c r="A88" s="74">
        <f t="shared" si="1"/>
        <v>0</v>
      </c>
      <c r="B88" s="173"/>
      <c r="D88" s="175"/>
      <c r="E88" s="175"/>
      <c r="G88" s="175"/>
      <c r="H88" s="175"/>
      <c r="J88" s="175"/>
      <c r="K88" s="175"/>
      <c r="M88" s="175"/>
      <c r="N88" s="175"/>
      <c r="P88" s="175"/>
      <c r="Q88" s="175"/>
    </row>
    <row r="89" spans="1:17" x14ac:dyDescent="0.25">
      <c r="A89" s="74">
        <f t="shared" si="1"/>
        <v>0</v>
      </c>
      <c r="B89" s="173"/>
      <c r="D89" s="175"/>
      <c r="E89" s="175"/>
      <c r="G89" s="175"/>
      <c r="H89" s="175"/>
      <c r="J89" s="175"/>
      <c r="K89" s="175"/>
      <c r="M89" s="175"/>
      <c r="N89" s="175"/>
      <c r="P89" s="175"/>
      <c r="Q89" s="175"/>
    </row>
    <row r="90" spans="1:17" x14ac:dyDescent="0.25">
      <c r="A90" s="74">
        <f t="shared" si="1"/>
        <v>0</v>
      </c>
      <c r="B90" s="173"/>
      <c r="D90" s="175"/>
      <c r="E90" s="175"/>
      <c r="G90" s="175"/>
      <c r="H90" s="175"/>
      <c r="J90" s="175"/>
      <c r="K90" s="175"/>
      <c r="M90" s="175"/>
      <c r="N90" s="175"/>
      <c r="P90" s="175"/>
      <c r="Q90" s="175"/>
    </row>
    <row r="91" spans="1:17" x14ac:dyDescent="0.25">
      <c r="A91" s="74">
        <f t="shared" si="1"/>
        <v>0</v>
      </c>
      <c r="B91" s="173"/>
      <c r="D91" s="175"/>
      <c r="E91" s="175"/>
      <c r="G91" s="175"/>
      <c r="H91" s="175"/>
      <c r="J91" s="175"/>
      <c r="K91" s="175"/>
      <c r="M91" s="175"/>
      <c r="N91" s="175"/>
      <c r="P91" s="175"/>
      <c r="Q91" s="175"/>
    </row>
    <row r="92" spans="1:17" x14ac:dyDescent="0.25">
      <c r="A92" s="74">
        <f t="shared" si="1"/>
        <v>0</v>
      </c>
      <c r="B92" s="173"/>
      <c r="D92" s="175"/>
      <c r="E92" s="175"/>
      <c r="G92" s="175"/>
      <c r="H92" s="175"/>
      <c r="J92" s="175"/>
      <c r="K92" s="175"/>
      <c r="M92" s="175"/>
      <c r="N92" s="175"/>
      <c r="P92" s="175"/>
      <c r="Q92" s="175"/>
    </row>
    <row r="93" spans="1:17" x14ac:dyDescent="0.25">
      <c r="A93" s="74">
        <f t="shared" si="1"/>
        <v>0</v>
      </c>
      <c r="B93" s="173"/>
      <c r="D93" s="175"/>
      <c r="E93" s="175"/>
      <c r="G93" s="175"/>
      <c r="H93" s="175"/>
      <c r="J93" s="175"/>
      <c r="K93" s="175"/>
      <c r="M93" s="175"/>
      <c r="N93" s="175"/>
      <c r="P93" s="175"/>
      <c r="Q93" s="175"/>
    </row>
    <row r="94" spans="1:17" x14ac:dyDescent="0.25">
      <c r="A94" s="74">
        <f t="shared" si="1"/>
        <v>0</v>
      </c>
      <c r="B94" s="173"/>
      <c r="D94" s="175"/>
      <c r="E94" s="175"/>
      <c r="G94" s="175"/>
      <c r="H94" s="175"/>
      <c r="J94" s="175"/>
      <c r="K94" s="175"/>
      <c r="M94" s="175"/>
      <c r="N94" s="175"/>
      <c r="P94" s="175"/>
      <c r="Q94" s="175"/>
    </row>
    <row r="95" spans="1:17" x14ac:dyDescent="0.25">
      <c r="A95" s="74">
        <f t="shared" si="1"/>
        <v>0</v>
      </c>
      <c r="B95" s="173"/>
      <c r="D95" s="175"/>
      <c r="E95" s="175"/>
      <c r="G95" s="175"/>
      <c r="H95" s="175"/>
      <c r="J95" s="175"/>
      <c r="K95" s="175"/>
      <c r="M95" s="175"/>
      <c r="N95" s="175"/>
      <c r="P95" s="175"/>
      <c r="Q95" s="175"/>
    </row>
    <row r="96" spans="1:17" x14ac:dyDescent="0.25">
      <c r="A96" s="74">
        <f t="shared" si="1"/>
        <v>0</v>
      </c>
      <c r="B96" s="173"/>
      <c r="D96" s="175"/>
      <c r="E96" s="175"/>
      <c r="G96" s="175"/>
      <c r="H96" s="175"/>
      <c r="J96" s="175"/>
      <c r="K96" s="175"/>
      <c r="M96" s="175"/>
      <c r="N96" s="175"/>
      <c r="P96" s="175"/>
      <c r="Q96" s="175"/>
    </row>
    <row r="97" spans="1:17" x14ac:dyDescent="0.25">
      <c r="A97" s="74">
        <f t="shared" si="1"/>
        <v>0</v>
      </c>
      <c r="B97" s="173"/>
      <c r="D97" s="175"/>
      <c r="E97" s="175"/>
      <c r="G97" s="175"/>
      <c r="H97" s="175"/>
      <c r="J97" s="175"/>
      <c r="K97" s="175"/>
      <c r="M97" s="175"/>
      <c r="N97" s="175"/>
      <c r="P97" s="175"/>
      <c r="Q97" s="175"/>
    </row>
    <row r="98" spans="1:17" x14ac:dyDescent="0.25">
      <c r="A98" s="74">
        <f t="shared" si="1"/>
        <v>0</v>
      </c>
      <c r="B98" s="173"/>
      <c r="D98" s="175"/>
      <c r="E98" s="175"/>
      <c r="G98" s="175"/>
      <c r="H98" s="175"/>
      <c r="J98" s="175"/>
      <c r="K98" s="175"/>
      <c r="M98" s="175"/>
      <c r="N98" s="175"/>
      <c r="P98" s="175"/>
      <c r="Q98" s="175"/>
    </row>
    <row r="99" spans="1:17" x14ac:dyDescent="0.25">
      <c r="A99" s="74">
        <f t="shared" si="1"/>
        <v>0</v>
      </c>
      <c r="B99" s="173"/>
      <c r="D99" s="175"/>
      <c r="E99" s="175"/>
      <c r="G99" s="175"/>
      <c r="H99" s="175"/>
      <c r="J99" s="175"/>
      <c r="K99" s="175"/>
      <c r="M99" s="175"/>
      <c r="N99" s="175"/>
      <c r="P99" s="175"/>
      <c r="Q99" s="175"/>
    </row>
    <row r="100" spans="1:17" x14ac:dyDescent="0.25">
      <c r="A100" s="74">
        <f t="shared" si="1"/>
        <v>0</v>
      </c>
      <c r="B100" s="173"/>
      <c r="D100" s="175"/>
      <c r="E100" s="175"/>
      <c r="G100" s="175"/>
      <c r="H100" s="175"/>
      <c r="J100" s="175"/>
      <c r="K100" s="175"/>
      <c r="M100" s="175"/>
      <c r="N100" s="175"/>
      <c r="P100" s="175"/>
      <c r="Q100" s="175"/>
    </row>
    <row r="101" spans="1:17" x14ac:dyDescent="0.25">
      <c r="A101" s="74">
        <f t="shared" si="1"/>
        <v>0</v>
      </c>
      <c r="B101" s="173"/>
      <c r="D101" s="175"/>
      <c r="E101" s="175"/>
      <c r="G101" s="175"/>
      <c r="H101" s="175"/>
      <c r="J101" s="175"/>
      <c r="K101" s="175"/>
      <c r="M101" s="175"/>
      <c r="N101" s="175"/>
      <c r="P101" s="175"/>
      <c r="Q101" s="175"/>
    </row>
    <row r="102" spans="1:17" x14ac:dyDescent="0.25">
      <c r="A102" s="74">
        <f t="shared" si="1"/>
        <v>0</v>
      </c>
      <c r="B102" s="173"/>
      <c r="D102" s="175"/>
      <c r="E102" s="175"/>
      <c r="G102" s="175"/>
      <c r="H102" s="175"/>
      <c r="J102" s="175"/>
      <c r="K102" s="175"/>
      <c r="M102" s="175"/>
      <c r="N102" s="175"/>
      <c r="P102" s="175"/>
      <c r="Q102" s="175"/>
    </row>
    <row r="103" spans="1:17" x14ac:dyDescent="0.25">
      <c r="A103" s="74">
        <f t="shared" si="1"/>
        <v>0</v>
      </c>
      <c r="B103" s="173"/>
      <c r="D103" s="175"/>
      <c r="E103" s="175"/>
      <c r="G103" s="175"/>
      <c r="H103" s="175"/>
      <c r="J103" s="175"/>
      <c r="K103" s="175"/>
      <c r="M103" s="175"/>
      <c r="N103" s="175"/>
      <c r="P103" s="175"/>
      <c r="Q103" s="175"/>
    </row>
    <row r="104" spans="1:17" x14ac:dyDescent="0.25">
      <c r="A104" s="74">
        <f t="shared" si="1"/>
        <v>0</v>
      </c>
      <c r="B104" s="173"/>
      <c r="D104" s="175"/>
      <c r="E104" s="175"/>
      <c r="G104" s="175"/>
      <c r="H104" s="175"/>
      <c r="J104" s="175"/>
      <c r="K104" s="175"/>
      <c r="M104" s="175"/>
      <c r="N104" s="175"/>
      <c r="P104" s="175"/>
      <c r="Q104" s="175"/>
    </row>
    <row r="105" spans="1:17" x14ac:dyDescent="0.25">
      <c r="A105" s="74">
        <f t="shared" si="1"/>
        <v>0</v>
      </c>
      <c r="B105" s="173"/>
      <c r="D105" s="175"/>
      <c r="E105" s="175"/>
      <c r="G105" s="175"/>
      <c r="H105" s="175"/>
      <c r="J105" s="175"/>
      <c r="K105" s="175"/>
      <c r="M105" s="175"/>
      <c r="N105" s="175"/>
      <c r="P105" s="175"/>
      <c r="Q105" s="175"/>
    </row>
    <row r="106" spans="1:17" x14ac:dyDescent="0.25">
      <c r="A106" s="74">
        <f t="shared" si="1"/>
        <v>0</v>
      </c>
      <c r="B106" s="173"/>
      <c r="D106" s="175"/>
      <c r="E106" s="175"/>
      <c r="G106" s="175"/>
      <c r="H106" s="175"/>
      <c r="J106" s="175"/>
      <c r="K106" s="175"/>
      <c r="M106" s="175"/>
      <c r="N106" s="175"/>
      <c r="P106" s="175"/>
      <c r="Q106" s="175"/>
    </row>
    <row r="107" spans="1:17" x14ac:dyDescent="0.25">
      <c r="A107" s="74">
        <f t="shared" si="1"/>
        <v>0</v>
      </c>
      <c r="B107" s="173"/>
      <c r="D107" s="175"/>
      <c r="E107" s="175"/>
      <c r="G107" s="175"/>
      <c r="H107" s="175"/>
      <c r="J107" s="175"/>
      <c r="K107" s="175"/>
      <c r="M107" s="175"/>
      <c r="N107" s="175"/>
      <c r="P107" s="175"/>
      <c r="Q107" s="175"/>
    </row>
    <row r="108" spans="1:17" x14ac:dyDescent="0.25">
      <c r="A108" s="74">
        <f t="shared" si="1"/>
        <v>0</v>
      </c>
      <c r="B108" s="173"/>
      <c r="D108" s="175"/>
      <c r="E108" s="175"/>
      <c r="G108" s="175"/>
      <c r="H108" s="175"/>
      <c r="J108" s="175"/>
      <c r="K108" s="175"/>
      <c r="M108" s="175"/>
      <c r="N108" s="175"/>
      <c r="P108" s="175"/>
      <c r="Q108" s="175"/>
    </row>
    <row r="109" spans="1:17" x14ac:dyDescent="0.25">
      <c r="A109" s="74">
        <f t="shared" si="1"/>
        <v>0</v>
      </c>
      <c r="B109" s="173"/>
      <c r="D109" s="175"/>
      <c r="E109" s="175"/>
      <c r="G109" s="175"/>
      <c r="H109" s="175"/>
      <c r="J109" s="175"/>
      <c r="K109" s="175"/>
      <c r="M109" s="175"/>
      <c r="N109" s="175"/>
      <c r="P109" s="175"/>
      <c r="Q109" s="175"/>
    </row>
    <row r="110" spans="1:17" x14ac:dyDescent="0.25">
      <c r="A110" s="74">
        <f t="shared" si="1"/>
        <v>0</v>
      </c>
      <c r="B110" s="173"/>
      <c r="D110" s="175"/>
      <c r="E110" s="175"/>
      <c r="G110" s="175"/>
      <c r="H110" s="175"/>
      <c r="J110" s="175"/>
      <c r="K110" s="175"/>
      <c r="M110" s="175"/>
      <c r="N110" s="175"/>
      <c r="P110" s="175"/>
      <c r="Q110" s="175"/>
    </row>
    <row r="111" spans="1:17" x14ac:dyDescent="0.25">
      <c r="A111" s="74">
        <f t="shared" si="1"/>
        <v>0</v>
      </c>
      <c r="B111" s="173"/>
      <c r="D111" s="175"/>
      <c r="E111" s="175"/>
      <c r="G111" s="175"/>
      <c r="H111" s="175"/>
      <c r="J111" s="175"/>
      <c r="K111" s="175"/>
      <c r="M111" s="175"/>
      <c r="N111" s="175"/>
      <c r="P111" s="175"/>
      <c r="Q111" s="175"/>
    </row>
  </sheetData>
  <sheetProtection algorithmName="SHA-512" hashValue="6OdOMNxvsNuKGYSMbd6RohIOa1JxyKPa2RLjiFj1muAW+2xGSpHAq+QMKlh9pyHoGSNtU5wfO7+WULgJKYbWUQ==" saltValue="yduFaF/7BBEsFRQ8NHp9bQ==" spinCount="100000" sheet="1" objects="1" scenarios="1"/>
  <dataConsolidate/>
  <mergeCells count="6">
    <mergeCell ref="M10:N10"/>
    <mergeCell ref="P10:Q10"/>
    <mergeCell ref="D8:K8"/>
    <mergeCell ref="D10:E10"/>
    <mergeCell ref="G10:H10"/>
    <mergeCell ref="J10:K10"/>
  </mergeCells>
  <conditionalFormatting sqref="B12:B111 D12:E111 G12:H111 J12:K111 M12:N111 P12:Q111">
    <cfRule type="expression" dxfId="25" priority="4">
      <formula>IF($B12="",FALSE, TRUE)</formula>
    </cfRule>
  </conditionalFormatting>
  <conditionalFormatting sqref="E12:E111 H12:H111 K12:K111 N12:N111 Q12:Q111">
    <cfRule type="expression" dxfId="24" priority="1">
      <formula>IF(AND(D12&lt;&gt;"",E12=""),1,0)</formula>
    </cfRule>
  </conditionalFormatting>
  <pageMargins left="0.7" right="0.7" top="0.75" bottom="0.75" header="0.3" footer="0.3"/>
  <legacyDrawing r:id="rId1"/>
  <extLst>
    <ext xmlns:x14="http://schemas.microsoft.com/office/spreadsheetml/2009/9/main" uri="{78C0D931-6437-407d-A8EE-F0AAD7539E65}">
      <x14:conditionalFormattings>
        <x14:conditionalFormatting xmlns:xm="http://schemas.microsoft.com/office/excel/2006/main">
          <x14:cfRule type="expression" priority="3" id="{127E1A58-7242-47C7-81DA-8558F0683E98}">
            <xm:f>IF(AND(D12&lt;&gt;"",ISNA(VLOOKUP(D12,'Critical resources (hide)'!$B$6:$B$57,1,0))),TRUE,FALSE)</xm:f>
            <x14:dxf>
              <font>
                <color rgb="FFFF0000"/>
              </font>
              <fill>
                <patternFill>
                  <bgColor theme="5" tint="0.79998168889431442"/>
                </patternFill>
              </fill>
            </x14:dxf>
          </x14:cfRule>
          <xm:sqref>D12:D111 G12:G111 J12:J111 M12:M111 P12:P111</xm:sqref>
        </x14:conditionalFormatting>
        <x14:conditionalFormatting xmlns:xm="http://schemas.microsoft.com/office/excel/2006/main">
          <x14:cfRule type="expression" priority="2" id="{8BCBD392-6F73-44D6-A709-F775CE2227B2}">
            <xm:f>IF(AND(E12&lt;&gt;"",ISNA(VLOOKUP(E12,'Critical resources (hide)'!$A$6:$A$57,1,0))),TRUE,FALSE)</xm:f>
            <x14:dxf>
              <font>
                <color rgb="FFFF0000"/>
              </font>
              <fill>
                <patternFill>
                  <bgColor theme="5" tint="0.79998168889431442"/>
                </patternFill>
              </fill>
            </x14:dxf>
          </x14:cfRule>
          <xm:sqref>E12:E111 H12:H111 K12:K111 N12:N111 Q12:Q111</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00000000-0002-0000-0D00-000000000000}">
          <x14:formula1>
            <xm:f>'Critical resources (hide)'!$B$6:$B$57</xm:f>
          </x14:formula1>
          <xm:sqref>D12:D111 G12:G111 J12:J111 M12:M111 P12:P111</xm:sqref>
        </x14:dataValidation>
        <x14:dataValidation type="list" allowBlank="1" showInputMessage="1" showErrorMessage="1" xr:uid="{00000000-0002-0000-0D00-000001000000}">
          <x14:formula1>
            <xm:f>IF(D12="",$A$1,OFFSET('Critical resources (hide)'!$A$6,'Critical resources (hide)'!$H6-1,0,53-'Critical resources (hide)'!H6,1))</xm:f>
          </x14:formula1>
          <xm:sqref>E12:E111</xm:sqref>
        </x14:dataValidation>
        <x14:dataValidation type="list" allowBlank="1" showInputMessage="1" showErrorMessage="1" xr:uid="{00000000-0002-0000-0D00-000002000000}">
          <x14:formula1>
            <xm:f>IF(G12="",$A$1,OFFSET('Critical resources (hide)'!$A$6,'Critical resources (hide)'!J6-1,0,53-'Critical resources (hide)'!J6,1))</xm:f>
          </x14:formula1>
          <xm:sqref>H12:H111</xm:sqref>
        </x14:dataValidation>
        <x14:dataValidation type="list" allowBlank="1" showInputMessage="1" showErrorMessage="1" xr:uid="{00000000-0002-0000-0D00-000003000000}">
          <x14:formula1>
            <xm:f>IF(J12="",$A$1,OFFSET('Critical resources (hide)'!$A$6,'Critical resources (hide)'!L6-1,0,53-'Critical resources (hide)'!L6,1))</xm:f>
          </x14:formula1>
          <xm:sqref>K12:K111</xm:sqref>
        </x14:dataValidation>
        <x14:dataValidation type="list" allowBlank="1" showInputMessage="1" showErrorMessage="1" xr:uid="{00000000-0002-0000-0D00-000004000000}">
          <x14:formula1>
            <xm:f>IF(M12="",$A$1,OFFSET('Critical resources (hide)'!$A$6,'Critical resources (hide)'!N6-1,0,53-'Critical resources (hide)'!N6,1))</xm:f>
          </x14:formula1>
          <xm:sqref>N12:N111</xm:sqref>
        </x14:dataValidation>
        <x14:dataValidation type="list" allowBlank="1" showInputMessage="1" showErrorMessage="1" xr:uid="{00000000-0002-0000-0D00-000005000000}">
          <x14:formula1>
            <xm:f>IF(P12="",$A$1,OFFSET('Critical resources (hide)'!$A$6,'Critical resources (hide)'!P6-1,0,53-'Critical resources (hide)'!P6,1))</xm:f>
          </x14:formula1>
          <xm:sqref>Q12:Q111</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5"/>
  <dimension ref="A1:K217"/>
  <sheetViews>
    <sheetView showGridLines="0" showRowColHeaders="0" topLeftCell="A2" workbookViewId="0">
      <selection activeCell="C31" sqref="C31"/>
    </sheetView>
  </sheetViews>
  <sheetFormatPr defaultColWidth="9" defaultRowHeight="13.8" x14ac:dyDescent="0.25"/>
  <cols>
    <col min="1" max="1" width="2.8984375" style="72" customWidth="1"/>
    <col min="2" max="2" width="19.8984375" style="72" customWidth="1"/>
    <col min="3" max="5" width="30.59765625" style="72" customWidth="1"/>
    <col min="6" max="6" width="9.69921875" style="72" customWidth="1"/>
    <col min="7" max="7" width="15.19921875" style="72" customWidth="1"/>
    <col min="8" max="8" width="9" style="72"/>
    <col min="9" max="9" width="10" style="72" customWidth="1"/>
    <col min="10" max="16384" width="9" style="72"/>
  </cols>
  <sheetData>
    <row r="1" spans="1:11" x14ac:dyDescent="0.25">
      <c r="B1" s="402" t="s">
        <v>473</v>
      </c>
      <c r="C1" s="402"/>
      <c r="D1" s="402"/>
    </row>
    <row r="2" spans="1:11" ht="14.25" customHeight="1" x14ac:dyDescent="0.25"/>
    <row r="3" spans="1:11" x14ac:dyDescent="0.25">
      <c r="B3" s="56" t="s">
        <v>479</v>
      </c>
    </row>
    <row r="4" spans="1:11" x14ac:dyDescent="0.25">
      <c r="B4" s="141" t="s">
        <v>480</v>
      </c>
    </row>
    <row r="5" spans="1:11" hidden="1" x14ac:dyDescent="0.25"/>
    <row r="6" spans="1:11" ht="15" hidden="1" customHeight="1" x14ac:dyDescent="0.25">
      <c r="A6" s="77"/>
      <c r="B6" s="78"/>
      <c r="C6" s="78"/>
      <c r="D6" s="78"/>
      <c r="E6" s="78"/>
      <c r="F6" s="78"/>
      <c r="G6" s="78"/>
      <c r="H6" s="78"/>
      <c r="I6" s="78"/>
      <c r="J6" s="78"/>
      <c r="K6" s="78"/>
    </row>
    <row r="7" spans="1:11" ht="14.25" hidden="1" customHeight="1" x14ac:dyDescent="0.25">
      <c r="A7" s="77"/>
      <c r="B7" s="78"/>
      <c r="C7" s="78"/>
      <c r="D7" s="78"/>
      <c r="E7" s="78"/>
      <c r="F7" s="78"/>
      <c r="G7" s="78"/>
      <c r="H7" s="78"/>
      <c r="I7" s="78"/>
      <c r="J7" s="78"/>
      <c r="K7" s="78"/>
    </row>
    <row r="8" spans="1:11" x14ac:dyDescent="0.25">
      <c r="B8" s="78"/>
      <c r="C8" s="78"/>
      <c r="D8" s="78"/>
      <c r="E8" s="78"/>
      <c r="F8" s="78"/>
      <c r="G8" s="78"/>
      <c r="H8" s="78"/>
      <c r="I8" s="78"/>
      <c r="J8" s="78"/>
      <c r="K8" s="78"/>
    </row>
    <row r="9" spans="1:11" x14ac:dyDescent="0.25">
      <c r="B9" s="56" t="s">
        <v>434</v>
      </c>
    </row>
    <row r="11" spans="1:11" ht="41.4" x14ac:dyDescent="0.25">
      <c r="B11" s="121" t="s">
        <v>252</v>
      </c>
      <c r="C11" s="121" t="s">
        <v>452</v>
      </c>
      <c r="D11" s="121" t="s">
        <v>453</v>
      </c>
      <c r="E11" s="121" t="s">
        <v>454</v>
      </c>
      <c r="F11" s="122" t="s">
        <v>295</v>
      </c>
      <c r="G11" s="122" t="s">
        <v>465</v>
      </c>
      <c r="H11" s="122" t="s">
        <v>460</v>
      </c>
      <c r="I11" s="122" t="s">
        <v>878</v>
      </c>
      <c r="J11" s="122" t="s">
        <v>294</v>
      </c>
    </row>
    <row r="12" spans="1:11" x14ac:dyDescent="0.25">
      <c r="B12" s="219" t="str">
        <f>IF(Capacity!B17=0,"",Capacity!B17)</f>
        <v>Clinic 1</v>
      </c>
      <c r="C12" s="133"/>
      <c r="D12" s="133"/>
      <c r="E12" s="133"/>
      <c r="F12" s="216">
        <f>IF(ROW(A1)&lt;=Capacity!$A$16,Capacity!E17,"")</f>
        <v>42</v>
      </c>
      <c r="G12" s="217">
        <f>IF(ROW(A1)&lt;=Capacity!$A$16,'Capacity calculation (hide)'!BH5,"")</f>
        <v>52</v>
      </c>
      <c r="H12" s="216">
        <f>IF(ROW(A1)&lt;=Capacity!$A$16,Capacity!H17,"")</f>
        <v>4200</v>
      </c>
      <c r="I12" s="218">
        <f ca="1">IF(ROW(A1)&lt;=Capacity!$A$16,'Capacity calculation (hide)'!DK5,"")</f>
        <v>3870.7692307692337</v>
      </c>
      <c r="J12" s="219" t="str">
        <f>IFERROR(IF(G12-F12 &lt;0, "Under","Over"),"")</f>
        <v>Over</v>
      </c>
    </row>
    <row r="13" spans="1:11" x14ac:dyDescent="0.25">
      <c r="B13" s="219" t="str">
        <f>IF(Capacity!B18=0,"",Capacity!B18)</f>
        <v/>
      </c>
      <c r="C13" s="133"/>
      <c r="D13" s="133"/>
      <c r="E13" s="133"/>
      <c r="F13" s="216" t="str">
        <f>IF(ROW(A2)&lt;=Capacity!$A$16,Capacity!E18,"")</f>
        <v/>
      </c>
      <c r="G13" s="217" t="str">
        <f>IF(ROW(A2)&lt;=Capacity!$A$16,'Capacity calculation (hide)'!BH6,"")</f>
        <v/>
      </c>
      <c r="H13" s="216" t="str">
        <f>IF(ROW(A2)&lt;=Capacity!$A$16,Capacity!H18,"")</f>
        <v/>
      </c>
      <c r="I13" s="218" t="str">
        <f>IF(ROW(A2)&lt;=Capacity!$A$16,'Capacity calculation (hide)'!DK6,"")</f>
        <v/>
      </c>
      <c r="J13" s="219" t="str">
        <f t="shared" ref="J13:J76" si="0">IFERROR(IF(G13-F13 &lt;0, "Under","Over"),"")</f>
        <v/>
      </c>
    </row>
    <row r="14" spans="1:11" x14ac:dyDescent="0.25">
      <c r="B14" s="219" t="str">
        <f>IF(Capacity!B19=0,"",Capacity!B19)</f>
        <v/>
      </c>
      <c r="C14" s="133"/>
      <c r="D14" s="133"/>
      <c r="E14" s="133"/>
      <c r="F14" s="216" t="str">
        <f>IF(ROW(A3)&lt;=Capacity!$A$16,Capacity!E19,"")</f>
        <v/>
      </c>
      <c r="G14" s="217" t="str">
        <f>IF(ROW(A3)&lt;=Capacity!$A$16,'Capacity calculation (hide)'!BH7,"")</f>
        <v/>
      </c>
      <c r="H14" s="216" t="str">
        <f>IF(ROW(A3)&lt;=Capacity!$A$16,Capacity!H19,"")</f>
        <v/>
      </c>
      <c r="I14" s="218" t="str">
        <f>IF(ROW(A3)&lt;=Capacity!$A$16,'Capacity calculation (hide)'!DK7,"")</f>
        <v/>
      </c>
      <c r="J14" s="219" t="str">
        <f t="shared" si="0"/>
        <v/>
      </c>
    </row>
    <row r="15" spans="1:11" x14ac:dyDescent="0.25">
      <c r="B15" s="219" t="str">
        <f>IF(Capacity!B20=0,"",Capacity!B20)</f>
        <v/>
      </c>
      <c r="C15" s="133"/>
      <c r="D15" s="133"/>
      <c r="E15" s="133"/>
      <c r="F15" s="216" t="str">
        <f>IF(ROW(A4)&lt;=Capacity!$A$16,Capacity!E20,"")</f>
        <v/>
      </c>
      <c r="G15" s="217" t="str">
        <f>IF(ROW(A4)&lt;=Capacity!$A$16,'Capacity calculation (hide)'!BH8,"")</f>
        <v/>
      </c>
      <c r="H15" s="216" t="str">
        <f>IF(ROW(A4)&lt;=Capacity!$A$16,Capacity!H20,"")</f>
        <v/>
      </c>
      <c r="I15" s="218" t="str">
        <f>IF(ROW(A4)&lt;=Capacity!$A$16,'Capacity calculation (hide)'!DK8,"")</f>
        <v/>
      </c>
      <c r="J15" s="219" t="str">
        <f t="shared" si="0"/>
        <v/>
      </c>
    </row>
    <row r="16" spans="1:11" x14ac:dyDescent="0.25">
      <c r="B16" s="219" t="str">
        <f>IF(Capacity!B21=0,"",Capacity!B21)</f>
        <v/>
      </c>
      <c r="C16" s="133"/>
      <c r="D16" s="133"/>
      <c r="E16" s="133"/>
      <c r="F16" s="216" t="str">
        <f>IF(ROW(A5)&lt;=Capacity!$A$16,Capacity!E21,"")</f>
        <v/>
      </c>
      <c r="G16" s="217" t="str">
        <f>IF(ROW(A5)&lt;=Capacity!$A$16,'Capacity calculation (hide)'!BH9,"")</f>
        <v/>
      </c>
      <c r="H16" s="216" t="str">
        <f>IF(ROW(A5)&lt;=Capacity!$A$16,Capacity!H21,"")</f>
        <v/>
      </c>
      <c r="I16" s="218" t="str">
        <f>IF(ROW(A5)&lt;=Capacity!$A$16,'Capacity calculation (hide)'!DK9,"")</f>
        <v/>
      </c>
      <c r="J16" s="219" t="str">
        <f t="shared" si="0"/>
        <v/>
      </c>
    </row>
    <row r="17" spans="2:10" x14ac:dyDescent="0.25">
      <c r="B17" s="219" t="str">
        <f>IF(Capacity!B22=0,"",Capacity!B22)</f>
        <v/>
      </c>
      <c r="C17" s="133"/>
      <c r="D17" s="133"/>
      <c r="E17" s="133"/>
      <c r="F17" s="216" t="str">
        <f>IF(ROW(A6)&lt;=Capacity!$A$16,Capacity!E22,"")</f>
        <v/>
      </c>
      <c r="G17" s="217" t="str">
        <f>IF(ROW(A6)&lt;=Capacity!$A$16,'Capacity calculation (hide)'!BH10,"")</f>
        <v/>
      </c>
      <c r="H17" s="216" t="str">
        <f>IF(ROW(A6)&lt;=Capacity!$A$16,Capacity!H22,"")</f>
        <v/>
      </c>
      <c r="I17" s="218" t="str">
        <f>IF(ROW(A6)&lt;=Capacity!$A$16,'Capacity calculation (hide)'!DK10,"")</f>
        <v/>
      </c>
      <c r="J17" s="219" t="str">
        <f t="shared" si="0"/>
        <v/>
      </c>
    </row>
    <row r="18" spans="2:10" x14ac:dyDescent="0.25">
      <c r="B18" s="219" t="str">
        <f>IF(Capacity!B23=0,"",Capacity!B23)</f>
        <v/>
      </c>
      <c r="C18" s="133"/>
      <c r="D18" s="133"/>
      <c r="E18" s="133"/>
      <c r="F18" s="216" t="str">
        <f>IF(ROW(A7)&lt;=Capacity!$A$16,Capacity!E23,"")</f>
        <v/>
      </c>
      <c r="G18" s="217" t="str">
        <f>IF(ROW(A7)&lt;=Capacity!$A$16,'Capacity calculation (hide)'!BH11,"")</f>
        <v/>
      </c>
      <c r="H18" s="216" t="str">
        <f>IF(ROW(A7)&lt;=Capacity!$A$16,Capacity!H23,"")</f>
        <v/>
      </c>
      <c r="I18" s="218" t="str">
        <f>IF(ROW(A7)&lt;=Capacity!$A$16,'Capacity calculation (hide)'!DK11,"")</f>
        <v/>
      </c>
      <c r="J18" s="219" t="str">
        <f t="shared" si="0"/>
        <v/>
      </c>
    </row>
    <row r="19" spans="2:10" x14ac:dyDescent="0.25">
      <c r="B19" s="219" t="str">
        <f>IF(Capacity!B24=0,"",Capacity!B24)</f>
        <v/>
      </c>
      <c r="C19" s="133"/>
      <c r="D19" s="133"/>
      <c r="E19" s="133"/>
      <c r="F19" s="216" t="str">
        <f>IF(ROW(A8)&lt;=Capacity!$A$16,Capacity!E24,"")</f>
        <v/>
      </c>
      <c r="G19" s="217" t="str">
        <f>IF(ROW(A8)&lt;=Capacity!$A$16,'Capacity calculation (hide)'!BH12,"")</f>
        <v/>
      </c>
      <c r="H19" s="216" t="str">
        <f>IF(ROW(A8)&lt;=Capacity!$A$16,Capacity!H24,"")</f>
        <v/>
      </c>
      <c r="I19" s="218" t="str">
        <f>IF(ROW(A8)&lt;=Capacity!$A$16,'Capacity calculation (hide)'!DK12,"")</f>
        <v/>
      </c>
      <c r="J19" s="219" t="str">
        <f t="shared" si="0"/>
        <v/>
      </c>
    </row>
    <row r="20" spans="2:10" x14ac:dyDescent="0.25">
      <c r="B20" s="219" t="str">
        <f>IF(Capacity!B25=0,"",Capacity!B25)</f>
        <v/>
      </c>
      <c r="C20" s="133"/>
      <c r="D20" s="133"/>
      <c r="E20" s="133"/>
      <c r="F20" s="216" t="str">
        <f>IF(ROW(A9)&lt;=Capacity!$A$16,Capacity!E25,"")</f>
        <v/>
      </c>
      <c r="G20" s="217" t="str">
        <f>IF(ROW(A9)&lt;=Capacity!$A$16,'Capacity calculation (hide)'!BH13,"")</f>
        <v/>
      </c>
      <c r="H20" s="216" t="str">
        <f>IF(ROW(A9)&lt;=Capacity!$A$16,Capacity!H25,"")</f>
        <v/>
      </c>
      <c r="I20" s="218" t="str">
        <f>IF(ROW(A9)&lt;=Capacity!$A$16,'Capacity calculation (hide)'!DK13,"")</f>
        <v/>
      </c>
      <c r="J20" s="219" t="str">
        <f t="shared" si="0"/>
        <v/>
      </c>
    </row>
    <row r="21" spans="2:10" x14ac:dyDescent="0.25">
      <c r="B21" s="219" t="str">
        <f>IF(Capacity!B26=0,"",Capacity!B26)</f>
        <v/>
      </c>
      <c r="C21" s="133"/>
      <c r="D21" s="133"/>
      <c r="E21" s="133"/>
      <c r="F21" s="216" t="str">
        <f>IF(ROW(A10)&lt;=Capacity!$A$16,Capacity!E26,"")</f>
        <v/>
      </c>
      <c r="G21" s="217" t="str">
        <f>IF(ROW(A10)&lt;=Capacity!$A$16,'Capacity calculation (hide)'!BH14,"")</f>
        <v/>
      </c>
      <c r="H21" s="216" t="str">
        <f>IF(ROW(A10)&lt;=Capacity!$A$16,Capacity!H26,"")</f>
        <v/>
      </c>
      <c r="I21" s="218" t="str">
        <f>IF(ROW(A10)&lt;=Capacity!$A$16,'Capacity calculation (hide)'!DK14,"")</f>
        <v/>
      </c>
      <c r="J21" s="219" t="str">
        <f t="shared" si="0"/>
        <v/>
      </c>
    </row>
    <row r="22" spans="2:10" x14ac:dyDescent="0.25">
      <c r="B22" s="219" t="str">
        <f>IF(Capacity!B27=0,"",Capacity!B27)</f>
        <v/>
      </c>
      <c r="C22" s="133"/>
      <c r="D22" s="133"/>
      <c r="E22" s="133"/>
      <c r="F22" s="216" t="str">
        <f>IF(ROW(A11)&lt;=Capacity!$A$16,Capacity!E27,"")</f>
        <v/>
      </c>
      <c r="G22" s="217" t="str">
        <f>IF(ROW(A11)&lt;=Capacity!$A$16,'Capacity calculation (hide)'!BH15,"")</f>
        <v/>
      </c>
      <c r="H22" s="216" t="str">
        <f>IF(ROW(A11)&lt;=Capacity!$A$16,Capacity!H27,"")</f>
        <v/>
      </c>
      <c r="I22" s="218" t="str">
        <f>IF(ROW(A11)&lt;=Capacity!$A$16,'Capacity calculation (hide)'!DK15,"")</f>
        <v/>
      </c>
      <c r="J22" s="219" t="str">
        <f t="shared" si="0"/>
        <v/>
      </c>
    </row>
    <row r="23" spans="2:10" x14ac:dyDescent="0.25">
      <c r="B23" s="219" t="str">
        <f>IF(Capacity!B28=0,"",Capacity!B28)</f>
        <v/>
      </c>
      <c r="C23" s="133"/>
      <c r="D23" s="133"/>
      <c r="E23" s="133"/>
      <c r="F23" s="216" t="str">
        <f>IF(ROW(A12)&lt;=Capacity!$A$16,Capacity!E28,"")</f>
        <v/>
      </c>
      <c r="G23" s="217" t="str">
        <f>IF(ROW(A12)&lt;=Capacity!$A$16,'Capacity calculation (hide)'!BH16,"")</f>
        <v/>
      </c>
      <c r="H23" s="216" t="str">
        <f>IF(ROW(A12)&lt;=Capacity!$A$16,Capacity!H28,"")</f>
        <v/>
      </c>
      <c r="I23" s="218" t="str">
        <f>IF(ROW(A12)&lt;=Capacity!$A$16,'Capacity calculation (hide)'!DK16,"")</f>
        <v/>
      </c>
      <c r="J23" s="219" t="str">
        <f t="shared" si="0"/>
        <v/>
      </c>
    </row>
    <row r="24" spans="2:10" x14ac:dyDescent="0.25">
      <c r="B24" s="219" t="str">
        <f>IF(Capacity!B29=0,"",Capacity!B29)</f>
        <v/>
      </c>
      <c r="C24" s="133"/>
      <c r="D24" s="133"/>
      <c r="E24" s="133"/>
      <c r="F24" s="216" t="str">
        <f>IF(ROW(A13)&lt;=Capacity!$A$16,Capacity!E29,"")</f>
        <v/>
      </c>
      <c r="G24" s="217" t="str">
        <f>IF(ROW(A13)&lt;=Capacity!$A$16,'Capacity calculation (hide)'!BH17,"")</f>
        <v/>
      </c>
      <c r="H24" s="216" t="str">
        <f>IF(ROW(A13)&lt;=Capacity!$A$16,Capacity!H29,"")</f>
        <v/>
      </c>
      <c r="I24" s="218" t="str">
        <f>IF(ROW(A13)&lt;=Capacity!$A$16,'Capacity calculation (hide)'!DK17,"")</f>
        <v/>
      </c>
      <c r="J24" s="219" t="str">
        <f t="shared" si="0"/>
        <v/>
      </c>
    </row>
    <row r="25" spans="2:10" x14ac:dyDescent="0.25">
      <c r="B25" s="219" t="str">
        <f>IF(Capacity!B30=0,"",Capacity!B30)</f>
        <v/>
      </c>
      <c r="C25" s="133"/>
      <c r="D25" s="133"/>
      <c r="E25" s="133"/>
      <c r="F25" s="216" t="str">
        <f>IF(ROW(A14)&lt;=Capacity!$A$16,Capacity!E30,"")</f>
        <v/>
      </c>
      <c r="G25" s="217" t="str">
        <f>IF(ROW(A14)&lt;=Capacity!$A$16,'Capacity calculation (hide)'!BH18,"")</f>
        <v/>
      </c>
      <c r="H25" s="216" t="str">
        <f>IF(ROW(A14)&lt;=Capacity!$A$16,Capacity!H30,"")</f>
        <v/>
      </c>
      <c r="I25" s="218" t="str">
        <f>IF(ROW(A14)&lt;=Capacity!$A$16,'Capacity calculation (hide)'!DK18,"")</f>
        <v/>
      </c>
      <c r="J25" s="219" t="str">
        <f t="shared" si="0"/>
        <v/>
      </c>
    </row>
    <row r="26" spans="2:10" x14ac:dyDescent="0.25">
      <c r="B26" s="219" t="str">
        <f>IF(Capacity!B31=0,"",Capacity!B31)</f>
        <v/>
      </c>
      <c r="C26" s="133"/>
      <c r="D26" s="133"/>
      <c r="E26" s="133"/>
      <c r="F26" s="216" t="str">
        <f>IF(ROW(A15)&lt;=Capacity!$A$16,Capacity!E31,"")</f>
        <v/>
      </c>
      <c r="G26" s="217" t="str">
        <f>IF(ROW(A15)&lt;=Capacity!$A$16,'Capacity calculation (hide)'!BH19,"")</f>
        <v/>
      </c>
      <c r="H26" s="216" t="str">
        <f>IF(ROW(A15)&lt;=Capacity!$A$16,Capacity!H31,"")</f>
        <v/>
      </c>
      <c r="I26" s="218" t="str">
        <f>IF(ROW(A15)&lt;=Capacity!$A$16,'Capacity calculation (hide)'!DK19,"")</f>
        <v/>
      </c>
      <c r="J26" s="219" t="str">
        <f t="shared" si="0"/>
        <v/>
      </c>
    </row>
    <row r="27" spans="2:10" x14ac:dyDescent="0.25">
      <c r="B27" s="219" t="str">
        <f>IF(Capacity!B32=0,"",Capacity!B32)</f>
        <v/>
      </c>
      <c r="C27" s="133"/>
      <c r="D27" s="133"/>
      <c r="E27" s="133"/>
      <c r="F27" s="216" t="str">
        <f>IF(ROW(A16)&lt;=Capacity!$A$16,Capacity!E32,"")</f>
        <v/>
      </c>
      <c r="G27" s="217" t="str">
        <f>IF(ROW(A16)&lt;=Capacity!$A$16,'Capacity calculation (hide)'!BH20,"")</f>
        <v/>
      </c>
      <c r="H27" s="216" t="str">
        <f>IF(ROW(A16)&lt;=Capacity!$A$16,Capacity!H32,"")</f>
        <v/>
      </c>
      <c r="I27" s="218" t="str">
        <f>IF(ROW(A16)&lt;=Capacity!$A$16,'Capacity calculation (hide)'!DK20,"")</f>
        <v/>
      </c>
      <c r="J27" s="219" t="str">
        <f t="shared" si="0"/>
        <v/>
      </c>
    </row>
    <row r="28" spans="2:10" x14ac:dyDescent="0.25">
      <c r="B28" s="219" t="str">
        <f>IF(Capacity!B33=0,"",Capacity!B33)</f>
        <v/>
      </c>
      <c r="C28" s="133"/>
      <c r="D28" s="133"/>
      <c r="E28" s="133"/>
      <c r="F28" s="216" t="str">
        <f>IF(ROW(A17)&lt;=Capacity!$A$16,Capacity!E33,"")</f>
        <v/>
      </c>
      <c r="G28" s="217" t="str">
        <f>IF(ROW(A17)&lt;=Capacity!$A$16,'Capacity calculation (hide)'!BH21,"")</f>
        <v/>
      </c>
      <c r="H28" s="216" t="str">
        <f>IF(ROW(A17)&lt;=Capacity!$A$16,Capacity!H33,"")</f>
        <v/>
      </c>
      <c r="I28" s="218" t="str">
        <f>IF(ROW(A17)&lt;=Capacity!$A$16,'Capacity calculation (hide)'!DK21,"")</f>
        <v/>
      </c>
      <c r="J28" s="219" t="str">
        <f t="shared" si="0"/>
        <v/>
      </c>
    </row>
    <row r="29" spans="2:10" x14ac:dyDescent="0.25">
      <c r="B29" s="219" t="str">
        <f>IF(Capacity!B34=0,"",Capacity!B34)</f>
        <v/>
      </c>
      <c r="C29" s="133"/>
      <c r="D29" s="133"/>
      <c r="E29" s="133"/>
      <c r="F29" s="216" t="str">
        <f>IF(ROW(A18)&lt;=Capacity!$A$16,Capacity!E34,"")</f>
        <v/>
      </c>
      <c r="G29" s="217" t="str">
        <f>IF(ROW(A18)&lt;=Capacity!$A$16,'Capacity calculation (hide)'!BH22,"")</f>
        <v/>
      </c>
      <c r="H29" s="216" t="str">
        <f>IF(ROW(A18)&lt;=Capacity!$A$16,Capacity!H34,"")</f>
        <v/>
      </c>
      <c r="I29" s="218" t="str">
        <f>IF(ROW(A18)&lt;=Capacity!$A$16,'Capacity calculation (hide)'!DK22,"")</f>
        <v/>
      </c>
      <c r="J29" s="219" t="str">
        <f t="shared" si="0"/>
        <v/>
      </c>
    </row>
    <row r="30" spans="2:10" x14ac:dyDescent="0.25">
      <c r="B30" s="219" t="str">
        <f>IF(Capacity!B35=0,"",Capacity!B35)</f>
        <v/>
      </c>
      <c r="C30" s="133"/>
      <c r="D30" s="133"/>
      <c r="E30" s="133"/>
      <c r="F30" s="216" t="str">
        <f>IF(ROW(A19)&lt;=Capacity!$A$16,Capacity!E35,"")</f>
        <v/>
      </c>
      <c r="G30" s="217" t="str">
        <f>IF(ROW(A19)&lt;=Capacity!$A$16,'Capacity calculation (hide)'!BH23,"")</f>
        <v/>
      </c>
      <c r="H30" s="216" t="str">
        <f>IF(ROW(A19)&lt;=Capacity!$A$16,Capacity!H35,"")</f>
        <v/>
      </c>
      <c r="I30" s="218" t="str">
        <f>IF(ROW(A19)&lt;=Capacity!$A$16,'Capacity calculation (hide)'!DK23,"")</f>
        <v/>
      </c>
      <c r="J30" s="219" t="str">
        <f t="shared" si="0"/>
        <v/>
      </c>
    </row>
    <row r="31" spans="2:10" x14ac:dyDescent="0.25">
      <c r="B31" s="219" t="str">
        <f>IF(Capacity!B36=0,"",Capacity!B36)</f>
        <v/>
      </c>
      <c r="C31" s="133"/>
      <c r="D31" s="133"/>
      <c r="E31" s="133"/>
      <c r="F31" s="216" t="str">
        <f>IF(ROW(A20)&lt;=Capacity!$A$16,Capacity!E36,"")</f>
        <v/>
      </c>
      <c r="G31" s="217" t="str">
        <f>IF(ROW(A20)&lt;=Capacity!$A$16,'Capacity calculation (hide)'!BH24,"")</f>
        <v/>
      </c>
      <c r="H31" s="216" t="str">
        <f>IF(ROW(A20)&lt;=Capacity!$A$16,Capacity!H36,"")</f>
        <v/>
      </c>
      <c r="I31" s="218" t="str">
        <f>IF(ROW(A20)&lt;=Capacity!$A$16,'Capacity calculation (hide)'!DK24,"")</f>
        <v/>
      </c>
      <c r="J31" s="219" t="str">
        <f t="shared" si="0"/>
        <v/>
      </c>
    </row>
    <row r="32" spans="2:10" x14ac:dyDescent="0.25">
      <c r="B32" s="219" t="str">
        <f>IF(Capacity!B37=0,"",Capacity!B37)</f>
        <v/>
      </c>
      <c r="C32" s="133"/>
      <c r="D32" s="133"/>
      <c r="E32" s="133"/>
      <c r="F32" s="216" t="str">
        <f>IF(ROW(A21)&lt;=Capacity!$A$16,Capacity!E37,"")</f>
        <v/>
      </c>
      <c r="G32" s="217" t="str">
        <f>IF(ROW(A21)&lt;=Capacity!$A$16,'Capacity calculation (hide)'!BH25,"")</f>
        <v/>
      </c>
      <c r="H32" s="216" t="str">
        <f>IF(ROW(A21)&lt;=Capacity!$A$16,Capacity!H37,"")</f>
        <v/>
      </c>
      <c r="I32" s="218" t="str">
        <f>IF(ROW(A21)&lt;=Capacity!$A$16,'Capacity calculation (hide)'!DK25,"")</f>
        <v/>
      </c>
      <c r="J32" s="219" t="str">
        <f t="shared" si="0"/>
        <v/>
      </c>
    </row>
    <row r="33" spans="2:10" x14ac:dyDescent="0.25">
      <c r="B33" s="219" t="str">
        <f>IF(Capacity!B38=0,"",Capacity!B38)</f>
        <v/>
      </c>
      <c r="C33" s="133"/>
      <c r="D33" s="133"/>
      <c r="E33" s="133"/>
      <c r="F33" s="216" t="str">
        <f>IF(ROW(A22)&lt;=Capacity!$A$16,Capacity!E38,"")</f>
        <v/>
      </c>
      <c r="G33" s="217" t="str">
        <f>IF(ROW(A22)&lt;=Capacity!$A$16,'Capacity calculation (hide)'!BH26,"")</f>
        <v/>
      </c>
      <c r="H33" s="216" t="str">
        <f>IF(ROW(A22)&lt;=Capacity!$A$16,Capacity!H38,"")</f>
        <v/>
      </c>
      <c r="I33" s="218" t="str">
        <f>IF(ROW(A22)&lt;=Capacity!$A$16,'Capacity calculation (hide)'!DK26,"")</f>
        <v/>
      </c>
      <c r="J33" s="219" t="str">
        <f t="shared" si="0"/>
        <v/>
      </c>
    </row>
    <row r="34" spans="2:10" x14ac:dyDescent="0.25">
      <c r="B34" s="219" t="str">
        <f>IF(Capacity!B39=0,"",Capacity!B39)</f>
        <v/>
      </c>
      <c r="C34" s="133"/>
      <c r="D34" s="133"/>
      <c r="E34" s="133"/>
      <c r="F34" s="216" t="str">
        <f>IF(ROW(A23)&lt;=Capacity!$A$16,Capacity!E39,"")</f>
        <v/>
      </c>
      <c r="G34" s="217" t="str">
        <f>IF(ROW(A23)&lt;=Capacity!$A$16,'Capacity calculation (hide)'!BH27,"")</f>
        <v/>
      </c>
      <c r="H34" s="216" t="str">
        <f>IF(ROW(A23)&lt;=Capacity!$A$16,Capacity!H39,"")</f>
        <v/>
      </c>
      <c r="I34" s="218" t="str">
        <f>IF(ROW(A23)&lt;=Capacity!$A$16,'Capacity calculation (hide)'!DK27,"")</f>
        <v/>
      </c>
      <c r="J34" s="219" t="str">
        <f t="shared" si="0"/>
        <v/>
      </c>
    </row>
    <row r="35" spans="2:10" x14ac:dyDescent="0.25">
      <c r="B35" s="219" t="str">
        <f>IF(Capacity!B40=0,"",Capacity!B40)</f>
        <v/>
      </c>
      <c r="C35" s="133"/>
      <c r="D35" s="133"/>
      <c r="E35" s="133"/>
      <c r="F35" s="216" t="str">
        <f>IF(ROW(A24)&lt;=Capacity!$A$16,Capacity!E40,"")</f>
        <v/>
      </c>
      <c r="G35" s="217" t="str">
        <f>IF(ROW(A24)&lt;=Capacity!$A$16,'Capacity calculation (hide)'!BH28,"")</f>
        <v/>
      </c>
      <c r="H35" s="216" t="str">
        <f>IF(ROW(A24)&lt;=Capacity!$A$16,Capacity!H40,"")</f>
        <v/>
      </c>
      <c r="I35" s="218" t="str">
        <f>IF(ROW(A24)&lt;=Capacity!$A$16,'Capacity calculation (hide)'!DK28,"")</f>
        <v/>
      </c>
      <c r="J35" s="219" t="str">
        <f t="shared" si="0"/>
        <v/>
      </c>
    </row>
    <row r="36" spans="2:10" x14ac:dyDescent="0.25">
      <c r="B36" s="219" t="str">
        <f>IF(Capacity!B41=0,"",Capacity!B41)</f>
        <v/>
      </c>
      <c r="C36" s="133"/>
      <c r="D36" s="133"/>
      <c r="E36" s="133"/>
      <c r="F36" s="216" t="str">
        <f>IF(ROW(A25)&lt;=Capacity!$A$16,Capacity!E41,"")</f>
        <v/>
      </c>
      <c r="G36" s="217" t="str">
        <f>IF(ROW(A25)&lt;=Capacity!$A$16,'Capacity calculation (hide)'!BH29,"")</f>
        <v/>
      </c>
      <c r="H36" s="216" t="str">
        <f>IF(ROW(A25)&lt;=Capacity!$A$16,Capacity!H41,"")</f>
        <v/>
      </c>
      <c r="I36" s="218" t="str">
        <f>IF(ROW(A25)&lt;=Capacity!$A$16,'Capacity calculation (hide)'!DK29,"")</f>
        <v/>
      </c>
      <c r="J36" s="219" t="str">
        <f t="shared" si="0"/>
        <v/>
      </c>
    </row>
    <row r="37" spans="2:10" x14ac:dyDescent="0.25">
      <c r="B37" s="219" t="str">
        <f>IF(Capacity!B42=0,"",Capacity!B42)</f>
        <v/>
      </c>
      <c r="C37" s="133"/>
      <c r="D37" s="133"/>
      <c r="E37" s="133"/>
      <c r="F37" s="216" t="str">
        <f>IF(ROW(A26)&lt;=Capacity!$A$16,Capacity!E42,"")</f>
        <v/>
      </c>
      <c r="G37" s="217" t="str">
        <f>IF(ROW(A26)&lt;=Capacity!$A$16,'Capacity calculation (hide)'!BH30,"")</f>
        <v/>
      </c>
      <c r="H37" s="216" t="str">
        <f>IF(ROW(A26)&lt;=Capacity!$A$16,Capacity!H42,"")</f>
        <v/>
      </c>
      <c r="I37" s="218" t="str">
        <f>IF(ROW(A26)&lt;=Capacity!$A$16,'Capacity calculation (hide)'!DK30,"")</f>
        <v/>
      </c>
      <c r="J37" s="219" t="str">
        <f t="shared" si="0"/>
        <v/>
      </c>
    </row>
    <row r="38" spans="2:10" x14ac:dyDescent="0.25">
      <c r="B38" s="219" t="str">
        <f>IF(Capacity!B43=0,"",Capacity!B43)</f>
        <v/>
      </c>
      <c r="C38" s="133"/>
      <c r="D38" s="133"/>
      <c r="E38" s="133"/>
      <c r="F38" s="216" t="str">
        <f>IF(ROW(A27)&lt;=Capacity!$A$16,Capacity!E43,"")</f>
        <v/>
      </c>
      <c r="G38" s="217" t="str">
        <f>IF(ROW(A27)&lt;=Capacity!$A$16,'Capacity calculation (hide)'!BH31,"")</f>
        <v/>
      </c>
      <c r="H38" s="216" t="str">
        <f>IF(ROW(A27)&lt;=Capacity!$A$16,Capacity!H43,"")</f>
        <v/>
      </c>
      <c r="I38" s="218" t="str">
        <f>IF(ROW(A27)&lt;=Capacity!$A$16,'Capacity calculation (hide)'!DK31,"")</f>
        <v/>
      </c>
      <c r="J38" s="219" t="str">
        <f t="shared" si="0"/>
        <v/>
      </c>
    </row>
    <row r="39" spans="2:10" x14ac:dyDescent="0.25">
      <c r="B39" s="219" t="str">
        <f>IF(Capacity!B44=0,"",Capacity!B44)</f>
        <v/>
      </c>
      <c r="C39" s="133"/>
      <c r="D39" s="133"/>
      <c r="E39" s="133"/>
      <c r="F39" s="216" t="str">
        <f>IF(ROW(A28)&lt;=Capacity!$A$16,Capacity!E44,"")</f>
        <v/>
      </c>
      <c r="G39" s="217" t="str">
        <f>IF(ROW(A28)&lt;=Capacity!$A$16,'Capacity calculation (hide)'!BH32,"")</f>
        <v/>
      </c>
      <c r="H39" s="216" t="str">
        <f>IF(ROW(A28)&lt;=Capacity!$A$16,Capacity!H44,"")</f>
        <v/>
      </c>
      <c r="I39" s="218" t="str">
        <f>IF(ROW(A28)&lt;=Capacity!$A$16,'Capacity calculation (hide)'!DK32,"")</f>
        <v/>
      </c>
      <c r="J39" s="219" t="str">
        <f t="shared" si="0"/>
        <v/>
      </c>
    </row>
    <row r="40" spans="2:10" x14ac:dyDescent="0.25">
      <c r="B40" s="219" t="str">
        <f>IF(Capacity!B45=0,"",Capacity!B45)</f>
        <v/>
      </c>
      <c r="C40" s="133"/>
      <c r="D40" s="133"/>
      <c r="E40" s="133"/>
      <c r="F40" s="216" t="str">
        <f>IF(ROW(A29)&lt;=Capacity!$A$16,Capacity!E45,"")</f>
        <v/>
      </c>
      <c r="G40" s="217" t="str">
        <f>IF(ROW(A29)&lt;=Capacity!$A$16,'Capacity calculation (hide)'!BH33,"")</f>
        <v/>
      </c>
      <c r="H40" s="216" t="str">
        <f>IF(ROW(A29)&lt;=Capacity!$A$16,Capacity!H45,"")</f>
        <v/>
      </c>
      <c r="I40" s="218" t="str">
        <f>IF(ROW(A29)&lt;=Capacity!$A$16,'Capacity calculation (hide)'!DK33,"")</f>
        <v/>
      </c>
      <c r="J40" s="219" t="str">
        <f t="shared" si="0"/>
        <v/>
      </c>
    </row>
    <row r="41" spans="2:10" x14ac:dyDescent="0.25">
      <c r="B41" s="219" t="str">
        <f>IF(Capacity!B46=0,"",Capacity!B46)</f>
        <v/>
      </c>
      <c r="C41" s="133"/>
      <c r="D41" s="133"/>
      <c r="E41" s="133"/>
      <c r="F41" s="216" t="str">
        <f>IF(ROW(A30)&lt;=Capacity!$A$16,Capacity!E46,"")</f>
        <v/>
      </c>
      <c r="G41" s="217" t="str">
        <f>IF(ROW(A30)&lt;=Capacity!$A$16,'Capacity calculation (hide)'!BH34,"")</f>
        <v/>
      </c>
      <c r="H41" s="216" t="str">
        <f>IF(ROW(A30)&lt;=Capacity!$A$16,Capacity!H46,"")</f>
        <v/>
      </c>
      <c r="I41" s="218" t="str">
        <f>IF(ROW(A30)&lt;=Capacity!$A$16,'Capacity calculation (hide)'!DK34,"")</f>
        <v/>
      </c>
      <c r="J41" s="219" t="str">
        <f t="shared" si="0"/>
        <v/>
      </c>
    </row>
    <row r="42" spans="2:10" x14ac:dyDescent="0.25">
      <c r="B42" s="219" t="str">
        <f>IF(Capacity!B47=0,"",Capacity!B47)</f>
        <v/>
      </c>
      <c r="C42" s="133"/>
      <c r="D42" s="133"/>
      <c r="E42" s="133"/>
      <c r="F42" s="216" t="str">
        <f>IF(ROW(A31)&lt;=Capacity!$A$16,Capacity!E47,"")</f>
        <v/>
      </c>
      <c r="G42" s="217" t="str">
        <f>IF(ROW(A31)&lt;=Capacity!$A$16,'Capacity calculation (hide)'!BH35,"")</f>
        <v/>
      </c>
      <c r="H42" s="216" t="str">
        <f>IF(ROW(A31)&lt;=Capacity!$A$16,Capacity!H47,"")</f>
        <v/>
      </c>
      <c r="I42" s="218" t="str">
        <f>IF(ROW(A31)&lt;=Capacity!$A$16,'Capacity calculation (hide)'!DK35,"")</f>
        <v/>
      </c>
      <c r="J42" s="219" t="str">
        <f t="shared" si="0"/>
        <v/>
      </c>
    </row>
    <row r="43" spans="2:10" x14ac:dyDescent="0.25">
      <c r="B43" s="219" t="str">
        <f>IF(Capacity!B48=0,"",Capacity!B48)</f>
        <v/>
      </c>
      <c r="C43" s="133"/>
      <c r="D43" s="133"/>
      <c r="E43" s="133"/>
      <c r="F43" s="216" t="str">
        <f>IF(ROW(A32)&lt;=Capacity!$A$16,Capacity!E48,"")</f>
        <v/>
      </c>
      <c r="G43" s="217" t="str">
        <f>IF(ROW(A32)&lt;=Capacity!$A$16,'Capacity calculation (hide)'!BH36,"")</f>
        <v/>
      </c>
      <c r="H43" s="216" t="str">
        <f>IF(ROW(A32)&lt;=Capacity!$A$16,Capacity!H48,"")</f>
        <v/>
      </c>
      <c r="I43" s="218" t="str">
        <f>IF(ROW(A32)&lt;=Capacity!$A$16,'Capacity calculation (hide)'!DK36,"")</f>
        <v/>
      </c>
      <c r="J43" s="219" t="str">
        <f t="shared" si="0"/>
        <v/>
      </c>
    </row>
    <row r="44" spans="2:10" x14ac:dyDescent="0.25">
      <c r="B44" s="219" t="str">
        <f>IF(Capacity!B49=0,"",Capacity!B49)</f>
        <v/>
      </c>
      <c r="C44" s="133"/>
      <c r="D44" s="133"/>
      <c r="E44" s="133"/>
      <c r="F44" s="216" t="str">
        <f>IF(ROW(A33)&lt;=Capacity!$A$16,Capacity!E49,"")</f>
        <v/>
      </c>
      <c r="G44" s="217" t="str">
        <f>IF(ROW(A33)&lt;=Capacity!$A$16,'Capacity calculation (hide)'!BH37,"")</f>
        <v/>
      </c>
      <c r="H44" s="216" t="str">
        <f>IF(ROW(A33)&lt;=Capacity!$A$16,Capacity!H49,"")</f>
        <v/>
      </c>
      <c r="I44" s="218" t="str">
        <f>IF(ROW(A33)&lt;=Capacity!$A$16,'Capacity calculation (hide)'!DK37,"")</f>
        <v/>
      </c>
      <c r="J44" s="219" t="str">
        <f t="shared" si="0"/>
        <v/>
      </c>
    </row>
    <row r="45" spans="2:10" x14ac:dyDescent="0.25">
      <c r="B45" s="219" t="str">
        <f>IF(Capacity!B50=0,"",Capacity!B50)</f>
        <v/>
      </c>
      <c r="C45" s="133"/>
      <c r="D45" s="133"/>
      <c r="E45" s="133"/>
      <c r="F45" s="216" t="str">
        <f>IF(ROW(A34)&lt;=Capacity!$A$16,Capacity!E50,"")</f>
        <v/>
      </c>
      <c r="G45" s="217" t="str">
        <f>IF(ROW(A34)&lt;=Capacity!$A$16,'Capacity calculation (hide)'!BH38,"")</f>
        <v/>
      </c>
      <c r="H45" s="216" t="str">
        <f>IF(ROW(A34)&lt;=Capacity!$A$16,Capacity!H50,"")</f>
        <v/>
      </c>
      <c r="I45" s="218" t="str">
        <f>IF(ROW(A34)&lt;=Capacity!$A$16,'Capacity calculation (hide)'!DK38,"")</f>
        <v/>
      </c>
      <c r="J45" s="219" t="str">
        <f t="shared" si="0"/>
        <v/>
      </c>
    </row>
    <row r="46" spans="2:10" x14ac:dyDescent="0.25">
      <c r="B46" s="219" t="str">
        <f>IF(Capacity!B51=0,"",Capacity!B51)</f>
        <v/>
      </c>
      <c r="C46" s="133"/>
      <c r="D46" s="133"/>
      <c r="E46" s="133"/>
      <c r="F46" s="216" t="str">
        <f>IF(ROW(A35)&lt;=Capacity!$A$16,Capacity!E51,"")</f>
        <v/>
      </c>
      <c r="G46" s="217" t="str">
        <f>IF(ROW(A35)&lt;=Capacity!$A$16,'Capacity calculation (hide)'!BH39,"")</f>
        <v/>
      </c>
      <c r="H46" s="216" t="str">
        <f>IF(ROW(A35)&lt;=Capacity!$A$16,Capacity!H51,"")</f>
        <v/>
      </c>
      <c r="I46" s="218" t="str">
        <f>IF(ROW(A35)&lt;=Capacity!$A$16,'Capacity calculation (hide)'!DK39,"")</f>
        <v/>
      </c>
      <c r="J46" s="219" t="str">
        <f t="shared" si="0"/>
        <v/>
      </c>
    </row>
    <row r="47" spans="2:10" x14ac:dyDescent="0.25">
      <c r="B47" s="219" t="str">
        <f>IF(Capacity!B52=0,"",Capacity!B52)</f>
        <v/>
      </c>
      <c r="C47" s="133"/>
      <c r="D47" s="133"/>
      <c r="E47" s="133"/>
      <c r="F47" s="216" t="str">
        <f>IF(ROW(A36)&lt;=Capacity!$A$16,Capacity!E52,"")</f>
        <v/>
      </c>
      <c r="G47" s="217" t="str">
        <f>IF(ROW(A36)&lt;=Capacity!$A$16,'Capacity calculation (hide)'!BH40,"")</f>
        <v/>
      </c>
      <c r="H47" s="216" t="str">
        <f>IF(ROW(A36)&lt;=Capacity!$A$16,Capacity!H52,"")</f>
        <v/>
      </c>
      <c r="I47" s="218" t="str">
        <f>IF(ROW(A36)&lt;=Capacity!$A$16,'Capacity calculation (hide)'!DK40,"")</f>
        <v/>
      </c>
      <c r="J47" s="219" t="str">
        <f t="shared" si="0"/>
        <v/>
      </c>
    </row>
    <row r="48" spans="2:10" x14ac:dyDescent="0.25">
      <c r="B48" s="219" t="str">
        <f>IF(Capacity!B53=0,"",Capacity!B53)</f>
        <v/>
      </c>
      <c r="C48" s="133"/>
      <c r="D48" s="133"/>
      <c r="E48" s="133"/>
      <c r="F48" s="216" t="str">
        <f>IF(ROW(A37)&lt;=Capacity!$A$16,Capacity!E53,"")</f>
        <v/>
      </c>
      <c r="G48" s="217" t="str">
        <f>IF(ROW(A37)&lt;=Capacity!$A$16,'Capacity calculation (hide)'!BH41,"")</f>
        <v/>
      </c>
      <c r="H48" s="216" t="str">
        <f>IF(ROW(A37)&lt;=Capacity!$A$16,Capacity!H53,"")</f>
        <v/>
      </c>
      <c r="I48" s="218" t="str">
        <f>IF(ROW(A37)&lt;=Capacity!$A$16,'Capacity calculation (hide)'!DK41,"")</f>
        <v/>
      </c>
      <c r="J48" s="219" t="str">
        <f t="shared" si="0"/>
        <v/>
      </c>
    </row>
    <row r="49" spans="2:10" x14ac:dyDescent="0.25">
      <c r="B49" s="219" t="str">
        <f>IF(Capacity!B54=0,"",Capacity!B54)</f>
        <v/>
      </c>
      <c r="C49" s="133"/>
      <c r="D49" s="133"/>
      <c r="E49" s="133"/>
      <c r="F49" s="216" t="str">
        <f>IF(ROW(A38)&lt;=Capacity!$A$16,Capacity!E54,"")</f>
        <v/>
      </c>
      <c r="G49" s="217" t="str">
        <f>IF(ROW(A38)&lt;=Capacity!$A$16,'Capacity calculation (hide)'!BH42,"")</f>
        <v/>
      </c>
      <c r="H49" s="216" t="str">
        <f>IF(ROW(A38)&lt;=Capacity!$A$16,Capacity!H54,"")</f>
        <v/>
      </c>
      <c r="I49" s="218" t="str">
        <f>IF(ROW(A38)&lt;=Capacity!$A$16,'Capacity calculation (hide)'!DK42,"")</f>
        <v/>
      </c>
      <c r="J49" s="219" t="str">
        <f t="shared" si="0"/>
        <v/>
      </c>
    </row>
    <row r="50" spans="2:10" x14ac:dyDescent="0.25">
      <c r="B50" s="219" t="str">
        <f>IF(Capacity!B55=0,"",Capacity!B55)</f>
        <v/>
      </c>
      <c r="C50" s="133"/>
      <c r="D50" s="133"/>
      <c r="E50" s="133"/>
      <c r="F50" s="216" t="str">
        <f>IF(ROW(A39)&lt;=Capacity!$A$16,Capacity!E55,"")</f>
        <v/>
      </c>
      <c r="G50" s="217" t="str">
        <f>IF(ROW(A39)&lt;=Capacity!$A$16,'Capacity calculation (hide)'!BH43,"")</f>
        <v/>
      </c>
      <c r="H50" s="216" t="str">
        <f>IF(ROW(A39)&lt;=Capacity!$A$16,Capacity!H55,"")</f>
        <v/>
      </c>
      <c r="I50" s="218" t="str">
        <f>IF(ROW(A39)&lt;=Capacity!$A$16,'Capacity calculation (hide)'!DK43,"")</f>
        <v/>
      </c>
      <c r="J50" s="219" t="str">
        <f t="shared" si="0"/>
        <v/>
      </c>
    </row>
    <row r="51" spans="2:10" x14ac:dyDescent="0.25">
      <c r="B51" s="219" t="str">
        <f>IF(Capacity!B56=0,"",Capacity!B56)</f>
        <v/>
      </c>
      <c r="C51" s="133"/>
      <c r="D51" s="133"/>
      <c r="E51" s="133"/>
      <c r="F51" s="216" t="str">
        <f>IF(ROW(A40)&lt;=Capacity!$A$16,Capacity!E56,"")</f>
        <v/>
      </c>
      <c r="G51" s="217" t="str">
        <f>IF(ROW(A40)&lt;=Capacity!$A$16,'Capacity calculation (hide)'!BH44,"")</f>
        <v/>
      </c>
      <c r="H51" s="216" t="str">
        <f>IF(ROW(A40)&lt;=Capacity!$A$16,Capacity!H56,"")</f>
        <v/>
      </c>
      <c r="I51" s="218" t="str">
        <f>IF(ROW(A40)&lt;=Capacity!$A$16,'Capacity calculation (hide)'!DK44,"")</f>
        <v/>
      </c>
      <c r="J51" s="219" t="str">
        <f t="shared" si="0"/>
        <v/>
      </c>
    </row>
    <row r="52" spans="2:10" x14ac:dyDescent="0.25">
      <c r="B52" s="219" t="str">
        <f>IF(Capacity!B57=0,"",Capacity!B57)</f>
        <v/>
      </c>
      <c r="C52" s="133"/>
      <c r="D52" s="133"/>
      <c r="E52" s="133"/>
      <c r="F52" s="216" t="str">
        <f>IF(ROW(A41)&lt;=Capacity!$A$16,Capacity!E57,"")</f>
        <v/>
      </c>
      <c r="G52" s="217" t="str">
        <f>IF(ROW(A41)&lt;=Capacity!$A$16,'Capacity calculation (hide)'!BH45,"")</f>
        <v/>
      </c>
      <c r="H52" s="216" t="str">
        <f>IF(ROW(A41)&lt;=Capacity!$A$16,Capacity!H57,"")</f>
        <v/>
      </c>
      <c r="I52" s="218" t="str">
        <f>IF(ROW(A41)&lt;=Capacity!$A$16,'Capacity calculation (hide)'!DK45,"")</f>
        <v/>
      </c>
      <c r="J52" s="219" t="str">
        <f t="shared" si="0"/>
        <v/>
      </c>
    </row>
    <row r="53" spans="2:10" x14ac:dyDescent="0.25">
      <c r="B53" s="219" t="str">
        <f>IF(Capacity!B58=0,"",Capacity!B58)</f>
        <v/>
      </c>
      <c r="C53" s="133"/>
      <c r="D53" s="133"/>
      <c r="E53" s="133"/>
      <c r="F53" s="216" t="str">
        <f>IF(ROW(A42)&lt;=Capacity!$A$16,Capacity!E58,"")</f>
        <v/>
      </c>
      <c r="G53" s="217" t="str">
        <f>IF(ROW(A42)&lt;=Capacity!$A$16,'Capacity calculation (hide)'!BH46,"")</f>
        <v/>
      </c>
      <c r="H53" s="216" t="str">
        <f>IF(ROW(A42)&lt;=Capacity!$A$16,Capacity!H58,"")</f>
        <v/>
      </c>
      <c r="I53" s="218" t="str">
        <f>IF(ROW(A42)&lt;=Capacity!$A$16,'Capacity calculation (hide)'!DK46,"")</f>
        <v/>
      </c>
      <c r="J53" s="219" t="str">
        <f t="shared" si="0"/>
        <v/>
      </c>
    </row>
    <row r="54" spans="2:10" x14ac:dyDescent="0.25">
      <c r="B54" s="219" t="str">
        <f>IF(Capacity!B59=0,"",Capacity!B59)</f>
        <v/>
      </c>
      <c r="C54" s="133"/>
      <c r="D54" s="133"/>
      <c r="E54" s="133"/>
      <c r="F54" s="216" t="str">
        <f>IF(ROW(A43)&lt;=Capacity!$A$16,Capacity!E59,"")</f>
        <v/>
      </c>
      <c r="G54" s="217" t="str">
        <f>IF(ROW(A43)&lt;=Capacity!$A$16,'Capacity calculation (hide)'!BH47,"")</f>
        <v/>
      </c>
      <c r="H54" s="216" t="str">
        <f>IF(ROW(A43)&lt;=Capacity!$A$16,Capacity!H59,"")</f>
        <v/>
      </c>
      <c r="I54" s="218" t="str">
        <f>IF(ROW(A43)&lt;=Capacity!$A$16,'Capacity calculation (hide)'!DK47,"")</f>
        <v/>
      </c>
      <c r="J54" s="219" t="str">
        <f t="shared" si="0"/>
        <v/>
      </c>
    </row>
    <row r="55" spans="2:10" x14ac:dyDescent="0.25">
      <c r="B55" s="219" t="str">
        <f>IF(Capacity!B60=0,"",Capacity!B60)</f>
        <v/>
      </c>
      <c r="C55" s="133"/>
      <c r="D55" s="133"/>
      <c r="E55" s="133"/>
      <c r="F55" s="216" t="str">
        <f>IF(ROW(A44)&lt;=Capacity!$A$16,Capacity!E60,"")</f>
        <v/>
      </c>
      <c r="G55" s="217" t="str">
        <f>IF(ROW(A44)&lt;=Capacity!$A$16,'Capacity calculation (hide)'!BH48,"")</f>
        <v/>
      </c>
      <c r="H55" s="216" t="str">
        <f>IF(ROW(A44)&lt;=Capacity!$A$16,Capacity!H60,"")</f>
        <v/>
      </c>
      <c r="I55" s="218" t="str">
        <f>IF(ROW(A44)&lt;=Capacity!$A$16,'Capacity calculation (hide)'!DK48,"")</f>
        <v/>
      </c>
      <c r="J55" s="219" t="str">
        <f t="shared" si="0"/>
        <v/>
      </c>
    </row>
    <row r="56" spans="2:10" x14ac:dyDescent="0.25">
      <c r="B56" s="219" t="str">
        <f>IF(Capacity!B61=0,"",Capacity!B61)</f>
        <v/>
      </c>
      <c r="C56" s="133"/>
      <c r="D56" s="133"/>
      <c r="E56" s="133"/>
      <c r="F56" s="216" t="str">
        <f>IF(ROW(A45)&lt;=Capacity!$A$16,Capacity!E61,"")</f>
        <v/>
      </c>
      <c r="G56" s="217" t="str">
        <f>IF(ROW(A45)&lt;=Capacity!$A$16,'Capacity calculation (hide)'!BH49,"")</f>
        <v/>
      </c>
      <c r="H56" s="216" t="str">
        <f>IF(ROW(A45)&lt;=Capacity!$A$16,Capacity!H61,"")</f>
        <v/>
      </c>
      <c r="I56" s="218" t="str">
        <f>IF(ROW(A45)&lt;=Capacity!$A$16,'Capacity calculation (hide)'!DK49,"")</f>
        <v/>
      </c>
      <c r="J56" s="219" t="str">
        <f t="shared" si="0"/>
        <v/>
      </c>
    </row>
    <row r="57" spans="2:10" x14ac:dyDescent="0.25">
      <c r="B57" s="219" t="str">
        <f>IF(Capacity!B62=0,"",Capacity!B62)</f>
        <v/>
      </c>
      <c r="C57" s="133"/>
      <c r="D57" s="133"/>
      <c r="E57" s="133"/>
      <c r="F57" s="216" t="str">
        <f>IF(ROW(A46)&lt;=Capacity!$A$16,Capacity!E62,"")</f>
        <v/>
      </c>
      <c r="G57" s="217" t="str">
        <f>IF(ROW(A46)&lt;=Capacity!$A$16,'Capacity calculation (hide)'!BH50,"")</f>
        <v/>
      </c>
      <c r="H57" s="216" t="str">
        <f>IF(ROW(A46)&lt;=Capacity!$A$16,Capacity!H62,"")</f>
        <v/>
      </c>
      <c r="I57" s="218" t="str">
        <f>IF(ROW(A46)&lt;=Capacity!$A$16,'Capacity calculation (hide)'!DK50,"")</f>
        <v/>
      </c>
      <c r="J57" s="219" t="str">
        <f t="shared" si="0"/>
        <v/>
      </c>
    </row>
    <row r="58" spans="2:10" x14ac:dyDescent="0.25">
      <c r="B58" s="219" t="str">
        <f>IF(Capacity!B63=0,"",Capacity!B63)</f>
        <v/>
      </c>
      <c r="C58" s="133"/>
      <c r="D58" s="133"/>
      <c r="E58" s="133"/>
      <c r="F58" s="216" t="str">
        <f>IF(ROW(A47)&lt;=Capacity!$A$16,Capacity!E63,"")</f>
        <v/>
      </c>
      <c r="G58" s="217" t="str">
        <f>IF(ROW(A47)&lt;=Capacity!$A$16,'Capacity calculation (hide)'!BH51,"")</f>
        <v/>
      </c>
      <c r="H58" s="216" t="str">
        <f>IF(ROW(A47)&lt;=Capacity!$A$16,Capacity!H63,"")</f>
        <v/>
      </c>
      <c r="I58" s="218" t="str">
        <f>IF(ROW(A47)&lt;=Capacity!$A$16,'Capacity calculation (hide)'!DK51,"")</f>
        <v/>
      </c>
      <c r="J58" s="219" t="str">
        <f t="shared" si="0"/>
        <v/>
      </c>
    </row>
    <row r="59" spans="2:10" x14ac:dyDescent="0.25">
      <c r="B59" s="219" t="str">
        <f>IF(Capacity!B64=0,"",Capacity!B64)</f>
        <v/>
      </c>
      <c r="C59" s="133"/>
      <c r="D59" s="133"/>
      <c r="E59" s="133"/>
      <c r="F59" s="216" t="str">
        <f>IF(ROW(A48)&lt;=Capacity!$A$16,Capacity!E64,"")</f>
        <v/>
      </c>
      <c r="G59" s="217" t="str">
        <f>IF(ROW(A48)&lt;=Capacity!$A$16,'Capacity calculation (hide)'!BH52,"")</f>
        <v/>
      </c>
      <c r="H59" s="216" t="str">
        <f>IF(ROW(A48)&lt;=Capacity!$A$16,Capacity!H64,"")</f>
        <v/>
      </c>
      <c r="I59" s="218" t="str">
        <f>IF(ROW(A48)&lt;=Capacity!$A$16,'Capacity calculation (hide)'!DK52,"")</f>
        <v/>
      </c>
      <c r="J59" s="219" t="str">
        <f t="shared" si="0"/>
        <v/>
      </c>
    </row>
    <row r="60" spans="2:10" x14ac:dyDescent="0.25">
      <c r="B60" s="219" t="str">
        <f>IF(Capacity!B65=0,"",Capacity!B65)</f>
        <v/>
      </c>
      <c r="C60" s="133"/>
      <c r="D60" s="133"/>
      <c r="E60" s="133"/>
      <c r="F60" s="216" t="str">
        <f>IF(ROW(A49)&lt;=Capacity!$A$16,Capacity!E65,"")</f>
        <v/>
      </c>
      <c r="G60" s="217" t="str">
        <f>IF(ROW(A49)&lt;=Capacity!$A$16,'Capacity calculation (hide)'!BH53,"")</f>
        <v/>
      </c>
      <c r="H60" s="216" t="str">
        <f>IF(ROW(A49)&lt;=Capacity!$A$16,Capacity!H65,"")</f>
        <v/>
      </c>
      <c r="I60" s="218" t="str">
        <f>IF(ROW(A49)&lt;=Capacity!$A$16,'Capacity calculation (hide)'!DK53,"")</f>
        <v/>
      </c>
      <c r="J60" s="219" t="str">
        <f t="shared" si="0"/>
        <v/>
      </c>
    </row>
    <row r="61" spans="2:10" x14ac:dyDescent="0.25">
      <c r="B61" s="219" t="str">
        <f>IF(Capacity!B66=0,"",Capacity!B66)</f>
        <v/>
      </c>
      <c r="C61" s="133"/>
      <c r="D61" s="133"/>
      <c r="E61" s="133"/>
      <c r="F61" s="216" t="str">
        <f>IF(ROW(A50)&lt;=Capacity!$A$16,Capacity!E66,"")</f>
        <v/>
      </c>
      <c r="G61" s="217" t="str">
        <f>IF(ROW(A50)&lt;=Capacity!$A$16,'Capacity calculation (hide)'!BH54,"")</f>
        <v/>
      </c>
      <c r="H61" s="216" t="str">
        <f>IF(ROW(A50)&lt;=Capacity!$A$16,Capacity!H66,"")</f>
        <v/>
      </c>
      <c r="I61" s="218" t="str">
        <f>IF(ROW(A50)&lt;=Capacity!$A$16,'Capacity calculation (hide)'!DK54,"")</f>
        <v/>
      </c>
      <c r="J61" s="219" t="str">
        <f t="shared" si="0"/>
        <v/>
      </c>
    </row>
    <row r="62" spans="2:10" x14ac:dyDescent="0.25">
      <c r="B62" s="219" t="str">
        <f>IF(Capacity!B67=0,"",Capacity!B67)</f>
        <v/>
      </c>
      <c r="C62" s="133"/>
      <c r="D62" s="133"/>
      <c r="E62" s="133"/>
      <c r="F62" s="216" t="str">
        <f>IF(ROW(A51)&lt;=Capacity!$A$16,Capacity!E67,"")</f>
        <v/>
      </c>
      <c r="G62" s="217" t="str">
        <f>IF(ROW(A51)&lt;=Capacity!$A$16,'Capacity calculation (hide)'!BH55,"")</f>
        <v/>
      </c>
      <c r="H62" s="216" t="str">
        <f>IF(ROW(A51)&lt;=Capacity!$A$16,Capacity!H67,"")</f>
        <v/>
      </c>
      <c r="I62" s="218" t="str">
        <f>IF(ROW(A51)&lt;=Capacity!$A$16,'Capacity calculation (hide)'!DK55,"")</f>
        <v/>
      </c>
      <c r="J62" s="219" t="str">
        <f t="shared" si="0"/>
        <v/>
      </c>
    </row>
    <row r="63" spans="2:10" x14ac:dyDescent="0.25">
      <c r="B63" s="219" t="str">
        <f>IF(Capacity!B68=0,"",Capacity!B68)</f>
        <v/>
      </c>
      <c r="C63" s="133"/>
      <c r="D63" s="133"/>
      <c r="E63" s="133"/>
      <c r="F63" s="216" t="str">
        <f>IF(ROW(A52)&lt;=Capacity!$A$16,Capacity!E68,"")</f>
        <v/>
      </c>
      <c r="G63" s="217" t="str">
        <f>IF(ROW(A52)&lt;=Capacity!$A$16,'Capacity calculation (hide)'!BH56,"")</f>
        <v/>
      </c>
      <c r="H63" s="216" t="str">
        <f>IF(ROW(A52)&lt;=Capacity!$A$16,Capacity!H68,"")</f>
        <v/>
      </c>
      <c r="I63" s="218" t="str">
        <f>IF(ROW(A52)&lt;=Capacity!$A$16,'Capacity calculation (hide)'!DK56,"")</f>
        <v/>
      </c>
      <c r="J63" s="219" t="str">
        <f t="shared" si="0"/>
        <v/>
      </c>
    </row>
    <row r="64" spans="2:10" x14ac:dyDescent="0.25">
      <c r="B64" s="219" t="str">
        <f>IF(Capacity!B69=0,"",Capacity!B69)</f>
        <v/>
      </c>
      <c r="C64" s="133"/>
      <c r="D64" s="133"/>
      <c r="E64" s="133"/>
      <c r="F64" s="216" t="str">
        <f>IF(ROW(A53)&lt;=Capacity!$A$16,Capacity!E69,"")</f>
        <v/>
      </c>
      <c r="G64" s="217" t="str">
        <f>IF(ROW(A53)&lt;=Capacity!$A$16,'Capacity calculation (hide)'!BH57,"")</f>
        <v/>
      </c>
      <c r="H64" s="216" t="str">
        <f>IF(ROW(A53)&lt;=Capacity!$A$16,Capacity!H69,"")</f>
        <v/>
      </c>
      <c r="I64" s="218" t="str">
        <f>IF(ROW(A53)&lt;=Capacity!$A$16,'Capacity calculation (hide)'!DK57,"")</f>
        <v/>
      </c>
      <c r="J64" s="219" t="str">
        <f t="shared" si="0"/>
        <v/>
      </c>
    </row>
    <row r="65" spans="2:10" x14ac:dyDescent="0.25">
      <c r="B65" s="219" t="str">
        <f>IF(Capacity!B70=0,"",Capacity!B70)</f>
        <v/>
      </c>
      <c r="C65" s="133"/>
      <c r="D65" s="133"/>
      <c r="E65" s="133"/>
      <c r="F65" s="216" t="str">
        <f>IF(ROW(A54)&lt;=Capacity!$A$16,Capacity!E70,"")</f>
        <v/>
      </c>
      <c r="G65" s="217" t="str">
        <f>IF(ROW(A54)&lt;=Capacity!$A$16,'Capacity calculation (hide)'!BH58,"")</f>
        <v/>
      </c>
      <c r="H65" s="216" t="str">
        <f>IF(ROW(A54)&lt;=Capacity!$A$16,Capacity!H70,"")</f>
        <v/>
      </c>
      <c r="I65" s="218" t="str">
        <f>IF(ROW(A54)&lt;=Capacity!$A$16,'Capacity calculation (hide)'!DK58,"")</f>
        <v/>
      </c>
      <c r="J65" s="219" t="str">
        <f t="shared" si="0"/>
        <v/>
      </c>
    </row>
    <row r="66" spans="2:10" x14ac:dyDescent="0.25">
      <c r="B66" s="219" t="str">
        <f>IF(Capacity!B71=0,"",Capacity!B71)</f>
        <v/>
      </c>
      <c r="C66" s="133"/>
      <c r="D66" s="133"/>
      <c r="E66" s="133"/>
      <c r="F66" s="216" t="str">
        <f>IF(ROW(A55)&lt;=Capacity!$A$16,Capacity!E71,"")</f>
        <v/>
      </c>
      <c r="G66" s="217" t="str">
        <f>IF(ROW(A55)&lt;=Capacity!$A$16,'Capacity calculation (hide)'!BH59,"")</f>
        <v/>
      </c>
      <c r="H66" s="216" t="str">
        <f>IF(ROW(A55)&lt;=Capacity!$A$16,Capacity!H71,"")</f>
        <v/>
      </c>
      <c r="I66" s="218" t="str">
        <f>IF(ROW(A55)&lt;=Capacity!$A$16,'Capacity calculation (hide)'!DK59,"")</f>
        <v/>
      </c>
      <c r="J66" s="219" t="str">
        <f t="shared" si="0"/>
        <v/>
      </c>
    </row>
    <row r="67" spans="2:10" x14ac:dyDescent="0.25">
      <c r="B67" s="219" t="str">
        <f>IF(Capacity!B72=0,"",Capacity!B72)</f>
        <v/>
      </c>
      <c r="C67" s="133"/>
      <c r="D67" s="133"/>
      <c r="E67" s="133"/>
      <c r="F67" s="216" t="str">
        <f>IF(ROW(A56)&lt;=Capacity!$A$16,Capacity!E72,"")</f>
        <v/>
      </c>
      <c r="G67" s="217" t="str">
        <f>IF(ROW(A56)&lt;=Capacity!$A$16,'Capacity calculation (hide)'!BH60,"")</f>
        <v/>
      </c>
      <c r="H67" s="216" t="str">
        <f>IF(ROW(A56)&lt;=Capacity!$A$16,Capacity!H72,"")</f>
        <v/>
      </c>
      <c r="I67" s="218" t="str">
        <f>IF(ROW(A56)&lt;=Capacity!$A$16,'Capacity calculation (hide)'!DK60,"")</f>
        <v/>
      </c>
      <c r="J67" s="219" t="str">
        <f t="shared" si="0"/>
        <v/>
      </c>
    </row>
    <row r="68" spans="2:10" x14ac:dyDescent="0.25">
      <c r="B68" s="219" t="str">
        <f>IF(Capacity!B73=0,"",Capacity!B73)</f>
        <v/>
      </c>
      <c r="C68" s="133"/>
      <c r="D68" s="133"/>
      <c r="E68" s="133"/>
      <c r="F68" s="216" t="str">
        <f>IF(ROW(A57)&lt;=Capacity!$A$16,Capacity!E73,"")</f>
        <v/>
      </c>
      <c r="G68" s="217" t="str">
        <f>IF(ROW(A57)&lt;=Capacity!$A$16,'Capacity calculation (hide)'!BH61,"")</f>
        <v/>
      </c>
      <c r="H68" s="216" t="str">
        <f>IF(ROW(A57)&lt;=Capacity!$A$16,Capacity!H73,"")</f>
        <v/>
      </c>
      <c r="I68" s="218" t="str">
        <f>IF(ROW(A57)&lt;=Capacity!$A$16,'Capacity calculation (hide)'!DK61,"")</f>
        <v/>
      </c>
      <c r="J68" s="219" t="str">
        <f t="shared" si="0"/>
        <v/>
      </c>
    </row>
    <row r="69" spans="2:10" x14ac:dyDescent="0.25">
      <c r="B69" s="219" t="str">
        <f>IF(Capacity!B74=0,"",Capacity!B74)</f>
        <v/>
      </c>
      <c r="C69" s="133"/>
      <c r="D69" s="133"/>
      <c r="E69" s="133"/>
      <c r="F69" s="216" t="str">
        <f>IF(ROW(A58)&lt;=Capacity!$A$16,Capacity!E74,"")</f>
        <v/>
      </c>
      <c r="G69" s="217" t="str">
        <f>IF(ROW(A58)&lt;=Capacity!$A$16,'Capacity calculation (hide)'!BH62,"")</f>
        <v/>
      </c>
      <c r="H69" s="216" t="str">
        <f>IF(ROW(A58)&lt;=Capacity!$A$16,Capacity!H74,"")</f>
        <v/>
      </c>
      <c r="I69" s="218" t="str">
        <f>IF(ROW(A58)&lt;=Capacity!$A$16,'Capacity calculation (hide)'!DK62,"")</f>
        <v/>
      </c>
      <c r="J69" s="219" t="str">
        <f t="shared" si="0"/>
        <v/>
      </c>
    </row>
    <row r="70" spans="2:10" x14ac:dyDescent="0.25">
      <c r="B70" s="219" t="str">
        <f>IF(Capacity!B75=0,"",Capacity!B75)</f>
        <v/>
      </c>
      <c r="C70" s="133"/>
      <c r="D70" s="133"/>
      <c r="E70" s="133"/>
      <c r="F70" s="216" t="str">
        <f>IF(ROW(A59)&lt;=Capacity!$A$16,Capacity!E75,"")</f>
        <v/>
      </c>
      <c r="G70" s="217" t="str">
        <f>IF(ROW(A59)&lt;=Capacity!$A$16,'Capacity calculation (hide)'!BH63,"")</f>
        <v/>
      </c>
      <c r="H70" s="216" t="str">
        <f>IF(ROW(A59)&lt;=Capacity!$A$16,Capacity!H75,"")</f>
        <v/>
      </c>
      <c r="I70" s="218" t="str">
        <f>IF(ROW(A59)&lt;=Capacity!$A$16,'Capacity calculation (hide)'!DK63,"")</f>
        <v/>
      </c>
      <c r="J70" s="219" t="str">
        <f t="shared" si="0"/>
        <v/>
      </c>
    </row>
    <row r="71" spans="2:10" x14ac:dyDescent="0.25">
      <c r="B71" s="219" t="str">
        <f>IF(Capacity!B76=0,"",Capacity!B76)</f>
        <v/>
      </c>
      <c r="C71" s="133"/>
      <c r="D71" s="133"/>
      <c r="E71" s="133"/>
      <c r="F71" s="216" t="str">
        <f>IF(ROW(A60)&lt;=Capacity!$A$16,Capacity!E76,"")</f>
        <v/>
      </c>
      <c r="G71" s="217" t="str">
        <f>IF(ROW(A60)&lt;=Capacity!$A$16,'Capacity calculation (hide)'!BH64,"")</f>
        <v/>
      </c>
      <c r="H71" s="216" t="str">
        <f>IF(ROW(A60)&lt;=Capacity!$A$16,Capacity!H76,"")</f>
        <v/>
      </c>
      <c r="I71" s="218" t="str">
        <f>IF(ROW(A60)&lt;=Capacity!$A$16,'Capacity calculation (hide)'!DK64,"")</f>
        <v/>
      </c>
      <c r="J71" s="219" t="str">
        <f t="shared" si="0"/>
        <v/>
      </c>
    </row>
    <row r="72" spans="2:10" x14ac:dyDescent="0.25">
      <c r="B72" s="219" t="str">
        <f>IF(Capacity!B77=0,"",Capacity!B77)</f>
        <v/>
      </c>
      <c r="C72" s="133"/>
      <c r="D72" s="133"/>
      <c r="E72" s="133"/>
      <c r="F72" s="216" t="str">
        <f>IF(ROW(A61)&lt;=Capacity!$A$16,Capacity!E77,"")</f>
        <v/>
      </c>
      <c r="G72" s="217" t="str">
        <f>IF(ROW(A61)&lt;=Capacity!$A$16,'Capacity calculation (hide)'!BH65,"")</f>
        <v/>
      </c>
      <c r="H72" s="216" t="str">
        <f>IF(ROW(A61)&lt;=Capacity!$A$16,Capacity!H77,"")</f>
        <v/>
      </c>
      <c r="I72" s="218" t="str">
        <f>IF(ROW(A61)&lt;=Capacity!$A$16,'Capacity calculation (hide)'!DK65,"")</f>
        <v/>
      </c>
      <c r="J72" s="219" t="str">
        <f t="shared" si="0"/>
        <v/>
      </c>
    </row>
    <row r="73" spans="2:10" x14ac:dyDescent="0.25">
      <c r="B73" s="219" t="str">
        <f>IF(Capacity!B78=0,"",Capacity!B78)</f>
        <v/>
      </c>
      <c r="C73" s="133"/>
      <c r="D73" s="133"/>
      <c r="E73" s="133"/>
      <c r="F73" s="216" t="str">
        <f>IF(ROW(A62)&lt;=Capacity!$A$16,Capacity!E78,"")</f>
        <v/>
      </c>
      <c r="G73" s="217" t="str">
        <f>IF(ROW(A62)&lt;=Capacity!$A$16,'Capacity calculation (hide)'!BH66,"")</f>
        <v/>
      </c>
      <c r="H73" s="216" t="str">
        <f>IF(ROW(A62)&lt;=Capacity!$A$16,Capacity!H78,"")</f>
        <v/>
      </c>
      <c r="I73" s="218" t="str">
        <f>IF(ROW(A62)&lt;=Capacity!$A$16,'Capacity calculation (hide)'!DK66,"")</f>
        <v/>
      </c>
      <c r="J73" s="219" t="str">
        <f t="shared" si="0"/>
        <v/>
      </c>
    </row>
    <row r="74" spans="2:10" x14ac:dyDescent="0.25">
      <c r="B74" s="219" t="str">
        <f>IF(Capacity!B79=0,"",Capacity!B79)</f>
        <v/>
      </c>
      <c r="C74" s="133"/>
      <c r="D74" s="133"/>
      <c r="E74" s="133"/>
      <c r="F74" s="216" t="str">
        <f>IF(ROW(A63)&lt;=Capacity!$A$16,Capacity!E79,"")</f>
        <v/>
      </c>
      <c r="G74" s="217" t="str">
        <f>IF(ROW(A63)&lt;=Capacity!$A$16,'Capacity calculation (hide)'!BH67,"")</f>
        <v/>
      </c>
      <c r="H74" s="216" t="str">
        <f>IF(ROW(A63)&lt;=Capacity!$A$16,Capacity!H79,"")</f>
        <v/>
      </c>
      <c r="I74" s="218" t="str">
        <f>IF(ROW(A63)&lt;=Capacity!$A$16,'Capacity calculation (hide)'!DK67,"")</f>
        <v/>
      </c>
      <c r="J74" s="219" t="str">
        <f t="shared" si="0"/>
        <v/>
      </c>
    </row>
    <row r="75" spans="2:10" x14ac:dyDescent="0.25">
      <c r="B75" s="219" t="str">
        <f>IF(Capacity!B80=0,"",Capacity!B80)</f>
        <v/>
      </c>
      <c r="C75" s="133"/>
      <c r="D75" s="133"/>
      <c r="E75" s="133"/>
      <c r="F75" s="216" t="str">
        <f>IF(ROW(A64)&lt;=Capacity!$A$16,Capacity!E80,"")</f>
        <v/>
      </c>
      <c r="G75" s="217" t="str">
        <f>IF(ROW(A64)&lt;=Capacity!$A$16,'Capacity calculation (hide)'!BH68,"")</f>
        <v/>
      </c>
      <c r="H75" s="216" t="str">
        <f>IF(ROW(A64)&lt;=Capacity!$A$16,Capacity!H80,"")</f>
        <v/>
      </c>
      <c r="I75" s="218" t="str">
        <f>IF(ROW(A64)&lt;=Capacity!$A$16,'Capacity calculation (hide)'!DK68,"")</f>
        <v/>
      </c>
      <c r="J75" s="219" t="str">
        <f t="shared" si="0"/>
        <v/>
      </c>
    </row>
    <row r="76" spans="2:10" x14ac:dyDescent="0.25">
      <c r="B76" s="219" t="str">
        <f>IF(Capacity!B81=0,"",Capacity!B81)</f>
        <v/>
      </c>
      <c r="C76" s="133"/>
      <c r="D76" s="133"/>
      <c r="E76" s="133"/>
      <c r="F76" s="216" t="str">
        <f>IF(ROW(A65)&lt;=Capacity!$A$16,Capacity!E81,"")</f>
        <v/>
      </c>
      <c r="G76" s="217" t="str">
        <f>IF(ROW(A65)&lt;=Capacity!$A$16,'Capacity calculation (hide)'!BH69,"")</f>
        <v/>
      </c>
      <c r="H76" s="216" t="str">
        <f>IF(ROW(A65)&lt;=Capacity!$A$16,Capacity!H81,"")</f>
        <v/>
      </c>
      <c r="I76" s="218" t="str">
        <f>IF(ROW(A65)&lt;=Capacity!$A$16,'Capacity calculation (hide)'!DK69,"")</f>
        <v/>
      </c>
      <c r="J76" s="219" t="str">
        <f t="shared" si="0"/>
        <v/>
      </c>
    </row>
    <row r="77" spans="2:10" x14ac:dyDescent="0.25">
      <c r="B77" s="219" t="str">
        <f>IF(Capacity!B82=0,"",Capacity!B82)</f>
        <v/>
      </c>
      <c r="C77" s="133"/>
      <c r="D77" s="133"/>
      <c r="E77" s="133"/>
      <c r="F77" s="216" t="str">
        <f>IF(ROW(A66)&lt;=Capacity!$A$16,Capacity!E82,"")</f>
        <v/>
      </c>
      <c r="G77" s="217" t="str">
        <f>IF(ROW(A66)&lt;=Capacity!$A$16,'Capacity calculation (hide)'!BH70,"")</f>
        <v/>
      </c>
      <c r="H77" s="216" t="str">
        <f>IF(ROW(A66)&lt;=Capacity!$A$16,Capacity!H82,"")</f>
        <v/>
      </c>
      <c r="I77" s="218" t="str">
        <f>IF(ROW(A66)&lt;=Capacity!$A$16,'Capacity calculation (hide)'!DK70,"")</f>
        <v/>
      </c>
      <c r="J77" s="219" t="str">
        <f t="shared" ref="J77:J111" si="1">IFERROR(IF(G77-F77 &lt;0, "Under","Over"),"")</f>
        <v/>
      </c>
    </row>
    <row r="78" spans="2:10" x14ac:dyDescent="0.25">
      <c r="B78" s="219" t="str">
        <f>IF(Capacity!B83=0,"",Capacity!B83)</f>
        <v/>
      </c>
      <c r="C78" s="133"/>
      <c r="D78" s="133"/>
      <c r="E78" s="133"/>
      <c r="F78" s="216" t="str">
        <f>IF(ROW(A67)&lt;=Capacity!$A$16,Capacity!E83,"")</f>
        <v/>
      </c>
      <c r="G78" s="217" t="str">
        <f>IF(ROW(A67)&lt;=Capacity!$A$16,'Capacity calculation (hide)'!BH71,"")</f>
        <v/>
      </c>
      <c r="H78" s="216" t="str">
        <f>IF(ROW(A67)&lt;=Capacity!$A$16,Capacity!H83,"")</f>
        <v/>
      </c>
      <c r="I78" s="218" t="str">
        <f>IF(ROW(A67)&lt;=Capacity!$A$16,'Capacity calculation (hide)'!DK71,"")</f>
        <v/>
      </c>
      <c r="J78" s="219" t="str">
        <f t="shared" si="1"/>
        <v/>
      </c>
    </row>
    <row r="79" spans="2:10" x14ac:dyDescent="0.25">
      <c r="B79" s="219" t="str">
        <f>IF(Capacity!B84=0,"",Capacity!B84)</f>
        <v/>
      </c>
      <c r="C79" s="133"/>
      <c r="D79" s="133"/>
      <c r="E79" s="133"/>
      <c r="F79" s="216" t="str">
        <f>IF(ROW(A68)&lt;=Capacity!$A$16,Capacity!E84,"")</f>
        <v/>
      </c>
      <c r="G79" s="217" t="str">
        <f>IF(ROW(A68)&lt;=Capacity!$A$16,'Capacity calculation (hide)'!BH72,"")</f>
        <v/>
      </c>
      <c r="H79" s="216" t="str">
        <f>IF(ROW(A68)&lt;=Capacity!$A$16,Capacity!H84,"")</f>
        <v/>
      </c>
      <c r="I79" s="218" t="str">
        <f>IF(ROW(A68)&lt;=Capacity!$A$16,'Capacity calculation (hide)'!DK72,"")</f>
        <v/>
      </c>
      <c r="J79" s="219" t="str">
        <f t="shared" si="1"/>
        <v/>
      </c>
    </row>
    <row r="80" spans="2:10" x14ac:dyDescent="0.25">
      <c r="B80" s="219" t="str">
        <f>IF(Capacity!B85=0,"",Capacity!B85)</f>
        <v/>
      </c>
      <c r="C80" s="133"/>
      <c r="D80" s="133"/>
      <c r="E80" s="133"/>
      <c r="F80" s="216" t="str">
        <f>IF(ROW(A69)&lt;=Capacity!$A$16,Capacity!E85,"")</f>
        <v/>
      </c>
      <c r="G80" s="217" t="str">
        <f>IF(ROW(A69)&lt;=Capacity!$A$16,'Capacity calculation (hide)'!BH73,"")</f>
        <v/>
      </c>
      <c r="H80" s="216" t="str">
        <f>IF(ROW(A69)&lt;=Capacity!$A$16,Capacity!H85,"")</f>
        <v/>
      </c>
      <c r="I80" s="218" t="str">
        <f>IF(ROW(A69)&lt;=Capacity!$A$16,'Capacity calculation (hide)'!DK73,"")</f>
        <v/>
      </c>
      <c r="J80" s="219" t="str">
        <f t="shared" si="1"/>
        <v/>
      </c>
    </row>
    <row r="81" spans="2:10" x14ac:dyDescent="0.25">
      <c r="B81" s="219" t="str">
        <f>IF(Capacity!B86=0,"",Capacity!B86)</f>
        <v/>
      </c>
      <c r="C81" s="133"/>
      <c r="D81" s="133"/>
      <c r="E81" s="133"/>
      <c r="F81" s="216" t="str">
        <f>IF(ROW(A70)&lt;=Capacity!$A$16,Capacity!E86,"")</f>
        <v/>
      </c>
      <c r="G81" s="217" t="str">
        <f>IF(ROW(A70)&lt;=Capacity!$A$16,'Capacity calculation (hide)'!BH74,"")</f>
        <v/>
      </c>
      <c r="H81" s="216" t="str">
        <f>IF(ROW(A70)&lt;=Capacity!$A$16,Capacity!H86,"")</f>
        <v/>
      </c>
      <c r="I81" s="218" t="str">
        <f>IF(ROW(A70)&lt;=Capacity!$A$16,'Capacity calculation (hide)'!DK74,"")</f>
        <v/>
      </c>
      <c r="J81" s="219" t="str">
        <f t="shared" si="1"/>
        <v/>
      </c>
    </row>
    <row r="82" spans="2:10" x14ac:dyDescent="0.25">
      <c r="B82" s="219" t="str">
        <f>IF(Capacity!B87=0,"",Capacity!B87)</f>
        <v/>
      </c>
      <c r="C82" s="133"/>
      <c r="D82" s="133"/>
      <c r="E82" s="133"/>
      <c r="F82" s="216" t="str">
        <f>IF(ROW(A71)&lt;=Capacity!$A$16,Capacity!E87,"")</f>
        <v/>
      </c>
      <c r="G82" s="217" t="str">
        <f>IF(ROW(A71)&lt;=Capacity!$A$16,'Capacity calculation (hide)'!BH75,"")</f>
        <v/>
      </c>
      <c r="H82" s="216" t="str">
        <f>IF(ROW(A71)&lt;=Capacity!$A$16,Capacity!H87,"")</f>
        <v/>
      </c>
      <c r="I82" s="218" t="str">
        <f>IF(ROW(A71)&lt;=Capacity!$A$16,'Capacity calculation (hide)'!DK75,"")</f>
        <v/>
      </c>
      <c r="J82" s="219" t="str">
        <f t="shared" si="1"/>
        <v/>
      </c>
    </row>
    <row r="83" spans="2:10" x14ac:dyDescent="0.25">
      <c r="B83" s="219" t="str">
        <f>IF(Capacity!B88=0,"",Capacity!B88)</f>
        <v/>
      </c>
      <c r="C83" s="133"/>
      <c r="D83" s="133"/>
      <c r="E83" s="133"/>
      <c r="F83" s="216" t="str">
        <f>IF(ROW(A72)&lt;=Capacity!$A$16,Capacity!E88,"")</f>
        <v/>
      </c>
      <c r="G83" s="217" t="str">
        <f>IF(ROW(A72)&lt;=Capacity!$A$16,'Capacity calculation (hide)'!BH76,"")</f>
        <v/>
      </c>
      <c r="H83" s="216" t="str">
        <f>IF(ROW(A72)&lt;=Capacity!$A$16,Capacity!H88,"")</f>
        <v/>
      </c>
      <c r="I83" s="218" t="str">
        <f>IF(ROW(A72)&lt;=Capacity!$A$16,'Capacity calculation (hide)'!DK76,"")</f>
        <v/>
      </c>
      <c r="J83" s="219" t="str">
        <f t="shared" si="1"/>
        <v/>
      </c>
    </row>
    <row r="84" spans="2:10" x14ac:dyDescent="0.25">
      <c r="B84" s="219" t="str">
        <f>IF(Capacity!B89=0,"",Capacity!B89)</f>
        <v/>
      </c>
      <c r="C84" s="133"/>
      <c r="D84" s="133"/>
      <c r="E84" s="133"/>
      <c r="F84" s="216" t="str">
        <f>IF(ROW(A73)&lt;=Capacity!$A$16,Capacity!E89,"")</f>
        <v/>
      </c>
      <c r="G84" s="217" t="str">
        <f>IF(ROW(A73)&lt;=Capacity!$A$16,'Capacity calculation (hide)'!BH77,"")</f>
        <v/>
      </c>
      <c r="H84" s="216" t="str">
        <f>IF(ROW(A73)&lt;=Capacity!$A$16,Capacity!H89,"")</f>
        <v/>
      </c>
      <c r="I84" s="218" t="str">
        <f>IF(ROW(A73)&lt;=Capacity!$A$16,'Capacity calculation (hide)'!DK77,"")</f>
        <v/>
      </c>
      <c r="J84" s="219" t="str">
        <f t="shared" si="1"/>
        <v/>
      </c>
    </row>
    <row r="85" spans="2:10" x14ac:dyDescent="0.25">
      <c r="B85" s="219" t="str">
        <f>IF(Capacity!B90=0,"",Capacity!B90)</f>
        <v/>
      </c>
      <c r="C85" s="133"/>
      <c r="D85" s="133"/>
      <c r="E85" s="133"/>
      <c r="F85" s="216" t="str">
        <f>IF(ROW(A74)&lt;=Capacity!$A$16,Capacity!E90,"")</f>
        <v/>
      </c>
      <c r="G85" s="217" t="str">
        <f>IF(ROW(A74)&lt;=Capacity!$A$16,'Capacity calculation (hide)'!BH78,"")</f>
        <v/>
      </c>
      <c r="H85" s="216" t="str">
        <f>IF(ROW(A74)&lt;=Capacity!$A$16,Capacity!H90,"")</f>
        <v/>
      </c>
      <c r="I85" s="218" t="str">
        <f>IF(ROW(A74)&lt;=Capacity!$A$16,'Capacity calculation (hide)'!DK78,"")</f>
        <v/>
      </c>
      <c r="J85" s="219" t="str">
        <f t="shared" si="1"/>
        <v/>
      </c>
    </row>
    <row r="86" spans="2:10" x14ac:dyDescent="0.25">
      <c r="B86" s="219" t="str">
        <f>IF(Capacity!B91=0,"",Capacity!B91)</f>
        <v/>
      </c>
      <c r="C86" s="133"/>
      <c r="D86" s="133"/>
      <c r="E86" s="133"/>
      <c r="F86" s="216" t="str">
        <f>IF(ROW(A75)&lt;=Capacity!$A$16,Capacity!E91,"")</f>
        <v/>
      </c>
      <c r="G86" s="217" t="str">
        <f>IF(ROW(A75)&lt;=Capacity!$A$16,'Capacity calculation (hide)'!BH79,"")</f>
        <v/>
      </c>
      <c r="H86" s="216" t="str">
        <f>IF(ROW(A75)&lt;=Capacity!$A$16,Capacity!H91,"")</f>
        <v/>
      </c>
      <c r="I86" s="218" t="str">
        <f>IF(ROW(A75)&lt;=Capacity!$A$16,'Capacity calculation (hide)'!DK79,"")</f>
        <v/>
      </c>
      <c r="J86" s="219" t="str">
        <f t="shared" si="1"/>
        <v/>
      </c>
    </row>
    <row r="87" spans="2:10" x14ac:dyDescent="0.25">
      <c r="B87" s="219" t="str">
        <f>IF(Capacity!B92=0,"",Capacity!B92)</f>
        <v/>
      </c>
      <c r="C87" s="133"/>
      <c r="D87" s="133"/>
      <c r="E87" s="133"/>
      <c r="F87" s="216" t="str">
        <f>IF(ROW(A76)&lt;=Capacity!$A$16,Capacity!E92,"")</f>
        <v/>
      </c>
      <c r="G87" s="217" t="str">
        <f>IF(ROW(A76)&lt;=Capacity!$A$16,'Capacity calculation (hide)'!BH80,"")</f>
        <v/>
      </c>
      <c r="H87" s="216" t="str">
        <f>IF(ROW(A76)&lt;=Capacity!$A$16,Capacity!H92,"")</f>
        <v/>
      </c>
      <c r="I87" s="218" t="str">
        <f>IF(ROW(A76)&lt;=Capacity!$A$16,'Capacity calculation (hide)'!DK80,"")</f>
        <v/>
      </c>
      <c r="J87" s="219" t="str">
        <f t="shared" si="1"/>
        <v/>
      </c>
    </row>
    <row r="88" spans="2:10" x14ac:dyDescent="0.25">
      <c r="B88" s="219" t="str">
        <f>IF(Capacity!B93=0,"",Capacity!B93)</f>
        <v/>
      </c>
      <c r="C88" s="133"/>
      <c r="D88" s="133"/>
      <c r="E88" s="133"/>
      <c r="F88" s="216" t="str">
        <f>IF(ROW(A77)&lt;=Capacity!$A$16,Capacity!E93,"")</f>
        <v/>
      </c>
      <c r="G88" s="217" t="str">
        <f>IF(ROW(A77)&lt;=Capacity!$A$16,'Capacity calculation (hide)'!BH81,"")</f>
        <v/>
      </c>
      <c r="H88" s="216" t="str">
        <f>IF(ROW(A77)&lt;=Capacity!$A$16,Capacity!H93,"")</f>
        <v/>
      </c>
      <c r="I88" s="218" t="str">
        <f>IF(ROW(A77)&lt;=Capacity!$A$16,'Capacity calculation (hide)'!DK81,"")</f>
        <v/>
      </c>
      <c r="J88" s="219" t="str">
        <f t="shared" si="1"/>
        <v/>
      </c>
    </row>
    <row r="89" spans="2:10" x14ac:dyDescent="0.25">
      <c r="B89" s="219" t="str">
        <f>IF(Capacity!B94=0,"",Capacity!B94)</f>
        <v/>
      </c>
      <c r="C89" s="133"/>
      <c r="D89" s="133"/>
      <c r="E89" s="133"/>
      <c r="F89" s="216" t="str">
        <f>IF(ROW(A78)&lt;=Capacity!$A$16,Capacity!E94,"")</f>
        <v/>
      </c>
      <c r="G89" s="217" t="str">
        <f>IF(ROW(A78)&lt;=Capacity!$A$16,'Capacity calculation (hide)'!BH82,"")</f>
        <v/>
      </c>
      <c r="H89" s="216" t="str">
        <f>IF(ROW(A78)&lt;=Capacity!$A$16,Capacity!H94,"")</f>
        <v/>
      </c>
      <c r="I89" s="218" t="str">
        <f>IF(ROW(A78)&lt;=Capacity!$A$16,'Capacity calculation (hide)'!DK82,"")</f>
        <v/>
      </c>
      <c r="J89" s="219" t="str">
        <f t="shared" si="1"/>
        <v/>
      </c>
    </row>
    <row r="90" spans="2:10" x14ac:dyDescent="0.25">
      <c r="B90" s="219" t="str">
        <f>IF(Capacity!B95=0,"",Capacity!B95)</f>
        <v/>
      </c>
      <c r="C90" s="133"/>
      <c r="D90" s="133"/>
      <c r="E90" s="133"/>
      <c r="F90" s="216" t="str">
        <f>IF(ROW(A79)&lt;=Capacity!$A$16,Capacity!E95,"")</f>
        <v/>
      </c>
      <c r="G90" s="217" t="str">
        <f>IF(ROW(A79)&lt;=Capacity!$A$16,'Capacity calculation (hide)'!BH83,"")</f>
        <v/>
      </c>
      <c r="H90" s="216" t="str">
        <f>IF(ROW(A79)&lt;=Capacity!$A$16,Capacity!H95,"")</f>
        <v/>
      </c>
      <c r="I90" s="218" t="str">
        <f>IF(ROW(A79)&lt;=Capacity!$A$16,'Capacity calculation (hide)'!DK83,"")</f>
        <v/>
      </c>
      <c r="J90" s="219" t="str">
        <f t="shared" si="1"/>
        <v/>
      </c>
    </row>
    <row r="91" spans="2:10" x14ac:dyDescent="0.25">
      <c r="B91" s="219" t="str">
        <f>IF(Capacity!B96=0,"",Capacity!B96)</f>
        <v/>
      </c>
      <c r="C91" s="133"/>
      <c r="D91" s="133"/>
      <c r="E91" s="133"/>
      <c r="F91" s="216" t="str">
        <f>IF(ROW(A80)&lt;=Capacity!$A$16,Capacity!E96,"")</f>
        <v/>
      </c>
      <c r="G91" s="217" t="str">
        <f>IF(ROW(A80)&lt;=Capacity!$A$16,'Capacity calculation (hide)'!BH84,"")</f>
        <v/>
      </c>
      <c r="H91" s="216" t="str">
        <f>IF(ROW(A80)&lt;=Capacity!$A$16,Capacity!H96,"")</f>
        <v/>
      </c>
      <c r="I91" s="218" t="str">
        <f>IF(ROW(A80)&lt;=Capacity!$A$16,'Capacity calculation (hide)'!DK84,"")</f>
        <v/>
      </c>
      <c r="J91" s="219" t="str">
        <f t="shared" si="1"/>
        <v/>
      </c>
    </row>
    <row r="92" spans="2:10" x14ac:dyDescent="0.25">
      <c r="B92" s="219" t="str">
        <f>IF(Capacity!B97=0,"",Capacity!B97)</f>
        <v/>
      </c>
      <c r="C92" s="133"/>
      <c r="D92" s="133"/>
      <c r="E92" s="133"/>
      <c r="F92" s="216" t="str">
        <f>IF(ROW(A81)&lt;=Capacity!$A$16,Capacity!E97,"")</f>
        <v/>
      </c>
      <c r="G92" s="217" t="str">
        <f>IF(ROW(A81)&lt;=Capacity!$A$16,'Capacity calculation (hide)'!BH85,"")</f>
        <v/>
      </c>
      <c r="H92" s="216" t="str">
        <f>IF(ROW(A81)&lt;=Capacity!$A$16,Capacity!H97,"")</f>
        <v/>
      </c>
      <c r="I92" s="218" t="str">
        <f>IF(ROW(A81)&lt;=Capacity!$A$16,'Capacity calculation (hide)'!DK85,"")</f>
        <v/>
      </c>
      <c r="J92" s="219" t="str">
        <f t="shared" si="1"/>
        <v/>
      </c>
    </row>
    <row r="93" spans="2:10" x14ac:dyDescent="0.25">
      <c r="B93" s="219" t="str">
        <f>IF(Capacity!B98=0,"",Capacity!B98)</f>
        <v/>
      </c>
      <c r="C93" s="133"/>
      <c r="D93" s="133"/>
      <c r="E93" s="133"/>
      <c r="F93" s="216" t="str">
        <f>IF(ROW(A82)&lt;=Capacity!$A$16,Capacity!E98,"")</f>
        <v/>
      </c>
      <c r="G93" s="217" t="str">
        <f>IF(ROW(A82)&lt;=Capacity!$A$16,'Capacity calculation (hide)'!BH86,"")</f>
        <v/>
      </c>
      <c r="H93" s="216" t="str">
        <f>IF(ROW(A82)&lt;=Capacity!$A$16,Capacity!H98,"")</f>
        <v/>
      </c>
      <c r="I93" s="218" t="str">
        <f>IF(ROW(A82)&lt;=Capacity!$A$16,'Capacity calculation (hide)'!DK86,"")</f>
        <v/>
      </c>
      <c r="J93" s="219" t="str">
        <f t="shared" si="1"/>
        <v/>
      </c>
    </row>
    <row r="94" spans="2:10" x14ac:dyDescent="0.25">
      <c r="B94" s="219" t="str">
        <f>IF(Capacity!B99=0,"",Capacity!B99)</f>
        <v/>
      </c>
      <c r="C94" s="133"/>
      <c r="D94" s="133"/>
      <c r="E94" s="133"/>
      <c r="F94" s="216" t="str">
        <f>IF(ROW(A83)&lt;=Capacity!$A$16,Capacity!E99,"")</f>
        <v/>
      </c>
      <c r="G94" s="217" t="str">
        <f>IF(ROW(A83)&lt;=Capacity!$A$16,'Capacity calculation (hide)'!BH87,"")</f>
        <v/>
      </c>
      <c r="H94" s="216" t="str">
        <f>IF(ROW(A83)&lt;=Capacity!$A$16,Capacity!H99,"")</f>
        <v/>
      </c>
      <c r="I94" s="218" t="str">
        <f>IF(ROW(A83)&lt;=Capacity!$A$16,'Capacity calculation (hide)'!DK87,"")</f>
        <v/>
      </c>
      <c r="J94" s="219" t="str">
        <f t="shared" si="1"/>
        <v/>
      </c>
    </row>
    <row r="95" spans="2:10" x14ac:dyDescent="0.25">
      <c r="B95" s="219" t="str">
        <f>IF(Capacity!B100=0,"",Capacity!B100)</f>
        <v/>
      </c>
      <c r="C95" s="133"/>
      <c r="D95" s="133"/>
      <c r="E95" s="133"/>
      <c r="F95" s="216" t="str">
        <f>IF(ROW(A84)&lt;=Capacity!$A$16,Capacity!E100,"")</f>
        <v/>
      </c>
      <c r="G95" s="217" t="str">
        <f>IF(ROW(A84)&lt;=Capacity!$A$16,'Capacity calculation (hide)'!BH88,"")</f>
        <v/>
      </c>
      <c r="H95" s="216" t="str">
        <f>IF(ROW(A84)&lt;=Capacity!$A$16,Capacity!H100,"")</f>
        <v/>
      </c>
      <c r="I95" s="218" t="str">
        <f>IF(ROW(A84)&lt;=Capacity!$A$16,'Capacity calculation (hide)'!DK88,"")</f>
        <v/>
      </c>
      <c r="J95" s="219" t="str">
        <f t="shared" si="1"/>
        <v/>
      </c>
    </row>
    <row r="96" spans="2:10" x14ac:dyDescent="0.25">
      <c r="B96" s="219" t="str">
        <f>IF(Capacity!B101=0,"",Capacity!B101)</f>
        <v/>
      </c>
      <c r="C96" s="133"/>
      <c r="D96" s="133"/>
      <c r="E96" s="133"/>
      <c r="F96" s="216" t="str">
        <f>IF(ROW(A85)&lt;=Capacity!$A$16,Capacity!E101,"")</f>
        <v/>
      </c>
      <c r="G96" s="217" t="str">
        <f>IF(ROW(A85)&lt;=Capacity!$A$16,'Capacity calculation (hide)'!BH89,"")</f>
        <v/>
      </c>
      <c r="H96" s="216" t="str">
        <f>IF(ROW(A85)&lt;=Capacity!$A$16,Capacity!H101,"")</f>
        <v/>
      </c>
      <c r="I96" s="218" t="str">
        <f>IF(ROW(A85)&lt;=Capacity!$A$16,'Capacity calculation (hide)'!DK89,"")</f>
        <v/>
      </c>
      <c r="J96" s="219" t="str">
        <f t="shared" si="1"/>
        <v/>
      </c>
    </row>
    <row r="97" spans="2:10" x14ac:dyDescent="0.25">
      <c r="B97" s="219" t="str">
        <f>IF(Capacity!B102=0,"",Capacity!B102)</f>
        <v/>
      </c>
      <c r="C97" s="133"/>
      <c r="D97" s="133"/>
      <c r="E97" s="133"/>
      <c r="F97" s="216" t="str">
        <f>IF(ROW(A86)&lt;=Capacity!$A$16,Capacity!E102,"")</f>
        <v/>
      </c>
      <c r="G97" s="217" t="str">
        <f>IF(ROW(A86)&lt;=Capacity!$A$16,'Capacity calculation (hide)'!BH90,"")</f>
        <v/>
      </c>
      <c r="H97" s="216" t="str">
        <f>IF(ROW(A86)&lt;=Capacity!$A$16,Capacity!H102,"")</f>
        <v/>
      </c>
      <c r="I97" s="218" t="str">
        <f>IF(ROW(A86)&lt;=Capacity!$A$16,'Capacity calculation (hide)'!DK90,"")</f>
        <v/>
      </c>
      <c r="J97" s="219" t="str">
        <f t="shared" si="1"/>
        <v/>
      </c>
    </row>
    <row r="98" spans="2:10" x14ac:dyDescent="0.25">
      <c r="B98" s="219" t="str">
        <f>IF(Capacity!B103=0,"",Capacity!B103)</f>
        <v/>
      </c>
      <c r="C98" s="133"/>
      <c r="D98" s="133"/>
      <c r="E98" s="133"/>
      <c r="F98" s="216" t="str">
        <f>IF(ROW(A87)&lt;=Capacity!$A$16,Capacity!E103,"")</f>
        <v/>
      </c>
      <c r="G98" s="217" t="str">
        <f>IF(ROW(A87)&lt;=Capacity!$A$16,'Capacity calculation (hide)'!BH91,"")</f>
        <v/>
      </c>
      <c r="H98" s="216" t="str">
        <f>IF(ROW(A87)&lt;=Capacity!$A$16,Capacity!H103,"")</f>
        <v/>
      </c>
      <c r="I98" s="218" t="str">
        <f>IF(ROW(A87)&lt;=Capacity!$A$16,'Capacity calculation (hide)'!DK91,"")</f>
        <v/>
      </c>
      <c r="J98" s="219" t="str">
        <f t="shared" si="1"/>
        <v/>
      </c>
    </row>
    <row r="99" spans="2:10" x14ac:dyDescent="0.25">
      <c r="B99" s="219" t="str">
        <f>IF(Capacity!B104=0,"",Capacity!B104)</f>
        <v/>
      </c>
      <c r="C99" s="133"/>
      <c r="D99" s="133"/>
      <c r="E99" s="133"/>
      <c r="F99" s="216" t="str">
        <f>IF(ROW(A88)&lt;=Capacity!$A$16,Capacity!E104,"")</f>
        <v/>
      </c>
      <c r="G99" s="217" t="str">
        <f>IF(ROW(A88)&lt;=Capacity!$A$16,'Capacity calculation (hide)'!BH92,"")</f>
        <v/>
      </c>
      <c r="H99" s="216" t="str">
        <f>IF(ROW(A88)&lt;=Capacity!$A$16,Capacity!H104,"")</f>
        <v/>
      </c>
      <c r="I99" s="218" t="str">
        <f>IF(ROW(A88)&lt;=Capacity!$A$16,'Capacity calculation (hide)'!DK92,"")</f>
        <v/>
      </c>
      <c r="J99" s="219" t="str">
        <f t="shared" si="1"/>
        <v/>
      </c>
    </row>
    <row r="100" spans="2:10" x14ac:dyDescent="0.25">
      <c r="B100" s="219" t="str">
        <f>IF(Capacity!B105=0,"",Capacity!B105)</f>
        <v/>
      </c>
      <c r="C100" s="133"/>
      <c r="D100" s="133"/>
      <c r="E100" s="133"/>
      <c r="F100" s="216" t="str">
        <f>IF(ROW(A89)&lt;=Capacity!$A$16,Capacity!E105,"")</f>
        <v/>
      </c>
      <c r="G100" s="217" t="str">
        <f>IF(ROW(A89)&lt;=Capacity!$A$16,'Capacity calculation (hide)'!BH93,"")</f>
        <v/>
      </c>
      <c r="H100" s="216" t="str">
        <f>IF(ROW(A89)&lt;=Capacity!$A$16,Capacity!H105,"")</f>
        <v/>
      </c>
      <c r="I100" s="218" t="str">
        <f>IF(ROW(A89)&lt;=Capacity!$A$16,'Capacity calculation (hide)'!DK93,"")</f>
        <v/>
      </c>
      <c r="J100" s="219" t="str">
        <f t="shared" si="1"/>
        <v/>
      </c>
    </row>
    <row r="101" spans="2:10" x14ac:dyDescent="0.25">
      <c r="B101" s="219" t="str">
        <f>IF(Capacity!B106=0,"",Capacity!B106)</f>
        <v/>
      </c>
      <c r="C101" s="133"/>
      <c r="D101" s="133"/>
      <c r="E101" s="133"/>
      <c r="F101" s="216" t="str">
        <f>IF(ROW(A90)&lt;=Capacity!$A$16,Capacity!E106,"")</f>
        <v/>
      </c>
      <c r="G101" s="217" t="str">
        <f>IF(ROW(A90)&lt;=Capacity!$A$16,'Capacity calculation (hide)'!BH94,"")</f>
        <v/>
      </c>
      <c r="H101" s="216" t="str">
        <f>IF(ROW(A90)&lt;=Capacity!$A$16,Capacity!H106,"")</f>
        <v/>
      </c>
      <c r="I101" s="218" t="str">
        <f>IF(ROW(A90)&lt;=Capacity!$A$16,'Capacity calculation (hide)'!DK94,"")</f>
        <v/>
      </c>
      <c r="J101" s="219" t="str">
        <f t="shared" si="1"/>
        <v/>
      </c>
    </row>
    <row r="102" spans="2:10" x14ac:dyDescent="0.25">
      <c r="B102" s="219" t="str">
        <f>IF(Capacity!B107=0,"",Capacity!B107)</f>
        <v/>
      </c>
      <c r="C102" s="133"/>
      <c r="D102" s="133"/>
      <c r="E102" s="133"/>
      <c r="F102" s="216" t="str">
        <f>IF(ROW(A91)&lt;=Capacity!$A$16,Capacity!E107,"")</f>
        <v/>
      </c>
      <c r="G102" s="217" t="str">
        <f>IF(ROW(A91)&lt;=Capacity!$A$16,'Capacity calculation (hide)'!BH95,"")</f>
        <v/>
      </c>
      <c r="H102" s="216" t="str">
        <f>IF(ROW(A91)&lt;=Capacity!$A$16,Capacity!H107,"")</f>
        <v/>
      </c>
      <c r="I102" s="218" t="str">
        <f>IF(ROW(A91)&lt;=Capacity!$A$16,'Capacity calculation (hide)'!DK95,"")</f>
        <v/>
      </c>
      <c r="J102" s="219" t="str">
        <f t="shared" si="1"/>
        <v/>
      </c>
    </row>
    <row r="103" spans="2:10" x14ac:dyDescent="0.25">
      <c r="B103" s="219" t="str">
        <f>IF(Capacity!B108=0,"",Capacity!B108)</f>
        <v/>
      </c>
      <c r="C103" s="133"/>
      <c r="D103" s="133"/>
      <c r="E103" s="133"/>
      <c r="F103" s="216" t="str">
        <f>IF(ROW(A92)&lt;=Capacity!$A$16,Capacity!E108,"")</f>
        <v/>
      </c>
      <c r="G103" s="217" t="str">
        <f>IF(ROW(A92)&lt;=Capacity!$A$16,'Capacity calculation (hide)'!BH96,"")</f>
        <v/>
      </c>
      <c r="H103" s="216" t="str">
        <f>IF(ROW(A92)&lt;=Capacity!$A$16,Capacity!H108,"")</f>
        <v/>
      </c>
      <c r="I103" s="218" t="str">
        <f>IF(ROW(A92)&lt;=Capacity!$A$16,'Capacity calculation (hide)'!DK96,"")</f>
        <v/>
      </c>
      <c r="J103" s="219" t="str">
        <f t="shared" si="1"/>
        <v/>
      </c>
    </row>
    <row r="104" spans="2:10" x14ac:dyDescent="0.25">
      <c r="B104" s="219" t="str">
        <f>IF(Capacity!B109=0,"",Capacity!B109)</f>
        <v/>
      </c>
      <c r="C104" s="133"/>
      <c r="D104" s="133"/>
      <c r="E104" s="133"/>
      <c r="F104" s="216" t="str">
        <f>IF(ROW(A93)&lt;=Capacity!$A$16,Capacity!E109,"")</f>
        <v/>
      </c>
      <c r="G104" s="217" t="str">
        <f>IF(ROW(A93)&lt;=Capacity!$A$16,'Capacity calculation (hide)'!BH97,"")</f>
        <v/>
      </c>
      <c r="H104" s="216" t="str">
        <f>IF(ROW(A93)&lt;=Capacity!$A$16,Capacity!H109,"")</f>
        <v/>
      </c>
      <c r="I104" s="218" t="str">
        <f>IF(ROW(A93)&lt;=Capacity!$A$16,'Capacity calculation (hide)'!DK97,"")</f>
        <v/>
      </c>
      <c r="J104" s="219" t="str">
        <f t="shared" si="1"/>
        <v/>
      </c>
    </row>
    <row r="105" spans="2:10" x14ac:dyDescent="0.25">
      <c r="B105" s="219" t="str">
        <f>IF(Capacity!B110=0,"",Capacity!B110)</f>
        <v/>
      </c>
      <c r="C105" s="133"/>
      <c r="D105" s="133"/>
      <c r="E105" s="133"/>
      <c r="F105" s="216" t="str">
        <f>IF(ROW(A94)&lt;=Capacity!$A$16,Capacity!E110,"")</f>
        <v/>
      </c>
      <c r="G105" s="217" t="str">
        <f>IF(ROW(A94)&lt;=Capacity!$A$16,'Capacity calculation (hide)'!BH98,"")</f>
        <v/>
      </c>
      <c r="H105" s="216" t="str">
        <f>IF(ROW(A94)&lt;=Capacity!$A$16,Capacity!H110,"")</f>
        <v/>
      </c>
      <c r="I105" s="218" t="str">
        <f>IF(ROW(A94)&lt;=Capacity!$A$16,'Capacity calculation (hide)'!DK98,"")</f>
        <v/>
      </c>
      <c r="J105" s="219" t="str">
        <f t="shared" si="1"/>
        <v/>
      </c>
    </row>
    <row r="106" spans="2:10" x14ac:dyDescent="0.25">
      <c r="B106" s="219" t="str">
        <f>IF(Capacity!B111=0,"",Capacity!B111)</f>
        <v/>
      </c>
      <c r="C106" s="133"/>
      <c r="D106" s="133"/>
      <c r="E106" s="133"/>
      <c r="F106" s="216" t="str">
        <f>IF(ROW(A95)&lt;=Capacity!$A$16,Capacity!E111,"")</f>
        <v/>
      </c>
      <c r="G106" s="217" t="str">
        <f>IF(ROW(A95)&lt;=Capacity!$A$16,'Capacity calculation (hide)'!BH99,"")</f>
        <v/>
      </c>
      <c r="H106" s="216" t="str">
        <f>IF(ROW(A95)&lt;=Capacity!$A$16,Capacity!H111,"")</f>
        <v/>
      </c>
      <c r="I106" s="218" t="str">
        <f>IF(ROW(A95)&lt;=Capacity!$A$16,'Capacity calculation (hide)'!DK99,"")</f>
        <v/>
      </c>
      <c r="J106" s="219" t="str">
        <f t="shared" si="1"/>
        <v/>
      </c>
    </row>
    <row r="107" spans="2:10" x14ac:dyDescent="0.25">
      <c r="B107" s="219" t="str">
        <f>IF(Capacity!B112=0,"",Capacity!B112)</f>
        <v/>
      </c>
      <c r="C107" s="133"/>
      <c r="D107" s="133"/>
      <c r="E107" s="133"/>
      <c r="F107" s="216" t="str">
        <f>IF(ROW(A96)&lt;=Capacity!$A$16,Capacity!E112,"")</f>
        <v/>
      </c>
      <c r="G107" s="217" t="str">
        <f>IF(ROW(A96)&lt;=Capacity!$A$16,'Capacity calculation (hide)'!BH100,"")</f>
        <v/>
      </c>
      <c r="H107" s="216" t="str">
        <f>IF(ROW(A96)&lt;=Capacity!$A$16,Capacity!H112,"")</f>
        <v/>
      </c>
      <c r="I107" s="218" t="str">
        <f>IF(ROW(A96)&lt;=Capacity!$A$16,'Capacity calculation (hide)'!DK100,"")</f>
        <v/>
      </c>
      <c r="J107" s="219" t="str">
        <f t="shared" si="1"/>
        <v/>
      </c>
    </row>
    <row r="108" spans="2:10" x14ac:dyDescent="0.25">
      <c r="B108" s="219" t="str">
        <f>IF(Capacity!B113=0,"",Capacity!B113)</f>
        <v/>
      </c>
      <c r="C108" s="133"/>
      <c r="D108" s="133"/>
      <c r="E108" s="133"/>
      <c r="F108" s="216" t="str">
        <f>IF(ROW(A97)&lt;=Capacity!$A$16,Capacity!E113,"")</f>
        <v/>
      </c>
      <c r="G108" s="217" t="str">
        <f>IF(ROW(A97)&lt;=Capacity!$A$16,'Capacity calculation (hide)'!BH101,"")</f>
        <v/>
      </c>
      <c r="H108" s="216" t="str">
        <f>IF(ROW(A97)&lt;=Capacity!$A$16,Capacity!H113,"")</f>
        <v/>
      </c>
      <c r="I108" s="218" t="str">
        <f>IF(ROW(A97)&lt;=Capacity!$A$16,'Capacity calculation (hide)'!DK101,"")</f>
        <v/>
      </c>
      <c r="J108" s="219" t="str">
        <f t="shared" si="1"/>
        <v/>
      </c>
    </row>
    <row r="109" spans="2:10" x14ac:dyDescent="0.25">
      <c r="B109" s="219" t="str">
        <f>IF(Capacity!B114=0,"",Capacity!B114)</f>
        <v/>
      </c>
      <c r="C109" s="133"/>
      <c r="D109" s="133"/>
      <c r="E109" s="133"/>
      <c r="F109" s="216" t="str">
        <f>IF(ROW(A98)&lt;=Capacity!$A$16,Capacity!E114,"")</f>
        <v/>
      </c>
      <c r="G109" s="217" t="str">
        <f>IF(ROW(A98)&lt;=Capacity!$A$16,'Capacity calculation (hide)'!BH102,"")</f>
        <v/>
      </c>
      <c r="H109" s="216" t="str">
        <f>IF(ROW(A98)&lt;=Capacity!$A$16,Capacity!H114,"")</f>
        <v/>
      </c>
      <c r="I109" s="218" t="str">
        <f>IF(ROW(A98)&lt;=Capacity!$A$16,'Capacity calculation (hide)'!DK102,"")</f>
        <v/>
      </c>
      <c r="J109" s="219" t="str">
        <f t="shared" si="1"/>
        <v/>
      </c>
    </row>
    <row r="110" spans="2:10" x14ac:dyDescent="0.25">
      <c r="B110" s="219" t="str">
        <f>IF(Capacity!B115=0,"",Capacity!B115)</f>
        <v/>
      </c>
      <c r="C110" s="133"/>
      <c r="D110" s="133"/>
      <c r="E110" s="133"/>
      <c r="F110" s="216" t="str">
        <f>IF(ROW(A99)&lt;=Capacity!$A$16,Capacity!E115,"")</f>
        <v/>
      </c>
      <c r="G110" s="217" t="str">
        <f>IF(ROW(A99)&lt;=Capacity!$A$16,'Capacity calculation (hide)'!BH103,"")</f>
        <v/>
      </c>
      <c r="H110" s="216" t="str">
        <f>IF(ROW(A99)&lt;=Capacity!$A$16,Capacity!H115,"")</f>
        <v/>
      </c>
      <c r="I110" s="218" t="str">
        <f>IF(ROW(A99)&lt;=Capacity!$A$16,'Capacity calculation (hide)'!DK103,"")</f>
        <v/>
      </c>
      <c r="J110" s="219" t="str">
        <f t="shared" si="1"/>
        <v/>
      </c>
    </row>
    <row r="111" spans="2:10" x14ac:dyDescent="0.25">
      <c r="B111" s="219" t="str">
        <f>IF(Capacity!B116=0,"",Capacity!B116)</f>
        <v/>
      </c>
      <c r="C111" s="133"/>
      <c r="D111" s="133"/>
      <c r="E111" s="133"/>
      <c r="F111" s="216" t="str">
        <f>IF(ROW(A100)&lt;=Capacity!$A$16,Capacity!E116,"")</f>
        <v/>
      </c>
      <c r="G111" s="217" t="str">
        <f>IF(ROW(A100)&lt;=Capacity!$A$16,'Capacity calculation (hide)'!BH104,"")</f>
        <v/>
      </c>
      <c r="H111" s="216" t="str">
        <f>IF(ROW(A100)&lt;=Capacity!$A$16,Capacity!H116,"")</f>
        <v/>
      </c>
      <c r="I111" s="218" t="str">
        <f>IF(ROW(A100)&lt;=Capacity!$A$16,'Capacity calculation (hide)'!DK104,"")</f>
        <v/>
      </c>
      <c r="J111" s="219" t="str">
        <f t="shared" si="1"/>
        <v/>
      </c>
    </row>
    <row r="115" spans="2:10" hidden="1" x14ac:dyDescent="0.25">
      <c r="B115" s="56" t="s">
        <v>461</v>
      </c>
    </row>
    <row r="116" spans="2:10" hidden="1" x14ac:dyDescent="0.25"/>
    <row r="117" spans="2:10" ht="41.4" hidden="1" x14ac:dyDescent="0.25">
      <c r="B117" s="121" t="s">
        <v>252</v>
      </c>
      <c r="C117" s="121" t="s">
        <v>452</v>
      </c>
      <c r="D117" s="121" t="s">
        <v>453</v>
      </c>
      <c r="E117" s="121" t="s">
        <v>454</v>
      </c>
      <c r="F117" s="122" t="s">
        <v>295</v>
      </c>
      <c r="G117" s="122" t="s">
        <v>465</v>
      </c>
      <c r="H117" s="122" t="s">
        <v>460</v>
      </c>
      <c r="I117" s="122" t="s">
        <v>464</v>
      </c>
      <c r="J117" s="122" t="s">
        <v>294</v>
      </c>
    </row>
    <row r="118" spans="2:10" hidden="1" x14ac:dyDescent="0.25">
      <c r="B118" s="219" t="str">
        <f>IF(Capacity!N17=0,"",Capacity!N17)</f>
        <v>Ad hoc clinic 1</v>
      </c>
      <c r="C118" s="133"/>
      <c r="D118" s="133"/>
      <c r="E118" s="133"/>
      <c r="F118" s="216">
        <f>IF(ROW(A1)&lt;=Capacity!$M$16,Capacity!Q17,"")</f>
        <v>0</v>
      </c>
      <c r="G118" s="323">
        <f>IF(ROW(A1)&lt;=Capacity!$M$16,'Capacity calculation (hide)'!BH112,"")</f>
        <v>5</v>
      </c>
      <c r="H118" s="216">
        <f>IF(ROW(A1)&lt;=Capacity!$M$16,Capacity!T17,"")</f>
        <v>0</v>
      </c>
      <c r="I118" s="218">
        <f>IF(ROW(A1)&lt;=Capacity!$M$16,'Capacity calculation (hide)'!DK111,"")</f>
        <v>0</v>
      </c>
      <c r="J118" s="219" t="str">
        <f>IFERROR(IF(G118-F118 &lt;0, "Under","Over"),"")</f>
        <v>Over</v>
      </c>
    </row>
    <row r="119" spans="2:10" hidden="1" x14ac:dyDescent="0.25">
      <c r="B119" s="219" t="str">
        <f>IF(Capacity!N18=0,"",Capacity!N18)</f>
        <v/>
      </c>
      <c r="C119" s="133"/>
      <c r="D119" s="133"/>
      <c r="E119" s="133"/>
      <c r="F119" s="216" t="str">
        <f>IF(ROW(A2)&lt;=Capacity!$M$16,Capacity!Q18,"")</f>
        <v/>
      </c>
      <c r="G119" s="323" t="str">
        <f>IF(ROW(A2)&lt;=Capacity!$M$16,'Capacity calculation (hide)'!BH113,"")</f>
        <v/>
      </c>
      <c r="H119" s="216" t="str">
        <f>IF(ROW(A2)&lt;=Capacity!$M$16,Capacity!T18,"")</f>
        <v/>
      </c>
      <c r="I119" s="218" t="str">
        <f>IF(ROW(A2)&lt;=Capacity!$M$16,'Capacity calculation (hide)'!DK112,"")</f>
        <v/>
      </c>
      <c r="J119" s="219" t="str">
        <f t="shared" ref="J119:J182" si="2">IFERROR(IF(G119-F119 &lt;0, "Under","Over"),"")</f>
        <v/>
      </c>
    </row>
    <row r="120" spans="2:10" hidden="1" x14ac:dyDescent="0.25">
      <c r="B120" s="219" t="str">
        <f>IF(Capacity!N19=0,"",Capacity!N19)</f>
        <v/>
      </c>
      <c r="C120" s="133"/>
      <c r="D120" s="133"/>
      <c r="E120" s="133"/>
      <c r="F120" s="216" t="str">
        <f>IF(ROW(A3)&lt;=Capacity!$M$16,Capacity!Q19,"")</f>
        <v/>
      </c>
      <c r="G120" s="323" t="str">
        <f>IF(ROW(A3)&lt;=Capacity!$M$16,'Capacity calculation (hide)'!BH114,"")</f>
        <v/>
      </c>
      <c r="H120" s="216" t="str">
        <f>IF(ROW(A3)&lt;=Capacity!$M$16,Capacity!T19,"")</f>
        <v/>
      </c>
      <c r="I120" s="218" t="str">
        <f>IF(ROW(A3)&lt;=Capacity!$M$16,'Capacity calculation (hide)'!DK113,"")</f>
        <v/>
      </c>
      <c r="J120" s="219" t="str">
        <f t="shared" si="2"/>
        <v/>
      </c>
    </row>
    <row r="121" spans="2:10" hidden="1" x14ac:dyDescent="0.25">
      <c r="B121" s="219" t="str">
        <f>IF(Capacity!N20=0,"",Capacity!N20)</f>
        <v/>
      </c>
      <c r="C121" s="133"/>
      <c r="D121" s="133"/>
      <c r="E121" s="133"/>
      <c r="F121" s="216" t="str">
        <f>IF(ROW(A4)&lt;=Capacity!$M$16,Capacity!Q20,"")</f>
        <v/>
      </c>
      <c r="G121" s="323" t="str">
        <f>IF(ROW(A4)&lt;=Capacity!$M$16,'Capacity calculation (hide)'!BH115,"")</f>
        <v/>
      </c>
      <c r="H121" s="216" t="str">
        <f>IF(ROW(A4)&lt;=Capacity!$M$16,Capacity!T20,"")</f>
        <v/>
      </c>
      <c r="I121" s="218" t="str">
        <f>IF(ROW(A4)&lt;=Capacity!$M$16,'Capacity calculation (hide)'!DK114,"")</f>
        <v/>
      </c>
      <c r="J121" s="219" t="str">
        <f t="shared" si="2"/>
        <v/>
      </c>
    </row>
    <row r="122" spans="2:10" hidden="1" x14ac:dyDescent="0.25">
      <c r="B122" s="219" t="str">
        <f>IF(Capacity!N21=0,"",Capacity!N21)</f>
        <v/>
      </c>
      <c r="C122" s="133"/>
      <c r="D122" s="133"/>
      <c r="E122" s="133"/>
      <c r="F122" s="216" t="str">
        <f>IF(ROW(A5)&lt;=Capacity!$M$16,Capacity!Q21,"")</f>
        <v/>
      </c>
      <c r="G122" s="323" t="str">
        <f>IF(ROW(A5)&lt;=Capacity!$M$16,'Capacity calculation (hide)'!BH116,"")</f>
        <v/>
      </c>
      <c r="H122" s="216" t="str">
        <f>IF(ROW(A5)&lt;=Capacity!$M$16,Capacity!T21,"")</f>
        <v/>
      </c>
      <c r="I122" s="218" t="str">
        <f>IF(ROW(A5)&lt;=Capacity!$M$16,'Capacity calculation (hide)'!DK115,"")</f>
        <v/>
      </c>
      <c r="J122" s="219" t="str">
        <f t="shared" si="2"/>
        <v/>
      </c>
    </row>
    <row r="123" spans="2:10" hidden="1" x14ac:dyDescent="0.25">
      <c r="B123" s="219" t="str">
        <f>IF(Capacity!N22=0,"",Capacity!N22)</f>
        <v/>
      </c>
      <c r="C123" s="133"/>
      <c r="D123" s="133"/>
      <c r="E123" s="133"/>
      <c r="F123" s="216" t="str">
        <f>IF(ROW(A6)&lt;=Capacity!$M$16,Capacity!Q22,"")</f>
        <v/>
      </c>
      <c r="G123" s="323" t="str">
        <f>IF(ROW(A6)&lt;=Capacity!$M$16,'Capacity calculation (hide)'!BH117,"")</f>
        <v/>
      </c>
      <c r="H123" s="216" t="str">
        <f>IF(ROW(A6)&lt;=Capacity!$M$16,Capacity!T22,"")</f>
        <v/>
      </c>
      <c r="I123" s="218" t="str">
        <f>IF(ROW(A6)&lt;=Capacity!$M$16,'Capacity calculation (hide)'!DK116,"")</f>
        <v/>
      </c>
      <c r="J123" s="219" t="str">
        <f t="shared" si="2"/>
        <v/>
      </c>
    </row>
    <row r="124" spans="2:10" hidden="1" x14ac:dyDescent="0.25">
      <c r="B124" s="219" t="str">
        <f>IF(Capacity!N23=0,"",Capacity!N23)</f>
        <v/>
      </c>
      <c r="C124" s="133"/>
      <c r="D124" s="133"/>
      <c r="E124" s="133"/>
      <c r="F124" s="216" t="str">
        <f>IF(ROW(A7)&lt;=Capacity!$M$16,Capacity!Q23,"")</f>
        <v/>
      </c>
      <c r="G124" s="323" t="str">
        <f>IF(ROW(A7)&lt;=Capacity!$M$16,'Capacity calculation (hide)'!BH118,"")</f>
        <v/>
      </c>
      <c r="H124" s="216" t="str">
        <f>IF(ROW(A7)&lt;=Capacity!$M$16,Capacity!T23,"")</f>
        <v/>
      </c>
      <c r="I124" s="218" t="str">
        <f>IF(ROW(A7)&lt;=Capacity!$M$16,'Capacity calculation (hide)'!DK117,"")</f>
        <v/>
      </c>
      <c r="J124" s="219" t="str">
        <f t="shared" si="2"/>
        <v/>
      </c>
    </row>
    <row r="125" spans="2:10" hidden="1" x14ac:dyDescent="0.25">
      <c r="B125" s="219" t="str">
        <f>IF(Capacity!N24=0,"",Capacity!N24)</f>
        <v/>
      </c>
      <c r="C125" s="133"/>
      <c r="D125" s="133"/>
      <c r="E125" s="133"/>
      <c r="F125" s="216" t="str">
        <f>IF(ROW(A8)&lt;=Capacity!$M$16,Capacity!Q24,"")</f>
        <v/>
      </c>
      <c r="G125" s="323" t="str">
        <f>IF(ROW(A8)&lt;=Capacity!$M$16,'Capacity calculation (hide)'!BH119,"")</f>
        <v/>
      </c>
      <c r="H125" s="216" t="str">
        <f>IF(ROW(A8)&lt;=Capacity!$M$16,Capacity!T24,"")</f>
        <v/>
      </c>
      <c r="I125" s="218" t="str">
        <f>IF(ROW(A8)&lt;=Capacity!$M$16,'Capacity calculation (hide)'!DK118,"")</f>
        <v/>
      </c>
      <c r="J125" s="219" t="str">
        <f t="shared" si="2"/>
        <v/>
      </c>
    </row>
    <row r="126" spans="2:10" hidden="1" x14ac:dyDescent="0.25">
      <c r="B126" s="219" t="str">
        <f>IF(Capacity!N25=0,"",Capacity!N25)</f>
        <v/>
      </c>
      <c r="C126" s="133"/>
      <c r="D126" s="133"/>
      <c r="E126" s="133"/>
      <c r="F126" s="216" t="str">
        <f>IF(ROW(A9)&lt;=Capacity!$M$16,Capacity!Q25,"")</f>
        <v/>
      </c>
      <c r="G126" s="323" t="str">
        <f>IF(ROW(A9)&lt;=Capacity!$M$16,'Capacity calculation (hide)'!BH120,"")</f>
        <v/>
      </c>
      <c r="H126" s="216" t="str">
        <f>IF(ROW(A9)&lt;=Capacity!$M$16,Capacity!T25,"")</f>
        <v/>
      </c>
      <c r="I126" s="218" t="str">
        <f>IF(ROW(A9)&lt;=Capacity!$M$16,'Capacity calculation (hide)'!DK119,"")</f>
        <v/>
      </c>
      <c r="J126" s="219" t="str">
        <f t="shared" si="2"/>
        <v/>
      </c>
    </row>
    <row r="127" spans="2:10" hidden="1" x14ac:dyDescent="0.25">
      <c r="B127" s="219" t="str">
        <f>IF(Capacity!N26=0,"",Capacity!N26)</f>
        <v/>
      </c>
      <c r="C127" s="133"/>
      <c r="D127" s="133"/>
      <c r="E127" s="133"/>
      <c r="F127" s="216" t="str">
        <f>IF(ROW(A10)&lt;=Capacity!$M$16,Capacity!Q26,"")</f>
        <v/>
      </c>
      <c r="G127" s="323" t="str">
        <f>IF(ROW(A10)&lt;=Capacity!$M$16,'Capacity calculation (hide)'!BH121,"")</f>
        <v/>
      </c>
      <c r="H127" s="216" t="str">
        <f>IF(ROW(A10)&lt;=Capacity!$M$16,Capacity!T26,"")</f>
        <v/>
      </c>
      <c r="I127" s="218" t="str">
        <f>IF(ROW(A10)&lt;=Capacity!$M$16,'Capacity calculation (hide)'!DK120,"")</f>
        <v/>
      </c>
      <c r="J127" s="219" t="str">
        <f t="shared" si="2"/>
        <v/>
      </c>
    </row>
    <row r="128" spans="2:10" hidden="1" x14ac:dyDescent="0.25">
      <c r="B128" s="219" t="str">
        <f>IF(Capacity!N27=0,"",Capacity!N27)</f>
        <v/>
      </c>
      <c r="C128" s="133"/>
      <c r="D128" s="133"/>
      <c r="E128" s="133"/>
      <c r="F128" s="216" t="str">
        <f>IF(ROW(A11)&lt;=Capacity!$M$16,Capacity!Q27,"")</f>
        <v/>
      </c>
      <c r="G128" s="323" t="str">
        <f>IF(ROW(A11)&lt;=Capacity!$M$16,'Capacity calculation (hide)'!BH122,"")</f>
        <v/>
      </c>
      <c r="H128" s="216" t="str">
        <f>IF(ROW(A11)&lt;=Capacity!$M$16,Capacity!T27,"")</f>
        <v/>
      </c>
      <c r="I128" s="218" t="str">
        <f>IF(ROW(A11)&lt;=Capacity!$M$16,'Capacity calculation (hide)'!DK121,"")</f>
        <v/>
      </c>
      <c r="J128" s="219" t="str">
        <f t="shared" si="2"/>
        <v/>
      </c>
    </row>
    <row r="129" spans="2:10" hidden="1" x14ac:dyDescent="0.25">
      <c r="B129" s="219" t="str">
        <f>IF(Capacity!N28=0,"",Capacity!N28)</f>
        <v/>
      </c>
      <c r="C129" s="133"/>
      <c r="D129" s="133"/>
      <c r="E129" s="133"/>
      <c r="F129" s="216" t="str">
        <f>IF(ROW(A12)&lt;=Capacity!$M$16,Capacity!Q28,"")</f>
        <v/>
      </c>
      <c r="G129" s="323" t="str">
        <f>IF(ROW(A12)&lt;=Capacity!$M$16,'Capacity calculation (hide)'!BH123,"")</f>
        <v/>
      </c>
      <c r="H129" s="216" t="str">
        <f>IF(ROW(A12)&lt;=Capacity!$M$16,Capacity!T28,"")</f>
        <v/>
      </c>
      <c r="I129" s="218" t="str">
        <f>IF(ROW(A12)&lt;=Capacity!$M$16,'Capacity calculation (hide)'!DK122,"")</f>
        <v/>
      </c>
      <c r="J129" s="219" t="str">
        <f t="shared" si="2"/>
        <v/>
      </c>
    </row>
    <row r="130" spans="2:10" hidden="1" x14ac:dyDescent="0.25">
      <c r="B130" s="219" t="str">
        <f>IF(Capacity!N29=0,"",Capacity!N29)</f>
        <v/>
      </c>
      <c r="C130" s="133"/>
      <c r="D130" s="133"/>
      <c r="E130" s="133"/>
      <c r="F130" s="216" t="str">
        <f>IF(ROW(A13)&lt;=Capacity!$M$16,Capacity!Q29,"")</f>
        <v/>
      </c>
      <c r="G130" s="323" t="str">
        <f>IF(ROW(A13)&lt;=Capacity!$M$16,'Capacity calculation (hide)'!BH124,"")</f>
        <v/>
      </c>
      <c r="H130" s="216" t="str">
        <f>IF(ROW(A13)&lt;=Capacity!$M$16,Capacity!T29,"")</f>
        <v/>
      </c>
      <c r="I130" s="218" t="str">
        <f>IF(ROW(A13)&lt;=Capacity!$M$16,'Capacity calculation (hide)'!DK123,"")</f>
        <v/>
      </c>
      <c r="J130" s="219" t="str">
        <f t="shared" si="2"/>
        <v/>
      </c>
    </row>
    <row r="131" spans="2:10" hidden="1" x14ac:dyDescent="0.25">
      <c r="B131" s="219" t="str">
        <f>IF(Capacity!N30=0,"",Capacity!N30)</f>
        <v/>
      </c>
      <c r="C131" s="133"/>
      <c r="D131" s="133"/>
      <c r="E131" s="133"/>
      <c r="F131" s="216" t="str">
        <f>IF(ROW(A14)&lt;=Capacity!$M$16,Capacity!Q30,"")</f>
        <v/>
      </c>
      <c r="G131" s="323" t="str">
        <f>IF(ROW(A14)&lt;=Capacity!$M$16,'Capacity calculation (hide)'!BH125,"")</f>
        <v/>
      </c>
      <c r="H131" s="216" t="str">
        <f>IF(ROW(A14)&lt;=Capacity!$M$16,Capacity!T30,"")</f>
        <v/>
      </c>
      <c r="I131" s="218" t="str">
        <f>IF(ROW(A14)&lt;=Capacity!$M$16,'Capacity calculation (hide)'!DK124,"")</f>
        <v/>
      </c>
      <c r="J131" s="219" t="str">
        <f t="shared" si="2"/>
        <v/>
      </c>
    </row>
    <row r="132" spans="2:10" hidden="1" x14ac:dyDescent="0.25">
      <c r="B132" s="219" t="str">
        <f>IF(Capacity!N31=0,"",Capacity!N31)</f>
        <v/>
      </c>
      <c r="C132" s="133"/>
      <c r="D132" s="133"/>
      <c r="E132" s="133"/>
      <c r="F132" s="216" t="str">
        <f>IF(ROW(A15)&lt;=Capacity!$M$16,Capacity!Q31,"")</f>
        <v/>
      </c>
      <c r="G132" s="323" t="str">
        <f>IF(ROW(A15)&lt;=Capacity!$M$16,'Capacity calculation (hide)'!BH126,"")</f>
        <v/>
      </c>
      <c r="H132" s="216" t="str">
        <f>IF(ROW(A15)&lt;=Capacity!$M$16,Capacity!T31,"")</f>
        <v/>
      </c>
      <c r="I132" s="218" t="str">
        <f>IF(ROW(A15)&lt;=Capacity!$M$16,'Capacity calculation (hide)'!DK125,"")</f>
        <v/>
      </c>
      <c r="J132" s="219" t="str">
        <f t="shared" si="2"/>
        <v/>
      </c>
    </row>
    <row r="133" spans="2:10" hidden="1" x14ac:dyDescent="0.25">
      <c r="B133" s="219" t="str">
        <f>IF(Capacity!N32=0,"",Capacity!N32)</f>
        <v/>
      </c>
      <c r="C133" s="133"/>
      <c r="D133" s="133"/>
      <c r="E133" s="133"/>
      <c r="F133" s="216" t="str">
        <f>IF(ROW(A16)&lt;=Capacity!$M$16,Capacity!Q32,"")</f>
        <v/>
      </c>
      <c r="G133" s="323" t="str">
        <f>IF(ROW(A16)&lt;=Capacity!$M$16,'Capacity calculation (hide)'!BH127,"")</f>
        <v/>
      </c>
      <c r="H133" s="216" t="str">
        <f>IF(ROW(A16)&lt;=Capacity!$M$16,Capacity!T32,"")</f>
        <v/>
      </c>
      <c r="I133" s="218" t="str">
        <f>IF(ROW(A16)&lt;=Capacity!$M$16,'Capacity calculation (hide)'!DK126,"")</f>
        <v/>
      </c>
      <c r="J133" s="219" t="str">
        <f t="shared" si="2"/>
        <v/>
      </c>
    </row>
    <row r="134" spans="2:10" hidden="1" x14ac:dyDescent="0.25">
      <c r="B134" s="219" t="str">
        <f>IF(Capacity!N33=0,"",Capacity!N33)</f>
        <v/>
      </c>
      <c r="C134" s="133"/>
      <c r="D134" s="133"/>
      <c r="E134" s="133"/>
      <c r="F134" s="216" t="str">
        <f>IF(ROW(A17)&lt;=Capacity!$M$16,Capacity!Q33,"")</f>
        <v/>
      </c>
      <c r="G134" s="323" t="str">
        <f>IF(ROW(A17)&lt;=Capacity!$M$16,'Capacity calculation (hide)'!BH128,"")</f>
        <v/>
      </c>
      <c r="H134" s="216" t="str">
        <f>IF(ROW(A17)&lt;=Capacity!$M$16,Capacity!T33,"")</f>
        <v/>
      </c>
      <c r="I134" s="218" t="str">
        <f>IF(ROW(A17)&lt;=Capacity!$M$16,'Capacity calculation (hide)'!DK127,"")</f>
        <v/>
      </c>
      <c r="J134" s="219" t="str">
        <f t="shared" si="2"/>
        <v/>
      </c>
    </row>
    <row r="135" spans="2:10" hidden="1" x14ac:dyDescent="0.25">
      <c r="B135" s="219" t="str">
        <f>IF(Capacity!N34=0,"",Capacity!N34)</f>
        <v/>
      </c>
      <c r="C135" s="133"/>
      <c r="D135" s="133"/>
      <c r="E135" s="133"/>
      <c r="F135" s="216" t="str">
        <f>IF(ROW(A18)&lt;=Capacity!$M$16,Capacity!Q34,"")</f>
        <v/>
      </c>
      <c r="G135" s="323" t="str">
        <f>IF(ROW(A18)&lt;=Capacity!$M$16,'Capacity calculation (hide)'!BH129,"")</f>
        <v/>
      </c>
      <c r="H135" s="216" t="str">
        <f>IF(ROW(A18)&lt;=Capacity!$M$16,Capacity!T34,"")</f>
        <v/>
      </c>
      <c r="I135" s="218" t="str">
        <f>IF(ROW(A18)&lt;=Capacity!$M$16,'Capacity calculation (hide)'!DK128,"")</f>
        <v/>
      </c>
      <c r="J135" s="219" t="str">
        <f t="shared" si="2"/>
        <v/>
      </c>
    </row>
    <row r="136" spans="2:10" hidden="1" x14ac:dyDescent="0.25">
      <c r="B136" s="219" t="str">
        <f>IF(Capacity!N35=0,"",Capacity!N35)</f>
        <v/>
      </c>
      <c r="C136" s="133"/>
      <c r="D136" s="133"/>
      <c r="E136" s="133"/>
      <c r="F136" s="216" t="str">
        <f>IF(ROW(A19)&lt;=Capacity!$M$16,Capacity!Q35,"")</f>
        <v/>
      </c>
      <c r="G136" s="323" t="str">
        <f>IF(ROW(A19)&lt;=Capacity!$M$16,'Capacity calculation (hide)'!BH130,"")</f>
        <v/>
      </c>
      <c r="H136" s="216" t="str">
        <f>IF(ROW(A19)&lt;=Capacity!$M$16,Capacity!T35,"")</f>
        <v/>
      </c>
      <c r="I136" s="218" t="str">
        <f>IF(ROW(A19)&lt;=Capacity!$M$16,'Capacity calculation (hide)'!DK129,"")</f>
        <v/>
      </c>
      <c r="J136" s="219" t="str">
        <f t="shared" si="2"/>
        <v/>
      </c>
    </row>
    <row r="137" spans="2:10" hidden="1" x14ac:dyDescent="0.25">
      <c r="B137" s="219" t="str">
        <f>IF(Capacity!N36=0,"",Capacity!N36)</f>
        <v/>
      </c>
      <c r="C137" s="133"/>
      <c r="D137" s="133"/>
      <c r="E137" s="133"/>
      <c r="F137" s="216" t="str">
        <f>IF(ROW(A20)&lt;=Capacity!$M$16,Capacity!Q36,"")</f>
        <v/>
      </c>
      <c r="G137" s="323" t="str">
        <f>IF(ROW(A20)&lt;=Capacity!$M$16,'Capacity calculation (hide)'!BH131,"")</f>
        <v/>
      </c>
      <c r="H137" s="216" t="str">
        <f>IF(ROW(A20)&lt;=Capacity!$M$16,Capacity!T36,"")</f>
        <v/>
      </c>
      <c r="I137" s="218" t="str">
        <f>IF(ROW(A20)&lt;=Capacity!$M$16,'Capacity calculation (hide)'!DK130,"")</f>
        <v/>
      </c>
      <c r="J137" s="219" t="str">
        <f t="shared" si="2"/>
        <v/>
      </c>
    </row>
    <row r="138" spans="2:10" hidden="1" x14ac:dyDescent="0.25">
      <c r="B138" s="219" t="str">
        <f>IF(Capacity!N37=0,"",Capacity!N37)</f>
        <v/>
      </c>
      <c r="C138" s="133"/>
      <c r="D138" s="133"/>
      <c r="E138" s="133"/>
      <c r="F138" s="216" t="str">
        <f>IF(ROW(A21)&lt;=Capacity!$M$16,Capacity!Q37,"")</f>
        <v/>
      </c>
      <c r="G138" s="323" t="str">
        <f>IF(ROW(A21)&lt;=Capacity!$M$16,'Capacity calculation (hide)'!BH132,"")</f>
        <v/>
      </c>
      <c r="H138" s="216" t="str">
        <f>IF(ROW(A21)&lt;=Capacity!$M$16,Capacity!T37,"")</f>
        <v/>
      </c>
      <c r="I138" s="218" t="str">
        <f>IF(ROW(A21)&lt;=Capacity!$M$16,'Capacity calculation (hide)'!DK131,"")</f>
        <v/>
      </c>
      <c r="J138" s="219" t="str">
        <f t="shared" si="2"/>
        <v/>
      </c>
    </row>
    <row r="139" spans="2:10" hidden="1" x14ac:dyDescent="0.25">
      <c r="B139" s="219" t="str">
        <f>IF(Capacity!N38=0,"",Capacity!N38)</f>
        <v/>
      </c>
      <c r="C139" s="133"/>
      <c r="D139" s="133"/>
      <c r="E139" s="133"/>
      <c r="F139" s="216" t="str">
        <f>IF(ROW(A22)&lt;=Capacity!$M$16,Capacity!Q38,"")</f>
        <v/>
      </c>
      <c r="G139" s="323" t="str">
        <f>IF(ROW(A22)&lt;=Capacity!$M$16,'Capacity calculation (hide)'!BH133,"")</f>
        <v/>
      </c>
      <c r="H139" s="216" t="str">
        <f>IF(ROW(A22)&lt;=Capacity!$M$16,Capacity!T38,"")</f>
        <v/>
      </c>
      <c r="I139" s="218" t="str">
        <f>IF(ROW(A22)&lt;=Capacity!$M$16,'Capacity calculation (hide)'!DK132,"")</f>
        <v/>
      </c>
      <c r="J139" s="219" t="str">
        <f t="shared" si="2"/>
        <v/>
      </c>
    </row>
    <row r="140" spans="2:10" hidden="1" x14ac:dyDescent="0.25">
      <c r="B140" s="219" t="str">
        <f>IF(Capacity!N39=0,"",Capacity!N39)</f>
        <v/>
      </c>
      <c r="C140" s="133"/>
      <c r="D140" s="133"/>
      <c r="E140" s="133"/>
      <c r="F140" s="216" t="str">
        <f>IF(ROW(A23)&lt;=Capacity!$M$16,Capacity!Q39,"")</f>
        <v/>
      </c>
      <c r="G140" s="323" t="str">
        <f>IF(ROW(A23)&lt;=Capacity!$M$16,'Capacity calculation (hide)'!BH134,"")</f>
        <v/>
      </c>
      <c r="H140" s="216" t="str">
        <f>IF(ROW(A23)&lt;=Capacity!$M$16,Capacity!T39,"")</f>
        <v/>
      </c>
      <c r="I140" s="218" t="str">
        <f>IF(ROW(A23)&lt;=Capacity!$M$16,'Capacity calculation (hide)'!DK133,"")</f>
        <v/>
      </c>
      <c r="J140" s="219" t="str">
        <f t="shared" si="2"/>
        <v/>
      </c>
    </row>
    <row r="141" spans="2:10" hidden="1" x14ac:dyDescent="0.25">
      <c r="B141" s="219" t="str">
        <f>IF(Capacity!N40=0,"",Capacity!N40)</f>
        <v/>
      </c>
      <c r="C141" s="133"/>
      <c r="D141" s="133"/>
      <c r="E141" s="133"/>
      <c r="F141" s="216" t="str">
        <f>IF(ROW(A24)&lt;=Capacity!$M$16,Capacity!Q40,"")</f>
        <v/>
      </c>
      <c r="G141" s="323" t="str">
        <f>IF(ROW(A24)&lt;=Capacity!$M$16,'Capacity calculation (hide)'!BH135,"")</f>
        <v/>
      </c>
      <c r="H141" s="216" t="str">
        <f>IF(ROW(A24)&lt;=Capacity!$M$16,Capacity!T40,"")</f>
        <v/>
      </c>
      <c r="I141" s="218" t="str">
        <f>IF(ROW(A24)&lt;=Capacity!$M$16,'Capacity calculation (hide)'!DK134,"")</f>
        <v/>
      </c>
      <c r="J141" s="219" t="str">
        <f t="shared" si="2"/>
        <v/>
      </c>
    </row>
    <row r="142" spans="2:10" hidden="1" x14ac:dyDescent="0.25">
      <c r="B142" s="219" t="str">
        <f>IF(Capacity!N41=0,"",Capacity!N41)</f>
        <v/>
      </c>
      <c r="C142" s="133"/>
      <c r="D142" s="133"/>
      <c r="E142" s="133"/>
      <c r="F142" s="216" t="str">
        <f>IF(ROW(A25)&lt;=Capacity!$M$16,Capacity!Q41,"")</f>
        <v/>
      </c>
      <c r="G142" s="323" t="str">
        <f>IF(ROW(A25)&lt;=Capacity!$M$16,'Capacity calculation (hide)'!BH136,"")</f>
        <v/>
      </c>
      <c r="H142" s="216" t="str">
        <f>IF(ROW(A25)&lt;=Capacity!$M$16,Capacity!T41,"")</f>
        <v/>
      </c>
      <c r="I142" s="218" t="str">
        <f>IF(ROW(A25)&lt;=Capacity!$M$16,'Capacity calculation (hide)'!DK135,"")</f>
        <v/>
      </c>
      <c r="J142" s="219" t="str">
        <f t="shared" si="2"/>
        <v/>
      </c>
    </row>
    <row r="143" spans="2:10" hidden="1" x14ac:dyDescent="0.25">
      <c r="B143" s="219" t="str">
        <f>IF(Capacity!N42=0,"",Capacity!N42)</f>
        <v/>
      </c>
      <c r="C143" s="133"/>
      <c r="D143" s="133"/>
      <c r="E143" s="133"/>
      <c r="F143" s="216" t="str">
        <f>IF(ROW(A26)&lt;=Capacity!$M$16,Capacity!Q42,"")</f>
        <v/>
      </c>
      <c r="G143" s="323" t="str">
        <f>IF(ROW(A26)&lt;=Capacity!$M$16,'Capacity calculation (hide)'!BH137,"")</f>
        <v/>
      </c>
      <c r="H143" s="216" t="str">
        <f>IF(ROW(A26)&lt;=Capacity!$M$16,Capacity!T42,"")</f>
        <v/>
      </c>
      <c r="I143" s="218" t="str">
        <f>IF(ROW(A26)&lt;=Capacity!$M$16,'Capacity calculation (hide)'!DK136,"")</f>
        <v/>
      </c>
      <c r="J143" s="219" t="str">
        <f t="shared" si="2"/>
        <v/>
      </c>
    </row>
    <row r="144" spans="2:10" hidden="1" x14ac:dyDescent="0.25">
      <c r="B144" s="219" t="str">
        <f>IF(Capacity!N43=0,"",Capacity!N43)</f>
        <v/>
      </c>
      <c r="C144" s="133"/>
      <c r="D144" s="133"/>
      <c r="E144" s="133"/>
      <c r="F144" s="216" t="str">
        <f>IF(ROW(A27)&lt;=Capacity!$M$16,Capacity!Q43,"")</f>
        <v/>
      </c>
      <c r="G144" s="323" t="str">
        <f>IF(ROW(A27)&lt;=Capacity!$M$16,'Capacity calculation (hide)'!BH138,"")</f>
        <v/>
      </c>
      <c r="H144" s="216" t="str">
        <f>IF(ROW(A27)&lt;=Capacity!$M$16,Capacity!T43,"")</f>
        <v/>
      </c>
      <c r="I144" s="218" t="str">
        <f>IF(ROW(A27)&lt;=Capacity!$M$16,'Capacity calculation (hide)'!DK137,"")</f>
        <v/>
      </c>
      <c r="J144" s="219" t="str">
        <f t="shared" si="2"/>
        <v/>
      </c>
    </row>
    <row r="145" spans="2:10" hidden="1" x14ac:dyDescent="0.25">
      <c r="B145" s="219" t="str">
        <f>IF(Capacity!N44=0,"",Capacity!N44)</f>
        <v/>
      </c>
      <c r="C145" s="133"/>
      <c r="D145" s="133"/>
      <c r="E145" s="133"/>
      <c r="F145" s="216" t="str">
        <f>IF(ROW(A28)&lt;=Capacity!$M$16,Capacity!Q44,"")</f>
        <v/>
      </c>
      <c r="G145" s="323" t="str">
        <f>IF(ROW(A28)&lt;=Capacity!$M$16,'Capacity calculation (hide)'!BH139,"")</f>
        <v/>
      </c>
      <c r="H145" s="216" t="str">
        <f>IF(ROW(A28)&lt;=Capacity!$M$16,Capacity!T44,"")</f>
        <v/>
      </c>
      <c r="I145" s="218" t="str">
        <f>IF(ROW(A28)&lt;=Capacity!$M$16,'Capacity calculation (hide)'!DK138,"")</f>
        <v/>
      </c>
      <c r="J145" s="219" t="str">
        <f t="shared" si="2"/>
        <v/>
      </c>
    </row>
    <row r="146" spans="2:10" hidden="1" x14ac:dyDescent="0.25">
      <c r="B146" s="219" t="str">
        <f>IF(Capacity!N45=0,"",Capacity!N45)</f>
        <v/>
      </c>
      <c r="C146" s="133"/>
      <c r="D146" s="133"/>
      <c r="E146" s="133"/>
      <c r="F146" s="216" t="str">
        <f>IF(ROW(A29)&lt;=Capacity!$M$16,Capacity!Q45,"")</f>
        <v/>
      </c>
      <c r="G146" s="323" t="str">
        <f>IF(ROW(A29)&lt;=Capacity!$M$16,'Capacity calculation (hide)'!BH140,"")</f>
        <v/>
      </c>
      <c r="H146" s="216" t="str">
        <f>IF(ROW(A29)&lt;=Capacity!$M$16,Capacity!T45,"")</f>
        <v/>
      </c>
      <c r="I146" s="218" t="str">
        <f>IF(ROW(A29)&lt;=Capacity!$M$16,'Capacity calculation (hide)'!DK139,"")</f>
        <v/>
      </c>
      <c r="J146" s="219" t="str">
        <f t="shared" si="2"/>
        <v/>
      </c>
    </row>
    <row r="147" spans="2:10" hidden="1" x14ac:dyDescent="0.25">
      <c r="B147" s="219" t="str">
        <f>IF(Capacity!N46=0,"",Capacity!N46)</f>
        <v/>
      </c>
      <c r="C147" s="133"/>
      <c r="D147" s="133"/>
      <c r="E147" s="133"/>
      <c r="F147" s="216" t="str">
        <f>IF(ROW(A30)&lt;=Capacity!$M$16,Capacity!Q46,"")</f>
        <v/>
      </c>
      <c r="G147" s="323" t="str">
        <f>IF(ROW(A30)&lt;=Capacity!$M$16,'Capacity calculation (hide)'!BH141,"")</f>
        <v/>
      </c>
      <c r="H147" s="216" t="str">
        <f>IF(ROW(A30)&lt;=Capacity!$M$16,Capacity!T46,"")</f>
        <v/>
      </c>
      <c r="I147" s="218" t="str">
        <f>IF(ROW(A30)&lt;=Capacity!$M$16,'Capacity calculation (hide)'!DK140,"")</f>
        <v/>
      </c>
      <c r="J147" s="219" t="str">
        <f t="shared" si="2"/>
        <v/>
      </c>
    </row>
    <row r="148" spans="2:10" hidden="1" x14ac:dyDescent="0.25">
      <c r="B148" s="219" t="str">
        <f>IF(Capacity!N47=0,"",Capacity!N47)</f>
        <v/>
      </c>
      <c r="C148" s="133"/>
      <c r="D148" s="133"/>
      <c r="E148" s="133"/>
      <c r="F148" s="216" t="str">
        <f>IF(ROW(A31)&lt;=Capacity!$M$16,Capacity!Q47,"")</f>
        <v/>
      </c>
      <c r="G148" s="323" t="str">
        <f>IF(ROW(A31)&lt;=Capacity!$M$16,'Capacity calculation (hide)'!BH142,"")</f>
        <v/>
      </c>
      <c r="H148" s="216" t="str">
        <f>IF(ROW(A31)&lt;=Capacity!$M$16,Capacity!T47,"")</f>
        <v/>
      </c>
      <c r="I148" s="218" t="str">
        <f>IF(ROW(A31)&lt;=Capacity!$M$16,'Capacity calculation (hide)'!DK141,"")</f>
        <v/>
      </c>
      <c r="J148" s="219" t="str">
        <f t="shared" si="2"/>
        <v/>
      </c>
    </row>
    <row r="149" spans="2:10" hidden="1" x14ac:dyDescent="0.25">
      <c r="B149" s="219" t="str">
        <f>IF(Capacity!N48=0,"",Capacity!N48)</f>
        <v/>
      </c>
      <c r="C149" s="133"/>
      <c r="D149" s="133"/>
      <c r="E149" s="133"/>
      <c r="F149" s="216" t="str">
        <f>IF(ROW(A32)&lt;=Capacity!$M$16,Capacity!Q48,"")</f>
        <v/>
      </c>
      <c r="G149" s="323" t="str">
        <f>IF(ROW(A32)&lt;=Capacity!$M$16,'Capacity calculation (hide)'!BH143,"")</f>
        <v/>
      </c>
      <c r="H149" s="216" t="str">
        <f>IF(ROW(A32)&lt;=Capacity!$M$16,Capacity!T48,"")</f>
        <v/>
      </c>
      <c r="I149" s="218" t="str">
        <f>IF(ROW(A32)&lt;=Capacity!$M$16,'Capacity calculation (hide)'!DK142,"")</f>
        <v/>
      </c>
      <c r="J149" s="219" t="str">
        <f t="shared" si="2"/>
        <v/>
      </c>
    </row>
    <row r="150" spans="2:10" hidden="1" x14ac:dyDescent="0.25">
      <c r="B150" s="219" t="str">
        <f>IF(Capacity!N49=0,"",Capacity!N49)</f>
        <v/>
      </c>
      <c r="C150" s="133"/>
      <c r="D150" s="133"/>
      <c r="E150" s="133"/>
      <c r="F150" s="216" t="str">
        <f>IF(ROW(A33)&lt;=Capacity!$M$16,Capacity!Q49,"")</f>
        <v/>
      </c>
      <c r="G150" s="323" t="str">
        <f>IF(ROW(A33)&lt;=Capacity!$M$16,'Capacity calculation (hide)'!BH144,"")</f>
        <v/>
      </c>
      <c r="H150" s="216" t="str">
        <f>IF(ROW(A33)&lt;=Capacity!$M$16,Capacity!T49,"")</f>
        <v/>
      </c>
      <c r="I150" s="218" t="str">
        <f>IF(ROW(A33)&lt;=Capacity!$M$16,'Capacity calculation (hide)'!DK143,"")</f>
        <v/>
      </c>
      <c r="J150" s="219" t="str">
        <f t="shared" si="2"/>
        <v/>
      </c>
    </row>
    <row r="151" spans="2:10" hidden="1" x14ac:dyDescent="0.25">
      <c r="B151" s="219" t="str">
        <f>IF(Capacity!N50=0,"",Capacity!N50)</f>
        <v/>
      </c>
      <c r="C151" s="133"/>
      <c r="D151" s="133"/>
      <c r="E151" s="133"/>
      <c r="F151" s="216" t="str">
        <f>IF(ROW(A34)&lt;=Capacity!$M$16,Capacity!Q50,"")</f>
        <v/>
      </c>
      <c r="G151" s="323" t="str">
        <f>IF(ROW(A34)&lt;=Capacity!$M$16,'Capacity calculation (hide)'!BH145,"")</f>
        <v/>
      </c>
      <c r="H151" s="216" t="str">
        <f>IF(ROW(A34)&lt;=Capacity!$M$16,Capacity!T50,"")</f>
        <v/>
      </c>
      <c r="I151" s="218" t="str">
        <f>IF(ROW(A34)&lt;=Capacity!$M$16,'Capacity calculation (hide)'!DK144,"")</f>
        <v/>
      </c>
      <c r="J151" s="219" t="str">
        <f t="shared" si="2"/>
        <v/>
      </c>
    </row>
    <row r="152" spans="2:10" hidden="1" x14ac:dyDescent="0.25">
      <c r="B152" s="219" t="str">
        <f>IF(Capacity!N51=0,"",Capacity!N51)</f>
        <v/>
      </c>
      <c r="C152" s="133"/>
      <c r="D152" s="133"/>
      <c r="E152" s="133"/>
      <c r="F152" s="216" t="str">
        <f>IF(ROW(A35)&lt;=Capacity!$M$16,Capacity!Q51,"")</f>
        <v/>
      </c>
      <c r="G152" s="323" t="str">
        <f>IF(ROW(A35)&lt;=Capacity!$M$16,'Capacity calculation (hide)'!BH146,"")</f>
        <v/>
      </c>
      <c r="H152" s="216" t="str">
        <f>IF(ROW(A35)&lt;=Capacity!$M$16,Capacity!T51,"")</f>
        <v/>
      </c>
      <c r="I152" s="218" t="str">
        <f>IF(ROW(A35)&lt;=Capacity!$M$16,'Capacity calculation (hide)'!DK145,"")</f>
        <v/>
      </c>
      <c r="J152" s="219" t="str">
        <f t="shared" si="2"/>
        <v/>
      </c>
    </row>
    <row r="153" spans="2:10" hidden="1" x14ac:dyDescent="0.25">
      <c r="B153" s="219" t="str">
        <f>IF(Capacity!N52=0,"",Capacity!N52)</f>
        <v/>
      </c>
      <c r="C153" s="133"/>
      <c r="D153" s="133"/>
      <c r="E153" s="133"/>
      <c r="F153" s="216" t="str">
        <f>IF(ROW(A36)&lt;=Capacity!$M$16,Capacity!Q52,"")</f>
        <v/>
      </c>
      <c r="G153" s="323" t="str">
        <f>IF(ROW(A36)&lt;=Capacity!$M$16,'Capacity calculation (hide)'!BH147,"")</f>
        <v/>
      </c>
      <c r="H153" s="216" t="str">
        <f>IF(ROW(A36)&lt;=Capacity!$M$16,Capacity!T52,"")</f>
        <v/>
      </c>
      <c r="I153" s="218" t="str">
        <f>IF(ROW(A36)&lt;=Capacity!$M$16,'Capacity calculation (hide)'!DK146,"")</f>
        <v/>
      </c>
      <c r="J153" s="219" t="str">
        <f t="shared" si="2"/>
        <v/>
      </c>
    </row>
    <row r="154" spans="2:10" hidden="1" x14ac:dyDescent="0.25">
      <c r="B154" s="219" t="str">
        <f>IF(Capacity!N53=0,"",Capacity!N53)</f>
        <v/>
      </c>
      <c r="C154" s="133"/>
      <c r="D154" s="133"/>
      <c r="E154" s="133"/>
      <c r="F154" s="216" t="str">
        <f>IF(ROW(A37)&lt;=Capacity!$M$16,Capacity!Q53,"")</f>
        <v/>
      </c>
      <c r="G154" s="323" t="str">
        <f>IF(ROW(A37)&lt;=Capacity!$M$16,'Capacity calculation (hide)'!BH148,"")</f>
        <v/>
      </c>
      <c r="H154" s="216" t="str">
        <f>IF(ROW(A37)&lt;=Capacity!$M$16,Capacity!T53,"")</f>
        <v/>
      </c>
      <c r="I154" s="218" t="str">
        <f>IF(ROW(A37)&lt;=Capacity!$M$16,'Capacity calculation (hide)'!DK147,"")</f>
        <v/>
      </c>
      <c r="J154" s="219" t="str">
        <f t="shared" si="2"/>
        <v/>
      </c>
    </row>
    <row r="155" spans="2:10" hidden="1" x14ac:dyDescent="0.25">
      <c r="B155" s="219" t="str">
        <f>IF(Capacity!N54=0,"",Capacity!N54)</f>
        <v/>
      </c>
      <c r="C155" s="133"/>
      <c r="D155" s="133"/>
      <c r="E155" s="133"/>
      <c r="F155" s="216" t="str">
        <f>IF(ROW(A38)&lt;=Capacity!$M$16,Capacity!Q54,"")</f>
        <v/>
      </c>
      <c r="G155" s="323" t="str">
        <f>IF(ROW(A38)&lt;=Capacity!$M$16,'Capacity calculation (hide)'!BH149,"")</f>
        <v/>
      </c>
      <c r="H155" s="216" t="str">
        <f>IF(ROW(A38)&lt;=Capacity!$M$16,Capacity!T54,"")</f>
        <v/>
      </c>
      <c r="I155" s="218" t="str">
        <f>IF(ROW(A38)&lt;=Capacity!$M$16,'Capacity calculation (hide)'!DK148,"")</f>
        <v/>
      </c>
      <c r="J155" s="219" t="str">
        <f t="shared" si="2"/>
        <v/>
      </c>
    </row>
    <row r="156" spans="2:10" hidden="1" x14ac:dyDescent="0.25">
      <c r="B156" s="219" t="str">
        <f>IF(Capacity!N55=0,"",Capacity!N55)</f>
        <v/>
      </c>
      <c r="C156" s="133"/>
      <c r="D156" s="133"/>
      <c r="E156" s="133"/>
      <c r="F156" s="216" t="str">
        <f>IF(ROW(A39)&lt;=Capacity!$M$16,Capacity!Q55,"")</f>
        <v/>
      </c>
      <c r="G156" s="323" t="str">
        <f>IF(ROW(A39)&lt;=Capacity!$M$16,'Capacity calculation (hide)'!BH150,"")</f>
        <v/>
      </c>
      <c r="H156" s="216" t="str">
        <f>IF(ROW(A39)&lt;=Capacity!$M$16,Capacity!T55,"")</f>
        <v/>
      </c>
      <c r="I156" s="218" t="str">
        <f>IF(ROW(A39)&lt;=Capacity!$M$16,'Capacity calculation (hide)'!DK149,"")</f>
        <v/>
      </c>
      <c r="J156" s="219" t="str">
        <f t="shared" si="2"/>
        <v/>
      </c>
    </row>
    <row r="157" spans="2:10" hidden="1" x14ac:dyDescent="0.25">
      <c r="B157" s="219" t="str">
        <f>IF(Capacity!N56=0,"",Capacity!N56)</f>
        <v/>
      </c>
      <c r="C157" s="133"/>
      <c r="D157" s="133"/>
      <c r="E157" s="133"/>
      <c r="F157" s="216" t="str">
        <f>IF(ROW(A40)&lt;=Capacity!$M$16,Capacity!Q56,"")</f>
        <v/>
      </c>
      <c r="G157" s="323" t="str">
        <f>IF(ROW(A40)&lt;=Capacity!$M$16,'Capacity calculation (hide)'!BH151,"")</f>
        <v/>
      </c>
      <c r="H157" s="216" t="str">
        <f>IF(ROW(A40)&lt;=Capacity!$M$16,Capacity!T56,"")</f>
        <v/>
      </c>
      <c r="I157" s="218" t="str">
        <f>IF(ROW(A40)&lt;=Capacity!$M$16,'Capacity calculation (hide)'!DK150,"")</f>
        <v/>
      </c>
      <c r="J157" s="219" t="str">
        <f t="shared" si="2"/>
        <v/>
      </c>
    </row>
    <row r="158" spans="2:10" hidden="1" x14ac:dyDescent="0.25">
      <c r="B158" s="219" t="str">
        <f>IF(Capacity!N57=0,"",Capacity!N57)</f>
        <v/>
      </c>
      <c r="C158" s="133"/>
      <c r="D158" s="133"/>
      <c r="E158" s="133"/>
      <c r="F158" s="216" t="str">
        <f>IF(ROW(A41)&lt;=Capacity!$M$16,Capacity!Q57,"")</f>
        <v/>
      </c>
      <c r="G158" s="323" t="str">
        <f>IF(ROW(A41)&lt;=Capacity!$M$16,'Capacity calculation (hide)'!BH152,"")</f>
        <v/>
      </c>
      <c r="H158" s="216" t="str">
        <f>IF(ROW(A41)&lt;=Capacity!$M$16,Capacity!T57,"")</f>
        <v/>
      </c>
      <c r="I158" s="218" t="str">
        <f>IF(ROW(A41)&lt;=Capacity!$M$16,'Capacity calculation (hide)'!DK151,"")</f>
        <v/>
      </c>
      <c r="J158" s="219" t="str">
        <f t="shared" si="2"/>
        <v/>
      </c>
    </row>
    <row r="159" spans="2:10" hidden="1" x14ac:dyDescent="0.25">
      <c r="B159" s="219" t="str">
        <f>IF(Capacity!N58=0,"",Capacity!N58)</f>
        <v/>
      </c>
      <c r="C159" s="133"/>
      <c r="D159" s="133"/>
      <c r="E159" s="133"/>
      <c r="F159" s="216" t="str">
        <f>IF(ROW(A42)&lt;=Capacity!$M$16,Capacity!Q58,"")</f>
        <v/>
      </c>
      <c r="G159" s="323" t="str">
        <f>IF(ROW(A42)&lt;=Capacity!$M$16,'Capacity calculation (hide)'!BH153,"")</f>
        <v/>
      </c>
      <c r="H159" s="216" t="str">
        <f>IF(ROW(A42)&lt;=Capacity!$M$16,Capacity!T58,"")</f>
        <v/>
      </c>
      <c r="I159" s="218" t="str">
        <f>IF(ROW(A42)&lt;=Capacity!$M$16,'Capacity calculation (hide)'!DK152,"")</f>
        <v/>
      </c>
      <c r="J159" s="219" t="str">
        <f t="shared" si="2"/>
        <v/>
      </c>
    </row>
    <row r="160" spans="2:10" hidden="1" x14ac:dyDescent="0.25">
      <c r="B160" s="219" t="str">
        <f>IF(Capacity!N59=0,"",Capacity!N59)</f>
        <v/>
      </c>
      <c r="C160" s="133"/>
      <c r="D160" s="133"/>
      <c r="E160" s="133"/>
      <c r="F160" s="216" t="str">
        <f>IF(ROW(A43)&lt;=Capacity!$M$16,Capacity!Q59,"")</f>
        <v/>
      </c>
      <c r="G160" s="323" t="str">
        <f>IF(ROW(A43)&lt;=Capacity!$M$16,'Capacity calculation (hide)'!BH154,"")</f>
        <v/>
      </c>
      <c r="H160" s="216" t="str">
        <f>IF(ROW(A43)&lt;=Capacity!$M$16,Capacity!T59,"")</f>
        <v/>
      </c>
      <c r="I160" s="218" t="str">
        <f>IF(ROW(A43)&lt;=Capacity!$M$16,'Capacity calculation (hide)'!DK153,"")</f>
        <v/>
      </c>
      <c r="J160" s="219" t="str">
        <f t="shared" si="2"/>
        <v/>
      </c>
    </row>
    <row r="161" spans="2:10" hidden="1" x14ac:dyDescent="0.25">
      <c r="B161" s="219" t="str">
        <f>IF(Capacity!N60=0,"",Capacity!N60)</f>
        <v/>
      </c>
      <c r="C161" s="133"/>
      <c r="D161" s="133"/>
      <c r="E161" s="133"/>
      <c r="F161" s="216" t="str">
        <f>IF(ROW(A44)&lt;=Capacity!$M$16,Capacity!Q60,"")</f>
        <v/>
      </c>
      <c r="G161" s="323" t="str">
        <f>IF(ROW(A44)&lt;=Capacity!$M$16,'Capacity calculation (hide)'!BH155,"")</f>
        <v/>
      </c>
      <c r="H161" s="216" t="str">
        <f>IF(ROW(A44)&lt;=Capacity!$M$16,Capacity!T60,"")</f>
        <v/>
      </c>
      <c r="I161" s="218" t="str">
        <f>IF(ROW(A44)&lt;=Capacity!$M$16,'Capacity calculation (hide)'!DK154,"")</f>
        <v/>
      </c>
      <c r="J161" s="219" t="str">
        <f t="shared" si="2"/>
        <v/>
      </c>
    </row>
    <row r="162" spans="2:10" hidden="1" x14ac:dyDescent="0.25">
      <c r="B162" s="219" t="str">
        <f>IF(Capacity!N61=0,"",Capacity!N61)</f>
        <v/>
      </c>
      <c r="C162" s="133"/>
      <c r="D162" s="133"/>
      <c r="E162" s="133"/>
      <c r="F162" s="216" t="str">
        <f>IF(ROW(A45)&lt;=Capacity!$M$16,Capacity!Q61,"")</f>
        <v/>
      </c>
      <c r="G162" s="323" t="str">
        <f>IF(ROW(A45)&lt;=Capacity!$M$16,'Capacity calculation (hide)'!BH156,"")</f>
        <v/>
      </c>
      <c r="H162" s="216" t="str">
        <f>IF(ROW(A45)&lt;=Capacity!$M$16,Capacity!T61,"")</f>
        <v/>
      </c>
      <c r="I162" s="218" t="str">
        <f>IF(ROW(A45)&lt;=Capacity!$M$16,'Capacity calculation (hide)'!DK155,"")</f>
        <v/>
      </c>
      <c r="J162" s="219" t="str">
        <f t="shared" si="2"/>
        <v/>
      </c>
    </row>
    <row r="163" spans="2:10" hidden="1" x14ac:dyDescent="0.25">
      <c r="B163" s="219" t="str">
        <f>IF(Capacity!N62=0,"",Capacity!N62)</f>
        <v/>
      </c>
      <c r="C163" s="133"/>
      <c r="D163" s="133"/>
      <c r="E163" s="133"/>
      <c r="F163" s="216" t="str">
        <f>IF(ROW(A46)&lt;=Capacity!$M$16,Capacity!Q62,"")</f>
        <v/>
      </c>
      <c r="G163" s="323" t="str">
        <f>IF(ROW(A46)&lt;=Capacity!$M$16,'Capacity calculation (hide)'!BH157,"")</f>
        <v/>
      </c>
      <c r="H163" s="216" t="str">
        <f>IF(ROW(A46)&lt;=Capacity!$M$16,Capacity!T62,"")</f>
        <v/>
      </c>
      <c r="I163" s="218" t="str">
        <f>IF(ROW(A46)&lt;=Capacity!$M$16,'Capacity calculation (hide)'!DK156,"")</f>
        <v/>
      </c>
      <c r="J163" s="219" t="str">
        <f t="shared" si="2"/>
        <v/>
      </c>
    </row>
    <row r="164" spans="2:10" hidden="1" x14ac:dyDescent="0.25">
      <c r="B164" s="219" t="str">
        <f>IF(Capacity!N63=0,"",Capacity!N63)</f>
        <v/>
      </c>
      <c r="C164" s="133"/>
      <c r="D164" s="133"/>
      <c r="E164" s="133"/>
      <c r="F164" s="216" t="str">
        <f>IF(ROW(A47)&lt;=Capacity!$M$16,Capacity!Q63,"")</f>
        <v/>
      </c>
      <c r="G164" s="323" t="str">
        <f>IF(ROW(A47)&lt;=Capacity!$M$16,'Capacity calculation (hide)'!BH158,"")</f>
        <v/>
      </c>
      <c r="H164" s="216" t="str">
        <f>IF(ROW(A47)&lt;=Capacity!$M$16,Capacity!T63,"")</f>
        <v/>
      </c>
      <c r="I164" s="218" t="str">
        <f>IF(ROW(A47)&lt;=Capacity!$M$16,'Capacity calculation (hide)'!DK157,"")</f>
        <v/>
      </c>
      <c r="J164" s="219" t="str">
        <f t="shared" si="2"/>
        <v/>
      </c>
    </row>
    <row r="165" spans="2:10" hidden="1" x14ac:dyDescent="0.25">
      <c r="B165" s="219" t="str">
        <f>IF(Capacity!N64=0,"",Capacity!N64)</f>
        <v/>
      </c>
      <c r="C165" s="133"/>
      <c r="D165" s="133"/>
      <c r="E165" s="133"/>
      <c r="F165" s="216" t="str">
        <f>IF(ROW(A48)&lt;=Capacity!$M$16,Capacity!Q64,"")</f>
        <v/>
      </c>
      <c r="G165" s="323" t="str">
        <f>IF(ROW(A48)&lt;=Capacity!$M$16,'Capacity calculation (hide)'!BH159,"")</f>
        <v/>
      </c>
      <c r="H165" s="216" t="str">
        <f>IF(ROW(A48)&lt;=Capacity!$M$16,Capacity!T64,"")</f>
        <v/>
      </c>
      <c r="I165" s="218" t="str">
        <f>IF(ROW(A48)&lt;=Capacity!$M$16,'Capacity calculation (hide)'!DK158,"")</f>
        <v/>
      </c>
      <c r="J165" s="219" t="str">
        <f t="shared" si="2"/>
        <v/>
      </c>
    </row>
    <row r="166" spans="2:10" hidden="1" x14ac:dyDescent="0.25">
      <c r="B166" s="219" t="str">
        <f>IF(Capacity!N65=0,"",Capacity!N65)</f>
        <v/>
      </c>
      <c r="C166" s="133"/>
      <c r="D166" s="133"/>
      <c r="E166" s="133"/>
      <c r="F166" s="216" t="str">
        <f>IF(ROW(A49)&lt;=Capacity!$M$16,Capacity!Q65,"")</f>
        <v/>
      </c>
      <c r="G166" s="323" t="str">
        <f>IF(ROW(A49)&lt;=Capacity!$M$16,'Capacity calculation (hide)'!BH160,"")</f>
        <v/>
      </c>
      <c r="H166" s="216" t="str">
        <f>IF(ROW(A49)&lt;=Capacity!$M$16,Capacity!T65,"")</f>
        <v/>
      </c>
      <c r="I166" s="218" t="str">
        <f>IF(ROW(A49)&lt;=Capacity!$M$16,'Capacity calculation (hide)'!DK159,"")</f>
        <v/>
      </c>
      <c r="J166" s="219" t="str">
        <f t="shared" si="2"/>
        <v/>
      </c>
    </row>
    <row r="167" spans="2:10" hidden="1" x14ac:dyDescent="0.25">
      <c r="B167" s="219" t="str">
        <f>IF(Capacity!N66=0,"",Capacity!N66)</f>
        <v/>
      </c>
      <c r="C167" s="133"/>
      <c r="D167" s="133"/>
      <c r="E167" s="133"/>
      <c r="F167" s="216" t="str">
        <f>IF(ROW(A50)&lt;=Capacity!$M$16,Capacity!Q66,"")</f>
        <v/>
      </c>
      <c r="G167" s="323" t="str">
        <f>IF(ROW(A50)&lt;=Capacity!$M$16,'Capacity calculation (hide)'!BH161,"")</f>
        <v/>
      </c>
      <c r="H167" s="216" t="str">
        <f>IF(ROW(A50)&lt;=Capacity!$M$16,Capacity!T66,"")</f>
        <v/>
      </c>
      <c r="I167" s="218" t="str">
        <f>IF(ROW(A50)&lt;=Capacity!$M$16,'Capacity calculation (hide)'!DK160,"")</f>
        <v/>
      </c>
      <c r="J167" s="219" t="str">
        <f t="shared" si="2"/>
        <v/>
      </c>
    </row>
    <row r="168" spans="2:10" hidden="1" x14ac:dyDescent="0.25">
      <c r="B168" s="219" t="str">
        <f>IF(Capacity!N67=0,"",Capacity!N67)</f>
        <v/>
      </c>
      <c r="C168" s="133"/>
      <c r="D168" s="133"/>
      <c r="E168" s="133"/>
      <c r="F168" s="216" t="str">
        <f>IF(ROW(A51)&lt;=Capacity!$M$16,Capacity!Q67,"")</f>
        <v/>
      </c>
      <c r="G168" s="323" t="str">
        <f>IF(ROW(A51)&lt;=Capacity!$M$16,'Capacity calculation (hide)'!BH162,"")</f>
        <v/>
      </c>
      <c r="H168" s="216" t="str">
        <f>IF(ROW(A51)&lt;=Capacity!$M$16,Capacity!T67,"")</f>
        <v/>
      </c>
      <c r="I168" s="218" t="str">
        <f>IF(ROW(A51)&lt;=Capacity!$M$16,'Capacity calculation (hide)'!DK161,"")</f>
        <v/>
      </c>
      <c r="J168" s="219" t="str">
        <f t="shared" si="2"/>
        <v/>
      </c>
    </row>
    <row r="169" spans="2:10" hidden="1" x14ac:dyDescent="0.25">
      <c r="B169" s="219" t="str">
        <f>IF(Capacity!N68=0,"",Capacity!N68)</f>
        <v/>
      </c>
      <c r="C169" s="133"/>
      <c r="D169" s="133"/>
      <c r="E169" s="133"/>
      <c r="F169" s="216" t="str">
        <f>IF(ROW(A52)&lt;=Capacity!$M$16,Capacity!Q68,"")</f>
        <v/>
      </c>
      <c r="G169" s="323" t="str">
        <f>IF(ROW(A52)&lt;=Capacity!$M$16,'Capacity calculation (hide)'!BH163,"")</f>
        <v/>
      </c>
      <c r="H169" s="216" t="str">
        <f>IF(ROW(A52)&lt;=Capacity!$M$16,Capacity!T68,"")</f>
        <v/>
      </c>
      <c r="I169" s="218" t="str">
        <f>IF(ROW(A52)&lt;=Capacity!$M$16,'Capacity calculation (hide)'!DK162,"")</f>
        <v/>
      </c>
      <c r="J169" s="219" t="str">
        <f t="shared" si="2"/>
        <v/>
      </c>
    </row>
    <row r="170" spans="2:10" hidden="1" x14ac:dyDescent="0.25">
      <c r="B170" s="219" t="str">
        <f>IF(Capacity!N69=0,"",Capacity!N69)</f>
        <v/>
      </c>
      <c r="C170" s="133"/>
      <c r="D170" s="133"/>
      <c r="E170" s="133"/>
      <c r="F170" s="216" t="str">
        <f>IF(ROW(A53)&lt;=Capacity!$M$16,Capacity!Q69,"")</f>
        <v/>
      </c>
      <c r="G170" s="323" t="str">
        <f>IF(ROW(A53)&lt;=Capacity!$M$16,'Capacity calculation (hide)'!BH164,"")</f>
        <v/>
      </c>
      <c r="H170" s="216" t="str">
        <f>IF(ROW(A53)&lt;=Capacity!$M$16,Capacity!T69,"")</f>
        <v/>
      </c>
      <c r="I170" s="218" t="str">
        <f>IF(ROW(A53)&lt;=Capacity!$M$16,'Capacity calculation (hide)'!DK163,"")</f>
        <v/>
      </c>
      <c r="J170" s="219" t="str">
        <f t="shared" si="2"/>
        <v/>
      </c>
    </row>
    <row r="171" spans="2:10" hidden="1" x14ac:dyDescent="0.25">
      <c r="B171" s="219" t="str">
        <f>IF(Capacity!N70=0,"",Capacity!N70)</f>
        <v/>
      </c>
      <c r="C171" s="133"/>
      <c r="D171" s="133"/>
      <c r="E171" s="133"/>
      <c r="F171" s="216" t="str">
        <f>IF(ROW(A54)&lt;=Capacity!$M$16,Capacity!Q70,"")</f>
        <v/>
      </c>
      <c r="G171" s="323" t="str">
        <f>IF(ROW(A54)&lt;=Capacity!$M$16,'Capacity calculation (hide)'!BH165,"")</f>
        <v/>
      </c>
      <c r="H171" s="216" t="str">
        <f>IF(ROW(A54)&lt;=Capacity!$M$16,Capacity!T70,"")</f>
        <v/>
      </c>
      <c r="I171" s="218" t="str">
        <f>IF(ROW(A54)&lt;=Capacity!$M$16,'Capacity calculation (hide)'!DK164,"")</f>
        <v/>
      </c>
      <c r="J171" s="219" t="str">
        <f t="shared" si="2"/>
        <v/>
      </c>
    </row>
    <row r="172" spans="2:10" hidden="1" x14ac:dyDescent="0.25">
      <c r="B172" s="219" t="str">
        <f>IF(Capacity!N71=0,"",Capacity!N71)</f>
        <v/>
      </c>
      <c r="C172" s="133"/>
      <c r="D172" s="133"/>
      <c r="E172" s="133"/>
      <c r="F172" s="216" t="str">
        <f>IF(ROW(A55)&lt;=Capacity!$M$16,Capacity!Q71,"")</f>
        <v/>
      </c>
      <c r="G172" s="323" t="str">
        <f>IF(ROW(A55)&lt;=Capacity!$M$16,'Capacity calculation (hide)'!BH166,"")</f>
        <v/>
      </c>
      <c r="H172" s="216" t="str">
        <f>IF(ROW(A55)&lt;=Capacity!$M$16,Capacity!T71,"")</f>
        <v/>
      </c>
      <c r="I172" s="218" t="str">
        <f>IF(ROW(A55)&lt;=Capacity!$M$16,'Capacity calculation (hide)'!DK165,"")</f>
        <v/>
      </c>
      <c r="J172" s="219" t="str">
        <f t="shared" si="2"/>
        <v/>
      </c>
    </row>
    <row r="173" spans="2:10" hidden="1" x14ac:dyDescent="0.25">
      <c r="B173" s="219" t="str">
        <f>IF(Capacity!N72=0,"",Capacity!N72)</f>
        <v/>
      </c>
      <c r="C173" s="133"/>
      <c r="D173" s="133"/>
      <c r="E173" s="133"/>
      <c r="F173" s="216" t="str">
        <f>IF(ROW(A56)&lt;=Capacity!$M$16,Capacity!Q72,"")</f>
        <v/>
      </c>
      <c r="G173" s="323" t="str">
        <f>IF(ROW(A56)&lt;=Capacity!$M$16,'Capacity calculation (hide)'!BH167,"")</f>
        <v/>
      </c>
      <c r="H173" s="216" t="str">
        <f>IF(ROW(A56)&lt;=Capacity!$M$16,Capacity!T72,"")</f>
        <v/>
      </c>
      <c r="I173" s="218" t="str">
        <f>IF(ROW(A56)&lt;=Capacity!$M$16,'Capacity calculation (hide)'!DK166,"")</f>
        <v/>
      </c>
      <c r="J173" s="219" t="str">
        <f t="shared" si="2"/>
        <v/>
      </c>
    </row>
    <row r="174" spans="2:10" hidden="1" x14ac:dyDescent="0.25">
      <c r="B174" s="219" t="str">
        <f>IF(Capacity!N73=0,"",Capacity!N73)</f>
        <v/>
      </c>
      <c r="C174" s="133"/>
      <c r="D174" s="133"/>
      <c r="E174" s="133"/>
      <c r="F174" s="216" t="str">
        <f>IF(ROW(A57)&lt;=Capacity!$M$16,Capacity!Q73,"")</f>
        <v/>
      </c>
      <c r="G174" s="323" t="str">
        <f>IF(ROW(A57)&lt;=Capacity!$M$16,'Capacity calculation (hide)'!BH168,"")</f>
        <v/>
      </c>
      <c r="H174" s="216" t="str">
        <f>IF(ROW(A57)&lt;=Capacity!$M$16,Capacity!T73,"")</f>
        <v/>
      </c>
      <c r="I174" s="218" t="str">
        <f>IF(ROW(A57)&lt;=Capacity!$M$16,'Capacity calculation (hide)'!DK167,"")</f>
        <v/>
      </c>
      <c r="J174" s="219" t="str">
        <f t="shared" si="2"/>
        <v/>
      </c>
    </row>
    <row r="175" spans="2:10" hidden="1" x14ac:dyDescent="0.25">
      <c r="B175" s="219" t="str">
        <f>IF(Capacity!N74=0,"",Capacity!N74)</f>
        <v/>
      </c>
      <c r="C175" s="133"/>
      <c r="D175" s="133"/>
      <c r="E175" s="133"/>
      <c r="F175" s="216" t="str">
        <f>IF(ROW(A58)&lt;=Capacity!$M$16,Capacity!Q74,"")</f>
        <v/>
      </c>
      <c r="G175" s="323" t="str">
        <f>IF(ROW(A58)&lt;=Capacity!$M$16,'Capacity calculation (hide)'!BH169,"")</f>
        <v/>
      </c>
      <c r="H175" s="216" t="str">
        <f>IF(ROW(A58)&lt;=Capacity!$M$16,Capacity!T74,"")</f>
        <v/>
      </c>
      <c r="I175" s="218" t="str">
        <f>IF(ROW(A58)&lt;=Capacity!$M$16,'Capacity calculation (hide)'!DK168,"")</f>
        <v/>
      </c>
      <c r="J175" s="219" t="str">
        <f t="shared" si="2"/>
        <v/>
      </c>
    </row>
    <row r="176" spans="2:10" hidden="1" x14ac:dyDescent="0.25">
      <c r="B176" s="219" t="str">
        <f>IF(Capacity!N75=0,"",Capacity!N75)</f>
        <v/>
      </c>
      <c r="C176" s="133"/>
      <c r="D176" s="133"/>
      <c r="E176" s="133"/>
      <c r="F176" s="216" t="str">
        <f>IF(ROW(A59)&lt;=Capacity!$M$16,Capacity!Q75,"")</f>
        <v/>
      </c>
      <c r="G176" s="323" t="str">
        <f>IF(ROW(A59)&lt;=Capacity!$M$16,'Capacity calculation (hide)'!BH170,"")</f>
        <v/>
      </c>
      <c r="H176" s="216" t="str">
        <f>IF(ROW(A59)&lt;=Capacity!$M$16,Capacity!T75,"")</f>
        <v/>
      </c>
      <c r="I176" s="218" t="str">
        <f>IF(ROW(A59)&lt;=Capacity!$M$16,'Capacity calculation (hide)'!DK169,"")</f>
        <v/>
      </c>
      <c r="J176" s="219" t="str">
        <f t="shared" si="2"/>
        <v/>
      </c>
    </row>
    <row r="177" spans="2:10" hidden="1" x14ac:dyDescent="0.25">
      <c r="B177" s="219" t="str">
        <f>IF(Capacity!N76=0,"",Capacity!N76)</f>
        <v/>
      </c>
      <c r="C177" s="133"/>
      <c r="D177" s="133"/>
      <c r="E177" s="133"/>
      <c r="F177" s="216" t="str">
        <f>IF(ROW(A60)&lt;=Capacity!$M$16,Capacity!Q76,"")</f>
        <v/>
      </c>
      <c r="G177" s="323" t="str">
        <f>IF(ROW(A60)&lt;=Capacity!$M$16,'Capacity calculation (hide)'!BH171,"")</f>
        <v/>
      </c>
      <c r="H177" s="216" t="str">
        <f>IF(ROW(A60)&lt;=Capacity!$M$16,Capacity!T76,"")</f>
        <v/>
      </c>
      <c r="I177" s="218" t="str">
        <f>IF(ROW(A60)&lt;=Capacity!$M$16,'Capacity calculation (hide)'!DK170,"")</f>
        <v/>
      </c>
      <c r="J177" s="219" t="str">
        <f t="shared" si="2"/>
        <v/>
      </c>
    </row>
    <row r="178" spans="2:10" hidden="1" x14ac:dyDescent="0.25">
      <c r="B178" s="219" t="str">
        <f>IF(Capacity!N77=0,"",Capacity!N77)</f>
        <v/>
      </c>
      <c r="C178" s="133"/>
      <c r="D178" s="133"/>
      <c r="E178" s="133"/>
      <c r="F178" s="216" t="str">
        <f>IF(ROW(A61)&lt;=Capacity!$M$16,Capacity!Q77,"")</f>
        <v/>
      </c>
      <c r="G178" s="323" t="str">
        <f>IF(ROW(A61)&lt;=Capacity!$M$16,'Capacity calculation (hide)'!BH172,"")</f>
        <v/>
      </c>
      <c r="H178" s="216" t="str">
        <f>IF(ROW(A61)&lt;=Capacity!$M$16,Capacity!T77,"")</f>
        <v/>
      </c>
      <c r="I178" s="218" t="str">
        <f>IF(ROW(A61)&lt;=Capacity!$M$16,'Capacity calculation (hide)'!DK171,"")</f>
        <v/>
      </c>
      <c r="J178" s="219" t="str">
        <f t="shared" si="2"/>
        <v/>
      </c>
    </row>
    <row r="179" spans="2:10" hidden="1" x14ac:dyDescent="0.25">
      <c r="B179" s="219" t="str">
        <f>IF(Capacity!N78=0,"",Capacity!N78)</f>
        <v/>
      </c>
      <c r="C179" s="133"/>
      <c r="D179" s="133"/>
      <c r="E179" s="133"/>
      <c r="F179" s="216" t="str">
        <f>IF(ROW(A62)&lt;=Capacity!$M$16,Capacity!Q78,"")</f>
        <v/>
      </c>
      <c r="G179" s="323" t="str">
        <f>IF(ROW(A62)&lt;=Capacity!$M$16,'Capacity calculation (hide)'!BH173,"")</f>
        <v/>
      </c>
      <c r="H179" s="216" t="str">
        <f>IF(ROW(A62)&lt;=Capacity!$M$16,Capacity!T78,"")</f>
        <v/>
      </c>
      <c r="I179" s="218" t="str">
        <f>IF(ROW(A62)&lt;=Capacity!$M$16,'Capacity calculation (hide)'!DK172,"")</f>
        <v/>
      </c>
      <c r="J179" s="219" t="str">
        <f t="shared" si="2"/>
        <v/>
      </c>
    </row>
    <row r="180" spans="2:10" hidden="1" x14ac:dyDescent="0.25">
      <c r="B180" s="219" t="str">
        <f>IF(Capacity!N79=0,"",Capacity!N79)</f>
        <v/>
      </c>
      <c r="C180" s="133"/>
      <c r="D180" s="133"/>
      <c r="E180" s="133"/>
      <c r="F180" s="216" t="str">
        <f>IF(ROW(A63)&lt;=Capacity!$M$16,Capacity!Q79,"")</f>
        <v/>
      </c>
      <c r="G180" s="323" t="str">
        <f>IF(ROW(A63)&lt;=Capacity!$M$16,'Capacity calculation (hide)'!BH174,"")</f>
        <v/>
      </c>
      <c r="H180" s="216" t="str">
        <f>IF(ROW(A63)&lt;=Capacity!$M$16,Capacity!T79,"")</f>
        <v/>
      </c>
      <c r="I180" s="218" t="str">
        <f>IF(ROW(A63)&lt;=Capacity!$M$16,'Capacity calculation (hide)'!DK173,"")</f>
        <v/>
      </c>
      <c r="J180" s="219" t="str">
        <f t="shared" si="2"/>
        <v/>
      </c>
    </row>
    <row r="181" spans="2:10" hidden="1" x14ac:dyDescent="0.25">
      <c r="B181" s="219" t="str">
        <f>IF(Capacity!N80=0,"",Capacity!N80)</f>
        <v/>
      </c>
      <c r="C181" s="133"/>
      <c r="D181" s="133"/>
      <c r="E181" s="133"/>
      <c r="F181" s="216" t="str">
        <f>IF(ROW(A64)&lt;=Capacity!$M$16,Capacity!Q80,"")</f>
        <v/>
      </c>
      <c r="G181" s="323" t="str">
        <f>IF(ROW(A64)&lt;=Capacity!$M$16,'Capacity calculation (hide)'!BH175,"")</f>
        <v/>
      </c>
      <c r="H181" s="216" t="str">
        <f>IF(ROW(A64)&lt;=Capacity!$M$16,Capacity!T80,"")</f>
        <v/>
      </c>
      <c r="I181" s="218" t="str">
        <f>IF(ROW(A64)&lt;=Capacity!$M$16,'Capacity calculation (hide)'!DK174,"")</f>
        <v/>
      </c>
      <c r="J181" s="219" t="str">
        <f t="shared" si="2"/>
        <v/>
      </c>
    </row>
    <row r="182" spans="2:10" hidden="1" x14ac:dyDescent="0.25">
      <c r="B182" s="219" t="str">
        <f>IF(Capacity!N81=0,"",Capacity!N81)</f>
        <v/>
      </c>
      <c r="C182" s="133"/>
      <c r="D182" s="133"/>
      <c r="E182" s="133"/>
      <c r="F182" s="216" t="str">
        <f>IF(ROW(A65)&lt;=Capacity!$M$16,Capacity!Q81,"")</f>
        <v/>
      </c>
      <c r="G182" s="323" t="str">
        <f>IF(ROW(A65)&lt;=Capacity!$M$16,'Capacity calculation (hide)'!BH176,"")</f>
        <v/>
      </c>
      <c r="H182" s="216" t="str">
        <f>IF(ROW(A65)&lt;=Capacity!$M$16,Capacity!T81,"")</f>
        <v/>
      </c>
      <c r="I182" s="218" t="str">
        <f>IF(ROW(A65)&lt;=Capacity!$M$16,'Capacity calculation (hide)'!DK175,"")</f>
        <v/>
      </c>
      <c r="J182" s="219" t="str">
        <f t="shared" si="2"/>
        <v/>
      </c>
    </row>
    <row r="183" spans="2:10" hidden="1" x14ac:dyDescent="0.25">
      <c r="B183" s="219" t="str">
        <f>IF(Capacity!N82=0,"",Capacity!N82)</f>
        <v/>
      </c>
      <c r="C183" s="133"/>
      <c r="D183" s="133"/>
      <c r="E183" s="133"/>
      <c r="F183" s="216" t="str">
        <f>IF(ROW(A66)&lt;=Capacity!$M$16,Capacity!Q82,"")</f>
        <v/>
      </c>
      <c r="G183" s="323" t="str">
        <f>IF(ROW(A66)&lt;=Capacity!$M$16,'Capacity calculation (hide)'!BH177,"")</f>
        <v/>
      </c>
      <c r="H183" s="216" t="str">
        <f>IF(ROW(A66)&lt;=Capacity!$M$16,Capacity!T82,"")</f>
        <v/>
      </c>
      <c r="I183" s="218" t="str">
        <f>IF(ROW(A66)&lt;=Capacity!$M$16,'Capacity calculation (hide)'!DK176,"")</f>
        <v/>
      </c>
      <c r="J183" s="219" t="str">
        <f t="shared" ref="J183:J217" si="3">IFERROR(IF(G183-F183 &lt;0, "Under","Over"),"")</f>
        <v/>
      </c>
    </row>
    <row r="184" spans="2:10" hidden="1" x14ac:dyDescent="0.25">
      <c r="B184" s="219" t="str">
        <f>IF(Capacity!N83=0,"",Capacity!N83)</f>
        <v/>
      </c>
      <c r="C184" s="133"/>
      <c r="D184" s="133"/>
      <c r="E184" s="133"/>
      <c r="F184" s="216" t="str">
        <f>IF(ROW(A67)&lt;=Capacity!$M$16,Capacity!Q83,"")</f>
        <v/>
      </c>
      <c r="G184" s="323" t="str">
        <f>IF(ROW(A67)&lt;=Capacity!$M$16,'Capacity calculation (hide)'!BH178,"")</f>
        <v/>
      </c>
      <c r="H184" s="216" t="str">
        <f>IF(ROW(A67)&lt;=Capacity!$M$16,Capacity!T83,"")</f>
        <v/>
      </c>
      <c r="I184" s="218" t="str">
        <f>IF(ROW(A67)&lt;=Capacity!$M$16,'Capacity calculation (hide)'!DK177,"")</f>
        <v/>
      </c>
      <c r="J184" s="219" t="str">
        <f t="shared" si="3"/>
        <v/>
      </c>
    </row>
    <row r="185" spans="2:10" hidden="1" x14ac:dyDescent="0.25">
      <c r="B185" s="219" t="str">
        <f>IF(Capacity!N84=0,"",Capacity!N84)</f>
        <v/>
      </c>
      <c r="C185" s="133"/>
      <c r="D185" s="133"/>
      <c r="E185" s="133"/>
      <c r="F185" s="216" t="str">
        <f>IF(ROW(A68)&lt;=Capacity!$M$16,Capacity!Q84,"")</f>
        <v/>
      </c>
      <c r="G185" s="323" t="str">
        <f>IF(ROW(A68)&lt;=Capacity!$M$16,'Capacity calculation (hide)'!BH179,"")</f>
        <v/>
      </c>
      <c r="H185" s="216" t="str">
        <f>IF(ROW(A68)&lt;=Capacity!$M$16,Capacity!T84,"")</f>
        <v/>
      </c>
      <c r="I185" s="218" t="str">
        <f>IF(ROW(A68)&lt;=Capacity!$M$16,'Capacity calculation (hide)'!DK178,"")</f>
        <v/>
      </c>
      <c r="J185" s="219" t="str">
        <f t="shared" si="3"/>
        <v/>
      </c>
    </row>
    <row r="186" spans="2:10" hidden="1" x14ac:dyDescent="0.25">
      <c r="B186" s="219" t="str">
        <f>IF(Capacity!N85=0,"",Capacity!N85)</f>
        <v/>
      </c>
      <c r="C186" s="133"/>
      <c r="D186" s="133"/>
      <c r="E186" s="133"/>
      <c r="F186" s="216" t="str">
        <f>IF(ROW(A69)&lt;=Capacity!$M$16,Capacity!Q85,"")</f>
        <v/>
      </c>
      <c r="G186" s="323" t="str">
        <f>IF(ROW(A69)&lt;=Capacity!$M$16,'Capacity calculation (hide)'!BH180,"")</f>
        <v/>
      </c>
      <c r="H186" s="216" t="str">
        <f>IF(ROW(A69)&lt;=Capacity!$M$16,Capacity!T85,"")</f>
        <v/>
      </c>
      <c r="I186" s="218" t="str">
        <f>IF(ROW(A69)&lt;=Capacity!$M$16,'Capacity calculation (hide)'!DK179,"")</f>
        <v/>
      </c>
      <c r="J186" s="219" t="str">
        <f t="shared" si="3"/>
        <v/>
      </c>
    </row>
    <row r="187" spans="2:10" hidden="1" x14ac:dyDescent="0.25">
      <c r="B187" s="219" t="str">
        <f>IF(Capacity!N86=0,"",Capacity!N86)</f>
        <v/>
      </c>
      <c r="C187" s="133"/>
      <c r="D187" s="133"/>
      <c r="E187" s="133"/>
      <c r="F187" s="216" t="str">
        <f>IF(ROW(A70)&lt;=Capacity!$M$16,Capacity!Q86,"")</f>
        <v/>
      </c>
      <c r="G187" s="323" t="str">
        <f>IF(ROW(A70)&lt;=Capacity!$M$16,'Capacity calculation (hide)'!BH181,"")</f>
        <v/>
      </c>
      <c r="H187" s="216" t="str">
        <f>IF(ROW(A70)&lt;=Capacity!$M$16,Capacity!T86,"")</f>
        <v/>
      </c>
      <c r="I187" s="218" t="str">
        <f>IF(ROW(A70)&lt;=Capacity!$M$16,'Capacity calculation (hide)'!DK180,"")</f>
        <v/>
      </c>
      <c r="J187" s="219" t="str">
        <f t="shared" si="3"/>
        <v/>
      </c>
    </row>
    <row r="188" spans="2:10" hidden="1" x14ac:dyDescent="0.25">
      <c r="B188" s="219" t="str">
        <f>IF(Capacity!N87=0,"",Capacity!N87)</f>
        <v/>
      </c>
      <c r="C188" s="133"/>
      <c r="D188" s="133"/>
      <c r="E188" s="133"/>
      <c r="F188" s="216" t="str">
        <f>IF(ROW(A71)&lt;=Capacity!$M$16,Capacity!Q87,"")</f>
        <v/>
      </c>
      <c r="G188" s="323" t="str">
        <f>IF(ROW(A71)&lt;=Capacity!$M$16,'Capacity calculation (hide)'!BH182,"")</f>
        <v/>
      </c>
      <c r="H188" s="216" t="str">
        <f>IF(ROW(A71)&lt;=Capacity!$M$16,Capacity!T87,"")</f>
        <v/>
      </c>
      <c r="I188" s="218" t="str">
        <f>IF(ROW(A71)&lt;=Capacity!$M$16,'Capacity calculation (hide)'!DK181,"")</f>
        <v/>
      </c>
      <c r="J188" s="219" t="str">
        <f t="shared" si="3"/>
        <v/>
      </c>
    </row>
    <row r="189" spans="2:10" hidden="1" x14ac:dyDescent="0.25">
      <c r="B189" s="219" t="str">
        <f>IF(Capacity!N88=0,"",Capacity!N88)</f>
        <v/>
      </c>
      <c r="C189" s="133"/>
      <c r="D189" s="133"/>
      <c r="E189" s="133"/>
      <c r="F189" s="216" t="str">
        <f>IF(ROW(A72)&lt;=Capacity!$M$16,Capacity!Q88,"")</f>
        <v/>
      </c>
      <c r="G189" s="323" t="str">
        <f>IF(ROW(A72)&lt;=Capacity!$M$16,'Capacity calculation (hide)'!BH183,"")</f>
        <v/>
      </c>
      <c r="H189" s="216" t="str">
        <f>IF(ROW(A72)&lt;=Capacity!$M$16,Capacity!T88,"")</f>
        <v/>
      </c>
      <c r="I189" s="218" t="str">
        <f>IF(ROW(A72)&lt;=Capacity!$M$16,'Capacity calculation (hide)'!DK182,"")</f>
        <v/>
      </c>
      <c r="J189" s="219" t="str">
        <f t="shared" si="3"/>
        <v/>
      </c>
    </row>
    <row r="190" spans="2:10" hidden="1" x14ac:dyDescent="0.25">
      <c r="B190" s="219" t="str">
        <f>IF(Capacity!N89=0,"",Capacity!N89)</f>
        <v/>
      </c>
      <c r="C190" s="133"/>
      <c r="D190" s="133"/>
      <c r="E190" s="133"/>
      <c r="F190" s="216" t="str">
        <f>IF(ROW(A73)&lt;=Capacity!$M$16,Capacity!Q89,"")</f>
        <v/>
      </c>
      <c r="G190" s="323" t="str">
        <f>IF(ROW(A73)&lt;=Capacity!$M$16,'Capacity calculation (hide)'!BH184,"")</f>
        <v/>
      </c>
      <c r="H190" s="216" t="str">
        <f>IF(ROW(A73)&lt;=Capacity!$M$16,Capacity!T89,"")</f>
        <v/>
      </c>
      <c r="I190" s="218" t="str">
        <f>IF(ROW(A73)&lt;=Capacity!$M$16,'Capacity calculation (hide)'!DK183,"")</f>
        <v/>
      </c>
      <c r="J190" s="219" t="str">
        <f t="shared" si="3"/>
        <v/>
      </c>
    </row>
    <row r="191" spans="2:10" hidden="1" x14ac:dyDescent="0.25">
      <c r="B191" s="219" t="str">
        <f>IF(Capacity!N90=0,"",Capacity!N90)</f>
        <v/>
      </c>
      <c r="C191" s="133"/>
      <c r="D191" s="133"/>
      <c r="E191" s="133"/>
      <c r="F191" s="216" t="str">
        <f>IF(ROW(A74)&lt;=Capacity!$M$16,Capacity!Q90,"")</f>
        <v/>
      </c>
      <c r="G191" s="323" t="str">
        <f>IF(ROW(A74)&lt;=Capacity!$M$16,'Capacity calculation (hide)'!BH185,"")</f>
        <v/>
      </c>
      <c r="H191" s="216" t="str">
        <f>IF(ROW(A74)&lt;=Capacity!$M$16,Capacity!T90,"")</f>
        <v/>
      </c>
      <c r="I191" s="218" t="str">
        <f>IF(ROW(A74)&lt;=Capacity!$M$16,'Capacity calculation (hide)'!DK184,"")</f>
        <v/>
      </c>
      <c r="J191" s="219" t="str">
        <f t="shared" si="3"/>
        <v/>
      </c>
    </row>
    <row r="192" spans="2:10" hidden="1" x14ac:dyDescent="0.25">
      <c r="B192" s="219" t="str">
        <f>IF(Capacity!N91=0,"",Capacity!N91)</f>
        <v/>
      </c>
      <c r="C192" s="133"/>
      <c r="D192" s="133"/>
      <c r="E192" s="133"/>
      <c r="F192" s="216" t="str">
        <f>IF(ROW(A75)&lt;=Capacity!$M$16,Capacity!Q91,"")</f>
        <v/>
      </c>
      <c r="G192" s="323" t="str">
        <f>IF(ROW(A75)&lt;=Capacity!$M$16,'Capacity calculation (hide)'!BH186,"")</f>
        <v/>
      </c>
      <c r="H192" s="216" t="str">
        <f>IF(ROW(A75)&lt;=Capacity!$M$16,Capacity!T91,"")</f>
        <v/>
      </c>
      <c r="I192" s="218" t="str">
        <f>IF(ROW(A75)&lt;=Capacity!$M$16,'Capacity calculation (hide)'!DK185,"")</f>
        <v/>
      </c>
      <c r="J192" s="219" t="str">
        <f t="shared" si="3"/>
        <v/>
      </c>
    </row>
    <row r="193" spans="2:10" hidden="1" x14ac:dyDescent="0.25">
      <c r="B193" s="219" t="str">
        <f>IF(Capacity!N92=0,"",Capacity!N92)</f>
        <v/>
      </c>
      <c r="C193" s="133"/>
      <c r="D193" s="133"/>
      <c r="E193" s="133"/>
      <c r="F193" s="216" t="str">
        <f>IF(ROW(A76)&lt;=Capacity!$M$16,Capacity!Q92,"")</f>
        <v/>
      </c>
      <c r="G193" s="323" t="str">
        <f>IF(ROW(A76)&lt;=Capacity!$M$16,'Capacity calculation (hide)'!BH187,"")</f>
        <v/>
      </c>
      <c r="H193" s="216" t="str">
        <f>IF(ROW(A76)&lt;=Capacity!$M$16,Capacity!T92,"")</f>
        <v/>
      </c>
      <c r="I193" s="218" t="str">
        <f>IF(ROW(A76)&lt;=Capacity!$M$16,'Capacity calculation (hide)'!DK186,"")</f>
        <v/>
      </c>
      <c r="J193" s="219" t="str">
        <f t="shared" si="3"/>
        <v/>
      </c>
    </row>
    <row r="194" spans="2:10" hidden="1" x14ac:dyDescent="0.25">
      <c r="B194" s="219" t="str">
        <f>IF(Capacity!N93=0,"",Capacity!N93)</f>
        <v/>
      </c>
      <c r="C194" s="133"/>
      <c r="D194" s="133"/>
      <c r="E194" s="133"/>
      <c r="F194" s="216" t="str">
        <f>IF(ROW(A77)&lt;=Capacity!$M$16,Capacity!Q93,"")</f>
        <v/>
      </c>
      <c r="G194" s="323" t="str">
        <f>IF(ROW(A77)&lt;=Capacity!$M$16,'Capacity calculation (hide)'!BH188,"")</f>
        <v/>
      </c>
      <c r="H194" s="216" t="str">
        <f>IF(ROW(A77)&lt;=Capacity!$M$16,Capacity!T93,"")</f>
        <v/>
      </c>
      <c r="I194" s="218" t="str">
        <f>IF(ROW(A77)&lt;=Capacity!$M$16,'Capacity calculation (hide)'!DK187,"")</f>
        <v/>
      </c>
      <c r="J194" s="219" t="str">
        <f t="shared" si="3"/>
        <v/>
      </c>
    </row>
    <row r="195" spans="2:10" hidden="1" x14ac:dyDescent="0.25">
      <c r="B195" s="219" t="str">
        <f>IF(Capacity!N94=0,"",Capacity!N94)</f>
        <v/>
      </c>
      <c r="C195" s="133"/>
      <c r="D195" s="133"/>
      <c r="E195" s="133"/>
      <c r="F195" s="216" t="str">
        <f>IF(ROW(A78)&lt;=Capacity!$M$16,Capacity!Q94,"")</f>
        <v/>
      </c>
      <c r="G195" s="323" t="str">
        <f>IF(ROW(A78)&lt;=Capacity!$M$16,'Capacity calculation (hide)'!BH189,"")</f>
        <v/>
      </c>
      <c r="H195" s="216" t="str">
        <f>IF(ROW(A78)&lt;=Capacity!$M$16,Capacity!T94,"")</f>
        <v/>
      </c>
      <c r="I195" s="218" t="str">
        <f>IF(ROW(A78)&lt;=Capacity!$M$16,'Capacity calculation (hide)'!DK188,"")</f>
        <v/>
      </c>
      <c r="J195" s="219" t="str">
        <f t="shared" si="3"/>
        <v/>
      </c>
    </row>
    <row r="196" spans="2:10" hidden="1" x14ac:dyDescent="0.25">
      <c r="B196" s="219" t="str">
        <f>IF(Capacity!N95=0,"",Capacity!N95)</f>
        <v/>
      </c>
      <c r="C196" s="133"/>
      <c r="D196" s="133"/>
      <c r="E196" s="133"/>
      <c r="F196" s="216" t="str">
        <f>IF(ROW(A79)&lt;=Capacity!$M$16,Capacity!Q95,"")</f>
        <v/>
      </c>
      <c r="G196" s="323" t="str">
        <f>IF(ROW(A79)&lt;=Capacity!$M$16,'Capacity calculation (hide)'!BH190,"")</f>
        <v/>
      </c>
      <c r="H196" s="216" t="str">
        <f>IF(ROW(A79)&lt;=Capacity!$M$16,Capacity!T95,"")</f>
        <v/>
      </c>
      <c r="I196" s="218" t="str">
        <f>IF(ROW(A79)&lt;=Capacity!$M$16,'Capacity calculation (hide)'!DK189,"")</f>
        <v/>
      </c>
      <c r="J196" s="219" t="str">
        <f t="shared" si="3"/>
        <v/>
      </c>
    </row>
    <row r="197" spans="2:10" hidden="1" x14ac:dyDescent="0.25">
      <c r="B197" s="219" t="str">
        <f>IF(Capacity!N96=0,"",Capacity!N96)</f>
        <v/>
      </c>
      <c r="C197" s="133"/>
      <c r="D197" s="133"/>
      <c r="E197" s="133"/>
      <c r="F197" s="216" t="str">
        <f>IF(ROW(A80)&lt;=Capacity!$M$16,Capacity!Q96,"")</f>
        <v/>
      </c>
      <c r="G197" s="323" t="str">
        <f>IF(ROW(A80)&lt;=Capacity!$M$16,'Capacity calculation (hide)'!BH191,"")</f>
        <v/>
      </c>
      <c r="H197" s="216" t="str">
        <f>IF(ROW(A80)&lt;=Capacity!$M$16,Capacity!T96,"")</f>
        <v/>
      </c>
      <c r="I197" s="218" t="str">
        <f>IF(ROW(A80)&lt;=Capacity!$M$16,'Capacity calculation (hide)'!DK190,"")</f>
        <v/>
      </c>
      <c r="J197" s="219" t="str">
        <f t="shared" si="3"/>
        <v/>
      </c>
    </row>
    <row r="198" spans="2:10" hidden="1" x14ac:dyDescent="0.25">
      <c r="B198" s="219" t="str">
        <f>IF(Capacity!N97=0,"",Capacity!N97)</f>
        <v/>
      </c>
      <c r="C198" s="133"/>
      <c r="D198" s="133"/>
      <c r="E198" s="133"/>
      <c r="F198" s="216" t="str">
        <f>IF(ROW(A81)&lt;=Capacity!$M$16,Capacity!Q97,"")</f>
        <v/>
      </c>
      <c r="G198" s="323" t="str">
        <f>IF(ROW(A81)&lt;=Capacity!$M$16,'Capacity calculation (hide)'!BH192,"")</f>
        <v/>
      </c>
      <c r="H198" s="216" t="str">
        <f>IF(ROW(A81)&lt;=Capacity!$M$16,Capacity!T97,"")</f>
        <v/>
      </c>
      <c r="I198" s="218" t="str">
        <f>IF(ROW(A81)&lt;=Capacity!$M$16,'Capacity calculation (hide)'!DK191,"")</f>
        <v/>
      </c>
      <c r="J198" s="219" t="str">
        <f t="shared" si="3"/>
        <v/>
      </c>
    </row>
    <row r="199" spans="2:10" hidden="1" x14ac:dyDescent="0.25">
      <c r="B199" s="219" t="str">
        <f>IF(Capacity!N98=0,"",Capacity!N98)</f>
        <v/>
      </c>
      <c r="C199" s="133"/>
      <c r="D199" s="133"/>
      <c r="E199" s="133"/>
      <c r="F199" s="216" t="str">
        <f>IF(ROW(A82)&lt;=Capacity!$M$16,Capacity!Q98,"")</f>
        <v/>
      </c>
      <c r="G199" s="323" t="str">
        <f>IF(ROW(A82)&lt;=Capacity!$M$16,'Capacity calculation (hide)'!BH193,"")</f>
        <v/>
      </c>
      <c r="H199" s="216" t="str">
        <f>IF(ROW(A82)&lt;=Capacity!$M$16,Capacity!T98,"")</f>
        <v/>
      </c>
      <c r="I199" s="218" t="str">
        <f>IF(ROW(A82)&lt;=Capacity!$M$16,'Capacity calculation (hide)'!DK192,"")</f>
        <v/>
      </c>
      <c r="J199" s="219" t="str">
        <f t="shared" si="3"/>
        <v/>
      </c>
    </row>
    <row r="200" spans="2:10" hidden="1" x14ac:dyDescent="0.25">
      <c r="B200" s="219" t="str">
        <f>IF(Capacity!N99=0,"",Capacity!N99)</f>
        <v/>
      </c>
      <c r="C200" s="133"/>
      <c r="D200" s="133"/>
      <c r="E200" s="133"/>
      <c r="F200" s="216" t="str">
        <f>IF(ROW(A83)&lt;=Capacity!$M$16,Capacity!Q99,"")</f>
        <v/>
      </c>
      <c r="G200" s="323" t="str">
        <f>IF(ROW(A83)&lt;=Capacity!$M$16,'Capacity calculation (hide)'!BH194,"")</f>
        <v/>
      </c>
      <c r="H200" s="216" t="str">
        <f>IF(ROW(A83)&lt;=Capacity!$M$16,Capacity!T99,"")</f>
        <v/>
      </c>
      <c r="I200" s="218" t="str">
        <f>IF(ROW(A83)&lt;=Capacity!$M$16,'Capacity calculation (hide)'!DK193,"")</f>
        <v/>
      </c>
      <c r="J200" s="219" t="str">
        <f t="shared" si="3"/>
        <v/>
      </c>
    </row>
    <row r="201" spans="2:10" hidden="1" x14ac:dyDescent="0.25">
      <c r="B201" s="219" t="str">
        <f>IF(Capacity!N100=0,"",Capacity!N100)</f>
        <v/>
      </c>
      <c r="C201" s="133"/>
      <c r="D201" s="133"/>
      <c r="E201" s="133"/>
      <c r="F201" s="216" t="str">
        <f>IF(ROW(A84)&lt;=Capacity!$M$16,Capacity!Q100,"")</f>
        <v/>
      </c>
      <c r="G201" s="323" t="str">
        <f>IF(ROW(A84)&lt;=Capacity!$M$16,'Capacity calculation (hide)'!BH195,"")</f>
        <v/>
      </c>
      <c r="H201" s="216" t="str">
        <f>IF(ROW(A84)&lt;=Capacity!$M$16,Capacity!T100,"")</f>
        <v/>
      </c>
      <c r="I201" s="218" t="str">
        <f>IF(ROW(A84)&lt;=Capacity!$M$16,'Capacity calculation (hide)'!DK194,"")</f>
        <v/>
      </c>
      <c r="J201" s="219" t="str">
        <f t="shared" si="3"/>
        <v/>
      </c>
    </row>
    <row r="202" spans="2:10" hidden="1" x14ac:dyDescent="0.25">
      <c r="B202" s="219" t="str">
        <f>IF(Capacity!N101=0,"",Capacity!N101)</f>
        <v/>
      </c>
      <c r="C202" s="133"/>
      <c r="D202" s="133"/>
      <c r="E202" s="133"/>
      <c r="F202" s="216" t="str">
        <f>IF(ROW(A85)&lt;=Capacity!$M$16,Capacity!Q101,"")</f>
        <v/>
      </c>
      <c r="G202" s="323" t="str">
        <f>IF(ROW(A85)&lt;=Capacity!$M$16,'Capacity calculation (hide)'!BH196,"")</f>
        <v/>
      </c>
      <c r="H202" s="216" t="str">
        <f>IF(ROW(A85)&lt;=Capacity!$M$16,Capacity!T101,"")</f>
        <v/>
      </c>
      <c r="I202" s="218" t="str">
        <f>IF(ROW(A85)&lt;=Capacity!$M$16,'Capacity calculation (hide)'!DK195,"")</f>
        <v/>
      </c>
      <c r="J202" s="219" t="str">
        <f t="shared" si="3"/>
        <v/>
      </c>
    </row>
    <row r="203" spans="2:10" hidden="1" x14ac:dyDescent="0.25">
      <c r="B203" s="219" t="str">
        <f>IF(Capacity!N102=0,"",Capacity!N102)</f>
        <v/>
      </c>
      <c r="C203" s="133"/>
      <c r="D203" s="133"/>
      <c r="E203" s="133"/>
      <c r="F203" s="216" t="str">
        <f>IF(ROW(A86)&lt;=Capacity!$M$16,Capacity!Q102,"")</f>
        <v/>
      </c>
      <c r="G203" s="323" t="str">
        <f>IF(ROW(A86)&lt;=Capacity!$M$16,'Capacity calculation (hide)'!BH197,"")</f>
        <v/>
      </c>
      <c r="H203" s="216" t="str">
        <f>IF(ROW(A86)&lt;=Capacity!$M$16,Capacity!T102,"")</f>
        <v/>
      </c>
      <c r="I203" s="218" t="str">
        <f>IF(ROW(A86)&lt;=Capacity!$M$16,'Capacity calculation (hide)'!DK196,"")</f>
        <v/>
      </c>
      <c r="J203" s="219" t="str">
        <f t="shared" si="3"/>
        <v/>
      </c>
    </row>
    <row r="204" spans="2:10" hidden="1" x14ac:dyDescent="0.25">
      <c r="B204" s="219" t="str">
        <f>IF(Capacity!N103=0,"",Capacity!N103)</f>
        <v/>
      </c>
      <c r="C204" s="133"/>
      <c r="D204" s="133"/>
      <c r="E204" s="133"/>
      <c r="F204" s="216" t="str">
        <f>IF(ROW(A87)&lt;=Capacity!$M$16,Capacity!Q103,"")</f>
        <v/>
      </c>
      <c r="G204" s="323" t="str">
        <f>IF(ROW(A87)&lt;=Capacity!$M$16,'Capacity calculation (hide)'!BH198,"")</f>
        <v/>
      </c>
      <c r="H204" s="216" t="str">
        <f>IF(ROW(A87)&lt;=Capacity!$M$16,Capacity!T103,"")</f>
        <v/>
      </c>
      <c r="I204" s="218" t="str">
        <f>IF(ROW(A87)&lt;=Capacity!$M$16,'Capacity calculation (hide)'!DK197,"")</f>
        <v/>
      </c>
      <c r="J204" s="219" t="str">
        <f t="shared" si="3"/>
        <v/>
      </c>
    </row>
    <row r="205" spans="2:10" hidden="1" x14ac:dyDescent="0.25">
      <c r="B205" s="219" t="str">
        <f>IF(Capacity!N104=0,"",Capacity!N104)</f>
        <v/>
      </c>
      <c r="C205" s="133"/>
      <c r="D205" s="133"/>
      <c r="E205" s="133"/>
      <c r="F205" s="216" t="str">
        <f>IF(ROW(A88)&lt;=Capacity!$M$16,Capacity!Q104,"")</f>
        <v/>
      </c>
      <c r="G205" s="323" t="str">
        <f>IF(ROW(A88)&lt;=Capacity!$M$16,'Capacity calculation (hide)'!BH199,"")</f>
        <v/>
      </c>
      <c r="H205" s="216" t="str">
        <f>IF(ROW(A88)&lt;=Capacity!$M$16,Capacity!T104,"")</f>
        <v/>
      </c>
      <c r="I205" s="218" t="str">
        <f>IF(ROW(A88)&lt;=Capacity!$M$16,'Capacity calculation (hide)'!DK198,"")</f>
        <v/>
      </c>
      <c r="J205" s="219" t="str">
        <f t="shared" si="3"/>
        <v/>
      </c>
    </row>
    <row r="206" spans="2:10" hidden="1" x14ac:dyDescent="0.25">
      <c r="B206" s="219" t="str">
        <f>IF(Capacity!N105=0,"",Capacity!N105)</f>
        <v/>
      </c>
      <c r="C206" s="133"/>
      <c r="D206" s="133"/>
      <c r="E206" s="133"/>
      <c r="F206" s="216" t="str">
        <f>IF(ROW(A89)&lt;=Capacity!$M$16,Capacity!Q105,"")</f>
        <v/>
      </c>
      <c r="G206" s="323" t="str">
        <f>IF(ROW(A89)&lt;=Capacity!$M$16,'Capacity calculation (hide)'!BH200,"")</f>
        <v/>
      </c>
      <c r="H206" s="216" t="str">
        <f>IF(ROW(A89)&lt;=Capacity!$M$16,Capacity!T105,"")</f>
        <v/>
      </c>
      <c r="I206" s="218" t="str">
        <f>IF(ROW(A89)&lt;=Capacity!$M$16,'Capacity calculation (hide)'!DK199,"")</f>
        <v/>
      </c>
      <c r="J206" s="219" t="str">
        <f t="shared" si="3"/>
        <v/>
      </c>
    </row>
    <row r="207" spans="2:10" hidden="1" x14ac:dyDescent="0.25">
      <c r="B207" s="219" t="str">
        <f>IF(Capacity!N106=0,"",Capacity!N106)</f>
        <v/>
      </c>
      <c r="C207" s="133"/>
      <c r="D207" s="133"/>
      <c r="E207" s="133"/>
      <c r="F207" s="216" t="str">
        <f>IF(ROW(A90)&lt;=Capacity!$M$16,Capacity!Q106,"")</f>
        <v/>
      </c>
      <c r="G207" s="323" t="str">
        <f>IF(ROW(A90)&lt;=Capacity!$M$16,'Capacity calculation (hide)'!BH201,"")</f>
        <v/>
      </c>
      <c r="H207" s="216" t="str">
        <f>IF(ROW(A90)&lt;=Capacity!$M$16,Capacity!T106,"")</f>
        <v/>
      </c>
      <c r="I207" s="218" t="str">
        <f>IF(ROW(A90)&lt;=Capacity!$M$16,'Capacity calculation (hide)'!DK200,"")</f>
        <v/>
      </c>
      <c r="J207" s="219" t="str">
        <f t="shared" si="3"/>
        <v/>
      </c>
    </row>
    <row r="208" spans="2:10" hidden="1" x14ac:dyDescent="0.25">
      <c r="B208" s="219" t="str">
        <f>IF(Capacity!N107=0,"",Capacity!N107)</f>
        <v/>
      </c>
      <c r="C208" s="133"/>
      <c r="D208" s="133"/>
      <c r="E208" s="133"/>
      <c r="F208" s="216" t="str">
        <f>IF(ROW(A91)&lt;=Capacity!$M$16,Capacity!Q107,"")</f>
        <v/>
      </c>
      <c r="G208" s="323" t="str">
        <f>IF(ROW(A91)&lt;=Capacity!$M$16,'Capacity calculation (hide)'!BH202,"")</f>
        <v/>
      </c>
      <c r="H208" s="216" t="str">
        <f>IF(ROW(A91)&lt;=Capacity!$M$16,Capacity!T107,"")</f>
        <v/>
      </c>
      <c r="I208" s="218" t="str">
        <f>IF(ROW(A91)&lt;=Capacity!$M$16,'Capacity calculation (hide)'!DK201,"")</f>
        <v/>
      </c>
      <c r="J208" s="219" t="str">
        <f t="shared" si="3"/>
        <v/>
      </c>
    </row>
    <row r="209" spans="2:10" hidden="1" x14ac:dyDescent="0.25">
      <c r="B209" s="219" t="str">
        <f>IF(Capacity!N108=0,"",Capacity!N108)</f>
        <v/>
      </c>
      <c r="C209" s="133"/>
      <c r="D209" s="133"/>
      <c r="E209" s="133"/>
      <c r="F209" s="216" t="str">
        <f>IF(ROW(A92)&lt;=Capacity!$M$16,Capacity!Q108,"")</f>
        <v/>
      </c>
      <c r="G209" s="323" t="str">
        <f>IF(ROW(A92)&lt;=Capacity!$M$16,'Capacity calculation (hide)'!BH203,"")</f>
        <v/>
      </c>
      <c r="H209" s="216" t="str">
        <f>IF(ROW(A92)&lt;=Capacity!$M$16,Capacity!T108,"")</f>
        <v/>
      </c>
      <c r="I209" s="218" t="str">
        <f>IF(ROW(A92)&lt;=Capacity!$M$16,'Capacity calculation (hide)'!DK202,"")</f>
        <v/>
      </c>
      <c r="J209" s="219" t="str">
        <f t="shared" si="3"/>
        <v/>
      </c>
    </row>
    <row r="210" spans="2:10" hidden="1" x14ac:dyDescent="0.25">
      <c r="B210" s="219" t="str">
        <f>IF(Capacity!N109=0,"",Capacity!N109)</f>
        <v/>
      </c>
      <c r="C210" s="133"/>
      <c r="D210" s="133"/>
      <c r="E210" s="133"/>
      <c r="F210" s="216" t="str">
        <f>IF(ROW(A93)&lt;=Capacity!$M$16,Capacity!Q109,"")</f>
        <v/>
      </c>
      <c r="G210" s="323" t="str">
        <f>IF(ROW(A93)&lt;=Capacity!$M$16,'Capacity calculation (hide)'!BH204,"")</f>
        <v/>
      </c>
      <c r="H210" s="216" t="str">
        <f>IF(ROW(A93)&lt;=Capacity!$M$16,Capacity!T109,"")</f>
        <v/>
      </c>
      <c r="I210" s="218" t="str">
        <f>IF(ROW(A93)&lt;=Capacity!$M$16,'Capacity calculation (hide)'!DK203,"")</f>
        <v/>
      </c>
      <c r="J210" s="219" t="str">
        <f t="shared" si="3"/>
        <v/>
      </c>
    </row>
    <row r="211" spans="2:10" hidden="1" x14ac:dyDescent="0.25">
      <c r="B211" s="219" t="str">
        <f>IF(Capacity!N110=0,"",Capacity!N110)</f>
        <v/>
      </c>
      <c r="C211" s="133"/>
      <c r="D211" s="133"/>
      <c r="E211" s="133"/>
      <c r="F211" s="216" t="str">
        <f>IF(ROW(A94)&lt;=Capacity!$M$16,Capacity!Q110,"")</f>
        <v/>
      </c>
      <c r="G211" s="323" t="str">
        <f>IF(ROW(A94)&lt;=Capacity!$M$16,'Capacity calculation (hide)'!BH205,"")</f>
        <v/>
      </c>
      <c r="H211" s="216" t="str">
        <f>IF(ROW(A94)&lt;=Capacity!$M$16,Capacity!T110,"")</f>
        <v/>
      </c>
      <c r="I211" s="218" t="str">
        <f>IF(ROW(A94)&lt;=Capacity!$M$16,'Capacity calculation (hide)'!DK204,"")</f>
        <v/>
      </c>
      <c r="J211" s="219" t="str">
        <f t="shared" si="3"/>
        <v/>
      </c>
    </row>
    <row r="212" spans="2:10" hidden="1" x14ac:dyDescent="0.25">
      <c r="B212" s="219" t="str">
        <f>IF(Capacity!N111=0,"",Capacity!N111)</f>
        <v/>
      </c>
      <c r="C212" s="133"/>
      <c r="D212" s="133"/>
      <c r="E212" s="133"/>
      <c r="F212" s="216" t="str">
        <f>IF(ROW(A95)&lt;=Capacity!$M$16,Capacity!Q111,"")</f>
        <v/>
      </c>
      <c r="G212" s="323" t="str">
        <f>IF(ROW(A95)&lt;=Capacity!$M$16,'Capacity calculation (hide)'!BH206,"")</f>
        <v/>
      </c>
      <c r="H212" s="216" t="str">
        <f>IF(ROW(A95)&lt;=Capacity!$M$16,Capacity!T111,"")</f>
        <v/>
      </c>
      <c r="I212" s="218" t="str">
        <f>IF(ROW(A95)&lt;=Capacity!$M$16,'Capacity calculation (hide)'!DK205,"")</f>
        <v/>
      </c>
      <c r="J212" s="219" t="str">
        <f t="shared" si="3"/>
        <v/>
      </c>
    </row>
    <row r="213" spans="2:10" hidden="1" x14ac:dyDescent="0.25">
      <c r="B213" s="219" t="str">
        <f>IF(Capacity!N112=0,"",Capacity!N112)</f>
        <v/>
      </c>
      <c r="C213" s="133"/>
      <c r="D213" s="133"/>
      <c r="E213" s="133"/>
      <c r="F213" s="216" t="str">
        <f>IF(ROW(A96)&lt;=Capacity!$M$16,Capacity!Q112,"")</f>
        <v/>
      </c>
      <c r="G213" s="323" t="str">
        <f>IF(ROW(A96)&lt;=Capacity!$M$16,'Capacity calculation (hide)'!BH207,"")</f>
        <v/>
      </c>
      <c r="H213" s="216" t="str">
        <f>IF(ROW(A96)&lt;=Capacity!$M$16,Capacity!T112,"")</f>
        <v/>
      </c>
      <c r="I213" s="218" t="str">
        <f>IF(ROW(A96)&lt;=Capacity!$M$16,'Capacity calculation (hide)'!DK206,"")</f>
        <v/>
      </c>
      <c r="J213" s="219" t="str">
        <f t="shared" si="3"/>
        <v/>
      </c>
    </row>
    <row r="214" spans="2:10" hidden="1" x14ac:dyDescent="0.25">
      <c r="B214" s="219" t="str">
        <f>IF(Capacity!N113=0,"",Capacity!N113)</f>
        <v/>
      </c>
      <c r="C214" s="133"/>
      <c r="D214" s="133"/>
      <c r="E214" s="133"/>
      <c r="F214" s="216" t="str">
        <f>IF(ROW(A97)&lt;=Capacity!$M$16,Capacity!Q113,"")</f>
        <v/>
      </c>
      <c r="G214" s="323" t="str">
        <f>IF(ROW(A97)&lt;=Capacity!$M$16,'Capacity calculation (hide)'!BH208,"")</f>
        <v/>
      </c>
      <c r="H214" s="216" t="str">
        <f>IF(ROW(A97)&lt;=Capacity!$M$16,Capacity!T113,"")</f>
        <v/>
      </c>
      <c r="I214" s="218" t="str">
        <f>IF(ROW(A97)&lt;=Capacity!$M$16,'Capacity calculation (hide)'!DK207,"")</f>
        <v/>
      </c>
      <c r="J214" s="219" t="str">
        <f t="shared" si="3"/>
        <v/>
      </c>
    </row>
    <row r="215" spans="2:10" hidden="1" x14ac:dyDescent="0.25">
      <c r="B215" s="219" t="str">
        <f>IF(Capacity!N114=0,"",Capacity!N114)</f>
        <v/>
      </c>
      <c r="C215" s="133"/>
      <c r="D215" s="133"/>
      <c r="E215" s="133"/>
      <c r="F215" s="216" t="str">
        <f>IF(ROW(A98)&lt;=Capacity!$M$16,Capacity!Q114,"")</f>
        <v/>
      </c>
      <c r="G215" s="323" t="str">
        <f>IF(ROW(A98)&lt;=Capacity!$M$16,'Capacity calculation (hide)'!BH209,"")</f>
        <v/>
      </c>
      <c r="H215" s="216" t="str">
        <f>IF(ROW(A98)&lt;=Capacity!$M$16,Capacity!T114,"")</f>
        <v/>
      </c>
      <c r="I215" s="218" t="str">
        <f>IF(ROW(A98)&lt;=Capacity!$M$16,'Capacity calculation (hide)'!DK208,"")</f>
        <v/>
      </c>
      <c r="J215" s="219" t="str">
        <f t="shared" si="3"/>
        <v/>
      </c>
    </row>
    <row r="216" spans="2:10" hidden="1" x14ac:dyDescent="0.25">
      <c r="B216" s="219" t="str">
        <f>IF(Capacity!N115=0,"",Capacity!N115)</f>
        <v/>
      </c>
      <c r="C216" s="133"/>
      <c r="D216" s="133"/>
      <c r="E216" s="133"/>
      <c r="F216" s="216" t="str">
        <f>IF(ROW(A99)&lt;=Capacity!$M$16,Capacity!Q115,"")</f>
        <v/>
      </c>
      <c r="G216" s="323" t="str">
        <f>IF(ROW(A99)&lt;=Capacity!$M$16,'Capacity calculation (hide)'!BH210,"")</f>
        <v/>
      </c>
      <c r="H216" s="216" t="str">
        <f>IF(ROW(A99)&lt;=Capacity!$M$16,Capacity!T115,"")</f>
        <v/>
      </c>
      <c r="I216" s="218" t="str">
        <f>IF(ROW(A99)&lt;=Capacity!$M$16,'Capacity calculation (hide)'!DK209,"")</f>
        <v/>
      </c>
      <c r="J216" s="219" t="str">
        <f t="shared" si="3"/>
        <v/>
      </c>
    </row>
    <row r="217" spans="2:10" hidden="1" x14ac:dyDescent="0.25">
      <c r="B217" s="219" t="str">
        <f>IF(Capacity!N116=0,"",Capacity!N116)</f>
        <v/>
      </c>
      <c r="C217" s="133"/>
      <c r="D217" s="133"/>
      <c r="E217" s="133"/>
      <c r="F217" s="216" t="str">
        <f>IF(ROW(A100)&lt;=Capacity!$M$16,Capacity!Q116,"")</f>
        <v/>
      </c>
      <c r="G217" s="323" t="str">
        <f>IF(ROW(A100)&lt;=Capacity!$M$16,'Capacity calculation (hide)'!BH211,"")</f>
        <v/>
      </c>
      <c r="H217" s="216" t="str">
        <f>IF(ROW(A100)&lt;=Capacity!$M$16,Capacity!T116,"")</f>
        <v/>
      </c>
      <c r="I217" s="218" t="str">
        <f>IF(ROW(A100)&lt;=Capacity!$M$16,'Capacity calculation (hide)'!DK210,"")</f>
        <v/>
      </c>
      <c r="J217" s="219" t="str">
        <f t="shared" si="3"/>
        <v/>
      </c>
    </row>
  </sheetData>
  <sheetProtection algorithmName="SHA-512" hashValue="ipO5NACNGKCCQK3dVp7GIRJ92zZA34UBBRH3VsKzzXhUr1iI5qqMY5f6rTciKjzGQrombLBtOVahZq+w/Mjq3A==" saltValue="K6emT64pSIfX2qtGLMitdQ==" spinCount="100000" sheet="1" objects="1" scenarios="1"/>
  <dataConsolidate/>
  <mergeCells count="1">
    <mergeCell ref="B1:D1"/>
  </mergeCells>
  <conditionalFormatting sqref="B12:J111">
    <cfRule type="expression" dxfId="21" priority="4">
      <formula>IF($B12="",FALSE,TRUE)</formula>
    </cfRule>
  </conditionalFormatting>
  <conditionalFormatting sqref="B12:B111 F12:I111">
    <cfRule type="expression" dxfId="20" priority="3">
      <formula>IF($B12="",FALSE, TRUE)</formula>
    </cfRule>
  </conditionalFormatting>
  <conditionalFormatting sqref="B118:J217">
    <cfRule type="expression" dxfId="19" priority="2">
      <formula>IF($B118="",FALSE,TRUE)</formula>
    </cfRule>
  </conditionalFormatting>
  <conditionalFormatting sqref="B118:B217 F118:I217">
    <cfRule type="expression" dxfId="18" priority="1">
      <formula>IF($B118="",FALSE, TRUE)</formula>
    </cfRule>
  </conditionalFormatting>
  <dataValidations count="1">
    <dataValidation type="list" allowBlank="1" showInputMessage="1" showErrorMessage="1" sqref="C118:E217 C12:E111" xr:uid="{00000000-0002-0000-0E00-000000000000}">
      <formula1>IF($B12&lt;&gt;"",Capacity_Resource,$A$1)</formula1>
    </dataValidation>
  </dataValidations>
  <pageMargins left="0.7" right="0.7" top="0.75" bottom="0.75" header="0.3" footer="0.3"/>
  <pageSetup paperSize="9" orientation="portrait" horizontalDpi="90" verticalDpi="9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1000000}">
          <x14:formula1>
            <xm:f>'Control sheet (hide)'!$E$25:$E$26</xm:f>
          </x14:formula1>
          <xm:sqref>B4</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dimension ref="B2:BL246"/>
  <sheetViews>
    <sheetView showGridLines="0" showRowColHeaders="0" zoomScaleNormal="100" workbookViewId="0">
      <selection activeCell="R124" sqref="R124"/>
    </sheetView>
  </sheetViews>
  <sheetFormatPr defaultColWidth="9" defaultRowHeight="13.8" x14ac:dyDescent="0.25"/>
  <cols>
    <col min="1" max="1" width="0.19921875" style="67" customWidth="1"/>
    <col min="2" max="2" width="19.59765625" style="67" customWidth="1"/>
    <col min="3" max="3" width="9.19921875" style="67" customWidth="1"/>
    <col min="4" max="4" width="10.59765625" style="67" customWidth="1"/>
    <col min="5" max="5" width="9.19921875" style="67" customWidth="1"/>
    <col min="6" max="6" width="10.59765625" style="67" customWidth="1"/>
    <col min="7" max="7" width="6.09765625" style="67" customWidth="1"/>
    <col min="8" max="9" width="2.09765625" style="67" customWidth="1"/>
    <col min="10" max="10" width="2.19921875" style="67" customWidth="1"/>
    <col min="11" max="12" width="2.09765625" style="67" customWidth="1"/>
    <col min="13" max="13" width="2.5" style="67" customWidth="1"/>
    <col min="14" max="16" width="2.09765625" style="67" customWidth="1"/>
    <col min="17" max="17" width="2.3984375" style="67" customWidth="1"/>
    <col min="18" max="19" width="2.09765625" style="67" customWidth="1"/>
    <col min="20" max="20" width="2.3984375" style="67" customWidth="1"/>
    <col min="21" max="21" width="2.09765625" style="67" customWidth="1"/>
    <col min="22" max="22" width="2.3984375" style="67" customWidth="1"/>
    <col min="23" max="25" width="2.09765625" style="67" customWidth="1"/>
    <col min="26" max="26" width="2.19921875" style="67" customWidth="1"/>
    <col min="27" max="27" width="2.3984375" style="67" customWidth="1"/>
    <col min="28" max="28" width="2.09765625" style="67" customWidth="1"/>
    <col min="29" max="29" width="2.19921875" style="67" customWidth="1"/>
    <col min="30" max="30" width="2.09765625" style="67" customWidth="1"/>
    <col min="31" max="32" width="2.19921875" style="67" customWidth="1"/>
    <col min="33" max="33" width="2.09765625" style="67" customWidth="1"/>
    <col min="34" max="34" width="2.3984375" style="67" customWidth="1"/>
    <col min="35" max="36" width="2.09765625" style="67" customWidth="1"/>
    <col min="37" max="37" width="2.5" style="67" customWidth="1"/>
    <col min="38" max="40" width="2.09765625" style="67" customWidth="1"/>
    <col min="41" max="41" width="2.3984375" style="67" customWidth="1"/>
    <col min="42" max="44" width="2.09765625" style="67" customWidth="1"/>
    <col min="45" max="46" width="2.3984375" style="67" customWidth="1"/>
    <col min="47" max="48" width="2.09765625" style="67" customWidth="1"/>
    <col min="49" max="49" width="2.19921875" style="67" customWidth="1"/>
    <col min="50" max="50" width="2.09765625" style="67" customWidth="1"/>
    <col min="51" max="51" width="2.3984375" style="67" customWidth="1"/>
    <col min="52" max="52" width="2.09765625" style="67" customWidth="1"/>
    <col min="53" max="53" width="2.5" style="67" customWidth="1"/>
    <col min="54" max="57" width="2.09765625" style="67" customWidth="1"/>
    <col min="58" max="58" width="2.3984375" style="67" customWidth="1"/>
    <col min="59" max="59" width="2.09765625" style="67" customWidth="1"/>
    <col min="60" max="66" width="9" style="67" customWidth="1"/>
    <col min="67" max="16384" width="9" style="67"/>
  </cols>
  <sheetData>
    <row r="2" spans="2:64" x14ac:dyDescent="0.25">
      <c r="B2" s="2" t="s">
        <v>477</v>
      </c>
    </row>
    <row r="3" spans="2:64" x14ac:dyDescent="0.25">
      <c r="C3" s="45" t="s">
        <v>480</v>
      </c>
      <c r="D3" s="45" t="s">
        <v>481</v>
      </c>
    </row>
    <row r="4" spans="2:64" ht="27.6" x14ac:dyDescent="0.25">
      <c r="B4" s="80" t="str">
        <f>"Total Capacity 
("&amp;$C$16&amp;" per year):"</f>
        <v>Total Capacity 
(Patients per year):</v>
      </c>
      <c r="C4" s="222">
        <f ca="1">'Capacity calculation (hide)'!DK4</f>
        <v>3870.7692307692337</v>
      </c>
      <c r="D4" s="222">
        <f>'Capacity calculation (hide)'!DK111</f>
        <v>0</v>
      </c>
      <c r="E4" s="136"/>
      <c r="F4" s="136"/>
    </row>
    <row r="5" spans="2:64" x14ac:dyDescent="0.25">
      <c r="H5" s="79"/>
      <c r="I5" s="79"/>
      <c r="J5" s="79"/>
      <c r="K5" s="79"/>
      <c r="L5" s="79"/>
      <c r="M5" s="79"/>
      <c r="N5" s="79"/>
      <c r="O5" s="79"/>
      <c r="P5" s="79"/>
      <c r="Q5" s="79"/>
      <c r="R5" s="79"/>
      <c r="S5" s="79"/>
      <c r="T5" s="79"/>
      <c r="U5" s="79"/>
      <c r="V5" s="79"/>
      <c r="W5" s="79"/>
      <c r="X5" s="79"/>
      <c r="Y5" s="79"/>
    </row>
    <row r="6" spans="2:64" ht="14.25" customHeight="1" x14ac:dyDescent="0.25">
      <c r="B6" s="117" t="s">
        <v>438</v>
      </c>
      <c r="C6" s="117" t="s">
        <v>439</v>
      </c>
      <c r="D6" s="128"/>
      <c r="E6" s="128"/>
      <c r="F6" s="128"/>
      <c r="G6" s="65"/>
      <c r="H6" s="126"/>
      <c r="I6" s="126"/>
      <c r="J6" s="66"/>
      <c r="K6" s="66"/>
      <c r="L6" s="66"/>
      <c r="M6" s="66"/>
      <c r="N6" s="66"/>
      <c r="O6" s="66"/>
      <c r="P6" s="66"/>
      <c r="Q6" s="66"/>
      <c r="R6" s="66"/>
      <c r="S6" s="66"/>
      <c r="T6" s="66"/>
      <c r="U6" s="66"/>
      <c r="V6" s="66"/>
      <c r="W6" s="66"/>
      <c r="X6" s="66"/>
      <c r="Y6" s="66"/>
      <c r="Z6" s="66"/>
      <c r="AA6" s="66"/>
      <c r="AB6" s="66"/>
      <c r="AC6" s="66"/>
      <c r="AD6" s="66"/>
      <c r="AE6" s="66"/>
      <c r="AF6" s="66"/>
      <c r="AG6" s="66"/>
      <c r="AH6" s="66"/>
      <c r="AI6" s="66"/>
      <c r="AJ6" s="66"/>
      <c r="AK6" s="66"/>
      <c r="AL6" s="66"/>
      <c r="AM6" s="66"/>
      <c r="AN6" s="66"/>
      <c r="AO6" s="66"/>
      <c r="AP6" s="66"/>
      <c r="AQ6" s="66"/>
      <c r="AR6" s="66"/>
      <c r="AS6" s="66"/>
      <c r="AT6" s="66"/>
      <c r="AU6" s="66"/>
      <c r="AV6" s="66"/>
      <c r="AW6" s="66"/>
      <c r="AX6" s="66"/>
      <c r="AY6" s="66"/>
      <c r="AZ6" s="66"/>
      <c r="BA6" s="66"/>
      <c r="BB6" s="66"/>
      <c r="BC6" s="66"/>
      <c r="BD6" s="66"/>
      <c r="BE6" s="66"/>
      <c r="BF6" s="66"/>
      <c r="BG6" s="66"/>
      <c r="BH6" s="66"/>
      <c r="BI6" s="66"/>
      <c r="BJ6" s="66"/>
    </row>
    <row r="7" spans="2:64" x14ac:dyDescent="0.25">
      <c r="B7" s="123"/>
      <c r="C7" s="123"/>
      <c r="D7" s="128"/>
      <c r="E7" s="128"/>
      <c r="F7" s="128"/>
      <c r="G7" s="65"/>
      <c r="H7" s="126"/>
      <c r="I7" s="126"/>
      <c r="J7" s="66"/>
      <c r="K7" s="66"/>
      <c r="L7" s="66"/>
      <c r="M7" s="66"/>
      <c r="N7" s="66"/>
      <c r="O7" s="66"/>
      <c r="P7" s="66"/>
      <c r="Q7" s="66"/>
      <c r="R7" s="66"/>
      <c r="S7" s="66"/>
      <c r="T7" s="66"/>
      <c r="U7" s="66"/>
      <c r="V7" s="66"/>
      <c r="W7" s="66"/>
      <c r="X7" s="66"/>
      <c r="Y7" s="66"/>
      <c r="Z7" s="66"/>
      <c r="AA7" s="66"/>
      <c r="AB7" s="66"/>
      <c r="AC7" s="66"/>
      <c r="AD7" s="66"/>
      <c r="AE7" s="66"/>
      <c r="AF7" s="66"/>
      <c r="AG7" s="66"/>
      <c r="AH7" s="66"/>
      <c r="AI7" s="66"/>
      <c r="AJ7" s="66"/>
      <c r="AK7" s="66"/>
      <c r="AL7" s="66"/>
      <c r="AM7" s="66"/>
      <c r="AN7" s="66"/>
      <c r="AO7" s="66"/>
      <c r="AP7" s="66"/>
      <c r="AQ7" s="66"/>
      <c r="AR7" s="66"/>
      <c r="AS7" s="66"/>
      <c r="AT7" s="66"/>
      <c r="AU7" s="66"/>
      <c r="AV7" s="66"/>
      <c r="AW7" s="66"/>
      <c r="AX7" s="66"/>
      <c r="AY7" s="66"/>
      <c r="AZ7" s="66"/>
      <c r="BA7" s="66"/>
      <c r="BB7" s="66"/>
      <c r="BC7" s="66"/>
      <c r="BD7" s="66"/>
      <c r="BE7" s="66"/>
      <c r="BF7" s="66"/>
      <c r="BG7" s="66"/>
      <c r="BH7" s="66"/>
      <c r="BI7" s="66"/>
      <c r="BJ7" s="66"/>
      <c r="BK7" s="66"/>
      <c r="BL7" s="66"/>
    </row>
    <row r="8" spans="2:64" x14ac:dyDescent="0.25">
      <c r="B8" s="65"/>
      <c r="C8" s="65"/>
      <c r="D8" s="65"/>
      <c r="E8" s="65"/>
      <c r="F8" s="65"/>
      <c r="G8" s="65"/>
      <c r="H8" s="126"/>
      <c r="I8" s="126"/>
      <c r="J8" s="66"/>
      <c r="K8" s="66"/>
      <c r="L8" s="66"/>
      <c r="M8" s="66"/>
      <c r="N8" s="66"/>
      <c r="O8" s="66"/>
      <c r="P8" s="66"/>
      <c r="Q8" s="66"/>
      <c r="R8" s="66"/>
      <c r="S8" s="66"/>
      <c r="T8" s="66"/>
      <c r="U8" s="66"/>
      <c r="V8" s="66"/>
      <c r="W8" s="66"/>
      <c r="X8" s="66"/>
      <c r="Y8" s="66"/>
      <c r="Z8" s="66"/>
      <c r="AA8" s="66"/>
      <c r="AB8" s="66"/>
      <c r="AC8" s="66"/>
      <c r="AD8" s="66"/>
      <c r="AE8" s="66"/>
      <c r="AF8" s="66"/>
      <c r="AG8" s="66"/>
      <c r="AH8" s="66"/>
      <c r="AI8" s="66"/>
      <c r="AJ8" s="66"/>
      <c r="AK8" s="66"/>
      <c r="AL8" s="66"/>
      <c r="AM8" s="66"/>
      <c r="AN8" s="66"/>
      <c r="AO8" s="66"/>
      <c r="AP8" s="66"/>
      <c r="AQ8" s="66"/>
      <c r="AR8" s="66"/>
      <c r="AS8" s="66"/>
      <c r="AT8" s="66"/>
      <c r="AU8" s="66"/>
      <c r="AV8" s="66"/>
      <c r="AW8" s="66"/>
      <c r="AX8" s="66"/>
      <c r="AY8" s="66"/>
      <c r="AZ8" s="66"/>
      <c r="BA8" s="66"/>
      <c r="BB8" s="66"/>
      <c r="BC8" s="66"/>
      <c r="BD8" s="66"/>
      <c r="BE8" s="66"/>
      <c r="BF8" s="66"/>
      <c r="BG8" s="66"/>
      <c r="BH8" s="66"/>
      <c r="BI8" s="66"/>
      <c r="BJ8" s="66"/>
      <c r="BK8" s="66"/>
      <c r="BL8" s="66"/>
    </row>
    <row r="9" spans="2:64" x14ac:dyDescent="0.25">
      <c r="B9" s="67" t="s">
        <v>296</v>
      </c>
      <c r="H9" s="126"/>
      <c r="I9" s="126"/>
      <c r="J9" s="66"/>
      <c r="K9" s="66"/>
      <c r="L9" s="66"/>
      <c r="M9" s="66"/>
      <c r="N9" s="66"/>
      <c r="O9" s="66"/>
      <c r="P9" s="66"/>
      <c r="Q9" s="66"/>
      <c r="R9" s="66"/>
      <c r="S9" s="66"/>
      <c r="T9" s="66"/>
      <c r="U9" s="66"/>
      <c r="V9" s="66"/>
      <c r="W9" s="66"/>
      <c r="X9" s="66"/>
      <c r="Y9" s="66"/>
      <c r="Z9" s="66"/>
      <c r="AA9" s="66"/>
      <c r="AB9" s="66"/>
      <c r="AC9" s="66"/>
      <c r="AD9" s="66"/>
      <c r="AE9" s="66"/>
      <c r="AF9" s="66"/>
      <c r="AG9" s="66"/>
      <c r="AH9" s="66"/>
      <c r="AI9" s="66"/>
      <c r="AJ9" s="66"/>
      <c r="AK9" s="66"/>
      <c r="AL9" s="66"/>
      <c r="AM9" s="66"/>
      <c r="AN9" s="66"/>
      <c r="AO9" s="66"/>
      <c r="AP9" s="66"/>
      <c r="AQ9" s="66"/>
      <c r="AR9" s="66"/>
      <c r="AS9" s="66"/>
      <c r="AT9" s="66"/>
      <c r="AU9" s="66"/>
      <c r="AV9" s="66"/>
      <c r="AW9" s="66"/>
      <c r="AX9" s="66"/>
      <c r="AY9" s="66"/>
      <c r="AZ9" s="66"/>
      <c r="BA9" s="66"/>
      <c r="BB9" s="66"/>
      <c r="BC9" s="66"/>
      <c r="BD9" s="66"/>
      <c r="BE9" s="66"/>
      <c r="BF9" s="66"/>
      <c r="BG9" s="66"/>
      <c r="BH9" s="66"/>
      <c r="BI9" s="66"/>
      <c r="BJ9" s="66"/>
      <c r="BK9" s="66"/>
      <c r="BL9" s="66"/>
    </row>
    <row r="10" spans="2:64" x14ac:dyDescent="0.25">
      <c r="B10" s="134" t="s">
        <v>471</v>
      </c>
      <c r="C10" s="412" t="s">
        <v>57</v>
      </c>
      <c r="D10" s="412"/>
      <c r="E10" s="412"/>
      <c r="F10" s="130"/>
      <c r="H10" s="126"/>
      <c r="I10" s="126"/>
      <c r="J10" s="66"/>
      <c r="K10" s="66"/>
      <c r="L10" s="66"/>
      <c r="M10" s="66"/>
      <c r="N10" s="66"/>
      <c r="O10" s="66"/>
      <c r="P10" s="66"/>
      <c r="Q10" s="66"/>
      <c r="R10" s="66"/>
      <c r="S10" s="66"/>
      <c r="T10" s="66"/>
      <c r="U10" s="66"/>
      <c r="V10" s="66"/>
      <c r="W10" s="66"/>
      <c r="X10" s="66"/>
      <c r="Y10" s="66"/>
      <c r="Z10" s="66"/>
      <c r="AA10" s="66"/>
      <c r="AB10" s="66"/>
      <c r="AC10" s="66"/>
      <c r="AD10" s="66"/>
      <c r="AE10" s="66"/>
      <c r="AF10" s="66"/>
      <c r="AG10" s="66"/>
      <c r="AH10" s="66"/>
      <c r="AI10" s="66"/>
      <c r="AJ10" s="66"/>
      <c r="AK10" s="66"/>
      <c r="AL10" s="66"/>
      <c r="AM10" s="66"/>
      <c r="AN10" s="66"/>
      <c r="AO10" s="66"/>
      <c r="AP10" s="66"/>
      <c r="AQ10" s="66"/>
      <c r="AR10" s="66"/>
      <c r="AS10" s="66"/>
      <c r="AT10" s="66"/>
      <c r="AU10" s="66"/>
      <c r="AV10" s="66"/>
      <c r="AW10" s="66"/>
      <c r="AX10" s="66"/>
      <c r="AY10" s="66"/>
      <c r="AZ10" s="66"/>
      <c r="BA10" s="66"/>
      <c r="BB10" s="66"/>
      <c r="BC10" s="66"/>
      <c r="BD10" s="66"/>
      <c r="BE10" s="66"/>
      <c r="BF10" s="66"/>
      <c r="BG10" s="66"/>
      <c r="BH10" s="66"/>
      <c r="BI10" s="66"/>
      <c r="BJ10" s="66"/>
      <c r="BK10" s="66"/>
      <c r="BL10" s="66"/>
    </row>
    <row r="11" spans="2:64" x14ac:dyDescent="0.25">
      <c r="B11" s="135" t="s">
        <v>472</v>
      </c>
      <c r="C11" s="412" t="s">
        <v>57</v>
      </c>
      <c r="D11" s="412"/>
      <c r="E11" s="412"/>
      <c r="F11" s="130"/>
      <c r="G11" s="127"/>
      <c r="H11" s="126"/>
      <c r="I11" s="126"/>
      <c r="J11" s="66"/>
      <c r="K11" s="66"/>
      <c r="L11" s="66"/>
      <c r="M11" s="66"/>
      <c r="N11" s="66"/>
      <c r="O11" s="66"/>
      <c r="P11" s="66"/>
      <c r="Q11" s="66"/>
      <c r="R11" s="66"/>
      <c r="S11" s="66"/>
      <c r="T11" s="66"/>
      <c r="U11" s="66"/>
      <c r="V11" s="66"/>
      <c r="W11" s="66"/>
      <c r="X11" s="66"/>
      <c r="Y11" s="66"/>
      <c r="Z11" s="66"/>
      <c r="AA11" s="66"/>
      <c r="AB11" s="66"/>
      <c r="AC11" s="66"/>
      <c r="AD11" s="66"/>
      <c r="AE11" s="66"/>
      <c r="AF11" s="66"/>
      <c r="AG11" s="66"/>
      <c r="AH11" s="66"/>
      <c r="AI11" s="66"/>
      <c r="AJ11" s="66"/>
      <c r="AK11" s="66"/>
      <c r="AL11" s="66"/>
      <c r="AM11" s="66"/>
      <c r="AN11" s="66"/>
      <c r="AO11" s="66"/>
      <c r="AP11" s="66"/>
      <c r="AQ11" s="66"/>
      <c r="AR11" s="66"/>
      <c r="AS11" s="66"/>
      <c r="AT11" s="66"/>
      <c r="AU11" s="66"/>
      <c r="AV11" s="66"/>
      <c r="AW11" s="66"/>
      <c r="AX11" s="66"/>
      <c r="AY11" s="66"/>
      <c r="AZ11" s="66"/>
      <c r="BA11" s="66"/>
      <c r="BB11" s="66"/>
      <c r="BC11" s="66"/>
      <c r="BD11" s="66"/>
      <c r="BE11" s="66"/>
      <c r="BF11" s="66"/>
      <c r="BG11" s="66"/>
      <c r="BH11" s="66"/>
      <c r="BI11" s="66"/>
      <c r="BJ11" s="66"/>
      <c r="BK11" s="66"/>
      <c r="BL11" s="66"/>
    </row>
    <row r="12" spans="2:64" x14ac:dyDescent="0.25">
      <c r="H12" s="126"/>
      <c r="I12" s="126"/>
      <c r="J12" s="66"/>
      <c r="K12" s="66"/>
      <c r="L12" s="66"/>
      <c r="M12" s="66"/>
      <c r="N12" s="66"/>
      <c r="O12" s="66"/>
      <c r="P12" s="66"/>
      <c r="Q12" s="66"/>
      <c r="R12" s="66"/>
      <c r="S12" s="66"/>
      <c r="T12" s="66"/>
      <c r="U12" s="66"/>
      <c r="V12" s="66"/>
      <c r="W12" s="66"/>
      <c r="X12" s="66"/>
      <c r="Y12" s="66"/>
      <c r="Z12" s="66"/>
      <c r="AA12" s="66"/>
      <c r="AB12" s="66"/>
      <c r="AC12" s="66"/>
      <c r="AD12" s="66"/>
      <c r="AE12" s="66"/>
      <c r="AF12" s="66"/>
      <c r="AG12" s="66"/>
      <c r="AH12" s="66"/>
      <c r="AI12" s="66"/>
      <c r="AJ12" s="66"/>
      <c r="AK12" s="66"/>
      <c r="AL12" s="66"/>
      <c r="AM12" s="66"/>
      <c r="AN12" s="66"/>
      <c r="AO12" s="66"/>
      <c r="AP12" s="66"/>
      <c r="AQ12" s="66"/>
      <c r="AR12" s="66"/>
      <c r="AS12" s="66"/>
      <c r="AT12" s="66"/>
      <c r="AU12" s="66"/>
      <c r="AV12" s="66"/>
      <c r="AW12" s="66"/>
      <c r="AX12" s="66"/>
      <c r="AY12" s="66"/>
      <c r="AZ12" s="66"/>
      <c r="BA12" s="66"/>
      <c r="BB12" s="66"/>
      <c r="BC12" s="66"/>
      <c r="BD12" s="66"/>
      <c r="BE12" s="66"/>
      <c r="BF12" s="66"/>
      <c r="BG12" s="66"/>
      <c r="BH12" s="66"/>
      <c r="BI12" s="66"/>
      <c r="BJ12" s="66"/>
      <c r="BK12" s="66"/>
      <c r="BL12" s="66"/>
    </row>
    <row r="13" spans="2:64" x14ac:dyDescent="0.25">
      <c r="C13" s="306" t="s">
        <v>481</v>
      </c>
      <c r="D13" s="306" t="s">
        <v>480</v>
      </c>
      <c r="H13" s="126"/>
      <c r="I13" s="126"/>
      <c r="J13" s="66"/>
      <c r="K13" s="66"/>
      <c r="L13" s="66"/>
      <c r="M13" s="66"/>
      <c r="N13" s="66"/>
      <c r="O13" s="66"/>
      <c r="P13" s="66"/>
      <c r="Q13" s="66"/>
      <c r="R13" s="66"/>
      <c r="S13" s="66"/>
      <c r="T13" s="66"/>
      <c r="U13" s="66"/>
      <c r="V13" s="66"/>
      <c r="W13" s="66"/>
      <c r="X13" s="66"/>
      <c r="Y13" s="66"/>
      <c r="Z13" s="66"/>
      <c r="AA13" s="66"/>
      <c r="AB13" s="66"/>
      <c r="AC13" s="66"/>
      <c r="AD13" s="66"/>
      <c r="AE13" s="66"/>
      <c r="AF13" s="66"/>
      <c r="AG13" s="66"/>
      <c r="AH13" s="66"/>
      <c r="AI13" s="66"/>
      <c r="AJ13" s="66"/>
      <c r="AK13" s="66"/>
      <c r="AL13" s="66"/>
      <c r="AM13" s="66"/>
      <c r="AN13" s="66"/>
      <c r="AO13" s="66"/>
      <c r="AP13" s="66"/>
      <c r="AQ13" s="66"/>
      <c r="AR13" s="66"/>
      <c r="AS13" s="66"/>
      <c r="AT13" s="66"/>
      <c r="AU13" s="66"/>
      <c r="AV13" s="66"/>
      <c r="AW13" s="66"/>
      <c r="AX13" s="66"/>
      <c r="AY13" s="66"/>
      <c r="AZ13" s="66"/>
      <c r="BA13" s="66"/>
      <c r="BB13" s="66"/>
      <c r="BC13" s="66"/>
      <c r="BD13" s="66"/>
      <c r="BE13" s="66"/>
      <c r="BF13" s="66"/>
      <c r="BG13" s="66"/>
      <c r="BH13" s="66"/>
      <c r="BI13" s="66"/>
      <c r="BJ13" s="66"/>
      <c r="BK13" s="66"/>
      <c r="BL13" s="66"/>
    </row>
    <row r="14" spans="2:64" x14ac:dyDescent="0.25">
      <c r="B14" s="81" t="s">
        <v>1162</v>
      </c>
      <c r="C14" s="154" t="s">
        <v>20</v>
      </c>
      <c r="D14" s="154" t="s">
        <v>20</v>
      </c>
      <c r="H14" s="126"/>
      <c r="I14" s="126"/>
      <c r="J14" s="66"/>
      <c r="K14" s="66"/>
      <c r="L14" s="66"/>
      <c r="M14" s="66"/>
      <c r="N14" s="66"/>
      <c r="O14" s="66"/>
      <c r="P14" s="66"/>
      <c r="Q14" s="66"/>
      <c r="R14" s="66"/>
      <c r="S14" s="66"/>
      <c r="T14" s="66"/>
      <c r="U14" s="66"/>
      <c r="V14" s="66"/>
      <c r="W14" s="66"/>
      <c r="X14" s="66"/>
      <c r="Y14" s="66"/>
      <c r="Z14" s="66"/>
      <c r="AA14" s="66"/>
      <c r="AB14" s="66"/>
      <c r="AC14" s="66"/>
      <c r="AD14" s="66"/>
      <c r="AE14" s="66"/>
      <c r="AF14" s="66"/>
      <c r="AG14" s="66"/>
      <c r="AH14" s="66"/>
      <c r="AI14" s="66"/>
      <c r="AJ14" s="66"/>
      <c r="AK14" s="66"/>
      <c r="AL14" s="66"/>
      <c r="AM14" s="66"/>
      <c r="AN14" s="66"/>
      <c r="AO14" s="66"/>
      <c r="AP14" s="66"/>
      <c r="AQ14" s="66"/>
      <c r="AR14" s="66"/>
      <c r="AS14" s="66"/>
      <c r="AT14" s="66"/>
      <c r="AU14" s="66"/>
      <c r="AV14" s="66"/>
      <c r="AW14" s="66"/>
      <c r="AX14" s="66"/>
      <c r="AY14" s="66"/>
      <c r="AZ14" s="66"/>
      <c r="BA14" s="66"/>
      <c r="BB14" s="66"/>
      <c r="BC14" s="66"/>
      <c r="BD14" s="66"/>
      <c r="BE14" s="66"/>
      <c r="BF14" s="66"/>
      <c r="BG14" s="66"/>
      <c r="BH14" s="66"/>
      <c r="BI14" s="66"/>
      <c r="BJ14" s="66"/>
      <c r="BK14" s="66"/>
      <c r="BL14" s="66"/>
    </row>
    <row r="15" spans="2:64" x14ac:dyDescent="0.25">
      <c r="H15" s="126"/>
      <c r="I15" s="126"/>
      <c r="J15" s="66"/>
      <c r="K15" s="66"/>
      <c r="L15" s="66"/>
      <c r="M15" s="66"/>
      <c r="N15" s="66"/>
      <c r="O15" s="66"/>
      <c r="P15" s="66"/>
      <c r="Q15" s="66"/>
      <c r="R15" s="66"/>
      <c r="S15" s="66"/>
      <c r="T15" s="66"/>
      <c r="U15" s="66"/>
      <c r="V15" s="66"/>
      <c r="W15" s="66"/>
      <c r="X15" s="66"/>
      <c r="Y15" s="66"/>
      <c r="Z15" s="66"/>
      <c r="AA15" s="66"/>
      <c r="AB15" s="66"/>
      <c r="AC15" s="66"/>
      <c r="AD15" s="66"/>
      <c r="AE15" s="66"/>
      <c r="AF15" s="66"/>
      <c r="AG15" s="66"/>
      <c r="AH15" s="66"/>
      <c r="AI15" s="66"/>
      <c r="AJ15" s="66"/>
      <c r="AK15" s="66"/>
      <c r="AL15" s="66"/>
      <c r="AM15" s="66"/>
      <c r="AN15" s="66"/>
      <c r="AO15" s="66"/>
      <c r="AP15" s="66"/>
      <c r="AQ15" s="66"/>
      <c r="AR15" s="66"/>
      <c r="AS15" s="66"/>
      <c r="AT15" s="66"/>
      <c r="AU15" s="66"/>
      <c r="AV15" s="66"/>
      <c r="AW15" s="66"/>
      <c r="AX15" s="66"/>
      <c r="AY15" s="66"/>
      <c r="AZ15" s="66"/>
      <c r="BA15" s="66"/>
      <c r="BB15" s="66"/>
      <c r="BC15" s="66"/>
      <c r="BD15" s="66"/>
      <c r="BE15" s="66"/>
      <c r="BF15" s="66"/>
      <c r="BG15" s="66"/>
      <c r="BH15" s="66"/>
      <c r="BI15" s="66"/>
      <c r="BJ15" s="66"/>
      <c r="BK15" s="66"/>
      <c r="BL15" s="66"/>
    </row>
    <row r="16" spans="2:64" x14ac:dyDescent="0.25">
      <c r="B16" s="67" t="s">
        <v>14</v>
      </c>
      <c r="C16" s="163" t="s">
        <v>19</v>
      </c>
      <c r="H16" s="126"/>
      <c r="I16" s="126"/>
      <c r="J16" s="66"/>
      <c r="K16" s="66"/>
      <c r="L16" s="66"/>
      <c r="M16" s="66"/>
      <c r="N16" s="66"/>
      <c r="O16" s="66"/>
      <c r="P16" s="66"/>
      <c r="Q16" s="66"/>
      <c r="R16" s="66"/>
      <c r="S16" s="66"/>
      <c r="T16" s="66"/>
      <c r="U16" s="66"/>
      <c r="V16" s="66"/>
      <c r="W16" s="66"/>
      <c r="X16" s="66"/>
      <c r="Y16" s="66"/>
      <c r="Z16" s="66"/>
      <c r="AA16" s="66"/>
      <c r="AB16" s="66"/>
      <c r="AC16" s="66"/>
      <c r="AD16" s="66"/>
      <c r="AE16" s="66"/>
      <c r="AF16" s="66"/>
      <c r="AG16" s="66"/>
      <c r="AH16" s="66"/>
      <c r="AI16" s="66"/>
      <c r="AJ16" s="66"/>
      <c r="AK16" s="66"/>
      <c r="AL16" s="66"/>
      <c r="AM16" s="66"/>
      <c r="AN16" s="66"/>
      <c r="AO16" s="66"/>
      <c r="AP16" s="66"/>
      <c r="AQ16" s="66"/>
      <c r="AR16" s="66"/>
      <c r="AS16" s="66"/>
      <c r="AT16" s="66"/>
      <c r="AU16" s="66"/>
      <c r="AV16" s="66"/>
      <c r="AW16" s="66"/>
      <c r="AX16" s="66"/>
      <c r="AY16" s="66"/>
      <c r="AZ16" s="66"/>
      <c r="BA16" s="66"/>
      <c r="BB16" s="66"/>
      <c r="BC16" s="66"/>
      <c r="BD16" s="66"/>
      <c r="BE16" s="66"/>
      <c r="BF16" s="66"/>
      <c r="BG16" s="66"/>
      <c r="BH16" s="66"/>
      <c r="BI16" s="66"/>
      <c r="BJ16" s="66"/>
      <c r="BK16" s="66"/>
      <c r="BL16" s="66"/>
    </row>
    <row r="17" spans="2:64" x14ac:dyDescent="0.25">
      <c r="H17" s="126"/>
      <c r="I17" s="126"/>
      <c r="J17" s="66"/>
      <c r="K17" s="66"/>
      <c r="L17" s="66"/>
      <c r="M17" s="66"/>
      <c r="N17" s="66"/>
      <c r="O17" s="66"/>
      <c r="P17" s="66"/>
      <c r="Q17" s="66"/>
      <c r="R17" s="66"/>
      <c r="S17" s="66"/>
      <c r="T17" s="66"/>
      <c r="U17" s="66"/>
      <c r="V17" s="66"/>
      <c r="W17" s="66"/>
      <c r="X17" s="66"/>
      <c r="Y17" s="66"/>
      <c r="Z17" s="66"/>
      <c r="AA17" s="66"/>
      <c r="AB17" s="66"/>
      <c r="AC17" s="66"/>
      <c r="AD17" s="66"/>
      <c r="AE17" s="66"/>
      <c r="AF17" s="66"/>
      <c r="AG17" s="66"/>
      <c r="AH17" s="66"/>
      <c r="AI17" s="66"/>
      <c r="AJ17" s="66"/>
      <c r="AK17" s="66"/>
      <c r="AL17" s="66"/>
      <c r="AM17" s="66"/>
      <c r="AN17" s="66"/>
      <c r="AO17" s="66"/>
      <c r="AP17" s="66"/>
      <c r="AQ17" s="66"/>
      <c r="AR17" s="66"/>
      <c r="AS17" s="66"/>
      <c r="AT17" s="66"/>
      <c r="AU17" s="66"/>
      <c r="AV17" s="66"/>
      <c r="AW17" s="66"/>
      <c r="AX17" s="66"/>
      <c r="AY17" s="66"/>
      <c r="AZ17" s="66"/>
      <c r="BA17" s="66"/>
      <c r="BB17" s="66"/>
      <c r="BC17" s="66"/>
      <c r="BD17" s="66"/>
      <c r="BE17" s="66"/>
      <c r="BF17" s="66"/>
      <c r="BG17" s="66"/>
      <c r="BH17" s="66"/>
      <c r="BI17" s="66"/>
      <c r="BJ17" s="66"/>
      <c r="BK17" s="66"/>
      <c r="BL17" s="66"/>
    </row>
    <row r="18" spans="2:64" x14ac:dyDescent="0.25">
      <c r="B18" s="352" t="s">
        <v>1216</v>
      </c>
      <c r="H18" s="126"/>
      <c r="I18" s="126"/>
      <c r="J18" s="66"/>
      <c r="K18" s="66"/>
      <c r="L18" s="66"/>
      <c r="M18" s="66"/>
      <c r="N18" s="66"/>
      <c r="O18" s="66"/>
      <c r="P18" s="66"/>
      <c r="Q18" s="66"/>
      <c r="R18" s="66"/>
      <c r="S18" s="66"/>
      <c r="T18" s="66"/>
      <c r="U18" s="66"/>
      <c r="V18" s="66"/>
      <c r="W18" s="66"/>
      <c r="X18" s="66"/>
      <c r="Y18" s="66"/>
      <c r="Z18" s="66"/>
      <c r="AA18" s="66"/>
      <c r="AB18" s="66"/>
      <c r="AC18" s="66"/>
      <c r="AD18" s="66"/>
      <c r="AE18" s="66"/>
      <c r="AF18" s="66"/>
      <c r="AG18" s="66"/>
      <c r="AH18" s="66"/>
      <c r="AI18" s="66"/>
      <c r="AJ18" s="66"/>
      <c r="AK18" s="66"/>
      <c r="AL18" s="66"/>
      <c r="AM18" s="66"/>
      <c r="AN18" s="66"/>
      <c r="AO18" s="66"/>
      <c r="AP18" s="66"/>
      <c r="AQ18" s="66"/>
      <c r="AR18" s="66"/>
      <c r="AS18" s="66"/>
      <c r="AT18" s="66"/>
      <c r="AU18" s="66"/>
      <c r="AV18" s="66"/>
      <c r="AW18" s="66"/>
      <c r="AX18" s="66"/>
      <c r="AY18" s="66"/>
      <c r="AZ18" s="66"/>
      <c r="BA18" s="66"/>
      <c r="BB18" s="66"/>
      <c r="BC18" s="66"/>
      <c r="BD18" s="66"/>
      <c r="BE18" s="66"/>
      <c r="BF18" s="66"/>
      <c r="BG18" s="66"/>
      <c r="BH18" s="66"/>
      <c r="BI18" s="66"/>
      <c r="BJ18" s="66"/>
      <c r="BK18" s="66"/>
      <c r="BL18" s="66"/>
    </row>
    <row r="19" spans="2:64" x14ac:dyDescent="0.25">
      <c r="B19" s="353" t="s">
        <v>1217</v>
      </c>
      <c r="H19" s="126"/>
      <c r="I19" s="126"/>
      <c r="J19" s="66"/>
      <c r="K19" s="66"/>
      <c r="L19" s="66"/>
      <c r="M19" s="66"/>
      <c r="N19" s="66"/>
      <c r="O19" s="66"/>
      <c r="P19" s="66"/>
      <c r="Q19" s="66"/>
      <c r="R19" s="66"/>
      <c r="S19" s="66"/>
      <c r="T19" s="66"/>
      <c r="U19" s="66"/>
      <c r="V19" s="66"/>
      <c r="W19" s="66"/>
      <c r="X19" s="66"/>
      <c r="Y19" s="66"/>
      <c r="Z19" s="66"/>
      <c r="AA19" s="66"/>
      <c r="AB19" s="66"/>
      <c r="AC19" s="66"/>
      <c r="AD19" s="66"/>
      <c r="AE19" s="66"/>
      <c r="AF19" s="66"/>
      <c r="AG19" s="66"/>
      <c r="AH19" s="66"/>
      <c r="AI19" s="66"/>
      <c r="AJ19" s="66"/>
      <c r="AK19" s="66"/>
      <c r="AL19" s="66"/>
      <c r="AM19" s="66"/>
      <c r="AN19" s="66"/>
      <c r="AO19" s="66"/>
      <c r="AP19" s="66"/>
      <c r="AQ19" s="66"/>
      <c r="AR19" s="66"/>
      <c r="AS19" s="66"/>
      <c r="AT19" s="66"/>
      <c r="AU19" s="66"/>
      <c r="AV19" s="66"/>
      <c r="AW19" s="66"/>
      <c r="AX19" s="66"/>
      <c r="AY19" s="66"/>
      <c r="AZ19" s="66"/>
      <c r="BA19" s="66"/>
      <c r="BB19" s="66"/>
      <c r="BC19" s="66"/>
      <c r="BD19" s="66"/>
      <c r="BE19" s="66"/>
      <c r="BF19" s="66"/>
      <c r="BG19" s="66"/>
      <c r="BH19" s="66"/>
      <c r="BI19" s="66"/>
      <c r="BJ19" s="66"/>
      <c r="BK19" s="66"/>
      <c r="BL19" s="66"/>
    </row>
    <row r="20" spans="2:64" x14ac:dyDescent="0.25">
      <c r="B20" s="317" t="s">
        <v>1218</v>
      </c>
      <c r="H20" s="126"/>
      <c r="I20" s="126"/>
      <c r="J20" s="66"/>
      <c r="K20" s="66"/>
      <c r="L20" s="66"/>
      <c r="M20" s="66"/>
      <c r="N20" s="66"/>
      <c r="O20" s="66"/>
      <c r="P20" s="66"/>
      <c r="Q20" s="66"/>
      <c r="R20" s="66"/>
      <c r="S20" s="66"/>
      <c r="T20" s="66"/>
      <c r="U20" s="66"/>
      <c r="V20" s="66"/>
      <c r="W20" s="66"/>
      <c r="X20" s="66"/>
      <c r="Y20" s="66"/>
      <c r="Z20" s="66"/>
      <c r="AA20" s="66"/>
      <c r="AB20" s="66"/>
      <c r="AC20" s="66"/>
      <c r="AD20" s="66"/>
      <c r="AE20" s="66"/>
      <c r="AF20" s="66"/>
      <c r="AG20" s="66"/>
      <c r="AH20" s="66"/>
      <c r="AI20" s="66"/>
      <c r="AJ20" s="66"/>
      <c r="AK20" s="66"/>
      <c r="AL20" s="66"/>
      <c r="AM20" s="66"/>
      <c r="AN20" s="66"/>
      <c r="AO20" s="66"/>
      <c r="AP20" s="66"/>
      <c r="AQ20" s="66"/>
      <c r="AR20" s="66"/>
      <c r="AS20" s="66"/>
      <c r="AT20" s="66"/>
      <c r="AU20" s="66"/>
      <c r="AV20" s="66"/>
      <c r="AW20" s="66"/>
      <c r="AX20" s="66"/>
      <c r="AY20" s="66"/>
      <c r="AZ20" s="66"/>
      <c r="BA20" s="66"/>
      <c r="BB20" s="66"/>
      <c r="BC20" s="66"/>
      <c r="BD20" s="66"/>
      <c r="BE20" s="66"/>
      <c r="BF20" s="66"/>
      <c r="BG20" s="66"/>
      <c r="BH20" s="66"/>
      <c r="BI20" s="66"/>
      <c r="BJ20" s="66"/>
      <c r="BK20" s="66"/>
      <c r="BL20" s="66"/>
    </row>
    <row r="21" spans="2:64" x14ac:dyDescent="0.25">
      <c r="B21" s="403" t="s">
        <v>1176</v>
      </c>
      <c r="C21" s="406" t="s">
        <v>486</v>
      </c>
      <c r="D21" s="407"/>
      <c r="E21" s="407" t="s">
        <v>483</v>
      </c>
      <c r="F21" s="410"/>
      <c r="H21" s="126"/>
      <c r="I21" s="126"/>
      <c r="J21" s="66"/>
      <c r="K21" s="66"/>
      <c r="L21" s="66"/>
      <c r="M21" s="66"/>
      <c r="N21" s="66"/>
      <c r="O21" s="66"/>
      <c r="P21" s="66"/>
      <c r="Q21" s="66"/>
      <c r="R21" s="66"/>
      <c r="S21" s="66"/>
      <c r="T21" s="66"/>
      <c r="U21" s="66"/>
      <c r="V21" s="66"/>
      <c r="W21" s="66"/>
      <c r="X21" s="66"/>
      <c r="Y21" s="66"/>
      <c r="Z21" s="66"/>
      <c r="AA21" s="66"/>
      <c r="AB21" s="66"/>
      <c r="AC21" s="66"/>
      <c r="AD21" s="66"/>
      <c r="AE21" s="66"/>
      <c r="AF21" s="66"/>
      <c r="AG21" s="66"/>
      <c r="AH21" s="66"/>
      <c r="AI21" s="66"/>
      <c r="AJ21" s="66"/>
      <c r="AK21" s="66"/>
      <c r="AL21" s="66"/>
      <c r="AM21" s="66"/>
      <c r="AN21" s="66"/>
      <c r="AO21" s="66"/>
      <c r="AP21" s="66"/>
      <c r="AQ21" s="66"/>
      <c r="AR21" s="66"/>
      <c r="AS21" s="66"/>
      <c r="AT21" s="66"/>
      <c r="AU21" s="66"/>
      <c r="AV21" s="66"/>
      <c r="AW21" s="66"/>
      <c r="AX21" s="66"/>
      <c r="AY21" s="66"/>
      <c r="AZ21" s="66"/>
      <c r="BA21" s="66"/>
      <c r="BB21" s="66"/>
      <c r="BC21" s="66"/>
      <c r="BD21" s="66"/>
      <c r="BE21" s="66"/>
      <c r="BF21" s="66"/>
      <c r="BG21" s="66"/>
      <c r="BH21" s="66"/>
      <c r="BI21" s="66"/>
      <c r="BJ21" s="66"/>
      <c r="BK21" s="66"/>
      <c r="BL21" s="66"/>
    </row>
    <row r="22" spans="2:64" x14ac:dyDescent="0.25">
      <c r="B22" s="404"/>
      <c r="C22" s="408"/>
      <c r="D22" s="409"/>
      <c r="E22" s="409"/>
      <c r="F22" s="411"/>
      <c r="H22" s="126"/>
      <c r="I22" s="126"/>
      <c r="J22" s="126"/>
      <c r="K22" s="126"/>
      <c r="L22" s="126"/>
      <c r="M22" s="126"/>
      <c r="N22" s="126"/>
      <c r="O22" s="126"/>
      <c r="P22" s="126"/>
      <c r="Q22" s="126"/>
      <c r="R22" s="126"/>
      <c r="S22" s="126"/>
      <c r="T22" s="126"/>
      <c r="U22" s="126"/>
      <c r="V22" s="126"/>
      <c r="W22" s="126"/>
      <c r="X22" s="126"/>
      <c r="Y22" s="126"/>
      <c r="Z22" s="126"/>
      <c r="AA22" s="126"/>
      <c r="AB22" s="126"/>
      <c r="AC22" s="126"/>
      <c r="AD22" s="126"/>
      <c r="AE22" s="126"/>
      <c r="AF22" s="126"/>
      <c r="AG22" s="126"/>
      <c r="AH22" s="126"/>
      <c r="AI22" s="126"/>
      <c r="AJ22" s="126"/>
      <c r="AK22" s="126"/>
      <c r="AL22" s="126"/>
      <c r="AM22" s="126"/>
      <c r="AN22" s="126"/>
      <c r="AO22" s="126"/>
      <c r="AP22" s="126"/>
      <c r="AQ22" s="126"/>
      <c r="AR22" s="126"/>
      <c r="AS22" s="126"/>
      <c r="AT22" s="126"/>
      <c r="AU22" s="126"/>
      <c r="AV22" s="126"/>
      <c r="AW22" s="126"/>
      <c r="AX22" s="126"/>
      <c r="AY22" s="126"/>
      <c r="AZ22" s="126"/>
      <c r="BA22" s="126"/>
      <c r="BB22" s="126"/>
      <c r="BC22" s="126"/>
      <c r="BD22" s="126"/>
      <c r="BE22" s="126"/>
      <c r="BF22" s="126"/>
      <c r="BG22" s="126"/>
      <c r="BH22" s="126"/>
      <c r="BI22" s="126"/>
      <c r="BJ22" s="126"/>
      <c r="BK22" s="126"/>
      <c r="BL22" s="126"/>
    </row>
    <row r="23" spans="2:64" ht="27.6" x14ac:dyDescent="0.25">
      <c r="B23" s="405"/>
      <c r="C23" s="305" t="s">
        <v>484</v>
      </c>
      <c r="D23" s="144" t="s">
        <v>485</v>
      </c>
      <c r="E23" s="144" t="s">
        <v>484</v>
      </c>
      <c r="F23" s="283" t="s">
        <v>485</v>
      </c>
      <c r="H23" s="367"/>
      <c r="I23" s="367"/>
      <c r="J23" s="367"/>
      <c r="K23" s="367"/>
      <c r="L23" s="367"/>
      <c r="M23" s="367"/>
      <c r="N23" s="367"/>
      <c r="O23" s="367"/>
      <c r="P23" s="367"/>
      <c r="Q23" s="367"/>
      <c r="R23" s="367"/>
      <c r="S23" s="367"/>
      <c r="T23" s="367"/>
      <c r="U23" s="367"/>
      <c r="V23" s="367"/>
      <c r="W23" s="367"/>
      <c r="X23" s="367"/>
      <c r="Y23" s="367"/>
      <c r="Z23" s="367"/>
      <c r="AA23" s="367"/>
      <c r="AB23" s="367"/>
      <c r="AC23" s="367"/>
      <c r="AD23" s="367"/>
      <c r="AE23" s="367"/>
      <c r="AF23" s="367"/>
      <c r="AG23" s="367"/>
      <c r="AH23" s="367"/>
      <c r="AI23" s="367"/>
      <c r="AJ23" s="367"/>
      <c r="AK23" s="367"/>
      <c r="AL23" s="367"/>
      <c r="AM23" s="367"/>
      <c r="AN23" s="367"/>
      <c r="AO23" s="367"/>
      <c r="AP23" s="367"/>
      <c r="AQ23" s="367"/>
      <c r="AR23" s="367"/>
      <c r="AS23" s="367"/>
      <c r="AT23" s="367"/>
      <c r="AU23" s="367"/>
      <c r="AV23" s="367"/>
      <c r="AW23" s="367"/>
      <c r="AX23" s="367"/>
      <c r="AY23" s="367"/>
      <c r="AZ23" s="367"/>
      <c r="BA23" s="367"/>
      <c r="BB23" s="367"/>
      <c r="BC23" s="367"/>
      <c r="BD23" s="367"/>
      <c r="BE23" s="367"/>
      <c r="BF23" s="367"/>
      <c r="BG23" s="367"/>
      <c r="BH23" s="126"/>
      <c r="BI23" s="126"/>
      <c r="BJ23" s="126"/>
      <c r="BK23" s="126"/>
      <c r="BL23" s="126"/>
    </row>
    <row r="24" spans="2:64" hidden="1" x14ac:dyDescent="0.25">
      <c r="B24" s="220" t="str">
        <f>IF(Capacity!N17="","",Capacity!N17)</f>
        <v>Ad hoc clinic 1</v>
      </c>
      <c r="C24" s="221">
        <f>IF(B24="","",Capacity!Q17)</f>
        <v>0</v>
      </c>
      <c r="D24" s="311">
        <f>IF(B24="","",Capacity!R17)</f>
        <v>0</v>
      </c>
      <c r="E24" s="221">
        <f>IF(B24="","",IF(COUNTBLANK(H24:BG24)=52,SUM('Capacity calculation (hide)'!H112:BG112),52-COUNTBLANK(H24:BG24)))</f>
        <v>5</v>
      </c>
      <c r="F24" s="312">
        <f>'Capacity calculation (hide)'!BI112</f>
        <v>0</v>
      </c>
      <c r="H24" s="368"/>
      <c r="I24" s="368"/>
      <c r="J24" s="368"/>
      <c r="K24" s="368"/>
      <c r="L24" s="368"/>
      <c r="M24" s="368"/>
      <c r="N24" s="368"/>
      <c r="O24" s="368"/>
      <c r="P24" s="368"/>
      <c r="Q24" s="368"/>
      <c r="R24" s="368"/>
      <c r="S24" s="368"/>
      <c r="T24" s="368">
        <v>10</v>
      </c>
      <c r="U24" s="368">
        <v>10</v>
      </c>
      <c r="V24" s="368">
        <v>10</v>
      </c>
      <c r="W24" s="368"/>
      <c r="X24" s="368">
        <v>10</v>
      </c>
      <c r="Y24" s="368">
        <v>10</v>
      </c>
      <c r="Z24" s="368"/>
      <c r="AA24" s="368"/>
      <c r="AB24" s="368"/>
      <c r="AC24" s="368"/>
      <c r="AD24" s="368"/>
      <c r="AE24" s="368"/>
      <c r="AF24" s="368"/>
      <c r="AG24" s="368"/>
      <c r="AH24" s="368"/>
      <c r="AI24" s="368"/>
      <c r="AJ24" s="368"/>
      <c r="AK24" s="368"/>
      <c r="AL24" s="368"/>
      <c r="AM24" s="368"/>
      <c r="AN24" s="368"/>
      <c r="AO24" s="368"/>
      <c r="AP24" s="368"/>
      <c r="AQ24" s="368"/>
      <c r="AR24" s="368"/>
      <c r="AS24" s="368"/>
      <c r="AT24" s="368"/>
      <c r="AU24" s="368"/>
      <c r="AV24" s="368"/>
      <c r="AW24" s="368"/>
      <c r="AX24" s="368"/>
      <c r="AY24" s="368"/>
      <c r="AZ24" s="368"/>
      <c r="BA24" s="368"/>
      <c r="BB24" s="368"/>
      <c r="BC24" s="368"/>
      <c r="BD24" s="368"/>
      <c r="BE24" s="368"/>
      <c r="BF24" s="368"/>
      <c r="BG24" s="368"/>
      <c r="BH24" s="66"/>
      <c r="BI24" s="66"/>
      <c r="BJ24" s="66"/>
      <c r="BK24" s="66"/>
      <c r="BL24" s="66"/>
    </row>
    <row r="25" spans="2:64" hidden="1" x14ac:dyDescent="0.25">
      <c r="B25" s="220" t="str">
        <f>IF(Capacity!N18="","",Capacity!N18)</f>
        <v/>
      </c>
      <c r="C25" s="221" t="str">
        <f>IF(B25="","",Capacity!Q18)</f>
        <v/>
      </c>
      <c r="D25" s="311" t="str">
        <f>IF(B25="","",Capacity!R18)</f>
        <v/>
      </c>
      <c r="E25" s="221" t="str">
        <f>IF(B25="","",IF(COUNTBLANK(H25:BG25)=52,SUM('Capacity calculation (hide)'!H113:BG113),52-COUNTBLANK(H25:BG25)))</f>
        <v/>
      </c>
      <c r="F25" s="312" t="str">
        <f>'Capacity calculation (hide)'!BI113</f>
        <v/>
      </c>
      <c r="H25" s="369"/>
      <c r="I25" s="368"/>
      <c r="J25" s="368"/>
      <c r="K25" s="368"/>
      <c r="L25" s="368"/>
      <c r="M25" s="368"/>
      <c r="N25" s="368"/>
      <c r="O25" s="368"/>
      <c r="P25" s="368"/>
      <c r="Q25" s="368"/>
      <c r="R25" s="368"/>
      <c r="S25" s="368"/>
      <c r="T25" s="368"/>
      <c r="U25" s="368"/>
      <c r="V25" s="368"/>
      <c r="W25" s="368"/>
      <c r="X25" s="368"/>
      <c r="Y25" s="368"/>
      <c r="Z25" s="368"/>
      <c r="AA25" s="368"/>
      <c r="AB25" s="368"/>
      <c r="AC25" s="368"/>
      <c r="AD25" s="368"/>
      <c r="AE25" s="368"/>
      <c r="AF25" s="368"/>
      <c r="AG25" s="368"/>
      <c r="AH25" s="368"/>
      <c r="AI25" s="368"/>
      <c r="AJ25" s="368"/>
      <c r="AK25" s="368"/>
      <c r="AL25" s="368"/>
      <c r="AM25" s="368"/>
      <c r="AN25" s="368"/>
      <c r="AO25" s="368"/>
      <c r="AP25" s="368"/>
      <c r="AQ25" s="368"/>
      <c r="AR25" s="368"/>
      <c r="AS25" s="368"/>
      <c r="AT25" s="368"/>
      <c r="AU25" s="368"/>
      <c r="AV25" s="368"/>
      <c r="AW25" s="368"/>
      <c r="AX25" s="368"/>
      <c r="AY25" s="368"/>
      <c r="AZ25" s="368"/>
      <c r="BA25" s="368"/>
      <c r="BB25" s="368"/>
      <c r="BC25" s="368"/>
      <c r="BD25" s="368"/>
      <c r="BE25" s="368"/>
      <c r="BF25" s="368"/>
      <c r="BG25" s="370"/>
      <c r="BH25" s="66"/>
      <c r="BI25" s="66"/>
    </row>
    <row r="26" spans="2:64" hidden="1" x14ac:dyDescent="0.25">
      <c r="B26" s="220" t="str">
        <f>IF(Capacity!N19="","",Capacity!N19)</f>
        <v/>
      </c>
      <c r="C26" s="221" t="str">
        <f>IF(B26="","",Capacity!Q19)</f>
        <v/>
      </c>
      <c r="D26" s="311" t="str">
        <f>IF(B26="","",Capacity!R19)</f>
        <v/>
      </c>
      <c r="E26" s="221" t="str">
        <f>IF(B26="","",IF(COUNTBLANK(H26:BG26)=52,SUM('Capacity calculation (hide)'!H114:BG114),52-COUNTBLANK(H26:BG26)))</f>
        <v/>
      </c>
      <c r="F26" s="312" t="str">
        <f>'Capacity calculation (hide)'!BI114</f>
        <v/>
      </c>
      <c r="H26" s="368"/>
      <c r="I26" s="368"/>
      <c r="J26" s="368"/>
      <c r="K26" s="368"/>
      <c r="L26" s="368"/>
      <c r="M26" s="368"/>
      <c r="N26" s="368"/>
      <c r="O26" s="368"/>
      <c r="P26" s="368"/>
      <c r="Q26" s="368"/>
      <c r="R26" s="368"/>
      <c r="S26" s="368"/>
      <c r="T26" s="368"/>
      <c r="U26" s="368"/>
      <c r="V26" s="368"/>
      <c r="W26" s="368"/>
      <c r="X26" s="368"/>
      <c r="Y26" s="368"/>
      <c r="Z26" s="368"/>
      <c r="AA26" s="368"/>
      <c r="AB26" s="368"/>
      <c r="AC26" s="368"/>
      <c r="AD26" s="368"/>
      <c r="AE26" s="368"/>
      <c r="AF26" s="368"/>
      <c r="AG26" s="368"/>
      <c r="AH26" s="368"/>
      <c r="AI26" s="368"/>
      <c r="AJ26" s="368"/>
      <c r="AK26" s="368"/>
      <c r="AL26" s="368"/>
      <c r="AM26" s="368"/>
      <c r="AN26" s="368"/>
      <c r="AO26" s="368"/>
      <c r="AP26" s="368"/>
      <c r="AQ26" s="368"/>
      <c r="AR26" s="368"/>
      <c r="AS26" s="368"/>
      <c r="AT26" s="368"/>
      <c r="AU26" s="368"/>
      <c r="AV26" s="368"/>
      <c r="AW26" s="368"/>
      <c r="AX26" s="368"/>
      <c r="AY26" s="368"/>
      <c r="AZ26" s="368"/>
      <c r="BA26" s="368"/>
      <c r="BB26" s="368"/>
      <c r="BC26" s="368"/>
      <c r="BD26" s="368"/>
      <c r="BE26" s="368"/>
      <c r="BF26" s="368"/>
      <c r="BG26" s="368"/>
      <c r="BH26" s="130"/>
      <c r="BI26" s="66"/>
    </row>
    <row r="27" spans="2:64" hidden="1" x14ac:dyDescent="0.25">
      <c r="B27" s="220" t="str">
        <f>IF(Capacity!N20="","",Capacity!N20)</f>
        <v/>
      </c>
      <c r="C27" s="221" t="str">
        <f>IF(B27="","",Capacity!Q20)</f>
        <v/>
      </c>
      <c r="D27" s="311" t="str">
        <f>IF(B27="","",Capacity!R20)</f>
        <v/>
      </c>
      <c r="E27" s="221" t="str">
        <f>IF(B27="","",IF(COUNTBLANK(H27:BG27)=52,SUM('Capacity calculation (hide)'!H115:BG115),52-COUNTBLANK(H27:BG27)))</f>
        <v/>
      </c>
      <c r="F27" s="312" t="str">
        <f>'Capacity calculation (hide)'!BI115</f>
        <v/>
      </c>
      <c r="H27" s="368"/>
      <c r="I27" s="368"/>
      <c r="J27" s="368"/>
      <c r="K27" s="368"/>
      <c r="L27" s="368"/>
      <c r="M27" s="368"/>
      <c r="N27" s="368"/>
      <c r="O27" s="368"/>
      <c r="P27" s="368"/>
      <c r="Q27" s="368"/>
      <c r="R27" s="368"/>
      <c r="S27" s="368"/>
      <c r="T27" s="368"/>
      <c r="U27" s="368"/>
      <c r="V27" s="368"/>
      <c r="W27" s="368"/>
      <c r="X27" s="368"/>
      <c r="Y27" s="368"/>
      <c r="Z27" s="368"/>
      <c r="AA27" s="368"/>
      <c r="AB27" s="368"/>
      <c r="AC27" s="368"/>
      <c r="AD27" s="366"/>
      <c r="AE27" s="366"/>
      <c r="AF27" s="366"/>
      <c r="AG27" s="366"/>
      <c r="AH27" s="366"/>
      <c r="AI27" s="366"/>
      <c r="AJ27" s="366"/>
      <c r="AK27" s="366"/>
      <c r="AL27" s="366"/>
      <c r="AM27" s="366"/>
      <c r="AN27" s="366"/>
      <c r="AO27" s="366"/>
      <c r="AP27" s="366"/>
      <c r="AQ27" s="366"/>
      <c r="AR27" s="366"/>
      <c r="AS27" s="366"/>
      <c r="AT27" s="366"/>
      <c r="AU27" s="366"/>
      <c r="AV27" s="366"/>
      <c r="AW27" s="366"/>
      <c r="AX27" s="366"/>
      <c r="AY27" s="366"/>
      <c r="AZ27" s="366"/>
      <c r="BA27" s="366"/>
      <c r="BB27" s="366"/>
      <c r="BC27" s="366"/>
      <c r="BD27" s="366"/>
      <c r="BE27" s="366"/>
      <c r="BF27" s="366"/>
      <c r="BG27" s="366"/>
    </row>
    <row r="28" spans="2:64" hidden="1" x14ac:dyDescent="0.25">
      <c r="B28" s="220" t="str">
        <f>IF(Capacity!N21="","",Capacity!N21)</f>
        <v/>
      </c>
      <c r="C28" s="221" t="str">
        <f>IF(B28="","",Capacity!Q21)</f>
        <v/>
      </c>
      <c r="D28" s="311" t="str">
        <f>IF(B28="","",Capacity!R21)</f>
        <v/>
      </c>
      <c r="E28" s="221" t="str">
        <f>IF(B28="","",IF(COUNTBLANK(H28:BG28)=52,SUM('Capacity calculation (hide)'!H116:BG116),52-COUNTBLANK(H28:BG28)))</f>
        <v/>
      </c>
      <c r="F28" s="312" t="str">
        <f>'Capacity calculation (hide)'!BI116</f>
        <v/>
      </c>
      <c r="H28" s="368"/>
      <c r="I28" s="368"/>
      <c r="J28" s="368"/>
      <c r="K28" s="368"/>
      <c r="L28" s="368"/>
      <c r="M28" s="368"/>
      <c r="N28" s="368"/>
      <c r="O28" s="368"/>
      <c r="P28" s="368"/>
      <c r="Q28" s="368"/>
      <c r="R28" s="368"/>
      <c r="S28" s="368"/>
      <c r="T28" s="368"/>
      <c r="U28" s="368"/>
      <c r="V28" s="368"/>
      <c r="W28" s="368"/>
      <c r="X28" s="368"/>
      <c r="Y28" s="368"/>
      <c r="Z28" s="368"/>
      <c r="AA28" s="368"/>
      <c r="AB28" s="368"/>
      <c r="AC28" s="368"/>
      <c r="AD28" s="366"/>
      <c r="AE28" s="366"/>
      <c r="AF28" s="366"/>
      <c r="AG28" s="366"/>
      <c r="AH28" s="366"/>
      <c r="AI28" s="366"/>
      <c r="AJ28" s="366"/>
      <c r="AK28" s="366"/>
      <c r="AL28" s="366"/>
      <c r="AM28" s="366"/>
      <c r="AN28" s="366"/>
      <c r="AO28" s="366"/>
      <c r="AP28" s="366"/>
      <c r="AQ28" s="366"/>
      <c r="AR28" s="366"/>
      <c r="AS28" s="366"/>
      <c r="AT28" s="366"/>
      <c r="AU28" s="366"/>
      <c r="AV28" s="366"/>
      <c r="AW28" s="366"/>
      <c r="AX28" s="366"/>
      <c r="AY28" s="366"/>
      <c r="AZ28" s="366"/>
      <c r="BA28" s="366"/>
      <c r="BB28" s="366"/>
      <c r="BC28" s="366"/>
      <c r="BD28" s="366"/>
      <c r="BE28" s="366"/>
      <c r="BF28" s="366"/>
      <c r="BG28" s="366"/>
    </row>
    <row r="29" spans="2:64" hidden="1" x14ac:dyDescent="0.25">
      <c r="B29" s="220" t="str">
        <f>IF(Capacity!N22="","",Capacity!N22)</f>
        <v/>
      </c>
      <c r="C29" s="221" t="str">
        <f>IF(B29="","",Capacity!Q22)</f>
        <v/>
      </c>
      <c r="D29" s="311" t="str">
        <f>IF(B29="","",Capacity!R22)</f>
        <v/>
      </c>
      <c r="E29" s="221" t="str">
        <f>IF(B29="","",IF(COUNTBLANK(H29:BG29)=52,SUM('Capacity calculation (hide)'!H117:BG117),52-COUNTBLANK(H29:BG29)))</f>
        <v/>
      </c>
      <c r="F29" s="312" t="str">
        <f>'Capacity calculation (hide)'!BI117</f>
        <v/>
      </c>
      <c r="H29" s="368"/>
      <c r="I29" s="368"/>
      <c r="J29" s="368"/>
      <c r="K29" s="368"/>
      <c r="L29" s="368"/>
      <c r="M29" s="368"/>
      <c r="N29" s="368"/>
      <c r="O29" s="368"/>
      <c r="P29" s="368"/>
      <c r="Q29" s="368"/>
      <c r="R29" s="368"/>
      <c r="S29" s="368"/>
      <c r="T29" s="368"/>
      <c r="U29" s="368"/>
      <c r="V29" s="368"/>
      <c r="W29" s="368"/>
      <c r="X29" s="368"/>
      <c r="Y29" s="368"/>
      <c r="Z29" s="368"/>
      <c r="AA29" s="368"/>
      <c r="AB29" s="368"/>
      <c r="AC29" s="368"/>
      <c r="AD29" s="366"/>
      <c r="AE29" s="366"/>
      <c r="AF29" s="366"/>
      <c r="AG29" s="366"/>
      <c r="AH29" s="366"/>
      <c r="AI29" s="366"/>
      <c r="AJ29" s="366"/>
      <c r="AK29" s="366"/>
      <c r="AL29" s="366"/>
      <c r="AM29" s="366"/>
      <c r="AN29" s="366"/>
      <c r="AO29" s="366"/>
      <c r="AP29" s="366"/>
      <c r="AQ29" s="366"/>
      <c r="AR29" s="366"/>
      <c r="AS29" s="366"/>
      <c r="AT29" s="366"/>
      <c r="AU29" s="366"/>
      <c r="AV29" s="366"/>
      <c r="AW29" s="366"/>
      <c r="AX29" s="366"/>
      <c r="AY29" s="366"/>
      <c r="AZ29" s="366"/>
      <c r="BA29" s="366"/>
      <c r="BB29" s="366"/>
      <c r="BC29" s="366"/>
      <c r="BD29" s="366"/>
      <c r="BE29" s="366"/>
      <c r="BF29" s="366"/>
      <c r="BG29" s="366"/>
    </row>
    <row r="30" spans="2:64" hidden="1" x14ac:dyDescent="0.25">
      <c r="B30" s="220" t="str">
        <f>IF(Capacity!N23="","",Capacity!N23)</f>
        <v/>
      </c>
      <c r="C30" s="221" t="str">
        <f>IF(B30="","",Capacity!Q23)</f>
        <v/>
      </c>
      <c r="D30" s="311" t="str">
        <f>IF(B30="","",Capacity!R23)</f>
        <v/>
      </c>
      <c r="E30" s="221" t="str">
        <f>IF(B30="","",IF(COUNTBLANK(H30:BG30)=52,SUM('Capacity calculation (hide)'!H118:BG118),52-COUNTBLANK(H30:BG30)))</f>
        <v/>
      </c>
      <c r="F30" s="312" t="str">
        <f>'Capacity calculation (hide)'!BI118</f>
        <v/>
      </c>
      <c r="H30" s="368"/>
      <c r="I30" s="368"/>
      <c r="J30" s="368"/>
      <c r="K30" s="368"/>
      <c r="L30" s="368"/>
      <c r="M30" s="368"/>
      <c r="N30" s="368"/>
      <c r="O30" s="368"/>
      <c r="P30" s="368"/>
      <c r="Q30" s="368"/>
      <c r="R30" s="368"/>
      <c r="S30" s="368"/>
      <c r="T30" s="368"/>
      <c r="U30" s="368"/>
      <c r="V30" s="368"/>
      <c r="W30" s="368"/>
      <c r="X30" s="368"/>
      <c r="Y30" s="368"/>
      <c r="Z30" s="368"/>
      <c r="AA30" s="368"/>
      <c r="AB30" s="368"/>
      <c r="AC30" s="368"/>
      <c r="AD30" s="366"/>
      <c r="AE30" s="366"/>
      <c r="AF30" s="366"/>
      <c r="AG30" s="366"/>
      <c r="AH30" s="366"/>
      <c r="AI30" s="366"/>
      <c r="AJ30" s="366"/>
      <c r="AK30" s="366"/>
      <c r="AL30" s="366"/>
      <c r="AM30" s="366"/>
      <c r="AN30" s="366"/>
      <c r="AO30" s="366"/>
      <c r="AP30" s="366"/>
      <c r="AQ30" s="366"/>
      <c r="AR30" s="366"/>
      <c r="AS30" s="366"/>
      <c r="AT30" s="366"/>
      <c r="AU30" s="366"/>
      <c r="AV30" s="366"/>
      <c r="AW30" s="366"/>
      <c r="AX30" s="366"/>
      <c r="AY30" s="366"/>
      <c r="AZ30" s="366"/>
      <c r="BA30" s="366"/>
      <c r="BB30" s="366"/>
      <c r="BC30" s="366"/>
      <c r="BD30" s="366"/>
      <c r="BE30" s="366"/>
      <c r="BF30" s="366"/>
      <c r="BG30" s="366"/>
    </row>
    <row r="31" spans="2:64" hidden="1" x14ac:dyDescent="0.25">
      <c r="B31" s="220" t="str">
        <f>IF(Capacity!N24="","",Capacity!N24)</f>
        <v/>
      </c>
      <c r="C31" s="221" t="str">
        <f>IF(B31="","",Capacity!Q24)</f>
        <v/>
      </c>
      <c r="D31" s="311" t="str">
        <f>IF(B31="","",Capacity!R24)</f>
        <v/>
      </c>
      <c r="E31" s="221" t="str">
        <f>IF(B31="","",IF(COUNTBLANK(H31:BG31)=52,SUM('Capacity calculation (hide)'!H119:BG119),52-COUNTBLANK(H31:BG31)))</f>
        <v/>
      </c>
      <c r="F31" s="312" t="str">
        <f>'Capacity calculation (hide)'!BI119</f>
        <v/>
      </c>
      <c r="H31" s="368"/>
      <c r="I31" s="368"/>
      <c r="J31" s="368"/>
      <c r="K31" s="368"/>
      <c r="L31" s="368"/>
      <c r="M31" s="368"/>
      <c r="N31" s="368"/>
      <c r="O31" s="368"/>
      <c r="P31" s="368"/>
      <c r="Q31" s="368"/>
      <c r="R31" s="368"/>
      <c r="S31" s="368"/>
      <c r="T31" s="368"/>
      <c r="U31" s="368"/>
      <c r="V31" s="368"/>
      <c r="W31" s="368"/>
      <c r="X31" s="368"/>
      <c r="Y31" s="368"/>
      <c r="Z31" s="368"/>
      <c r="AA31" s="368"/>
      <c r="AB31" s="368"/>
      <c r="AC31" s="368"/>
      <c r="AD31" s="366"/>
      <c r="AE31" s="366"/>
      <c r="AF31" s="366"/>
      <c r="AG31" s="366"/>
      <c r="AH31" s="366"/>
      <c r="AI31" s="366"/>
      <c r="AJ31" s="366"/>
      <c r="AK31" s="366"/>
      <c r="AL31" s="366"/>
      <c r="AM31" s="366"/>
      <c r="AN31" s="366"/>
      <c r="AO31" s="366"/>
      <c r="AP31" s="366"/>
      <c r="AQ31" s="366"/>
      <c r="AR31" s="366"/>
      <c r="AS31" s="366"/>
      <c r="AT31" s="366"/>
      <c r="AU31" s="366"/>
      <c r="AV31" s="366"/>
      <c r="AW31" s="366"/>
      <c r="AX31" s="366"/>
      <c r="AY31" s="366"/>
      <c r="AZ31" s="366"/>
      <c r="BA31" s="366"/>
      <c r="BB31" s="366"/>
      <c r="BC31" s="366"/>
      <c r="BD31" s="366"/>
      <c r="BE31" s="366"/>
      <c r="BF31" s="366"/>
      <c r="BG31" s="366"/>
    </row>
    <row r="32" spans="2:64" hidden="1" x14ac:dyDescent="0.25">
      <c r="B32" s="220" t="str">
        <f>IF(Capacity!N25="","",Capacity!N25)</f>
        <v/>
      </c>
      <c r="C32" s="221" t="str">
        <f>IF(B32="","",Capacity!Q25)</f>
        <v/>
      </c>
      <c r="D32" s="311" t="str">
        <f>IF(B32="","",Capacity!R25)</f>
        <v/>
      </c>
      <c r="E32" s="221" t="str">
        <f>IF(B32="","",IF(COUNTBLANK(H32:BG32)=52,SUM('Capacity calculation (hide)'!H120:BG120),52-COUNTBLANK(H32:BG32)))</f>
        <v/>
      </c>
      <c r="F32" s="312" t="str">
        <f>'Capacity calculation (hide)'!BI120</f>
        <v/>
      </c>
      <c r="H32" s="368"/>
      <c r="I32" s="368"/>
      <c r="J32" s="368"/>
      <c r="K32" s="368"/>
      <c r="L32" s="368"/>
      <c r="M32" s="368"/>
      <c r="N32" s="368"/>
      <c r="O32" s="368"/>
      <c r="P32" s="368"/>
      <c r="Q32" s="368"/>
      <c r="R32" s="368"/>
      <c r="S32" s="368"/>
      <c r="T32" s="368"/>
      <c r="U32" s="368"/>
      <c r="V32" s="368"/>
      <c r="W32" s="368"/>
      <c r="X32" s="368"/>
      <c r="Y32" s="368"/>
      <c r="Z32" s="368"/>
      <c r="AA32" s="368"/>
      <c r="AB32" s="368"/>
      <c r="AC32" s="368"/>
      <c r="AD32" s="366"/>
      <c r="AE32" s="366"/>
      <c r="AF32" s="366"/>
      <c r="AG32" s="366"/>
      <c r="AH32" s="366"/>
      <c r="AI32" s="366"/>
      <c r="AJ32" s="366"/>
      <c r="AK32" s="366"/>
      <c r="AL32" s="366"/>
      <c r="AM32" s="366"/>
      <c r="AN32" s="366"/>
      <c r="AO32" s="366"/>
      <c r="AP32" s="366"/>
      <c r="AQ32" s="366"/>
      <c r="AR32" s="366"/>
      <c r="AS32" s="366"/>
      <c r="AT32" s="366"/>
      <c r="AU32" s="366"/>
      <c r="AV32" s="366"/>
      <c r="AW32" s="366"/>
      <c r="AX32" s="366"/>
      <c r="AY32" s="366"/>
      <c r="AZ32" s="366"/>
      <c r="BA32" s="366"/>
      <c r="BB32" s="366"/>
      <c r="BC32" s="366"/>
      <c r="BD32" s="366"/>
      <c r="BE32" s="366"/>
      <c r="BF32" s="366"/>
      <c r="BG32" s="366"/>
    </row>
    <row r="33" spans="2:59" hidden="1" x14ac:dyDescent="0.25">
      <c r="B33" s="220" t="str">
        <f>IF(Capacity!N26="","",Capacity!N26)</f>
        <v/>
      </c>
      <c r="C33" s="221" t="str">
        <f>IF(B33="","",Capacity!Q26)</f>
        <v/>
      </c>
      <c r="D33" s="311" t="str">
        <f>IF(B33="","",Capacity!R26)</f>
        <v/>
      </c>
      <c r="E33" s="221" t="str">
        <f>IF(B33="","",IF(COUNTBLANK(H33:BG33)=52,SUM('Capacity calculation (hide)'!H121:BG121),52-COUNTBLANK(H33:BG33)))</f>
        <v/>
      </c>
      <c r="F33" s="312" t="str">
        <f>'Capacity calculation (hide)'!BI121</f>
        <v/>
      </c>
      <c r="H33" s="368"/>
      <c r="I33" s="368"/>
      <c r="J33" s="368"/>
      <c r="K33" s="368"/>
      <c r="L33" s="368"/>
      <c r="M33" s="368"/>
      <c r="N33" s="368"/>
      <c r="O33" s="368"/>
      <c r="P33" s="368"/>
      <c r="Q33" s="368"/>
      <c r="R33" s="368"/>
      <c r="S33" s="368"/>
      <c r="T33" s="368"/>
      <c r="U33" s="368"/>
      <c r="V33" s="368"/>
      <c r="W33" s="368"/>
      <c r="X33" s="368"/>
      <c r="Y33" s="368"/>
      <c r="Z33" s="368"/>
      <c r="AA33" s="368"/>
      <c r="AB33" s="368"/>
      <c r="AC33" s="368"/>
      <c r="AD33" s="366"/>
      <c r="AE33" s="366"/>
      <c r="AF33" s="366"/>
      <c r="AG33" s="366"/>
      <c r="AH33" s="366"/>
      <c r="AI33" s="366"/>
      <c r="AJ33" s="366"/>
      <c r="AK33" s="366"/>
      <c r="AL33" s="366"/>
      <c r="AM33" s="366"/>
      <c r="AN33" s="366"/>
      <c r="AO33" s="366"/>
      <c r="AP33" s="366"/>
      <c r="AQ33" s="366"/>
      <c r="AR33" s="366"/>
      <c r="AS33" s="366"/>
      <c r="AT33" s="366"/>
      <c r="AU33" s="366"/>
      <c r="AV33" s="366"/>
      <c r="AW33" s="366"/>
      <c r="AX33" s="366"/>
      <c r="AY33" s="366"/>
      <c r="AZ33" s="366"/>
      <c r="BA33" s="366"/>
      <c r="BB33" s="366"/>
      <c r="BC33" s="366"/>
      <c r="BD33" s="366"/>
      <c r="BE33" s="366"/>
      <c r="BF33" s="366"/>
      <c r="BG33" s="366"/>
    </row>
    <row r="34" spans="2:59" hidden="1" x14ac:dyDescent="0.25">
      <c r="B34" s="220" t="str">
        <f>IF(Capacity!N27="","",Capacity!N27)</f>
        <v/>
      </c>
      <c r="C34" s="221" t="str">
        <f>IF(B34="","",Capacity!Q27)</f>
        <v/>
      </c>
      <c r="D34" s="311" t="str">
        <f>IF(B34="","",Capacity!R27)</f>
        <v/>
      </c>
      <c r="E34" s="221" t="str">
        <f>IF(B34="","",IF(COUNTBLANK(H34:BG34)=52,SUM('Capacity calculation (hide)'!H122:BG122),52-COUNTBLANK(H34:BG34)))</f>
        <v/>
      </c>
      <c r="F34" s="312" t="str">
        <f>'Capacity calculation (hide)'!BI122</f>
        <v/>
      </c>
      <c r="H34" s="366"/>
      <c r="I34" s="366"/>
      <c r="J34" s="371"/>
      <c r="K34" s="371"/>
      <c r="L34" s="371"/>
      <c r="M34" s="371"/>
      <c r="N34" s="371"/>
      <c r="O34" s="371"/>
      <c r="P34" s="371"/>
      <c r="Q34" s="371"/>
      <c r="R34" s="371"/>
      <c r="S34" s="371"/>
      <c r="T34" s="371"/>
      <c r="U34" s="371"/>
      <c r="V34" s="371"/>
      <c r="W34" s="371"/>
      <c r="X34" s="371"/>
      <c r="Y34" s="371"/>
      <c r="Z34" s="371"/>
      <c r="AA34" s="371"/>
      <c r="AB34" s="371"/>
      <c r="AC34" s="371"/>
      <c r="AD34" s="371"/>
      <c r="AE34" s="371"/>
      <c r="AF34" s="371"/>
      <c r="AG34" s="371"/>
      <c r="AH34" s="371"/>
      <c r="AI34" s="371"/>
      <c r="AJ34" s="371"/>
      <c r="AK34" s="371"/>
      <c r="AL34" s="371"/>
      <c r="AM34" s="371"/>
      <c r="AN34" s="371"/>
      <c r="AO34" s="371"/>
      <c r="AP34" s="371"/>
      <c r="AQ34" s="371"/>
      <c r="AR34" s="371"/>
      <c r="AS34" s="371"/>
      <c r="AT34" s="371"/>
      <c r="AU34" s="371"/>
      <c r="AV34" s="371"/>
      <c r="AW34" s="371"/>
      <c r="AX34" s="371"/>
      <c r="AY34" s="371"/>
      <c r="AZ34" s="371"/>
      <c r="BA34" s="371"/>
      <c r="BB34" s="371"/>
      <c r="BC34" s="371"/>
      <c r="BD34" s="371"/>
      <c r="BE34" s="371"/>
      <c r="BF34" s="371"/>
      <c r="BG34" s="366"/>
    </row>
    <row r="35" spans="2:59" hidden="1" x14ac:dyDescent="0.25">
      <c r="B35" s="220" t="str">
        <f>IF(Capacity!N28="","",Capacity!N28)</f>
        <v/>
      </c>
      <c r="C35" s="221" t="str">
        <f>IF(B35="","",Capacity!Q28)</f>
        <v/>
      </c>
      <c r="D35" s="311" t="str">
        <f>IF(B35="","",Capacity!R28)</f>
        <v/>
      </c>
      <c r="E35" s="221" t="str">
        <f>IF(B35="","",IF(COUNTBLANK(H35:BG35)=52,SUM('Capacity calculation (hide)'!H123:BG123),52-COUNTBLANK(H35:BG35)))</f>
        <v/>
      </c>
      <c r="F35" s="312" t="str">
        <f>'Capacity calculation (hide)'!BI123</f>
        <v/>
      </c>
      <c r="H35" s="368"/>
      <c r="I35" s="368"/>
      <c r="J35" s="368"/>
      <c r="K35" s="368"/>
      <c r="L35" s="368"/>
      <c r="M35" s="368"/>
      <c r="N35" s="368"/>
      <c r="O35" s="368"/>
      <c r="P35" s="368"/>
      <c r="Q35" s="368"/>
      <c r="R35" s="368"/>
      <c r="S35" s="368"/>
      <c r="T35" s="368"/>
      <c r="U35" s="368"/>
      <c r="V35" s="368"/>
      <c r="W35" s="368"/>
      <c r="X35" s="368"/>
      <c r="Y35" s="368"/>
      <c r="Z35" s="368"/>
      <c r="AA35" s="368"/>
      <c r="AB35" s="368"/>
      <c r="AC35" s="368"/>
      <c r="AD35" s="368"/>
      <c r="AE35" s="368"/>
      <c r="AF35" s="368"/>
      <c r="AG35" s="368"/>
      <c r="AH35" s="368"/>
      <c r="AI35" s="368"/>
      <c r="AJ35" s="368"/>
      <c r="AK35" s="368"/>
      <c r="AL35" s="368"/>
      <c r="AM35" s="368"/>
      <c r="AN35" s="368"/>
      <c r="AO35" s="368"/>
      <c r="AP35" s="368"/>
      <c r="AQ35" s="368"/>
      <c r="AR35" s="368"/>
      <c r="AS35" s="368"/>
      <c r="AT35" s="368"/>
      <c r="AU35" s="368"/>
      <c r="AV35" s="368"/>
      <c r="AW35" s="368"/>
      <c r="AX35" s="368"/>
      <c r="AY35" s="368"/>
      <c r="AZ35" s="368"/>
      <c r="BA35" s="368"/>
      <c r="BB35" s="368"/>
      <c r="BC35" s="368"/>
      <c r="BD35" s="368"/>
      <c r="BE35" s="368"/>
      <c r="BF35" s="368"/>
      <c r="BG35" s="368"/>
    </row>
    <row r="36" spans="2:59" hidden="1" x14ac:dyDescent="0.25">
      <c r="B36" s="220" t="str">
        <f>IF(Capacity!N29="","",Capacity!N29)</f>
        <v/>
      </c>
      <c r="C36" s="221" t="str">
        <f>IF(B36="","",Capacity!Q29)</f>
        <v/>
      </c>
      <c r="D36" s="311" t="str">
        <f>IF(B36="","",Capacity!R29)</f>
        <v/>
      </c>
      <c r="E36" s="221" t="str">
        <f>IF(B36="","",IF(COUNTBLANK(H36:BG36)=52,SUM('Capacity calculation (hide)'!H124:BG124),52-COUNTBLANK(H36:BG36)))</f>
        <v/>
      </c>
      <c r="F36" s="312" t="str">
        <f>'Capacity calculation (hide)'!BI124</f>
        <v/>
      </c>
      <c r="H36" s="368"/>
      <c r="I36" s="368"/>
      <c r="J36" s="368"/>
      <c r="K36" s="368"/>
      <c r="L36" s="368"/>
      <c r="M36" s="368"/>
      <c r="N36" s="368"/>
      <c r="O36" s="368"/>
      <c r="P36" s="368"/>
      <c r="Q36" s="368"/>
      <c r="R36" s="368"/>
      <c r="S36" s="368"/>
      <c r="T36" s="368"/>
      <c r="U36" s="368"/>
      <c r="V36" s="368"/>
      <c r="W36" s="368"/>
      <c r="X36" s="368"/>
      <c r="Y36" s="368"/>
      <c r="Z36" s="368"/>
      <c r="AA36" s="368"/>
      <c r="AB36" s="368"/>
      <c r="AC36" s="368"/>
      <c r="AD36" s="368"/>
      <c r="AE36" s="368"/>
      <c r="AF36" s="368"/>
      <c r="AG36" s="368"/>
      <c r="AH36" s="368"/>
      <c r="AI36" s="368"/>
      <c r="AJ36" s="368"/>
      <c r="AK36" s="368"/>
      <c r="AL36" s="368"/>
      <c r="AM36" s="368"/>
      <c r="AN36" s="368"/>
      <c r="AO36" s="368"/>
      <c r="AP36" s="368"/>
      <c r="AQ36" s="368"/>
      <c r="AR36" s="368"/>
      <c r="AS36" s="368"/>
      <c r="AT36" s="368"/>
      <c r="AU36" s="368"/>
      <c r="AV36" s="368"/>
      <c r="AW36" s="368"/>
      <c r="AX36" s="368"/>
      <c r="AY36" s="368"/>
      <c r="AZ36" s="368"/>
      <c r="BA36" s="368"/>
      <c r="BB36" s="368"/>
      <c r="BC36" s="368"/>
      <c r="BD36" s="368"/>
      <c r="BE36" s="368"/>
      <c r="BF36" s="368"/>
      <c r="BG36" s="368"/>
    </row>
    <row r="37" spans="2:59" hidden="1" x14ac:dyDescent="0.25">
      <c r="B37" s="220" t="str">
        <f>IF(Capacity!N30="","",Capacity!N30)</f>
        <v/>
      </c>
      <c r="C37" s="221" t="str">
        <f>IF(B37="","",Capacity!Q30)</f>
        <v/>
      </c>
      <c r="D37" s="311" t="str">
        <f>IF(B37="","",Capacity!R30)</f>
        <v/>
      </c>
      <c r="E37" s="221" t="str">
        <f>IF(B37="","",IF(COUNTBLANK(H37:BG37)=52,SUM('Capacity calculation (hide)'!H125:BG125),52-COUNTBLANK(H37:BG37)))</f>
        <v/>
      </c>
      <c r="F37" s="312" t="str">
        <f>'Capacity calculation (hide)'!BI125</f>
        <v/>
      </c>
      <c r="H37" s="366"/>
      <c r="I37" s="366"/>
      <c r="J37" s="366"/>
      <c r="K37" s="366"/>
      <c r="L37" s="366"/>
      <c r="M37" s="366"/>
      <c r="N37" s="366"/>
      <c r="O37" s="366"/>
      <c r="P37" s="366"/>
      <c r="Q37" s="366"/>
      <c r="R37" s="366"/>
      <c r="S37" s="366"/>
      <c r="T37" s="366"/>
      <c r="U37" s="366"/>
      <c r="V37" s="366"/>
      <c r="W37" s="366"/>
      <c r="X37" s="366"/>
      <c r="Y37" s="366"/>
      <c r="Z37" s="366"/>
      <c r="AA37" s="366"/>
      <c r="AB37" s="366"/>
      <c r="AC37" s="366"/>
      <c r="AD37" s="366"/>
      <c r="AE37" s="366"/>
      <c r="AF37" s="366"/>
      <c r="AG37" s="366"/>
      <c r="AH37" s="366"/>
      <c r="AI37" s="366"/>
      <c r="AJ37" s="366"/>
      <c r="AK37" s="366"/>
      <c r="AL37" s="366"/>
      <c r="AM37" s="366"/>
      <c r="AN37" s="366"/>
      <c r="AO37" s="366"/>
      <c r="AP37" s="366"/>
      <c r="AQ37" s="366"/>
      <c r="AR37" s="366"/>
      <c r="AS37" s="366"/>
      <c r="AT37" s="366"/>
      <c r="AU37" s="366"/>
      <c r="AV37" s="366"/>
      <c r="AW37" s="366"/>
      <c r="AX37" s="366"/>
      <c r="AY37" s="366"/>
      <c r="AZ37" s="366"/>
      <c r="BA37" s="366"/>
      <c r="BB37" s="366"/>
      <c r="BC37" s="366"/>
      <c r="BD37" s="366"/>
      <c r="BE37" s="366"/>
      <c r="BF37" s="366"/>
      <c r="BG37" s="366"/>
    </row>
    <row r="38" spans="2:59" hidden="1" x14ac:dyDescent="0.25">
      <c r="B38" s="220" t="str">
        <f>IF(Capacity!N31="","",Capacity!N31)</f>
        <v/>
      </c>
      <c r="C38" s="221" t="str">
        <f>IF(B38="","",Capacity!Q31)</f>
        <v/>
      </c>
      <c r="D38" s="311" t="str">
        <f>IF(B38="","",Capacity!R31)</f>
        <v/>
      </c>
      <c r="E38" s="221" t="str">
        <f>IF(B38="","",IF(COUNTBLANK(H38:BG38)=52,SUM('Capacity calculation (hide)'!H126:BG126),52-COUNTBLANK(H38:BG38)))</f>
        <v/>
      </c>
      <c r="F38" s="312" t="str">
        <f>'Capacity calculation (hide)'!BI126</f>
        <v/>
      </c>
      <c r="H38" s="366"/>
      <c r="I38" s="366"/>
      <c r="J38" s="366"/>
      <c r="K38" s="366"/>
      <c r="L38" s="366"/>
      <c r="M38" s="366"/>
      <c r="N38" s="366"/>
      <c r="O38" s="366"/>
      <c r="P38" s="366"/>
      <c r="Q38" s="366"/>
      <c r="R38" s="366"/>
      <c r="S38" s="366"/>
      <c r="T38" s="366"/>
      <c r="U38" s="366"/>
      <c r="V38" s="366"/>
      <c r="W38" s="366"/>
      <c r="X38" s="366"/>
      <c r="Y38" s="366"/>
      <c r="Z38" s="366"/>
      <c r="AA38" s="366"/>
      <c r="AB38" s="366"/>
      <c r="AC38" s="366"/>
      <c r="AD38" s="366"/>
      <c r="AE38" s="366"/>
      <c r="AF38" s="366"/>
      <c r="AG38" s="366"/>
      <c r="AH38" s="366"/>
      <c r="AI38" s="366"/>
      <c r="AJ38" s="366"/>
      <c r="AK38" s="366"/>
      <c r="AL38" s="366"/>
      <c r="AM38" s="366"/>
      <c r="AN38" s="366"/>
      <c r="AO38" s="366"/>
      <c r="AP38" s="366"/>
      <c r="AQ38" s="366"/>
      <c r="AR38" s="366"/>
      <c r="AS38" s="366"/>
      <c r="AT38" s="366"/>
      <c r="AU38" s="366"/>
      <c r="AV38" s="366"/>
      <c r="AW38" s="366"/>
      <c r="AX38" s="366"/>
      <c r="AY38" s="366"/>
      <c r="AZ38" s="366"/>
      <c r="BA38" s="366"/>
      <c r="BB38" s="366"/>
      <c r="BC38" s="366"/>
      <c r="BD38" s="366"/>
      <c r="BE38" s="366"/>
      <c r="BF38" s="366"/>
      <c r="BG38" s="366"/>
    </row>
    <row r="39" spans="2:59" hidden="1" x14ac:dyDescent="0.25">
      <c r="B39" s="220" t="str">
        <f>IF(Capacity!N32="","",Capacity!N32)</f>
        <v/>
      </c>
      <c r="C39" s="221" t="str">
        <f>IF(B39="","",Capacity!Q32)</f>
        <v/>
      </c>
      <c r="D39" s="311" t="str">
        <f>IF(B39="","",Capacity!R32)</f>
        <v/>
      </c>
      <c r="E39" s="221" t="str">
        <f>IF(B39="","",IF(COUNTBLANK(H39:BG39)=52,SUM('Capacity calculation (hide)'!H127:BG127),52-COUNTBLANK(H39:BG39)))</f>
        <v/>
      </c>
      <c r="F39" s="312" t="str">
        <f>'Capacity calculation (hide)'!BI127</f>
        <v/>
      </c>
      <c r="H39" s="366"/>
      <c r="I39" s="366"/>
      <c r="J39" s="366"/>
      <c r="K39" s="366"/>
      <c r="L39" s="366"/>
      <c r="M39" s="366"/>
      <c r="N39" s="366"/>
      <c r="O39" s="366"/>
      <c r="P39" s="366"/>
      <c r="Q39" s="366"/>
      <c r="R39" s="366"/>
      <c r="S39" s="366"/>
      <c r="T39" s="366"/>
      <c r="U39" s="366"/>
      <c r="V39" s="366"/>
      <c r="W39" s="366"/>
      <c r="X39" s="366"/>
      <c r="Y39" s="366"/>
      <c r="Z39" s="366"/>
      <c r="AA39" s="366"/>
      <c r="AB39" s="366"/>
      <c r="AC39" s="366"/>
      <c r="AD39" s="366"/>
      <c r="AE39" s="366"/>
      <c r="AF39" s="366"/>
      <c r="AG39" s="366"/>
      <c r="AH39" s="366"/>
      <c r="AI39" s="366"/>
      <c r="AJ39" s="366"/>
      <c r="AK39" s="366"/>
      <c r="AL39" s="366"/>
      <c r="AM39" s="366"/>
      <c r="AN39" s="366"/>
      <c r="AO39" s="366"/>
      <c r="AP39" s="366"/>
      <c r="AQ39" s="366"/>
      <c r="AR39" s="366"/>
      <c r="AS39" s="366"/>
      <c r="AT39" s="366"/>
      <c r="AU39" s="366"/>
      <c r="AV39" s="366"/>
      <c r="AW39" s="366"/>
      <c r="AX39" s="366"/>
      <c r="AY39" s="366"/>
      <c r="AZ39" s="366"/>
      <c r="BA39" s="366"/>
      <c r="BB39" s="366"/>
      <c r="BC39" s="366"/>
      <c r="BD39" s="366"/>
      <c r="BE39" s="366"/>
      <c r="BF39" s="366"/>
      <c r="BG39" s="366"/>
    </row>
    <row r="40" spans="2:59" hidden="1" x14ac:dyDescent="0.25">
      <c r="B40" s="220" t="str">
        <f>IF(Capacity!N33="","",Capacity!N33)</f>
        <v/>
      </c>
      <c r="C40" s="221" t="str">
        <f>IF(B40="","",Capacity!Q33)</f>
        <v/>
      </c>
      <c r="D40" s="311" t="str">
        <f>IF(B40="","",Capacity!R33)</f>
        <v/>
      </c>
      <c r="E40" s="221" t="str">
        <f>IF(B40="","",IF(COUNTBLANK(H40:BG40)=52,SUM('Capacity calculation (hide)'!H128:BG128),52-COUNTBLANK(H40:BG40)))</f>
        <v/>
      </c>
      <c r="F40" s="312" t="str">
        <f>'Capacity calculation (hide)'!BI128</f>
        <v/>
      </c>
      <c r="H40" s="366"/>
      <c r="I40" s="366"/>
      <c r="J40" s="366"/>
      <c r="K40" s="366"/>
      <c r="L40" s="366"/>
      <c r="M40" s="366"/>
      <c r="N40" s="366"/>
      <c r="O40" s="366"/>
      <c r="P40" s="366"/>
      <c r="Q40" s="366"/>
      <c r="R40" s="366"/>
      <c r="S40" s="366"/>
      <c r="T40" s="366"/>
      <c r="U40" s="366"/>
      <c r="V40" s="366"/>
      <c r="W40" s="366"/>
      <c r="X40" s="366"/>
      <c r="Y40" s="366"/>
      <c r="Z40" s="366"/>
      <c r="AA40" s="366"/>
      <c r="AB40" s="366"/>
      <c r="AC40" s="366"/>
      <c r="AD40" s="366"/>
      <c r="AE40" s="366"/>
      <c r="AF40" s="366"/>
      <c r="AG40" s="366"/>
      <c r="AH40" s="366"/>
      <c r="AI40" s="366"/>
      <c r="AJ40" s="366"/>
      <c r="AK40" s="366"/>
      <c r="AL40" s="366"/>
      <c r="AM40" s="366"/>
      <c r="AN40" s="366"/>
      <c r="AO40" s="366"/>
      <c r="AP40" s="366"/>
      <c r="AQ40" s="366"/>
      <c r="AR40" s="366"/>
      <c r="AS40" s="366"/>
      <c r="AT40" s="366"/>
      <c r="AU40" s="366"/>
      <c r="AV40" s="366"/>
      <c r="AW40" s="366"/>
      <c r="AX40" s="366"/>
      <c r="AY40" s="366"/>
      <c r="AZ40" s="366"/>
      <c r="BA40" s="366"/>
      <c r="BB40" s="366"/>
      <c r="BC40" s="366"/>
      <c r="BD40" s="366"/>
      <c r="BE40" s="366"/>
      <c r="BF40" s="366"/>
      <c r="BG40" s="366"/>
    </row>
    <row r="41" spans="2:59" hidden="1" x14ac:dyDescent="0.25">
      <c r="B41" s="220" t="str">
        <f>IF(Capacity!N34="","",Capacity!N34)</f>
        <v/>
      </c>
      <c r="C41" s="221" t="str">
        <f>IF(B41="","",Capacity!Q34)</f>
        <v/>
      </c>
      <c r="D41" s="311" t="str">
        <f>IF(B41="","",Capacity!R34)</f>
        <v/>
      </c>
      <c r="E41" s="221" t="str">
        <f>IF(B41="","",IF(COUNTBLANK(H41:BG41)=52,SUM('Capacity calculation (hide)'!H129:BG129),52-COUNTBLANK(H41:BG41)))</f>
        <v/>
      </c>
      <c r="F41" s="312" t="str">
        <f>'Capacity calculation (hide)'!BI129</f>
        <v/>
      </c>
      <c r="H41" s="366"/>
      <c r="I41" s="366"/>
      <c r="J41" s="366"/>
      <c r="K41" s="366"/>
      <c r="L41" s="366"/>
      <c r="M41" s="366"/>
      <c r="N41" s="366"/>
      <c r="O41" s="366"/>
      <c r="P41" s="366"/>
      <c r="Q41" s="366"/>
      <c r="R41" s="366"/>
      <c r="S41" s="366"/>
      <c r="T41" s="366"/>
      <c r="U41" s="366"/>
      <c r="V41" s="366"/>
      <c r="W41" s="366"/>
      <c r="X41" s="366"/>
      <c r="Y41" s="366"/>
      <c r="Z41" s="366"/>
      <c r="AA41" s="366"/>
      <c r="AB41" s="366"/>
      <c r="AC41" s="366"/>
      <c r="AD41" s="366"/>
      <c r="AE41" s="366"/>
      <c r="AF41" s="366"/>
      <c r="AG41" s="366"/>
      <c r="AH41" s="366"/>
      <c r="AI41" s="366"/>
      <c r="AJ41" s="366"/>
      <c r="AK41" s="366"/>
      <c r="AL41" s="366"/>
      <c r="AM41" s="366"/>
      <c r="AN41" s="366"/>
      <c r="AO41" s="366"/>
      <c r="AP41" s="366"/>
      <c r="AQ41" s="366"/>
      <c r="AR41" s="366"/>
      <c r="AS41" s="366"/>
      <c r="AT41" s="366"/>
      <c r="AU41" s="366"/>
      <c r="AV41" s="366"/>
      <c r="AW41" s="366"/>
      <c r="AX41" s="366"/>
      <c r="AY41" s="366"/>
      <c r="AZ41" s="366"/>
      <c r="BA41" s="366"/>
      <c r="BB41" s="366"/>
      <c r="BC41" s="366"/>
      <c r="BD41" s="366"/>
      <c r="BE41" s="366"/>
      <c r="BF41" s="366"/>
      <c r="BG41" s="366"/>
    </row>
    <row r="42" spans="2:59" hidden="1" x14ac:dyDescent="0.25">
      <c r="B42" s="220" t="str">
        <f>IF(Capacity!N35="","",Capacity!N35)</f>
        <v/>
      </c>
      <c r="C42" s="221" t="str">
        <f>IF(B42="","",Capacity!Q35)</f>
        <v/>
      </c>
      <c r="D42" s="311" t="str">
        <f>IF(B42="","",Capacity!R35)</f>
        <v/>
      </c>
      <c r="E42" s="221" t="str">
        <f>IF(B42="","",IF(COUNTBLANK(H42:BG42)=52,SUM('Capacity calculation (hide)'!H130:BG130),52-COUNTBLANK(H42:BG42)))</f>
        <v/>
      </c>
      <c r="F42" s="312" t="str">
        <f>'Capacity calculation (hide)'!BI130</f>
        <v/>
      </c>
      <c r="H42" s="366"/>
      <c r="I42" s="366"/>
      <c r="J42" s="366"/>
      <c r="K42" s="366"/>
      <c r="L42" s="366"/>
      <c r="M42" s="366"/>
      <c r="N42" s="366"/>
      <c r="O42" s="366"/>
      <c r="P42" s="366"/>
      <c r="Q42" s="366"/>
      <c r="R42" s="366"/>
      <c r="S42" s="366"/>
      <c r="T42" s="366"/>
      <c r="U42" s="366"/>
      <c r="V42" s="366"/>
      <c r="W42" s="366"/>
      <c r="X42" s="366"/>
      <c r="Y42" s="366"/>
      <c r="Z42" s="366"/>
      <c r="AA42" s="366"/>
      <c r="AB42" s="366"/>
      <c r="AC42" s="366"/>
      <c r="AD42" s="366"/>
      <c r="AE42" s="366"/>
      <c r="AF42" s="366"/>
      <c r="AG42" s="366"/>
      <c r="AH42" s="366"/>
      <c r="AI42" s="366"/>
      <c r="AJ42" s="366"/>
      <c r="AK42" s="366"/>
      <c r="AL42" s="366"/>
      <c r="AM42" s="366"/>
      <c r="AN42" s="366"/>
      <c r="AO42" s="366"/>
      <c r="AP42" s="366"/>
      <c r="AQ42" s="366"/>
      <c r="AR42" s="366"/>
      <c r="AS42" s="366"/>
      <c r="AT42" s="366"/>
      <c r="AU42" s="366"/>
      <c r="AV42" s="366"/>
      <c r="AW42" s="366"/>
      <c r="AX42" s="366"/>
      <c r="AY42" s="366"/>
      <c r="AZ42" s="366"/>
      <c r="BA42" s="366"/>
      <c r="BB42" s="366"/>
      <c r="BC42" s="366"/>
      <c r="BD42" s="366"/>
      <c r="BE42" s="366"/>
      <c r="BF42" s="366"/>
      <c r="BG42" s="366"/>
    </row>
    <row r="43" spans="2:59" hidden="1" x14ac:dyDescent="0.25">
      <c r="B43" s="220" t="str">
        <f>IF(Capacity!N36="","",Capacity!N36)</f>
        <v/>
      </c>
      <c r="C43" s="221" t="str">
        <f>IF(B43="","",Capacity!Q36)</f>
        <v/>
      </c>
      <c r="D43" s="311" t="str">
        <f>IF(B43="","",Capacity!R36)</f>
        <v/>
      </c>
      <c r="E43" s="221" t="str">
        <f>IF(B43="","",IF(COUNTBLANK(H43:BG43)=52,SUM('Capacity calculation (hide)'!H131:BG131),52-COUNTBLANK(H43:BG43)))</f>
        <v/>
      </c>
      <c r="F43" s="312" t="str">
        <f>'Capacity calculation (hide)'!BI131</f>
        <v/>
      </c>
      <c r="H43" s="366"/>
      <c r="I43" s="366"/>
      <c r="J43" s="366"/>
      <c r="K43" s="366"/>
      <c r="L43" s="366"/>
      <c r="M43" s="366"/>
      <c r="N43" s="366"/>
      <c r="O43" s="366"/>
      <c r="P43" s="366"/>
      <c r="Q43" s="366"/>
      <c r="R43" s="366"/>
      <c r="S43" s="366"/>
      <c r="T43" s="366"/>
      <c r="U43" s="366"/>
      <c r="V43" s="366"/>
      <c r="W43" s="366"/>
      <c r="X43" s="366"/>
      <c r="Y43" s="366"/>
      <c r="Z43" s="366"/>
      <c r="AA43" s="366"/>
      <c r="AB43" s="366"/>
      <c r="AC43" s="366"/>
      <c r="AD43" s="366"/>
      <c r="AE43" s="366"/>
      <c r="AF43" s="366"/>
      <c r="AG43" s="366"/>
      <c r="AH43" s="366"/>
      <c r="AI43" s="366"/>
      <c r="AJ43" s="366"/>
      <c r="AK43" s="366"/>
      <c r="AL43" s="366"/>
      <c r="AM43" s="366"/>
      <c r="AN43" s="366"/>
      <c r="AO43" s="366"/>
      <c r="AP43" s="366"/>
      <c r="AQ43" s="366"/>
      <c r="AR43" s="366"/>
      <c r="AS43" s="366"/>
      <c r="AT43" s="366"/>
      <c r="AU43" s="366"/>
      <c r="AV43" s="366"/>
      <c r="AW43" s="366"/>
      <c r="AX43" s="366"/>
      <c r="AY43" s="366"/>
      <c r="AZ43" s="366"/>
      <c r="BA43" s="366"/>
      <c r="BB43" s="366"/>
      <c r="BC43" s="366"/>
      <c r="BD43" s="366"/>
      <c r="BE43" s="366"/>
      <c r="BF43" s="366"/>
      <c r="BG43" s="366"/>
    </row>
    <row r="44" spans="2:59" hidden="1" x14ac:dyDescent="0.25">
      <c r="B44" s="220" t="str">
        <f>IF(Capacity!N37="","",Capacity!N37)</f>
        <v/>
      </c>
      <c r="C44" s="221" t="str">
        <f>IF(B44="","",Capacity!Q37)</f>
        <v/>
      </c>
      <c r="D44" s="311" t="str">
        <f>IF(B44="","",Capacity!R37)</f>
        <v/>
      </c>
      <c r="E44" s="221" t="str">
        <f>IF(B44="","",IF(COUNTBLANK(H44:BG44)=52,SUM('Capacity calculation (hide)'!H132:BG132),52-COUNTBLANK(H44:BG44)))</f>
        <v/>
      </c>
      <c r="F44" s="312" t="str">
        <f>'Capacity calculation (hide)'!BI132</f>
        <v/>
      </c>
      <c r="H44" s="366"/>
      <c r="I44" s="366"/>
      <c r="J44" s="366"/>
      <c r="K44" s="366"/>
      <c r="L44" s="366"/>
      <c r="M44" s="366"/>
      <c r="N44" s="366"/>
      <c r="O44" s="366"/>
      <c r="P44" s="366"/>
      <c r="Q44" s="366"/>
      <c r="R44" s="366"/>
      <c r="S44" s="366"/>
      <c r="T44" s="366"/>
      <c r="U44" s="366"/>
      <c r="V44" s="366"/>
      <c r="W44" s="366"/>
      <c r="X44" s="366"/>
      <c r="Y44" s="366"/>
      <c r="Z44" s="366"/>
      <c r="AA44" s="366"/>
      <c r="AB44" s="366"/>
      <c r="AC44" s="366"/>
      <c r="AD44" s="366"/>
      <c r="AE44" s="366"/>
      <c r="AF44" s="366"/>
      <c r="AG44" s="366"/>
      <c r="AH44" s="366"/>
      <c r="AI44" s="366"/>
      <c r="AJ44" s="366"/>
      <c r="AK44" s="366"/>
      <c r="AL44" s="366"/>
      <c r="AM44" s="366"/>
      <c r="AN44" s="366"/>
      <c r="AO44" s="366"/>
      <c r="AP44" s="366"/>
      <c r="AQ44" s="366"/>
      <c r="AR44" s="366"/>
      <c r="AS44" s="366"/>
      <c r="AT44" s="366"/>
      <c r="AU44" s="366"/>
      <c r="AV44" s="366"/>
      <c r="AW44" s="366"/>
      <c r="AX44" s="366"/>
      <c r="AY44" s="366"/>
      <c r="AZ44" s="366"/>
      <c r="BA44" s="366"/>
      <c r="BB44" s="366"/>
      <c r="BC44" s="366"/>
      <c r="BD44" s="366"/>
      <c r="BE44" s="366"/>
      <c r="BF44" s="366"/>
      <c r="BG44" s="366"/>
    </row>
    <row r="45" spans="2:59" hidden="1" x14ac:dyDescent="0.25">
      <c r="B45" s="220" t="str">
        <f>IF(Capacity!N38="","",Capacity!N38)</f>
        <v/>
      </c>
      <c r="C45" s="221" t="str">
        <f>IF(B45="","",Capacity!Q38)</f>
        <v/>
      </c>
      <c r="D45" s="311" t="str">
        <f>IF(B45="","",Capacity!R38)</f>
        <v/>
      </c>
      <c r="E45" s="221" t="str">
        <f>IF(B45="","",IF(COUNTBLANK(H45:BG45)=52,SUM('Capacity calculation (hide)'!H133:BG133),52-COUNTBLANK(H45:BG45)))</f>
        <v/>
      </c>
      <c r="F45" s="312" t="str">
        <f>'Capacity calculation (hide)'!BI133</f>
        <v/>
      </c>
      <c r="H45" s="366"/>
      <c r="I45" s="366"/>
      <c r="J45" s="366"/>
      <c r="K45" s="366"/>
      <c r="L45" s="366"/>
      <c r="M45" s="366"/>
      <c r="N45" s="366"/>
      <c r="O45" s="366"/>
      <c r="P45" s="366"/>
      <c r="Q45" s="366"/>
      <c r="R45" s="366"/>
      <c r="S45" s="366"/>
      <c r="T45" s="366"/>
      <c r="U45" s="366"/>
      <c r="V45" s="366"/>
      <c r="W45" s="366"/>
      <c r="X45" s="366"/>
      <c r="Y45" s="366"/>
      <c r="Z45" s="366"/>
      <c r="AA45" s="366"/>
      <c r="AB45" s="366"/>
      <c r="AC45" s="366"/>
      <c r="AD45" s="366"/>
      <c r="AE45" s="366"/>
      <c r="AF45" s="366"/>
      <c r="AG45" s="366"/>
      <c r="AH45" s="366"/>
      <c r="AI45" s="366"/>
      <c r="AJ45" s="366"/>
      <c r="AK45" s="366"/>
      <c r="AL45" s="366"/>
      <c r="AM45" s="366"/>
      <c r="AN45" s="366"/>
      <c r="AO45" s="366"/>
      <c r="AP45" s="366"/>
      <c r="AQ45" s="366"/>
      <c r="AR45" s="366"/>
      <c r="AS45" s="366"/>
      <c r="AT45" s="366"/>
      <c r="AU45" s="366"/>
      <c r="AV45" s="366"/>
      <c r="AW45" s="366"/>
      <c r="AX45" s="366"/>
      <c r="AY45" s="366"/>
      <c r="AZ45" s="366"/>
      <c r="BA45" s="366"/>
      <c r="BB45" s="366"/>
      <c r="BC45" s="366"/>
      <c r="BD45" s="366"/>
      <c r="BE45" s="366"/>
      <c r="BF45" s="366"/>
      <c r="BG45" s="366"/>
    </row>
    <row r="46" spans="2:59" hidden="1" x14ac:dyDescent="0.25">
      <c r="B46" s="220" t="str">
        <f>IF(Capacity!N39="","",Capacity!N39)</f>
        <v/>
      </c>
      <c r="C46" s="221" t="str">
        <f>IF(B46="","",Capacity!Q39)</f>
        <v/>
      </c>
      <c r="D46" s="311" t="str">
        <f>IF(B46="","",Capacity!R39)</f>
        <v/>
      </c>
      <c r="E46" s="221" t="str">
        <f>IF(B46="","",IF(COUNTBLANK(H46:BG46)=52,SUM('Capacity calculation (hide)'!H134:BG134),52-COUNTBLANK(H46:BG46)))</f>
        <v/>
      </c>
      <c r="F46" s="312" t="str">
        <f>'Capacity calculation (hide)'!BI134</f>
        <v/>
      </c>
      <c r="H46" s="366"/>
      <c r="I46" s="366"/>
      <c r="J46" s="366"/>
      <c r="K46" s="366"/>
      <c r="L46" s="366"/>
      <c r="M46" s="366"/>
      <c r="N46" s="366"/>
      <c r="O46" s="366"/>
      <c r="P46" s="366"/>
      <c r="Q46" s="366"/>
      <c r="R46" s="366"/>
      <c r="S46" s="366"/>
      <c r="T46" s="366"/>
      <c r="U46" s="366"/>
      <c r="V46" s="366"/>
      <c r="W46" s="366"/>
      <c r="X46" s="366"/>
      <c r="Y46" s="366"/>
      <c r="Z46" s="366"/>
      <c r="AA46" s="366"/>
      <c r="AB46" s="366"/>
      <c r="AC46" s="366"/>
      <c r="AD46" s="366"/>
      <c r="AE46" s="366"/>
      <c r="AF46" s="366"/>
      <c r="AG46" s="366"/>
      <c r="AH46" s="366"/>
      <c r="AI46" s="366"/>
      <c r="AJ46" s="366"/>
      <c r="AK46" s="366"/>
      <c r="AL46" s="366"/>
      <c r="AM46" s="366"/>
      <c r="AN46" s="366"/>
      <c r="AO46" s="366"/>
      <c r="AP46" s="366"/>
      <c r="AQ46" s="366"/>
      <c r="AR46" s="366"/>
      <c r="AS46" s="366"/>
      <c r="AT46" s="366"/>
      <c r="AU46" s="366"/>
      <c r="AV46" s="366"/>
      <c r="AW46" s="366"/>
      <c r="AX46" s="366"/>
      <c r="AY46" s="366"/>
      <c r="AZ46" s="366"/>
      <c r="BA46" s="366"/>
      <c r="BB46" s="366"/>
      <c r="BC46" s="366"/>
      <c r="BD46" s="366"/>
      <c r="BE46" s="366"/>
      <c r="BF46" s="366"/>
      <c r="BG46" s="366"/>
    </row>
    <row r="47" spans="2:59" hidden="1" x14ac:dyDescent="0.25">
      <c r="B47" s="220" t="str">
        <f>IF(Capacity!N40="","",Capacity!N40)</f>
        <v/>
      </c>
      <c r="C47" s="221" t="str">
        <f>IF(B47="","",Capacity!Q40)</f>
        <v/>
      </c>
      <c r="D47" s="311" t="str">
        <f>IF(B47="","",Capacity!R40)</f>
        <v/>
      </c>
      <c r="E47" s="221" t="str">
        <f>IF(B47="","",IF(COUNTBLANK(H47:BG47)=52,SUM('Capacity calculation (hide)'!H135:BG135),52-COUNTBLANK(H47:BG47)))</f>
        <v/>
      </c>
      <c r="F47" s="312" t="str">
        <f>'Capacity calculation (hide)'!BI135</f>
        <v/>
      </c>
      <c r="H47" s="366"/>
      <c r="I47" s="366"/>
      <c r="J47" s="366"/>
      <c r="K47" s="366"/>
      <c r="L47" s="366"/>
      <c r="M47" s="366"/>
      <c r="N47" s="366"/>
      <c r="O47" s="366"/>
      <c r="P47" s="366"/>
      <c r="Q47" s="366"/>
      <c r="R47" s="366"/>
      <c r="S47" s="366"/>
      <c r="T47" s="366"/>
      <c r="U47" s="366"/>
      <c r="V47" s="366"/>
      <c r="W47" s="366"/>
      <c r="X47" s="366"/>
      <c r="Y47" s="366"/>
      <c r="Z47" s="366"/>
      <c r="AA47" s="366"/>
      <c r="AB47" s="366"/>
      <c r="AC47" s="366"/>
      <c r="AD47" s="366"/>
      <c r="AE47" s="366"/>
      <c r="AF47" s="366"/>
      <c r="AG47" s="366"/>
      <c r="AH47" s="366"/>
      <c r="AI47" s="366"/>
      <c r="AJ47" s="366"/>
      <c r="AK47" s="366"/>
      <c r="AL47" s="366"/>
      <c r="AM47" s="366"/>
      <c r="AN47" s="366"/>
      <c r="AO47" s="366"/>
      <c r="AP47" s="366"/>
      <c r="AQ47" s="366"/>
      <c r="AR47" s="366"/>
      <c r="AS47" s="366"/>
      <c r="AT47" s="366"/>
      <c r="AU47" s="366"/>
      <c r="AV47" s="366"/>
      <c r="AW47" s="366"/>
      <c r="AX47" s="366"/>
      <c r="AY47" s="366"/>
      <c r="AZ47" s="366"/>
      <c r="BA47" s="366"/>
      <c r="BB47" s="366"/>
      <c r="BC47" s="366"/>
      <c r="BD47" s="366"/>
      <c r="BE47" s="366"/>
      <c r="BF47" s="366"/>
      <c r="BG47" s="366"/>
    </row>
    <row r="48" spans="2:59" hidden="1" x14ac:dyDescent="0.25">
      <c r="B48" s="220" t="str">
        <f>IF(Capacity!N41="","",Capacity!N41)</f>
        <v/>
      </c>
      <c r="C48" s="221" t="str">
        <f>IF(B48="","",Capacity!Q41)</f>
        <v/>
      </c>
      <c r="D48" s="311" t="str">
        <f>IF(B48="","",Capacity!R41)</f>
        <v/>
      </c>
      <c r="E48" s="221" t="str">
        <f>IF(B48="","",IF(COUNTBLANK(H48:BG48)=52,SUM('Capacity calculation (hide)'!H136:BG136),52-COUNTBLANK(H48:BG48)))</f>
        <v/>
      </c>
      <c r="F48" s="312" t="str">
        <f>'Capacity calculation (hide)'!BI136</f>
        <v/>
      </c>
      <c r="H48" s="366"/>
      <c r="I48" s="366"/>
      <c r="J48" s="366"/>
      <c r="K48" s="366"/>
      <c r="L48" s="366"/>
      <c r="M48" s="366"/>
      <c r="N48" s="366"/>
      <c r="O48" s="366"/>
      <c r="P48" s="366"/>
      <c r="Q48" s="366"/>
      <c r="R48" s="366"/>
      <c r="S48" s="366"/>
      <c r="T48" s="366"/>
      <c r="U48" s="366"/>
      <c r="V48" s="366"/>
      <c r="W48" s="366"/>
      <c r="X48" s="366"/>
      <c r="Y48" s="366"/>
      <c r="Z48" s="366"/>
      <c r="AA48" s="366"/>
      <c r="AB48" s="366"/>
      <c r="AC48" s="366"/>
      <c r="AD48" s="366"/>
      <c r="AE48" s="366"/>
      <c r="AF48" s="366"/>
      <c r="AG48" s="366"/>
      <c r="AH48" s="366"/>
      <c r="AI48" s="366"/>
      <c r="AJ48" s="366"/>
      <c r="AK48" s="366"/>
      <c r="AL48" s="366"/>
      <c r="AM48" s="366"/>
      <c r="AN48" s="366"/>
      <c r="AO48" s="366"/>
      <c r="AP48" s="366"/>
      <c r="AQ48" s="366"/>
      <c r="AR48" s="366"/>
      <c r="AS48" s="366"/>
      <c r="AT48" s="366"/>
      <c r="AU48" s="366"/>
      <c r="AV48" s="366"/>
      <c r="AW48" s="366"/>
      <c r="AX48" s="366"/>
      <c r="AY48" s="366"/>
      <c r="AZ48" s="366"/>
      <c r="BA48" s="366"/>
      <c r="BB48" s="366"/>
      <c r="BC48" s="366"/>
      <c r="BD48" s="366"/>
      <c r="BE48" s="366"/>
      <c r="BF48" s="366"/>
      <c r="BG48" s="366"/>
    </row>
    <row r="49" spans="2:59" hidden="1" x14ac:dyDescent="0.25">
      <c r="B49" s="220" t="str">
        <f>IF(Capacity!N42="","",Capacity!N42)</f>
        <v/>
      </c>
      <c r="C49" s="221" t="str">
        <f>IF(B49="","",Capacity!Q42)</f>
        <v/>
      </c>
      <c r="D49" s="311" t="str">
        <f>IF(B49="","",Capacity!R42)</f>
        <v/>
      </c>
      <c r="E49" s="221" t="str">
        <f>IF(B49="","",IF(COUNTBLANK(H49:BG49)=52,SUM('Capacity calculation (hide)'!H137:BG137),52-COUNTBLANK(H49:BG49)))</f>
        <v/>
      </c>
      <c r="F49" s="312" t="str">
        <f>'Capacity calculation (hide)'!BI137</f>
        <v/>
      </c>
      <c r="H49" s="366"/>
      <c r="I49" s="366"/>
      <c r="J49" s="366"/>
      <c r="K49" s="366"/>
      <c r="L49" s="366"/>
      <c r="M49" s="366"/>
      <c r="N49" s="366"/>
      <c r="O49" s="366"/>
      <c r="P49" s="366"/>
      <c r="Q49" s="366"/>
      <c r="R49" s="366"/>
      <c r="S49" s="366"/>
      <c r="T49" s="366"/>
      <c r="U49" s="366"/>
      <c r="V49" s="366"/>
      <c r="W49" s="366"/>
      <c r="X49" s="366"/>
      <c r="Y49" s="366"/>
      <c r="Z49" s="366"/>
      <c r="AA49" s="366"/>
      <c r="AB49" s="366"/>
      <c r="AC49" s="366"/>
      <c r="AD49" s="366"/>
      <c r="AE49" s="366"/>
      <c r="AF49" s="366"/>
      <c r="AG49" s="366"/>
      <c r="AH49" s="366"/>
      <c r="AI49" s="366"/>
      <c r="AJ49" s="366"/>
      <c r="AK49" s="366"/>
      <c r="AL49" s="366"/>
      <c r="AM49" s="366"/>
      <c r="AN49" s="366"/>
      <c r="AO49" s="366"/>
      <c r="AP49" s="366"/>
      <c r="AQ49" s="366"/>
      <c r="AR49" s="366"/>
      <c r="AS49" s="366"/>
      <c r="AT49" s="366"/>
      <c r="AU49" s="366"/>
      <c r="AV49" s="366"/>
      <c r="AW49" s="366"/>
      <c r="AX49" s="366"/>
      <c r="AY49" s="366"/>
      <c r="AZ49" s="366"/>
      <c r="BA49" s="366"/>
      <c r="BB49" s="366"/>
      <c r="BC49" s="366"/>
      <c r="BD49" s="366"/>
      <c r="BE49" s="366"/>
      <c r="BF49" s="366"/>
      <c r="BG49" s="366"/>
    </row>
    <row r="50" spans="2:59" hidden="1" x14ac:dyDescent="0.25">
      <c r="B50" s="220" t="str">
        <f>IF(Capacity!N43="","",Capacity!N43)</f>
        <v/>
      </c>
      <c r="C50" s="221" t="str">
        <f>IF(B50="","",Capacity!Q43)</f>
        <v/>
      </c>
      <c r="D50" s="311" t="str">
        <f>IF(B50="","",Capacity!R43)</f>
        <v/>
      </c>
      <c r="E50" s="221" t="str">
        <f>IF(B50="","",IF(COUNTBLANK(H50:BG50)=52,SUM('Capacity calculation (hide)'!H138:BG138),52-COUNTBLANK(H50:BG50)))</f>
        <v/>
      </c>
      <c r="F50" s="312" t="str">
        <f>'Capacity calculation (hide)'!BI138</f>
        <v/>
      </c>
      <c r="H50" s="366"/>
      <c r="I50" s="366"/>
      <c r="J50" s="366"/>
      <c r="K50" s="366"/>
      <c r="L50" s="366"/>
      <c r="M50" s="366"/>
      <c r="N50" s="366"/>
      <c r="O50" s="366"/>
      <c r="P50" s="366"/>
      <c r="Q50" s="366"/>
      <c r="R50" s="366"/>
      <c r="S50" s="366"/>
      <c r="T50" s="366"/>
      <c r="U50" s="366"/>
      <c r="V50" s="366"/>
      <c r="W50" s="366"/>
      <c r="X50" s="366"/>
      <c r="Y50" s="366"/>
      <c r="Z50" s="366"/>
      <c r="AA50" s="366"/>
      <c r="AB50" s="366"/>
      <c r="AC50" s="366"/>
      <c r="AD50" s="366"/>
      <c r="AE50" s="366"/>
      <c r="AF50" s="366"/>
      <c r="AG50" s="366"/>
      <c r="AH50" s="366"/>
      <c r="AI50" s="366"/>
      <c r="AJ50" s="366"/>
      <c r="AK50" s="366"/>
      <c r="AL50" s="366"/>
      <c r="AM50" s="366"/>
      <c r="AN50" s="366"/>
      <c r="AO50" s="366"/>
      <c r="AP50" s="366"/>
      <c r="AQ50" s="366"/>
      <c r="AR50" s="366"/>
      <c r="AS50" s="366"/>
      <c r="AT50" s="366"/>
      <c r="AU50" s="366"/>
      <c r="AV50" s="366"/>
      <c r="AW50" s="366"/>
      <c r="AX50" s="366"/>
      <c r="AY50" s="366"/>
      <c r="AZ50" s="366"/>
      <c r="BA50" s="366"/>
      <c r="BB50" s="366"/>
      <c r="BC50" s="366"/>
      <c r="BD50" s="366"/>
      <c r="BE50" s="366"/>
      <c r="BF50" s="366"/>
      <c r="BG50" s="366"/>
    </row>
    <row r="51" spans="2:59" hidden="1" x14ac:dyDescent="0.25">
      <c r="B51" s="220" t="str">
        <f>IF(Capacity!N44="","",Capacity!N44)</f>
        <v/>
      </c>
      <c r="C51" s="221" t="str">
        <f>IF(B51="","",Capacity!Q44)</f>
        <v/>
      </c>
      <c r="D51" s="311" t="str">
        <f>IF(B51="","",Capacity!R44)</f>
        <v/>
      </c>
      <c r="E51" s="221" t="str">
        <f>IF(B51="","",IF(COUNTBLANK(H51:BG51)=52,SUM('Capacity calculation (hide)'!H139:BG139),52-COUNTBLANK(H51:BG51)))</f>
        <v/>
      </c>
      <c r="F51" s="312" t="str">
        <f>'Capacity calculation (hide)'!BI139</f>
        <v/>
      </c>
      <c r="H51" s="366"/>
      <c r="I51" s="366"/>
      <c r="J51" s="366"/>
      <c r="K51" s="366"/>
      <c r="L51" s="366"/>
      <c r="M51" s="366"/>
      <c r="N51" s="366"/>
      <c r="O51" s="366"/>
      <c r="P51" s="366"/>
      <c r="Q51" s="366"/>
      <c r="R51" s="366"/>
      <c r="S51" s="366"/>
      <c r="T51" s="366"/>
      <c r="U51" s="366"/>
      <c r="V51" s="366"/>
      <c r="W51" s="366"/>
      <c r="X51" s="366"/>
      <c r="Y51" s="366"/>
      <c r="Z51" s="366"/>
      <c r="AA51" s="366"/>
      <c r="AB51" s="366"/>
      <c r="AC51" s="366"/>
      <c r="AD51" s="366"/>
      <c r="AE51" s="366"/>
      <c r="AF51" s="366"/>
      <c r="AG51" s="366"/>
      <c r="AH51" s="366"/>
      <c r="AI51" s="366"/>
      <c r="AJ51" s="366"/>
      <c r="AK51" s="366"/>
      <c r="AL51" s="366"/>
      <c r="AM51" s="366"/>
      <c r="AN51" s="366"/>
      <c r="AO51" s="366"/>
      <c r="AP51" s="366"/>
      <c r="AQ51" s="366"/>
      <c r="AR51" s="366"/>
      <c r="AS51" s="366"/>
      <c r="AT51" s="366"/>
      <c r="AU51" s="366"/>
      <c r="AV51" s="366"/>
      <c r="AW51" s="366"/>
      <c r="AX51" s="366"/>
      <c r="AY51" s="366"/>
      <c r="AZ51" s="366"/>
      <c r="BA51" s="366"/>
      <c r="BB51" s="366"/>
      <c r="BC51" s="366"/>
      <c r="BD51" s="366"/>
      <c r="BE51" s="366"/>
      <c r="BF51" s="366"/>
      <c r="BG51" s="366"/>
    </row>
    <row r="52" spans="2:59" hidden="1" x14ac:dyDescent="0.25">
      <c r="B52" s="220" t="str">
        <f>IF(Capacity!N45="","",Capacity!N45)</f>
        <v/>
      </c>
      <c r="C52" s="221" t="str">
        <f>IF(B52="","",Capacity!Q45)</f>
        <v/>
      </c>
      <c r="D52" s="311" t="str">
        <f>IF(B52="","",Capacity!R45)</f>
        <v/>
      </c>
      <c r="E52" s="221" t="str">
        <f>IF(B52="","",IF(COUNTBLANK(H52:BG52)=52,SUM('Capacity calculation (hide)'!H140:BG140),52-COUNTBLANK(H52:BG52)))</f>
        <v/>
      </c>
      <c r="F52" s="312" t="str">
        <f>'Capacity calculation (hide)'!BI140</f>
        <v/>
      </c>
      <c r="H52" s="366"/>
      <c r="I52" s="366"/>
      <c r="J52" s="366"/>
      <c r="K52" s="366"/>
      <c r="L52" s="366"/>
      <c r="M52" s="366"/>
      <c r="N52" s="366"/>
      <c r="O52" s="366"/>
      <c r="P52" s="366"/>
      <c r="Q52" s="366"/>
      <c r="R52" s="366"/>
      <c r="S52" s="366"/>
      <c r="T52" s="366"/>
      <c r="U52" s="366"/>
      <c r="V52" s="366"/>
      <c r="W52" s="366"/>
      <c r="X52" s="366"/>
      <c r="Y52" s="366"/>
      <c r="Z52" s="366"/>
      <c r="AA52" s="366"/>
      <c r="AB52" s="366"/>
      <c r="AC52" s="366"/>
      <c r="AD52" s="366"/>
      <c r="AE52" s="366"/>
      <c r="AF52" s="366"/>
      <c r="AG52" s="366"/>
      <c r="AH52" s="366"/>
      <c r="AI52" s="366"/>
      <c r="AJ52" s="366"/>
      <c r="AK52" s="366"/>
      <c r="AL52" s="366"/>
      <c r="AM52" s="366"/>
      <c r="AN52" s="366"/>
      <c r="AO52" s="366"/>
      <c r="AP52" s="366"/>
      <c r="AQ52" s="366"/>
      <c r="AR52" s="366"/>
      <c r="AS52" s="366"/>
      <c r="AT52" s="366"/>
      <c r="AU52" s="366"/>
      <c r="AV52" s="366"/>
      <c r="AW52" s="366"/>
      <c r="AX52" s="366"/>
      <c r="AY52" s="366"/>
      <c r="AZ52" s="366"/>
      <c r="BA52" s="366"/>
      <c r="BB52" s="366"/>
      <c r="BC52" s="366"/>
      <c r="BD52" s="366"/>
      <c r="BE52" s="366"/>
      <c r="BF52" s="366"/>
      <c r="BG52" s="366"/>
    </row>
    <row r="53" spans="2:59" hidden="1" x14ac:dyDescent="0.25">
      <c r="B53" s="220" t="str">
        <f>IF(Capacity!N46="","",Capacity!N46)</f>
        <v/>
      </c>
      <c r="C53" s="221" t="str">
        <f>IF(B53="","",Capacity!Q46)</f>
        <v/>
      </c>
      <c r="D53" s="311" t="str">
        <f>IF(B53="","",Capacity!R46)</f>
        <v/>
      </c>
      <c r="E53" s="221" t="str">
        <f>IF(B53="","",IF(COUNTBLANK(H53:BG53)=52,SUM('Capacity calculation (hide)'!H141:BG141),52-COUNTBLANK(H53:BG53)))</f>
        <v/>
      </c>
      <c r="F53" s="312" t="str">
        <f>'Capacity calculation (hide)'!BI141</f>
        <v/>
      </c>
      <c r="H53" s="366"/>
      <c r="I53" s="366"/>
      <c r="J53" s="366"/>
      <c r="K53" s="366"/>
      <c r="L53" s="366"/>
      <c r="M53" s="366"/>
      <c r="N53" s="366"/>
      <c r="O53" s="366"/>
      <c r="P53" s="366"/>
      <c r="Q53" s="366"/>
      <c r="R53" s="366"/>
      <c r="S53" s="366"/>
      <c r="T53" s="366"/>
      <c r="U53" s="366"/>
      <c r="V53" s="366"/>
      <c r="W53" s="366"/>
      <c r="X53" s="366"/>
      <c r="Y53" s="366"/>
      <c r="Z53" s="366"/>
      <c r="AA53" s="366"/>
      <c r="AB53" s="366"/>
      <c r="AC53" s="366"/>
      <c r="AD53" s="366"/>
      <c r="AE53" s="366"/>
      <c r="AF53" s="366"/>
      <c r="AG53" s="366"/>
      <c r="AH53" s="366"/>
      <c r="AI53" s="366"/>
      <c r="AJ53" s="366"/>
      <c r="AK53" s="366"/>
      <c r="AL53" s="366"/>
      <c r="AM53" s="366"/>
      <c r="AN53" s="366"/>
      <c r="AO53" s="366"/>
      <c r="AP53" s="366"/>
      <c r="AQ53" s="366"/>
      <c r="AR53" s="366"/>
      <c r="AS53" s="366"/>
      <c r="AT53" s="366"/>
      <c r="AU53" s="366"/>
      <c r="AV53" s="366"/>
      <c r="AW53" s="366"/>
      <c r="AX53" s="366"/>
      <c r="AY53" s="366"/>
      <c r="AZ53" s="366"/>
      <c r="BA53" s="366"/>
      <c r="BB53" s="366"/>
      <c r="BC53" s="366"/>
      <c r="BD53" s="366"/>
      <c r="BE53" s="366"/>
      <c r="BF53" s="366"/>
      <c r="BG53" s="366"/>
    </row>
    <row r="54" spans="2:59" hidden="1" x14ac:dyDescent="0.25">
      <c r="B54" s="220" t="str">
        <f>IF(Capacity!N47="","",Capacity!N47)</f>
        <v/>
      </c>
      <c r="C54" s="221" t="str">
        <f>IF(B54="","",Capacity!Q47)</f>
        <v/>
      </c>
      <c r="D54" s="311" t="str">
        <f>IF(B54="","",Capacity!R47)</f>
        <v/>
      </c>
      <c r="E54" s="221" t="str">
        <f>IF(B54="","",IF(COUNTBLANK(H54:BG54)=52,SUM('Capacity calculation (hide)'!H142:BG142),52-COUNTBLANK(H54:BG54)))</f>
        <v/>
      </c>
      <c r="F54" s="312" t="str">
        <f>'Capacity calculation (hide)'!BI142</f>
        <v/>
      </c>
      <c r="H54" s="366"/>
      <c r="I54" s="366"/>
      <c r="J54" s="366"/>
      <c r="K54" s="366"/>
      <c r="L54" s="366"/>
      <c r="M54" s="366"/>
      <c r="N54" s="366"/>
      <c r="O54" s="366"/>
      <c r="P54" s="366"/>
      <c r="Q54" s="366"/>
      <c r="R54" s="366"/>
      <c r="S54" s="366"/>
      <c r="T54" s="366"/>
      <c r="U54" s="366"/>
      <c r="V54" s="366"/>
      <c r="W54" s="366"/>
      <c r="X54" s="366"/>
      <c r="Y54" s="366"/>
      <c r="Z54" s="366"/>
      <c r="AA54" s="366"/>
      <c r="AB54" s="366"/>
      <c r="AC54" s="366"/>
      <c r="AD54" s="366"/>
      <c r="AE54" s="366"/>
      <c r="AF54" s="366"/>
      <c r="AG54" s="366"/>
      <c r="AH54" s="366"/>
      <c r="AI54" s="366"/>
      <c r="AJ54" s="366"/>
      <c r="AK54" s="366"/>
      <c r="AL54" s="366"/>
      <c r="AM54" s="366"/>
      <c r="AN54" s="366"/>
      <c r="AO54" s="366"/>
      <c r="AP54" s="366"/>
      <c r="AQ54" s="366"/>
      <c r="AR54" s="366"/>
      <c r="AS54" s="366"/>
      <c r="AT54" s="366"/>
      <c r="AU54" s="366"/>
      <c r="AV54" s="366"/>
      <c r="AW54" s="366"/>
      <c r="AX54" s="366"/>
      <c r="AY54" s="366"/>
      <c r="AZ54" s="366"/>
      <c r="BA54" s="366"/>
      <c r="BB54" s="366"/>
      <c r="BC54" s="366"/>
      <c r="BD54" s="366"/>
      <c r="BE54" s="366"/>
      <c r="BF54" s="366"/>
      <c r="BG54" s="366"/>
    </row>
    <row r="55" spans="2:59" hidden="1" x14ac:dyDescent="0.25">
      <c r="B55" s="220" t="str">
        <f>IF(Capacity!N48="","",Capacity!N48)</f>
        <v/>
      </c>
      <c r="C55" s="221" t="str">
        <f>IF(B55="","",Capacity!Q48)</f>
        <v/>
      </c>
      <c r="D55" s="311" t="str">
        <f>IF(B55="","",Capacity!R48)</f>
        <v/>
      </c>
      <c r="E55" s="221" t="str">
        <f>IF(B55="","",IF(COUNTBLANK(H55:BG55)=52,SUM('Capacity calculation (hide)'!H143:BG143),52-COUNTBLANK(H55:BG55)))</f>
        <v/>
      </c>
      <c r="F55" s="312" t="str">
        <f>'Capacity calculation (hide)'!BI143</f>
        <v/>
      </c>
      <c r="H55" s="366"/>
      <c r="I55" s="366"/>
      <c r="J55" s="366"/>
      <c r="K55" s="366"/>
      <c r="L55" s="366"/>
      <c r="M55" s="366"/>
      <c r="N55" s="366"/>
      <c r="O55" s="366"/>
      <c r="P55" s="366"/>
      <c r="Q55" s="366"/>
      <c r="R55" s="366"/>
      <c r="S55" s="366"/>
      <c r="T55" s="366"/>
      <c r="U55" s="366"/>
      <c r="V55" s="366"/>
      <c r="W55" s="366"/>
      <c r="X55" s="366"/>
      <c r="Y55" s="366"/>
      <c r="Z55" s="366"/>
      <c r="AA55" s="366"/>
      <c r="AB55" s="366"/>
      <c r="AC55" s="366"/>
      <c r="AD55" s="366"/>
      <c r="AE55" s="366"/>
      <c r="AF55" s="366"/>
      <c r="AG55" s="366"/>
      <c r="AH55" s="366"/>
      <c r="AI55" s="366"/>
      <c r="AJ55" s="366"/>
      <c r="AK55" s="366"/>
      <c r="AL55" s="366"/>
      <c r="AM55" s="366"/>
      <c r="AN55" s="366"/>
      <c r="AO55" s="366"/>
      <c r="AP55" s="366"/>
      <c r="AQ55" s="366"/>
      <c r="AR55" s="366"/>
      <c r="AS55" s="366"/>
      <c r="AT55" s="366"/>
      <c r="AU55" s="366"/>
      <c r="AV55" s="366"/>
      <c r="AW55" s="366"/>
      <c r="AX55" s="366"/>
      <c r="AY55" s="366"/>
      <c r="AZ55" s="366"/>
      <c r="BA55" s="366"/>
      <c r="BB55" s="366"/>
      <c r="BC55" s="366"/>
      <c r="BD55" s="366"/>
      <c r="BE55" s="366"/>
      <c r="BF55" s="366"/>
      <c r="BG55" s="366"/>
    </row>
    <row r="56" spans="2:59" hidden="1" x14ac:dyDescent="0.25">
      <c r="B56" s="220" t="str">
        <f>IF(Capacity!N49="","",Capacity!N49)</f>
        <v/>
      </c>
      <c r="C56" s="221" t="str">
        <f>IF(B56="","",Capacity!Q49)</f>
        <v/>
      </c>
      <c r="D56" s="311" t="str">
        <f>IF(B56="","",Capacity!R49)</f>
        <v/>
      </c>
      <c r="E56" s="221" t="str">
        <f>IF(B56="","",IF(COUNTBLANK(H56:BG56)=52,SUM('Capacity calculation (hide)'!H144:BG144),52-COUNTBLANK(H56:BG56)))</f>
        <v/>
      </c>
      <c r="F56" s="312" t="str">
        <f>'Capacity calculation (hide)'!BI144</f>
        <v/>
      </c>
      <c r="H56" s="366"/>
      <c r="I56" s="366"/>
      <c r="J56" s="366"/>
      <c r="K56" s="366"/>
      <c r="L56" s="366"/>
      <c r="M56" s="366"/>
      <c r="N56" s="366"/>
      <c r="O56" s="366"/>
      <c r="P56" s="366"/>
      <c r="Q56" s="366"/>
      <c r="R56" s="366"/>
      <c r="S56" s="366"/>
      <c r="T56" s="366"/>
      <c r="U56" s="366"/>
      <c r="V56" s="366"/>
      <c r="W56" s="366"/>
      <c r="X56" s="366"/>
      <c r="Y56" s="366"/>
      <c r="Z56" s="366"/>
      <c r="AA56" s="366"/>
      <c r="AB56" s="366"/>
      <c r="AC56" s="366"/>
      <c r="AD56" s="366"/>
      <c r="AE56" s="366"/>
      <c r="AF56" s="366"/>
      <c r="AG56" s="366"/>
      <c r="AH56" s="366"/>
      <c r="AI56" s="366"/>
      <c r="AJ56" s="366"/>
      <c r="AK56" s="366"/>
      <c r="AL56" s="366"/>
      <c r="AM56" s="366"/>
      <c r="AN56" s="366"/>
      <c r="AO56" s="366"/>
      <c r="AP56" s="366"/>
      <c r="AQ56" s="366"/>
      <c r="AR56" s="366"/>
      <c r="AS56" s="366"/>
      <c r="AT56" s="366"/>
      <c r="AU56" s="366"/>
      <c r="AV56" s="366"/>
      <c r="AW56" s="366"/>
      <c r="AX56" s="366"/>
      <c r="AY56" s="366"/>
      <c r="AZ56" s="366"/>
      <c r="BA56" s="366"/>
      <c r="BB56" s="366"/>
      <c r="BC56" s="366"/>
      <c r="BD56" s="366"/>
      <c r="BE56" s="366"/>
      <c r="BF56" s="366"/>
      <c r="BG56" s="366"/>
    </row>
    <row r="57" spans="2:59" hidden="1" x14ac:dyDescent="0.25">
      <c r="B57" s="220" t="str">
        <f>IF(Capacity!N50="","",Capacity!N50)</f>
        <v/>
      </c>
      <c r="C57" s="221" t="str">
        <f>IF(B57="","",Capacity!Q50)</f>
        <v/>
      </c>
      <c r="D57" s="311" t="str">
        <f>IF(B57="","",Capacity!R50)</f>
        <v/>
      </c>
      <c r="E57" s="221" t="str">
        <f>IF(B57="","",IF(COUNTBLANK(H57:BG57)=52,SUM('Capacity calculation (hide)'!H145:BG145),52-COUNTBLANK(H57:BG57)))</f>
        <v/>
      </c>
      <c r="F57" s="312" t="str">
        <f>'Capacity calculation (hide)'!BI145</f>
        <v/>
      </c>
      <c r="H57" s="366"/>
      <c r="I57" s="366"/>
      <c r="J57" s="366"/>
      <c r="K57" s="366"/>
      <c r="L57" s="366"/>
      <c r="M57" s="366"/>
      <c r="N57" s="366"/>
      <c r="O57" s="366"/>
      <c r="P57" s="366"/>
      <c r="Q57" s="366"/>
      <c r="R57" s="366"/>
      <c r="S57" s="366"/>
      <c r="T57" s="366"/>
      <c r="U57" s="366"/>
      <c r="V57" s="366"/>
      <c r="W57" s="366"/>
      <c r="X57" s="366"/>
      <c r="Y57" s="366"/>
      <c r="Z57" s="366"/>
      <c r="AA57" s="366"/>
      <c r="AB57" s="366"/>
      <c r="AC57" s="366"/>
      <c r="AD57" s="366"/>
      <c r="AE57" s="366"/>
      <c r="AF57" s="366"/>
      <c r="AG57" s="366"/>
      <c r="AH57" s="366"/>
      <c r="AI57" s="366"/>
      <c r="AJ57" s="366"/>
      <c r="AK57" s="366"/>
      <c r="AL57" s="366"/>
      <c r="AM57" s="366"/>
      <c r="AN57" s="366"/>
      <c r="AO57" s="366"/>
      <c r="AP57" s="366"/>
      <c r="AQ57" s="366"/>
      <c r="AR57" s="366"/>
      <c r="AS57" s="366"/>
      <c r="AT57" s="366"/>
      <c r="AU57" s="366"/>
      <c r="AV57" s="366"/>
      <c r="AW57" s="366"/>
      <c r="AX57" s="366"/>
      <c r="AY57" s="366"/>
      <c r="AZ57" s="366"/>
      <c r="BA57" s="366"/>
      <c r="BB57" s="366"/>
      <c r="BC57" s="366"/>
      <c r="BD57" s="366"/>
      <c r="BE57" s="366"/>
      <c r="BF57" s="366"/>
      <c r="BG57" s="366"/>
    </row>
    <row r="58" spans="2:59" hidden="1" x14ac:dyDescent="0.25">
      <c r="B58" s="220" t="str">
        <f>IF(Capacity!N51="","",Capacity!N51)</f>
        <v/>
      </c>
      <c r="C58" s="221" t="str">
        <f>IF(B58="","",Capacity!Q51)</f>
        <v/>
      </c>
      <c r="D58" s="311" t="str">
        <f>IF(B58="","",Capacity!R51)</f>
        <v/>
      </c>
      <c r="E58" s="221" t="str">
        <f>IF(B58="","",IF(COUNTBLANK(H58:BG58)=52,SUM('Capacity calculation (hide)'!H146:BG146),52-COUNTBLANK(H58:BG58)))</f>
        <v/>
      </c>
      <c r="F58" s="312" t="str">
        <f>'Capacity calculation (hide)'!BI146</f>
        <v/>
      </c>
      <c r="H58" s="366"/>
      <c r="I58" s="366"/>
      <c r="J58" s="366"/>
      <c r="K58" s="366"/>
      <c r="L58" s="366"/>
      <c r="M58" s="366"/>
      <c r="N58" s="366"/>
      <c r="O58" s="366"/>
      <c r="P58" s="366"/>
      <c r="Q58" s="366"/>
      <c r="R58" s="366"/>
      <c r="S58" s="366"/>
      <c r="T58" s="366"/>
      <c r="U58" s="366"/>
      <c r="V58" s="366"/>
      <c r="W58" s="366"/>
      <c r="X58" s="366"/>
      <c r="Y58" s="366"/>
      <c r="Z58" s="366"/>
      <c r="AA58" s="366"/>
      <c r="AB58" s="366"/>
      <c r="AC58" s="366"/>
      <c r="AD58" s="366"/>
      <c r="AE58" s="366"/>
      <c r="AF58" s="366"/>
      <c r="AG58" s="366"/>
      <c r="AH58" s="366"/>
      <c r="AI58" s="366"/>
      <c r="AJ58" s="366"/>
      <c r="AK58" s="366"/>
      <c r="AL58" s="366"/>
      <c r="AM58" s="366"/>
      <c r="AN58" s="366"/>
      <c r="AO58" s="366"/>
      <c r="AP58" s="366"/>
      <c r="AQ58" s="366"/>
      <c r="AR58" s="366"/>
      <c r="AS58" s="366"/>
      <c r="AT58" s="366"/>
      <c r="AU58" s="366"/>
      <c r="AV58" s="366"/>
      <c r="AW58" s="366"/>
      <c r="AX58" s="366"/>
      <c r="AY58" s="366"/>
      <c r="AZ58" s="366"/>
      <c r="BA58" s="366"/>
      <c r="BB58" s="366"/>
      <c r="BC58" s="366"/>
      <c r="BD58" s="366"/>
      <c r="BE58" s="366"/>
      <c r="BF58" s="366"/>
      <c r="BG58" s="366"/>
    </row>
    <row r="59" spans="2:59" hidden="1" x14ac:dyDescent="0.25">
      <c r="B59" s="220" t="str">
        <f>IF(Capacity!N52="","",Capacity!N52)</f>
        <v/>
      </c>
      <c r="C59" s="221" t="str">
        <f>IF(B59="","",Capacity!Q52)</f>
        <v/>
      </c>
      <c r="D59" s="311" t="str">
        <f>IF(B59="","",Capacity!R52)</f>
        <v/>
      </c>
      <c r="E59" s="221" t="str">
        <f>IF(B59="","",IF(COUNTBLANK(H59:BG59)=52,SUM('Capacity calculation (hide)'!H147:BG147),52-COUNTBLANK(H59:BG59)))</f>
        <v/>
      </c>
      <c r="F59" s="312" t="str">
        <f>'Capacity calculation (hide)'!BI147</f>
        <v/>
      </c>
      <c r="H59" s="366"/>
      <c r="I59" s="366"/>
      <c r="J59" s="366"/>
      <c r="K59" s="366"/>
      <c r="L59" s="366"/>
      <c r="M59" s="366"/>
      <c r="N59" s="366"/>
      <c r="O59" s="366"/>
      <c r="P59" s="366"/>
      <c r="Q59" s="366"/>
      <c r="R59" s="366"/>
      <c r="S59" s="366"/>
      <c r="T59" s="366"/>
      <c r="U59" s="366"/>
      <c r="V59" s="366"/>
      <c r="W59" s="366"/>
      <c r="X59" s="366"/>
      <c r="Y59" s="366"/>
      <c r="Z59" s="366"/>
      <c r="AA59" s="366"/>
      <c r="AB59" s="366"/>
      <c r="AC59" s="366"/>
      <c r="AD59" s="366"/>
      <c r="AE59" s="366"/>
      <c r="AF59" s="366"/>
      <c r="AG59" s="366"/>
      <c r="AH59" s="366"/>
      <c r="AI59" s="366"/>
      <c r="AJ59" s="366"/>
      <c r="AK59" s="366"/>
      <c r="AL59" s="366"/>
      <c r="AM59" s="366"/>
      <c r="AN59" s="366"/>
      <c r="AO59" s="366"/>
      <c r="AP59" s="366"/>
      <c r="AQ59" s="366"/>
      <c r="AR59" s="366"/>
      <c r="AS59" s="366"/>
      <c r="AT59" s="366"/>
      <c r="AU59" s="366"/>
      <c r="AV59" s="366"/>
      <c r="AW59" s="366"/>
      <c r="AX59" s="366"/>
      <c r="AY59" s="366"/>
      <c r="AZ59" s="366"/>
      <c r="BA59" s="366"/>
      <c r="BB59" s="366"/>
      <c r="BC59" s="366"/>
      <c r="BD59" s="366"/>
      <c r="BE59" s="366"/>
      <c r="BF59" s="366"/>
      <c r="BG59" s="366"/>
    </row>
    <row r="60" spans="2:59" hidden="1" x14ac:dyDescent="0.25">
      <c r="B60" s="220" t="str">
        <f>IF(Capacity!N53="","",Capacity!N53)</f>
        <v/>
      </c>
      <c r="C60" s="221" t="str">
        <f>IF(B60="","",Capacity!Q53)</f>
        <v/>
      </c>
      <c r="D60" s="311" t="str">
        <f>IF(B60="","",Capacity!R53)</f>
        <v/>
      </c>
      <c r="E60" s="221" t="str">
        <f>IF(B60="","",IF(COUNTBLANK(H60:BG60)=52,SUM('Capacity calculation (hide)'!H148:BG148),52-COUNTBLANK(H60:BG60)))</f>
        <v/>
      </c>
      <c r="F60" s="312" t="str">
        <f>'Capacity calculation (hide)'!BI148</f>
        <v/>
      </c>
      <c r="H60" s="366"/>
      <c r="I60" s="366"/>
      <c r="J60" s="366"/>
      <c r="K60" s="366"/>
      <c r="L60" s="366"/>
      <c r="M60" s="366"/>
      <c r="N60" s="366"/>
      <c r="O60" s="366"/>
      <c r="P60" s="366"/>
      <c r="Q60" s="366"/>
      <c r="R60" s="366"/>
      <c r="S60" s="366"/>
      <c r="T60" s="366"/>
      <c r="U60" s="366"/>
      <c r="V60" s="366"/>
      <c r="W60" s="366"/>
      <c r="X60" s="366"/>
      <c r="Y60" s="366"/>
      <c r="Z60" s="366"/>
      <c r="AA60" s="366"/>
      <c r="AB60" s="366"/>
      <c r="AC60" s="366"/>
      <c r="AD60" s="366"/>
      <c r="AE60" s="366"/>
      <c r="AF60" s="366"/>
      <c r="AG60" s="366"/>
      <c r="AH60" s="366"/>
      <c r="AI60" s="366"/>
      <c r="AJ60" s="366"/>
      <c r="AK60" s="366"/>
      <c r="AL60" s="366"/>
      <c r="AM60" s="366"/>
      <c r="AN60" s="366"/>
      <c r="AO60" s="366"/>
      <c r="AP60" s="366"/>
      <c r="AQ60" s="366"/>
      <c r="AR60" s="366"/>
      <c r="AS60" s="366"/>
      <c r="AT60" s="366"/>
      <c r="AU60" s="366"/>
      <c r="AV60" s="366"/>
      <c r="AW60" s="366"/>
      <c r="AX60" s="366"/>
      <c r="AY60" s="366"/>
      <c r="AZ60" s="366"/>
      <c r="BA60" s="366"/>
      <c r="BB60" s="366"/>
      <c r="BC60" s="366"/>
      <c r="BD60" s="366"/>
      <c r="BE60" s="366"/>
      <c r="BF60" s="366"/>
      <c r="BG60" s="366"/>
    </row>
    <row r="61" spans="2:59" hidden="1" x14ac:dyDescent="0.25">
      <c r="B61" s="220" t="str">
        <f>IF(Capacity!N54="","",Capacity!N54)</f>
        <v/>
      </c>
      <c r="C61" s="221" t="str">
        <f>IF(B61="","",Capacity!Q54)</f>
        <v/>
      </c>
      <c r="D61" s="311" t="str">
        <f>IF(B61="","",Capacity!R54)</f>
        <v/>
      </c>
      <c r="E61" s="221" t="str">
        <f>IF(B61="","",IF(COUNTBLANK(H61:BG61)=52,SUM('Capacity calculation (hide)'!H149:BG149),52-COUNTBLANK(H61:BG61)))</f>
        <v/>
      </c>
      <c r="F61" s="312" t="str">
        <f>'Capacity calculation (hide)'!BI149</f>
        <v/>
      </c>
      <c r="H61" s="366"/>
      <c r="I61" s="366"/>
      <c r="J61" s="366"/>
      <c r="K61" s="366"/>
      <c r="L61" s="366"/>
      <c r="M61" s="366"/>
      <c r="N61" s="366"/>
      <c r="O61" s="366"/>
      <c r="P61" s="366"/>
      <c r="Q61" s="366"/>
      <c r="R61" s="366"/>
      <c r="S61" s="366"/>
      <c r="T61" s="366"/>
      <c r="U61" s="366"/>
      <c r="V61" s="366"/>
      <c r="W61" s="366"/>
      <c r="X61" s="366"/>
      <c r="Y61" s="366"/>
      <c r="Z61" s="366"/>
      <c r="AA61" s="366"/>
      <c r="AB61" s="366"/>
      <c r="AC61" s="366"/>
      <c r="AD61" s="366"/>
      <c r="AE61" s="366"/>
      <c r="AF61" s="366"/>
      <c r="AG61" s="366"/>
      <c r="AH61" s="366"/>
      <c r="AI61" s="366"/>
      <c r="AJ61" s="366"/>
      <c r="AK61" s="366"/>
      <c r="AL61" s="366"/>
      <c r="AM61" s="366"/>
      <c r="AN61" s="366"/>
      <c r="AO61" s="366"/>
      <c r="AP61" s="366"/>
      <c r="AQ61" s="366"/>
      <c r="AR61" s="366"/>
      <c r="AS61" s="366"/>
      <c r="AT61" s="366"/>
      <c r="AU61" s="366"/>
      <c r="AV61" s="366"/>
      <c r="AW61" s="366"/>
      <c r="AX61" s="366"/>
      <c r="AY61" s="366"/>
      <c r="AZ61" s="366"/>
      <c r="BA61" s="366"/>
      <c r="BB61" s="366"/>
      <c r="BC61" s="366"/>
      <c r="BD61" s="366"/>
      <c r="BE61" s="366"/>
      <c r="BF61" s="366"/>
      <c r="BG61" s="366"/>
    </row>
    <row r="62" spans="2:59" hidden="1" x14ac:dyDescent="0.25">
      <c r="B62" s="220" t="str">
        <f>IF(Capacity!N55="","",Capacity!N55)</f>
        <v/>
      </c>
      <c r="C62" s="221" t="str">
        <f>IF(B62="","",Capacity!Q55)</f>
        <v/>
      </c>
      <c r="D62" s="311" t="str">
        <f>IF(B62="","",Capacity!R55)</f>
        <v/>
      </c>
      <c r="E62" s="221" t="str">
        <f>IF(B62="","",IF(COUNTBLANK(H62:BG62)=52,SUM('Capacity calculation (hide)'!H150:BG150),52-COUNTBLANK(H62:BG62)))</f>
        <v/>
      </c>
      <c r="F62" s="312" t="str">
        <f>'Capacity calculation (hide)'!BI150</f>
        <v/>
      </c>
      <c r="H62" s="366"/>
      <c r="I62" s="366"/>
      <c r="J62" s="366"/>
      <c r="K62" s="366"/>
      <c r="L62" s="366"/>
      <c r="M62" s="366"/>
      <c r="N62" s="366"/>
      <c r="O62" s="366"/>
      <c r="P62" s="366"/>
      <c r="Q62" s="366"/>
      <c r="R62" s="366"/>
      <c r="S62" s="366"/>
      <c r="T62" s="366"/>
      <c r="U62" s="366"/>
      <c r="V62" s="366"/>
      <c r="W62" s="366"/>
      <c r="X62" s="366"/>
      <c r="Y62" s="366"/>
      <c r="Z62" s="366"/>
      <c r="AA62" s="366"/>
      <c r="AB62" s="366"/>
      <c r="AC62" s="366"/>
      <c r="AD62" s="366"/>
      <c r="AE62" s="366"/>
      <c r="AF62" s="366"/>
      <c r="AG62" s="366"/>
      <c r="AH62" s="366"/>
      <c r="AI62" s="366"/>
      <c r="AJ62" s="366"/>
      <c r="AK62" s="366"/>
      <c r="AL62" s="366"/>
      <c r="AM62" s="366"/>
      <c r="AN62" s="366"/>
      <c r="AO62" s="366"/>
      <c r="AP62" s="366"/>
      <c r="AQ62" s="366"/>
      <c r="AR62" s="366"/>
      <c r="AS62" s="366"/>
      <c r="AT62" s="366"/>
      <c r="AU62" s="366"/>
      <c r="AV62" s="366"/>
      <c r="AW62" s="366"/>
      <c r="AX62" s="366"/>
      <c r="AY62" s="366"/>
      <c r="AZ62" s="366"/>
      <c r="BA62" s="366"/>
      <c r="BB62" s="366"/>
      <c r="BC62" s="366"/>
      <c r="BD62" s="366"/>
      <c r="BE62" s="366"/>
      <c r="BF62" s="366"/>
      <c r="BG62" s="366"/>
    </row>
    <row r="63" spans="2:59" hidden="1" x14ac:dyDescent="0.25">
      <c r="B63" s="220" t="str">
        <f>IF(Capacity!N56="","",Capacity!N56)</f>
        <v/>
      </c>
      <c r="C63" s="221" t="str">
        <f>IF(B63="","",Capacity!Q56)</f>
        <v/>
      </c>
      <c r="D63" s="311" t="str">
        <f>IF(B63="","",Capacity!R56)</f>
        <v/>
      </c>
      <c r="E63" s="221" t="str">
        <f>IF(B63="","",IF(COUNTBLANK(H63:BG63)=52,SUM('Capacity calculation (hide)'!H151:BG151),52-COUNTBLANK(H63:BG63)))</f>
        <v/>
      </c>
      <c r="F63" s="312" t="str">
        <f>'Capacity calculation (hide)'!BI151</f>
        <v/>
      </c>
      <c r="H63" s="366"/>
      <c r="I63" s="366"/>
      <c r="J63" s="366"/>
      <c r="K63" s="366"/>
      <c r="L63" s="366"/>
      <c r="M63" s="366"/>
      <c r="N63" s="366"/>
      <c r="O63" s="366"/>
      <c r="P63" s="366"/>
      <c r="Q63" s="366"/>
      <c r="R63" s="366"/>
      <c r="S63" s="366"/>
      <c r="T63" s="366"/>
      <c r="U63" s="366"/>
      <c r="V63" s="366"/>
      <c r="W63" s="366"/>
      <c r="X63" s="366"/>
      <c r="Y63" s="366"/>
      <c r="Z63" s="366"/>
      <c r="AA63" s="366"/>
      <c r="AB63" s="366"/>
      <c r="AC63" s="366"/>
      <c r="AD63" s="366"/>
      <c r="AE63" s="366"/>
      <c r="AF63" s="366"/>
      <c r="AG63" s="366"/>
      <c r="AH63" s="366"/>
      <c r="AI63" s="366"/>
      <c r="AJ63" s="366"/>
      <c r="AK63" s="366"/>
      <c r="AL63" s="366"/>
      <c r="AM63" s="366"/>
      <c r="AN63" s="366"/>
      <c r="AO63" s="366"/>
      <c r="AP63" s="366"/>
      <c r="AQ63" s="366"/>
      <c r="AR63" s="366"/>
      <c r="AS63" s="366"/>
      <c r="AT63" s="366"/>
      <c r="AU63" s="366"/>
      <c r="AV63" s="366"/>
      <c r="AW63" s="366"/>
      <c r="AX63" s="366"/>
      <c r="AY63" s="366"/>
      <c r="AZ63" s="366"/>
      <c r="BA63" s="366"/>
      <c r="BB63" s="366"/>
      <c r="BC63" s="366"/>
      <c r="BD63" s="366"/>
      <c r="BE63" s="366"/>
      <c r="BF63" s="366"/>
      <c r="BG63" s="366"/>
    </row>
    <row r="64" spans="2:59" hidden="1" x14ac:dyDescent="0.25">
      <c r="B64" s="220" t="str">
        <f>IF(Capacity!N57="","",Capacity!N57)</f>
        <v/>
      </c>
      <c r="C64" s="221" t="str">
        <f>IF(B64="","",Capacity!Q57)</f>
        <v/>
      </c>
      <c r="D64" s="311" t="str">
        <f>IF(B64="","",Capacity!R57)</f>
        <v/>
      </c>
      <c r="E64" s="221" t="str">
        <f>IF(B64="","",IF(COUNTBLANK(H64:BG64)=52,SUM('Capacity calculation (hide)'!H152:BG152),52-COUNTBLANK(H64:BG64)))</f>
        <v/>
      </c>
      <c r="F64" s="312" t="str">
        <f>'Capacity calculation (hide)'!BI152</f>
        <v/>
      </c>
      <c r="H64" s="366"/>
      <c r="I64" s="366"/>
      <c r="J64" s="366"/>
      <c r="K64" s="366"/>
      <c r="L64" s="366"/>
      <c r="M64" s="366"/>
      <c r="N64" s="366"/>
      <c r="O64" s="366"/>
      <c r="P64" s="366"/>
      <c r="Q64" s="366"/>
      <c r="R64" s="366"/>
      <c r="S64" s="366"/>
      <c r="T64" s="366"/>
      <c r="U64" s="366"/>
      <c r="V64" s="366"/>
      <c r="W64" s="366"/>
      <c r="X64" s="366"/>
      <c r="Y64" s="366"/>
      <c r="Z64" s="366"/>
      <c r="AA64" s="366"/>
      <c r="AB64" s="366"/>
      <c r="AC64" s="366"/>
      <c r="AD64" s="366"/>
      <c r="AE64" s="366"/>
      <c r="AF64" s="366"/>
      <c r="AG64" s="366"/>
      <c r="AH64" s="366"/>
      <c r="AI64" s="366"/>
      <c r="AJ64" s="366"/>
      <c r="AK64" s="366"/>
      <c r="AL64" s="366"/>
      <c r="AM64" s="366"/>
      <c r="AN64" s="366"/>
      <c r="AO64" s="366"/>
      <c r="AP64" s="366"/>
      <c r="AQ64" s="366"/>
      <c r="AR64" s="366"/>
      <c r="AS64" s="366"/>
      <c r="AT64" s="366"/>
      <c r="AU64" s="366"/>
      <c r="AV64" s="366"/>
      <c r="AW64" s="366"/>
      <c r="AX64" s="366"/>
      <c r="AY64" s="366"/>
      <c r="AZ64" s="366"/>
      <c r="BA64" s="366"/>
      <c r="BB64" s="366"/>
      <c r="BC64" s="366"/>
      <c r="BD64" s="366"/>
      <c r="BE64" s="366"/>
      <c r="BF64" s="366"/>
      <c r="BG64" s="366"/>
    </row>
    <row r="65" spans="2:59" hidden="1" x14ac:dyDescent="0.25">
      <c r="B65" s="220" t="str">
        <f>IF(Capacity!N58="","",Capacity!N58)</f>
        <v/>
      </c>
      <c r="C65" s="221" t="str">
        <f>IF(B65="","",Capacity!Q58)</f>
        <v/>
      </c>
      <c r="D65" s="311" t="str">
        <f>IF(B65="","",Capacity!R58)</f>
        <v/>
      </c>
      <c r="E65" s="221" t="str">
        <f>IF(B65="","",IF(COUNTBLANK(H65:BG65)=52,SUM('Capacity calculation (hide)'!H153:BG153),52-COUNTBLANK(H65:BG65)))</f>
        <v/>
      </c>
      <c r="F65" s="312" t="str">
        <f>'Capacity calculation (hide)'!BI153</f>
        <v/>
      </c>
      <c r="H65" s="366"/>
      <c r="I65" s="366"/>
      <c r="J65" s="366"/>
      <c r="K65" s="366"/>
      <c r="L65" s="366"/>
      <c r="M65" s="366"/>
      <c r="N65" s="366"/>
      <c r="O65" s="366"/>
      <c r="P65" s="366"/>
      <c r="Q65" s="366"/>
      <c r="R65" s="366"/>
      <c r="S65" s="366"/>
      <c r="T65" s="366"/>
      <c r="U65" s="366"/>
      <c r="V65" s="366"/>
      <c r="W65" s="366"/>
      <c r="X65" s="366"/>
      <c r="Y65" s="366"/>
      <c r="Z65" s="366"/>
      <c r="AA65" s="366"/>
      <c r="AB65" s="366"/>
      <c r="AC65" s="366"/>
      <c r="AD65" s="366"/>
      <c r="AE65" s="366"/>
      <c r="AF65" s="366"/>
      <c r="AG65" s="366"/>
      <c r="AH65" s="366"/>
      <c r="AI65" s="366"/>
      <c r="AJ65" s="366"/>
      <c r="AK65" s="366"/>
      <c r="AL65" s="366"/>
      <c r="AM65" s="366"/>
      <c r="AN65" s="366"/>
      <c r="AO65" s="366"/>
      <c r="AP65" s="366"/>
      <c r="AQ65" s="366"/>
      <c r="AR65" s="366"/>
      <c r="AS65" s="366"/>
      <c r="AT65" s="366"/>
      <c r="AU65" s="366"/>
      <c r="AV65" s="366"/>
      <c r="AW65" s="366"/>
      <c r="AX65" s="366"/>
      <c r="AY65" s="366"/>
      <c r="AZ65" s="366"/>
      <c r="BA65" s="366"/>
      <c r="BB65" s="366"/>
      <c r="BC65" s="366"/>
      <c r="BD65" s="366"/>
      <c r="BE65" s="366"/>
      <c r="BF65" s="366"/>
      <c r="BG65" s="366"/>
    </row>
    <row r="66" spans="2:59" hidden="1" x14ac:dyDescent="0.25">
      <c r="B66" s="220" t="str">
        <f>IF(Capacity!N59="","",Capacity!N59)</f>
        <v/>
      </c>
      <c r="C66" s="221" t="str">
        <f>IF(B66="","",Capacity!Q59)</f>
        <v/>
      </c>
      <c r="D66" s="311" t="str">
        <f>IF(B66="","",Capacity!R59)</f>
        <v/>
      </c>
      <c r="E66" s="221" t="str">
        <f>IF(B66="","",IF(COUNTBLANK(H66:BG66)=52,SUM('Capacity calculation (hide)'!H154:BG154),52-COUNTBLANK(H66:BG66)))</f>
        <v/>
      </c>
      <c r="F66" s="312" t="str">
        <f>'Capacity calculation (hide)'!BI154</f>
        <v/>
      </c>
      <c r="H66" s="366"/>
      <c r="I66" s="366"/>
      <c r="J66" s="366"/>
      <c r="K66" s="366"/>
      <c r="L66" s="366"/>
      <c r="M66" s="366"/>
      <c r="N66" s="366"/>
      <c r="O66" s="366"/>
      <c r="P66" s="366"/>
      <c r="Q66" s="366"/>
      <c r="R66" s="366"/>
      <c r="S66" s="366"/>
      <c r="T66" s="366"/>
      <c r="U66" s="366"/>
      <c r="V66" s="366"/>
      <c r="W66" s="366"/>
      <c r="X66" s="366"/>
      <c r="Y66" s="366"/>
      <c r="Z66" s="366"/>
      <c r="AA66" s="366"/>
      <c r="AB66" s="366"/>
      <c r="AC66" s="366"/>
      <c r="AD66" s="366"/>
      <c r="AE66" s="366"/>
      <c r="AF66" s="366"/>
      <c r="AG66" s="366"/>
      <c r="AH66" s="366"/>
      <c r="AI66" s="366"/>
      <c r="AJ66" s="366"/>
      <c r="AK66" s="366"/>
      <c r="AL66" s="366"/>
      <c r="AM66" s="366"/>
      <c r="AN66" s="366"/>
      <c r="AO66" s="366"/>
      <c r="AP66" s="366"/>
      <c r="AQ66" s="366"/>
      <c r="AR66" s="366"/>
      <c r="AS66" s="366"/>
      <c r="AT66" s="366"/>
      <c r="AU66" s="366"/>
      <c r="AV66" s="366"/>
      <c r="AW66" s="366"/>
      <c r="AX66" s="366"/>
      <c r="AY66" s="366"/>
      <c r="AZ66" s="366"/>
      <c r="BA66" s="366"/>
      <c r="BB66" s="366"/>
      <c r="BC66" s="366"/>
      <c r="BD66" s="366"/>
      <c r="BE66" s="366"/>
      <c r="BF66" s="366"/>
      <c r="BG66" s="366"/>
    </row>
    <row r="67" spans="2:59" hidden="1" x14ac:dyDescent="0.25">
      <c r="B67" s="220" t="str">
        <f>IF(Capacity!N60="","",Capacity!N60)</f>
        <v/>
      </c>
      <c r="C67" s="221" t="str">
        <f>IF(B67="","",Capacity!Q60)</f>
        <v/>
      </c>
      <c r="D67" s="311" t="str">
        <f>IF(B67="","",Capacity!R60)</f>
        <v/>
      </c>
      <c r="E67" s="221" t="str">
        <f>IF(B67="","",IF(COUNTBLANK(H67:BG67)=52,SUM('Capacity calculation (hide)'!H155:BG155),52-COUNTBLANK(H67:BG67)))</f>
        <v/>
      </c>
      <c r="F67" s="312" t="str">
        <f>'Capacity calculation (hide)'!BI155</f>
        <v/>
      </c>
      <c r="H67" s="366"/>
      <c r="I67" s="366"/>
      <c r="J67" s="366"/>
      <c r="K67" s="366"/>
      <c r="L67" s="366"/>
      <c r="M67" s="366"/>
      <c r="N67" s="366"/>
      <c r="O67" s="366"/>
      <c r="P67" s="366"/>
      <c r="Q67" s="366"/>
      <c r="R67" s="366"/>
      <c r="S67" s="366"/>
      <c r="T67" s="366"/>
      <c r="U67" s="366"/>
      <c r="V67" s="366"/>
      <c r="W67" s="366"/>
      <c r="X67" s="366"/>
      <c r="Y67" s="366"/>
      <c r="Z67" s="366"/>
      <c r="AA67" s="366"/>
      <c r="AB67" s="366"/>
      <c r="AC67" s="366"/>
      <c r="AD67" s="366"/>
      <c r="AE67" s="366"/>
      <c r="AF67" s="366"/>
      <c r="AG67" s="366"/>
      <c r="AH67" s="366"/>
      <c r="AI67" s="366"/>
      <c r="AJ67" s="366"/>
      <c r="AK67" s="366"/>
      <c r="AL67" s="366"/>
      <c r="AM67" s="366"/>
      <c r="AN67" s="366"/>
      <c r="AO67" s="366"/>
      <c r="AP67" s="366"/>
      <c r="AQ67" s="366"/>
      <c r="AR67" s="366"/>
      <c r="AS67" s="366"/>
      <c r="AT67" s="366"/>
      <c r="AU67" s="366"/>
      <c r="AV67" s="366"/>
      <c r="AW67" s="366"/>
      <c r="AX67" s="366"/>
      <c r="AY67" s="366"/>
      <c r="AZ67" s="366"/>
      <c r="BA67" s="366"/>
      <c r="BB67" s="366"/>
      <c r="BC67" s="366"/>
      <c r="BD67" s="366"/>
      <c r="BE67" s="366"/>
      <c r="BF67" s="366"/>
      <c r="BG67" s="366"/>
    </row>
    <row r="68" spans="2:59" hidden="1" x14ac:dyDescent="0.25">
      <c r="B68" s="220" t="str">
        <f>IF(Capacity!N61="","",Capacity!N61)</f>
        <v/>
      </c>
      <c r="C68" s="221" t="str">
        <f>IF(B68="","",Capacity!Q61)</f>
        <v/>
      </c>
      <c r="D68" s="311" t="str">
        <f>IF(B68="","",Capacity!R61)</f>
        <v/>
      </c>
      <c r="E68" s="221" t="str">
        <f>IF(B68="","",IF(COUNTBLANK(H68:BG68)=52,SUM('Capacity calculation (hide)'!H156:BG156),52-COUNTBLANK(H68:BG68)))</f>
        <v/>
      </c>
      <c r="F68" s="312" t="str">
        <f>'Capacity calculation (hide)'!BI156</f>
        <v/>
      </c>
      <c r="H68" s="366"/>
      <c r="I68" s="366"/>
      <c r="J68" s="366"/>
      <c r="K68" s="366"/>
      <c r="L68" s="366"/>
      <c r="M68" s="366"/>
      <c r="N68" s="366"/>
      <c r="O68" s="366"/>
      <c r="P68" s="366"/>
      <c r="Q68" s="366"/>
      <c r="R68" s="366"/>
      <c r="S68" s="366"/>
      <c r="T68" s="366"/>
      <c r="U68" s="366"/>
      <c r="V68" s="366"/>
      <c r="W68" s="366"/>
      <c r="X68" s="366"/>
      <c r="Y68" s="366"/>
      <c r="Z68" s="366"/>
      <c r="AA68" s="366"/>
      <c r="AB68" s="366"/>
      <c r="AC68" s="366"/>
      <c r="AD68" s="366"/>
      <c r="AE68" s="366"/>
      <c r="AF68" s="366"/>
      <c r="AG68" s="366"/>
      <c r="AH68" s="366"/>
      <c r="AI68" s="366"/>
      <c r="AJ68" s="366"/>
      <c r="AK68" s="366"/>
      <c r="AL68" s="366"/>
      <c r="AM68" s="366"/>
      <c r="AN68" s="366"/>
      <c r="AO68" s="366"/>
      <c r="AP68" s="366"/>
      <c r="AQ68" s="366"/>
      <c r="AR68" s="366"/>
      <c r="AS68" s="366"/>
      <c r="AT68" s="366"/>
      <c r="AU68" s="366"/>
      <c r="AV68" s="366"/>
      <c r="AW68" s="366"/>
      <c r="AX68" s="366"/>
      <c r="AY68" s="366"/>
      <c r="AZ68" s="366"/>
      <c r="BA68" s="366"/>
      <c r="BB68" s="366"/>
      <c r="BC68" s="366"/>
      <c r="BD68" s="366"/>
      <c r="BE68" s="366"/>
      <c r="BF68" s="366"/>
      <c r="BG68" s="366"/>
    </row>
    <row r="69" spans="2:59" hidden="1" x14ac:dyDescent="0.25">
      <c r="B69" s="220" t="str">
        <f>IF(Capacity!N62="","",Capacity!N62)</f>
        <v/>
      </c>
      <c r="C69" s="221" t="str">
        <f>IF(B69="","",Capacity!Q62)</f>
        <v/>
      </c>
      <c r="D69" s="311" t="str">
        <f>IF(B69="","",Capacity!R62)</f>
        <v/>
      </c>
      <c r="E69" s="221" t="str">
        <f>IF(B69="","",IF(COUNTBLANK(H69:BG69)=52,SUM('Capacity calculation (hide)'!H157:BG157),52-COUNTBLANK(H69:BG69)))</f>
        <v/>
      </c>
      <c r="F69" s="312" t="str">
        <f>'Capacity calculation (hide)'!BI157</f>
        <v/>
      </c>
      <c r="H69" s="366"/>
      <c r="I69" s="366"/>
      <c r="J69" s="366"/>
      <c r="K69" s="366"/>
      <c r="L69" s="366"/>
      <c r="M69" s="366"/>
      <c r="N69" s="366"/>
      <c r="O69" s="366"/>
      <c r="P69" s="366"/>
      <c r="Q69" s="366"/>
      <c r="R69" s="366"/>
      <c r="S69" s="366"/>
      <c r="T69" s="366"/>
      <c r="U69" s="366"/>
      <c r="V69" s="366"/>
      <c r="W69" s="366"/>
      <c r="X69" s="366"/>
      <c r="Y69" s="366"/>
      <c r="Z69" s="366"/>
      <c r="AA69" s="366"/>
      <c r="AB69" s="366"/>
      <c r="AC69" s="366"/>
      <c r="AD69" s="366"/>
      <c r="AE69" s="366"/>
      <c r="AF69" s="366"/>
      <c r="AG69" s="366"/>
      <c r="AH69" s="366"/>
      <c r="AI69" s="366"/>
      <c r="AJ69" s="366"/>
      <c r="AK69" s="366"/>
      <c r="AL69" s="366"/>
      <c r="AM69" s="366"/>
      <c r="AN69" s="366"/>
      <c r="AO69" s="366"/>
      <c r="AP69" s="366"/>
      <c r="AQ69" s="366"/>
      <c r="AR69" s="366"/>
      <c r="AS69" s="366"/>
      <c r="AT69" s="366"/>
      <c r="AU69" s="366"/>
      <c r="AV69" s="366"/>
      <c r="AW69" s="366"/>
      <c r="AX69" s="366"/>
      <c r="AY69" s="366"/>
      <c r="AZ69" s="366"/>
      <c r="BA69" s="366"/>
      <c r="BB69" s="366"/>
      <c r="BC69" s="366"/>
      <c r="BD69" s="366"/>
      <c r="BE69" s="366"/>
      <c r="BF69" s="366"/>
      <c r="BG69" s="366"/>
    </row>
    <row r="70" spans="2:59" hidden="1" x14ac:dyDescent="0.25">
      <c r="B70" s="220" t="str">
        <f>IF(Capacity!N63="","",Capacity!N63)</f>
        <v/>
      </c>
      <c r="C70" s="221" t="str">
        <f>IF(B70="","",Capacity!Q63)</f>
        <v/>
      </c>
      <c r="D70" s="311" t="str">
        <f>IF(B70="","",Capacity!R63)</f>
        <v/>
      </c>
      <c r="E70" s="221" t="str">
        <f>IF(B70="","",IF(COUNTBLANK(H70:BG70)=52,SUM('Capacity calculation (hide)'!H158:BG158),52-COUNTBLANK(H70:BG70)))</f>
        <v/>
      </c>
      <c r="F70" s="312" t="str">
        <f>'Capacity calculation (hide)'!BI158</f>
        <v/>
      </c>
      <c r="H70" s="366"/>
      <c r="I70" s="366"/>
      <c r="J70" s="366"/>
      <c r="K70" s="366"/>
      <c r="L70" s="366"/>
      <c r="M70" s="366"/>
      <c r="N70" s="366"/>
      <c r="O70" s="366"/>
      <c r="P70" s="366"/>
      <c r="Q70" s="366"/>
      <c r="R70" s="366"/>
      <c r="S70" s="366"/>
      <c r="T70" s="366"/>
      <c r="U70" s="366"/>
      <c r="V70" s="366"/>
      <c r="W70" s="366"/>
      <c r="X70" s="366"/>
      <c r="Y70" s="366"/>
      <c r="Z70" s="366"/>
      <c r="AA70" s="366"/>
      <c r="AB70" s="366"/>
      <c r="AC70" s="366"/>
      <c r="AD70" s="366"/>
      <c r="AE70" s="366"/>
      <c r="AF70" s="366"/>
      <c r="AG70" s="366"/>
      <c r="AH70" s="366"/>
      <c r="AI70" s="366"/>
      <c r="AJ70" s="366"/>
      <c r="AK70" s="366"/>
      <c r="AL70" s="366"/>
      <c r="AM70" s="366"/>
      <c r="AN70" s="366"/>
      <c r="AO70" s="366"/>
      <c r="AP70" s="366"/>
      <c r="AQ70" s="366"/>
      <c r="AR70" s="366"/>
      <c r="AS70" s="366"/>
      <c r="AT70" s="366"/>
      <c r="AU70" s="366"/>
      <c r="AV70" s="366"/>
      <c r="AW70" s="366"/>
      <c r="AX70" s="366"/>
      <c r="AY70" s="366"/>
      <c r="AZ70" s="366"/>
      <c r="BA70" s="366"/>
      <c r="BB70" s="366"/>
      <c r="BC70" s="366"/>
      <c r="BD70" s="366"/>
      <c r="BE70" s="366"/>
      <c r="BF70" s="366"/>
      <c r="BG70" s="366"/>
    </row>
    <row r="71" spans="2:59" hidden="1" x14ac:dyDescent="0.25">
      <c r="B71" s="220" t="str">
        <f>IF(Capacity!N64="","",Capacity!N64)</f>
        <v/>
      </c>
      <c r="C71" s="221" t="str">
        <f>IF(B71="","",Capacity!Q64)</f>
        <v/>
      </c>
      <c r="D71" s="311" t="str">
        <f>IF(B71="","",Capacity!R64)</f>
        <v/>
      </c>
      <c r="E71" s="221" t="str">
        <f>IF(B71="","",IF(COUNTBLANK(H71:BG71)=52,SUM('Capacity calculation (hide)'!H159:BG159),52-COUNTBLANK(H71:BG71)))</f>
        <v/>
      </c>
      <c r="F71" s="312" t="str">
        <f>'Capacity calculation (hide)'!BI159</f>
        <v/>
      </c>
      <c r="H71" s="366"/>
      <c r="I71" s="366"/>
      <c r="J71" s="366"/>
      <c r="K71" s="366"/>
      <c r="L71" s="366"/>
      <c r="M71" s="366"/>
      <c r="N71" s="366"/>
      <c r="O71" s="366"/>
      <c r="P71" s="366"/>
      <c r="Q71" s="366"/>
      <c r="R71" s="366"/>
      <c r="S71" s="366"/>
      <c r="T71" s="366"/>
      <c r="U71" s="366"/>
      <c r="V71" s="366"/>
      <c r="W71" s="366"/>
      <c r="X71" s="366"/>
      <c r="Y71" s="366"/>
      <c r="Z71" s="366"/>
      <c r="AA71" s="366"/>
      <c r="AB71" s="366"/>
      <c r="AC71" s="366"/>
      <c r="AD71" s="366"/>
      <c r="AE71" s="366"/>
      <c r="AF71" s="366"/>
      <c r="AG71" s="366"/>
      <c r="AH71" s="366"/>
      <c r="AI71" s="366"/>
      <c r="AJ71" s="366"/>
      <c r="AK71" s="366"/>
      <c r="AL71" s="366"/>
      <c r="AM71" s="366"/>
      <c r="AN71" s="366"/>
      <c r="AO71" s="366"/>
      <c r="AP71" s="366"/>
      <c r="AQ71" s="366"/>
      <c r="AR71" s="366"/>
      <c r="AS71" s="366"/>
      <c r="AT71" s="366"/>
      <c r="AU71" s="366"/>
      <c r="AV71" s="366"/>
      <c r="AW71" s="366"/>
      <c r="AX71" s="366"/>
      <c r="AY71" s="366"/>
      <c r="AZ71" s="366"/>
      <c r="BA71" s="366"/>
      <c r="BB71" s="366"/>
      <c r="BC71" s="366"/>
      <c r="BD71" s="366"/>
      <c r="BE71" s="366"/>
      <c r="BF71" s="366"/>
      <c r="BG71" s="366"/>
    </row>
    <row r="72" spans="2:59" hidden="1" x14ac:dyDescent="0.25">
      <c r="B72" s="220" t="str">
        <f>IF(Capacity!N65="","",Capacity!N65)</f>
        <v/>
      </c>
      <c r="C72" s="221" t="str">
        <f>IF(B72="","",Capacity!Q65)</f>
        <v/>
      </c>
      <c r="D72" s="311" t="str">
        <f>IF(B72="","",Capacity!R65)</f>
        <v/>
      </c>
      <c r="E72" s="221" t="str">
        <f>IF(B72="","",IF(COUNTBLANK(H72:BG72)=52,SUM('Capacity calculation (hide)'!H160:BG160),52-COUNTBLANK(H72:BG72)))</f>
        <v/>
      </c>
      <c r="F72" s="312" t="str">
        <f>'Capacity calculation (hide)'!BI160</f>
        <v/>
      </c>
      <c r="H72" s="366"/>
      <c r="I72" s="366"/>
      <c r="J72" s="366"/>
      <c r="K72" s="366"/>
      <c r="L72" s="366"/>
      <c r="M72" s="366"/>
      <c r="N72" s="366"/>
      <c r="O72" s="366"/>
      <c r="P72" s="366"/>
      <c r="Q72" s="366"/>
      <c r="R72" s="366"/>
      <c r="S72" s="366"/>
      <c r="T72" s="366"/>
      <c r="U72" s="366"/>
      <c r="V72" s="366"/>
      <c r="W72" s="366"/>
      <c r="X72" s="366"/>
      <c r="Y72" s="366"/>
      <c r="Z72" s="366"/>
      <c r="AA72" s="366"/>
      <c r="AB72" s="366"/>
      <c r="AC72" s="366"/>
      <c r="AD72" s="366"/>
      <c r="AE72" s="366"/>
      <c r="AF72" s="366"/>
      <c r="AG72" s="366"/>
      <c r="AH72" s="366"/>
      <c r="AI72" s="366"/>
      <c r="AJ72" s="366"/>
      <c r="AK72" s="366"/>
      <c r="AL72" s="366"/>
      <c r="AM72" s="366"/>
      <c r="AN72" s="366"/>
      <c r="AO72" s="366"/>
      <c r="AP72" s="366"/>
      <c r="AQ72" s="366"/>
      <c r="AR72" s="366"/>
      <c r="AS72" s="366"/>
      <c r="AT72" s="366"/>
      <c r="AU72" s="366"/>
      <c r="AV72" s="366"/>
      <c r="AW72" s="366"/>
      <c r="AX72" s="366"/>
      <c r="AY72" s="366"/>
      <c r="AZ72" s="366"/>
      <c r="BA72" s="366"/>
      <c r="BB72" s="366"/>
      <c r="BC72" s="366"/>
      <c r="BD72" s="366"/>
      <c r="BE72" s="366"/>
      <c r="BF72" s="366"/>
      <c r="BG72" s="366"/>
    </row>
    <row r="73" spans="2:59" hidden="1" x14ac:dyDescent="0.25">
      <c r="B73" s="220" t="str">
        <f>IF(Capacity!N66="","",Capacity!N66)</f>
        <v/>
      </c>
      <c r="C73" s="221" t="str">
        <f>IF(B73="","",Capacity!Q66)</f>
        <v/>
      </c>
      <c r="D73" s="311" t="str">
        <f>IF(B73="","",Capacity!R66)</f>
        <v/>
      </c>
      <c r="E73" s="221" t="str">
        <f>IF(B73="","",IF(COUNTBLANK(H73:BG73)=52,SUM('Capacity calculation (hide)'!H161:BG161),52-COUNTBLANK(H73:BG73)))</f>
        <v/>
      </c>
      <c r="F73" s="312" t="str">
        <f>'Capacity calculation (hide)'!BI161</f>
        <v/>
      </c>
      <c r="H73" s="366"/>
      <c r="I73" s="366"/>
      <c r="J73" s="366"/>
      <c r="K73" s="366"/>
      <c r="L73" s="366"/>
      <c r="M73" s="366"/>
      <c r="N73" s="366"/>
      <c r="O73" s="366"/>
      <c r="P73" s="366"/>
      <c r="Q73" s="366"/>
      <c r="R73" s="366"/>
      <c r="S73" s="366"/>
      <c r="T73" s="366"/>
      <c r="U73" s="366"/>
      <c r="V73" s="366"/>
      <c r="W73" s="366"/>
      <c r="X73" s="366"/>
      <c r="Y73" s="366"/>
      <c r="Z73" s="366"/>
      <c r="AA73" s="366"/>
      <c r="AB73" s="366"/>
      <c r="AC73" s="366"/>
      <c r="AD73" s="366"/>
      <c r="AE73" s="366"/>
      <c r="AF73" s="366"/>
      <c r="AG73" s="366"/>
      <c r="AH73" s="366"/>
      <c r="AI73" s="366"/>
      <c r="AJ73" s="366"/>
      <c r="AK73" s="366"/>
      <c r="AL73" s="366"/>
      <c r="AM73" s="366"/>
      <c r="AN73" s="366"/>
      <c r="AO73" s="366"/>
      <c r="AP73" s="366"/>
      <c r="AQ73" s="366"/>
      <c r="AR73" s="366"/>
      <c r="AS73" s="366"/>
      <c r="AT73" s="366"/>
      <c r="AU73" s="366"/>
      <c r="AV73" s="366"/>
      <c r="AW73" s="366"/>
      <c r="AX73" s="366"/>
      <c r="AY73" s="366"/>
      <c r="AZ73" s="366"/>
      <c r="BA73" s="366"/>
      <c r="BB73" s="366"/>
      <c r="BC73" s="366"/>
      <c r="BD73" s="366"/>
      <c r="BE73" s="366"/>
      <c r="BF73" s="366"/>
      <c r="BG73" s="366"/>
    </row>
    <row r="74" spans="2:59" hidden="1" x14ac:dyDescent="0.25">
      <c r="B74" s="220" t="str">
        <f>IF(Capacity!N67="","",Capacity!N67)</f>
        <v/>
      </c>
      <c r="C74" s="221" t="str">
        <f>IF(B74="","",Capacity!Q67)</f>
        <v/>
      </c>
      <c r="D74" s="311" t="str">
        <f>IF(B74="","",Capacity!R67)</f>
        <v/>
      </c>
      <c r="E74" s="221" t="str">
        <f>IF(B74="","",IF(COUNTBLANK(H74:BG74)=52,SUM('Capacity calculation (hide)'!H162:BG162),52-COUNTBLANK(H74:BG74)))</f>
        <v/>
      </c>
      <c r="F74" s="312" t="str">
        <f>'Capacity calculation (hide)'!BI162</f>
        <v/>
      </c>
      <c r="H74" s="366"/>
      <c r="I74" s="366"/>
      <c r="J74" s="366"/>
      <c r="K74" s="366"/>
      <c r="L74" s="366"/>
      <c r="M74" s="366"/>
      <c r="N74" s="366"/>
      <c r="O74" s="366"/>
      <c r="P74" s="366"/>
      <c r="Q74" s="366"/>
      <c r="R74" s="366"/>
      <c r="S74" s="366"/>
      <c r="T74" s="366"/>
      <c r="U74" s="366"/>
      <c r="V74" s="366"/>
      <c r="W74" s="366"/>
      <c r="X74" s="366"/>
      <c r="Y74" s="366"/>
      <c r="Z74" s="366"/>
      <c r="AA74" s="366"/>
      <c r="AB74" s="366"/>
      <c r="AC74" s="366"/>
      <c r="AD74" s="366"/>
      <c r="AE74" s="366"/>
      <c r="AF74" s="366"/>
      <c r="AG74" s="366"/>
      <c r="AH74" s="366"/>
      <c r="AI74" s="366"/>
      <c r="AJ74" s="366"/>
      <c r="AK74" s="366"/>
      <c r="AL74" s="366"/>
      <c r="AM74" s="366"/>
      <c r="AN74" s="366"/>
      <c r="AO74" s="366"/>
      <c r="AP74" s="366"/>
      <c r="AQ74" s="366"/>
      <c r="AR74" s="366"/>
      <c r="AS74" s="366"/>
      <c r="AT74" s="366"/>
      <c r="AU74" s="366"/>
      <c r="AV74" s="366"/>
      <c r="AW74" s="366"/>
      <c r="AX74" s="366"/>
      <c r="AY74" s="366"/>
      <c r="AZ74" s="366"/>
      <c r="BA74" s="366"/>
      <c r="BB74" s="366"/>
      <c r="BC74" s="366"/>
      <c r="BD74" s="366"/>
      <c r="BE74" s="366"/>
      <c r="BF74" s="366"/>
      <c r="BG74" s="366"/>
    </row>
    <row r="75" spans="2:59" hidden="1" x14ac:dyDescent="0.25">
      <c r="B75" s="220" t="str">
        <f>IF(Capacity!N68="","",Capacity!N68)</f>
        <v/>
      </c>
      <c r="C75" s="221" t="str">
        <f>IF(B75="","",Capacity!Q68)</f>
        <v/>
      </c>
      <c r="D75" s="311" t="str">
        <f>IF(B75="","",Capacity!R68)</f>
        <v/>
      </c>
      <c r="E75" s="221" t="str">
        <f>IF(B75="","",IF(COUNTBLANK(H75:BG75)=52,SUM('Capacity calculation (hide)'!H163:BG163),52-COUNTBLANK(H75:BG75)))</f>
        <v/>
      </c>
      <c r="F75" s="312" t="str">
        <f>'Capacity calculation (hide)'!BI163</f>
        <v/>
      </c>
      <c r="H75" s="366"/>
      <c r="I75" s="366"/>
      <c r="J75" s="366"/>
      <c r="K75" s="366"/>
      <c r="L75" s="366"/>
      <c r="M75" s="366"/>
      <c r="N75" s="366"/>
      <c r="O75" s="366"/>
      <c r="P75" s="366"/>
      <c r="Q75" s="366"/>
      <c r="R75" s="366"/>
      <c r="S75" s="366"/>
      <c r="T75" s="366"/>
      <c r="U75" s="366"/>
      <c r="V75" s="366"/>
      <c r="W75" s="366"/>
      <c r="X75" s="366"/>
      <c r="Y75" s="366"/>
      <c r="Z75" s="366"/>
      <c r="AA75" s="366"/>
      <c r="AB75" s="366"/>
      <c r="AC75" s="366"/>
      <c r="AD75" s="366"/>
      <c r="AE75" s="366"/>
      <c r="AF75" s="366"/>
      <c r="AG75" s="366"/>
      <c r="AH75" s="366"/>
      <c r="AI75" s="366"/>
      <c r="AJ75" s="366"/>
      <c r="AK75" s="366"/>
      <c r="AL75" s="366"/>
      <c r="AM75" s="366"/>
      <c r="AN75" s="366"/>
      <c r="AO75" s="366"/>
      <c r="AP75" s="366"/>
      <c r="AQ75" s="366"/>
      <c r="AR75" s="366"/>
      <c r="AS75" s="366"/>
      <c r="AT75" s="366"/>
      <c r="AU75" s="366"/>
      <c r="AV75" s="366"/>
      <c r="AW75" s="366"/>
      <c r="AX75" s="366"/>
      <c r="AY75" s="366"/>
      <c r="AZ75" s="366"/>
      <c r="BA75" s="366"/>
      <c r="BB75" s="366"/>
      <c r="BC75" s="366"/>
      <c r="BD75" s="366"/>
      <c r="BE75" s="366"/>
      <c r="BF75" s="366"/>
      <c r="BG75" s="366"/>
    </row>
    <row r="76" spans="2:59" hidden="1" x14ac:dyDescent="0.25">
      <c r="B76" s="220" t="str">
        <f>IF(Capacity!N69="","",Capacity!N69)</f>
        <v/>
      </c>
      <c r="C76" s="221" t="str">
        <f>IF(B76="","",Capacity!Q69)</f>
        <v/>
      </c>
      <c r="D76" s="311" t="str">
        <f>IF(B76="","",Capacity!R69)</f>
        <v/>
      </c>
      <c r="E76" s="221" t="str">
        <f>IF(B76="","",IF(COUNTBLANK(H76:BG76)=52,SUM('Capacity calculation (hide)'!H164:BG164),52-COUNTBLANK(H76:BG76)))</f>
        <v/>
      </c>
      <c r="F76" s="312" t="str">
        <f>'Capacity calculation (hide)'!BI164</f>
        <v/>
      </c>
      <c r="H76" s="366"/>
      <c r="I76" s="366"/>
      <c r="J76" s="366"/>
      <c r="K76" s="366"/>
      <c r="L76" s="366"/>
      <c r="M76" s="366"/>
      <c r="N76" s="366"/>
      <c r="O76" s="366"/>
      <c r="P76" s="366"/>
      <c r="Q76" s="366"/>
      <c r="R76" s="366"/>
      <c r="S76" s="366"/>
      <c r="T76" s="366"/>
      <c r="U76" s="366"/>
      <c r="V76" s="366"/>
      <c r="W76" s="366"/>
      <c r="X76" s="366"/>
      <c r="Y76" s="366"/>
      <c r="Z76" s="366"/>
      <c r="AA76" s="366"/>
      <c r="AB76" s="366"/>
      <c r="AC76" s="366"/>
      <c r="AD76" s="366"/>
      <c r="AE76" s="366"/>
      <c r="AF76" s="366"/>
      <c r="AG76" s="366"/>
      <c r="AH76" s="366"/>
      <c r="AI76" s="366"/>
      <c r="AJ76" s="366"/>
      <c r="AK76" s="366"/>
      <c r="AL76" s="366"/>
      <c r="AM76" s="366"/>
      <c r="AN76" s="366"/>
      <c r="AO76" s="366"/>
      <c r="AP76" s="366"/>
      <c r="AQ76" s="366"/>
      <c r="AR76" s="366"/>
      <c r="AS76" s="366"/>
      <c r="AT76" s="366"/>
      <c r="AU76" s="366"/>
      <c r="AV76" s="366"/>
      <c r="AW76" s="366"/>
      <c r="AX76" s="366"/>
      <c r="AY76" s="366"/>
      <c r="AZ76" s="366"/>
      <c r="BA76" s="366"/>
      <c r="BB76" s="366"/>
      <c r="BC76" s="366"/>
      <c r="BD76" s="366"/>
      <c r="BE76" s="366"/>
      <c r="BF76" s="366"/>
      <c r="BG76" s="366"/>
    </row>
    <row r="77" spans="2:59" hidden="1" x14ac:dyDescent="0.25">
      <c r="B77" s="220" t="str">
        <f>IF(Capacity!N70="","",Capacity!N70)</f>
        <v/>
      </c>
      <c r="C77" s="221" t="str">
        <f>IF(B77="","",Capacity!Q70)</f>
        <v/>
      </c>
      <c r="D77" s="311" t="str">
        <f>IF(B77="","",Capacity!R70)</f>
        <v/>
      </c>
      <c r="E77" s="221" t="str">
        <f>IF(B77="","",IF(COUNTBLANK(H77:BG77)=52,SUM('Capacity calculation (hide)'!H165:BG165),52-COUNTBLANK(H77:BG77)))</f>
        <v/>
      </c>
      <c r="F77" s="312" t="str">
        <f>'Capacity calculation (hide)'!BI165</f>
        <v/>
      </c>
      <c r="H77" s="366"/>
      <c r="I77" s="366"/>
      <c r="J77" s="366"/>
      <c r="K77" s="366"/>
      <c r="L77" s="366"/>
      <c r="M77" s="366"/>
      <c r="N77" s="366"/>
      <c r="O77" s="366"/>
      <c r="P77" s="366"/>
      <c r="Q77" s="366"/>
      <c r="R77" s="366"/>
      <c r="S77" s="366"/>
      <c r="T77" s="366"/>
      <c r="U77" s="366"/>
      <c r="V77" s="366"/>
      <c r="W77" s="366"/>
      <c r="X77" s="366"/>
      <c r="Y77" s="366"/>
      <c r="Z77" s="366"/>
      <c r="AA77" s="366"/>
      <c r="AB77" s="366"/>
      <c r="AC77" s="366"/>
      <c r="AD77" s="366"/>
      <c r="AE77" s="366"/>
      <c r="AF77" s="366"/>
      <c r="AG77" s="366"/>
      <c r="AH77" s="366"/>
      <c r="AI77" s="366"/>
      <c r="AJ77" s="366"/>
      <c r="AK77" s="366"/>
      <c r="AL77" s="366"/>
      <c r="AM77" s="366"/>
      <c r="AN77" s="366"/>
      <c r="AO77" s="366"/>
      <c r="AP77" s="366"/>
      <c r="AQ77" s="366"/>
      <c r="AR77" s="366"/>
      <c r="AS77" s="366"/>
      <c r="AT77" s="366"/>
      <c r="AU77" s="366"/>
      <c r="AV77" s="366"/>
      <c r="AW77" s="366"/>
      <c r="AX77" s="366"/>
      <c r="AY77" s="366"/>
      <c r="AZ77" s="366"/>
      <c r="BA77" s="366"/>
      <c r="BB77" s="366"/>
      <c r="BC77" s="366"/>
      <c r="BD77" s="366"/>
      <c r="BE77" s="366"/>
      <c r="BF77" s="366"/>
      <c r="BG77" s="366"/>
    </row>
    <row r="78" spans="2:59" hidden="1" x14ac:dyDescent="0.25">
      <c r="B78" s="220" t="str">
        <f>IF(Capacity!N71="","",Capacity!N71)</f>
        <v/>
      </c>
      <c r="C78" s="221" t="str">
        <f>IF(B78="","",Capacity!Q71)</f>
        <v/>
      </c>
      <c r="D78" s="311" t="str">
        <f>IF(B78="","",Capacity!R71)</f>
        <v/>
      </c>
      <c r="E78" s="221" t="str">
        <f>IF(B78="","",IF(COUNTBLANK(H78:BG78)=52,SUM('Capacity calculation (hide)'!H166:BG166),52-COUNTBLANK(H78:BG78)))</f>
        <v/>
      </c>
      <c r="F78" s="312" t="str">
        <f>'Capacity calculation (hide)'!BI166</f>
        <v/>
      </c>
      <c r="H78" s="366"/>
      <c r="I78" s="366"/>
      <c r="J78" s="366"/>
      <c r="K78" s="366"/>
      <c r="L78" s="366"/>
      <c r="M78" s="366"/>
      <c r="N78" s="366"/>
      <c r="O78" s="366"/>
      <c r="P78" s="366"/>
      <c r="Q78" s="366"/>
      <c r="R78" s="366"/>
      <c r="S78" s="366"/>
      <c r="T78" s="366"/>
      <c r="U78" s="366"/>
      <c r="V78" s="366"/>
      <c r="W78" s="366"/>
      <c r="X78" s="366"/>
      <c r="Y78" s="366"/>
      <c r="Z78" s="366"/>
      <c r="AA78" s="366"/>
      <c r="AB78" s="366"/>
      <c r="AC78" s="366"/>
      <c r="AD78" s="366"/>
      <c r="AE78" s="366"/>
      <c r="AF78" s="366"/>
      <c r="AG78" s="366"/>
      <c r="AH78" s="366"/>
      <c r="AI78" s="366"/>
      <c r="AJ78" s="366"/>
      <c r="AK78" s="366"/>
      <c r="AL78" s="366"/>
      <c r="AM78" s="366"/>
      <c r="AN78" s="366"/>
      <c r="AO78" s="366"/>
      <c r="AP78" s="366"/>
      <c r="AQ78" s="366"/>
      <c r="AR78" s="366"/>
      <c r="AS78" s="366"/>
      <c r="AT78" s="366"/>
      <c r="AU78" s="366"/>
      <c r="AV78" s="366"/>
      <c r="AW78" s="366"/>
      <c r="AX78" s="366"/>
      <c r="AY78" s="366"/>
      <c r="AZ78" s="366"/>
      <c r="BA78" s="366"/>
      <c r="BB78" s="366"/>
      <c r="BC78" s="366"/>
      <c r="BD78" s="366"/>
      <c r="BE78" s="366"/>
      <c r="BF78" s="366"/>
      <c r="BG78" s="366"/>
    </row>
    <row r="79" spans="2:59" hidden="1" x14ac:dyDescent="0.25">
      <c r="B79" s="220" t="str">
        <f>IF(Capacity!N72="","",Capacity!N72)</f>
        <v/>
      </c>
      <c r="C79" s="221" t="str">
        <f>IF(B79="","",Capacity!Q72)</f>
        <v/>
      </c>
      <c r="D79" s="311" t="str">
        <f>IF(B79="","",Capacity!R72)</f>
        <v/>
      </c>
      <c r="E79" s="221" t="str">
        <f>IF(B79="","",IF(COUNTBLANK(H79:BG79)=52,SUM('Capacity calculation (hide)'!H167:BG167),52-COUNTBLANK(H79:BG79)))</f>
        <v/>
      </c>
      <c r="F79" s="312" t="str">
        <f>'Capacity calculation (hide)'!BI167</f>
        <v/>
      </c>
      <c r="H79" s="366"/>
      <c r="I79" s="366"/>
      <c r="J79" s="366"/>
      <c r="K79" s="366"/>
      <c r="L79" s="366"/>
      <c r="M79" s="366"/>
      <c r="N79" s="366"/>
      <c r="O79" s="366"/>
      <c r="P79" s="366"/>
      <c r="Q79" s="366"/>
      <c r="R79" s="366"/>
      <c r="S79" s="366"/>
      <c r="T79" s="366"/>
      <c r="U79" s="366"/>
      <c r="V79" s="366"/>
      <c r="W79" s="366"/>
      <c r="X79" s="366"/>
      <c r="Y79" s="366"/>
      <c r="Z79" s="366"/>
      <c r="AA79" s="366"/>
      <c r="AB79" s="366"/>
      <c r="AC79" s="366"/>
      <c r="AD79" s="366"/>
      <c r="AE79" s="366"/>
      <c r="AF79" s="366"/>
      <c r="AG79" s="366"/>
      <c r="AH79" s="366"/>
      <c r="AI79" s="366"/>
      <c r="AJ79" s="366"/>
      <c r="AK79" s="366"/>
      <c r="AL79" s="366"/>
      <c r="AM79" s="366"/>
      <c r="AN79" s="366"/>
      <c r="AO79" s="366"/>
      <c r="AP79" s="366"/>
      <c r="AQ79" s="366"/>
      <c r="AR79" s="366"/>
      <c r="AS79" s="366"/>
      <c r="AT79" s="366"/>
      <c r="AU79" s="366"/>
      <c r="AV79" s="366"/>
      <c r="AW79" s="366"/>
      <c r="AX79" s="366"/>
      <c r="AY79" s="366"/>
      <c r="AZ79" s="366"/>
      <c r="BA79" s="366"/>
      <c r="BB79" s="366"/>
      <c r="BC79" s="366"/>
      <c r="BD79" s="366"/>
      <c r="BE79" s="366"/>
      <c r="BF79" s="366"/>
      <c r="BG79" s="366"/>
    </row>
    <row r="80" spans="2:59" hidden="1" x14ac:dyDescent="0.25">
      <c r="B80" s="220" t="str">
        <f>IF(Capacity!N73="","",Capacity!N73)</f>
        <v/>
      </c>
      <c r="C80" s="221" t="str">
        <f>IF(B80="","",Capacity!Q73)</f>
        <v/>
      </c>
      <c r="D80" s="311" t="str">
        <f>IF(B80="","",Capacity!R73)</f>
        <v/>
      </c>
      <c r="E80" s="221" t="str">
        <f>IF(B80="","",IF(COUNTBLANK(H80:BG80)=52,SUM('Capacity calculation (hide)'!H168:BG168),52-COUNTBLANK(H80:BG80)))</f>
        <v/>
      </c>
      <c r="F80" s="312" t="str">
        <f>'Capacity calculation (hide)'!BI168</f>
        <v/>
      </c>
      <c r="H80" s="366"/>
      <c r="I80" s="366"/>
      <c r="J80" s="366"/>
      <c r="K80" s="366"/>
      <c r="L80" s="366"/>
      <c r="M80" s="366"/>
      <c r="N80" s="366"/>
      <c r="O80" s="366"/>
      <c r="P80" s="366"/>
      <c r="Q80" s="366"/>
      <c r="R80" s="366"/>
      <c r="S80" s="366"/>
      <c r="T80" s="366"/>
      <c r="U80" s="366"/>
      <c r="V80" s="366"/>
      <c r="W80" s="366"/>
      <c r="X80" s="366"/>
      <c r="Y80" s="366"/>
      <c r="Z80" s="366"/>
      <c r="AA80" s="366"/>
      <c r="AB80" s="366"/>
      <c r="AC80" s="366"/>
      <c r="AD80" s="366"/>
      <c r="AE80" s="366"/>
      <c r="AF80" s="366"/>
      <c r="AG80" s="366"/>
      <c r="AH80" s="366"/>
      <c r="AI80" s="366"/>
      <c r="AJ80" s="366"/>
      <c r="AK80" s="366"/>
      <c r="AL80" s="366"/>
      <c r="AM80" s="366"/>
      <c r="AN80" s="366"/>
      <c r="AO80" s="366"/>
      <c r="AP80" s="366"/>
      <c r="AQ80" s="366"/>
      <c r="AR80" s="366"/>
      <c r="AS80" s="366"/>
      <c r="AT80" s="366"/>
      <c r="AU80" s="366"/>
      <c r="AV80" s="366"/>
      <c r="AW80" s="366"/>
      <c r="AX80" s="366"/>
      <c r="AY80" s="366"/>
      <c r="AZ80" s="366"/>
      <c r="BA80" s="366"/>
      <c r="BB80" s="366"/>
      <c r="BC80" s="366"/>
      <c r="BD80" s="366"/>
      <c r="BE80" s="366"/>
      <c r="BF80" s="366"/>
      <c r="BG80" s="366"/>
    </row>
    <row r="81" spans="2:59" hidden="1" x14ac:dyDescent="0.25">
      <c r="B81" s="220" t="str">
        <f>IF(Capacity!N74="","",Capacity!N74)</f>
        <v/>
      </c>
      <c r="C81" s="221" t="str">
        <f>IF(B81="","",Capacity!Q74)</f>
        <v/>
      </c>
      <c r="D81" s="311" t="str">
        <f>IF(B81="","",Capacity!R74)</f>
        <v/>
      </c>
      <c r="E81" s="221" t="str">
        <f>IF(B81="","",IF(COUNTBLANK(H81:BG81)=52,SUM('Capacity calculation (hide)'!H169:BG169),52-COUNTBLANK(H81:BG81)))</f>
        <v/>
      </c>
      <c r="F81" s="312" t="str">
        <f>'Capacity calculation (hide)'!BI169</f>
        <v/>
      </c>
      <c r="H81" s="366"/>
      <c r="I81" s="366"/>
      <c r="J81" s="366"/>
      <c r="K81" s="366"/>
      <c r="L81" s="366"/>
      <c r="M81" s="366"/>
      <c r="N81" s="366"/>
      <c r="O81" s="366"/>
      <c r="P81" s="366"/>
      <c r="Q81" s="366"/>
      <c r="R81" s="366"/>
      <c r="S81" s="366"/>
      <c r="T81" s="366"/>
      <c r="U81" s="366"/>
      <c r="V81" s="366"/>
      <c r="W81" s="366"/>
      <c r="X81" s="366"/>
      <c r="Y81" s="366"/>
      <c r="Z81" s="366"/>
      <c r="AA81" s="366"/>
      <c r="AB81" s="366"/>
      <c r="AC81" s="366"/>
      <c r="AD81" s="366"/>
      <c r="AE81" s="366"/>
      <c r="AF81" s="366"/>
      <c r="AG81" s="366"/>
      <c r="AH81" s="366"/>
      <c r="AI81" s="366"/>
      <c r="AJ81" s="366"/>
      <c r="AK81" s="366"/>
      <c r="AL81" s="366"/>
      <c r="AM81" s="366"/>
      <c r="AN81" s="366"/>
      <c r="AO81" s="366"/>
      <c r="AP81" s="366"/>
      <c r="AQ81" s="366"/>
      <c r="AR81" s="366"/>
      <c r="AS81" s="366"/>
      <c r="AT81" s="366"/>
      <c r="AU81" s="366"/>
      <c r="AV81" s="366"/>
      <c r="AW81" s="366"/>
      <c r="AX81" s="366"/>
      <c r="AY81" s="366"/>
      <c r="AZ81" s="366"/>
      <c r="BA81" s="366"/>
      <c r="BB81" s="366"/>
      <c r="BC81" s="366"/>
      <c r="BD81" s="366"/>
      <c r="BE81" s="366"/>
      <c r="BF81" s="366"/>
      <c r="BG81" s="366"/>
    </row>
    <row r="82" spans="2:59" hidden="1" x14ac:dyDescent="0.25">
      <c r="B82" s="220" t="str">
        <f>IF(Capacity!N75="","",Capacity!N75)</f>
        <v/>
      </c>
      <c r="C82" s="221" t="str">
        <f>IF(B82="","",Capacity!Q75)</f>
        <v/>
      </c>
      <c r="D82" s="311" t="str">
        <f>IF(B82="","",Capacity!R75)</f>
        <v/>
      </c>
      <c r="E82" s="221" t="str">
        <f>IF(B82="","",IF(COUNTBLANK(H82:BG82)=52,SUM('Capacity calculation (hide)'!H170:BG170),52-COUNTBLANK(H82:BG82)))</f>
        <v/>
      </c>
      <c r="F82" s="312" t="str">
        <f>'Capacity calculation (hide)'!BI170</f>
        <v/>
      </c>
      <c r="H82" s="366"/>
      <c r="I82" s="366"/>
      <c r="J82" s="366"/>
      <c r="K82" s="366"/>
      <c r="L82" s="366"/>
      <c r="M82" s="366"/>
      <c r="N82" s="366"/>
      <c r="O82" s="366"/>
      <c r="P82" s="366"/>
      <c r="Q82" s="366"/>
      <c r="R82" s="366"/>
      <c r="S82" s="366"/>
      <c r="T82" s="366"/>
      <c r="U82" s="366"/>
      <c r="V82" s="366"/>
      <c r="W82" s="366"/>
      <c r="X82" s="366"/>
      <c r="Y82" s="366"/>
      <c r="Z82" s="366"/>
      <c r="AA82" s="366"/>
      <c r="AB82" s="366"/>
      <c r="AC82" s="366"/>
      <c r="AD82" s="366"/>
      <c r="AE82" s="366"/>
      <c r="AF82" s="366"/>
      <c r="AG82" s="366"/>
      <c r="AH82" s="366"/>
      <c r="AI82" s="366"/>
      <c r="AJ82" s="366"/>
      <c r="AK82" s="366"/>
      <c r="AL82" s="366"/>
      <c r="AM82" s="366"/>
      <c r="AN82" s="366"/>
      <c r="AO82" s="366"/>
      <c r="AP82" s="366"/>
      <c r="AQ82" s="366"/>
      <c r="AR82" s="366"/>
      <c r="AS82" s="366"/>
      <c r="AT82" s="366"/>
      <c r="AU82" s="366"/>
      <c r="AV82" s="366"/>
      <c r="AW82" s="366"/>
      <c r="AX82" s="366"/>
      <c r="AY82" s="366"/>
      <c r="AZ82" s="366"/>
      <c r="BA82" s="366"/>
      <c r="BB82" s="366"/>
      <c r="BC82" s="366"/>
      <c r="BD82" s="366"/>
      <c r="BE82" s="366"/>
      <c r="BF82" s="366"/>
      <c r="BG82" s="366"/>
    </row>
    <row r="83" spans="2:59" hidden="1" x14ac:dyDescent="0.25">
      <c r="B83" s="220" t="str">
        <f>IF(Capacity!N76="","",Capacity!N76)</f>
        <v/>
      </c>
      <c r="C83" s="221" t="str">
        <f>IF(B83="","",Capacity!Q76)</f>
        <v/>
      </c>
      <c r="D83" s="311" t="str">
        <f>IF(B83="","",Capacity!R76)</f>
        <v/>
      </c>
      <c r="E83" s="221" t="str">
        <f>IF(B83="","",IF(COUNTBLANK(H83:BG83)=52,SUM('Capacity calculation (hide)'!H171:BG171),52-COUNTBLANK(H83:BG83)))</f>
        <v/>
      </c>
      <c r="F83" s="312" t="str">
        <f>'Capacity calculation (hide)'!BI171</f>
        <v/>
      </c>
      <c r="H83" s="366"/>
      <c r="I83" s="366"/>
      <c r="J83" s="366"/>
      <c r="K83" s="366"/>
      <c r="L83" s="366"/>
      <c r="M83" s="366"/>
      <c r="N83" s="366"/>
      <c r="O83" s="366"/>
      <c r="P83" s="366"/>
      <c r="Q83" s="366"/>
      <c r="R83" s="366"/>
      <c r="S83" s="366"/>
      <c r="T83" s="366"/>
      <c r="U83" s="366"/>
      <c r="V83" s="366"/>
      <c r="W83" s="366"/>
      <c r="X83" s="366"/>
      <c r="Y83" s="366"/>
      <c r="Z83" s="366"/>
      <c r="AA83" s="366"/>
      <c r="AB83" s="366"/>
      <c r="AC83" s="366"/>
      <c r="AD83" s="366"/>
      <c r="AE83" s="366"/>
      <c r="AF83" s="366"/>
      <c r="AG83" s="366"/>
      <c r="AH83" s="366"/>
      <c r="AI83" s="366"/>
      <c r="AJ83" s="366"/>
      <c r="AK83" s="366"/>
      <c r="AL83" s="366"/>
      <c r="AM83" s="366"/>
      <c r="AN83" s="366"/>
      <c r="AO83" s="366"/>
      <c r="AP83" s="366"/>
      <c r="AQ83" s="366"/>
      <c r="AR83" s="366"/>
      <c r="AS83" s="366"/>
      <c r="AT83" s="366"/>
      <c r="AU83" s="366"/>
      <c r="AV83" s="366"/>
      <c r="AW83" s="366"/>
      <c r="AX83" s="366"/>
      <c r="AY83" s="366"/>
      <c r="AZ83" s="366"/>
      <c r="BA83" s="366"/>
      <c r="BB83" s="366"/>
      <c r="BC83" s="366"/>
      <c r="BD83" s="366"/>
      <c r="BE83" s="366"/>
      <c r="BF83" s="366"/>
      <c r="BG83" s="366"/>
    </row>
    <row r="84" spans="2:59" hidden="1" x14ac:dyDescent="0.25">
      <c r="B84" s="220" t="str">
        <f>IF(Capacity!N77="","",Capacity!N77)</f>
        <v/>
      </c>
      <c r="C84" s="221" t="str">
        <f>IF(B84="","",Capacity!Q77)</f>
        <v/>
      </c>
      <c r="D84" s="311" t="str">
        <f>IF(B84="","",Capacity!R77)</f>
        <v/>
      </c>
      <c r="E84" s="221" t="str">
        <f>IF(B84="","",IF(COUNTBLANK(H84:BG84)=52,SUM('Capacity calculation (hide)'!H172:BG172),52-COUNTBLANK(H84:BG84)))</f>
        <v/>
      </c>
      <c r="F84" s="312" t="str">
        <f>'Capacity calculation (hide)'!BI172</f>
        <v/>
      </c>
      <c r="H84" s="366"/>
      <c r="I84" s="366"/>
      <c r="J84" s="366"/>
      <c r="K84" s="366"/>
      <c r="L84" s="366"/>
      <c r="M84" s="366"/>
      <c r="N84" s="366"/>
      <c r="O84" s="366"/>
      <c r="P84" s="366"/>
      <c r="Q84" s="366"/>
      <c r="R84" s="366"/>
      <c r="S84" s="366"/>
      <c r="T84" s="366"/>
      <c r="U84" s="366"/>
      <c r="V84" s="366"/>
      <c r="W84" s="366"/>
      <c r="X84" s="366"/>
      <c r="Y84" s="366"/>
      <c r="Z84" s="366"/>
      <c r="AA84" s="366"/>
      <c r="AB84" s="366"/>
      <c r="AC84" s="366"/>
      <c r="AD84" s="366"/>
      <c r="AE84" s="366"/>
      <c r="AF84" s="366"/>
      <c r="AG84" s="366"/>
      <c r="AH84" s="366"/>
      <c r="AI84" s="366"/>
      <c r="AJ84" s="366"/>
      <c r="AK84" s="366"/>
      <c r="AL84" s="366"/>
      <c r="AM84" s="366"/>
      <c r="AN84" s="366"/>
      <c r="AO84" s="366"/>
      <c r="AP84" s="366"/>
      <c r="AQ84" s="366"/>
      <c r="AR84" s="366"/>
      <c r="AS84" s="366"/>
      <c r="AT84" s="366"/>
      <c r="AU84" s="366"/>
      <c r="AV84" s="366"/>
      <c r="AW84" s="366"/>
      <c r="AX84" s="366"/>
      <c r="AY84" s="366"/>
      <c r="AZ84" s="366"/>
      <c r="BA84" s="366"/>
      <c r="BB84" s="366"/>
      <c r="BC84" s="366"/>
      <c r="BD84" s="366"/>
      <c r="BE84" s="366"/>
      <c r="BF84" s="366"/>
      <c r="BG84" s="366"/>
    </row>
    <row r="85" spans="2:59" hidden="1" x14ac:dyDescent="0.25">
      <c r="B85" s="220" t="str">
        <f>IF(Capacity!N78="","",Capacity!N78)</f>
        <v/>
      </c>
      <c r="C85" s="221" t="str">
        <f>IF(B85="","",Capacity!Q78)</f>
        <v/>
      </c>
      <c r="D85" s="311" t="str">
        <f>IF(B85="","",Capacity!R78)</f>
        <v/>
      </c>
      <c r="E85" s="221" t="str">
        <f>IF(B85="","",IF(COUNTBLANK(H85:BG85)=52,SUM('Capacity calculation (hide)'!H173:BG173),52-COUNTBLANK(H85:BG85)))</f>
        <v/>
      </c>
      <c r="F85" s="312" t="str">
        <f>'Capacity calculation (hide)'!BI173</f>
        <v/>
      </c>
      <c r="H85" s="366"/>
      <c r="I85" s="366"/>
      <c r="J85" s="366"/>
      <c r="K85" s="366"/>
      <c r="L85" s="366"/>
      <c r="M85" s="366"/>
      <c r="N85" s="366"/>
      <c r="O85" s="366"/>
      <c r="P85" s="366"/>
      <c r="Q85" s="366"/>
      <c r="R85" s="366"/>
      <c r="S85" s="366"/>
      <c r="T85" s="366"/>
      <c r="U85" s="366"/>
      <c r="V85" s="366"/>
      <c r="W85" s="366"/>
      <c r="X85" s="366"/>
      <c r="Y85" s="366"/>
      <c r="Z85" s="366"/>
      <c r="AA85" s="366"/>
      <c r="AB85" s="366"/>
      <c r="AC85" s="366"/>
      <c r="AD85" s="366"/>
      <c r="AE85" s="366"/>
      <c r="AF85" s="366"/>
      <c r="AG85" s="366"/>
      <c r="AH85" s="366"/>
      <c r="AI85" s="366"/>
      <c r="AJ85" s="366"/>
      <c r="AK85" s="366"/>
      <c r="AL85" s="366"/>
      <c r="AM85" s="366"/>
      <c r="AN85" s="366"/>
      <c r="AO85" s="366"/>
      <c r="AP85" s="366"/>
      <c r="AQ85" s="366"/>
      <c r="AR85" s="366"/>
      <c r="AS85" s="366"/>
      <c r="AT85" s="366"/>
      <c r="AU85" s="366"/>
      <c r="AV85" s="366"/>
      <c r="AW85" s="366"/>
      <c r="AX85" s="366"/>
      <c r="AY85" s="366"/>
      <c r="AZ85" s="366"/>
      <c r="BA85" s="366"/>
      <c r="BB85" s="366"/>
      <c r="BC85" s="366"/>
      <c r="BD85" s="366"/>
      <c r="BE85" s="366"/>
      <c r="BF85" s="366"/>
      <c r="BG85" s="366"/>
    </row>
    <row r="86" spans="2:59" hidden="1" x14ac:dyDescent="0.25">
      <c r="B86" s="220" t="str">
        <f>IF(Capacity!N79="","",Capacity!N79)</f>
        <v/>
      </c>
      <c r="C86" s="221" t="str">
        <f>IF(B86="","",Capacity!Q79)</f>
        <v/>
      </c>
      <c r="D86" s="311" t="str">
        <f>IF(B86="","",Capacity!R79)</f>
        <v/>
      </c>
      <c r="E86" s="221" t="str">
        <f>IF(B86="","",IF(COUNTBLANK(H86:BG86)=52,SUM('Capacity calculation (hide)'!H174:BG174),52-COUNTBLANK(H86:BG86)))</f>
        <v/>
      </c>
      <c r="F86" s="312" t="str">
        <f>'Capacity calculation (hide)'!BI174</f>
        <v/>
      </c>
      <c r="H86" s="366"/>
      <c r="I86" s="366"/>
      <c r="J86" s="366"/>
      <c r="K86" s="366"/>
      <c r="L86" s="366"/>
      <c r="M86" s="366"/>
      <c r="N86" s="366"/>
      <c r="O86" s="366"/>
      <c r="P86" s="366"/>
      <c r="Q86" s="366"/>
      <c r="R86" s="366"/>
      <c r="S86" s="366"/>
      <c r="T86" s="366"/>
      <c r="U86" s="366"/>
      <c r="V86" s="366"/>
      <c r="W86" s="366"/>
      <c r="X86" s="366"/>
      <c r="Y86" s="366"/>
      <c r="Z86" s="366"/>
      <c r="AA86" s="366"/>
      <c r="AB86" s="366"/>
      <c r="AC86" s="366"/>
      <c r="AD86" s="366"/>
      <c r="AE86" s="366"/>
      <c r="AF86" s="366"/>
      <c r="AG86" s="366"/>
      <c r="AH86" s="366"/>
      <c r="AI86" s="366"/>
      <c r="AJ86" s="366"/>
      <c r="AK86" s="366"/>
      <c r="AL86" s="366"/>
      <c r="AM86" s="366"/>
      <c r="AN86" s="366"/>
      <c r="AO86" s="366"/>
      <c r="AP86" s="366"/>
      <c r="AQ86" s="366"/>
      <c r="AR86" s="366"/>
      <c r="AS86" s="366"/>
      <c r="AT86" s="366"/>
      <c r="AU86" s="366"/>
      <c r="AV86" s="366"/>
      <c r="AW86" s="366"/>
      <c r="AX86" s="366"/>
      <c r="AY86" s="366"/>
      <c r="AZ86" s="366"/>
      <c r="BA86" s="366"/>
      <c r="BB86" s="366"/>
      <c r="BC86" s="366"/>
      <c r="BD86" s="366"/>
      <c r="BE86" s="366"/>
      <c r="BF86" s="366"/>
      <c r="BG86" s="366"/>
    </row>
    <row r="87" spans="2:59" hidden="1" x14ac:dyDescent="0.25">
      <c r="B87" s="220" t="str">
        <f>IF(Capacity!N80="","",Capacity!N80)</f>
        <v/>
      </c>
      <c r="C87" s="221" t="str">
        <f>IF(B87="","",Capacity!Q80)</f>
        <v/>
      </c>
      <c r="D87" s="311" t="str">
        <f>IF(B87="","",Capacity!R80)</f>
        <v/>
      </c>
      <c r="E87" s="221" t="str">
        <f>IF(B87="","",IF(COUNTBLANK(H87:BG87)=52,SUM('Capacity calculation (hide)'!H175:BG175),52-COUNTBLANK(H87:BG87)))</f>
        <v/>
      </c>
      <c r="F87" s="312" t="str">
        <f>'Capacity calculation (hide)'!BI175</f>
        <v/>
      </c>
      <c r="H87" s="366"/>
      <c r="I87" s="366"/>
      <c r="J87" s="366"/>
      <c r="K87" s="366"/>
      <c r="L87" s="366"/>
      <c r="M87" s="366"/>
      <c r="N87" s="366"/>
      <c r="O87" s="366"/>
      <c r="P87" s="366"/>
      <c r="Q87" s="366"/>
      <c r="R87" s="366"/>
      <c r="S87" s="366"/>
      <c r="T87" s="366"/>
      <c r="U87" s="366"/>
      <c r="V87" s="366"/>
      <c r="W87" s="366"/>
      <c r="X87" s="366"/>
      <c r="Y87" s="366"/>
      <c r="Z87" s="366"/>
      <c r="AA87" s="366"/>
      <c r="AB87" s="366"/>
      <c r="AC87" s="366"/>
      <c r="AD87" s="366"/>
      <c r="AE87" s="366"/>
      <c r="AF87" s="366"/>
      <c r="AG87" s="366"/>
      <c r="AH87" s="366"/>
      <c r="AI87" s="366"/>
      <c r="AJ87" s="366"/>
      <c r="AK87" s="366"/>
      <c r="AL87" s="366"/>
      <c r="AM87" s="366"/>
      <c r="AN87" s="366"/>
      <c r="AO87" s="366"/>
      <c r="AP87" s="366"/>
      <c r="AQ87" s="366"/>
      <c r="AR87" s="366"/>
      <c r="AS87" s="366"/>
      <c r="AT87" s="366"/>
      <c r="AU87" s="366"/>
      <c r="AV87" s="366"/>
      <c r="AW87" s="366"/>
      <c r="AX87" s="366"/>
      <c r="AY87" s="366"/>
      <c r="AZ87" s="366"/>
      <c r="BA87" s="366"/>
      <c r="BB87" s="366"/>
      <c r="BC87" s="366"/>
      <c r="BD87" s="366"/>
      <c r="BE87" s="366"/>
      <c r="BF87" s="366"/>
      <c r="BG87" s="366"/>
    </row>
    <row r="88" spans="2:59" hidden="1" x14ac:dyDescent="0.25">
      <c r="B88" s="220" t="str">
        <f>IF(Capacity!N81="","",Capacity!N81)</f>
        <v/>
      </c>
      <c r="C88" s="221" t="str">
        <f>IF(B88="","",Capacity!Q81)</f>
        <v/>
      </c>
      <c r="D88" s="311" t="str">
        <f>IF(B88="","",Capacity!R81)</f>
        <v/>
      </c>
      <c r="E88" s="221" t="str">
        <f>IF(B88="","",IF(COUNTBLANK(H88:BG88)=52,SUM('Capacity calculation (hide)'!H176:BG176),52-COUNTBLANK(H88:BG88)))</f>
        <v/>
      </c>
      <c r="F88" s="312" t="str">
        <f>'Capacity calculation (hide)'!BI176</f>
        <v/>
      </c>
      <c r="H88" s="366"/>
      <c r="I88" s="366"/>
      <c r="J88" s="366"/>
      <c r="K88" s="366"/>
      <c r="L88" s="366"/>
      <c r="M88" s="366"/>
      <c r="N88" s="366"/>
      <c r="O88" s="366"/>
      <c r="P88" s="366"/>
      <c r="Q88" s="366"/>
      <c r="R88" s="366"/>
      <c r="S88" s="366"/>
      <c r="T88" s="366"/>
      <c r="U88" s="366"/>
      <c r="V88" s="366"/>
      <c r="W88" s="366"/>
      <c r="X88" s="366"/>
      <c r="Y88" s="366"/>
      <c r="Z88" s="366"/>
      <c r="AA88" s="366"/>
      <c r="AB88" s="366"/>
      <c r="AC88" s="366"/>
      <c r="AD88" s="366"/>
      <c r="AE88" s="366"/>
      <c r="AF88" s="366"/>
      <c r="AG88" s="366"/>
      <c r="AH88" s="366"/>
      <c r="AI88" s="366"/>
      <c r="AJ88" s="366"/>
      <c r="AK88" s="366"/>
      <c r="AL88" s="366"/>
      <c r="AM88" s="366"/>
      <c r="AN88" s="366"/>
      <c r="AO88" s="366"/>
      <c r="AP88" s="366"/>
      <c r="AQ88" s="366"/>
      <c r="AR88" s="366"/>
      <c r="AS88" s="366"/>
      <c r="AT88" s="366"/>
      <c r="AU88" s="366"/>
      <c r="AV88" s="366"/>
      <c r="AW88" s="366"/>
      <c r="AX88" s="366"/>
      <c r="AY88" s="366"/>
      <c r="AZ88" s="366"/>
      <c r="BA88" s="366"/>
      <c r="BB88" s="366"/>
      <c r="BC88" s="366"/>
      <c r="BD88" s="366"/>
      <c r="BE88" s="366"/>
      <c r="BF88" s="366"/>
      <c r="BG88" s="366"/>
    </row>
    <row r="89" spans="2:59" hidden="1" x14ac:dyDescent="0.25">
      <c r="B89" s="220" t="str">
        <f>IF(Capacity!N82="","",Capacity!N82)</f>
        <v/>
      </c>
      <c r="C89" s="221" t="str">
        <f>IF(B89="","",Capacity!Q82)</f>
        <v/>
      </c>
      <c r="D89" s="311" t="str">
        <f>IF(B89="","",Capacity!R82)</f>
        <v/>
      </c>
      <c r="E89" s="221" t="str">
        <f>IF(B89="","",IF(COUNTBLANK(H89:BG89)=52,SUM('Capacity calculation (hide)'!H177:BG177),52-COUNTBLANK(H89:BG89)))</f>
        <v/>
      </c>
      <c r="F89" s="312" t="str">
        <f>'Capacity calculation (hide)'!BI177</f>
        <v/>
      </c>
      <c r="H89" s="366"/>
      <c r="I89" s="366"/>
      <c r="J89" s="366"/>
      <c r="K89" s="366"/>
      <c r="L89" s="366"/>
      <c r="M89" s="366"/>
      <c r="N89" s="366"/>
      <c r="O89" s="366"/>
      <c r="P89" s="366"/>
      <c r="Q89" s="366"/>
      <c r="R89" s="366"/>
      <c r="S89" s="366"/>
      <c r="T89" s="366"/>
      <c r="U89" s="366"/>
      <c r="V89" s="366"/>
      <c r="W89" s="366"/>
      <c r="X89" s="366"/>
      <c r="Y89" s="366"/>
      <c r="Z89" s="366"/>
      <c r="AA89" s="366"/>
      <c r="AB89" s="366"/>
      <c r="AC89" s="366"/>
      <c r="AD89" s="366"/>
      <c r="AE89" s="366"/>
      <c r="AF89" s="366"/>
      <c r="AG89" s="366"/>
      <c r="AH89" s="366"/>
      <c r="AI89" s="366"/>
      <c r="AJ89" s="366"/>
      <c r="AK89" s="366"/>
      <c r="AL89" s="366"/>
      <c r="AM89" s="366"/>
      <c r="AN89" s="366"/>
      <c r="AO89" s="366"/>
      <c r="AP89" s="366"/>
      <c r="AQ89" s="366"/>
      <c r="AR89" s="366"/>
      <c r="AS89" s="366"/>
      <c r="AT89" s="366"/>
      <c r="AU89" s="366"/>
      <c r="AV89" s="366"/>
      <c r="AW89" s="366"/>
      <c r="AX89" s="366"/>
      <c r="AY89" s="366"/>
      <c r="AZ89" s="366"/>
      <c r="BA89" s="366"/>
      <c r="BB89" s="366"/>
      <c r="BC89" s="366"/>
      <c r="BD89" s="366"/>
      <c r="BE89" s="366"/>
      <c r="BF89" s="366"/>
      <c r="BG89" s="366"/>
    </row>
    <row r="90" spans="2:59" hidden="1" x14ac:dyDescent="0.25">
      <c r="B90" s="220" t="str">
        <f>IF(Capacity!N83="","",Capacity!N83)</f>
        <v/>
      </c>
      <c r="C90" s="221" t="str">
        <f>IF(B90="","",Capacity!Q83)</f>
        <v/>
      </c>
      <c r="D90" s="311" t="str">
        <f>IF(B90="","",Capacity!R83)</f>
        <v/>
      </c>
      <c r="E90" s="221" t="str">
        <f>IF(B90="","",IF(COUNTBLANK(H90:BG90)=52,SUM('Capacity calculation (hide)'!H178:BG178),52-COUNTBLANK(H90:BG90)))</f>
        <v/>
      </c>
      <c r="F90" s="312" t="str">
        <f>'Capacity calculation (hide)'!BI178</f>
        <v/>
      </c>
      <c r="H90" s="366"/>
      <c r="I90" s="366"/>
      <c r="J90" s="366"/>
      <c r="K90" s="366"/>
      <c r="L90" s="366"/>
      <c r="M90" s="366"/>
      <c r="N90" s="366"/>
      <c r="O90" s="366"/>
      <c r="P90" s="366"/>
      <c r="Q90" s="366"/>
      <c r="R90" s="366"/>
      <c r="S90" s="366"/>
      <c r="T90" s="366"/>
      <c r="U90" s="366"/>
      <c r="V90" s="366"/>
      <c r="W90" s="366"/>
      <c r="X90" s="366"/>
      <c r="Y90" s="366"/>
      <c r="Z90" s="366"/>
      <c r="AA90" s="366"/>
      <c r="AB90" s="366"/>
      <c r="AC90" s="366"/>
      <c r="AD90" s="366"/>
      <c r="AE90" s="366"/>
      <c r="AF90" s="366"/>
      <c r="AG90" s="366"/>
      <c r="AH90" s="366"/>
      <c r="AI90" s="366"/>
      <c r="AJ90" s="366"/>
      <c r="AK90" s="366"/>
      <c r="AL90" s="366"/>
      <c r="AM90" s="366"/>
      <c r="AN90" s="366"/>
      <c r="AO90" s="366"/>
      <c r="AP90" s="366"/>
      <c r="AQ90" s="366"/>
      <c r="AR90" s="366"/>
      <c r="AS90" s="366"/>
      <c r="AT90" s="366"/>
      <c r="AU90" s="366"/>
      <c r="AV90" s="366"/>
      <c r="AW90" s="366"/>
      <c r="AX90" s="366"/>
      <c r="AY90" s="366"/>
      <c r="AZ90" s="366"/>
      <c r="BA90" s="366"/>
      <c r="BB90" s="366"/>
      <c r="BC90" s="366"/>
      <c r="BD90" s="366"/>
      <c r="BE90" s="366"/>
      <c r="BF90" s="366"/>
      <c r="BG90" s="366"/>
    </row>
    <row r="91" spans="2:59" hidden="1" x14ac:dyDescent="0.25">
      <c r="B91" s="220" t="str">
        <f>IF(Capacity!N84="","",Capacity!N84)</f>
        <v/>
      </c>
      <c r="C91" s="221" t="str">
        <f>IF(B91="","",Capacity!Q84)</f>
        <v/>
      </c>
      <c r="D91" s="311" t="str">
        <f>IF(B91="","",Capacity!R84)</f>
        <v/>
      </c>
      <c r="E91" s="221" t="str">
        <f>IF(B91="","",IF(COUNTBLANK(H91:BG91)=52,SUM('Capacity calculation (hide)'!H179:BG179),52-COUNTBLANK(H91:BG91)))</f>
        <v/>
      </c>
      <c r="F91" s="312" t="str">
        <f>'Capacity calculation (hide)'!BI179</f>
        <v/>
      </c>
      <c r="H91" s="366"/>
      <c r="I91" s="366"/>
      <c r="J91" s="366"/>
      <c r="K91" s="366"/>
      <c r="L91" s="366"/>
      <c r="M91" s="366"/>
      <c r="N91" s="366"/>
      <c r="O91" s="366"/>
      <c r="P91" s="366"/>
      <c r="Q91" s="366"/>
      <c r="R91" s="366"/>
      <c r="S91" s="366"/>
      <c r="T91" s="366"/>
      <c r="U91" s="366"/>
      <c r="V91" s="366"/>
      <c r="W91" s="366"/>
      <c r="X91" s="366"/>
      <c r="Y91" s="366"/>
      <c r="Z91" s="366"/>
      <c r="AA91" s="366"/>
      <c r="AB91" s="366"/>
      <c r="AC91" s="366"/>
      <c r="AD91" s="366"/>
      <c r="AE91" s="366"/>
      <c r="AF91" s="366"/>
      <c r="AG91" s="366"/>
      <c r="AH91" s="366"/>
      <c r="AI91" s="366"/>
      <c r="AJ91" s="366"/>
      <c r="AK91" s="366"/>
      <c r="AL91" s="366"/>
      <c r="AM91" s="366"/>
      <c r="AN91" s="366"/>
      <c r="AO91" s="366"/>
      <c r="AP91" s="366"/>
      <c r="AQ91" s="366"/>
      <c r="AR91" s="366"/>
      <c r="AS91" s="366"/>
      <c r="AT91" s="366"/>
      <c r="AU91" s="366"/>
      <c r="AV91" s="366"/>
      <c r="AW91" s="366"/>
      <c r="AX91" s="366"/>
      <c r="AY91" s="366"/>
      <c r="AZ91" s="366"/>
      <c r="BA91" s="366"/>
      <c r="BB91" s="366"/>
      <c r="BC91" s="366"/>
      <c r="BD91" s="366"/>
      <c r="BE91" s="366"/>
      <c r="BF91" s="366"/>
      <c r="BG91" s="366"/>
    </row>
    <row r="92" spans="2:59" hidden="1" x14ac:dyDescent="0.25">
      <c r="B92" s="220" t="str">
        <f>IF(Capacity!N85="","",Capacity!N85)</f>
        <v/>
      </c>
      <c r="C92" s="221" t="str">
        <f>IF(B92="","",Capacity!Q85)</f>
        <v/>
      </c>
      <c r="D92" s="311" t="str">
        <f>IF(B92="","",Capacity!R85)</f>
        <v/>
      </c>
      <c r="E92" s="221" t="str">
        <f>IF(B92="","",IF(COUNTBLANK(H92:BG92)=52,SUM('Capacity calculation (hide)'!H180:BG180),52-COUNTBLANK(H92:BG92)))</f>
        <v/>
      </c>
      <c r="F92" s="312" t="str">
        <f>'Capacity calculation (hide)'!BI180</f>
        <v/>
      </c>
      <c r="H92" s="366"/>
      <c r="I92" s="366"/>
      <c r="J92" s="366"/>
      <c r="K92" s="366"/>
      <c r="L92" s="366"/>
      <c r="M92" s="366"/>
      <c r="N92" s="366"/>
      <c r="O92" s="366"/>
      <c r="P92" s="366"/>
      <c r="Q92" s="366"/>
      <c r="R92" s="366"/>
      <c r="S92" s="366"/>
      <c r="T92" s="366"/>
      <c r="U92" s="366"/>
      <c r="V92" s="366"/>
      <c r="W92" s="366"/>
      <c r="X92" s="366"/>
      <c r="Y92" s="366"/>
      <c r="Z92" s="366"/>
      <c r="AA92" s="366"/>
      <c r="AB92" s="366"/>
      <c r="AC92" s="366"/>
      <c r="AD92" s="366"/>
      <c r="AE92" s="366"/>
      <c r="AF92" s="366"/>
      <c r="AG92" s="366"/>
      <c r="AH92" s="366"/>
      <c r="AI92" s="366"/>
      <c r="AJ92" s="366"/>
      <c r="AK92" s="366"/>
      <c r="AL92" s="366"/>
      <c r="AM92" s="366"/>
      <c r="AN92" s="366"/>
      <c r="AO92" s="366"/>
      <c r="AP92" s="366"/>
      <c r="AQ92" s="366"/>
      <c r="AR92" s="366"/>
      <c r="AS92" s="366"/>
      <c r="AT92" s="366"/>
      <c r="AU92" s="366"/>
      <c r="AV92" s="366"/>
      <c r="AW92" s="366"/>
      <c r="AX92" s="366"/>
      <c r="AY92" s="366"/>
      <c r="AZ92" s="366"/>
      <c r="BA92" s="366"/>
      <c r="BB92" s="366"/>
      <c r="BC92" s="366"/>
      <c r="BD92" s="366"/>
      <c r="BE92" s="366"/>
      <c r="BF92" s="366"/>
      <c r="BG92" s="366"/>
    </row>
    <row r="93" spans="2:59" hidden="1" x14ac:dyDescent="0.25">
      <c r="B93" s="220" t="str">
        <f>IF(Capacity!N86="","",Capacity!N86)</f>
        <v/>
      </c>
      <c r="C93" s="221" t="str">
        <f>IF(B93="","",Capacity!Q86)</f>
        <v/>
      </c>
      <c r="D93" s="311" t="str">
        <f>IF(B93="","",Capacity!R86)</f>
        <v/>
      </c>
      <c r="E93" s="221" t="str">
        <f>IF(B93="","",IF(COUNTBLANK(H93:BG93)=52,SUM('Capacity calculation (hide)'!H181:BG181),52-COUNTBLANK(H93:BG93)))</f>
        <v/>
      </c>
      <c r="F93" s="312" t="str">
        <f>'Capacity calculation (hide)'!BI181</f>
        <v/>
      </c>
      <c r="H93" s="366"/>
      <c r="I93" s="366"/>
      <c r="J93" s="366"/>
      <c r="K93" s="366"/>
      <c r="L93" s="366"/>
      <c r="M93" s="366"/>
      <c r="N93" s="366"/>
      <c r="O93" s="366"/>
      <c r="P93" s="366"/>
      <c r="Q93" s="366"/>
      <c r="R93" s="366"/>
      <c r="S93" s="366"/>
      <c r="T93" s="366"/>
      <c r="U93" s="366"/>
      <c r="V93" s="366"/>
      <c r="W93" s="366"/>
      <c r="X93" s="366"/>
      <c r="Y93" s="366"/>
      <c r="Z93" s="366"/>
      <c r="AA93" s="366"/>
      <c r="AB93" s="366"/>
      <c r="AC93" s="366"/>
      <c r="AD93" s="366"/>
      <c r="AE93" s="366"/>
      <c r="AF93" s="366"/>
      <c r="AG93" s="366"/>
      <c r="AH93" s="366"/>
      <c r="AI93" s="366"/>
      <c r="AJ93" s="366"/>
      <c r="AK93" s="366"/>
      <c r="AL93" s="366"/>
      <c r="AM93" s="366"/>
      <c r="AN93" s="366"/>
      <c r="AO93" s="366"/>
      <c r="AP93" s="366"/>
      <c r="AQ93" s="366"/>
      <c r="AR93" s="366"/>
      <c r="AS93" s="366"/>
      <c r="AT93" s="366"/>
      <c r="AU93" s="366"/>
      <c r="AV93" s="366"/>
      <c r="AW93" s="366"/>
      <c r="AX93" s="366"/>
      <c r="AY93" s="366"/>
      <c r="AZ93" s="366"/>
      <c r="BA93" s="366"/>
      <c r="BB93" s="366"/>
      <c r="BC93" s="366"/>
      <c r="BD93" s="366"/>
      <c r="BE93" s="366"/>
      <c r="BF93" s="366"/>
      <c r="BG93" s="366"/>
    </row>
    <row r="94" spans="2:59" hidden="1" x14ac:dyDescent="0.25">
      <c r="B94" s="220" t="str">
        <f>IF(Capacity!N87="","",Capacity!N87)</f>
        <v/>
      </c>
      <c r="C94" s="221" t="str">
        <f>IF(B94="","",Capacity!Q87)</f>
        <v/>
      </c>
      <c r="D94" s="311" t="str">
        <f>IF(B94="","",Capacity!R87)</f>
        <v/>
      </c>
      <c r="E94" s="221" t="str">
        <f>IF(B94="","",IF(COUNTBLANK(H94:BG94)=52,SUM('Capacity calculation (hide)'!H182:BG182),52-COUNTBLANK(H94:BG94)))</f>
        <v/>
      </c>
      <c r="F94" s="312" t="str">
        <f>'Capacity calculation (hide)'!BI182</f>
        <v/>
      </c>
      <c r="H94" s="366"/>
      <c r="I94" s="366"/>
      <c r="J94" s="366"/>
      <c r="K94" s="366"/>
      <c r="L94" s="366"/>
      <c r="M94" s="366"/>
      <c r="N94" s="366"/>
      <c r="O94" s="366"/>
      <c r="P94" s="366"/>
      <c r="Q94" s="366"/>
      <c r="R94" s="366"/>
      <c r="S94" s="366"/>
      <c r="T94" s="366"/>
      <c r="U94" s="366"/>
      <c r="V94" s="366"/>
      <c r="W94" s="366"/>
      <c r="X94" s="366"/>
      <c r="Y94" s="366"/>
      <c r="Z94" s="366"/>
      <c r="AA94" s="366"/>
      <c r="AB94" s="366"/>
      <c r="AC94" s="366"/>
      <c r="AD94" s="366"/>
      <c r="AE94" s="366"/>
      <c r="AF94" s="366"/>
      <c r="AG94" s="366"/>
      <c r="AH94" s="366"/>
      <c r="AI94" s="366"/>
      <c r="AJ94" s="366"/>
      <c r="AK94" s="366"/>
      <c r="AL94" s="366"/>
      <c r="AM94" s="366"/>
      <c r="AN94" s="366"/>
      <c r="AO94" s="366"/>
      <c r="AP94" s="366"/>
      <c r="AQ94" s="366"/>
      <c r="AR94" s="366"/>
      <c r="AS94" s="366"/>
      <c r="AT94" s="366"/>
      <c r="AU94" s="366"/>
      <c r="AV94" s="366"/>
      <c r="AW94" s="366"/>
      <c r="AX94" s="366"/>
      <c r="AY94" s="366"/>
      <c r="AZ94" s="366"/>
      <c r="BA94" s="366"/>
      <c r="BB94" s="366"/>
      <c r="BC94" s="366"/>
      <c r="BD94" s="366"/>
      <c r="BE94" s="366"/>
      <c r="BF94" s="366"/>
      <c r="BG94" s="366"/>
    </row>
    <row r="95" spans="2:59" hidden="1" x14ac:dyDescent="0.25">
      <c r="B95" s="220" t="str">
        <f>IF(Capacity!N88="","",Capacity!N88)</f>
        <v/>
      </c>
      <c r="C95" s="221" t="str">
        <f>IF(B95="","",Capacity!Q88)</f>
        <v/>
      </c>
      <c r="D95" s="311" t="str">
        <f>IF(B95="","",Capacity!R88)</f>
        <v/>
      </c>
      <c r="E95" s="221" t="str">
        <f>IF(B95="","",IF(COUNTBLANK(H95:BG95)=52,SUM('Capacity calculation (hide)'!H183:BG183),52-COUNTBLANK(H95:BG95)))</f>
        <v/>
      </c>
      <c r="F95" s="312" t="str">
        <f>'Capacity calculation (hide)'!BI183</f>
        <v/>
      </c>
      <c r="H95" s="366"/>
      <c r="I95" s="366"/>
      <c r="J95" s="366"/>
      <c r="K95" s="366"/>
      <c r="L95" s="366"/>
      <c r="M95" s="366"/>
      <c r="N95" s="366"/>
      <c r="O95" s="366"/>
      <c r="P95" s="366"/>
      <c r="Q95" s="366"/>
      <c r="R95" s="366"/>
      <c r="S95" s="366"/>
      <c r="T95" s="366"/>
      <c r="U95" s="366"/>
      <c r="V95" s="366"/>
      <c r="W95" s="366"/>
      <c r="X95" s="366"/>
      <c r="Y95" s="366"/>
      <c r="Z95" s="366"/>
      <c r="AA95" s="366"/>
      <c r="AB95" s="366"/>
      <c r="AC95" s="366"/>
      <c r="AD95" s="366"/>
      <c r="AE95" s="366"/>
      <c r="AF95" s="366"/>
      <c r="AG95" s="366"/>
      <c r="AH95" s="366"/>
      <c r="AI95" s="366"/>
      <c r="AJ95" s="366"/>
      <c r="AK95" s="366"/>
      <c r="AL95" s="366"/>
      <c r="AM95" s="366"/>
      <c r="AN95" s="366"/>
      <c r="AO95" s="366"/>
      <c r="AP95" s="366"/>
      <c r="AQ95" s="366"/>
      <c r="AR95" s="366"/>
      <c r="AS95" s="366"/>
      <c r="AT95" s="366"/>
      <c r="AU95" s="366"/>
      <c r="AV95" s="366"/>
      <c r="AW95" s="366"/>
      <c r="AX95" s="366"/>
      <c r="AY95" s="366"/>
      <c r="AZ95" s="366"/>
      <c r="BA95" s="366"/>
      <c r="BB95" s="366"/>
      <c r="BC95" s="366"/>
      <c r="BD95" s="366"/>
      <c r="BE95" s="366"/>
      <c r="BF95" s="366"/>
      <c r="BG95" s="366"/>
    </row>
    <row r="96" spans="2:59" hidden="1" x14ac:dyDescent="0.25">
      <c r="B96" s="220" t="str">
        <f>IF(Capacity!N89="","",Capacity!N89)</f>
        <v/>
      </c>
      <c r="C96" s="221" t="str">
        <f>IF(B96="","",Capacity!Q89)</f>
        <v/>
      </c>
      <c r="D96" s="311" t="str">
        <f>IF(B96="","",Capacity!R89)</f>
        <v/>
      </c>
      <c r="E96" s="221" t="str">
        <f>IF(B96="","",IF(COUNTBLANK(H96:BG96)=52,SUM('Capacity calculation (hide)'!H184:BG184),52-COUNTBLANK(H96:BG96)))</f>
        <v/>
      </c>
      <c r="F96" s="312" t="str">
        <f>'Capacity calculation (hide)'!BI184</f>
        <v/>
      </c>
      <c r="H96" s="366"/>
      <c r="I96" s="366"/>
      <c r="J96" s="366"/>
      <c r="K96" s="366"/>
      <c r="L96" s="366"/>
      <c r="M96" s="366"/>
      <c r="N96" s="366"/>
      <c r="O96" s="366"/>
      <c r="P96" s="366"/>
      <c r="Q96" s="366"/>
      <c r="R96" s="366"/>
      <c r="S96" s="366"/>
      <c r="T96" s="366"/>
      <c r="U96" s="366"/>
      <c r="V96" s="366"/>
      <c r="W96" s="366"/>
      <c r="X96" s="366"/>
      <c r="Y96" s="366"/>
      <c r="Z96" s="366"/>
      <c r="AA96" s="366"/>
      <c r="AB96" s="366"/>
      <c r="AC96" s="366"/>
      <c r="AD96" s="366"/>
      <c r="AE96" s="366"/>
      <c r="AF96" s="366"/>
      <c r="AG96" s="366"/>
      <c r="AH96" s="366"/>
      <c r="AI96" s="366"/>
      <c r="AJ96" s="366"/>
      <c r="AK96" s="366"/>
      <c r="AL96" s="366"/>
      <c r="AM96" s="366"/>
      <c r="AN96" s="366"/>
      <c r="AO96" s="366"/>
      <c r="AP96" s="366"/>
      <c r="AQ96" s="366"/>
      <c r="AR96" s="366"/>
      <c r="AS96" s="366"/>
      <c r="AT96" s="366"/>
      <c r="AU96" s="366"/>
      <c r="AV96" s="366"/>
      <c r="AW96" s="366"/>
      <c r="AX96" s="366"/>
      <c r="AY96" s="366"/>
      <c r="AZ96" s="366"/>
      <c r="BA96" s="366"/>
      <c r="BB96" s="366"/>
      <c r="BC96" s="366"/>
      <c r="BD96" s="366"/>
      <c r="BE96" s="366"/>
      <c r="BF96" s="366"/>
      <c r="BG96" s="366"/>
    </row>
    <row r="97" spans="2:59" hidden="1" x14ac:dyDescent="0.25">
      <c r="B97" s="220" t="str">
        <f>IF(Capacity!N90="","",Capacity!N90)</f>
        <v/>
      </c>
      <c r="C97" s="221" t="str">
        <f>IF(B97="","",Capacity!Q90)</f>
        <v/>
      </c>
      <c r="D97" s="311" t="str">
        <f>IF(B97="","",Capacity!R90)</f>
        <v/>
      </c>
      <c r="E97" s="221" t="str">
        <f>IF(B97="","",IF(COUNTBLANK(H97:BG97)=52,SUM('Capacity calculation (hide)'!H185:BG185),52-COUNTBLANK(H97:BG97)))</f>
        <v/>
      </c>
      <c r="F97" s="312" t="str">
        <f>'Capacity calculation (hide)'!BI185</f>
        <v/>
      </c>
      <c r="H97" s="366"/>
      <c r="I97" s="366"/>
      <c r="J97" s="366"/>
      <c r="K97" s="366"/>
      <c r="L97" s="366"/>
      <c r="M97" s="366"/>
      <c r="N97" s="366"/>
      <c r="O97" s="366"/>
      <c r="P97" s="366"/>
      <c r="Q97" s="366"/>
      <c r="R97" s="366"/>
      <c r="S97" s="366"/>
      <c r="T97" s="366"/>
      <c r="U97" s="366"/>
      <c r="V97" s="366"/>
      <c r="W97" s="366"/>
      <c r="X97" s="366"/>
      <c r="Y97" s="366"/>
      <c r="Z97" s="366"/>
      <c r="AA97" s="366"/>
      <c r="AB97" s="366"/>
      <c r="AC97" s="366"/>
      <c r="AD97" s="366"/>
      <c r="AE97" s="366"/>
      <c r="AF97" s="366"/>
      <c r="AG97" s="366"/>
      <c r="AH97" s="366"/>
      <c r="AI97" s="366"/>
      <c r="AJ97" s="366"/>
      <c r="AK97" s="366"/>
      <c r="AL97" s="366"/>
      <c r="AM97" s="366"/>
      <c r="AN97" s="366"/>
      <c r="AO97" s="366"/>
      <c r="AP97" s="366"/>
      <c r="AQ97" s="366"/>
      <c r="AR97" s="366"/>
      <c r="AS97" s="366"/>
      <c r="AT97" s="366"/>
      <c r="AU97" s="366"/>
      <c r="AV97" s="366"/>
      <c r="AW97" s="366"/>
      <c r="AX97" s="366"/>
      <c r="AY97" s="366"/>
      <c r="AZ97" s="366"/>
      <c r="BA97" s="366"/>
      <c r="BB97" s="366"/>
      <c r="BC97" s="366"/>
      <c r="BD97" s="366"/>
      <c r="BE97" s="366"/>
      <c r="BF97" s="366"/>
      <c r="BG97" s="366"/>
    </row>
    <row r="98" spans="2:59" hidden="1" x14ac:dyDescent="0.25">
      <c r="B98" s="220" t="str">
        <f>IF(Capacity!N91="","",Capacity!N91)</f>
        <v/>
      </c>
      <c r="C98" s="221" t="str">
        <f>IF(B98="","",Capacity!Q91)</f>
        <v/>
      </c>
      <c r="D98" s="311" t="str">
        <f>IF(B98="","",Capacity!R91)</f>
        <v/>
      </c>
      <c r="E98" s="221" t="str">
        <f>IF(B98="","",IF(COUNTBLANK(H98:BG98)=52,SUM('Capacity calculation (hide)'!H186:BG186),52-COUNTBLANK(H98:BG98)))</f>
        <v/>
      </c>
      <c r="F98" s="312" t="str">
        <f>'Capacity calculation (hide)'!BI186</f>
        <v/>
      </c>
      <c r="H98" s="366"/>
      <c r="I98" s="366"/>
      <c r="J98" s="366"/>
      <c r="K98" s="366"/>
      <c r="L98" s="366"/>
      <c r="M98" s="366"/>
      <c r="N98" s="366"/>
      <c r="O98" s="366"/>
      <c r="P98" s="366"/>
      <c r="Q98" s="366"/>
      <c r="R98" s="366"/>
      <c r="S98" s="366"/>
      <c r="T98" s="366"/>
      <c r="U98" s="366"/>
      <c r="V98" s="366"/>
      <c r="W98" s="366"/>
      <c r="X98" s="366"/>
      <c r="Y98" s="366"/>
      <c r="Z98" s="366"/>
      <c r="AA98" s="366"/>
      <c r="AB98" s="366"/>
      <c r="AC98" s="366"/>
      <c r="AD98" s="366"/>
      <c r="AE98" s="366"/>
      <c r="AF98" s="366"/>
      <c r="AG98" s="366"/>
      <c r="AH98" s="366"/>
      <c r="AI98" s="366"/>
      <c r="AJ98" s="366"/>
      <c r="AK98" s="366"/>
      <c r="AL98" s="366"/>
      <c r="AM98" s="366"/>
      <c r="AN98" s="366"/>
      <c r="AO98" s="366"/>
      <c r="AP98" s="366"/>
      <c r="AQ98" s="366"/>
      <c r="AR98" s="366"/>
      <c r="AS98" s="366"/>
      <c r="AT98" s="366"/>
      <c r="AU98" s="366"/>
      <c r="AV98" s="366"/>
      <c r="AW98" s="366"/>
      <c r="AX98" s="366"/>
      <c r="AY98" s="366"/>
      <c r="AZ98" s="366"/>
      <c r="BA98" s="366"/>
      <c r="BB98" s="366"/>
      <c r="BC98" s="366"/>
      <c r="BD98" s="366"/>
      <c r="BE98" s="366"/>
      <c r="BF98" s="366"/>
      <c r="BG98" s="366"/>
    </row>
    <row r="99" spans="2:59" hidden="1" x14ac:dyDescent="0.25">
      <c r="B99" s="220" t="str">
        <f>IF(Capacity!N92="","",Capacity!N92)</f>
        <v/>
      </c>
      <c r="C99" s="221" t="str">
        <f>IF(B99="","",Capacity!Q92)</f>
        <v/>
      </c>
      <c r="D99" s="311" t="str">
        <f>IF(B99="","",Capacity!R92)</f>
        <v/>
      </c>
      <c r="E99" s="221" t="str">
        <f>IF(B99="","",IF(COUNTBLANK(H99:BG99)=52,SUM('Capacity calculation (hide)'!H187:BG187),52-COUNTBLANK(H99:BG99)))</f>
        <v/>
      </c>
      <c r="F99" s="312" t="str">
        <f>'Capacity calculation (hide)'!BI187</f>
        <v/>
      </c>
      <c r="H99" s="366"/>
      <c r="I99" s="366"/>
      <c r="J99" s="366"/>
      <c r="K99" s="366"/>
      <c r="L99" s="366"/>
      <c r="M99" s="366"/>
      <c r="N99" s="366"/>
      <c r="O99" s="366"/>
      <c r="P99" s="366"/>
      <c r="Q99" s="366"/>
      <c r="R99" s="366"/>
      <c r="S99" s="366"/>
      <c r="T99" s="366"/>
      <c r="U99" s="366"/>
      <c r="V99" s="366"/>
      <c r="W99" s="366"/>
      <c r="X99" s="366"/>
      <c r="Y99" s="366"/>
      <c r="Z99" s="366"/>
      <c r="AA99" s="366"/>
      <c r="AB99" s="366"/>
      <c r="AC99" s="366"/>
      <c r="AD99" s="366"/>
      <c r="AE99" s="366"/>
      <c r="AF99" s="366"/>
      <c r="AG99" s="366"/>
      <c r="AH99" s="366"/>
      <c r="AI99" s="366"/>
      <c r="AJ99" s="366"/>
      <c r="AK99" s="366"/>
      <c r="AL99" s="366"/>
      <c r="AM99" s="366"/>
      <c r="AN99" s="366"/>
      <c r="AO99" s="366"/>
      <c r="AP99" s="366"/>
      <c r="AQ99" s="366"/>
      <c r="AR99" s="366"/>
      <c r="AS99" s="366"/>
      <c r="AT99" s="366"/>
      <c r="AU99" s="366"/>
      <c r="AV99" s="366"/>
      <c r="AW99" s="366"/>
      <c r="AX99" s="366"/>
      <c r="AY99" s="366"/>
      <c r="AZ99" s="366"/>
      <c r="BA99" s="366"/>
      <c r="BB99" s="366"/>
      <c r="BC99" s="366"/>
      <c r="BD99" s="366"/>
      <c r="BE99" s="366"/>
      <c r="BF99" s="366"/>
      <c r="BG99" s="366"/>
    </row>
    <row r="100" spans="2:59" hidden="1" x14ac:dyDescent="0.25">
      <c r="B100" s="220" t="str">
        <f>IF(Capacity!N93="","",Capacity!N93)</f>
        <v/>
      </c>
      <c r="C100" s="221" t="str">
        <f>IF(B100="","",Capacity!Q93)</f>
        <v/>
      </c>
      <c r="D100" s="311" t="str">
        <f>IF(B100="","",Capacity!R93)</f>
        <v/>
      </c>
      <c r="E100" s="221" t="str">
        <f>IF(B100="","",IF(COUNTBLANK(H100:BG100)=52,SUM('Capacity calculation (hide)'!H188:BG188),52-COUNTBLANK(H100:BG100)))</f>
        <v/>
      </c>
      <c r="F100" s="312" t="str">
        <f>'Capacity calculation (hide)'!BI188</f>
        <v/>
      </c>
      <c r="H100" s="366"/>
      <c r="I100" s="366"/>
      <c r="J100" s="366"/>
      <c r="K100" s="366"/>
      <c r="L100" s="366"/>
      <c r="M100" s="366"/>
      <c r="N100" s="366"/>
      <c r="O100" s="366"/>
      <c r="P100" s="366"/>
      <c r="Q100" s="366"/>
      <c r="R100" s="366"/>
      <c r="S100" s="366"/>
      <c r="T100" s="366"/>
      <c r="U100" s="366"/>
      <c r="V100" s="366"/>
      <c r="W100" s="366"/>
      <c r="X100" s="366"/>
      <c r="Y100" s="366"/>
      <c r="Z100" s="366"/>
      <c r="AA100" s="366"/>
      <c r="AB100" s="366"/>
      <c r="AC100" s="366"/>
      <c r="AD100" s="366"/>
      <c r="AE100" s="366"/>
      <c r="AF100" s="366"/>
      <c r="AG100" s="366"/>
      <c r="AH100" s="366"/>
      <c r="AI100" s="366"/>
      <c r="AJ100" s="366"/>
      <c r="AK100" s="366"/>
      <c r="AL100" s="366"/>
      <c r="AM100" s="366"/>
      <c r="AN100" s="366"/>
      <c r="AO100" s="366"/>
      <c r="AP100" s="366"/>
      <c r="AQ100" s="366"/>
      <c r="AR100" s="366"/>
      <c r="AS100" s="366"/>
      <c r="AT100" s="366"/>
      <c r="AU100" s="366"/>
      <c r="AV100" s="366"/>
      <c r="AW100" s="366"/>
      <c r="AX100" s="366"/>
      <c r="AY100" s="366"/>
      <c r="AZ100" s="366"/>
      <c r="BA100" s="366"/>
      <c r="BB100" s="366"/>
      <c r="BC100" s="366"/>
      <c r="BD100" s="366"/>
      <c r="BE100" s="366"/>
      <c r="BF100" s="366"/>
      <c r="BG100" s="366"/>
    </row>
    <row r="101" spans="2:59" hidden="1" x14ac:dyDescent="0.25">
      <c r="B101" s="220" t="str">
        <f>IF(Capacity!N94="","",Capacity!N94)</f>
        <v/>
      </c>
      <c r="C101" s="221" t="str">
        <f>IF(B101="","",Capacity!Q94)</f>
        <v/>
      </c>
      <c r="D101" s="311" t="str">
        <f>IF(B101="","",Capacity!R94)</f>
        <v/>
      </c>
      <c r="E101" s="221" t="str">
        <f>IF(B101="","",IF(COUNTBLANK(H101:BG101)=52,SUM('Capacity calculation (hide)'!H189:BG189),52-COUNTBLANK(H101:BG101)))</f>
        <v/>
      </c>
      <c r="F101" s="312" t="str">
        <f>'Capacity calculation (hide)'!BI189</f>
        <v/>
      </c>
      <c r="H101" s="366"/>
      <c r="I101" s="366"/>
      <c r="J101" s="366"/>
      <c r="K101" s="366"/>
      <c r="L101" s="366"/>
      <c r="M101" s="366"/>
      <c r="N101" s="366"/>
      <c r="O101" s="366"/>
      <c r="P101" s="366"/>
      <c r="Q101" s="366"/>
      <c r="R101" s="366"/>
      <c r="S101" s="366"/>
      <c r="T101" s="366"/>
      <c r="U101" s="366"/>
      <c r="V101" s="366"/>
      <c r="W101" s="366"/>
      <c r="X101" s="366"/>
      <c r="Y101" s="366"/>
      <c r="Z101" s="366"/>
      <c r="AA101" s="366"/>
      <c r="AB101" s="366"/>
      <c r="AC101" s="366"/>
      <c r="AD101" s="366"/>
      <c r="AE101" s="366"/>
      <c r="AF101" s="366"/>
      <c r="AG101" s="366"/>
      <c r="AH101" s="366"/>
      <c r="AI101" s="366"/>
      <c r="AJ101" s="366"/>
      <c r="AK101" s="366"/>
      <c r="AL101" s="366"/>
      <c r="AM101" s="366"/>
      <c r="AN101" s="366"/>
      <c r="AO101" s="366"/>
      <c r="AP101" s="366"/>
      <c r="AQ101" s="366"/>
      <c r="AR101" s="366"/>
      <c r="AS101" s="366"/>
      <c r="AT101" s="366"/>
      <c r="AU101" s="366"/>
      <c r="AV101" s="366"/>
      <c r="AW101" s="366"/>
      <c r="AX101" s="366"/>
      <c r="AY101" s="366"/>
      <c r="AZ101" s="366"/>
      <c r="BA101" s="366"/>
      <c r="BB101" s="366"/>
      <c r="BC101" s="366"/>
      <c r="BD101" s="366"/>
      <c r="BE101" s="366"/>
      <c r="BF101" s="366"/>
      <c r="BG101" s="366"/>
    </row>
    <row r="102" spans="2:59" hidden="1" x14ac:dyDescent="0.25">
      <c r="B102" s="220" t="str">
        <f>IF(Capacity!N95="","",Capacity!N95)</f>
        <v/>
      </c>
      <c r="C102" s="221" t="str">
        <f>IF(B102="","",Capacity!Q95)</f>
        <v/>
      </c>
      <c r="D102" s="311" t="str">
        <f>IF(B102="","",Capacity!R95)</f>
        <v/>
      </c>
      <c r="E102" s="221" t="str">
        <f>IF(B102="","",IF(COUNTBLANK(H102:BG102)=52,SUM('Capacity calculation (hide)'!H190:BG190),52-COUNTBLANK(H102:BG102)))</f>
        <v/>
      </c>
      <c r="F102" s="312" t="str">
        <f>'Capacity calculation (hide)'!BI190</f>
        <v/>
      </c>
      <c r="H102" s="366"/>
      <c r="I102" s="366"/>
      <c r="J102" s="366"/>
      <c r="K102" s="366"/>
      <c r="L102" s="366"/>
      <c r="M102" s="366"/>
      <c r="N102" s="366"/>
      <c r="O102" s="366"/>
      <c r="P102" s="366"/>
      <c r="Q102" s="366"/>
      <c r="R102" s="366"/>
      <c r="S102" s="366"/>
      <c r="T102" s="366"/>
      <c r="U102" s="366"/>
      <c r="V102" s="366"/>
      <c r="W102" s="366"/>
      <c r="X102" s="366"/>
      <c r="Y102" s="366"/>
      <c r="Z102" s="366"/>
      <c r="AA102" s="366"/>
      <c r="AB102" s="366"/>
      <c r="AC102" s="366"/>
      <c r="AD102" s="366"/>
      <c r="AE102" s="366"/>
      <c r="AF102" s="366"/>
      <c r="AG102" s="366"/>
      <c r="AH102" s="366"/>
      <c r="AI102" s="366"/>
      <c r="AJ102" s="366"/>
      <c r="AK102" s="366"/>
      <c r="AL102" s="366"/>
      <c r="AM102" s="366"/>
      <c r="AN102" s="366"/>
      <c r="AO102" s="366"/>
      <c r="AP102" s="366"/>
      <c r="AQ102" s="366"/>
      <c r="AR102" s="366"/>
      <c r="AS102" s="366"/>
      <c r="AT102" s="366"/>
      <c r="AU102" s="366"/>
      <c r="AV102" s="366"/>
      <c r="AW102" s="366"/>
      <c r="AX102" s="366"/>
      <c r="AY102" s="366"/>
      <c r="AZ102" s="366"/>
      <c r="BA102" s="366"/>
      <c r="BB102" s="366"/>
      <c r="BC102" s="366"/>
      <c r="BD102" s="366"/>
      <c r="BE102" s="366"/>
      <c r="BF102" s="366"/>
      <c r="BG102" s="366"/>
    </row>
    <row r="103" spans="2:59" hidden="1" x14ac:dyDescent="0.25">
      <c r="B103" s="220" t="str">
        <f>IF(Capacity!N96="","",Capacity!N96)</f>
        <v/>
      </c>
      <c r="C103" s="221" t="str">
        <f>IF(B103="","",Capacity!Q96)</f>
        <v/>
      </c>
      <c r="D103" s="311" t="str">
        <f>IF(B103="","",Capacity!R96)</f>
        <v/>
      </c>
      <c r="E103" s="221" t="str">
        <f>IF(B103="","",IF(COUNTBLANK(H103:BG103)=52,SUM('Capacity calculation (hide)'!H191:BG191),52-COUNTBLANK(H103:BG103)))</f>
        <v/>
      </c>
      <c r="F103" s="312" t="str">
        <f>'Capacity calculation (hide)'!BI191</f>
        <v/>
      </c>
      <c r="H103" s="366"/>
      <c r="I103" s="366"/>
      <c r="J103" s="366"/>
      <c r="K103" s="366"/>
      <c r="L103" s="366"/>
      <c r="M103" s="366"/>
      <c r="N103" s="366"/>
      <c r="O103" s="366"/>
      <c r="P103" s="366"/>
      <c r="Q103" s="366"/>
      <c r="R103" s="366"/>
      <c r="S103" s="366"/>
      <c r="T103" s="366"/>
      <c r="U103" s="366"/>
      <c r="V103" s="366"/>
      <c r="W103" s="366"/>
      <c r="X103" s="366"/>
      <c r="Y103" s="366"/>
      <c r="Z103" s="366"/>
      <c r="AA103" s="366"/>
      <c r="AB103" s="366"/>
      <c r="AC103" s="366"/>
      <c r="AD103" s="366"/>
      <c r="AE103" s="366"/>
      <c r="AF103" s="366"/>
      <c r="AG103" s="366"/>
      <c r="AH103" s="366"/>
      <c r="AI103" s="366"/>
      <c r="AJ103" s="366"/>
      <c r="AK103" s="366"/>
      <c r="AL103" s="366"/>
      <c r="AM103" s="366"/>
      <c r="AN103" s="366"/>
      <c r="AO103" s="366"/>
      <c r="AP103" s="366"/>
      <c r="AQ103" s="366"/>
      <c r="AR103" s="366"/>
      <c r="AS103" s="366"/>
      <c r="AT103" s="366"/>
      <c r="AU103" s="366"/>
      <c r="AV103" s="366"/>
      <c r="AW103" s="366"/>
      <c r="AX103" s="366"/>
      <c r="AY103" s="366"/>
      <c r="AZ103" s="366"/>
      <c r="BA103" s="366"/>
      <c r="BB103" s="366"/>
      <c r="BC103" s="366"/>
      <c r="BD103" s="366"/>
      <c r="BE103" s="366"/>
      <c r="BF103" s="366"/>
      <c r="BG103" s="366"/>
    </row>
    <row r="104" spans="2:59" hidden="1" x14ac:dyDescent="0.25">
      <c r="B104" s="220" t="str">
        <f>IF(Capacity!N97="","",Capacity!N97)</f>
        <v/>
      </c>
      <c r="C104" s="221" t="str">
        <f>IF(B104="","",Capacity!Q97)</f>
        <v/>
      </c>
      <c r="D104" s="311" t="str">
        <f>IF(B104="","",Capacity!R97)</f>
        <v/>
      </c>
      <c r="E104" s="221" t="str">
        <f>IF(B104="","",IF(COUNTBLANK(H104:BG104)=52,SUM('Capacity calculation (hide)'!H192:BG192),52-COUNTBLANK(H104:BG104)))</f>
        <v/>
      </c>
      <c r="F104" s="312" t="str">
        <f>'Capacity calculation (hide)'!BI192</f>
        <v/>
      </c>
      <c r="H104" s="366"/>
      <c r="I104" s="366"/>
      <c r="J104" s="366"/>
      <c r="K104" s="366"/>
      <c r="L104" s="366"/>
      <c r="M104" s="366"/>
      <c r="N104" s="366"/>
      <c r="O104" s="366"/>
      <c r="P104" s="366"/>
      <c r="Q104" s="366"/>
      <c r="R104" s="366"/>
      <c r="S104" s="366"/>
      <c r="T104" s="366"/>
      <c r="U104" s="366"/>
      <c r="V104" s="366"/>
      <c r="W104" s="366"/>
      <c r="X104" s="366"/>
      <c r="Y104" s="366"/>
      <c r="Z104" s="366"/>
      <c r="AA104" s="366"/>
      <c r="AB104" s="366"/>
      <c r="AC104" s="366"/>
      <c r="AD104" s="366"/>
      <c r="AE104" s="366"/>
      <c r="AF104" s="366"/>
      <c r="AG104" s="366"/>
      <c r="AH104" s="366"/>
      <c r="AI104" s="366"/>
      <c r="AJ104" s="366"/>
      <c r="AK104" s="366"/>
      <c r="AL104" s="366"/>
      <c r="AM104" s="366"/>
      <c r="AN104" s="366"/>
      <c r="AO104" s="366"/>
      <c r="AP104" s="366"/>
      <c r="AQ104" s="366"/>
      <c r="AR104" s="366"/>
      <c r="AS104" s="366"/>
      <c r="AT104" s="366"/>
      <c r="AU104" s="366"/>
      <c r="AV104" s="366"/>
      <c r="AW104" s="366"/>
      <c r="AX104" s="366"/>
      <c r="AY104" s="366"/>
      <c r="AZ104" s="366"/>
      <c r="BA104" s="366"/>
      <c r="BB104" s="366"/>
      <c r="BC104" s="366"/>
      <c r="BD104" s="366"/>
      <c r="BE104" s="366"/>
      <c r="BF104" s="366"/>
      <c r="BG104" s="366"/>
    </row>
    <row r="105" spans="2:59" hidden="1" x14ac:dyDescent="0.25">
      <c r="B105" s="220" t="str">
        <f>IF(Capacity!N98="","",Capacity!N98)</f>
        <v/>
      </c>
      <c r="C105" s="221" t="str">
        <f>IF(B105="","",Capacity!Q98)</f>
        <v/>
      </c>
      <c r="D105" s="311" t="str">
        <f>IF(B105="","",Capacity!R98)</f>
        <v/>
      </c>
      <c r="E105" s="221" t="str">
        <f>IF(B105="","",IF(COUNTBLANK(H105:BG105)=52,SUM('Capacity calculation (hide)'!H193:BG193),52-COUNTBLANK(H105:BG105)))</f>
        <v/>
      </c>
      <c r="F105" s="312" t="str">
        <f>'Capacity calculation (hide)'!BI193</f>
        <v/>
      </c>
      <c r="H105" s="366"/>
      <c r="I105" s="366"/>
      <c r="J105" s="366"/>
      <c r="K105" s="366"/>
      <c r="L105" s="366"/>
      <c r="M105" s="366"/>
      <c r="N105" s="366"/>
      <c r="O105" s="366"/>
      <c r="P105" s="366"/>
      <c r="Q105" s="366"/>
      <c r="R105" s="366"/>
      <c r="S105" s="366"/>
      <c r="T105" s="366"/>
      <c r="U105" s="366"/>
      <c r="V105" s="366"/>
      <c r="W105" s="366"/>
      <c r="X105" s="366"/>
      <c r="Y105" s="366"/>
      <c r="Z105" s="366"/>
      <c r="AA105" s="366"/>
      <c r="AB105" s="366"/>
      <c r="AC105" s="366"/>
      <c r="AD105" s="366"/>
      <c r="AE105" s="366"/>
      <c r="AF105" s="366"/>
      <c r="AG105" s="366"/>
      <c r="AH105" s="366"/>
      <c r="AI105" s="366"/>
      <c r="AJ105" s="366"/>
      <c r="AK105" s="366"/>
      <c r="AL105" s="366"/>
      <c r="AM105" s="366"/>
      <c r="AN105" s="366"/>
      <c r="AO105" s="366"/>
      <c r="AP105" s="366"/>
      <c r="AQ105" s="366"/>
      <c r="AR105" s="366"/>
      <c r="AS105" s="366"/>
      <c r="AT105" s="366"/>
      <c r="AU105" s="366"/>
      <c r="AV105" s="366"/>
      <c r="AW105" s="366"/>
      <c r="AX105" s="366"/>
      <c r="AY105" s="366"/>
      <c r="AZ105" s="366"/>
      <c r="BA105" s="366"/>
      <c r="BB105" s="366"/>
      <c r="BC105" s="366"/>
      <c r="BD105" s="366"/>
      <c r="BE105" s="366"/>
      <c r="BF105" s="366"/>
      <c r="BG105" s="366"/>
    </row>
    <row r="106" spans="2:59" hidden="1" x14ac:dyDescent="0.25">
      <c r="B106" s="220" t="str">
        <f>IF(Capacity!N99="","",Capacity!N99)</f>
        <v/>
      </c>
      <c r="C106" s="221" t="str">
        <f>IF(B106="","",Capacity!Q99)</f>
        <v/>
      </c>
      <c r="D106" s="311" t="str">
        <f>IF(B106="","",Capacity!R99)</f>
        <v/>
      </c>
      <c r="E106" s="221" t="str">
        <f>IF(B106="","",IF(COUNTBLANK(H106:BG106)=52,SUM('Capacity calculation (hide)'!H194:BG194),52-COUNTBLANK(H106:BG106)))</f>
        <v/>
      </c>
      <c r="F106" s="312" t="str">
        <f>'Capacity calculation (hide)'!BI194</f>
        <v/>
      </c>
      <c r="H106" s="366"/>
      <c r="I106" s="366"/>
      <c r="J106" s="366"/>
      <c r="K106" s="366"/>
      <c r="L106" s="366"/>
      <c r="M106" s="366"/>
      <c r="N106" s="366"/>
      <c r="O106" s="366"/>
      <c r="P106" s="366"/>
      <c r="Q106" s="366"/>
      <c r="R106" s="366"/>
      <c r="S106" s="366"/>
      <c r="T106" s="366"/>
      <c r="U106" s="366"/>
      <c r="V106" s="366"/>
      <c r="W106" s="366"/>
      <c r="X106" s="366"/>
      <c r="Y106" s="366"/>
      <c r="Z106" s="366"/>
      <c r="AA106" s="366"/>
      <c r="AB106" s="366"/>
      <c r="AC106" s="366"/>
      <c r="AD106" s="366"/>
      <c r="AE106" s="366"/>
      <c r="AF106" s="366"/>
      <c r="AG106" s="366"/>
      <c r="AH106" s="366"/>
      <c r="AI106" s="366"/>
      <c r="AJ106" s="366"/>
      <c r="AK106" s="366"/>
      <c r="AL106" s="366"/>
      <c r="AM106" s="366"/>
      <c r="AN106" s="366"/>
      <c r="AO106" s="366"/>
      <c r="AP106" s="366"/>
      <c r="AQ106" s="366"/>
      <c r="AR106" s="366"/>
      <c r="AS106" s="366"/>
      <c r="AT106" s="366"/>
      <c r="AU106" s="366"/>
      <c r="AV106" s="366"/>
      <c r="AW106" s="366"/>
      <c r="AX106" s="366"/>
      <c r="AY106" s="366"/>
      <c r="AZ106" s="366"/>
      <c r="BA106" s="366"/>
      <c r="BB106" s="366"/>
      <c r="BC106" s="366"/>
      <c r="BD106" s="366"/>
      <c r="BE106" s="366"/>
      <c r="BF106" s="366"/>
      <c r="BG106" s="366"/>
    </row>
    <row r="107" spans="2:59" hidden="1" x14ac:dyDescent="0.25">
      <c r="B107" s="220" t="str">
        <f>IF(Capacity!N100="","",Capacity!N100)</f>
        <v/>
      </c>
      <c r="C107" s="221" t="str">
        <f>IF(B107="","",Capacity!Q100)</f>
        <v/>
      </c>
      <c r="D107" s="311" t="str">
        <f>IF(B107="","",Capacity!R100)</f>
        <v/>
      </c>
      <c r="E107" s="221" t="str">
        <f>IF(B107="","",IF(COUNTBLANK(H107:BG107)=52,SUM('Capacity calculation (hide)'!H195:BG195),52-COUNTBLANK(H107:BG107)))</f>
        <v/>
      </c>
      <c r="F107" s="312" t="str">
        <f>'Capacity calculation (hide)'!BI195</f>
        <v/>
      </c>
      <c r="H107" s="366"/>
      <c r="I107" s="366"/>
      <c r="J107" s="366"/>
      <c r="K107" s="366"/>
      <c r="L107" s="366"/>
      <c r="M107" s="366"/>
      <c r="N107" s="366"/>
      <c r="O107" s="366"/>
      <c r="P107" s="366"/>
      <c r="Q107" s="366"/>
      <c r="R107" s="366"/>
      <c r="S107" s="366"/>
      <c r="T107" s="366"/>
      <c r="U107" s="366"/>
      <c r="V107" s="366"/>
      <c r="W107" s="366"/>
      <c r="X107" s="366"/>
      <c r="Y107" s="366"/>
      <c r="Z107" s="366"/>
      <c r="AA107" s="366"/>
      <c r="AB107" s="366"/>
      <c r="AC107" s="366"/>
      <c r="AD107" s="366"/>
      <c r="AE107" s="366"/>
      <c r="AF107" s="366"/>
      <c r="AG107" s="366"/>
      <c r="AH107" s="366"/>
      <c r="AI107" s="366"/>
      <c r="AJ107" s="366"/>
      <c r="AK107" s="366"/>
      <c r="AL107" s="366"/>
      <c r="AM107" s="366"/>
      <c r="AN107" s="366"/>
      <c r="AO107" s="366"/>
      <c r="AP107" s="366"/>
      <c r="AQ107" s="366"/>
      <c r="AR107" s="366"/>
      <c r="AS107" s="366"/>
      <c r="AT107" s="366"/>
      <c r="AU107" s="366"/>
      <c r="AV107" s="366"/>
      <c r="AW107" s="366"/>
      <c r="AX107" s="366"/>
      <c r="AY107" s="366"/>
      <c r="AZ107" s="366"/>
      <c r="BA107" s="366"/>
      <c r="BB107" s="366"/>
      <c r="BC107" s="366"/>
      <c r="BD107" s="366"/>
      <c r="BE107" s="366"/>
      <c r="BF107" s="366"/>
      <c r="BG107" s="366"/>
    </row>
    <row r="108" spans="2:59" hidden="1" x14ac:dyDescent="0.25">
      <c r="B108" s="220" t="str">
        <f>IF(Capacity!N101="","",Capacity!N101)</f>
        <v/>
      </c>
      <c r="C108" s="221" t="str">
        <f>IF(B108="","",Capacity!Q101)</f>
        <v/>
      </c>
      <c r="D108" s="311" t="str">
        <f>IF(B108="","",Capacity!R101)</f>
        <v/>
      </c>
      <c r="E108" s="221" t="str">
        <f>IF(B108="","",IF(COUNTBLANK(H108:BG108)=52,SUM('Capacity calculation (hide)'!H196:BG196),52-COUNTBLANK(H108:BG108)))</f>
        <v/>
      </c>
      <c r="F108" s="312" t="str">
        <f>'Capacity calculation (hide)'!BI196</f>
        <v/>
      </c>
      <c r="H108" s="366"/>
      <c r="I108" s="366"/>
      <c r="J108" s="366"/>
      <c r="K108" s="366"/>
      <c r="L108" s="366"/>
      <c r="M108" s="366"/>
      <c r="N108" s="366"/>
      <c r="O108" s="366"/>
      <c r="P108" s="366"/>
      <c r="Q108" s="366"/>
      <c r="R108" s="366"/>
      <c r="S108" s="366"/>
      <c r="T108" s="366"/>
      <c r="U108" s="366"/>
      <c r="V108" s="366"/>
      <c r="W108" s="366"/>
      <c r="X108" s="366"/>
      <c r="Y108" s="366"/>
      <c r="Z108" s="366"/>
      <c r="AA108" s="366"/>
      <c r="AB108" s="366"/>
      <c r="AC108" s="366"/>
      <c r="AD108" s="366"/>
      <c r="AE108" s="366"/>
      <c r="AF108" s="366"/>
      <c r="AG108" s="366"/>
      <c r="AH108" s="366"/>
      <c r="AI108" s="366"/>
      <c r="AJ108" s="366"/>
      <c r="AK108" s="366"/>
      <c r="AL108" s="366"/>
      <c r="AM108" s="366"/>
      <c r="AN108" s="366"/>
      <c r="AO108" s="366"/>
      <c r="AP108" s="366"/>
      <c r="AQ108" s="366"/>
      <c r="AR108" s="366"/>
      <c r="AS108" s="366"/>
      <c r="AT108" s="366"/>
      <c r="AU108" s="366"/>
      <c r="AV108" s="366"/>
      <c r="AW108" s="366"/>
      <c r="AX108" s="366"/>
      <c r="AY108" s="366"/>
      <c r="AZ108" s="366"/>
      <c r="BA108" s="366"/>
      <c r="BB108" s="366"/>
      <c r="BC108" s="366"/>
      <c r="BD108" s="366"/>
      <c r="BE108" s="366"/>
      <c r="BF108" s="366"/>
      <c r="BG108" s="366"/>
    </row>
    <row r="109" spans="2:59" hidden="1" x14ac:dyDescent="0.25">
      <c r="B109" s="220" t="str">
        <f>IF(Capacity!N102="","",Capacity!N102)</f>
        <v/>
      </c>
      <c r="C109" s="221" t="str">
        <f>IF(B109="","",Capacity!Q102)</f>
        <v/>
      </c>
      <c r="D109" s="311" t="str">
        <f>IF(B109="","",Capacity!R102)</f>
        <v/>
      </c>
      <c r="E109" s="221" t="str">
        <f>IF(B109="","",IF(COUNTBLANK(H109:BG109)=52,SUM('Capacity calculation (hide)'!H197:BG197),52-COUNTBLANK(H109:BG109)))</f>
        <v/>
      </c>
      <c r="F109" s="312" t="str">
        <f>'Capacity calculation (hide)'!BI197</f>
        <v/>
      </c>
      <c r="H109" s="366"/>
      <c r="I109" s="366"/>
      <c r="J109" s="366"/>
      <c r="K109" s="366"/>
      <c r="L109" s="366"/>
      <c r="M109" s="366"/>
      <c r="N109" s="366"/>
      <c r="O109" s="366"/>
      <c r="P109" s="366"/>
      <c r="Q109" s="366"/>
      <c r="R109" s="366"/>
      <c r="S109" s="366"/>
      <c r="T109" s="366"/>
      <c r="U109" s="366"/>
      <c r="V109" s="366"/>
      <c r="W109" s="366"/>
      <c r="X109" s="366"/>
      <c r="Y109" s="366"/>
      <c r="Z109" s="366"/>
      <c r="AA109" s="366"/>
      <c r="AB109" s="366"/>
      <c r="AC109" s="366"/>
      <c r="AD109" s="366"/>
      <c r="AE109" s="366"/>
      <c r="AF109" s="366"/>
      <c r="AG109" s="366"/>
      <c r="AH109" s="366"/>
      <c r="AI109" s="366"/>
      <c r="AJ109" s="366"/>
      <c r="AK109" s="366"/>
      <c r="AL109" s="366"/>
      <c r="AM109" s="366"/>
      <c r="AN109" s="366"/>
      <c r="AO109" s="366"/>
      <c r="AP109" s="366"/>
      <c r="AQ109" s="366"/>
      <c r="AR109" s="366"/>
      <c r="AS109" s="366"/>
      <c r="AT109" s="366"/>
      <c r="AU109" s="366"/>
      <c r="AV109" s="366"/>
      <c r="AW109" s="366"/>
      <c r="AX109" s="366"/>
      <c r="AY109" s="366"/>
      <c r="AZ109" s="366"/>
      <c r="BA109" s="366"/>
      <c r="BB109" s="366"/>
      <c r="BC109" s="366"/>
      <c r="BD109" s="366"/>
      <c r="BE109" s="366"/>
      <c r="BF109" s="366"/>
      <c r="BG109" s="366"/>
    </row>
    <row r="110" spans="2:59" hidden="1" x14ac:dyDescent="0.25">
      <c r="B110" s="220" t="str">
        <f>IF(Capacity!N103="","",Capacity!N103)</f>
        <v/>
      </c>
      <c r="C110" s="221" t="str">
        <f>IF(B110="","",Capacity!Q103)</f>
        <v/>
      </c>
      <c r="D110" s="311" t="str">
        <f>IF(B110="","",Capacity!R103)</f>
        <v/>
      </c>
      <c r="E110" s="221" t="str">
        <f>IF(B110="","",IF(COUNTBLANK(H110:BG110)=52,SUM('Capacity calculation (hide)'!H198:BG198),52-COUNTBLANK(H110:BG110)))</f>
        <v/>
      </c>
      <c r="F110" s="312" t="str">
        <f>'Capacity calculation (hide)'!BI198</f>
        <v/>
      </c>
      <c r="H110" s="366"/>
      <c r="I110" s="366"/>
      <c r="J110" s="366"/>
      <c r="K110" s="366"/>
      <c r="L110" s="366"/>
      <c r="M110" s="366"/>
      <c r="N110" s="366"/>
      <c r="O110" s="366"/>
      <c r="P110" s="366"/>
      <c r="Q110" s="366"/>
      <c r="R110" s="366"/>
      <c r="S110" s="366"/>
      <c r="T110" s="366"/>
      <c r="U110" s="366"/>
      <c r="V110" s="366"/>
      <c r="W110" s="366"/>
      <c r="X110" s="366"/>
      <c r="Y110" s="366"/>
      <c r="Z110" s="366"/>
      <c r="AA110" s="366"/>
      <c r="AB110" s="366"/>
      <c r="AC110" s="366"/>
      <c r="AD110" s="366"/>
      <c r="AE110" s="366"/>
      <c r="AF110" s="366"/>
      <c r="AG110" s="366"/>
      <c r="AH110" s="366"/>
      <c r="AI110" s="366"/>
      <c r="AJ110" s="366"/>
      <c r="AK110" s="366"/>
      <c r="AL110" s="366"/>
      <c r="AM110" s="366"/>
      <c r="AN110" s="366"/>
      <c r="AO110" s="366"/>
      <c r="AP110" s="366"/>
      <c r="AQ110" s="366"/>
      <c r="AR110" s="366"/>
      <c r="AS110" s="366"/>
      <c r="AT110" s="366"/>
      <c r="AU110" s="366"/>
      <c r="AV110" s="366"/>
      <c r="AW110" s="366"/>
      <c r="AX110" s="366"/>
      <c r="AY110" s="366"/>
      <c r="AZ110" s="366"/>
      <c r="BA110" s="366"/>
      <c r="BB110" s="366"/>
      <c r="BC110" s="366"/>
      <c r="BD110" s="366"/>
      <c r="BE110" s="366"/>
      <c r="BF110" s="366"/>
      <c r="BG110" s="366"/>
    </row>
    <row r="111" spans="2:59" hidden="1" x14ac:dyDescent="0.25">
      <c r="B111" s="220" t="str">
        <f>IF(Capacity!N104="","",Capacity!N104)</f>
        <v/>
      </c>
      <c r="C111" s="221" t="str">
        <f>IF(B111="","",Capacity!Q104)</f>
        <v/>
      </c>
      <c r="D111" s="311" t="str">
        <f>IF(B111="","",Capacity!R104)</f>
        <v/>
      </c>
      <c r="E111" s="221" t="str">
        <f>IF(B111="","",IF(COUNTBLANK(H111:BG111)=52,SUM('Capacity calculation (hide)'!H199:BG199),52-COUNTBLANK(H111:BG111)))</f>
        <v/>
      </c>
      <c r="F111" s="312" t="str">
        <f>'Capacity calculation (hide)'!BI199</f>
        <v/>
      </c>
      <c r="H111" s="366"/>
      <c r="I111" s="366"/>
      <c r="J111" s="366"/>
      <c r="K111" s="366"/>
      <c r="L111" s="366"/>
      <c r="M111" s="366"/>
      <c r="N111" s="366"/>
      <c r="O111" s="366"/>
      <c r="P111" s="366"/>
      <c r="Q111" s="366"/>
      <c r="R111" s="366"/>
      <c r="S111" s="366"/>
      <c r="T111" s="366"/>
      <c r="U111" s="366"/>
      <c r="V111" s="366"/>
      <c r="W111" s="366"/>
      <c r="X111" s="366"/>
      <c r="Y111" s="366"/>
      <c r="Z111" s="366"/>
      <c r="AA111" s="366"/>
      <c r="AB111" s="366"/>
      <c r="AC111" s="366"/>
      <c r="AD111" s="366"/>
      <c r="AE111" s="366"/>
      <c r="AF111" s="366"/>
      <c r="AG111" s="366"/>
      <c r="AH111" s="366"/>
      <c r="AI111" s="366"/>
      <c r="AJ111" s="366"/>
      <c r="AK111" s="366"/>
      <c r="AL111" s="366"/>
      <c r="AM111" s="366"/>
      <c r="AN111" s="366"/>
      <c r="AO111" s="366"/>
      <c r="AP111" s="366"/>
      <c r="AQ111" s="366"/>
      <c r="AR111" s="366"/>
      <c r="AS111" s="366"/>
      <c r="AT111" s="366"/>
      <c r="AU111" s="366"/>
      <c r="AV111" s="366"/>
      <c r="AW111" s="366"/>
      <c r="AX111" s="366"/>
      <c r="AY111" s="366"/>
      <c r="AZ111" s="366"/>
      <c r="BA111" s="366"/>
      <c r="BB111" s="366"/>
      <c r="BC111" s="366"/>
      <c r="BD111" s="366"/>
      <c r="BE111" s="366"/>
      <c r="BF111" s="366"/>
      <c r="BG111" s="366"/>
    </row>
    <row r="112" spans="2:59" hidden="1" x14ac:dyDescent="0.25">
      <c r="B112" s="220" t="str">
        <f>IF(Capacity!N105="","",Capacity!N105)</f>
        <v/>
      </c>
      <c r="C112" s="221" t="str">
        <f>IF(B112="","",Capacity!Q105)</f>
        <v/>
      </c>
      <c r="D112" s="311" t="str">
        <f>IF(B112="","",Capacity!R105)</f>
        <v/>
      </c>
      <c r="E112" s="221" t="str">
        <f>IF(B112="","",IF(COUNTBLANK(H112:BG112)=52,SUM('Capacity calculation (hide)'!H200:BG200),52-COUNTBLANK(H112:BG112)))</f>
        <v/>
      </c>
      <c r="F112" s="312" t="str">
        <f>'Capacity calculation (hide)'!BI200</f>
        <v/>
      </c>
      <c r="H112" s="366"/>
      <c r="I112" s="366"/>
      <c r="J112" s="366"/>
      <c r="K112" s="366"/>
      <c r="L112" s="366"/>
      <c r="M112" s="366"/>
      <c r="N112" s="366"/>
      <c r="O112" s="366"/>
      <c r="P112" s="366"/>
      <c r="Q112" s="366"/>
      <c r="R112" s="366"/>
      <c r="S112" s="366"/>
      <c r="T112" s="366"/>
      <c r="U112" s="366"/>
      <c r="V112" s="366"/>
      <c r="W112" s="366"/>
      <c r="X112" s="366"/>
      <c r="Y112" s="366"/>
      <c r="Z112" s="366"/>
      <c r="AA112" s="366"/>
      <c r="AB112" s="366"/>
      <c r="AC112" s="366"/>
      <c r="AD112" s="366"/>
      <c r="AE112" s="366"/>
      <c r="AF112" s="366"/>
      <c r="AG112" s="366"/>
      <c r="AH112" s="366"/>
      <c r="AI112" s="366"/>
      <c r="AJ112" s="366"/>
      <c r="AK112" s="366"/>
      <c r="AL112" s="366"/>
      <c r="AM112" s="366"/>
      <c r="AN112" s="366"/>
      <c r="AO112" s="366"/>
      <c r="AP112" s="366"/>
      <c r="AQ112" s="366"/>
      <c r="AR112" s="366"/>
      <c r="AS112" s="366"/>
      <c r="AT112" s="366"/>
      <c r="AU112" s="366"/>
      <c r="AV112" s="366"/>
      <c r="AW112" s="366"/>
      <c r="AX112" s="366"/>
      <c r="AY112" s="366"/>
      <c r="AZ112" s="366"/>
      <c r="BA112" s="366"/>
      <c r="BB112" s="366"/>
      <c r="BC112" s="366"/>
      <c r="BD112" s="366"/>
      <c r="BE112" s="366"/>
      <c r="BF112" s="366"/>
      <c r="BG112" s="366"/>
    </row>
    <row r="113" spans="2:59" hidden="1" x14ac:dyDescent="0.25">
      <c r="B113" s="220" t="str">
        <f>IF(Capacity!N106="","",Capacity!N106)</f>
        <v/>
      </c>
      <c r="C113" s="221" t="str">
        <f>IF(B113="","",Capacity!Q106)</f>
        <v/>
      </c>
      <c r="D113" s="311" t="str">
        <f>IF(B113="","",Capacity!R106)</f>
        <v/>
      </c>
      <c r="E113" s="221" t="str">
        <f>IF(B113="","",IF(COUNTBLANK(H113:BG113)=52,SUM('Capacity calculation (hide)'!H201:BG201),52-COUNTBLANK(H113:BG113)))</f>
        <v/>
      </c>
      <c r="F113" s="312" t="str">
        <f>'Capacity calculation (hide)'!BI201</f>
        <v/>
      </c>
      <c r="H113" s="366"/>
      <c r="I113" s="366"/>
      <c r="J113" s="366"/>
      <c r="K113" s="366"/>
      <c r="L113" s="366"/>
      <c r="M113" s="366"/>
      <c r="N113" s="366"/>
      <c r="O113" s="366"/>
      <c r="P113" s="366"/>
      <c r="Q113" s="366"/>
      <c r="R113" s="366"/>
      <c r="S113" s="366"/>
      <c r="T113" s="366"/>
      <c r="U113" s="366"/>
      <c r="V113" s="366"/>
      <c r="W113" s="366"/>
      <c r="X113" s="366"/>
      <c r="Y113" s="366"/>
      <c r="Z113" s="366"/>
      <c r="AA113" s="366"/>
      <c r="AB113" s="366"/>
      <c r="AC113" s="366"/>
      <c r="AD113" s="366"/>
      <c r="AE113" s="366"/>
      <c r="AF113" s="366"/>
      <c r="AG113" s="366"/>
      <c r="AH113" s="366"/>
      <c r="AI113" s="366"/>
      <c r="AJ113" s="366"/>
      <c r="AK113" s="366"/>
      <c r="AL113" s="366"/>
      <c r="AM113" s="366"/>
      <c r="AN113" s="366"/>
      <c r="AO113" s="366"/>
      <c r="AP113" s="366"/>
      <c r="AQ113" s="366"/>
      <c r="AR113" s="366"/>
      <c r="AS113" s="366"/>
      <c r="AT113" s="366"/>
      <c r="AU113" s="366"/>
      <c r="AV113" s="366"/>
      <c r="AW113" s="366"/>
      <c r="AX113" s="366"/>
      <c r="AY113" s="366"/>
      <c r="AZ113" s="366"/>
      <c r="BA113" s="366"/>
      <c r="BB113" s="366"/>
      <c r="BC113" s="366"/>
      <c r="BD113" s="366"/>
      <c r="BE113" s="366"/>
      <c r="BF113" s="366"/>
      <c r="BG113" s="366"/>
    </row>
    <row r="114" spans="2:59" hidden="1" x14ac:dyDescent="0.25">
      <c r="B114" s="220" t="str">
        <f>IF(Capacity!N107="","",Capacity!N107)</f>
        <v/>
      </c>
      <c r="C114" s="221" t="str">
        <f>IF(B114="","",Capacity!Q107)</f>
        <v/>
      </c>
      <c r="D114" s="311" t="str">
        <f>IF(B114="","",Capacity!R107)</f>
        <v/>
      </c>
      <c r="E114" s="221" t="str">
        <f>IF(B114="","",IF(COUNTBLANK(H114:BG114)=52,SUM('Capacity calculation (hide)'!H202:BG202),52-COUNTBLANK(H114:BG114)))</f>
        <v/>
      </c>
      <c r="F114" s="312" t="str">
        <f>'Capacity calculation (hide)'!BI202</f>
        <v/>
      </c>
      <c r="H114" s="366"/>
      <c r="I114" s="366"/>
      <c r="J114" s="366"/>
      <c r="K114" s="366"/>
      <c r="L114" s="366"/>
      <c r="M114" s="366"/>
      <c r="N114" s="366"/>
      <c r="O114" s="366"/>
      <c r="P114" s="366"/>
      <c r="Q114" s="366"/>
      <c r="R114" s="366"/>
      <c r="S114" s="366"/>
      <c r="T114" s="366"/>
      <c r="U114" s="366"/>
      <c r="V114" s="366"/>
      <c r="W114" s="366"/>
      <c r="X114" s="366"/>
      <c r="Y114" s="366"/>
      <c r="Z114" s="366"/>
      <c r="AA114" s="366"/>
      <c r="AB114" s="366"/>
      <c r="AC114" s="366"/>
      <c r="AD114" s="366"/>
      <c r="AE114" s="366"/>
      <c r="AF114" s="366"/>
      <c r="AG114" s="366"/>
      <c r="AH114" s="366"/>
      <c r="AI114" s="366"/>
      <c r="AJ114" s="366"/>
      <c r="AK114" s="366"/>
      <c r="AL114" s="366"/>
      <c r="AM114" s="366"/>
      <c r="AN114" s="366"/>
      <c r="AO114" s="366"/>
      <c r="AP114" s="366"/>
      <c r="AQ114" s="366"/>
      <c r="AR114" s="366"/>
      <c r="AS114" s="366"/>
      <c r="AT114" s="366"/>
      <c r="AU114" s="366"/>
      <c r="AV114" s="366"/>
      <c r="AW114" s="366"/>
      <c r="AX114" s="366"/>
      <c r="AY114" s="366"/>
      <c r="AZ114" s="366"/>
      <c r="BA114" s="366"/>
      <c r="BB114" s="366"/>
      <c r="BC114" s="366"/>
      <c r="BD114" s="366"/>
      <c r="BE114" s="366"/>
      <c r="BF114" s="366"/>
      <c r="BG114" s="366"/>
    </row>
    <row r="115" spans="2:59" hidden="1" x14ac:dyDescent="0.25">
      <c r="B115" s="220" t="str">
        <f>IF(Capacity!N108="","",Capacity!N108)</f>
        <v/>
      </c>
      <c r="C115" s="221" t="str">
        <f>IF(B115="","",Capacity!Q108)</f>
        <v/>
      </c>
      <c r="D115" s="311" t="str">
        <f>IF(B115="","",Capacity!R108)</f>
        <v/>
      </c>
      <c r="E115" s="221" t="str">
        <f>IF(B115="","",IF(COUNTBLANK(H115:BG115)=52,SUM('Capacity calculation (hide)'!H203:BG203),52-COUNTBLANK(H115:BG115)))</f>
        <v/>
      </c>
      <c r="F115" s="312" t="str">
        <f>'Capacity calculation (hide)'!BI203</f>
        <v/>
      </c>
      <c r="H115" s="366"/>
      <c r="I115" s="366"/>
      <c r="J115" s="366"/>
      <c r="K115" s="366"/>
      <c r="L115" s="366"/>
      <c r="M115" s="366"/>
      <c r="N115" s="366"/>
      <c r="O115" s="366"/>
      <c r="P115" s="366"/>
      <c r="Q115" s="366"/>
      <c r="R115" s="366"/>
      <c r="S115" s="366"/>
      <c r="T115" s="366"/>
      <c r="U115" s="366"/>
      <c r="V115" s="366"/>
      <c r="W115" s="366"/>
      <c r="X115" s="366"/>
      <c r="Y115" s="366"/>
      <c r="Z115" s="366"/>
      <c r="AA115" s="366"/>
      <c r="AB115" s="366"/>
      <c r="AC115" s="366"/>
      <c r="AD115" s="366"/>
      <c r="AE115" s="366"/>
      <c r="AF115" s="366"/>
      <c r="AG115" s="366"/>
      <c r="AH115" s="366"/>
      <c r="AI115" s="366"/>
      <c r="AJ115" s="366"/>
      <c r="AK115" s="366"/>
      <c r="AL115" s="366"/>
      <c r="AM115" s="366"/>
      <c r="AN115" s="366"/>
      <c r="AO115" s="366"/>
      <c r="AP115" s="366"/>
      <c r="AQ115" s="366"/>
      <c r="AR115" s="366"/>
      <c r="AS115" s="366"/>
      <c r="AT115" s="366"/>
      <c r="AU115" s="366"/>
      <c r="AV115" s="366"/>
      <c r="AW115" s="366"/>
      <c r="AX115" s="366"/>
      <c r="AY115" s="366"/>
      <c r="AZ115" s="366"/>
      <c r="BA115" s="366"/>
      <c r="BB115" s="366"/>
      <c r="BC115" s="366"/>
      <c r="BD115" s="366"/>
      <c r="BE115" s="366"/>
      <c r="BF115" s="366"/>
      <c r="BG115" s="366"/>
    </row>
    <row r="116" spans="2:59" hidden="1" x14ac:dyDescent="0.25">
      <c r="B116" s="220" t="str">
        <f>IF(Capacity!N109="","",Capacity!N109)</f>
        <v/>
      </c>
      <c r="C116" s="221" t="str">
        <f>IF(B116="","",Capacity!Q109)</f>
        <v/>
      </c>
      <c r="D116" s="311" t="str">
        <f>IF(B116="","",Capacity!R109)</f>
        <v/>
      </c>
      <c r="E116" s="221" t="str">
        <f>IF(B116="","",IF(COUNTBLANK(H116:BG116)=52,SUM('Capacity calculation (hide)'!H204:BG204),52-COUNTBLANK(H116:BG116)))</f>
        <v/>
      </c>
      <c r="F116" s="312" t="str">
        <f>'Capacity calculation (hide)'!BI204</f>
        <v/>
      </c>
      <c r="H116" s="366"/>
      <c r="I116" s="366"/>
      <c r="J116" s="366"/>
      <c r="K116" s="366"/>
      <c r="L116" s="366"/>
      <c r="M116" s="366"/>
      <c r="N116" s="366"/>
      <c r="O116" s="366"/>
      <c r="P116" s="366"/>
      <c r="Q116" s="366"/>
      <c r="R116" s="366"/>
      <c r="S116" s="366"/>
      <c r="T116" s="366"/>
      <c r="U116" s="366"/>
      <c r="V116" s="366"/>
      <c r="W116" s="366"/>
      <c r="X116" s="366"/>
      <c r="Y116" s="366"/>
      <c r="Z116" s="366"/>
      <c r="AA116" s="366"/>
      <c r="AB116" s="366"/>
      <c r="AC116" s="366"/>
      <c r="AD116" s="366"/>
      <c r="AE116" s="366"/>
      <c r="AF116" s="366"/>
      <c r="AG116" s="366"/>
      <c r="AH116" s="366"/>
      <c r="AI116" s="366"/>
      <c r="AJ116" s="366"/>
      <c r="AK116" s="366"/>
      <c r="AL116" s="366"/>
      <c r="AM116" s="366"/>
      <c r="AN116" s="366"/>
      <c r="AO116" s="366"/>
      <c r="AP116" s="366"/>
      <c r="AQ116" s="366"/>
      <c r="AR116" s="366"/>
      <c r="AS116" s="366"/>
      <c r="AT116" s="366"/>
      <c r="AU116" s="366"/>
      <c r="AV116" s="366"/>
      <c r="AW116" s="366"/>
      <c r="AX116" s="366"/>
      <c r="AY116" s="366"/>
      <c r="AZ116" s="366"/>
      <c r="BA116" s="366"/>
      <c r="BB116" s="366"/>
      <c r="BC116" s="366"/>
      <c r="BD116" s="366"/>
      <c r="BE116" s="366"/>
      <c r="BF116" s="366"/>
      <c r="BG116" s="366"/>
    </row>
    <row r="117" spans="2:59" hidden="1" x14ac:dyDescent="0.25">
      <c r="B117" s="220" t="str">
        <f>IF(Capacity!N110="","",Capacity!N110)</f>
        <v/>
      </c>
      <c r="C117" s="221" t="str">
        <f>IF(B117="","",Capacity!Q110)</f>
        <v/>
      </c>
      <c r="D117" s="311" t="str">
        <f>IF(B117="","",Capacity!R110)</f>
        <v/>
      </c>
      <c r="E117" s="221" t="str">
        <f>IF(B117="","",IF(COUNTBLANK(H117:BG117)=52,SUM('Capacity calculation (hide)'!H205:BG205),52-COUNTBLANK(H117:BG117)))</f>
        <v/>
      </c>
      <c r="F117" s="312" t="str">
        <f>'Capacity calculation (hide)'!BI205</f>
        <v/>
      </c>
      <c r="H117" s="366"/>
      <c r="I117" s="366"/>
      <c r="J117" s="366"/>
      <c r="K117" s="366"/>
      <c r="L117" s="366"/>
      <c r="M117" s="366"/>
      <c r="N117" s="366"/>
      <c r="O117" s="366"/>
      <c r="P117" s="366"/>
      <c r="Q117" s="366"/>
      <c r="R117" s="366"/>
      <c r="S117" s="366"/>
      <c r="T117" s="366"/>
      <c r="U117" s="366"/>
      <c r="V117" s="366"/>
      <c r="W117" s="366"/>
      <c r="X117" s="366"/>
      <c r="Y117" s="366"/>
      <c r="Z117" s="366"/>
      <c r="AA117" s="366"/>
      <c r="AB117" s="366"/>
      <c r="AC117" s="366"/>
      <c r="AD117" s="366"/>
      <c r="AE117" s="366"/>
      <c r="AF117" s="366"/>
      <c r="AG117" s="366"/>
      <c r="AH117" s="366"/>
      <c r="AI117" s="366"/>
      <c r="AJ117" s="366"/>
      <c r="AK117" s="366"/>
      <c r="AL117" s="366"/>
      <c r="AM117" s="366"/>
      <c r="AN117" s="366"/>
      <c r="AO117" s="366"/>
      <c r="AP117" s="366"/>
      <c r="AQ117" s="366"/>
      <c r="AR117" s="366"/>
      <c r="AS117" s="366"/>
      <c r="AT117" s="366"/>
      <c r="AU117" s="366"/>
      <c r="AV117" s="366"/>
      <c r="AW117" s="366"/>
      <c r="AX117" s="366"/>
      <c r="AY117" s="366"/>
      <c r="AZ117" s="366"/>
      <c r="BA117" s="366"/>
      <c r="BB117" s="366"/>
      <c r="BC117" s="366"/>
      <c r="BD117" s="366"/>
      <c r="BE117" s="366"/>
      <c r="BF117" s="366"/>
      <c r="BG117" s="366"/>
    </row>
    <row r="118" spans="2:59" hidden="1" x14ac:dyDescent="0.25">
      <c r="B118" s="220" t="str">
        <f>IF(Capacity!N111="","",Capacity!N111)</f>
        <v/>
      </c>
      <c r="C118" s="221" t="str">
        <f>IF(B118="","",Capacity!Q111)</f>
        <v/>
      </c>
      <c r="D118" s="311" t="str">
        <f>IF(B118="","",Capacity!R111)</f>
        <v/>
      </c>
      <c r="E118" s="221" t="str">
        <f>IF(B118="","",IF(COUNTBLANK(H118:BG118)=52,SUM('Capacity calculation (hide)'!H206:BG206),52-COUNTBLANK(H118:BG118)))</f>
        <v/>
      </c>
      <c r="F118" s="312" t="str">
        <f>'Capacity calculation (hide)'!BI206</f>
        <v/>
      </c>
      <c r="H118" s="366"/>
      <c r="I118" s="366"/>
      <c r="J118" s="366"/>
      <c r="K118" s="366"/>
      <c r="L118" s="366"/>
      <c r="M118" s="366"/>
      <c r="N118" s="366"/>
      <c r="O118" s="366"/>
      <c r="P118" s="366"/>
      <c r="Q118" s="366"/>
      <c r="R118" s="366"/>
      <c r="S118" s="366"/>
      <c r="T118" s="366"/>
      <c r="U118" s="366"/>
      <c r="V118" s="366"/>
      <c r="W118" s="366"/>
      <c r="X118" s="366"/>
      <c r="Y118" s="366"/>
      <c r="Z118" s="366"/>
      <c r="AA118" s="366"/>
      <c r="AB118" s="366"/>
      <c r="AC118" s="366"/>
      <c r="AD118" s="366"/>
      <c r="AE118" s="366"/>
      <c r="AF118" s="366"/>
      <c r="AG118" s="366"/>
      <c r="AH118" s="366"/>
      <c r="AI118" s="366"/>
      <c r="AJ118" s="366"/>
      <c r="AK118" s="366"/>
      <c r="AL118" s="366"/>
      <c r="AM118" s="366"/>
      <c r="AN118" s="366"/>
      <c r="AO118" s="366"/>
      <c r="AP118" s="366"/>
      <c r="AQ118" s="366"/>
      <c r="AR118" s="366"/>
      <c r="AS118" s="366"/>
      <c r="AT118" s="366"/>
      <c r="AU118" s="366"/>
      <c r="AV118" s="366"/>
      <c r="AW118" s="366"/>
      <c r="AX118" s="366"/>
      <c r="AY118" s="366"/>
      <c r="AZ118" s="366"/>
      <c r="BA118" s="366"/>
      <c r="BB118" s="366"/>
      <c r="BC118" s="366"/>
      <c r="BD118" s="366"/>
      <c r="BE118" s="366"/>
      <c r="BF118" s="366"/>
      <c r="BG118" s="366"/>
    </row>
    <row r="119" spans="2:59" hidden="1" x14ac:dyDescent="0.25">
      <c r="B119" s="220" t="str">
        <f>IF(Capacity!N112="","",Capacity!N112)</f>
        <v/>
      </c>
      <c r="C119" s="221" t="str">
        <f>IF(B119="","",Capacity!Q112)</f>
        <v/>
      </c>
      <c r="D119" s="311" t="str">
        <f>IF(B119="","",Capacity!R112)</f>
        <v/>
      </c>
      <c r="E119" s="221" t="str">
        <f>IF(B119="","",IF(COUNTBLANK(H119:BG119)=52,SUM('Capacity calculation (hide)'!H207:BG207),52-COUNTBLANK(H119:BG119)))</f>
        <v/>
      </c>
      <c r="F119" s="312" t="str">
        <f>'Capacity calculation (hide)'!BI207</f>
        <v/>
      </c>
      <c r="H119" s="366"/>
      <c r="I119" s="366"/>
      <c r="J119" s="366"/>
      <c r="K119" s="366"/>
      <c r="L119" s="366"/>
      <c r="M119" s="366"/>
      <c r="N119" s="366"/>
      <c r="O119" s="366"/>
      <c r="P119" s="366"/>
      <c r="Q119" s="366"/>
      <c r="R119" s="366"/>
      <c r="S119" s="366"/>
      <c r="T119" s="366"/>
      <c r="U119" s="366"/>
      <c r="V119" s="366"/>
      <c r="W119" s="366"/>
      <c r="X119" s="366"/>
      <c r="Y119" s="366"/>
      <c r="Z119" s="366"/>
      <c r="AA119" s="366"/>
      <c r="AB119" s="366"/>
      <c r="AC119" s="366"/>
      <c r="AD119" s="366"/>
      <c r="AE119" s="366"/>
      <c r="AF119" s="366"/>
      <c r="AG119" s="366"/>
      <c r="AH119" s="366"/>
      <c r="AI119" s="366"/>
      <c r="AJ119" s="366"/>
      <c r="AK119" s="366"/>
      <c r="AL119" s="366"/>
      <c r="AM119" s="366"/>
      <c r="AN119" s="366"/>
      <c r="AO119" s="366"/>
      <c r="AP119" s="366"/>
      <c r="AQ119" s="366"/>
      <c r="AR119" s="366"/>
      <c r="AS119" s="366"/>
      <c r="AT119" s="366"/>
      <c r="AU119" s="366"/>
      <c r="AV119" s="366"/>
      <c r="AW119" s="366"/>
      <c r="AX119" s="366"/>
      <c r="AY119" s="366"/>
      <c r="AZ119" s="366"/>
      <c r="BA119" s="366"/>
      <c r="BB119" s="366"/>
      <c r="BC119" s="366"/>
      <c r="BD119" s="366"/>
      <c r="BE119" s="366"/>
      <c r="BF119" s="366"/>
      <c r="BG119" s="366"/>
    </row>
    <row r="120" spans="2:59" hidden="1" x14ac:dyDescent="0.25">
      <c r="B120" s="220" t="str">
        <f>IF(Capacity!N113="","",Capacity!N113)</f>
        <v/>
      </c>
      <c r="C120" s="221" t="str">
        <f>IF(B120="","",Capacity!Q113)</f>
        <v/>
      </c>
      <c r="D120" s="311" t="str">
        <f>IF(B120="","",Capacity!R113)</f>
        <v/>
      </c>
      <c r="E120" s="221" t="str">
        <f>IF(B120="","",IF(COUNTBLANK(H120:BG120)=52,SUM('Capacity calculation (hide)'!H208:BG208),52-COUNTBLANK(H120:BG120)))</f>
        <v/>
      </c>
      <c r="F120" s="312" t="str">
        <f>'Capacity calculation (hide)'!BI208</f>
        <v/>
      </c>
      <c r="H120" s="366"/>
      <c r="I120" s="366"/>
      <c r="J120" s="366"/>
      <c r="K120" s="366"/>
      <c r="L120" s="366"/>
      <c r="M120" s="366"/>
      <c r="N120" s="366"/>
      <c r="O120" s="366"/>
      <c r="P120" s="366"/>
      <c r="Q120" s="366"/>
      <c r="R120" s="366"/>
      <c r="S120" s="366"/>
      <c r="T120" s="366"/>
      <c r="U120" s="366"/>
      <c r="V120" s="366"/>
      <c r="W120" s="366"/>
      <c r="X120" s="366"/>
      <c r="Y120" s="366"/>
      <c r="Z120" s="366"/>
      <c r="AA120" s="366"/>
      <c r="AB120" s="366"/>
      <c r="AC120" s="366"/>
      <c r="AD120" s="366"/>
      <c r="AE120" s="366"/>
      <c r="AF120" s="366"/>
      <c r="AG120" s="366"/>
      <c r="AH120" s="366"/>
      <c r="AI120" s="366"/>
      <c r="AJ120" s="366"/>
      <c r="AK120" s="366"/>
      <c r="AL120" s="366"/>
      <c r="AM120" s="366"/>
      <c r="AN120" s="366"/>
      <c r="AO120" s="366"/>
      <c r="AP120" s="366"/>
      <c r="AQ120" s="366"/>
      <c r="AR120" s="366"/>
      <c r="AS120" s="366"/>
      <c r="AT120" s="366"/>
      <c r="AU120" s="366"/>
      <c r="AV120" s="366"/>
      <c r="AW120" s="366"/>
      <c r="AX120" s="366"/>
      <c r="AY120" s="366"/>
      <c r="AZ120" s="366"/>
      <c r="BA120" s="366"/>
      <c r="BB120" s="366"/>
      <c r="BC120" s="366"/>
      <c r="BD120" s="366"/>
      <c r="BE120" s="366"/>
      <c r="BF120" s="366"/>
      <c r="BG120" s="366"/>
    </row>
    <row r="121" spans="2:59" hidden="1" x14ac:dyDescent="0.25">
      <c r="B121" s="220" t="str">
        <f>IF(Capacity!N114="","",Capacity!N114)</f>
        <v/>
      </c>
      <c r="C121" s="221" t="str">
        <f>IF(B121="","",Capacity!Q114)</f>
        <v/>
      </c>
      <c r="D121" s="311" t="str">
        <f>IF(B121="","",Capacity!R114)</f>
        <v/>
      </c>
      <c r="E121" s="221" t="str">
        <f>IF(B121="","",IF(COUNTBLANK(H121:BG121)=52,SUM('Capacity calculation (hide)'!H209:BG209),52-COUNTBLANK(H121:BG121)))</f>
        <v/>
      </c>
      <c r="F121" s="312" t="str">
        <f>'Capacity calculation (hide)'!BI209</f>
        <v/>
      </c>
      <c r="H121" s="366"/>
      <c r="I121" s="366"/>
      <c r="J121" s="366"/>
      <c r="K121" s="366"/>
      <c r="L121" s="366"/>
      <c r="M121" s="366"/>
      <c r="N121" s="366"/>
      <c r="O121" s="366"/>
      <c r="P121" s="366"/>
      <c r="Q121" s="366"/>
      <c r="R121" s="366"/>
      <c r="S121" s="366"/>
      <c r="T121" s="366"/>
      <c r="U121" s="366"/>
      <c r="V121" s="366"/>
      <c r="W121" s="366"/>
      <c r="X121" s="366"/>
      <c r="Y121" s="366"/>
      <c r="Z121" s="366"/>
      <c r="AA121" s="366"/>
      <c r="AB121" s="366"/>
      <c r="AC121" s="366"/>
      <c r="AD121" s="366"/>
      <c r="AE121" s="366"/>
      <c r="AF121" s="366"/>
      <c r="AG121" s="366"/>
      <c r="AH121" s="366"/>
      <c r="AI121" s="366"/>
      <c r="AJ121" s="366"/>
      <c r="AK121" s="366"/>
      <c r="AL121" s="366"/>
      <c r="AM121" s="366"/>
      <c r="AN121" s="366"/>
      <c r="AO121" s="366"/>
      <c r="AP121" s="366"/>
      <c r="AQ121" s="366"/>
      <c r="AR121" s="366"/>
      <c r="AS121" s="366"/>
      <c r="AT121" s="366"/>
      <c r="AU121" s="366"/>
      <c r="AV121" s="366"/>
      <c r="AW121" s="366"/>
      <c r="AX121" s="366"/>
      <c r="AY121" s="366"/>
      <c r="AZ121" s="366"/>
      <c r="BA121" s="366"/>
      <c r="BB121" s="366"/>
      <c r="BC121" s="366"/>
      <c r="BD121" s="366"/>
      <c r="BE121" s="366"/>
      <c r="BF121" s="366"/>
      <c r="BG121" s="366"/>
    </row>
    <row r="122" spans="2:59" hidden="1" x14ac:dyDescent="0.25">
      <c r="B122" s="220" t="str">
        <f>IF(Capacity!N115="","",Capacity!N115)</f>
        <v/>
      </c>
      <c r="C122" s="221" t="str">
        <f>IF(B122="","",Capacity!Q115)</f>
        <v/>
      </c>
      <c r="D122" s="311" t="str">
        <f>IF(B122="","",Capacity!R115)</f>
        <v/>
      </c>
      <c r="E122" s="221" t="str">
        <f>IF(B122="","",IF(COUNTBLANK(H122:BG122)=52,SUM('Capacity calculation (hide)'!H210:BG210),52-COUNTBLANK(H122:BG122)))</f>
        <v/>
      </c>
      <c r="F122" s="312" t="str">
        <f>'Capacity calculation (hide)'!BI210</f>
        <v/>
      </c>
      <c r="H122" s="366"/>
      <c r="I122" s="366"/>
      <c r="J122" s="366"/>
      <c r="K122" s="366"/>
      <c r="L122" s="366"/>
      <c r="M122" s="366"/>
      <c r="N122" s="366"/>
      <c r="O122" s="366"/>
      <c r="P122" s="366"/>
      <c r="Q122" s="366"/>
      <c r="R122" s="366"/>
      <c r="S122" s="366"/>
      <c r="T122" s="366"/>
      <c r="U122" s="366"/>
      <c r="V122" s="366"/>
      <c r="W122" s="366"/>
      <c r="X122" s="366"/>
      <c r="Y122" s="366"/>
      <c r="Z122" s="366"/>
      <c r="AA122" s="366"/>
      <c r="AB122" s="366"/>
      <c r="AC122" s="366"/>
      <c r="AD122" s="366"/>
      <c r="AE122" s="366"/>
      <c r="AF122" s="366"/>
      <c r="AG122" s="366"/>
      <c r="AH122" s="366"/>
      <c r="AI122" s="366"/>
      <c r="AJ122" s="366"/>
      <c r="AK122" s="366"/>
      <c r="AL122" s="366"/>
      <c r="AM122" s="366"/>
      <c r="AN122" s="366"/>
      <c r="AO122" s="366"/>
      <c r="AP122" s="366"/>
      <c r="AQ122" s="366"/>
      <c r="AR122" s="366"/>
      <c r="AS122" s="366"/>
      <c r="AT122" s="366"/>
      <c r="AU122" s="366"/>
      <c r="AV122" s="366"/>
      <c r="AW122" s="366"/>
      <c r="AX122" s="366"/>
      <c r="AY122" s="366"/>
      <c r="AZ122" s="366"/>
      <c r="BA122" s="366"/>
      <c r="BB122" s="366"/>
      <c r="BC122" s="366"/>
      <c r="BD122" s="366"/>
      <c r="BE122" s="366"/>
      <c r="BF122" s="366"/>
      <c r="BG122" s="366"/>
    </row>
    <row r="123" spans="2:59" hidden="1" x14ac:dyDescent="0.25">
      <c r="B123" s="220" t="str">
        <f>IF(Capacity!N116="","",Capacity!N116)</f>
        <v/>
      </c>
      <c r="C123" s="221" t="str">
        <f>IF(B123="","",Capacity!Q116)</f>
        <v/>
      </c>
      <c r="D123" s="311" t="str">
        <f>IF(B123="","",Capacity!R116)</f>
        <v/>
      </c>
      <c r="E123" s="221" t="str">
        <f>IF(B123="","",IF(COUNTBLANK(H123:BG123)=52,SUM('Capacity calculation (hide)'!H211:BG211),52-COUNTBLANK(H123:BG123)))</f>
        <v/>
      </c>
      <c r="F123" s="312" t="str">
        <f>'Capacity calculation (hide)'!BI211</f>
        <v/>
      </c>
      <c r="H123" s="366"/>
      <c r="I123" s="366"/>
      <c r="J123" s="366"/>
      <c r="K123" s="366"/>
      <c r="L123" s="366"/>
      <c r="M123" s="366"/>
      <c r="N123" s="366"/>
      <c r="O123" s="366"/>
      <c r="P123" s="366"/>
      <c r="Q123" s="366"/>
      <c r="R123" s="366"/>
      <c r="S123" s="366"/>
      <c r="T123" s="366"/>
      <c r="U123" s="366"/>
      <c r="V123" s="366"/>
      <c r="W123" s="366"/>
      <c r="X123" s="366"/>
      <c r="Y123" s="366"/>
      <c r="Z123" s="366"/>
      <c r="AA123" s="366"/>
      <c r="AB123" s="366"/>
      <c r="AC123" s="366"/>
      <c r="AD123" s="366"/>
      <c r="AE123" s="366"/>
      <c r="AF123" s="366"/>
      <c r="AG123" s="366"/>
      <c r="AH123" s="366"/>
      <c r="AI123" s="366"/>
      <c r="AJ123" s="366"/>
      <c r="AK123" s="366"/>
      <c r="AL123" s="366"/>
      <c r="AM123" s="366"/>
      <c r="AN123" s="366"/>
      <c r="AO123" s="366"/>
      <c r="AP123" s="366"/>
      <c r="AQ123" s="366"/>
      <c r="AR123" s="366"/>
      <c r="AS123" s="366"/>
      <c r="AT123" s="366"/>
      <c r="AU123" s="366"/>
      <c r="AV123" s="366"/>
      <c r="AW123" s="366"/>
      <c r="AX123" s="366"/>
      <c r="AY123" s="366"/>
      <c r="AZ123" s="366"/>
      <c r="BA123" s="366"/>
      <c r="BB123" s="366"/>
      <c r="BC123" s="366"/>
      <c r="BD123" s="366"/>
      <c r="BE123" s="366"/>
      <c r="BF123" s="366"/>
      <c r="BG123" s="366"/>
    </row>
    <row r="124" spans="2:59" x14ac:dyDescent="0.25">
      <c r="B124" s="67" t="str">
        <f>IF(Capacity!B17="","",Capacity!B17)</f>
        <v>Clinic 1</v>
      </c>
      <c r="C124" s="221">
        <f>IF(B124="","",Capacity!E17)</f>
        <v>42</v>
      </c>
      <c r="D124" s="311">
        <f>IF(B124="","",Capacity!F17)</f>
        <v>100</v>
      </c>
      <c r="E124" s="221">
        <f>IF(B124="","",IF(COUNTBLANK(H124:BG124)=52,SUM('Capacity calculation (hide)'!H5:BG5),52-COUNTBLANK(H124:BG124)))</f>
        <v>52</v>
      </c>
      <c r="F124" s="312">
        <f>'Capacity calculation (hide)'!BI5</f>
        <v>80.769230769230774</v>
      </c>
      <c r="H124" s="366">
        <v>20</v>
      </c>
      <c r="I124" s="366">
        <v>20</v>
      </c>
      <c r="J124" s="366">
        <v>20</v>
      </c>
      <c r="K124" s="366">
        <v>20</v>
      </c>
      <c r="L124" s="366">
        <v>20</v>
      </c>
      <c r="M124" s="366">
        <v>20</v>
      </c>
      <c r="N124" s="366">
        <v>40</v>
      </c>
      <c r="O124" s="366">
        <v>80</v>
      </c>
      <c r="P124" s="366">
        <v>100</v>
      </c>
      <c r="Q124" s="366">
        <v>100</v>
      </c>
      <c r="R124" s="366">
        <v>100</v>
      </c>
      <c r="S124" s="366">
        <v>100</v>
      </c>
      <c r="T124" s="366" t="s">
        <v>1182</v>
      </c>
      <c r="U124" s="366" t="s">
        <v>1182</v>
      </c>
      <c r="V124" s="366" t="s">
        <v>1182</v>
      </c>
      <c r="W124" s="366" t="s">
        <v>1182</v>
      </c>
      <c r="X124" s="366" t="s">
        <v>1182</v>
      </c>
      <c r="Y124" s="366" t="s">
        <v>1182</v>
      </c>
      <c r="Z124" s="366" t="s">
        <v>1182</v>
      </c>
      <c r="AA124" s="366" t="s">
        <v>1182</v>
      </c>
      <c r="AB124" s="366" t="s">
        <v>1182</v>
      </c>
      <c r="AC124" s="366" t="s">
        <v>1182</v>
      </c>
      <c r="AD124" s="366" t="s">
        <v>1182</v>
      </c>
      <c r="AE124" s="366" t="s">
        <v>1182</v>
      </c>
      <c r="AF124" s="366" t="s">
        <v>1182</v>
      </c>
      <c r="AG124" s="366" t="s">
        <v>1182</v>
      </c>
      <c r="AH124" s="366" t="s">
        <v>1182</v>
      </c>
      <c r="AI124" s="366" t="s">
        <v>1182</v>
      </c>
      <c r="AJ124" s="366" t="s">
        <v>1182</v>
      </c>
      <c r="AK124" s="366" t="s">
        <v>1182</v>
      </c>
      <c r="AL124" s="366" t="s">
        <v>1182</v>
      </c>
      <c r="AM124" s="366" t="s">
        <v>1182</v>
      </c>
      <c r="AN124" s="366" t="s">
        <v>1182</v>
      </c>
      <c r="AO124" s="366" t="s">
        <v>1182</v>
      </c>
      <c r="AP124" s="366" t="s">
        <v>1182</v>
      </c>
      <c r="AQ124" s="366" t="s">
        <v>1182</v>
      </c>
      <c r="AR124" s="366" t="s">
        <v>1182</v>
      </c>
      <c r="AS124" s="366" t="s">
        <v>1182</v>
      </c>
      <c r="AT124" s="366" t="s">
        <v>1182</v>
      </c>
      <c r="AU124" s="366" t="s">
        <v>1182</v>
      </c>
      <c r="AV124" s="366" t="s">
        <v>1182</v>
      </c>
      <c r="AW124" s="366" t="s">
        <v>1182</v>
      </c>
      <c r="AX124" s="366" t="s">
        <v>1182</v>
      </c>
      <c r="AY124" s="366" t="s">
        <v>1182</v>
      </c>
      <c r="AZ124" s="366" t="s">
        <v>1182</v>
      </c>
      <c r="BA124" s="366" t="s">
        <v>1182</v>
      </c>
      <c r="BB124" s="366" t="s">
        <v>1182</v>
      </c>
      <c r="BC124" s="366" t="s">
        <v>1182</v>
      </c>
      <c r="BD124" s="366" t="s">
        <v>1182</v>
      </c>
      <c r="BE124" s="366" t="s">
        <v>1182</v>
      </c>
      <c r="BF124" s="366" t="s">
        <v>1182</v>
      </c>
      <c r="BG124" s="366" t="s">
        <v>1182</v>
      </c>
    </row>
    <row r="125" spans="2:59" x14ac:dyDescent="0.25">
      <c r="B125" s="67" t="str">
        <f>IF(Capacity!B18="","",Capacity!B18)</f>
        <v/>
      </c>
      <c r="C125" s="221" t="str">
        <f>IF(B125="","",Capacity!E18)</f>
        <v/>
      </c>
      <c r="D125" s="311" t="str">
        <f>IF(B125="","",Capacity!F18)</f>
        <v/>
      </c>
      <c r="E125" s="221" t="str">
        <f>IF(B125="","",IF(COUNTBLANK(H125:BG125)=52,SUM('Capacity calculation (hide)'!H6:BG6),52-COUNTBLANK(H125:BG125)))</f>
        <v/>
      </c>
      <c r="F125" s="312" t="str">
        <f>'Capacity calculation (hide)'!BI6</f>
        <v/>
      </c>
      <c r="H125" s="366"/>
      <c r="I125" s="366"/>
      <c r="J125" s="366"/>
      <c r="K125" s="366"/>
      <c r="L125" s="366"/>
      <c r="M125" s="366"/>
      <c r="N125" s="366"/>
      <c r="O125" s="366"/>
      <c r="P125" s="366"/>
      <c r="Q125" s="366"/>
      <c r="R125" s="366"/>
      <c r="S125" s="366"/>
      <c r="T125" s="366"/>
      <c r="U125" s="366"/>
      <c r="V125" s="366"/>
      <c r="W125" s="366"/>
      <c r="X125" s="366"/>
      <c r="Y125" s="366"/>
      <c r="Z125" s="366"/>
      <c r="AA125" s="366"/>
      <c r="AB125" s="366"/>
      <c r="AC125" s="366"/>
      <c r="AD125" s="366"/>
      <c r="AE125" s="366"/>
      <c r="AF125" s="366"/>
      <c r="AG125" s="366"/>
      <c r="AH125" s="366"/>
      <c r="AI125" s="366"/>
      <c r="AJ125" s="366"/>
      <c r="AK125" s="366"/>
      <c r="AL125" s="366"/>
      <c r="AM125" s="366"/>
      <c r="AN125" s="366"/>
      <c r="AO125" s="366"/>
      <c r="AP125" s="366"/>
      <c r="AQ125" s="366"/>
      <c r="AR125" s="366"/>
      <c r="AS125" s="366"/>
      <c r="AT125" s="366"/>
      <c r="AU125" s="366"/>
      <c r="AV125" s="366"/>
      <c r="AW125" s="366"/>
      <c r="AX125" s="366"/>
      <c r="AY125" s="366"/>
      <c r="AZ125" s="366"/>
      <c r="BA125" s="366"/>
      <c r="BB125" s="366"/>
      <c r="BC125" s="366"/>
      <c r="BD125" s="366"/>
      <c r="BE125" s="366"/>
      <c r="BF125" s="366"/>
      <c r="BG125" s="366"/>
    </row>
    <row r="126" spans="2:59" x14ac:dyDescent="0.25">
      <c r="B126" s="67" t="str">
        <f>IF(Capacity!B19="","",Capacity!B19)</f>
        <v/>
      </c>
      <c r="C126" s="221" t="str">
        <f>IF(B126="","",Capacity!E19)</f>
        <v/>
      </c>
      <c r="D126" s="311" t="str">
        <f>IF(B126="","",Capacity!F19)</f>
        <v/>
      </c>
      <c r="E126" s="221" t="str">
        <f>IF(B126="","",IF(COUNTBLANK(H126:BG126)=52,SUM('Capacity calculation (hide)'!H7:BG7),52-COUNTBLANK(H126:BG126)))</f>
        <v/>
      </c>
      <c r="F126" s="312" t="str">
        <f>'Capacity calculation (hide)'!BI7</f>
        <v/>
      </c>
      <c r="H126" s="366"/>
      <c r="I126" s="366"/>
      <c r="J126" s="366"/>
      <c r="K126" s="366"/>
      <c r="L126" s="366"/>
      <c r="M126" s="366"/>
      <c r="N126" s="366"/>
      <c r="O126" s="366"/>
      <c r="P126" s="366"/>
      <c r="Q126" s="366"/>
      <c r="R126" s="366"/>
      <c r="S126" s="366"/>
      <c r="T126" s="366"/>
      <c r="U126" s="366"/>
      <c r="V126" s="366"/>
      <c r="W126" s="366"/>
      <c r="X126" s="366"/>
      <c r="Y126" s="366"/>
      <c r="Z126" s="366"/>
      <c r="AA126" s="366"/>
      <c r="AB126" s="366"/>
      <c r="AC126" s="366"/>
      <c r="AD126" s="366"/>
      <c r="AE126" s="366"/>
      <c r="AF126" s="366"/>
      <c r="AG126" s="366"/>
      <c r="AH126" s="366"/>
      <c r="AI126" s="366"/>
      <c r="AJ126" s="366"/>
      <c r="AK126" s="366"/>
      <c r="AL126" s="366"/>
      <c r="AM126" s="366"/>
      <c r="AN126" s="366"/>
      <c r="AO126" s="366"/>
      <c r="AP126" s="366"/>
      <c r="AQ126" s="366"/>
      <c r="AR126" s="366"/>
      <c r="AS126" s="366"/>
      <c r="AT126" s="366"/>
      <c r="AU126" s="366"/>
      <c r="AV126" s="366"/>
      <c r="AW126" s="366"/>
      <c r="AX126" s="366"/>
      <c r="AY126" s="366"/>
      <c r="AZ126" s="366"/>
      <c r="BA126" s="366"/>
      <c r="BB126" s="366"/>
      <c r="BC126" s="366"/>
      <c r="BD126" s="366"/>
      <c r="BE126" s="366"/>
      <c r="BF126" s="366"/>
      <c r="BG126" s="366"/>
    </row>
    <row r="127" spans="2:59" x14ac:dyDescent="0.25">
      <c r="B127" s="67" t="str">
        <f>IF(Capacity!B20="","",Capacity!B20)</f>
        <v/>
      </c>
      <c r="C127" s="221" t="str">
        <f>IF(B127="","",Capacity!E20)</f>
        <v/>
      </c>
      <c r="D127" s="311" t="str">
        <f>IF(B127="","",Capacity!F20)</f>
        <v/>
      </c>
      <c r="E127" s="221" t="str">
        <f>IF(B127="","",IF(COUNTBLANK(H127:BG127)=52,SUM('Capacity calculation (hide)'!H8:BG8),52-COUNTBLANK(H127:BG127)))</f>
        <v/>
      </c>
      <c r="F127" s="312" t="str">
        <f>'Capacity calculation (hide)'!BI8</f>
        <v/>
      </c>
      <c r="H127" s="366"/>
      <c r="I127" s="366"/>
      <c r="J127" s="366"/>
      <c r="K127" s="366"/>
      <c r="L127" s="366"/>
      <c r="M127" s="366"/>
      <c r="N127" s="366"/>
      <c r="O127" s="366"/>
      <c r="P127" s="366"/>
      <c r="Q127" s="366"/>
      <c r="R127" s="366"/>
      <c r="S127" s="366"/>
      <c r="T127" s="366"/>
      <c r="U127" s="366"/>
      <c r="V127" s="366"/>
      <c r="W127" s="366"/>
      <c r="X127" s="366"/>
      <c r="Y127" s="366"/>
      <c r="Z127" s="366"/>
      <c r="AA127" s="366"/>
      <c r="AB127" s="366"/>
      <c r="AC127" s="366"/>
      <c r="AD127" s="366"/>
      <c r="AE127" s="366"/>
      <c r="AF127" s="366"/>
      <c r="AG127" s="366"/>
      <c r="AH127" s="366"/>
      <c r="AI127" s="366"/>
      <c r="AJ127" s="366"/>
      <c r="AK127" s="366"/>
      <c r="AL127" s="366"/>
      <c r="AM127" s="366"/>
      <c r="AN127" s="366"/>
      <c r="AO127" s="366"/>
      <c r="AP127" s="366"/>
      <c r="AQ127" s="366"/>
      <c r="AR127" s="366"/>
      <c r="AS127" s="366"/>
      <c r="AT127" s="366"/>
      <c r="AU127" s="366"/>
      <c r="AV127" s="366"/>
      <c r="AW127" s="366"/>
      <c r="AX127" s="366"/>
      <c r="AY127" s="366"/>
      <c r="AZ127" s="366"/>
      <c r="BA127" s="366"/>
      <c r="BB127" s="366"/>
      <c r="BC127" s="366"/>
      <c r="BD127" s="366"/>
      <c r="BE127" s="366"/>
      <c r="BF127" s="366"/>
      <c r="BG127" s="366"/>
    </row>
    <row r="128" spans="2:59" x14ac:dyDescent="0.25">
      <c r="B128" s="67" t="str">
        <f>IF(Capacity!B21="","",Capacity!B21)</f>
        <v/>
      </c>
      <c r="C128" s="221" t="str">
        <f>IF(B128="","",Capacity!E21)</f>
        <v/>
      </c>
      <c r="D128" s="311" t="str">
        <f>IF(B128="","",Capacity!F21)</f>
        <v/>
      </c>
      <c r="E128" s="221" t="str">
        <f>IF(B128="","",IF(COUNTBLANK(H128:BG128)=52,SUM('Capacity calculation (hide)'!H9:BG9),52-COUNTBLANK(H128:BG128)))</f>
        <v/>
      </c>
      <c r="F128" s="312" t="str">
        <f>'Capacity calculation (hide)'!BI9</f>
        <v/>
      </c>
      <c r="H128" s="366"/>
      <c r="I128" s="366"/>
      <c r="J128" s="366"/>
      <c r="K128" s="366"/>
      <c r="L128" s="366"/>
      <c r="M128" s="366"/>
      <c r="N128" s="366"/>
      <c r="O128" s="366"/>
      <c r="P128" s="366"/>
      <c r="Q128" s="366"/>
      <c r="R128" s="366"/>
      <c r="S128" s="366"/>
      <c r="T128" s="366"/>
      <c r="U128" s="366"/>
      <c r="V128" s="366"/>
      <c r="W128" s="366"/>
      <c r="X128" s="366"/>
      <c r="Y128" s="366"/>
      <c r="Z128" s="366"/>
      <c r="AA128" s="366"/>
      <c r="AB128" s="366"/>
      <c r="AC128" s="366"/>
      <c r="AD128" s="366"/>
      <c r="AE128" s="366"/>
      <c r="AF128" s="366"/>
      <c r="AG128" s="366"/>
      <c r="AH128" s="366"/>
      <c r="AI128" s="366"/>
      <c r="AJ128" s="366"/>
      <c r="AK128" s="366"/>
      <c r="AL128" s="366"/>
      <c r="AM128" s="366"/>
      <c r="AN128" s="366"/>
      <c r="AO128" s="366"/>
      <c r="AP128" s="366"/>
      <c r="AQ128" s="366"/>
      <c r="AR128" s="366"/>
      <c r="AS128" s="366"/>
      <c r="AT128" s="366"/>
      <c r="AU128" s="366"/>
      <c r="AV128" s="366"/>
      <c r="AW128" s="366"/>
      <c r="AX128" s="366"/>
      <c r="AY128" s="366"/>
      <c r="AZ128" s="366"/>
      <c r="BA128" s="366"/>
      <c r="BB128" s="366"/>
      <c r="BC128" s="366"/>
      <c r="BD128" s="366"/>
      <c r="BE128" s="366"/>
      <c r="BF128" s="366"/>
      <c r="BG128" s="366"/>
    </row>
    <row r="129" spans="2:59" x14ac:dyDescent="0.25">
      <c r="B129" s="67" t="str">
        <f>IF(Capacity!B22="","",Capacity!B22)</f>
        <v/>
      </c>
      <c r="C129" s="221" t="str">
        <f>IF(B129="","",Capacity!E22)</f>
        <v/>
      </c>
      <c r="D129" s="311" t="str">
        <f>IF(B129="","",Capacity!F22)</f>
        <v/>
      </c>
      <c r="E129" s="221" t="str">
        <f>IF(B129="","",IF(COUNTBLANK(H129:BG129)=52,SUM('Capacity calculation (hide)'!H10:BG10),52-COUNTBLANK(H129:BG129)))</f>
        <v/>
      </c>
      <c r="F129" s="312" t="str">
        <f>'Capacity calculation (hide)'!BI10</f>
        <v/>
      </c>
      <c r="H129" s="366"/>
      <c r="I129" s="366"/>
      <c r="J129" s="366"/>
      <c r="K129" s="366"/>
      <c r="L129" s="366"/>
      <c r="M129" s="366"/>
      <c r="N129" s="366"/>
      <c r="O129" s="366"/>
      <c r="P129" s="366"/>
      <c r="Q129" s="366"/>
      <c r="R129" s="366"/>
      <c r="S129" s="366"/>
      <c r="T129" s="366"/>
      <c r="U129" s="366"/>
      <c r="V129" s="366"/>
      <c r="W129" s="366"/>
      <c r="X129" s="366"/>
      <c r="Y129" s="366"/>
      <c r="Z129" s="366"/>
      <c r="AA129" s="366"/>
      <c r="AB129" s="366"/>
      <c r="AC129" s="366"/>
      <c r="AD129" s="366"/>
      <c r="AE129" s="366"/>
      <c r="AF129" s="366"/>
      <c r="AG129" s="366"/>
      <c r="AH129" s="366"/>
      <c r="AI129" s="366"/>
      <c r="AJ129" s="366"/>
      <c r="AK129" s="366"/>
      <c r="AL129" s="366"/>
      <c r="AM129" s="366"/>
      <c r="AN129" s="366"/>
      <c r="AO129" s="366"/>
      <c r="AP129" s="366"/>
      <c r="AQ129" s="366"/>
      <c r="AR129" s="366"/>
      <c r="AS129" s="366"/>
      <c r="AT129" s="366"/>
      <c r="AU129" s="366"/>
      <c r="AV129" s="366"/>
      <c r="AW129" s="366"/>
      <c r="AX129" s="366"/>
      <c r="AY129" s="366"/>
      <c r="AZ129" s="366"/>
      <c r="BA129" s="366"/>
      <c r="BB129" s="366"/>
      <c r="BC129" s="366"/>
      <c r="BD129" s="366"/>
      <c r="BE129" s="366"/>
      <c r="BF129" s="366"/>
      <c r="BG129" s="366"/>
    </row>
    <row r="130" spans="2:59" x14ac:dyDescent="0.25">
      <c r="B130" s="67" t="str">
        <f>IF(Capacity!B23="","",Capacity!B23)</f>
        <v/>
      </c>
      <c r="C130" s="221" t="str">
        <f>IF(B130="","",Capacity!E23)</f>
        <v/>
      </c>
      <c r="D130" s="311" t="str">
        <f>IF(B130="","",Capacity!F23)</f>
        <v/>
      </c>
      <c r="E130" s="221" t="str">
        <f>IF(B130="","",IF(COUNTBLANK(H130:BG130)=52,SUM('Capacity calculation (hide)'!H11:BG11),52-COUNTBLANK(H130:BG130)))</f>
        <v/>
      </c>
      <c r="F130" s="312" t="str">
        <f>'Capacity calculation (hide)'!BI11</f>
        <v/>
      </c>
      <c r="H130" s="366"/>
      <c r="I130" s="366"/>
      <c r="J130" s="366"/>
      <c r="K130" s="366"/>
      <c r="L130" s="366"/>
      <c r="M130" s="366"/>
      <c r="N130" s="366"/>
      <c r="O130" s="366"/>
      <c r="P130" s="366"/>
      <c r="Q130" s="366"/>
      <c r="R130" s="366"/>
      <c r="S130" s="366"/>
      <c r="T130" s="366"/>
      <c r="U130" s="366"/>
      <c r="V130" s="366"/>
      <c r="W130" s="366"/>
      <c r="X130" s="366"/>
      <c r="Y130" s="366"/>
      <c r="Z130" s="366"/>
      <c r="AA130" s="366"/>
      <c r="AB130" s="366"/>
      <c r="AC130" s="366"/>
      <c r="AD130" s="366"/>
      <c r="AE130" s="366"/>
      <c r="AF130" s="366"/>
      <c r="AG130" s="366"/>
      <c r="AH130" s="366"/>
      <c r="AI130" s="366"/>
      <c r="AJ130" s="366"/>
      <c r="AK130" s="366"/>
      <c r="AL130" s="366"/>
      <c r="AM130" s="366"/>
      <c r="AN130" s="366"/>
      <c r="AO130" s="366"/>
      <c r="AP130" s="366"/>
      <c r="AQ130" s="366"/>
      <c r="AR130" s="366"/>
      <c r="AS130" s="366"/>
      <c r="AT130" s="366"/>
      <c r="AU130" s="366"/>
      <c r="AV130" s="366"/>
      <c r="AW130" s="366"/>
      <c r="AX130" s="366"/>
      <c r="AY130" s="366"/>
      <c r="AZ130" s="366"/>
      <c r="BA130" s="366"/>
      <c r="BB130" s="366"/>
      <c r="BC130" s="366"/>
      <c r="BD130" s="366"/>
      <c r="BE130" s="366"/>
      <c r="BF130" s="366"/>
      <c r="BG130" s="366"/>
    </row>
    <row r="131" spans="2:59" x14ac:dyDescent="0.25">
      <c r="B131" s="67" t="str">
        <f>IF(Capacity!B24="","",Capacity!B24)</f>
        <v/>
      </c>
      <c r="C131" s="221" t="str">
        <f>IF(B131="","",Capacity!E24)</f>
        <v/>
      </c>
      <c r="D131" s="311" t="str">
        <f>IF(B131="","",Capacity!F24)</f>
        <v/>
      </c>
      <c r="E131" s="221" t="str">
        <f>IF(B131="","",IF(COUNTBLANK(H131:BG131)=52,SUM('Capacity calculation (hide)'!H12:BG12),52-COUNTBLANK(H131:BG131)))</f>
        <v/>
      </c>
      <c r="F131" s="312" t="str">
        <f>'Capacity calculation (hide)'!BI12</f>
        <v/>
      </c>
      <c r="H131" s="366"/>
      <c r="I131" s="366"/>
      <c r="J131" s="366"/>
      <c r="K131" s="366"/>
      <c r="L131" s="366"/>
      <c r="M131" s="366"/>
      <c r="N131" s="366"/>
      <c r="O131" s="366"/>
      <c r="P131" s="366"/>
      <c r="Q131" s="366"/>
      <c r="R131" s="366"/>
      <c r="S131" s="366"/>
      <c r="T131" s="366"/>
      <c r="U131" s="366"/>
      <c r="V131" s="366"/>
      <c r="W131" s="366"/>
      <c r="X131" s="366"/>
      <c r="Y131" s="366"/>
      <c r="Z131" s="366"/>
      <c r="AA131" s="366"/>
      <c r="AB131" s="366"/>
      <c r="AC131" s="366"/>
      <c r="AD131" s="366"/>
      <c r="AE131" s="366"/>
      <c r="AF131" s="366"/>
      <c r="AG131" s="366"/>
      <c r="AH131" s="366"/>
      <c r="AI131" s="366"/>
      <c r="AJ131" s="366"/>
      <c r="AK131" s="366"/>
      <c r="AL131" s="366"/>
      <c r="AM131" s="366"/>
      <c r="AN131" s="366"/>
      <c r="AO131" s="366"/>
      <c r="AP131" s="366"/>
      <c r="AQ131" s="366"/>
      <c r="AR131" s="366"/>
      <c r="AS131" s="366"/>
      <c r="AT131" s="366"/>
      <c r="AU131" s="366"/>
      <c r="AV131" s="366"/>
      <c r="AW131" s="366"/>
      <c r="AX131" s="366"/>
      <c r="AY131" s="366"/>
      <c r="AZ131" s="366"/>
      <c r="BA131" s="366"/>
      <c r="BB131" s="366"/>
      <c r="BC131" s="366"/>
      <c r="BD131" s="366"/>
      <c r="BE131" s="366"/>
      <c r="BF131" s="366"/>
      <c r="BG131" s="366"/>
    </row>
    <row r="132" spans="2:59" x14ac:dyDescent="0.25">
      <c r="B132" s="67" t="str">
        <f>IF(Capacity!B25="","",Capacity!B25)</f>
        <v/>
      </c>
      <c r="C132" s="221" t="str">
        <f>IF(B132="","",Capacity!E25)</f>
        <v/>
      </c>
      <c r="D132" s="311" t="str">
        <f>IF(B132="","",Capacity!F25)</f>
        <v/>
      </c>
      <c r="E132" s="221" t="str">
        <f>IF(B132="","",IF(COUNTBLANK(H132:BG132)=52,SUM('Capacity calculation (hide)'!H13:BG13),52-COUNTBLANK(H132:BG132)))</f>
        <v/>
      </c>
      <c r="F132" s="312" t="str">
        <f>'Capacity calculation (hide)'!BI13</f>
        <v/>
      </c>
      <c r="H132" s="366"/>
      <c r="I132" s="366"/>
      <c r="J132" s="366"/>
      <c r="K132" s="366"/>
      <c r="L132" s="366"/>
      <c r="M132" s="366"/>
      <c r="N132" s="366"/>
      <c r="O132" s="366"/>
      <c r="P132" s="366"/>
      <c r="Q132" s="366"/>
      <c r="R132" s="366"/>
      <c r="S132" s="366"/>
      <c r="T132" s="366"/>
      <c r="U132" s="366"/>
      <c r="V132" s="366"/>
      <c r="W132" s="366"/>
      <c r="X132" s="366"/>
      <c r="Y132" s="366"/>
      <c r="Z132" s="366"/>
      <c r="AA132" s="366"/>
      <c r="AB132" s="366"/>
      <c r="AC132" s="366"/>
      <c r="AD132" s="366"/>
      <c r="AE132" s="366"/>
      <c r="AF132" s="366"/>
      <c r="AG132" s="366"/>
      <c r="AH132" s="366"/>
      <c r="AI132" s="366"/>
      <c r="AJ132" s="366"/>
      <c r="AK132" s="366"/>
      <c r="AL132" s="366"/>
      <c r="AM132" s="366"/>
      <c r="AN132" s="366"/>
      <c r="AO132" s="366"/>
      <c r="AP132" s="366"/>
      <c r="AQ132" s="366"/>
      <c r="AR132" s="366"/>
      <c r="AS132" s="366"/>
      <c r="AT132" s="366"/>
      <c r="AU132" s="366"/>
      <c r="AV132" s="366"/>
      <c r="AW132" s="366"/>
      <c r="AX132" s="366"/>
      <c r="AY132" s="366"/>
      <c r="AZ132" s="366"/>
      <c r="BA132" s="366"/>
      <c r="BB132" s="366"/>
      <c r="BC132" s="366"/>
      <c r="BD132" s="366"/>
      <c r="BE132" s="366"/>
      <c r="BF132" s="366"/>
      <c r="BG132" s="366"/>
    </row>
    <row r="133" spans="2:59" x14ac:dyDescent="0.25">
      <c r="B133" s="67" t="str">
        <f>IF(Capacity!B26="","",Capacity!B26)</f>
        <v/>
      </c>
      <c r="C133" s="221" t="str">
        <f>IF(B133="","",Capacity!E26)</f>
        <v/>
      </c>
      <c r="D133" s="311" t="str">
        <f>IF(B133="","",Capacity!F26)</f>
        <v/>
      </c>
      <c r="E133" s="221" t="str">
        <f>IF(B133="","",IF(COUNTBLANK(H133:BG133)=52,SUM('Capacity calculation (hide)'!H14:BG14),52-COUNTBLANK(H133:BG133)))</f>
        <v/>
      </c>
      <c r="F133" s="312" t="str">
        <f>'Capacity calculation (hide)'!BI14</f>
        <v/>
      </c>
      <c r="H133" s="366"/>
      <c r="I133" s="366"/>
      <c r="J133" s="366"/>
      <c r="K133" s="366"/>
      <c r="L133" s="366"/>
      <c r="M133" s="366"/>
      <c r="N133" s="366"/>
      <c r="O133" s="366"/>
      <c r="P133" s="366"/>
      <c r="Q133" s="366"/>
      <c r="R133" s="366"/>
      <c r="S133" s="366"/>
      <c r="T133" s="366"/>
      <c r="U133" s="366"/>
      <c r="V133" s="366"/>
      <c r="W133" s="366"/>
      <c r="X133" s="366"/>
      <c r="Y133" s="366"/>
      <c r="Z133" s="366"/>
      <c r="AA133" s="366"/>
      <c r="AB133" s="366"/>
      <c r="AC133" s="366"/>
      <c r="AD133" s="366"/>
      <c r="AE133" s="366"/>
      <c r="AF133" s="366"/>
      <c r="AG133" s="366"/>
      <c r="AH133" s="366"/>
      <c r="AI133" s="366"/>
      <c r="AJ133" s="366"/>
      <c r="AK133" s="366"/>
      <c r="AL133" s="366"/>
      <c r="AM133" s="366"/>
      <c r="AN133" s="366"/>
      <c r="AO133" s="366"/>
      <c r="AP133" s="366"/>
      <c r="AQ133" s="366"/>
      <c r="AR133" s="366"/>
      <c r="AS133" s="366"/>
      <c r="AT133" s="366"/>
      <c r="AU133" s="366"/>
      <c r="AV133" s="366"/>
      <c r="AW133" s="366"/>
      <c r="AX133" s="366"/>
      <c r="AY133" s="366"/>
      <c r="AZ133" s="366"/>
      <c r="BA133" s="366"/>
      <c r="BB133" s="366"/>
      <c r="BC133" s="366"/>
      <c r="BD133" s="366"/>
      <c r="BE133" s="366"/>
      <c r="BF133" s="366"/>
      <c r="BG133" s="366"/>
    </row>
    <row r="134" spans="2:59" x14ac:dyDescent="0.25">
      <c r="B134" s="67" t="str">
        <f>IF(Capacity!B27="","",Capacity!B27)</f>
        <v/>
      </c>
      <c r="C134" s="221" t="str">
        <f>IF(B134="","",Capacity!E27)</f>
        <v/>
      </c>
      <c r="D134" s="311" t="str">
        <f>IF(B134="","",Capacity!F27)</f>
        <v/>
      </c>
      <c r="E134" s="221" t="str">
        <f>IF(B134="","",IF(COUNTBLANK(H134:BG134)=52,SUM('Capacity calculation (hide)'!H15:BG15),52-COUNTBLANK(H134:BG134)))</f>
        <v/>
      </c>
      <c r="F134" s="312" t="str">
        <f>'Capacity calculation (hide)'!BI15</f>
        <v/>
      </c>
      <c r="H134" s="366"/>
      <c r="I134" s="366"/>
      <c r="J134" s="366"/>
      <c r="K134" s="366"/>
      <c r="L134" s="366"/>
      <c r="M134" s="366"/>
      <c r="N134" s="366"/>
      <c r="O134" s="366"/>
      <c r="P134" s="366"/>
      <c r="Q134" s="366"/>
      <c r="R134" s="366"/>
      <c r="S134" s="366"/>
      <c r="T134" s="366"/>
      <c r="U134" s="366"/>
      <c r="V134" s="366"/>
      <c r="W134" s="366"/>
      <c r="X134" s="366"/>
      <c r="Y134" s="366"/>
      <c r="Z134" s="366"/>
      <c r="AA134" s="366"/>
      <c r="AB134" s="366"/>
      <c r="AC134" s="366"/>
      <c r="AD134" s="366"/>
      <c r="AE134" s="366"/>
      <c r="AF134" s="366"/>
      <c r="AG134" s="366"/>
      <c r="AH134" s="366"/>
      <c r="AI134" s="366"/>
      <c r="AJ134" s="366"/>
      <c r="AK134" s="366"/>
      <c r="AL134" s="366"/>
      <c r="AM134" s="366"/>
      <c r="AN134" s="366"/>
      <c r="AO134" s="366"/>
      <c r="AP134" s="366"/>
      <c r="AQ134" s="366"/>
      <c r="AR134" s="366"/>
      <c r="AS134" s="366"/>
      <c r="AT134" s="366"/>
      <c r="AU134" s="366"/>
      <c r="AV134" s="366"/>
      <c r="AW134" s="366"/>
      <c r="AX134" s="366"/>
      <c r="AY134" s="366"/>
      <c r="AZ134" s="366"/>
      <c r="BA134" s="366"/>
      <c r="BB134" s="366"/>
      <c r="BC134" s="366"/>
      <c r="BD134" s="366"/>
      <c r="BE134" s="366"/>
      <c r="BF134" s="366"/>
      <c r="BG134" s="366"/>
    </row>
    <row r="135" spans="2:59" x14ac:dyDescent="0.25">
      <c r="B135" s="67" t="str">
        <f>IF(Capacity!B28="","",Capacity!B28)</f>
        <v/>
      </c>
      <c r="C135" s="221" t="str">
        <f>IF(B135="","",Capacity!E28)</f>
        <v/>
      </c>
      <c r="D135" s="311" t="str">
        <f>IF(B135="","",Capacity!F28)</f>
        <v/>
      </c>
      <c r="E135" s="221" t="str">
        <f>IF(B135="","",IF(COUNTBLANK(H135:BG135)=52,SUM('Capacity calculation (hide)'!H16:BG16),52-COUNTBLANK(H135:BG135)))</f>
        <v/>
      </c>
      <c r="F135" s="312" t="str">
        <f>'Capacity calculation (hide)'!BI16</f>
        <v/>
      </c>
      <c r="H135" s="366"/>
      <c r="I135" s="366"/>
      <c r="J135" s="366"/>
      <c r="K135" s="366"/>
      <c r="L135" s="366"/>
      <c r="M135" s="366"/>
      <c r="N135" s="366"/>
      <c r="O135" s="366"/>
      <c r="P135" s="366"/>
      <c r="Q135" s="366"/>
      <c r="R135" s="366"/>
      <c r="S135" s="366"/>
      <c r="T135" s="366"/>
      <c r="U135" s="366"/>
      <c r="V135" s="366"/>
      <c r="W135" s="366"/>
      <c r="X135" s="366"/>
      <c r="Y135" s="366"/>
      <c r="Z135" s="366"/>
      <c r="AA135" s="366"/>
      <c r="AB135" s="366"/>
      <c r="AC135" s="366"/>
      <c r="AD135" s="366"/>
      <c r="AE135" s="366"/>
      <c r="AF135" s="366"/>
      <c r="AG135" s="366"/>
      <c r="AH135" s="366"/>
      <c r="AI135" s="366"/>
      <c r="AJ135" s="366"/>
      <c r="AK135" s="366"/>
      <c r="AL135" s="366"/>
      <c r="AM135" s="366"/>
      <c r="AN135" s="366"/>
      <c r="AO135" s="366"/>
      <c r="AP135" s="366"/>
      <c r="AQ135" s="366"/>
      <c r="AR135" s="366"/>
      <c r="AS135" s="366"/>
      <c r="AT135" s="366"/>
      <c r="AU135" s="366"/>
      <c r="AV135" s="366"/>
      <c r="AW135" s="366"/>
      <c r="AX135" s="366"/>
      <c r="AY135" s="366"/>
      <c r="AZ135" s="366"/>
      <c r="BA135" s="366"/>
      <c r="BB135" s="366"/>
      <c r="BC135" s="366"/>
      <c r="BD135" s="366"/>
      <c r="BE135" s="366"/>
      <c r="BF135" s="366"/>
      <c r="BG135" s="366"/>
    </row>
    <row r="136" spans="2:59" x14ac:dyDescent="0.25">
      <c r="B136" s="67" t="str">
        <f>IF(Capacity!B29="","",Capacity!B29)</f>
        <v/>
      </c>
      <c r="C136" s="221" t="str">
        <f>IF(B136="","",Capacity!E29)</f>
        <v/>
      </c>
      <c r="D136" s="311" t="str">
        <f>IF(B136="","",Capacity!F29)</f>
        <v/>
      </c>
      <c r="E136" s="221" t="str">
        <f>IF(B136="","",IF(COUNTBLANK(H136:BG136)=52,SUM('Capacity calculation (hide)'!H17:BG17),52-COUNTBLANK(H136:BG136)))</f>
        <v/>
      </c>
      <c r="F136" s="312" t="str">
        <f>'Capacity calculation (hide)'!BI17</f>
        <v/>
      </c>
      <c r="H136" s="366"/>
      <c r="I136" s="366"/>
      <c r="J136" s="366"/>
      <c r="K136" s="366"/>
      <c r="L136" s="366"/>
      <c r="M136" s="366"/>
      <c r="N136" s="366"/>
      <c r="O136" s="366"/>
      <c r="P136" s="366"/>
      <c r="Q136" s="366"/>
      <c r="R136" s="366"/>
      <c r="S136" s="366"/>
      <c r="T136" s="366"/>
      <c r="U136" s="366"/>
      <c r="V136" s="366"/>
      <c r="W136" s="366"/>
      <c r="X136" s="366"/>
      <c r="Y136" s="366"/>
      <c r="Z136" s="366"/>
      <c r="AA136" s="366"/>
      <c r="AB136" s="366"/>
      <c r="AC136" s="366"/>
      <c r="AD136" s="366"/>
      <c r="AE136" s="366"/>
      <c r="AF136" s="366"/>
      <c r="AG136" s="366"/>
      <c r="AH136" s="366"/>
      <c r="AI136" s="366"/>
      <c r="AJ136" s="366"/>
      <c r="AK136" s="366"/>
      <c r="AL136" s="366"/>
      <c r="AM136" s="366"/>
      <c r="AN136" s="366"/>
      <c r="AO136" s="366"/>
      <c r="AP136" s="366"/>
      <c r="AQ136" s="366"/>
      <c r="AR136" s="366"/>
      <c r="AS136" s="366"/>
      <c r="AT136" s="366"/>
      <c r="AU136" s="366"/>
      <c r="AV136" s="366"/>
      <c r="AW136" s="366"/>
      <c r="AX136" s="366"/>
      <c r="AY136" s="366"/>
      <c r="AZ136" s="366"/>
      <c r="BA136" s="366"/>
      <c r="BB136" s="366"/>
      <c r="BC136" s="366"/>
      <c r="BD136" s="366"/>
      <c r="BE136" s="366"/>
      <c r="BF136" s="366"/>
      <c r="BG136" s="366"/>
    </row>
    <row r="137" spans="2:59" x14ac:dyDescent="0.25">
      <c r="B137" s="67" t="str">
        <f>IF(Capacity!B30="","",Capacity!B30)</f>
        <v/>
      </c>
      <c r="C137" s="221" t="str">
        <f>IF(B137="","",Capacity!E30)</f>
        <v/>
      </c>
      <c r="D137" s="311" t="str">
        <f>IF(B137="","",Capacity!F30)</f>
        <v/>
      </c>
      <c r="E137" s="221" t="str">
        <f>IF(B137="","",IF(COUNTBLANK(H137:BG137)=52,SUM('Capacity calculation (hide)'!H18:BG18),52-COUNTBLANK(H137:BG137)))</f>
        <v/>
      </c>
      <c r="F137" s="312" t="str">
        <f>'Capacity calculation (hide)'!BI18</f>
        <v/>
      </c>
      <c r="H137" s="366"/>
      <c r="I137" s="366"/>
      <c r="J137" s="366"/>
      <c r="K137" s="366"/>
      <c r="L137" s="366"/>
      <c r="M137" s="366"/>
      <c r="N137" s="366"/>
      <c r="O137" s="366"/>
      <c r="P137" s="366"/>
      <c r="Q137" s="366"/>
      <c r="R137" s="366"/>
      <c r="S137" s="366"/>
      <c r="T137" s="366"/>
      <c r="U137" s="366"/>
      <c r="V137" s="366"/>
      <c r="W137" s="366"/>
      <c r="X137" s="366"/>
      <c r="Y137" s="366"/>
      <c r="Z137" s="366"/>
      <c r="AA137" s="366"/>
      <c r="AB137" s="366"/>
      <c r="AC137" s="366"/>
      <c r="AD137" s="366"/>
      <c r="AE137" s="366"/>
      <c r="AF137" s="366"/>
      <c r="AG137" s="366"/>
      <c r="AH137" s="366"/>
      <c r="AI137" s="366"/>
      <c r="AJ137" s="366"/>
      <c r="AK137" s="366"/>
      <c r="AL137" s="366"/>
      <c r="AM137" s="366"/>
      <c r="AN137" s="366"/>
      <c r="AO137" s="366"/>
      <c r="AP137" s="366"/>
      <c r="AQ137" s="366"/>
      <c r="AR137" s="366"/>
      <c r="AS137" s="366"/>
      <c r="AT137" s="366"/>
      <c r="AU137" s="366"/>
      <c r="AV137" s="366"/>
      <c r="AW137" s="366"/>
      <c r="AX137" s="366"/>
      <c r="AY137" s="366"/>
      <c r="AZ137" s="366"/>
      <c r="BA137" s="366"/>
      <c r="BB137" s="366"/>
      <c r="BC137" s="366"/>
      <c r="BD137" s="366"/>
      <c r="BE137" s="366"/>
      <c r="BF137" s="366"/>
      <c r="BG137" s="366"/>
    </row>
    <row r="138" spans="2:59" x14ac:dyDescent="0.25">
      <c r="B138" s="67" t="str">
        <f>IF(Capacity!B31="","",Capacity!B31)</f>
        <v/>
      </c>
      <c r="C138" s="221" t="str">
        <f>IF(B138="","",Capacity!E31)</f>
        <v/>
      </c>
      <c r="D138" s="311" t="str">
        <f>IF(B138="","",Capacity!F31)</f>
        <v/>
      </c>
      <c r="E138" s="221" t="str">
        <f>IF(B138="","",IF(COUNTBLANK(H138:BG138)=52,SUM('Capacity calculation (hide)'!H19:BG19),52-COUNTBLANK(H138:BG138)))</f>
        <v/>
      </c>
      <c r="F138" s="312" t="str">
        <f>'Capacity calculation (hide)'!BI19</f>
        <v/>
      </c>
      <c r="H138" s="366"/>
      <c r="I138" s="366"/>
      <c r="J138" s="366"/>
      <c r="K138" s="366"/>
      <c r="L138" s="366"/>
      <c r="M138" s="366"/>
      <c r="N138" s="366"/>
      <c r="O138" s="366"/>
      <c r="P138" s="366"/>
      <c r="Q138" s="366"/>
      <c r="R138" s="366"/>
      <c r="S138" s="366"/>
      <c r="T138" s="366"/>
      <c r="U138" s="366"/>
      <c r="V138" s="366"/>
      <c r="W138" s="366"/>
      <c r="X138" s="366"/>
      <c r="Y138" s="366"/>
      <c r="Z138" s="366"/>
      <c r="AA138" s="366"/>
      <c r="AB138" s="366"/>
      <c r="AC138" s="366"/>
      <c r="AD138" s="366"/>
      <c r="AE138" s="366"/>
      <c r="AF138" s="366"/>
      <c r="AG138" s="366"/>
      <c r="AH138" s="366"/>
      <c r="AI138" s="366"/>
      <c r="AJ138" s="366"/>
      <c r="AK138" s="366"/>
      <c r="AL138" s="366"/>
      <c r="AM138" s="366"/>
      <c r="AN138" s="366"/>
      <c r="AO138" s="366"/>
      <c r="AP138" s="366"/>
      <c r="AQ138" s="366"/>
      <c r="AR138" s="366"/>
      <c r="AS138" s="366"/>
      <c r="AT138" s="366"/>
      <c r="AU138" s="366"/>
      <c r="AV138" s="366"/>
      <c r="AW138" s="366"/>
      <c r="AX138" s="366"/>
      <c r="AY138" s="366"/>
      <c r="AZ138" s="366"/>
      <c r="BA138" s="366"/>
      <c r="BB138" s="366"/>
      <c r="BC138" s="366"/>
      <c r="BD138" s="366"/>
      <c r="BE138" s="366"/>
      <c r="BF138" s="366"/>
      <c r="BG138" s="366"/>
    </row>
    <row r="139" spans="2:59" x14ac:dyDescent="0.25">
      <c r="B139" s="67" t="str">
        <f>IF(Capacity!B32="","",Capacity!B32)</f>
        <v/>
      </c>
      <c r="C139" s="221" t="str">
        <f>IF(B139="","",Capacity!E32)</f>
        <v/>
      </c>
      <c r="D139" s="311" t="str">
        <f>IF(B139="","",Capacity!F32)</f>
        <v/>
      </c>
      <c r="E139" s="221" t="str">
        <f>IF(B139="","",IF(COUNTBLANK(H139:BG139)=52,SUM('Capacity calculation (hide)'!H20:BG20),52-COUNTBLANK(H139:BG139)))</f>
        <v/>
      </c>
      <c r="F139" s="312" t="str">
        <f>'Capacity calculation (hide)'!BI20</f>
        <v/>
      </c>
      <c r="H139" s="366"/>
      <c r="I139" s="366"/>
      <c r="J139" s="366"/>
      <c r="K139" s="366"/>
      <c r="L139" s="366"/>
      <c r="M139" s="366"/>
      <c r="N139" s="366"/>
      <c r="O139" s="366"/>
      <c r="P139" s="366"/>
      <c r="Q139" s="366"/>
      <c r="R139" s="366"/>
      <c r="S139" s="366"/>
      <c r="T139" s="366"/>
      <c r="U139" s="366"/>
      <c r="V139" s="366"/>
      <c r="W139" s="366"/>
      <c r="X139" s="366"/>
      <c r="Y139" s="366"/>
      <c r="Z139" s="366"/>
      <c r="AA139" s="366"/>
      <c r="AB139" s="366"/>
      <c r="AC139" s="366"/>
      <c r="AD139" s="366"/>
      <c r="AE139" s="366"/>
      <c r="AF139" s="366"/>
      <c r="AG139" s="366"/>
      <c r="AH139" s="366"/>
      <c r="AI139" s="366"/>
      <c r="AJ139" s="366"/>
      <c r="AK139" s="366"/>
      <c r="AL139" s="366"/>
      <c r="AM139" s="366"/>
      <c r="AN139" s="366"/>
      <c r="AO139" s="366"/>
      <c r="AP139" s="366"/>
      <c r="AQ139" s="366"/>
      <c r="AR139" s="366"/>
      <c r="AS139" s="366"/>
      <c r="AT139" s="366"/>
      <c r="AU139" s="366"/>
      <c r="AV139" s="366"/>
      <c r="AW139" s="366"/>
      <c r="AX139" s="366"/>
      <c r="AY139" s="366"/>
      <c r="AZ139" s="366"/>
      <c r="BA139" s="366"/>
      <c r="BB139" s="366"/>
      <c r="BC139" s="366"/>
      <c r="BD139" s="366"/>
      <c r="BE139" s="366"/>
      <c r="BF139" s="366"/>
      <c r="BG139" s="366"/>
    </row>
    <row r="140" spans="2:59" x14ac:dyDescent="0.25">
      <c r="B140" s="67" t="str">
        <f>IF(Capacity!B33="","",Capacity!B33)</f>
        <v/>
      </c>
      <c r="C140" s="221" t="str">
        <f>IF(B140="","",Capacity!E33)</f>
        <v/>
      </c>
      <c r="D140" s="311" t="str">
        <f>IF(B140="","",Capacity!F33)</f>
        <v/>
      </c>
      <c r="E140" s="221" t="str">
        <f>IF(B140="","",IF(COUNTBLANK(H140:BG140)=52,SUM('Capacity calculation (hide)'!H21:BG21),52-COUNTBLANK(H140:BG140)))</f>
        <v/>
      </c>
      <c r="F140" s="312" t="str">
        <f>'Capacity calculation (hide)'!BI21</f>
        <v/>
      </c>
      <c r="H140" s="366"/>
      <c r="I140" s="366"/>
      <c r="J140" s="366"/>
      <c r="K140" s="366"/>
      <c r="L140" s="366"/>
      <c r="M140" s="366"/>
      <c r="N140" s="366"/>
      <c r="O140" s="366"/>
      <c r="P140" s="366"/>
      <c r="Q140" s="366"/>
      <c r="R140" s="366"/>
      <c r="S140" s="366"/>
      <c r="T140" s="366"/>
      <c r="U140" s="366"/>
      <c r="V140" s="366"/>
      <c r="W140" s="366"/>
      <c r="X140" s="366"/>
      <c r="Y140" s="366"/>
      <c r="Z140" s="366"/>
      <c r="AA140" s="366"/>
      <c r="AB140" s="366"/>
      <c r="AC140" s="366"/>
      <c r="AD140" s="366"/>
      <c r="AE140" s="366"/>
      <c r="AF140" s="366"/>
      <c r="AG140" s="366"/>
      <c r="AH140" s="366"/>
      <c r="AI140" s="366"/>
      <c r="AJ140" s="366"/>
      <c r="AK140" s="366"/>
      <c r="AL140" s="366"/>
      <c r="AM140" s="366"/>
      <c r="AN140" s="366"/>
      <c r="AO140" s="366"/>
      <c r="AP140" s="366"/>
      <c r="AQ140" s="366"/>
      <c r="AR140" s="366"/>
      <c r="AS140" s="366"/>
      <c r="AT140" s="366"/>
      <c r="AU140" s="366"/>
      <c r="AV140" s="366"/>
      <c r="AW140" s="366"/>
      <c r="AX140" s="366"/>
      <c r="AY140" s="366"/>
      <c r="AZ140" s="366"/>
      <c r="BA140" s="366"/>
      <c r="BB140" s="366"/>
      <c r="BC140" s="366"/>
      <c r="BD140" s="366"/>
      <c r="BE140" s="366"/>
      <c r="BF140" s="366"/>
      <c r="BG140" s="366"/>
    </row>
    <row r="141" spans="2:59" x14ac:dyDescent="0.25">
      <c r="B141" s="67" t="str">
        <f>IF(Capacity!B34="","",Capacity!B34)</f>
        <v/>
      </c>
      <c r="C141" s="221" t="str">
        <f>IF(B141="","",Capacity!E34)</f>
        <v/>
      </c>
      <c r="D141" s="311" t="str">
        <f>IF(B141="","",Capacity!F34)</f>
        <v/>
      </c>
      <c r="E141" s="221" t="str">
        <f>IF(B141="","",IF(COUNTBLANK(H141:BG141)=52,SUM('Capacity calculation (hide)'!H22:BG22),52-COUNTBLANK(H141:BG141)))</f>
        <v/>
      </c>
      <c r="F141" s="312" t="str">
        <f>'Capacity calculation (hide)'!BI22</f>
        <v/>
      </c>
      <c r="H141" s="366"/>
      <c r="I141" s="366"/>
      <c r="J141" s="366"/>
      <c r="K141" s="366"/>
      <c r="L141" s="366"/>
      <c r="M141" s="366"/>
      <c r="N141" s="366"/>
      <c r="O141" s="366"/>
      <c r="P141" s="366"/>
      <c r="Q141" s="366"/>
      <c r="R141" s="366"/>
      <c r="S141" s="366"/>
      <c r="T141" s="366"/>
      <c r="U141" s="366"/>
      <c r="V141" s="366"/>
      <c r="W141" s="366"/>
      <c r="X141" s="366"/>
      <c r="Y141" s="366"/>
      <c r="Z141" s="366"/>
      <c r="AA141" s="366"/>
      <c r="AB141" s="366"/>
      <c r="AC141" s="366"/>
      <c r="AD141" s="366"/>
      <c r="AE141" s="366"/>
      <c r="AF141" s="366"/>
      <c r="AG141" s="366"/>
      <c r="AH141" s="366"/>
      <c r="AI141" s="366"/>
      <c r="AJ141" s="366"/>
      <c r="AK141" s="366"/>
      <c r="AL141" s="366"/>
      <c r="AM141" s="366"/>
      <c r="AN141" s="366"/>
      <c r="AO141" s="366"/>
      <c r="AP141" s="366"/>
      <c r="AQ141" s="366"/>
      <c r="AR141" s="366"/>
      <c r="AS141" s="366"/>
      <c r="AT141" s="366"/>
      <c r="AU141" s="366"/>
      <c r="AV141" s="366"/>
      <c r="AW141" s="366"/>
      <c r="AX141" s="366"/>
      <c r="AY141" s="366"/>
      <c r="AZ141" s="366"/>
      <c r="BA141" s="366"/>
      <c r="BB141" s="366"/>
      <c r="BC141" s="366"/>
      <c r="BD141" s="366"/>
      <c r="BE141" s="366"/>
      <c r="BF141" s="366"/>
      <c r="BG141" s="366"/>
    </row>
    <row r="142" spans="2:59" x14ac:dyDescent="0.25">
      <c r="B142" s="67" t="str">
        <f>IF(Capacity!B35="","",Capacity!B35)</f>
        <v/>
      </c>
      <c r="C142" s="221" t="str">
        <f>IF(B142="","",Capacity!E35)</f>
        <v/>
      </c>
      <c r="D142" s="311" t="str">
        <f>IF(B142="","",Capacity!F35)</f>
        <v/>
      </c>
      <c r="E142" s="221" t="str">
        <f>IF(B142="","",IF(COUNTBLANK(H142:BG142)=52,SUM('Capacity calculation (hide)'!H23:BG23),52-COUNTBLANK(H142:BG142)))</f>
        <v/>
      </c>
      <c r="F142" s="312" t="str">
        <f>'Capacity calculation (hide)'!BI23</f>
        <v/>
      </c>
      <c r="H142" s="366"/>
      <c r="I142" s="366"/>
      <c r="J142" s="366"/>
      <c r="K142" s="366"/>
      <c r="L142" s="366"/>
      <c r="M142" s="366"/>
      <c r="N142" s="366"/>
      <c r="O142" s="366"/>
      <c r="P142" s="366"/>
      <c r="Q142" s="366"/>
      <c r="R142" s="366"/>
      <c r="S142" s="366"/>
      <c r="T142" s="366"/>
      <c r="U142" s="366"/>
      <c r="V142" s="366"/>
      <c r="W142" s="366"/>
      <c r="X142" s="366"/>
      <c r="Y142" s="366"/>
      <c r="Z142" s="366"/>
      <c r="AA142" s="366"/>
      <c r="AB142" s="366"/>
      <c r="AC142" s="366"/>
      <c r="AD142" s="366"/>
      <c r="AE142" s="366"/>
      <c r="AF142" s="366"/>
      <c r="AG142" s="366"/>
      <c r="AH142" s="366"/>
      <c r="AI142" s="366"/>
      <c r="AJ142" s="366"/>
      <c r="AK142" s="366"/>
      <c r="AL142" s="366"/>
      <c r="AM142" s="366"/>
      <c r="AN142" s="366"/>
      <c r="AO142" s="366"/>
      <c r="AP142" s="366"/>
      <c r="AQ142" s="366"/>
      <c r="AR142" s="366"/>
      <c r="AS142" s="366"/>
      <c r="AT142" s="366"/>
      <c r="AU142" s="366"/>
      <c r="AV142" s="366"/>
      <c r="AW142" s="366"/>
      <c r="AX142" s="366"/>
      <c r="AY142" s="366"/>
      <c r="AZ142" s="366"/>
      <c r="BA142" s="366"/>
      <c r="BB142" s="366"/>
      <c r="BC142" s="366"/>
      <c r="BD142" s="366"/>
      <c r="BE142" s="366"/>
      <c r="BF142" s="366"/>
      <c r="BG142" s="366"/>
    </row>
    <row r="143" spans="2:59" x14ac:dyDescent="0.25">
      <c r="B143" s="67" t="str">
        <f>IF(Capacity!B36="","",Capacity!B36)</f>
        <v/>
      </c>
      <c r="C143" s="221" t="str">
        <f>IF(B143="","",Capacity!E36)</f>
        <v/>
      </c>
      <c r="D143" s="311" t="str">
        <f>IF(B143="","",Capacity!F36)</f>
        <v/>
      </c>
      <c r="E143" s="221" t="str">
        <f>IF(B143="","",IF(COUNTBLANK(H143:BG143)=52,SUM('Capacity calculation (hide)'!H24:BG24),52-COUNTBLANK(H143:BG143)))</f>
        <v/>
      </c>
      <c r="F143" s="312" t="str">
        <f>'Capacity calculation (hide)'!BI24</f>
        <v/>
      </c>
      <c r="H143" s="366"/>
      <c r="I143" s="366"/>
      <c r="J143" s="366"/>
      <c r="K143" s="366"/>
      <c r="L143" s="366"/>
      <c r="M143" s="366"/>
      <c r="N143" s="366"/>
      <c r="O143" s="366"/>
      <c r="P143" s="366"/>
      <c r="Q143" s="366"/>
      <c r="R143" s="366"/>
      <c r="S143" s="366"/>
      <c r="T143" s="366"/>
      <c r="U143" s="366"/>
      <c r="V143" s="366"/>
      <c r="W143" s="366"/>
      <c r="X143" s="366"/>
      <c r="Y143" s="366"/>
      <c r="Z143" s="366"/>
      <c r="AA143" s="366"/>
      <c r="AB143" s="366"/>
      <c r="AC143" s="366"/>
      <c r="AD143" s="366"/>
      <c r="AE143" s="366"/>
      <c r="AF143" s="366"/>
      <c r="AG143" s="366"/>
      <c r="AH143" s="366"/>
      <c r="AI143" s="366"/>
      <c r="AJ143" s="366"/>
      <c r="AK143" s="366"/>
      <c r="AL143" s="366"/>
      <c r="AM143" s="366"/>
      <c r="AN143" s="366"/>
      <c r="AO143" s="366"/>
      <c r="AP143" s="366"/>
      <c r="AQ143" s="366"/>
      <c r="AR143" s="366"/>
      <c r="AS143" s="366"/>
      <c r="AT143" s="366"/>
      <c r="AU143" s="366"/>
      <c r="AV143" s="366"/>
      <c r="AW143" s="366"/>
      <c r="AX143" s="366"/>
      <c r="AY143" s="366"/>
      <c r="AZ143" s="366"/>
      <c r="BA143" s="366"/>
      <c r="BB143" s="366"/>
      <c r="BC143" s="366"/>
      <c r="BD143" s="366"/>
      <c r="BE143" s="366"/>
      <c r="BF143" s="366"/>
      <c r="BG143" s="366"/>
    </row>
    <row r="144" spans="2:59" x14ac:dyDescent="0.25">
      <c r="B144" s="67" t="str">
        <f>IF(Capacity!B37="","",Capacity!B37)</f>
        <v/>
      </c>
      <c r="C144" s="221" t="str">
        <f>IF(B144="","",Capacity!E37)</f>
        <v/>
      </c>
      <c r="D144" s="311" t="str">
        <f>IF(B144="","",Capacity!F37)</f>
        <v/>
      </c>
      <c r="E144" s="221" t="str">
        <f>IF(B144="","",IF(COUNTBLANK(H144:BG144)=52,SUM('Capacity calculation (hide)'!H25:BG25),52-COUNTBLANK(H144:BG144)))</f>
        <v/>
      </c>
      <c r="F144" s="312" t="str">
        <f>'Capacity calculation (hide)'!BI25</f>
        <v/>
      </c>
      <c r="H144" s="366"/>
      <c r="I144" s="366"/>
      <c r="J144" s="366"/>
      <c r="K144" s="366"/>
      <c r="L144" s="366"/>
      <c r="M144" s="366"/>
      <c r="N144" s="366"/>
      <c r="O144" s="366"/>
      <c r="P144" s="366"/>
      <c r="Q144" s="366"/>
      <c r="R144" s="366"/>
      <c r="S144" s="366"/>
      <c r="T144" s="366"/>
      <c r="U144" s="366"/>
      <c r="V144" s="366"/>
      <c r="W144" s="366"/>
      <c r="X144" s="366"/>
      <c r="Y144" s="366"/>
      <c r="Z144" s="366"/>
      <c r="AA144" s="366"/>
      <c r="AB144" s="366"/>
      <c r="AC144" s="366"/>
      <c r="AD144" s="366"/>
      <c r="AE144" s="366"/>
      <c r="AF144" s="366"/>
      <c r="AG144" s="366"/>
      <c r="AH144" s="366"/>
      <c r="AI144" s="366"/>
      <c r="AJ144" s="366"/>
      <c r="AK144" s="366"/>
      <c r="AL144" s="366"/>
      <c r="AM144" s="366"/>
      <c r="AN144" s="366"/>
      <c r="AO144" s="366"/>
      <c r="AP144" s="366"/>
      <c r="AQ144" s="366"/>
      <c r="AR144" s="366"/>
      <c r="AS144" s="366"/>
      <c r="AT144" s="366"/>
      <c r="AU144" s="366"/>
      <c r="AV144" s="366"/>
      <c r="AW144" s="366"/>
      <c r="AX144" s="366"/>
      <c r="AY144" s="366"/>
      <c r="AZ144" s="366"/>
      <c r="BA144" s="366"/>
      <c r="BB144" s="366"/>
      <c r="BC144" s="366"/>
      <c r="BD144" s="366"/>
      <c r="BE144" s="366"/>
      <c r="BF144" s="366"/>
      <c r="BG144" s="366"/>
    </row>
    <row r="145" spans="2:59" x14ac:dyDescent="0.25">
      <c r="B145" s="67" t="str">
        <f>IF(Capacity!B38="","",Capacity!B38)</f>
        <v/>
      </c>
      <c r="C145" s="221" t="str">
        <f>IF(B145="","",Capacity!E38)</f>
        <v/>
      </c>
      <c r="D145" s="311" t="str">
        <f>IF(B145="","",Capacity!F38)</f>
        <v/>
      </c>
      <c r="E145" s="221" t="str">
        <f>IF(B145="","",IF(COUNTBLANK(H145:BG145)=52,SUM('Capacity calculation (hide)'!H26:BG26),52-COUNTBLANK(H145:BG145)))</f>
        <v/>
      </c>
      <c r="F145" s="312" t="str">
        <f>'Capacity calculation (hide)'!BI26</f>
        <v/>
      </c>
      <c r="H145" s="366"/>
      <c r="I145" s="366"/>
      <c r="J145" s="366"/>
      <c r="K145" s="366"/>
      <c r="L145" s="366"/>
      <c r="M145" s="366"/>
      <c r="N145" s="366"/>
      <c r="O145" s="366"/>
      <c r="P145" s="366"/>
      <c r="Q145" s="366"/>
      <c r="R145" s="366"/>
      <c r="S145" s="366"/>
      <c r="T145" s="366"/>
      <c r="U145" s="366"/>
      <c r="V145" s="366"/>
      <c r="W145" s="366"/>
      <c r="X145" s="366"/>
      <c r="Y145" s="366"/>
      <c r="Z145" s="366"/>
      <c r="AA145" s="366"/>
      <c r="AB145" s="366"/>
      <c r="AC145" s="366"/>
      <c r="AD145" s="366"/>
      <c r="AE145" s="366"/>
      <c r="AF145" s="366"/>
      <c r="AG145" s="366"/>
      <c r="AH145" s="366"/>
      <c r="AI145" s="366"/>
      <c r="AJ145" s="366"/>
      <c r="AK145" s="366"/>
      <c r="AL145" s="366"/>
      <c r="AM145" s="366"/>
      <c r="AN145" s="366"/>
      <c r="AO145" s="366"/>
      <c r="AP145" s="366"/>
      <c r="AQ145" s="366"/>
      <c r="AR145" s="366"/>
      <c r="AS145" s="366"/>
      <c r="AT145" s="366"/>
      <c r="AU145" s="366"/>
      <c r="AV145" s="366"/>
      <c r="AW145" s="366"/>
      <c r="AX145" s="366"/>
      <c r="AY145" s="366"/>
      <c r="AZ145" s="366"/>
      <c r="BA145" s="366"/>
      <c r="BB145" s="366"/>
      <c r="BC145" s="366"/>
      <c r="BD145" s="366"/>
      <c r="BE145" s="366"/>
      <c r="BF145" s="366"/>
      <c r="BG145" s="366"/>
    </row>
    <row r="146" spans="2:59" x14ac:dyDescent="0.25">
      <c r="B146" s="67" t="str">
        <f>IF(Capacity!B39="","",Capacity!B39)</f>
        <v/>
      </c>
      <c r="C146" s="221" t="str">
        <f>IF(B146="","",Capacity!E39)</f>
        <v/>
      </c>
      <c r="D146" s="311" t="str">
        <f>IF(B146="","",Capacity!F39)</f>
        <v/>
      </c>
      <c r="E146" s="221" t="str">
        <f>IF(B146="","",IF(COUNTBLANK(H146:BG146)=52,SUM('Capacity calculation (hide)'!H27:BG27),52-COUNTBLANK(H146:BG146)))</f>
        <v/>
      </c>
      <c r="F146" s="312" t="str">
        <f>'Capacity calculation (hide)'!BI27</f>
        <v/>
      </c>
      <c r="H146" s="366"/>
      <c r="I146" s="366"/>
      <c r="J146" s="366"/>
      <c r="K146" s="366"/>
      <c r="L146" s="366"/>
      <c r="M146" s="366"/>
      <c r="N146" s="366"/>
      <c r="O146" s="366"/>
      <c r="P146" s="366"/>
      <c r="Q146" s="366"/>
      <c r="R146" s="366"/>
      <c r="S146" s="366"/>
      <c r="T146" s="366"/>
      <c r="U146" s="366"/>
      <c r="V146" s="366"/>
      <c r="W146" s="366"/>
      <c r="X146" s="366"/>
      <c r="Y146" s="366"/>
      <c r="Z146" s="366"/>
      <c r="AA146" s="366"/>
      <c r="AB146" s="366"/>
      <c r="AC146" s="366"/>
      <c r="AD146" s="366"/>
      <c r="AE146" s="366"/>
      <c r="AF146" s="366"/>
      <c r="AG146" s="366"/>
      <c r="AH146" s="366"/>
      <c r="AI146" s="366"/>
      <c r="AJ146" s="366"/>
      <c r="AK146" s="366"/>
      <c r="AL146" s="366"/>
      <c r="AM146" s="366"/>
      <c r="AN146" s="366"/>
      <c r="AO146" s="366"/>
      <c r="AP146" s="366"/>
      <c r="AQ146" s="366"/>
      <c r="AR146" s="366"/>
      <c r="AS146" s="366"/>
      <c r="AT146" s="366"/>
      <c r="AU146" s="366"/>
      <c r="AV146" s="366"/>
      <c r="AW146" s="366"/>
      <c r="AX146" s="366"/>
      <c r="AY146" s="366"/>
      <c r="AZ146" s="366"/>
      <c r="BA146" s="366"/>
      <c r="BB146" s="366"/>
      <c r="BC146" s="366"/>
      <c r="BD146" s="366"/>
      <c r="BE146" s="366"/>
      <c r="BF146" s="366"/>
      <c r="BG146" s="366"/>
    </row>
    <row r="147" spans="2:59" x14ac:dyDescent="0.25">
      <c r="B147" s="67" t="str">
        <f>IF(Capacity!B40="","",Capacity!B40)</f>
        <v/>
      </c>
      <c r="C147" s="221" t="str">
        <f>IF(B147="","",Capacity!E40)</f>
        <v/>
      </c>
      <c r="D147" s="311" t="str">
        <f>IF(B147="","",Capacity!F40)</f>
        <v/>
      </c>
      <c r="E147" s="221" t="str">
        <f>IF(B147="","",IF(COUNTBLANK(H147:BG147)=52,SUM('Capacity calculation (hide)'!H28:BG28),52-COUNTBLANK(H147:BG147)))</f>
        <v/>
      </c>
      <c r="F147" s="312" t="str">
        <f>'Capacity calculation (hide)'!BI28</f>
        <v/>
      </c>
      <c r="H147" s="366"/>
      <c r="I147" s="366"/>
      <c r="J147" s="366"/>
      <c r="K147" s="366"/>
      <c r="L147" s="366"/>
      <c r="M147" s="366"/>
      <c r="N147" s="366"/>
      <c r="O147" s="366"/>
      <c r="P147" s="366"/>
      <c r="Q147" s="366"/>
      <c r="R147" s="366"/>
      <c r="S147" s="366"/>
      <c r="T147" s="366"/>
      <c r="U147" s="366"/>
      <c r="V147" s="366"/>
      <c r="W147" s="366"/>
      <c r="X147" s="366"/>
      <c r="Y147" s="366"/>
      <c r="Z147" s="366"/>
      <c r="AA147" s="366"/>
      <c r="AB147" s="366"/>
      <c r="AC147" s="366"/>
      <c r="AD147" s="366"/>
      <c r="AE147" s="366"/>
      <c r="AF147" s="366"/>
      <c r="AG147" s="366"/>
      <c r="AH147" s="366"/>
      <c r="AI147" s="366"/>
      <c r="AJ147" s="366"/>
      <c r="AK147" s="366"/>
      <c r="AL147" s="366"/>
      <c r="AM147" s="366"/>
      <c r="AN147" s="366"/>
      <c r="AO147" s="366"/>
      <c r="AP147" s="366"/>
      <c r="AQ147" s="366"/>
      <c r="AR147" s="366"/>
      <c r="AS147" s="366"/>
      <c r="AT147" s="366"/>
      <c r="AU147" s="366"/>
      <c r="AV147" s="366"/>
      <c r="AW147" s="366"/>
      <c r="AX147" s="366"/>
      <c r="AY147" s="366"/>
      <c r="AZ147" s="366"/>
      <c r="BA147" s="366"/>
      <c r="BB147" s="366"/>
      <c r="BC147" s="366"/>
      <c r="BD147" s="366"/>
      <c r="BE147" s="366"/>
      <c r="BF147" s="366"/>
      <c r="BG147" s="366"/>
    </row>
    <row r="148" spans="2:59" x14ac:dyDescent="0.25">
      <c r="B148" s="67" t="str">
        <f>IF(Capacity!B41="","",Capacity!B41)</f>
        <v/>
      </c>
      <c r="C148" s="221" t="str">
        <f>IF(B148="","",Capacity!E41)</f>
        <v/>
      </c>
      <c r="D148" s="311" t="str">
        <f>IF(B148="","",Capacity!F41)</f>
        <v/>
      </c>
      <c r="E148" s="221" t="str">
        <f>IF(B148="","",IF(COUNTBLANK(H148:BG148)=52,SUM('Capacity calculation (hide)'!H29:BG29),52-COUNTBLANK(H148:BG148)))</f>
        <v/>
      </c>
      <c r="F148" s="312" t="str">
        <f>'Capacity calculation (hide)'!BI29</f>
        <v/>
      </c>
      <c r="H148" s="366"/>
      <c r="I148" s="366"/>
      <c r="J148" s="366"/>
      <c r="K148" s="366"/>
      <c r="L148" s="366"/>
      <c r="M148" s="366"/>
      <c r="N148" s="366"/>
      <c r="O148" s="366"/>
      <c r="P148" s="366"/>
      <c r="Q148" s="366"/>
      <c r="R148" s="366"/>
      <c r="S148" s="366"/>
      <c r="T148" s="366"/>
      <c r="U148" s="366"/>
      <c r="V148" s="366"/>
      <c r="W148" s="366"/>
      <c r="X148" s="366"/>
      <c r="Y148" s="366"/>
      <c r="Z148" s="366"/>
      <c r="AA148" s="366"/>
      <c r="AB148" s="366"/>
      <c r="AC148" s="366"/>
      <c r="AD148" s="366"/>
      <c r="AE148" s="366"/>
      <c r="AF148" s="366"/>
      <c r="AG148" s="366"/>
      <c r="AH148" s="366"/>
      <c r="AI148" s="366"/>
      <c r="AJ148" s="366"/>
      <c r="AK148" s="366"/>
      <c r="AL148" s="366"/>
      <c r="AM148" s="366"/>
      <c r="AN148" s="366"/>
      <c r="AO148" s="366"/>
      <c r="AP148" s="366"/>
      <c r="AQ148" s="366"/>
      <c r="AR148" s="366"/>
      <c r="AS148" s="366"/>
      <c r="AT148" s="366"/>
      <c r="AU148" s="366"/>
      <c r="AV148" s="366"/>
      <c r="AW148" s="366"/>
      <c r="AX148" s="366"/>
      <c r="AY148" s="366"/>
      <c r="AZ148" s="366"/>
      <c r="BA148" s="366"/>
      <c r="BB148" s="366"/>
      <c r="BC148" s="366"/>
      <c r="BD148" s="366"/>
      <c r="BE148" s="366"/>
      <c r="BF148" s="366"/>
      <c r="BG148" s="366"/>
    </row>
    <row r="149" spans="2:59" x14ac:dyDescent="0.25">
      <c r="B149" s="67" t="str">
        <f>IF(Capacity!B42="","",Capacity!B42)</f>
        <v/>
      </c>
      <c r="C149" s="221" t="str">
        <f>IF(B149="","",Capacity!E42)</f>
        <v/>
      </c>
      <c r="D149" s="311" t="str">
        <f>IF(B149="","",Capacity!F42)</f>
        <v/>
      </c>
      <c r="E149" s="221" t="str">
        <f>IF(B149="","",IF(COUNTBLANK(H149:BG149)=52,SUM('Capacity calculation (hide)'!H30:BG30),52-COUNTBLANK(H149:BG149)))</f>
        <v/>
      </c>
      <c r="F149" s="312" t="str">
        <f>'Capacity calculation (hide)'!BI30</f>
        <v/>
      </c>
      <c r="H149" s="366"/>
      <c r="I149" s="366"/>
      <c r="J149" s="366"/>
      <c r="K149" s="366"/>
      <c r="L149" s="366"/>
      <c r="M149" s="366"/>
      <c r="N149" s="366"/>
      <c r="O149" s="366"/>
      <c r="P149" s="366"/>
      <c r="Q149" s="366"/>
      <c r="R149" s="366"/>
      <c r="S149" s="366"/>
      <c r="T149" s="366"/>
      <c r="U149" s="366"/>
      <c r="V149" s="366"/>
      <c r="W149" s="366"/>
      <c r="X149" s="366"/>
      <c r="Y149" s="366"/>
      <c r="Z149" s="366"/>
      <c r="AA149" s="366"/>
      <c r="AB149" s="366"/>
      <c r="AC149" s="366"/>
      <c r="AD149" s="366"/>
      <c r="AE149" s="366"/>
      <c r="AF149" s="366"/>
      <c r="AG149" s="366"/>
      <c r="AH149" s="366"/>
      <c r="AI149" s="366"/>
      <c r="AJ149" s="366"/>
      <c r="AK149" s="366"/>
      <c r="AL149" s="366"/>
      <c r="AM149" s="366"/>
      <c r="AN149" s="366"/>
      <c r="AO149" s="366"/>
      <c r="AP149" s="366"/>
      <c r="AQ149" s="366"/>
      <c r="AR149" s="366"/>
      <c r="AS149" s="366"/>
      <c r="AT149" s="366"/>
      <c r="AU149" s="366"/>
      <c r="AV149" s="366"/>
      <c r="AW149" s="366"/>
      <c r="AX149" s="366"/>
      <c r="AY149" s="366"/>
      <c r="AZ149" s="366"/>
      <c r="BA149" s="366"/>
      <c r="BB149" s="366"/>
      <c r="BC149" s="366"/>
      <c r="BD149" s="366"/>
      <c r="BE149" s="366"/>
      <c r="BF149" s="366"/>
      <c r="BG149" s="366"/>
    </row>
    <row r="150" spans="2:59" x14ac:dyDescent="0.25">
      <c r="B150" s="67" t="str">
        <f>IF(Capacity!B43="","",Capacity!B43)</f>
        <v/>
      </c>
      <c r="C150" s="221" t="str">
        <f>IF(B150="","",Capacity!E43)</f>
        <v/>
      </c>
      <c r="D150" s="311" t="str">
        <f>IF(B150="","",Capacity!F43)</f>
        <v/>
      </c>
      <c r="E150" s="221" t="str">
        <f>IF(B150="","",IF(COUNTBLANK(H150:BG150)=52,SUM('Capacity calculation (hide)'!H31:BG31),52-COUNTBLANK(H150:BG150)))</f>
        <v/>
      </c>
      <c r="F150" s="312" t="str">
        <f>'Capacity calculation (hide)'!BI31</f>
        <v/>
      </c>
      <c r="H150" s="366"/>
      <c r="I150" s="366"/>
      <c r="J150" s="366"/>
      <c r="K150" s="366"/>
      <c r="L150" s="366"/>
      <c r="M150" s="366"/>
      <c r="N150" s="366"/>
      <c r="O150" s="366"/>
      <c r="P150" s="366"/>
      <c r="Q150" s="366"/>
      <c r="R150" s="366"/>
      <c r="S150" s="366"/>
      <c r="T150" s="366"/>
      <c r="U150" s="366"/>
      <c r="V150" s="366"/>
      <c r="W150" s="366"/>
      <c r="X150" s="366"/>
      <c r="Y150" s="366"/>
      <c r="Z150" s="366"/>
      <c r="AA150" s="366"/>
      <c r="AB150" s="366"/>
      <c r="AC150" s="366"/>
      <c r="AD150" s="366"/>
      <c r="AE150" s="366"/>
      <c r="AF150" s="366"/>
      <c r="AG150" s="366"/>
      <c r="AH150" s="366"/>
      <c r="AI150" s="366"/>
      <c r="AJ150" s="366"/>
      <c r="AK150" s="366"/>
      <c r="AL150" s="366"/>
      <c r="AM150" s="366"/>
      <c r="AN150" s="366"/>
      <c r="AO150" s="366"/>
      <c r="AP150" s="366"/>
      <c r="AQ150" s="366"/>
      <c r="AR150" s="366"/>
      <c r="AS150" s="366"/>
      <c r="AT150" s="366"/>
      <c r="AU150" s="366"/>
      <c r="AV150" s="366"/>
      <c r="AW150" s="366"/>
      <c r="AX150" s="366"/>
      <c r="AY150" s="366"/>
      <c r="AZ150" s="366"/>
      <c r="BA150" s="366"/>
      <c r="BB150" s="366"/>
      <c r="BC150" s="366"/>
      <c r="BD150" s="366"/>
      <c r="BE150" s="366"/>
      <c r="BF150" s="366"/>
      <c r="BG150" s="366"/>
    </row>
    <row r="151" spans="2:59" x14ac:dyDescent="0.25">
      <c r="B151" s="67" t="str">
        <f>IF(Capacity!B44="","",Capacity!B44)</f>
        <v/>
      </c>
      <c r="C151" s="221" t="str">
        <f>IF(B151="","",Capacity!E44)</f>
        <v/>
      </c>
      <c r="D151" s="311" t="str">
        <f>IF(B151="","",Capacity!F44)</f>
        <v/>
      </c>
      <c r="E151" s="221" t="str">
        <f>IF(B151="","",IF(COUNTBLANK(H151:BG151)=52,SUM('Capacity calculation (hide)'!H32:BG32),52-COUNTBLANK(H151:BG151)))</f>
        <v/>
      </c>
      <c r="F151" s="312" t="str">
        <f>'Capacity calculation (hide)'!BI32</f>
        <v/>
      </c>
      <c r="H151" s="366"/>
      <c r="I151" s="366"/>
      <c r="J151" s="366"/>
      <c r="K151" s="366"/>
      <c r="L151" s="366"/>
      <c r="M151" s="366"/>
      <c r="N151" s="366"/>
      <c r="O151" s="366"/>
      <c r="P151" s="366"/>
      <c r="Q151" s="366"/>
      <c r="R151" s="366"/>
      <c r="S151" s="366"/>
      <c r="T151" s="366"/>
      <c r="U151" s="366"/>
      <c r="V151" s="366"/>
      <c r="W151" s="366"/>
      <c r="X151" s="366"/>
      <c r="Y151" s="366"/>
      <c r="Z151" s="366"/>
      <c r="AA151" s="366"/>
      <c r="AB151" s="366"/>
      <c r="AC151" s="366"/>
      <c r="AD151" s="366"/>
      <c r="AE151" s="366"/>
      <c r="AF151" s="366"/>
      <c r="AG151" s="366"/>
      <c r="AH151" s="366"/>
      <c r="AI151" s="366"/>
      <c r="AJ151" s="366"/>
      <c r="AK151" s="366"/>
      <c r="AL151" s="366"/>
      <c r="AM151" s="366"/>
      <c r="AN151" s="366"/>
      <c r="AO151" s="366"/>
      <c r="AP151" s="366"/>
      <c r="AQ151" s="366"/>
      <c r="AR151" s="366"/>
      <c r="AS151" s="366"/>
      <c r="AT151" s="366"/>
      <c r="AU151" s="366"/>
      <c r="AV151" s="366"/>
      <c r="AW151" s="366"/>
      <c r="AX151" s="366"/>
      <c r="AY151" s="366"/>
      <c r="AZ151" s="366"/>
      <c r="BA151" s="366"/>
      <c r="BB151" s="366"/>
      <c r="BC151" s="366"/>
      <c r="BD151" s="366"/>
      <c r="BE151" s="366"/>
      <c r="BF151" s="366"/>
      <c r="BG151" s="366"/>
    </row>
    <row r="152" spans="2:59" x14ac:dyDescent="0.25">
      <c r="B152" s="67" t="str">
        <f>IF(Capacity!B45="","",Capacity!B45)</f>
        <v/>
      </c>
      <c r="C152" s="221" t="str">
        <f>IF(B152="","",Capacity!E45)</f>
        <v/>
      </c>
      <c r="D152" s="311" t="str">
        <f>IF(B152="","",Capacity!F45)</f>
        <v/>
      </c>
      <c r="E152" s="221" t="str">
        <f>IF(B152="","",IF(COUNTBLANK(H152:BG152)=52,SUM('Capacity calculation (hide)'!H33:BG33),52-COUNTBLANK(H152:BG152)))</f>
        <v/>
      </c>
      <c r="F152" s="312" t="str">
        <f>'Capacity calculation (hide)'!BI33</f>
        <v/>
      </c>
      <c r="H152" s="366"/>
      <c r="I152" s="366"/>
      <c r="J152" s="366"/>
      <c r="K152" s="366"/>
      <c r="L152" s="366"/>
      <c r="M152" s="366"/>
      <c r="N152" s="366"/>
      <c r="O152" s="366"/>
      <c r="P152" s="366"/>
      <c r="Q152" s="366"/>
      <c r="R152" s="366"/>
      <c r="S152" s="366"/>
      <c r="T152" s="366"/>
      <c r="U152" s="366"/>
      <c r="V152" s="366"/>
      <c r="W152" s="366"/>
      <c r="X152" s="366"/>
      <c r="Y152" s="366"/>
      <c r="Z152" s="366"/>
      <c r="AA152" s="366"/>
      <c r="AB152" s="366"/>
      <c r="AC152" s="366"/>
      <c r="AD152" s="366"/>
      <c r="AE152" s="366"/>
      <c r="AF152" s="366"/>
      <c r="AG152" s="366"/>
      <c r="AH152" s="366"/>
      <c r="AI152" s="366"/>
      <c r="AJ152" s="366"/>
      <c r="AK152" s="366"/>
      <c r="AL152" s="366"/>
      <c r="AM152" s="366"/>
      <c r="AN152" s="366"/>
      <c r="AO152" s="366"/>
      <c r="AP152" s="366"/>
      <c r="AQ152" s="366"/>
      <c r="AR152" s="366"/>
      <c r="AS152" s="366"/>
      <c r="AT152" s="366"/>
      <c r="AU152" s="366"/>
      <c r="AV152" s="366"/>
      <c r="AW152" s="366"/>
      <c r="AX152" s="366"/>
      <c r="AY152" s="366"/>
      <c r="AZ152" s="366"/>
      <c r="BA152" s="366"/>
      <c r="BB152" s="366"/>
      <c r="BC152" s="366"/>
      <c r="BD152" s="366"/>
      <c r="BE152" s="366"/>
      <c r="BF152" s="366"/>
      <c r="BG152" s="366"/>
    </row>
    <row r="153" spans="2:59" x14ac:dyDescent="0.25">
      <c r="B153" s="67" t="str">
        <f>IF(Capacity!B46="","",Capacity!B46)</f>
        <v/>
      </c>
      <c r="C153" s="221" t="str">
        <f>IF(B153="","",Capacity!E46)</f>
        <v/>
      </c>
      <c r="D153" s="311" t="str">
        <f>IF(B153="","",Capacity!F46)</f>
        <v/>
      </c>
      <c r="E153" s="221" t="str">
        <f>IF(B153="","",IF(COUNTBLANK(H153:BG153)=52,SUM('Capacity calculation (hide)'!H34:BG34),52-COUNTBLANK(H153:BG153)))</f>
        <v/>
      </c>
      <c r="F153" s="312" t="str">
        <f>'Capacity calculation (hide)'!BI34</f>
        <v/>
      </c>
      <c r="H153" s="366"/>
      <c r="I153" s="366"/>
      <c r="J153" s="366"/>
      <c r="K153" s="366"/>
      <c r="L153" s="366"/>
      <c r="M153" s="366"/>
      <c r="N153" s="366"/>
      <c r="O153" s="366"/>
      <c r="P153" s="366"/>
      <c r="Q153" s="366"/>
      <c r="R153" s="366"/>
      <c r="S153" s="366"/>
      <c r="T153" s="366"/>
      <c r="U153" s="366"/>
      <c r="V153" s="366"/>
      <c r="W153" s="366"/>
      <c r="X153" s="366"/>
      <c r="Y153" s="366"/>
      <c r="Z153" s="366"/>
      <c r="AA153" s="366"/>
      <c r="AB153" s="366"/>
      <c r="AC153" s="366"/>
      <c r="AD153" s="366"/>
      <c r="AE153" s="366"/>
      <c r="AF153" s="366"/>
      <c r="AG153" s="366"/>
      <c r="AH153" s="366"/>
      <c r="AI153" s="366"/>
      <c r="AJ153" s="366"/>
      <c r="AK153" s="366"/>
      <c r="AL153" s="366"/>
      <c r="AM153" s="366"/>
      <c r="AN153" s="366"/>
      <c r="AO153" s="366"/>
      <c r="AP153" s="366"/>
      <c r="AQ153" s="366"/>
      <c r="AR153" s="366"/>
      <c r="AS153" s="366"/>
      <c r="AT153" s="366"/>
      <c r="AU153" s="366"/>
      <c r="AV153" s="366"/>
      <c r="AW153" s="366"/>
      <c r="AX153" s="366"/>
      <c r="AY153" s="366"/>
      <c r="AZ153" s="366"/>
      <c r="BA153" s="366"/>
      <c r="BB153" s="366"/>
      <c r="BC153" s="366"/>
      <c r="BD153" s="366"/>
      <c r="BE153" s="366"/>
      <c r="BF153" s="366"/>
      <c r="BG153" s="366"/>
    </row>
    <row r="154" spans="2:59" x14ac:dyDescent="0.25">
      <c r="B154" s="67" t="str">
        <f>IF(Capacity!B47="","",Capacity!B47)</f>
        <v/>
      </c>
      <c r="C154" s="221" t="str">
        <f>IF(B154="","",Capacity!E47)</f>
        <v/>
      </c>
      <c r="D154" s="311" t="str">
        <f>IF(B154="","",Capacity!F47)</f>
        <v/>
      </c>
      <c r="E154" s="221" t="str">
        <f>IF(B154="","",IF(COUNTBLANK(H154:BG154)=52,SUM('Capacity calculation (hide)'!H35:BG35),52-COUNTBLANK(H154:BG154)))</f>
        <v/>
      </c>
      <c r="F154" s="312" t="str">
        <f>'Capacity calculation (hide)'!BI35</f>
        <v/>
      </c>
      <c r="H154" s="366"/>
      <c r="I154" s="366"/>
      <c r="J154" s="366"/>
      <c r="K154" s="366"/>
      <c r="L154" s="366"/>
      <c r="M154" s="366"/>
      <c r="N154" s="366"/>
      <c r="O154" s="366"/>
      <c r="P154" s="366"/>
      <c r="Q154" s="366"/>
      <c r="R154" s="366"/>
      <c r="S154" s="366"/>
      <c r="T154" s="366"/>
      <c r="U154" s="366"/>
      <c r="V154" s="366"/>
      <c r="W154" s="366"/>
      <c r="X154" s="366"/>
      <c r="Y154" s="366"/>
      <c r="Z154" s="366"/>
      <c r="AA154" s="366"/>
      <c r="AB154" s="366"/>
      <c r="AC154" s="366"/>
      <c r="AD154" s="366"/>
      <c r="AE154" s="366"/>
      <c r="AF154" s="366"/>
      <c r="AG154" s="366"/>
      <c r="AH154" s="366"/>
      <c r="AI154" s="366"/>
      <c r="AJ154" s="366"/>
      <c r="AK154" s="366"/>
      <c r="AL154" s="366"/>
      <c r="AM154" s="366"/>
      <c r="AN154" s="366"/>
      <c r="AO154" s="366"/>
      <c r="AP154" s="366"/>
      <c r="AQ154" s="366"/>
      <c r="AR154" s="366"/>
      <c r="AS154" s="366"/>
      <c r="AT154" s="366"/>
      <c r="AU154" s="366"/>
      <c r="AV154" s="366"/>
      <c r="AW154" s="366"/>
      <c r="AX154" s="366"/>
      <c r="AY154" s="366"/>
      <c r="AZ154" s="366"/>
      <c r="BA154" s="366"/>
      <c r="BB154" s="366"/>
      <c r="BC154" s="366"/>
      <c r="BD154" s="366"/>
      <c r="BE154" s="366"/>
      <c r="BF154" s="366"/>
      <c r="BG154" s="366"/>
    </row>
    <row r="155" spans="2:59" x14ac:dyDescent="0.25">
      <c r="B155" s="67" t="str">
        <f>IF(Capacity!B48="","",Capacity!B48)</f>
        <v/>
      </c>
      <c r="C155" s="221" t="str">
        <f>IF(B155="","",Capacity!E48)</f>
        <v/>
      </c>
      <c r="D155" s="311" t="str">
        <f>IF(B155="","",Capacity!F48)</f>
        <v/>
      </c>
      <c r="E155" s="221" t="str">
        <f>IF(B155="","",IF(COUNTBLANK(H155:BG155)=52,SUM('Capacity calculation (hide)'!H36:BG36),52-COUNTBLANK(H155:BG155)))</f>
        <v/>
      </c>
      <c r="F155" s="312" t="str">
        <f>'Capacity calculation (hide)'!BI36</f>
        <v/>
      </c>
      <c r="H155" s="366"/>
      <c r="I155" s="366"/>
      <c r="J155" s="366"/>
      <c r="K155" s="366"/>
      <c r="L155" s="366"/>
      <c r="M155" s="366"/>
      <c r="N155" s="366"/>
      <c r="O155" s="366"/>
      <c r="P155" s="366"/>
      <c r="Q155" s="366"/>
      <c r="R155" s="366"/>
      <c r="S155" s="366"/>
      <c r="T155" s="366"/>
      <c r="U155" s="366"/>
      <c r="V155" s="366"/>
      <c r="W155" s="366"/>
      <c r="X155" s="366"/>
      <c r="Y155" s="366"/>
      <c r="Z155" s="366"/>
      <c r="AA155" s="366"/>
      <c r="AB155" s="366"/>
      <c r="AC155" s="366"/>
      <c r="AD155" s="366"/>
      <c r="AE155" s="366"/>
      <c r="AF155" s="366"/>
      <c r="AG155" s="366"/>
      <c r="AH155" s="366"/>
      <c r="AI155" s="366"/>
      <c r="AJ155" s="366"/>
      <c r="AK155" s="366"/>
      <c r="AL155" s="366"/>
      <c r="AM155" s="366"/>
      <c r="AN155" s="366"/>
      <c r="AO155" s="366"/>
      <c r="AP155" s="366"/>
      <c r="AQ155" s="366"/>
      <c r="AR155" s="366"/>
      <c r="AS155" s="366"/>
      <c r="AT155" s="366"/>
      <c r="AU155" s="366"/>
      <c r="AV155" s="366"/>
      <c r="AW155" s="366"/>
      <c r="AX155" s="366"/>
      <c r="AY155" s="366"/>
      <c r="AZ155" s="366"/>
      <c r="BA155" s="366"/>
      <c r="BB155" s="366"/>
      <c r="BC155" s="366"/>
      <c r="BD155" s="366"/>
      <c r="BE155" s="366"/>
      <c r="BF155" s="366"/>
      <c r="BG155" s="366"/>
    </row>
    <row r="156" spans="2:59" x14ac:dyDescent="0.25">
      <c r="B156" s="67" t="str">
        <f>IF(Capacity!B49="","",Capacity!B49)</f>
        <v/>
      </c>
      <c r="C156" s="221" t="str">
        <f>IF(B156="","",Capacity!E49)</f>
        <v/>
      </c>
      <c r="D156" s="311" t="str">
        <f>IF(B156="","",Capacity!F49)</f>
        <v/>
      </c>
      <c r="E156" s="221" t="str">
        <f>IF(B156="","",IF(COUNTBLANK(H156:BG156)=52,SUM('Capacity calculation (hide)'!H37:BG37),52-COUNTBLANK(H156:BG156)))</f>
        <v/>
      </c>
      <c r="F156" s="312" t="str">
        <f>'Capacity calculation (hide)'!BI37</f>
        <v/>
      </c>
      <c r="H156" s="366"/>
      <c r="I156" s="366"/>
      <c r="J156" s="366"/>
      <c r="K156" s="366"/>
      <c r="L156" s="366"/>
      <c r="M156" s="366"/>
      <c r="N156" s="366"/>
      <c r="O156" s="366"/>
      <c r="P156" s="366"/>
      <c r="Q156" s="366"/>
      <c r="R156" s="366"/>
      <c r="S156" s="366"/>
      <c r="T156" s="366"/>
      <c r="U156" s="366"/>
      <c r="V156" s="366"/>
      <c r="W156" s="366"/>
      <c r="X156" s="366"/>
      <c r="Y156" s="366"/>
      <c r="Z156" s="366"/>
      <c r="AA156" s="366"/>
      <c r="AB156" s="366"/>
      <c r="AC156" s="366"/>
      <c r="AD156" s="366"/>
      <c r="AE156" s="366"/>
      <c r="AF156" s="366"/>
      <c r="AG156" s="366"/>
      <c r="AH156" s="366"/>
      <c r="AI156" s="366"/>
      <c r="AJ156" s="366"/>
      <c r="AK156" s="366"/>
      <c r="AL156" s="366"/>
      <c r="AM156" s="366"/>
      <c r="AN156" s="366"/>
      <c r="AO156" s="366"/>
      <c r="AP156" s="366"/>
      <c r="AQ156" s="366"/>
      <c r="AR156" s="366"/>
      <c r="AS156" s="366"/>
      <c r="AT156" s="366"/>
      <c r="AU156" s="366"/>
      <c r="AV156" s="366"/>
      <c r="AW156" s="366"/>
      <c r="AX156" s="366"/>
      <c r="AY156" s="366"/>
      <c r="AZ156" s="366"/>
      <c r="BA156" s="366"/>
      <c r="BB156" s="366"/>
      <c r="BC156" s="366"/>
      <c r="BD156" s="366"/>
      <c r="BE156" s="366"/>
      <c r="BF156" s="366"/>
      <c r="BG156" s="366"/>
    </row>
    <row r="157" spans="2:59" x14ac:dyDescent="0.25">
      <c r="B157" s="67" t="str">
        <f>IF(Capacity!B50="","",Capacity!B50)</f>
        <v/>
      </c>
      <c r="C157" s="221" t="str">
        <f>IF(B157="","",Capacity!E50)</f>
        <v/>
      </c>
      <c r="D157" s="311" t="str">
        <f>IF(B157="","",Capacity!F50)</f>
        <v/>
      </c>
      <c r="E157" s="221" t="str">
        <f>IF(B157="","",IF(COUNTBLANK(H157:BG157)=52,SUM('Capacity calculation (hide)'!H38:BG38),52-COUNTBLANK(H157:BG157)))</f>
        <v/>
      </c>
      <c r="F157" s="312" t="str">
        <f>'Capacity calculation (hide)'!BI38</f>
        <v/>
      </c>
      <c r="H157" s="366"/>
      <c r="I157" s="366"/>
      <c r="J157" s="366"/>
      <c r="K157" s="366"/>
      <c r="L157" s="366"/>
      <c r="M157" s="366"/>
      <c r="N157" s="366"/>
      <c r="O157" s="366"/>
      <c r="P157" s="366"/>
      <c r="Q157" s="366"/>
      <c r="R157" s="366"/>
      <c r="S157" s="366"/>
      <c r="T157" s="366"/>
      <c r="U157" s="366"/>
      <c r="V157" s="366"/>
      <c r="W157" s="366"/>
      <c r="X157" s="366"/>
      <c r="Y157" s="366"/>
      <c r="Z157" s="366"/>
      <c r="AA157" s="366"/>
      <c r="AB157" s="366"/>
      <c r="AC157" s="366"/>
      <c r="AD157" s="366"/>
      <c r="AE157" s="366"/>
      <c r="AF157" s="366"/>
      <c r="AG157" s="366"/>
      <c r="AH157" s="366"/>
      <c r="AI157" s="366"/>
      <c r="AJ157" s="366"/>
      <c r="AK157" s="366"/>
      <c r="AL157" s="366"/>
      <c r="AM157" s="366"/>
      <c r="AN157" s="366"/>
      <c r="AO157" s="366"/>
      <c r="AP157" s="366"/>
      <c r="AQ157" s="366"/>
      <c r="AR157" s="366"/>
      <c r="AS157" s="366"/>
      <c r="AT157" s="366"/>
      <c r="AU157" s="366"/>
      <c r="AV157" s="366"/>
      <c r="AW157" s="366"/>
      <c r="AX157" s="366"/>
      <c r="AY157" s="366"/>
      <c r="AZ157" s="366"/>
      <c r="BA157" s="366"/>
      <c r="BB157" s="366"/>
      <c r="BC157" s="366"/>
      <c r="BD157" s="366"/>
      <c r="BE157" s="366"/>
      <c r="BF157" s="366"/>
      <c r="BG157" s="366"/>
    </row>
    <row r="158" spans="2:59" x14ac:dyDescent="0.25">
      <c r="B158" s="67" t="str">
        <f>IF(Capacity!B51="","",Capacity!B51)</f>
        <v/>
      </c>
      <c r="C158" s="221" t="str">
        <f>IF(B158="","",Capacity!E51)</f>
        <v/>
      </c>
      <c r="D158" s="311" t="str">
        <f>IF(B158="","",Capacity!F51)</f>
        <v/>
      </c>
      <c r="E158" s="221" t="str">
        <f>IF(B158="","",IF(COUNTBLANK(H158:BG158)=52,SUM('Capacity calculation (hide)'!H39:BG39),52-COUNTBLANK(H158:BG158)))</f>
        <v/>
      </c>
      <c r="F158" s="312" t="str">
        <f>'Capacity calculation (hide)'!BI39</f>
        <v/>
      </c>
      <c r="H158" s="366"/>
      <c r="I158" s="366"/>
      <c r="J158" s="366"/>
      <c r="K158" s="366"/>
      <c r="L158" s="366"/>
      <c r="M158" s="366"/>
      <c r="N158" s="366"/>
      <c r="O158" s="366"/>
      <c r="P158" s="366"/>
      <c r="Q158" s="366"/>
      <c r="R158" s="366"/>
      <c r="S158" s="366"/>
      <c r="T158" s="366"/>
      <c r="U158" s="366"/>
      <c r="V158" s="366"/>
      <c r="W158" s="366"/>
      <c r="X158" s="366"/>
      <c r="Y158" s="366"/>
      <c r="Z158" s="366"/>
      <c r="AA158" s="366"/>
      <c r="AB158" s="366"/>
      <c r="AC158" s="366"/>
      <c r="AD158" s="366"/>
      <c r="AE158" s="366"/>
      <c r="AF158" s="366"/>
      <c r="AG158" s="366"/>
      <c r="AH158" s="366"/>
      <c r="AI158" s="366"/>
      <c r="AJ158" s="366"/>
      <c r="AK158" s="366"/>
      <c r="AL158" s="366"/>
      <c r="AM158" s="366"/>
      <c r="AN158" s="366"/>
      <c r="AO158" s="366"/>
      <c r="AP158" s="366"/>
      <c r="AQ158" s="366"/>
      <c r="AR158" s="366"/>
      <c r="AS158" s="366"/>
      <c r="AT158" s="366"/>
      <c r="AU158" s="366"/>
      <c r="AV158" s="366"/>
      <c r="AW158" s="366"/>
      <c r="AX158" s="366"/>
      <c r="AY158" s="366"/>
      <c r="AZ158" s="366"/>
      <c r="BA158" s="366"/>
      <c r="BB158" s="366"/>
      <c r="BC158" s="366"/>
      <c r="BD158" s="366"/>
      <c r="BE158" s="366"/>
      <c r="BF158" s="366"/>
      <c r="BG158" s="366"/>
    </row>
    <row r="159" spans="2:59" x14ac:dyDescent="0.25">
      <c r="B159" s="67" t="str">
        <f>IF(Capacity!B52="","",Capacity!B52)</f>
        <v/>
      </c>
      <c r="C159" s="221" t="str">
        <f>IF(B159="","",Capacity!E52)</f>
        <v/>
      </c>
      <c r="D159" s="311" t="str">
        <f>IF(B159="","",Capacity!F52)</f>
        <v/>
      </c>
      <c r="E159" s="221" t="str">
        <f>IF(B159="","",IF(COUNTBLANK(H159:BG159)=52,SUM('Capacity calculation (hide)'!H40:BG40),52-COUNTBLANK(H159:BG159)))</f>
        <v/>
      </c>
      <c r="F159" s="312" t="str">
        <f>'Capacity calculation (hide)'!BI40</f>
        <v/>
      </c>
      <c r="H159" s="366"/>
      <c r="I159" s="366"/>
      <c r="J159" s="366"/>
      <c r="K159" s="366"/>
      <c r="L159" s="366"/>
      <c r="M159" s="366"/>
      <c r="N159" s="366"/>
      <c r="O159" s="366"/>
      <c r="P159" s="366"/>
      <c r="Q159" s="366"/>
      <c r="R159" s="366"/>
      <c r="S159" s="366"/>
      <c r="T159" s="366"/>
      <c r="U159" s="366"/>
      <c r="V159" s="366"/>
      <c r="W159" s="366"/>
      <c r="X159" s="366"/>
      <c r="Y159" s="366"/>
      <c r="Z159" s="366"/>
      <c r="AA159" s="366"/>
      <c r="AB159" s="366"/>
      <c r="AC159" s="366"/>
      <c r="AD159" s="366"/>
      <c r="AE159" s="366"/>
      <c r="AF159" s="366"/>
      <c r="AG159" s="366"/>
      <c r="AH159" s="366"/>
      <c r="AI159" s="366"/>
      <c r="AJ159" s="366"/>
      <c r="AK159" s="366"/>
      <c r="AL159" s="366"/>
      <c r="AM159" s="366"/>
      <c r="AN159" s="366"/>
      <c r="AO159" s="366"/>
      <c r="AP159" s="366"/>
      <c r="AQ159" s="366"/>
      <c r="AR159" s="366"/>
      <c r="AS159" s="366"/>
      <c r="AT159" s="366"/>
      <c r="AU159" s="366"/>
      <c r="AV159" s="366"/>
      <c r="AW159" s="366"/>
      <c r="AX159" s="366"/>
      <c r="AY159" s="366"/>
      <c r="AZ159" s="366"/>
      <c r="BA159" s="366"/>
      <c r="BB159" s="366"/>
      <c r="BC159" s="366"/>
      <c r="BD159" s="366"/>
      <c r="BE159" s="366"/>
      <c r="BF159" s="366"/>
      <c r="BG159" s="366"/>
    </row>
    <row r="160" spans="2:59" x14ac:dyDescent="0.25">
      <c r="B160" s="67" t="str">
        <f>IF(Capacity!B53="","",Capacity!B53)</f>
        <v/>
      </c>
      <c r="C160" s="221" t="str">
        <f>IF(B160="","",Capacity!E53)</f>
        <v/>
      </c>
      <c r="D160" s="311" t="str">
        <f>IF(B160="","",Capacity!F53)</f>
        <v/>
      </c>
      <c r="E160" s="221" t="str">
        <f>IF(B160="","",IF(COUNTBLANK(H160:BG160)=52,SUM('Capacity calculation (hide)'!H41:BG41),52-COUNTBLANK(H160:BG160)))</f>
        <v/>
      </c>
      <c r="F160" s="312" t="str">
        <f>'Capacity calculation (hide)'!BI41</f>
        <v/>
      </c>
      <c r="H160" s="366"/>
      <c r="I160" s="366"/>
      <c r="J160" s="366"/>
      <c r="K160" s="366"/>
      <c r="L160" s="366"/>
      <c r="M160" s="366"/>
      <c r="N160" s="366"/>
      <c r="O160" s="366"/>
      <c r="P160" s="366"/>
      <c r="Q160" s="366"/>
      <c r="R160" s="366"/>
      <c r="S160" s="366"/>
      <c r="T160" s="366"/>
      <c r="U160" s="366"/>
      <c r="V160" s="366"/>
      <c r="W160" s="366"/>
      <c r="X160" s="366"/>
      <c r="Y160" s="366"/>
      <c r="Z160" s="366"/>
      <c r="AA160" s="366"/>
      <c r="AB160" s="366"/>
      <c r="AC160" s="366"/>
      <c r="AD160" s="366"/>
      <c r="AE160" s="366"/>
      <c r="AF160" s="366"/>
      <c r="AG160" s="366"/>
      <c r="AH160" s="366"/>
      <c r="AI160" s="366"/>
      <c r="AJ160" s="366"/>
      <c r="AK160" s="366"/>
      <c r="AL160" s="366"/>
      <c r="AM160" s="366"/>
      <c r="AN160" s="366"/>
      <c r="AO160" s="366"/>
      <c r="AP160" s="366"/>
      <c r="AQ160" s="366"/>
      <c r="AR160" s="366"/>
      <c r="AS160" s="366"/>
      <c r="AT160" s="366"/>
      <c r="AU160" s="366"/>
      <c r="AV160" s="366"/>
      <c r="AW160" s="366"/>
      <c r="AX160" s="366"/>
      <c r="AY160" s="366"/>
      <c r="AZ160" s="366"/>
      <c r="BA160" s="366"/>
      <c r="BB160" s="366"/>
      <c r="BC160" s="366"/>
      <c r="BD160" s="366"/>
      <c r="BE160" s="366"/>
      <c r="BF160" s="366"/>
      <c r="BG160" s="366"/>
    </row>
    <row r="161" spans="2:59" x14ac:dyDescent="0.25">
      <c r="B161" s="67" t="str">
        <f>IF(Capacity!B54="","",Capacity!B54)</f>
        <v/>
      </c>
      <c r="C161" s="221" t="str">
        <f>IF(B161="","",Capacity!E54)</f>
        <v/>
      </c>
      <c r="D161" s="311" t="str">
        <f>IF(B161="","",Capacity!F54)</f>
        <v/>
      </c>
      <c r="E161" s="221" t="str">
        <f>IF(B161="","",IF(COUNTBLANK(H161:BG161)=52,SUM('Capacity calculation (hide)'!H42:BG42),52-COUNTBLANK(H161:BG161)))</f>
        <v/>
      </c>
      <c r="F161" s="312" t="str">
        <f>'Capacity calculation (hide)'!BI42</f>
        <v/>
      </c>
      <c r="H161" s="366"/>
      <c r="I161" s="366"/>
      <c r="J161" s="366"/>
      <c r="K161" s="366"/>
      <c r="L161" s="366"/>
      <c r="M161" s="366"/>
      <c r="N161" s="366"/>
      <c r="O161" s="366"/>
      <c r="P161" s="366"/>
      <c r="Q161" s="366"/>
      <c r="R161" s="366"/>
      <c r="S161" s="366"/>
      <c r="T161" s="366"/>
      <c r="U161" s="366"/>
      <c r="V161" s="366"/>
      <c r="W161" s="366"/>
      <c r="X161" s="366"/>
      <c r="Y161" s="366"/>
      <c r="Z161" s="366"/>
      <c r="AA161" s="366"/>
      <c r="AB161" s="366"/>
      <c r="AC161" s="366"/>
      <c r="AD161" s="366"/>
      <c r="AE161" s="366"/>
      <c r="AF161" s="366"/>
      <c r="AG161" s="366"/>
      <c r="AH161" s="366"/>
      <c r="AI161" s="366"/>
      <c r="AJ161" s="366"/>
      <c r="AK161" s="366"/>
      <c r="AL161" s="366"/>
      <c r="AM161" s="366"/>
      <c r="AN161" s="366"/>
      <c r="AO161" s="366"/>
      <c r="AP161" s="366"/>
      <c r="AQ161" s="366"/>
      <c r="AR161" s="366"/>
      <c r="AS161" s="366"/>
      <c r="AT161" s="366"/>
      <c r="AU161" s="366"/>
      <c r="AV161" s="366"/>
      <c r="AW161" s="366"/>
      <c r="AX161" s="366"/>
      <c r="AY161" s="366"/>
      <c r="AZ161" s="366"/>
      <c r="BA161" s="366"/>
      <c r="BB161" s="366"/>
      <c r="BC161" s="366"/>
      <c r="BD161" s="366"/>
      <c r="BE161" s="366"/>
      <c r="BF161" s="366"/>
      <c r="BG161" s="366"/>
    </row>
    <row r="162" spans="2:59" x14ac:dyDescent="0.25">
      <c r="B162" s="67" t="str">
        <f>IF(Capacity!B55="","",Capacity!B55)</f>
        <v/>
      </c>
      <c r="C162" s="221" t="str">
        <f>IF(B162="","",Capacity!E55)</f>
        <v/>
      </c>
      <c r="D162" s="311" t="str">
        <f>IF(B162="","",Capacity!F55)</f>
        <v/>
      </c>
      <c r="E162" s="221" t="str">
        <f>IF(B162="","",IF(COUNTBLANK(H162:BG162)=52,SUM('Capacity calculation (hide)'!H43:BG43),52-COUNTBLANK(H162:BG162)))</f>
        <v/>
      </c>
      <c r="F162" s="312" t="str">
        <f>'Capacity calculation (hide)'!BI43</f>
        <v/>
      </c>
      <c r="H162" s="366"/>
      <c r="I162" s="366"/>
      <c r="J162" s="366"/>
      <c r="K162" s="366"/>
      <c r="L162" s="366"/>
      <c r="M162" s="366"/>
      <c r="N162" s="366"/>
      <c r="O162" s="366"/>
      <c r="P162" s="366"/>
      <c r="Q162" s="366"/>
      <c r="R162" s="366"/>
      <c r="S162" s="366"/>
      <c r="T162" s="366"/>
      <c r="U162" s="366"/>
      <c r="V162" s="366"/>
      <c r="W162" s="366"/>
      <c r="X162" s="366"/>
      <c r="Y162" s="366"/>
      <c r="Z162" s="366"/>
      <c r="AA162" s="366"/>
      <c r="AB162" s="366"/>
      <c r="AC162" s="366"/>
      <c r="AD162" s="366"/>
      <c r="AE162" s="366"/>
      <c r="AF162" s="366"/>
      <c r="AG162" s="366"/>
      <c r="AH162" s="366"/>
      <c r="AI162" s="366"/>
      <c r="AJ162" s="366"/>
      <c r="AK162" s="366"/>
      <c r="AL162" s="366"/>
      <c r="AM162" s="366"/>
      <c r="AN162" s="366"/>
      <c r="AO162" s="366"/>
      <c r="AP162" s="366"/>
      <c r="AQ162" s="366"/>
      <c r="AR162" s="366"/>
      <c r="AS162" s="366"/>
      <c r="AT162" s="366"/>
      <c r="AU162" s="366"/>
      <c r="AV162" s="366"/>
      <c r="AW162" s="366"/>
      <c r="AX162" s="366"/>
      <c r="AY162" s="366"/>
      <c r="AZ162" s="366"/>
      <c r="BA162" s="366"/>
      <c r="BB162" s="366"/>
      <c r="BC162" s="366"/>
      <c r="BD162" s="366"/>
      <c r="BE162" s="366"/>
      <c r="BF162" s="366"/>
      <c r="BG162" s="366"/>
    </row>
    <row r="163" spans="2:59" x14ac:dyDescent="0.25">
      <c r="B163" s="67" t="str">
        <f>IF(Capacity!B56="","",Capacity!B56)</f>
        <v/>
      </c>
      <c r="C163" s="221" t="str">
        <f>IF(B163="","",Capacity!E56)</f>
        <v/>
      </c>
      <c r="D163" s="311" t="str">
        <f>IF(B163="","",Capacity!F56)</f>
        <v/>
      </c>
      <c r="E163" s="221" t="str">
        <f>IF(B163="","",IF(COUNTBLANK(H163:BG163)=52,SUM('Capacity calculation (hide)'!H44:BG44),52-COUNTBLANK(H163:BG163)))</f>
        <v/>
      </c>
      <c r="F163" s="312" t="str">
        <f>'Capacity calculation (hide)'!BI44</f>
        <v/>
      </c>
      <c r="H163" s="366"/>
      <c r="I163" s="366"/>
      <c r="J163" s="366"/>
      <c r="K163" s="366"/>
      <c r="L163" s="366"/>
      <c r="M163" s="366"/>
      <c r="N163" s="366"/>
      <c r="O163" s="366"/>
      <c r="P163" s="366"/>
      <c r="Q163" s="366"/>
      <c r="R163" s="366"/>
      <c r="S163" s="366"/>
      <c r="T163" s="366"/>
      <c r="U163" s="366"/>
      <c r="V163" s="366"/>
      <c r="W163" s="366"/>
      <c r="X163" s="366"/>
      <c r="Y163" s="366"/>
      <c r="Z163" s="366"/>
      <c r="AA163" s="366"/>
      <c r="AB163" s="366"/>
      <c r="AC163" s="366"/>
      <c r="AD163" s="366"/>
      <c r="AE163" s="366"/>
      <c r="AF163" s="366"/>
      <c r="AG163" s="366"/>
      <c r="AH163" s="366"/>
      <c r="AI163" s="366"/>
      <c r="AJ163" s="366"/>
      <c r="AK163" s="366"/>
      <c r="AL163" s="366"/>
      <c r="AM163" s="366"/>
      <c r="AN163" s="366"/>
      <c r="AO163" s="366"/>
      <c r="AP163" s="366"/>
      <c r="AQ163" s="366"/>
      <c r="AR163" s="366"/>
      <c r="AS163" s="366"/>
      <c r="AT163" s="366"/>
      <c r="AU163" s="366"/>
      <c r="AV163" s="366"/>
      <c r="AW163" s="366"/>
      <c r="AX163" s="366"/>
      <c r="AY163" s="366"/>
      <c r="AZ163" s="366"/>
      <c r="BA163" s="366"/>
      <c r="BB163" s="366"/>
      <c r="BC163" s="366"/>
      <c r="BD163" s="366"/>
      <c r="BE163" s="366"/>
      <c r="BF163" s="366"/>
      <c r="BG163" s="366"/>
    </row>
    <row r="164" spans="2:59" x14ac:dyDescent="0.25">
      <c r="B164" s="67" t="str">
        <f>IF(Capacity!B57="","",Capacity!B57)</f>
        <v/>
      </c>
      <c r="C164" s="221" t="str">
        <f>IF(B164="","",Capacity!E57)</f>
        <v/>
      </c>
      <c r="D164" s="311" t="str">
        <f>IF(B164="","",Capacity!F57)</f>
        <v/>
      </c>
      <c r="E164" s="221" t="str">
        <f>IF(B164="","",IF(COUNTBLANK(H164:BG164)=52,SUM('Capacity calculation (hide)'!H45:BG45),52-COUNTBLANK(H164:BG164)))</f>
        <v/>
      </c>
      <c r="F164" s="312" t="str">
        <f>'Capacity calculation (hide)'!BI45</f>
        <v/>
      </c>
      <c r="H164" s="366"/>
      <c r="I164" s="366"/>
      <c r="J164" s="366"/>
      <c r="K164" s="366"/>
      <c r="L164" s="366"/>
      <c r="M164" s="366"/>
      <c r="N164" s="366"/>
      <c r="O164" s="366"/>
      <c r="P164" s="366"/>
      <c r="Q164" s="366"/>
      <c r="R164" s="366"/>
      <c r="S164" s="366"/>
      <c r="T164" s="366"/>
      <c r="U164" s="366"/>
      <c r="V164" s="366"/>
      <c r="W164" s="366"/>
      <c r="X164" s="366"/>
      <c r="Y164" s="366"/>
      <c r="Z164" s="366"/>
      <c r="AA164" s="366"/>
      <c r="AB164" s="366"/>
      <c r="AC164" s="366"/>
      <c r="AD164" s="366"/>
      <c r="AE164" s="366"/>
      <c r="AF164" s="366"/>
      <c r="AG164" s="366"/>
      <c r="AH164" s="366"/>
      <c r="AI164" s="366"/>
      <c r="AJ164" s="366"/>
      <c r="AK164" s="366"/>
      <c r="AL164" s="366"/>
      <c r="AM164" s="366"/>
      <c r="AN164" s="366"/>
      <c r="AO164" s="366"/>
      <c r="AP164" s="366"/>
      <c r="AQ164" s="366"/>
      <c r="AR164" s="366"/>
      <c r="AS164" s="366"/>
      <c r="AT164" s="366"/>
      <c r="AU164" s="366"/>
      <c r="AV164" s="366"/>
      <c r="AW164" s="366"/>
      <c r="AX164" s="366"/>
      <c r="AY164" s="366"/>
      <c r="AZ164" s="366"/>
      <c r="BA164" s="366"/>
      <c r="BB164" s="366"/>
      <c r="BC164" s="366"/>
      <c r="BD164" s="366"/>
      <c r="BE164" s="366"/>
      <c r="BF164" s="366"/>
      <c r="BG164" s="366"/>
    </row>
    <row r="165" spans="2:59" x14ac:dyDescent="0.25">
      <c r="B165" s="67" t="str">
        <f>IF(Capacity!B58="","",Capacity!B58)</f>
        <v/>
      </c>
      <c r="C165" s="221" t="str">
        <f>IF(B165="","",Capacity!E58)</f>
        <v/>
      </c>
      <c r="D165" s="311" t="str">
        <f>IF(B165="","",Capacity!F58)</f>
        <v/>
      </c>
      <c r="E165" s="221" t="str">
        <f>IF(B165="","",IF(COUNTBLANK(H165:BG165)=52,SUM('Capacity calculation (hide)'!H46:BG46),52-COUNTBLANK(H165:BG165)))</f>
        <v/>
      </c>
      <c r="F165" s="312" t="str">
        <f>'Capacity calculation (hide)'!BI46</f>
        <v/>
      </c>
      <c r="H165" s="366"/>
      <c r="I165" s="366"/>
      <c r="J165" s="366"/>
      <c r="K165" s="366"/>
      <c r="L165" s="366"/>
      <c r="M165" s="366"/>
      <c r="N165" s="366"/>
      <c r="O165" s="366"/>
      <c r="P165" s="366"/>
      <c r="Q165" s="366"/>
      <c r="R165" s="366"/>
      <c r="S165" s="366"/>
      <c r="T165" s="366"/>
      <c r="U165" s="366"/>
      <c r="V165" s="366"/>
      <c r="W165" s="366"/>
      <c r="X165" s="366"/>
      <c r="Y165" s="366"/>
      <c r="Z165" s="366"/>
      <c r="AA165" s="366"/>
      <c r="AB165" s="366"/>
      <c r="AC165" s="366"/>
      <c r="AD165" s="366"/>
      <c r="AE165" s="366"/>
      <c r="AF165" s="366"/>
      <c r="AG165" s="366"/>
      <c r="AH165" s="366"/>
      <c r="AI165" s="366"/>
      <c r="AJ165" s="366"/>
      <c r="AK165" s="366"/>
      <c r="AL165" s="366"/>
      <c r="AM165" s="366"/>
      <c r="AN165" s="366"/>
      <c r="AO165" s="366"/>
      <c r="AP165" s="366"/>
      <c r="AQ165" s="366"/>
      <c r="AR165" s="366"/>
      <c r="AS165" s="366"/>
      <c r="AT165" s="366"/>
      <c r="AU165" s="366"/>
      <c r="AV165" s="366"/>
      <c r="AW165" s="366"/>
      <c r="AX165" s="366"/>
      <c r="AY165" s="366"/>
      <c r="AZ165" s="366"/>
      <c r="BA165" s="366"/>
      <c r="BB165" s="366"/>
      <c r="BC165" s="366"/>
      <c r="BD165" s="366"/>
      <c r="BE165" s="366"/>
      <c r="BF165" s="366"/>
      <c r="BG165" s="366"/>
    </row>
    <row r="166" spans="2:59" x14ac:dyDescent="0.25">
      <c r="B166" s="67" t="str">
        <f>IF(Capacity!B59="","",Capacity!B59)</f>
        <v/>
      </c>
      <c r="C166" s="221" t="str">
        <f>IF(B166="","",Capacity!E59)</f>
        <v/>
      </c>
      <c r="D166" s="311" t="str">
        <f>IF(B166="","",Capacity!F59)</f>
        <v/>
      </c>
      <c r="E166" s="221" t="str">
        <f>IF(B166="","",IF(COUNTBLANK(H166:BG166)=52,SUM('Capacity calculation (hide)'!H47:BG47),52-COUNTBLANK(H166:BG166)))</f>
        <v/>
      </c>
      <c r="F166" s="312" t="str">
        <f>'Capacity calculation (hide)'!BI47</f>
        <v/>
      </c>
      <c r="H166" s="366"/>
      <c r="I166" s="366"/>
      <c r="J166" s="366"/>
      <c r="K166" s="366"/>
      <c r="L166" s="366"/>
      <c r="M166" s="366"/>
      <c r="N166" s="366"/>
      <c r="O166" s="366"/>
      <c r="P166" s="366"/>
      <c r="Q166" s="366"/>
      <c r="R166" s="366"/>
      <c r="S166" s="366"/>
      <c r="T166" s="366"/>
      <c r="U166" s="366"/>
      <c r="V166" s="366"/>
      <c r="W166" s="366"/>
      <c r="X166" s="366"/>
      <c r="Y166" s="366"/>
      <c r="Z166" s="366"/>
      <c r="AA166" s="366"/>
      <c r="AB166" s="366"/>
      <c r="AC166" s="366"/>
      <c r="AD166" s="366"/>
      <c r="AE166" s="366"/>
      <c r="AF166" s="366"/>
      <c r="AG166" s="366"/>
      <c r="AH166" s="366"/>
      <c r="AI166" s="366"/>
      <c r="AJ166" s="366"/>
      <c r="AK166" s="366"/>
      <c r="AL166" s="366"/>
      <c r="AM166" s="366"/>
      <c r="AN166" s="366"/>
      <c r="AO166" s="366"/>
      <c r="AP166" s="366"/>
      <c r="AQ166" s="366"/>
      <c r="AR166" s="366"/>
      <c r="AS166" s="366"/>
      <c r="AT166" s="366"/>
      <c r="AU166" s="366"/>
      <c r="AV166" s="366"/>
      <c r="AW166" s="366"/>
      <c r="AX166" s="366"/>
      <c r="AY166" s="366"/>
      <c r="AZ166" s="366"/>
      <c r="BA166" s="366"/>
      <c r="BB166" s="366"/>
      <c r="BC166" s="366"/>
      <c r="BD166" s="366"/>
      <c r="BE166" s="366"/>
      <c r="BF166" s="366"/>
      <c r="BG166" s="366"/>
    </row>
    <row r="167" spans="2:59" x14ac:dyDescent="0.25">
      <c r="B167" s="67" t="str">
        <f>IF(Capacity!B60="","",Capacity!B60)</f>
        <v/>
      </c>
      <c r="C167" s="221" t="str">
        <f>IF(B167="","",Capacity!E60)</f>
        <v/>
      </c>
      <c r="D167" s="311" t="str">
        <f>IF(B167="","",Capacity!F60)</f>
        <v/>
      </c>
      <c r="E167" s="221" t="str">
        <f>IF(B167="","",IF(COUNTBLANK(H167:BG167)=52,SUM('Capacity calculation (hide)'!H48:BG48),52-COUNTBLANK(H167:BG167)))</f>
        <v/>
      </c>
      <c r="F167" s="312" t="str">
        <f>'Capacity calculation (hide)'!BI48</f>
        <v/>
      </c>
      <c r="H167" s="366"/>
      <c r="I167" s="366"/>
      <c r="J167" s="366"/>
      <c r="K167" s="366"/>
      <c r="L167" s="366"/>
      <c r="M167" s="366"/>
      <c r="N167" s="366"/>
      <c r="O167" s="366"/>
      <c r="P167" s="366"/>
      <c r="Q167" s="366"/>
      <c r="R167" s="366"/>
      <c r="S167" s="366"/>
      <c r="T167" s="366"/>
      <c r="U167" s="366"/>
      <c r="V167" s="366"/>
      <c r="W167" s="366"/>
      <c r="X167" s="366"/>
      <c r="Y167" s="366"/>
      <c r="Z167" s="366"/>
      <c r="AA167" s="366"/>
      <c r="AB167" s="366"/>
      <c r="AC167" s="366"/>
      <c r="AD167" s="366"/>
      <c r="AE167" s="366"/>
      <c r="AF167" s="366"/>
      <c r="AG167" s="366"/>
      <c r="AH167" s="366"/>
      <c r="AI167" s="366"/>
      <c r="AJ167" s="366"/>
      <c r="AK167" s="366"/>
      <c r="AL167" s="366"/>
      <c r="AM167" s="366"/>
      <c r="AN167" s="366"/>
      <c r="AO167" s="366"/>
      <c r="AP167" s="366"/>
      <c r="AQ167" s="366"/>
      <c r="AR167" s="366"/>
      <c r="AS167" s="366"/>
      <c r="AT167" s="366"/>
      <c r="AU167" s="366"/>
      <c r="AV167" s="366"/>
      <c r="AW167" s="366"/>
      <c r="AX167" s="366"/>
      <c r="AY167" s="366"/>
      <c r="AZ167" s="366"/>
      <c r="BA167" s="366"/>
      <c r="BB167" s="366"/>
      <c r="BC167" s="366"/>
      <c r="BD167" s="366"/>
      <c r="BE167" s="366"/>
      <c r="BF167" s="366"/>
      <c r="BG167" s="366"/>
    </row>
    <row r="168" spans="2:59" x14ac:dyDescent="0.25">
      <c r="B168" s="67" t="str">
        <f>IF(Capacity!B61="","",Capacity!B61)</f>
        <v/>
      </c>
      <c r="C168" s="221" t="str">
        <f>IF(B168="","",Capacity!E61)</f>
        <v/>
      </c>
      <c r="D168" s="311" t="str">
        <f>IF(B168="","",Capacity!F61)</f>
        <v/>
      </c>
      <c r="E168" s="221" t="str">
        <f>IF(B168="","",IF(COUNTBLANK(H168:BG168)=52,SUM('Capacity calculation (hide)'!H49:BG49),52-COUNTBLANK(H168:BG168)))</f>
        <v/>
      </c>
      <c r="F168" s="312" t="str">
        <f>'Capacity calculation (hide)'!BI49</f>
        <v/>
      </c>
      <c r="H168" s="366"/>
      <c r="I168" s="366"/>
      <c r="J168" s="366"/>
      <c r="K168" s="366"/>
      <c r="L168" s="366"/>
      <c r="M168" s="366"/>
      <c r="N168" s="366"/>
      <c r="O168" s="366"/>
      <c r="P168" s="366"/>
      <c r="Q168" s="366"/>
      <c r="R168" s="366"/>
      <c r="S168" s="366"/>
      <c r="T168" s="366"/>
      <c r="U168" s="366"/>
      <c r="V168" s="366"/>
      <c r="W168" s="366"/>
      <c r="X168" s="366"/>
      <c r="Y168" s="366"/>
      <c r="Z168" s="366"/>
      <c r="AA168" s="366"/>
      <c r="AB168" s="366"/>
      <c r="AC168" s="366"/>
      <c r="AD168" s="366"/>
      <c r="AE168" s="366"/>
      <c r="AF168" s="366"/>
      <c r="AG168" s="366"/>
      <c r="AH168" s="366"/>
      <c r="AI168" s="366"/>
      <c r="AJ168" s="366"/>
      <c r="AK168" s="366"/>
      <c r="AL168" s="366"/>
      <c r="AM168" s="366"/>
      <c r="AN168" s="366"/>
      <c r="AO168" s="366"/>
      <c r="AP168" s="366"/>
      <c r="AQ168" s="366"/>
      <c r="AR168" s="366"/>
      <c r="AS168" s="366"/>
      <c r="AT168" s="366"/>
      <c r="AU168" s="366"/>
      <c r="AV168" s="366"/>
      <c r="AW168" s="366"/>
      <c r="AX168" s="366"/>
      <c r="AY168" s="366"/>
      <c r="AZ168" s="366"/>
      <c r="BA168" s="366"/>
      <c r="BB168" s="366"/>
      <c r="BC168" s="366"/>
      <c r="BD168" s="366"/>
      <c r="BE168" s="366"/>
      <c r="BF168" s="366"/>
      <c r="BG168" s="366"/>
    </row>
    <row r="169" spans="2:59" x14ac:dyDescent="0.25">
      <c r="B169" s="67" t="str">
        <f>IF(Capacity!B62="","",Capacity!B62)</f>
        <v/>
      </c>
      <c r="C169" s="221" t="str">
        <f>IF(B169="","",Capacity!E62)</f>
        <v/>
      </c>
      <c r="D169" s="311" t="str">
        <f>IF(B169="","",Capacity!F62)</f>
        <v/>
      </c>
      <c r="E169" s="221" t="str">
        <f>IF(B169="","",IF(COUNTBLANK(H169:BG169)=52,SUM('Capacity calculation (hide)'!H50:BG50),52-COUNTBLANK(H169:BG169)))</f>
        <v/>
      </c>
      <c r="F169" s="312" t="str">
        <f>'Capacity calculation (hide)'!BI50</f>
        <v/>
      </c>
      <c r="H169" s="366"/>
      <c r="I169" s="366"/>
      <c r="J169" s="366"/>
      <c r="K169" s="366"/>
      <c r="L169" s="366"/>
      <c r="M169" s="366"/>
      <c r="N169" s="366"/>
      <c r="O169" s="366"/>
      <c r="P169" s="366"/>
      <c r="Q169" s="366"/>
      <c r="R169" s="366"/>
      <c r="S169" s="366"/>
      <c r="T169" s="366"/>
      <c r="U169" s="366"/>
      <c r="V169" s="366"/>
      <c r="W169" s="366"/>
      <c r="X169" s="366"/>
      <c r="Y169" s="366"/>
      <c r="Z169" s="366"/>
      <c r="AA169" s="366"/>
      <c r="AB169" s="366"/>
      <c r="AC169" s="366"/>
      <c r="AD169" s="366"/>
      <c r="AE169" s="366"/>
      <c r="AF169" s="366"/>
      <c r="AG169" s="366"/>
      <c r="AH169" s="366"/>
      <c r="AI169" s="366"/>
      <c r="AJ169" s="366"/>
      <c r="AK169" s="366"/>
      <c r="AL169" s="366"/>
      <c r="AM169" s="366"/>
      <c r="AN169" s="366"/>
      <c r="AO169" s="366"/>
      <c r="AP169" s="366"/>
      <c r="AQ169" s="366"/>
      <c r="AR169" s="366"/>
      <c r="AS169" s="366"/>
      <c r="AT169" s="366"/>
      <c r="AU169" s="366"/>
      <c r="AV169" s="366"/>
      <c r="AW169" s="366"/>
      <c r="AX169" s="366"/>
      <c r="AY169" s="366"/>
      <c r="AZ169" s="366"/>
      <c r="BA169" s="366"/>
      <c r="BB169" s="366"/>
      <c r="BC169" s="366"/>
      <c r="BD169" s="366"/>
      <c r="BE169" s="366"/>
      <c r="BF169" s="366"/>
      <c r="BG169" s="366"/>
    </row>
    <row r="170" spans="2:59" x14ac:dyDescent="0.25">
      <c r="B170" s="67" t="str">
        <f>IF(Capacity!B63="","",Capacity!B63)</f>
        <v/>
      </c>
      <c r="C170" s="221" t="str">
        <f>IF(B170="","",Capacity!E63)</f>
        <v/>
      </c>
      <c r="D170" s="311" t="str">
        <f>IF(B170="","",Capacity!F63)</f>
        <v/>
      </c>
      <c r="E170" s="221" t="str">
        <f>IF(B170="","",IF(COUNTBLANK(H170:BG170)=52,SUM('Capacity calculation (hide)'!H51:BG51),52-COUNTBLANK(H170:BG170)))</f>
        <v/>
      </c>
      <c r="F170" s="312" t="str">
        <f>'Capacity calculation (hide)'!BI51</f>
        <v/>
      </c>
      <c r="H170" s="366"/>
      <c r="I170" s="366"/>
      <c r="J170" s="366"/>
      <c r="K170" s="366"/>
      <c r="L170" s="366"/>
      <c r="M170" s="366"/>
      <c r="N170" s="366"/>
      <c r="O170" s="366"/>
      <c r="P170" s="366"/>
      <c r="Q170" s="366"/>
      <c r="R170" s="366"/>
      <c r="S170" s="366"/>
      <c r="T170" s="366"/>
      <c r="U170" s="366"/>
      <c r="V170" s="366"/>
      <c r="W170" s="366"/>
      <c r="X170" s="366"/>
      <c r="Y170" s="366"/>
      <c r="Z170" s="366"/>
      <c r="AA170" s="366"/>
      <c r="AB170" s="366"/>
      <c r="AC170" s="366"/>
      <c r="AD170" s="366"/>
      <c r="AE170" s="366"/>
      <c r="AF170" s="366"/>
      <c r="AG170" s="366"/>
      <c r="AH170" s="366"/>
      <c r="AI170" s="366"/>
      <c r="AJ170" s="366"/>
      <c r="AK170" s="366"/>
      <c r="AL170" s="366"/>
      <c r="AM170" s="366"/>
      <c r="AN170" s="366"/>
      <c r="AO170" s="366"/>
      <c r="AP170" s="366"/>
      <c r="AQ170" s="366"/>
      <c r="AR170" s="366"/>
      <c r="AS170" s="366"/>
      <c r="AT170" s="366"/>
      <c r="AU170" s="366"/>
      <c r="AV170" s="366"/>
      <c r="AW170" s="366"/>
      <c r="AX170" s="366"/>
      <c r="AY170" s="366"/>
      <c r="AZ170" s="366"/>
      <c r="BA170" s="366"/>
      <c r="BB170" s="366"/>
      <c r="BC170" s="366"/>
      <c r="BD170" s="366"/>
      <c r="BE170" s="366"/>
      <c r="BF170" s="366"/>
      <c r="BG170" s="366"/>
    </row>
    <row r="171" spans="2:59" x14ac:dyDescent="0.25">
      <c r="B171" s="67" t="str">
        <f>IF(Capacity!B64="","",Capacity!B64)</f>
        <v/>
      </c>
      <c r="C171" s="221" t="str">
        <f>IF(B171="","",Capacity!E64)</f>
        <v/>
      </c>
      <c r="D171" s="311" t="str">
        <f>IF(B171="","",Capacity!F64)</f>
        <v/>
      </c>
      <c r="E171" s="221" t="str">
        <f>IF(B171="","",IF(COUNTBLANK(H171:BG171)=52,SUM('Capacity calculation (hide)'!H52:BG52),52-COUNTBLANK(H171:BG171)))</f>
        <v/>
      </c>
      <c r="F171" s="312" t="str">
        <f>'Capacity calculation (hide)'!BI52</f>
        <v/>
      </c>
      <c r="H171" s="366"/>
      <c r="I171" s="366"/>
      <c r="J171" s="366"/>
      <c r="K171" s="366"/>
      <c r="L171" s="366"/>
      <c r="M171" s="366"/>
      <c r="N171" s="366"/>
      <c r="O171" s="366"/>
      <c r="P171" s="366"/>
      <c r="Q171" s="366"/>
      <c r="R171" s="366"/>
      <c r="S171" s="366"/>
      <c r="T171" s="366"/>
      <c r="U171" s="366"/>
      <c r="V171" s="366"/>
      <c r="W171" s="366"/>
      <c r="X171" s="366"/>
      <c r="Y171" s="366"/>
      <c r="Z171" s="366"/>
      <c r="AA171" s="366"/>
      <c r="AB171" s="366"/>
      <c r="AC171" s="366"/>
      <c r="AD171" s="366"/>
      <c r="AE171" s="366"/>
      <c r="AF171" s="366"/>
      <c r="AG171" s="366"/>
      <c r="AH171" s="366"/>
      <c r="AI171" s="366"/>
      <c r="AJ171" s="366"/>
      <c r="AK171" s="366"/>
      <c r="AL171" s="366"/>
      <c r="AM171" s="366"/>
      <c r="AN171" s="366"/>
      <c r="AO171" s="366"/>
      <c r="AP171" s="366"/>
      <c r="AQ171" s="366"/>
      <c r="AR171" s="366"/>
      <c r="AS171" s="366"/>
      <c r="AT171" s="366"/>
      <c r="AU171" s="366"/>
      <c r="AV171" s="366"/>
      <c r="AW171" s="366"/>
      <c r="AX171" s="366"/>
      <c r="AY171" s="366"/>
      <c r="AZ171" s="366"/>
      <c r="BA171" s="366"/>
      <c r="BB171" s="366"/>
      <c r="BC171" s="366"/>
      <c r="BD171" s="366"/>
      <c r="BE171" s="366"/>
      <c r="BF171" s="366"/>
      <c r="BG171" s="366"/>
    </row>
    <row r="172" spans="2:59" x14ac:dyDescent="0.25">
      <c r="B172" s="67" t="str">
        <f>IF(Capacity!B65="","",Capacity!B65)</f>
        <v/>
      </c>
      <c r="C172" s="221" t="str">
        <f>IF(B172="","",Capacity!E65)</f>
        <v/>
      </c>
      <c r="D172" s="311" t="str">
        <f>IF(B172="","",Capacity!F65)</f>
        <v/>
      </c>
      <c r="E172" s="221" t="str">
        <f>IF(B172="","",IF(COUNTBLANK(H172:BG172)=52,SUM('Capacity calculation (hide)'!H53:BG53),52-COUNTBLANK(H172:BG172)))</f>
        <v/>
      </c>
      <c r="F172" s="312" t="str">
        <f>'Capacity calculation (hide)'!BI53</f>
        <v/>
      </c>
      <c r="H172" s="366"/>
      <c r="I172" s="366"/>
      <c r="J172" s="366"/>
      <c r="K172" s="366"/>
      <c r="L172" s="366"/>
      <c r="M172" s="366"/>
      <c r="N172" s="366"/>
      <c r="O172" s="366"/>
      <c r="P172" s="366"/>
      <c r="Q172" s="366"/>
      <c r="R172" s="366"/>
      <c r="S172" s="366"/>
      <c r="T172" s="366"/>
      <c r="U172" s="366"/>
      <c r="V172" s="366"/>
      <c r="W172" s="366"/>
      <c r="X172" s="366"/>
      <c r="Y172" s="366"/>
      <c r="Z172" s="366"/>
      <c r="AA172" s="366"/>
      <c r="AB172" s="366"/>
      <c r="AC172" s="366"/>
      <c r="AD172" s="366"/>
      <c r="AE172" s="366"/>
      <c r="AF172" s="366"/>
      <c r="AG172" s="366"/>
      <c r="AH172" s="366"/>
      <c r="AI172" s="366"/>
      <c r="AJ172" s="366"/>
      <c r="AK172" s="366"/>
      <c r="AL172" s="366"/>
      <c r="AM172" s="366"/>
      <c r="AN172" s="366"/>
      <c r="AO172" s="366"/>
      <c r="AP172" s="366"/>
      <c r="AQ172" s="366"/>
      <c r="AR172" s="366"/>
      <c r="AS172" s="366"/>
      <c r="AT172" s="366"/>
      <c r="AU172" s="366"/>
      <c r="AV172" s="366"/>
      <c r="AW172" s="366"/>
      <c r="AX172" s="366"/>
      <c r="AY172" s="366"/>
      <c r="AZ172" s="366"/>
      <c r="BA172" s="366"/>
      <c r="BB172" s="366"/>
      <c r="BC172" s="366"/>
      <c r="BD172" s="366"/>
      <c r="BE172" s="366"/>
      <c r="BF172" s="366"/>
      <c r="BG172" s="366"/>
    </row>
    <row r="173" spans="2:59" x14ac:dyDescent="0.25">
      <c r="B173" s="67" t="str">
        <f>IF(Capacity!B66="","",Capacity!B66)</f>
        <v/>
      </c>
      <c r="C173" s="221" t="str">
        <f>IF(B173="","",Capacity!E66)</f>
        <v/>
      </c>
      <c r="D173" s="311" t="str">
        <f>IF(B173="","",Capacity!F66)</f>
        <v/>
      </c>
      <c r="E173" s="221" t="str">
        <f>IF(B173="","",IF(COUNTBLANK(H173:BG173)=52,SUM('Capacity calculation (hide)'!H54:BG54),52-COUNTBLANK(H173:BG173)))</f>
        <v/>
      </c>
      <c r="F173" s="312" t="str">
        <f>'Capacity calculation (hide)'!BI54</f>
        <v/>
      </c>
      <c r="H173" s="366"/>
      <c r="I173" s="366"/>
      <c r="J173" s="366"/>
      <c r="K173" s="366"/>
      <c r="L173" s="366"/>
      <c r="M173" s="366"/>
      <c r="N173" s="366"/>
      <c r="O173" s="366"/>
      <c r="P173" s="366"/>
      <c r="Q173" s="366"/>
      <c r="R173" s="366"/>
      <c r="S173" s="366"/>
      <c r="T173" s="366"/>
      <c r="U173" s="366"/>
      <c r="V173" s="366"/>
      <c r="W173" s="366"/>
      <c r="X173" s="366"/>
      <c r="Y173" s="366"/>
      <c r="Z173" s="366"/>
      <c r="AA173" s="366"/>
      <c r="AB173" s="366"/>
      <c r="AC173" s="366"/>
      <c r="AD173" s="366"/>
      <c r="AE173" s="366"/>
      <c r="AF173" s="366"/>
      <c r="AG173" s="366"/>
      <c r="AH173" s="366"/>
      <c r="AI173" s="366"/>
      <c r="AJ173" s="366"/>
      <c r="AK173" s="366"/>
      <c r="AL173" s="366"/>
      <c r="AM173" s="366"/>
      <c r="AN173" s="366"/>
      <c r="AO173" s="366"/>
      <c r="AP173" s="366"/>
      <c r="AQ173" s="366"/>
      <c r="AR173" s="366"/>
      <c r="AS173" s="366"/>
      <c r="AT173" s="366"/>
      <c r="AU173" s="366"/>
      <c r="AV173" s="366"/>
      <c r="AW173" s="366"/>
      <c r="AX173" s="366"/>
      <c r="AY173" s="366"/>
      <c r="AZ173" s="366"/>
      <c r="BA173" s="366"/>
      <c r="BB173" s="366"/>
      <c r="BC173" s="366"/>
      <c r="BD173" s="366"/>
      <c r="BE173" s="366"/>
      <c r="BF173" s="366"/>
      <c r="BG173" s="366"/>
    </row>
    <row r="174" spans="2:59" x14ac:dyDescent="0.25">
      <c r="B174" s="67" t="str">
        <f>IF(Capacity!B67="","",Capacity!B67)</f>
        <v/>
      </c>
      <c r="C174" s="221" t="str">
        <f>IF(B174="","",Capacity!E67)</f>
        <v/>
      </c>
      <c r="D174" s="311" t="str">
        <f>IF(B174="","",Capacity!F67)</f>
        <v/>
      </c>
      <c r="E174" s="221" t="str">
        <f>IF(B174="","",IF(COUNTBLANK(H174:BG174)=52,SUM('Capacity calculation (hide)'!H55:BG55),52-COUNTBLANK(H174:BG174)))</f>
        <v/>
      </c>
      <c r="F174" s="312" t="str">
        <f>'Capacity calculation (hide)'!BI55</f>
        <v/>
      </c>
      <c r="H174" s="366"/>
      <c r="I174" s="366"/>
      <c r="J174" s="366"/>
      <c r="K174" s="366"/>
      <c r="L174" s="366"/>
      <c r="M174" s="366"/>
      <c r="N174" s="366"/>
      <c r="O174" s="366"/>
      <c r="P174" s="366"/>
      <c r="Q174" s="366"/>
      <c r="R174" s="366"/>
      <c r="S174" s="366"/>
      <c r="T174" s="366"/>
      <c r="U174" s="366"/>
      <c r="V174" s="366"/>
      <c r="W174" s="366"/>
      <c r="X174" s="366"/>
      <c r="Y174" s="366"/>
      <c r="Z174" s="366"/>
      <c r="AA174" s="366"/>
      <c r="AB174" s="366"/>
      <c r="AC174" s="366"/>
      <c r="AD174" s="366"/>
      <c r="AE174" s="366"/>
      <c r="AF174" s="366"/>
      <c r="AG174" s="366"/>
      <c r="AH174" s="366"/>
      <c r="AI174" s="366"/>
      <c r="AJ174" s="366"/>
      <c r="AK174" s="366"/>
      <c r="AL174" s="366"/>
      <c r="AM174" s="366"/>
      <c r="AN174" s="366"/>
      <c r="AO174" s="366"/>
      <c r="AP174" s="366"/>
      <c r="AQ174" s="366"/>
      <c r="AR174" s="366"/>
      <c r="AS174" s="366"/>
      <c r="AT174" s="366"/>
      <c r="AU174" s="366"/>
      <c r="AV174" s="366"/>
      <c r="AW174" s="366"/>
      <c r="AX174" s="366"/>
      <c r="AY174" s="366"/>
      <c r="AZ174" s="366"/>
      <c r="BA174" s="366"/>
      <c r="BB174" s="366"/>
      <c r="BC174" s="366"/>
      <c r="BD174" s="366"/>
      <c r="BE174" s="366"/>
      <c r="BF174" s="366"/>
      <c r="BG174" s="366"/>
    </row>
    <row r="175" spans="2:59" x14ac:dyDescent="0.25">
      <c r="B175" s="67" t="str">
        <f>IF(Capacity!B68="","",Capacity!B68)</f>
        <v/>
      </c>
      <c r="C175" s="221" t="str">
        <f>IF(B175="","",Capacity!E68)</f>
        <v/>
      </c>
      <c r="D175" s="311" t="str">
        <f>IF(B175="","",Capacity!F68)</f>
        <v/>
      </c>
      <c r="E175" s="221" t="str">
        <f>IF(B175="","",IF(COUNTBLANK(H175:BG175)=52,SUM('Capacity calculation (hide)'!H56:BG56),52-COUNTBLANK(H175:BG175)))</f>
        <v/>
      </c>
      <c r="F175" s="312" t="str">
        <f>'Capacity calculation (hide)'!BI56</f>
        <v/>
      </c>
      <c r="H175" s="366"/>
      <c r="I175" s="366"/>
      <c r="J175" s="366"/>
      <c r="K175" s="366"/>
      <c r="L175" s="366"/>
      <c r="M175" s="366"/>
      <c r="N175" s="366"/>
      <c r="O175" s="366"/>
      <c r="P175" s="366"/>
      <c r="Q175" s="366"/>
      <c r="R175" s="366"/>
      <c r="S175" s="366"/>
      <c r="T175" s="366"/>
      <c r="U175" s="366"/>
      <c r="V175" s="366"/>
      <c r="W175" s="366"/>
      <c r="X175" s="366"/>
      <c r="Y175" s="366"/>
      <c r="Z175" s="366"/>
      <c r="AA175" s="366"/>
      <c r="AB175" s="366"/>
      <c r="AC175" s="366"/>
      <c r="AD175" s="366"/>
      <c r="AE175" s="366"/>
      <c r="AF175" s="366"/>
      <c r="AG175" s="366"/>
      <c r="AH175" s="366"/>
      <c r="AI175" s="366"/>
      <c r="AJ175" s="366"/>
      <c r="AK175" s="366"/>
      <c r="AL175" s="366"/>
      <c r="AM175" s="366"/>
      <c r="AN175" s="366"/>
      <c r="AO175" s="366"/>
      <c r="AP175" s="366"/>
      <c r="AQ175" s="366"/>
      <c r="AR175" s="366"/>
      <c r="AS175" s="366"/>
      <c r="AT175" s="366"/>
      <c r="AU175" s="366"/>
      <c r="AV175" s="366"/>
      <c r="AW175" s="366"/>
      <c r="AX175" s="366"/>
      <c r="AY175" s="366"/>
      <c r="AZ175" s="366"/>
      <c r="BA175" s="366"/>
      <c r="BB175" s="366"/>
      <c r="BC175" s="366"/>
      <c r="BD175" s="366"/>
      <c r="BE175" s="366"/>
      <c r="BF175" s="366"/>
      <c r="BG175" s="366"/>
    </row>
    <row r="176" spans="2:59" x14ac:dyDescent="0.25">
      <c r="B176" s="67" t="str">
        <f>IF(Capacity!B69="","",Capacity!B69)</f>
        <v/>
      </c>
      <c r="C176" s="221" t="str">
        <f>IF(B176="","",Capacity!E69)</f>
        <v/>
      </c>
      <c r="D176" s="311" t="str">
        <f>IF(B176="","",Capacity!F69)</f>
        <v/>
      </c>
      <c r="E176" s="221" t="str">
        <f>IF(B176="","",IF(COUNTBLANK(H176:BG176)=52,SUM('Capacity calculation (hide)'!H57:BG57),52-COUNTBLANK(H176:BG176)))</f>
        <v/>
      </c>
      <c r="F176" s="312" t="str">
        <f>'Capacity calculation (hide)'!BI57</f>
        <v/>
      </c>
      <c r="H176" s="366"/>
      <c r="I176" s="366"/>
      <c r="J176" s="366"/>
      <c r="K176" s="366"/>
      <c r="L176" s="366"/>
      <c r="M176" s="366"/>
      <c r="N176" s="366"/>
      <c r="O176" s="366"/>
      <c r="P176" s="366"/>
      <c r="Q176" s="366"/>
      <c r="R176" s="366"/>
      <c r="S176" s="366"/>
      <c r="T176" s="366"/>
      <c r="U176" s="366"/>
      <c r="V176" s="366"/>
      <c r="W176" s="366"/>
      <c r="X176" s="366"/>
      <c r="Y176" s="366"/>
      <c r="Z176" s="366"/>
      <c r="AA176" s="366"/>
      <c r="AB176" s="366"/>
      <c r="AC176" s="366"/>
      <c r="AD176" s="366"/>
      <c r="AE176" s="366"/>
      <c r="AF176" s="366"/>
      <c r="AG176" s="366"/>
      <c r="AH176" s="366"/>
      <c r="AI176" s="366"/>
      <c r="AJ176" s="366"/>
      <c r="AK176" s="366"/>
      <c r="AL176" s="366"/>
      <c r="AM176" s="366"/>
      <c r="AN176" s="366"/>
      <c r="AO176" s="366"/>
      <c r="AP176" s="366"/>
      <c r="AQ176" s="366"/>
      <c r="AR176" s="366"/>
      <c r="AS176" s="366"/>
      <c r="AT176" s="366"/>
      <c r="AU176" s="366"/>
      <c r="AV176" s="366"/>
      <c r="AW176" s="366"/>
      <c r="AX176" s="366"/>
      <c r="AY176" s="366"/>
      <c r="AZ176" s="366"/>
      <c r="BA176" s="366"/>
      <c r="BB176" s="366"/>
      <c r="BC176" s="366"/>
      <c r="BD176" s="366"/>
      <c r="BE176" s="366"/>
      <c r="BF176" s="366"/>
      <c r="BG176" s="366"/>
    </row>
    <row r="177" spans="2:59" x14ac:dyDescent="0.25">
      <c r="B177" s="67" t="str">
        <f>IF(Capacity!B70="","",Capacity!B70)</f>
        <v/>
      </c>
      <c r="C177" s="221" t="str">
        <f>IF(B177="","",Capacity!E70)</f>
        <v/>
      </c>
      <c r="D177" s="311" t="str">
        <f>IF(B177="","",Capacity!F70)</f>
        <v/>
      </c>
      <c r="E177" s="221" t="str">
        <f>IF(B177="","",IF(COUNTBLANK(H177:BG177)=52,SUM('Capacity calculation (hide)'!H58:BG58),52-COUNTBLANK(H177:BG177)))</f>
        <v/>
      </c>
      <c r="F177" s="312" t="str">
        <f>'Capacity calculation (hide)'!BI58</f>
        <v/>
      </c>
      <c r="H177" s="366"/>
      <c r="I177" s="366"/>
      <c r="J177" s="366"/>
      <c r="K177" s="366"/>
      <c r="L177" s="366"/>
      <c r="M177" s="366"/>
      <c r="N177" s="366"/>
      <c r="O177" s="366"/>
      <c r="P177" s="366"/>
      <c r="Q177" s="366"/>
      <c r="R177" s="366"/>
      <c r="S177" s="366"/>
      <c r="T177" s="366"/>
      <c r="U177" s="366"/>
      <c r="V177" s="366"/>
      <c r="W177" s="366"/>
      <c r="X177" s="366"/>
      <c r="Y177" s="366"/>
      <c r="Z177" s="366"/>
      <c r="AA177" s="366"/>
      <c r="AB177" s="366"/>
      <c r="AC177" s="366"/>
      <c r="AD177" s="366"/>
      <c r="AE177" s="366"/>
      <c r="AF177" s="366"/>
      <c r="AG177" s="366"/>
      <c r="AH177" s="366"/>
      <c r="AI177" s="366"/>
      <c r="AJ177" s="366"/>
      <c r="AK177" s="366"/>
      <c r="AL177" s="366"/>
      <c r="AM177" s="366"/>
      <c r="AN177" s="366"/>
      <c r="AO177" s="366"/>
      <c r="AP177" s="366"/>
      <c r="AQ177" s="366"/>
      <c r="AR177" s="366"/>
      <c r="AS177" s="366"/>
      <c r="AT177" s="366"/>
      <c r="AU177" s="366"/>
      <c r="AV177" s="366"/>
      <c r="AW177" s="366"/>
      <c r="AX177" s="366"/>
      <c r="AY177" s="366"/>
      <c r="AZ177" s="366"/>
      <c r="BA177" s="366"/>
      <c r="BB177" s="366"/>
      <c r="BC177" s="366"/>
      <c r="BD177" s="366"/>
      <c r="BE177" s="366"/>
      <c r="BF177" s="366"/>
      <c r="BG177" s="366"/>
    </row>
    <row r="178" spans="2:59" x14ac:dyDescent="0.25">
      <c r="B178" s="67" t="str">
        <f>IF(Capacity!B71="","",Capacity!B71)</f>
        <v/>
      </c>
      <c r="C178" s="221" t="str">
        <f>IF(B178="","",Capacity!E71)</f>
        <v/>
      </c>
      <c r="D178" s="311" t="str">
        <f>IF(B178="","",Capacity!F71)</f>
        <v/>
      </c>
      <c r="E178" s="221" t="str">
        <f>IF(B178="","",IF(COUNTBLANK(H178:BG178)=52,SUM('Capacity calculation (hide)'!H59:BG59),52-COUNTBLANK(H178:BG178)))</f>
        <v/>
      </c>
      <c r="F178" s="312" t="str">
        <f>'Capacity calculation (hide)'!BI59</f>
        <v/>
      </c>
      <c r="H178" s="366"/>
      <c r="I178" s="366"/>
      <c r="J178" s="366"/>
      <c r="K178" s="366"/>
      <c r="L178" s="366"/>
      <c r="M178" s="366"/>
      <c r="N178" s="366"/>
      <c r="O178" s="366"/>
      <c r="P178" s="366"/>
      <c r="Q178" s="366"/>
      <c r="R178" s="366"/>
      <c r="S178" s="366"/>
      <c r="T178" s="366"/>
      <c r="U178" s="366"/>
      <c r="V178" s="366"/>
      <c r="W178" s="366"/>
      <c r="X178" s="366"/>
      <c r="Y178" s="366"/>
      <c r="Z178" s="366"/>
      <c r="AA178" s="366"/>
      <c r="AB178" s="366"/>
      <c r="AC178" s="366"/>
      <c r="AD178" s="366"/>
      <c r="AE178" s="366"/>
      <c r="AF178" s="366"/>
      <c r="AG178" s="366"/>
      <c r="AH178" s="366"/>
      <c r="AI178" s="366"/>
      <c r="AJ178" s="366"/>
      <c r="AK178" s="366"/>
      <c r="AL178" s="366"/>
      <c r="AM178" s="366"/>
      <c r="AN178" s="366"/>
      <c r="AO178" s="366"/>
      <c r="AP178" s="366"/>
      <c r="AQ178" s="366"/>
      <c r="AR178" s="366"/>
      <c r="AS178" s="366"/>
      <c r="AT178" s="366"/>
      <c r="AU178" s="366"/>
      <c r="AV178" s="366"/>
      <c r="AW178" s="366"/>
      <c r="AX178" s="366"/>
      <c r="AY178" s="366"/>
      <c r="AZ178" s="366"/>
      <c r="BA178" s="366"/>
      <c r="BB178" s="366"/>
      <c r="BC178" s="366"/>
      <c r="BD178" s="366"/>
      <c r="BE178" s="366"/>
      <c r="BF178" s="366"/>
      <c r="BG178" s="366"/>
    </row>
    <row r="179" spans="2:59" x14ac:dyDescent="0.25">
      <c r="B179" s="67" t="str">
        <f>IF(Capacity!B72="","",Capacity!B72)</f>
        <v/>
      </c>
      <c r="C179" s="221" t="str">
        <f>IF(B179="","",Capacity!E72)</f>
        <v/>
      </c>
      <c r="D179" s="311" t="str">
        <f>IF(B179="","",Capacity!F72)</f>
        <v/>
      </c>
      <c r="E179" s="221" t="str">
        <f>IF(B179="","",IF(COUNTBLANK(H179:BG179)=52,SUM('Capacity calculation (hide)'!H60:BG60),52-COUNTBLANK(H179:BG179)))</f>
        <v/>
      </c>
      <c r="F179" s="312" t="str">
        <f>'Capacity calculation (hide)'!BI60</f>
        <v/>
      </c>
      <c r="H179" s="366"/>
      <c r="I179" s="366"/>
      <c r="J179" s="366"/>
      <c r="K179" s="366"/>
      <c r="L179" s="366"/>
      <c r="M179" s="366"/>
      <c r="N179" s="366"/>
      <c r="O179" s="366"/>
      <c r="P179" s="366"/>
      <c r="Q179" s="366"/>
      <c r="R179" s="366"/>
      <c r="S179" s="366"/>
      <c r="T179" s="366"/>
      <c r="U179" s="366"/>
      <c r="V179" s="366"/>
      <c r="W179" s="366"/>
      <c r="X179" s="366"/>
      <c r="Y179" s="366"/>
      <c r="Z179" s="366"/>
      <c r="AA179" s="366"/>
      <c r="AB179" s="366"/>
      <c r="AC179" s="366"/>
      <c r="AD179" s="366"/>
      <c r="AE179" s="366"/>
      <c r="AF179" s="366"/>
      <c r="AG179" s="366"/>
      <c r="AH179" s="366"/>
      <c r="AI179" s="366"/>
      <c r="AJ179" s="366"/>
      <c r="AK179" s="366"/>
      <c r="AL179" s="366"/>
      <c r="AM179" s="366"/>
      <c r="AN179" s="366"/>
      <c r="AO179" s="366"/>
      <c r="AP179" s="366"/>
      <c r="AQ179" s="366"/>
      <c r="AR179" s="366"/>
      <c r="AS179" s="366"/>
      <c r="AT179" s="366"/>
      <c r="AU179" s="366"/>
      <c r="AV179" s="366"/>
      <c r="AW179" s="366"/>
      <c r="AX179" s="366"/>
      <c r="AY179" s="366"/>
      <c r="AZ179" s="366"/>
      <c r="BA179" s="366"/>
      <c r="BB179" s="366"/>
      <c r="BC179" s="366"/>
      <c r="BD179" s="366"/>
      <c r="BE179" s="366"/>
      <c r="BF179" s="366"/>
      <c r="BG179" s="366"/>
    </row>
    <row r="180" spans="2:59" x14ac:dyDescent="0.25">
      <c r="B180" s="67" t="str">
        <f>IF(Capacity!B73="","",Capacity!B73)</f>
        <v/>
      </c>
      <c r="C180" s="221" t="str">
        <f>IF(B180="","",Capacity!E73)</f>
        <v/>
      </c>
      <c r="D180" s="311" t="str">
        <f>IF(B180="","",Capacity!F73)</f>
        <v/>
      </c>
      <c r="E180" s="221" t="str">
        <f>IF(B180="","",IF(COUNTBLANK(H180:BG180)=52,SUM('Capacity calculation (hide)'!H61:BG61),52-COUNTBLANK(H180:BG180)))</f>
        <v/>
      </c>
      <c r="F180" s="312" t="str">
        <f>'Capacity calculation (hide)'!BI61</f>
        <v/>
      </c>
      <c r="H180" s="366"/>
      <c r="I180" s="366"/>
      <c r="J180" s="366"/>
      <c r="K180" s="366"/>
      <c r="L180" s="366"/>
      <c r="M180" s="366"/>
      <c r="N180" s="366"/>
      <c r="O180" s="366"/>
      <c r="P180" s="366"/>
      <c r="Q180" s="366"/>
      <c r="R180" s="366"/>
      <c r="S180" s="366"/>
      <c r="T180" s="366"/>
      <c r="U180" s="366"/>
      <c r="V180" s="366"/>
      <c r="W180" s="366"/>
      <c r="X180" s="366"/>
      <c r="Y180" s="366"/>
      <c r="Z180" s="366"/>
      <c r="AA180" s="366"/>
      <c r="AB180" s="366"/>
      <c r="AC180" s="366"/>
      <c r="AD180" s="366"/>
      <c r="AE180" s="366"/>
      <c r="AF180" s="366"/>
      <c r="AG180" s="366"/>
      <c r="AH180" s="366"/>
      <c r="AI180" s="366"/>
      <c r="AJ180" s="366"/>
      <c r="AK180" s="366"/>
      <c r="AL180" s="366"/>
      <c r="AM180" s="366"/>
      <c r="AN180" s="366"/>
      <c r="AO180" s="366"/>
      <c r="AP180" s="366"/>
      <c r="AQ180" s="366"/>
      <c r="AR180" s="366"/>
      <c r="AS180" s="366"/>
      <c r="AT180" s="366"/>
      <c r="AU180" s="366"/>
      <c r="AV180" s="366"/>
      <c r="AW180" s="366"/>
      <c r="AX180" s="366"/>
      <c r="AY180" s="366"/>
      <c r="AZ180" s="366"/>
      <c r="BA180" s="366"/>
      <c r="BB180" s="366"/>
      <c r="BC180" s="366"/>
      <c r="BD180" s="366"/>
      <c r="BE180" s="366"/>
      <c r="BF180" s="366"/>
      <c r="BG180" s="366"/>
    </row>
    <row r="181" spans="2:59" x14ac:dyDescent="0.25">
      <c r="B181" s="67" t="str">
        <f>IF(Capacity!B74="","",Capacity!B74)</f>
        <v/>
      </c>
      <c r="C181" s="221" t="str">
        <f>IF(B181="","",Capacity!E74)</f>
        <v/>
      </c>
      <c r="D181" s="311" t="str">
        <f>IF(B181="","",Capacity!F74)</f>
        <v/>
      </c>
      <c r="E181" s="221" t="str">
        <f>IF(B181="","",IF(COUNTBLANK(H181:BG181)=52,SUM('Capacity calculation (hide)'!H62:BG62),52-COUNTBLANK(H181:BG181)))</f>
        <v/>
      </c>
      <c r="F181" s="312" t="str">
        <f>'Capacity calculation (hide)'!BI62</f>
        <v/>
      </c>
      <c r="H181" s="366"/>
      <c r="I181" s="366"/>
      <c r="J181" s="366"/>
      <c r="K181" s="366"/>
      <c r="L181" s="366"/>
      <c r="M181" s="366"/>
      <c r="N181" s="366"/>
      <c r="O181" s="366"/>
      <c r="P181" s="366"/>
      <c r="Q181" s="366"/>
      <c r="R181" s="366"/>
      <c r="S181" s="366"/>
      <c r="T181" s="366"/>
      <c r="U181" s="366"/>
      <c r="V181" s="366"/>
      <c r="W181" s="366"/>
      <c r="X181" s="366"/>
      <c r="Y181" s="366"/>
      <c r="Z181" s="366"/>
      <c r="AA181" s="366"/>
      <c r="AB181" s="366"/>
      <c r="AC181" s="366"/>
      <c r="AD181" s="366"/>
      <c r="AE181" s="366"/>
      <c r="AF181" s="366"/>
      <c r="AG181" s="366"/>
      <c r="AH181" s="366"/>
      <c r="AI181" s="366"/>
      <c r="AJ181" s="366"/>
      <c r="AK181" s="366"/>
      <c r="AL181" s="366"/>
      <c r="AM181" s="366"/>
      <c r="AN181" s="366"/>
      <c r="AO181" s="366"/>
      <c r="AP181" s="366"/>
      <c r="AQ181" s="366"/>
      <c r="AR181" s="366"/>
      <c r="AS181" s="366"/>
      <c r="AT181" s="366"/>
      <c r="AU181" s="366"/>
      <c r="AV181" s="366"/>
      <c r="AW181" s="366"/>
      <c r="AX181" s="366"/>
      <c r="AY181" s="366"/>
      <c r="AZ181" s="366"/>
      <c r="BA181" s="366"/>
      <c r="BB181" s="366"/>
      <c r="BC181" s="366"/>
      <c r="BD181" s="366"/>
      <c r="BE181" s="366"/>
      <c r="BF181" s="366"/>
      <c r="BG181" s="366"/>
    </row>
    <row r="182" spans="2:59" x14ac:dyDescent="0.25">
      <c r="B182" s="67" t="str">
        <f>IF(Capacity!B75="","",Capacity!B75)</f>
        <v/>
      </c>
      <c r="C182" s="221" t="str">
        <f>IF(B182="","",Capacity!E75)</f>
        <v/>
      </c>
      <c r="D182" s="311" t="str">
        <f>IF(B182="","",Capacity!F75)</f>
        <v/>
      </c>
      <c r="E182" s="221" t="str">
        <f>IF(B182="","",IF(COUNTBLANK(H182:BG182)=52,SUM('Capacity calculation (hide)'!H63:BG63),52-COUNTBLANK(H182:BG182)))</f>
        <v/>
      </c>
      <c r="F182" s="312" t="str">
        <f>'Capacity calculation (hide)'!BI63</f>
        <v/>
      </c>
      <c r="H182" s="366"/>
      <c r="I182" s="366"/>
      <c r="J182" s="366"/>
      <c r="K182" s="366"/>
      <c r="L182" s="366"/>
      <c r="M182" s="366"/>
      <c r="N182" s="366"/>
      <c r="O182" s="366"/>
      <c r="P182" s="366"/>
      <c r="Q182" s="366"/>
      <c r="R182" s="366"/>
      <c r="S182" s="366"/>
      <c r="T182" s="366"/>
      <c r="U182" s="366"/>
      <c r="V182" s="366"/>
      <c r="W182" s="366"/>
      <c r="X182" s="366"/>
      <c r="Y182" s="366"/>
      <c r="Z182" s="366"/>
      <c r="AA182" s="366"/>
      <c r="AB182" s="366"/>
      <c r="AC182" s="366"/>
      <c r="AD182" s="366"/>
      <c r="AE182" s="366"/>
      <c r="AF182" s="366"/>
      <c r="AG182" s="366"/>
      <c r="AH182" s="366"/>
      <c r="AI182" s="366"/>
      <c r="AJ182" s="366"/>
      <c r="AK182" s="366"/>
      <c r="AL182" s="366"/>
      <c r="AM182" s="366"/>
      <c r="AN182" s="366"/>
      <c r="AO182" s="366"/>
      <c r="AP182" s="366"/>
      <c r="AQ182" s="366"/>
      <c r="AR182" s="366"/>
      <c r="AS182" s="366"/>
      <c r="AT182" s="366"/>
      <c r="AU182" s="366"/>
      <c r="AV182" s="366"/>
      <c r="AW182" s="366"/>
      <c r="AX182" s="366"/>
      <c r="AY182" s="366"/>
      <c r="AZ182" s="366"/>
      <c r="BA182" s="366"/>
      <c r="BB182" s="366"/>
      <c r="BC182" s="366"/>
      <c r="BD182" s="366"/>
      <c r="BE182" s="366"/>
      <c r="BF182" s="366"/>
      <c r="BG182" s="366"/>
    </row>
    <row r="183" spans="2:59" x14ac:dyDescent="0.25">
      <c r="B183" s="67" t="str">
        <f>IF(Capacity!B76="","",Capacity!B76)</f>
        <v/>
      </c>
      <c r="C183" s="221" t="str">
        <f>IF(B183="","",Capacity!E76)</f>
        <v/>
      </c>
      <c r="D183" s="311" t="str">
        <f>IF(B183="","",Capacity!F76)</f>
        <v/>
      </c>
      <c r="E183" s="221" t="str">
        <f>IF(B183="","",IF(COUNTBLANK(H183:BG183)=52,SUM('Capacity calculation (hide)'!H64:BG64),52-COUNTBLANK(H183:BG183)))</f>
        <v/>
      </c>
      <c r="F183" s="312" t="str">
        <f>'Capacity calculation (hide)'!BI64</f>
        <v/>
      </c>
      <c r="H183" s="366"/>
      <c r="I183" s="366"/>
      <c r="J183" s="366"/>
      <c r="K183" s="366"/>
      <c r="L183" s="366"/>
      <c r="M183" s="366"/>
      <c r="N183" s="366"/>
      <c r="O183" s="366"/>
      <c r="P183" s="366"/>
      <c r="Q183" s="366"/>
      <c r="R183" s="366"/>
      <c r="S183" s="366"/>
      <c r="T183" s="366"/>
      <c r="U183" s="366"/>
      <c r="V183" s="366"/>
      <c r="W183" s="366"/>
      <c r="X183" s="366"/>
      <c r="Y183" s="366"/>
      <c r="Z183" s="366"/>
      <c r="AA183" s="366"/>
      <c r="AB183" s="366"/>
      <c r="AC183" s="366"/>
      <c r="AD183" s="366"/>
      <c r="AE183" s="366"/>
      <c r="AF183" s="366"/>
      <c r="AG183" s="366"/>
      <c r="AH183" s="366"/>
      <c r="AI183" s="366"/>
      <c r="AJ183" s="366"/>
      <c r="AK183" s="366"/>
      <c r="AL183" s="366"/>
      <c r="AM183" s="366"/>
      <c r="AN183" s="366"/>
      <c r="AO183" s="366"/>
      <c r="AP183" s="366"/>
      <c r="AQ183" s="366"/>
      <c r="AR183" s="366"/>
      <c r="AS183" s="366"/>
      <c r="AT183" s="366"/>
      <c r="AU183" s="366"/>
      <c r="AV183" s="366"/>
      <c r="AW183" s="366"/>
      <c r="AX183" s="366"/>
      <c r="AY183" s="366"/>
      <c r="AZ183" s="366"/>
      <c r="BA183" s="366"/>
      <c r="BB183" s="366"/>
      <c r="BC183" s="366"/>
      <c r="BD183" s="366"/>
      <c r="BE183" s="366"/>
      <c r="BF183" s="366"/>
      <c r="BG183" s="366"/>
    </row>
    <row r="184" spans="2:59" x14ac:dyDescent="0.25">
      <c r="B184" s="67" t="str">
        <f>IF(Capacity!B77="","",Capacity!B77)</f>
        <v/>
      </c>
      <c r="C184" s="221" t="str">
        <f>IF(B184="","",Capacity!E77)</f>
        <v/>
      </c>
      <c r="D184" s="311" t="str">
        <f>IF(B184="","",Capacity!F77)</f>
        <v/>
      </c>
      <c r="E184" s="221" t="str">
        <f>IF(B184="","",IF(COUNTBLANK(H184:BG184)=52,SUM('Capacity calculation (hide)'!H65:BG65),52-COUNTBLANK(H184:BG184)))</f>
        <v/>
      </c>
      <c r="F184" s="312" t="str">
        <f>'Capacity calculation (hide)'!BI65</f>
        <v/>
      </c>
      <c r="H184" s="366"/>
      <c r="I184" s="366"/>
      <c r="J184" s="366"/>
      <c r="K184" s="366"/>
      <c r="L184" s="366"/>
      <c r="M184" s="366"/>
      <c r="N184" s="366"/>
      <c r="O184" s="366"/>
      <c r="P184" s="366"/>
      <c r="Q184" s="366"/>
      <c r="R184" s="366"/>
      <c r="S184" s="366"/>
      <c r="T184" s="366"/>
      <c r="U184" s="366"/>
      <c r="V184" s="366"/>
      <c r="W184" s="366"/>
      <c r="X184" s="366"/>
      <c r="Y184" s="366"/>
      <c r="Z184" s="366"/>
      <c r="AA184" s="366"/>
      <c r="AB184" s="366"/>
      <c r="AC184" s="366"/>
      <c r="AD184" s="366"/>
      <c r="AE184" s="366"/>
      <c r="AF184" s="366"/>
      <c r="AG184" s="366"/>
      <c r="AH184" s="366"/>
      <c r="AI184" s="366"/>
      <c r="AJ184" s="366"/>
      <c r="AK184" s="366"/>
      <c r="AL184" s="366"/>
      <c r="AM184" s="366"/>
      <c r="AN184" s="366"/>
      <c r="AO184" s="366"/>
      <c r="AP184" s="366"/>
      <c r="AQ184" s="366"/>
      <c r="AR184" s="366"/>
      <c r="AS184" s="366"/>
      <c r="AT184" s="366"/>
      <c r="AU184" s="366"/>
      <c r="AV184" s="366"/>
      <c r="AW184" s="366"/>
      <c r="AX184" s="366"/>
      <c r="AY184" s="366"/>
      <c r="AZ184" s="366"/>
      <c r="BA184" s="366"/>
      <c r="BB184" s="366"/>
      <c r="BC184" s="366"/>
      <c r="BD184" s="366"/>
      <c r="BE184" s="366"/>
      <c r="BF184" s="366"/>
      <c r="BG184" s="366"/>
    </row>
    <row r="185" spans="2:59" x14ac:dyDescent="0.25">
      <c r="B185" s="67" t="str">
        <f>IF(Capacity!B78="","",Capacity!B78)</f>
        <v/>
      </c>
      <c r="C185" s="221" t="str">
        <f>IF(B185="","",Capacity!E78)</f>
        <v/>
      </c>
      <c r="D185" s="311" t="str">
        <f>IF(B185="","",Capacity!F78)</f>
        <v/>
      </c>
      <c r="E185" s="221" t="str">
        <f>IF(B185="","",IF(COUNTBLANK(H185:BG185)=52,SUM('Capacity calculation (hide)'!H66:BG66),52-COUNTBLANK(H185:BG185)))</f>
        <v/>
      </c>
      <c r="F185" s="312" t="str">
        <f>'Capacity calculation (hide)'!BI66</f>
        <v/>
      </c>
      <c r="H185" s="366"/>
      <c r="I185" s="366"/>
      <c r="J185" s="366"/>
      <c r="K185" s="366"/>
      <c r="L185" s="366"/>
      <c r="M185" s="366"/>
      <c r="N185" s="366"/>
      <c r="O185" s="366"/>
      <c r="P185" s="366"/>
      <c r="Q185" s="366"/>
      <c r="R185" s="366"/>
      <c r="S185" s="366"/>
      <c r="T185" s="366"/>
      <c r="U185" s="366"/>
      <c r="V185" s="366"/>
      <c r="W185" s="366"/>
      <c r="X185" s="366"/>
      <c r="Y185" s="366"/>
      <c r="Z185" s="366"/>
      <c r="AA185" s="366"/>
      <c r="AB185" s="366"/>
      <c r="AC185" s="366"/>
      <c r="AD185" s="366"/>
      <c r="AE185" s="366"/>
      <c r="AF185" s="366"/>
      <c r="AG185" s="366"/>
      <c r="AH185" s="366"/>
      <c r="AI185" s="366"/>
      <c r="AJ185" s="366"/>
      <c r="AK185" s="366"/>
      <c r="AL185" s="366"/>
      <c r="AM185" s="366"/>
      <c r="AN185" s="366"/>
      <c r="AO185" s="366"/>
      <c r="AP185" s="366"/>
      <c r="AQ185" s="366"/>
      <c r="AR185" s="366"/>
      <c r="AS185" s="366"/>
      <c r="AT185" s="366"/>
      <c r="AU185" s="366"/>
      <c r="AV185" s="366"/>
      <c r="AW185" s="366"/>
      <c r="AX185" s="366"/>
      <c r="AY185" s="366"/>
      <c r="AZ185" s="366"/>
      <c r="BA185" s="366"/>
      <c r="BB185" s="366"/>
      <c r="BC185" s="366"/>
      <c r="BD185" s="366"/>
      <c r="BE185" s="366"/>
      <c r="BF185" s="366"/>
      <c r="BG185" s="366"/>
    </row>
    <row r="186" spans="2:59" x14ac:dyDescent="0.25">
      <c r="B186" s="67" t="str">
        <f>IF(Capacity!B79="","",Capacity!B79)</f>
        <v/>
      </c>
      <c r="C186" s="221" t="str">
        <f>IF(B186="","",Capacity!E79)</f>
        <v/>
      </c>
      <c r="D186" s="311" t="str">
        <f>IF(B186="","",Capacity!F79)</f>
        <v/>
      </c>
      <c r="E186" s="221" t="str">
        <f>IF(B186="","",IF(COUNTBLANK(H186:BG186)=52,SUM('Capacity calculation (hide)'!H67:BG67),52-COUNTBLANK(H186:BG186)))</f>
        <v/>
      </c>
      <c r="F186" s="312" t="str">
        <f>'Capacity calculation (hide)'!BI67</f>
        <v/>
      </c>
      <c r="H186" s="366"/>
      <c r="I186" s="366"/>
      <c r="J186" s="366"/>
      <c r="K186" s="366"/>
      <c r="L186" s="366"/>
      <c r="M186" s="366"/>
      <c r="N186" s="366"/>
      <c r="O186" s="366"/>
      <c r="P186" s="366"/>
      <c r="Q186" s="366"/>
      <c r="R186" s="366"/>
      <c r="S186" s="366"/>
      <c r="T186" s="366"/>
      <c r="U186" s="366"/>
      <c r="V186" s="366"/>
      <c r="W186" s="366"/>
      <c r="X186" s="366"/>
      <c r="Y186" s="366"/>
      <c r="Z186" s="366"/>
      <c r="AA186" s="366"/>
      <c r="AB186" s="366"/>
      <c r="AC186" s="366"/>
      <c r="AD186" s="366"/>
      <c r="AE186" s="366"/>
      <c r="AF186" s="366"/>
      <c r="AG186" s="366"/>
      <c r="AH186" s="366"/>
      <c r="AI186" s="366"/>
      <c r="AJ186" s="366"/>
      <c r="AK186" s="366"/>
      <c r="AL186" s="366"/>
      <c r="AM186" s="366"/>
      <c r="AN186" s="366"/>
      <c r="AO186" s="366"/>
      <c r="AP186" s="366"/>
      <c r="AQ186" s="366"/>
      <c r="AR186" s="366"/>
      <c r="AS186" s="366"/>
      <c r="AT186" s="366"/>
      <c r="AU186" s="366"/>
      <c r="AV186" s="366"/>
      <c r="AW186" s="366"/>
      <c r="AX186" s="366"/>
      <c r="AY186" s="366"/>
      <c r="AZ186" s="366"/>
      <c r="BA186" s="366"/>
      <c r="BB186" s="366"/>
      <c r="BC186" s="366"/>
      <c r="BD186" s="366"/>
      <c r="BE186" s="366"/>
      <c r="BF186" s="366"/>
      <c r="BG186" s="366"/>
    </row>
    <row r="187" spans="2:59" x14ac:dyDescent="0.25">
      <c r="B187" s="67" t="str">
        <f>IF(Capacity!B80="","",Capacity!B80)</f>
        <v/>
      </c>
      <c r="C187" s="221" t="str">
        <f>IF(B187="","",Capacity!E80)</f>
        <v/>
      </c>
      <c r="D187" s="311" t="str">
        <f>IF(B187="","",Capacity!F80)</f>
        <v/>
      </c>
      <c r="E187" s="221" t="str">
        <f>IF(B187="","",IF(COUNTBLANK(H187:BG187)=52,SUM('Capacity calculation (hide)'!H68:BG68),52-COUNTBLANK(H187:BG187)))</f>
        <v/>
      </c>
      <c r="F187" s="312" t="str">
        <f>'Capacity calculation (hide)'!BI68</f>
        <v/>
      </c>
      <c r="H187" s="366"/>
      <c r="I187" s="366"/>
      <c r="J187" s="366"/>
      <c r="K187" s="366"/>
      <c r="L187" s="366"/>
      <c r="M187" s="366"/>
      <c r="N187" s="366"/>
      <c r="O187" s="366"/>
      <c r="P187" s="366"/>
      <c r="Q187" s="366"/>
      <c r="R187" s="366"/>
      <c r="S187" s="366"/>
      <c r="T187" s="366"/>
      <c r="U187" s="366"/>
      <c r="V187" s="366"/>
      <c r="W187" s="366"/>
      <c r="X187" s="366"/>
      <c r="Y187" s="366"/>
      <c r="Z187" s="366"/>
      <c r="AA187" s="366"/>
      <c r="AB187" s="366"/>
      <c r="AC187" s="366"/>
      <c r="AD187" s="366"/>
      <c r="AE187" s="366"/>
      <c r="AF187" s="366"/>
      <c r="AG187" s="366"/>
      <c r="AH187" s="366"/>
      <c r="AI187" s="366"/>
      <c r="AJ187" s="366"/>
      <c r="AK187" s="366"/>
      <c r="AL187" s="366"/>
      <c r="AM187" s="366"/>
      <c r="AN187" s="366"/>
      <c r="AO187" s="366"/>
      <c r="AP187" s="366"/>
      <c r="AQ187" s="366"/>
      <c r="AR187" s="366"/>
      <c r="AS187" s="366"/>
      <c r="AT187" s="366"/>
      <c r="AU187" s="366"/>
      <c r="AV187" s="366"/>
      <c r="AW187" s="366"/>
      <c r="AX187" s="366"/>
      <c r="AY187" s="366"/>
      <c r="AZ187" s="366"/>
      <c r="BA187" s="366"/>
      <c r="BB187" s="366"/>
      <c r="BC187" s="366"/>
      <c r="BD187" s="366"/>
      <c r="BE187" s="366"/>
      <c r="BF187" s="366"/>
      <c r="BG187" s="366"/>
    </row>
    <row r="188" spans="2:59" x14ac:dyDescent="0.25">
      <c r="B188" s="67" t="str">
        <f>IF(Capacity!B81="","",Capacity!B81)</f>
        <v/>
      </c>
      <c r="C188" s="221" t="str">
        <f>IF(B188="","",Capacity!E81)</f>
        <v/>
      </c>
      <c r="D188" s="311" t="str">
        <f>IF(B188="","",Capacity!F81)</f>
        <v/>
      </c>
      <c r="E188" s="221" t="str">
        <f>IF(B188="","",IF(COUNTBLANK(H188:BG188)=52,SUM('Capacity calculation (hide)'!H69:BG69),52-COUNTBLANK(H188:BG188)))</f>
        <v/>
      </c>
      <c r="F188" s="312" t="str">
        <f>'Capacity calculation (hide)'!BI69</f>
        <v/>
      </c>
      <c r="H188" s="366"/>
      <c r="I188" s="366"/>
      <c r="J188" s="366"/>
      <c r="K188" s="366"/>
      <c r="L188" s="366"/>
      <c r="M188" s="366"/>
      <c r="N188" s="366"/>
      <c r="O188" s="366"/>
      <c r="P188" s="366"/>
      <c r="Q188" s="366"/>
      <c r="R188" s="366"/>
      <c r="S188" s="366"/>
      <c r="T188" s="366"/>
      <c r="U188" s="366"/>
      <c r="V188" s="366"/>
      <c r="W188" s="366"/>
      <c r="X188" s="366"/>
      <c r="Y188" s="366"/>
      <c r="Z188" s="366"/>
      <c r="AA188" s="366"/>
      <c r="AB188" s="366"/>
      <c r="AC188" s="366"/>
      <c r="AD188" s="366"/>
      <c r="AE188" s="366"/>
      <c r="AF188" s="366"/>
      <c r="AG188" s="366"/>
      <c r="AH188" s="366"/>
      <c r="AI188" s="366"/>
      <c r="AJ188" s="366"/>
      <c r="AK188" s="366"/>
      <c r="AL188" s="366"/>
      <c r="AM188" s="366"/>
      <c r="AN188" s="366"/>
      <c r="AO188" s="366"/>
      <c r="AP188" s="366"/>
      <c r="AQ188" s="366"/>
      <c r="AR188" s="366"/>
      <c r="AS188" s="366"/>
      <c r="AT188" s="366"/>
      <c r="AU188" s="366"/>
      <c r="AV188" s="366"/>
      <c r="AW188" s="366"/>
      <c r="AX188" s="366"/>
      <c r="AY188" s="366"/>
      <c r="AZ188" s="366"/>
      <c r="BA188" s="366"/>
      <c r="BB188" s="366"/>
      <c r="BC188" s="366"/>
      <c r="BD188" s="366"/>
      <c r="BE188" s="366"/>
      <c r="BF188" s="366"/>
      <c r="BG188" s="366"/>
    </row>
    <row r="189" spans="2:59" x14ac:dyDescent="0.25">
      <c r="B189" s="67" t="str">
        <f>IF(Capacity!B82="","",Capacity!B82)</f>
        <v/>
      </c>
      <c r="C189" s="221" t="str">
        <f>IF(B189="","",Capacity!E82)</f>
        <v/>
      </c>
      <c r="D189" s="311" t="str">
        <f>IF(B189="","",Capacity!F82)</f>
        <v/>
      </c>
      <c r="E189" s="221" t="str">
        <f>IF(B189="","",IF(COUNTBLANK(H189:BG189)=52,SUM('Capacity calculation (hide)'!H70:BG70),52-COUNTBLANK(H189:BG189)))</f>
        <v/>
      </c>
      <c r="F189" s="312" t="str">
        <f>'Capacity calculation (hide)'!BI70</f>
        <v/>
      </c>
      <c r="H189" s="366"/>
      <c r="I189" s="366"/>
      <c r="J189" s="366"/>
      <c r="K189" s="366"/>
      <c r="L189" s="366"/>
      <c r="M189" s="366"/>
      <c r="N189" s="366"/>
      <c r="O189" s="366"/>
      <c r="P189" s="366"/>
      <c r="Q189" s="366"/>
      <c r="R189" s="366"/>
      <c r="S189" s="366"/>
      <c r="T189" s="366"/>
      <c r="U189" s="366"/>
      <c r="V189" s="366"/>
      <c r="W189" s="366"/>
      <c r="X189" s="366"/>
      <c r="Y189" s="366"/>
      <c r="Z189" s="366"/>
      <c r="AA189" s="366"/>
      <c r="AB189" s="366"/>
      <c r="AC189" s="366"/>
      <c r="AD189" s="366"/>
      <c r="AE189" s="366"/>
      <c r="AF189" s="366"/>
      <c r="AG189" s="366"/>
      <c r="AH189" s="366"/>
      <c r="AI189" s="366"/>
      <c r="AJ189" s="366"/>
      <c r="AK189" s="366"/>
      <c r="AL189" s="366"/>
      <c r="AM189" s="366"/>
      <c r="AN189" s="366"/>
      <c r="AO189" s="366"/>
      <c r="AP189" s="366"/>
      <c r="AQ189" s="366"/>
      <c r="AR189" s="366"/>
      <c r="AS189" s="366"/>
      <c r="AT189" s="366"/>
      <c r="AU189" s="366"/>
      <c r="AV189" s="366"/>
      <c r="AW189" s="366"/>
      <c r="AX189" s="366"/>
      <c r="AY189" s="366"/>
      <c r="AZ189" s="366"/>
      <c r="BA189" s="366"/>
      <c r="BB189" s="366"/>
      <c r="BC189" s="366"/>
      <c r="BD189" s="366"/>
      <c r="BE189" s="366"/>
      <c r="BF189" s="366"/>
      <c r="BG189" s="366"/>
    </row>
    <row r="190" spans="2:59" x14ac:dyDescent="0.25">
      <c r="B190" s="67" t="str">
        <f>IF(Capacity!B83="","",Capacity!B83)</f>
        <v/>
      </c>
      <c r="C190" s="221" t="str">
        <f>IF(B190="","",Capacity!E83)</f>
        <v/>
      </c>
      <c r="D190" s="311" t="str">
        <f>IF(B190="","",Capacity!F83)</f>
        <v/>
      </c>
      <c r="E190" s="221" t="str">
        <f>IF(B190="","",IF(COUNTBLANK(H190:BG190)=52,SUM('Capacity calculation (hide)'!H71:BG71),52-COUNTBLANK(H190:BG190)))</f>
        <v/>
      </c>
      <c r="F190" s="312" t="str">
        <f>'Capacity calculation (hide)'!BI71</f>
        <v/>
      </c>
      <c r="H190" s="366"/>
      <c r="I190" s="366"/>
      <c r="J190" s="366"/>
      <c r="K190" s="366"/>
      <c r="L190" s="366"/>
      <c r="M190" s="366"/>
      <c r="N190" s="366"/>
      <c r="O190" s="366"/>
      <c r="P190" s="366"/>
      <c r="Q190" s="366"/>
      <c r="R190" s="366"/>
      <c r="S190" s="366"/>
      <c r="T190" s="366"/>
      <c r="U190" s="366"/>
      <c r="V190" s="366"/>
      <c r="W190" s="366"/>
      <c r="X190" s="366"/>
      <c r="Y190" s="366"/>
      <c r="Z190" s="366"/>
      <c r="AA190" s="366"/>
      <c r="AB190" s="366"/>
      <c r="AC190" s="366"/>
      <c r="AD190" s="366"/>
      <c r="AE190" s="366"/>
      <c r="AF190" s="366"/>
      <c r="AG190" s="366"/>
      <c r="AH190" s="366"/>
      <c r="AI190" s="366"/>
      <c r="AJ190" s="366"/>
      <c r="AK190" s="366"/>
      <c r="AL190" s="366"/>
      <c r="AM190" s="366"/>
      <c r="AN190" s="366"/>
      <c r="AO190" s="366"/>
      <c r="AP190" s="366"/>
      <c r="AQ190" s="366"/>
      <c r="AR190" s="366"/>
      <c r="AS190" s="366"/>
      <c r="AT190" s="366"/>
      <c r="AU190" s="366"/>
      <c r="AV190" s="366"/>
      <c r="AW190" s="366"/>
      <c r="AX190" s="366"/>
      <c r="AY190" s="366"/>
      <c r="AZ190" s="366"/>
      <c r="BA190" s="366"/>
      <c r="BB190" s="366"/>
      <c r="BC190" s="366"/>
      <c r="BD190" s="366"/>
      <c r="BE190" s="366"/>
      <c r="BF190" s="366"/>
      <c r="BG190" s="366"/>
    </row>
    <row r="191" spans="2:59" x14ac:dyDescent="0.25">
      <c r="B191" s="67" t="str">
        <f>IF(Capacity!B84="","",Capacity!B84)</f>
        <v/>
      </c>
      <c r="C191" s="221" t="str">
        <f>IF(B191="","",Capacity!E84)</f>
        <v/>
      </c>
      <c r="D191" s="311" t="str">
        <f>IF(B191="","",Capacity!F84)</f>
        <v/>
      </c>
      <c r="E191" s="221" t="str">
        <f>IF(B191="","",IF(COUNTBLANK(H191:BG191)=52,SUM('Capacity calculation (hide)'!H72:BG72),52-COUNTBLANK(H191:BG191)))</f>
        <v/>
      </c>
      <c r="F191" s="312" t="str">
        <f>'Capacity calculation (hide)'!BI72</f>
        <v/>
      </c>
      <c r="H191" s="366"/>
      <c r="I191" s="366"/>
      <c r="J191" s="366"/>
      <c r="K191" s="366"/>
      <c r="L191" s="366"/>
      <c r="M191" s="366"/>
      <c r="N191" s="366"/>
      <c r="O191" s="366"/>
      <c r="P191" s="366"/>
      <c r="Q191" s="366"/>
      <c r="R191" s="366"/>
      <c r="S191" s="366"/>
      <c r="T191" s="366"/>
      <c r="U191" s="366"/>
      <c r="V191" s="366"/>
      <c r="W191" s="366"/>
      <c r="X191" s="366"/>
      <c r="Y191" s="366"/>
      <c r="Z191" s="366"/>
      <c r="AA191" s="366"/>
      <c r="AB191" s="366"/>
      <c r="AC191" s="366"/>
      <c r="AD191" s="366"/>
      <c r="AE191" s="366"/>
      <c r="AF191" s="366"/>
      <c r="AG191" s="366"/>
      <c r="AH191" s="366"/>
      <c r="AI191" s="366"/>
      <c r="AJ191" s="366"/>
      <c r="AK191" s="366"/>
      <c r="AL191" s="366"/>
      <c r="AM191" s="366"/>
      <c r="AN191" s="366"/>
      <c r="AO191" s="366"/>
      <c r="AP191" s="366"/>
      <c r="AQ191" s="366"/>
      <c r="AR191" s="366"/>
      <c r="AS191" s="366"/>
      <c r="AT191" s="366"/>
      <c r="AU191" s="366"/>
      <c r="AV191" s="366"/>
      <c r="AW191" s="366"/>
      <c r="AX191" s="366"/>
      <c r="AY191" s="366"/>
      <c r="AZ191" s="366"/>
      <c r="BA191" s="366"/>
      <c r="BB191" s="366"/>
      <c r="BC191" s="366"/>
      <c r="BD191" s="366"/>
      <c r="BE191" s="366"/>
      <c r="BF191" s="366"/>
      <c r="BG191" s="366"/>
    </row>
    <row r="192" spans="2:59" x14ac:dyDescent="0.25">
      <c r="B192" s="67" t="str">
        <f>IF(Capacity!B85="","",Capacity!B85)</f>
        <v/>
      </c>
      <c r="C192" s="221" t="str">
        <f>IF(B192="","",Capacity!E85)</f>
        <v/>
      </c>
      <c r="D192" s="311" t="str">
        <f>IF(B192="","",Capacity!F85)</f>
        <v/>
      </c>
      <c r="E192" s="221" t="str">
        <f>IF(B192="","",IF(COUNTBLANK(H192:BG192)=52,SUM('Capacity calculation (hide)'!H73:BG73),52-COUNTBLANK(H192:BG192)))</f>
        <v/>
      </c>
      <c r="F192" s="312" t="str">
        <f>'Capacity calculation (hide)'!BI73</f>
        <v/>
      </c>
      <c r="H192" s="366"/>
      <c r="I192" s="366"/>
      <c r="J192" s="366"/>
      <c r="K192" s="366"/>
      <c r="L192" s="366"/>
      <c r="M192" s="366"/>
      <c r="N192" s="366"/>
      <c r="O192" s="366"/>
      <c r="P192" s="366"/>
      <c r="Q192" s="366"/>
      <c r="R192" s="366"/>
      <c r="S192" s="366"/>
      <c r="T192" s="366"/>
      <c r="U192" s="366"/>
      <c r="V192" s="366"/>
      <c r="W192" s="366"/>
      <c r="X192" s="366"/>
      <c r="Y192" s="366"/>
      <c r="Z192" s="366"/>
      <c r="AA192" s="366"/>
      <c r="AB192" s="366"/>
      <c r="AC192" s="366"/>
      <c r="AD192" s="366"/>
      <c r="AE192" s="366"/>
      <c r="AF192" s="366"/>
      <c r="AG192" s="366"/>
      <c r="AH192" s="366"/>
      <c r="AI192" s="366"/>
      <c r="AJ192" s="366"/>
      <c r="AK192" s="366"/>
      <c r="AL192" s="366"/>
      <c r="AM192" s="366"/>
      <c r="AN192" s="366"/>
      <c r="AO192" s="366"/>
      <c r="AP192" s="366"/>
      <c r="AQ192" s="366"/>
      <c r="AR192" s="366"/>
      <c r="AS192" s="366"/>
      <c r="AT192" s="366"/>
      <c r="AU192" s="366"/>
      <c r="AV192" s="366"/>
      <c r="AW192" s="366"/>
      <c r="AX192" s="366"/>
      <c r="AY192" s="366"/>
      <c r="AZ192" s="366"/>
      <c r="BA192" s="366"/>
      <c r="BB192" s="366"/>
      <c r="BC192" s="366"/>
      <c r="BD192" s="366"/>
      <c r="BE192" s="366"/>
      <c r="BF192" s="366"/>
      <c r="BG192" s="366"/>
    </row>
    <row r="193" spans="2:59" x14ac:dyDescent="0.25">
      <c r="B193" s="67" t="str">
        <f>IF(Capacity!B86="","",Capacity!B86)</f>
        <v/>
      </c>
      <c r="C193" s="221" t="str">
        <f>IF(B193="","",Capacity!E86)</f>
        <v/>
      </c>
      <c r="D193" s="311" t="str">
        <f>IF(B193="","",Capacity!F86)</f>
        <v/>
      </c>
      <c r="E193" s="221" t="str">
        <f>IF(B193="","",IF(COUNTBLANK(H193:BG193)=52,SUM('Capacity calculation (hide)'!H74:BG74),52-COUNTBLANK(H193:BG193)))</f>
        <v/>
      </c>
      <c r="F193" s="312" t="str">
        <f>'Capacity calculation (hide)'!BI74</f>
        <v/>
      </c>
      <c r="H193" s="366"/>
      <c r="I193" s="366"/>
      <c r="J193" s="366"/>
      <c r="K193" s="366"/>
      <c r="L193" s="366"/>
      <c r="M193" s="366"/>
      <c r="N193" s="366"/>
      <c r="O193" s="366"/>
      <c r="P193" s="366"/>
      <c r="Q193" s="366"/>
      <c r="R193" s="366"/>
      <c r="S193" s="366"/>
      <c r="T193" s="366"/>
      <c r="U193" s="366"/>
      <c r="V193" s="366"/>
      <c r="W193" s="366"/>
      <c r="X193" s="366"/>
      <c r="Y193" s="366"/>
      <c r="Z193" s="366"/>
      <c r="AA193" s="366"/>
      <c r="AB193" s="366"/>
      <c r="AC193" s="366"/>
      <c r="AD193" s="366"/>
      <c r="AE193" s="366"/>
      <c r="AF193" s="366"/>
      <c r="AG193" s="366"/>
      <c r="AH193" s="366"/>
      <c r="AI193" s="366"/>
      <c r="AJ193" s="366"/>
      <c r="AK193" s="366"/>
      <c r="AL193" s="366"/>
      <c r="AM193" s="366"/>
      <c r="AN193" s="366"/>
      <c r="AO193" s="366"/>
      <c r="AP193" s="366"/>
      <c r="AQ193" s="366"/>
      <c r="AR193" s="366"/>
      <c r="AS193" s="366"/>
      <c r="AT193" s="366"/>
      <c r="AU193" s="366"/>
      <c r="AV193" s="366"/>
      <c r="AW193" s="366"/>
      <c r="AX193" s="366"/>
      <c r="AY193" s="366"/>
      <c r="AZ193" s="366"/>
      <c r="BA193" s="366"/>
      <c r="BB193" s="366"/>
      <c r="BC193" s="366"/>
      <c r="BD193" s="366"/>
      <c r="BE193" s="366"/>
      <c r="BF193" s="366"/>
      <c r="BG193" s="366"/>
    </row>
    <row r="194" spans="2:59" x14ac:dyDescent="0.25">
      <c r="B194" s="67" t="str">
        <f>IF(Capacity!B87="","",Capacity!B87)</f>
        <v/>
      </c>
      <c r="C194" s="221" t="str">
        <f>IF(B194="","",Capacity!E87)</f>
        <v/>
      </c>
      <c r="D194" s="311" t="str">
        <f>IF(B194="","",Capacity!F87)</f>
        <v/>
      </c>
      <c r="E194" s="221" t="str">
        <f>IF(B194="","",IF(COUNTBLANK(H194:BG194)=52,SUM('Capacity calculation (hide)'!H75:BG75),52-COUNTBLANK(H194:BG194)))</f>
        <v/>
      </c>
      <c r="F194" s="312" t="str">
        <f>'Capacity calculation (hide)'!BI75</f>
        <v/>
      </c>
      <c r="H194" s="366"/>
      <c r="I194" s="366"/>
      <c r="J194" s="366"/>
      <c r="K194" s="366"/>
      <c r="L194" s="366"/>
      <c r="M194" s="366"/>
      <c r="N194" s="366"/>
      <c r="O194" s="366"/>
      <c r="P194" s="366"/>
      <c r="Q194" s="366"/>
      <c r="R194" s="366"/>
      <c r="S194" s="366"/>
      <c r="T194" s="366"/>
      <c r="U194" s="366"/>
      <c r="V194" s="366"/>
      <c r="W194" s="366"/>
      <c r="X194" s="366"/>
      <c r="Y194" s="366"/>
      <c r="Z194" s="366"/>
      <c r="AA194" s="366"/>
      <c r="AB194" s="366"/>
      <c r="AC194" s="366"/>
      <c r="AD194" s="366"/>
      <c r="AE194" s="366"/>
      <c r="AF194" s="366"/>
      <c r="AG194" s="366"/>
      <c r="AH194" s="366"/>
      <c r="AI194" s="366"/>
      <c r="AJ194" s="366"/>
      <c r="AK194" s="366"/>
      <c r="AL194" s="366"/>
      <c r="AM194" s="366"/>
      <c r="AN194" s="366"/>
      <c r="AO194" s="366"/>
      <c r="AP194" s="366"/>
      <c r="AQ194" s="366"/>
      <c r="AR194" s="366"/>
      <c r="AS194" s="366"/>
      <c r="AT194" s="366"/>
      <c r="AU194" s="366"/>
      <c r="AV194" s="366"/>
      <c r="AW194" s="366"/>
      <c r="AX194" s="366"/>
      <c r="AY194" s="366"/>
      <c r="AZ194" s="366"/>
      <c r="BA194" s="366"/>
      <c r="BB194" s="366"/>
      <c r="BC194" s="366"/>
      <c r="BD194" s="366"/>
      <c r="BE194" s="366"/>
      <c r="BF194" s="366"/>
      <c r="BG194" s="366"/>
    </row>
    <row r="195" spans="2:59" x14ac:dyDescent="0.25">
      <c r="B195" s="67" t="str">
        <f>IF(Capacity!B88="","",Capacity!B88)</f>
        <v/>
      </c>
      <c r="C195" s="221" t="str">
        <f>IF(B195="","",Capacity!E88)</f>
        <v/>
      </c>
      <c r="D195" s="311" t="str">
        <f>IF(B195="","",Capacity!F88)</f>
        <v/>
      </c>
      <c r="E195" s="221" t="str">
        <f>IF(B195="","",IF(COUNTBLANK(H195:BG195)=52,SUM('Capacity calculation (hide)'!H76:BG76),52-COUNTBLANK(H195:BG195)))</f>
        <v/>
      </c>
      <c r="F195" s="312" t="str">
        <f>'Capacity calculation (hide)'!BI76</f>
        <v/>
      </c>
      <c r="H195" s="366"/>
      <c r="I195" s="366"/>
      <c r="J195" s="366"/>
      <c r="K195" s="366"/>
      <c r="L195" s="366"/>
      <c r="M195" s="366"/>
      <c r="N195" s="366"/>
      <c r="O195" s="366"/>
      <c r="P195" s="366"/>
      <c r="Q195" s="366"/>
      <c r="R195" s="366"/>
      <c r="S195" s="366"/>
      <c r="T195" s="366"/>
      <c r="U195" s="366"/>
      <c r="V195" s="366"/>
      <c r="W195" s="366"/>
      <c r="X195" s="366"/>
      <c r="Y195" s="366"/>
      <c r="Z195" s="366"/>
      <c r="AA195" s="366"/>
      <c r="AB195" s="366"/>
      <c r="AC195" s="366"/>
      <c r="AD195" s="366"/>
      <c r="AE195" s="366"/>
      <c r="AF195" s="366"/>
      <c r="AG195" s="366"/>
      <c r="AH195" s="366"/>
      <c r="AI195" s="366"/>
      <c r="AJ195" s="366"/>
      <c r="AK195" s="366"/>
      <c r="AL195" s="366"/>
      <c r="AM195" s="366"/>
      <c r="AN195" s="366"/>
      <c r="AO195" s="366"/>
      <c r="AP195" s="366"/>
      <c r="AQ195" s="366"/>
      <c r="AR195" s="366"/>
      <c r="AS195" s="366"/>
      <c r="AT195" s="366"/>
      <c r="AU195" s="366"/>
      <c r="AV195" s="366"/>
      <c r="AW195" s="366"/>
      <c r="AX195" s="366"/>
      <c r="AY195" s="366"/>
      <c r="AZ195" s="366"/>
      <c r="BA195" s="366"/>
      <c r="BB195" s="366"/>
      <c r="BC195" s="366"/>
      <c r="BD195" s="366"/>
      <c r="BE195" s="366"/>
      <c r="BF195" s="366"/>
      <c r="BG195" s="366"/>
    </row>
    <row r="196" spans="2:59" x14ac:dyDescent="0.25">
      <c r="B196" s="67" t="str">
        <f>IF(Capacity!B89="","",Capacity!B89)</f>
        <v/>
      </c>
      <c r="C196" s="221" t="str">
        <f>IF(B196="","",Capacity!E89)</f>
        <v/>
      </c>
      <c r="D196" s="311" t="str">
        <f>IF(B196="","",Capacity!F89)</f>
        <v/>
      </c>
      <c r="E196" s="221" t="str">
        <f>IF(B196="","",IF(COUNTBLANK(H196:BG196)=52,SUM('Capacity calculation (hide)'!H77:BG77),52-COUNTBLANK(H196:BG196)))</f>
        <v/>
      </c>
      <c r="F196" s="312" t="str">
        <f>'Capacity calculation (hide)'!BI77</f>
        <v/>
      </c>
      <c r="H196" s="366"/>
      <c r="I196" s="366"/>
      <c r="J196" s="366"/>
      <c r="K196" s="366"/>
      <c r="L196" s="366"/>
      <c r="M196" s="366"/>
      <c r="N196" s="366"/>
      <c r="O196" s="366"/>
      <c r="P196" s="366"/>
      <c r="Q196" s="366"/>
      <c r="R196" s="366"/>
      <c r="S196" s="366"/>
      <c r="T196" s="366"/>
      <c r="U196" s="366"/>
      <c r="V196" s="366"/>
      <c r="W196" s="366"/>
      <c r="X196" s="366"/>
      <c r="Y196" s="366"/>
      <c r="Z196" s="366"/>
      <c r="AA196" s="366"/>
      <c r="AB196" s="366"/>
      <c r="AC196" s="366"/>
      <c r="AD196" s="366"/>
      <c r="AE196" s="366"/>
      <c r="AF196" s="366"/>
      <c r="AG196" s="366"/>
      <c r="AH196" s="366"/>
      <c r="AI196" s="366"/>
      <c r="AJ196" s="366"/>
      <c r="AK196" s="366"/>
      <c r="AL196" s="366"/>
      <c r="AM196" s="366"/>
      <c r="AN196" s="366"/>
      <c r="AO196" s="366"/>
      <c r="AP196" s="366"/>
      <c r="AQ196" s="366"/>
      <c r="AR196" s="366"/>
      <c r="AS196" s="366"/>
      <c r="AT196" s="366"/>
      <c r="AU196" s="366"/>
      <c r="AV196" s="366"/>
      <c r="AW196" s="366"/>
      <c r="AX196" s="366"/>
      <c r="AY196" s="366"/>
      <c r="AZ196" s="366"/>
      <c r="BA196" s="366"/>
      <c r="BB196" s="366"/>
      <c r="BC196" s="366"/>
      <c r="BD196" s="366"/>
      <c r="BE196" s="366"/>
      <c r="BF196" s="366"/>
      <c r="BG196" s="366"/>
    </row>
    <row r="197" spans="2:59" x14ac:dyDescent="0.25">
      <c r="B197" s="67" t="str">
        <f>IF(Capacity!B90="","",Capacity!B90)</f>
        <v/>
      </c>
      <c r="C197" s="221" t="str">
        <f>IF(B197="","",Capacity!E90)</f>
        <v/>
      </c>
      <c r="D197" s="311" t="str">
        <f>IF(B197="","",Capacity!F90)</f>
        <v/>
      </c>
      <c r="E197" s="221" t="str">
        <f>IF(B197="","",IF(COUNTBLANK(H197:BG197)=52,SUM('Capacity calculation (hide)'!H78:BG78),52-COUNTBLANK(H197:BG197)))</f>
        <v/>
      </c>
      <c r="F197" s="312" t="str">
        <f>'Capacity calculation (hide)'!BI78</f>
        <v/>
      </c>
      <c r="H197" s="366"/>
      <c r="I197" s="366"/>
      <c r="J197" s="366"/>
      <c r="K197" s="366"/>
      <c r="L197" s="366"/>
      <c r="M197" s="366"/>
      <c r="N197" s="366"/>
      <c r="O197" s="366"/>
      <c r="P197" s="366"/>
      <c r="Q197" s="366"/>
      <c r="R197" s="366"/>
      <c r="S197" s="366"/>
      <c r="T197" s="366"/>
      <c r="U197" s="366"/>
      <c r="V197" s="366"/>
      <c r="W197" s="366"/>
      <c r="X197" s="366"/>
      <c r="Y197" s="366"/>
      <c r="Z197" s="366"/>
      <c r="AA197" s="366"/>
      <c r="AB197" s="366"/>
      <c r="AC197" s="366"/>
      <c r="AD197" s="366"/>
      <c r="AE197" s="366"/>
      <c r="AF197" s="366"/>
      <c r="AG197" s="366"/>
      <c r="AH197" s="366"/>
      <c r="AI197" s="366"/>
      <c r="AJ197" s="366"/>
      <c r="AK197" s="366"/>
      <c r="AL197" s="366"/>
      <c r="AM197" s="366"/>
      <c r="AN197" s="366"/>
      <c r="AO197" s="366"/>
      <c r="AP197" s="366"/>
      <c r="AQ197" s="366"/>
      <c r="AR197" s="366"/>
      <c r="AS197" s="366"/>
      <c r="AT197" s="366"/>
      <c r="AU197" s="366"/>
      <c r="AV197" s="366"/>
      <c r="AW197" s="366"/>
      <c r="AX197" s="366"/>
      <c r="AY197" s="366"/>
      <c r="AZ197" s="366"/>
      <c r="BA197" s="366"/>
      <c r="BB197" s="366"/>
      <c r="BC197" s="366"/>
      <c r="BD197" s="366"/>
      <c r="BE197" s="366"/>
      <c r="BF197" s="366"/>
      <c r="BG197" s="366"/>
    </row>
    <row r="198" spans="2:59" x14ac:dyDescent="0.25">
      <c r="B198" s="67" t="str">
        <f>IF(Capacity!B91="","",Capacity!B91)</f>
        <v/>
      </c>
      <c r="C198" s="221" t="str">
        <f>IF(B198="","",Capacity!E91)</f>
        <v/>
      </c>
      <c r="D198" s="311" t="str">
        <f>IF(B198="","",Capacity!F91)</f>
        <v/>
      </c>
      <c r="E198" s="221" t="str">
        <f>IF(B198="","",IF(COUNTBLANK(H198:BG198)=52,SUM('Capacity calculation (hide)'!H79:BG79),52-COUNTBLANK(H198:BG198)))</f>
        <v/>
      </c>
      <c r="F198" s="312" t="str">
        <f>'Capacity calculation (hide)'!BI79</f>
        <v/>
      </c>
      <c r="H198" s="366"/>
      <c r="I198" s="366"/>
      <c r="J198" s="366"/>
      <c r="K198" s="366"/>
      <c r="L198" s="366"/>
      <c r="M198" s="366"/>
      <c r="N198" s="366"/>
      <c r="O198" s="366"/>
      <c r="P198" s="366"/>
      <c r="Q198" s="366"/>
      <c r="R198" s="366"/>
      <c r="S198" s="366"/>
      <c r="T198" s="366"/>
      <c r="U198" s="366"/>
      <c r="V198" s="366"/>
      <c r="W198" s="366"/>
      <c r="X198" s="366"/>
      <c r="Y198" s="366"/>
      <c r="Z198" s="366"/>
      <c r="AA198" s="366"/>
      <c r="AB198" s="366"/>
      <c r="AC198" s="366"/>
      <c r="AD198" s="366"/>
      <c r="AE198" s="366"/>
      <c r="AF198" s="366"/>
      <c r="AG198" s="366"/>
      <c r="AH198" s="366"/>
      <c r="AI198" s="366"/>
      <c r="AJ198" s="366"/>
      <c r="AK198" s="366"/>
      <c r="AL198" s="366"/>
      <c r="AM198" s="366"/>
      <c r="AN198" s="366"/>
      <c r="AO198" s="366"/>
      <c r="AP198" s="366"/>
      <c r="AQ198" s="366"/>
      <c r="AR198" s="366"/>
      <c r="AS198" s="366"/>
      <c r="AT198" s="366"/>
      <c r="AU198" s="366"/>
      <c r="AV198" s="366"/>
      <c r="AW198" s="366"/>
      <c r="AX198" s="366"/>
      <c r="AY198" s="366"/>
      <c r="AZ198" s="366"/>
      <c r="BA198" s="366"/>
      <c r="BB198" s="366"/>
      <c r="BC198" s="366"/>
      <c r="BD198" s="366"/>
      <c r="BE198" s="366"/>
      <c r="BF198" s="366"/>
      <c r="BG198" s="366"/>
    </row>
    <row r="199" spans="2:59" x14ac:dyDescent="0.25">
      <c r="B199" s="67" t="str">
        <f>IF(Capacity!B92="","",Capacity!B92)</f>
        <v/>
      </c>
      <c r="C199" s="221" t="str">
        <f>IF(B199="","",Capacity!E92)</f>
        <v/>
      </c>
      <c r="D199" s="311" t="str">
        <f>IF(B199="","",Capacity!F92)</f>
        <v/>
      </c>
      <c r="E199" s="221" t="str">
        <f>IF(B199="","",IF(COUNTBLANK(H199:BG199)=52,SUM('Capacity calculation (hide)'!H80:BG80),52-COUNTBLANK(H199:BG199)))</f>
        <v/>
      </c>
      <c r="F199" s="312" t="str">
        <f>'Capacity calculation (hide)'!BI80</f>
        <v/>
      </c>
      <c r="H199" s="366"/>
      <c r="I199" s="366"/>
      <c r="J199" s="366"/>
      <c r="K199" s="366"/>
      <c r="L199" s="366"/>
      <c r="M199" s="366"/>
      <c r="N199" s="366"/>
      <c r="O199" s="366"/>
      <c r="P199" s="366"/>
      <c r="Q199" s="366"/>
      <c r="R199" s="366"/>
      <c r="S199" s="366"/>
      <c r="T199" s="366"/>
      <c r="U199" s="366"/>
      <c r="V199" s="366"/>
      <c r="W199" s="366"/>
      <c r="X199" s="366"/>
      <c r="Y199" s="366"/>
      <c r="Z199" s="366"/>
      <c r="AA199" s="366"/>
      <c r="AB199" s="366"/>
      <c r="AC199" s="366"/>
      <c r="AD199" s="366"/>
      <c r="AE199" s="366"/>
      <c r="AF199" s="366"/>
      <c r="AG199" s="366"/>
      <c r="AH199" s="366"/>
      <c r="AI199" s="366"/>
      <c r="AJ199" s="366"/>
      <c r="AK199" s="366"/>
      <c r="AL199" s="366"/>
      <c r="AM199" s="366"/>
      <c r="AN199" s="366"/>
      <c r="AO199" s="366"/>
      <c r="AP199" s="366"/>
      <c r="AQ199" s="366"/>
      <c r="AR199" s="366"/>
      <c r="AS199" s="366"/>
      <c r="AT199" s="366"/>
      <c r="AU199" s="366"/>
      <c r="AV199" s="366"/>
      <c r="AW199" s="366"/>
      <c r="AX199" s="366"/>
      <c r="AY199" s="366"/>
      <c r="AZ199" s="366"/>
      <c r="BA199" s="366"/>
      <c r="BB199" s="366"/>
      <c r="BC199" s="366"/>
      <c r="BD199" s="366"/>
      <c r="BE199" s="366"/>
      <c r="BF199" s="366"/>
      <c r="BG199" s="366"/>
    </row>
    <row r="200" spans="2:59" x14ac:dyDescent="0.25">
      <c r="B200" s="67" t="str">
        <f>IF(Capacity!B93="","",Capacity!B93)</f>
        <v/>
      </c>
      <c r="C200" s="221" t="str">
        <f>IF(B200="","",Capacity!E93)</f>
        <v/>
      </c>
      <c r="D200" s="311" t="str">
        <f>IF(B200="","",Capacity!F93)</f>
        <v/>
      </c>
      <c r="E200" s="221" t="str">
        <f>IF(B200="","",IF(COUNTBLANK(H200:BG200)=52,SUM('Capacity calculation (hide)'!H81:BG81),52-COUNTBLANK(H200:BG200)))</f>
        <v/>
      </c>
      <c r="F200" s="312" t="str">
        <f>'Capacity calculation (hide)'!BI81</f>
        <v/>
      </c>
      <c r="H200" s="366"/>
      <c r="I200" s="366"/>
      <c r="J200" s="366"/>
      <c r="K200" s="366"/>
      <c r="L200" s="366"/>
      <c r="M200" s="366"/>
      <c r="N200" s="366"/>
      <c r="O200" s="366"/>
      <c r="P200" s="366"/>
      <c r="Q200" s="366"/>
      <c r="R200" s="366"/>
      <c r="S200" s="366"/>
      <c r="T200" s="366"/>
      <c r="U200" s="366"/>
      <c r="V200" s="366"/>
      <c r="W200" s="366"/>
      <c r="X200" s="366"/>
      <c r="Y200" s="366"/>
      <c r="Z200" s="366"/>
      <c r="AA200" s="366"/>
      <c r="AB200" s="366"/>
      <c r="AC200" s="366"/>
      <c r="AD200" s="366"/>
      <c r="AE200" s="366"/>
      <c r="AF200" s="366"/>
      <c r="AG200" s="366"/>
      <c r="AH200" s="366"/>
      <c r="AI200" s="366"/>
      <c r="AJ200" s="366"/>
      <c r="AK200" s="366"/>
      <c r="AL200" s="366"/>
      <c r="AM200" s="366"/>
      <c r="AN200" s="366"/>
      <c r="AO200" s="366"/>
      <c r="AP200" s="366"/>
      <c r="AQ200" s="366"/>
      <c r="AR200" s="366"/>
      <c r="AS200" s="366"/>
      <c r="AT200" s="366"/>
      <c r="AU200" s="366"/>
      <c r="AV200" s="366"/>
      <c r="AW200" s="366"/>
      <c r="AX200" s="366"/>
      <c r="AY200" s="366"/>
      <c r="AZ200" s="366"/>
      <c r="BA200" s="366"/>
      <c r="BB200" s="366"/>
      <c r="BC200" s="366"/>
      <c r="BD200" s="366"/>
      <c r="BE200" s="366"/>
      <c r="BF200" s="366"/>
      <c r="BG200" s="366"/>
    </row>
    <row r="201" spans="2:59" x14ac:dyDescent="0.25">
      <c r="B201" s="67" t="str">
        <f>IF(Capacity!B94="","",Capacity!B94)</f>
        <v/>
      </c>
      <c r="C201" s="221" t="str">
        <f>IF(B201="","",Capacity!E94)</f>
        <v/>
      </c>
      <c r="D201" s="311" t="str">
        <f>IF(B201="","",Capacity!F94)</f>
        <v/>
      </c>
      <c r="E201" s="221" t="str">
        <f>IF(B201="","",IF(COUNTBLANK(H201:BG201)=52,SUM('Capacity calculation (hide)'!H82:BG82),52-COUNTBLANK(H201:BG201)))</f>
        <v/>
      </c>
      <c r="F201" s="312" t="str">
        <f>'Capacity calculation (hide)'!BI82</f>
        <v/>
      </c>
      <c r="H201" s="366"/>
      <c r="I201" s="366"/>
      <c r="J201" s="366"/>
      <c r="K201" s="366"/>
      <c r="L201" s="366"/>
      <c r="M201" s="366"/>
      <c r="N201" s="366"/>
      <c r="O201" s="366"/>
      <c r="P201" s="366"/>
      <c r="Q201" s="366"/>
      <c r="R201" s="366"/>
      <c r="S201" s="366"/>
      <c r="T201" s="366"/>
      <c r="U201" s="366"/>
      <c r="V201" s="366"/>
      <c r="W201" s="366"/>
      <c r="X201" s="366"/>
      <c r="Y201" s="366"/>
      <c r="Z201" s="366"/>
      <c r="AA201" s="366"/>
      <c r="AB201" s="366"/>
      <c r="AC201" s="366"/>
      <c r="AD201" s="366"/>
      <c r="AE201" s="366"/>
      <c r="AF201" s="366"/>
      <c r="AG201" s="366"/>
      <c r="AH201" s="366"/>
      <c r="AI201" s="366"/>
      <c r="AJ201" s="366"/>
      <c r="AK201" s="366"/>
      <c r="AL201" s="366"/>
      <c r="AM201" s="366"/>
      <c r="AN201" s="366"/>
      <c r="AO201" s="366"/>
      <c r="AP201" s="366"/>
      <c r="AQ201" s="366"/>
      <c r="AR201" s="366"/>
      <c r="AS201" s="366"/>
      <c r="AT201" s="366"/>
      <c r="AU201" s="366"/>
      <c r="AV201" s="366"/>
      <c r="AW201" s="366"/>
      <c r="AX201" s="366"/>
      <c r="AY201" s="366"/>
      <c r="AZ201" s="366"/>
      <c r="BA201" s="366"/>
      <c r="BB201" s="366"/>
      <c r="BC201" s="366"/>
      <c r="BD201" s="366"/>
      <c r="BE201" s="366"/>
      <c r="BF201" s="366"/>
      <c r="BG201" s="366"/>
    </row>
    <row r="202" spans="2:59" x14ac:dyDescent="0.25">
      <c r="B202" s="67" t="str">
        <f>IF(Capacity!B95="","",Capacity!B95)</f>
        <v/>
      </c>
      <c r="C202" s="221" t="str">
        <f>IF(B202="","",Capacity!E95)</f>
        <v/>
      </c>
      <c r="D202" s="311" t="str">
        <f>IF(B202="","",Capacity!F95)</f>
        <v/>
      </c>
      <c r="E202" s="221" t="str">
        <f>IF(B202="","",IF(COUNTBLANK(H202:BG202)=52,SUM('Capacity calculation (hide)'!H83:BG83),52-COUNTBLANK(H202:BG202)))</f>
        <v/>
      </c>
      <c r="F202" s="312" t="str">
        <f>'Capacity calculation (hide)'!BI83</f>
        <v/>
      </c>
      <c r="H202" s="366"/>
      <c r="I202" s="366"/>
      <c r="J202" s="366"/>
      <c r="K202" s="366"/>
      <c r="L202" s="366"/>
      <c r="M202" s="366"/>
      <c r="N202" s="366"/>
      <c r="O202" s="366"/>
      <c r="P202" s="366"/>
      <c r="Q202" s="366"/>
      <c r="R202" s="366"/>
      <c r="S202" s="366"/>
      <c r="T202" s="366"/>
      <c r="U202" s="366"/>
      <c r="V202" s="366"/>
      <c r="W202" s="366"/>
      <c r="X202" s="366"/>
      <c r="Y202" s="366"/>
      <c r="Z202" s="366"/>
      <c r="AA202" s="366"/>
      <c r="AB202" s="366"/>
      <c r="AC202" s="366"/>
      <c r="AD202" s="366"/>
      <c r="AE202" s="366"/>
      <c r="AF202" s="366"/>
      <c r="AG202" s="366"/>
      <c r="AH202" s="366"/>
      <c r="AI202" s="366"/>
      <c r="AJ202" s="366"/>
      <c r="AK202" s="366"/>
      <c r="AL202" s="366"/>
      <c r="AM202" s="366"/>
      <c r="AN202" s="366"/>
      <c r="AO202" s="366"/>
      <c r="AP202" s="366"/>
      <c r="AQ202" s="366"/>
      <c r="AR202" s="366"/>
      <c r="AS202" s="366"/>
      <c r="AT202" s="366"/>
      <c r="AU202" s="366"/>
      <c r="AV202" s="366"/>
      <c r="AW202" s="366"/>
      <c r="AX202" s="366"/>
      <c r="AY202" s="366"/>
      <c r="AZ202" s="366"/>
      <c r="BA202" s="366"/>
      <c r="BB202" s="366"/>
      <c r="BC202" s="366"/>
      <c r="BD202" s="366"/>
      <c r="BE202" s="366"/>
      <c r="BF202" s="366"/>
      <c r="BG202" s="366"/>
    </row>
    <row r="203" spans="2:59" x14ac:dyDescent="0.25">
      <c r="B203" s="67" t="str">
        <f>IF(Capacity!B96="","",Capacity!B96)</f>
        <v/>
      </c>
      <c r="C203" s="221" t="str">
        <f>IF(B203="","",Capacity!E96)</f>
        <v/>
      </c>
      <c r="D203" s="311" t="str">
        <f>IF(B203="","",Capacity!F96)</f>
        <v/>
      </c>
      <c r="E203" s="221" t="str">
        <f>IF(B203="","",IF(COUNTBLANK(H203:BG203)=52,SUM('Capacity calculation (hide)'!H84:BG84),52-COUNTBLANK(H203:BG203)))</f>
        <v/>
      </c>
      <c r="F203" s="312" t="str">
        <f>'Capacity calculation (hide)'!BI84</f>
        <v/>
      </c>
      <c r="H203" s="366"/>
      <c r="I203" s="366"/>
      <c r="J203" s="366"/>
      <c r="K203" s="366"/>
      <c r="L203" s="366"/>
      <c r="M203" s="366"/>
      <c r="N203" s="366"/>
      <c r="O203" s="366"/>
      <c r="P203" s="366"/>
      <c r="Q203" s="366"/>
      <c r="R203" s="366"/>
      <c r="S203" s="366"/>
      <c r="T203" s="366"/>
      <c r="U203" s="366"/>
      <c r="V203" s="366"/>
      <c r="W203" s="366"/>
      <c r="X203" s="366"/>
      <c r="Y203" s="366"/>
      <c r="Z203" s="366"/>
      <c r="AA203" s="366"/>
      <c r="AB203" s="366"/>
      <c r="AC203" s="366"/>
      <c r="AD203" s="366"/>
      <c r="AE203" s="366"/>
      <c r="AF203" s="366"/>
      <c r="AG203" s="366"/>
      <c r="AH203" s="366"/>
      <c r="AI203" s="366"/>
      <c r="AJ203" s="366"/>
      <c r="AK203" s="366"/>
      <c r="AL203" s="366"/>
      <c r="AM203" s="366"/>
      <c r="AN203" s="366"/>
      <c r="AO203" s="366"/>
      <c r="AP203" s="366"/>
      <c r="AQ203" s="366"/>
      <c r="AR203" s="366"/>
      <c r="AS203" s="366"/>
      <c r="AT203" s="366"/>
      <c r="AU203" s="366"/>
      <c r="AV203" s="366"/>
      <c r="AW203" s="366"/>
      <c r="AX203" s="366"/>
      <c r="AY203" s="366"/>
      <c r="AZ203" s="366"/>
      <c r="BA203" s="366"/>
      <c r="BB203" s="366"/>
      <c r="BC203" s="366"/>
      <c r="BD203" s="366"/>
      <c r="BE203" s="366"/>
      <c r="BF203" s="366"/>
      <c r="BG203" s="366"/>
    </row>
    <row r="204" spans="2:59" x14ac:dyDescent="0.25">
      <c r="B204" s="67" t="str">
        <f>IF(Capacity!B97="","",Capacity!B97)</f>
        <v/>
      </c>
      <c r="C204" s="221" t="str">
        <f>IF(B204="","",Capacity!E97)</f>
        <v/>
      </c>
      <c r="D204" s="311" t="str">
        <f>IF(B204="","",Capacity!F97)</f>
        <v/>
      </c>
      <c r="E204" s="221" t="str">
        <f>IF(B204="","",IF(COUNTBLANK(H204:BG204)=52,SUM('Capacity calculation (hide)'!H85:BG85),52-COUNTBLANK(H204:BG204)))</f>
        <v/>
      </c>
      <c r="F204" s="312" t="str">
        <f>'Capacity calculation (hide)'!BI85</f>
        <v/>
      </c>
      <c r="H204" s="366"/>
      <c r="I204" s="366"/>
      <c r="J204" s="366"/>
      <c r="K204" s="366"/>
      <c r="L204" s="366"/>
      <c r="M204" s="366"/>
      <c r="N204" s="366"/>
      <c r="O204" s="366"/>
      <c r="P204" s="366"/>
      <c r="Q204" s="366"/>
      <c r="R204" s="366"/>
      <c r="S204" s="366"/>
      <c r="T204" s="366"/>
      <c r="U204" s="366"/>
      <c r="V204" s="366"/>
      <c r="W204" s="366"/>
      <c r="X204" s="366"/>
      <c r="Y204" s="366"/>
      <c r="Z204" s="366"/>
      <c r="AA204" s="366"/>
      <c r="AB204" s="366"/>
      <c r="AC204" s="366"/>
      <c r="AD204" s="366"/>
      <c r="AE204" s="366"/>
      <c r="AF204" s="366"/>
      <c r="AG204" s="366"/>
      <c r="AH204" s="366"/>
      <c r="AI204" s="366"/>
      <c r="AJ204" s="366"/>
      <c r="AK204" s="366"/>
      <c r="AL204" s="366"/>
      <c r="AM204" s="366"/>
      <c r="AN204" s="366"/>
      <c r="AO204" s="366"/>
      <c r="AP204" s="366"/>
      <c r="AQ204" s="366"/>
      <c r="AR204" s="366"/>
      <c r="AS204" s="366"/>
      <c r="AT204" s="366"/>
      <c r="AU204" s="366"/>
      <c r="AV204" s="366"/>
      <c r="AW204" s="366"/>
      <c r="AX204" s="366"/>
      <c r="AY204" s="366"/>
      <c r="AZ204" s="366"/>
      <c r="BA204" s="366"/>
      <c r="BB204" s="366"/>
      <c r="BC204" s="366"/>
      <c r="BD204" s="366"/>
      <c r="BE204" s="366"/>
      <c r="BF204" s="366"/>
      <c r="BG204" s="366"/>
    </row>
    <row r="205" spans="2:59" x14ac:dyDescent="0.25">
      <c r="B205" s="67" t="str">
        <f>IF(Capacity!B98="","",Capacity!B98)</f>
        <v/>
      </c>
      <c r="C205" s="221" t="str">
        <f>IF(B205="","",Capacity!E98)</f>
        <v/>
      </c>
      <c r="D205" s="311" t="str">
        <f>IF(B205="","",Capacity!F98)</f>
        <v/>
      </c>
      <c r="E205" s="221" t="str">
        <f>IF(B205="","",IF(COUNTBLANK(H205:BG205)=52,SUM('Capacity calculation (hide)'!H86:BG86),52-COUNTBLANK(H205:BG205)))</f>
        <v/>
      </c>
      <c r="F205" s="312" t="str">
        <f>'Capacity calculation (hide)'!BI86</f>
        <v/>
      </c>
      <c r="H205" s="366"/>
      <c r="I205" s="366"/>
      <c r="J205" s="366"/>
      <c r="K205" s="366"/>
      <c r="L205" s="366"/>
      <c r="M205" s="366"/>
      <c r="N205" s="366"/>
      <c r="O205" s="366"/>
      <c r="P205" s="366"/>
      <c r="Q205" s="366"/>
      <c r="R205" s="366"/>
      <c r="S205" s="366"/>
      <c r="T205" s="366"/>
      <c r="U205" s="366"/>
      <c r="V205" s="366"/>
      <c r="W205" s="366"/>
      <c r="X205" s="366"/>
      <c r="Y205" s="366"/>
      <c r="Z205" s="366"/>
      <c r="AA205" s="366"/>
      <c r="AB205" s="366"/>
      <c r="AC205" s="366"/>
      <c r="AD205" s="366"/>
      <c r="AE205" s="366"/>
      <c r="AF205" s="366"/>
      <c r="AG205" s="366"/>
      <c r="AH205" s="366"/>
      <c r="AI205" s="366"/>
      <c r="AJ205" s="366"/>
      <c r="AK205" s="366"/>
      <c r="AL205" s="366"/>
      <c r="AM205" s="366"/>
      <c r="AN205" s="366"/>
      <c r="AO205" s="366"/>
      <c r="AP205" s="366"/>
      <c r="AQ205" s="366"/>
      <c r="AR205" s="366"/>
      <c r="AS205" s="366"/>
      <c r="AT205" s="366"/>
      <c r="AU205" s="366"/>
      <c r="AV205" s="366"/>
      <c r="AW205" s="366"/>
      <c r="AX205" s="366"/>
      <c r="AY205" s="366"/>
      <c r="AZ205" s="366"/>
      <c r="BA205" s="366"/>
      <c r="BB205" s="366"/>
      <c r="BC205" s="366"/>
      <c r="BD205" s="366"/>
      <c r="BE205" s="366"/>
      <c r="BF205" s="366"/>
      <c r="BG205" s="366"/>
    </row>
    <row r="206" spans="2:59" x14ac:dyDescent="0.25">
      <c r="B206" s="67" t="str">
        <f>IF(Capacity!B99="","",Capacity!B99)</f>
        <v/>
      </c>
      <c r="C206" s="221" t="str">
        <f>IF(B206="","",Capacity!E99)</f>
        <v/>
      </c>
      <c r="D206" s="311" t="str">
        <f>IF(B206="","",Capacity!F99)</f>
        <v/>
      </c>
      <c r="E206" s="221" t="str">
        <f>IF(B206="","",IF(COUNTBLANK(H206:BG206)=52,SUM('Capacity calculation (hide)'!H87:BG87),52-COUNTBLANK(H206:BG206)))</f>
        <v/>
      </c>
      <c r="F206" s="312" t="str">
        <f>'Capacity calculation (hide)'!BI87</f>
        <v/>
      </c>
      <c r="H206" s="366"/>
      <c r="I206" s="366"/>
      <c r="J206" s="366"/>
      <c r="K206" s="366"/>
      <c r="L206" s="366"/>
      <c r="M206" s="366"/>
      <c r="N206" s="366"/>
      <c r="O206" s="366"/>
      <c r="P206" s="366"/>
      <c r="Q206" s="366"/>
      <c r="R206" s="366"/>
      <c r="S206" s="366"/>
      <c r="T206" s="366"/>
      <c r="U206" s="366"/>
      <c r="V206" s="366"/>
      <c r="W206" s="366"/>
      <c r="X206" s="366"/>
      <c r="Y206" s="366"/>
      <c r="Z206" s="366"/>
      <c r="AA206" s="366"/>
      <c r="AB206" s="366"/>
      <c r="AC206" s="366"/>
      <c r="AD206" s="366"/>
      <c r="AE206" s="366"/>
      <c r="AF206" s="366"/>
      <c r="AG206" s="366"/>
      <c r="AH206" s="366"/>
      <c r="AI206" s="366"/>
      <c r="AJ206" s="366"/>
      <c r="AK206" s="366"/>
      <c r="AL206" s="366"/>
      <c r="AM206" s="366"/>
      <c r="AN206" s="366"/>
      <c r="AO206" s="366"/>
      <c r="AP206" s="366"/>
      <c r="AQ206" s="366"/>
      <c r="AR206" s="366"/>
      <c r="AS206" s="366"/>
      <c r="AT206" s="366"/>
      <c r="AU206" s="366"/>
      <c r="AV206" s="366"/>
      <c r="AW206" s="366"/>
      <c r="AX206" s="366"/>
      <c r="AY206" s="366"/>
      <c r="AZ206" s="366"/>
      <c r="BA206" s="366"/>
      <c r="BB206" s="366"/>
      <c r="BC206" s="366"/>
      <c r="BD206" s="366"/>
      <c r="BE206" s="366"/>
      <c r="BF206" s="366"/>
      <c r="BG206" s="366"/>
    </row>
    <row r="207" spans="2:59" x14ac:dyDescent="0.25">
      <c r="B207" s="67" t="str">
        <f>IF(Capacity!B100="","",Capacity!B100)</f>
        <v/>
      </c>
      <c r="C207" s="221" t="str">
        <f>IF(B207="","",Capacity!E100)</f>
        <v/>
      </c>
      <c r="D207" s="311" t="str">
        <f>IF(B207="","",Capacity!F100)</f>
        <v/>
      </c>
      <c r="E207" s="221" t="str">
        <f>IF(B207="","",IF(COUNTBLANK(H207:BG207)=52,SUM('Capacity calculation (hide)'!H88:BG88),52-COUNTBLANK(H207:BG207)))</f>
        <v/>
      </c>
      <c r="F207" s="312" t="str">
        <f>'Capacity calculation (hide)'!BI88</f>
        <v/>
      </c>
      <c r="H207" s="366"/>
      <c r="I207" s="366"/>
      <c r="J207" s="366"/>
      <c r="K207" s="366"/>
      <c r="L207" s="366"/>
      <c r="M207" s="366"/>
      <c r="N207" s="366"/>
      <c r="O207" s="366"/>
      <c r="P207" s="366"/>
      <c r="Q207" s="366"/>
      <c r="R207" s="366"/>
      <c r="S207" s="366"/>
      <c r="T207" s="366"/>
      <c r="U207" s="366"/>
      <c r="V207" s="366"/>
      <c r="W207" s="366"/>
      <c r="X207" s="366"/>
      <c r="Y207" s="366"/>
      <c r="Z207" s="366"/>
      <c r="AA207" s="366"/>
      <c r="AB207" s="366"/>
      <c r="AC207" s="366"/>
      <c r="AD207" s="366"/>
      <c r="AE207" s="366"/>
      <c r="AF207" s="366"/>
      <c r="AG207" s="366"/>
      <c r="AH207" s="366"/>
      <c r="AI207" s="366"/>
      <c r="AJ207" s="366"/>
      <c r="AK207" s="366"/>
      <c r="AL207" s="366"/>
      <c r="AM207" s="366"/>
      <c r="AN207" s="366"/>
      <c r="AO207" s="366"/>
      <c r="AP207" s="366"/>
      <c r="AQ207" s="366"/>
      <c r="AR207" s="366"/>
      <c r="AS207" s="366"/>
      <c r="AT207" s="366"/>
      <c r="AU207" s="366"/>
      <c r="AV207" s="366"/>
      <c r="AW207" s="366"/>
      <c r="AX207" s="366"/>
      <c r="AY207" s="366"/>
      <c r="AZ207" s="366"/>
      <c r="BA207" s="366"/>
      <c r="BB207" s="366"/>
      <c r="BC207" s="366"/>
      <c r="BD207" s="366"/>
      <c r="BE207" s="366"/>
      <c r="BF207" s="366"/>
      <c r="BG207" s="366"/>
    </row>
    <row r="208" spans="2:59" x14ac:dyDescent="0.25">
      <c r="B208" s="67" t="str">
        <f>IF(Capacity!B101="","",Capacity!B101)</f>
        <v/>
      </c>
      <c r="C208" s="221" t="str">
        <f>IF(B208="","",Capacity!E101)</f>
        <v/>
      </c>
      <c r="D208" s="311" t="str">
        <f>IF(B208="","",Capacity!F101)</f>
        <v/>
      </c>
      <c r="E208" s="221" t="str">
        <f>IF(B208="","",IF(COUNTBLANK(H208:BG208)=52,SUM('Capacity calculation (hide)'!H89:BG89),52-COUNTBLANK(H208:BG208)))</f>
        <v/>
      </c>
      <c r="F208" s="312" t="str">
        <f>'Capacity calculation (hide)'!BI89</f>
        <v/>
      </c>
      <c r="H208" s="366"/>
      <c r="I208" s="366"/>
      <c r="J208" s="366"/>
      <c r="K208" s="366"/>
      <c r="L208" s="366"/>
      <c r="M208" s="366"/>
      <c r="N208" s="366"/>
      <c r="O208" s="366"/>
      <c r="P208" s="366"/>
      <c r="Q208" s="366"/>
      <c r="R208" s="366"/>
      <c r="S208" s="366"/>
      <c r="T208" s="366"/>
      <c r="U208" s="366"/>
      <c r="V208" s="366"/>
      <c r="W208" s="366"/>
      <c r="X208" s="366"/>
      <c r="Y208" s="366"/>
      <c r="Z208" s="366"/>
      <c r="AA208" s="366"/>
      <c r="AB208" s="366"/>
      <c r="AC208" s="366"/>
      <c r="AD208" s="366"/>
      <c r="AE208" s="366"/>
      <c r="AF208" s="366"/>
      <c r="AG208" s="366"/>
      <c r="AH208" s="366"/>
      <c r="AI208" s="366"/>
      <c r="AJ208" s="366"/>
      <c r="AK208" s="366"/>
      <c r="AL208" s="366"/>
      <c r="AM208" s="366"/>
      <c r="AN208" s="366"/>
      <c r="AO208" s="366"/>
      <c r="AP208" s="366"/>
      <c r="AQ208" s="366"/>
      <c r="AR208" s="366"/>
      <c r="AS208" s="366"/>
      <c r="AT208" s="366"/>
      <c r="AU208" s="366"/>
      <c r="AV208" s="366"/>
      <c r="AW208" s="366"/>
      <c r="AX208" s="366"/>
      <c r="AY208" s="366"/>
      <c r="AZ208" s="366"/>
      <c r="BA208" s="366"/>
      <c r="BB208" s="366"/>
      <c r="BC208" s="366"/>
      <c r="BD208" s="366"/>
      <c r="BE208" s="366"/>
      <c r="BF208" s="366"/>
      <c r="BG208" s="366"/>
    </row>
    <row r="209" spans="2:59" x14ac:dyDescent="0.25">
      <c r="B209" s="67" t="str">
        <f>IF(Capacity!B102="","",Capacity!B102)</f>
        <v/>
      </c>
      <c r="C209" s="221" t="str">
        <f>IF(B209="","",Capacity!E102)</f>
        <v/>
      </c>
      <c r="D209" s="311" t="str">
        <f>IF(B209="","",Capacity!F102)</f>
        <v/>
      </c>
      <c r="E209" s="221" t="str">
        <f>IF(B209="","",IF(COUNTBLANK(H209:BG209)=52,SUM('Capacity calculation (hide)'!H90:BG90),52-COUNTBLANK(H209:BG209)))</f>
        <v/>
      </c>
      <c r="F209" s="312" t="str">
        <f>'Capacity calculation (hide)'!BI90</f>
        <v/>
      </c>
      <c r="H209" s="366"/>
      <c r="I209" s="366"/>
      <c r="J209" s="366"/>
      <c r="K209" s="366"/>
      <c r="L209" s="366"/>
      <c r="M209" s="366"/>
      <c r="N209" s="366"/>
      <c r="O209" s="366"/>
      <c r="P209" s="366"/>
      <c r="Q209" s="366"/>
      <c r="R209" s="366"/>
      <c r="S209" s="366"/>
      <c r="T209" s="366"/>
      <c r="U209" s="366"/>
      <c r="V209" s="366"/>
      <c r="W209" s="366"/>
      <c r="X209" s="366"/>
      <c r="Y209" s="366"/>
      <c r="Z209" s="366"/>
      <c r="AA209" s="366"/>
      <c r="AB209" s="366"/>
      <c r="AC209" s="366"/>
      <c r="AD209" s="366"/>
      <c r="AE209" s="366"/>
      <c r="AF209" s="366"/>
      <c r="AG209" s="366"/>
      <c r="AH209" s="366"/>
      <c r="AI209" s="366"/>
      <c r="AJ209" s="366"/>
      <c r="AK209" s="366"/>
      <c r="AL209" s="366"/>
      <c r="AM209" s="366"/>
      <c r="AN209" s="366"/>
      <c r="AO209" s="366"/>
      <c r="AP209" s="366"/>
      <c r="AQ209" s="366"/>
      <c r="AR209" s="366"/>
      <c r="AS209" s="366"/>
      <c r="AT209" s="366"/>
      <c r="AU209" s="366"/>
      <c r="AV209" s="366"/>
      <c r="AW209" s="366"/>
      <c r="AX209" s="366"/>
      <c r="AY209" s="366"/>
      <c r="AZ209" s="366"/>
      <c r="BA209" s="366"/>
      <c r="BB209" s="366"/>
      <c r="BC209" s="366"/>
      <c r="BD209" s="366"/>
      <c r="BE209" s="366"/>
      <c r="BF209" s="366"/>
      <c r="BG209" s="366"/>
    </row>
    <row r="210" spans="2:59" x14ac:dyDescent="0.25">
      <c r="B210" s="67" t="str">
        <f>IF(Capacity!B103="","",Capacity!B103)</f>
        <v/>
      </c>
      <c r="C210" s="221" t="str">
        <f>IF(B210="","",Capacity!E103)</f>
        <v/>
      </c>
      <c r="D210" s="311" t="str">
        <f>IF(B210="","",Capacity!F103)</f>
        <v/>
      </c>
      <c r="E210" s="221" t="str">
        <f>IF(B210="","",IF(COUNTBLANK(H210:BG210)=52,SUM('Capacity calculation (hide)'!H91:BG91),52-COUNTBLANK(H210:BG210)))</f>
        <v/>
      </c>
      <c r="F210" s="312" t="str">
        <f>'Capacity calculation (hide)'!BI91</f>
        <v/>
      </c>
      <c r="H210" s="366"/>
      <c r="I210" s="366"/>
      <c r="J210" s="366"/>
      <c r="K210" s="366"/>
      <c r="L210" s="366"/>
      <c r="M210" s="366"/>
      <c r="N210" s="366"/>
      <c r="O210" s="366"/>
      <c r="P210" s="366"/>
      <c r="Q210" s="366"/>
      <c r="R210" s="366"/>
      <c r="S210" s="366"/>
      <c r="T210" s="366"/>
      <c r="U210" s="366"/>
      <c r="V210" s="366"/>
      <c r="W210" s="366"/>
      <c r="X210" s="366"/>
      <c r="Y210" s="366"/>
      <c r="Z210" s="366"/>
      <c r="AA210" s="366"/>
      <c r="AB210" s="366"/>
      <c r="AC210" s="366"/>
      <c r="AD210" s="366"/>
      <c r="AE210" s="366"/>
      <c r="AF210" s="366"/>
      <c r="AG210" s="366"/>
      <c r="AH210" s="366"/>
      <c r="AI210" s="366"/>
      <c r="AJ210" s="366"/>
      <c r="AK210" s="366"/>
      <c r="AL210" s="366"/>
      <c r="AM210" s="366"/>
      <c r="AN210" s="366"/>
      <c r="AO210" s="366"/>
      <c r="AP210" s="366"/>
      <c r="AQ210" s="366"/>
      <c r="AR210" s="366"/>
      <c r="AS210" s="366"/>
      <c r="AT210" s="366"/>
      <c r="AU210" s="366"/>
      <c r="AV210" s="366"/>
      <c r="AW210" s="366"/>
      <c r="AX210" s="366"/>
      <c r="AY210" s="366"/>
      <c r="AZ210" s="366"/>
      <c r="BA210" s="366"/>
      <c r="BB210" s="366"/>
      <c r="BC210" s="366"/>
      <c r="BD210" s="366"/>
      <c r="BE210" s="366"/>
      <c r="BF210" s="366"/>
      <c r="BG210" s="366"/>
    </row>
    <row r="211" spans="2:59" x14ac:dyDescent="0.25">
      <c r="B211" s="67" t="str">
        <f>IF(Capacity!B104="","",Capacity!B104)</f>
        <v/>
      </c>
      <c r="C211" s="221" t="str">
        <f>IF(B211="","",Capacity!E104)</f>
        <v/>
      </c>
      <c r="D211" s="311" t="str">
        <f>IF(B211="","",Capacity!F104)</f>
        <v/>
      </c>
      <c r="E211" s="221" t="str">
        <f>IF(B211="","",IF(COUNTBLANK(H211:BG211)=52,SUM('Capacity calculation (hide)'!H92:BG92),52-COUNTBLANK(H211:BG211)))</f>
        <v/>
      </c>
      <c r="F211" s="312" t="str">
        <f>'Capacity calculation (hide)'!BI92</f>
        <v/>
      </c>
      <c r="H211" s="366"/>
      <c r="I211" s="366"/>
      <c r="J211" s="366"/>
      <c r="K211" s="366"/>
      <c r="L211" s="366"/>
      <c r="M211" s="366"/>
      <c r="N211" s="366"/>
      <c r="O211" s="366"/>
      <c r="P211" s="366"/>
      <c r="Q211" s="366"/>
      <c r="R211" s="366"/>
      <c r="S211" s="366"/>
      <c r="T211" s="366"/>
      <c r="U211" s="366"/>
      <c r="V211" s="366"/>
      <c r="W211" s="366"/>
      <c r="X211" s="366"/>
      <c r="Y211" s="366"/>
      <c r="Z211" s="366"/>
      <c r="AA211" s="366"/>
      <c r="AB211" s="366"/>
      <c r="AC211" s="366"/>
      <c r="AD211" s="366"/>
      <c r="AE211" s="366"/>
      <c r="AF211" s="366"/>
      <c r="AG211" s="366"/>
      <c r="AH211" s="366"/>
      <c r="AI211" s="366"/>
      <c r="AJ211" s="366"/>
      <c r="AK211" s="366"/>
      <c r="AL211" s="366"/>
      <c r="AM211" s="366"/>
      <c r="AN211" s="366"/>
      <c r="AO211" s="366"/>
      <c r="AP211" s="366"/>
      <c r="AQ211" s="366"/>
      <c r="AR211" s="366"/>
      <c r="AS211" s="366"/>
      <c r="AT211" s="366"/>
      <c r="AU211" s="366"/>
      <c r="AV211" s="366"/>
      <c r="AW211" s="366"/>
      <c r="AX211" s="366"/>
      <c r="AY211" s="366"/>
      <c r="AZ211" s="366"/>
      <c r="BA211" s="366"/>
      <c r="BB211" s="366"/>
      <c r="BC211" s="366"/>
      <c r="BD211" s="366"/>
      <c r="BE211" s="366"/>
      <c r="BF211" s="366"/>
      <c r="BG211" s="366"/>
    </row>
    <row r="212" spans="2:59" x14ac:dyDescent="0.25">
      <c r="B212" s="67" t="str">
        <f>IF(Capacity!B105="","",Capacity!B105)</f>
        <v/>
      </c>
      <c r="C212" s="221" t="str">
        <f>IF(B212="","",Capacity!E105)</f>
        <v/>
      </c>
      <c r="D212" s="311" t="str">
        <f>IF(B212="","",Capacity!F105)</f>
        <v/>
      </c>
      <c r="E212" s="221" t="str">
        <f>IF(B212="","",IF(COUNTBLANK(H212:BG212)=52,SUM('Capacity calculation (hide)'!H93:BG93),52-COUNTBLANK(H212:BG212)))</f>
        <v/>
      </c>
      <c r="F212" s="312" t="str">
        <f>'Capacity calculation (hide)'!BI93</f>
        <v/>
      </c>
      <c r="H212" s="366"/>
      <c r="I212" s="366"/>
      <c r="J212" s="366"/>
      <c r="K212" s="366"/>
      <c r="L212" s="366"/>
      <c r="M212" s="366"/>
      <c r="N212" s="366"/>
      <c r="O212" s="366"/>
      <c r="P212" s="366"/>
      <c r="Q212" s="366"/>
      <c r="R212" s="366"/>
      <c r="S212" s="366"/>
      <c r="T212" s="366"/>
      <c r="U212" s="366"/>
      <c r="V212" s="366"/>
      <c r="W212" s="366"/>
      <c r="X212" s="366"/>
      <c r="Y212" s="366"/>
      <c r="Z212" s="366"/>
      <c r="AA212" s="366"/>
      <c r="AB212" s="366"/>
      <c r="AC212" s="366"/>
      <c r="AD212" s="366"/>
      <c r="AE212" s="366"/>
      <c r="AF212" s="366"/>
      <c r="AG212" s="366"/>
      <c r="AH212" s="366"/>
      <c r="AI212" s="366"/>
      <c r="AJ212" s="366"/>
      <c r="AK212" s="366"/>
      <c r="AL212" s="366"/>
      <c r="AM212" s="366"/>
      <c r="AN212" s="366"/>
      <c r="AO212" s="366"/>
      <c r="AP212" s="366"/>
      <c r="AQ212" s="366"/>
      <c r="AR212" s="366"/>
      <c r="AS212" s="366"/>
      <c r="AT212" s="366"/>
      <c r="AU212" s="366"/>
      <c r="AV212" s="366"/>
      <c r="AW212" s="366"/>
      <c r="AX212" s="366"/>
      <c r="AY212" s="366"/>
      <c r="AZ212" s="366"/>
      <c r="BA212" s="366"/>
      <c r="BB212" s="366"/>
      <c r="BC212" s="366"/>
      <c r="BD212" s="366"/>
      <c r="BE212" s="366"/>
      <c r="BF212" s="366"/>
      <c r="BG212" s="366"/>
    </row>
    <row r="213" spans="2:59" x14ac:dyDescent="0.25">
      <c r="B213" s="67" t="str">
        <f>IF(Capacity!B106="","",Capacity!B106)</f>
        <v/>
      </c>
      <c r="C213" s="221" t="str">
        <f>IF(B213="","",Capacity!E106)</f>
        <v/>
      </c>
      <c r="D213" s="311" t="str">
        <f>IF(B213="","",Capacity!F106)</f>
        <v/>
      </c>
      <c r="E213" s="221" t="str">
        <f>IF(B213="","",IF(COUNTBLANK(H213:BG213)=52,SUM('Capacity calculation (hide)'!H94:BG94),52-COUNTBLANK(H213:BG213)))</f>
        <v/>
      </c>
      <c r="F213" s="312" t="str">
        <f>'Capacity calculation (hide)'!BI94</f>
        <v/>
      </c>
      <c r="H213" s="366"/>
      <c r="I213" s="366"/>
      <c r="J213" s="366"/>
      <c r="K213" s="366"/>
      <c r="L213" s="366"/>
      <c r="M213" s="366"/>
      <c r="N213" s="366"/>
      <c r="O213" s="366"/>
      <c r="P213" s="366"/>
      <c r="Q213" s="366"/>
      <c r="R213" s="366"/>
      <c r="S213" s="366"/>
      <c r="T213" s="366"/>
      <c r="U213" s="366"/>
      <c r="V213" s="366"/>
      <c r="W213" s="366"/>
      <c r="X213" s="366"/>
      <c r="Y213" s="366"/>
      <c r="Z213" s="366"/>
      <c r="AA213" s="366"/>
      <c r="AB213" s="366"/>
      <c r="AC213" s="366"/>
      <c r="AD213" s="366"/>
      <c r="AE213" s="366"/>
      <c r="AF213" s="366"/>
      <c r="AG213" s="366"/>
      <c r="AH213" s="366"/>
      <c r="AI213" s="366"/>
      <c r="AJ213" s="366"/>
      <c r="AK213" s="366"/>
      <c r="AL213" s="366"/>
      <c r="AM213" s="366"/>
      <c r="AN213" s="366"/>
      <c r="AO213" s="366"/>
      <c r="AP213" s="366"/>
      <c r="AQ213" s="366"/>
      <c r="AR213" s="366"/>
      <c r="AS213" s="366"/>
      <c r="AT213" s="366"/>
      <c r="AU213" s="366"/>
      <c r="AV213" s="366"/>
      <c r="AW213" s="366"/>
      <c r="AX213" s="366"/>
      <c r="AY213" s="366"/>
      <c r="AZ213" s="366"/>
      <c r="BA213" s="366"/>
      <c r="BB213" s="366"/>
      <c r="BC213" s="366"/>
      <c r="BD213" s="366"/>
      <c r="BE213" s="366"/>
      <c r="BF213" s="366"/>
      <c r="BG213" s="366"/>
    </row>
    <row r="214" spans="2:59" x14ac:dyDescent="0.25">
      <c r="B214" s="67" t="str">
        <f>IF(Capacity!B107="","",Capacity!B107)</f>
        <v/>
      </c>
      <c r="C214" s="221" t="str">
        <f>IF(B214="","",Capacity!E107)</f>
        <v/>
      </c>
      <c r="D214" s="311" t="str">
        <f>IF(B214="","",Capacity!F107)</f>
        <v/>
      </c>
      <c r="E214" s="221" t="str">
        <f>IF(B214="","",IF(COUNTBLANK(H214:BG214)=52,SUM('Capacity calculation (hide)'!H95:BG95),52-COUNTBLANK(H214:BG214)))</f>
        <v/>
      </c>
      <c r="F214" s="312" t="str">
        <f>'Capacity calculation (hide)'!BI95</f>
        <v/>
      </c>
      <c r="H214" s="366"/>
      <c r="I214" s="366"/>
      <c r="J214" s="366"/>
      <c r="K214" s="366"/>
      <c r="L214" s="366"/>
      <c r="M214" s="366"/>
      <c r="N214" s="366"/>
      <c r="O214" s="366"/>
      <c r="P214" s="366"/>
      <c r="Q214" s="366"/>
      <c r="R214" s="366"/>
      <c r="S214" s="366"/>
      <c r="T214" s="366"/>
      <c r="U214" s="366"/>
      <c r="V214" s="366"/>
      <c r="W214" s="366"/>
      <c r="X214" s="366"/>
      <c r="Y214" s="366"/>
      <c r="Z214" s="366"/>
      <c r="AA214" s="366"/>
      <c r="AB214" s="366"/>
      <c r="AC214" s="366"/>
      <c r="AD214" s="366"/>
      <c r="AE214" s="366"/>
      <c r="AF214" s="366"/>
      <c r="AG214" s="366"/>
      <c r="AH214" s="366"/>
      <c r="AI214" s="366"/>
      <c r="AJ214" s="366"/>
      <c r="AK214" s="366"/>
      <c r="AL214" s="366"/>
      <c r="AM214" s="366"/>
      <c r="AN214" s="366"/>
      <c r="AO214" s="366"/>
      <c r="AP214" s="366"/>
      <c r="AQ214" s="366"/>
      <c r="AR214" s="366"/>
      <c r="AS214" s="366"/>
      <c r="AT214" s="366"/>
      <c r="AU214" s="366"/>
      <c r="AV214" s="366"/>
      <c r="AW214" s="366"/>
      <c r="AX214" s="366"/>
      <c r="AY214" s="366"/>
      <c r="AZ214" s="366"/>
      <c r="BA214" s="366"/>
      <c r="BB214" s="366"/>
      <c r="BC214" s="366"/>
      <c r="BD214" s="366"/>
      <c r="BE214" s="366"/>
      <c r="BF214" s="366"/>
      <c r="BG214" s="366"/>
    </row>
    <row r="215" spans="2:59" x14ac:dyDescent="0.25">
      <c r="B215" s="67" t="str">
        <f>IF(Capacity!B108="","",Capacity!B108)</f>
        <v/>
      </c>
      <c r="C215" s="221" t="str">
        <f>IF(B215="","",Capacity!E108)</f>
        <v/>
      </c>
      <c r="D215" s="311" t="str">
        <f>IF(B215="","",Capacity!F108)</f>
        <v/>
      </c>
      <c r="E215" s="221" t="str">
        <f>IF(B215="","",IF(COUNTBLANK(H215:BG215)=52,SUM('Capacity calculation (hide)'!H96:BG96),52-COUNTBLANK(H215:BG215)))</f>
        <v/>
      </c>
      <c r="F215" s="312" t="str">
        <f>'Capacity calculation (hide)'!BI96</f>
        <v/>
      </c>
      <c r="H215" s="366"/>
      <c r="I215" s="366"/>
      <c r="J215" s="366"/>
      <c r="K215" s="366"/>
      <c r="L215" s="366"/>
      <c r="M215" s="366"/>
      <c r="N215" s="366"/>
      <c r="O215" s="366"/>
      <c r="P215" s="366"/>
      <c r="Q215" s="366"/>
      <c r="R215" s="366"/>
      <c r="S215" s="366"/>
      <c r="T215" s="366"/>
      <c r="U215" s="366"/>
      <c r="V215" s="366"/>
      <c r="W215" s="366"/>
      <c r="X215" s="366"/>
      <c r="Y215" s="366"/>
      <c r="Z215" s="366"/>
      <c r="AA215" s="366"/>
      <c r="AB215" s="366"/>
      <c r="AC215" s="366"/>
      <c r="AD215" s="366"/>
      <c r="AE215" s="366"/>
      <c r="AF215" s="366"/>
      <c r="AG215" s="366"/>
      <c r="AH215" s="366"/>
      <c r="AI215" s="366"/>
      <c r="AJ215" s="366"/>
      <c r="AK215" s="366"/>
      <c r="AL215" s="366"/>
      <c r="AM215" s="366"/>
      <c r="AN215" s="366"/>
      <c r="AO215" s="366"/>
      <c r="AP215" s="366"/>
      <c r="AQ215" s="366"/>
      <c r="AR215" s="366"/>
      <c r="AS215" s="366"/>
      <c r="AT215" s="366"/>
      <c r="AU215" s="366"/>
      <c r="AV215" s="366"/>
      <c r="AW215" s="366"/>
      <c r="AX215" s="366"/>
      <c r="AY215" s="366"/>
      <c r="AZ215" s="366"/>
      <c r="BA215" s="366"/>
      <c r="BB215" s="366"/>
      <c r="BC215" s="366"/>
      <c r="BD215" s="366"/>
      <c r="BE215" s="366"/>
      <c r="BF215" s="366"/>
      <c r="BG215" s="366"/>
    </row>
    <row r="216" spans="2:59" x14ac:dyDescent="0.25">
      <c r="B216" s="67" t="str">
        <f>IF(Capacity!B109="","",Capacity!B109)</f>
        <v/>
      </c>
      <c r="C216" s="221" t="str">
        <f>IF(B216="","",Capacity!E109)</f>
        <v/>
      </c>
      <c r="D216" s="311" t="str">
        <f>IF(B216="","",Capacity!F109)</f>
        <v/>
      </c>
      <c r="E216" s="221" t="str">
        <f>IF(B216="","",IF(COUNTBLANK(H216:BG216)=52,SUM('Capacity calculation (hide)'!H97:BG97),52-COUNTBLANK(H216:BG216)))</f>
        <v/>
      </c>
      <c r="F216" s="312" t="str">
        <f>'Capacity calculation (hide)'!BI97</f>
        <v/>
      </c>
      <c r="H216" s="366"/>
      <c r="I216" s="366"/>
      <c r="J216" s="366"/>
      <c r="K216" s="366"/>
      <c r="L216" s="366"/>
      <c r="M216" s="366"/>
      <c r="N216" s="366"/>
      <c r="O216" s="366"/>
      <c r="P216" s="366"/>
      <c r="Q216" s="366"/>
      <c r="R216" s="366"/>
      <c r="S216" s="366"/>
      <c r="T216" s="366"/>
      <c r="U216" s="366"/>
      <c r="V216" s="366"/>
      <c r="W216" s="366"/>
      <c r="X216" s="366"/>
      <c r="Y216" s="366"/>
      <c r="Z216" s="366"/>
      <c r="AA216" s="366"/>
      <c r="AB216" s="366"/>
      <c r="AC216" s="366"/>
      <c r="AD216" s="366"/>
      <c r="AE216" s="366"/>
      <c r="AF216" s="366"/>
      <c r="AG216" s="366"/>
      <c r="AH216" s="366"/>
      <c r="AI216" s="366"/>
      <c r="AJ216" s="366"/>
      <c r="AK216" s="366"/>
      <c r="AL216" s="366"/>
      <c r="AM216" s="366"/>
      <c r="AN216" s="366"/>
      <c r="AO216" s="366"/>
      <c r="AP216" s="366"/>
      <c r="AQ216" s="366"/>
      <c r="AR216" s="366"/>
      <c r="AS216" s="366"/>
      <c r="AT216" s="366"/>
      <c r="AU216" s="366"/>
      <c r="AV216" s="366"/>
      <c r="AW216" s="366"/>
      <c r="AX216" s="366"/>
      <c r="AY216" s="366"/>
      <c r="AZ216" s="366"/>
      <c r="BA216" s="366"/>
      <c r="BB216" s="366"/>
      <c r="BC216" s="366"/>
      <c r="BD216" s="366"/>
      <c r="BE216" s="366"/>
      <c r="BF216" s="366"/>
      <c r="BG216" s="366"/>
    </row>
    <row r="217" spans="2:59" x14ac:dyDescent="0.25">
      <c r="B217" s="67" t="str">
        <f>IF(Capacity!B110="","",Capacity!B110)</f>
        <v/>
      </c>
      <c r="C217" s="221" t="str">
        <f>IF(B217="","",Capacity!E110)</f>
        <v/>
      </c>
      <c r="D217" s="311" t="str">
        <f>IF(B217="","",Capacity!F110)</f>
        <v/>
      </c>
      <c r="E217" s="221" t="str">
        <f>IF(B217="","",IF(COUNTBLANK(H217:BG217)=52,SUM('Capacity calculation (hide)'!H98:BG98),52-COUNTBLANK(H217:BG217)))</f>
        <v/>
      </c>
      <c r="F217" s="312" t="str">
        <f>'Capacity calculation (hide)'!BI98</f>
        <v/>
      </c>
      <c r="H217" s="366"/>
      <c r="I217" s="366"/>
      <c r="J217" s="366"/>
      <c r="K217" s="366"/>
      <c r="L217" s="366"/>
      <c r="M217" s="366"/>
      <c r="N217" s="366"/>
      <c r="O217" s="366"/>
      <c r="P217" s="366"/>
      <c r="Q217" s="366"/>
      <c r="R217" s="366"/>
      <c r="S217" s="366"/>
      <c r="T217" s="366"/>
      <c r="U217" s="366"/>
      <c r="V217" s="366"/>
      <c r="W217" s="366"/>
      <c r="X217" s="366"/>
      <c r="Y217" s="366"/>
      <c r="Z217" s="366"/>
      <c r="AA217" s="366"/>
      <c r="AB217" s="366"/>
      <c r="AC217" s="366"/>
      <c r="AD217" s="366"/>
      <c r="AE217" s="366"/>
      <c r="AF217" s="366"/>
      <c r="AG217" s="366"/>
      <c r="AH217" s="366"/>
      <c r="AI217" s="366"/>
      <c r="AJ217" s="366"/>
      <c r="AK217" s="366"/>
      <c r="AL217" s="366"/>
      <c r="AM217" s="366"/>
      <c r="AN217" s="366"/>
      <c r="AO217" s="366"/>
      <c r="AP217" s="366"/>
      <c r="AQ217" s="366"/>
      <c r="AR217" s="366"/>
      <c r="AS217" s="366"/>
      <c r="AT217" s="366"/>
      <c r="AU217" s="366"/>
      <c r="AV217" s="366"/>
      <c r="AW217" s="366"/>
      <c r="AX217" s="366"/>
      <c r="AY217" s="366"/>
      <c r="AZ217" s="366"/>
      <c r="BA217" s="366"/>
      <c r="BB217" s="366"/>
      <c r="BC217" s="366"/>
      <c r="BD217" s="366"/>
      <c r="BE217" s="366"/>
      <c r="BF217" s="366"/>
      <c r="BG217" s="366"/>
    </row>
    <row r="218" spans="2:59" x14ac:dyDescent="0.25">
      <c r="B218" s="67" t="str">
        <f>IF(Capacity!B111="","",Capacity!B111)</f>
        <v/>
      </c>
      <c r="C218" s="221" t="str">
        <f>IF(B218="","",Capacity!E111)</f>
        <v/>
      </c>
      <c r="D218" s="311" t="str">
        <f>IF(B218="","",Capacity!F111)</f>
        <v/>
      </c>
      <c r="E218" s="221" t="str">
        <f>IF(B218="","",IF(COUNTBLANK(H218:BG218)=52,SUM('Capacity calculation (hide)'!H99:BG99),52-COUNTBLANK(H218:BG218)))</f>
        <v/>
      </c>
      <c r="F218" s="312" t="str">
        <f>'Capacity calculation (hide)'!BI99</f>
        <v/>
      </c>
      <c r="H218" s="366"/>
      <c r="I218" s="366"/>
      <c r="J218" s="366"/>
      <c r="K218" s="366"/>
      <c r="L218" s="366"/>
      <c r="M218" s="366"/>
      <c r="N218" s="366"/>
      <c r="O218" s="366"/>
      <c r="P218" s="366"/>
      <c r="Q218" s="366"/>
      <c r="R218" s="366"/>
      <c r="S218" s="366"/>
      <c r="T218" s="366"/>
      <c r="U218" s="366"/>
      <c r="V218" s="366"/>
      <c r="W218" s="366"/>
      <c r="X218" s="366"/>
      <c r="Y218" s="366"/>
      <c r="Z218" s="366"/>
      <c r="AA218" s="366"/>
      <c r="AB218" s="366"/>
      <c r="AC218" s="366"/>
      <c r="AD218" s="366"/>
      <c r="AE218" s="366"/>
      <c r="AF218" s="366"/>
      <c r="AG218" s="366"/>
      <c r="AH218" s="366"/>
      <c r="AI218" s="366"/>
      <c r="AJ218" s="366"/>
      <c r="AK218" s="366"/>
      <c r="AL218" s="366"/>
      <c r="AM218" s="366"/>
      <c r="AN218" s="366"/>
      <c r="AO218" s="366"/>
      <c r="AP218" s="366"/>
      <c r="AQ218" s="366"/>
      <c r="AR218" s="366"/>
      <c r="AS218" s="366"/>
      <c r="AT218" s="366"/>
      <c r="AU218" s="366"/>
      <c r="AV218" s="366"/>
      <c r="AW218" s="366"/>
      <c r="AX218" s="366"/>
      <c r="AY218" s="366"/>
      <c r="AZ218" s="366"/>
      <c r="BA218" s="366"/>
      <c r="BB218" s="366"/>
      <c r="BC218" s="366"/>
      <c r="BD218" s="366"/>
      <c r="BE218" s="366"/>
      <c r="BF218" s="366"/>
      <c r="BG218" s="366"/>
    </row>
    <row r="219" spans="2:59" x14ac:dyDescent="0.25">
      <c r="B219" s="67" t="str">
        <f>IF(Capacity!B112="","",Capacity!B112)</f>
        <v/>
      </c>
      <c r="C219" s="221" t="str">
        <f>IF(B219="","",Capacity!E112)</f>
        <v/>
      </c>
      <c r="D219" s="311" t="str">
        <f>IF(B219="","",Capacity!F112)</f>
        <v/>
      </c>
      <c r="E219" s="221" t="str">
        <f>IF(B219="","",IF(COUNTBLANK(H219:BG219)=52,SUM('Capacity calculation (hide)'!H100:BG100),52-COUNTBLANK(H219:BG219)))</f>
        <v/>
      </c>
      <c r="F219" s="312" t="str">
        <f>'Capacity calculation (hide)'!BI100</f>
        <v/>
      </c>
      <c r="H219" s="366"/>
      <c r="I219" s="366"/>
      <c r="J219" s="366"/>
      <c r="K219" s="366"/>
      <c r="L219" s="366"/>
      <c r="M219" s="366"/>
      <c r="N219" s="366"/>
      <c r="O219" s="366"/>
      <c r="P219" s="366"/>
      <c r="Q219" s="366"/>
      <c r="R219" s="366"/>
      <c r="S219" s="366"/>
      <c r="T219" s="366"/>
      <c r="U219" s="366"/>
      <c r="V219" s="366"/>
      <c r="W219" s="366"/>
      <c r="X219" s="366"/>
      <c r="Y219" s="366"/>
      <c r="Z219" s="366"/>
      <c r="AA219" s="366"/>
      <c r="AB219" s="366"/>
      <c r="AC219" s="366"/>
      <c r="AD219" s="366"/>
      <c r="AE219" s="366"/>
      <c r="AF219" s="366"/>
      <c r="AG219" s="366"/>
      <c r="AH219" s="366"/>
      <c r="AI219" s="366"/>
      <c r="AJ219" s="366"/>
      <c r="AK219" s="366"/>
      <c r="AL219" s="366"/>
      <c r="AM219" s="366"/>
      <c r="AN219" s="366"/>
      <c r="AO219" s="366"/>
      <c r="AP219" s="366"/>
      <c r="AQ219" s="366"/>
      <c r="AR219" s="366"/>
      <c r="AS219" s="366"/>
      <c r="AT219" s="366"/>
      <c r="AU219" s="366"/>
      <c r="AV219" s="366"/>
      <c r="AW219" s="366"/>
      <c r="AX219" s="366"/>
      <c r="AY219" s="366"/>
      <c r="AZ219" s="366"/>
      <c r="BA219" s="366"/>
      <c r="BB219" s="366"/>
      <c r="BC219" s="366"/>
      <c r="BD219" s="366"/>
      <c r="BE219" s="366"/>
      <c r="BF219" s="366"/>
      <c r="BG219" s="366"/>
    </row>
    <row r="220" spans="2:59" x14ac:dyDescent="0.25">
      <c r="B220" s="67" t="str">
        <f>IF(Capacity!B113="","",Capacity!B113)</f>
        <v/>
      </c>
      <c r="C220" s="221" t="str">
        <f>IF(B220="","",Capacity!E113)</f>
        <v/>
      </c>
      <c r="D220" s="311" t="str">
        <f>IF(B220="","",Capacity!F113)</f>
        <v/>
      </c>
      <c r="E220" s="221" t="str">
        <f>IF(B220="","",IF(COUNTBLANK(H220:BG220)=52,SUM('Capacity calculation (hide)'!H101:BG101),52-COUNTBLANK(H220:BG220)))</f>
        <v/>
      </c>
      <c r="F220" s="312" t="str">
        <f>'Capacity calculation (hide)'!BI101</f>
        <v/>
      </c>
      <c r="H220" s="366"/>
      <c r="I220" s="366"/>
      <c r="J220" s="366"/>
      <c r="K220" s="366"/>
      <c r="L220" s="366"/>
      <c r="M220" s="366"/>
      <c r="N220" s="366"/>
      <c r="O220" s="366"/>
      <c r="P220" s="366"/>
      <c r="Q220" s="366"/>
      <c r="R220" s="366"/>
      <c r="S220" s="366"/>
      <c r="T220" s="366"/>
      <c r="U220" s="366"/>
      <c r="V220" s="366"/>
      <c r="W220" s="366"/>
      <c r="X220" s="366"/>
      <c r="Y220" s="366"/>
      <c r="Z220" s="366"/>
      <c r="AA220" s="366"/>
      <c r="AB220" s="366"/>
      <c r="AC220" s="366"/>
      <c r="AD220" s="366"/>
      <c r="AE220" s="366"/>
      <c r="AF220" s="366"/>
      <c r="AG220" s="366"/>
      <c r="AH220" s="366"/>
      <c r="AI220" s="366"/>
      <c r="AJ220" s="366"/>
      <c r="AK220" s="366"/>
      <c r="AL220" s="366"/>
      <c r="AM220" s="366"/>
      <c r="AN220" s="366"/>
      <c r="AO220" s="366"/>
      <c r="AP220" s="366"/>
      <c r="AQ220" s="366"/>
      <c r="AR220" s="366"/>
      <c r="AS220" s="366"/>
      <c r="AT220" s="366"/>
      <c r="AU220" s="366"/>
      <c r="AV220" s="366"/>
      <c r="AW220" s="366"/>
      <c r="AX220" s="366"/>
      <c r="AY220" s="366"/>
      <c r="AZ220" s="366"/>
      <c r="BA220" s="366"/>
      <c r="BB220" s="366"/>
      <c r="BC220" s="366"/>
      <c r="BD220" s="366"/>
      <c r="BE220" s="366"/>
      <c r="BF220" s="366"/>
      <c r="BG220" s="366"/>
    </row>
    <row r="221" spans="2:59" x14ac:dyDescent="0.25">
      <c r="B221" s="67" t="str">
        <f>IF(Capacity!B114="","",Capacity!B114)</f>
        <v/>
      </c>
      <c r="C221" s="221" t="str">
        <f>IF(B221="","",Capacity!E114)</f>
        <v/>
      </c>
      <c r="D221" s="311" t="str">
        <f>IF(B221="","",Capacity!F114)</f>
        <v/>
      </c>
      <c r="E221" s="221" t="str">
        <f>IF(B221="","",IF(COUNTBLANK(H221:BG221)=52,SUM('Capacity calculation (hide)'!H102:BG102),52-COUNTBLANK(H221:BG221)))</f>
        <v/>
      </c>
      <c r="F221" s="312" t="str">
        <f>'Capacity calculation (hide)'!BI102</f>
        <v/>
      </c>
      <c r="H221" s="366"/>
      <c r="I221" s="366"/>
      <c r="J221" s="366"/>
      <c r="K221" s="366"/>
      <c r="L221" s="366"/>
      <c r="M221" s="366"/>
      <c r="N221" s="366"/>
      <c r="O221" s="366"/>
      <c r="P221" s="366"/>
      <c r="Q221" s="366"/>
      <c r="R221" s="366"/>
      <c r="S221" s="366"/>
      <c r="T221" s="366"/>
      <c r="U221" s="366"/>
      <c r="V221" s="366"/>
      <c r="W221" s="366"/>
      <c r="X221" s="366"/>
      <c r="Y221" s="366"/>
      <c r="Z221" s="366"/>
      <c r="AA221" s="366"/>
      <c r="AB221" s="366"/>
      <c r="AC221" s="366"/>
      <c r="AD221" s="366"/>
      <c r="AE221" s="366"/>
      <c r="AF221" s="366"/>
      <c r="AG221" s="366"/>
      <c r="AH221" s="366"/>
      <c r="AI221" s="366"/>
      <c r="AJ221" s="366"/>
      <c r="AK221" s="366"/>
      <c r="AL221" s="366"/>
      <c r="AM221" s="366"/>
      <c r="AN221" s="366"/>
      <c r="AO221" s="366"/>
      <c r="AP221" s="366"/>
      <c r="AQ221" s="366"/>
      <c r="AR221" s="366"/>
      <c r="AS221" s="366"/>
      <c r="AT221" s="366"/>
      <c r="AU221" s="366"/>
      <c r="AV221" s="366"/>
      <c r="AW221" s="366"/>
      <c r="AX221" s="366"/>
      <c r="AY221" s="366"/>
      <c r="AZ221" s="366"/>
      <c r="BA221" s="366"/>
      <c r="BB221" s="366"/>
      <c r="BC221" s="366"/>
      <c r="BD221" s="366"/>
      <c r="BE221" s="366"/>
      <c r="BF221" s="366"/>
      <c r="BG221" s="366"/>
    </row>
    <row r="222" spans="2:59" x14ac:dyDescent="0.25">
      <c r="B222" s="67" t="str">
        <f>IF(Capacity!B115="","",Capacity!B115)</f>
        <v/>
      </c>
      <c r="C222" s="221" t="str">
        <f>IF(B222="","",Capacity!E115)</f>
        <v/>
      </c>
      <c r="D222" s="311" t="str">
        <f>IF(B222="","",Capacity!F115)</f>
        <v/>
      </c>
      <c r="E222" s="221" t="str">
        <f>IF(B222="","",IF(COUNTBLANK(H222:BG222)=52,SUM('Capacity calculation (hide)'!H103:BG103),52-COUNTBLANK(H222:BG222)))</f>
        <v/>
      </c>
      <c r="F222" s="312" t="str">
        <f>'Capacity calculation (hide)'!BI103</f>
        <v/>
      </c>
      <c r="H222" s="366"/>
      <c r="I222" s="366"/>
      <c r="J222" s="366"/>
      <c r="K222" s="366"/>
      <c r="L222" s="366"/>
      <c r="M222" s="366"/>
      <c r="N222" s="366"/>
      <c r="O222" s="366"/>
      <c r="P222" s="366"/>
      <c r="Q222" s="366"/>
      <c r="R222" s="366"/>
      <c r="S222" s="366"/>
      <c r="T222" s="366"/>
      <c r="U222" s="366"/>
      <c r="V222" s="366"/>
      <c r="W222" s="366"/>
      <c r="X222" s="366"/>
      <c r="Y222" s="366"/>
      <c r="Z222" s="366"/>
      <c r="AA222" s="366"/>
      <c r="AB222" s="366"/>
      <c r="AC222" s="366"/>
      <c r="AD222" s="366"/>
      <c r="AE222" s="366"/>
      <c r="AF222" s="366"/>
      <c r="AG222" s="366"/>
      <c r="AH222" s="366"/>
      <c r="AI222" s="366"/>
      <c r="AJ222" s="366"/>
      <c r="AK222" s="366"/>
      <c r="AL222" s="366"/>
      <c r="AM222" s="366"/>
      <c r="AN222" s="366"/>
      <c r="AO222" s="366"/>
      <c r="AP222" s="366"/>
      <c r="AQ222" s="366"/>
      <c r="AR222" s="366"/>
      <c r="AS222" s="366"/>
      <c r="AT222" s="366"/>
      <c r="AU222" s="366"/>
      <c r="AV222" s="366"/>
      <c r="AW222" s="366"/>
      <c r="AX222" s="366"/>
      <c r="AY222" s="366"/>
      <c r="AZ222" s="366"/>
      <c r="BA222" s="366"/>
      <c r="BB222" s="366"/>
      <c r="BC222" s="366"/>
      <c r="BD222" s="366"/>
      <c r="BE222" s="366"/>
      <c r="BF222" s="366"/>
      <c r="BG222" s="366"/>
    </row>
    <row r="223" spans="2:59" x14ac:dyDescent="0.25">
      <c r="B223" s="67" t="str">
        <f>IF(Capacity!B116="","",Capacity!B116)</f>
        <v/>
      </c>
      <c r="C223" s="221" t="str">
        <f>IF(B223="","",Capacity!E116)</f>
        <v/>
      </c>
      <c r="D223" s="311" t="str">
        <f>IF(B223="","",Capacity!F116)</f>
        <v/>
      </c>
      <c r="E223" s="221" t="str">
        <f>IF(B223="","",IF(COUNTBLANK(H223:BG223)=52,SUM('Capacity calculation (hide)'!H104:BG104),52-COUNTBLANK(H223:BG223)))</f>
        <v/>
      </c>
      <c r="F223" s="312" t="str">
        <f>'Capacity calculation (hide)'!BI104</f>
        <v/>
      </c>
      <c r="H223" s="366"/>
      <c r="I223" s="366"/>
      <c r="J223" s="366"/>
      <c r="K223" s="366"/>
      <c r="L223" s="366"/>
      <c r="M223" s="366"/>
      <c r="N223" s="366"/>
      <c r="O223" s="366"/>
      <c r="P223" s="366"/>
      <c r="Q223" s="366"/>
      <c r="R223" s="366"/>
      <c r="S223" s="366"/>
      <c r="T223" s="366"/>
      <c r="U223" s="366"/>
      <c r="V223" s="366"/>
      <c r="W223" s="366"/>
      <c r="X223" s="366"/>
      <c r="Y223" s="366"/>
      <c r="Z223" s="366"/>
      <c r="AA223" s="366"/>
      <c r="AB223" s="366"/>
      <c r="AC223" s="366"/>
      <c r="AD223" s="366"/>
      <c r="AE223" s="366"/>
      <c r="AF223" s="366"/>
      <c r="AG223" s="366"/>
      <c r="AH223" s="366"/>
      <c r="AI223" s="366"/>
      <c r="AJ223" s="366"/>
      <c r="AK223" s="366"/>
      <c r="AL223" s="366"/>
      <c r="AM223" s="366"/>
      <c r="AN223" s="366"/>
      <c r="AO223" s="366"/>
      <c r="AP223" s="366"/>
      <c r="AQ223" s="366"/>
      <c r="AR223" s="366"/>
      <c r="AS223" s="366"/>
      <c r="AT223" s="366"/>
      <c r="AU223" s="366"/>
      <c r="AV223" s="366"/>
      <c r="AW223" s="366"/>
      <c r="AX223" s="366"/>
      <c r="AY223" s="366"/>
      <c r="AZ223" s="366"/>
      <c r="BA223" s="366"/>
      <c r="BB223" s="366"/>
      <c r="BC223" s="366"/>
      <c r="BD223" s="366"/>
      <c r="BE223" s="366"/>
      <c r="BF223" s="366"/>
      <c r="BG223" s="366"/>
    </row>
    <row r="224" spans="2:59" x14ac:dyDescent="0.25">
      <c r="H224" s="372"/>
      <c r="I224" s="372"/>
      <c r="J224" s="372"/>
      <c r="K224" s="372"/>
      <c r="L224" s="372"/>
      <c r="M224" s="372"/>
      <c r="N224" s="372"/>
      <c r="O224" s="372"/>
      <c r="P224" s="372"/>
      <c r="Q224" s="372"/>
      <c r="R224" s="372"/>
      <c r="S224" s="372"/>
      <c r="T224" s="372"/>
      <c r="U224" s="372"/>
      <c r="V224" s="372"/>
      <c r="W224" s="372"/>
      <c r="X224" s="372"/>
      <c r="Y224" s="372"/>
      <c r="Z224" s="372"/>
      <c r="AA224" s="372"/>
      <c r="AB224" s="372"/>
      <c r="AC224" s="372"/>
      <c r="AD224" s="372"/>
      <c r="AE224" s="372"/>
      <c r="AF224" s="372"/>
      <c r="AG224" s="372"/>
      <c r="AH224" s="372"/>
      <c r="AI224" s="372"/>
      <c r="AJ224" s="372"/>
      <c r="AK224" s="372"/>
      <c r="AL224" s="372"/>
      <c r="AM224" s="372"/>
      <c r="AN224" s="372"/>
      <c r="AO224" s="372"/>
      <c r="AP224" s="372"/>
      <c r="AQ224" s="372"/>
      <c r="AR224" s="372"/>
      <c r="AS224" s="372"/>
      <c r="AT224" s="372"/>
      <c r="AU224" s="372"/>
      <c r="AV224" s="372"/>
      <c r="AW224" s="372"/>
      <c r="AX224" s="372"/>
      <c r="AY224" s="372"/>
      <c r="AZ224" s="372"/>
      <c r="BA224" s="372"/>
      <c r="BB224" s="372"/>
      <c r="BC224" s="372"/>
      <c r="BD224" s="372"/>
      <c r="BE224" s="372"/>
      <c r="BF224" s="372"/>
      <c r="BG224" s="372"/>
    </row>
    <row r="225" spans="8:59" x14ac:dyDescent="0.25">
      <c r="H225" s="372"/>
      <c r="I225" s="372"/>
      <c r="J225" s="372"/>
      <c r="K225" s="372"/>
      <c r="L225" s="372"/>
      <c r="M225" s="372"/>
      <c r="N225" s="372"/>
      <c r="O225" s="372"/>
      <c r="P225" s="372"/>
      <c r="Q225" s="372"/>
      <c r="R225" s="372"/>
      <c r="S225" s="372"/>
      <c r="T225" s="372"/>
      <c r="U225" s="372"/>
      <c r="V225" s="372"/>
      <c r="W225" s="372"/>
      <c r="X225" s="372"/>
      <c r="Y225" s="372"/>
      <c r="Z225" s="372"/>
      <c r="AA225" s="372"/>
      <c r="AB225" s="372"/>
      <c r="AC225" s="372"/>
      <c r="AD225" s="372"/>
      <c r="AE225" s="372"/>
      <c r="AF225" s="372"/>
      <c r="AG225" s="372"/>
      <c r="AH225" s="372"/>
      <c r="AI225" s="372"/>
      <c r="AJ225" s="372"/>
      <c r="AK225" s="372"/>
      <c r="AL225" s="372"/>
      <c r="AM225" s="372"/>
      <c r="AN225" s="372"/>
      <c r="AO225" s="372"/>
      <c r="AP225" s="372"/>
      <c r="AQ225" s="372"/>
      <c r="AR225" s="372"/>
      <c r="AS225" s="372"/>
      <c r="AT225" s="372"/>
      <c r="AU225" s="372"/>
      <c r="AV225" s="372"/>
      <c r="AW225" s="372"/>
      <c r="AX225" s="372"/>
      <c r="AY225" s="372"/>
      <c r="AZ225" s="372"/>
      <c r="BA225" s="372"/>
      <c r="BB225" s="372"/>
      <c r="BC225" s="372"/>
      <c r="BD225" s="372"/>
      <c r="BE225" s="372"/>
      <c r="BF225" s="372"/>
      <c r="BG225" s="372"/>
    </row>
    <row r="226" spans="8:59" x14ac:dyDescent="0.25">
      <c r="H226" s="372"/>
      <c r="I226" s="372"/>
      <c r="J226" s="372"/>
      <c r="K226" s="372"/>
      <c r="L226" s="372"/>
      <c r="M226" s="372"/>
      <c r="N226" s="372"/>
      <c r="O226" s="372"/>
      <c r="P226" s="372"/>
      <c r="Q226" s="372"/>
      <c r="R226" s="372"/>
      <c r="S226" s="372"/>
      <c r="T226" s="372"/>
      <c r="U226" s="372"/>
      <c r="V226" s="372"/>
      <c r="W226" s="372"/>
      <c r="X226" s="372"/>
      <c r="Y226" s="372"/>
      <c r="Z226" s="372"/>
      <c r="AA226" s="372"/>
      <c r="AB226" s="372"/>
      <c r="AC226" s="372"/>
      <c r="AD226" s="372"/>
      <c r="AE226" s="372"/>
      <c r="AF226" s="372"/>
      <c r="AG226" s="372"/>
      <c r="AH226" s="372"/>
      <c r="AI226" s="372"/>
      <c r="AJ226" s="372"/>
      <c r="AK226" s="372"/>
      <c r="AL226" s="372"/>
      <c r="AM226" s="372"/>
      <c r="AN226" s="372"/>
      <c r="AO226" s="372"/>
      <c r="AP226" s="372"/>
      <c r="AQ226" s="372"/>
      <c r="AR226" s="372"/>
      <c r="AS226" s="372"/>
      <c r="AT226" s="372"/>
      <c r="AU226" s="372"/>
      <c r="AV226" s="372"/>
      <c r="AW226" s="372"/>
      <c r="AX226" s="372"/>
      <c r="AY226" s="372"/>
      <c r="AZ226" s="372"/>
      <c r="BA226" s="372"/>
      <c r="BB226" s="372"/>
      <c r="BC226" s="372"/>
      <c r="BD226" s="372"/>
      <c r="BE226" s="372"/>
      <c r="BF226" s="372"/>
      <c r="BG226" s="372"/>
    </row>
    <row r="227" spans="8:59" x14ac:dyDescent="0.25">
      <c r="H227" s="372"/>
      <c r="I227" s="372"/>
      <c r="J227" s="372"/>
      <c r="K227" s="372"/>
      <c r="L227" s="372"/>
      <c r="M227" s="372"/>
      <c r="N227" s="372"/>
      <c r="O227" s="372"/>
      <c r="P227" s="372"/>
      <c r="Q227" s="372"/>
      <c r="R227" s="372"/>
      <c r="S227" s="372"/>
      <c r="T227" s="372"/>
      <c r="U227" s="372"/>
      <c r="V227" s="372"/>
      <c r="W227" s="372"/>
      <c r="X227" s="372"/>
      <c r="Y227" s="372"/>
      <c r="Z227" s="372"/>
      <c r="AA227" s="372"/>
      <c r="AB227" s="372"/>
      <c r="AC227" s="372"/>
      <c r="AD227" s="372"/>
      <c r="AE227" s="372"/>
      <c r="AF227" s="372"/>
      <c r="AG227" s="372"/>
      <c r="AH227" s="372"/>
      <c r="AI227" s="372"/>
      <c r="AJ227" s="372"/>
      <c r="AK227" s="372"/>
      <c r="AL227" s="372"/>
      <c r="AM227" s="372"/>
      <c r="AN227" s="372"/>
      <c r="AO227" s="372"/>
      <c r="AP227" s="372"/>
      <c r="AQ227" s="372"/>
      <c r="AR227" s="372"/>
      <c r="AS227" s="372"/>
      <c r="AT227" s="372"/>
      <c r="AU227" s="372"/>
      <c r="AV227" s="372"/>
      <c r="AW227" s="372"/>
      <c r="AX227" s="372"/>
      <c r="AY227" s="372"/>
      <c r="AZ227" s="372"/>
      <c r="BA227" s="372"/>
      <c r="BB227" s="372"/>
      <c r="BC227" s="372"/>
      <c r="BD227" s="372"/>
      <c r="BE227" s="372"/>
      <c r="BF227" s="372"/>
      <c r="BG227" s="372"/>
    </row>
    <row r="228" spans="8:59" x14ac:dyDescent="0.25">
      <c r="H228" s="372"/>
      <c r="I228" s="372"/>
      <c r="J228" s="372"/>
      <c r="K228" s="372"/>
      <c r="L228" s="372"/>
      <c r="M228" s="372"/>
      <c r="N228" s="372"/>
      <c r="O228" s="372"/>
      <c r="P228" s="372"/>
      <c r="Q228" s="372"/>
      <c r="R228" s="372"/>
      <c r="S228" s="372"/>
      <c r="T228" s="372"/>
      <c r="U228" s="372"/>
      <c r="V228" s="372"/>
      <c r="W228" s="372"/>
      <c r="X228" s="372"/>
      <c r="Y228" s="372"/>
      <c r="Z228" s="372"/>
      <c r="AA228" s="372"/>
      <c r="AB228" s="372"/>
      <c r="AC228" s="372"/>
      <c r="AD228" s="372"/>
      <c r="AE228" s="372"/>
      <c r="AF228" s="372"/>
      <c r="AG228" s="372"/>
      <c r="AH228" s="372"/>
      <c r="AI228" s="372"/>
      <c r="AJ228" s="372"/>
      <c r="AK228" s="372"/>
      <c r="AL228" s="372"/>
      <c r="AM228" s="372"/>
      <c r="AN228" s="372"/>
      <c r="AO228" s="372"/>
      <c r="AP228" s="372"/>
      <c r="AQ228" s="372"/>
      <c r="AR228" s="372"/>
      <c r="AS228" s="372"/>
      <c r="AT228" s="372"/>
      <c r="AU228" s="372"/>
      <c r="AV228" s="372"/>
      <c r="AW228" s="372"/>
      <c r="AX228" s="372"/>
      <c r="AY228" s="372"/>
      <c r="AZ228" s="372"/>
      <c r="BA228" s="372"/>
      <c r="BB228" s="372"/>
      <c r="BC228" s="372"/>
      <c r="BD228" s="372"/>
      <c r="BE228" s="372"/>
      <c r="BF228" s="372"/>
      <c r="BG228" s="372"/>
    </row>
    <row r="229" spans="8:59" x14ac:dyDescent="0.25">
      <c r="H229" s="372"/>
      <c r="I229" s="372"/>
      <c r="J229" s="372"/>
      <c r="K229" s="372"/>
      <c r="L229" s="372"/>
      <c r="M229" s="372"/>
      <c r="N229" s="372"/>
      <c r="O229" s="372"/>
      <c r="P229" s="372"/>
      <c r="Q229" s="372"/>
      <c r="R229" s="372"/>
      <c r="S229" s="372"/>
      <c r="T229" s="372"/>
      <c r="U229" s="372"/>
      <c r="V229" s="372"/>
      <c r="W229" s="372"/>
      <c r="X229" s="372"/>
      <c r="Y229" s="372"/>
      <c r="Z229" s="372"/>
      <c r="AA229" s="372"/>
      <c r="AB229" s="372"/>
      <c r="AC229" s="372"/>
      <c r="AD229" s="372"/>
      <c r="AE229" s="372"/>
      <c r="AF229" s="372"/>
      <c r="AG229" s="372"/>
      <c r="AH229" s="372"/>
      <c r="AI229" s="372"/>
      <c r="AJ229" s="372"/>
      <c r="AK229" s="372"/>
      <c r="AL229" s="372"/>
      <c r="AM229" s="372"/>
      <c r="AN229" s="372"/>
      <c r="AO229" s="372"/>
      <c r="AP229" s="372"/>
      <c r="AQ229" s="372"/>
      <c r="AR229" s="372"/>
      <c r="AS229" s="372"/>
      <c r="AT229" s="372"/>
      <c r="AU229" s="372"/>
      <c r="AV229" s="372"/>
      <c r="AW229" s="372"/>
      <c r="AX229" s="372"/>
      <c r="AY229" s="372"/>
      <c r="AZ229" s="372"/>
      <c r="BA229" s="372"/>
      <c r="BB229" s="372"/>
      <c r="BC229" s="372"/>
      <c r="BD229" s="372"/>
      <c r="BE229" s="372"/>
      <c r="BF229" s="372"/>
      <c r="BG229" s="372"/>
    </row>
    <row r="230" spans="8:59" x14ac:dyDescent="0.25">
      <c r="H230" s="372"/>
      <c r="I230" s="372"/>
      <c r="J230" s="372"/>
      <c r="K230" s="372"/>
      <c r="L230" s="372"/>
      <c r="M230" s="372"/>
      <c r="N230" s="372"/>
      <c r="O230" s="372"/>
      <c r="P230" s="372"/>
      <c r="Q230" s="372"/>
      <c r="R230" s="372"/>
      <c r="S230" s="372"/>
      <c r="T230" s="372"/>
      <c r="U230" s="372"/>
      <c r="V230" s="372"/>
      <c r="W230" s="372"/>
      <c r="X230" s="372"/>
      <c r="Y230" s="372"/>
      <c r="Z230" s="372"/>
      <c r="AA230" s="372"/>
      <c r="AB230" s="372"/>
      <c r="AC230" s="372"/>
      <c r="AD230" s="372"/>
      <c r="AE230" s="372"/>
      <c r="AF230" s="372"/>
      <c r="AG230" s="372"/>
      <c r="AH230" s="372"/>
      <c r="AI230" s="372"/>
      <c r="AJ230" s="372"/>
      <c r="AK230" s="372"/>
      <c r="AL230" s="372"/>
      <c r="AM230" s="372"/>
      <c r="AN230" s="372"/>
      <c r="AO230" s="372"/>
      <c r="AP230" s="372"/>
      <c r="AQ230" s="372"/>
      <c r="AR230" s="372"/>
      <c r="AS230" s="372"/>
      <c r="AT230" s="372"/>
      <c r="AU230" s="372"/>
      <c r="AV230" s="372"/>
      <c r="AW230" s="372"/>
      <c r="AX230" s="372"/>
      <c r="AY230" s="372"/>
      <c r="AZ230" s="372"/>
      <c r="BA230" s="372"/>
      <c r="BB230" s="372"/>
      <c r="BC230" s="372"/>
      <c r="BD230" s="372"/>
      <c r="BE230" s="372"/>
      <c r="BF230" s="372"/>
      <c r="BG230" s="372"/>
    </row>
    <row r="231" spans="8:59" x14ac:dyDescent="0.25">
      <c r="H231" s="372"/>
      <c r="I231" s="372"/>
      <c r="J231" s="372"/>
      <c r="K231" s="372"/>
      <c r="L231" s="372"/>
      <c r="M231" s="372"/>
      <c r="N231" s="372"/>
      <c r="O231" s="372"/>
      <c r="P231" s="372"/>
      <c r="Q231" s="372"/>
      <c r="R231" s="372"/>
      <c r="S231" s="372"/>
      <c r="T231" s="372"/>
      <c r="U231" s="372"/>
      <c r="V231" s="372"/>
      <c r="W231" s="372"/>
      <c r="X231" s="372"/>
      <c r="Y231" s="372"/>
      <c r="Z231" s="372"/>
      <c r="AA231" s="372"/>
      <c r="AB231" s="372"/>
      <c r="AC231" s="372"/>
      <c r="AD231" s="372"/>
      <c r="AE231" s="372"/>
      <c r="AF231" s="372"/>
      <c r="AG231" s="372"/>
      <c r="AH231" s="372"/>
      <c r="AI231" s="372"/>
      <c r="AJ231" s="372"/>
      <c r="AK231" s="372"/>
      <c r="AL231" s="372"/>
      <c r="AM231" s="372"/>
      <c r="AN231" s="372"/>
      <c r="AO231" s="372"/>
      <c r="AP231" s="372"/>
      <c r="AQ231" s="372"/>
      <c r="AR231" s="372"/>
      <c r="AS231" s="372"/>
      <c r="AT231" s="372"/>
      <c r="AU231" s="372"/>
      <c r="AV231" s="372"/>
      <c r="AW231" s="372"/>
      <c r="AX231" s="372"/>
      <c r="AY231" s="372"/>
      <c r="AZ231" s="372"/>
      <c r="BA231" s="372"/>
      <c r="BB231" s="372"/>
      <c r="BC231" s="372"/>
      <c r="BD231" s="372"/>
      <c r="BE231" s="372"/>
      <c r="BF231" s="372"/>
      <c r="BG231" s="372"/>
    </row>
    <row r="232" spans="8:59" x14ac:dyDescent="0.25">
      <c r="H232" s="372"/>
      <c r="I232" s="372"/>
      <c r="J232" s="372"/>
      <c r="K232" s="372"/>
      <c r="L232" s="372"/>
      <c r="M232" s="372"/>
      <c r="N232" s="372"/>
      <c r="O232" s="372"/>
      <c r="P232" s="372"/>
      <c r="Q232" s="372"/>
      <c r="R232" s="372"/>
      <c r="S232" s="372"/>
      <c r="T232" s="372"/>
      <c r="U232" s="372"/>
      <c r="V232" s="372"/>
      <c r="W232" s="372"/>
      <c r="X232" s="372"/>
      <c r="Y232" s="372"/>
      <c r="Z232" s="372"/>
      <c r="AA232" s="372"/>
      <c r="AB232" s="372"/>
      <c r="AC232" s="372"/>
      <c r="AD232" s="372"/>
      <c r="AE232" s="372"/>
      <c r="AF232" s="372"/>
      <c r="AG232" s="372"/>
      <c r="AH232" s="372"/>
      <c r="AI232" s="372"/>
      <c r="AJ232" s="372"/>
      <c r="AK232" s="372"/>
      <c r="AL232" s="372"/>
      <c r="AM232" s="372"/>
      <c r="AN232" s="372"/>
      <c r="AO232" s="372"/>
      <c r="AP232" s="372"/>
      <c r="AQ232" s="372"/>
      <c r="AR232" s="372"/>
      <c r="AS232" s="372"/>
      <c r="AT232" s="372"/>
      <c r="AU232" s="372"/>
      <c r="AV232" s="372"/>
      <c r="AW232" s="372"/>
      <c r="AX232" s="372"/>
      <c r="AY232" s="372"/>
      <c r="AZ232" s="372"/>
      <c r="BA232" s="372"/>
      <c r="BB232" s="372"/>
      <c r="BC232" s="372"/>
      <c r="BD232" s="372"/>
      <c r="BE232" s="372"/>
      <c r="BF232" s="372"/>
      <c r="BG232" s="372"/>
    </row>
    <row r="233" spans="8:59" x14ac:dyDescent="0.25">
      <c r="H233" s="372"/>
      <c r="I233" s="372"/>
      <c r="J233" s="372"/>
      <c r="K233" s="372"/>
      <c r="L233" s="372"/>
      <c r="M233" s="372"/>
      <c r="N233" s="372"/>
      <c r="O233" s="372"/>
      <c r="P233" s="372"/>
      <c r="Q233" s="372"/>
      <c r="R233" s="372"/>
      <c r="S233" s="372"/>
      <c r="T233" s="372"/>
      <c r="U233" s="372"/>
      <c r="V233" s="372"/>
      <c r="W233" s="372"/>
      <c r="X233" s="372"/>
      <c r="Y233" s="372"/>
      <c r="Z233" s="372"/>
      <c r="AA233" s="372"/>
      <c r="AB233" s="372"/>
      <c r="AC233" s="372"/>
      <c r="AD233" s="372"/>
      <c r="AE233" s="372"/>
      <c r="AF233" s="372"/>
      <c r="AG233" s="372"/>
      <c r="AH233" s="372"/>
      <c r="AI233" s="372"/>
      <c r="AJ233" s="372"/>
      <c r="AK233" s="372"/>
      <c r="AL233" s="372"/>
      <c r="AM233" s="372"/>
      <c r="AN233" s="372"/>
      <c r="AO233" s="372"/>
      <c r="AP233" s="372"/>
      <c r="AQ233" s="372"/>
      <c r="AR233" s="372"/>
      <c r="AS233" s="372"/>
      <c r="AT233" s="372"/>
      <c r="AU233" s="372"/>
      <c r="AV233" s="372"/>
      <c r="AW233" s="372"/>
      <c r="AX233" s="372"/>
      <c r="AY233" s="372"/>
      <c r="AZ233" s="372"/>
      <c r="BA233" s="372"/>
      <c r="BB233" s="372"/>
      <c r="BC233" s="372"/>
      <c r="BD233" s="372"/>
      <c r="BE233" s="372"/>
      <c r="BF233" s="372"/>
      <c r="BG233" s="372"/>
    </row>
    <row r="234" spans="8:59" x14ac:dyDescent="0.25">
      <c r="H234" s="372"/>
      <c r="I234" s="372"/>
      <c r="J234" s="372"/>
      <c r="K234" s="372"/>
      <c r="L234" s="372"/>
      <c r="M234" s="372"/>
      <c r="N234" s="372"/>
      <c r="O234" s="372"/>
      <c r="P234" s="372"/>
      <c r="Q234" s="372"/>
      <c r="R234" s="372"/>
      <c r="S234" s="372"/>
      <c r="T234" s="372"/>
      <c r="U234" s="372"/>
      <c r="V234" s="372"/>
      <c r="W234" s="372"/>
      <c r="X234" s="372"/>
      <c r="Y234" s="372"/>
      <c r="Z234" s="372"/>
      <c r="AA234" s="372"/>
      <c r="AB234" s="372"/>
      <c r="AC234" s="372"/>
      <c r="AD234" s="372"/>
      <c r="AE234" s="372"/>
      <c r="AF234" s="372"/>
      <c r="AG234" s="372"/>
      <c r="AH234" s="372"/>
      <c r="AI234" s="372"/>
      <c r="AJ234" s="372"/>
      <c r="AK234" s="372"/>
      <c r="AL234" s="372"/>
      <c r="AM234" s="372"/>
      <c r="AN234" s="372"/>
      <c r="AO234" s="372"/>
      <c r="AP234" s="372"/>
      <c r="AQ234" s="372"/>
      <c r="AR234" s="372"/>
      <c r="AS234" s="372"/>
      <c r="AT234" s="372"/>
      <c r="AU234" s="372"/>
      <c r="AV234" s="372"/>
      <c r="AW234" s="372"/>
      <c r="AX234" s="372"/>
      <c r="AY234" s="372"/>
      <c r="AZ234" s="372"/>
      <c r="BA234" s="372"/>
      <c r="BB234" s="372"/>
      <c r="BC234" s="372"/>
      <c r="BD234" s="372"/>
      <c r="BE234" s="372"/>
      <c r="BF234" s="372"/>
      <c r="BG234" s="372"/>
    </row>
    <row r="235" spans="8:59" x14ac:dyDescent="0.25">
      <c r="H235" s="372"/>
      <c r="I235" s="372"/>
      <c r="J235" s="372"/>
      <c r="K235" s="372"/>
      <c r="L235" s="372"/>
      <c r="M235" s="372"/>
      <c r="N235" s="372"/>
      <c r="O235" s="372"/>
      <c r="P235" s="372"/>
      <c r="Q235" s="372"/>
      <c r="R235" s="372"/>
      <c r="S235" s="372"/>
      <c r="T235" s="372"/>
      <c r="U235" s="372"/>
      <c r="V235" s="372"/>
      <c r="W235" s="372"/>
      <c r="X235" s="372"/>
      <c r="Y235" s="372"/>
      <c r="Z235" s="372"/>
      <c r="AA235" s="372"/>
      <c r="AB235" s="372"/>
      <c r="AC235" s="372"/>
      <c r="AD235" s="372"/>
      <c r="AE235" s="372"/>
      <c r="AF235" s="372"/>
      <c r="AG235" s="372"/>
      <c r="AH235" s="372"/>
      <c r="AI235" s="372"/>
      <c r="AJ235" s="372"/>
      <c r="AK235" s="372"/>
      <c r="AL235" s="372"/>
      <c r="AM235" s="372"/>
      <c r="AN235" s="372"/>
      <c r="AO235" s="372"/>
      <c r="AP235" s="372"/>
      <c r="AQ235" s="372"/>
      <c r="AR235" s="372"/>
      <c r="AS235" s="372"/>
      <c r="AT235" s="372"/>
      <c r="AU235" s="372"/>
      <c r="AV235" s="372"/>
      <c r="AW235" s="372"/>
      <c r="AX235" s="372"/>
      <c r="AY235" s="372"/>
      <c r="AZ235" s="372"/>
      <c r="BA235" s="372"/>
      <c r="BB235" s="372"/>
      <c r="BC235" s="372"/>
      <c r="BD235" s="372"/>
      <c r="BE235" s="372"/>
      <c r="BF235" s="372"/>
      <c r="BG235" s="372"/>
    </row>
    <row r="236" spans="8:59" x14ac:dyDescent="0.25">
      <c r="H236" s="372"/>
      <c r="I236" s="372"/>
      <c r="J236" s="372"/>
      <c r="K236" s="372"/>
      <c r="L236" s="372"/>
      <c r="M236" s="372"/>
      <c r="N236" s="372"/>
      <c r="O236" s="372"/>
      <c r="P236" s="372"/>
      <c r="Q236" s="372"/>
      <c r="R236" s="372"/>
      <c r="S236" s="372"/>
      <c r="T236" s="372"/>
      <c r="U236" s="372"/>
      <c r="V236" s="372"/>
      <c r="W236" s="372"/>
      <c r="X236" s="372"/>
      <c r="Y236" s="372"/>
      <c r="Z236" s="372"/>
      <c r="AA236" s="372"/>
      <c r="AB236" s="372"/>
      <c r="AC236" s="372"/>
      <c r="AD236" s="372"/>
      <c r="AE236" s="372"/>
      <c r="AF236" s="372"/>
      <c r="AG236" s="372"/>
      <c r="AH236" s="372"/>
      <c r="AI236" s="372"/>
      <c r="AJ236" s="372"/>
      <c r="AK236" s="372"/>
      <c r="AL236" s="372"/>
      <c r="AM236" s="372"/>
      <c r="AN236" s="372"/>
      <c r="AO236" s="372"/>
      <c r="AP236" s="372"/>
      <c r="AQ236" s="372"/>
      <c r="AR236" s="372"/>
      <c r="AS236" s="372"/>
      <c r="AT236" s="372"/>
      <c r="AU236" s="372"/>
      <c r="AV236" s="372"/>
      <c r="AW236" s="372"/>
      <c r="AX236" s="372"/>
      <c r="AY236" s="372"/>
      <c r="AZ236" s="372"/>
      <c r="BA236" s="372"/>
      <c r="BB236" s="372"/>
      <c r="BC236" s="372"/>
      <c r="BD236" s="372"/>
      <c r="BE236" s="372"/>
      <c r="BF236" s="372"/>
      <c r="BG236" s="372"/>
    </row>
    <row r="237" spans="8:59" x14ac:dyDescent="0.25">
      <c r="H237" s="372"/>
      <c r="I237" s="372"/>
      <c r="J237" s="372"/>
      <c r="K237" s="372"/>
      <c r="L237" s="372"/>
      <c r="M237" s="372"/>
      <c r="N237" s="372"/>
      <c r="O237" s="372"/>
      <c r="P237" s="372"/>
      <c r="Q237" s="372"/>
      <c r="R237" s="372"/>
      <c r="S237" s="372"/>
      <c r="T237" s="372"/>
      <c r="U237" s="372"/>
      <c r="V237" s="372"/>
      <c r="W237" s="372"/>
      <c r="X237" s="372"/>
      <c r="Y237" s="372"/>
      <c r="Z237" s="372"/>
      <c r="AA237" s="372"/>
      <c r="AB237" s="372"/>
      <c r="AC237" s="372"/>
      <c r="AD237" s="372"/>
      <c r="AE237" s="372"/>
      <c r="AF237" s="372"/>
      <c r="AG237" s="372"/>
      <c r="AH237" s="372"/>
      <c r="AI237" s="372"/>
      <c r="AJ237" s="372"/>
      <c r="AK237" s="372"/>
      <c r="AL237" s="372"/>
      <c r="AM237" s="372"/>
      <c r="AN237" s="372"/>
      <c r="AO237" s="372"/>
      <c r="AP237" s="372"/>
      <c r="AQ237" s="372"/>
      <c r="AR237" s="372"/>
      <c r="AS237" s="372"/>
      <c r="AT237" s="372"/>
      <c r="AU237" s="372"/>
      <c r="AV237" s="372"/>
      <c r="AW237" s="372"/>
      <c r="AX237" s="372"/>
      <c r="AY237" s="372"/>
      <c r="AZ237" s="372"/>
      <c r="BA237" s="372"/>
      <c r="BB237" s="372"/>
      <c r="BC237" s="372"/>
      <c r="BD237" s="372"/>
      <c r="BE237" s="372"/>
      <c r="BF237" s="372"/>
      <c r="BG237" s="372"/>
    </row>
    <row r="238" spans="8:59" x14ac:dyDescent="0.25">
      <c r="H238" s="372"/>
      <c r="I238" s="372"/>
      <c r="J238" s="372"/>
      <c r="K238" s="372"/>
      <c r="L238" s="372"/>
      <c r="M238" s="372"/>
      <c r="N238" s="372"/>
      <c r="O238" s="372"/>
      <c r="P238" s="372"/>
      <c r="Q238" s="372"/>
      <c r="R238" s="372"/>
      <c r="S238" s="372"/>
      <c r="T238" s="372"/>
      <c r="U238" s="372"/>
      <c r="V238" s="372"/>
      <c r="W238" s="372"/>
      <c r="X238" s="372"/>
      <c r="Y238" s="372"/>
      <c r="Z238" s="372"/>
      <c r="AA238" s="372"/>
      <c r="AB238" s="372"/>
      <c r="AC238" s="372"/>
      <c r="AD238" s="372"/>
      <c r="AE238" s="372"/>
      <c r="AF238" s="372"/>
      <c r="AG238" s="372"/>
      <c r="AH238" s="372"/>
      <c r="AI238" s="372"/>
      <c r="AJ238" s="372"/>
      <c r="AK238" s="372"/>
      <c r="AL238" s="372"/>
      <c r="AM238" s="372"/>
      <c r="AN238" s="372"/>
      <c r="AO238" s="372"/>
      <c r="AP238" s="372"/>
      <c r="AQ238" s="372"/>
      <c r="AR238" s="372"/>
      <c r="AS238" s="372"/>
      <c r="AT238" s="372"/>
      <c r="AU238" s="372"/>
      <c r="AV238" s="372"/>
      <c r="AW238" s="372"/>
      <c r="AX238" s="372"/>
      <c r="AY238" s="372"/>
      <c r="AZ238" s="372"/>
      <c r="BA238" s="372"/>
      <c r="BB238" s="372"/>
      <c r="BC238" s="372"/>
      <c r="BD238" s="372"/>
      <c r="BE238" s="372"/>
      <c r="BF238" s="372"/>
      <c r="BG238" s="372"/>
    </row>
    <row r="239" spans="8:59" x14ac:dyDescent="0.25">
      <c r="H239" s="372"/>
      <c r="I239" s="372"/>
      <c r="J239" s="372"/>
      <c r="K239" s="372"/>
      <c r="L239" s="372"/>
      <c r="M239" s="372"/>
      <c r="N239" s="372"/>
      <c r="O239" s="372"/>
      <c r="P239" s="372"/>
      <c r="Q239" s="372"/>
      <c r="R239" s="372"/>
      <c r="S239" s="372"/>
      <c r="T239" s="372"/>
      <c r="U239" s="372"/>
      <c r="V239" s="372"/>
      <c r="W239" s="372"/>
      <c r="X239" s="372"/>
      <c r="Y239" s="372"/>
      <c r="Z239" s="372"/>
      <c r="AA239" s="372"/>
      <c r="AB239" s="372"/>
      <c r="AC239" s="372"/>
      <c r="AD239" s="372"/>
      <c r="AE239" s="372"/>
      <c r="AF239" s="372"/>
      <c r="AG239" s="372"/>
      <c r="AH239" s="372"/>
      <c r="AI239" s="372"/>
      <c r="AJ239" s="372"/>
      <c r="AK239" s="372"/>
      <c r="AL239" s="372"/>
      <c r="AM239" s="372"/>
      <c r="AN239" s="372"/>
      <c r="AO239" s="372"/>
      <c r="AP239" s="372"/>
      <c r="AQ239" s="372"/>
      <c r="AR239" s="372"/>
      <c r="AS239" s="372"/>
      <c r="AT239" s="372"/>
      <c r="AU239" s="372"/>
      <c r="AV239" s="372"/>
      <c r="AW239" s="372"/>
      <c r="AX239" s="372"/>
      <c r="AY239" s="372"/>
      <c r="AZ239" s="372"/>
      <c r="BA239" s="372"/>
      <c r="BB239" s="372"/>
      <c r="BC239" s="372"/>
      <c r="BD239" s="372"/>
      <c r="BE239" s="372"/>
      <c r="BF239" s="372"/>
      <c r="BG239" s="372"/>
    </row>
    <row r="240" spans="8:59" x14ac:dyDescent="0.25">
      <c r="H240" s="372"/>
      <c r="I240" s="372"/>
      <c r="J240" s="372"/>
      <c r="K240" s="372"/>
      <c r="L240" s="372"/>
      <c r="M240" s="372"/>
      <c r="N240" s="372"/>
      <c r="O240" s="372"/>
      <c r="P240" s="372"/>
      <c r="Q240" s="372"/>
      <c r="R240" s="372"/>
      <c r="S240" s="372"/>
      <c r="T240" s="372"/>
      <c r="U240" s="372"/>
      <c r="V240" s="372"/>
      <c r="W240" s="372"/>
      <c r="X240" s="372"/>
      <c r="Y240" s="372"/>
      <c r="Z240" s="372"/>
      <c r="AA240" s="372"/>
      <c r="AB240" s="372"/>
      <c r="AC240" s="372"/>
      <c r="AD240" s="372"/>
      <c r="AE240" s="372"/>
      <c r="AF240" s="372"/>
      <c r="AG240" s="372"/>
      <c r="AH240" s="372"/>
      <c r="AI240" s="372"/>
      <c r="AJ240" s="372"/>
      <c r="AK240" s="372"/>
      <c r="AL240" s="372"/>
      <c r="AM240" s="372"/>
      <c r="AN240" s="372"/>
      <c r="AO240" s="372"/>
      <c r="AP240" s="372"/>
      <c r="AQ240" s="372"/>
      <c r="AR240" s="372"/>
      <c r="AS240" s="372"/>
      <c r="AT240" s="372"/>
      <c r="AU240" s="372"/>
      <c r="AV240" s="372"/>
      <c r="AW240" s="372"/>
      <c r="AX240" s="372"/>
      <c r="AY240" s="372"/>
      <c r="AZ240" s="372"/>
      <c r="BA240" s="372"/>
      <c r="BB240" s="372"/>
      <c r="BC240" s="372"/>
      <c r="BD240" s="372"/>
      <c r="BE240" s="372"/>
      <c r="BF240" s="372"/>
      <c r="BG240" s="372"/>
    </row>
    <row r="241" spans="8:59" x14ac:dyDescent="0.25">
      <c r="H241" s="372"/>
      <c r="I241" s="372"/>
      <c r="J241" s="372"/>
      <c r="K241" s="372"/>
      <c r="L241" s="372"/>
      <c r="M241" s="372"/>
      <c r="N241" s="372"/>
      <c r="O241" s="372"/>
      <c r="P241" s="372"/>
      <c r="Q241" s="372"/>
      <c r="R241" s="372"/>
      <c r="S241" s="372"/>
      <c r="T241" s="372"/>
      <c r="U241" s="372"/>
      <c r="V241" s="372"/>
      <c r="W241" s="372"/>
      <c r="X241" s="372"/>
      <c r="Y241" s="372"/>
      <c r="Z241" s="372"/>
      <c r="AA241" s="372"/>
      <c r="AB241" s="372"/>
      <c r="AC241" s="372"/>
      <c r="AD241" s="372"/>
      <c r="AE241" s="372"/>
      <c r="AF241" s="372"/>
      <c r="AG241" s="372"/>
      <c r="AH241" s="372"/>
      <c r="AI241" s="372"/>
      <c r="AJ241" s="372"/>
      <c r="AK241" s="372"/>
      <c r="AL241" s="372"/>
      <c r="AM241" s="372"/>
      <c r="AN241" s="372"/>
      <c r="AO241" s="372"/>
      <c r="AP241" s="372"/>
      <c r="AQ241" s="372"/>
      <c r="AR241" s="372"/>
      <c r="AS241" s="372"/>
      <c r="AT241" s="372"/>
      <c r="AU241" s="372"/>
      <c r="AV241" s="372"/>
      <c r="AW241" s="372"/>
      <c r="AX241" s="372"/>
      <c r="AY241" s="372"/>
      <c r="AZ241" s="372"/>
      <c r="BA241" s="372"/>
      <c r="BB241" s="372"/>
      <c r="BC241" s="372"/>
      <c r="BD241" s="372"/>
      <c r="BE241" s="372"/>
      <c r="BF241" s="372"/>
      <c r="BG241" s="372"/>
    </row>
    <row r="242" spans="8:59" x14ac:dyDescent="0.25">
      <c r="H242" s="372"/>
      <c r="I242" s="372"/>
      <c r="J242" s="372"/>
      <c r="K242" s="372"/>
      <c r="L242" s="372"/>
      <c r="M242" s="372"/>
      <c r="N242" s="372"/>
      <c r="O242" s="372"/>
      <c r="P242" s="372"/>
      <c r="Q242" s="372"/>
      <c r="R242" s="372"/>
      <c r="S242" s="372"/>
      <c r="T242" s="372"/>
      <c r="U242" s="372"/>
      <c r="V242" s="372"/>
      <c r="W242" s="372"/>
      <c r="X242" s="372"/>
      <c r="Y242" s="372"/>
      <c r="Z242" s="372"/>
      <c r="AA242" s="372"/>
      <c r="AB242" s="372"/>
      <c r="AC242" s="372"/>
      <c r="AD242" s="372"/>
      <c r="AE242" s="372"/>
      <c r="AF242" s="372"/>
      <c r="AG242" s="372"/>
      <c r="AH242" s="372"/>
      <c r="AI242" s="372"/>
      <c r="AJ242" s="372"/>
      <c r="AK242" s="372"/>
      <c r="AL242" s="372"/>
      <c r="AM242" s="372"/>
      <c r="AN242" s="372"/>
      <c r="AO242" s="372"/>
      <c r="AP242" s="372"/>
      <c r="AQ242" s="372"/>
      <c r="AR242" s="372"/>
      <c r="AS242" s="372"/>
      <c r="AT242" s="372"/>
      <c r="AU242" s="372"/>
      <c r="AV242" s="372"/>
      <c r="AW242" s="372"/>
      <c r="AX242" s="372"/>
      <c r="AY242" s="372"/>
      <c r="AZ242" s="372"/>
      <c r="BA242" s="372"/>
      <c r="BB242" s="372"/>
      <c r="BC242" s="372"/>
      <c r="BD242" s="372"/>
      <c r="BE242" s="372"/>
      <c r="BF242" s="372"/>
      <c r="BG242" s="372"/>
    </row>
    <row r="243" spans="8:59" x14ac:dyDescent="0.25">
      <c r="H243" s="372"/>
      <c r="I243" s="372"/>
      <c r="J243" s="372"/>
      <c r="K243" s="372"/>
      <c r="L243" s="372"/>
      <c r="M243" s="372"/>
      <c r="N243" s="372"/>
      <c r="O243" s="372"/>
      <c r="P243" s="372"/>
      <c r="Q243" s="372"/>
      <c r="R243" s="372"/>
      <c r="S243" s="372"/>
      <c r="T243" s="372"/>
      <c r="U243" s="372"/>
      <c r="V243" s="372"/>
      <c r="W243" s="372"/>
      <c r="X243" s="372"/>
      <c r="Y243" s="372"/>
      <c r="Z243" s="372"/>
      <c r="AA243" s="372"/>
      <c r="AB243" s="372"/>
      <c r="AC243" s="372"/>
      <c r="AD243" s="372"/>
      <c r="AE243" s="372"/>
      <c r="AF243" s="372"/>
      <c r="AG243" s="372"/>
      <c r="AH243" s="372"/>
      <c r="AI243" s="372"/>
      <c r="AJ243" s="372"/>
      <c r="AK243" s="372"/>
      <c r="AL243" s="372"/>
      <c r="AM243" s="372"/>
      <c r="AN243" s="372"/>
      <c r="AO243" s="372"/>
      <c r="AP243" s="372"/>
      <c r="AQ243" s="372"/>
      <c r="AR243" s="372"/>
      <c r="AS243" s="372"/>
      <c r="AT243" s="372"/>
      <c r="AU243" s="372"/>
      <c r="AV243" s="372"/>
      <c r="AW243" s="372"/>
      <c r="AX243" s="372"/>
      <c r="AY243" s="372"/>
      <c r="AZ243" s="372"/>
      <c r="BA243" s="372"/>
      <c r="BB243" s="372"/>
      <c r="BC243" s="372"/>
      <c r="BD243" s="372"/>
      <c r="BE243" s="372"/>
      <c r="BF243" s="372"/>
      <c r="BG243" s="372"/>
    </row>
    <row r="244" spans="8:59" x14ac:dyDescent="0.25">
      <c r="H244" s="372"/>
      <c r="I244" s="372"/>
      <c r="J244" s="372"/>
      <c r="K244" s="372"/>
      <c r="L244" s="372"/>
      <c r="M244" s="372"/>
      <c r="N244" s="372"/>
      <c r="O244" s="372"/>
      <c r="P244" s="372"/>
      <c r="Q244" s="372"/>
      <c r="R244" s="372"/>
      <c r="S244" s="372"/>
      <c r="T244" s="372"/>
      <c r="U244" s="372"/>
      <c r="V244" s="372"/>
      <c r="W244" s="372"/>
      <c r="X244" s="372"/>
      <c r="Y244" s="372"/>
      <c r="Z244" s="372"/>
      <c r="AA244" s="372"/>
      <c r="AB244" s="372"/>
      <c r="AC244" s="372"/>
      <c r="AD244" s="372"/>
      <c r="AE244" s="372"/>
      <c r="AF244" s="372"/>
      <c r="AG244" s="372"/>
      <c r="AH244" s="372"/>
      <c r="AI244" s="372"/>
      <c r="AJ244" s="372"/>
      <c r="AK244" s="372"/>
      <c r="AL244" s="372"/>
      <c r="AM244" s="372"/>
      <c r="AN244" s="372"/>
      <c r="AO244" s="372"/>
      <c r="AP244" s="372"/>
      <c r="AQ244" s="372"/>
      <c r="AR244" s="372"/>
      <c r="AS244" s="372"/>
      <c r="AT244" s="372"/>
      <c r="AU244" s="372"/>
      <c r="AV244" s="372"/>
      <c r="AW244" s="372"/>
      <c r="AX244" s="372"/>
      <c r="AY244" s="372"/>
      <c r="AZ244" s="372"/>
      <c r="BA244" s="372"/>
      <c r="BB244" s="372"/>
      <c r="BC244" s="372"/>
      <c r="BD244" s="372"/>
      <c r="BE244" s="372"/>
      <c r="BF244" s="372"/>
      <c r="BG244" s="372"/>
    </row>
    <row r="245" spans="8:59" x14ac:dyDescent="0.25">
      <c r="H245" s="372"/>
      <c r="I245" s="372"/>
      <c r="J245" s="372"/>
      <c r="K245" s="372"/>
      <c r="L245" s="372"/>
      <c r="M245" s="372"/>
      <c r="N245" s="372"/>
      <c r="O245" s="372"/>
      <c r="P245" s="372"/>
      <c r="Q245" s="372"/>
      <c r="R245" s="372"/>
      <c r="S245" s="372"/>
      <c r="T245" s="372"/>
      <c r="U245" s="372"/>
      <c r="V245" s="372"/>
      <c r="W245" s="372"/>
      <c r="X245" s="372"/>
      <c r="Y245" s="372"/>
      <c r="Z245" s="372"/>
      <c r="AA245" s="372"/>
      <c r="AB245" s="372"/>
      <c r="AC245" s="372"/>
      <c r="AD245" s="372"/>
      <c r="AE245" s="372"/>
      <c r="AF245" s="372"/>
      <c r="AG245" s="372"/>
      <c r="AH245" s="372"/>
      <c r="AI245" s="372"/>
      <c r="AJ245" s="372"/>
      <c r="AK245" s="372"/>
      <c r="AL245" s="372"/>
      <c r="AM245" s="372"/>
      <c r="AN245" s="372"/>
      <c r="AO245" s="372"/>
      <c r="AP245" s="372"/>
      <c r="AQ245" s="372"/>
      <c r="AR245" s="372"/>
      <c r="AS245" s="372"/>
      <c r="AT245" s="372"/>
      <c r="AU245" s="372"/>
      <c r="AV245" s="372"/>
      <c r="AW245" s="372"/>
      <c r="AX245" s="372"/>
      <c r="AY245" s="372"/>
      <c r="AZ245" s="372"/>
      <c r="BA245" s="372"/>
      <c r="BB245" s="372"/>
      <c r="BC245" s="372"/>
      <c r="BD245" s="372"/>
      <c r="BE245" s="372"/>
      <c r="BF245" s="372"/>
      <c r="BG245" s="372"/>
    </row>
    <row r="246" spans="8:59" x14ac:dyDescent="0.25">
      <c r="H246" s="372"/>
      <c r="I246" s="372"/>
      <c r="J246" s="372"/>
      <c r="K246" s="372"/>
      <c r="L246" s="372"/>
      <c r="M246" s="372"/>
      <c r="N246" s="372"/>
      <c r="O246" s="372"/>
      <c r="P246" s="372"/>
      <c r="Q246" s="372"/>
      <c r="R246" s="372"/>
      <c r="S246" s="372"/>
      <c r="T246" s="372"/>
      <c r="U246" s="372"/>
      <c r="V246" s="372"/>
      <c r="W246" s="372"/>
      <c r="X246" s="372"/>
      <c r="Y246" s="372"/>
      <c r="Z246" s="372"/>
      <c r="AA246" s="372"/>
      <c r="AB246" s="372"/>
      <c r="AC246" s="372"/>
      <c r="AD246" s="372"/>
      <c r="AE246" s="372"/>
      <c r="AF246" s="372"/>
      <c r="AG246" s="372"/>
      <c r="AH246" s="372"/>
      <c r="AI246" s="372"/>
      <c r="AJ246" s="372"/>
      <c r="AK246" s="372"/>
      <c r="AL246" s="372"/>
      <c r="AM246" s="372"/>
      <c r="AN246" s="372"/>
      <c r="AO246" s="372"/>
      <c r="AP246" s="372"/>
      <c r="AQ246" s="372"/>
      <c r="AR246" s="372"/>
      <c r="AS246" s="372"/>
      <c r="AT246" s="372"/>
      <c r="AU246" s="372"/>
      <c r="AV246" s="372"/>
      <c r="AW246" s="372"/>
      <c r="AX246" s="372"/>
      <c r="AY246" s="372"/>
      <c r="AZ246" s="372"/>
      <c r="BA246" s="372"/>
      <c r="BB246" s="372"/>
      <c r="BC246" s="372"/>
      <c r="BD246" s="372"/>
      <c r="BE246" s="372"/>
      <c r="BF246" s="372"/>
      <c r="BG246" s="372"/>
    </row>
  </sheetData>
  <mergeCells count="5">
    <mergeCell ref="B21:B23"/>
    <mergeCell ref="C21:D22"/>
    <mergeCell ref="E21:F22"/>
    <mergeCell ref="C10:E10"/>
    <mergeCell ref="C11:E11"/>
  </mergeCells>
  <conditionalFormatting sqref="B24:F123 H24:BG123">
    <cfRule type="expression" dxfId="17" priority="9">
      <formula>IF($B24="",FALSE,TRUE)</formula>
    </cfRule>
  </conditionalFormatting>
  <conditionalFormatting sqref="B24:F123">
    <cfRule type="expression" dxfId="16" priority="8">
      <formula>IF($B24&lt;&gt;"",TRUE,FALSE)</formula>
    </cfRule>
  </conditionalFormatting>
  <conditionalFormatting sqref="C21:F23">
    <cfRule type="expression" dxfId="15" priority="7">
      <formula>IF($B$21="Core session",TRUE,FALSE)</formula>
    </cfRule>
  </conditionalFormatting>
  <conditionalFormatting sqref="B124:D223 F124:F223">
    <cfRule type="expression" dxfId="14" priority="5">
      <formula>IF($B124&lt;&gt;"",TRUE,FALSE)</formula>
    </cfRule>
    <cfRule type="expression" dxfId="13" priority="6">
      <formula>IF($B124="",FALSE,TRUE)</formula>
    </cfRule>
  </conditionalFormatting>
  <conditionalFormatting sqref="H124:BG223">
    <cfRule type="expression" dxfId="12" priority="4">
      <formula>IF($B124="", FALSE, TRUE)</formula>
    </cfRule>
  </conditionalFormatting>
  <conditionalFormatting sqref="E124:E223">
    <cfRule type="expression" dxfId="11" priority="2">
      <formula>IF($B124="",FALSE,TRUE)</formula>
    </cfRule>
  </conditionalFormatting>
  <conditionalFormatting sqref="E124:E223">
    <cfRule type="expression" dxfId="10" priority="1">
      <formula>IF($B124&lt;&gt;"",TRUE,FALSE)</formula>
    </cfRule>
  </conditionalFormatting>
  <dataValidations count="1">
    <dataValidation type="list" allowBlank="1" showInputMessage="1" showErrorMessage="1" sqref="B21:B23" xr:uid="{00000000-0002-0000-0F00-000000000000}">
      <formula1>"Ad hoc session, Core session"</formula1>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64841" r:id="rId4" name="CAP_Simplified">
              <controlPr defaultSize="0" autoFill="0" autoLine="0" autoPict="0" macro="[0]!Simplified_Calculator_Click">
                <anchor moveWithCells="1">
                  <from>
                    <xdr:col>1</xdr:col>
                    <xdr:colOff>640080</xdr:colOff>
                    <xdr:row>5</xdr:row>
                    <xdr:rowOff>160020</xdr:rowOff>
                  </from>
                  <to>
                    <xdr:col>1</xdr:col>
                    <xdr:colOff>944880</xdr:colOff>
                    <xdr:row>7</xdr:row>
                    <xdr:rowOff>30480</xdr:rowOff>
                  </to>
                </anchor>
              </controlPr>
            </control>
          </mc:Choice>
        </mc:AlternateContent>
        <mc:AlternateContent xmlns:mc="http://schemas.openxmlformats.org/markup-compatibility/2006">
          <mc:Choice Requires="x14">
            <control shapeId="64842" r:id="rId5" name="CAP_Advanced">
              <controlPr defaultSize="0" autoFill="0" autoLine="0" autoPict="0" macro="[0]!Advanced_Calculator_Click">
                <anchor moveWithCells="1">
                  <from>
                    <xdr:col>2</xdr:col>
                    <xdr:colOff>251460</xdr:colOff>
                    <xdr:row>5</xdr:row>
                    <xdr:rowOff>160020</xdr:rowOff>
                  </from>
                  <to>
                    <xdr:col>2</xdr:col>
                    <xdr:colOff>556260</xdr:colOff>
                    <xdr:row>7</xdr:row>
                    <xdr:rowOff>30480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0" id="{C604E358-9099-4C3C-8FED-C263D58C96AD}">
            <xm:f>IF(AND('Capacity calculation (hide)'!$E$1=2,'Capacity calculation (hide)'!H112=0),TRUE,FALSE)</xm:f>
            <x14:dxf>
              <fill>
                <patternFill>
                  <bgColor theme="0" tint="-0.34998626667073579"/>
                </patternFill>
              </fill>
            </x14:dxf>
          </x14:cfRule>
          <xm:sqref>H24:BG123</xm:sqref>
        </x14:conditionalFormatting>
        <x14:conditionalFormatting xmlns:xm="http://schemas.microsoft.com/office/excel/2006/main">
          <x14:cfRule type="expression" priority="3" id="{2D5FDE64-7C03-4AE0-9001-41E3F5212F90}">
            <xm:f>IF('Capacity calculation (hide)'!H5=1,FALSE, TRUE)</xm:f>
            <x14:dxf>
              <fill>
                <patternFill>
                  <bgColor theme="0" tint="-0.34998626667073579"/>
                </patternFill>
              </fill>
            </x14:dxf>
          </x14:cfRule>
          <xm:sqref>H124:BG223</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00000000-0002-0000-0F00-000001000000}">
          <x14:formula1>
            <xm:f>OFFSET('Control sheet (hide)'!$AE$2,0,0,Capacity!$A$16+1,1)</xm:f>
          </x14:formula1>
          <xm:sqref>C10</xm:sqref>
        </x14:dataValidation>
        <x14:dataValidation type="list" allowBlank="1" showInputMessage="1" showErrorMessage="1" xr:uid="{00000000-0002-0000-0F00-000002000000}">
          <x14:formula1>
            <xm:f>'Control sheet (hide)'!$C$3:$C$4</xm:f>
          </x14:formula1>
          <xm:sqref>C14:D14</xm:sqref>
        </x14:dataValidation>
        <x14:dataValidation type="list" allowBlank="1" showInputMessage="1" showErrorMessage="1" xr:uid="{00000000-0002-0000-0F00-000003000000}">
          <x14:formula1>
            <xm:f>OFFSET('Capacity calculation (hide)'!$C$111,0,0,Capacity!$M$16+1,1)</xm:f>
          </x14:formula1>
          <xm:sqref>C11</xm:sqref>
        </x14:dataValidation>
        <x14:dataValidation type="list" allowBlank="1" showInputMessage="1" showErrorMessage="1" xr:uid="{00000000-0002-0000-0F00-000004000000}">
          <x14:formula1>
            <xm:f>IF(Setup!$I$17="Patients",'Control sheet (hide)'!$E$2,IF(Setup!$I$17="Minutes",'Control sheet (hide)'!$E$9:$E$10,'Control sheet (hide)'!$E$6:$E$7))</xm:f>
          </x14:formula1>
          <xm:sqref>C16</xm:sqref>
        </x14:dataValidation>
        <x14:dataValidation type="custom" allowBlank="1" showInputMessage="1" showErrorMessage="1" xr:uid="{00000000-0002-0000-0F00-000006000000}">
          <x14:formula1>
            <xm:f>IF(OR(AND('Capacity calculation (hide)'!$E$1=2,'Capacity calculation (hide)'!H5=1),'Capacity calculation (hide)'!$E$1=1),IF(OR(ISERROR(VALUE(H124))=FALSE,OR(H124="",LOWER(H124="x"))),TRUE,FALSE),IF(H124="",TRUE,FALSE))</xm:f>
          </x14:formula1>
          <xm:sqref>H124:BG223</xm:sqref>
        </x14:dataValidation>
        <x14:dataValidation type="custom" allowBlank="1" showInputMessage="1" showErrorMessage="1" xr:uid="{44C48EFE-F730-4019-B79D-A980F3068D53}">
          <x14:formula1>
            <xm:f>IF(OR(AND('Capacity calculation (hide)'!$E$1=2,'Capacity calculation (hide)'!H112=1),'Capacity calculation (hide)'!$E$1=1),IF(OR(ISERROR(VALUE(H24))=FALSE,OR(H24="",LOWER(H24="x"))),TRUE,FALSE),IF(H24="",TRUE,FALSE))</xm:f>
          </x14:formula1>
          <xm:sqref>H24:BG123</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dimension ref="A1:GY297"/>
  <sheetViews>
    <sheetView workbookViewId="0">
      <selection activeCell="B6" sqref="B6"/>
    </sheetView>
  </sheetViews>
  <sheetFormatPr defaultColWidth="9" defaultRowHeight="13.8" x14ac:dyDescent="0.25"/>
  <cols>
    <col min="1" max="1" width="9.8984375" style="67" bestFit="1" customWidth="1"/>
    <col min="2" max="2" width="17.8984375" style="67" bestFit="1" customWidth="1"/>
    <col min="3" max="6" width="10.3984375" style="67" customWidth="1"/>
    <col min="7" max="7" width="16.59765625" style="67" customWidth="1"/>
    <col min="8" max="9" width="10.3984375" style="67" customWidth="1"/>
    <col min="10" max="19" width="9" style="67" customWidth="1"/>
    <col min="20" max="20" width="14.8984375" style="67" customWidth="1"/>
    <col min="21" max="100" width="9" style="67" customWidth="1"/>
    <col min="101" max="101" width="9.8984375" style="67" bestFit="1" customWidth="1"/>
    <col min="102" max="103" width="9" style="67"/>
    <col min="104" max="104" width="10" style="67" bestFit="1" customWidth="1"/>
    <col min="105" max="208" width="9" style="67" customWidth="1"/>
    <col min="209" max="16384" width="9" style="67"/>
  </cols>
  <sheetData>
    <row r="1" spans="1:72" x14ac:dyDescent="0.25">
      <c r="B1" s="67" t="s">
        <v>292</v>
      </c>
      <c r="C1" s="67">
        <v>1</v>
      </c>
    </row>
    <row r="2" spans="1:72" x14ac:dyDescent="0.25">
      <c r="A2" s="67" t="s">
        <v>442</v>
      </c>
      <c r="H2" s="67" t="s">
        <v>1169</v>
      </c>
      <c r="I2" s="67">
        <f t="array" aca="1" ref="I2" ca="1">IF(OR(I6:I105-H6:H105&lt;0,K6:K105-J6:J105&lt;0,M6:M105-L6:L105&lt;0,O6:O105-N6:N105&lt;0,Q6:Q105-P6:P105&lt;0),1,0)</f>
        <v>0</v>
      </c>
    </row>
    <row r="3" spans="1:72" x14ac:dyDescent="0.25">
      <c r="T3" s="67" t="s">
        <v>449</v>
      </c>
    </row>
    <row r="4" spans="1:72" x14ac:dyDescent="0.25">
      <c r="B4" s="2"/>
      <c r="C4" s="2"/>
      <c r="D4" s="2" t="s">
        <v>468</v>
      </c>
      <c r="E4" s="2"/>
      <c r="F4" s="2"/>
      <c r="G4" s="116"/>
      <c r="H4" s="2" t="s">
        <v>444</v>
      </c>
      <c r="I4" s="2"/>
      <c r="J4" s="2" t="s">
        <v>445</v>
      </c>
      <c r="K4" s="2"/>
      <c r="L4" s="2" t="s">
        <v>446</v>
      </c>
      <c r="M4" s="2"/>
      <c r="N4" s="2" t="s">
        <v>447</v>
      </c>
      <c r="O4" s="2"/>
      <c r="P4" s="2" t="s">
        <v>448</v>
      </c>
      <c r="Q4" s="2"/>
      <c r="U4" s="2" t="s">
        <v>248</v>
      </c>
    </row>
    <row r="5" spans="1:72" x14ac:dyDescent="0.25">
      <c r="A5" s="67" t="s">
        <v>1168</v>
      </c>
      <c r="B5" s="2" t="s">
        <v>293</v>
      </c>
      <c r="C5" s="2" t="s">
        <v>248</v>
      </c>
      <c r="D5" s="2" t="s">
        <v>128</v>
      </c>
      <c r="E5" s="2" t="s">
        <v>427</v>
      </c>
      <c r="F5" s="2"/>
      <c r="G5" s="2" t="s">
        <v>443</v>
      </c>
      <c r="H5" s="2" t="s">
        <v>148</v>
      </c>
      <c r="I5" s="2" t="s">
        <v>149</v>
      </c>
      <c r="J5" s="2" t="s">
        <v>148</v>
      </c>
      <c r="K5" s="2" t="s">
        <v>149</v>
      </c>
      <c r="L5" s="2" t="s">
        <v>148</v>
      </c>
      <c r="M5" s="2" t="s">
        <v>149</v>
      </c>
      <c r="N5" s="2" t="s">
        <v>148</v>
      </c>
      <c r="O5" s="2" t="s">
        <v>149</v>
      </c>
      <c r="P5" s="2" t="s">
        <v>148</v>
      </c>
      <c r="Q5" s="2" t="s">
        <v>149</v>
      </c>
      <c r="T5" s="2" t="s">
        <v>450</v>
      </c>
      <c r="U5" s="67">
        <v>1</v>
      </c>
      <c r="V5" s="67">
        <v>2</v>
      </c>
      <c r="W5" s="67">
        <v>3</v>
      </c>
      <c r="X5" s="67">
        <v>4</v>
      </c>
      <c r="Y5" s="67">
        <v>5</v>
      </c>
      <c r="Z5" s="67">
        <v>6</v>
      </c>
      <c r="AA5" s="67">
        <v>7</v>
      </c>
      <c r="AB5" s="67">
        <v>8</v>
      </c>
      <c r="AC5" s="67">
        <v>9</v>
      </c>
      <c r="AD5" s="67">
        <v>10</v>
      </c>
      <c r="AE5" s="67">
        <v>11</v>
      </c>
      <c r="AF5" s="67">
        <v>12</v>
      </c>
      <c r="AG5" s="67">
        <v>13</v>
      </c>
      <c r="AH5" s="67">
        <v>14</v>
      </c>
      <c r="AI5" s="67">
        <v>15</v>
      </c>
      <c r="AJ5" s="67">
        <v>16</v>
      </c>
      <c r="AK5" s="67">
        <v>17</v>
      </c>
      <c r="AL5" s="67">
        <v>18</v>
      </c>
      <c r="AM5" s="67">
        <v>19</v>
      </c>
      <c r="AN5" s="67">
        <v>20</v>
      </c>
      <c r="AO5" s="67">
        <v>21</v>
      </c>
      <c r="AP5" s="67">
        <v>22</v>
      </c>
      <c r="AQ5" s="67">
        <v>23</v>
      </c>
      <c r="AR5" s="67">
        <v>24</v>
      </c>
      <c r="AS5" s="67">
        <v>25</v>
      </c>
      <c r="AT5" s="67">
        <v>26</v>
      </c>
      <c r="AU5" s="67">
        <v>27</v>
      </c>
      <c r="AV5" s="67">
        <v>28</v>
      </c>
      <c r="AW5" s="67">
        <v>29</v>
      </c>
      <c r="AX5" s="67">
        <v>30</v>
      </c>
      <c r="AY5" s="67">
        <v>31</v>
      </c>
      <c r="AZ5" s="67">
        <v>32</v>
      </c>
      <c r="BA5" s="67">
        <v>33</v>
      </c>
      <c r="BB5" s="67">
        <v>34</v>
      </c>
      <c r="BC5" s="67">
        <v>35</v>
      </c>
      <c r="BD5" s="67">
        <v>36</v>
      </c>
      <c r="BE5" s="67">
        <v>37</v>
      </c>
      <c r="BF5" s="67">
        <v>38</v>
      </c>
      <c r="BG5" s="67">
        <v>39</v>
      </c>
      <c r="BH5" s="67">
        <v>40</v>
      </c>
      <c r="BI5" s="67">
        <v>41</v>
      </c>
      <c r="BJ5" s="67">
        <v>42</v>
      </c>
      <c r="BK5" s="67">
        <v>43</v>
      </c>
      <c r="BL5" s="67">
        <v>44</v>
      </c>
      <c r="BM5" s="67">
        <v>45</v>
      </c>
      <c r="BN5" s="67">
        <v>46</v>
      </c>
      <c r="BO5" s="67">
        <v>47</v>
      </c>
      <c r="BP5" s="67">
        <v>48</v>
      </c>
      <c r="BQ5" s="67">
        <v>49</v>
      </c>
      <c r="BR5" s="67">
        <v>50</v>
      </c>
      <c r="BS5" s="67">
        <v>51</v>
      </c>
      <c r="BT5" s="67">
        <v>52</v>
      </c>
    </row>
    <row r="6" spans="1:72" x14ac:dyDescent="0.25">
      <c r="A6" s="320">
        <f ca="1">B6+6</f>
        <v>43940</v>
      </c>
      <c r="B6" s="87">
        <f ca="1">IF('Critical resources'!$D$3="",TODAY()-WEEKDAY(TODAY(),3)+7,'Critical resources'!D3-WEEKDAY('Critical resources'!D3,3))</f>
        <v>43934</v>
      </c>
      <c r="C6" s="67">
        <v>1</v>
      </c>
      <c r="D6" s="67">
        <f ca="1">YEAR(B6)</f>
        <v>2020</v>
      </c>
      <c r="E6" s="67" t="str">
        <f t="shared" ref="E6:E54" ca="1" si="0">IF(TEXT(B6,"MMM")=TEXT(B5,"MMM")," ",TEXT(B6,"MMM"))</f>
        <v>Apr</v>
      </c>
      <c r="F6" s="67">
        <f ca="1">WEEKNUM(B6,21)</f>
        <v>16</v>
      </c>
      <c r="G6" s="67" t="str">
        <f>ROW(A1)&amp;". "&amp;'Critical resources'!B12</f>
        <v xml:space="preserve">1. </v>
      </c>
      <c r="H6" s="67">
        <f ca="1">IFERROR(VLOOKUP('Critical resources'!D12,$B$6:$C$57,2,0),0)</f>
        <v>0</v>
      </c>
      <c r="I6" s="67">
        <f ca="1">IFERROR(VLOOKUP('Critical resources'!E12,$A$6:$C$57,3,0),0)</f>
        <v>0</v>
      </c>
      <c r="J6" s="67">
        <f ca="1">IFERROR(VLOOKUP('Critical resources'!G12,$B$6:$C$57,2,0),0)</f>
        <v>0</v>
      </c>
      <c r="K6" s="67">
        <f ca="1">IFERROR(VLOOKUP('Critical resources'!H12,$A$6:$C$57,3,0),0)</f>
        <v>0</v>
      </c>
      <c r="L6" s="67">
        <f ca="1">IFERROR(VLOOKUP('Critical resources'!J12,$B$6:$C$57,2,0),0)</f>
        <v>0</v>
      </c>
      <c r="M6" s="67">
        <f ca="1">IFERROR(VLOOKUP('Critical resources'!K12,$A$6:$C$57,3,0),0)</f>
        <v>0</v>
      </c>
      <c r="N6" s="67">
        <f ca="1">IFERROR(VLOOKUP('Critical resources'!M12,$B$6:$C$57,2,0),0)</f>
        <v>0</v>
      </c>
      <c r="O6" s="67">
        <f ca="1">IFERROR(VLOOKUP('Critical resources'!N12,$A$6:$C$57,3,0),0)</f>
        <v>0</v>
      </c>
      <c r="P6" s="67">
        <f ca="1">IFERROR(VLOOKUP('Critical resources'!P12,$B$6:$C$57,2,0),0)</f>
        <v>0</v>
      </c>
      <c r="Q6" s="67">
        <f ca="1">IFERROR(VLOOKUP('Critical resources'!Q12,$A$6:$C$57,3,0),0)</f>
        <v>0</v>
      </c>
      <c r="T6" s="67" t="str">
        <f t="shared" ref="T6:T37" si="1">G6</f>
        <v xml:space="preserve">1. </v>
      </c>
      <c r="U6" s="67">
        <f ca="1">SUM(IFERROR(IF(AND(U$5&gt;=$H6,U$5&lt;=$I6),1,0),0),IFERROR(IF(AND(U$5&gt;=$J6,U$5&lt;=$K6),1,0),0),IFERROR(IF(AND(U$5&gt;=$L6,U$5&lt;=$M6),1,0),0),IFERROR(IF(AND(U$5&gt;=$N6,U$5&lt;=$O6),1,0),0),IFERROR(IF(AND(U$5&gt;=$P6,U$5&lt;=$Q6),1,0),0))</f>
        <v>0</v>
      </c>
      <c r="V6" s="67">
        <f t="shared" ref="V6:AK21" ca="1" si="2">SUM(IFERROR(IF(AND(V$5&gt;=$H6,V$5&lt;=$I6),1,0),0),IFERROR(IF(AND(V$5&gt;=$J6,V$5&lt;=$K6),1,0),0),IFERROR(IF(AND(V$5&gt;=$L6,V$5&lt;=$M6),1,0),0),IFERROR(IF(AND(V$5&gt;=$N6,V$5&lt;=$O6),1,0),0),IFERROR(IF(AND(V$5&gt;=$P6,V$5&lt;=$Q6),1,0),0))</f>
        <v>0</v>
      </c>
      <c r="W6" s="67">
        <f t="shared" ca="1" si="2"/>
        <v>0</v>
      </c>
      <c r="X6" s="67">
        <f t="shared" ca="1" si="2"/>
        <v>0</v>
      </c>
      <c r="Y6" s="67">
        <f t="shared" ca="1" si="2"/>
        <v>0</v>
      </c>
      <c r="Z6" s="67">
        <f t="shared" ca="1" si="2"/>
        <v>0</v>
      </c>
      <c r="AA6" s="67">
        <f t="shared" ca="1" si="2"/>
        <v>0</v>
      </c>
      <c r="AB6" s="67">
        <f t="shared" ca="1" si="2"/>
        <v>0</v>
      </c>
      <c r="AC6" s="67">
        <f t="shared" ca="1" si="2"/>
        <v>0</v>
      </c>
      <c r="AD6" s="67">
        <f t="shared" ca="1" si="2"/>
        <v>0</v>
      </c>
      <c r="AE6" s="67">
        <f t="shared" ca="1" si="2"/>
        <v>0</v>
      </c>
      <c r="AF6" s="67">
        <f t="shared" ca="1" si="2"/>
        <v>0</v>
      </c>
      <c r="AG6" s="67">
        <f t="shared" ca="1" si="2"/>
        <v>0</v>
      </c>
      <c r="AH6" s="67">
        <f t="shared" ca="1" si="2"/>
        <v>0</v>
      </c>
      <c r="AI6" s="67">
        <f t="shared" ca="1" si="2"/>
        <v>0</v>
      </c>
      <c r="AJ6" s="67">
        <f t="shared" ca="1" si="2"/>
        <v>0</v>
      </c>
      <c r="AK6" s="67">
        <f t="shared" ca="1" si="2"/>
        <v>0</v>
      </c>
      <c r="AL6" s="67">
        <f t="shared" ref="AL6:BA21" ca="1" si="3">SUM(IFERROR(IF(AND(AL$5&gt;=$H6,AL$5&lt;=$I6),1,0),0),IFERROR(IF(AND(AL$5&gt;=$J6,AL$5&lt;=$K6),1,0),0),IFERROR(IF(AND(AL$5&gt;=$L6,AL$5&lt;=$M6),1,0),0),IFERROR(IF(AND(AL$5&gt;=$N6,AL$5&lt;=$O6),1,0),0),IFERROR(IF(AND(AL$5&gt;=$P6,AL$5&lt;=$Q6),1,0),0))</f>
        <v>0</v>
      </c>
      <c r="AM6" s="67">
        <f t="shared" ca="1" si="3"/>
        <v>0</v>
      </c>
      <c r="AN6" s="67">
        <f t="shared" ca="1" si="3"/>
        <v>0</v>
      </c>
      <c r="AO6" s="67">
        <f t="shared" ca="1" si="3"/>
        <v>0</v>
      </c>
      <c r="AP6" s="67">
        <f t="shared" ca="1" si="3"/>
        <v>0</v>
      </c>
      <c r="AQ6" s="67">
        <f t="shared" ca="1" si="3"/>
        <v>0</v>
      </c>
      <c r="AR6" s="67">
        <f t="shared" ca="1" si="3"/>
        <v>0</v>
      </c>
      <c r="AS6" s="67">
        <f t="shared" ca="1" si="3"/>
        <v>0</v>
      </c>
      <c r="AT6" s="67">
        <f t="shared" ca="1" si="3"/>
        <v>0</v>
      </c>
      <c r="AU6" s="67">
        <f t="shared" ca="1" si="3"/>
        <v>0</v>
      </c>
      <c r="AV6" s="67">
        <f t="shared" ca="1" si="3"/>
        <v>0</v>
      </c>
      <c r="AW6" s="67">
        <f t="shared" ca="1" si="3"/>
        <v>0</v>
      </c>
      <c r="AX6" s="67">
        <f t="shared" ca="1" si="3"/>
        <v>0</v>
      </c>
      <c r="AY6" s="67">
        <f t="shared" ca="1" si="3"/>
        <v>0</v>
      </c>
      <c r="AZ6" s="67">
        <f t="shared" ca="1" si="3"/>
        <v>0</v>
      </c>
      <c r="BA6" s="67">
        <f t="shared" ca="1" si="3"/>
        <v>0</v>
      </c>
      <c r="BB6" s="67">
        <f t="shared" ref="BB6:BQ21" ca="1" si="4">SUM(IFERROR(IF(AND(BB$5&gt;=$H6,BB$5&lt;=$I6),1,0),0),IFERROR(IF(AND(BB$5&gt;=$J6,BB$5&lt;=$K6),1,0),0),IFERROR(IF(AND(BB$5&gt;=$L6,BB$5&lt;=$M6),1,0),0),IFERROR(IF(AND(BB$5&gt;=$N6,BB$5&lt;=$O6),1,0),0),IFERROR(IF(AND(BB$5&gt;=$P6,BB$5&lt;=$Q6),1,0),0))</f>
        <v>0</v>
      </c>
      <c r="BC6" s="67">
        <f t="shared" ca="1" si="4"/>
        <v>0</v>
      </c>
      <c r="BD6" s="67">
        <f t="shared" ca="1" si="4"/>
        <v>0</v>
      </c>
      <c r="BE6" s="67">
        <f t="shared" ca="1" si="4"/>
        <v>0</v>
      </c>
      <c r="BF6" s="67">
        <f t="shared" ca="1" si="4"/>
        <v>0</v>
      </c>
      <c r="BG6" s="67">
        <f t="shared" ca="1" si="4"/>
        <v>0</v>
      </c>
      <c r="BH6" s="67">
        <f t="shared" ca="1" si="4"/>
        <v>0</v>
      </c>
      <c r="BI6" s="67">
        <f t="shared" ca="1" si="4"/>
        <v>0</v>
      </c>
      <c r="BJ6" s="67">
        <f t="shared" ca="1" si="4"/>
        <v>0</v>
      </c>
      <c r="BK6" s="67">
        <f t="shared" ca="1" si="4"/>
        <v>0</v>
      </c>
      <c r="BL6" s="67">
        <f t="shared" ca="1" si="4"/>
        <v>0</v>
      </c>
      <c r="BM6" s="67">
        <f t="shared" ca="1" si="4"/>
        <v>0</v>
      </c>
      <c r="BN6" s="67">
        <f t="shared" ca="1" si="4"/>
        <v>0</v>
      </c>
      <c r="BO6" s="67">
        <f t="shared" ca="1" si="4"/>
        <v>0</v>
      </c>
      <c r="BP6" s="67">
        <f t="shared" ca="1" si="4"/>
        <v>0</v>
      </c>
      <c r="BQ6" s="67">
        <f t="shared" ca="1" si="4"/>
        <v>0</v>
      </c>
      <c r="BR6" s="67">
        <f t="shared" ref="BR6:BT25" ca="1" si="5">SUM(IFERROR(IF(AND(BR$5&gt;=$H6,BR$5&lt;=$I6),1,0),0),IFERROR(IF(AND(BR$5&gt;=$J6,BR$5&lt;=$K6),1,0),0),IFERROR(IF(AND(BR$5&gt;=$L6,BR$5&lt;=$M6),1,0),0),IFERROR(IF(AND(BR$5&gt;=$N6,BR$5&lt;=$O6),1,0),0),IFERROR(IF(AND(BR$5&gt;=$P6,BR$5&lt;=$Q6),1,0),0))</f>
        <v>0</v>
      </c>
      <c r="BS6" s="67">
        <f t="shared" ca="1" si="5"/>
        <v>0</v>
      </c>
      <c r="BT6" s="67">
        <f t="shared" ca="1" si="5"/>
        <v>0</v>
      </c>
    </row>
    <row r="7" spans="1:72" x14ac:dyDescent="0.25">
      <c r="A7" s="320">
        <f t="shared" ref="A7:A57" ca="1" si="6">B7+6</f>
        <v>43947</v>
      </c>
      <c r="B7" s="87">
        <f ca="1">B6+7</f>
        <v>43941</v>
      </c>
      <c r="C7" s="67">
        <v>2</v>
      </c>
      <c r="D7" s="67" t="str">
        <f ca="1">IF(YEAR(B7)=YEAR(B6),"",YEAR(B7))</f>
        <v/>
      </c>
      <c r="E7" s="67" t="str">
        <f t="shared" ca="1" si="0"/>
        <v xml:space="preserve"> </v>
      </c>
      <c r="F7" s="67">
        <f t="shared" ref="F7:F57" ca="1" si="7">WEEKNUM(B7,21)</f>
        <v>17</v>
      </c>
      <c r="G7" s="67" t="str">
        <f>ROW(A2)&amp;". "&amp;'Critical resources'!B13</f>
        <v xml:space="preserve">2. </v>
      </c>
      <c r="H7" s="67">
        <f ca="1">IFERROR(VLOOKUP('Critical resources'!D13,$B$6:$C$57,2,0),0)</f>
        <v>0</v>
      </c>
      <c r="I7" s="67">
        <f ca="1">IFERROR(VLOOKUP('Critical resources'!E13,$A$6:$C$57,3,0),0)</f>
        <v>0</v>
      </c>
      <c r="J7" s="67">
        <f ca="1">IFERROR(VLOOKUP('Critical resources'!G13,$B$6:$C$57,2,0),0)</f>
        <v>0</v>
      </c>
      <c r="K7" s="67">
        <f ca="1">IFERROR(VLOOKUP('Critical resources'!H13,$B$6:$C$57,2,0),0)</f>
        <v>0</v>
      </c>
      <c r="L7" s="67">
        <f ca="1">IFERROR(VLOOKUP('Critical resources'!J13,$B$6:$C$57,2,0),0)</f>
        <v>0</v>
      </c>
      <c r="M7" s="67">
        <f ca="1">IFERROR(VLOOKUP('Critical resources'!K13,$A$6:$C$57,3,0),0)</f>
        <v>0</v>
      </c>
      <c r="N7" s="67">
        <f ca="1">IFERROR(VLOOKUP('Critical resources'!M13,$B$6:$C$57,2,0),0)</f>
        <v>0</v>
      </c>
      <c r="O7" s="67">
        <f ca="1">IFERROR(VLOOKUP('Critical resources'!N13,$A$6:$C$57,3,0),0)</f>
        <v>0</v>
      </c>
      <c r="P7" s="67">
        <f ca="1">IFERROR(VLOOKUP('Critical resources'!P13,$B$6:$C$57,2,0),0)</f>
        <v>0</v>
      </c>
      <c r="Q7" s="67">
        <f ca="1">IFERROR(VLOOKUP('Critical resources'!Q13,$A$6:$C$57,3,0),0)</f>
        <v>0</v>
      </c>
      <c r="T7" s="67" t="str">
        <f t="shared" si="1"/>
        <v xml:space="preserve">2. </v>
      </c>
      <c r="U7" s="67">
        <f t="shared" ref="U7:AJ22" ca="1" si="8">SUM(IFERROR(IF(AND(U$5&gt;=$H7,U$5&lt;=$I7),1,0),0),IFERROR(IF(AND(U$5&gt;=$J7,U$5&lt;=$K7),1,0),0),IFERROR(IF(AND(U$5&gt;=$L7,U$5&lt;=$M7),1,0),0),IFERROR(IF(AND(U$5&gt;=$N7,U$5&lt;=$O7),1,0),0),IFERROR(IF(AND(U$5&gt;=$P7,U$5&lt;=$Q7),1,0),0))</f>
        <v>0</v>
      </c>
      <c r="V7" s="67">
        <f t="shared" ca="1" si="2"/>
        <v>0</v>
      </c>
      <c r="W7" s="67">
        <f t="shared" ca="1" si="2"/>
        <v>0</v>
      </c>
      <c r="X7" s="67">
        <f t="shared" ca="1" si="2"/>
        <v>0</v>
      </c>
      <c r="Y7" s="67">
        <f t="shared" ca="1" si="2"/>
        <v>0</v>
      </c>
      <c r="Z7" s="67">
        <f t="shared" ca="1" si="2"/>
        <v>0</v>
      </c>
      <c r="AA7" s="67">
        <f t="shared" ca="1" si="2"/>
        <v>0</v>
      </c>
      <c r="AB7" s="67">
        <f t="shared" ca="1" si="2"/>
        <v>0</v>
      </c>
      <c r="AC7" s="67">
        <f t="shared" ca="1" si="2"/>
        <v>0</v>
      </c>
      <c r="AD7" s="67">
        <f t="shared" ca="1" si="2"/>
        <v>0</v>
      </c>
      <c r="AE7" s="67">
        <f t="shared" ca="1" si="2"/>
        <v>0</v>
      </c>
      <c r="AF7" s="67">
        <f t="shared" ca="1" si="2"/>
        <v>0</v>
      </c>
      <c r="AG7" s="67">
        <f t="shared" ca="1" si="2"/>
        <v>0</v>
      </c>
      <c r="AH7" s="67">
        <f t="shared" ca="1" si="2"/>
        <v>0</v>
      </c>
      <c r="AI7" s="67">
        <f t="shared" ca="1" si="2"/>
        <v>0</v>
      </c>
      <c r="AJ7" s="67">
        <f t="shared" ca="1" si="2"/>
        <v>0</v>
      </c>
      <c r="AK7" s="67">
        <f t="shared" ca="1" si="2"/>
        <v>0</v>
      </c>
      <c r="AL7" s="67">
        <f t="shared" ca="1" si="3"/>
        <v>0</v>
      </c>
      <c r="AM7" s="67">
        <f t="shared" ca="1" si="3"/>
        <v>0</v>
      </c>
      <c r="AN7" s="67">
        <f t="shared" ca="1" si="3"/>
        <v>0</v>
      </c>
      <c r="AO7" s="67">
        <f t="shared" ca="1" si="3"/>
        <v>0</v>
      </c>
      <c r="AP7" s="67">
        <f t="shared" ca="1" si="3"/>
        <v>0</v>
      </c>
      <c r="AQ7" s="67">
        <f t="shared" ca="1" si="3"/>
        <v>0</v>
      </c>
      <c r="AR7" s="67">
        <f t="shared" ca="1" si="3"/>
        <v>0</v>
      </c>
      <c r="AS7" s="67">
        <f t="shared" ca="1" si="3"/>
        <v>0</v>
      </c>
      <c r="AT7" s="67">
        <f t="shared" ca="1" si="3"/>
        <v>0</v>
      </c>
      <c r="AU7" s="67">
        <f t="shared" ca="1" si="3"/>
        <v>0</v>
      </c>
      <c r="AV7" s="67">
        <f t="shared" ca="1" si="3"/>
        <v>0</v>
      </c>
      <c r="AW7" s="67">
        <f t="shared" ca="1" si="3"/>
        <v>0</v>
      </c>
      <c r="AX7" s="67">
        <f t="shared" ca="1" si="3"/>
        <v>0</v>
      </c>
      <c r="AY7" s="67">
        <f t="shared" ca="1" si="3"/>
        <v>0</v>
      </c>
      <c r="AZ7" s="67">
        <f t="shared" ca="1" si="3"/>
        <v>0</v>
      </c>
      <c r="BA7" s="67">
        <f t="shared" ca="1" si="3"/>
        <v>0</v>
      </c>
      <c r="BB7" s="67">
        <f t="shared" ca="1" si="4"/>
        <v>0</v>
      </c>
      <c r="BC7" s="67">
        <f t="shared" ca="1" si="4"/>
        <v>0</v>
      </c>
      <c r="BD7" s="67">
        <f t="shared" ca="1" si="4"/>
        <v>0</v>
      </c>
      <c r="BE7" s="67">
        <f t="shared" ca="1" si="4"/>
        <v>0</v>
      </c>
      <c r="BF7" s="67">
        <f t="shared" ca="1" si="4"/>
        <v>0</v>
      </c>
      <c r="BG7" s="67">
        <f t="shared" ca="1" si="4"/>
        <v>0</v>
      </c>
      <c r="BH7" s="67">
        <f t="shared" ca="1" si="4"/>
        <v>0</v>
      </c>
      <c r="BI7" s="67">
        <f t="shared" ca="1" si="4"/>
        <v>0</v>
      </c>
      <c r="BJ7" s="67">
        <f t="shared" ca="1" si="4"/>
        <v>0</v>
      </c>
      <c r="BK7" s="67">
        <f t="shared" ca="1" si="4"/>
        <v>0</v>
      </c>
      <c r="BL7" s="67">
        <f t="shared" ca="1" si="4"/>
        <v>0</v>
      </c>
      <c r="BM7" s="67">
        <f t="shared" ca="1" si="4"/>
        <v>0</v>
      </c>
      <c r="BN7" s="67">
        <f t="shared" ca="1" si="4"/>
        <v>0</v>
      </c>
      <c r="BO7" s="67">
        <f t="shared" ca="1" si="4"/>
        <v>0</v>
      </c>
      <c r="BP7" s="67">
        <f t="shared" ca="1" si="4"/>
        <v>0</v>
      </c>
      <c r="BQ7" s="67">
        <f t="shared" ca="1" si="4"/>
        <v>0</v>
      </c>
      <c r="BR7" s="67">
        <f t="shared" ca="1" si="5"/>
        <v>0</v>
      </c>
      <c r="BS7" s="67">
        <f t="shared" ca="1" si="5"/>
        <v>0</v>
      </c>
      <c r="BT7" s="67">
        <f t="shared" ca="1" si="5"/>
        <v>0</v>
      </c>
    </row>
    <row r="8" spans="1:72" x14ac:dyDescent="0.25">
      <c r="A8" s="320">
        <f t="shared" ca="1" si="6"/>
        <v>43954</v>
      </c>
      <c r="B8" s="87">
        <f t="shared" ref="B8:B57" ca="1" si="9">B7+7</f>
        <v>43948</v>
      </c>
      <c r="C8" s="67">
        <v>3</v>
      </c>
      <c r="D8" s="67" t="str">
        <f t="shared" ref="D8:D57" ca="1" si="10">IF(YEAR(B8)=YEAR(B7),"",YEAR(B8))</f>
        <v/>
      </c>
      <c r="E8" s="67" t="str">
        <f t="shared" ca="1" si="0"/>
        <v xml:space="preserve"> </v>
      </c>
      <c r="F8" s="67">
        <f t="shared" ca="1" si="7"/>
        <v>18</v>
      </c>
      <c r="G8" s="67" t="str">
        <f>ROW(A3)&amp;". "&amp;'Critical resources'!B14</f>
        <v xml:space="preserve">3. </v>
      </c>
      <c r="H8" s="67">
        <f ca="1">IFERROR(VLOOKUP('Critical resources'!D14,$B$6:$C$57,2,0),0)</f>
        <v>0</v>
      </c>
      <c r="I8" s="67">
        <f ca="1">IFERROR(VLOOKUP('Critical resources'!E14,$A$6:$C$57,3,0),0)</f>
        <v>0</v>
      </c>
      <c r="J8" s="67">
        <f ca="1">IFERROR(VLOOKUP('Critical resources'!G14,$B$6:$C$57,2,0),0)</f>
        <v>0</v>
      </c>
      <c r="K8" s="67">
        <f ca="1">IFERROR(VLOOKUP('Critical resources'!H14,$B$6:$C$57,2,0),0)</f>
        <v>0</v>
      </c>
      <c r="L8" s="67">
        <f ca="1">IFERROR(VLOOKUP('Critical resources'!J14,$B$6:$C$57,2,0),0)</f>
        <v>0</v>
      </c>
      <c r="M8" s="67">
        <f ca="1">IFERROR(VLOOKUP('Critical resources'!K14,$A$6:$C$57,3,0),0)</f>
        <v>0</v>
      </c>
      <c r="N8" s="67">
        <f ca="1">IFERROR(VLOOKUP('Critical resources'!M14,$B$6:$C$57,2,0),0)</f>
        <v>0</v>
      </c>
      <c r="O8" s="67">
        <f ca="1">IFERROR(VLOOKUP('Critical resources'!N14,$A$6:$C$57,3,0),0)</f>
        <v>0</v>
      </c>
      <c r="P8" s="67">
        <f ca="1">IFERROR(VLOOKUP('Critical resources'!P14,$B$6:$C$57,2,0),0)</f>
        <v>0</v>
      </c>
      <c r="Q8" s="67">
        <f ca="1">IFERROR(VLOOKUP('Critical resources'!Q14,$A$6:$C$57,3,0),0)</f>
        <v>0</v>
      </c>
      <c r="T8" s="67" t="str">
        <f t="shared" si="1"/>
        <v xml:space="preserve">3. </v>
      </c>
      <c r="U8" s="67">
        <f t="shared" ca="1" si="8"/>
        <v>0</v>
      </c>
      <c r="V8" s="67">
        <f t="shared" ca="1" si="2"/>
        <v>0</v>
      </c>
      <c r="W8" s="67">
        <f t="shared" ca="1" si="2"/>
        <v>0</v>
      </c>
      <c r="X8" s="67">
        <f t="shared" ca="1" si="2"/>
        <v>0</v>
      </c>
      <c r="Y8" s="67">
        <f t="shared" ca="1" si="2"/>
        <v>0</v>
      </c>
      <c r="Z8" s="67">
        <f t="shared" ca="1" si="2"/>
        <v>0</v>
      </c>
      <c r="AA8" s="67">
        <f t="shared" ca="1" si="2"/>
        <v>0</v>
      </c>
      <c r="AB8" s="67">
        <f t="shared" ca="1" si="2"/>
        <v>0</v>
      </c>
      <c r="AC8" s="67">
        <f t="shared" ca="1" si="2"/>
        <v>0</v>
      </c>
      <c r="AD8" s="67">
        <f t="shared" ca="1" si="2"/>
        <v>0</v>
      </c>
      <c r="AE8" s="67">
        <f t="shared" ca="1" si="2"/>
        <v>0</v>
      </c>
      <c r="AF8" s="67">
        <f t="shared" ca="1" si="2"/>
        <v>0</v>
      </c>
      <c r="AG8" s="67">
        <f t="shared" ca="1" si="2"/>
        <v>0</v>
      </c>
      <c r="AH8" s="67">
        <f t="shared" ca="1" si="2"/>
        <v>0</v>
      </c>
      <c r="AI8" s="67">
        <f t="shared" ca="1" si="2"/>
        <v>0</v>
      </c>
      <c r="AJ8" s="67">
        <f t="shared" ca="1" si="2"/>
        <v>0</v>
      </c>
      <c r="AK8" s="67">
        <f t="shared" ca="1" si="2"/>
        <v>0</v>
      </c>
      <c r="AL8" s="67">
        <f t="shared" ca="1" si="3"/>
        <v>0</v>
      </c>
      <c r="AM8" s="67">
        <f t="shared" ca="1" si="3"/>
        <v>0</v>
      </c>
      <c r="AN8" s="67">
        <f t="shared" ca="1" si="3"/>
        <v>0</v>
      </c>
      <c r="AO8" s="67">
        <f t="shared" ca="1" si="3"/>
        <v>0</v>
      </c>
      <c r="AP8" s="67">
        <f t="shared" ca="1" si="3"/>
        <v>0</v>
      </c>
      <c r="AQ8" s="67">
        <f t="shared" ca="1" si="3"/>
        <v>0</v>
      </c>
      <c r="AR8" s="67">
        <f t="shared" ca="1" si="3"/>
        <v>0</v>
      </c>
      <c r="AS8" s="67">
        <f t="shared" ca="1" si="3"/>
        <v>0</v>
      </c>
      <c r="AT8" s="67">
        <f t="shared" ca="1" si="3"/>
        <v>0</v>
      </c>
      <c r="AU8" s="67">
        <f t="shared" ca="1" si="3"/>
        <v>0</v>
      </c>
      <c r="AV8" s="67">
        <f t="shared" ca="1" si="3"/>
        <v>0</v>
      </c>
      <c r="AW8" s="67">
        <f t="shared" ca="1" si="3"/>
        <v>0</v>
      </c>
      <c r="AX8" s="67">
        <f t="shared" ca="1" si="3"/>
        <v>0</v>
      </c>
      <c r="AY8" s="67">
        <f t="shared" ca="1" si="3"/>
        <v>0</v>
      </c>
      <c r="AZ8" s="67">
        <f t="shared" ca="1" si="3"/>
        <v>0</v>
      </c>
      <c r="BA8" s="67">
        <f t="shared" ca="1" si="3"/>
        <v>0</v>
      </c>
      <c r="BB8" s="67">
        <f t="shared" ca="1" si="4"/>
        <v>0</v>
      </c>
      <c r="BC8" s="67">
        <f t="shared" ca="1" si="4"/>
        <v>0</v>
      </c>
      <c r="BD8" s="67">
        <f t="shared" ca="1" si="4"/>
        <v>0</v>
      </c>
      <c r="BE8" s="67">
        <f t="shared" ca="1" si="4"/>
        <v>0</v>
      </c>
      <c r="BF8" s="67">
        <f t="shared" ca="1" si="4"/>
        <v>0</v>
      </c>
      <c r="BG8" s="67">
        <f t="shared" ca="1" si="4"/>
        <v>0</v>
      </c>
      <c r="BH8" s="67">
        <f t="shared" ca="1" si="4"/>
        <v>0</v>
      </c>
      <c r="BI8" s="67">
        <f t="shared" ca="1" si="4"/>
        <v>0</v>
      </c>
      <c r="BJ8" s="67">
        <f t="shared" ca="1" si="4"/>
        <v>0</v>
      </c>
      <c r="BK8" s="67">
        <f t="shared" ca="1" si="4"/>
        <v>0</v>
      </c>
      <c r="BL8" s="67">
        <f t="shared" ca="1" si="4"/>
        <v>0</v>
      </c>
      <c r="BM8" s="67">
        <f t="shared" ca="1" si="4"/>
        <v>0</v>
      </c>
      <c r="BN8" s="67">
        <f t="shared" ca="1" si="4"/>
        <v>0</v>
      </c>
      <c r="BO8" s="67">
        <f t="shared" ca="1" si="4"/>
        <v>0</v>
      </c>
      <c r="BP8" s="67">
        <f t="shared" ca="1" si="4"/>
        <v>0</v>
      </c>
      <c r="BQ8" s="67">
        <f t="shared" ca="1" si="4"/>
        <v>0</v>
      </c>
      <c r="BR8" s="67">
        <f t="shared" ca="1" si="5"/>
        <v>0</v>
      </c>
      <c r="BS8" s="67">
        <f t="shared" ca="1" si="5"/>
        <v>0</v>
      </c>
      <c r="BT8" s="67">
        <f t="shared" ca="1" si="5"/>
        <v>0</v>
      </c>
    </row>
    <row r="9" spans="1:72" x14ac:dyDescent="0.25">
      <c r="A9" s="320">
        <f t="shared" ca="1" si="6"/>
        <v>43961</v>
      </c>
      <c r="B9" s="87">
        <f t="shared" ca="1" si="9"/>
        <v>43955</v>
      </c>
      <c r="C9" s="67">
        <v>4</v>
      </c>
      <c r="D9" s="67" t="str">
        <f t="shared" ca="1" si="10"/>
        <v/>
      </c>
      <c r="E9" s="67" t="str">
        <f t="shared" ca="1" si="0"/>
        <v>May</v>
      </c>
      <c r="F9" s="67">
        <f t="shared" ca="1" si="7"/>
        <v>19</v>
      </c>
      <c r="G9" s="67" t="str">
        <f>ROW(A4)&amp;". "&amp;'Critical resources'!B15</f>
        <v xml:space="preserve">4. </v>
      </c>
      <c r="H9" s="67">
        <f ca="1">IFERROR(VLOOKUP('Critical resources'!D15,$B$6:$C$57,2,0),0)</f>
        <v>0</v>
      </c>
      <c r="I9" s="67">
        <f ca="1">IFERROR(VLOOKUP('Critical resources'!E15,$A$6:$C$57,3,0),0)</f>
        <v>0</v>
      </c>
      <c r="J9" s="67">
        <f ca="1">IFERROR(VLOOKUP('Critical resources'!G15,$B$6:$C$57,2,0),0)</f>
        <v>0</v>
      </c>
      <c r="K9" s="67">
        <f ca="1">IFERROR(VLOOKUP('Critical resources'!H15,$B$6:$C$57,2,0),0)</f>
        <v>0</v>
      </c>
      <c r="L9" s="67">
        <f ca="1">IFERROR(VLOOKUP('Critical resources'!J15,$B$6:$C$57,2,0),0)</f>
        <v>0</v>
      </c>
      <c r="M9" s="67">
        <f ca="1">IFERROR(VLOOKUP('Critical resources'!K15,$A$6:$C$57,3,0),0)</f>
        <v>0</v>
      </c>
      <c r="N9" s="67">
        <f ca="1">IFERROR(VLOOKUP('Critical resources'!M15,$B$6:$C$57,2,0),0)</f>
        <v>0</v>
      </c>
      <c r="O9" s="67">
        <f ca="1">IFERROR(VLOOKUP('Critical resources'!N15,$A$6:$C$57,3,0),0)</f>
        <v>0</v>
      </c>
      <c r="P9" s="67">
        <f ca="1">IFERROR(VLOOKUP('Critical resources'!P15,$B$6:$C$57,2,0),0)</f>
        <v>0</v>
      </c>
      <c r="Q9" s="67">
        <f ca="1">IFERROR(VLOOKUP('Critical resources'!Q15,$A$6:$C$57,3,0),0)</f>
        <v>0</v>
      </c>
      <c r="T9" s="67" t="str">
        <f t="shared" si="1"/>
        <v xml:space="preserve">4. </v>
      </c>
      <c r="U9" s="67">
        <f t="shared" ca="1" si="8"/>
        <v>0</v>
      </c>
      <c r="V9" s="67">
        <f t="shared" ca="1" si="2"/>
        <v>0</v>
      </c>
      <c r="W9" s="67">
        <f t="shared" ca="1" si="2"/>
        <v>0</v>
      </c>
      <c r="X9" s="67">
        <f t="shared" ca="1" si="2"/>
        <v>0</v>
      </c>
      <c r="Y9" s="67">
        <f t="shared" ca="1" si="2"/>
        <v>0</v>
      </c>
      <c r="Z9" s="67">
        <f t="shared" ca="1" si="2"/>
        <v>0</v>
      </c>
      <c r="AA9" s="67">
        <f t="shared" ca="1" si="2"/>
        <v>0</v>
      </c>
      <c r="AB9" s="67">
        <f t="shared" ca="1" si="2"/>
        <v>0</v>
      </c>
      <c r="AC9" s="67">
        <f t="shared" ca="1" si="2"/>
        <v>0</v>
      </c>
      <c r="AD9" s="67">
        <f t="shared" ca="1" si="2"/>
        <v>0</v>
      </c>
      <c r="AE9" s="67">
        <f t="shared" ca="1" si="2"/>
        <v>0</v>
      </c>
      <c r="AF9" s="67">
        <f t="shared" ca="1" si="2"/>
        <v>0</v>
      </c>
      <c r="AG9" s="67">
        <f t="shared" ca="1" si="2"/>
        <v>0</v>
      </c>
      <c r="AH9" s="67">
        <f t="shared" ca="1" si="2"/>
        <v>0</v>
      </c>
      <c r="AI9" s="67">
        <f t="shared" ca="1" si="2"/>
        <v>0</v>
      </c>
      <c r="AJ9" s="67">
        <f t="shared" ca="1" si="2"/>
        <v>0</v>
      </c>
      <c r="AK9" s="67">
        <f t="shared" ca="1" si="2"/>
        <v>0</v>
      </c>
      <c r="AL9" s="67">
        <f t="shared" ca="1" si="3"/>
        <v>0</v>
      </c>
      <c r="AM9" s="67">
        <f t="shared" ca="1" si="3"/>
        <v>0</v>
      </c>
      <c r="AN9" s="67">
        <f t="shared" ca="1" si="3"/>
        <v>0</v>
      </c>
      <c r="AO9" s="67">
        <f t="shared" ca="1" si="3"/>
        <v>0</v>
      </c>
      <c r="AP9" s="67">
        <f t="shared" ca="1" si="3"/>
        <v>0</v>
      </c>
      <c r="AQ9" s="67">
        <f t="shared" ca="1" si="3"/>
        <v>0</v>
      </c>
      <c r="AR9" s="67">
        <f t="shared" ca="1" si="3"/>
        <v>0</v>
      </c>
      <c r="AS9" s="67">
        <f t="shared" ca="1" si="3"/>
        <v>0</v>
      </c>
      <c r="AT9" s="67">
        <f t="shared" ca="1" si="3"/>
        <v>0</v>
      </c>
      <c r="AU9" s="67">
        <f t="shared" ca="1" si="3"/>
        <v>0</v>
      </c>
      <c r="AV9" s="67">
        <f t="shared" ca="1" si="3"/>
        <v>0</v>
      </c>
      <c r="AW9" s="67">
        <f t="shared" ca="1" si="3"/>
        <v>0</v>
      </c>
      <c r="AX9" s="67">
        <f t="shared" ca="1" si="3"/>
        <v>0</v>
      </c>
      <c r="AY9" s="67">
        <f t="shared" ca="1" si="3"/>
        <v>0</v>
      </c>
      <c r="AZ9" s="67">
        <f t="shared" ca="1" si="3"/>
        <v>0</v>
      </c>
      <c r="BA9" s="67">
        <f t="shared" ca="1" si="3"/>
        <v>0</v>
      </c>
      <c r="BB9" s="67">
        <f t="shared" ca="1" si="4"/>
        <v>0</v>
      </c>
      <c r="BC9" s="67">
        <f t="shared" ca="1" si="4"/>
        <v>0</v>
      </c>
      <c r="BD9" s="67">
        <f t="shared" ca="1" si="4"/>
        <v>0</v>
      </c>
      <c r="BE9" s="67">
        <f t="shared" ca="1" si="4"/>
        <v>0</v>
      </c>
      <c r="BF9" s="67">
        <f t="shared" ca="1" si="4"/>
        <v>0</v>
      </c>
      <c r="BG9" s="67">
        <f t="shared" ca="1" si="4"/>
        <v>0</v>
      </c>
      <c r="BH9" s="67">
        <f t="shared" ca="1" si="4"/>
        <v>0</v>
      </c>
      <c r="BI9" s="67">
        <f t="shared" ca="1" si="4"/>
        <v>0</v>
      </c>
      <c r="BJ9" s="67">
        <f t="shared" ca="1" si="4"/>
        <v>0</v>
      </c>
      <c r="BK9" s="67">
        <f t="shared" ca="1" si="4"/>
        <v>0</v>
      </c>
      <c r="BL9" s="67">
        <f t="shared" ca="1" si="4"/>
        <v>0</v>
      </c>
      <c r="BM9" s="67">
        <f t="shared" ca="1" si="4"/>
        <v>0</v>
      </c>
      <c r="BN9" s="67">
        <f t="shared" ca="1" si="4"/>
        <v>0</v>
      </c>
      <c r="BO9" s="67">
        <f t="shared" ca="1" si="4"/>
        <v>0</v>
      </c>
      <c r="BP9" s="67">
        <f t="shared" ca="1" si="4"/>
        <v>0</v>
      </c>
      <c r="BQ9" s="67">
        <f t="shared" ca="1" si="4"/>
        <v>0</v>
      </c>
      <c r="BR9" s="67">
        <f t="shared" ca="1" si="5"/>
        <v>0</v>
      </c>
      <c r="BS9" s="67">
        <f t="shared" ca="1" si="5"/>
        <v>0</v>
      </c>
      <c r="BT9" s="67">
        <f t="shared" ca="1" si="5"/>
        <v>0</v>
      </c>
    </row>
    <row r="10" spans="1:72" x14ac:dyDescent="0.25">
      <c r="A10" s="320">
        <f t="shared" ca="1" si="6"/>
        <v>43968</v>
      </c>
      <c r="B10" s="87">
        <f t="shared" ca="1" si="9"/>
        <v>43962</v>
      </c>
      <c r="C10" s="67">
        <v>5</v>
      </c>
      <c r="D10" s="67" t="str">
        <f t="shared" ca="1" si="10"/>
        <v/>
      </c>
      <c r="E10" s="67" t="str">
        <f t="shared" ca="1" si="0"/>
        <v xml:space="preserve"> </v>
      </c>
      <c r="F10" s="67">
        <f t="shared" ca="1" si="7"/>
        <v>20</v>
      </c>
      <c r="G10" s="67" t="str">
        <f>ROW(A5)&amp;". "&amp;'Critical resources'!B16</f>
        <v xml:space="preserve">5. </v>
      </c>
      <c r="H10" s="67">
        <f ca="1">IFERROR(VLOOKUP('Critical resources'!D16,$B$6:$C$57,2,0),0)</f>
        <v>0</v>
      </c>
      <c r="I10" s="67">
        <f ca="1">IFERROR(VLOOKUP('Critical resources'!E16,$A$6:$C$57,3,0),0)</f>
        <v>0</v>
      </c>
      <c r="J10" s="67">
        <f ca="1">IFERROR(VLOOKUP('Critical resources'!G16,$B$6:$C$57,2,0),0)</f>
        <v>0</v>
      </c>
      <c r="K10" s="67">
        <f ca="1">IFERROR(VLOOKUP('Critical resources'!H16,$B$6:$C$57,2,0),0)</f>
        <v>0</v>
      </c>
      <c r="L10" s="67">
        <f ca="1">IFERROR(VLOOKUP('Critical resources'!J16,$B$6:$C$57,2,0),0)</f>
        <v>0</v>
      </c>
      <c r="M10" s="67">
        <f ca="1">IFERROR(VLOOKUP('Critical resources'!K16,$A$6:$C$57,3,0),0)</f>
        <v>0</v>
      </c>
      <c r="N10" s="67">
        <f ca="1">IFERROR(VLOOKUP('Critical resources'!M16,$B$6:$C$57,2,0),0)</f>
        <v>0</v>
      </c>
      <c r="O10" s="67">
        <f ca="1">IFERROR(VLOOKUP('Critical resources'!N16,$A$6:$C$57,3,0),0)</f>
        <v>0</v>
      </c>
      <c r="P10" s="67">
        <f ca="1">IFERROR(VLOOKUP('Critical resources'!P16,$B$6:$C$57,2,0),0)</f>
        <v>0</v>
      </c>
      <c r="Q10" s="67">
        <f ca="1">IFERROR(VLOOKUP('Critical resources'!Q16,$A$6:$C$57,3,0),0)</f>
        <v>0</v>
      </c>
      <c r="T10" s="67" t="str">
        <f t="shared" si="1"/>
        <v xml:space="preserve">5. </v>
      </c>
      <c r="U10" s="67">
        <f t="shared" ca="1" si="8"/>
        <v>0</v>
      </c>
      <c r="V10" s="67">
        <f t="shared" ca="1" si="2"/>
        <v>0</v>
      </c>
      <c r="W10" s="67">
        <f t="shared" ca="1" si="2"/>
        <v>0</v>
      </c>
      <c r="X10" s="67">
        <f t="shared" ca="1" si="2"/>
        <v>0</v>
      </c>
      <c r="Y10" s="67">
        <f t="shared" ca="1" si="2"/>
        <v>0</v>
      </c>
      <c r="Z10" s="67">
        <f t="shared" ca="1" si="2"/>
        <v>0</v>
      </c>
      <c r="AA10" s="67">
        <f t="shared" ca="1" si="2"/>
        <v>0</v>
      </c>
      <c r="AB10" s="67">
        <f t="shared" ca="1" si="2"/>
        <v>0</v>
      </c>
      <c r="AC10" s="67">
        <f t="shared" ca="1" si="2"/>
        <v>0</v>
      </c>
      <c r="AD10" s="67">
        <f t="shared" ca="1" si="2"/>
        <v>0</v>
      </c>
      <c r="AE10" s="67">
        <f t="shared" ca="1" si="2"/>
        <v>0</v>
      </c>
      <c r="AF10" s="67">
        <f t="shared" ca="1" si="2"/>
        <v>0</v>
      </c>
      <c r="AG10" s="67">
        <f t="shared" ca="1" si="2"/>
        <v>0</v>
      </c>
      <c r="AH10" s="67">
        <f t="shared" ca="1" si="2"/>
        <v>0</v>
      </c>
      <c r="AI10" s="67">
        <f t="shared" ca="1" si="2"/>
        <v>0</v>
      </c>
      <c r="AJ10" s="67">
        <f t="shared" ca="1" si="2"/>
        <v>0</v>
      </c>
      <c r="AK10" s="67">
        <f t="shared" ca="1" si="2"/>
        <v>0</v>
      </c>
      <c r="AL10" s="67">
        <f t="shared" ca="1" si="3"/>
        <v>0</v>
      </c>
      <c r="AM10" s="67">
        <f t="shared" ca="1" si="3"/>
        <v>0</v>
      </c>
      <c r="AN10" s="67">
        <f t="shared" ca="1" si="3"/>
        <v>0</v>
      </c>
      <c r="AO10" s="67">
        <f t="shared" ca="1" si="3"/>
        <v>0</v>
      </c>
      <c r="AP10" s="67">
        <f t="shared" ca="1" si="3"/>
        <v>0</v>
      </c>
      <c r="AQ10" s="67">
        <f t="shared" ca="1" si="3"/>
        <v>0</v>
      </c>
      <c r="AR10" s="67">
        <f t="shared" ca="1" si="3"/>
        <v>0</v>
      </c>
      <c r="AS10" s="67">
        <f t="shared" ca="1" si="3"/>
        <v>0</v>
      </c>
      <c r="AT10" s="67">
        <f t="shared" ca="1" si="3"/>
        <v>0</v>
      </c>
      <c r="AU10" s="67">
        <f t="shared" ca="1" si="3"/>
        <v>0</v>
      </c>
      <c r="AV10" s="67">
        <f t="shared" ca="1" si="3"/>
        <v>0</v>
      </c>
      <c r="AW10" s="67">
        <f t="shared" ca="1" si="3"/>
        <v>0</v>
      </c>
      <c r="AX10" s="67">
        <f t="shared" ca="1" si="3"/>
        <v>0</v>
      </c>
      <c r="AY10" s="67">
        <f t="shared" ca="1" si="3"/>
        <v>0</v>
      </c>
      <c r="AZ10" s="67">
        <f t="shared" ca="1" si="3"/>
        <v>0</v>
      </c>
      <c r="BA10" s="67">
        <f t="shared" ca="1" si="3"/>
        <v>0</v>
      </c>
      <c r="BB10" s="67">
        <f t="shared" ca="1" si="4"/>
        <v>0</v>
      </c>
      <c r="BC10" s="67">
        <f t="shared" ca="1" si="4"/>
        <v>0</v>
      </c>
      <c r="BD10" s="67">
        <f t="shared" ca="1" si="4"/>
        <v>0</v>
      </c>
      <c r="BE10" s="67">
        <f t="shared" ca="1" si="4"/>
        <v>0</v>
      </c>
      <c r="BF10" s="67">
        <f t="shared" ca="1" si="4"/>
        <v>0</v>
      </c>
      <c r="BG10" s="67">
        <f t="shared" ca="1" si="4"/>
        <v>0</v>
      </c>
      <c r="BH10" s="67">
        <f t="shared" ca="1" si="4"/>
        <v>0</v>
      </c>
      <c r="BI10" s="67">
        <f t="shared" ca="1" si="4"/>
        <v>0</v>
      </c>
      <c r="BJ10" s="67">
        <f t="shared" ca="1" si="4"/>
        <v>0</v>
      </c>
      <c r="BK10" s="67">
        <f t="shared" ca="1" si="4"/>
        <v>0</v>
      </c>
      <c r="BL10" s="67">
        <f t="shared" ca="1" si="4"/>
        <v>0</v>
      </c>
      <c r="BM10" s="67">
        <f t="shared" ca="1" si="4"/>
        <v>0</v>
      </c>
      <c r="BN10" s="67">
        <f t="shared" ca="1" si="4"/>
        <v>0</v>
      </c>
      <c r="BO10" s="67">
        <f t="shared" ca="1" si="4"/>
        <v>0</v>
      </c>
      <c r="BP10" s="67">
        <f t="shared" ca="1" si="4"/>
        <v>0</v>
      </c>
      <c r="BQ10" s="67">
        <f t="shared" ca="1" si="4"/>
        <v>0</v>
      </c>
      <c r="BR10" s="67">
        <f t="shared" ca="1" si="5"/>
        <v>0</v>
      </c>
      <c r="BS10" s="67">
        <f t="shared" ca="1" si="5"/>
        <v>0</v>
      </c>
      <c r="BT10" s="67">
        <f t="shared" ca="1" si="5"/>
        <v>0</v>
      </c>
    </row>
    <row r="11" spans="1:72" x14ac:dyDescent="0.25">
      <c r="A11" s="320">
        <f t="shared" ca="1" si="6"/>
        <v>43975</v>
      </c>
      <c r="B11" s="87">
        <f t="shared" ca="1" si="9"/>
        <v>43969</v>
      </c>
      <c r="C11" s="67">
        <v>6</v>
      </c>
      <c r="D11" s="67" t="str">
        <f t="shared" ca="1" si="10"/>
        <v/>
      </c>
      <c r="E11" s="67" t="str">
        <f t="shared" ca="1" si="0"/>
        <v xml:space="preserve"> </v>
      </c>
      <c r="F11" s="67">
        <f t="shared" ca="1" si="7"/>
        <v>21</v>
      </c>
      <c r="G11" s="67" t="str">
        <f>ROW(A6)&amp;". "&amp;'Critical resources'!B17</f>
        <v xml:space="preserve">6. </v>
      </c>
      <c r="H11" s="67">
        <f ca="1">IFERROR(VLOOKUP('Critical resources'!D17,$B$6:$C$57,2,0),0)</f>
        <v>0</v>
      </c>
      <c r="I11" s="67">
        <f ca="1">IFERROR(VLOOKUP('Critical resources'!E17,$A$6:$C$57,3,0),0)</f>
        <v>0</v>
      </c>
      <c r="J11" s="67">
        <f ca="1">IFERROR(VLOOKUP('Critical resources'!G17,$B$6:$C$57,2,0),0)</f>
        <v>0</v>
      </c>
      <c r="K11" s="67">
        <f ca="1">IFERROR(VLOOKUP('Critical resources'!H17,$B$6:$C$57,2,0),0)</f>
        <v>0</v>
      </c>
      <c r="L11" s="67">
        <f ca="1">IFERROR(VLOOKUP('Critical resources'!J17,$B$6:$C$57,2,0),0)</f>
        <v>0</v>
      </c>
      <c r="M11" s="67">
        <f ca="1">IFERROR(VLOOKUP('Critical resources'!K17,$A$6:$C$57,3,0),0)</f>
        <v>0</v>
      </c>
      <c r="N11" s="67">
        <f ca="1">IFERROR(VLOOKUP('Critical resources'!M17,$B$6:$C$57,2,0),0)</f>
        <v>0</v>
      </c>
      <c r="O11" s="67">
        <f ca="1">IFERROR(VLOOKUP('Critical resources'!N17,$A$6:$C$57,3,0),0)</f>
        <v>0</v>
      </c>
      <c r="P11" s="67">
        <f ca="1">IFERROR(VLOOKUP('Critical resources'!P17,$B$6:$C$57,2,0),0)</f>
        <v>0</v>
      </c>
      <c r="Q11" s="67">
        <f ca="1">IFERROR(VLOOKUP('Critical resources'!Q17,$A$6:$C$57,3,0),0)</f>
        <v>0</v>
      </c>
      <c r="T11" s="67" t="str">
        <f t="shared" si="1"/>
        <v xml:space="preserve">6. </v>
      </c>
      <c r="U11" s="67">
        <f t="shared" ca="1" si="8"/>
        <v>0</v>
      </c>
      <c r="V11" s="67">
        <f t="shared" ca="1" si="2"/>
        <v>0</v>
      </c>
      <c r="W11" s="67">
        <f t="shared" ca="1" si="2"/>
        <v>0</v>
      </c>
      <c r="X11" s="67">
        <f t="shared" ca="1" si="2"/>
        <v>0</v>
      </c>
      <c r="Y11" s="67">
        <f t="shared" ca="1" si="2"/>
        <v>0</v>
      </c>
      <c r="Z11" s="67">
        <f t="shared" ca="1" si="2"/>
        <v>0</v>
      </c>
      <c r="AA11" s="67">
        <f t="shared" ca="1" si="2"/>
        <v>0</v>
      </c>
      <c r="AB11" s="67">
        <f t="shared" ca="1" si="2"/>
        <v>0</v>
      </c>
      <c r="AC11" s="67">
        <f t="shared" ca="1" si="2"/>
        <v>0</v>
      </c>
      <c r="AD11" s="67">
        <f t="shared" ca="1" si="2"/>
        <v>0</v>
      </c>
      <c r="AE11" s="67">
        <f t="shared" ca="1" si="2"/>
        <v>0</v>
      </c>
      <c r="AF11" s="67">
        <f t="shared" ca="1" si="2"/>
        <v>0</v>
      </c>
      <c r="AG11" s="67">
        <f t="shared" ca="1" si="2"/>
        <v>0</v>
      </c>
      <c r="AH11" s="67">
        <f t="shared" ca="1" si="2"/>
        <v>0</v>
      </c>
      <c r="AI11" s="67">
        <f t="shared" ca="1" si="2"/>
        <v>0</v>
      </c>
      <c r="AJ11" s="67">
        <f t="shared" ca="1" si="2"/>
        <v>0</v>
      </c>
      <c r="AK11" s="67">
        <f t="shared" ca="1" si="2"/>
        <v>0</v>
      </c>
      <c r="AL11" s="67">
        <f t="shared" ca="1" si="3"/>
        <v>0</v>
      </c>
      <c r="AM11" s="67">
        <f t="shared" ca="1" si="3"/>
        <v>0</v>
      </c>
      <c r="AN11" s="67">
        <f t="shared" ca="1" si="3"/>
        <v>0</v>
      </c>
      <c r="AO11" s="67">
        <f t="shared" ca="1" si="3"/>
        <v>0</v>
      </c>
      <c r="AP11" s="67">
        <f t="shared" ca="1" si="3"/>
        <v>0</v>
      </c>
      <c r="AQ11" s="67">
        <f t="shared" ca="1" si="3"/>
        <v>0</v>
      </c>
      <c r="AR11" s="67">
        <f t="shared" ca="1" si="3"/>
        <v>0</v>
      </c>
      <c r="AS11" s="67">
        <f t="shared" ca="1" si="3"/>
        <v>0</v>
      </c>
      <c r="AT11" s="67">
        <f t="shared" ca="1" si="3"/>
        <v>0</v>
      </c>
      <c r="AU11" s="67">
        <f t="shared" ca="1" si="3"/>
        <v>0</v>
      </c>
      <c r="AV11" s="67">
        <f t="shared" ca="1" si="3"/>
        <v>0</v>
      </c>
      <c r="AW11" s="67">
        <f t="shared" ca="1" si="3"/>
        <v>0</v>
      </c>
      <c r="AX11" s="67">
        <f t="shared" ca="1" si="3"/>
        <v>0</v>
      </c>
      <c r="AY11" s="67">
        <f t="shared" ca="1" si="3"/>
        <v>0</v>
      </c>
      <c r="AZ11" s="67">
        <f t="shared" ca="1" si="3"/>
        <v>0</v>
      </c>
      <c r="BA11" s="67">
        <f t="shared" ca="1" si="3"/>
        <v>0</v>
      </c>
      <c r="BB11" s="67">
        <f t="shared" ca="1" si="4"/>
        <v>0</v>
      </c>
      <c r="BC11" s="67">
        <f t="shared" ca="1" si="4"/>
        <v>0</v>
      </c>
      <c r="BD11" s="67">
        <f t="shared" ca="1" si="4"/>
        <v>0</v>
      </c>
      <c r="BE11" s="67">
        <f t="shared" ca="1" si="4"/>
        <v>0</v>
      </c>
      <c r="BF11" s="67">
        <f t="shared" ca="1" si="4"/>
        <v>0</v>
      </c>
      <c r="BG11" s="67">
        <f t="shared" ca="1" si="4"/>
        <v>0</v>
      </c>
      <c r="BH11" s="67">
        <f t="shared" ca="1" si="4"/>
        <v>0</v>
      </c>
      <c r="BI11" s="67">
        <f t="shared" ca="1" si="4"/>
        <v>0</v>
      </c>
      <c r="BJ11" s="67">
        <f t="shared" ca="1" si="4"/>
        <v>0</v>
      </c>
      <c r="BK11" s="67">
        <f t="shared" ca="1" si="4"/>
        <v>0</v>
      </c>
      <c r="BL11" s="67">
        <f t="shared" ca="1" si="4"/>
        <v>0</v>
      </c>
      <c r="BM11" s="67">
        <f t="shared" ca="1" si="4"/>
        <v>0</v>
      </c>
      <c r="BN11" s="67">
        <f t="shared" ca="1" si="4"/>
        <v>0</v>
      </c>
      <c r="BO11" s="67">
        <f t="shared" ca="1" si="4"/>
        <v>0</v>
      </c>
      <c r="BP11" s="67">
        <f t="shared" ca="1" si="4"/>
        <v>0</v>
      </c>
      <c r="BQ11" s="67">
        <f t="shared" ca="1" si="4"/>
        <v>0</v>
      </c>
      <c r="BR11" s="67">
        <f t="shared" ca="1" si="5"/>
        <v>0</v>
      </c>
      <c r="BS11" s="67">
        <f t="shared" ca="1" si="5"/>
        <v>0</v>
      </c>
      <c r="BT11" s="67">
        <f t="shared" ca="1" si="5"/>
        <v>0</v>
      </c>
    </row>
    <row r="12" spans="1:72" x14ac:dyDescent="0.25">
      <c r="A12" s="320">
        <f t="shared" ca="1" si="6"/>
        <v>43982</v>
      </c>
      <c r="B12" s="87">
        <f t="shared" ca="1" si="9"/>
        <v>43976</v>
      </c>
      <c r="C12" s="67">
        <v>7</v>
      </c>
      <c r="D12" s="67" t="str">
        <f t="shared" ca="1" si="10"/>
        <v/>
      </c>
      <c r="E12" s="67" t="str">
        <f t="shared" ca="1" si="0"/>
        <v xml:space="preserve"> </v>
      </c>
      <c r="F12" s="67">
        <f t="shared" ca="1" si="7"/>
        <v>22</v>
      </c>
      <c r="G12" s="67" t="str">
        <f>ROW(A7)&amp;". "&amp;'Critical resources'!B18</f>
        <v xml:space="preserve">7. </v>
      </c>
      <c r="H12" s="67">
        <f ca="1">IFERROR(VLOOKUP('Critical resources'!D18,$B$6:$C$57,2,0),0)</f>
        <v>0</v>
      </c>
      <c r="I12" s="67">
        <f ca="1">IFERROR(VLOOKUP('Critical resources'!E18,$A$6:$C$57,3,0),0)</f>
        <v>0</v>
      </c>
      <c r="J12" s="67">
        <f ca="1">IFERROR(VLOOKUP('Critical resources'!G18,$B$6:$C$57,2,0),0)</f>
        <v>0</v>
      </c>
      <c r="K12" s="67">
        <f ca="1">IFERROR(VLOOKUP('Critical resources'!H18,$B$6:$C$57,2,0),0)</f>
        <v>0</v>
      </c>
      <c r="L12" s="67">
        <f ca="1">IFERROR(VLOOKUP('Critical resources'!J18,$B$6:$C$57,2,0),0)</f>
        <v>0</v>
      </c>
      <c r="M12" s="67">
        <f ca="1">IFERROR(VLOOKUP('Critical resources'!K18,$A$6:$C$57,3,0),0)</f>
        <v>0</v>
      </c>
      <c r="N12" s="67">
        <f ca="1">IFERROR(VLOOKUP('Critical resources'!M18,$B$6:$C$57,2,0),0)</f>
        <v>0</v>
      </c>
      <c r="O12" s="67">
        <f ca="1">IFERROR(VLOOKUP('Critical resources'!N18,$A$6:$C$57,3,0),0)</f>
        <v>0</v>
      </c>
      <c r="P12" s="67">
        <f ca="1">IFERROR(VLOOKUP('Critical resources'!P18,$B$6:$C$57,2,0),0)</f>
        <v>0</v>
      </c>
      <c r="Q12" s="67">
        <f ca="1">IFERROR(VLOOKUP('Critical resources'!Q18,$A$6:$C$57,3,0),0)</f>
        <v>0</v>
      </c>
      <c r="T12" s="67" t="str">
        <f t="shared" si="1"/>
        <v xml:space="preserve">7. </v>
      </c>
      <c r="U12" s="67">
        <f t="shared" ca="1" si="8"/>
        <v>0</v>
      </c>
      <c r="V12" s="67">
        <f t="shared" ca="1" si="2"/>
        <v>0</v>
      </c>
      <c r="W12" s="67">
        <f t="shared" ca="1" si="2"/>
        <v>0</v>
      </c>
      <c r="X12" s="67">
        <f t="shared" ca="1" si="2"/>
        <v>0</v>
      </c>
      <c r="Y12" s="67">
        <f t="shared" ca="1" si="2"/>
        <v>0</v>
      </c>
      <c r="Z12" s="67">
        <f t="shared" ca="1" si="2"/>
        <v>0</v>
      </c>
      <c r="AA12" s="67">
        <f t="shared" ca="1" si="2"/>
        <v>0</v>
      </c>
      <c r="AB12" s="67">
        <f t="shared" ca="1" si="2"/>
        <v>0</v>
      </c>
      <c r="AC12" s="67">
        <f t="shared" ca="1" si="2"/>
        <v>0</v>
      </c>
      <c r="AD12" s="67">
        <f t="shared" ca="1" si="2"/>
        <v>0</v>
      </c>
      <c r="AE12" s="67">
        <f t="shared" ca="1" si="2"/>
        <v>0</v>
      </c>
      <c r="AF12" s="67">
        <f t="shared" ca="1" si="2"/>
        <v>0</v>
      </c>
      <c r="AG12" s="67">
        <f t="shared" ca="1" si="2"/>
        <v>0</v>
      </c>
      <c r="AH12" s="67">
        <f t="shared" ca="1" si="2"/>
        <v>0</v>
      </c>
      <c r="AI12" s="67">
        <f t="shared" ca="1" si="2"/>
        <v>0</v>
      </c>
      <c r="AJ12" s="67">
        <f t="shared" ca="1" si="2"/>
        <v>0</v>
      </c>
      <c r="AK12" s="67">
        <f t="shared" ca="1" si="2"/>
        <v>0</v>
      </c>
      <c r="AL12" s="67">
        <f t="shared" ca="1" si="3"/>
        <v>0</v>
      </c>
      <c r="AM12" s="67">
        <f t="shared" ca="1" si="3"/>
        <v>0</v>
      </c>
      <c r="AN12" s="67">
        <f t="shared" ca="1" si="3"/>
        <v>0</v>
      </c>
      <c r="AO12" s="67">
        <f t="shared" ca="1" si="3"/>
        <v>0</v>
      </c>
      <c r="AP12" s="67">
        <f t="shared" ca="1" si="3"/>
        <v>0</v>
      </c>
      <c r="AQ12" s="67">
        <f t="shared" ca="1" si="3"/>
        <v>0</v>
      </c>
      <c r="AR12" s="67">
        <f t="shared" ca="1" si="3"/>
        <v>0</v>
      </c>
      <c r="AS12" s="67">
        <f t="shared" ca="1" si="3"/>
        <v>0</v>
      </c>
      <c r="AT12" s="67">
        <f t="shared" ca="1" si="3"/>
        <v>0</v>
      </c>
      <c r="AU12" s="67">
        <f t="shared" ca="1" si="3"/>
        <v>0</v>
      </c>
      <c r="AV12" s="67">
        <f t="shared" ca="1" si="3"/>
        <v>0</v>
      </c>
      <c r="AW12" s="67">
        <f t="shared" ca="1" si="3"/>
        <v>0</v>
      </c>
      <c r="AX12" s="67">
        <f t="shared" ca="1" si="3"/>
        <v>0</v>
      </c>
      <c r="AY12" s="67">
        <f t="shared" ca="1" si="3"/>
        <v>0</v>
      </c>
      <c r="AZ12" s="67">
        <f t="shared" ca="1" si="3"/>
        <v>0</v>
      </c>
      <c r="BA12" s="67">
        <f t="shared" ca="1" si="3"/>
        <v>0</v>
      </c>
      <c r="BB12" s="67">
        <f t="shared" ca="1" si="4"/>
        <v>0</v>
      </c>
      <c r="BC12" s="67">
        <f t="shared" ca="1" si="4"/>
        <v>0</v>
      </c>
      <c r="BD12" s="67">
        <f t="shared" ca="1" si="4"/>
        <v>0</v>
      </c>
      <c r="BE12" s="67">
        <f t="shared" ca="1" si="4"/>
        <v>0</v>
      </c>
      <c r="BF12" s="67">
        <f t="shared" ca="1" si="4"/>
        <v>0</v>
      </c>
      <c r="BG12" s="67">
        <f t="shared" ca="1" si="4"/>
        <v>0</v>
      </c>
      <c r="BH12" s="67">
        <f t="shared" ca="1" si="4"/>
        <v>0</v>
      </c>
      <c r="BI12" s="67">
        <f t="shared" ca="1" si="4"/>
        <v>0</v>
      </c>
      <c r="BJ12" s="67">
        <f t="shared" ca="1" si="4"/>
        <v>0</v>
      </c>
      <c r="BK12" s="67">
        <f t="shared" ca="1" si="4"/>
        <v>0</v>
      </c>
      <c r="BL12" s="67">
        <f t="shared" ca="1" si="4"/>
        <v>0</v>
      </c>
      <c r="BM12" s="67">
        <f t="shared" ca="1" si="4"/>
        <v>0</v>
      </c>
      <c r="BN12" s="67">
        <f t="shared" ca="1" si="4"/>
        <v>0</v>
      </c>
      <c r="BO12" s="67">
        <f t="shared" ca="1" si="4"/>
        <v>0</v>
      </c>
      <c r="BP12" s="67">
        <f t="shared" ca="1" si="4"/>
        <v>0</v>
      </c>
      <c r="BQ12" s="67">
        <f t="shared" ca="1" si="4"/>
        <v>0</v>
      </c>
      <c r="BR12" s="67">
        <f t="shared" ca="1" si="5"/>
        <v>0</v>
      </c>
      <c r="BS12" s="67">
        <f t="shared" ca="1" si="5"/>
        <v>0</v>
      </c>
      <c r="BT12" s="67">
        <f t="shared" ca="1" si="5"/>
        <v>0</v>
      </c>
    </row>
    <row r="13" spans="1:72" x14ac:dyDescent="0.25">
      <c r="A13" s="320">
        <f t="shared" ca="1" si="6"/>
        <v>43989</v>
      </c>
      <c r="B13" s="87">
        <f t="shared" ca="1" si="9"/>
        <v>43983</v>
      </c>
      <c r="C13" s="67">
        <v>8</v>
      </c>
      <c r="D13" s="67" t="str">
        <f t="shared" ca="1" si="10"/>
        <v/>
      </c>
      <c r="E13" s="67" t="str">
        <f t="shared" ca="1" si="0"/>
        <v>Jun</v>
      </c>
      <c r="F13" s="67">
        <f t="shared" ca="1" si="7"/>
        <v>23</v>
      </c>
      <c r="G13" s="67" t="str">
        <f>ROW(A8)&amp;". "&amp;'Critical resources'!B19</f>
        <v xml:space="preserve">8. </v>
      </c>
      <c r="H13" s="67">
        <f ca="1">IFERROR(VLOOKUP('Critical resources'!D19,$B$6:$C$57,2,0),0)</f>
        <v>0</v>
      </c>
      <c r="I13" s="67">
        <f ca="1">IFERROR(VLOOKUP('Critical resources'!E19,$A$6:$C$57,3,0),0)</f>
        <v>0</v>
      </c>
      <c r="J13" s="67">
        <f ca="1">IFERROR(VLOOKUP('Critical resources'!G19,$B$6:$C$57,2,0),0)</f>
        <v>0</v>
      </c>
      <c r="K13" s="67">
        <f ca="1">IFERROR(VLOOKUP('Critical resources'!H19,$B$6:$C$57,2,0),0)</f>
        <v>0</v>
      </c>
      <c r="L13" s="67">
        <f ca="1">IFERROR(VLOOKUP('Critical resources'!J19,$B$6:$C$57,2,0),0)</f>
        <v>0</v>
      </c>
      <c r="M13" s="67">
        <f ca="1">IFERROR(VLOOKUP('Critical resources'!K19,$A$6:$C$57,3,0),0)</f>
        <v>0</v>
      </c>
      <c r="N13" s="67">
        <f ca="1">IFERROR(VLOOKUP('Critical resources'!M19,$B$6:$C$57,2,0),0)</f>
        <v>0</v>
      </c>
      <c r="O13" s="67">
        <f ca="1">IFERROR(VLOOKUP('Critical resources'!N19,$A$6:$C$57,3,0),0)</f>
        <v>0</v>
      </c>
      <c r="P13" s="67">
        <f ca="1">IFERROR(VLOOKUP('Critical resources'!P19,$B$6:$C$57,2,0),0)</f>
        <v>0</v>
      </c>
      <c r="Q13" s="67">
        <f ca="1">IFERROR(VLOOKUP('Critical resources'!Q19,$A$6:$C$57,3,0),0)</f>
        <v>0</v>
      </c>
      <c r="T13" s="67" t="str">
        <f t="shared" si="1"/>
        <v xml:space="preserve">8. </v>
      </c>
      <c r="U13" s="67">
        <f t="shared" ca="1" si="8"/>
        <v>0</v>
      </c>
      <c r="V13" s="67">
        <f t="shared" ca="1" si="2"/>
        <v>0</v>
      </c>
      <c r="W13" s="67">
        <f t="shared" ca="1" si="2"/>
        <v>0</v>
      </c>
      <c r="X13" s="67">
        <f t="shared" ca="1" si="2"/>
        <v>0</v>
      </c>
      <c r="Y13" s="67">
        <f t="shared" ca="1" si="2"/>
        <v>0</v>
      </c>
      <c r="Z13" s="67">
        <f t="shared" ca="1" si="2"/>
        <v>0</v>
      </c>
      <c r="AA13" s="67">
        <f t="shared" ca="1" si="2"/>
        <v>0</v>
      </c>
      <c r="AB13" s="67">
        <f t="shared" ca="1" si="2"/>
        <v>0</v>
      </c>
      <c r="AC13" s="67">
        <f t="shared" ca="1" si="2"/>
        <v>0</v>
      </c>
      <c r="AD13" s="67">
        <f t="shared" ca="1" si="2"/>
        <v>0</v>
      </c>
      <c r="AE13" s="67">
        <f t="shared" ca="1" si="2"/>
        <v>0</v>
      </c>
      <c r="AF13" s="67">
        <f t="shared" ca="1" si="2"/>
        <v>0</v>
      </c>
      <c r="AG13" s="67">
        <f t="shared" ca="1" si="2"/>
        <v>0</v>
      </c>
      <c r="AH13" s="67">
        <f t="shared" ca="1" si="2"/>
        <v>0</v>
      </c>
      <c r="AI13" s="67">
        <f t="shared" ca="1" si="2"/>
        <v>0</v>
      </c>
      <c r="AJ13" s="67">
        <f t="shared" ca="1" si="2"/>
        <v>0</v>
      </c>
      <c r="AK13" s="67">
        <f t="shared" ca="1" si="2"/>
        <v>0</v>
      </c>
      <c r="AL13" s="67">
        <f t="shared" ca="1" si="3"/>
        <v>0</v>
      </c>
      <c r="AM13" s="67">
        <f t="shared" ca="1" si="3"/>
        <v>0</v>
      </c>
      <c r="AN13" s="67">
        <f t="shared" ca="1" si="3"/>
        <v>0</v>
      </c>
      <c r="AO13" s="67">
        <f t="shared" ca="1" si="3"/>
        <v>0</v>
      </c>
      <c r="AP13" s="67">
        <f t="shared" ca="1" si="3"/>
        <v>0</v>
      </c>
      <c r="AQ13" s="67">
        <f t="shared" ca="1" si="3"/>
        <v>0</v>
      </c>
      <c r="AR13" s="67">
        <f t="shared" ca="1" si="3"/>
        <v>0</v>
      </c>
      <c r="AS13" s="67">
        <f t="shared" ca="1" si="3"/>
        <v>0</v>
      </c>
      <c r="AT13" s="67">
        <f t="shared" ca="1" si="3"/>
        <v>0</v>
      </c>
      <c r="AU13" s="67">
        <f t="shared" ca="1" si="3"/>
        <v>0</v>
      </c>
      <c r="AV13" s="67">
        <f t="shared" ca="1" si="3"/>
        <v>0</v>
      </c>
      <c r="AW13" s="67">
        <f t="shared" ca="1" si="3"/>
        <v>0</v>
      </c>
      <c r="AX13" s="67">
        <f t="shared" ca="1" si="3"/>
        <v>0</v>
      </c>
      <c r="AY13" s="67">
        <f t="shared" ca="1" si="3"/>
        <v>0</v>
      </c>
      <c r="AZ13" s="67">
        <f t="shared" ca="1" si="3"/>
        <v>0</v>
      </c>
      <c r="BA13" s="67">
        <f t="shared" ca="1" si="3"/>
        <v>0</v>
      </c>
      <c r="BB13" s="67">
        <f t="shared" ca="1" si="4"/>
        <v>0</v>
      </c>
      <c r="BC13" s="67">
        <f t="shared" ca="1" si="4"/>
        <v>0</v>
      </c>
      <c r="BD13" s="67">
        <f t="shared" ca="1" si="4"/>
        <v>0</v>
      </c>
      <c r="BE13" s="67">
        <f t="shared" ca="1" si="4"/>
        <v>0</v>
      </c>
      <c r="BF13" s="67">
        <f t="shared" ca="1" si="4"/>
        <v>0</v>
      </c>
      <c r="BG13" s="67">
        <f t="shared" ca="1" si="4"/>
        <v>0</v>
      </c>
      <c r="BH13" s="67">
        <f t="shared" ca="1" si="4"/>
        <v>0</v>
      </c>
      <c r="BI13" s="67">
        <f t="shared" ca="1" si="4"/>
        <v>0</v>
      </c>
      <c r="BJ13" s="67">
        <f t="shared" ca="1" si="4"/>
        <v>0</v>
      </c>
      <c r="BK13" s="67">
        <f t="shared" ca="1" si="4"/>
        <v>0</v>
      </c>
      <c r="BL13" s="67">
        <f t="shared" ca="1" si="4"/>
        <v>0</v>
      </c>
      <c r="BM13" s="67">
        <f t="shared" ca="1" si="4"/>
        <v>0</v>
      </c>
      <c r="BN13" s="67">
        <f t="shared" ca="1" si="4"/>
        <v>0</v>
      </c>
      <c r="BO13" s="67">
        <f t="shared" ca="1" si="4"/>
        <v>0</v>
      </c>
      <c r="BP13" s="67">
        <f t="shared" ca="1" si="4"/>
        <v>0</v>
      </c>
      <c r="BQ13" s="67">
        <f t="shared" ca="1" si="4"/>
        <v>0</v>
      </c>
      <c r="BR13" s="67">
        <f t="shared" ca="1" si="5"/>
        <v>0</v>
      </c>
      <c r="BS13" s="67">
        <f t="shared" ca="1" si="5"/>
        <v>0</v>
      </c>
      <c r="BT13" s="67">
        <f t="shared" ca="1" si="5"/>
        <v>0</v>
      </c>
    </row>
    <row r="14" spans="1:72" x14ac:dyDescent="0.25">
      <c r="A14" s="320">
        <f t="shared" ca="1" si="6"/>
        <v>43996</v>
      </c>
      <c r="B14" s="87">
        <f t="shared" ca="1" si="9"/>
        <v>43990</v>
      </c>
      <c r="C14" s="67">
        <v>9</v>
      </c>
      <c r="D14" s="67" t="str">
        <f t="shared" ca="1" si="10"/>
        <v/>
      </c>
      <c r="E14" s="67" t="str">
        <f t="shared" ca="1" si="0"/>
        <v xml:space="preserve"> </v>
      </c>
      <c r="F14" s="67">
        <f t="shared" ca="1" si="7"/>
        <v>24</v>
      </c>
      <c r="G14" s="67" t="str">
        <f>ROW(A9)&amp;". "&amp;'Critical resources'!B20</f>
        <v xml:space="preserve">9. </v>
      </c>
      <c r="H14" s="67">
        <f ca="1">IFERROR(VLOOKUP('Critical resources'!D20,$B$6:$C$57,2,0),0)</f>
        <v>0</v>
      </c>
      <c r="I14" s="67">
        <f ca="1">IFERROR(VLOOKUP('Critical resources'!E20,$A$6:$C$57,3,0),0)</f>
        <v>0</v>
      </c>
      <c r="J14" s="67">
        <f ca="1">IFERROR(VLOOKUP('Critical resources'!G20,$B$6:$C$57,2,0),0)</f>
        <v>0</v>
      </c>
      <c r="K14" s="67">
        <f ca="1">IFERROR(VLOOKUP('Critical resources'!H20,$B$6:$C$57,2,0),0)</f>
        <v>0</v>
      </c>
      <c r="L14" s="67">
        <f ca="1">IFERROR(VLOOKUP('Critical resources'!J20,$B$6:$C$57,2,0),0)</f>
        <v>0</v>
      </c>
      <c r="M14" s="67">
        <f ca="1">IFERROR(VLOOKUP('Critical resources'!K20,$A$6:$C$57,3,0),0)</f>
        <v>0</v>
      </c>
      <c r="N14" s="67">
        <f ca="1">IFERROR(VLOOKUP('Critical resources'!M20,$B$6:$C$57,2,0),0)</f>
        <v>0</v>
      </c>
      <c r="O14" s="67">
        <f ca="1">IFERROR(VLOOKUP('Critical resources'!N20,$A$6:$C$57,3,0),0)</f>
        <v>0</v>
      </c>
      <c r="P14" s="67">
        <f ca="1">IFERROR(VLOOKUP('Critical resources'!P20,$B$6:$C$57,2,0),0)</f>
        <v>0</v>
      </c>
      <c r="Q14" s="67">
        <f ca="1">IFERROR(VLOOKUP('Critical resources'!Q20,$A$6:$C$57,3,0),0)</f>
        <v>0</v>
      </c>
      <c r="T14" s="67" t="str">
        <f t="shared" si="1"/>
        <v xml:space="preserve">9. </v>
      </c>
      <c r="U14" s="67">
        <f t="shared" ca="1" si="8"/>
        <v>0</v>
      </c>
      <c r="V14" s="67">
        <f t="shared" ca="1" si="2"/>
        <v>0</v>
      </c>
      <c r="W14" s="67">
        <f t="shared" ca="1" si="2"/>
        <v>0</v>
      </c>
      <c r="X14" s="67">
        <f t="shared" ca="1" si="2"/>
        <v>0</v>
      </c>
      <c r="Y14" s="67">
        <f t="shared" ca="1" si="2"/>
        <v>0</v>
      </c>
      <c r="Z14" s="67">
        <f t="shared" ca="1" si="2"/>
        <v>0</v>
      </c>
      <c r="AA14" s="67">
        <f t="shared" ca="1" si="2"/>
        <v>0</v>
      </c>
      <c r="AB14" s="67">
        <f t="shared" ca="1" si="2"/>
        <v>0</v>
      </c>
      <c r="AC14" s="67">
        <f t="shared" ca="1" si="2"/>
        <v>0</v>
      </c>
      <c r="AD14" s="67">
        <f t="shared" ca="1" si="2"/>
        <v>0</v>
      </c>
      <c r="AE14" s="67">
        <f t="shared" ca="1" si="2"/>
        <v>0</v>
      </c>
      <c r="AF14" s="67">
        <f t="shared" ca="1" si="2"/>
        <v>0</v>
      </c>
      <c r="AG14" s="67">
        <f t="shared" ca="1" si="2"/>
        <v>0</v>
      </c>
      <c r="AH14" s="67">
        <f t="shared" ca="1" si="2"/>
        <v>0</v>
      </c>
      <c r="AI14" s="67">
        <f t="shared" ca="1" si="2"/>
        <v>0</v>
      </c>
      <c r="AJ14" s="67">
        <f t="shared" ca="1" si="2"/>
        <v>0</v>
      </c>
      <c r="AK14" s="67">
        <f t="shared" ca="1" si="2"/>
        <v>0</v>
      </c>
      <c r="AL14" s="67">
        <f t="shared" ca="1" si="3"/>
        <v>0</v>
      </c>
      <c r="AM14" s="67">
        <f t="shared" ca="1" si="3"/>
        <v>0</v>
      </c>
      <c r="AN14" s="67">
        <f t="shared" ca="1" si="3"/>
        <v>0</v>
      </c>
      <c r="AO14" s="67">
        <f t="shared" ca="1" si="3"/>
        <v>0</v>
      </c>
      <c r="AP14" s="67">
        <f t="shared" ca="1" si="3"/>
        <v>0</v>
      </c>
      <c r="AQ14" s="67">
        <f t="shared" ca="1" si="3"/>
        <v>0</v>
      </c>
      <c r="AR14" s="67">
        <f t="shared" ca="1" si="3"/>
        <v>0</v>
      </c>
      <c r="AS14" s="67">
        <f t="shared" ca="1" si="3"/>
        <v>0</v>
      </c>
      <c r="AT14" s="67">
        <f t="shared" ca="1" si="3"/>
        <v>0</v>
      </c>
      <c r="AU14" s="67">
        <f t="shared" ca="1" si="3"/>
        <v>0</v>
      </c>
      <c r="AV14" s="67">
        <f t="shared" ca="1" si="3"/>
        <v>0</v>
      </c>
      <c r="AW14" s="67">
        <f t="shared" ca="1" si="3"/>
        <v>0</v>
      </c>
      <c r="AX14" s="67">
        <f t="shared" ca="1" si="3"/>
        <v>0</v>
      </c>
      <c r="AY14" s="67">
        <f t="shared" ca="1" si="3"/>
        <v>0</v>
      </c>
      <c r="AZ14" s="67">
        <f t="shared" ca="1" si="3"/>
        <v>0</v>
      </c>
      <c r="BA14" s="67">
        <f t="shared" ca="1" si="3"/>
        <v>0</v>
      </c>
      <c r="BB14" s="67">
        <f t="shared" ca="1" si="4"/>
        <v>0</v>
      </c>
      <c r="BC14" s="67">
        <f t="shared" ca="1" si="4"/>
        <v>0</v>
      </c>
      <c r="BD14" s="67">
        <f t="shared" ca="1" si="4"/>
        <v>0</v>
      </c>
      <c r="BE14" s="67">
        <f t="shared" ca="1" si="4"/>
        <v>0</v>
      </c>
      <c r="BF14" s="67">
        <f t="shared" ca="1" si="4"/>
        <v>0</v>
      </c>
      <c r="BG14" s="67">
        <f t="shared" ca="1" si="4"/>
        <v>0</v>
      </c>
      <c r="BH14" s="67">
        <f t="shared" ca="1" si="4"/>
        <v>0</v>
      </c>
      <c r="BI14" s="67">
        <f t="shared" ca="1" si="4"/>
        <v>0</v>
      </c>
      <c r="BJ14" s="67">
        <f t="shared" ca="1" si="4"/>
        <v>0</v>
      </c>
      <c r="BK14" s="67">
        <f t="shared" ca="1" si="4"/>
        <v>0</v>
      </c>
      <c r="BL14" s="67">
        <f t="shared" ca="1" si="4"/>
        <v>0</v>
      </c>
      <c r="BM14" s="67">
        <f t="shared" ca="1" si="4"/>
        <v>0</v>
      </c>
      <c r="BN14" s="67">
        <f t="shared" ca="1" si="4"/>
        <v>0</v>
      </c>
      <c r="BO14" s="67">
        <f t="shared" ca="1" si="4"/>
        <v>0</v>
      </c>
      <c r="BP14" s="67">
        <f t="shared" ca="1" si="4"/>
        <v>0</v>
      </c>
      <c r="BQ14" s="67">
        <f t="shared" ca="1" si="4"/>
        <v>0</v>
      </c>
      <c r="BR14" s="67">
        <f t="shared" ca="1" si="5"/>
        <v>0</v>
      </c>
      <c r="BS14" s="67">
        <f t="shared" ca="1" si="5"/>
        <v>0</v>
      </c>
      <c r="BT14" s="67">
        <f t="shared" ca="1" si="5"/>
        <v>0</v>
      </c>
    </row>
    <row r="15" spans="1:72" x14ac:dyDescent="0.25">
      <c r="A15" s="320">
        <f t="shared" ca="1" si="6"/>
        <v>44003</v>
      </c>
      <c r="B15" s="87">
        <f t="shared" ca="1" si="9"/>
        <v>43997</v>
      </c>
      <c r="C15" s="67">
        <v>10</v>
      </c>
      <c r="D15" s="67" t="str">
        <f t="shared" ca="1" si="10"/>
        <v/>
      </c>
      <c r="E15" s="67" t="str">
        <f t="shared" ca="1" si="0"/>
        <v xml:space="preserve"> </v>
      </c>
      <c r="F15" s="67">
        <f t="shared" ca="1" si="7"/>
        <v>25</v>
      </c>
      <c r="G15" s="67" t="str">
        <f>ROW(A10)&amp;". "&amp;'Critical resources'!B21</f>
        <v xml:space="preserve">10. </v>
      </c>
      <c r="H15" s="67">
        <f ca="1">IFERROR(VLOOKUP('Critical resources'!D21,$B$6:$C$57,2,0),0)</f>
        <v>0</v>
      </c>
      <c r="I15" s="67">
        <f ca="1">IFERROR(VLOOKUP('Critical resources'!E21,$A$6:$C$57,3,0),0)</f>
        <v>0</v>
      </c>
      <c r="J15" s="67">
        <f ca="1">IFERROR(VLOOKUP('Critical resources'!G21,$B$6:$C$57,2,0),0)</f>
        <v>0</v>
      </c>
      <c r="K15" s="67">
        <f ca="1">IFERROR(VLOOKUP('Critical resources'!H21,$B$6:$C$57,2,0),0)</f>
        <v>0</v>
      </c>
      <c r="L15" s="67">
        <f ca="1">IFERROR(VLOOKUP('Critical resources'!J21,$B$6:$C$57,2,0),0)</f>
        <v>0</v>
      </c>
      <c r="M15" s="67">
        <f ca="1">IFERROR(VLOOKUP('Critical resources'!K21,$A$6:$C$57,3,0),0)</f>
        <v>0</v>
      </c>
      <c r="N15" s="67">
        <f ca="1">IFERROR(VLOOKUP('Critical resources'!M21,$B$6:$C$57,2,0),0)</f>
        <v>0</v>
      </c>
      <c r="O15" s="67">
        <f ca="1">IFERROR(VLOOKUP('Critical resources'!N21,$A$6:$C$57,3,0),0)</f>
        <v>0</v>
      </c>
      <c r="P15" s="67">
        <f ca="1">IFERROR(VLOOKUP('Critical resources'!P21,$B$6:$C$57,2,0),0)</f>
        <v>0</v>
      </c>
      <c r="Q15" s="67">
        <f ca="1">IFERROR(VLOOKUP('Critical resources'!Q21,$A$6:$C$57,3,0),0)</f>
        <v>0</v>
      </c>
      <c r="T15" s="67" t="str">
        <f t="shared" si="1"/>
        <v xml:space="preserve">10. </v>
      </c>
      <c r="U15" s="67">
        <f t="shared" ca="1" si="8"/>
        <v>0</v>
      </c>
      <c r="V15" s="67">
        <f t="shared" ca="1" si="2"/>
        <v>0</v>
      </c>
      <c r="W15" s="67">
        <f t="shared" ca="1" si="2"/>
        <v>0</v>
      </c>
      <c r="X15" s="67">
        <f t="shared" ca="1" si="2"/>
        <v>0</v>
      </c>
      <c r="Y15" s="67">
        <f t="shared" ca="1" si="2"/>
        <v>0</v>
      </c>
      <c r="Z15" s="67">
        <f t="shared" ca="1" si="2"/>
        <v>0</v>
      </c>
      <c r="AA15" s="67">
        <f t="shared" ca="1" si="2"/>
        <v>0</v>
      </c>
      <c r="AB15" s="67">
        <f t="shared" ca="1" si="2"/>
        <v>0</v>
      </c>
      <c r="AC15" s="67">
        <f t="shared" ca="1" si="2"/>
        <v>0</v>
      </c>
      <c r="AD15" s="67">
        <f t="shared" ca="1" si="2"/>
        <v>0</v>
      </c>
      <c r="AE15" s="67">
        <f t="shared" ca="1" si="2"/>
        <v>0</v>
      </c>
      <c r="AF15" s="67">
        <f t="shared" ca="1" si="2"/>
        <v>0</v>
      </c>
      <c r="AG15" s="67">
        <f t="shared" ca="1" si="2"/>
        <v>0</v>
      </c>
      <c r="AH15" s="67">
        <f t="shared" ca="1" si="2"/>
        <v>0</v>
      </c>
      <c r="AI15" s="67">
        <f t="shared" ca="1" si="2"/>
        <v>0</v>
      </c>
      <c r="AJ15" s="67">
        <f t="shared" ca="1" si="2"/>
        <v>0</v>
      </c>
      <c r="AK15" s="67">
        <f t="shared" ca="1" si="2"/>
        <v>0</v>
      </c>
      <c r="AL15" s="67">
        <f t="shared" ca="1" si="3"/>
        <v>0</v>
      </c>
      <c r="AM15" s="67">
        <f t="shared" ca="1" si="3"/>
        <v>0</v>
      </c>
      <c r="AN15" s="67">
        <f t="shared" ca="1" si="3"/>
        <v>0</v>
      </c>
      <c r="AO15" s="67">
        <f t="shared" ca="1" si="3"/>
        <v>0</v>
      </c>
      <c r="AP15" s="67">
        <f t="shared" ca="1" si="3"/>
        <v>0</v>
      </c>
      <c r="AQ15" s="67">
        <f t="shared" ca="1" si="3"/>
        <v>0</v>
      </c>
      <c r="AR15" s="67">
        <f t="shared" ca="1" si="3"/>
        <v>0</v>
      </c>
      <c r="AS15" s="67">
        <f t="shared" ca="1" si="3"/>
        <v>0</v>
      </c>
      <c r="AT15" s="67">
        <f t="shared" ca="1" si="3"/>
        <v>0</v>
      </c>
      <c r="AU15" s="67">
        <f t="shared" ca="1" si="3"/>
        <v>0</v>
      </c>
      <c r="AV15" s="67">
        <f t="shared" ca="1" si="3"/>
        <v>0</v>
      </c>
      <c r="AW15" s="67">
        <f t="shared" ca="1" si="3"/>
        <v>0</v>
      </c>
      <c r="AX15" s="67">
        <f t="shared" ca="1" si="3"/>
        <v>0</v>
      </c>
      <c r="AY15" s="67">
        <f t="shared" ca="1" si="3"/>
        <v>0</v>
      </c>
      <c r="AZ15" s="67">
        <f t="shared" ca="1" si="3"/>
        <v>0</v>
      </c>
      <c r="BA15" s="67">
        <f t="shared" ca="1" si="3"/>
        <v>0</v>
      </c>
      <c r="BB15" s="67">
        <f t="shared" ca="1" si="4"/>
        <v>0</v>
      </c>
      <c r="BC15" s="67">
        <f t="shared" ca="1" si="4"/>
        <v>0</v>
      </c>
      <c r="BD15" s="67">
        <f t="shared" ca="1" si="4"/>
        <v>0</v>
      </c>
      <c r="BE15" s="67">
        <f t="shared" ca="1" si="4"/>
        <v>0</v>
      </c>
      <c r="BF15" s="67">
        <f t="shared" ca="1" si="4"/>
        <v>0</v>
      </c>
      <c r="BG15" s="67">
        <f t="shared" ca="1" si="4"/>
        <v>0</v>
      </c>
      <c r="BH15" s="67">
        <f t="shared" ca="1" si="4"/>
        <v>0</v>
      </c>
      <c r="BI15" s="67">
        <f t="shared" ca="1" si="4"/>
        <v>0</v>
      </c>
      <c r="BJ15" s="67">
        <f t="shared" ca="1" si="4"/>
        <v>0</v>
      </c>
      <c r="BK15" s="67">
        <f t="shared" ca="1" si="4"/>
        <v>0</v>
      </c>
      <c r="BL15" s="67">
        <f t="shared" ca="1" si="4"/>
        <v>0</v>
      </c>
      <c r="BM15" s="67">
        <f t="shared" ca="1" si="4"/>
        <v>0</v>
      </c>
      <c r="BN15" s="67">
        <f t="shared" ca="1" si="4"/>
        <v>0</v>
      </c>
      <c r="BO15" s="67">
        <f t="shared" ca="1" si="4"/>
        <v>0</v>
      </c>
      <c r="BP15" s="67">
        <f t="shared" ca="1" si="4"/>
        <v>0</v>
      </c>
      <c r="BQ15" s="67">
        <f t="shared" ca="1" si="4"/>
        <v>0</v>
      </c>
      <c r="BR15" s="67">
        <f t="shared" ca="1" si="5"/>
        <v>0</v>
      </c>
      <c r="BS15" s="67">
        <f t="shared" ca="1" si="5"/>
        <v>0</v>
      </c>
      <c r="BT15" s="67">
        <f t="shared" ca="1" si="5"/>
        <v>0</v>
      </c>
    </row>
    <row r="16" spans="1:72" x14ac:dyDescent="0.25">
      <c r="A16" s="320">
        <f t="shared" ca="1" si="6"/>
        <v>44010</v>
      </c>
      <c r="B16" s="87">
        <f t="shared" ca="1" si="9"/>
        <v>44004</v>
      </c>
      <c r="C16" s="67">
        <v>11</v>
      </c>
      <c r="D16" s="67" t="str">
        <f t="shared" ca="1" si="10"/>
        <v/>
      </c>
      <c r="E16" s="67" t="str">
        <f t="shared" ca="1" si="0"/>
        <v xml:space="preserve"> </v>
      </c>
      <c r="F16" s="67">
        <f t="shared" ca="1" si="7"/>
        <v>26</v>
      </c>
      <c r="G16" s="67" t="str">
        <f>ROW(A11)&amp;". "&amp;'Critical resources'!B22</f>
        <v xml:space="preserve">11. </v>
      </c>
      <c r="H16" s="67">
        <f ca="1">IFERROR(VLOOKUP('Critical resources'!D22,$B$6:$C$57,2,0),0)</f>
        <v>0</v>
      </c>
      <c r="I16" s="67">
        <f ca="1">IFERROR(VLOOKUP('Critical resources'!E22,$A$6:$C$57,3,0),0)</f>
        <v>0</v>
      </c>
      <c r="J16" s="67">
        <f ca="1">IFERROR(VLOOKUP('Critical resources'!G22,$B$6:$C$57,2,0),0)</f>
        <v>0</v>
      </c>
      <c r="K16" s="67">
        <f ca="1">IFERROR(VLOOKUP('Critical resources'!H22,$B$6:$C$57,2,0),0)</f>
        <v>0</v>
      </c>
      <c r="L16" s="67">
        <f ca="1">IFERROR(VLOOKUP('Critical resources'!J22,$B$6:$C$57,2,0),0)</f>
        <v>0</v>
      </c>
      <c r="M16" s="67">
        <f ca="1">IFERROR(VLOOKUP('Critical resources'!K22,$A$6:$C$57,3,0),0)</f>
        <v>0</v>
      </c>
      <c r="N16" s="67">
        <f ca="1">IFERROR(VLOOKUP('Critical resources'!M22,$B$6:$C$57,2,0),0)</f>
        <v>0</v>
      </c>
      <c r="O16" s="67">
        <f ca="1">IFERROR(VLOOKUP('Critical resources'!N22,$A$6:$C$57,3,0),0)</f>
        <v>0</v>
      </c>
      <c r="P16" s="67">
        <f ca="1">IFERROR(VLOOKUP('Critical resources'!P22,$B$6:$C$57,2,0),0)</f>
        <v>0</v>
      </c>
      <c r="Q16" s="67">
        <f ca="1">IFERROR(VLOOKUP('Critical resources'!Q22,$A$6:$C$57,3,0),0)</f>
        <v>0</v>
      </c>
      <c r="T16" s="67" t="str">
        <f t="shared" si="1"/>
        <v xml:space="preserve">11. </v>
      </c>
      <c r="U16" s="67">
        <f t="shared" ca="1" si="8"/>
        <v>0</v>
      </c>
      <c r="V16" s="67">
        <f t="shared" ca="1" si="2"/>
        <v>0</v>
      </c>
      <c r="W16" s="67">
        <f t="shared" ca="1" si="2"/>
        <v>0</v>
      </c>
      <c r="X16" s="67">
        <f t="shared" ca="1" si="2"/>
        <v>0</v>
      </c>
      <c r="Y16" s="67">
        <f t="shared" ca="1" si="2"/>
        <v>0</v>
      </c>
      <c r="Z16" s="67">
        <f t="shared" ca="1" si="2"/>
        <v>0</v>
      </c>
      <c r="AA16" s="67">
        <f t="shared" ca="1" si="2"/>
        <v>0</v>
      </c>
      <c r="AB16" s="67">
        <f t="shared" ca="1" si="2"/>
        <v>0</v>
      </c>
      <c r="AC16" s="67">
        <f t="shared" ca="1" si="2"/>
        <v>0</v>
      </c>
      <c r="AD16" s="67">
        <f t="shared" ca="1" si="2"/>
        <v>0</v>
      </c>
      <c r="AE16" s="67">
        <f t="shared" ca="1" si="2"/>
        <v>0</v>
      </c>
      <c r="AF16" s="67">
        <f t="shared" ca="1" si="2"/>
        <v>0</v>
      </c>
      <c r="AG16" s="67">
        <f t="shared" ca="1" si="2"/>
        <v>0</v>
      </c>
      <c r="AH16" s="67">
        <f t="shared" ca="1" si="2"/>
        <v>0</v>
      </c>
      <c r="AI16" s="67">
        <f t="shared" ca="1" si="2"/>
        <v>0</v>
      </c>
      <c r="AJ16" s="67">
        <f t="shared" ca="1" si="2"/>
        <v>0</v>
      </c>
      <c r="AK16" s="67">
        <f t="shared" ca="1" si="2"/>
        <v>0</v>
      </c>
      <c r="AL16" s="67">
        <f t="shared" ca="1" si="3"/>
        <v>0</v>
      </c>
      <c r="AM16" s="67">
        <f t="shared" ca="1" si="3"/>
        <v>0</v>
      </c>
      <c r="AN16" s="67">
        <f t="shared" ca="1" si="3"/>
        <v>0</v>
      </c>
      <c r="AO16" s="67">
        <f t="shared" ca="1" si="3"/>
        <v>0</v>
      </c>
      <c r="AP16" s="67">
        <f t="shared" ca="1" si="3"/>
        <v>0</v>
      </c>
      <c r="AQ16" s="67">
        <f t="shared" ca="1" si="3"/>
        <v>0</v>
      </c>
      <c r="AR16" s="67">
        <f t="shared" ca="1" si="3"/>
        <v>0</v>
      </c>
      <c r="AS16" s="67">
        <f t="shared" ca="1" si="3"/>
        <v>0</v>
      </c>
      <c r="AT16" s="67">
        <f t="shared" ca="1" si="3"/>
        <v>0</v>
      </c>
      <c r="AU16" s="67">
        <f t="shared" ca="1" si="3"/>
        <v>0</v>
      </c>
      <c r="AV16" s="67">
        <f t="shared" ca="1" si="3"/>
        <v>0</v>
      </c>
      <c r="AW16" s="67">
        <f t="shared" ca="1" si="3"/>
        <v>0</v>
      </c>
      <c r="AX16" s="67">
        <f t="shared" ca="1" si="3"/>
        <v>0</v>
      </c>
      <c r="AY16" s="67">
        <f t="shared" ca="1" si="3"/>
        <v>0</v>
      </c>
      <c r="AZ16" s="67">
        <f t="shared" ca="1" si="3"/>
        <v>0</v>
      </c>
      <c r="BA16" s="67">
        <f t="shared" ca="1" si="3"/>
        <v>0</v>
      </c>
      <c r="BB16" s="67">
        <f t="shared" ca="1" si="4"/>
        <v>0</v>
      </c>
      <c r="BC16" s="67">
        <f t="shared" ca="1" si="4"/>
        <v>0</v>
      </c>
      <c r="BD16" s="67">
        <f t="shared" ca="1" si="4"/>
        <v>0</v>
      </c>
      <c r="BE16" s="67">
        <f t="shared" ca="1" si="4"/>
        <v>0</v>
      </c>
      <c r="BF16" s="67">
        <f t="shared" ca="1" si="4"/>
        <v>0</v>
      </c>
      <c r="BG16" s="67">
        <f t="shared" ca="1" si="4"/>
        <v>0</v>
      </c>
      <c r="BH16" s="67">
        <f t="shared" ca="1" si="4"/>
        <v>0</v>
      </c>
      <c r="BI16" s="67">
        <f t="shared" ca="1" si="4"/>
        <v>0</v>
      </c>
      <c r="BJ16" s="67">
        <f t="shared" ca="1" si="4"/>
        <v>0</v>
      </c>
      <c r="BK16" s="67">
        <f t="shared" ca="1" si="4"/>
        <v>0</v>
      </c>
      <c r="BL16" s="67">
        <f t="shared" ca="1" si="4"/>
        <v>0</v>
      </c>
      <c r="BM16" s="67">
        <f t="shared" ca="1" si="4"/>
        <v>0</v>
      </c>
      <c r="BN16" s="67">
        <f t="shared" ca="1" si="4"/>
        <v>0</v>
      </c>
      <c r="BO16" s="67">
        <f t="shared" ca="1" si="4"/>
        <v>0</v>
      </c>
      <c r="BP16" s="67">
        <f t="shared" ca="1" si="4"/>
        <v>0</v>
      </c>
      <c r="BQ16" s="67">
        <f t="shared" ca="1" si="4"/>
        <v>0</v>
      </c>
      <c r="BR16" s="67">
        <f t="shared" ca="1" si="5"/>
        <v>0</v>
      </c>
      <c r="BS16" s="67">
        <f t="shared" ca="1" si="5"/>
        <v>0</v>
      </c>
      <c r="BT16" s="67">
        <f t="shared" ca="1" si="5"/>
        <v>0</v>
      </c>
    </row>
    <row r="17" spans="1:72" x14ac:dyDescent="0.25">
      <c r="A17" s="320">
        <f t="shared" ca="1" si="6"/>
        <v>44017</v>
      </c>
      <c r="B17" s="87">
        <f t="shared" ca="1" si="9"/>
        <v>44011</v>
      </c>
      <c r="C17" s="67">
        <v>12</v>
      </c>
      <c r="D17" s="67" t="str">
        <f t="shared" ca="1" si="10"/>
        <v/>
      </c>
      <c r="E17" s="67" t="str">
        <f t="shared" ca="1" si="0"/>
        <v xml:space="preserve"> </v>
      </c>
      <c r="F17" s="67">
        <f t="shared" ca="1" si="7"/>
        <v>27</v>
      </c>
      <c r="G17" s="67" t="str">
        <f>ROW(A12)&amp;". "&amp;'Critical resources'!B23</f>
        <v xml:space="preserve">12. </v>
      </c>
      <c r="H17" s="67">
        <f ca="1">IFERROR(VLOOKUP('Critical resources'!D23,$B$6:$C$57,2,0),0)</f>
        <v>0</v>
      </c>
      <c r="I17" s="67">
        <f ca="1">IFERROR(VLOOKUP('Critical resources'!E23,$A$6:$C$57,3,0),0)</f>
        <v>0</v>
      </c>
      <c r="J17" s="67">
        <f ca="1">IFERROR(VLOOKUP('Critical resources'!G23,$B$6:$C$57,2,0),0)</f>
        <v>0</v>
      </c>
      <c r="K17" s="67">
        <f ca="1">IFERROR(VLOOKUP('Critical resources'!H23,$B$6:$C$57,2,0),0)</f>
        <v>0</v>
      </c>
      <c r="L17" s="67">
        <f ca="1">IFERROR(VLOOKUP('Critical resources'!J23,$B$6:$C$57,2,0),0)</f>
        <v>0</v>
      </c>
      <c r="M17" s="67">
        <f ca="1">IFERROR(VLOOKUP('Critical resources'!K23,$A$6:$C$57,3,0),0)</f>
        <v>0</v>
      </c>
      <c r="N17" s="67">
        <f ca="1">IFERROR(VLOOKUP('Critical resources'!M23,$B$6:$C$57,2,0),0)</f>
        <v>0</v>
      </c>
      <c r="O17" s="67">
        <f ca="1">IFERROR(VLOOKUP('Critical resources'!N23,$A$6:$C$57,3,0),0)</f>
        <v>0</v>
      </c>
      <c r="P17" s="67">
        <f ca="1">IFERROR(VLOOKUP('Critical resources'!P23,$B$6:$C$57,2,0),0)</f>
        <v>0</v>
      </c>
      <c r="Q17" s="67">
        <f ca="1">IFERROR(VLOOKUP('Critical resources'!Q23,$A$6:$C$57,3,0),0)</f>
        <v>0</v>
      </c>
      <c r="T17" s="67" t="str">
        <f t="shared" si="1"/>
        <v xml:space="preserve">12. </v>
      </c>
      <c r="U17" s="67">
        <f t="shared" ca="1" si="8"/>
        <v>0</v>
      </c>
      <c r="V17" s="67">
        <f t="shared" ca="1" si="2"/>
        <v>0</v>
      </c>
      <c r="W17" s="67">
        <f t="shared" ca="1" si="2"/>
        <v>0</v>
      </c>
      <c r="X17" s="67">
        <f t="shared" ca="1" si="2"/>
        <v>0</v>
      </c>
      <c r="Y17" s="67">
        <f t="shared" ca="1" si="2"/>
        <v>0</v>
      </c>
      <c r="Z17" s="67">
        <f t="shared" ca="1" si="2"/>
        <v>0</v>
      </c>
      <c r="AA17" s="67">
        <f t="shared" ca="1" si="2"/>
        <v>0</v>
      </c>
      <c r="AB17" s="67">
        <f t="shared" ca="1" si="2"/>
        <v>0</v>
      </c>
      <c r="AC17" s="67">
        <f t="shared" ca="1" si="2"/>
        <v>0</v>
      </c>
      <c r="AD17" s="67">
        <f t="shared" ca="1" si="2"/>
        <v>0</v>
      </c>
      <c r="AE17" s="67">
        <f t="shared" ca="1" si="2"/>
        <v>0</v>
      </c>
      <c r="AF17" s="67">
        <f t="shared" ca="1" si="2"/>
        <v>0</v>
      </c>
      <c r="AG17" s="67">
        <f t="shared" ca="1" si="2"/>
        <v>0</v>
      </c>
      <c r="AH17" s="67">
        <f t="shared" ca="1" si="2"/>
        <v>0</v>
      </c>
      <c r="AI17" s="67">
        <f t="shared" ca="1" si="2"/>
        <v>0</v>
      </c>
      <c r="AJ17" s="67">
        <f t="shared" ca="1" si="2"/>
        <v>0</v>
      </c>
      <c r="AK17" s="67">
        <f t="shared" ca="1" si="2"/>
        <v>0</v>
      </c>
      <c r="AL17" s="67">
        <f t="shared" ca="1" si="3"/>
        <v>0</v>
      </c>
      <c r="AM17" s="67">
        <f t="shared" ca="1" si="3"/>
        <v>0</v>
      </c>
      <c r="AN17" s="67">
        <f t="shared" ca="1" si="3"/>
        <v>0</v>
      </c>
      <c r="AO17" s="67">
        <f t="shared" ca="1" si="3"/>
        <v>0</v>
      </c>
      <c r="AP17" s="67">
        <f t="shared" ca="1" si="3"/>
        <v>0</v>
      </c>
      <c r="AQ17" s="67">
        <f t="shared" ca="1" si="3"/>
        <v>0</v>
      </c>
      <c r="AR17" s="67">
        <f t="shared" ca="1" si="3"/>
        <v>0</v>
      </c>
      <c r="AS17" s="67">
        <f t="shared" ca="1" si="3"/>
        <v>0</v>
      </c>
      <c r="AT17" s="67">
        <f t="shared" ca="1" si="3"/>
        <v>0</v>
      </c>
      <c r="AU17" s="67">
        <f t="shared" ca="1" si="3"/>
        <v>0</v>
      </c>
      <c r="AV17" s="67">
        <f t="shared" ca="1" si="3"/>
        <v>0</v>
      </c>
      <c r="AW17" s="67">
        <f t="shared" ca="1" si="3"/>
        <v>0</v>
      </c>
      <c r="AX17" s="67">
        <f t="shared" ca="1" si="3"/>
        <v>0</v>
      </c>
      <c r="AY17" s="67">
        <f t="shared" ca="1" si="3"/>
        <v>0</v>
      </c>
      <c r="AZ17" s="67">
        <f t="shared" ca="1" si="3"/>
        <v>0</v>
      </c>
      <c r="BA17" s="67">
        <f t="shared" ca="1" si="3"/>
        <v>0</v>
      </c>
      <c r="BB17" s="67">
        <f t="shared" ca="1" si="4"/>
        <v>0</v>
      </c>
      <c r="BC17" s="67">
        <f t="shared" ca="1" si="4"/>
        <v>0</v>
      </c>
      <c r="BD17" s="67">
        <f t="shared" ca="1" si="4"/>
        <v>0</v>
      </c>
      <c r="BE17" s="67">
        <f t="shared" ca="1" si="4"/>
        <v>0</v>
      </c>
      <c r="BF17" s="67">
        <f t="shared" ca="1" si="4"/>
        <v>0</v>
      </c>
      <c r="BG17" s="67">
        <f t="shared" ca="1" si="4"/>
        <v>0</v>
      </c>
      <c r="BH17" s="67">
        <f t="shared" ca="1" si="4"/>
        <v>0</v>
      </c>
      <c r="BI17" s="67">
        <f t="shared" ca="1" si="4"/>
        <v>0</v>
      </c>
      <c r="BJ17" s="67">
        <f t="shared" ca="1" si="4"/>
        <v>0</v>
      </c>
      <c r="BK17" s="67">
        <f t="shared" ca="1" si="4"/>
        <v>0</v>
      </c>
      <c r="BL17" s="67">
        <f t="shared" ca="1" si="4"/>
        <v>0</v>
      </c>
      <c r="BM17" s="67">
        <f t="shared" ca="1" si="4"/>
        <v>0</v>
      </c>
      <c r="BN17" s="67">
        <f t="shared" ca="1" si="4"/>
        <v>0</v>
      </c>
      <c r="BO17" s="67">
        <f t="shared" ca="1" si="4"/>
        <v>0</v>
      </c>
      <c r="BP17" s="67">
        <f t="shared" ca="1" si="4"/>
        <v>0</v>
      </c>
      <c r="BQ17" s="67">
        <f t="shared" ca="1" si="4"/>
        <v>0</v>
      </c>
      <c r="BR17" s="67">
        <f t="shared" ca="1" si="5"/>
        <v>0</v>
      </c>
      <c r="BS17" s="67">
        <f t="shared" ca="1" si="5"/>
        <v>0</v>
      </c>
      <c r="BT17" s="67">
        <f t="shared" ca="1" si="5"/>
        <v>0</v>
      </c>
    </row>
    <row r="18" spans="1:72" x14ac:dyDescent="0.25">
      <c r="A18" s="320">
        <f t="shared" ca="1" si="6"/>
        <v>44024</v>
      </c>
      <c r="B18" s="87">
        <f t="shared" ca="1" si="9"/>
        <v>44018</v>
      </c>
      <c r="C18" s="67">
        <v>13</v>
      </c>
      <c r="D18" s="67" t="str">
        <f t="shared" ca="1" si="10"/>
        <v/>
      </c>
      <c r="E18" s="67" t="str">
        <f t="shared" ca="1" si="0"/>
        <v>Jul</v>
      </c>
      <c r="F18" s="67">
        <f t="shared" ca="1" si="7"/>
        <v>28</v>
      </c>
      <c r="G18" s="67" t="str">
        <f>ROW(A13)&amp;". "&amp;'Critical resources'!B24</f>
        <v xml:space="preserve">13. </v>
      </c>
      <c r="H18" s="67">
        <f ca="1">IFERROR(VLOOKUP('Critical resources'!D24,$B$6:$C$57,2,0),0)</f>
        <v>0</v>
      </c>
      <c r="I18" s="67">
        <f ca="1">IFERROR(VLOOKUP('Critical resources'!E24,$A$6:$C$57,3,0),0)</f>
        <v>0</v>
      </c>
      <c r="J18" s="67">
        <f ca="1">IFERROR(VLOOKUP('Critical resources'!G24,$B$6:$C$57,2,0),0)</f>
        <v>0</v>
      </c>
      <c r="K18" s="67">
        <f ca="1">IFERROR(VLOOKUP('Critical resources'!H24,$B$6:$C$57,2,0),0)</f>
        <v>0</v>
      </c>
      <c r="L18" s="67">
        <f ca="1">IFERROR(VLOOKUP('Critical resources'!J24,$B$6:$C$57,2,0),0)</f>
        <v>0</v>
      </c>
      <c r="M18" s="67">
        <f ca="1">IFERROR(VLOOKUP('Critical resources'!K24,$A$6:$C$57,3,0),0)</f>
        <v>0</v>
      </c>
      <c r="N18" s="67">
        <f ca="1">IFERROR(VLOOKUP('Critical resources'!M24,$B$6:$C$57,2,0),0)</f>
        <v>0</v>
      </c>
      <c r="O18" s="67">
        <f ca="1">IFERROR(VLOOKUP('Critical resources'!N24,$A$6:$C$57,3,0),0)</f>
        <v>0</v>
      </c>
      <c r="P18" s="67">
        <f ca="1">IFERROR(VLOOKUP('Critical resources'!P24,$B$6:$C$57,2,0),0)</f>
        <v>0</v>
      </c>
      <c r="Q18" s="67">
        <f ca="1">IFERROR(VLOOKUP('Critical resources'!Q24,$A$6:$C$57,3,0),0)</f>
        <v>0</v>
      </c>
      <c r="T18" s="67" t="str">
        <f t="shared" si="1"/>
        <v xml:space="preserve">13. </v>
      </c>
      <c r="U18" s="67">
        <f t="shared" ca="1" si="8"/>
        <v>0</v>
      </c>
      <c r="V18" s="67">
        <f t="shared" ca="1" si="2"/>
        <v>0</v>
      </c>
      <c r="W18" s="67">
        <f t="shared" ca="1" si="2"/>
        <v>0</v>
      </c>
      <c r="X18" s="67">
        <f t="shared" ca="1" si="2"/>
        <v>0</v>
      </c>
      <c r="Y18" s="67">
        <f t="shared" ca="1" si="2"/>
        <v>0</v>
      </c>
      <c r="Z18" s="67">
        <f t="shared" ca="1" si="2"/>
        <v>0</v>
      </c>
      <c r="AA18" s="67">
        <f t="shared" ca="1" si="2"/>
        <v>0</v>
      </c>
      <c r="AB18" s="67">
        <f t="shared" ca="1" si="2"/>
        <v>0</v>
      </c>
      <c r="AC18" s="67">
        <f t="shared" ca="1" si="2"/>
        <v>0</v>
      </c>
      <c r="AD18" s="67">
        <f t="shared" ca="1" si="2"/>
        <v>0</v>
      </c>
      <c r="AE18" s="67">
        <f t="shared" ca="1" si="2"/>
        <v>0</v>
      </c>
      <c r="AF18" s="67">
        <f t="shared" ca="1" si="2"/>
        <v>0</v>
      </c>
      <c r="AG18" s="67">
        <f t="shared" ca="1" si="2"/>
        <v>0</v>
      </c>
      <c r="AH18" s="67">
        <f t="shared" ca="1" si="2"/>
        <v>0</v>
      </c>
      <c r="AI18" s="67">
        <f t="shared" ca="1" si="2"/>
        <v>0</v>
      </c>
      <c r="AJ18" s="67">
        <f t="shared" ca="1" si="2"/>
        <v>0</v>
      </c>
      <c r="AK18" s="67">
        <f t="shared" ca="1" si="2"/>
        <v>0</v>
      </c>
      <c r="AL18" s="67">
        <f t="shared" ca="1" si="3"/>
        <v>0</v>
      </c>
      <c r="AM18" s="67">
        <f t="shared" ca="1" si="3"/>
        <v>0</v>
      </c>
      <c r="AN18" s="67">
        <f t="shared" ca="1" si="3"/>
        <v>0</v>
      </c>
      <c r="AO18" s="67">
        <f t="shared" ca="1" si="3"/>
        <v>0</v>
      </c>
      <c r="AP18" s="67">
        <f t="shared" ca="1" si="3"/>
        <v>0</v>
      </c>
      <c r="AQ18" s="67">
        <f t="shared" ca="1" si="3"/>
        <v>0</v>
      </c>
      <c r="AR18" s="67">
        <f t="shared" ca="1" si="3"/>
        <v>0</v>
      </c>
      <c r="AS18" s="67">
        <f t="shared" ca="1" si="3"/>
        <v>0</v>
      </c>
      <c r="AT18" s="67">
        <f t="shared" ca="1" si="3"/>
        <v>0</v>
      </c>
      <c r="AU18" s="67">
        <f t="shared" ca="1" si="3"/>
        <v>0</v>
      </c>
      <c r="AV18" s="67">
        <f t="shared" ca="1" si="3"/>
        <v>0</v>
      </c>
      <c r="AW18" s="67">
        <f t="shared" ca="1" si="3"/>
        <v>0</v>
      </c>
      <c r="AX18" s="67">
        <f t="shared" ca="1" si="3"/>
        <v>0</v>
      </c>
      <c r="AY18" s="67">
        <f t="shared" ca="1" si="3"/>
        <v>0</v>
      </c>
      <c r="AZ18" s="67">
        <f t="shared" ca="1" si="3"/>
        <v>0</v>
      </c>
      <c r="BA18" s="67">
        <f t="shared" ca="1" si="3"/>
        <v>0</v>
      </c>
      <c r="BB18" s="67">
        <f t="shared" ca="1" si="4"/>
        <v>0</v>
      </c>
      <c r="BC18" s="67">
        <f t="shared" ca="1" si="4"/>
        <v>0</v>
      </c>
      <c r="BD18" s="67">
        <f t="shared" ca="1" si="4"/>
        <v>0</v>
      </c>
      <c r="BE18" s="67">
        <f t="shared" ca="1" si="4"/>
        <v>0</v>
      </c>
      <c r="BF18" s="67">
        <f t="shared" ca="1" si="4"/>
        <v>0</v>
      </c>
      <c r="BG18" s="67">
        <f t="shared" ca="1" si="4"/>
        <v>0</v>
      </c>
      <c r="BH18" s="67">
        <f t="shared" ca="1" si="4"/>
        <v>0</v>
      </c>
      <c r="BI18" s="67">
        <f t="shared" ca="1" si="4"/>
        <v>0</v>
      </c>
      <c r="BJ18" s="67">
        <f t="shared" ca="1" si="4"/>
        <v>0</v>
      </c>
      <c r="BK18" s="67">
        <f t="shared" ca="1" si="4"/>
        <v>0</v>
      </c>
      <c r="BL18" s="67">
        <f t="shared" ca="1" si="4"/>
        <v>0</v>
      </c>
      <c r="BM18" s="67">
        <f t="shared" ca="1" si="4"/>
        <v>0</v>
      </c>
      <c r="BN18" s="67">
        <f t="shared" ca="1" si="4"/>
        <v>0</v>
      </c>
      <c r="BO18" s="67">
        <f t="shared" ca="1" si="4"/>
        <v>0</v>
      </c>
      <c r="BP18" s="67">
        <f t="shared" ca="1" si="4"/>
        <v>0</v>
      </c>
      <c r="BQ18" s="67">
        <f t="shared" ca="1" si="4"/>
        <v>0</v>
      </c>
      <c r="BR18" s="67">
        <f t="shared" ca="1" si="5"/>
        <v>0</v>
      </c>
      <c r="BS18" s="67">
        <f t="shared" ca="1" si="5"/>
        <v>0</v>
      </c>
      <c r="BT18" s="67">
        <f t="shared" ca="1" si="5"/>
        <v>0</v>
      </c>
    </row>
    <row r="19" spans="1:72" x14ac:dyDescent="0.25">
      <c r="A19" s="320">
        <f t="shared" ca="1" si="6"/>
        <v>44031</v>
      </c>
      <c r="B19" s="87">
        <f t="shared" ca="1" si="9"/>
        <v>44025</v>
      </c>
      <c r="C19" s="67">
        <v>14</v>
      </c>
      <c r="D19" s="67" t="str">
        <f t="shared" ca="1" si="10"/>
        <v/>
      </c>
      <c r="E19" s="67" t="str">
        <f t="shared" ca="1" si="0"/>
        <v xml:space="preserve"> </v>
      </c>
      <c r="F19" s="67">
        <f t="shared" ca="1" si="7"/>
        <v>29</v>
      </c>
      <c r="G19" s="67" t="str">
        <f>ROW(A14)&amp;". "&amp;'Critical resources'!B25</f>
        <v xml:space="preserve">14. </v>
      </c>
      <c r="H19" s="67">
        <f ca="1">IFERROR(VLOOKUP('Critical resources'!D25,$B$6:$C$57,2,0),0)</f>
        <v>0</v>
      </c>
      <c r="I19" s="67">
        <f ca="1">IFERROR(VLOOKUP('Critical resources'!E25,$A$6:$C$57,3,0),0)</f>
        <v>0</v>
      </c>
      <c r="J19" s="67">
        <f ca="1">IFERROR(VLOOKUP('Critical resources'!G25,$B$6:$C$57,2,0),0)</f>
        <v>0</v>
      </c>
      <c r="K19" s="67">
        <f ca="1">IFERROR(VLOOKUP('Critical resources'!H25,$B$6:$C$57,2,0),0)</f>
        <v>0</v>
      </c>
      <c r="L19" s="67">
        <f ca="1">IFERROR(VLOOKUP('Critical resources'!J25,$B$6:$C$57,2,0),0)</f>
        <v>0</v>
      </c>
      <c r="M19" s="67">
        <f ca="1">IFERROR(VLOOKUP('Critical resources'!K25,$A$6:$C$57,3,0),0)</f>
        <v>0</v>
      </c>
      <c r="N19" s="67">
        <f ca="1">IFERROR(VLOOKUP('Critical resources'!M25,$B$6:$C$57,2,0),0)</f>
        <v>0</v>
      </c>
      <c r="O19" s="67">
        <f ca="1">IFERROR(VLOOKUP('Critical resources'!N25,$A$6:$C$57,3,0),0)</f>
        <v>0</v>
      </c>
      <c r="P19" s="67">
        <f ca="1">IFERROR(VLOOKUP('Critical resources'!P25,$B$6:$C$57,2,0),0)</f>
        <v>0</v>
      </c>
      <c r="Q19" s="67">
        <f ca="1">IFERROR(VLOOKUP('Critical resources'!Q25,$A$6:$C$57,3,0),0)</f>
        <v>0</v>
      </c>
      <c r="T19" s="67" t="str">
        <f t="shared" si="1"/>
        <v xml:space="preserve">14. </v>
      </c>
      <c r="U19" s="67">
        <f t="shared" ca="1" si="8"/>
        <v>0</v>
      </c>
      <c r="V19" s="67">
        <f t="shared" ca="1" si="2"/>
        <v>0</v>
      </c>
      <c r="W19" s="67">
        <f t="shared" ca="1" si="2"/>
        <v>0</v>
      </c>
      <c r="X19" s="67">
        <f t="shared" ca="1" si="2"/>
        <v>0</v>
      </c>
      <c r="Y19" s="67">
        <f t="shared" ca="1" si="2"/>
        <v>0</v>
      </c>
      <c r="Z19" s="67">
        <f t="shared" ca="1" si="2"/>
        <v>0</v>
      </c>
      <c r="AA19" s="67">
        <f t="shared" ca="1" si="2"/>
        <v>0</v>
      </c>
      <c r="AB19" s="67">
        <f t="shared" ca="1" si="2"/>
        <v>0</v>
      </c>
      <c r="AC19" s="67">
        <f t="shared" ca="1" si="2"/>
        <v>0</v>
      </c>
      <c r="AD19" s="67">
        <f t="shared" ca="1" si="2"/>
        <v>0</v>
      </c>
      <c r="AE19" s="67">
        <f t="shared" ca="1" si="2"/>
        <v>0</v>
      </c>
      <c r="AF19" s="67">
        <f t="shared" ca="1" si="2"/>
        <v>0</v>
      </c>
      <c r="AG19" s="67">
        <f t="shared" ca="1" si="2"/>
        <v>0</v>
      </c>
      <c r="AH19" s="67">
        <f t="shared" ca="1" si="2"/>
        <v>0</v>
      </c>
      <c r="AI19" s="67">
        <f t="shared" ca="1" si="2"/>
        <v>0</v>
      </c>
      <c r="AJ19" s="67">
        <f t="shared" ca="1" si="2"/>
        <v>0</v>
      </c>
      <c r="AK19" s="67">
        <f t="shared" ca="1" si="2"/>
        <v>0</v>
      </c>
      <c r="AL19" s="67">
        <f t="shared" ca="1" si="3"/>
        <v>0</v>
      </c>
      <c r="AM19" s="67">
        <f t="shared" ca="1" si="3"/>
        <v>0</v>
      </c>
      <c r="AN19" s="67">
        <f t="shared" ca="1" si="3"/>
        <v>0</v>
      </c>
      <c r="AO19" s="67">
        <f t="shared" ca="1" si="3"/>
        <v>0</v>
      </c>
      <c r="AP19" s="67">
        <f t="shared" ca="1" si="3"/>
        <v>0</v>
      </c>
      <c r="AQ19" s="67">
        <f t="shared" ca="1" si="3"/>
        <v>0</v>
      </c>
      <c r="AR19" s="67">
        <f t="shared" ca="1" si="3"/>
        <v>0</v>
      </c>
      <c r="AS19" s="67">
        <f t="shared" ca="1" si="3"/>
        <v>0</v>
      </c>
      <c r="AT19" s="67">
        <f t="shared" ca="1" si="3"/>
        <v>0</v>
      </c>
      <c r="AU19" s="67">
        <f t="shared" ca="1" si="3"/>
        <v>0</v>
      </c>
      <c r="AV19" s="67">
        <f t="shared" ca="1" si="3"/>
        <v>0</v>
      </c>
      <c r="AW19" s="67">
        <f t="shared" ca="1" si="3"/>
        <v>0</v>
      </c>
      <c r="AX19" s="67">
        <f t="shared" ca="1" si="3"/>
        <v>0</v>
      </c>
      <c r="AY19" s="67">
        <f t="shared" ca="1" si="3"/>
        <v>0</v>
      </c>
      <c r="AZ19" s="67">
        <f t="shared" ca="1" si="3"/>
        <v>0</v>
      </c>
      <c r="BA19" s="67">
        <f t="shared" ca="1" si="3"/>
        <v>0</v>
      </c>
      <c r="BB19" s="67">
        <f t="shared" ca="1" si="4"/>
        <v>0</v>
      </c>
      <c r="BC19" s="67">
        <f t="shared" ca="1" si="4"/>
        <v>0</v>
      </c>
      <c r="BD19" s="67">
        <f t="shared" ca="1" si="4"/>
        <v>0</v>
      </c>
      <c r="BE19" s="67">
        <f t="shared" ca="1" si="4"/>
        <v>0</v>
      </c>
      <c r="BF19" s="67">
        <f t="shared" ca="1" si="4"/>
        <v>0</v>
      </c>
      <c r="BG19" s="67">
        <f t="shared" ca="1" si="4"/>
        <v>0</v>
      </c>
      <c r="BH19" s="67">
        <f t="shared" ca="1" si="4"/>
        <v>0</v>
      </c>
      <c r="BI19" s="67">
        <f t="shared" ca="1" si="4"/>
        <v>0</v>
      </c>
      <c r="BJ19" s="67">
        <f t="shared" ca="1" si="4"/>
        <v>0</v>
      </c>
      <c r="BK19" s="67">
        <f t="shared" ca="1" si="4"/>
        <v>0</v>
      </c>
      <c r="BL19" s="67">
        <f t="shared" ca="1" si="4"/>
        <v>0</v>
      </c>
      <c r="BM19" s="67">
        <f t="shared" ca="1" si="4"/>
        <v>0</v>
      </c>
      <c r="BN19" s="67">
        <f t="shared" ca="1" si="4"/>
        <v>0</v>
      </c>
      <c r="BO19" s="67">
        <f t="shared" ca="1" si="4"/>
        <v>0</v>
      </c>
      <c r="BP19" s="67">
        <f t="shared" ca="1" si="4"/>
        <v>0</v>
      </c>
      <c r="BQ19" s="67">
        <f t="shared" ca="1" si="4"/>
        <v>0</v>
      </c>
      <c r="BR19" s="67">
        <f t="shared" ca="1" si="5"/>
        <v>0</v>
      </c>
      <c r="BS19" s="67">
        <f t="shared" ca="1" si="5"/>
        <v>0</v>
      </c>
      <c r="BT19" s="67">
        <f t="shared" ca="1" si="5"/>
        <v>0</v>
      </c>
    </row>
    <row r="20" spans="1:72" x14ac:dyDescent="0.25">
      <c r="A20" s="320">
        <f t="shared" ca="1" si="6"/>
        <v>44038</v>
      </c>
      <c r="B20" s="87">
        <f t="shared" ca="1" si="9"/>
        <v>44032</v>
      </c>
      <c r="C20" s="67">
        <v>15</v>
      </c>
      <c r="D20" s="67" t="str">
        <f t="shared" ca="1" si="10"/>
        <v/>
      </c>
      <c r="E20" s="67" t="str">
        <f t="shared" ca="1" si="0"/>
        <v xml:space="preserve"> </v>
      </c>
      <c r="F20" s="67">
        <f t="shared" ca="1" si="7"/>
        <v>30</v>
      </c>
      <c r="G20" s="67" t="str">
        <f>ROW(A15)&amp;". "&amp;'Critical resources'!B26</f>
        <v xml:space="preserve">15. </v>
      </c>
      <c r="H20" s="67">
        <f ca="1">IFERROR(VLOOKUP('Critical resources'!D26,$B$6:$C$57,2,0),0)</f>
        <v>0</v>
      </c>
      <c r="I20" s="67">
        <f ca="1">IFERROR(VLOOKUP('Critical resources'!E26,$A$6:$C$57,3,0),0)</f>
        <v>0</v>
      </c>
      <c r="J20" s="67">
        <f ca="1">IFERROR(VLOOKUP('Critical resources'!G26,$B$6:$C$57,2,0),0)</f>
        <v>0</v>
      </c>
      <c r="K20" s="67">
        <f ca="1">IFERROR(VLOOKUP('Critical resources'!H26,$B$6:$C$57,2,0),0)</f>
        <v>0</v>
      </c>
      <c r="L20" s="67">
        <f ca="1">IFERROR(VLOOKUP('Critical resources'!J26,$B$6:$C$57,2,0),0)</f>
        <v>0</v>
      </c>
      <c r="M20" s="67">
        <f ca="1">IFERROR(VLOOKUP('Critical resources'!K26,$A$6:$C$57,3,0),0)</f>
        <v>0</v>
      </c>
      <c r="N20" s="67">
        <f ca="1">IFERROR(VLOOKUP('Critical resources'!M26,$B$6:$C$57,2,0),0)</f>
        <v>0</v>
      </c>
      <c r="O20" s="67">
        <f ca="1">IFERROR(VLOOKUP('Critical resources'!N26,$A$6:$C$57,3,0),0)</f>
        <v>0</v>
      </c>
      <c r="P20" s="67">
        <f ca="1">IFERROR(VLOOKUP('Critical resources'!P26,$B$6:$C$57,2,0),0)</f>
        <v>0</v>
      </c>
      <c r="Q20" s="67">
        <f ca="1">IFERROR(VLOOKUP('Critical resources'!Q26,$A$6:$C$57,3,0),0)</f>
        <v>0</v>
      </c>
      <c r="T20" s="67" t="str">
        <f t="shared" si="1"/>
        <v xml:space="preserve">15. </v>
      </c>
      <c r="U20" s="67">
        <f t="shared" ca="1" si="8"/>
        <v>0</v>
      </c>
      <c r="V20" s="67">
        <f t="shared" ca="1" si="2"/>
        <v>0</v>
      </c>
      <c r="W20" s="67">
        <f t="shared" ca="1" si="2"/>
        <v>0</v>
      </c>
      <c r="X20" s="67">
        <f t="shared" ca="1" si="2"/>
        <v>0</v>
      </c>
      <c r="Y20" s="67">
        <f t="shared" ca="1" si="2"/>
        <v>0</v>
      </c>
      <c r="Z20" s="67">
        <f t="shared" ca="1" si="2"/>
        <v>0</v>
      </c>
      <c r="AA20" s="67">
        <f t="shared" ca="1" si="2"/>
        <v>0</v>
      </c>
      <c r="AB20" s="67">
        <f t="shared" ca="1" si="2"/>
        <v>0</v>
      </c>
      <c r="AC20" s="67">
        <f t="shared" ca="1" si="2"/>
        <v>0</v>
      </c>
      <c r="AD20" s="67">
        <f t="shared" ca="1" si="2"/>
        <v>0</v>
      </c>
      <c r="AE20" s="67">
        <f t="shared" ca="1" si="2"/>
        <v>0</v>
      </c>
      <c r="AF20" s="67">
        <f t="shared" ca="1" si="2"/>
        <v>0</v>
      </c>
      <c r="AG20" s="67">
        <f t="shared" ca="1" si="2"/>
        <v>0</v>
      </c>
      <c r="AH20" s="67">
        <f t="shared" ca="1" si="2"/>
        <v>0</v>
      </c>
      <c r="AI20" s="67">
        <f t="shared" ca="1" si="2"/>
        <v>0</v>
      </c>
      <c r="AJ20" s="67">
        <f t="shared" ca="1" si="2"/>
        <v>0</v>
      </c>
      <c r="AK20" s="67">
        <f t="shared" ca="1" si="2"/>
        <v>0</v>
      </c>
      <c r="AL20" s="67">
        <f t="shared" ca="1" si="3"/>
        <v>0</v>
      </c>
      <c r="AM20" s="67">
        <f t="shared" ca="1" si="3"/>
        <v>0</v>
      </c>
      <c r="AN20" s="67">
        <f t="shared" ca="1" si="3"/>
        <v>0</v>
      </c>
      <c r="AO20" s="67">
        <f t="shared" ca="1" si="3"/>
        <v>0</v>
      </c>
      <c r="AP20" s="67">
        <f t="shared" ca="1" si="3"/>
        <v>0</v>
      </c>
      <c r="AQ20" s="67">
        <f t="shared" ca="1" si="3"/>
        <v>0</v>
      </c>
      <c r="AR20" s="67">
        <f t="shared" ca="1" si="3"/>
        <v>0</v>
      </c>
      <c r="AS20" s="67">
        <f t="shared" ca="1" si="3"/>
        <v>0</v>
      </c>
      <c r="AT20" s="67">
        <f t="shared" ca="1" si="3"/>
        <v>0</v>
      </c>
      <c r="AU20" s="67">
        <f t="shared" ca="1" si="3"/>
        <v>0</v>
      </c>
      <c r="AV20" s="67">
        <f t="shared" ca="1" si="3"/>
        <v>0</v>
      </c>
      <c r="AW20" s="67">
        <f t="shared" ca="1" si="3"/>
        <v>0</v>
      </c>
      <c r="AX20" s="67">
        <f t="shared" ca="1" si="3"/>
        <v>0</v>
      </c>
      <c r="AY20" s="67">
        <f t="shared" ca="1" si="3"/>
        <v>0</v>
      </c>
      <c r="AZ20" s="67">
        <f t="shared" ca="1" si="3"/>
        <v>0</v>
      </c>
      <c r="BA20" s="67">
        <f t="shared" ca="1" si="3"/>
        <v>0</v>
      </c>
      <c r="BB20" s="67">
        <f t="shared" ca="1" si="4"/>
        <v>0</v>
      </c>
      <c r="BC20" s="67">
        <f t="shared" ca="1" si="4"/>
        <v>0</v>
      </c>
      <c r="BD20" s="67">
        <f t="shared" ca="1" si="4"/>
        <v>0</v>
      </c>
      <c r="BE20" s="67">
        <f t="shared" ca="1" si="4"/>
        <v>0</v>
      </c>
      <c r="BF20" s="67">
        <f t="shared" ca="1" si="4"/>
        <v>0</v>
      </c>
      <c r="BG20" s="67">
        <f t="shared" ca="1" si="4"/>
        <v>0</v>
      </c>
      <c r="BH20" s="67">
        <f t="shared" ca="1" si="4"/>
        <v>0</v>
      </c>
      <c r="BI20" s="67">
        <f t="shared" ca="1" si="4"/>
        <v>0</v>
      </c>
      <c r="BJ20" s="67">
        <f t="shared" ca="1" si="4"/>
        <v>0</v>
      </c>
      <c r="BK20" s="67">
        <f t="shared" ca="1" si="4"/>
        <v>0</v>
      </c>
      <c r="BL20" s="67">
        <f t="shared" ca="1" si="4"/>
        <v>0</v>
      </c>
      <c r="BM20" s="67">
        <f t="shared" ca="1" si="4"/>
        <v>0</v>
      </c>
      <c r="BN20" s="67">
        <f t="shared" ca="1" si="4"/>
        <v>0</v>
      </c>
      <c r="BO20" s="67">
        <f t="shared" ca="1" si="4"/>
        <v>0</v>
      </c>
      <c r="BP20" s="67">
        <f t="shared" ca="1" si="4"/>
        <v>0</v>
      </c>
      <c r="BQ20" s="67">
        <f t="shared" ca="1" si="4"/>
        <v>0</v>
      </c>
      <c r="BR20" s="67">
        <f t="shared" ca="1" si="5"/>
        <v>0</v>
      </c>
      <c r="BS20" s="67">
        <f t="shared" ca="1" si="5"/>
        <v>0</v>
      </c>
      <c r="BT20" s="67">
        <f t="shared" ca="1" si="5"/>
        <v>0</v>
      </c>
    </row>
    <row r="21" spans="1:72" x14ac:dyDescent="0.25">
      <c r="A21" s="320">
        <f t="shared" ca="1" si="6"/>
        <v>44045</v>
      </c>
      <c r="B21" s="87">
        <f t="shared" ca="1" si="9"/>
        <v>44039</v>
      </c>
      <c r="C21" s="67">
        <v>16</v>
      </c>
      <c r="D21" s="67" t="str">
        <f t="shared" ca="1" si="10"/>
        <v/>
      </c>
      <c r="E21" s="67" t="str">
        <f t="shared" ca="1" si="0"/>
        <v xml:space="preserve"> </v>
      </c>
      <c r="F21" s="67">
        <f t="shared" ca="1" si="7"/>
        <v>31</v>
      </c>
      <c r="G21" s="67" t="str">
        <f>ROW(A16)&amp;". "&amp;'Critical resources'!B27</f>
        <v xml:space="preserve">16. </v>
      </c>
      <c r="H21" s="67">
        <f ca="1">IFERROR(VLOOKUP('Critical resources'!D27,$B$6:$C$57,2,0),0)</f>
        <v>0</v>
      </c>
      <c r="I21" s="67">
        <f ca="1">IFERROR(VLOOKUP('Critical resources'!E27,$A$6:$C$57,3,0),0)</f>
        <v>0</v>
      </c>
      <c r="J21" s="67">
        <f ca="1">IFERROR(VLOOKUP('Critical resources'!G27,$B$6:$C$57,2,0),0)</f>
        <v>0</v>
      </c>
      <c r="K21" s="67">
        <f ca="1">IFERROR(VLOOKUP('Critical resources'!H27,$B$6:$C$57,2,0),0)</f>
        <v>0</v>
      </c>
      <c r="L21" s="67">
        <f ca="1">IFERROR(VLOOKUP('Critical resources'!J27,$B$6:$C$57,2,0),0)</f>
        <v>0</v>
      </c>
      <c r="M21" s="67">
        <f ca="1">IFERROR(VLOOKUP('Critical resources'!K27,$A$6:$C$57,3,0),0)</f>
        <v>0</v>
      </c>
      <c r="N21" s="67">
        <f ca="1">IFERROR(VLOOKUP('Critical resources'!M27,$B$6:$C$57,2,0),0)</f>
        <v>0</v>
      </c>
      <c r="O21" s="67">
        <f ca="1">IFERROR(VLOOKUP('Critical resources'!N27,$A$6:$C$57,3,0),0)</f>
        <v>0</v>
      </c>
      <c r="P21" s="67">
        <f ca="1">IFERROR(VLOOKUP('Critical resources'!P27,$B$6:$C$57,2,0),0)</f>
        <v>0</v>
      </c>
      <c r="Q21" s="67">
        <f ca="1">IFERROR(VLOOKUP('Critical resources'!Q27,$A$6:$C$57,3,0),0)</f>
        <v>0</v>
      </c>
      <c r="T21" s="67" t="str">
        <f t="shared" si="1"/>
        <v xml:space="preserve">16. </v>
      </c>
      <c r="U21" s="67">
        <f t="shared" ca="1" si="8"/>
        <v>0</v>
      </c>
      <c r="V21" s="67">
        <f t="shared" ca="1" si="2"/>
        <v>0</v>
      </c>
      <c r="W21" s="67">
        <f t="shared" ca="1" si="2"/>
        <v>0</v>
      </c>
      <c r="X21" s="67">
        <f t="shared" ca="1" si="2"/>
        <v>0</v>
      </c>
      <c r="Y21" s="67">
        <f t="shared" ca="1" si="2"/>
        <v>0</v>
      </c>
      <c r="Z21" s="67">
        <f t="shared" ca="1" si="2"/>
        <v>0</v>
      </c>
      <c r="AA21" s="67">
        <f t="shared" ca="1" si="2"/>
        <v>0</v>
      </c>
      <c r="AB21" s="67">
        <f t="shared" ca="1" si="2"/>
        <v>0</v>
      </c>
      <c r="AC21" s="67">
        <f t="shared" ca="1" si="2"/>
        <v>0</v>
      </c>
      <c r="AD21" s="67">
        <f t="shared" ca="1" si="2"/>
        <v>0</v>
      </c>
      <c r="AE21" s="67">
        <f t="shared" ca="1" si="2"/>
        <v>0</v>
      </c>
      <c r="AF21" s="67">
        <f t="shared" ca="1" si="2"/>
        <v>0</v>
      </c>
      <c r="AG21" s="67">
        <f t="shared" ca="1" si="2"/>
        <v>0</v>
      </c>
      <c r="AH21" s="67">
        <f t="shared" ca="1" si="2"/>
        <v>0</v>
      </c>
      <c r="AI21" s="67">
        <f t="shared" ca="1" si="2"/>
        <v>0</v>
      </c>
      <c r="AJ21" s="67">
        <f t="shared" ca="1" si="2"/>
        <v>0</v>
      </c>
      <c r="AK21" s="67">
        <f t="shared" ref="AK21:AZ36" ca="1" si="11">SUM(IFERROR(IF(AND(AK$5&gt;=$H21,AK$5&lt;=$I21),1,0),0),IFERROR(IF(AND(AK$5&gt;=$J21,AK$5&lt;=$K21),1,0),0),IFERROR(IF(AND(AK$5&gt;=$L21,AK$5&lt;=$M21),1,0),0),IFERROR(IF(AND(AK$5&gt;=$N21,AK$5&lt;=$O21),1,0),0),IFERROR(IF(AND(AK$5&gt;=$P21,AK$5&lt;=$Q21),1,0),0))</f>
        <v>0</v>
      </c>
      <c r="AL21" s="67">
        <f t="shared" ca="1" si="3"/>
        <v>0</v>
      </c>
      <c r="AM21" s="67">
        <f t="shared" ca="1" si="3"/>
        <v>0</v>
      </c>
      <c r="AN21" s="67">
        <f t="shared" ca="1" si="3"/>
        <v>0</v>
      </c>
      <c r="AO21" s="67">
        <f t="shared" ca="1" si="3"/>
        <v>0</v>
      </c>
      <c r="AP21" s="67">
        <f t="shared" ca="1" si="3"/>
        <v>0</v>
      </c>
      <c r="AQ21" s="67">
        <f t="shared" ca="1" si="3"/>
        <v>0</v>
      </c>
      <c r="AR21" s="67">
        <f t="shared" ca="1" si="3"/>
        <v>0</v>
      </c>
      <c r="AS21" s="67">
        <f t="shared" ca="1" si="3"/>
        <v>0</v>
      </c>
      <c r="AT21" s="67">
        <f t="shared" ca="1" si="3"/>
        <v>0</v>
      </c>
      <c r="AU21" s="67">
        <f t="shared" ca="1" si="3"/>
        <v>0</v>
      </c>
      <c r="AV21" s="67">
        <f t="shared" ca="1" si="3"/>
        <v>0</v>
      </c>
      <c r="AW21" s="67">
        <f t="shared" ca="1" si="3"/>
        <v>0</v>
      </c>
      <c r="AX21" s="67">
        <f t="shared" ca="1" si="3"/>
        <v>0</v>
      </c>
      <c r="AY21" s="67">
        <f t="shared" ca="1" si="3"/>
        <v>0</v>
      </c>
      <c r="AZ21" s="67">
        <f t="shared" ca="1" si="3"/>
        <v>0</v>
      </c>
      <c r="BA21" s="67">
        <f t="shared" ref="BA21:BP36" ca="1" si="12">SUM(IFERROR(IF(AND(BA$5&gt;=$H21,BA$5&lt;=$I21),1,0),0),IFERROR(IF(AND(BA$5&gt;=$J21,BA$5&lt;=$K21),1,0),0),IFERROR(IF(AND(BA$5&gt;=$L21,BA$5&lt;=$M21),1,0),0),IFERROR(IF(AND(BA$5&gt;=$N21,BA$5&lt;=$O21),1,0),0),IFERROR(IF(AND(BA$5&gt;=$P21,BA$5&lt;=$Q21),1,0),0))</f>
        <v>0</v>
      </c>
      <c r="BB21" s="67">
        <f t="shared" ca="1" si="4"/>
        <v>0</v>
      </c>
      <c r="BC21" s="67">
        <f t="shared" ca="1" si="4"/>
        <v>0</v>
      </c>
      <c r="BD21" s="67">
        <f t="shared" ca="1" si="4"/>
        <v>0</v>
      </c>
      <c r="BE21" s="67">
        <f t="shared" ca="1" si="4"/>
        <v>0</v>
      </c>
      <c r="BF21" s="67">
        <f t="shared" ca="1" si="4"/>
        <v>0</v>
      </c>
      <c r="BG21" s="67">
        <f t="shared" ca="1" si="4"/>
        <v>0</v>
      </c>
      <c r="BH21" s="67">
        <f t="shared" ca="1" si="4"/>
        <v>0</v>
      </c>
      <c r="BI21" s="67">
        <f t="shared" ca="1" si="4"/>
        <v>0</v>
      </c>
      <c r="BJ21" s="67">
        <f t="shared" ca="1" si="4"/>
        <v>0</v>
      </c>
      <c r="BK21" s="67">
        <f t="shared" ca="1" si="4"/>
        <v>0</v>
      </c>
      <c r="BL21" s="67">
        <f t="shared" ca="1" si="4"/>
        <v>0</v>
      </c>
      <c r="BM21" s="67">
        <f t="shared" ca="1" si="4"/>
        <v>0</v>
      </c>
      <c r="BN21" s="67">
        <f t="shared" ca="1" si="4"/>
        <v>0</v>
      </c>
      <c r="BO21" s="67">
        <f t="shared" ca="1" si="4"/>
        <v>0</v>
      </c>
      <c r="BP21" s="67">
        <f t="shared" ca="1" si="4"/>
        <v>0</v>
      </c>
      <c r="BQ21" s="67">
        <f t="shared" ref="BQ21:BT40" ca="1" si="13">SUM(IFERROR(IF(AND(BQ$5&gt;=$H21,BQ$5&lt;=$I21),1,0),0),IFERROR(IF(AND(BQ$5&gt;=$J21,BQ$5&lt;=$K21),1,0),0),IFERROR(IF(AND(BQ$5&gt;=$L21,BQ$5&lt;=$M21),1,0),0),IFERROR(IF(AND(BQ$5&gt;=$N21,BQ$5&lt;=$O21),1,0),0),IFERROR(IF(AND(BQ$5&gt;=$P21,BQ$5&lt;=$Q21),1,0),0))</f>
        <v>0</v>
      </c>
      <c r="BR21" s="67">
        <f t="shared" ca="1" si="5"/>
        <v>0</v>
      </c>
      <c r="BS21" s="67">
        <f t="shared" ca="1" si="5"/>
        <v>0</v>
      </c>
      <c r="BT21" s="67">
        <f t="shared" ca="1" si="5"/>
        <v>0</v>
      </c>
    </row>
    <row r="22" spans="1:72" x14ac:dyDescent="0.25">
      <c r="A22" s="320">
        <f t="shared" ca="1" si="6"/>
        <v>44052</v>
      </c>
      <c r="B22" s="87">
        <f t="shared" ca="1" si="9"/>
        <v>44046</v>
      </c>
      <c r="C22" s="67">
        <v>17</v>
      </c>
      <c r="D22" s="67" t="str">
        <f t="shared" ca="1" si="10"/>
        <v/>
      </c>
      <c r="E22" s="67" t="str">
        <f t="shared" ca="1" si="0"/>
        <v>Aug</v>
      </c>
      <c r="F22" s="67">
        <f t="shared" ca="1" si="7"/>
        <v>32</v>
      </c>
      <c r="G22" s="67" t="str">
        <f>ROW(A17)&amp;". "&amp;'Critical resources'!B28</f>
        <v xml:space="preserve">17. </v>
      </c>
      <c r="H22" s="67">
        <f ca="1">IFERROR(VLOOKUP('Critical resources'!D28,$B$6:$C$57,2,0),0)</f>
        <v>0</v>
      </c>
      <c r="I22" s="67">
        <f ca="1">IFERROR(VLOOKUP('Critical resources'!E28,$A$6:$C$57,3,0),0)</f>
        <v>0</v>
      </c>
      <c r="J22" s="67">
        <f ca="1">IFERROR(VLOOKUP('Critical resources'!G28,$B$6:$C$57,2,0),0)</f>
        <v>0</v>
      </c>
      <c r="K22" s="67">
        <f ca="1">IFERROR(VLOOKUP('Critical resources'!H28,$B$6:$C$57,2,0),0)</f>
        <v>0</v>
      </c>
      <c r="L22" s="67">
        <f ca="1">IFERROR(VLOOKUP('Critical resources'!J28,$B$6:$C$57,2,0),0)</f>
        <v>0</v>
      </c>
      <c r="M22" s="67">
        <f ca="1">IFERROR(VLOOKUP('Critical resources'!K28,$A$6:$C$57,3,0),0)</f>
        <v>0</v>
      </c>
      <c r="N22" s="67">
        <f ca="1">IFERROR(VLOOKUP('Critical resources'!M28,$B$6:$C$57,2,0),0)</f>
        <v>0</v>
      </c>
      <c r="O22" s="67">
        <f ca="1">IFERROR(VLOOKUP('Critical resources'!N28,$A$6:$C$57,3,0),0)</f>
        <v>0</v>
      </c>
      <c r="P22" s="67">
        <f ca="1">IFERROR(VLOOKUP('Critical resources'!P28,$B$6:$C$57,2,0),0)</f>
        <v>0</v>
      </c>
      <c r="Q22" s="67">
        <f ca="1">IFERROR(VLOOKUP('Critical resources'!Q28,$A$6:$C$57,3,0),0)</f>
        <v>0</v>
      </c>
      <c r="T22" s="67" t="str">
        <f t="shared" si="1"/>
        <v xml:space="preserve">17. </v>
      </c>
      <c r="U22" s="67">
        <f t="shared" ca="1" si="8"/>
        <v>0</v>
      </c>
      <c r="V22" s="67">
        <f t="shared" ca="1" si="8"/>
        <v>0</v>
      </c>
      <c r="W22" s="67">
        <f t="shared" ca="1" si="8"/>
        <v>0</v>
      </c>
      <c r="X22" s="67">
        <f t="shared" ca="1" si="8"/>
        <v>0</v>
      </c>
      <c r="Y22" s="67">
        <f t="shared" ca="1" si="8"/>
        <v>0</v>
      </c>
      <c r="Z22" s="67">
        <f t="shared" ca="1" si="8"/>
        <v>0</v>
      </c>
      <c r="AA22" s="67">
        <f t="shared" ca="1" si="8"/>
        <v>0</v>
      </c>
      <c r="AB22" s="67">
        <f t="shared" ca="1" si="8"/>
        <v>0</v>
      </c>
      <c r="AC22" s="67">
        <f t="shared" ca="1" si="8"/>
        <v>0</v>
      </c>
      <c r="AD22" s="67">
        <f t="shared" ca="1" si="8"/>
        <v>0</v>
      </c>
      <c r="AE22" s="67">
        <f t="shared" ca="1" si="8"/>
        <v>0</v>
      </c>
      <c r="AF22" s="67">
        <f t="shared" ca="1" si="8"/>
        <v>0</v>
      </c>
      <c r="AG22" s="67">
        <f t="shared" ca="1" si="8"/>
        <v>0</v>
      </c>
      <c r="AH22" s="67">
        <f t="shared" ca="1" si="8"/>
        <v>0</v>
      </c>
      <c r="AI22" s="67">
        <f t="shared" ca="1" si="8"/>
        <v>0</v>
      </c>
      <c r="AJ22" s="67">
        <f t="shared" ca="1" si="8"/>
        <v>0</v>
      </c>
      <c r="AK22" s="67">
        <f t="shared" ca="1" si="11"/>
        <v>0</v>
      </c>
      <c r="AL22" s="67">
        <f t="shared" ca="1" si="11"/>
        <v>0</v>
      </c>
      <c r="AM22" s="67">
        <f t="shared" ca="1" si="11"/>
        <v>0</v>
      </c>
      <c r="AN22" s="67">
        <f t="shared" ca="1" si="11"/>
        <v>0</v>
      </c>
      <c r="AO22" s="67">
        <f t="shared" ca="1" si="11"/>
        <v>0</v>
      </c>
      <c r="AP22" s="67">
        <f t="shared" ca="1" si="11"/>
        <v>0</v>
      </c>
      <c r="AQ22" s="67">
        <f t="shared" ca="1" si="11"/>
        <v>0</v>
      </c>
      <c r="AR22" s="67">
        <f t="shared" ca="1" si="11"/>
        <v>0</v>
      </c>
      <c r="AS22" s="67">
        <f t="shared" ca="1" si="11"/>
        <v>0</v>
      </c>
      <c r="AT22" s="67">
        <f t="shared" ca="1" si="11"/>
        <v>0</v>
      </c>
      <c r="AU22" s="67">
        <f t="shared" ca="1" si="11"/>
        <v>0</v>
      </c>
      <c r="AV22" s="67">
        <f t="shared" ca="1" si="11"/>
        <v>0</v>
      </c>
      <c r="AW22" s="67">
        <f t="shared" ca="1" si="11"/>
        <v>0</v>
      </c>
      <c r="AX22" s="67">
        <f t="shared" ca="1" si="11"/>
        <v>0</v>
      </c>
      <c r="AY22" s="67">
        <f t="shared" ca="1" si="11"/>
        <v>0</v>
      </c>
      <c r="AZ22" s="67">
        <f t="shared" ca="1" si="11"/>
        <v>0</v>
      </c>
      <c r="BA22" s="67">
        <f t="shared" ca="1" si="12"/>
        <v>0</v>
      </c>
      <c r="BB22" s="67">
        <f t="shared" ca="1" si="12"/>
        <v>0</v>
      </c>
      <c r="BC22" s="67">
        <f t="shared" ca="1" si="12"/>
        <v>0</v>
      </c>
      <c r="BD22" s="67">
        <f t="shared" ca="1" si="12"/>
        <v>0</v>
      </c>
      <c r="BE22" s="67">
        <f t="shared" ca="1" si="12"/>
        <v>0</v>
      </c>
      <c r="BF22" s="67">
        <f t="shared" ca="1" si="12"/>
        <v>0</v>
      </c>
      <c r="BG22" s="67">
        <f t="shared" ca="1" si="12"/>
        <v>0</v>
      </c>
      <c r="BH22" s="67">
        <f t="shared" ca="1" si="12"/>
        <v>0</v>
      </c>
      <c r="BI22" s="67">
        <f t="shared" ca="1" si="12"/>
        <v>0</v>
      </c>
      <c r="BJ22" s="67">
        <f t="shared" ca="1" si="12"/>
        <v>0</v>
      </c>
      <c r="BK22" s="67">
        <f t="shared" ca="1" si="12"/>
        <v>0</v>
      </c>
      <c r="BL22" s="67">
        <f t="shared" ca="1" si="12"/>
        <v>0</v>
      </c>
      <c r="BM22" s="67">
        <f t="shared" ca="1" si="12"/>
        <v>0</v>
      </c>
      <c r="BN22" s="67">
        <f t="shared" ca="1" si="12"/>
        <v>0</v>
      </c>
      <c r="BO22" s="67">
        <f t="shared" ca="1" si="12"/>
        <v>0</v>
      </c>
      <c r="BP22" s="67">
        <f t="shared" ca="1" si="12"/>
        <v>0</v>
      </c>
      <c r="BQ22" s="67">
        <f t="shared" ca="1" si="13"/>
        <v>0</v>
      </c>
      <c r="BR22" s="67">
        <f t="shared" ca="1" si="5"/>
        <v>0</v>
      </c>
      <c r="BS22" s="67">
        <f t="shared" ca="1" si="5"/>
        <v>0</v>
      </c>
      <c r="BT22" s="67">
        <f t="shared" ca="1" si="5"/>
        <v>0</v>
      </c>
    </row>
    <row r="23" spans="1:72" x14ac:dyDescent="0.25">
      <c r="A23" s="320">
        <f t="shared" ca="1" si="6"/>
        <v>44059</v>
      </c>
      <c r="B23" s="87">
        <f t="shared" ca="1" si="9"/>
        <v>44053</v>
      </c>
      <c r="C23" s="67">
        <v>18</v>
      </c>
      <c r="D23" s="67" t="str">
        <f t="shared" ca="1" si="10"/>
        <v/>
      </c>
      <c r="E23" s="67" t="str">
        <f t="shared" ca="1" si="0"/>
        <v xml:space="preserve"> </v>
      </c>
      <c r="F23" s="67">
        <f t="shared" ca="1" si="7"/>
        <v>33</v>
      </c>
      <c r="G23" s="67" t="str">
        <f>ROW(A18)&amp;". "&amp;'Critical resources'!B29</f>
        <v xml:space="preserve">18. </v>
      </c>
      <c r="H23" s="67">
        <f ca="1">IFERROR(VLOOKUP('Critical resources'!D29,$B$6:$C$57,2,0),0)</f>
        <v>0</v>
      </c>
      <c r="I23" s="67">
        <f ca="1">IFERROR(VLOOKUP('Critical resources'!E29,$A$6:$C$57,3,0),0)</f>
        <v>0</v>
      </c>
      <c r="J23" s="67">
        <f ca="1">IFERROR(VLOOKUP('Critical resources'!G29,$B$6:$C$57,2,0),0)</f>
        <v>0</v>
      </c>
      <c r="K23" s="67">
        <f ca="1">IFERROR(VLOOKUP('Critical resources'!H29,$B$6:$C$57,2,0),0)</f>
        <v>0</v>
      </c>
      <c r="L23" s="67">
        <f ca="1">IFERROR(VLOOKUP('Critical resources'!J29,$B$6:$C$57,2,0),0)</f>
        <v>0</v>
      </c>
      <c r="M23" s="67">
        <f ca="1">IFERROR(VLOOKUP('Critical resources'!K29,$A$6:$C$57,3,0),0)</f>
        <v>0</v>
      </c>
      <c r="N23" s="67">
        <f ca="1">IFERROR(VLOOKUP('Critical resources'!M29,$B$6:$C$57,2,0),0)</f>
        <v>0</v>
      </c>
      <c r="O23" s="67">
        <f ca="1">IFERROR(VLOOKUP('Critical resources'!N29,$A$6:$C$57,3,0),0)</f>
        <v>0</v>
      </c>
      <c r="P23" s="67">
        <f ca="1">IFERROR(VLOOKUP('Critical resources'!P29,$B$6:$C$57,2,0),0)</f>
        <v>0</v>
      </c>
      <c r="Q23" s="67">
        <f ca="1">IFERROR(VLOOKUP('Critical resources'!Q29,$A$6:$C$57,3,0),0)</f>
        <v>0</v>
      </c>
      <c r="T23" s="67" t="str">
        <f t="shared" si="1"/>
        <v xml:space="preserve">18. </v>
      </c>
      <c r="U23" s="67">
        <f t="shared" ref="U23:AJ38" ca="1" si="14">SUM(IFERROR(IF(AND(U$5&gt;=$H23,U$5&lt;=$I23),1,0),0),IFERROR(IF(AND(U$5&gt;=$J23,U$5&lt;=$K23),1,0),0),IFERROR(IF(AND(U$5&gt;=$L23,U$5&lt;=$M23),1,0),0),IFERROR(IF(AND(U$5&gt;=$N23,U$5&lt;=$O23),1,0),0),IFERROR(IF(AND(U$5&gt;=$P23,U$5&lt;=$Q23),1,0),0))</f>
        <v>0</v>
      </c>
      <c r="V23" s="67">
        <f t="shared" ca="1" si="14"/>
        <v>0</v>
      </c>
      <c r="W23" s="67">
        <f t="shared" ca="1" si="14"/>
        <v>0</v>
      </c>
      <c r="X23" s="67">
        <f t="shared" ca="1" si="14"/>
        <v>0</v>
      </c>
      <c r="Y23" s="67">
        <f t="shared" ca="1" si="14"/>
        <v>0</v>
      </c>
      <c r="Z23" s="67">
        <f t="shared" ca="1" si="14"/>
        <v>0</v>
      </c>
      <c r="AA23" s="67">
        <f t="shared" ca="1" si="14"/>
        <v>0</v>
      </c>
      <c r="AB23" s="67">
        <f t="shared" ca="1" si="14"/>
        <v>0</v>
      </c>
      <c r="AC23" s="67">
        <f t="shared" ca="1" si="14"/>
        <v>0</v>
      </c>
      <c r="AD23" s="67">
        <f t="shared" ca="1" si="14"/>
        <v>0</v>
      </c>
      <c r="AE23" s="67">
        <f t="shared" ca="1" si="14"/>
        <v>0</v>
      </c>
      <c r="AF23" s="67">
        <f t="shared" ca="1" si="14"/>
        <v>0</v>
      </c>
      <c r="AG23" s="67">
        <f t="shared" ca="1" si="14"/>
        <v>0</v>
      </c>
      <c r="AH23" s="67">
        <f t="shared" ca="1" si="14"/>
        <v>0</v>
      </c>
      <c r="AI23" s="67">
        <f t="shared" ca="1" si="14"/>
        <v>0</v>
      </c>
      <c r="AJ23" s="67">
        <f t="shared" ca="1" si="14"/>
        <v>0</v>
      </c>
      <c r="AK23" s="67">
        <f t="shared" ca="1" si="11"/>
        <v>0</v>
      </c>
      <c r="AL23" s="67">
        <f t="shared" ca="1" si="11"/>
        <v>0</v>
      </c>
      <c r="AM23" s="67">
        <f t="shared" ca="1" si="11"/>
        <v>0</v>
      </c>
      <c r="AN23" s="67">
        <f t="shared" ca="1" si="11"/>
        <v>0</v>
      </c>
      <c r="AO23" s="67">
        <f t="shared" ca="1" si="11"/>
        <v>0</v>
      </c>
      <c r="AP23" s="67">
        <f t="shared" ca="1" si="11"/>
        <v>0</v>
      </c>
      <c r="AQ23" s="67">
        <f t="shared" ca="1" si="11"/>
        <v>0</v>
      </c>
      <c r="AR23" s="67">
        <f t="shared" ca="1" si="11"/>
        <v>0</v>
      </c>
      <c r="AS23" s="67">
        <f t="shared" ca="1" si="11"/>
        <v>0</v>
      </c>
      <c r="AT23" s="67">
        <f t="shared" ca="1" si="11"/>
        <v>0</v>
      </c>
      <c r="AU23" s="67">
        <f t="shared" ca="1" si="11"/>
        <v>0</v>
      </c>
      <c r="AV23" s="67">
        <f t="shared" ca="1" si="11"/>
        <v>0</v>
      </c>
      <c r="AW23" s="67">
        <f t="shared" ca="1" si="11"/>
        <v>0</v>
      </c>
      <c r="AX23" s="67">
        <f t="shared" ca="1" si="11"/>
        <v>0</v>
      </c>
      <c r="AY23" s="67">
        <f t="shared" ca="1" si="11"/>
        <v>0</v>
      </c>
      <c r="AZ23" s="67">
        <f t="shared" ca="1" si="11"/>
        <v>0</v>
      </c>
      <c r="BA23" s="67">
        <f t="shared" ca="1" si="12"/>
        <v>0</v>
      </c>
      <c r="BB23" s="67">
        <f t="shared" ca="1" si="12"/>
        <v>0</v>
      </c>
      <c r="BC23" s="67">
        <f t="shared" ca="1" si="12"/>
        <v>0</v>
      </c>
      <c r="BD23" s="67">
        <f t="shared" ca="1" si="12"/>
        <v>0</v>
      </c>
      <c r="BE23" s="67">
        <f t="shared" ca="1" si="12"/>
        <v>0</v>
      </c>
      <c r="BF23" s="67">
        <f t="shared" ca="1" si="12"/>
        <v>0</v>
      </c>
      <c r="BG23" s="67">
        <f t="shared" ca="1" si="12"/>
        <v>0</v>
      </c>
      <c r="BH23" s="67">
        <f t="shared" ca="1" si="12"/>
        <v>0</v>
      </c>
      <c r="BI23" s="67">
        <f t="shared" ca="1" si="12"/>
        <v>0</v>
      </c>
      <c r="BJ23" s="67">
        <f t="shared" ca="1" si="12"/>
        <v>0</v>
      </c>
      <c r="BK23" s="67">
        <f t="shared" ca="1" si="12"/>
        <v>0</v>
      </c>
      <c r="BL23" s="67">
        <f t="shared" ca="1" si="12"/>
        <v>0</v>
      </c>
      <c r="BM23" s="67">
        <f t="shared" ca="1" si="12"/>
        <v>0</v>
      </c>
      <c r="BN23" s="67">
        <f t="shared" ca="1" si="12"/>
        <v>0</v>
      </c>
      <c r="BO23" s="67">
        <f t="shared" ca="1" si="12"/>
        <v>0</v>
      </c>
      <c r="BP23" s="67">
        <f t="shared" ca="1" si="12"/>
        <v>0</v>
      </c>
      <c r="BQ23" s="67">
        <f t="shared" ca="1" si="13"/>
        <v>0</v>
      </c>
      <c r="BR23" s="67">
        <f t="shared" ca="1" si="5"/>
        <v>0</v>
      </c>
      <c r="BS23" s="67">
        <f t="shared" ca="1" si="5"/>
        <v>0</v>
      </c>
      <c r="BT23" s="67">
        <f t="shared" ca="1" si="5"/>
        <v>0</v>
      </c>
    </row>
    <row r="24" spans="1:72" x14ac:dyDescent="0.25">
      <c r="A24" s="320">
        <f t="shared" ca="1" si="6"/>
        <v>44066</v>
      </c>
      <c r="B24" s="87">
        <f t="shared" ca="1" si="9"/>
        <v>44060</v>
      </c>
      <c r="C24" s="67">
        <v>19</v>
      </c>
      <c r="D24" s="67" t="str">
        <f t="shared" ca="1" si="10"/>
        <v/>
      </c>
      <c r="E24" s="67" t="str">
        <f t="shared" ca="1" si="0"/>
        <v xml:space="preserve"> </v>
      </c>
      <c r="F24" s="67">
        <f t="shared" ca="1" si="7"/>
        <v>34</v>
      </c>
      <c r="G24" s="67" t="str">
        <f>ROW(A19)&amp;". "&amp;'Critical resources'!B30</f>
        <v xml:space="preserve">19. </v>
      </c>
      <c r="H24" s="67">
        <f ca="1">IFERROR(VLOOKUP('Critical resources'!D30,$B$6:$C$57,2,0),0)</f>
        <v>0</v>
      </c>
      <c r="I24" s="67">
        <f ca="1">IFERROR(VLOOKUP('Critical resources'!E30,$A$6:$C$57,3,0),0)</f>
        <v>0</v>
      </c>
      <c r="J24" s="67">
        <f ca="1">IFERROR(VLOOKUP('Critical resources'!G30,$B$6:$C$57,2,0),0)</f>
        <v>0</v>
      </c>
      <c r="K24" s="67">
        <f ca="1">IFERROR(VLOOKUP('Critical resources'!H30,$B$6:$C$57,2,0),0)</f>
        <v>0</v>
      </c>
      <c r="L24" s="67">
        <f ca="1">IFERROR(VLOOKUP('Critical resources'!J30,$B$6:$C$57,2,0),0)</f>
        <v>0</v>
      </c>
      <c r="M24" s="67">
        <f ca="1">IFERROR(VLOOKUP('Critical resources'!K30,$A$6:$C$57,3,0),0)</f>
        <v>0</v>
      </c>
      <c r="N24" s="67">
        <f ca="1">IFERROR(VLOOKUP('Critical resources'!M30,$B$6:$C$57,2,0),0)</f>
        <v>0</v>
      </c>
      <c r="O24" s="67">
        <f ca="1">IFERROR(VLOOKUP('Critical resources'!N30,$A$6:$C$57,3,0),0)</f>
        <v>0</v>
      </c>
      <c r="P24" s="67">
        <f ca="1">IFERROR(VLOOKUP('Critical resources'!P30,$B$6:$C$57,2,0),0)</f>
        <v>0</v>
      </c>
      <c r="Q24" s="67">
        <f ca="1">IFERROR(VLOOKUP('Critical resources'!Q30,$A$6:$C$57,3,0),0)</f>
        <v>0</v>
      </c>
      <c r="T24" s="67" t="str">
        <f t="shared" si="1"/>
        <v xml:space="preserve">19. </v>
      </c>
      <c r="U24" s="67">
        <f t="shared" ca="1" si="14"/>
        <v>0</v>
      </c>
      <c r="V24" s="67">
        <f t="shared" ca="1" si="14"/>
        <v>0</v>
      </c>
      <c r="W24" s="67">
        <f t="shared" ca="1" si="14"/>
        <v>0</v>
      </c>
      <c r="X24" s="67">
        <f t="shared" ca="1" si="14"/>
        <v>0</v>
      </c>
      <c r="Y24" s="67">
        <f t="shared" ca="1" si="14"/>
        <v>0</v>
      </c>
      <c r="Z24" s="67">
        <f t="shared" ca="1" si="14"/>
        <v>0</v>
      </c>
      <c r="AA24" s="67">
        <f t="shared" ca="1" si="14"/>
        <v>0</v>
      </c>
      <c r="AB24" s="67">
        <f t="shared" ca="1" si="14"/>
        <v>0</v>
      </c>
      <c r="AC24" s="67">
        <f t="shared" ca="1" si="14"/>
        <v>0</v>
      </c>
      <c r="AD24" s="67">
        <f t="shared" ca="1" si="14"/>
        <v>0</v>
      </c>
      <c r="AE24" s="67">
        <f t="shared" ca="1" si="14"/>
        <v>0</v>
      </c>
      <c r="AF24" s="67">
        <f t="shared" ca="1" si="14"/>
        <v>0</v>
      </c>
      <c r="AG24" s="67">
        <f t="shared" ca="1" si="14"/>
        <v>0</v>
      </c>
      <c r="AH24" s="67">
        <f t="shared" ca="1" si="14"/>
        <v>0</v>
      </c>
      <c r="AI24" s="67">
        <f t="shared" ca="1" si="14"/>
        <v>0</v>
      </c>
      <c r="AJ24" s="67">
        <f t="shared" ca="1" si="14"/>
        <v>0</v>
      </c>
      <c r="AK24" s="67">
        <f t="shared" ca="1" si="11"/>
        <v>0</v>
      </c>
      <c r="AL24" s="67">
        <f t="shared" ca="1" si="11"/>
        <v>0</v>
      </c>
      <c r="AM24" s="67">
        <f t="shared" ca="1" si="11"/>
        <v>0</v>
      </c>
      <c r="AN24" s="67">
        <f t="shared" ca="1" si="11"/>
        <v>0</v>
      </c>
      <c r="AO24" s="67">
        <f t="shared" ca="1" si="11"/>
        <v>0</v>
      </c>
      <c r="AP24" s="67">
        <f t="shared" ca="1" si="11"/>
        <v>0</v>
      </c>
      <c r="AQ24" s="67">
        <f t="shared" ca="1" si="11"/>
        <v>0</v>
      </c>
      <c r="AR24" s="67">
        <f t="shared" ca="1" si="11"/>
        <v>0</v>
      </c>
      <c r="AS24" s="67">
        <f t="shared" ca="1" si="11"/>
        <v>0</v>
      </c>
      <c r="AT24" s="67">
        <f t="shared" ca="1" si="11"/>
        <v>0</v>
      </c>
      <c r="AU24" s="67">
        <f t="shared" ca="1" si="11"/>
        <v>0</v>
      </c>
      <c r="AV24" s="67">
        <f t="shared" ca="1" si="11"/>
        <v>0</v>
      </c>
      <c r="AW24" s="67">
        <f t="shared" ca="1" si="11"/>
        <v>0</v>
      </c>
      <c r="AX24" s="67">
        <f t="shared" ca="1" si="11"/>
        <v>0</v>
      </c>
      <c r="AY24" s="67">
        <f t="shared" ca="1" si="11"/>
        <v>0</v>
      </c>
      <c r="AZ24" s="67">
        <f t="shared" ca="1" si="11"/>
        <v>0</v>
      </c>
      <c r="BA24" s="67">
        <f t="shared" ca="1" si="12"/>
        <v>0</v>
      </c>
      <c r="BB24" s="67">
        <f t="shared" ca="1" si="12"/>
        <v>0</v>
      </c>
      <c r="BC24" s="67">
        <f t="shared" ca="1" si="12"/>
        <v>0</v>
      </c>
      <c r="BD24" s="67">
        <f t="shared" ca="1" si="12"/>
        <v>0</v>
      </c>
      <c r="BE24" s="67">
        <f t="shared" ca="1" si="12"/>
        <v>0</v>
      </c>
      <c r="BF24" s="67">
        <f t="shared" ca="1" si="12"/>
        <v>0</v>
      </c>
      <c r="BG24" s="67">
        <f t="shared" ca="1" si="12"/>
        <v>0</v>
      </c>
      <c r="BH24" s="67">
        <f t="shared" ca="1" si="12"/>
        <v>0</v>
      </c>
      <c r="BI24" s="67">
        <f t="shared" ca="1" si="12"/>
        <v>0</v>
      </c>
      <c r="BJ24" s="67">
        <f t="shared" ca="1" si="12"/>
        <v>0</v>
      </c>
      <c r="BK24" s="67">
        <f t="shared" ca="1" si="12"/>
        <v>0</v>
      </c>
      <c r="BL24" s="67">
        <f t="shared" ca="1" si="12"/>
        <v>0</v>
      </c>
      <c r="BM24" s="67">
        <f t="shared" ca="1" si="12"/>
        <v>0</v>
      </c>
      <c r="BN24" s="67">
        <f t="shared" ca="1" si="12"/>
        <v>0</v>
      </c>
      <c r="BO24" s="67">
        <f t="shared" ca="1" si="12"/>
        <v>0</v>
      </c>
      <c r="BP24" s="67">
        <f t="shared" ca="1" si="12"/>
        <v>0</v>
      </c>
      <c r="BQ24" s="67">
        <f t="shared" ca="1" si="13"/>
        <v>0</v>
      </c>
      <c r="BR24" s="67">
        <f t="shared" ca="1" si="5"/>
        <v>0</v>
      </c>
      <c r="BS24" s="67">
        <f t="shared" ca="1" si="5"/>
        <v>0</v>
      </c>
      <c r="BT24" s="67">
        <f t="shared" ca="1" si="5"/>
        <v>0</v>
      </c>
    </row>
    <row r="25" spans="1:72" x14ac:dyDescent="0.25">
      <c r="A25" s="320">
        <f t="shared" ca="1" si="6"/>
        <v>44073</v>
      </c>
      <c r="B25" s="87">
        <f t="shared" ca="1" si="9"/>
        <v>44067</v>
      </c>
      <c r="C25" s="67">
        <v>20</v>
      </c>
      <c r="D25" s="67" t="str">
        <f t="shared" ca="1" si="10"/>
        <v/>
      </c>
      <c r="E25" s="67" t="str">
        <f t="shared" ca="1" si="0"/>
        <v xml:space="preserve"> </v>
      </c>
      <c r="F25" s="67">
        <f t="shared" ca="1" si="7"/>
        <v>35</v>
      </c>
      <c r="G25" s="67" t="str">
        <f>ROW(A20)&amp;". "&amp;'Critical resources'!B31</f>
        <v xml:space="preserve">20. </v>
      </c>
      <c r="H25" s="67">
        <f ca="1">IFERROR(VLOOKUP('Critical resources'!D31,$B$6:$C$57,2,0),0)</f>
        <v>0</v>
      </c>
      <c r="I25" s="67">
        <f ca="1">IFERROR(VLOOKUP('Critical resources'!E31,$A$6:$C$57,3,0),0)</f>
        <v>0</v>
      </c>
      <c r="J25" s="67">
        <f ca="1">IFERROR(VLOOKUP('Critical resources'!G31,$B$6:$C$57,2,0),0)</f>
        <v>0</v>
      </c>
      <c r="K25" s="67">
        <f ca="1">IFERROR(VLOOKUP('Critical resources'!H31,$B$6:$C$57,2,0),0)</f>
        <v>0</v>
      </c>
      <c r="L25" s="67">
        <f ca="1">IFERROR(VLOOKUP('Critical resources'!J31,$B$6:$C$57,2,0),0)</f>
        <v>0</v>
      </c>
      <c r="M25" s="67">
        <f ca="1">IFERROR(VLOOKUP('Critical resources'!K31,$A$6:$C$57,3,0),0)</f>
        <v>0</v>
      </c>
      <c r="N25" s="67">
        <f ca="1">IFERROR(VLOOKUP('Critical resources'!M31,$B$6:$C$57,2,0),0)</f>
        <v>0</v>
      </c>
      <c r="O25" s="67">
        <f ca="1">IFERROR(VLOOKUP('Critical resources'!N31,$A$6:$C$57,3,0),0)</f>
        <v>0</v>
      </c>
      <c r="P25" s="67">
        <f ca="1">IFERROR(VLOOKUP('Critical resources'!P31,$B$6:$C$57,2,0),0)</f>
        <v>0</v>
      </c>
      <c r="Q25" s="67">
        <f ca="1">IFERROR(VLOOKUP('Critical resources'!Q31,$A$6:$C$57,3,0),0)</f>
        <v>0</v>
      </c>
      <c r="T25" s="67" t="str">
        <f t="shared" si="1"/>
        <v xml:space="preserve">20. </v>
      </c>
      <c r="U25" s="67">
        <f t="shared" ca="1" si="14"/>
        <v>0</v>
      </c>
      <c r="V25" s="67">
        <f t="shared" ca="1" si="14"/>
        <v>0</v>
      </c>
      <c r="W25" s="67">
        <f t="shared" ca="1" si="14"/>
        <v>0</v>
      </c>
      <c r="X25" s="67">
        <f t="shared" ca="1" si="14"/>
        <v>0</v>
      </c>
      <c r="Y25" s="67">
        <f t="shared" ca="1" si="14"/>
        <v>0</v>
      </c>
      <c r="Z25" s="67">
        <f t="shared" ca="1" si="14"/>
        <v>0</v>
      </c>
      <c r="AA25" s="67">
        <f t="shared" ca="1" si="14"/>
        <v>0</v>
      </c>
      <c r="AB25" s="67">
        <f t="shared" ca="1" si="14"/>
        <v>0</v>
      </c>
      <c r="AC25" s="67">
        <f t="shared" ca="1" si="14"/>
        <v>0</v>
      </c>
      <c r="AD25" s="67">
        <f t="shared" ca="1" si="14"/>
        <v>0</v>
      </c>
      <c r="AE25" s="67">
        <f t="shared" ca="1" si="14"/>
        <v>0</v>
      </c>
      <c r="AF25" s="67">
        <f t="shared" ca="1" si="14"/>
        <v>0</v>
      </c>
      <c r="AG25" s="67">
        <f t="shared" ca="1" si="14"/>
        <v>0</v>
      </c>
      <c r="AH25" s="67">
        <f t="shared" ca="1" si="14"/>
        <v>0</v>
      </c>
      <c r="AI25" s="67">
        <f t="shared" ca="1" si="14"/>
        <v>0</v>
      </c>
      <c r="AJ25" s="67">
        <f t="shared" ca="1" si="14"/>
        <v>0</v>
      </c>
      <c r="AK25" s="67">
        <f t="shared" ca="1" si="11"/>
        <v>0</v>
      </c>
      <c r="AL25" s="67">
        <f t="shared" ca="1" si="11"/>
        <v>0</v>
      </c>
      <c r="AM25" s="67">
        <f t="shared" ca="1" si="11"/>
        <v>0</v>
      </c>
      <c r="AN25" s="67">
        <f t="shared" ca="1" si="11"/>
        <v>0</v>
      </c>
      <c r="AO25" s="67">
        <f t="shared" ca="1" si="11"/>
        <v>0</v>
      </c>
      <c r="AP25" s="67">
        <f t="shared" ca="1" si="11"/>
        <v>0</v>
      </c>
      <c r="AQ25" s="67">
        <f t="shared" ca="1" si="11"/>
        <v>0</v>
      </c>
      <c r="AR25" s="67">
        <f t="shared" ca="1" si="11"/>
        <v>0</v>
      </c>
      <c r="AS25" s="67">
        <f t="shared" ca="1" si="11"/>
        <v>0</v>
      </c>
      <c r="AT25" s="67">
        <f t="shared" ca="1" si="11"/>
        <v>0</v>
      </c>
      <c r="AU25" s="67">
        <f t="shared" ca="1" si="11"/>
        <v>0</v>
      </c>
      <c r="AV25" s="67">
        <f t="shared" ca="1" si="11"/>
        <v>0</v>
      </c>
      <c r="AW25" s="67">
        <f t="shared" ca="1" si="11"/>
        <v>0</v>
      </c>
      <c r="AX25" s="67">
        <f t="shared" ca="1" si="11"/>
        <v>0</v>
      </c>
      <c r="AY25" s="67">
        <f t="shared" ca="1" si="11"/>
        <v>0</v>
      </c>
      <c r="AZ25" s="67">
        <f t="shared" ca="1" si="11"/>
        <v>0</v>
      </c>
      <c r="BA25" s="67">
        <f t="shared" ca="1" si="12"/>
        <v>0</v>
      </c>
      <c r="BB25" s="67">
        <f t="shared" ca="1" si="12"/>
        <v>0</v>
      </c>
      <c r="BC25" s="67">
        <f t="shared" ca="1" si="12"/>
        <v>0</v>
      </c>
      <c r="BD25" s="67">
        <f t="shared" ca="1" si="12"/>
        <v>0</v>
      </c>
      <c r="BE25" s="67">
        <f t="shared" ca="1" si="12"/>
        <v>0</v>
      </c>
      <c r="BF25" s="67">
        <f t="shared" ca="1" si="12"/>
        <v>0</v>
      </c>
      <c r="BG25" s="67">
        <f t="shared" ca="1" si="12"/>
        <v>0</v>
      </c>
      <c r="BH25" s="67">
        <f t="shared" ca="1" si="12"/>
        <v>0</v>
      </c>
      <c r="BI25" s="67">
        <f t="shared" ca="1" si="12"/>
        <v>0</v>
      </c>
      <c r="BJ25" s="67">
        <f t="shared" ca="1" si="12"/>
        <v>0</v>
      </c>
      <c r="BK25" s="67">
        <f t="shared" ca="1" si="12"/>
        <v>0</v>
      </c>
      <c r="BL25" s="67">
        <f t="shared" ca="1" si="12"/>
        <v>0</v>
      </c>
      <c r="BM25" s="67">
        <f t="shared" ca="1" si="12"/>
        <v>0</v>
      </c>
      <c r="BN25" s="67">
        <f t="shared" ca="1" si="12"/>
        <v>0</v>
      </c>
      <c r="BO25" s="67">
        <f t="shared" ca="1" si="12"/>
        <v>0</v>
      </c>
      <c r="BP25" s="67">
        <f t="shared" ca="1" si="12"/>
        <v>0</v>
      </c>
      <c r="BQ25" s="67">
        <f t="shared" ca="1" si="13"/>
        <v>0</v>
      </c>
      <c r="BR25" s="67">
        <f t="shared" ca="1" si="5"/>
        <v>0</v>
      </c>
      <c r="BS25" s="67">
        <f t="shared" ca="1" si="5"/>
        <v>0</v>
      </c>
      <c r="BT25" s="67">
        <f t="shared" ca="1" si="5"/>
        <v>0</v>
      </c>
    </row>
    <row r="26" spans="1:72" x14ac:dyDescent="0.25">
      <c r="A26" s="320">
        <f t="shared" ca="1" si="6"/>
        <v>44080</v>
      </c>
      <c r="B26" s="87">
        <f t="shared" ca="1" si="9"/>
        <v>44074</v>
      </c>
      <c r="C26" s="67">
        <v>21</v>
      </c>
      <c r="D26" s="67" t="str">
        <f t="shared" ca="1" si="10"/>
        <v/>
      </c>
      <c r="E26" s="67" t="str">
        <f t="shared" ca="1" si="0"/>
        <v xml:space="preserve"> </v>
      </c>
      <c r="F26" s="67">
        <f t="shared" ca="1" si="7"/>
        <v>36</v>
      </c>
      <c r="G26" s="67" t="str">
        <f>ROW(A21)&amp;". "&amp;'Critical resources'!B32</f>
        <v xml:space="preserve">21. </v>
      </c>
      <c r="H26" s="67">
        <f ca="1">IFERROR(VLOOKUP('Critical resources'!D32,$B$6:$C$57,2,0),0)</f>
        <v>0</v>
      </c>
      <c r="I26" s="67">
        <f ca="1">IFERROR(VLOOKUP('Critical resources'!E32,$A$6:$C$57,3,0),0)</f>
        <v>0</v>
      </c>
      <c r="J26" s="67">
        <f ca="1">IFERROR(VLOOKUP('Critical resources'!G32,$B$6:$C$57,2,0),0)</f>
        <v>0</v>
      </c>
      <c r="K26" s="67">
        <f ca="1">IFERROR(VLOOKUP('Critical resources'!H32,$B$6:$C$57,2,0),0)</f>
        <v>0</v>
      </c>
      <c r="L26" s="67">
        <f ca="1">IFERROR(VLOOKUP('Critical resources'!J32,$B$6:$C$57,2,0),0)</f>
        <v>0</v>
      </c>
      <c r="M26" s="67">
        <f ca="1">IFERROR(VLOOKUP('Critical resources'!K32,$A$6:$C$57,3,0),0)</f>
        <v>0</v>
      </c>
      <c r="N26" s="67">
        <f ca="1">IFERROR(VLOOKUP('Critical resources'!M32,$B$6:$C$57,2,0),0)</f>
        <v>0</v>
      </c>
      <c r="O26" s="67">
        <f ca="1">IFERROR(VLOOKUP('Critical resources'!N32,$A$6:$C$57,3,0),0)</f>
        <v>0</v>
      </c>
      <c r="P26" s="67">
        <f ca="1">IFERROR(VLOOKUP('Critical resources'!P32,$B$6:$C$57,2,0),0)</f>
        <v>0</v>
      </c>
      <c r="Q26" s="67">
        <f ca="1">IFERROR(VLOOKUP('Critical resources'!Q32,$A$6:$C$57,3,0),0)</f>
        <v>0</v>
      </c>
      <c r="T26" s="67" t="str">
        <f t="shared" si="1"/>
        <v xml:space="preserve">21. </v>
      </c>
      <c r="U26" s="67">
        <f t="shared" ca="1" si="14"/>
        <v>0</v>
      </c>
      <c r="V26" s="67">
        <f t="shared" ca="1" si="14"/>
        <v>0</v>
      </c>
      <c r="W26" s="67">
        <f t="shared" ca="1" si="14"/>
        <v>0</v>
      </c>
      <c r="X26" s="67">
        <f t="shared" ca="1" si="14"/>
        <v>0</v>
      </c>
      <c r="Y26" s="67">
        <f t="shared" ca="1" si="14"/>
        <v>0</v>
      </c>
      <c r="Z26" s="67">
        <f t="shared" ca="1" si="14"/>
        <v>0</v>
      </c>
      <c r="AA26" s="67">
        <f t="shared" ca="1" si="14"/>
        <v>0</v>
      </c>
      <c r="AB26" s="67">
        <f t="shared" ca="1" si="14"/>
        <v>0</v>
      </c>
      <c r="AC26" s="67">
        <f t="shared" ca="1" si="14"/>
        <v>0</v>
      </c>
      <c r="AD26" s="67">
        <f t="shared" ca="1" si="14"/>
        <v>0</v>
      </c>
      <c r="AE26" s="67">
        <f t="shared" ca="1" si="14"/>
        <v>0</v>
      </c>
      <c r="AF26" s="67">
        <f t="shared" ca="1" si="14"/>
        <v>0</v>
      </c>
      <c r="AG26" s="67">
        <f t="shared" ca="1" si="14"/>
        <v>0</v>
      </c>
      <c r="AH26" s="67">
        <f t="shared" ca="1" si="14"/>
        <v>0</v>
      </c>
      <c r="AI26" s="67">
        <f t="shared" ca="1" si="14"/>
        <v>0</v>
      </c>
      <c r="AJ26" s="67">
        <f t="shared" ca="1" si="14"/>
        <v>0</v>
      </c>
      <c r="AK26" s="67">
        <f t="shared" ca="1" si="11"/>
        <v>0</v>
      </c>
      <c r="AL26" s="67">
        <f t="shared" ca="1" si="11"/>
        <v>0</v>
      </c>
      <c r="AM26" s="67">
        <f t="shared" ca="1" si="11"/>
        <v>0</v>
      </c>
      <c r="AN26" s="67">
        <f t="shared" ca="1" si="11"/>
        <v>0</v>
      </c>
      <c r="AO26" s="67">
        <f t="shared" ca="1" si="11"/>
        <v>0</v>
      </c>
      <c r="AP26" s="67">
        <f t="shared" ca="1" si="11"/>
        <v>0</v>
      </c>
      <c r="AQ26" s="67">
        <f t="shared" ca="1" si="11"/>
        <v>0</v>
      </c>
      <c r="AR26" s="67">
        <f t="shared" ca="1" si="11"/>
        <v>0</v>
      </c>
      <c r="AS26" s="67">
        <f t="shared" ca="1" si="11"/>
        <v>0</v>
      </c>
      <c r="AT26" s="67">
        <f t="shared" ca="1" si="11"/>
        <v>0</v>
      </c>
      <c r="AU26" s="67">
        <f t="shared" ca="1" si="11"/>
        <v>0</v>
      </c>
      <c r="AV26" s="67">
        <f t="shared" ca="1" si="11"/>
        <v>0</v>
      </c>
      <c r="AW26" s="67">
        <f t="shared" ca="1" si="11"/>
        <v>0</v>
      </c>
      <c r="AX26" s="67">
        <f t="shared" ca="1" si="11"/>
        <v>0</v>
      </c>
      <c r="AY26" s="67">
        <f t="shared" ca="1" si="11"/>
        <v>0</v>
      </c>
      <c r="AZ26" s="67">
        <f t="shared" ca="1" si="11"/>
        <v>0</v>
      </c>
      <c r="BA26" s="67">
        <f t="shared" ca="1" si="12"/>
        <v>0</v>
      </c>
      <c r="BB26" s="67">
        <f t="shared" ca="1" si="12"/>
        <v>0</v>
      </c>
      <c r="BC26" s="67">
        <f t="shared" ca="1" si="12"/>
        <v>0</v>
      </c>
      <c r="BD26" s="67">
        <f t="shared" ca="1" si="12"/>
        <v>0</v>
      </c>
      <c r="BE26" s="67">
        <f t="shared" ca="1" si="12"/>
        <v>0</v>
      </c>
      <c r="BF26" s="67">
        <f t="shared" ca="1" si="12"/>
        <v>0</v>
      </c>
      <c r="BG26" s="67">
        <f t="shared" ca="1" si="12"/>
        <v>0</v>
      </c>
      <c r="BH26" s="67">
        <f t="shared" ca="1" si="12"/>
        <v>0</v>
      </c>
      <c r="BI26" s="67">
        <f t="shared" ca="1" si="12"/>
        <v>0</v>
      </c>
      <c r="BJ26" s="67">
        <f t="shared" ca="1" si="12"/>
        <v>0</v>
      </c>
      <c r="BK26" s="67">
        <f t="shared" ca="1" si="12"/>
        <v>0</v>
      </c>
      <c r="BL26" s="67">
        <f t="shared" ca="1" si="12"/>
        <v>0</v>
      </c>
      <c r="BM26" s="67">
        <f t="shared" ca="1" si="12"/>
        <v>0</v>
      </c>
      <c r="BN26" s="67">
        <f t="shared" ca="1" si="12"/>
        <v>0</v>
      </c>
      <c r="BO26" s="67">
        <f t="shared" ca="1" si="12"/>
        <v>0</v>
      </c>
      <c r="BP26" s="67">
        <f t="shared" ca="1" si="12"/>
        <v>0</v>
      </c>
      <c r="BQ26" s="67">
        <f t="shared" ca="1" si="13"/>
        <v>0</v>
      </c>
      <c r="BR26" s="67">
        <f t="shared" ca="1" si="13"/>
        <v>0</v>
      </c>
      <c r="BS26" s="67">
        <f t="shared" ca="1" si="13"/>
        <v>0</v>
      </c>
      <c r="BT26" s="67">
        <f t="shared" ca="1" si="13"/>
        <v>0</v>
      </c>
    </row>
    <row r="27" spans="1:72" x14ac:dyDescent="0.25">
      <c r="A27" s="320">
        <f t="shared" ca="1" si="6"/>
        <v>44087</v>
      </c>
      <c r="B27" s="87">
        <f t="shared" ca="1" si="9"/>
        <v>44081</v>
      </c>
      <c r="C27" s="67">
        <v>22</v>
      </c>
      <c r="D27" s="67" t="str">
        <f t="shared" ca="1" si="10"/>
        <v/>
      </c>
      <c r="E27" s="67" t="str">
        <f t="shared" ca="1" si="0"/>
        <v>Sep</v>
      </c>
      <c r="F27" s="67">
        <f t="shared" ca="1" si="7"/>
        <v>37</v>
      </c>
      <c r="G27" s="67" t="str">
        <f>ROW(A22)&amp;". "&amp;'Critical resources'!B33</f>
        <v xml:space="preserve">22. </v>
      </c>
      <c r="H27" s="67">
        <f ca="1">IFERROR(VLOOKUP('Critical resources'!D33,$B$6:$C$57,2,0),0)</f>
        <v>0</v>
      </c>
      <c r="I27" s="67">
        <f ca="1">IFERROR(VLOOKUP('Critical resources'!E33,$A$6:$C$57,3,0),0)</f>
        <v>0</v>
      </c>
      <c r="J27" s="67">
        <f ca="1">IFERROR(VLOOKUP('Critical resources'!G33,$B$6:$C$57,2,0),0)</f>
        <v>0</v>
      </c>
      <c r="K27" s="67">
        <f ca="1">IFERROR(VLOOKUP('Critical resources'!H33,$B$6:$C$57,2,0),0)</f>
        <v>0</v>
      </c>
      <c r="L27" s="67">
        <f ca="1">IFERROR(VLOOKUP('Critical resources'!J33,$B$6:$C$57,2,0),0)</f>
        <v>0</v>
      </c>
      <c r="M27" s="67">
        <f ca="1">IFERROR(VLOOKUP('Critical resources'!K33,$A$6:$C$57,3,0),0)</f>
        <v>0</v>
      </c>
      <c r="N27" s="67">
        <f ca="1">IFERROR(VLOOKUP('Critical resources'!M33,$B$6:$C$57,2,0),0)</f>
        <v>0</v>
      </c>
      <c r="O27" s="67">
        <f ca="1">IFERROR(VLOOKUP('Critical resources'!N33,$A$6:$C$57,3,0),0)</f>
        <v>0</v>
      </c>
      <c r="P27" s="67">
        <f ca="1">IFERROR(VLOOKUP('Critical resources'!P33,$B$6:$C$57,2,0),0)</f>
        <v>0</v>
      </c>
      <c r="Q27" s="67">
        <f ca="1">IFERROR(VLOOKUP('Critical resources'!Q33,$A$6:$C$57,3,0),0)</f>
        <v>0</v>
      </c>
      <c r="T27" s="67" t="str">
        <f t="shared" si="1"/>
        <v xml:space="preserve">22. </v>
      </c>
      <c r="U27" s="67">
        <f t="shared" ca="1" si="14"/>
        <v>0</v>
      </c>
      <c r="V27" s="67">
        <f t="shared" ca="1" si="14"/>
        <v>0</v>
      </c>
      <c r="W27" s="67">
        <f t="shared" ca="1" si="14"/>
        <v>0</v>
      </c>
      <c r="X27" s="67">
        <f t="shared" ca="1" si="14"/>
        <v>0</v>
      </c>
      <c r="Y27" s="67">
        <f t="shared" ca="1" si="14"/>
        <v>0</v>
      </c>
      <c r="Z27" s="67">
        <f t="shared" ca="1" si="14"/>
        <v>0</v>
      </c>
      <c r="AA27" s="67">
        <f t="shared" ca="1" si="14"/>
        <v>0</v>
      </c>
      <c r="AB27" s="67">
        <f t="shared" ca="1" si="14"/>
        <v>0</v>
      </c>
      <c r="AC27" s="67">
        <f t="shared" ca="1" si="14"/>
        <v>0</v>
      </c>
      <c r="AD27" s="67">
        <f t="shared" ca="1" si="14"/>
        <v>0</v>
      </c>
      <c r="AE27" s="67">
        <f t="shared" ca="1" si="14"/>
        <v>0</v>
      </c>
      <c r="AF27" s="67">
        <f t="shared" ca="1" si="14"/>
        <v>0</v>
      </c>
      <c r="AG27" s="67">
        <f t="shared" ca="1" si="14"/>
        <v>0</v>
      </c>
      <c r="AH27" s="67">
        <f t="shared" ca="1" si="14"/>
        <v>0</v>
      </c>
      <c r="AI27" s="67">
        <f t="shared" ca="1" si="14"/>
        <v>0</v>
      </c>
      <c r="AJ27" s="67">
        <f t="shared" ca="1" si="14"/>
        <v>0</v>
      </c>
      <c r="AK27" s="67">
        <f t="shared" ca="1" si="11"/>
        <v>0</v>
      </c>
      <c r="AL27" s="67">
        <f t="shared" ca="1" si="11"/>
        <v>0</v>
      </c>
      <c r="AM27" s="67">
        <f t="shared" ca="1" si="11"/>
        <v>0</v>
      </c>
      <c r="AN27" s="67">
        <f t="shared" ca="1" si="11"/>
        <v>0</v>
      </c>
      <c r="AO27" s="67">
        <f t="shared" ca="1" si="11"/>
        <v>0</v>
      </c>
      <c r="AP27" s="67">
        <f t="shared" ca="1" si="11"/>
        <v>0</v>
      </c>
      <c r="AQ27" s="67">
        <f t="shared" ca="1" si="11"/>
        <v>0</v>
      </c>
      <c r="AR27" s="67">
        <f t="shared" ca="1" si="11"/>
        <v>0</v>
      </c>
      <c r="AS27" s="67">
        <f t="shared" ca="1" si="11"/>
        <v>0</v>
      </c>
      <c r="AT27" s="67">
        <f t="shared" ca="1" si="11"/>
        <v>0</v>
      </c>
      <c r="AU27" s="67">
        <f t="shared" ca="1" si="11"/>
        <v>0</v>
      </c>
      <c r="AV27" s="67">
        <f t="shared" ca="1" si="11"/>
        <v>0</v>
      </c>
      <c r="AW27" s="67">
        <f t="shared" ca="1" si="11"/>
        <v>0</v>
      </c>
      <c r="AX27" s="67">
        <f t="shared" ca="1" si="11"/>
        <v>0</v>
      </c>
      <c r="AY27" s="67">
        <f t="shared" ca="1" si="11"/>
        <v>0</v>
      </c>
      <c r="AZ27" s="67">
        <f t="shared" ca="1" si="11"/>
        <v>0</v>
      </c>
      <c r="BA27" s="67">
        <f t="shared" ca="1" si="12"/>
        <v>0</v>
      </c>
      <c r="BB27" s="67">
        <f t="shared" ca="1" si="12"/>
        <v>0</v>
      </c>
      <c r="BC27" s="67">
        <f t="shared" ca="1" si="12"/>
        <v>0</v>
      </c>
      <c r="BD27" s="67">
        <f t="shared" ca="1" si="12"/>
        <v>0</v>
      </c>
      <c r="BE27" s="67">
        <f t="shared" ca="1" si="12"/>
        <v>0</v>
      </c>
      <c r="BF27" s="67">
        <f t="shared" ca="1" si="12"/>
        <v>0</v>
      </c>
      <c r="BG27" s="67">
        <f t="shared" ca="1" si="12"/>
        <v>0</v>
      </c>
      <c r="BH27" s="67">
        <f t="shared" ca="1" si="12"/>
        <v>0</v>
      </c>
      <c r="BI27" s="67">
        <f t="shared" ca="1" si="12"/>
        <v>0</v>
      </c>
      <c r="BJ27" s="67">
        <f t="shared" ca="1" si="12"/>
        <v>0</v>
      </c>
      <c r="BK27" s="67">
        <f t="shared" ca="1" si="12"/>
        <v>0</v>
      </c>
      <c r="BL27" s="67">
        <f t="shared" ca="1" si="12"/>
        <v>0</v>
      </c>
      <c r="BM27" s="67">
        <f t="shared" ca="1" si="12"/>
        <v>0</v>
      </c>
      <c r="BN27" s="67">
        <f t="shared" ca="1" si="12"/>
        <v>0</v>
      </c>
      <c r="BO27" s="67">
        <f t="shared" ca="1" si="12"/>
        <v>0</v>
      </c>
      <c r="BP27" s="67">
        <f t="shared" ca="1" si="12"/>
        <v>0</v>
      </c>
      <c r="BQ27" s="67">
        <f t="shared" ca="1" si="13"/>
        <v>0</v>
      </c>
      <c r="BR27" s="67">
        <f t="shared" ca="1" si="13"/>
        <v>0</v>
      </c>
      <c r="BS27" s="67">
        <f t="shared" ca="1" si="13"/>
        <v>0</v>
      </c>
      <c r="BT27" s="67">
        <f t="shared" ca="1" si="13"/>
        <v>0</v>
      </c>
    </row>
    <row r="28" spans="1:72" x14ac:dyDescent="0.25">
      <c r="A28" s="320">
        <f t="shared" ca="1" si="6"/>
        <v>44094</v>
      </c>
      <c r="B28" s="87">
        <f t="shared" ca="1" si="9"/>
        <v>44088</v>
      </c>
      <c r="C28" s="67">
        <v>23</v>
      </c>
      <c r="D28" s="67" t="str">
        <f t="shared" ca="1" si="10"/>
        <v/>
      </c>
      <c r="E28" s="67" t="str">
        <f t="shared" ca="1" si="0"/>
        <v xml:space="preserve"> </v>
      </c>
      <c r="F28" s="67">
        <f t="shared" ca="1" si="7"/>
        <v>38</v>
      </c>
      <c r="G28" s="67" t="str">
        <f>ROW(A23)&amp;". "&amp;'Critical resources'!B34</f>
        <v xml:space="preserve">23. </v>
      </c>
      <c r="H28" s="67">
        <f ca="1">IFERROR(VLOOKUP('Critical resources'!D34,$B$6:$C$57,2,0),0)</f>
        <v>0</v>
      </c>
      <c r="I28" s="67">
        <f ca="1">IFERROR(VLOOKUP('Critical resources'!E34,$A$6:$C$57,3,0),0)</f>
        <v>0</v>
      </c>
      <c r="J28" s="67">
        <f ca="1">IFERROR(VLOOKUP('Critical resources'!G34,$B$6:$C$57,2,0),0)</f>
        <v>0</v>
      </c>
      <c r="K28" s="67">
        <f ca="1">IFERROR(VLOOKUP('Critical resources'!H34,$B$6:$C$57,2,0),0)</f>
        <v>0</v>
      </c>
      <c r="L28" s="67">
        <f ca="1">IFERROR(VLOOKUP('Critical resources'!J34,$B$6:$C$57,2,0),0)</f>
        <v>0</v>
      </c>
      <c r="M28" s="67">
        <f ca="1">IFERROR(VLOOKUP('Critical resources'!K34,$A$6:$C$57,3,0),0)</f>
        <v>0</v>
      </c>
      <c r="N28" s="67">
        <f ca="1">IFERROR(VLOOKUP('Critical resources'!M34,$B$6:$C$57,2,0),0)</f>
        <v>0</v>
      </c>
      <c r="O28" s="67">
        <f ca="1">IFERROR(VLOOKUP('Critical resources'!N34,$A$6:$C$57,3,0),0)</f>
        <v>0</v>
      </c>
      <c r="P28" s="67">
        <f ca="1">IFERROR(VLOOKUP('Critical resources'!P34,$B$6:$C$57,2,0),0)</f>
        <v>0</v>
      </c>
      <c r="Q28" s="67">
        <f ca="1">IFERROR(VLOOKUP('Critical resources'!Q34,$A$6:$C$57,3,0),0)</f>
        <v>0</v>
      </c>
      <c r="T28" s="67" t="str">
        <f t="shared" si="1"/>
        <v xml:space="preserve">23. </v>
      </c>
      <c r="U28" s="67">
        <f t="shared" ca="1" si="14"/>
        <v>0</v>
      </c>
      <c r="V28" s="67">
        <f t="shared" ca="1" si="14"/>
        <v>0</v>
      </c>
      <c r="W28" s="67">
        <f t="shared" ca="1" si="14"/>
        <v>0</v>
      </c>
      <c r="X28" s="67">
        <f t="shared" ca="1" si="14"/>
        <v>0</v>
      </c>
      <c r="Y28" s="67">
        <f t="shared" ca="1" si="14"/>
        <v>0</v>
      </c>
      <c r="Z28" s="67">
        <f t="shared" ca="1" si="14"/>
        <v>0</v>
      </c>
      <c r="AA28" s="67">
        <f t="shared" ca="1" si="14"/>
        <v>0</v>
      </c>
      <c r="AB28" s="67">
        <f t="shared" ca="1" si="14"/>
        <v>0</v>
      </c>
      <c r="AC28" s="67">
        <f t="shared" ca="1" si="14"/>
        <v>0</v>
      </c>
      <c r="AD28" s="67">
        <f t="shared" ca="1" si="14"/>
        <v>0</v>
      </c>
      <c r="AE28" s="67">
        <f t="shared" ca="1" si="14"/>
        <v>0</v>
      </c>
      <c r="AF28" s="67">
        <f t="shared" ca="1" si="14"/>
        <v>0</v>
      </c>
      <c r="AG28" s="67">
        <f t="shared" ca="1" si="14"/>
        <v>0</v>
      </c>
      <c r="AH28" s="67">
        <f t="shared" ca="1" si="14"/>
        <v>0</v>
      </c>
      <c r="AI28" s="67">
        <f t="shared" ca="1" si="14"/>
        <v>0</v>
      </c>
      <c r="AJ28" s="67">
        <f t="shared" ca="1" si="14"/>
        <v>0</v>
      </c>
      <c r="AK28" s="67">
        <f t="shared" ca="1" si="11"/>
        <v>0</v>
      </c>
      <c r="AL28" s="67">
        <f t="shared" ca="1" si="11"/>
        <v>0</v>
      </c>
      <c r="AM28" s="67">
        <f t="shared" ca="1" si="11"/>
        <v>0</v>
      </c>
      <c r="AN28" s="67">
        <f t="shared" ca="1" si="11"/>
        <v>0</v>
      </c>
      <c r="AO28" s="67">
        <f t="shared" ca="1" si="11"/>
        <v>0</v>
      </c>
      <c r="AP28" s="67">
        <f t="shared" ca="1" si="11"/>
        <v>0</v>
      </c>
      <c r="AQ28" s="67">
        <f t="shared" ca="1" si="11"/>
        <v>0</v>
      </c>
      <c r="AR28" s="67">
        <f t="shared" ca="1" si="11"/>
        <v>0</v>
      </c>
      <c r="AS28" s="67">
        <f t="shared" ca="1" si="11"/>
        <v>0</v>
      </c>
      <c r="AT28" s="67">
        <f t="shared" ca="1" si="11"/>
        <v>0</v>
      </c>
      <c r="AU28" s="67">
        <f t="shared" ca="1" si="11"/>
        <v>0</v>
      </c>
      <c r="AV28" s="67">
        <f t="shared" ca="1" si="11"/>
        <v>0</v>
      </c>
      <c r="AW28" s="67">
        <f t="shared" ca="1" si="11"/>
        <v>0</v>
      </c>
      <c r="AX28" s="67">
        <f t="shared" ca="1" si="11"/>
        <v>0</v>
      </c>
      <c r="AY28" s="67">
        <f t="shared" ca="1" si="11"/>
        <v>0</v>
      </c>
      <c r="AZ28" s="67">
        <f t="shared" ca="1" si="11"/>
        <v>0</v>
      </c>
      <c r="BA28" s="67">
        <f t="shared" ca="1" si="12"/>
        <v>0</v>
      </c>
      <c r="BB28" s="67">
        <f t="shared" ca="1" si="12"/>
        <v>0</v>
      </c>
      <c r="BC28" s="67">
        <f t="shared" ca="1" si="12"/>
        <v>0</v>
      </c>
      <c r="BD28" s="67">
        <f t="shared" ca="1" si="12"/>
        <v>0</v>
      </c>
      <c r="BE28" s="67">
        <f t="shared" ca="1" si="12"/>
        <v>0</v>
      </c>
      <c r="BF28" s="67">
        <f t="shared" ca="1" si="12"/>
        <v>0</v>
      </c>
      <c r="BG28" s="67">
        <f t="shared" ca="1" si="12"/>
        <v>0</v>
      </c>
      <c r="BH28" s="67">
        <f t="shared" ca="1" si="12"/>
        <v>0</v>
      </c>
      <c r="BI28" s="67">
        <f t="shared" ca="1" si="12"/>
        <v>0</v>
      </c>
      <c r="BJ28" s="67">
        <f t="shared" ca="1" si="12"/>
        <v>0</v>
      </c>
      <c r="BK28" s="67">
        <f t="shared" ca="1" si="12"/>
        <v>0</v>
      </c>
      <c r="BL28" s="67">
        <f t="shared" ca="1" si="12"/>
        <v>0</v>
      </c>
      <c r="BM28" s="67">
        <f t="shared" ca="1" si="12"/>
        <v>0</v>
      </c>
      <c r="BN28" s="67">
        <f t="shared" ca="1" si="12"/>
        <v>0</v>
      </c>
      <c r="BO28" s="67">
        <f t="shared" ca="1" si="12"/>
        <v>0</v>
      </c>
      <c r="BP28" s="67">
        <f t="shared" ca="1" si="12"/>
        <v>0</v>
      </c>
      <c r="BQ28" s="67">
        <f t="shared" ca="1" si="13"/>
        <v>0</v>
      </c>
      <c r="BR28" s="67">
        <f t="shared" ca="1" si="13"/>
        <v>0</v>
      </c>
      <c r="BS28" s="67">
        <f t="shared" ca="1" si="13"/>
        <v>0</v>
      </c>
      <c r="BT28" s="67">
        <f t="shared" ca="1" si="13"/>
        <v>0</v>
      </c>
    </row>
    <row r="29" spans="1:72" x14ac:dyDescent="0.25">
      <c r="A29" s="320">
        <f t="shared" ca="1" si="6"/>
        <v>44101</v>
      </c>
      <c r="B29" s="87">
        <f t="shared" ca="1" si="9"/>
        <v>44095</v>
      </c>
      <c r="C29" s="67">
        <v>24</v>
      </c>
      <c r="D29" s="67" t="str">
        <f t="shared" ca="1" si="10"/>
        <v/>
      </c>
      <c r="E29" s="67" t="str">
        <f t="shared" ca="1" si="0"/>
        <v xml:space="preserve"> </v>
      </c>
      <c r="F29" s="67">
        <f t="shared" ca="1" si="7"/>
        <v>39</v>
      </c>
      <c r="G29" s="67" t="str">
        <f>ROW(A24)&amp;". "&amp;'Critical resources'!B35</f>
        <v xml:space="preserve">24. </v>
      </c>
      <c r="H29" s="67">
        <f ca="1">IFERROR(VLOOKUP('Critical resources'!D35,$B$6:$C$57,2,0),0)</f>
        <v>0</v>
      </c>
      <c r="I29" s="67">
        <f ca="1">IFERROR(VLOOKUP('Critical resources'!E35,$A$6:$C$57,3,0),0)</f>
        <v>0</v>
      </c>
      <c r="J29" s="67">
        <f ca="1">IFERROR(VLOOKUP('Critical resources'!G35,$B$6:$C$57,2,0),0)</f>
        <v>0</v>
      </c>
      <c r="K29" s="67">
        <f ca="1">IFERROR(VLOOKUP('Critical resources'!H35,$B$6:$C$57,2,0),0)</f>
        <v>0</v>
      </c>
      <c r="L29" s="67">
        <f ca="1">IFERROR(VLOOKUP('Critical resources'!J35,$B$6:$C$57,2,0),0)</f>
        <v>0</v>
      </c>
      <c r="M29" s="67">
        <f ca="1">IFERROR(VLOOKUP('Critical resources'!K35,$A$6:$C$57,3,0),0)</f>
        <v>0</v>
      </c>
      <c r="N29" s="67">
        <f ca="1">IFERROR(VLOOKUP('Critical resources'!M35,$B$6:$C$57,2,0),0)</f>
        <v>0</v>
      </c>
      <c r="O29" s="67">
        <f ca="1">IFERROR(VLOOKUP('Critical resources'!N35,$A$6:$C$57,3,0),0)</f>
        <v>0</v>
      </c>
      <c r="P29" s="67">
        <f ca="1">IFERROR(VLOOKUP('Critical resources'!P35,$B$6:$C$57,2,0),0)</f>
        <v>0</v>
      </c>
      <c r="Q29" s="67">
        <f ca="1">IFERROR(VLOOKUP('Critical resources'!Q35,$A$6:$C$57,3,0),0)</f>
        <v>0</v>
      </c>
      <c r="T29" s="67" t="str">
        <f t="shared" si="1"/>
        <v xml:space="preserve">24. </v>
      </c>
      <c r="U29" s="67">
        <f t="shared" ca="1" si="14"/>
        <v>0</v>
      </c>
      <c r="V29" s="67">
        <f t="shared" ca="1" si="14"/>
        <v>0</v>
      </c>
      <c r="W29" s="67">
        <f t="shared" ca="1" si="14"/>
        <v>0</v>
      </c>
      <c r="X29" s="67">
        <f t="shared" ca="1" si="14"/>
        <v>0</v>
      </c>
      <c r="Y29" s="67">
        <f t="shared" ca="1" si="14"/>
        <v>0</v>
      </c>
      <c r="Z29" s="67">
        <f t="shared" ca="1" si="14"/>
        <v>0</v>
      </c>
      <c r="AA29" s="67">
        <f t="shared" ca="1" si="14"/>
        <v>0</v>
      </c>
      <c r="AB29" s="67">
        <f t="shared" ca="1" si="14"/>
        <v>0</v>
      </c>
      <c r="AC29" s="67">
        <f t="shared" ca="1" si="14"/>
        <v>0</v>
      </c>
      <c r="AD29" s="67">
        <f t="shared" ca="1" si="14"/>
        <v>0</v>
      </c>
      <c r="AE29" s="67">
        <f t="shared" ca="1" si="14"/>
        <v>0</v>
      </c>
      <c r="AF29" s="67">
        <f t="shared" ca="1" si="14"/>
        <v>0</v>
      </c>
      <c r="AG29" s="67">
        <f t="shared" ca="1" si="14"/>
        <v>0</v>
      </c>
      <c r="AH29" s="67">
        <f t="shared" ca="1" si="14"/>
        <v>0</v>
      </c>
      <c r="AI29" s="67">
        <f t="shared" ca="1" si="14"/>
        <v>0</v>
      </c>
      <c r="AJ29" s="67">
        <f t="shared" ca="1" si="14"/>
        <v>0</v>
      </c>
      <c r="AK29" s="67">
        <f t="shared" ca="1" si="11"/>
        <v>0</v>
      </c>
      <c r="AL29" s="67">
        <f t="shared" ca="1" si="11"/>
        <v>0</v>
      </c>
      <c r="AM29" s="67">
        <f t="shared" ca="1" si="11"/>
        <v>0</v>
      </c>
      <c r="AN29" s="67">
        <f t="shared" ca="1" si="11"/>
        <v>0</v>
      </c>
      <c r="AO29" s="67">
        <f t="shared" ca="1" si="11"/>
        <v>0</v>
      </c>
      <c r="AP29" s="67">
        <f t="shared" ca="1" si="11"/>
        <v>0</v>
      </c>
      <c r="AQ29" s="67">
        <f t="shared" ca="1" si="11"/>
        <v>0</v>
      </c>
      <c r="AR29" s="67">
        <f t="shared" ca="1" si="11"/>
        <v>0</v>
      </c>
      <c r="AS29" s="67">
        <f t="shared" ca="1" si="11"/>
        <v>0</v>
      </c>
      <c r="AT29" s="67">
        <f t="shared" ca="1" si="11"/>
        <v>0</v>
      </c>
      <c r="AU29" s="67">
        <f t="shared" ca="1" si="11"/>
        <v>0</v>
      </c>
      <c r="AV29" s="67">
        <f t="shared" ca="1" si="11"/>
        <v>0</v>
      </c>
      <c r="AW29" s="67">
        <f t="shared" ca="1" si="11"/>
        <v>0</v>
      </c>
      <c r="AX29" s="67">
        <f t="shared" ca="1" si="11"/>
        <v>0</v>
      </c>
      <c r="AY29" s="67">
        <f t="shared" ca="1" si="11"/>
        <v>0</v>
      </c>
      <c r="AZ29" s="67">
        <f t="shared" ca="1" si="11"/>
        <v>0</v>
      </c>
      <c r="BA29" s="67">
        <f t="shared" ca="1" si="12"/>
        <v>0</v>
      </c>
      <c r="BB29" s="67">
        <f t="shared" ca="1" si="12"/>
        <v>0</v>
      </c>
      <c r="BC29" s="67">
        <f t="shared" ca="1" si="12"/>
        <v>0</v>
      </c>
      <c r="BD29" s="67">
        <f t="shared" ca="1" si="12"/>
        <v>0</v>
      </c>
      <c r="BE29" s="67">
        <f t="shared" ca="1" si="12"/>
        <v>0</v>
      </c>
      <c r="BF29" s="67">
        <f t="shared" ca="1" si="12"/>
        <v>0</v>
      </c>
      <c r="BG29" s="67">
        <f t="shared" ca="1" si="12"/>
        <v>0</v>
      </c>
      <c r="BH29" s="67">
        <f t="shared" ca="1" si="12"/>
        <v>0</v>
      </c>
      <c r="BI29" s="67">
        <f t="shared" ca="1" si="12"/>
        <v>0</v>
      </c>
      <c r="BJ29" s="67">
        <f t="shared" ca="1" si="12"/>
        <v>0</v>
      </c>
      <c r="BK29" s="67">
        <f t="shared" ca="1" si="12"/>
        <v>0</v>
      </c>
      <c r="BL29" s="67">
        <f t="shared" ca="1" si="12"/>
        <v>0</v>
      </c>
      <c r="BM29" s="67">
        <f t="shared" ca="1" si="12"/>
        <v>0</v>
      </c>
      <c r="BN29" s="67">
        <f t="shared" ca="1" si="12"/>
        <v>0</v>
      </c>
      <c r="BO29" s="67">
        <f t="shared" ca="1" si="12"/>
        <v>0</v>
      </c>
      <c r="BP29" s="67">
        <f t="shared" ca="1" si="12"/>
        <v>0</v>
      </c>
      <c r="BQ29" s="67">
        <f t="shared" ca="1" si="13"/>
        <v>0</v>
      </c>
      <c r="BR29" s="67">
        <f t="shared" ca="1" si="13"/>
        <v>0</v>
      </c>
      <c r="BS29" s="67">
        <f t="shared" ca="1" si="13"/>
        <v>0</v>
      </c>
      <c r="BT29" s="67">
        <f t="shared" ca="1" si="13"/>
        <v>0</v>
      </c>
    </row>
    <row r="30" spans="1:72" x14ac:dyDescent="0.25">
      <c r="A30" s="320">
        <f t="shared" ca="1" si="6"/>
        <v>44108</v>
      </c>
      <c r="B30" s="87">
        <f t="shared" ca="1" si="9"/>
        <v>44102</v>
      </c>
      <c r="C30" s="67">
        <v>25</v>
      </c>
      <c r="D30" s="67" t="str">
        <f t="shared" ca="1" si="10"/>
        <v/>
      </c>
      <c r="E30" s="67" t="str">
        <f t="shared" ca="1" si="0"/>
        <v xml:space="preserve"> </v>
      </c>
      <c r="F30" s="67">
        <f t="shared" ca="1" si="7"/>
        <v>40</v>
      </c>
      <c r="G30" s="67" t="str">
        <f>ROW(A25)&amp;". "&amp;'Critical resources'!B36</f>
        <v xml:space="preserve">25. </v>
      </c>
      <c r="H30" s="67">
        <f ca="1">IFERROR(VLOOKUP('Critical resources'!D36,$B$6:$C$57,2,0),0)</f>
        <v>0</v>
      </c>
      <c r="I30" s="67">
        <f ca="1">IFERROR(VLOOKUP('Critical resources'!E36,$A$6:$C$57,3,0),0)</f>
        <v>0</v>
      </c>
      <c r="J30" s="67">
        <f ca="1">IFERROR(VLOOKUP('Critical resources'!G36,$B$6:$C$57,2,0),0)</f>
        <v>0</v>
      </c>
      <c r="K30" s="67">
        <f ca="1">IFERROR(VLOOKUP('Critical resources'!H36,$B$6:$C$57,2,0),0)</f>
        <v>0</v>
      </c>
      <c r="L30" s="67">
        <f ca="1">IFERROR(VLOOKUP('Critical resources'!J36,$B$6:$C$57,2,0),0)</f>
        <v>0</v>
      </c>
      <c r="M30" s="67">
        <f ca="1">IFERROR(VLOOKUP('Critical resources'!K36,$A$6:$C$57,3,0),0)</f>
        <v>0</v>
      </c>
      <c r="N30" s="67">
        <f ca="1">IFERROR(VLOOKUP('Critical resources'!M36,$B$6:$C$57,2,0),0)</f>
        <v>0</v>
      </c>
      <c r="O30" s="67">
        <f ca="1">IFERROR(VLOOKUP('Critical resources'!N36,$A$6:$C$57,3,0),0)</f>
        <v>0</v>
      </c>
      <c r="P30" s="67">
        <f ca="1">IFERROR(VLOOKUP('Critical resources'!P36,$B$6:$C$57,2,0),0)</f>
        <v>0</v>
      </c>
      <c r="Q30" s="67">
        <f ca="1">IFERROR(VLOOKUP('Critical resources'!Q36,$A$6:$C$57,3,0),0)</f>
        <v>0</v>
      </c>
      <c r="T30" s="67" t="str">
        <f t="shared" si="1"/>
        <v xml:space="preserve">25. </v>
      </c>
      <c r="U30" s="67">
        <f t="shared" ca="1" si="14"/>
        <v>0</v>
      </c>
      <c r="V30" s="67">
        <f t="shared" ca="1" si="14"/>
        <v>0</v>
      </c>
      <c r="W30" s="67">
        <f t="shared" ca="1" si="14"/>
        <v>0</v>
      </c>
      <c r="X30" s="67">
        <f t="shared" ca="1" si="14"/>
        <v>0</v>
      </c>
      <c r="Y30" s="67">
        <f t="shared" ca="1" si="14"/>
        <v>0</v>
      </c>
      <c r="Z30" s="67">
        <f t="shared" ca="1" si="14"/>
        <v>0</v>
      </c>
      <c r="AA30" s="67">
        <f t="shared" ca="1" si="14"/>
        <v>0</v>
      </c>
      <c r="AB30" s="67">
        <f t="shared" ca="1" si="14"/>
        <v>0</v>
      </c>
      <c r="AC30" s="67">
        <f t="shared" ca="1" si="14"/>
        <v>0</v>
      </c>
      <c r="AD30" s="67">
        <f t="shared" ca="1" si="14"/>
        <v>0</v>
      </c>
      <c r="AE30" s="67">
        <f t="shared" ca="1" si="14"/>
        <v>0</v>
      </c>
      <c r="AF30" s="67">
        <f t="shared" ca="1" si="14"/>
        <v>0</v>
      </c>
      <c r="AG30" s="67">
        <f t="shared" ca="1" si="14"/>
        <v>0</v>
      </c>
      <c r="AH30" s="67">
        <f t="shared" ca="1" si="14"/>
        <v>0</v>
      </c>
      <c r="AI30" s="67">
        <f t="shared" ca="1" si="14"/>
        <v>0</v>
      </c>
      <c r="AJ30" s="67">
        <f t="shared" ca="1" si="14"/>
        <v>0</v>
      </c>
      <c r="AK30" s="67">
        <f t="shared" ca="1" si="11"/>
        <v>0</v>
      </c>
      <c r="AL30" s="67">
        <f t="shared" ca="1" si="11"/>
        <v>0</v>
      </c>
      <c r="AM30" s="67">
        <f t="shared" ca="1" si="11"/>
        <v>0</v>
      </c>
      <c r="AN30" s="67">
        <f t="shared" ca="1" si="11"/>
        <v>0</v>
      </c>
      <c r="AO30" s="67">
        <f t="shared" ca="1" si="11"/>
        <v>0</v>
      </c>
      <c r="AP30" s="67">
        <f t="shared" ca="1" si="11"/>
        <v>0</v>
      </c>
      <c r="AQ30" s="67">
        <f t="shared" ca="1" si="11"/>
        <v>0</v>
      </c>
      <c r="AR30" s="67">
        <f t="shared" ca="1" si="11"/>
        <v>0</v>
      </c>
      <c r="AS30" s="67">
        <f t="shared" ca="1" si="11"/>
        <v>0</v>
      </c>
      <c r="AT30" s="67">
        <f t="shared" ca="1" si="11"/>
        <v>0</v>
      </c>
      <c r="AU30" s="67">
        <f t="shared" ca="1" si="11"/>
        <v>0</v>
      </c>
      <c r="AV30" s="67">
        <f t="shared" ca="1" si="11"/>
        <v>0</v>
      </c>
      <c r="AW30" s="67">
        <f t="shared" ca="1" si="11"/>
        <v>0</v>
      </c>
      <c r="AX30" s="67">
        <f t="shared" ca="1" si="11"/>
        <v>0</v>
      </c>
      <c r="AY30" s="67">
        <f t="shared" ca="1" si="11"/>
        <v>0</v>
      </c>
      <c r="AZ30" s="67">
        <f t="shared" ca="1" si="11"/>
        <v>0</v>
      </c>
      <c r="BA30" s="67">
        <f t="shared" ca="1" si="12"/>
        <v>0</v>
      </c>
      <c r="BB30" s="67">
        <f t="shared" ca="1" si="12"/>
        <v>0</v>
      </c>
      <c r="BC30" s="67">
        <f t="shared" ca="1" si="12"/>
        <v>0</v>
      </c>
      <c r="BD30" s="67">
        <f t="shared" ca="1" si="12"/>
        <v>0</v>
      </c>
      <c r="BE30" s="67">
        <f t="shared" ca="1" si="12"/>
        <v>0</v>
      </c>
      <c r="BF30" s="67">
        <f t="shared" ca="1" si="12"/>
        <v>0</v>
      </c>
      <c r="BG30" s="67">
        <f t="shared" ca="1" si="12"/>
        <v>0</v>
      </c>
      <c r="BH30" s="67">
        <f t="shared" ca="1" si="12"/>
        <v>0</v>
      </c>
      <c r="BI30" s="67">
        <f t="shared" ca="1" si="12"/>
        <v>0</v>
      </c>
      <c r="BJ30" s="67">
        <f t="shared" ca="1" si="12"/>
        <v>0</v>
      </c>
      <c r="BK30" s="67">
        <f t="shared" ca="1" si="12"/>
        <v>0</v>
      </c>
      <c r="BL30" s="67">
        <f t="shared" ca="1" si="12"/>
        <v>0</v>
      </c>
      <c r="BM30" s="67">
        <f t="shared" ca="1" si="12"/>
        <v>0</v>
      </c>
      <c r="BN30" s="67">
        <f t="shared" ca="1" si="12"/>
        <v>0</v>
      </c>
      <c r="BO30" s="67">
        <f t="shared" ca="1" si="12"/>
        <v>0</v>
      </c>
      <c r="BP30" s="67">
        <f t="shared" ca="1" si="12"/>
        <v>0</v>
      </c>
      <c r="BQ30" s="67">
        <f t="shared" ca="1" si="13"/>
        <v>0</v>
      </c>
      <c r="BR30" s="67">
        <f t="shared" ca="1" si="13"/>
        <v>0</v>
      </c>
      <c r="BS30" s="67">
        <f t="shared" ca="1" si="13"/>
        <v>0</v>
      </c>
      <c r="BT30" s="67">
        <f t="shared" ca="1" si="13"/>
        <v>0</v>
      </c>
    </row>
    <row r="31" spans="1:72" x14ac:dyDescent="0.25">
      <c r="A31" s="320">
        <f t="shared" ca="1" si="6"/>
        <v>44115</v>
      </c>
      <c r="B31" s="87">
        <f t="shared" ca="1" si="9"/>
        <v>44109</v>
      </c>
      <c r="C31" s="67">
        <v>26</v>
      </c>
      <c r="D31" s="67" t="str">
        <f t="shared" ca="1" si="10"/>
        <v/>
      </c>
      <c r="E31" s="67" t="str">
        <f t="shared" ca="1" si="0"/>
        <v>Oct</v>
      </c>
      <c r="F31" s="67">
        <f t="shared" ca="1" si="7"/>
        <v>41</v>
      </c>
      <c r="G31" s="67" t="str">
        <f>ROW(A26)&amp;". "&amp;'Critical resources'!B37</f>
        <v xml:space="preserve">26. </v>
      </c>
      <c r="H31" s="67">
        <f ca="1">IFERROR(VLOOKUP('Critical resources'!D37,$B$6:$C$57,2,0),0)</f>
        <v>0</v>
      </c>
      <c r="I31" s="67">
        <f ca="1">IFERROR(VLOOKUP('Critical resources'!E37,$A$6:$C$57,3,0),0)</f>
        <v>0</v>
      </c>
      <c r="J31" s="67">
        <f ca="1">IFERROR(VLOOKUP('Critical resources'!G37,$B$6:$C$57,2,0),0)</f>
        <v>0</v>
      </c>
      <c r="K31" s="67">
        <f ca="1">IFERROR(VLOOKUP('Critical resources'!H37,$B$6:$C$57,2,0),0)</f>
        <v>0</v>
      </c>
      <c r="L31" s="67">
        <f ca="1">IFERROR(VLOOKUP('Critical resources'!J37,$B$6:$C$57,2,0),0)</f>
        <v>0</v>
      </c>
      <c r="M31" s="67">
        <f ca="1">IFERROR(VLOOKUP('Critical resources'!K37,$A$6:$C$57,3,0),0)</f>
        <v>0</v>
      </c>
      <c r="N31" s="67">
        <f ca="1">IFERROR(VLOOKUP('Critical resources'!M37,$B$6:$C$57,2,0),0)</f>
        <v>0</v>
      </c>
      <c r="O31" s="67">
        <f ca="1">IFERROR(VLOOKUP('Critical resources'!N37,$A$6:$C$57,3,0),0)</f>
        <v>0</v>
      </c>
      <c r="P31" s="67">
        <f ca="1">IFERROR(VLOOKUP('Critical resources'!P37,$B$6:$C$57,2,0),0)</f>
        <v>0</v>
      </c>
      <c r="Q31" s="67">
        <f ca="1">IFERROR(VLOOKUP('Critical resources'!Q37,$A$6:$C$57,3,0),0)</f>
        <v>0</v>
      </c>
      <c r="T31" s="67" t="str">
        <f t="shared" si="1"/>
        <v xml:space="preserve">26. </v>
      </c>
      <c r="U31" s="67">
        <f t="shared" ca="1" si="14"/>
        <v>0</v>
      </c>
      <c r="V31" s="67">
        <f t="shared" ca="1" si="14"/>
        <v>0</v>
      </c>
      <c r="W31" s="67">
        <f t="shared" ca="1" si="14"/>
        <v>0</v>
      </c>
      <c r="X31" s="67">
        <f t="shared" ca="1" si="14"/>
        <v>0</v>
      </c>
      <c r="Y31" s="67">
        <f t="shared" ca="1" si="14"/>
        <v>0</v>
      </c>
      <c r="Z31" s="67">
        <f t="shared" ca="1" si="14"/>
        <v>0</v>
      </c>
      <c r="AA31" s="67">
        <f t="shared" ca="1" si="14"/>
        <v>0</v>
      </c>
      <c r="AB31" s="67">
        <f t="shared" ca="1" si="14"/>
        <v>0</v>
      </c>
      <c r="AC31" s="67">
        <f t="shared" ca="1" si="14"/>
        <v>0</v>
      </c>
      <c r="AD31" s="67">
        <f t="shared" ca="1" si="14"/>
        <v>0</v>
      </c>
      <c r="AE31" s="67">
        <f t="shared" ca="1" si="14"/>
        <v>0</v>
      </c>
      <c r="AF31" s="67">
        <f t="shared" ca="1" si="14"/>
        <v>0</v>
      </c>
      <c r="AG31" s="67">
        <f t="shared" ca="1" si="14"/>
        <v>0</v>
      </c>
      <c r="AH31" s="67">
        <f t="shared" ca="1" si="14"/>
        <v>0</v>
      </c>
      <c r="AI31" s="67">
        <f t="shared" ca="1" si="14"/>
        <v>0</v>
      </c>
      <c r="AJ31" s="67">
        <f t="shared" ca="1" si="14"/>
        <v>0</v>
      </c>
      <c r="AK31" s="67">
        <f t="shared" ca="1" si="11"/>
        <v>0</v>
      </c>
      <c r="AL31" s="67">
        <f t="shared" ca="1" si="11"/>
        <v>0</v>
      </c>
      <c r="AM31" s="67">
        <f t="shared" ca="1" si="11"/>
        <v>0</v>
      </c>
      <c r="AN31" s="67">
        <f t="shared" ca="1" si="11"/>
        <v>0</v>
      </c>
      <c r="AO31" s="67">
        <f t="shared" ca="1" si="11"/>
        <v>0</v>
      </c>
      <c r="AP31" s="67">
        <f t="shared" ca="1" si="11"/>
        <v>0</v>
      </c>
      <c r="AQ31" s="67">
        <f t="shared" ca="1" si="11"/>
        <v>0</v>
      </c>
      <c r="AR31" s="67">
        <f t="shared" ca="1" si="11"/>
        <v>0</v>
      </c>
      <c r="AS31" s="67">
        <f t="shared" ca="1" si="11"/>
        <v>0</v>
      </c>
      <c r="AT31" s="67">
        <f t="shared" ca="1" si="11"/>
        <v>0</v>
      </c>
      <c r="AU31" s="67">
        <f t="shared" ca="1" si="11"/>
        <v>0</v>
      </c>
      <c r="AV31" s="67">
        <f t="shared" ca="1" si="11"/>
        <v>0</v>
      </c>
      <c r="AW31" s="67">
        <f t="shared" ca="1" si="11"/>
        <v>0</v>
      </c>
      <c r="AX31" s="67">
        <f t="shared" ca="1" si="11"/>
        <v>0</v>
      </c>
      <c r="AY31" s="67">
        <f t="shared" ca="1" si="11"/>
        <v>0</v>
      </c>
      <c r="AZ31" s="67">
        <f t="shared" ca="1" si="11"/>
        <v>0</v>
      </c>
      <c r="BA31" s="67">
        <f t="shared" ca="1" si="12"/>
        <v>0</v>
      </c>
      <c r="BB31" s="67">
        <f t="shared" ca="1" si="12"/>
        <v>0</v>
      </c>
      <c r="BC31" s="67">
        <f t="shared" ca="1" si="12"/>
        <v>0</v>
      </c>
      <c r="BD31" s="67">
        <f t="shared" ca="1" si="12"/>
        <v>0</v>
      </c>
      <c r="BE31" s="67">
        <f t="shared" ca="1" si="12"/>
        <v>0</v>
      </c>
      <c r="BF31" s="67">
        <f t="shared" ca="1" si="12"/>
        <v>0</v>
      </c>
      <c r="BG31" s="67">
        <f t="shared" ca="1" si="12"/>
        <v>0</v>
      </c>
      <c r="BH31" s="67">
        <f t="shared" ca="1" si="12"/>
        <v>0</v>
      </c>
      <c r="BI31" s="67">
        <f t="shared" ca="1" si="12"/>
        <v>0</v>
      </c>
      <c r="BJ31" s="67">
        <f t="shared" ca="1" si="12"/>
        <v>0</v>
      </c>
      <c r="BK31" s="67">
        <f t="shared" ca="1" si="12"/>
        <v>0</v>
      </c>
      <c r="BL31" s="67">
        <f t="shared" ca="1" si="12"/>
        <v>0</v>
      </c>
      <c r="BM31" s="67">
        <f t="shared" ca="1" si="12"/>
        <v>0</v>
      </c>
      <c r="BN31" s="67">
        <f t="shared" ca="1" si="12"/>
        <v>0</v>
      </c>
      <c r="BO31" s="67">
        <f t="shared" ca="1" si="12"/>
        <v>0</v>
      </c>
      <c r="BP31" s="67">
        <f t="shared" ca="1" si="12"/>
        <v>0</v>
      </c>
      <c r="BQ31" s="67">
        <f t="shared" ca="1" si="13"/>
        <v>0</v>
      </c>
      <c r="BR31" s="67">
        <f t="shared" ca="1" si="13"/>
        <v>0</v>
      </c>
      <c r="BS31" s="67">
        <f t="shared" ca="1" si="13"/>
        <v>0</v>
      </c>
      <c r="BT31" s="67">
        <f t="shared" ca="1" si="13"/>
        <v>0</v>
      </c>
    </row>
    <row r="32" spans="1:72" x14ac:dyDescent="0.25">
      <c r="A32" s="320">
        <f t="shared" ca="1" si="6"/>
        <v>44122</v>
      </c>
      <c r="B32" s="87">
        <f t="shared" ca="1" si="9"/>
        <v>44116</v>
      </c>
      <c r="C32" s="67">
        <v>27</v>
      </c>
      <c r="D32" s="67" t="str">
        <f t="shared" ca="1" si="10"/>
        <v/>
      </c>
      <c r="E32" s="67" t="str">
        <f t="shared" ca="1" si="0"/>
        <v xml:space="preserve"> </v>
      </c>
      <c r="F32" s="67">
        <f t="shared" ca="1" si="7"/>
        <v>42</v>
      </c>
      <c r="G32" s="67" t="str">
        <f>ROW(A27)&amp;". "&amp;'Critical resources'!B38</f>
        <v xml:space="preserve">27. </v>
      </c>
      <c r="H32" s="67">
        <f ca="1">IFERROR(VLOOKUP('Critical resources'!D38,$B$6:$C$57,2,0),0)</f>
        <v>0</v>
      </c>
      <c r="I32" s="67">
        <f ca="1">IFERROR(VLOOKUP('Critical resources'!E38,$A$6:$C$57,3,0),0)</f>
        <v>0</v>
      </c>
      <c r="J32" s="67">
        <f ca="1">IFERROR(VLOOKUP('Critical resources'!G38,$B$6:$C$57,2,0),0)</f>
        <v>0</v>
      </c>
      <c r="K32" s="67">
        <f ca="1">IFERROR(VLOOKUP('Critical resources'!H38,$B$6:$C$57,2,0),0)</f>
        <v>0</v>
      </c>
      <c r="L32" s="67">
        <f ca="1">IFERROR(VLOOKUP('Critical resources'!J38,$B$6:$C$57,2,0),0)</f>
        <v>0</v>
      </c>
      <c r="M32" s="67">
        <f ca="1">IFERROR(VLOOKUP('Critical resources'!K38,$A$6:$C$57,3,0),0)</f>
        <v>0</v>
      </c>
      <c r="N32" s="67">
        <f ca="1">IFERROR(VLOOKUP('Critical resources'!M38,$B$6:$C$57,2,0),0)</f>
        <v>0</v>
      </c>
      <c r="O32" s="67">
        <f ca="1">IFERROR(VLOOKUP('Critical resources'!N38,$A$6:$C$57,3,0),0)</f>
        <v>0</v>
      </c>
      <c r="P32" s="67">
        <f ca="1">IFERROR(VLOOKUP('Critical resources'!P38,$B$6:$C$57,2,0),0)</f>
        <v>0</v>
      </c>
      <c r="Q32" s="67">
        <f ca="1">IFERROR(VLOOKUP('Critical resources'!Q38,$A$6:$C$57,3,0),0)</f>
        <v>0</v>
      </c>
      <c r="T32" s="67" t="str">
        <f t="shared" si="1"/>
        <v xml:space="preserve">27. </v>
      </c>
      <c r="U32" s="67">
        <f t="shared" ca="1" si="14"/>
        <v>0</v>
      </c>
      <c r="V32" s="67">
        <f t="shared" ca="1" si="14"/>
        <v>0</v>
      </c>
      <c r="W32" s="67">
        <f t="shared" ca="1" si="14"/>
        <v>0</v>
      </c>
      <c r="X32" s="67">
        <f t="shared" ca="1" si="14"/>
        <v>0</v>
      </c>
      <c r="Y32" s="67">
        <f t="shared" ca="1" si="14"/>
        <v>0</v>
      </c>
      <c r="Z32" s="67">
        <f t="shared" ca="1" si="14"/>
        <v>0</v>
      </c>
      <c r="AA32" s="67">
        <f t="shared" ca="1" si="14"/>
        <v>0</v>
      </c>
      <c r="AB32" s="67">
        <f t="shared" ca="1" si="14"/>
        <v>0</v>
      </c>
      <c r="AC32" s="67">
        <f t="shared" ca="1" si="14"/>
        <v>0</v>
      </c>
      <c r="AD32" s="67">
        <f t="shared" ca="1" si="14"/>
        <v>0</v>
      </c>
      <c r="AE32" s="67">
        <f t="shared" ca="1" si="14"/>
        <v>0</v>
      </c>
      <c r="AF32" s="67">
        <f t="shared" ca="1" si="14"/>
        <v>0</v>
      </c>
      <c r="AG32" s="67">
        <f t="shared" ca="1" si="14"/>
        <v>0</v>
      </c>
      <c r="AH32" s="67">
        <f t="shared" ca="1" si="14"/>
        <v>0</v>
      </c>
      <c r="AI32" s="67">
        <f t="shared" ca="1" si="14"/>
        <v>0</v>
      </c>
      <c r="AJ32" s="67">
        <f t="shared" ca="1" si="14"/>
        <v>0</v>
      </c>
      <c r="AK32" s="67">
        <f t="shared" ca="1" si="11"/>
        <v>0</v>
      </c>
      <c r="AL32" s="67">
        <f t="shared" ca="1" si="11"/>
        <v>0</v>
      </c>
      <c r="AM32" s="67">
        <f t="shared" ca="1" si="11"/>
        <v>0</v>
      </c>
      <c r="AN32" s="67">
        <f t="shared" ca="1" si="11"/>
        <v>0</v>
      </c>
      <c r="AO32" s="67">
        <f t="shared" ca="1" si="11"/>
        <v>0</v>
      </c>
      <c r="AP32" s="67">
        <f t="shared" ca="1" si="11"/>
        <v>0</v>
      </c>
      <c r="AQ32" s="67">
        <f t="shared" ca="1" si="11"/>
        <v>0</v>
      </c>
      <c r="AR32" s="67">
        <f t="shared" ca="1" si="11"/>
        <v>0</v>
      </c>
      <c r="AS32" s="67">
        <f t="shared" ca="1" si="11"/>
        <v>0</v>
      </c>
      <c r="AT32" s="67">
        <f t="shared" ca="1" si="11"/>
        <v>0</v>
      </c>
      <c r="AU32" s="67">
        <f t="shared" ca="1" si="11"/>
        <v>0</v>
      </c>
      <c r="AV32" s="67">
        <f t="shared" ca="1" si="11"/>
        <v>0</v>
      </c>
      <c r="AW32" s="67">
        <f t="shared" ca="1" si="11"/>
        <v>0</v>
      </c>
      <c r="AX32" s="67">
        <f t="shared" ca="1" si="11"/>
        <v>0</v>
      </c>
      <c r="AY32" s="67">
        <f t="shared" ca="1" si="11"/>
        <v>0</v>
      </c>
      <c r="AZ32" s="67">
        <f t="shared" ca="1" si="11"/>
        <v>0</v>
      </c>
      <c r="BA32" s="67">
        <f t="shared" ca="1" si="12"/>
        <v>0</v>
      </c>
      <c r="BB32" s="67">
        <f t="shared" ca="1" si="12"/>
        <v>0</v>
      </c>
      <c r="BC32" s="67">
        <f t="shared" ca="1" si="12"/>
        <v>0</v>
      </c>
      <c r="BD32" s="67">
        <f t="shared" ca="1" si="12"/>
        <v>0</v>
      </c>
      <c r="BE32" s="67">
        <f t="shared" ca="1" si="12"/>
        <v>0</v>
      </c>
      <c r="BF32" s="67">
        <f t="shared" ca="1" si="12"/>
        <v>0</v>
      </c>
      <c r="BG32" s="67">
        <f t="shared" ca="1" si="12"/>
        <v>0</v>
      </c>
      <c r="BH32" s="67">
        <f t="shared" ca="1" si="12"/>
        <v>0</v>
      </c>
      <c r="BI32" s="67">
        <f t="shared" ca="1" si="12"/>
        <v>0</v>
      </c>
      <c r="BJ32" s="67">
        <f t="shared" ca="1" si="12"/>
        <v>0</v>
      </c>
      <c r="BK32" s="67">
        <f t="shared" ca="1" si="12"/>
        <v>0</v>
      </c>
      <c r="BL32" s="67">
        <f t="shared" ca="1" si="12"/>
        <v>0</v>
      </c>
      <c r="BM32" s="67">
        <f t="shared" ca="1" si="12"/>
        <v>0</v>
      </c>
      <c r="BN32" s="67">
        <f t="shared" ca="1" si="12"/>
        <v>0</v>
      </c>
      <c r="BO32" s="67">
        <f t="shared" ca="1" si="12"/>
        <v>0</v>
      </c>
      <c r="BP32" s="67">
        <f t="shared" ca="1" si="12"/>
        <v>0</v>
      </c>
      <c r="BQ32" s="67">
        <f t="shared" ca="1" si="13"/>
        <v>0</v>
      </c>
      <c r="BR32" s="67">
        <f t="shared" ca="1" si="13"/>
        <v>0</v>
      </c>
      <c r="BS32" s="67">
        <f t="shared" ca="1" si="13"/>
        <v>0</v>
      </c>
      <c r="BT32" s="67">
        <f t="shared" ca="1" si="13"/>
        <v>0</v>
      </c>
    </row>
    <row r="33" spans="1:72" x14ac:dyDescent="0.25">
      <c r="A33" s="320">
        <f t="shared" ca="1" si="6"/>
        <v>44129</v>
      </c>
      <c r="B33" s="87">
        <f t="shared" ca="1" si="9"/>
        <v>44123</v>
      </c>
      <c r="C33" s="67">
        <v>28</v>
      </c>
      <c r="D33" s="67" t="str">
        <f t="shared" ca="1" si="10"/>
        <v/>
      </c>
      <c r="E33" s="67" t="str">
        <f t="shared" ca="1" si="0"/>
        <v xml:space="preserve"> </v>
      </c>
      <c r="F33" s="67">
        <f t="shared" ca="1" si="7"/>
        <v>43</v>
      </c>
      <c r="G33" s="67" t="str">
        <f>ROW(A28)&amp;". "&amp;'Critical resources'!B39</f>
        <v xml:space="preserve">28. </v>
      </c>
      <c r="H33" s="67">
        <f ca="1">IFERROR(VLOOKUP('Critical resources'!D39,$B$6:$C$57,2,0),0)</f>
        <v>0</v>
      </c>
      <c r="I33" s="67">
        <f ca="1">IFERROR(VLOOKUP('Critical resources'!E39,$A$6:$C$57,3,0),0)</f>
        <v>0</v>
      </c>
      <c r="J33" s="67">
        <f ca="1">IFERROR(VLOOKUP('Critical resources'!G39,$B$6:$C$57,2,0),0)</f>
        <v>0</v>
      </c>
      <c r="K33" s="67">
        <f ca="1">IFERROR(VLOOKUP('Critical resources'!H39,$B$6:$C$57,2,0),0)</f>
        <v>0</v>
      </c>
      <c r="L33" s="67">
        <f ca="1">IFERROR(VLOOKUP('Critical resources'!J39,$B$6:$C$57,2,0),0)</f>
        <v>0</v>
      </c>
      <c r="M33" s="67">
        <f ca="1">IFERROR(VLOOKUP('Critical resources'!K39,$A$6:$C$57,3,0),0)</f>
        <v>0</v>
      </c>
      <c r="N33" s="67">
        <f ca="1">IFERROR(VLOOKUP('Critical resources'!M39,$B$6:$C$57,2,0),0)</f>
        <v>0</v>
      </c>
      <c r="O33" s="67">
        <f ca="1">IFERROR(VLOOKUP('Critical resources'!N39,$A$6:$C$57,3,0),0)</f>
        <v>0</v>
      </c>
      <c r="P33" s="67">
        <f ca="1">IFERROR(VLOOKUP('Critical resources'!P39,$B$6:$C$57,2,0),0)</f>
        <v>0</v>
      </c>
      <c r="Q33" s="67">
        <f ca="1">IFERROR(VLOOKUP('Critical resources'!Q39,$A$6:$C$57,3,0),0)</f>
        <v>0</v>
      </c>
      <c r="T33" s="67" t="str">
        <f t="shared" si="1"/>
        <v xml:space="preserve">28. </v>
      </c>
      <c r="U33" s="67">
        <f t="shared" ca="1" si="14"/>
        <v>0</v>
      </c>
      <c r="V33" s="67">
        <f t="shared" ca="1" si="14"/>
        <v>0</v>
      </c>
      <c r="W33" s="67">
        <f t="shared" ca="1" si="14"/>
        <v>0</v>
      </c>
      <c r="X33" s="67">
        <f t="shared" ca="1" si="14"/>
        <v>0</v>
      </c>
      <c r="Y33" s="67">
        <f t="shared" ca="1" si="14"/>
        <v>0</v>
      </c>
      <c r="Z33" s="67">
        <f t="shared" ca="1" si="14"/>
        <v>0</v>
      </c>
      <c r="AA33" s="67">
        <f t="shared" ca="1" si="14"/>
        <v>0</v>
      </c>
      <c r="AB33" s="67">
        <f t="shared" ca="1" si="14"/>
        <v>0</v>
      </c>
      <c r="AC33" s="67">
        <f t="shared" ca="1" si="14"/>
        <v>0</v>
      </c>
      <c r="AD33" s="67">
        <f t="shared" ca="1" si="14"/>
        <v>0</v>
      </c>
      <c r="AE33" s="67">
        <f t="shared" ca="1" si="14"/>
        <v>0</v>
      </c>
      <c r="AF33" s="67">
        <f t="shared" ca="1" si="14"/>
        <v>0</v>
      </c>
      <c r="AG33" s="67">
        <f t="shared" ca="1" si="14"/>
        <v>0</v>
      </c>
      <c r="AH33" s="67">
        <f t="shared" ca="1" si="14"/>
        <v>0</v>
      </c>
      <c r="AI33" s="67">
        <f t="shared" ca="1" si="14"/>
        <v>0</v>
      </c>
      <c r="AJ33" s="67">
        <f t="shared" ca="1" si="14"/>
        <v>0</v>
      </c>
      <c r="AK33" s="67">
        <f t="shared" ca="1" si="11"/>
        <v>0</v>
      </c>
      <c r="AL33" s="67">
        <f t="shared" ca="1" si="11"/>
        <v>0</v>
      </c>
      <c r="AM33" s="67">
        <f t="shared" ca="1" si="11"/>
        <v>0</v>
      </c>
      <c r="AN33" s="67">
        <f t="shared" ca="1" si="11"/>
        <v>0</v>
      </c>
      <c r="AO33" s="67">
        <f t="shared" ca="1" si="11"/>
        <v>0</v>
      </c>
      <c r="AP33" s="67">
        <f t="shared" ca="1" si="11"/>
        <v>0</v>
      </c>
      <c r="AQ33" s="67">
        <f t="shared" ca="1" si="11"/>
        <v>0</v>
      </c>
      <c r="AR33" s="67">
        <f t="shared" ca="1" si="11"/>
        <v>0</v>
      </c>
      <c r="AS33" s="67">
        <f t="shared" ca="1" si="11"/>
        <v>0</v>
      </c>
      <c r="AT33" s="67">
        <f t="shared" ca="1" si="11"/>
        <v>0</v>
      </c>
      <c r="AU33" s="67">
        <f t="shared" ca="1" si="11"/>
        <v>0</v>
      </c>
      <c r="AV33" s="67">
        <f t="shared" ca="1" si="11"/>
        <v>0</v>
      </c>
      <c r="AW33" s="67">
        <f t="shared" ca="1" si="11"/>
        <v>0</v>
      </c>
      <c r="AX33" s="67">
        <f t="shared" ca="1" si="11"/>
        <v>0</v>
      </c>
      <c r="AY33" s="67">
        <f t="shared" ca="1" si="11"/>
        <v>0</v>
      </c>
      <c r="AZ33" s="67">
        <f t="shared" ca="1" si="11"/>
        <v>0</v>
      </c>
      <c r="BA33" s="67">
        <f t="shared" ca="1" si="12"/>
        <v>0</v>
      </c>
      <c r="BB33" s="67">
        <f t="shared" ca="1" si="12"/>
        <v>0</v>
      </c>
      <c r="BC33" s="67">
        <f t="shared" ca="1" si="12"/>
        <v>0</v>
      </c>
      <c r="BD33" s="67">
        <f t="shared" ca="1" si="12"/>
        <v>0</v>
      </c>
      <c r="BE33" s="67">
        <f t="shared" ca="1" si="12"/>
        <v>0</v>
      </c>
      <c r="BF33" s="67">
        <f t="shared" ca="1" si="12"/>
        <v>0</v>
      </c>
      <c r="BG33" s="67">
        <f t="shared" ca="1" si="12"/>
        <v>0</v>
      </c>
      <c r="BH33" s="67">
        <f t="shared" ca="1" si="12"/>
        <v>0</v>
      </c>
      <c r="BI33" s="67">
        <f t="shared" ca="1" si="12"/>
        <v>0</v>
      </c>
      <c r="BJ33" s="67">
        <f t="shared" ca="1" si="12"/>
        <v>0</v>
      </c>
      <c r="BK33" s="67">
        <f t="shared" ca="1" si="12"/>
        <v>0</v>
      </c>
      <c r="BL33" s="67">
        <f t="shared" ca="1" si="12"/>
        <v>0</v>
      </c>
      <c r="BM33" s="67">
        <f t="shared" ca="1" si="12"/>
        <v>0</v>
      </c>
      <c r="BN33" s="67">
        <f t="shared" ca="1" si="12"/>
        <v>0</v>
      </c>
      <c r="BO33" s="67">
        <f t="shared" ca="1" si="12"/>
        <v>0</v>
      </c>
      <c r="BP33" s="67">
        <f t="shared" ca="1" si="12"/>
        <v>0</v>
      </c>
      <c r="BQ33" s="67">
        <f t="shared" ca="1" si="13"/>
        <v>0</v>
      </c>
      <c r="BR33" s="67">
        <f t="shared" ca="1" si="13"/>
        <v>0</v>
      </c>
      <c r="BS33" s="67">
        <f t="shared" ca="1" si="13"/>
        <v>0</v>
      </c>
      <c r="BT33" s="67">
        <f t="shared" ca="1" si="13"/>
        <v>0</v>
      </c>
    </row>
    <row r="34" spans="1:72" x14ac:dyDescent="0.25">
      <c r="A34" s="320">
        <f t="shared" ca="1" si="6"/>
        <v>44136</v>
      </c>
      <c r="B34" s="87">
        <f t="shared" ca="1" si="9"/>
        <v>44130</v>
      </c>
      <c r="C34" s="67">
        <v>29</v>
      </c>
      <c r="D34" s="67" t="str">
        <f t="shared" ca="1" si="10"/>
        <v/>
      </c>
      <c r="E34" s="67" t="str">
        <f t="shared" ca="1" si="0"/>
        <v xml:space="preserve"> </v>
      </c>
      <c r="F34" s="67">
        <f t="shared" ca="1" si="7"/>
        <v>44</v>
      </c>
      <c r="G34" s="67" t="str">
        <f>ROW(A29)&amp;". "&amp;'Critical resources'!B40</f>
        <v xml:space="preserve">29. </v>
      </c>
      <c r="H34" s="67">
        <f ca="1">IFERROR(VLOOKUP('Critical resources'!D40,$B$6:$C$57,2,0),0)</f>
        <v>0</v>
      </c>
      <c r="I34" s="67">
        <f ca="1">IFERROR(VLOOKUP('Critical resources'!E40,$A$6:$C$57,3,0),0)</f>
        <v>0</v>
      </c>
      <c r="J34" s="67">
        <f ca="1">IFERROR(VLOOKUP('Critical resources'!G40,$B$6:$C$57,2,0),0)</f>
        <v>0</v>
      </c>
      <c r="K34" s="67">
        <f ca="1">IFERROR(VLOOKUP('Critical resources'!H40,$B$6:$C$57,2,0),0)</f>
        <v>0</v>
      </c>
      <c r="L34" s="67">
        <f ca="1">IFERROR(VLOOKUP('Critical resources'!J40,$B$6:$C$57,2,0),0)</f>
        <v>0</v>
      </c>
      <c r="M34" s="67">
        <f ca="1">IFERROR(VLOOKUP('Critical resources'!K40,$A$6:$C$57,3,0),0)</f>
        <v>0</v>
      </c>
      <c r="N34" s="67">
        <f ca="1">IFERROR(VLOOKUP('Critical resources'!M40,$B$6:$C$57,2,0),0)</f>
        <v>0</v>
      </c>
      <c r="O34" s="67">
        <f ca="1">IFERROR(VLOOKUP('Critical resources'!N40,$A$6:$C$57,3,0),0)</f>
        <v>0</v>
      </c>
      <c r="P34" s="67">
        <f ca="1">IFERROR(VLOOKUP('Critical resources'!P40,$B$6:$C$57,2,0),0)</f>
        <v>0</v>
      </c>
      <c r="Q34" s="67">
        <f ca="1">IFERROR(VLOOKUP('Critical resources'!Q40,$A$6:$C$57,3,0),0)</f>
        <v>0</v>
      </c>
      <c r="T34" s="67" t="str">
        <f t="shared" si="1"/>
        <v xml:space="preserve">29. </v>
      </c>
      <c r="U34" s="67">
        <f t="shared" ca="1" si="14"/>
        <v>0</v>
      </c>
      <c r="V34" s="67">
        <f t="shared" ca="1" si="14"/>
        <v>0</v>
      </c>
      <c r="W34" s="67">
        <f t="shared" ca="1" si="14"/>
        <v>0</v>
      </c>
      <c r="X34" s="67">
        <f t="shared" ca="1" si="14"/>
        <v>0</v>
      </c>
      <c r="Y34" s="67">
        <f t="shared" ca="1" si="14"/>
        <v>0</v>
      </c>
      <c r="Z34" s="67">
        <f t="shared" ca="1" si="14"/>
        <v>0</v>
      </c>
      <c r="AA34" s="67">
        <f t="shared" ca="1" si="14"/>
        <v>0</v>
      </c>
      <c r="AB34" s="67">
        <f t="shared" ca="1" si="14"/>
        <v>0</v>
      </c>
      <c r="AC34" s="67">
        <f t="shared" ca="1" si="14"/>
        <v>0</v>
      </c>
      <c r="AD34" s="67">
        <f t="shared" ca="1" si="14"/>
        <v>0</v>
      </c>
      <c r="AE34" s="67">
        <f t="shared" ca="1" si="14"/>
        <v>0</v>
      </c>
      <c r="AF34" s="67">
        <f t="shared" ca="1" si="14"/>
        <v>0</v>
      </c>
      <c r="AG34" s="67">
        <f t="shared" ca="1" si="14"/>
        <v>0</v>
      </c>
      <c r="AH34" s="67">
        <f t="shared" ca="1" si="14"/>
        <v>0</v>
      </c>
      <c r="AI34" s="67">
        <f t="shared" ca="1" si="14"/>
        <v>0</v>
      </c>
      <c r="AJ34" s="67">
        <f t="shared" ca="1" si="14"/>
        <v>0</v>
      </c>
      <c r="AK34" s="67">
        <f t="shared" ca="1" si="11"/>
        <v>0</v>
      </c>
      <c r="AL34" s="67">
        <f t="shared" ca="1" si="11"/>
        <v>0</v>
      </c>
      <c r="AM34" s="67">
        <f t="shared" ca="1" si="11"/>
        <v>0</v>
      </c>
      <c r="AN34" s="67">
        <f t="shared" ca="1" si="11"/>
        <v>0</v>
      </c>
      <c r="AO34" s="67">
        <f t="shared" ca="1" si="11"/>
        <v>0</v>
      </c>
      <c r="AP34" s="67">
        <f t="shared" ca="1" si="11"/>
        <v>0</v>
      </c>
      <c r="AQ34" s="67">
        <f t="shared" ca="1" si="11"/>
        <v>0</v>
      </c>
      <c r="AR34" s="67">
        <f t="shared" ca="1" si="11"/>
        <v>0</v>
      </c>
      <c r="AS34" s="67">
        <f t="shared" ca="1" si="11"/>
        <v>0</v>
      </c>
      <c r="AT34" s="67">
        <f t="shared" ca="1" si="11"/>
        <v>0</v>
      </c>
      <c r="AU34" s="67">
        <f t="shared" ca="1" si="11"/>
        <v>0</v>
      </c>
      <c r="AV34" s="67">
        <f t="shared" ca="1" si="11"/>
        <v>0</v>
      </c>
      <c r="AW34" s="67">
        <f t="shared" ca="1" si="11"/>
        <v>0</v>
      </c>
      <c r="AX34" s="67">
        <f t="shared" ca="1" si="11"/>
        <v>0</v>
      </c>
      <c r="AY34" s="67">
        <f t="shared" ca="1" si="11"/>
        <v>0</v>
      </c>
      <c r="AZ34" s="67">
        <f t="shared" ca="1" si="11"/>
        <v>0</v>
      </c>
      <c r="BA34" s="67">
        <f t="shared" ca="1" si="12"/>
        <v>0</v>
      </c>
      <c r="BB34" s="67">
        <f t="shared" ca="1" si="12"/>
        <v>0</v>
      </c>
      <c r="BC34" s="67">
        <f t="shared" ca="1" si="12"/>
        <v>0</v>
      </c>
      <c r="BD34" s="67">
        <f t="shared" ca="1" si="12"/>
        <v>0</v>
      </c>
      <c r="BE34" s="67">
        <f t="shared" ca="1" si="12"/>
        <v>0</v>
      </c>
      <c r="BF34" s="67">
        <f t="shared" ca="1" si="12"/>
        <v>0</v>
      </c>
      <c r="BG34" s="67">
        <f t="shared" ca="1" si="12"/>
        <v>0</v>
      </c>
      <c r="BH34" s="67">
        <f t="shared" ca="1" si="12"/>
        <v>0</v>
      </c>
      <c r="BI34" s="67">
        <f t="shared" ca="1" si="12"/>
        <v>0</v>
      </c>
      <c r="BJ34" s="67">
        <f t="shared" ca="1" si="12"/>
        <v>0</v>
      </c>
      <c r="BK34" s="67">
        <f t="shared" ca="1" si="12"/>
        <v>0</v>
      </c>
      <c r="BL34" s="67">
        <f t="shared" ca="1" si="12"/>
        <v>0</v>
      </c>
      <c r="BM34" s="67">
        <f t="shared" ca="1" si="12"/>
        <v>0</v>
      </c>
      <c r="BN34" s="67">
        <f t="shared" ca="1" si="12"/>
        <v>0</v>
      </c>
      <c r="BO34" s="67">
        <f t="shared" ca="1" si="12"/>
        <v>0</v>
      </c>
      <c r="BP34" s="67">
        <f t="shared" ca="1" si="12"/>
        <v>0</v>
      </c>
      <c r="BQ34" s="67">
        <f t="shared" ca="1" si="13"/>
        <v>0</v>
      </c>
      <c r="BR34" s="67">
        <f t="shared" ca="1" si="13"/>
        <v>0</v>
      </c>
      <c r="BS34" s="67">
        <f t="shared" ca="1" si="13"/>
        <v>0</v>
      </c>
      <c r="BT34" s="67">
        <f t="shared" ca="1" si="13"/>
        <v>0</v>
      </c>
    </row>
    <row r="35" spans="1:72" x14ac:dyDescent="0.25">
      <c r="A35" s="320">
        <f t="shared" ca="1" si="6"/>
        <v>44143</v>
      </c>
      <c r="B35" s="87">
        <f t="shared" ca="1" si="9"/>
        <v>44137</v>
      </c>
      <c r="C35" s="67">
        <v>30</v>
      </c>
      <c r="D35" s="67" t="str">
        <f t="shared" ca="1" si="10"/>
        <v/>
      </c>
      <c r="E35" s="67" t="str">
        <f t="shared" ca="1" si="0"/>
        <v>Nov</v>
      </c>
      <c r="F35" s="67">
        <f t="shared" ca="1" si="7"/>
        <v>45</v>
      </c>
      <c r="G35" s="67" t="str">
        <f>ROW(A30)&amp;". "&amp;'Critical resources'!B41</f>
        <v xml:space="preserve">30. </v>
      </c>
      <c r="H35" s="67">
        <f ca="1">IFERROR(VLOOKUP('Critical resources'!D41,$B$6:$C$57,2,0),0)</f>
        <v>0</v>
      </c>
      <c r="I35" s="67">
        <f ca="1">IFERROR(VLOOKUP('Critical resources'!E41,$A$6:$C$57,3,0),0)</f>
        <v>0</v>
      </c>
      <c r="J35" s="67">
        <f ca="1">IFERROR(VLOOKUP('Critical resources'!G41,$B$6:$C$57,2,0),0)</f>
        <v>0</v>
      </c>
      <c r="K35" s="67">
        <f ca="1">IFERROR(VLOOKUP('Critical resources'!H41,$B$6:$C$57,2,0),0)</f>
        <v>0</v>
      </c>
      <c r="L35" s="67">
        <f ca="1">IFERROR(VLOOKUP('Critical resources'!J41,$B$6:$C$57,2,0),0)</f>
        <v>0</v>
      </c>
      <c r="M35" s="67">
        <f ca="1">IFERROR(VLOOKUP('Critical resources'!K41,$A$6:$C$57,3,0),0)</f>
        <v>0</v>
      </c>
      <c r="N35" s="67">
        <f ca="1">IFERROR(VLOOKUP('Critical resources'!M41,$B$6:$C$57,2,0),0)</f>
        <v>0</v>
      </c>
      <c r="O35" s="67">
        <f ca="1">IFERROR(VLOOKUP('Critical resources'!N41,$A$6:$C$57,3,0),0)</f>
        <v>0</v>
      </c>
      <c r="P35" s="67">
        <f ca="1">IFERROR(VLOOKUP('Critical resources'!P41,$B$6:$C$57,2,0),0)</f>
        <v>0</v>
      </c>
      <c r="Q35" s="67">
        <f ca="1">IFERROR(VLOOKUP('Critical resources'!Q41,$A$6:$C$57,3,0),0)</f>
        <v>0</v>
      </c>
      <c r="T35" s="67" t="str">
        <f t="shared" si="1"/>
        <v xml:space="preserve">30. </v>
      </c>
      <c r="U35" s="67">
        <f t="shared" ca="1" si="14"/>
        <v>0</v>
      </c>
      <c r="V35" s="67">
        <f t="shared" ca="1" si="14"/>
        <v>0</v>
      </c>
      <c r="W35" s="67">
        <f t="shared" ca="1" si="14"/>
        <v>0</v>
      </c>
      <c r="X35" s="67">
        <f t="shared" ca="1" si="14"/>
        <v>0</v>
      </c>
      <c r="Y35" s="67">
        <f t="shared" ca="1" si="14"/>
        <v>0</v>
      </c>
      <c r="Z35" s="67">
        <f t="shared" ca="1" si="14"/>
        <v>0</v>
      </c>
      <c r="AA35" s="67">
        <f t="shared" ca="1" si="14"/>
        <v>0</v>
      </c>
      <c r="AB35" s="67">
        <f t="shared" ca="1" si="14"/>
        <v>0</v>
      </c>
      <c r="AC35" s="67">
        <f t="shared" ca="1" si="14"/>
        <v>0</v>
      </c>
      <c r="AD35" s="67">
        <f t="shared" ca="1" si="14"/>
        <v>0</v>
      </c>
      <c r="AE35" s="67">
        <f t="shared" ca="1" si="14"/>
        <v>0</v>
      </c>
      <c r="AF35" s="67">
        <f t="shared" ca="1" si="14"/>
        <v>0</v>
      </c>
      <c r="AG35" s="67">
        <f t="shared" ca="1" si="14"/>
        <v>0</v>
      </c>
      <c r="AH35" s="67">
        <f t="shared" ca="1" si="14"/>
        <v>0</v>
      </c>
      <c r="AI35" s="67">
        <f t="shared" ca="1" si="14"/>
        <v>0</v>
      </c>
      <c r="AJ35" s="67">
        <f t="shared" ca="1" si="14"/>
        <v>0</v>
      </c>
      <c r="AK35" s="67">
        <f t="shared" ca="1" si="11"/>
        <v>0</v>
      </c>
      <c r="AL35" s="67">
        <f t="shared" ca="1" si="11"/>
        <v>0</v>
      </c>
      <c r="AM35" s="67">
        <f t="shared" ca="1" si="11"/>
        <v>0</v>
      </c>
      <c r="AN35" s="67">
        <f t="shared" ca="1" si="11"/>
        <v>0</v>
      </c>
      <c r="AO35" s="67">
        <f t="shared" ca="1" si="11"/>
        <v>0</v>
      </c>
      <c r="AP35" s="67">
        <f t="shared" ca="1" si="11"/>
        <v>0</v>
      </c>
      <c r="AQ35" s="67">
        <f t="shared" ca="1" si="11"/>
        <v>0</v>
      </c>
      <c r="AR35" s="67">
        <f t="shared" ca="1" si="11"/>
        <v>0</v>
      </c>
      <c r="AS35" s="67">
        <f t="shared" ca="1" si="11"/>
        <v>0</v>
      </c>
      <c r="AT35" s="67">
        <f t="shared" ca="1" si="11"/>
        <v>0</v>
      </c>
      <c r="AU35" s="67">
        <f t="shared" ca="1" si="11"/>
        <v>0</v>
      </c>
      <c r="AV35" s="67">
        <f t="shared" ca="1" si="11"/>
        <v>0</v>
      </c>
      <c r="AW35" s="67">
        <f t="shared" ca="1" si="11"/>
        <v>0</v>
      </c>
      <c r="AX35" s="67">
        <f t="shared" ca="1" si="11"/>
        <v>0</v>
      </c>
      <c r="AY35" s="67">
        <f t="shared" ca="1" si="11"/>
        <v>0</v>
      </c>
      <c r="AZ35" s="67">
        <f t="shared" ca="1" si="11"/>
        <v>0</v>
      </c>
      <c r="BA35" s="67">
        <f t="shared" ca="1" si="12"/>
        <v>0</v>
      </c>
      <c r="BB35" s="67">
        <f t="shared" ca="1" si="12"/>
        <v>0</v>
      </c>
      <c r="BC35" s="67">
        <f t="shared" ca="1" si="12"/>
        <v>0</v>
      </c>
      <c r="BD35" s="67">
        <f t="shared" ca="1" si="12"/>
        <v>0</v>
      </c>
      <c r="BE35" s="67">
        <f t="shared" ca="1" si="12"/>
        <v>0</v>
      </c>
      <c r="BF35" s="67">
        <f t="shared" ca="1" si="12"/>
        <v>0</v>
      </c>
      <c r="BG35" s="67">
        <f t="shared" ca="1" si="12"/>
        <v>0</v>
      </c>
      <c r="BH35" s="67">
        <f t="shared" ca="1" si="12"/>
        <v>0</v>
      </c>
      <c r="BI35" s="67">
        <f t="shared" ca="1" si="12"/>
        <v>0</v>
      </c>
      <c r="BJ35" s="67">
        <f t="shared" ca="1" si="12"/>
        <v>0</v>
      </c>
      <c r="BK35" s="67">
        <f t="shared" ca="1" si="12"/>
        <v>0</v>
      </c>
      <c r="BL35" s="67">
        <f t="shared" ca="1" si="12"/>
        <v>0</v>
      </c>
      <c r="BM35" s="67">
        <f t="shared" ca="1" si="12"/>
        <v>0</v>
      </c>
      <c r="BN35" s="67">
        <f t="shared" ca="1" si="12"/>
        <v>0</v>
      </c>
      <c r="BO35" s="67">
        <f t="shared" ca="1" si="12"/>
        <v>0</v>
      </c>
      <c r="BP35" s="67">
        <f t="shared" ca="1" si="12"/>
        <v>0</v>
      </c>
      <c r="BQ35" s="67">
        <f t="shared" ca="1" si="13"/>
        <v>0</v>
      </c>
      <c r="BR35" s="67">
        <f t="shared" ca="1" si="13"/>
        <v>0</v>
      </c>
      <c r="BS35" s="67">
        <f t="shared" ca="1" si="13"/>
        <v>0</v>
      </c>
      <c r="BT35" s="67">
        <f t="shared" ca="1" si="13"/>
        <v>0</v>
      </c>
    </row>
    <row r="36" spans="1:72" x14ac:dyDescent="0.25">
      <c r="A36" s="320">
        <f t="shared" ca="1" si="6"/>
        <v>44150</v>
      </c>
      <c r="B36" s="87">
        <f t="shared" ca="1" si="9"/>
        <v>44144</v>
      </c>
      <c r="C36" s="67">
        <v>31</v>
      </c>
      <c r="D36" s="67" t="str">
        <f t="shared" ca="1" si="10"/>
        <v/>
      </c>
      <c r="E36" s="67" t="str">
        <f t="shared" ca="1" si="0"/>
        <v xml:space="preserve"> </v>
      </c>
      <c r="F36" s="67">
        <f t="shared" ca="1" si="7"/>
        <v>46</v>
      </c>
      <c r="G36" s="67" t="str">
        <f>ROW(A31)&amp;". "&amp;'Critical resources'!B42</f>
        <v xml:space="preserve">31. </v>
      </c>
      <c r="H36" s="67">
        <f ca="1">IFERROR(VLOOKUP('Critical resources'!D42,$B$6:$C$57,2,0),0)</f>
        <v>0</v>
      </c>
      <c r="I36" s="67">
        <f ca="1">IFERROR(VLOOKUP('Critical resources'!E42,$A$6:$C$57,3,0),0)</f>
        <v>0</v>
      </c>
      <c r="J36" s="67">
        <f ca="1">IFERROR(VLOOKUP('Critical resources'!G42,$B$6:$C$57,2,0),0)</f>
        <v>0</v>
      </c>
      <c r="K36" s="67">
        <f ca="1">IFERROR(VLOOKUP('Critical resources'!H42,$B$6:$C$57,2,0),0)</f>
        <v>0</v>
      </c>
      <c r="L36" s="67">
        <f ca="1">IFERROR(VLOOKUP('Critical resources'!J42,$B$6:$C$57,2,0),0)</f>
        <v>0</v>
      </c>
      <c r="M36" s="67">
        <f ca="1">IFERROR(VLOOKUP('Critical resources'!K42,$A$6:$C$57,3,0),0)</f>
        <v>0</v>
      </c>
      <c r="N36" s="67">
        <f ca="1">IFERROR(VLOOKUP('Critical resources'!M42,$B$6:$C$57,2,0),0)</f>
        <v>0</v>
      </c>
      <c r="O36" s="67">
        <f ca="1">IFERROR(VLOOKUP('Critical resources'!N42,$A$6:$C$57,3,0),0)</f>
        <v>0</v>
      </c>
      <c r="P36" s="67">
        <f ca="1">IFERROR(VLOOKUP('Critical resources'!P42,$B$6:$C$57,2,0),0)</f>
        <v>0</v>
      </c>
      <c r="Q36" s="67">
        <f ca="1">IFERROR(VLOOKUP('Critical resources'!Q42,$A$6:$C$57,3,0),0)</f>
        <v>0</v>
      </c>
      <c r="T36" s="67" t="str">
        <f t="shared" si="1"/>
        <v xml:space="preserve">31. </v>
      </c>
      <c r="U36" s="67">
        <f t="shared" ca="1" si="14"/>
        <v>0</v>
      </c>
      <c r="V36" s="67">
        <f t="shared" ca="1" si="14"/>
        <v>0</v>
      </c>
      <c r="W36" s="67">
        <f t="shared" ca="1" si="14"/>
        <v>0</v>
      </c>
      <c r="X36" s="67">
        <f t="shared" ca="1" si="14"/>
        <v>0</v>
      </c>
      <c r="Y36" s="67">
        <f t="shared" ca="1" si="14"/>
        <v>0</v>
      </c>
      <c r="Z36" s="67">
        <f t="shared" ca="1" si="14"/>
        <v>0</v>
      </c>
      <c r="AA36" s="67">
        <f t="shared" ca="1" si="14"/>
        <v>0</v>
      </c>
      <c r="AB36" s="67">
        <f t="shared" ca="1" si="14"/>
        <v>0</v>
      </c>
      <c r="AC36" s="67">
        <f t="shared" ca="1" si="14"/>
        <v>0</v>
      </c>
      <c r="AD36" s="67">
        <f t="shared" ca="1" si="14"/>
        <v>0</v>
      </c>
      <c r="AE36" s="67">
        <f t="shared" ca="1" si="14"/>
        <v>0</v>
      </c>
      <c r="AF36" s="67">
        <f t="shared" ca="1" si="14"/>
        <v>0</v>
      </c>
      <c r="AG36" s="67">
        <f t="shared" ca="1" si="14"/>
        <v>0</v>
      </c>
      <c r="AH36" s="67">
        <f t="shared" ca="1" si="14"/>
        <v>0</v>
      </c>
      <c r="AI36" s="67">
        <f t="shared" ca="1" si="14"/>
        <v>0</v>
      </c>
      <c r="AJ36" s="67">
        <f t="shared" ca="1" si="14"/>
        <v>0</v>
      </c>
      <c r="AK36" s="67">
        <f t="shared" ca="1" si="11"/>
        <v>0</v>
      </c>
      <c r="AL36" s="67">
        <f t="shared" ca="1" si="11"/>
        <v>0</v>
      </c>
      <c r="AM36" s="67">
        <f t="shared" ca="1" si="11"/>
        <v>0</v>
      </c>
      <c r="AN36" s="67">
        <f t="shared" ca="1" si="11"/>
        <v>0</v>
      </c>
      <c r="AO36" s="67">
        <f t="shared" ca="1" si="11"/>
        <v>0</v>
      </c>
      <c r="AP36" s="67">
        <f t="shared" ca="1" si="11"/>
        <v>0</v>
      </c>
      <c r="AQ36" s="67">
        <f t="shared" ca="1" si="11"/>
        <v>0</v>
      </c>
      <c r="AR36" s="67">
        <f t="shared" ca="1" si="11"/>
        <v>0</v>
      </c>
      <c r="AS36" s="67">
        <f t="shared" ca="1" si="11"/>
        <v>0</v>
      </c>
      <c r="AT36" s="67">
        <f t="shared" ca="1" si="11"/>
        <v>0</v>
      </c>
      <c r="AU36" s="67">
        <f t="shared" ca="1" si="11"/>
        <v>0</v>
      </c>
      <c r="AV36" s="67">
        <f t="shared" ca="1" si="11"/>
        <v>0</v>
      </c>
      <c r="AW36" s="67">
        <f t="shared" ca="1" si="11"/>
        <v>0</v>
      </c>
      <c r="AX36" s="67">
        <f t="shared" ca="1" si="11"/>
        <v>0</v>
      </c>
      <c r="AY36" s="67">
        <f t="shared" ca="1" si="11"/>
        <v>0</v>
      </c>
      <c r="AZ36" s="67">
        <f t="shared" ca="1" si="11"/>
        <v>0</v>
      </c>
      <c r="BA36" s="67">
        <f t="shared" ca="1" si="12"/>
        <v>0</v>
      </c>
      <c r="BB36" s="67">
        <f t="shared" ca="1" si="12"/>
        <v>0</v>
      </c>
      <c r="BC36" s="67">
        <f t="shared" ca="1" si="12"/>
        <v>0</v>
      </c>
      <c r="BD36" s="67">
        <f t="shared" ca="1" si="12"/>
        <v>0</v>
      </c>
      <c r="BE36" s="67">
        <f t="shared" ca="1" si="12"/>
        <v>0</v>
      </c>
      <c r="BF36" s="67">
        <f t="shared" ca="1" si="12"/>
        <v>0</v>
      </c>
      <c r="BG36" s="67">
        <f t="shared" ca="1" si="12"/>
        <v>0</v>
      </c>
      <c r="BH36" s="67">
        <f t="shared" ca="1" si="12"/>
        <v>0</v>
      </c>
      <c r="BI36" s="67">
        <f t="shared" ca="1" si="12"/>
        <v>0</v>
      </c>
      <c r="BJ36" s="67">
        <f t="shared" ca="1" si="12"/>
        <v>0</v>
      </c>
      <c r="BK36" s="67">
        <f t="shared" ca="1" si="12"/>
        <v>0</v>
      </c>
      <c r="BL36" s="67">
        <f t="shared" ca="1" si="12"/>
        <v>0</v>
      </c>
      <c r="BM36" s="67">
        <f t="shared" ca="1" si="12"/>
        <v>0</v>
      </c>
      <c r="BN36" s="67">
        <f t="shared" ca="1" si="12"/>
        <v>0</v>
      </c>
      <c r="BO36" s="67">
        <f t="shared" ca="1" si="12"/>
        <v>0</v>
      </c>
      <c r="BP36" s="67">
        <f t="shared" ca="1" si="12"/>
        <v>0</v>
      </c>
      <c r="BQ36" s="67">
        <f t="shared" ca="1" si="13"/>
        <v>0</v>
      </c>
      <c r="BR36" s="67">
        <f t="shared" ca="1" si="13"/>
        <v>0</v>
      </c>
      <c r="BS36" s="67">
        <f t="shared" ca="1" si="13"/>
        <v>0</v>
      </c>
      <c r="BT36" s="67">
        <f t="shared" ca="1" si="13"/>
        <v>0</v>
      </c>
    </row>
    <row r="37" spans="1:72" x14ac:dyDescent="0.25">
      <c r="A37" s="320">
        <f t="shared" ca="1" si="6"/>
        <v>44157</v>
      </c>
      <c r="B37" s="87">
        <f t="shared" ca="1" si="9"/>
        <v>44151</v>
      </c>
      <c r="C37" s="67">
        <v>32</v>
      </c>
      <c r="D37" s="67" t="str">
        <f t="shared" ca="1" si="10"/>
        <v/>
      </c>
      <c r="E37" s="67" t="str">
        <f t="shared" ca="1" si="0"/>
        <v xml:space="preserve"> </v>
      </c>
      <c r="F37" s="67">
        <f t="shared" ca="1" si="7"/>
        <v>47</v>
      </c>
      <c r="G37" s="67" t="str">
        <f>ROW(A32)&amp;". "&amp;'Critical resources'!B43</f>
        <v xml:space="preserve">32. </v>
      </c>
      <c r="H37" s="67">
        <f ca="1">IFERROR(VLOOKUP('Critical resources'!D43,$B$6:$C$57,2,0),0)</f>
        <v>0</v>
      </c>
      <c r="I37" s="67">
        <f ca="1">IFERROR(VLOOKUP('Critical resources'!E43,$A$6:$C$57,3,0),0)</f>
        <v>0</v>
      </c>
      <c r="J37" s="67">
        <f ca="1">IFERROR(VLOOKUP('Critical resources'!G43,$B$6:$C$57,2,0),0)</f>
        <v>0</v>
      </c>
      <c r="K37" s="67">
        <f ca="1">IFERROR(VLOOKUP('Critical resources'!H43,$B$6:$C$57,2,0),0)</f>
        <v>0</v>
      </c>
      <c r="L37" s="67">
        <f ca="1">IFERROR(VLOOKUP('Critical resources'!J43,$B$6:$C$57,2,0),0)</f>
        <v>0</v>
      </c>
      <c r="M37" s="67">
        <f ca="1">IFERROR(VLOOKUP('Critical resources'!K43,$A$6:$C$57,3,0),0)</f>
        <v>0</v>
      </c>
      <c r="N37" s="67">
        <f ca="1">IFERROR(VLOOKUP('Critical resources'!M43,$B$6:$C$57,2,0),0)</f>
        <v>0</v>
      </c>
      <c r="O37" s="67">
        <f ca="1">IFERROR(VLOOKUP('Critical resources'!N43,$A$6:$C$57,3,0),0)</f>
        <v>0</v>
      </c>
      <c r="P37" s="67">
        <f ca="1">IFERROR(VLOOKUP('Critical resources'!P43,$B$6:$C$57,2,0),0)</f>
        <v>0</v>
      </c>
      <c r="Q37" s="67">
        <f ca="1">IFERROR(VLOOKUP('Critical resources'!Q43,$A$6:$C$57,3,0),0)</f>
        <v>0</v>
      </c>
      <c r="T37" s="67" t="str">
        <f t="shared" si="1"/>
        <v xml:space="preserve">32. </v>
      </c>
      <c r="U37" s="67">
        <f t="shared" ca="1" si="14"/>
        <v>0</v>
      </c>
      <c r="V37" s="67">
        <f t="shared" ca="1" si="14"/>
        <v>0</v>
      </c>
      <c r="W37" s="67">
        <f t="shared" ca="1" si="14"/>
        <v>0</v>
      </c>
      <c r="X37" s="67">
        <f t="shared" ca="1" si="14"/>
        <v>0</v>
      </c>
      <c r="Y37" s="67">
        <f t="shared" ca="1" si="14"/>
        <v>0</v>
      </c>
      <c r="Z37" s="67">
        <f t="shared" ca="1" si="14"/>
        <v>0</v>
      </c>
      <c r="AA37" s="67">
        <f t="shared" ca="1" si="14"/>
        <v>0</v>
      </c>
      <c r="AB37" s="67">
        <f t="shared" ca="1" si="14"/>
        <v>0</v>
      </c>
      <c r="AC37" s="67">
        <f t="shared" ca="1" si="14"/>
        <v>0</v>
      </c>
      <c r="AD37" s="67">
        <f t="shared" ca="1" si="14"/>
        <v>0</v>
      </c>
      <c r="AE37" s="67">
        <f t="shared" ca="1" si="14"/>
        <v>0</v>
      </c>
      <c r="AF37" s="67">
        <f t="shared" ca="1" si="14"/>
        <v>0</v>
      </c>
      <c r="AG37" s="67">
        <f t="shared" ca="1" si="14"/>
        <v>0</v>
      </c>
      <c r="AH37" s="67">
        <f t="shared" ca="1" si="14"/>
        <v>0</v>
      </c>
      <c r="AI37" s="67">
        <f t="shared" ca="1" si="14"/>
        <v>0</v>
      </c>
      <c r="AJ37" s="67">
        <f t="shared" ca="1" si="14"/>
        <v>0</v>
      </c>
      <c r="AK37" s="67">
        <f t="shared" ref="AK37:AZ52" ca="1" si="15">SUM(IFERROR(IF(AND(AK$5&gt;=$H37,AK$5&lt;=$I37),1,0),0),IFERROR(IF(AND(AK$5&gt;=$J37,AK$5&lt;=$K37),1,0),0),IFERROR(IF(AND(AK$5&gt;=$L37,AK$5&lt;=$M37),1,0),0),IFERROR(IF(AND(AK$5&gt;=$N37,AK$5&lt;=$O37),1,0),0),IFERROR(IF(AND(AK$5&gt;=$P37,AK$5&lt;=$Q37),1,0),0))</f>
        <v>0</v>
      </c>
      <c r="AL37" s="67">
        <f t="shared" ca="1" si="15"/>
        <v>0</v>
      </c>
      <c r="AM37" s="67">
        <f t="shared" ca="1" si="15"/>
        <v>0</v>
      </c>
      <c r="AN37" s="67">
        <f t="shared" ca="1" si="15"/>
        <v>0</v>
      </c>
      <c r="AO37" s="67">
        <f t="shared" ca="1" si="15"/>
        <v>0</v>
      </c>
      <c r="AP37" s="67">
        <f t="shared" ca="1" si="15"/>
        <v>0</v>
      </c>
      <c r="AQ37" s="67">
        <f t="shared" ca="1" si="15"/>
        <v>0</v>
      </c>
      <c r="AR37" s="67">
        <f t="shared" ca="1" si="15"/>
        <v>0</v>
      </c>
      <c r="AS37" s="67">
        <f t="shared" ca="1" si="15"/>
        <v>0</v>
      </c>
      <c r="AT37" s="67">
        <f t="shared" ca="1" si="15"/>
        <v>0</v>
      </c>
      <c r="AU37" s="67">
        <f t="shared" ca="1" si="15"/>
        <v>0</v>
      </c>
      <c r="AV37" s="67">
        <f t="shared" ca="1" si="15"/>
        <v>0</v>
      </c>
      <c r="AW37" s="67">
        <f t="shared" ca="1" si="15"/>
        <v>0</v>
      </c>
      <c r="AX37" s="67">
        <f t="shared" ca="1" si="15"/>
        <v>0</v>
      </c>
      <c r="AY37" s="67">
        <f t="shared" ca="1" si="15"/>
        <v>0</v>
      </c>
      <c r="AZ37" s="67">
        <f t="shared" ca="1" si="15"/>
        <v>0</v>
      </c>
      <c r="BA37" s="67">
        <f t="shared" ref="BA37:BP52" ca="1" si="16">SUM(IFERROR(IF(AND(BA$5&gt;=$H37,BA$5&lt;=$I37),1,0),0),IFERROR(IF(AND(BA$5&gt;=$J37,BA$5&lt;=$K37),1,0),0),IFERROR(IF(AND(BA$5&gt;=$L37,BA$5&lt;=$M37),1,0),0),IFERROR(IF(AND(BA$5&gt;=$N37,BA$5&lt;=$O37),1,0),0),IFERROR(IF(AND(BA$5&gt;=$P37,BA$5&lt;=$Q37),1,0),0))</f>
        <v>0</v>
      </c>
      <c r="BB37" s="67">
        <f t="shared" ca="1" si="16"/>
        <v>0</v>
      </c>
      <c r="BC37" s="67">
        <f t="shared" ca="1" si="16"/>
        <v>0</v>
      </c>
      <c r="BD37" s="67">
        <f t="shared" ca="1" si="16"/>
        <v>0</v>
      </c>
      <c r="BE37" s="67">
        <f t="shared" ca="1" si="16"/>
        <v>0</v>
      </c>
      <c r="BF37" s="67">
        <f t="shared" ca="1" si="16"/>
        <v>0</v>
      </c>
      <c r="BG37" s="67">
        <f t="shared" ca="1" si="16"/>
        <v>0</v>
      </c>
      <c r="BH37" s="67">
        <f t="shared" ca="1" si="16"/>
        <v>0</v>
      </c>
      <c r="BI37" s="67">
        <f t="shared" ca="1" si="16"/>
        <v>0</v>
      </c>
      <c r="BJ37" s="67">
        <f t="shared" ca="1" si="16"/>
        <v>0</v>
      </c>
      <c r="BK37" s="67">
        <f t="shared" ca="1" si="16"/>
        <v>0</v>
      </c>
      <c r="BL37" s="67">
        <f t="shared" ca="1" si="16"/>
        <v>0</v>
      </c>
      <c r="BM37" s="67">
        <f t="shared" ca="1" si="16"/>
        <v>0</v>
      </c>
      <c r="BN37" s="67">
        <f t="shared" ca="1" si="16"/>
        <v>0</v>
      </c>
      <c r="BO37" s="67">
        <f t="shared" ca="1" si="16"/>
        <v>0</v>
      </c>
      <c r="BP37" s="67">
        <f t="shared" ca="1" si="16"/>
        <v>0</v>
      </c>
      <c r="BQ37" s="67">
        <f t="shared" ca="1" si="13"/>
        <v>0</v>
      </c>
      <c r="BR37" s="67">
        <f t="shared" ca="1" si="13"/>
        <v>0</v>
      </c>
      <c r="BS37" s="67">
        <f t="shared" ca="1" si="13"/>
        <v>0</v>
      </c>
      <c r="BT37" s="67">
        <f t="shared" ca="1" si="13"/>
        <v>0</v>
      </c>
    </row>
    <row r="38" spans="1:72" x14ac:dyDescent="0.25">
      <c r="A38" s="320">
        <f t="shared" ca="1" si="6"/>
        <v>44164</v>
      </c>
      <c r="B38" s="87">
        <f t="shared" ca="1" si="9"/>
        <v>44158</v>
      </c>
      <c r="C38" s="67">
        <v>33</v>
      </c>
      <c r="D38" s="67" t="str">
        <f t="shared" ca="1" si="10"/>
        <v/>
      </c>
      <c r="E38" s="67" t="str">
        <f t="shared" ca="1" si="0"/>
        <v xml:space="preserve"> </v>
      </c>
      <c r="F38" s="67">
        <f t="shared" ca="1" si="7"/>
        <v>48</v>
      </c>
      <c r="G38" s="67" t="str">
        <f>ROW(A33)&amp;". "&amp;'Critical resources'!B44</f>
        <v xml:space="preserve">33. </v>
      </c>
      <c r="H38" s="67">
        <f ca="1">IFERROR(VLOOKUP('Critical resources'!D44,$B$6:$C$57,2,0),0)</f>
        <v>0</v>
      </c>
      <c r="I38" s="67">
        <f ca="1">IFERROR(VLOOKUP('Critical resources'!E44,$A$6:$C$57,3,0),0)</f>
        <v>0</v>
      </c>
      <c r="J38" s="67">
        <f ca="1">IFERROR(VLOOKUP('Critical resources'!G44,$B$6:$C$57,2,0),0)</f>
        <v>0</v>
      </c>
      <c r="K38" s="67">
        <f ca="1">IFERROR(VLOOKUP('Critical resources'!H44,$B$6:$C$57,2,0),0)</f>
        <v>0</v>
      </c>
      <c r="L38" s="67">
        <f ca="1">IFERROR(VLOOKUP('Critical resources'!J44,$B$6:$C$57,2,0),0)</f>
        <v>0</v>
      </c>
      <c r="M38" s="67">
        <f ca="1">IFERROR(VLOOKUP('Critical resources'!K44,$A$6:$C$57,3,0),0)</f>
        <v>0</v>
      </c>
      <c r="N38" s="67">
        <f ca="1">IFERROR(VLOOKUP('Critical resources'!M44,$B$6:$C$57,2,0),0)</f>
        <v>0</v>
      </c>
      <c r="O38" s="67">
        <f ca="1">IFERROR(VLOOKUP('Critical resources'!N44,$A$6:$C$57,3,0),0)</f>
        <v>0</v>
      </c>
      <c r="P38" s="67">
        <f ca="1">IFERROR(VLOOKUP('Critical resources'!P44,$B$6:$C$57,2,0),0)</f>
        <v>0</v>
      </c>
      <c r="Q38" s="67">
        <f ca="1">IFERROR(VLOOKUP('Critical resources'!Q44,$A$6:$C$57,3,0),0)</f>
        <v>0</v>
      </c>
      <c r="T38" s="67" t="str">
        <f t="shared" ref="T38:T69" si="17">G38</f>
        <v xml:space="preserve">33. </v>
      </c>
      <c r="U38" s="67">
        <f t="shared" ca="1" si="14"/>
        <v>0</v>
      </c>
      <c r="V38" s="67">
        <f t="shared" ca="1" si="14"/>
        <v>0</v>
      </c>
      <c r="W38" s="67">
        <f t="shared" ca="1" si="14"/>
        <v>0</v>
      </c>
      <c r="X38" s="67">
        <f t="shared" ca="1" si="14"/>
        <v>0</v>
      </c>
      <c r="Y38" s="67">
        <f t="shared" ca="1" si="14"/>
        <v>0</v>
      </c>
      <c r="Z38" s="67">
        <f t="shared" ca="1" si="14"/>
        <v>0</v>
      </c>
      <c r="AA38" s="67">
        <f t="shared" ca="1" si="14"/>
        <v>0</v>
      </c>
      <c r="AB38" s="67">
        <f t="shared" ca="1" si="14"/>
        <v>0</v>
      </c>
      <c r="AC38" s="67">
        <f t="shared" ca="1" si="14"/>
        <v>0</v>
      </c>
      <c r="AD38" s="67">
        <f t="shared" ca="1" si="14"/>
        <v>0</v>
      </c>
      <c r="AE38" s="67">
        <f t="shared" ca="1" si="14"/>
        <v>0</v>
      </c>
      <c r="AF38" s="67">
        <f t="shared" ca="1" si="14"/>
        <v>0</v>
      </c>
      <c r="AG38" s="67">
        <f t="shared" ca="1" si="14"/>
        <v>0</v>
      </c>
      <c r="AH38" s="67">
        <f t="shared" ca="1" si="14"/>
        <v>0</v>
      </c>
      <c r="AI38" s="67">
        <f t="shared" ca="1" si="14"/>
        <v>0</v>
      </c>
      <c r="AJ38" s="67">
        <f t="shared" ref="AJ38:AY53" ca="1" si="18">SUM(IFERROR(IF(AND(AJ$5&gt;=$H38,AJ$5&lt;=$I38),1,0),0),IFERROR(IF(AND(AJ$5&gt;=$J38,AJ$5&lt;=$K38),1,0),0),IFERROR(IF(AND(AJ$5&gt;=$L38,AJ$5&lt;=$M38),1,0),0),IFERROR(IF(AND(AJ$5&gt;=$N38,AJ$5&lt;=$O38),1,0),0),IFERROR(IF(AND(AJ$5&gt;=$P38,AJ$5&lt;=$Q38),1,0),0))</f>
        <v>0</v>
      </c>
      <c r="AK38" s="67">
        <f t="shared" ca="1" si="15"/>
        <v>0</v>
      </c>
      <c r="AL38" s="67">
        <f t="shared" ca="1" si="15"/>
        <v>0</v>
      </c>
      <c r="AM38" s="67">
        <f t="shared" ca="1" si="15"/>
        <v>0</v>
      </c>
      <c r="AN38" s="67">
        <f t="shared" ca="1" si="15"/>
        <v>0</v>
      </c>
      <c r="AO38" s="67">
        <f t="shared" ca="1" si="15"/>
        <v>0</v>
      </c>
      <c r="AP38" s="67">
        <f t="shared" ca="1" si="15"/>
        <v>0</v>
      </c>
      <c r="AQ38" s="67">
        <f t="shared" ca="1" si="15"/>
        <v>0</v>
      </c>
      <c r="AR38" s="67">
        <f t="shared" ca="1" si="15"/>
        <v>0</v>
      </c>
      <c r="AS38" s="67">
        <f t="shared" ca="1" si="15"/>
        <v>0</v>
      </c>
      <c r="AT38" s="67">
        <f t="shared" ca="1" si="15"/>
        <v>0</v>
      </c>
      <c r="AU38" s="67">
        <f t="shared" ca="1" si="15"/>
        <v>0</v>
      </c>
      <c r="AV38" s="67">
        <f t="shared" ca="1" si="15"/>
        <v>0</v>
      </c>
      <c r="AW38" s="67">
        <f t="shared" ca="1" si="15"/>
        <v>0</v>
      </c>
      <c r="AX38" s="67">
        <f t="shared" ca="1" si="15"/>
        <v>0</v>
      </c>
      <c r="AY38" s="67">
        <f t="shared" ca="1" si="15"/>
        <v>0</v>
      </c>
      <c r="AZ38" s="67">
        <f t="shared" ca="1" si="15"/>
        <v>0</v>
      </c>
      <c r="BA38" s="67">
        <f t="shared" ca="1" si="16"/>
        <v>0</v>
      </c>
      <c r="BB38" s="67">
        <f t="shared" ca="1" si="16"/>
        <v>0</v>
      </c>
      <c r="BC38" s="67">
        <f t="shared" ca="1" si="16"/>
        <v>0</v>
      </c>
      <c r="BD38" s="67">
        <f t="shared" ca="1" si="16"/>
        <v>0</v>
      </c>
      <c r="BE38" s="67">
        <f t="shared" ca="1" si="16"/>
        <v>0</v>
      </c>
      <c r="BF38" s="67">
        <f t="shared" ca="1" si="16"/>
        <v>0</v>
      </c>
      <c r="BG38" s="67">
        <f t="shared" ca="1" si="16"/>
        <v>0</v>
      </c>
      <c r="BH38" s="67">
        <f t="shared" ca="1" si="16"/>
        <v>0</v>
      </c>
      <c r="BI38" s="67">
        <f t="shared" ca="1" si="16"/>
        <v>0</v>
      </c>
      <c r="BJ38" s="67">
        <f t="shared" ca="1" si="16"/>
        <v>0</v>
      </c>
      <c r="BK38" s="67">
        <f t="shared" ca="1" si="16"/>
        <v>0</v>
      </c>
      <c r="BL38" s="67">
        <f t="shared" ca="1" si="16"/>
        <v>0</v>
      </c>
      <c r="BM38" s="67">
        <f t="shared" ca="1" si="16"/>
        <v>0</v>
      </c>
      <c r="BN38" s="67">
        <f t="shared" ca="1" si="16"/>
        <v>0</v>
      </c>
      <c r="BO38" s="67">
        <f t="shared" ca="1" si="16"/>
        <v>0</v>
      </c>
      <c r="BP38" s="67">
        <f t="shared" ca="1" si="16"/>
        <v>0</v>
      </c>
      <c r="BQ38" s="67">
        <f t="shared" ca="1" si="13"/>
        <v>0</v>
      </c>
      <c r="BR38" s="67">
        <f t="shared" ca="1" si="13"/>
        <v>0</v>
      </c>
      <c r="BS38" s="67">
        <f t="shared" ca="1" si="13"/>
        <v>0</v>
      </c>
      <c r="BT38" s="67">
        <f t="shared" ca="1" si="13"/>
        <v>0</v>
      </c>
    </row>
    <row r="39" spans="1:72" x14ac:dyDescent="0.25">
      <c r="A39" s="320">
        <f t="shared" ca="1" si="6"/>
        <v>44171</v>
      </c>
      <c r="B39" s="87">
        <f t="shared" ca="1" si="9"/>
        <v>44165</v>
      </c>
      <c r="C39" s="67">
        <v>34</v>
      </c>
      <c r="D39" s="67" t="str">
        <f t="shared" ca="1" si="10"/>
        <v/>
      </c>
      <c r="E39" s="67" t="str">
        <f t="shared" ca="1" si="0"/>
        <v xml:space="preserve"> </v>
      </c>
      <c r="F39" s="67">
        <f t="shared" ca="1" si="7"/>
        <v>49</v>
      </c>
      <c r="G39" s="67" t="str">
        <f>ROW(A34)&amp;". "&amp;'Critical resources'!B45</f>
        <v xml:space="preserve">34. </v>
      </c>
      <c r="H39" s="67">
        <f ca="1">IFERROR(VLOOKUP('Critical resources'!D45,$B$6:$C$57,2,0),0)</f>
        <v>0</v>
      </c>
      <c r="I39" s="67">
        <f ca="1">IFERROR(VLOOKUP('Critical resources'!E45,$A$6:$C$57,3,0),0)</f>
        <v>0</v>
      </c>
      <c r="J39" s="67">
        <f ca="1">IFERROR(VLOOKUP('Critical resources'!G45,$B$6:$C$57,2,0),0)</f>
        <v>0</v>
      </c>
      <c r="K39" s="67">
        <f ca="1">IFERROR(VLOOKUP('Critical resources'!H45,$B$6:$C$57,2,0),0)</f>
        <v>0</v>
      </c>
      <c r="L39" s="67">
        <f ca="1">IFERROR(VLOOKUP('Critical resources'!J45,$B$6:$C$57,2,0),0)</f>
        <v>0</v>
      </c>
      <c r="M39" s="67">
        <f ca="1">IFERROR(VLOOKUP('Critical resources'!K45,$A$6:$C$57,3,0),0)</f>
        <v>0</v>
      </c>
      <c r="N39" s="67">
        <f ca="1">IFERROR(VLOOKUP('Critical resources'!M45,$B$6:$C$57,2,0),0)</f>
        <v>0</v>
      </c>
      <c r="O39" s="67">
        <f ca="1">IFERROR(VLOOKUP('Critical resources'!N45,$A$6:$C$57,3,0),0)</f>
        <v>0</v>
      </c>
      <c r="P39" s="67">
        <f ca="1">IFERROR(VLOOKUP('Critical resources'!P45,$B$6:$C$57,2,0),0)</f>
        <v>0</v>
      </c>
      <c r="Q39" s="67">
        <f ca="1">IFERROR(VLOOKUP('Critical resources'!Q45,$A$6:$C$57,3,0),0)</f>
        <v>0</v>
      </c>
      <c r="T39" s="67" t="str">
        <f t="shared" si="17"/>
        <v xml:space="preserve">34. </v>
      </c>
      <c r="U39" s="67">
        <f t="shared" ref="U39:AJ54" ca="1" si="19">SUM(IFERROR(IF(AND(U$5&gt;=$H39,U$5&lt;=$I39),1,0),0),IFERROR(IF(AND(U$5&gt;=$J39,U$5&lt;=$K39),1,0),0),IFERROR(IF(AND(U$5&gt;=$L39,U$5&lt;=$M39),1,0),0),IFERROR(IF(AND(U$5&gt;=$N39,U$5&lt;=$O39),1,0),0),IFERROR(IF(AND(U$5&gt;=$P39,U$5&lt;=$Q39),1,0),0))</f>
        <v>0</v>
      </c>
      <c r="V39" s="67">
        <f t="shared" ca="1" si="19"/>
        <v>0</v>
      </c>
      <c r="W39" s="67">
        <f t="shared" ca="1" si="19"/>
        <v>0</v>
      </c>
      <c r="X39" s="67">
        <f t="shared" ca="1" si="19"/>
        <v>0</v>
      </c>
      <c r="Y39" s="67">
        <f t="shared" ca="1" si="19"/>
        <v>0</v>
      </c>
      <c r="Z39" s="67">
        <f t="shared" ca="1" si="19"/>
        <v>0</v>
      </c>
      <c r="AA39" s="67">
        <f t="shared" ca="1" si="19"/>
        <v>0</v>
      </c>
      <c r="AB39" s="67">
        <f t="shared" ca="1" si="19"/>
        <v>0</v>
      </c>
      <c r="AC39" s="67">
        <f t="shared" ca="1" si="19"/>
        <v>0</v>
      </c>
      <c r="AD39" s="67">
        <f t="shared" ca="1" si="19"/>
        <v>0</v>
      </c>
      <c r="AE39" s="67">
        <f t="shared" ca="1" si="19"/>
        <v>0</v>
      </c>
      <c r="AF39" s="67">
        <f t="shared" ca="1" si="19"/>
        <v>0</v>
      </c>
      <c r="AG39" s="67">
        <f t="shared" ca="1" si="19"/>
        <v>0</v>
      </c>
      <c r="AH39" s="67">
        <f t="shared" ca="1" si="19"/>
        <v>0</v>
      </c>
      <c r="AI39" s="67">
        <f t="shared" ca="1" si="19"/>
        <v>0</v>
      </c>
      <c r="AJ39" s="67">
        <f t="shared" ca="1" si="18"/>
        <v>0</v>
      </c>
      <c r="AK39" s="67">
        <f t="shared" ca="1" si="15"/>
        <v>0</v>
      </c>
      <c r="AL39" s="67">
        <f t="shared" ca="1" si="15"/>
        <v>0</v>
      </c>
      <c r="AM39" s="67">
        <f t="shared" ca="1" si="15"/>
        <v>0</v>
      </c>
      <c r="AN39" s="67">
        <f t="shared" ca="1" si="15"/>
        <v>0</v>
      </c>
      <c r="AO39" s="67">
        <f t="shared" ca="1" si="15"/>
        <v>0</v>
      </c>
      <c r="AP39" s="67">
        <f t="shared" ca="1" si="15"/>
        <v>0</v>
      </c>
      <c r="AQ39" s="67">
        <f t="shared" ca="1" si="15"/>
        <v>0</v>
      </c>
      <c r="AR39" s="67">
        <f t="shared" ca="1" si="15"/>
        <v>0</v>
      </c>
      <c r="AS39" s="67">
        <f t="shared" ca="1" si="15"/>
        <v>0</v>
      </c>
      <c r="AT39" s="67">
        <f t="shared" ca="1" si="15"/>
        <v>0</v>
      </c>
      <c r="AU39" s="67">
        <f t="shared" ca="1" si="15"/>
        <v>0</v>
      </c>
      <c r="AV39" s="67">
        <f t="shared" ca="1" si="15"/>
        <v>0</v>
      </c>
      <c r="AW39" s="67">
        <f t="shared" ca="1" si="15"/>
        <v>0</v>
      </c>
      <c r="AX39" s="67">
        <f t="shared" ca="1" si="15"/>
        <v>0</v>
      </c>
      <c r="AY39" s="67">
        <f t="shared" ca="1" si="15"/>
        <v>0</v>
      </c>
      <c r="AZ39" s="67">
        <f t="shared" ca="1" si="15"/>
        <v>0</v>
      </c>
      <c r="BA39" s="67">
        <f t="shared" ca="1" si="16"/>
        <v>0</v>
      </c>
      <c r="BB39" s="67">
        <f t="shared" ca="1" si="16"/>
        <v>0</v>
      </c>
      <c r="BC39" s="67">
        <f t="shared" ca="1" si="16"/>
        <v>0</v>
      </c>
      <c r="BD39" s="67">
        <f t="shared" ca="1" si="16"/>
        <v>0</v>
      </c>
      <c r="BE39" s="67">
        <f t="shared" ca="1" si="16"/>
        <v>0</v>
      </c>
      <c r="BF39" s="67">
        <f t="shared" ca="1" si="16"/>
        <v>0</v>
      </c>
      <c r="BG39" s="67">
        <f t="shared" ca="1" si="16"/>
        <v>0</v>
      </c>
      <c r="BH39" s="67">
        <f t="shared" ca="1" si="16"/>
        <v>0</v>
      </c>
      <c r="BI39" s="67">
        <f t="shared" ca="1" si="16"/>
        <v>0</v>
      </c>
      <c r="BJ39" s="67">
        <f t="shared" ca="1" si="16"/>
        <v>0</v>
      </c>
      <c r="BK39" s="67">
        <f t="shared" ca="1" si="16"/>
        <v>0</v>
      </c>
      <c r="BL39" s="67">
        <f t="shared" ca="1" si="16"/>
        <v>0</v>
      </c>
      <c r="BM39" s="67">
        <f t="shared" ca="1" si="16"/>
        <v>0</v>
      </c>
      <c r="BN39" s="67">
        <f t="shared" ca="1" si="16"/>
        <v>0</v>
      </c>
      <c r="BO39" s="67">
        <f t="shared" ca="1" si="16"/>
        <v>0</v>
      </c>
      <c r="BP39" s="67">
        <f t="shared" ca="1" si="16"/>
        <v>0</v>
      </c>
      <c r="BQ39" s="67">
        <f t="shared" ca="1" si="13"/>
        <v>0</v>
      </c>
      <c r="BR39" s="67">
        <f t="shared" ca="1" si="13"/>
        <v>0</v>
      </c>
      <c r="BS39" s="67">
        <f t="shared" ca="1" si="13"/>
        <v>0</v>
      </c>
      <c r="BT39" s="67">
        <f t="shared" ca="1" si="13"/>
        <v>0</v>
      </c>
    </row>
    <row r="40" spans="1:72" x14ac:dyDescent="0.25">
      <c r="A40" s="320">
        <f t="shared" ca="1" si="6"/>
        <v>44178</v>
      </c>
      <c r="B40" s="87">
        <f t="shared" ca="1" si="9"/>
        <v>44172</v>
      </c>
      <c r="C40" s="67">
        <v>35</v>
      </c>
      <c r="D40" s="67" t="str">
        <f t="shared" ca="1" si="10"/>
        <v/>
      </c>
      <c r="E40" s="67" t="str">
        <f t="shared" ca="1" si="0"/>
        <v>Dec</v>
      </c>
      <c r="F40" s="67">
        <f t="shared" ca="1" si="7"/>
        <v>50</v>
      </c>
      <c r="G40" s="67" t="str">
        <f>ROW(A35)&amp;". "&amp;'Critical resources'!B46</f>
        <v xml:space="preserve">35. </v>
      </c>
      <c r="H40" s="67">
        <f ca="1">IFERROR(VLOOKUP('Critical resources'!D46,$B$6:$C$57,2,0),0)</f>
        <v>0</v>
      </c>
      <c r="I40" s="67">
        <f ca="1">IFERROR(VLOOKUP('Critical resources'!E46,$A$6:$C$57,3,0),0)</f>
        <v>0</v>
      </c>
      <c r="J40" s="67">
        <f ca="1">IFERROR(VLOOKUP('Critical resources'!G46,$B$6:$C$57,2,0),0)</f>
        <v>0</v>
      </c>
      <c r="K40" s="67">
        <f ca="1">IFERROR(VLOOKUP('Critical resources'!H46,$B$6:$C$57,2,0),0)</f>
        <v>0</v>
      </c>
      <c r="L40" s="67">
        <f ca="1">IFERROR(VLOOKUP('Critical resources'!J46,$B$6:$C$57,2,0),0)</f>
        <v>0</v>
      </c>
      <c r="M40" s="67">
        <f ca="1">IFERROR(VLOOKUP('Critical resources'!K46,$A$6:$C$57,3,0),0)</f>
        <v>0</v>
      </c>
      <c r="N40" s="67">
        <f ca="1">IFERROR(VLOOKUP('Critical resources'!M46,$B$6:$C$57,2,0),0)</f>
        <v>0</v>
      </c>
      <c r="O40" s="67">
        <f ca="1">IFERROR(VLOOKUP('Critical resources'!N46,$A$6:$C$57,3,0),0)</f>
        <v>0</v>
      </c>
      <c r="P40" s="67">
        <f ca="1">IFERROR(VLOOKUP('Critical resources'!P46,$B$6:$C$57,2,0),0)</f>
        <v>0</v>
      </c>
      <c r="Q40" s="67">
        <f ca="1">IFERROR(VLOOKUP('Critical resources'!Q46,$A$6:$C$57,3,0),0)</f>
        <v>0</v>
      </c>
      <c r="T40" s="67" t="str">
        <f t="shared" si="17"/>
        <v xml:space="preserve">35. </v>
      </c>
      <c r="U40" s="67">
        <f t="shared" ca="1" si="19"/>
        <v>0</v>
      </c>
      <c r="V40" s="67">
        <f t="shared" ca="1" si="19"/>
        <v>0</v>
      </c>
      <c r="W40" s="67">
        <f t="shared" ca="1" si="19"/>
        <v>0</v>
      </c>
      <c r="X40" s="67">
        <f t="shared" ca="1" si="19"/>
        <v>0</v>
      </c>
      <c r="Y40" s="67">
        <f t="shared" ca="1" si="19"/>
        <v>0</v>
      </c>
      <c r="Z40" s="67">
        <f t="shared" ca="1" si="19"/>
        <v>0</v>
      </c>
      <c r="AA40" s="67">
        <f t="shared" ca="1" si="19"/>
        <v>0</v>
      </c>
      <c r="AB40" s="67">
        <f t="shared" ca="1" si="19"/>
        <v>0</v>
      </c>
      <c r="AC40" s="67">
        <f t="shared" ca="1" si="19"/>
        <v>0</v>
      </c>
      <c r="AD40" s="67">
        <f t="shared" ca="1" si="19"/>
        <v>0</v>
      </c>
      <c r="AE40" s="67">
        <f t="shared" ca="1" si="19"/>
        <v>0</v>
      </c>
      <c r="AF40" s="67">
        <f t="shared" ca="1" si="19"/>
        <v>0</v>
      </c>
      <c r="AG40" s="67">
        <f t="shared" ca="1" si="19"/>
        <v>0</v>
      </c>
      <c r="AH40" s="67">
        <f t="shared" ca="1" si="19"/>
        <v>0</v>
      </c>
      <c r="AI40" s="67">
        <f t="shared" ca="1" si="19"/>
        <v>0</v>
      </c>
      <c r="AJ40" s="67">
        <f t="shared" ca="1" si="18"/>
        <v>0</v>
      </c>
      <c r="AK40" s="67">
        <f t="shared" ca="1" si="15"/>
        <v>0</v>
      </c>
      <c r="AL40" s="67">
        <f t="shared" ca="1" si="15"/>
        <v>0</v>
      </c>
      <c r="AM40" s="67">
        <f t="shared" ca="1" si="15"/>
        <v>0</v>
      </c>
      <c r="AN40" s="67">
        <f t="shared" ca="1" si="15"/>
        <v>0</v>
      </c>
      <c r="AO40" s="67">
        <f t="shared" ca="1" si="15"/>
        <v>0</v>
      </c>
      <c r="AP40" s="67">
        <f t="shared" ca="1" si="15"/>
        <v>0</v>
      </c>
      <c r="AQ40" s="67">
        <f t="shared" ca="1" si="15"/>
        <v>0</v>
      </c>
      <c r="AR40" s="67">
        <f t="shared" ca="1" si="15"/>
        <v>0</v>
      </c>
      <c r="AS40" s="67">
        <f t="shared" ca="1" si="15"/>
        <v>0</v>
      </c>
      <c r="AT40" s="67">
        <f t="shared" ca="1" si="15"/>
        <v>0</v>
      </c>
      <c r="AU40" s="67">
        <f t="shared" ca="1" si="15"/>
        <v>0</v>
      </c>
      <c r="AV40" s="67">
        <f t="shared" ca="1" si="15"/>
        <v>0</v>
      </c>
      <c r="AW40" s="67">
        <f t="shared" ca="1" si="15"/>
        <v>0</v>
      </c>
      <c r="AX40" s="67">
        <f t="shared" ca="1" si="15"/>
        <v>0</v>
      </c>
      <c r="AY40" s="67">
        <f t="shared" ca="1" si="15"/>
        <v>0</v>
      </c>
      <c r="AZ40" s="67">
        <f t="shared" ca="1" si="15"/>
        <v>0</v>
      </c>
      <c r="BA40" s="67">
        <f t="shared" ca="1" si="16"/>
        <v>0</v>
      </c>
      <c r="BB40" s="67">
        <f t="shared" ca="1" si="16"/>
        <v>0</v>
      </c>
      <c r="BC40" s="67">
        <f t="shared" ca="1" si="16"/>
        <v>0</v>
      </c>
      <c r="BD40" s="67">
        <f t="shared" ca="1" si="16"/>
        <v>0</v>
      </c>
      <c r="BE40" s="67">
        <f t="shared" ca="1" si="16"/>
        <v>0</v>
      </c>
      <c r="BF40" s="67">
        <f t="shared" ca="1" si="16"/>
        <v>0</v>
      </c>
      <c r="BG40" s="67">
        <f t="shared" ca="1" si="16"/>
        <v>0</v>
      </c>
      <c r="BH40" s="67">
        <f t="shared" ca="1" si="16"/>
        <v>0</v>
      </c>
      <c r="BI40" s="67">
        <f t="shared" ca="1" si="16"/>
        <v>0</v>
      </c>
      <c r="BJ40" s="67">
        <f t="shared" ca="1" si="16"/>
        <v>0</v>
      </c>
      <c r="BK40" s="67">
        <f t="shared" ca="1" si="16"/>
        <v>0</v>
      </c>
      <c r="BL40" s="67">
        <f t="shared" ca="1" si="16"/>
        <v>0</v>
      </c>
      <c r="BM40" s="67">
        <f t="shared" ca="1" si="16"/>
        <v>0</v>
      </c>
      <c r="BN40" s="67">
        <f t="shared" ca="1" si="16"/>
        <v>0</v>
      </c>
      <c r="BO40" s="67">
        <f t="shared" ca="1" si="16"/>
        <v>0</v>
      </c>
      <c r="BP40" s="67">
        <f t="shared" ca="1" si="16"/>
        <v>0</v>
      </c>
      <c r="BQ40" s="67">
        <f t="shared" ca="1" si="13"/>
        <v>0</v>
      </c>
      <c r="BR40" s="67">
        <f t="shared" ca="1" si="13"/>
        <v>0</v>
      </c>
      <c r="BS40" s="67">
        <f t="shared" ca="1" si="13"/>
        <v>0</v>
      </c>
      <c r="BT40" s="67">
        <f t="shared" ca="1" si="13"/>
        <v>0</v>
      </c>
    </row>
    <row r="41" spans="1:72" x14ac:dyDescent="0.25">
      <c r="A41" s="320">
        <f t="shared" ca="1" si="6"/>
        <v>44185</v>
      </c>
      <c r="B41" s="87">
        <f t="shared" ca="1" si="9"/>
        <v>44179</v>
      </c>
      <c r="C41" s="67">
        <v>36</v>
      </c>
      <c r="D41" s="67" t="str">
        <f t="shared" ca="1" si="10"/>
        <v/>
      </c>
      <c r="E41" s="67" t="str">
        <f t="shared" ca="1" si="0"/>
        <v xml:space="preserve"> </v>
      </c>
      <c r="F41" s="67">
        <f t="shared" ca="1" si="7"/>
        <v>51</v>
      </c>
      <c r="G41" s="67" t="str">
        <f>ROW(A36)&amp;". "&amp;'Critical resources'!B47</f>
        <v xml:space="preserve">36. </v>
      </c>
      <c r="H41" s="67">
        <f ca="1">IFERROR(VLOOKUP('Critical resources'!D47,$B$6:$C$57,2,0),0)</f>
        <v>0</v>
      </c>
      <c r="I41" s="67">
        <f ca="1">IFERROR(VLOOKUP('Critical resources'!E47,$A$6:$C$57,3,0),0)</f>
        <v>0</v>
      </c>
      <c r="J41" s="67">
        <f ca="1">IFERROR(VLOOKUP('Critical resources'!G47,$B$6:$C$57,2,0),0)</f>
        <v>0</v>
      </c>
      <c r="K41" s="67">
        <f ca="1">IFERROR(VLOOKUP('Critical resources'!H47,$B$6:$C$57,2,0),0)</f>
        <v>0</v>
      </c>
      <c r="L41" s="67">
        <f ca="1">IFERROR(VLOOKUP('Critical resources'!J47,$B$6:$C$57,2,0),0)</f>
        <v>0</v>
      </c>
      <c r="M41" s="67">
        <f ca="1">IFERROR(VLOOKUP('Critical resources'!K47,$A$6:$C$57,3,0),0)</f>
        <v>0</v>
      </c>
      <c r="N41" s="67">
        <f ca="1">IFERROR(VLOOKUP('Critical resources'!M47,$B$6:$C$57,2,0),0)</f>
        <v>0</v>
      </c>
      <c r="O41" s="67">
        <f ca="1">IFERROR(VLOOKUP('Critical resources'!N47,$A$6:$C$57,3,0),0)</f>
        <v>0</v>
      </c>
      <c r="P41" s="67">
        <f ca="1">IFERROR(VLOOKUP('Critical resources'!P47,$B$6:$C$57,2,0),0)</f>
        <v>0</v>
      </c>
      <c r="Q41" s="67">
        <f ca="1">IFERROR(VLOOKUP('Critical resources'!Q47,$A$6:$C$57,3,0),0)</f>
        <v>0</v>
      </c>
      <c r="T41" s="67" t="str">
        <f t="shared" si="17"/>
        <v xml:space="preserve">36. </v>
      </c>
      <c r="U41" s="67">
        <f t="shared" ca="1" si="19"/>
        <v>0</v>
      </c>
      <c r="V41" s="67">
        <f t="shared" ca="1" si="19"/>
        <v>0</v>
      </c>
      <c r="W41" s="67">
        <f t="shared" ca="1" si="19"/>
        <v>0</v>
      </c>
      <c r="X41" s="67">
        <f t="shared" ca="1" si="19"/>
        <v>0</v>
      </c>
      <c r="Y41" s="67">
        <f t="shared" ca="1" si="19"/>
        <v>0</v>
      </c>
      <c r="Z41" s="67">
        <f t="shared" ca="1" si="19"/>
        <v>0</v>
      </c>
      <c r="AA41" s="67">
        <f t="shared" ca="1" si="19"/>
        <v>0</v>
      </c>
      <c r="AB41" s="67">
        <f t="shared" ca="1" si="19"/>
        <v>0</v>
      </c>
      <c r="AC41" s="67">
        <f t="shared" ca="1" si="19"/>
        <v>0</v>
      </c>
      <c r="AD41" s="67">
        <f t="shared" ca="1" si="19"/>
        <v>0</v>
      </c>
      <c r="AE41" s="67">
        <f t="shared" ca="1" si="19"/>
        <v>0</v>
      </c>
      <c r="AF41" s="67">
        <f t="shared" ca="1" si="19"/>
        <v>0</v>
      </c>
      <c r="AG41" s="67">
        <f t="shared" ca="1" si="19"/>
        <v>0</v>
      </c>
      <c r="AH41" s="67">
        <f t="shared" ca="1" si="19"/>
        <v>0</v>
      </c>
      <c r="AI41" s="67">
        <f t="shared" ca="1" si="19"/>
        <v>0</v>
      </c>
      <c r="AJ41" s="67">
        <f t="shared" ca="1" si="18"/>
        <v>0</v>
      </c>
      <c r="AK41" s="67">
        <f t="shared" ca="1" si="15"/>
        <v>0</v>
      </c>
      <c r="AL41" s="67">
        <f t="shared" ca="1" si="15"/>
        <v>0</v>
      </c>
      <c r="AM41" s="67">
        <f t="shared" ca="1" si="15"/>
        <v>0</v>
      </c>
      <c r="AN41" s="67">
        <f t="shared" ca="1" si="15"/>
        <v>0</v>
      </c>
      <c r="AO41" s="67">
        <f t="shared" ca="1" si="15"/>
        <v>0</v>
      </c>
      <c r="AP41" s="67">
        <f t="shared" ca="1" si="15"/>
        <v>0</v>
      </c>
      <c r="AQ41" s="67">
        <f t="shared" ca="1" si="15"/>
        <v>0</v>
      </c>
      <c r="AR41" s="67">
        <f t="shared" ca="1" si="15"/>
        <v>0</v>
      </c>
      <c r="AS41" s="67">
        <f t="shared" ca="1" si="15"/>
        <v>0</v>
      </c>
      <c r="AT41" s="67">
        <f t="shared" ca="1" si="15"/>
        <v>0</v>
      </c>
      <c r="AU41" s="67">
        <f t="shared" ca="1" si="15"/>
        <v>0</v>
      </c>
      <c r="AV41" s="67">
        <f t="shared" ca="1" si="15"/>
        <v>0</v>
      </c>
      <c r="AW41" s="67">
        <f t="shared" ca="1" si="15"/>
        <v>0</v>
      </c>
      <c r="AX41" s="67">
        <f t="shared" ca="1" si="15"/>
        <v>0</v>
      </c>
      <c r="AY41" s="67">
        <f t="shared" ca="1" si="15"/>
        <v>0</v>
      </c>
      <c r="AZ41" s="67">
        <f t="shared" ca="1" si="15"/>
        <v>0</v>
      </c>
      <c r="BA41" s="67">
        <f t="shared" ca="1" si="16"/>
        <v>0</v>
      </c>
      <c r="BB41" s="67">
        <f t="shared" ca="1" si="16"/>
        <v>0</v>
      </c>
      <c r="BC41" s="67">
        <f t="shared" ca="1" si="16"/>
        <v>0</v>
      </c>
      <c r="BD41" s="67">
        <f t="shared" ca="1" si="16"/>
        <v>0</v>
      </c>
      <c r="BE41" s="67">
        <f t="shared" ca="1" si="16"/>
        <v>0</v>
      </c>
      <c r="BF41" s="67">
        <f t="shared" ca="1" si="16"/>
        <v>0</v>
      </c>
      <c r="BG41" s="67">
        <f t="shared" ca="1" si="16"/>
        <v>0</v>
      </c>
      <c r="BH41" s="67">
        <f t="shared" ca="1" si="16"/>
        <v>0</v>
      </c>
      <c r="BI41" s="67">
        <f t="shared" ca="1" si="16"/>
        <v>0</v>
      </c>
      <c r="BJ41" s="67">
        <f t="shared" ca="1" si="16"/>
        <v>0</v>
      </c>
      <c r="BK41" s="67">
        <f t="shared" ca="1" si="16"/>
        <v>0</v>
      </c>
      <c r="BL41" s="67">
        <f t="shared" ca="1" si="16"/>
        <v>0</v>
      </c>
      <c r="BM41" s="67">
        <f t="shared" ca="1" si="16"/>
        <v>0</v>
      </c>
      <c r="BN41" s="67">
        <f t="shared" ca="1" si="16"/>
        <v>0</v>
      </c>
      <c r="BO41" s="67">
        <f t="shared" ca="1" si="16"/>
        <v>0</v>
      </c>
      <c r="BP41" s="67">
        <f t="shared" ca="1" si="16"/>
        <v>0</v>
      </c>
      <c r="BQ41" s="67">
        <f t="shared" ref="BQ41:BT60" ca="1" si="20">SUM(IFERROR(IF(AND(BQ$5&gt;=$H41,BQ$5&lt;=$I41),1,0),0),IFERROR(IF(AND(BQ$5&gt;=$J41,BQ$5&lt;=$K41),1,0),0),IFERROR(IF(AND(BQ$5&gt;=$L41,BQ$5&lt;=$M41),1,0),0),IFERROR(IF(AND(BQ$5&gt;=$N41,BQ$5&lt;=$O41),1,0),0),IFERROR(IF(AND(BQ$5&gt;=$P41,BQ$5&lt;=$Q41),1,0),0))</f>
        <v>0</v>
      </c>
      <c r="BR41" s="67">
        <f t="shared" ca="1" si="20"/>
        <v>0</v>
      </c>
      <c r="BS41" s="67">
        <f t="shared" ca="1" si="20"/>
        <v>0</v>
      </c>
      <c r="BT41" s="67">
        <f t="shared" ca="1" si="20"/>
        <v>0</v>
      </c>
    </row>
    <row r="42" spans="1:72" x14ac:dyDescent="0.25">
      <c r="A42" s="320">
        <f t="shared" ca="1" si="6"/>
        <v>44192</v>
      </c>
      <c r="B42" s="87">
        <f t="shared" ca="1" si="9"/>
        <v>44186</v>
      </c>
      <c r="C42" s="67">
        <v>37</v>
      </c>
      <c r="D42" s="67" t="str">
        <f t="shared" ca="1" si="10"/>
        <v/>
      </c>
      <c r="E42" s="67" t="str">
        <f t="shared" ca="1" si="0"/>
        <v xml:space="preserve"> </v>
      </c>
      <c r="F42" s="67">
        <f t="shared" ca="1" si="7"/>
        <v>52</v>
      </c>
      <c r="G42" s="67" t="str">
        <f>ROW(A37)&amp;". "&amp;'Critical resources'!B48</f>
        <v xml:space="preserve">37. </v>
      </c>
      <c r="H42" s="67">
        <f ca="1">IFERROR(VLOOKUP('Critical resources'!D48,$B$6:$C$57,2,0),0)</f>
        <v>0</v>
      </c>
      <c r="I42" s="67">
        <f ca="1">IFERROR(VLOOKUP('Critical resources'!E48,$A$6:$C$57,3,0),0)</f>
        <v>0</v>
      </c>
      <c r="J42" s="67">
        <f ca="1">IFERROR(VLOOKUP('Critical resources'!G48,$B$6:$C$57,2,0),0)</f>
        <v>0</v>
      </c>
      <c r="K42" s="67">
        <f ca="1">IFERROR(VLOOKUP('Critical resources'!H48,$B$6:$C$57,2,0),0)</f>
        <v>0</v>
      </c>
      <c r="L42" s="67">
        <f ca="1">IFERROR(VLOOKUP('Critical resources'!J48,$B$6:$C$57,2,0),0)</f>
        <v>0</v>
      </c>
      <c r="M42" s="67">
        <f ca="1">IFERROR(VLOOKUP('Critical resources'!K48,$A$6:$C$57,3,0),0)</f>
        <v>0</v>
      </c>
      <c r="N42" s="67">
        <f ca="1">IFERROR(VLOOKUP('Critical resources'!M48,$B$6:$C$57,2,0),0)</f>
        <v>0</v>
      </c>
      <c r="O42" s="67">
        <f ca="1">IFERROR(VLOOKUP('Critical resources'!N48,$A$6:$C$57,3,0),0)</f>
        <v>0</v>
      </c>
      <c r="P42" s="67">
        <f ca="1">IFERROR(VLOOKUP('Critical resources'!P48,$B$6:$C$57,2,0),0)</f>
        <v>0</v>
      </c>
      <c r="Q42" s="67">
        <f ca="1">IFERROR(VLOOKUP('Critical resources'!Q48,$A$6:$C$57,3,0),0)</f>
        <v>0</v>
      </c>
      <c r="T42" s="67" t="str">
        <f t="shared" si="17"/>
        <v xml:space="preserve">37. </v>
      </c>
      <c r="U42" s="67">
        <f t="shared" ca="1" si="19"/>
        <v>0</v>
      </c>
      <c r="V42" s="67">
        <f t="shared" ca="1" si="19"/>
        <v>0</v>
      </c>
      <c r="W42" s="67">
        <f t="shared" ca="1" si="19"/>
        <v>0</v>
      </c>
      <c r="X42" s="67">
        <f t="shared" ca="1" si="19"/>
        <v>0</v>
      </c>
      <c r="Y42" s="67">
        <f t="shared" ca="1" si="19"/>
        <v>0</v>
      </c>
      <c r="Z42" s="67">
        <f t="shared" ca="1" si="19"/>
        <v>0</v>
      </c>
      <c r="AA42" s="67">
        <f t="shared" ca="1" si="19"/>
        <v>0</v>
      </c>
      <c r="AB42" s="67">
        <f t="shared" ca="1" si="19"/>
        <v>0</v>
      </c>
      <c r="AC42" s="67">
        <f t="shared" ca="1" si="19"/>
        <v>0</v>
      </c>
      <c r="AD42" s="67">
        <f t="shared" ca="1" si="19"/>
        <v>0</v>
      </c>
      <c r="AE42" s="67">
        <f t="shared" ca="1" si="19"/>
        <v>0</v>
      </c>
      <c r="AF42" s="67">
        <f t="shared" ca="1" si="19"/>
        <v>0</v>
      </c>
      <c r="AG42" s="67">
        <f t="shared" ca="1" si="19"/>
        <v>0</v>
      </c>
      <c r="AH42" s="67">
        <f t="shared" ca="1" si="19"/>
        <v>0</v>
      </c>
      <c r="AI42" s="67">
        <f t="shared" ca="1" si="19"/>
        <v>0</v>
      </c>
      <c r="AJ42" s="67">
        <f t="shared" ca="1" si="18"/>
        <v>0</v>
      </c>
      <c r="AK42" s="67">
        <f t="shared" ca="1" si="15"/>
        <v>0</v>
      </c>
      <c r="AL42" s="67">
        <f t="shared" ca="1" si="15"/>
        <v>0</v>
      </c>
      <c r="AM42" s="67">
        <f t="shared" ca="1" si="15"/>
        <v>0</v>
      </c>
      <c r="AN42" s="67">
        <f t="shared" ca="1" si="15"/>
        <v>0</v>
      </c>
      <c r="AO42" s="67">
        <f t="shared" ca="1" si="15"/>
        <v>0</v>
      </c>
      <c r="AP42" s="67">
        <f t="shared" ca="1" si="15"/>
        <v>0</v>
      </c>
      <c r="AQ42" s="67">
        <f t="shared" ca="1" si="15"/>
        <v>0</v>
      </c>
      <c r="AR42" s="67">
        <f t="shared" ca="1" si="15"/>
        <v>0</v>
      </c>
      <c r="AS42" s="67">
        <f t="shared" ca="1" si="15"/>
        <v>0</v>
      </c>
      <c r="AT42" s="67">
        <f t="shared" ca="1" si="15"/>
        <v>0</v>
      </c>
      <c r="AU42" s="67">
        <f t="shared" ca="1" si="15"/>
        <v>0</v>
      </c>
      <c r="AV42" s="67">
        <f t="shared" ca="1" si="15"/>
        <v>0</v>
      </c>
      <c r="AW42" s="67">
        <f t="shared" ca="1" si="15"/>
        <v>0</v>
      </c>
      <c r="AX42" s="67">
        <f t="shared" ca="1" si="15"/>
        <v>0</v>
      </c>
      <c r="AY42" s="67">
        <f t="shared" ca="1" si="15"/>
        <v>0</v>
      </c>
      <c r="AZ42" s="67">
        <f t="shared" ca="1" si="15"/>
        <v>0</v>
      </c>
      <c r="BA42" s="67">
        <f t="shared" ca="1" si="16"/>
        <v>0</v>
      </c>
      <c r="BB42" s="67">
        <f t="shared" ca="1" si="16"/>
        <v>0</v>
      </c>
      <c r="BC42" s="67">
        <f t="shared" ca="1" si="16"/>
        <v>0</v>
      </c>
      <c r="BD42" s="67">
        <f t="shared" ca="1" si="16"/>
        <v>0</v>
      </c>
      <c r="BE42" s="67">
        <f t="shared" ca="1" si="16"/>
        <v>0</v>
      </c>
      <c r="BF42" s="67">
        <f t="shared" ca="1" si="16"/>
        <v>0</v>
      </c>
      <c r="BG42" s="67">
        <f t="shared" ca="1" si="16"/>
        <v>0</v>
      </c>
      <c r="BH42" s="67">
        <f t="shared" ca="1" si="16"/>
        <v>0</v>
      </c>
      <c r="BI42" s="67">
        <f t="shared" ca="1" si="16"/>
        <v>0</v>
      </c>
      <c r="BJ42" s="67">
        <f t="shared" ca="1" si="16"/>
        <v>0</v>
      </c>
      <c r="BK42" s="67">
        <f t="shared" ca="1" si="16"/>
        <v>0</v>
      </c>
      <c r="BL42" s="67">
        <f t="shared" ca="1" si="16"/>
        <v>0</v>
      </c>
      <c r="BM42" s="67">
        <f t="shared" ca="1" si="16"/>
        <v>0</v>
      </c>
      <c r="BN42" s="67">
        <f t="shared" ca="1" si="16"/>
        <v>0</v>
      </c>
      <c r="BO42" s="67">
        <f t="shared" ca="1" si="16"/>
        <v>0</v>
      </c>
      <c r="BP42" s="67">
        <f t="shared" ca="1" si="16"/>
        <v>0</v>
      </c>
      <c r="BQ42" s="67">
        <f t="shared" ca="1" si="20"/>
        <v>0</v>
      </c>
      <c r="BR42" s="67">
        <f t="shared" ca="1" si="20"/>
        <v>0</v>
      </c>
      <c r="BS42" s="67">
        <f t="shared" ca="1" si="20"/>
        <v>0</v>
      </c>
      <c r="BT42" s="67">
        <f t="shared" ca="1" si="20"/>
        <v>0</v>
      </c>
    </row>
    <row r="43" spans="1:72" x14ac:dyDescent="0.25">
      <c r="A43" s="320">
        <f t="shared" ca="1" si="6"/>
        <v>44199</v>
      </c>
      <c r="B43" s="87">
        <f t="shared" ca="1" si="9"/>
        <v>44193</v>
      </c>
      <c r="C43" s="67">
        <v>38</v>
      </c>
      <c r="D43" s="67" t="str">
        <f t="shared" ca="1" si="10"/>
        <v/>
      </c>
      <c r="E43" s="67" t="str">
        <f t="shared" ca="1" si="0"/>
        <v xml:space="preserve"> </v>
      </c>
      <c r="F43" s="67">
        <f t="shared" ca="1" si="7"/>
        <v>53</v>
      </c>
      <c r="G43" s="67" t="str">
        <f>ROW(A38)&amp;". "&amp;'Critical resources'!B49</f>
        <v xml:space="preserve">38. </v>
      </c>
      <c r="H43" s="67">
        <f ca="1">IFERROR(VLOOKUP('Critical resources'!D49,$B$6:$C$57,2,0),0)</f>
        <v>0</v>
      </c>
      <c r="I43" s="67">
        <f ca="1">IFERROR(VLOOKUP('Critical resources'!E49,$A$6:$C$57,3,0),0)</f>
        <v>0</v>
      </c>
      <c r="J43" s="67">
        <f ca="1">IFERROR(VLOOKUP('Critical resources'!G49,$B$6:$C$57,2,0),0)</f>
        <v>0</v>
      </c>
      <c r="K43" s="67">
        <f ca="1">IFERROR(VLOOKUP('Critical resources'!H49,$B$6:$C$57,2,0),0)</f>
        <v>0</v>
      </c>
      <c r="L43" s="67">
        <f ca="1">IFERROR(VLOOKUP('Critical resources'!J49,$B$6:$C$57,2,0),0)</f>
        <v>0</v>
      </c>
      <c r="M43" s="67">
        <f ca="1">IFERROR(VLOOKUP('Critical resources'!K49,$A$6:$C$57,3,0),0)</f>
        <v>0</v>
      </c>
      <c r="N43" s="67">
        <f ca="1">IFERROR(VLOOKUP('Critical resources'!M49,$B$6:$C$57,2,0),0)</f>
        <v>0</v>
      </c>
      <c r="O43" s="67">
        <f ca="1">IFERROR(VLOOKUP('Critical resources'!N49,$A$6:$C$57,3,0),0)</f>
        <v>0</v>
      </c>
      <c r="P43" s="67">
        <f ca="1">IFERROR(VLOOKUP('Critical resources'!P49,$B$6:$C$57,2,0),0)</f>
        <v>0</v>
      </c>
      <c r="Q43" s="67">
        <f ca="1">IFERROR(VLOOKUP('Critical resources'!Q49,$A$6:$C$57,3,0),0)</f>
        <v>0</v>
      </c>
      <c r="T43" s="67" t="str">
        <f t="shared" si="17"/>
        <v xml:space="preserve">38. </v>
      </c>
      <c r="U43" s="67">
        <f t="shared" ca="1" si="19"/>
        <v>0</v>
      </c>
      <c r="V43" s="67">
        <f t="shared" ca="1" si="19"/>
        <v>0</v>
      </c>
      <c r="W43" s="67">
        <f t="shared" ca="1" si="19"/>
        <v>0</v>
      </c>
      <c r="X43" s="67">
        <f t="shared" ca="1" si="19"/>
        <v>0</v>
      </c>
      <c r="Y43" s="67">
        <f t="shared" ca="1" si="19"/>
        <v>0</v>
      </c>
      <c r="Z43" s="67">
        <f t="shared" ca="1" si="19"/>
        <v>0</v>
      </c>
      <c r="AA43" s="67">
        <f t="shared" ca="1" si="19"/>
        <v>0</v>
      </c>
      <c r="AB43" s="67">
        <f t="shared" ca="1" si="19"/>
        <v>0</v>
      </c>
      <c r="AC43" s="67">
        <f t="shared" ca="1" si="19"/>
        <v>0</v>
      </c>
      <c r="AD43" s="67">
        <f t="shared" ca="1" si="19"/>
        <v>0</v>
      </c>
      <c r="AE43" s="67">
        <f t="shared" ca="1" si="19"/>
        <v>0</v>
      </c>
      <c r="AF43" s="67">
        <f t="shared" ca="1" si="19"/>
        <v>0</v>
      </c>
      <c r="AG43" s="67">
        <f t="shared" ca="1" si="19"/>
        <v>0</v>
      </c>
      <c r="AH43" s="67">
        <f t="shared" ca="1" si="19"/>
        <v>0</v>
      </c>
      <c r="AI43" s="67">
        <f t="shared" ca="1" si="19"/>
        <v>0</v>
      </c>
      <c r="AJ43" s="67">
        <f t="shared" ca="1" si="18"/>
        <v>0</v>
      </c>
      <c r="AK43" s="67">
        <f t="shared" ca="1" si="15"/>
        <v>0</v>
      </c>
      <c r="AL43" s="67">
        <f t="shared" ca="1" si="15"/>
        <v>0</v>
      </c>
      <c r="AM43" s="67">
        <f t="shared" ca="1" si="15"/>
        <v>0</v>
      </c>
      <c r="AN43" s="67">
        <f t="shared" ca="1" si="15"/>
        <v>0</v>
      </c>
      <c r="AO43" s="67">
        <f t="shared" ca="1" si="15"/>
        <v>0</v>
      </c>
      <c r="AP43" s="67">
        <f t="shared" ca="1" si="15"/>
        <v>0</v>
      </c>
      <c r="AQ43" s="67">
        <f t="shared" ca="1" si="15"/>
        <v>0</v>
      </c>
      <c r="AR43" s="67">
        <f t="shared" ca="1" si="15"/>
        <v>0</v>
      </c>
      <c r="AS43" s="67">
        <f t="shared" ca="1" si="15"/>
        <v>0</v>
      </c>
      <c r="AT43" s="67">
        <f t="shared" ca="1" si="15"/>
        <v>0</v>
      </c>
      <c r="AU43" s="67">
        <f t="shared" ca="1" si="15"/>
        <v>0</v>
      </c>
      <c r="AV43" s="67">
        <f t="shared" ca="1" si="15"/>
        <v>0</v>
      </c>
      <c r="AW43" s="67">
        <f t="shared" ca="1" si="15"/>
        <v>0</v>
      </c>
      <c r="AX43" s="67">
        <f t="shared" ca="1" si="15"/>
        <v>0</v>
      </c>
      <c r="AY43" s="67">
        <f t="shared" ca="1" si="15"/>
        <v>0</v>
      </c>
      <c r="AZ43" s="67">
        <f t="shared" ca="1" si="15"/>
        <v>0</v>
      </c>
      <c r="BA43" s="67">
        <f t="shared" ca="1" si="16"/>
        <v>0</v>
      </c>
      <c r="BB43" s="67">
        <f t="shared" ca="1" si="16"/>
        <v>0</v>
      </c>
      <c r="BC43" s="67">
        <f t="shared" ca="1" si="16"/>
        <v>0</v>
      </c>
      <c r="BD43" s="67">
        <f t="shared" ca="1" si="16"/>
        <v>0</v>
      </c>
      <c r="BE43" s="67">
        <f t="shared" ca="1" si="16"/>
        <v>0</v>
      </c>
      <c r="BF43" s="67">
        <f t="shared" ca="1" si="16"/>
        <v>0</v>
      </c>
      <c r="BG43" s="67">
        <f t="shared" ca="1" si="16"/>
        <v>0</v>
      </c>
      <c r="BH43" s="67">
        <f t="shared" ca="1" si="16"/>
        <v>0</v>
      </c>
      <c r="BI43" s="67">
        <f t="shared" ca="1" si="16"/>
        <v>0</v>
      </c>
      <c r="BJ43" s="67">
        <f t="shared" ca="1" si="16"/>
        <v>0</v>
      </c>
      <c r="BK43" s="67">
        <f t="shared" ca="1" si="16"/>
        <v>0</v>
      </c>
      <c r="BL43" s="67">
        <f t="shared" ca="1" si="16"/>
        <v>0</v>
      </c>
      <c r="BM43" s="67">
        <f t="shared" ca="1" si="16"/>
        <v>0</v>
      </c>
      <c r="BN43" s="67">
        <f t="shared" ca="1" si="16"/>
        <v>0</v>
      </c>
      <c r="BO43" s="67">
        <f t="shared" ca="1" si="16"/>
        <v>0</v>
      </c>
      <c r="BP43" s="67">
        <f t="shared" ca="1" si="16"/>
        <v>0</v>
      </c>
      <c r="BQ43" s="67">
        <f t="shared" ca="1" si="20"/>
        <v>0</v>
      </c>
      <c r="BR43" s="67">
        <f t="shared" ca="1" si="20"/>
        <v>0</v>
      </c>
      <c r="BS43" s="67">
        <f t="shared" ca="1" si="20"/>
        <v>0</v>
      </c>
      <c r="BT43" s="67">
        <f t="shared" ca="1" si="20"/>
        <v>0</v>
      </c>
    </row>
    <row r="44" spans="1:72" x14ac:dyDescent="0.25">
      <c r="A44" s="320">
        <f t="shared" ca="1" si="6"/>
        <v>44206</v>
      </c>
      <c r="B44" s="87">
        <f t="shared" ca="1" si="9"/>
        <v>44200</v>
      </c>
      <c r="C44" s="67">
        <v>39</v>
      </c>
      <c r="D44" s="67">
        <f t="shared" ca="1" si="10"/>
        <v>2021</v>
      </c>
      <c r="E44" s="67" t="str">
        <f t="shared" ca="1" si="0"/>
        <v>Jan</v>
      </c>
      <c r="F44" s="67">
        <f t="shared" ca="1" si="7"/>
        <v>1</v>
      </c>
      <c r="G44" s="67" t="str">
        <f>ROW(A39)&amp;". "&amp;'Critical resources'!B50</f>
        <v xml:space="preserve">39. </v>
      </c>
      <c r="H44" s="67">
        <f ca="1">IFERROR(VLOOKUP('Critical resources'!D50,$B$6:$C$57,2,0),0)</f>
        <v>0</v>
      </c>
      <c r="I44" s="67">
        <f ca="1">IFERROR(VLOOKUP('Critical resources'!E50,$A$6:$C$57,3,0),0)</f>
        <v>0</v>
      </c>
      <c r="J44" s="67">
        <f ca="1">IFERROR(VLOOKUP('Critical resources'!G50,$B$6:$C$57,2,0),0)</f>
        <v>0</v>
      </c>
      <c r="K44" s="67">
        <f ca="1">IFERROR(VLOOKUP('Critical resources'!H50,$B$6:$C$57,2,0),0)</f>
        <v>0</v>
      </c>
      <c r="L44" s="67">
        <f ca="1">IFERROR(VLOOKUP('Critical resources'!J50,$B$6:$C$57,2,0),0)</f>
        <v>0</v>
      </c>
      <c r="M44" s="67">
        <f ca="1">IFERROR(VLOOKUP('Critical resources'!K50,$A$6:$C$57,3,0),0)</f>
        <v>0</v>
      </c>
      <c r="N44" s="67">
        <f ca="1">IFERROR(VLOOKUP('Critical resources'!M50,$B$6:$C$57,2,0),0)</f>
        <v>0</v>
      </c>
      <c r="O44" s="67">
        <f ca="1">IFERROR(VLOOKUP('Critical resources'!N50,$A$6:$C$57,3,0),0)</f>
        <v>0</v>
      </c>
      <c r="P44" s="67">
        <f ca="1">IFERROR(VLOOKUP('Critical resources'!P50,$B$6:$C$57,2,0),0)</f>
        <v>0</v>
      </c>
      <c r="Q44" s="67">
        <f ca="1">IFERROR(VLOOKUP('Critical resources'!Q50,$A$6:$C$57,3,0),0)</f>
        <v>0</v>
      </c>
      <c r="T44" s="67" t="str">
        <f t="shared" si="17"/>
        <v xml:space="preserve">39. </v>
      </c>
      <c r="U44" s="67">
        <f t="shared" ca="1" si="19"/>
        <v>0</v>
      </c>
      <c r="V44" s="67">
        <f t="shared" ca="1" si="19"/>
        <v>0</v>
      </c>
      <c r="W44" s="67">
        <f t="shared" ca="1" si="19"/>
        <v>0</v>
      </c>
      <c r="X44" s="67">
        <f t="shared" ca="1" si="19"/>
        <v>0</v>
      </c>
      <c r="Y44" s="67">
        <f t="shared" ca="1" si="19"/>
        <v>0</v>
      </c>
      <c r="Z44" s="67">
        <f t="shared" ca="1" si="19"/>
        <v>0</v>
      </c>
      <c r="AA44" s="67">
        <f t="shared" ca="1" si="19"/>
        <v>0</v>
      </c>
      <c r="AB44" s="67">
        <f t="shared" ca="1" si="19"/>
        <v>0</v>
      </c>
      <c r="AC44" s="67">
        <f t="shared" ca="1" si="19"/>
        <v>0</v>
      </c>
      <c r="AD44" s="67">
        <f t="shared" ca="1" si="19"/>
        <v>0</v>
      </c>
      <c r="AE44" s="67">
        <f t="shared" ca="1" si="19"/>
        <v>0</v>
      </c>
      <c r="AF44" s="67">
        <f t="shared" ca="1" si="19"/>
        <v>0</v>
      </c>
      <c r="AG44" s="67">
        <f t="shared" ca="1" si="19"/>
        <v>0</v>
      </c>
      <c r="AH44" s="67">
        <f t="shared" ca="1" si="19"/>
        <v>0</v>
      </c>
      <c r="AI44" s="67">
        <f t="shared" ca="1" si="19"/>
        <v>0</v>
      </c>
      <c r="AJ44" s="67">
        <f t="shared" ca="1" si="18"/>
        <v>0</v>
      </c>
      <c r="AK44" s="67">
        <f t="shared" ca="1" si="15"/>
        <v>0</v>
      </c>
      <c r="AL44" s="67">
        <f t="shared" ca="1" si="15"/>
        <v>0</v>
      </c>
      <c r="AM44" s="67">
        <f t="shared" ca="1" si="15"/>
        <v>0</v>
      </c>
      <c r="AN44" s="67">
        <f t="shared" ca="1" si="15"/>
        <v>0</v>
      </c>
      <c r="AO44" s="67">
        <f t="shared" ca="1" si="15"/>
        <v>0</v>
      </c>
      <c r="AP44" s="67">
        <f t="shared" ca="1" si="15"/>
        <v>0</v>
      </c>
      <c r="AQ44" s="67">
        <f t="shared" ca="1" si="15"/>
        <v>0</v>
      </c>
      <c r="AR44" s="67">
        <f t="shared" ca="1" si="15"/>
        <v>0</v>
      </c>
      <c r="AS44" s="67">
        <f t="shared" ca="1" si="15"/>
        <v>0</v>
      </c>
      <c r="AT44" s="67">
        <f t="shared" ca="1" si="15"/>
        <v>0</v>
      </c>
      <c r="AU44" s="67">
        <f t="shared" ca="1" si="15"/>
        <v>0</v>
      </c>
      <c r="AV44" s="67">
        <f t="shared" ca="1" si="15"/>
        <v>0</v>
      </c>
      <c r="AW44" s="67">
        <f t="shared" ca="1" si="15"/>
        <v>0</v>
      </c>
      <c r="AX44" s="67">
        <f t="shared" ca="1" si="15"/>
        <v>0</v>
      </c>
      <c r="AY44" s="67">
        <f t="shared" ca="1" si="15"/>
        <v>0</v>
      </c>
      <c r="AZ44" s="67">
        <f t="shared" ca="1" si="15"/>
        <v>0</v>
      </c>
      <c r="BA44" s="67">
        <f t="shared" ca="1" si="16"/>
        <v>0</v>
      </c>
      <c r="BB44" s="67">
        <f t="shared" ca="1" si="16"/>
        <v>0</v>
      </c>
      <c r="BC44" s="67">
        <f t="shared" ca="1" si="16"/>
        <v>0</v>
      </c>
      <c r="BD44" s="67">
        <f t="shared" ca="1" si="16"/>
        <v>0</v>
      </c>
      <c r="BE44" s="67">
        <f t="shared" ca="1" si="16"/>
        <v>0</v>
      </c>
      <c r="BF44" s="67">
        <f t="shared" ca="1" si="16"/>
        <v>0</v>
      </c>
      <c r="BG44" s="67">
        <f t="shared" ca="1" si="16"/>
        <v>0</v>
      </c>
      <c r="BH44" s="67">
        <f t="shared" ca="1" si="16"/>
        <v>0</v>
      </c>
      <c r="BI44" s="67">
        <f t="shared" ca="1" si="16"/>
        <v>0</v>
      </c>
      <c r="BJ44" s="67">
        <f t="shared" ca="1" si="16"/>
        <v>0</v>
      </c>
      <c r="BK44" s="67">
        <f t="shared" ca="1" si="16"/>
        <v>0</v>
      </c>
      <c r="BL44" s="67">
        <f t="shared" ca="1" si="16"/>
        <v>0</v>
      </c>
      <c r="BM44" s="67">
        <f t="shared" ca="1" si="16"/>
        <v>0</v>
      </c>
      <c r="BN44" s="67">
        <f t="shared" ca="1" si="16"/>
        <v>0</v>
      </c>
      <c r="BO44" s="67">
        <f t="shared" ca="1" si="16"/>
        <v>0</v>
      </c>
      <c r="BP44" s="67">
        <f t="shared" ca="1" si="16"/>
        <v>0</v>
      </c>
      <c r="BQ44" s="67">
        <f t="shared" ca="1" si="20"/>
        <v>0</v>
      </c>
      <c r="BR44" s="67">
        <f t="shared" ca="1" si="20"/>
        <v>0</v>
      </c>
      <c r="BS44" s="67">
        <f t="shared" ca="1" si="20"/>
        <v>0</v>
      </c>
      <c r="BT44" s="67">
        <f t="shared" ca="1" si="20"/>
        <v>0</v>
      </c>
    </row>
    <row r="45" spans="1:72" x14ac:dyDescent="0.25">
      <c r="A45" s="320">
        <f t="shared" ca="1" si="6"/>
        <v>44213</v>
      </c>
      <c r="B45" s="87">
        <f t="shared" ca="1" si="9"/>
        <v>44207</v>
      </c>
      <c r="C45" s="67">
        <v>40</v>
      </c>
      <c r="D45" s="67" t="str">
        <f t="shared" ca="1" si="10"/>
        <v/>
      </c>
      <c r="E45" s="67" t="str">
        <f t="shared" ca="1" si="0"/>
        <v xml:space="preserve"> </v>
      </c>
      <c r="F45" s="67">
        <f t="shared" ca="1" si="7"/>
        <v>2</v>
      </c>
      <c r="G45" s="67" t="str">
        <f>ROW(A40)&amp;". "&amp;'Critical resources'!B51</f>
        <v xml:space="preserve">40. </v>
      </c>
      <c r="H45" s="67">
        <f ca="1">IFERROR(VLOOKUP('Critical resources'!D51,$B$6:$C$57,2,0),0)</f>
        <v>0</v>
      </c>
      <c r="I45" s="67">
        <f ca="1">IFERROR(VLOOKUP('Critical resources'!E51,$A$6:$C$57,3,0),0)</f>
        <v>0</v>
      </c>
      <c r="J45" s="67">
        <f ca="1">IFERROR(VLOOKUP('Critical resources'!G51,$B$6:$C$57,2,0),0)</f>
        <v>0</v>
      </c>
      <c r="K45" s="67">
        <f ca="1">IFERROR(VLOOKUP('Critical resources'!H51,$B$6:$C$57,2,0),0)</f>
        <v>0</v>
      </c>
      <c r="L45" s="67">
        <f ca="1">IFERROR(VLOOKUP('Critical resources'!J51,$B$6:$C$57,2,0),0)</f>
        <v>0</v>
      </c>
      <c r="M45" s="67">
        <f ca="1">IFERROR(VLOOKUP('Critical resources'!K51,$A$6:$C$57,3,0),0)</f>
        <v>0</v>
      </c>
      <c r="N45" s="67">
        <f ca="1">IFERROR(VLOOKUP('Critical resources'!M51,$B$6:$C$57,2,0),0)</f>
        <v>0</v>
      </c>
      <c r="O45" s="67">
        <f ca="1">IFERROR(VLOOKUP('Critical resources'!N51,$A$6:$C$57,3,0),0)</f>
        <v>0</v>
      </c>
      <c r="P45" s="67">
        <f ca="1">IFERROR(VLOOKUP('Critical resources'!P51,$B$6:$C$57,2,0),0)</f>
        <v>0</v>
      </c>
      <c r="Q45" s="67">
        <f ca="1">IFERROR(VLOOKUP('Critical resources'!Q51,$A$6:$C$57,3,0),0)</f>
        <v>0</v>
      </c>
      <c r="T45" s="67" t="str">
        <f t="shared" si="17"/>
        <v xml:space="preserve">40. </v>
      </c>
      <c r="U45" s="67">
        <f t="shared" ca="1" si="19"/>
        <v>0</v>
      </c>
      <c r="V45" s="67">
        <f t="shared" ca="1" si="19"/>
        <v>0</v>
      </c>
      <c r="W45" s="67">
        <f t="shared" ca="1" si="19"/>
        <v>0</v>
      </c>
      <c r="X45" s="67">
        <f t="shared" ca="1" si="19"/>
        <v>0</v>
      </c>
      <c r="Y45" s="67">
        <f t="shared" ca="1" si="19"/>
        <v>0</v>
      </c>
      <c r="Z45" s="67">
        <f t="shared" ca="1" si="19"/>
        <v>0</v>
      </c>
      <c r="AA45" s="67">
        <f t="shared" ca="1" si="19"/>
        <v>0</v>
      </c>
      <c r="AB45" s="67">
        <f t="shared" ca="1" si="19"/>
        <v>0</v>
      </c>
      <c r="AC45" s="67">
        <f t="shared" ca="1" si="19"/>
        <v>0</v>
      </c>
      <c r="AD45" s="67">
        <f t="shared" ca="1" si="19"/>
        <v>0</v>
      </c>
      <c r="AE45" s="67">
        <f t="shared" ca="1" si="19"/>
        <v>0</v>
      </c>
      <c r="AF45" s="67">
        <f t="shared" ca="1" si="19"/>
        <v>0</v>
      </c>
      <c r="AG45" s="67">
        <f t="shared" ca="1" si="19"/>
        <v>0</v>
      </c>
      <c r="AH45" s="67">
        <f t="shared" ca="1" si="19"/>
        <v>0</v>
      </c>
      <c r="AI45" s="67">
        <f t="shared" ca="1" si="19"/>
        <v>0</v>
      </c>
      <c r="AJ45" s="67">
        <f t="shared" ca="1" si="18"/>
        <v>0</v>
      </c>
      <c r="AK45" s="67">
        <f t="shared" ca="1" si="15"/>
        <v>0</v>
      </c>
      <c r="AL45" s="67">
        <f t="shared" ca="1" si="15"/>
        <v>0</v>
      </c>
      <c r="AM45" s="67">
        <f t="shared" ca="1" si="15"/>
        <v>0</v>
      </c>
      <c r="AN45" s="67">
        <f t="shared" ca="1" si="15"/>
        <v>0</v>
      </c>
      <c r="AO45" s="67">
        <f t="shared" ca="1" si="15"/>
        <v>0</v>
      </c>
      <c r="AP45" s="67">
        <f t="shared" ca="1" si="15"/>
        <v>0</v>
      </c>
      <c r="AQ45" s="67">
        <f t="shared" ca="1" si="15"/>
        <v>0</v>
      </c>
      <c r="AR45" s="67">
        <f t="shared" ca="1" si="15"/>
        <v>0</v>
      </c>
      <c r="AS45" s="67">
        <f t="shared" ca="1" si="15"/>
        <v>0</v>
      </c>
      <c r="AT45" s="67">
        <f t="shared" ca="1" si="15"/>
        <v>0</v>
      </c>
      <c r="AU45" s="67">
        <f t="shared" ca="1" si="15"/>
        <v>0</v>
      </c>
      <c r="AV45" s="67">
        <f t="shared" ca="1" si="15"/>
        <v>0</v>
      </c>
      <c r="AW45" s="67">
        <f t="shared" ca="1" si="15"/>
        <v>0</v>
      </c>
      <c r="AX45" s="67">
        <f t="shared" ca="1" si="15"/>
        <v>0</v>
      </c>
      <c r="AY45" s="67">
        <f t="shared" ca="1" si="15"/>
        <v>0</v>
      </c>
      <c r="AZ45" s="67">
        <f t="shared" ca="1" si="15"/>
        <v>0</v>
      </c>
      <c r="BA45" s="67">
        <f t="shared" ca="1" si="16"/>
        <v>0</v>
      </c>
      <c r="BB45" s="67">
        <f t="shared" ca="1" si="16"/>
        <v>0</v>
      </c>
      <c r="BC45" s="67">
        <f t="shared" ca="1" si="16"/>
        <v>0</v>
      </c>
      <c r="BD45" s="67">
        <f t="shared" ca="1" si="16"/>
        <v>0</v>
      </c>
      <c r="BE45" s="67">
        <f t="shared" ca="1" si="16"/>
        <v>0</v>
      </c>
      <c r="BF45" s="67">
        <f t="shared" ca="1" si="16"/>
        <v>0</v>
      </c>
      <c r="BG45" s="67">
        <f t="shared" ca="1" si="16"/>
        <v>0</v>
      </c>
      <c r="BH45" s="67">
        <f t="shared" ca="1" si="16"/>
        <v>0</v>
      </c>
      <c r="BI45" s="67">
        <f t="shared" ca="1" si="16"/>
        <v>0</v>
      </c>
      <c r="BJ45" s="67">
        <f t="shared" ca="1" si="16"/>
        <v>0</v>
      </c>
      <c r="BK45" s="67">
        <f t="shared" ca="1" si="16"/>
        <v>0</v>
      </c>
      <c r="BL45" s="67">
        <f t="shared" ca="1" si="16"/>
        <v>0</v>
      </c>
      <c r="BM45" s="67">
        <f t="shared" ca="1" si="16"/>
        <v>0</v>
      </c>
      <c r="BN45" s="67">
        <f t="shared" ca="1" si="16"/>
        <v>0</v>
      </c>
      <c r="BO45" s="67">
        <f t="shared" ca="1" si="16"/>
        <v>0</v>
      </c>
      <c r="BP45" s="67">
        <f t="shared" ca="1" si="16"/>
        <v>0</v>
      </c>
      <c r="BQ45" s="67">
        <f t="shared" ca="1" si="20"/>
        <v>0</v>
      </c>
      <c r="BR45" s="67">
        <f t="shared" ca="1" si="20"/>
        <v>0</v>
      </c>
      <c r="BS45" s="67">
        <f t="shared" ca="1" si="20"/>
        <v>0</v>
      </c>
      <c r="BT45" s="67">
        <f t="shared" ca="1" si="20"/>
        <v>0</v>
      </c>
    </row>
    <row r="46" spans="1:72" x14ac:dyDescent="0.25">
      <c r="A46" s="320">
        <f t="shared" ca="1" si="6"/>
        <v>44220</v>
      </c>
      <c r="B46" s="87">
        <f t="shared" ca="1" si="9"/>
        <v>44214</v>
      </c>
      <c r="C46" s="67">
        <v>41</v>
      </c>
      <c r="D46" s="67" t="str">
        <f t="shared" ca="1" si="10"/>
        <v/>
      </c>
      <c r="E46" s="67" t="str">
        <f t="shared" ca="1" si="0"/>
        <v xml:space="preserve"> </v>
      </c>
      <c r="F46" s="67">
        <f t="shared" ca="1" si="7"/>
        <v>3</v>
      </c>
      <c r="G46" s="67" t="str">
        <f>ROW(A41)&amp;". "&amp;'Critical resources'!B52</f>
        <v xml:space="preserve">41. </v>
      </c>
      <c r="H46" s="67">
        <f ca="1">IFERROR(VLOOKUP('Critical resources'!D52,$B$6:$C$57,2,0),0)</f>
        <v>0</v>
      </c>
      <c r="I46" s="67">
        <f ca="1">IFERROR(VLOOKUP('Critical resources'!E52,$A$6:$C$57,3,0),0)</f>
        <v>0</v>
      </c>
      <c r="J46" s="67">
        <f ca="1">IFERROR(VLOOKUP('Critical resources'!G52,$B$6:$C$57,2,0),0)</f>
        <v>0</v>
      </c>
      <c r="K46" s="67">
        <f ca="1">IFERROR(VLOOKUP('Critical resources'!H52,$B$6:$C$57,2,0),0)</f>
        <v>0</v>
      </c>
      <c r="L46" s="67">
        <f ca="1">IFERROR(VLOOKUP('Critical resources'!J52,$B$6:$C$57,2,0),0)</f>
        <v>0</v>
      </c>
      <c r="M46" s="67">
        <f ca="1">IFERROR(VLOOKUP('Critical resources'!K52,$A$6:$C$57,3,0),0)</f>
        <v>0</v>
      </c>
      <c r="N46" s="67">
        <f ca="1">IFERROR(VLOOKUP('Critical resources'!M52,$B$6:$C$57,2,0),0)</f>
        <v>0</v>
      </c>
      <c r="O46" s="67">
        <f ca="1">IFERROR(VLOOKUP('Critical resources'!N52,$A$6:$C$57,3,0),0)</f>
        <v>0</v>
      </c>
      <c r="P46" s="67">
        <f ca="1">IFERROR(VLOOKUP('Critical resources'!P52,$B$6:$C$57,2,0),0)</f>
        <v>0</v>
      </c>
      <c r="Q46" s="67">
        <f ca="1">IFERROR(VLOOKUP('Critical resources'!Q52,$A$6:$C$57,3,0),0)</f>
        <v>0</v>
      </c>
      <c r="T46" s="67" t="str">
        <f t="shared" si="17"/>
        <v xml:space="preserve">41. </v>
      </c>
      <c r="U46" s="67">
        <f t="shared" ca="1" si="19"/>
        <v>0</v>
      </c>
      <c r="V46" s="67">
        <f t="shared" ca="1" si="19"/>
        <v>0</v>
      </c>
      <c r="W46" s="67">
        <f t="shared" ca="1" si="19"/>
        <v>0</v>
      </c>
      <c r="X46" s="67">
        <f t="shared" ca="1" si="19"/>
        <v>0</v>
      </c>
      <c r="Y46" s="67">
        <f t="shared" ca="1" si="19"/>
        <v>0</v>
      </c>
      <c r="Z46" s="67">
        <f t="shared" ca="1" si="19"/>
        <v>0</v>
      </c>
      <c r="AA46" s="67">
        <f t="shared" ca="1" si="19"/>
        <v>0</v>
      </c>
      <c r="AB46" s="67">
        <f t="shared" ca="1" si="19"/>
        <v>0</v>
      </c>
      <c r="AC46" s="67">
        <f t="shared" ca="1" si="19"/>
        <v>0</v>
      </c>
      <c r="AD46" s="67">
        <f t="shared" ca="1" si="19"/>
        <v>0</v>
      </c>
      <c r="AE46" s="67">
        <f t="shared" ca="1" si="19"/>
        <v>0</v>
      </c>
      <c r="AF46" s="67">
        <f t="shared" ca="1" si="19"/>
        <v>0</v>
      </c>
      <c r="AG46" s="67">
        <f t="shared" ca="1" si="19"/>
        <v>0</v>
      </c>
      <c r="AH46" s="67">
        <f t="shared" ca="1" si="19"/>
        <v>0</v>
      </c>
      <c r="AI46" s="67">
        <f t="shared" ca="1" si="19"/>
        <v>0</v>
      </c>
      <c r="AJ46" s="67">
        <f t="shared" ca="1" si="18"/>
        <v>0</v>
      </c>
      <c r="AK46" s="67">
        <f t="shared" ca="1" si="15"/>
        <v>0</v>
      </c>
      <c r="AL46" s="67">
        <f t="shared" ca="1" si="15"/>
        <v>0</v>
      </c>
      <c r="AM46" s="67">
        <f t="shared" ca="1" si="15"/>
        <v>0</v>
      </c>
      <c r="AN46" s="67">
        <f t="shared" ca="1" si="15"/>
        <v>0</v>
      </c>
      <c r="AO46" s="67">
        <f t="shared" ca="1" si="15"/>
        <v>0</v>
      </c>
      <c r="AP46" s="67">
        <f t="shared" ca="1" si="15"/>
        <v>0</v>
      </c>
      <c r="AQ46" s="67">
        <f t="shared" ca="1" si="15"/>
        <v>0</v>
      </c>
      <c r="AR46" s="67">
        <f t="shared" ca="1" si="15"/>
        <v>0</v>
      </c>
      <c r="AS46" s="67">
        <f t="shared" ca="1" si="15"/>
        <v>0</v>
      </c>
      <c r="AT46" s="67">
        <f t="shared" ca="1" si="15"/>
        <v>0</v>
      </c>
      <c r="AU46" s="67">
        <f t="shared" ca="1" si="15"/>
        <v>0</v>
      </c>
      <c r="AV46" s="67">
        <f t="shared" ca="1" si="15"/>
        <v>0</v>
      </c>
      <c r="AW46" s="67">
        <f t="shared" ca="1" si="15"/>
        <v>0</v>
      </c>
      <c r="AX46" s="67">
        <f t="shared" ca="1" si="15"/>
        <v>0</v>
      </c>
      <c r="AY46" s="67">
        <f t="shared" ca="1" si="15"/>
        <v>0</v>
      </c>
      <c r="AZ46" s="67">
        <f t="shared" ca="1" si="15"/>
        <v>0</v>
      </c>
      <c r="BA46" s="67">
        <f t="shared" ca="1" si="16"/>
        <v>0</v>
      </c>
      <c r="BB46" s="67">
        <f t="shared" ca="1" si="16"/>
        <v>0</v>
      </c>
      <c r="BC46" s="67">
        <f t="shared" ca="1" si="16"/>
        <v>0</v>
      </c>
      <c r="BD46" s="67">
        <f t="shared" ca="1" si="16"/>
        <v>0</v>
      </c>
      <c r="BE46" s="67">
        <f t="shared" ca="1" si="16"/>
        <v>0</v>
      </c>
      <c r="BF46" s="67">
        <f t="shared" ca="1" si="16"/>
        <v>0</v>
      </c>
      <c r="BG46" s="67">
        <f t="shared" ca="1" si="16"/>
        <v>0</v>
      </c>
      <c r="BH46" s="67">
        <f t="shared" ca="1" si="16"/>
        <v>0</v>
      </c>
      <c r="BI46" s="67">
        <f t="shared" ca="1" si="16"/>
        <v>0</v>
      </c>
      <c r="BJ46" s="67">
        <f t="shared" ca="1" si="16"/>
        <v>0</v>
      </c>
      <c r="BK46" s="67">
        <f t="shared" ca="1" si="16"/>
        <v>0</v>
      </c>
      <c r="BL46" s="67">
        <f t="shared" ca="1" si="16"/>
        <v>0</v>
      </c>
      <c r="BM46" s="67">
        <f t="shared" ca="1" si="16"/>
        <v>0</v>
      </c>
      <c r="BN46" s="67">
        <f t="shared" ca="1" si="16"/>
        <v>0</v>
      </c>
      <c r="BO46" s="67">
        <f t="shared" ca="1" si="16"/>
        <v>0</v>
      </c>
      <c r="BP46" s="67">
        <f t="shared" ca="1" si="16"/>
        <v>0</v>
      </c>
      <c r="BQ46" s="67">
        <f t="shared" ca="1" si="20"/>
        <v>0</v>
      </c>
      <c r="BR46" s="67">
        <f t="shared" ca="1" si="20"/>
        <v>0</v>
      </c>
      <c r="BS46" s="67">
        <f t="shared" ca="1" si="20"/>
        <v>0</v>
      </c>
      <c r="BT46" s="67">
        <f t="shared" ca="1" si="20"/>
        <v>0</v>
      </c>
    </row>
    <row r="47" spans="1:72" x14ac:dyDescent="0.25">
      <c r="A47" s="320">
        <f t="shared" ca="1" si="6"/>
        <v>44227</v>
      </c>
      <c r="B47" s="87">
        <f t="shared" ca="1" si="9"/>
        <v>44221</v>
      </c>
      <c r="C47" s="67">
        <v>42</v>
      </c>
      <c r="D47" s="67" t="str">
        <f t="shared" ca="1" si="10"/>
        <v/>
      </c>
      <c r="E47" s="67" t="str">
        <f t="shared" ca="1" si="0"/>
        <v xml:space="preserve"> </v>
      </c>
      <c r="F47" s="67">
        <f t="shared" ca="1" si="7"/>
        <v>4</v>
      </c>
      <c r="G47" s="67" t="str">
        <f>ROW(A42)&amp;". "&amp;'Critical resources'!B53</f>
        <v xml:space="preserve">42. </v>
      </c>
      <c r="H47" s="67">
        <f ca="1">IFERROR(VLOOKUP('Critical resources'!D53,$B$6:$C$57,2,0),0)</f>
        <v>0</v>
      </c>
      <c r="I47" s="67">
        <f ca="1">IFERROR(VLOOKUP('Critical resources'!E53,$A$6:$C$57,3,0),0)</f>
        <v>0</v>
      </c>
      <c r="J47" s="67">
        <f ca="1">IFERROR(VLOOKUP('Critical resources'!G53,$B$6:$C$57,2,0),0)</f>
        <v>0</v>
      </c>
      <c r="K47" s="67">
        <f ca="1">IFERROR(VLOOKUP('Critical resources'!H53,$B$6:$C$57,2,0),0)</f>
        <v>0</v>
      </c>
      <c r="L47" s="67">
        <f ca="1">IFERROR(VLOOKUP('Critical resources'!J53,$B$6:$C$57,2,0),0)</f>
        <v>0</v>
      </c>
      <c r="M47" s="67">
        <f ca="1">IFERROR(VLOOKUP('Critical resources'!K53,$A$6:$C$57,3,0),0)</f>
        <v>0</v>
      </c>
      <c r="N47" s="67">
        <f ca="1">IFERROR(VLOOKUP('Critical resources'!M53,$B$6:$C$57,2,0),0)</f>
        <v>0</v>
      </c>
      <c r="O47" s="67">
        <f ca="1">IFERROR(VLOOKUP('Critical resources'!N53,$A$6:$C$57,3,0),0)</f>
        <v>0</v>
      </c>
      <c r="P47" s="67">
        <f ca="1">IFERROR(VLOOKUP('Critical resources'!P53,$B$6:$C$57,2,0),0)</f>
        <v>0</v>
      </c>
      <c r="Q47" s="67">
        <f ca="1">IFERROR(VLOOKUP('Critical resources'!Q53,$A$6:$C$57,3,0),0)</f>
        <v>0</v>
      </c>
      <c r="T47" s="67" t="str">
        <f t="shared" si="17"/>
        <v xml:space="preserve">42. </v>
      </c>
      <c r="U47" s="67">
        <f t="shared" ca="1" si="19"/>
        <v>0</v>
      </c>
      <c r="V47" s="67">
        <f t="shared" ca="1" si="19"/>
        <v>0</v>
      </c>
      <c r="W47" s="67">
        <f t="shared" ca="1" si="19"/>
        <v>0</v>
      </c>
      <c r="X47" s="67">
        <f t="shared" ca="1" si="19"/>
        <v>0</v>
      </c>
      <c r="Y47" s="67">
        <f t="shared" ca="1" si="19"/>
        <v>0</v>
      </c>
      <c r="Z47" s="67">
        <f t="shared" ca="1" si="19"/>
        <v>0</v>
      </c>
      <c r="AA47" s="67">
        <f t="shared" ca="1" si="19"/>
        <v>0</v>
      </c>
      <c r="AB47" s="67">
        <f t="shared" ca="1" si="19"/>
        <v>0</v>
      </c>
      <c r="AC47" s="67">
        <f t="shared" ca="1" si="19"/>
        <v>0</v>
      </c>
      <c r="AD47" s="67">
        <f t="shared" ca="1" si="19"/>
        <v>0</v>
      </c>
      <c r="AE47" s="67">
        <f t="shared" ca="1" si="19"/>
        <v>0</v>
      </c>
      <c r="AF47" s="67">
        <f t="shared" ca="1" si="19"/>
        <v>0</v>
      </c>
      <c r="AG47" s="67">
        <f t="shared" ca="1" si="19"/>
        <v>0</v>
      </c>
      <c r="AH47" s="67">
        <f t="shared" ca="1" si="19"/>
        <v>0</v>
      </c>
      <c r="AI47" s="67">
        <f t="shared" ca="1" si="19"/>
        <v>0</v>
      </c>
      <c r="AJ47" s="67">
        <f t="shared" ca="1" si="18"/>
        <v>0</v>
      </c>
      <c r="AK47" s="67">
        <f t="shared" ca="1" si="15"/>
        <v>0</v>
      </c>
      <c r="AL47" s="67">
        <f t="shared" ca="1" si="15"/>
        <v>0</v>
      </c>
      <c r="AM47" s="67">
        <f t="shared" ca="1" si="15"/>
        <v>0</v>
      </c>
      <c r="AN47" s="67">
        <f t="shared" ca="1" si="15"/>
        <v>0</v>
      </c>
      <c r="AO47" s="67">
        <f t="shared" ca="1" si="15"/>
        <v>0</v>
      </c>
      <c r="AP47" s="67">
        <f t="shared" ca="1" si="15"/>
        <v>0</v>
      </c>
      <c r="AQ47" s="67">
        <f t="shared" ca="1" si="15"/>
        <v>0</v>
      </c>
      <c r="AR47" s="67">
        <f t="shared" ca="1" si="15"/>
        <v>0</v>
      </c>
      <c r="AS47" s="67">
        <f t="shared" ca="1" si="15"/>
        <v>0</v>
      </c>
      <c r="AT47" s="67">
        <f t="shared" ca="1" si="15"/>
        <v>0</v>
      </c>
      <c r="AU47" s="67">
        <f t="shared" ca="1" si="15"/>
        <v>0</v>
      </c>
      <c r="AV47" s="67">
        <f t="shared" ca="1" si="15"/>
        <v>0</v>
      </c>
      <c r="AW47" s="67">
        <f t="shared" ca="1" si="15"/>
        <v>0</v>
      </c>
      <c r="AX47" s="67">
        <f t="shared" ca="1" si="15"/>
        <v>0</v>
      </c>
      <c r="AY47" s="67">
        <f t="shared" ca="1" si="15"/>
        <v>0</v>
      </c>
      <c r="AZ47" s="67">
        <f t="shared" ca="1" si="15"/>
        <v>0</v>
      </c>
      <c r="BA47" s="67">
        <f t="shared" ca="1" si="16"/>
        <v>0</v>
      </c>
      <c r="BB47" s="67">
        <f t="shared" ca="1" si="16"/>
        <v>0</v>
      </c>
      <c r="BC47" s="67">
        <f t="shared" ca="1" si="16"/>
        <v>0</v>
      </c>
      <c r="BD47" s="67">
        <f t="shared" ca="1" si="16"/>
        <v>0</v>
      </c>
      <c r="BE47" s="67">
        <f t="shared" ca="1" si="16"/>
        <v>0</v>
      </c>
      <c r="BF47" s="67">
        <f t="shared" ca="1" si="16"/>
        <v>0</v>
      </c>
      <c r="BG47" s="67">
        <f t="shared" ca="1" si="16"/>
        <v>0</v>
      </c>
      <c r="BH47" s="67">
        <f t="shared" ca="1" si="16"/>
        <v>0</v>
      </c>
      <c r="BI47" s="67">
        <f t="shared" ca="1" si="16"/>
        <v>0</v>
      </c>
      <c r="BJ47" s="67">
        <f t="shared" ca="1" si="16"/>
        <v>0</v>
      </c>
      <c r="BK47" s="67">
        <f t="shared" ca="1" si="16"/>
        <v>0</v>
      </c>
      <c r="BL47" s="67">
        <f t="shared" ca="1" si="16"/>
        <v>0</v>
      </c>
      <c r="BM47" s="67">
        <f t="shared" ca="1" si="16"/>
        <v>0</v>
      </c>
      <c r="BN47" s="67">
        <f t="shared" ca="1" si="16"/>
        <v>0</v>
      </c>
      <c r="BO47" s="67">
        <f t="shared" ca="1" si="16"/>
        <v>0</v>
      </c>
      <c r="BP47" s="67">
        <f t="shared" ca="1" si="16"/>
        <v>0</v>
      </c>
      <c r="BQ47" s="67">
        <f t="shared" ca="1" si="20"/>
        <v>0</v>
      </c>
      <c r="BR47" s="67">
        <f t="shared" ca="1" si="20"/>
        <v>0</v>
      </c>
      <c r="BS47" s="67">
        <f t="shared" ca="1" si="20"/>
        <v>0</v>
      </c>
      <c r="BT47" s="67">
        <f t="shared" ca="1" si="20"/>
        <v>0</v>
      </c>
    </row>
    <row r="48" spans="1:72" x14ac:dyDescent="0.25">
      <c r="A48" s="320">
        <f t="shared" ca="1" si="6"/>
        <v>44234</v>
      </c>
      <c r="B48" s="87">
        <f t="shared" ca="1" si="9"/>
        <v>44228</v>
      </c>
      <c r="C48" s="67">
        <v>43</v>
      </c>
      <c r="D48" s="67" t="str">
        <f t="shared" ca="1" si="10"/>
        <v/>
      </c>
      <c r="E48" s="67" t="str">
        <f t="shared" ca="1" si="0"/>
        <v>Feb</v>
      </c>
      <c r="F48" s="67">
        <f t="shared" ca="1" si="7"/>
        <v>5</v>
      </c>
      <c r="G48" s="67" t="str">
        <f>ROW(A43)&amp;". "&amp;'Critical resources'!B54</f>
        <v xml:space="preserve">43. </v>
      </c>
      <c r="H48" s="67">
        <f ca="1">IFERROR(VLOOKUP('Critical resources'!D54,$B$6:$C$57,2,0),0)</f>
        <v>0</v>
      </c>
      <c r="I48" s="67">
        <f ca="1">IFERROR(VLOOKUP('Critical resources'!E54,$A$6:$C$57,3,0),0)</f>
        <v>0</v>
      </c>
      <c r="J48" s="67">
        <f ca="1">IFERROR(VLOOKUP('Critical resources'!G54,$B$6:$C$57,2,0),0)</f>
        <v>0</v>
      </c>
      <c r="K48" s="67">
        <f ca="1">IFERROR(VLOOKUP('Critical resources'!H54,$B$6:$C$57,2,0),0)</f>
        <v>0</v>
      </c>
      <c r="L48" s="67">
        <f ca="1">IFERROR(VLOOKUP('Critical resources'!J54,$B$6:$C$57,2,0),0)</f>
        <v>0</v>
      </c>
      <c r="M48" s="67">
        <f ca="1">IFERROR(VLOOKUP('Critical resources'!K54,$A$6:$C$57,3,0),0)</f>
        <v>0</v>
      </c>
      <c r="N48" s="67">
        <f ca="1">IFERROR(VLOOKUP('Critical resources'!M54,$B$6:$C$57,2,0),0)</f>
        <v>0</v>
      </c>
      <c r="O48" s="67">
        <f ca="1">IFERROR(VLOOKUP('Critical resources'!N54,$A$6:$C$57,3,0),0)</f>
        <v>0</v>
      </c>
      <c r="P48" s="67">
        <f ca="1">IFERROR(VLOOKUP('Critical resources'!P54,$B$6:$C$57,2,0),0)</f>
        <v>0</v>
      </c>
      <c r="Q48" s="67">
        <f ca="1">IFERROR(VLOOKUP('Critical resources'!Q54,$A$6:$C$57,3,0),0)</f>
        <v>0</v>
      </c>
      <c r="T48" s="67" t="str">
        <f t="shared" si="17"/>
        <v xml:space="preserve">43. </v>
      </c>
      <c r="U48" s="67">
        <f t="shared" ca="1" si="19"/>
        <v>0</v>
      </c>
      <c r="V48" s="67">
        <f t="shared" ca="1" si="19"/>
        <v>0</v>
      </c>
      <c r="W48" s="67">
        <f t="shared" ca="1" si="19"/>
        <v>0</v>
      </c>
      <c r="X48" s="67">
        <f t="shared" ca="1" si="19"/>
        <v>0</v>
      </c>
      <c r="Y48" s="67">
        <f t="shared" ca="1" si="19"/>
        <v>0</v>
      </c>
      <c r="Z48" s="67">
        <f t="shared" ca="1" si="19"/>
        <v>0</v>
      </c>
      <c r="AA48" s="67">
        <f t="shared" ca="1" si="19"/>
        <v>0</v>
      </c>
      <c r="AB48" s="67">
        <f t="shared" ca="1" si="19"/>
        <v>0</v>
      </c>
      <c r="AC48" s="67">
        <f t="shared" ca="1" si="19"/>
        <v>0</v>
      </c>
      <c r="AD48" s="67">
        <f t="shared" ca="1" si="19"/>
        <v>0</v>
      </c>
      <c r="AE48" s="67">
        <f t="shared" ca="1" si="19"/>
        <v>0</v>
      </c>
      <c r="AF48" s="67">
        <f t="shared" ca="1" si="19"/>
        <v>0</v>
      </c>
      <c r="AG48" s="67">
        <f t="shared" ca="1" si="19"/>
        <v>0</v>
      </c>
      <c r="AH48" s="67">
        <f t="shared" ca="1" si="19"/>
        <v>0</v>
      </c>
      <c r="AI48" s="67">
        <f t="shared" ca="1" si="19"/>
        <v>0</v>
      </c>
      <c r="AJ48" s="67">
        <f t="shared" ca="1" si="18"/>
        <v>0</v>
      </c>
      <c r="AK48" s="67">
        <f t="shared" ca="1" si="15"/>
        <v>0</v>
      </c>
      <c r="AL48" s="67">
        <f t="shared" ca="1" si="15"/>
        <v>0</v>
      </c>
      <c r="AM48" s="67">
        <f t="shared" ca="1" si="15"/>
        <v>0</v>
      </c>
      <c r="AN48" s="67">
        <f t="shared" ca="1" si="15"/>
        <v>0</v>
      </c>
      <c r="AO48" s="67">
        <f t="shared" ca="1" si="15"/>
        <v>0</v>
      </c>
      <c r="AP48" s="67">
        <f t="shared" ca="1" si="15"/>
        <v>0</v>
      </c>
      <c r="AQ48" s="67">
        <f t="shared" ca="1" si="15"/>
        <v>0</v>
      </c>
      <c r="AR48" s="67">
        <f t="shared" ca="1" si="15"/>
        <v>0</v>
      </c>
      <c r="AS48" s="67">
        <f t="shared" ca="1" si="15"/>
        <v>0</v>
      </c>
      <c r="AT48" s="67">
        <f t="shared" ca="1" si="15"/>
        <v>0</v>
      </c>
      <c r="AU48" s="67">
        <f t="shared" ca="1" si="15"/>
        <v>0</v>
      </c>
      <c r="AV48" s="67">
        <f t="shared" ca="1" si="15"/>
        <v>0</v>
      </c>
      <c r="AW48" s="67">
        <f t="shared" ca="1" si="15"/>
        <v>0</v>
      </c>
      <c r="AX48" s="67">
        <f t="shared" ca="1" si="15"/>
        <v>0</v>
      </c>
      <c r="AY48" s="67">
        <f t="shared" ca="1" si="15"/>
        <v>0</v>
      </c>
      <c r="AZ48" s="67">
        <f t="shared" ca="1" si="15"/>
        <v>0</v>
      </c>
      <c r="BA48" s="67">
        <f t="shared" ca="1" si="16"/>
        <v>0</v>
      </c>
      <c r="BB48" s="67">
        <f t="shared" ca="1" si="16"/>
        <v>0</v>
      </c>
      <c r="BC48" s="67">
        <f t="shared" ca="1" si="16"/>
        <v>0</v>
      </c>
      <c r="BD48" s="67">
        <f t="shared" ca="1" si="16"/>
        <v>0</v>
      </c>
      <c r="BE48" s="67">
        <f t="shared" ca="1" si="16"/>
        <v>0</v>
      </c>
      <c r="BF48" s="67">
        <f t="shared" ca="1" si="16"/>
        <v>0</v>
      </c>
      <c r="BG48" s="67">
        <f t="shared" ca="1" si="16"/>
        <v>0</v>
      </c>
      <c r="BH48" s="67">
        <f t="shared" ca="1" si="16"/>
        <v>0</v>
      </c>
      <c r="BI48" s="67">
        <f t="shared" ca="1" si="16"/>
        <v>0</v>
      </c>
      <c r="BJ48" s="67">
        <f t="shared" ca="1" si="16"/>
        <v>0</v>
      </c>
      <c r="BK48" s="67">
        <f t="shared" ca="1" si="16"/>
        <v>0</v>
      </c>
      <c r="BL48" s="67">
        <f t="shared" ca="1" si="16"/>
        <v>0</v>
      </c>
      <c r="BM48" s="67">
        <f t="shared" ca="1" si="16"/>
        <v>0</v>
      </c>
      <c r="BN48" s="67">
        <f t="shared" ca="1" si="16"/>
        <v>0</v>
      </c>
      <c r="BO48" s="67">
        <f t="shared" ca="1" si="16"/>
        <v>0</v>
      </c>
      <c r="BP48" s="67">
        <f t="shared" ca="1" si="16"/>
        <v>0</v>
      </c>
      <c r="BQ48" s="67">
        <f t="shared" ca="1" si="20"/>
        <v>0</v>
      </c>
      <c r="BR48" s="67">
        <f t="shared" ca="1" si="20"/>
        <v>0</v>
      </c>
      <c r="BS48" s="67">
        <f t="shared" ca="1" si="20"/>
        <v>0</v>
      </c>
      <c r="BT48" s="67">
        <f t="shared" ca="1" si="20"/>
        <v>0</v>
      </c>
    </row>
    <row r="49" spans="1:72" x14ac:dyDescent="0.25">
      <c r="A49" s="320">
        <f t="shared" ca="1" si="6"/>
        <v>44241</v>
      </c>
      <c r="B49" s="87">
        <f t="shared" ca="1" si="9"/>
        <v>44235</v>
      </c>
      <c r="C49" s="67">
        <v>44</v>
      </c>
      <c r="D49" s="67" t="str">
        <f t="shared" ca="1" si="10"/>
        <v/>
      </c>
      <c r="E49" s="67" t="str">
        <f t="shared" ca="1" si="0"/>
        <v xml:space="preserve"> </v>
      </c>
      <c r="F49" s="67">
        <f t="shared" ca="1" si="7"/>
        <v>6</v>
      </c>
      <c r="G49" s="67" t="str">
        <f>ROW(A44)&amp;". "&amp;'Critical resources'!B55</f>
        <v xml:space="preserve">44. </v>
      </c>
      <c r="H49" s="67">
        <f ca="1">IFERROR(VLOOKUP('Critical resources'!D55,$B$6:$C$57,2,0),0)</f>
        <v>0</v>
      </c>
      <c r="I49" s="67">
        <f ca="1">IFERROR(VLOOKUP('Critical resources'!E55,$A$6:$C$57,3,0),0)</f>
        <v>0</v>
      </c>
      <c r="J49" s="67">
        <f ca="1">IFERROR(VLOOKUP('Critical resources'!G55,$B$6:$C$57,2,0),0)</f>
        <v>0</v>
      </c>
      <c r="K49" s="67">
        <f ca="1">IFERROR(VLOOKUP('Critical resources'!H55,$B$6:$C$57,2,0),0)</f>
        <v>0</v>
      </c>
      <c r="L49" s="67">
        <f ca="1">IFERROR(VLOOKUP('Critical resources'!J55,$B$6:$C$57,2,0),0)</f>
        <v>0</v>
      </c>
      <c r="M49" s="67">
        <f ca="1">IFERROR(VLOOKUP('Critical resources'!K55,$A$6:$C$57,3,0),0)</f>
        <v>0</v>
      </c>
      <c r="N49" s="67">
        <f ca="1">IFERROR(VLOOKUP('Critical resources'!M55,$B$6:$C$57,2,0),0)</f>
        <v>0</v>
      </c>
      <c r="O49" s="67">
        <f ca="1">IFERROR(VLOOKUP('Critical resources'!N55,$A$6:$C$57,3,0),0)</f>
        <v>0</v>
      </c>
      <c r="P49" s="67">
        <f ca="1">IFERROR(VLOOKUP('Critical resources'!P55,$B$6:$C$57,2,0),0)</f>
        <v>0</v>
      </c>
      <c r="Q49" s="67">
        <f ca="1">IFERROR(VLOOKUP('Critical resources'!Q55,$A$6:$C$57,3,0),0)</f>
        <v>0</v>
      </c>
      <c r="T49" s="67" t="str">
        <f t="shared" si="17"/>
        <v xml:space="preserve">44. </v>
      </c>
      <c r="U49" s="67">
        <f t="shared" ca="1" si="19"/>
        <v>0</v>
      </c>
      <c r="V49" s="67">
        <f t="shared" ca="1" si="19"/>
        <v>0</v>
      </c>
      <c r="W49" s="67">
        <f t="shared" ca="1" si="19"/>
        <v>0</v>
      </c>
      <c r="X49" s="67">
        <f t="shared" ca="1" si="19"/>
        <v>0</v>
      </c>
      <c r="Y49" s="67">
        <f t="shared" ca="1" si="19"/>
        <v>0</v>
      </c>
      <c r="Z49" s="67">
        <f t="shared" ca="1" si="19"/>
        <v>0</v>
      </c>
      <c r="AA49" s="67">
        <f t="shared" ca="1" si="19"/>
        <v>0</v>
      </c>
      <c r="AB49" s="67">
        <f t="shared" ca="1" si="19"/>
        <v>0</v>
      </c>
      <c r="AC49" s="67">
        <f t="shared" ca="1" si="19"/>
        <v>0</v>
      </c>
      <c r="AD49" s="67">
        <f t="shared" ca="1" si="19"/>
        <v>0</v>
      </c>
      <c r="AE49" s="67">
        <f t="shared" ca="1" si="19"/>
        <v>0</v>
      </c>
      <c r="AF49" s="67">
        <f t="shared" ca="1" si="19"/>
        <v>0</v>
      </c>
      <c r="AG49" s="67">
        <f t="shared" ca="1" si="19"/>
        <v>0</v>
      </c>
      <c r="AH49" s="67">
        <f t="shared" ca="1" si="19"/>
        <v>0</v>
      </c>
      <c r="AI49" s="67">
        <f t="shared" ca="1" si="19"/>
        <v>0</v>
      </c>
      <c r="AJ49" s="67">
        <f t="shared" ca="1" si="18"/>
        <v>0</v>
      </c>
      <c r="AK49" s="67">
        <f t="shared" ca="1" si="15"/>
        <v>0</v>
      </c>
      <c r="AL49" s="67">
        <f t="shared" ca="1" si="15"/>
        <v>0</v>
      </c>
      <c r="AM49" s="67">
        <f t="shared" ca="1" si="15"/>
        <v>0</v>
      </c>
      <c r="AN49" s="67">
        <f t="shared" ca="1" si="15"/>
        <v>0</v>
      </c>
      <c r="AO49" s="67">
        <f t="shared" ca="1" si="15"/>
        <v>0</v>
      </c>
      <c r="AP49" s="67">
        <f t="shared" ca="1" si="15"/>
        <v>0</v>
      </c>
      <c r="AQ49" s="67">
        <f t="shared" ca="1" si="15"/>
        <v>0</v>
      </c>
      <c r="AR49" s="67">
        <f t="shared" ca="1" si="15"/>
        <v>0</v>
      </c>
      <c r="AS49" s="67">
        <f t="shared" ca="1" si="15"/>
        <v>0</v>
      </c>
      <c r="AT49" s="67">
        <f t="shared" ca="1" si="15"/>
        <v>0</v>
      </c>
      <c r="AU49" s="67">
        <f t="shared" ca="1" si="15"/>
        <v>0</v>
      </c>
      <c r="AV49" s="67">
        <f t="shared" ca="1" si="15"/>
        <v>0</v>
      </c>
      <c r="AW49" s="67">
        <f t="shared" ca="1" si="15"/>
        <v>0</v>
      </c>
      <c r="AX49" s="67">
        <f t="shared" ca="1" si="15"/>
        <v>0</v>
      </c>
      <c r="AY49" s="67">
        <f t="shared" ca="1" si="15"/>
        <v>0</v>
      </c>
      <c r="AZ49" s="67">
        <f t="shared" ca="1" si="15"/>
        <v>0</v>
      </c>
      <c r="BA49" s="67">
        <f t="shared" ca="1" si="16"/>
        <v>0</v>
      </c>
      <c r="BB49" s="67">
        <f t="shared" ca="1" si="16"/>
        <v>0</v>
      </c>
      <c r="BC49" s="67">
        <f t="shared" ca="1" si="16"/>
        <v>0</v>
      </c>
      <c r="BD49" s="67">
        <f t="shared" ca="1" si="16"/>
        <v>0</v>
      </c>
      <c r="BE49" s="67">
        <f t="shared" ca="1" si="16"/>
        <v>0</v>
      </c>
      <c r="BF49" s="67">
        <f t="shared" ca="1" si="16"/>
        <v>0</v>
      </c>
      <c r="BG49" s="67">
        <f t="shared" ca="1" si="16"/>
        <v>0</v>
      </c>
      <c r="BH49" s="67">
        <f t="shared" ca="1" si="16"/>
        <v>0</v>
      </c>
      <c r="BI49" s="67">
        <f t="shared" ca="1" si="16"/>
        <v>0</v>
      </c>
      <c r="BJ49" s="67">
        <f t="shared" ca="1" si="16"/>
        <v>0</v>
      </c>
      <c r="BK49" s="67">
        <f t="shared" ca="1" si="16"/>
        <v>0</v>
      </c>
      <c r="BL49" s="67">
        <f t="shared" ca="1" si="16"/>
        <v>0</v>
      </c>
      <c r="BM49" s="67">
        <f t="shared" ca="1" si="16"/>
        <v>0</v>
      </c>
      <c r="BN49" s="67">
        <f t="shared" ca="1" si="16"/>
        <v>0</v>
      </c>
      <c r="BO49" s="67">
        <f t="shared" ca="1" si="16"/>
        <v>0</v>
      </c>
      <c r="BP49" s="67">
        <f t="shared" ca="1" si="16"/>
        <v>0</v>
      </c>
      <c r="BQ49" s="67">
        <f t="shared" ca="1" si="20"/>
        <v>0</v>
      </c>
      <c r="BR49" s="67">
        <f t="shared" ca="1" si="20"/>
        <v>0</v>
      </c>
      <c r="BS49" s="67">
        <f t="shared" ca="1" si="20"/>
        <v>0</v>
      </c>
      <c r="BT49" s="67">
        <f t="shared" ca="1" si="20"/>
        <v>0</v>
      </c>
    </row>
    <row r="50" spans="1:72" x14ac:dyDescent="0.25">
      <c r="A50" s="320">
        <f t="shared" ca="1" si="6"/>
        <v>44248</v>
      </c>
      <c r="B50" s="87">
        <f t="shared" ca="1" si="9"/>
        <v>44242</v>
      </c>
      <c r="C50" s="67">
        <v>45</v>
      </c>
      <c r="D50" s="67" t="str">
        <f t="shared" ca="1" si="10"/>
        <v/>
      </c>
      <c r="E50" s="67" t="str">
        <f t="shared" ca="1" si="0"/>
        <v xml:space="preserve"> </v>
      </c>
      <c r="F50" s="67">
        <f t="shared" ca="1" si="7"/>
        <v>7</v>
      </c>
      <c r="G50" s="67" t="str">
        <f>ROW(A45)&amp;". "&amp;'Critical resources'!B56</f>
        <v xml:space="preserve">45. </v>
      </c>
      <c r="H50" s="67">
        <f ca="1">IFERROR(VLOOKUP('Critical resources'!D56,$B$6:$C$57,2,0),0)</f>
        <v>0</v>
      </c>
      <c r="I50" s="67">
        <f ca="1">IFERROR(VLOOKUP('Critical resources'!E56,$A$6:$C$57,3,0),0)</f>
        <v>0</v>
      </c>
      <c r="J50" s="67">
        <f ca="1">IFERROR(VLOOKUP('Critical resources'!G56,$B$6:$C$57,2,0),0)</f>
        <v>0</v>
      </c>
      <c r="K50" s="67">
        <f ca="1">IFERROR(VLOOKUP('Critical resources'!H56,$B$6:$C$57,2,0),0)</f>
        <v>0</v>
      </c>
      <c r="L50" s="67">
        <f ca="1">IFERROR(VLOOKUP('Critical resources'!J56,$B$6:$C$57,2,0),0)</f>
        <v>0</v>
      </c>
      <c r="M50" s="67">
        <f ca="1">IFERROR(VLOOKUP('Critical resources'!K56,$A$6:$C$57,3,0),0)</f>
        <v>0</v>
      </c>
      <c r="N50" s="67">
        <f ca="1">IFERROR(VLOOKUP('Critical resources'!M56,$B$6:$C$57,2,0),0)</f>
        <v>0</v>
      </c>
      <c r="O50" s="67">
        <f ca="1">IFERROR(VLOOKUP('Critical resources'!N56,$A$6:$C$57,3,0),0)</f>
        <v>0</v>
      </c>
      <c r="P50" s="67">
        <f ca="1">IFERROR(VLOOKUP('Critical resources'!P56,$B$6:$C$57,2,0),0)</f>
        <v>0</v>
      </c>
      <c r="Q50" s="67">
        <f ca="1">IFERROR(VLOOKUP('Critical resources'!Q56,$A$6:$C$57,3,0),0)</f>
        <v>0</v>
      </c>
      <c r="T50" s="67" t="str">
        <f t="shared" si="17"/>
        <v xml:space="preserve">45. </v>
      </c>
      <c r="U50" s="67">
        <f t="shared" ca="1" si="19"/>
        <v>0</v>
      </c>
      <c r="V50" s="67">
        <f t="shared" ca="1" si="19"/>
        <v>0</v>
      </c>
      <c r="W50" s="67">
        <f t="shared" ca="1" si="19"/>
        <v>0</v>
      </c>
      <c r="X50" s="67">
        <f t="shared" ca="1" si="19"/>
        <v>0</v>
      </c>
      <c r="Y50" s="67">
        <f t="shared" ca="1" si="19"/>
        <v>0</v>
      </c>
      <c r="Z50" s="67">
        <f t="shared" ca="1" si="19"/>
        <v>0</v>
      </c>
      <c r="AA50" s="67">
        <f t="shared" ca="1" si="19"/>
        <v>0</v>
      </c>
      <c r="AB50" s="67">
        <f t="shared" ca="1" si="19"/>
        <v>0</v>
      </c>
      <c r="AC50" s="67">
        <f t="shared" ca="1" si="19"/>
        <v>0</v>
      </c>
      <c r="AD50" s="67">
        <f t="shared" ca="1" si="19"/>
        <v>0</v>
      </c>
      <c r="AE50" s="67">
        <f t="shared" ca="1" si="19"/>
        <v>0</v>
      </c>
      <c r="AF50" s="67">
        <f t="shared" ca="1" si="19"/>
        <v>0</v>
      </c>
      <c r="AG50" s="67">
        <f t="shared" ca="1" si="19"/>
        <v>0</v>
      </c>
      <c r="AH50" s="67">
        <f t="shared" ca="1" si="19"/>
        <v>0</v>
      </c>
      <c r="AI50" s="67">
        <f t="shared" ca="1" si="19"/>
        <v>0</v>
      </c>
      <c r="AJ50" s="67">
        <f t="shared" ca="1" si="18"/>
        <v>0</v>
      </c>
      <c r="AK50" s="67">
        <f t="shared" ca="1" si="15"/>
        <v>0</v>
      </c>
      <c r="AL50" s="67">
        <f t="shared" ca="1" si="15"/>
        <v>0</v>
      </c>
      <c r="AM50" s="67">
        <f t="shared" ca="1" si="15"/>
        <v>0</v>
      </c>
      <c r="AN50" s="67">
        <f t="shared" ca="1" si="15"/>
        <v>0</v>
      </c>
      <c r="AO50" s="67">
        <f t="shared" ca="1" si="15"/>
        <v>0</v>
      </c>
      <c r="AP50" s="67">
        <f t="shared" ca="1" si="15"/>
        <v>0</v>
      </c>
      <c r="AQ50" s="67">
        <f t="shared" ca="1" si="15"/>
        <v>0</v>
      </c>
      <c r="AR50" s="67">
        <f t="shared" ca="1" si="15"/>
        <v>0</v>
      </c>
      <c r="AS50" s="67">
        <f t="shared" ca="1" si="15"/>
        <v>0</v>
      </c>
      <c r="AT50" s="67">
        <f t="shared" ca="1" si="15"/>
        <v>0</v>
      </c>
      <c r="AU50" s="67">
        <f t="shared" ca="1" si="15"/>
        <v>0</v>
      </c>
      <c r="AV50" s="67">
        <f t="shared" ca="1" si="15"/>
        <v>0</v>
      </c>
      <c r="AW50" s="67">
        <f t="shared" ca="1" si="15"/>
        <v>0</v>
      </c>
      <c r="AX50" s="67">
        <f t="shared" ca="1" si="15"/>
        <v>0</v>
      </c>
      <c r="AY50" s="67">
        <f t="shared" ca="1" si="15"/>
        <v>0</v>
      </c>
      <c r="AZ50" s="67">
        <f t="shared" ca="1" si="15"/>
        <v>0</v>
      </c>
      <c r="BA50" s="67">
        <f t="shared" ca="1" si="16"/>
        <v>0</v>
      </c>
      <c r="BB50" s="67">
        <f t="shared" ca="1" si="16"/>
        <v>0</v>
      </c>
      <c r="BC50" s="67">
        <f t="shared" ca="1" si="16"/>
        <v>0</v>
      </c>
      <c r="BD50" s="67">
        <f t="shared" ca="1" si="16"/>
        <v>0</v>
      </c>
      <c r="BE50" s="67">
        <f t="shared" ca="1" si="16"/>
        <v>0</v>
      </c>
      <c r="BF50" s="67">
        <f t="shared" ca="1" si="16"/>
        <v>0</v>
      </c>
      <c r="BG50" s="67">
        <f t="shared" ca="1" si="16"/>
        <v>0</v>
      </c>
      <c r="BH50" s="67">
        <f t="shared" ca="1" si="16"/>
        <v>0</v>
      </c>
      <c r="BI50" s="67">
        <f t="shared" ca="1" si="16"/>
        <v>0</v>
      </c>
      <c r="BJ50" s="67">
        <f t="shared" ca="1" si="16"/>
        <v>0</v>
      </c>
      <c r="BK50" s="67">
        <f t="shared" ca="1" si="16"/>
        <v>0</v>
      </c>
      <c r="BL50" s="67">
        <f t="shared" ca="1" si="16"/>
        <v>0</v>
      </c>
      <c r="BM50" s="67">
        <f t="shared" ca="1" si="16"/>
        <v>0</v>
      </c>
      <c r="BN50" s="67">
        <f t="shared" ca="1" si="16"/>
        <v>0</v>
      </c>
      <c r="BO50" s="67">
        <f t="shared" ca="1" si="16"/>
        <v>0</v>
      </c>
      <c r="BP50" s="67">
        <f t="shared" ca="1" si="16"/>
        <v>0</v>
      </c>
      <c r="BQ50" s="67">
        <f t="shared" ca="1" si="20"/>
        <v>0</v>
      </c>
      <c r="BR50" s="67">
        <f t="shared" ca="1" si="20"/>
        <v>0</v>
      </c>
      <c r="BS50" s="67">
        <f t="shared" ca="1" si="20"/>
        <v>0</v>
      </c>
      <c r="BT50" s="67">
        <f t="shared" ca="1" si="20"/>
        <v>0</v>
      </c>
    </row>
    <row r="51" spans="1:72" x14ac:dyDescent="0.25">
      <c r="A51" s="320">
        <f t="shared" ca="1" si="6"/>
        <v>44255</v>
      </c>
      <c r="B51" s="87">
        <f t="shared" ca="1" si="9"/>
        <v>44249</v>
      </c>
      <c r="C51" s="67">
        <v>46</v>
      </c>
      <c r="D51" s="67" t="str">
        <f t="shared" ca="1" si="10"/>
        <v/>
      </c>
      <c r="E51" s="67" t="str">
        <f t="shared" ca="1" si="0"/>
        <v xml:space="preserve"> </v>
      </c>
      <c r="F51" s="67">
        <f t="shared" ca="1" si="7"/>
        <v>8</v>
      </c>
      <c r="G51" s="67" t="str">
        <f>ROW(A46)&amp;". "&amp;'Critical resources'!B57</f>
        <v xml:space="preserve">46. </v>
      </c>
      <c r="H51" s="67">
        <f ca="1">IFERROR(VLOOKUP('Critical resources'!D57,$B$6:$C$57,2,0),0)</f>
        <v>0</v>
      </c>
      <c r="I51" s="67">
        <f ca="1">IFERROR(VLOOKUP('Critical resources'!E57,$A$6:$C$57,3,0),0)</f>
        <v>0</v>
      </c>
      <c r="J51" s="67">
        <f ca="1">IFERROR(VLOOKUP('Critical resources'!G57,$B$6:$C$57,2,0),0)</f>
        <v>0</v>
      </c>
      <c r="K51" s="67">
        <f ca="1">IFERROR(VLOOKUP('Critical resources'!H57,$B$6:$C$57,2,0),0)</f>
        <v>0</v>
      </c>
      <c r="L51" s="67">
        <f ca="1">IFERROR(VLOOKUP('Critical resources'!J57,$B$6:$C$57,2,0),0)</f>
        <v>0</v>
      </c>
      <c r="M51" s="67">
        <f ca="1">IFERROR(VLOOKUP('Critical resources'!K57,$A$6:$C$57,3,0),0)</f>
        <v>0</v>
      </c>
      <c r="N51" s="67">
        <f ca="1">IFERROR(VLOOKUP('Critical resources'!M57,$B$6:$C$57,2,0),0)</f>
        <v>0</v>
      </c>
      <c r="O51" s="67">
        <f ca="1">IFERROR(VLOOKUP('Critical resources'!N57,$A$6:$C$57,3,0),0)</f>
        <v>0</v>
      </c>
      <c r="P51" s="67">
        <f ca="1">IFERROR(VLOOKUP('Critical resources'!P57,$B$6:$C$57,2,0),0)</f>
        <v>0</v>
      </c>
      <c r="Q51" s="67">
        <f ca="1">IFERROR(VLOOKUP('Critical resources'!Q57,$A$6:$C$57,3,0),0)</f>
        <v>0</v>
      </c>
      <c r="T51" s="67" t="str">
        <f t="shared" si="17"/>
        <v xml:space="preserve">46. </v>
      </c>
      <c r="U51" s="67">
        <f t="shared" ca="1" si="19"/>
        <v>0</v>
      </c>
      <c r="V51" s="67">
        <f t="shared" ca="1" si="19"/>
        <v>0</v>
      </c>
      <c r="W51" s="67">
        <f t="shared" ca="1" si="19"/>
        <v>0</v>
      </c>
      <c r="X51" s="67">
        <f t="shared" ca="1" si="19"/>
        <v>0</v>
      </c>
      <c r="Y51" s="67">
        <f t="shared" ca="1" si="19"/>
        <v>0</v>
      </c>
      <c r="Z51" s="67">
        <f t="shared" ca="1" si="19"/>
        <v>0</v>
      </c>
      <c r="AA51" s="67">
        <f t="shared" ca="1" si="19"/>
        <v>0</v>
      </c>
      <c r="AB51" s="67">
        <f t="shared" ca="1" si="19"/>
        <v>0</v>
      </c>
      <c r="AC51" s="67">
        <f t="shared" ca="1" si="19"/>
        <v>0</v>
      </c>
      <c r="AD51" s="67">
        <f t="shared" ca="1" si="19"/>
        <v>0</v>
      </c>
      <c r="AE51" s="67">
        <f t="shared" ca="1" si="19"/>
        <v>0</v>
      </c>
      <c r="AF51" s="67">
        <f t="shared" ca="1" si="19"/>
        <v>0</v>
      </c>
      <c r="AG51" s="67">
        <f t="shared" ca="1" si="19"/>
        <v>0</v>
      </c>
      <c r="AH51" s="67">
        <f t="shared" ca="1" si="19"/>
        <v>0</v>
      </c>
      <c r="AI51" s="67">
        <f t="shared" ca="1" si="19"/>
        <v>0</v>
      </c>
      <c r="AJ51" s="67">
        <f t="shared" ca="1" si="18"/>
        <v>0</v>
      </c>
      <c r="AK51" s="67">
        <f t="shared" ca="1" si="15"/>
        <v>0</v>
      </c>
      <c r="AL51" s="67">
        <f t="shared" ca="1" si="15"/>
        <v>0</v>
      </c>
      <c r="AM51" s="67">
        <f t="shared" ca="1" si="15"/>
        <v>0</v>
      </c>
      <c r="AN51" s="67">
        <f t="shared" ca="1" si="15"/>
        <v>0</v>
      </c>
      <c r="AO51" s="67">
        <f t="shared" ca="1" si="15"/>
        <v>0</v>
      </c>
      <c r="AP51" s="67">
        <f t="shared" ca="1" si="15"/>
        <v>0</v>
      </c>
      <c r="AQ51" s="67">
        <f t="shared" ca="1" si="15"/>
        <v>0</v>
      </c>
      <c r="AR51" s="67">
        <f t="shared" ca="1" si="15"/>
        <v>0</v>
      </c>
      <c r="AS51" s="67">
        <f t="shared" ca="1" si="15"/>
        <v>0</v>
      </c>
      <c r="AT51" s="67">
        <f t="shared" ca="1" si="15"/>
        <v>0</v>
      </c>
      <c r="AU51" s="67">
        <f t="shared" ca="1" si="15"/>
        <v>0</v>
      </c>
      <c r="AV51" s="67">
        <f t="shared" ca="1" si="15"/>
        <v>0</v>
      </c>
      <c r="AW51" s="67">
        <f t="shared" ca="1" si="15"/>
        <v>0</v>
      </c>
      <c r="AX51" s="67">
        <f t="shared" ca="1" si="15"/>
        <v>0</v>
      </c>
      <c r="AY51" s="67">
        <f t="shared" ca="1" si="15"/>
        <v>0</v>
      </c>
      <c r="AZ51" s="67">
        <f t="shared" ca="1" si="15"/>
        <v>0</v>
      </c>
      <c r="BA51" s="67">
        <f t="shared" ca="1" si="16"/>
        <v>0</v>
      </c>
      <c r="BB51" s="67">
        <f t="shared" ca="1" si="16"/>
        <v>0</v>
      </c>
      <c r="BC51" s="67">
        <f t="shared" ca="1" si="16"/>
        <v>0</v>
      </c>
      <c r="BD51" s="67">
        <f t="shared" ca="1" si="16"/>
        <v>0</v>
      </c>
      <c r="BE51" s="67">
        <f t="shared" ca="1" si="16"/>
        <v>0</v>
      </c>
      <c r="BF51" s="67">
        <f t="shared" ca="1" si="16"/>
        <v>0</v>
      </c>
      <c r="BG51" s="67">
        <f t="shared" ca="1" si="16"/>
        <v>0</v>
      </c>
      <c r="BH51" s="67">
        <f t="shared" ca="1" si="16"/>
        <v>0</v>
      </c>
      <c r="BI51" s="67">
        <f t="shared" ca="1" si="16"/>
        <v>0</v>
      </c>
      <c r="BJ51" s="67">
        <f t="shared" ca="1" si="16"/>
        <v>0</v>
      </c>
      <c r="BK51" s="67">
        <f t="shared" ca="1" si="16"/>
        <v>0</v>
      </c>
      <c r="BL51" s="67">
        <f t="shared" ca="1" si="16"/>
        <v>0</v>
      </c>
      <c r="BM51" s="67">
        <f t="shared" ca="1" si="16"/>
        <v>0</v>
      </c>
      <c r="BN51" s="67">
        <f t="shared" ca="1" si="16"/>
        <v>0</v>
      </c>
      <c r="BO51" s="67">
        <f t="shared" ca="1" si="16"/>
        <v>0</v>
      </c>
      <c r="BP51" s="67">
        <f t="shared" ca="1" si="16"/>
        <v>0</v>
      </c>
      <c r="BQ51" s="67">
        <f t="shared" ca="1" si="20"/>
        <v>0</v>
      </c>
      <c r="BR51" s="67">
        <f t="shared" ca="1" si="20"/>
        <v>0</v>
      </c>
      <c r="BS51" s="67">
        <f t="shared" ca="1" si="20"/>
        <v>0</v>
      </c>
      <c r="BT51" s="67">
        <f t="shared" ca="1" si="20"/>
        <v>0</v>
      </c>
    </row>
    <row r="52" spans="1:72" x14ac:dyDescent="0.25">
      <c r="A52" s="320">
        <f t="shared" ca="1" si="6"/>
        <v>44262</v>
      </c>
      <c r="B52" s="87">
        <f t="shared" ca="1" si="9"/>
        <v>44256</v>
      </c>
      <c r="C52" s="67">
        <v>47</v>
      </c>
      <c r="D52" s="67" t="str">
        <f t="shared" ca="1" si="10"/>
        <v/>
      </c>
      <c r="E52" s="67" t="str">
        <f t="shared" ca="1" si="0"/>
        <v>Mar</v>
      </c>
      <c r="F52" s="67">
        <f t="shared" ca="1" si="7"/>
        <v>9</v>
      </c>
      <c r="G52" s="67" t="str">
        <f>ROW(A47)&amp;". "&amp;'Critical resources'!B58</f>
        <v xml:space="preserve">47. </v>
      </c>
      <c r="H52" s="67">
        <f ca="1">IFERROR(VLOOKUP('Critical resources'!D58,$B$6:$C$57,2,0),0)</f>
        <v>0</v>
      </c>
      <c r="I52" s="67">
        <f ca="1">IFERROR(VLOOKUP('Critical resources'!E58,$A$6:$C$57,3,0),0)</f>
        <v>0</v>
      </c>
      <c r="J52" s="67">
        <f ca="1">IFERROR(VLOOKUP('Critical resources'!G58,$B$6:$C$57,2,0),0)</f>
        <v>0</v>
      </c>
      <c r="K52" s="67">
        <f ca="1">IFERROR(VLOOKUP('Critical resources'!H58,$B$6:$C$57,2,0),0)</f>
        <v>0</v>
      </c>
      <c r="L52" s="67">
        <f ca="1">IFERROR(VLOOKUP('Critical resources'!J58,$B$6:$C$57,2,0),0)</f>
        <v>0</v>
      </c>
      <c r="M52" s="67">
        <f ca="1">IFERROR(VLOOKUP('Critical resources'!K58,$A$6:$C$57,3,0),0)</f>
        <v>0</v>
      </c>
      <c r="N52" s="67">
        <f ca="1">IFERROR(VLOOKUP('Critical resources'!M58,$B$6:$C$57,2,0),0)</f>
        <v>0</v>
      </c>
      <c r="O52" s="67">
        <f ca="1">IFERROR(VLOOKUP('Critical resources'!N58,$A$6:$C$57,3,0),0)</f>
        <v>0</v>
      </c>
      <c r="P52" s="67">
        <f ca="1">IFERROR(VLOOKUP('Critical resources'!P58,$B$6:$C$57,2,0),0)</f>
        <v>0</v>
      </c>
      <c r="Q52" s="67">
        <f ca="1">IFERROR(VLOOKUP('Critical resources'!Q58,$A$6:$C$57,3,0),0)</f>
        <v>0</v>
      </c>
      <c r="T52" s="67" t="str">
        <f t="shared" si="17"/>
        <v xml:space="preserve">47. </v>
      </c>
      <c r="U52" s="67">
        <f t="shared" ca="1" si="19"/>
        <v>0</v>
      </c>
      <c r="V52" s="67">
        <f t="shared" ca="1" si="19"/>
        <v>0</v>
      </c>
      <c r="W52" s="67">
        <f t="shared" ca="1" si="19"/>
        <v>0</v>
      </c>
      <c r="X52" s="67">
        <f t="shared" ca="1" si="19"/>
        <v>0</v>
      </c>
      <c r="Y52" s="67">
        <f t="shared" ca="1" si="19"/>
        <v>0</v>
      </c>
      <c r="Z52" s="67">
        <f t="shared" ca="1" si="19"/>
        <v>0</v>
      </c>
      <c r="AA52" s="67">
        <f t="shared" ca="1" si="19"/>
        <v>0</v>
      </c>
      <c r="AB52" s="67">
        <f t="shared" ca="1" si="19"/>
        <v>0</v>
      </c>
      <c r="AC52" s="67">
        <f t="shared" ca="1" si="19"/>
        <v>0</v>
      </c>
      <c r="AD52" s="67">
        <f t="shared" ca="1" si="19"/>
        <v>0</v>
      </c>
      <c r="AE52" s="67">
        <f t="shared" ca="1" si="19"/>
        <v>0</v>
      </c>
      <c r="AF52" s="67">
        <f t="shared" ca="1" si="19"/>
        <v>0</v>
      </c>
      <c r="AG52" s="67">
        <f t="shared" ca="1" si="19"/>
        <v>0</v>
      </c>
      <c r="AH52" s="67">
        <f t="shared" ca="1" si="19"/>
        <v>0</v>
      </c>
      <c r="AI52" s="67">
        <f t="shared" ca="1" si="19"/>
        <v>0</v>
      </c>
      <c r="AJ52" s="67">
        <f t="shared" ca="1" si="18"/>
        <v>0</v>
      </c>
      <c r="AK52" s="67">
        <f t="shared" ca="1" si="15"/>
        <v>0</v>
      </c>
      <c r="AL52" s="67">
        <f t="shared" ca="1" si="15"/>
        <v>0</v>
      </c>
      <c r="AM52" s="67">
        <f t="shared" ca="1" si="15"/>
        <v>0</v>
      </c>
      <c r="AN52" s="67">
        <f t="shared" ca="1" si="15"/>
        <v>0</v>
      </c>
      <c r="AO52" s="67">
        <f t="shared" ca="1" si="15"/>
        <v>0</v>
      </c>
      <c r="AP52" s="67">
        <f t="shared" ca="1" si="15"/>
        <v>0</v>
      </c>
      <c r="AQ52" s="67">
        <f t="shared" ca="1" si="15"/>
        <v>0</v>
      </c>
      <c r="AR52" s="67">
        <f t="shared" ca="1" si="15"/>
        <v>0</v>
      </c>
      <c r="AS52" s="67">
        <f t="shared" ca="1" si="15"/>
        <v>0</v>
      </c>
      <c r="AT52" s="67">
        <f t="shared" ca="1" si="15"/>
        <v>0</v>
      </c>
      <c r="AU52" s="67">
        <f t="shared" ca="1" si="15"/>
        <v>0</v>
      </c>
      <c r="AV52" s="67">
        <f t="shared" ca="1" si="15"/>
        <v>0</v>
      </c>
      <c r="AW52" s="67">
        <f t="shared" ca="1" si="15"/>
        <v>0</v>
      </c>
      <c r="AX52" s="67">
        <f t="shared" ca="1" si="15"/>
        <v>0</v>
      </c>
      <c r="AY52" s="67">
        <f t="shared" ca="1" si="15"/>
        <v>0</v>
      </c>
      <c r="AZ52" s="67">
        <f t="shared" ref="AZ52:BO67" ca="1" si="21">SUM(IFERROR(IF(AND(AZ$5&gt;=$H52,AZ$5&lt;=$I52),1,0),0),IFERROR(IF(AND(AZ$5&gt;=$J52,AZ$5&lt;=$K52),1,0),0),IFERROR(IF(AND(AZ$5&gt;=$L52,AZ$5&lt;=$M52),1,0),0),IFERROR(IF(AND(AZ$5&gt;=$N52,AZ$5&lt;=$O52),1,0),0),IFERROR(IF(AND(AZ$5&gt;=$P52,AZ$5&lt;=$Q52),1,0),0))</f>
        <v>0</v>
      </c>
      <c r="BA52" s="67">
        <f t="shared" ca="1" si="16"/>
        <v>0</v>
      </c>
      <c r="BB52" s="67">
        <f t="shared" ca="1" si="16"/>
        <v>0</v>
      </c>
      <c r="BC52" s="67">
        <f t="shared" ca="1" si="16"/>
        <v>0</v>
      </c>
      <c r="BD52" s="67">
        <f t="shared" ca="1" si="16"/>
        <v>0</v>
      </c>
      <c r="BE52" s="67">
        <f t="shared" ca="1" si="16"/>
        <v>0</v>
      </c>
      <c r="BF52" s="67">
        <f t="shared" ca="1" si="16"/>
        <v>0</v>
      </c>
      <c r="BG52" s="67">
        <f t="shared" ca="1" si="16"/>
        <v>0</v>
      </c>
      <c r="BH52" s="67">
        <f t="shared" ca="1" si="16"/>
        <v>0</v>
      </c>
      <c r="BI52" s="67">
        <f t="shared" ca="1" si="16"/>
        <v>0</v>
      </c>
      <c r="BJ52" s="67">
        <f t="shared" ca="1" si="16"/>
        <v>0</v>
      </c>
      <c r="BK52" s="67">
        <f t="shared" ca="1" si="16"/>
        <v>0</v>
      </c>
      <c r="BL52" s="67">
        <f t="shared" ca="1" si="16"/>
        <v>0</v>
      </c>
      <c r="BM52" s="67">
        <f t="shared" ca="1" si="16"/>
        <v>0</v>
      </c>
      <c r="BN52" s="67">
        <f t="shared" ca="1" si="16"/>
        <v>0</v>
      </c>
      <c r="BO52" s="67">
        <f t="shared" ca="1" si="16"/>
        <v>0</v>
      </c>
      <c r="BP52" s="67">
        <f t="shared" ref="BP52:BT67" ca="1" si="22">SUM(IFERROR(IF(AND(BP$5&gt;=$H52,BP$5&lt;=$I52),1,0),0),IFERROR(IF(AND(BP$5&gt;=$J52,BP$5&lt;=$K52),1,0),0),IFERROR(IF(AND(BP$5&gt;=$L52,BP$5&lt;=$M52),1,0),0),IFERROR(IF(AND(BP$5&gt;=$N52,BP$5&lt;=$O52),1,0),0),IFERROR(IF(AND(BP$5&gt;=$P52,BP$5&lt;=$Q52),1,0),0))</f>
        <v>0</v>
      </c>
      <c r="BQ52" s="67">
        <f t="shared" ca="1" si="20"/>
        <v>0</v>
      </c>
      <c r="BR52" s="67">
        <f t="shared" ca="1" si="20"/>
        <v>0</v>
      </c>
      <c r="BS52" s="67">
        <f t="shared" ca="1" si="20"/>
        <v>0</v>
      </c>
      <c r="BT52" s="67">
        <f t="shared" ca="1" si="20"/>
        <v>0</v>
      </c>
    </row>
    <row r="53" spans="1:72" x14ac:dyDescent="0.25">
      <c r="A53" s="320">
        <f t="shared" ca="1" si="6"/>
        <v>44269</v>
      </c>
      <c r="B53" s="87">
        <f t="shared" ca="1" si="9"/>
        <v>44263</v>
      </c>
      <c r="C53" s="67">
        <v>48</v>
      </c>
      <c r="D53" s="67" t="str">
        <f t="shared" ca="1" si="10"/>
        <v/>
      </c>
      <c r="E53" s="67" t="str">
        <f t="shared" ca="1" si="0"/>
        <v xml:space="preserve"> </v>
      </c>
      <c r="F53" s="67">
        <f t="shared" ca="1" si="7"/>
        <v>10</v>
      </c>
      <c r="G53" s="67" t="str">
        <f>ROW(A48)&amp;". "&amp;'Critical resources'!B59</f>
        <v xml:space="preserve">48. </v>
      </c>
      <c r="H53" s="67">
        <f ca="1">IFERROR(VLOOKUP('Critical resources'!D59,$B$6:$C$57,2,0),0)</f>
        <v>0</v>
      </c>
      <c r="I53" s="67">
        <f ca="1">IFERROR(VLOOKUP('Critical resources'!E59,$A$6:$C$57,3,0),0)</f>
        <v>0</v>
      </c>
      <c r="J53" s="67">
        <f ca="1">IFERROR(VLOOKUP('Critical resources'!G59,$B$6:$C$57,2,0),0)</f>
        <v>0</v>
      </c>
      <c r="K53" s="67">
        <f ca="1">IFERROR(VLOOKUP('Critical resources'!H59,$B$6:$C$57,2,0),0)</f>
        <v>0</v>
      </c>
      <c r="L53" s="67">
        <f ca="1">IFERROR(VLOOKUP('Critical resources'!J59,$B$6:$C$57,2,0),0)</f>
        <v>0</v>
      </c>
      <c r="M53" s="67">
        <f ca="1">IFERROR(VLOOKUP('Critical resources'!K59,$A$6:$C$57,3,0),0)</f>
        <v>0</v>
      </c>
      <c r="N53" s="67">
        <f ca="1">IFERROR(VLOOKUP('Critical resources'!M59,$B$6:$C$57,2,0),0)</f>
        <v>0</v>
      </c>
      <c r="O53" s="67">
        <f ca="1">IFERROR(VLOOKUP('Critical resources'!N59,$A$6:$C$57,3,0),0)</f>
        <v>0</v>
      </c>
      <c r="P53" s="67">
        <f ca="1">IFERROR(VLOOKUP('Critical resources'!P59,$B$6:$C$57,2,0),0)</f>
        <v>0</v>
      </c>
      <c r="Q53" s="67">
        <f ca="1">IFERROR(VLOOKUP('Critical resources'!Q59,$A$6:$C$57,3,0),0)</f>
        <v>0</v>
      </c>
      <c r="T53" s="67" t="str">
        <f t="shared" si="17"/>
        <v xml:space="preserve">48. </v>
      </c>
      <c r="U53" s="67">
        <f t="shared" ca="1" si="19"/>
        <v>0</v>
      </c>
      <c r="V53" s="67">
        <f t="shared" ca="1" si="19"/>
        <v>0</v>
      </c>
      <c r="W53" s="67">
        <f t="shared" ca="1" si="19"/>
        <v>0</v>
      </c>
      <c r="X53" s="67">
        <f t="shared" ca="1" si="19"/>
        <v>0</v>
      </c>
      <c r="Y53" s="67">
        <f t="shared" ca="1" si="19"/>
        <v>0</v>
      </c>
      <c r="Z53" s="67">
        <f t="shared" ca="1" si="19"/>
        <v>0</v>
      </c>
      <c r="AA53" s="67">
        <f t="shared" ca="1" si="19"/>
        <v>0</v>
      </c>
      <c r="AB53" s="67">
        <f t="shared" ca="1" si="19"/>
        <v>0</v>
      </c>
      <c r="AC53" s="67">
        <f t="shared" ca="1" si="19"/>
        <v>0</v>
      </c>
      <c r="AD53" s="67">
        <f t="shared" ca="1" si="19"/>
        <v>0</v>
      </c>
      <c r="AE53" s="67">
        <f t="shared" ca="1" si="19"/>
        <v>0</v>
      </c>
      <c r="AF53" s="67">
        <f t="shared" ca="1" si="19"/>
        <v>0</v>
      </c>
      <c r="AG53" s="67">
        <f t="shared" ca="1" si="19"/>
        <v>0</v>
      </c>
      <c r="AH53" s="67">
        <f t="shared" ca="1" si="19"/>
        <v>0</v>
      </c>
      <c r="AI53" s="67">
        <f t="shared" ca="1" si="19"/>
        <v>0</v>
      </c>
      <c r="AJ53" s="67">
        <f t="shared" ca="1" si="18"/>
        <v>0</v>
      </c>
      <c r="AK53" s="67">
        <f t="shared" ca="1" si="18"/>
        <v>0</v>
      </c>
      <c r="AL53" s="67">
        <f t="shared" ca="1" si="18"/>
        <v>0</v>
      </c>
      <c r="AM53" s="67">
        <f t="shared" ca="1" si="18"/>
        <v>0</v>
      </c>
      <c r="AN53" s="67">
        <f t="shared" ca="1" si="18"/>
        <v>0</v>
      </c>
      <c r="AO53" s="67">
        <f t="shared" ca="1" si="18"/>
        <v>0</v>
      </c>
      <c r="AP53" s="67">
        <f t="shared" ca="1" si="18"/>
        <v>0</v>
      </c>
      <c r="AQ53" s="67">
        <f t="shared" ca="1" si="18"/>
        <v>0</v>
      </c>
      <c r="AR53" s="67">
        <f t="shared" ca="1" si="18"/>
        <v>0</v>
      </c>
      <c r="AS53" s="67">
        <f t="shared" ca="1" si="18"/>
        <v>0</v>
      </c>
      <c r="AT53" s="67">
        <f t="shared" ca="1" si="18"/>
        <v>0</v>
      </c>
      <c r="AU53" s="67">
        <f t="shared" ca="1" si="18"/>
        <v>0</v>
      </c>
      <c r="AV53" s="67">
        <f t="shared" ca="1" si="18"/>
        <v>0</v>
      </c>
      <c r="AW53" s="67">
        <f t="shared" ca="1" si="18"/>
        <v>0</v>
      </c>
      <c r="AX53" s="67">
        <f t="shared" ca="1" si="18"/>
        <v>0</v>
      </c>
      <c r="AY53" s="67">
        <f t="shared" ca="1" si="18"/>
        <v>0</v>
      </c>
      <c r="AZ53" s="67">
        <f t="shared" ca="1" si="21"/>
        <v>0</v>
      </c>
      <c r="BA53" s="67">
        <f t="shared" ca="1" si="21"/>
        <v>0</v>
      </c>
      <c r="BB53" s="67">
        <f t="shared" ca="1" si="21"/>
        <v>0</v>
      </c>
      <c r="BC53" s="67">
        <f t="shared" ca="1" si="21"/>
        <v>0</v>
      </c>
      <c r="BD53" s="67">
        <f t="shared" ca="1" si="21"/>
        <v>0</v>
      </c>
      <c r="BE53" s="67">
        <f t="shared" ca="1" si="21"/>
        <v>0</v>
      </c>
      <c r="BF53" s="67">
        <f t="shared" ca="1" si="21"/>
        <v>0</v>
      </c>
      <c r="BG53" s="67">
        <f t="shared" ca="1" si="21"/>
        <v>0</v>
      </c>
      <c r="BH53" s="67">
        <f t="shared" ca="1" si="21"/>
        <v>0</v>
      </c>
      <c r="BI53" s="67">
        <f t="shared" ca="1" si="21"/>
        <v>0</v>
      </c>
      <c r="BJ53" s="67">
        <f t="shared" ca="1" si="21"/>
        <v>0</v>
      </c>
      <c r="BK53" s="67">
        <f t="shared" ca="1" si="21"/>
        <v>0</v>
      </c>
      <c r="BL53" s="67">
        <f t="shared" ca="1" si="21"/>
        <v>0</v>
      </c>
      <c r="BM53" s="67">
        <f t="shared" ca="1" si="21"/>
        <v>0</v>
      </c>
      <c r="BN53" s="67">
        <f t="shared" ca="1" si="21"/>
        <v>0</v>
      </c>
      <c r="BO53" s="67">
        <f t="shared" ca="1" si="21"/>
        <v>0</v>
      </c>
      <c r="BP53" s="67">
        <f t="shared" ca="1" si="22"/>
        <v>0</v>
      </c>
      <c r="BQ53" s="67">
        <f t="shared" ca="1" si="20"/>
        <v>0</v>
      </c>
      <c r="BR53" s="67">
        <f t="shared" ca="1" si="20"/>
        <v>0</v>
      </c>
      <c r="BS53" s="67">
        <f t="shared" ca="1" si="20"/>
        <v>0</v>
      </c>
      <c r="BT53" s="67">
        <f t="shared" ca="1" si="20"/>
        <v>0</v>
      </c>
    </row>
    <row r="54" spans="1:72" x14ac:dyDescent="0.25">
      <c r="A54" s="320">
        <f t="shared" ca="1" si="6"/>
        <v>44276</v>
      </c>
      <c r="B54" s="87">
        <f t="shared" ca="1" si="9"/>
        <v>44270</v>
      </c>
      <c r="C54" s="67">
        <v>49</v>
      </c>
      <c r="D54" s="67" t="str">
        <f t="shared" ca="1" si="10"/>
        <v/>
      </c>
      <c r="E54" s="67" t="str">
        <f t="shared" ca="1" si="0"/>
        <v xml:space="preserve"> </v>
      </c>
      <c r="F54" s="67">
        <f t="shared" ca="1" si="7"/>
        <v>11</v>
      </c>
      <c r="G54" s="67" t="str">
        <f>ROW(A49)&amp;". "&amp;'Critical resources'!B60</f>
        <v xml:space="preserve">49. </v>
      </c>
      <c r="H54" s="67">
        <f ca="1">IFERROR(VLOOKUP('Critical resources'!D60,$B$6:$C$57,2,0),0)</f>
        <v>0</v>
      </c>
      <c r="I54" s="67">
        <f ca="1">IFERROR(VLOOKUP('Critical resources'!E60,$A$6:$C$57,3,0),0)</f>
        <v>0</v>
      </c>
      <c r="J54" s="67">
        <f ca="1">IFERROR(VLOOKUP('Critical resources'!G60,$B$6:$C$57,2,0),0)</f>
        <v>0</v>
      </c>
      <c r="K54" s="67">
        <f ca="1">IFERROR(VLOOKUP('Critical resources'!H60,$B$6:$C$57,2,0),0)</f>
        <v>0</v>
      </c>
      <c r="L54" s="67">
        <f ca="1">IFERROR(VLOOKUP('Critical resources'!J60,$B$6:$C$57,2,0),0)</f>
        <v>0</v>
      </c>
      <c r="M54" s="67">
        <f ca="1">IFERROR(VLOOKUP('Critical resources'!K60,$A$6:$C$57,3,0),0)</f>
        <v>0</v>
      </c>
      <c r="N54" s="67">
        <f ca="1">IFERROR(VLOOKUP('Critical resources'!M60,$B$6:$C$57,2,0),0)</f>
        <v>0</v>
      </c>
      <c r="O54" s="67">
        <f ca="1">IFERROR(VLOOKUP('Critical resources'!N60,$A$6:$C$57,3,0),0)</f>
        <v>0</v>
      </c>
      <c r="P54" s="67">
        <f ca="1">IFERROR(VLOOKUP('Critical resources'!P60,$B$6:$C$57,2,0),0)</f>
        <v>0</v>
      </c>
      <c r="Q54" s="67">
        <f ca="1">IFERROR(VLOOKUP('Critical resources'!Q60,$A$6:$C$57,3,0),0)</f>
        <v>0</v>
      </c>
      <c r="T54" s="67" t="str">
        <f t="shared" si="17"/>
        <v xml:space="preserve">49. </v>
      </c>
      <c r="U54" s="67">
        <f t="shared" ca="1" si="19"/>
        <v>0</v>
      </c>
      <c r="V54" s="67">
        <f t="shared" ca="1" si="19"/>
        <v>0</v>
      </c>
      <c r="W54" s="67">
        <f t="shared" ca="1" si="19"/>
        <v>0</v>
      </c>
      <c r="X54" s="67">
        <f t="shared" ca="1" si="19"/>
        <v>0</v>
      </c>
      <c r="Y54" s="67">
        <f t="shared" ca="1" si="19"/>
        <v>0</v>
      </c>
      <c r="Z54" s="67">
        <f t="shared" ca="1" si="19"/>
        <v>0</v>
      </c>
      <c r="AA54" s="67">
        <f t="shared" ca="1" si="19"/>
        <v>0</v>
      </c>
      <c r="AB54" s="67">
        <f t="shared" ca="1" si="19"/>
        <v>0</v>
      </c>
      <c r="AC54" s="67">
        <f t="shared" ca="1" si="19"/>
        <v>0</v>
      </c>
      <c r="AD54" s="67">
        <f t="shared" ca="1" si="19"/>
        <v>0</v>
      </c>
      <c r="AE54" s="67">
        <f t="shared" ca="1" si="19"/>
        <v>0</v>
      </c>
      <c r="AF54" s="67">
        <f t="shared" ca="1" si="19"/>
        <v>0</v>
      </c>
      <c r="AG54" s="67">
        <f t="shared" ca="1" si="19"/>
        <v>0</v>
      </c>
      <c r="AH54" s="67">
        <f t="shared" ca="1" si="19"/>
        <v>0</v>
      </c>
      <c r="AI54" s="67">
        <f t="shared" ca="1" si="19"/>
        <v>0</v>
      </c>
      <c r="AJ54" s="67">
        <f t="shared" ca="1" si="19"/>
        <v>0</v>
      </c>
      <c r="AK54" s="67">
        <f t="shared" ref="AK54:AZ69" ca="1" si="23">SUM(IFERROR(IF(AND(AK$5&gt;=$H54,AK$5&lt;=$I54),1,0),0),IFERROR(IF(AND(AK$5&gt;=$J54,AK$5&lt;=$K54),1,0),0),IFERROR(IF(AND(AK$5&gt;=$L54,AK$5&lt;=$M54),1,0),0),IFERROR(IF(AND(AK$5&gt;=$N54,AK$5&lt;=$O54),1,0),0),IFERROR(IF(AND(AK$5&gt;=$P54,AK$5&lt;=$Q54),1,0),0))</f>
        <v>0</v>
      </c>
      <c r="AL54" s="67">
        <f t="shared" ca="1" si="23"/>
        <v>0</v>
      </c>
      <c r="AM54" s="67">
        <f t="shared" ca="1" si="23"/>
        <v>0</v>
      </c>
      <c r="AN54" s="67">
        <f t="shared" ca="1" si="23"/>
        <v>0</v>
      </c>
      <c r="AO54" s="67">
        <f t="shared" ca="1" si="23"/>
        <v>0</v>
      </c>
      <c r="AP54" s="67">
        <f t="shared" ca="1" si="23"/>
        <v>0</v>
      </c>
      <c r="AQ54" s="67">
        <f t="shared" ca="1" si="23"/>
        <v>0</v>
      </c>
      <c r="AR54" s="67">
        <f t="shared" ca="1" si="23"/>
        <v>0</v>
      </c>
      <c r="AS54" s="67">
        <f t="shared" ca="1" si="23"/>
        <v>0</v>
      </c>
      <c r="AT54" s="67">
        <f t="shared" ca="1" si="23"/>
        <v>0</v>
      </c>
      <c r="AU54" s="67">
        <f t="shared" ca="1" si="23"/>
        <v>0</v>
      </c>
      <c r="AV54" s="67">
        <f t="shared" ca="1" si="23"/>
        <v>0</v>
      </c>
      <c r="AW54" s="67">
        <f t="shared" ca="1" si="23"/>
        <v>0</v>
      </c>
      <c r="AX54" s="67">
        <f t="shared" ca="1" si="23"/>
        <v>0</v>
      </c>
      <c r="AY54" s="67">
        <f t="shared" ca="1" si="23"/>
        <v>0</v>
      </c>
      <c r="AZ54" s="67">
        <f t="shared" ca="1" si="21"/>
        <v>0</v>
      </c>
      <c r="BA54" s="67">
        <f t="shared" ca="1" si="21"/>
        <v>0</v>
      </c>
      <c r="BB54" s="67">
        <f t="shared" ca="1" si="21"/>
        <v>0</v>
      </c>
      <c r="BC54" s="67">
        <f t="shared" ca="1" si="21"/>
        <v>0</v>
      </c>
      <c r="BD54" s="67">
        <f t="shared" ca="1" si="21"/>
        <v>0</v>
      </c>
      <c r="BE54" s="67">
        <f t="shared" ca="1" si="21"/>
        <v>0</v>
      </c>
      <c r="BF54" s="67">
        <f t="shared" ca="1" si="21"/>
        <v>0</v>
      </c>
      <c r="BG54" s="67">
        <f t="shared" ca="1" si="21"/>
        <v>0</v>
      </c>
      <c r="BH54" s="67">
        <f t="shared" ca="1" si="21"/>
        <v>0</v>
      </c>
      <c r="BI54" s="67">
        <f t="shared" ca="1" si="21"/>
        <v>0</v>
      </c>
      <c r="BJ54" s="67">
        <f t="shared" ca="1" si="21"/>
        <v>0</v>
      </c>
      <c r="BK54" s="67">
        <f t="shared" ca="1" si="21"/>
        <v>0</v>
      </c>
      <c r="BL54" s="67">
        <f t="shared" ca="1" si="21"/>
        <v>0</v>
      </c>
      <c r="BM54" s="67">
        <f t="shared" ca="1" si="21"/>
        <v>0</v>
      </c>
      <c r="BN54" s="67">
        <f t="shared" ca="1" si="21"/>
        <v>0</v>
      </c>
      <c r="BO54" s="67">
        <f t="shared" ca="1" si="21"/>
        <v>0</v>
      </c>
      <c r="BP54" s="67">
        <f t="shared" ca="1" si="22"/>
        <v>0</v>
      </c>
      <c r="BQ54" s="67">
        <f t="shared" ca="1" si="20"/>
        <v>0</v>
      </c>
      <c r="BR54" s="67">
        <f t="shared" ca="1" si="20"/>
        <v>0</v>
      </c>
      <c r="BS54" s="67">
        <f t="shared" ca="1" si="20"/>
        <v>0</v>
      </c>
      <c r="BT54" s="67">
        <f t="shared" ca="1" si="20"/>
        <v>0</v>
      </c>
    </row>
    <row r="55" spans="1:72" x14ac:dyDescent="0.25">
      <c r="A55" s="320">
        <f t="shared" ca="1" si="6"/>
        <v>44283</v>
      </c>
      <c r="B55" s="87">
        <f t="shared" ca="1" si="9"/>
        <v>44277</v>
      </c>
      <c r="C55" s="67">
        <v>50</v>
      </c>
      <c r="D55" s="67" t="str">
        <f t="shared" ca="1" si="10"/>
        <v/>
      </c>
      <c r="E55" s="67" t="str">
        <f ca="1">IF(TEXT(B55,"MMM")=TEXT(B54,"MMM")," ",TEXT(B55,"MMM"))</f>
        <v xml:space="preserve"> </v>
      </c>
      <c r="F55" s="67">
        <f t="shared" ca="1" si="7"/>
        <v>12</v>
      </c>
      <c r="G55" s="67" t="str">
        <f>ROW(A50)&amp;". "&amp;'Critical resources'!B61</f>
        <v xml:space="preserve">50. </v>
      </c>
      <c r="H55" s="67">
        <f ca="1">IFERROR(VLOOKUP('Critical resources'!D61,$B$6:$C$57,2,0),0)</f>
        <v>0</v>
      </c>
      <c r="I55" s="67">
        <f ca="1">IFERROR(VLOOKUP('Critical resources'!E61,$A$6:$C$57,3,0),0)</f>
        <v>0</v>
      </c>
      <c r="J55" s="67">
        <f ca="1">IFERROR(VLOOKUP('Critical resources'!G61,$B$6:$C$57,2,0),0)</f>
        <v>0</v>
      </c>
      <c r="K55" s="67">
        <f ca="1">IFERROR(VLOOKUP('Critical resources'!H61,$B$6:$C$57,2,0),0)</f>
        <v>0</v>
      </c>
      <c r="L55" s="67">
        <f ca="1">IFERROR(VLOOKUP('Critical resources'!J61,$B$6:$C$57,2,0),0)</f>
        <v>0</v>
      </c>
      <c r="M55" s="67">
        <f ca="1">IFERROR(VLOOKUP('Critical resources'!K61,$A$6:$C$57,3,0),0)</f>
        <v>0</v>
      </c>
      <c r="N55" s="67">
        <f ca="1">IFERROR(VLOOKUP('Critical resources'!M61,$B$6:$C$57,2,0),0)</f>
        <v>0</v>
      </c>
      <c r="O55" s="67">
        <f ca="1">IFERROR(VLOOKUP('Critical resources'!N61,$A$6:$C$57,3,0),0)</f>
        <v>0</v>
      </c>
      <c r="P55" s="67">
        <f ca="1">IFERROR(VLOOKUP('Critical resources'!P61,$B$6:$C$57,2,0),0)</f>
        <v>0</v>
      </c>
      <c r="Q55" s="67">
        <f ca="1">IFERROR(VLOOKUP('Critical resources'!Q61,$A$6:$C$57,3,0),0)</f>
        <v>0</v>
      </c>
      <c r="T55" s="67" t="str">
        <f t="shared" si="17"/>
        <v xml:space="preserve">50. </v>
      </c>
      <c r="U55" s="67">
        <f t="shared" ref="U55:AJ70" ca="1" si="24">SUM(IFERROR(IF(AND(U$5&gt;=$H55,U$5&lt;=$I55),1,0),0),IFERROR(IF(AND(U$5&gt;=$J55,U$5&lt;=$K55),1,0),0),IFERROR(IF(AND(U$5&gt;=$L55,U$5&lt;=$M55),1,0),0),IFERROR(IF(AND(U$5&gt;=$N55,U$5&lt;=$O55),1,0),0),IFERROR(IF(AND(U$5&gt;=$P55,U$5&lt;=$Q55),1,0),0))</f>
        <v>0</v>
      </c>
      <c r="V55" s="67">
        <f t="shared" ca="1" si="24"/>
        <v>0</v>
      </c>
      <c r="W55" s="67">
        <f t="shared" ca="1" si="24"/>
        <v>0</v>
      </c>
      <c r="X55" s="67">
        <f t="shared" ca="1" si="24"/>
        <v>0</v>
      </c>
      <c r="Y55" s="67">
        <f t="shared" ca="1" si="24"/>
        <v>0</v>
      </c>
      <c r="Z55" s="67">
        <f t="shared" ca="1" si="24"/>
        <v>0</v>
      </c>
      <c r="AA55" s="67">
        <f t="shared" ca="1" si="24"/>
        <v>0</v>
      </c>
      <c r="AB55" s="67">
        <f t="shared" ca="1" si="24"/>
        <v>0</v>
      </c>
      <c r="AC55" s="67">
        <f t="shared" ca="1" si="24"/>
        <v>0</v>
      </c>
      <c r="AD55" s="67">
        <f t="shared" ca="1" si="24"/>
        <v>0</v>
      </c>
      <c r="AE55" s="67">
        <f t="shared" ca="1" si="24"/>
        <v>0</v>
      </c>
      <c r="AF55" s="67">
        <f t="shared" ca="1" si="24"/>
        <v>0</v>
      </c>
      <c r="AG55" s="67">
        <f t="shared" ca="1" si="24"/>
        <v>0</v>
      </c>
      <c r="AH55" s="67">
        <f t="shared" ca="1" si="24"/>
        <v>0</v>
      </c>
      <c r="AI55" s="67">
        <f t="shared" ca="1" si="24"/>
        <v>0</v>
      </c>
      <c r="AJ55" s="67">
        <f t="shared" ca="1" si="24"/>
        <v>0</v>
      </c>
      <c r="AK55" s="67">
        <f t="shared" ca="1" si="23"/>
        <v>0</v>
      </c>
      <c r="AL55" s="67">
        <f t="shared" ca="1" si="23"/>
        <v>0</v>
      </c>
      <c r="AM55" s="67">
        <f t="shared" ca="1" si="23"/>
        <v>0</v>
      </c>
      <c r="AN55" s="67">
        <f t="shared" ca="1" si="23"/>
        <v>0</v>
      </c>
      <c r="AO55" s="67">
        <f t="shared" ca="1" si="23"/>
        <v>0</v>
      </c>
      <c r="AP55" s="67">
        <f t="shared" ca="1" si="23"/>
        <v>0</v>
      </c>
      <c r="AQ55" s="67">
        <f t="shared" ca="1" si="23"/>
        <v>0</v>
      </c>
      <c r="AR55" s="67">
        <f t="shared" ca="1" si="23"/>
        <v>0</v>
      </c>
      <c r="AS55" s="67">
        <f t="shared" ca="1" si="23"/>
        <v>0</v>
      </c>
      <c r="AT55" s="67">
        <f t="shared" ca="1" si="23"/>
        <v>0</v>
      </c>
      <c r="AU55" s="67">
        <f t="shared" ca="1" si="23"/>
        <v>0</v>
      </c>
      <c r="AV55" s="67">
        <f t="shared" ca="1" si="23"/>
        <v>0</v>
      </c>
      <c r="AW55" s="67">
        <f t="shared" ca="1" si="23"/>
        <v>0</v>
      </c>
      <c r="AX55" s="67">
        <f t="shared" ca="1" si="23"/>
        <v>0</v>
      </c>
      <c r="AY55" s="67">
        <f t="shared" ca="1" si="23"/>
        <v>0</v>
      </c>
      <c r="AZ55" s="67">
        <f t="shared" ca="1" si="21"/>
        <v>0</v>
      </c>
      <c r="BA55" s="67">
        <f t="shared" ca="1" si="21"/>
        <v>0</v>
      </c>
      <c r="BB55" s="67">
        <f t="shared" ca="1" si="21"/>
        <v>0</v>
      </c>
      <c r="BC55" s="67">
        <f t="shared" ca="1" si="21"/>
        <v>0</v>
      </c>
      <c r="BD55" s="67">
        <f t="shared" ca="1" si="21"/>
        <v>0</v>
      </c>
      <c r="BE55" s="67">
        <f t="shared" ca="1" si="21"/>
        <v>0</v>
      </c>
      <c r="BF55" s="67">
        <f t="shared" ca="1" si="21"/>
        <v>0</v>
      </c>
      <c r="BG55" s="67">
        <f t="shared" ca="1" si="21"/>
        <v>0</v>
      </c>
      <c r="BH55" s="67">
        <f t="shared" ca="1" si="21"/>
        <v>0</v>
      </c>
      <c r="BI55" s="67">
        <f t="shared" ca="1" si="21"/>
        <v>0</v>
      </c>
      <c r="BJ55" s="67">
        <f t="shared" ca="1" si="21"/>
        <v>0</v>
      </c>
      <c r="BK55" s="67">
        <f t="shared" ca="1" si="21"/>
        <v>0</v>
      </c>
      <c r="BL55" s="67">
        <f t="shared" ca="1" si="21"/>
        <v>0</v>
      </c>
      <c r="BM55" s="67">
        <f t="shared" ca="1" si="21"/>
        <v>0</v>
      </c>
      <c r="BN55" s="67">
        <f t="shared" ca="1" si="21"/>
        <v>0</v>
      </c>
      <c r="BO55" s="67">
        <f t="shared" ca="1" si="21"/>
        <v>0</v>
      </c>
      <c r="BP55" s="67">
        <f t="shared" ca="1" si="22"/>
        <v>0</v>
      </c>
      <c r="BQ55" s="67">
        <f t="shared" ca="1" si="20"/>
        <v>0</v>
      </c>
      <c r="BR55" s="67">
        <f t="shared" ca="1" si="20"/>
        <v>0</v>
      </c>
      <c r="BS55" s="67">
        <f t="shared" ca="1" si="20"/>
        <v>0</v>
      </c>
      <c r="BT55" s="67">
        <f t="shared" ca="1" si="20"/>
        <v>0</v>
      </c>
    </row>
    <row r="56" spans="1:72" x14ac:dyDescent="0.25">
      <c r="A56" s="320">
        <f t="shared" ca="1" si="6"/>
        <v>44290</v>
      </c>
      <c r="B56" s="87">
        <f t="shared" ca="1" si="9"/>
        <v>44284</v>
      </c>
      <c r="C56" s="67">
        <v>51</v>
      </c>
      <c r="D56" s="67" t="str">
        <f t="shared" ca="1" si="10"/>
        <v/>
      </c>
      <c r="E56" s="67" t="str">
        <f t="shared" ref="E56:E57" ca="1" si="25">IF(TEXT(B56,"MMM")=TEXT(B55,"MMM")," ",TEXT(B56,"MMM"))</f>
        <v xml:space="preserve"> </v>
      </c>
      <c r="F56" s="67">
        <f t="shared" ca="1" si="7"/>
        <v>13</v>
      </c>
      <c r="G56" s="67" t="str">
        <f>ROW(A51)&amp;". "&amp;'Critical resources'!B62</f>
        <v xml:space="preserve">51. </v>
      </c>
      <c r="H56" s="67">
        <f ca="1">IFERROR(VLOOKUP('Critical resources'!D62,$B$6:$C$57,2,0),0)</f>
        <v>0</v>
      </c>
      <c r="I56" s="67">
        <f ca="1">IFERROR(VLOOKUP('Critical resources'!E62,$A$6:$C$57,3,0),0)</f>
        <v>0</v>
      </c>
      <c r="J56" s="67">
        <f ca="1">IFERROR(VLOOKUP('Critical resources'!G62,$B$6:$C$57,2,0),0)</f>
        <v>0</v>
      </c>
      <c r="K56" s="67">
        <f ca="1">IFERROR(VLOOKUP('Critical resources'!H62,$B$6:$C$57,2,0),0)</f>
        <v>0</v>
      </c>
      <c r="L56" s="67">
        <f ca="1">IFERROR(VLOOKUP('Critical resources'!J62,$B$6:$C$57,2,0),0)</f>
        <v>0</v>
      </c>
      <c r="M56" s="67">
        <f ca="1">IFERROR(VLOOKUP('Critical resources'!K62,$A$6:$C$57,3,0),0)</f>
        <v>0</v>
      </c>
      <c r="N56" s="67">
        <f ca="1">IFERROR(VLOOKUP('Critical resources'!M62,$B$6:$C$57,2,0),0)</f>
        <v>0</v>
      </c>
      <c r="O56" s="67">
        <f ca="1">IFERROR(VLOOKUP('Critical resources'!N62,$A$6:$C$57,3,0),0)</f>
        <v>0</v>
      </c>
      <c r="P56" s="67">
        <f ca="1">IFERROR(VLOOKUP('Critical resources'!P62,$B$6:$C$57,2,0),0)</f>
        <v>0</v>
      </c>
      <c r="Q56" s="67">
        <f ca="1">IFERROR(VLOOKUP('Critical resources'!Q62,$A$6:$C$57,3,0),0)</f>
        <v>0</v>
      </c>
      <c r="T56" s="67" t="str">
        <f t="shared" si="17"/>
        <v xml:space="preserve">51. </v>
      </c>
      <c r="U56" s="67">
        <f t="shared" ca="1" si="24"/>
        <v>0</v>
      </c>
      <c r="V56" s="67">
        <f t="shared" ca="1" si="24"/>
        <v>0</v>
      </c>
      <c r="W56" s="67">
        <f t="shared" ca="1" si="24"/>
        <v>0</v>
      </c>
      <c r="X56" s="67">
        <f t="shared" ca="1" si="24"/>
        <v>0</v>
      </c>
      <c r="Y56" s="67">
        <f t="shared" ca="1" si="24"/>
        <v>0</v>
      </c>
      <c r="Z56" s="67">
        <f t="shared" ca="1" si="24"/>
        <v>0</v>
      </c>
      <c r="AA56" s="67">
        <f t="shared" ca="1" si="24"/>
        <v>0</v>
      </c>
      <c r="AB56" s="67">
        <f t="shared" ca="1" si="24"/>
        <v>0</v>
      </c>
      <c r="AC56" s="67">
        <f t="shared" ca="1" si="24"/>
        <v>0</v>
      </c>
      <c r="AD56" s="67">
        <f t="shared" ca="1" si="24"/>
        <v>0</v>
      </c>
      <c r="AE56" s="67">
        <f t="shared" ca="1" si="24"/>
        <v>0</v>
      </c>
      <c r="AF56" s="67">
        <f t="shared" ca="1" si="24"/>
        <v>0</v>
      </c>
      <c r="AG56" s="67">
        <f t="shared" ca="1" si="24"/>
        <v>0</v>
      </c>
      <c r="AH56" s="67">
        <f t="shared" ca="1" si="24"/>
        <v>0</v>
      </c>
      <c r="AI56" s="67">
        <f t="shared" ca="1" si="24"/>
        <v>0</v>
      </c>
      <c r="AJ56" s="67">
        <f t="shared" ca="1" si="24"/>
        <v>0</v>
      </c>
      <c r="AK56" s="67">
        <f t="shared" ca="1" si="23"/>
        <v>0</v>
      </c>
      <c r="AL56" s="67">
        <f t="shared" ca="1" si="23"/>
        <v>0</v>
      </c>
      <c r="AM56" s="67">
        <f t="shared" ca="1" si="23"/>
        <v>0</v>
      </c>
      <c r="AN56" s="67">
        <f t="shared" ca="1" si="23"/>
        <v>0</v>
      </c>
      <c r="AO56" s="67">
        <f t="shared" ca="1" si="23"/>
        <v>0</v>
      </c>
      <c r="AP56" s="67">
        <f t="shared" ca="1" si="23"/>
        <v>0</v>
      </c>
      <c r="AQ56" s="67">
        <f t="shared" ca="1" si="23"/>
        <v>0</v>
      </c>
      <c r="AR56" s="67">
        <f t="shared" ca="1" si="23"/>
        <v>0</v>
      </c>
      <c r="AS56" s="67">
        <f t="shared" ca="1" si="23"/>
        <v>0</v>
      </c>
      <c r="AT56" s="67">
        <f t="shared" ca="1" si="23"/>
        <v>0</v>
      </c>
      <c r="AU56" s="67">
        <f t="shared" ca="1" si="23"/>
        <v>0</v>
      </c>
      <c r="AV56" s="67">
        <f t="shared" ca="1" si="23"/>
        <v>0</v>
      </c>
      <c r="AW56" s="67">
        <f t="shared" ca="1" si="23"/>
        <v>0</v>
      </c>
      <c r="AX56" s="67">
        <f t="shared" ca="1" si="23"/>
        <v>0</v>
      </c>
      <c r="AY56" s="67">
        <f t="shared" ca="1" si="23"/>
        <v>0</v>
      </c>
      <c r="AZ56" s="67">
        <f t="shared" ca="1" si="21"/>
        <v>0</v>
      </c>
      <c r="BA56" s="67">
        <f t="shared" ca="1" si="21"/>
        <v>0</v>
      </c>
      <c r="BB56" s="67">
        <f t="shared" ca="1" si="21"/>
        <v>0</v>
      </c>
      <c r="BC56" s="67">
        <f t="shared" ca="1" si="21"/>
        <v>0</v>
      </c>
      <c r="BD56" s="67">
        <f t="shared" ca="1" si="21"/>
        <v>0</v>
      </c>
      <c r="BE56" s="67">
        <f t="shared" ca="1" si="21"/>
        <v>0</v>
      </c>
      <c r="BF56" s="67">
        <f t="shared" ca="1" si="21"/>
        <v>0</v>
      </c>
      <c r="BG56" s="67">
        <f t="shared" ca="1" si="21"/>
        <v>0</v>
      </c>
      <c r="BH56" s="67">
        <f t="shared" ca="1" si="21"/>
        <v>0</v>
      </c>
      <c r="BI56" s="67">
        <f t="shared" ca="1" si="21"/>
        <v>0</v>
      </c>
      <c r="BJ56" s="67">
        <f t="shared" ca="1" si="21"/>
        <v>0</v>
      </c>
      <c r="BK56" s="67">
        <f t="shared" ca="1" si="21"/>
        <v>0</v>
      </c>
      <c r="BL56" s="67">
        <f t="shared" ca="1" si="21"/>
        <v>0</v>
      </c>
      <c r="BM56" s="67">
        <f t="shared" ca="1" si="21"/>
        <v>0</v>
      </c>
      <c r="BN56" s="67">
        <f t="shared" ca="1" si="21"/>
        <v>0</v>
      </c>
      <c r="BO56" s="67">
        <f t="shared" ca="1" si="21"/>
        <v>0</v>
      </c>
      <c r="BP56" s="67">
        <f t="shared" ca="1" si="22"/>
        <v>0</v>
      </c>
      <c r="BQ56" s="67">
        <f t="shared" ca="1" si="20"/>
        <v>0</v>
      </c>
      <c r="BR56" s="67">
        <f t="shared" ca="1" si="20"/>
        <v>0</v>
      </c>
      <c r="BS56" s="67">
        <f t="shared" ca="1" si="20"/>
        <v>0</v>
      </c>
      <c r="BT56" s="67">
        <f t="shared" ca="1" si="20"/>
        <v>0</v>
      </c>
    </row>
    <row r="57" spans="1:72" x14ac:dyDescent="0.25">
      <c r="A57" s="320">
        <f t="shared" ca="1" si="6"/>
        <v>44297</v>
      </c>
      <c r="B57" s="87">
        <f t="shared" ca="1" si="9"/>
        <v>44291</v>
      </c>
      <c r="C57" s="67">
        <v>52</v>
      </c>
      <c r="D57" s="67" t="str">
        <f t="shared" ca="1" si="10"/>
        <v/>
      </c>
      <c r="E57" s="67" t="str">
        <f t="shared" ca="1" si="25"/>
        <v>Apr</v>
      </c>
      <c r="F57" s="67">
        <f t="shared" ca="1" si="7"/>
        <v>14</v>
      </c>
      <c r="G57" s="67" t="str">
        <f>ROW(A52)&amp;". "&amp;'Critical resources'!B63</f>
        <v xml:space="preserve">52. </v>
      </c>
      <c r="H57" s="67">
        <f ca="1">IFERROR(VLOOKUP('Critical resources'!D63,$B$6:$C$57,2,0),0)</f>
        <v>0</v>
      </c>
      <c r="I57" s="67">
        <f ca="1">IFERROR(VLOOKUP('Critical resources'!E63,$A$6:$C$57,3,0),0)</f>
        <v>0</v>
      </c>
      <c r="J57" s="67">
        <f ca="1">IFERROR(VLOOKUP('Critical resources'!G63,$B$6:$C$57,2,0),0)</f>
        <v>0</v>
      </c>
      <c r="K57" s="67">
        <f ca="1">IFERROR(VLOOKUP('Critical resources'!H63,$B$6:$C$57,2,0),0)</f>
        <v>0</v>
      </c>
      <c r="L57" s="67">
        <f ca="1">IFERROR(VLOOKUP('Critical resources'!J63,$B$6:$C$57,2,0),0)</f>
        <v>0</v>
      </c>
      <c r="M57" s="67">
        <f ca="1">IFERROR(VLOOKUP('Critical resources'!K63,$A$6:$C$57,3,0),0)</f>
        <v>0</v>
      </c>
      <c r="N57" s="67">
        <f ca="1">IFERROR(VLOOKUP('Critical resources'!M63,$B$6:$C$57,2,0),0)</f>
        <v>0</v>
      </c>
      <c r="O57" s="67">
        <f ca="1">IFERROR(VLOOKUP('Critical resources'!N63,$A$6:$C$57,3,0),0)</f>
        <v>0</v>
      </c>
      <c r="P57" s="67">
        <f ca="1">IFERROR(VLOOKUP('Critical resources'!P63,$B$6:$C$57,2,0),0)</f>
        <v>0</v>
      </c>
      <c r="Q57" s="67">
        <f ca="1">IFERROR(VLOOKUP('Critical resources'!Q63,$A$6:$C$57,3,0),0)</f>
        <v>0</v>
      </c>
      <c r="T57" s="67" t="str">
        <f t="shared" si="17"/>
        <v xml:space="preserve">52. </v>
      </c>
      <c r="U57" s="67">
        <f t="shared" ca="1" si="24"/>
        <v>0</v>
      </c>
      <c r="V57" s="67">
        <f t="shared" ca="1" si="24"/>
        <v>0</v>
      </c>
      <c r="W57" s="67">
        <f t="shared" ca="1" si="24"/>
        <v>0</v>
      </c>
      <c r="X57" s="67">
        <f t="shared" ca="1" si="24"/>
        <v>0</v>
      </c>
      <c r="Y57" s="67">
        <f t="shared" ca="1" si="24"/>
        <v>0</v>
      </c>
      <c r="Z57" s="67">
        <f t="shared" ca="1" si="24"/>
        <v>0</v>
      </c>
      <c r="AA57" s="67">
        <f t="shared" ca="1" si="24"/>
        <v>0</v>
      </c>
      <c r="AB57" s="67">
        <f t="shared" ca="1" si="24"/>
        <v>0</v>
      </c>
      <c r="AC57" s="67">
        <f t="shared" ca="1" si="24"/>
        <v>0</v>
      </c>
      <c r="AD57" s="67">
        <f t="shared" ca="1" si="24"/>
        <v>0</v>
      </c>
      <c r="AE57" s="67">
        <f t="shared" ca="1" si="24"/>
        <v>0</v>
      </c>
      <c r="AF57" s="67">
        <f t="shared" ca="1" si="24"/>
        <v>0</v>
      </c>
      <c r="AG57" s="67">
        <f t="shared" ca="1" si="24"/>
        <v>0</v>
      </c>
      <c r="AH57" s="67">
        <f t="shared" ca="1" si="24"/>
        <v>0</v>
      </c>
      <c r="AI57" s="67">
        <f t="shared" ca="1" si="24"/>
        <v>0</v>
      </c>
      <c r="AJ57" s="67">
        <f t="shared" ca="1" si="24"/>
        <v>0</v>
      </c>
      <c r="AK57" s="67">
        <f t="shared" ca="1" si="23"/>
        <v>0</v>
      </c>
      <c r="AL57" s="67">
        <f t="shared" ca="1" si="23"/>
        <v>0</v>
      </c>
      <c r="AM57" s="67">
        <f t="shared" ca="1" si="23"/>
        <v>0</v>
      </c>
      <c r="AN57" s="67">
        <f t="shared" ca="1" si="23"/>
        <v>0</v>
      </c>
      <c r="AO57" s="67">
        <f t="shared" ca="1" si="23"/>
        <v>0</v>
      </c>
      <c r="AP57" s="67">
        <f t="shared" ca="1" si="23"/>
        <v>0</v>
      </c>
      <c r="AQ57" s="67">
        <f t="shared" ca="1" si="23"/>
        <v>0</v>
      </c>
      <c r="AR57" s="67">
        <f t="shared" ca="1" si="23"/>
        <v>0</v>
      </c>
      <c r="AS57" s="67">
        <f t="shared" ca="1" si="23"/>
        <v>0</v>
      </c>
      <c r="AT57" s="67">
        <f t="shared" ca="1" si="23"/>
        <v>0</v>
      </c>
      <c r="AU57" s="67">
        <f t="shared" ca="1" si="23"/>
        <v>0</v>
      </c>
      <c r="AV57" s="67">
        <f t="shared" ca="1" si="23"/>
        <v>0</v>
      </c>
      <c r="AW57" s="67">
        <f t="shared" ca="1" si="23"/>
        <v>0</v>
      </c>
      <c r="AX57" s="67">
        <f t="shared" ca="1" si="23"/>
        <v>0</v>
      </c>
      <c r="AY57" s="67">
        <f t="shared" ca="1" si="23"/>
        <v>0</v>
      </c>
      <c r="AZ57" s="67">
        <f t="shared" ca="1" si="21"/>
        <v>0</v>
      </c>
      <c r="BA57" s="67">
        <f t="shared" ca="1" si="21"/>
        <v>0</v>
      </c>
      <c r="BB57" s="67">
        <f t="shared" ca="1" si="21"/>
        <v>0</v>
      </c>
      <c r="BC57" s="67">
        <f t="shared" ca="1" si="21"/>
        <v>0</v>
      </c>
      <c r="BD57" s="67">
        <f t="shared" ca="1" si="21"/>
        <v>0</v>
      </c>
      <c r="BE57" s="67">
        <f t="shared" ca="1" si="21"/>
        <v>0</v>
      </c>
      <c r="BF57" s="67">
        <f t="shared" ca="1" si="21"/>
        <v>0</v>
      </c>
      <c r="BG57" s="67">
        <f t="shared" ca="1" si="21"/>
        <v>0</v>
      </c>
      <c r="BH57" s="67">
        <f t="shared" ca="1" si="21"/>
        <v>0</v>
      </c>
      <c r="BI57" s="67">
        <f t="shared" ca="1" si="21"/>
        <v>0</v>
      </c>
      <c r="BJ57" s="67">
        <f t="shared" ca="1" si="21"/>
        <v>0</v>
      </c>
      <c r="BK57" s="67">
        <f t="shared" ca="1" si="21"/>
        <v>0</v>
      </c>
      <c r="BL57" s="67">
        <f t="shared" ca="1" si="21"/>
        <v>0</v>
      </c>
      <c r="BM57" s="67">
        <f t="shared" ca="1" si="21"/>
        <v>0</v>
      </c>
      <c r="BN57" s="67">
        <f t="shared" ca="1" si="21"/>
        <v>0</v>
      </c>
      <c r="BO57" s="67">
        <f t="shared" ca="1" si="21"/>
        <v>0</v>
      </c>
      <c r="BP57" s="67">
        <f t="shared" ca="1" si="22"/>
        <v>0</v>
      </c>
      <c r="BQ57" s="67">
        <f t="shared" ca="1" si="20"/>
        <v>0</v>
      </c>
      <c r="BR57" s="67">
        <f t="shared" ca="1" si="20"/>
        <v>0</v>
      </c>
      <c r="BS57" s="67">
        <f t="shared" ca="1" si="20"/>
        <v>0</v>
      </c>
      <c r="BT57" s="67">
        <f t="shared" ca="1" si="20"/>
        <v>0</v>
      </c>
    </row>
    <row r="58" spans="1:72" x14ac:dyDescent="0.25">
      <c r="B58" s="87"/>
      <c r="G58" s="67" t="str">
        <f>ROW(A53)&amp;". "&amp;'Critical resources'!B64</f>
        <v xml:space="preserve">53. </v>
      </c>
      <c r="H58" s="67">
        <f ca="1">IFERROR(VLOOKUP('Critical resources'!D64,$B$6:$C$57,2,0),0)</f>
        <v>0</v>
      </c>
      <c r="I58" s="67">
        <f ca="1">IFERROR(VLOOKUP('Critical resources'!E64,$A$6:$C$57,3,0),0)</f>
        <v>0</v>
      </c>
      <c r="J58" s="67">
        <f ca="1">IFERROR(VLOOKUP('Critical resources'!G64,$B$6:$C$57,2,0),0)</f>
        <v>0</v>
      </c>
      <c r="K58" s="67">
        <f ca="1">IFERROR(VLOOKUP('Critical resources'!H64,$B$6:$C$57,2,0),0)</f>
        <v>0</v>
      </c>
      <c r="L58" s="67">
        <f ca="1">IFERROR(VLOOKUP('Critical resources'!J64,$B$6:$C$57,2,0),0)</f>
        <v>0</v>
      </c>
      <c r="M58" s="67">
        <f ca="1">IFERROR(VLOOKUP('Critical resources'!K64,$A$6:$C$57,3,0),0)</f>
        <v>0</v>
      </c>
      <c r="N58" s="67">
        <f ca="1">IFERROR(VLOOKUP('Critical resources'!M64,$B$6:$C$57,2,0),0)</f>
        <v>0</v>
      </c>
      <c r="O58" s="67">
        <f ca="1">IFERROR(VLOOKUP('Critical resources'!N64,$A$6:$C$57,3,0),0)</f>
        <v>0</v>
      </c>
      <c r="P58" s="67">
        <f ca="1">IFERROR(VLOOKUP('Critical resources'!P64,$B$6:$C$57,2,0),0)</f>
        <v>0</v>
      </c>
      <c r="Q58" s="67">
        <f ca="1">IFERROR(VLOOKUP('Critical resources'!Q64,$A$6:$C$57,3,0),0)</f>
        <v>0</v>
      </c>
      <c r="T58" s="67" t="str">
        <f t="shared" si="17"/>
        <v xml:space="preserve">53. </v>
      </c>
      <c r="U58" s="67">
        <f t="shared" ca="1" si="24"/>
        <v>0</v>
      </c>
      <c r="V58" s="67">
        <f t="shared" ca="1" si="24"/>
        <v>0</v>
      </c>
      <c r="W58" s="67">
        <f t="shared" ca="1" si="24"/>
        <v>0</v>
      </c>
      <c r="X58" s="67">
        <f t="shared" ca="1" si="24"/>
        <v>0</v>
      </c>
      <c r="Y58" s="67">
        <f t="shared" ca="1" si="24"/>
        <v>0</v>
      </c>
      <c r="Z58" s="67">
        <f t="shared" ca="1" si="24"/>
        <v>0</v>
      </c>
      <c r="AA58" s="67">
        <f t="shared" ca="1" si="24"/>
        <v>0</v>
      </c>
      <c r="AB58" s="67">
        <f t="shared" ca="1" si="24"/>
        <v>0</v>
      </c>
      <c r="AC58" s="67">
        <f t="shared" ca="1" si="24"/>
        <v>0</v>
      </c>
      <c r="AD58" s="67">
        <f t="shared" ca="1" si="24"/>
        <v>0</v>
      </c>
      <c r="AE58" s="67">
        <f t="shared" ca="1" si="24"/>
        <v>0</v>
      </c>
      <c r="AF58" s="67">
        <f t="shared" ca="1" si="24"/>
        <v>0</v>
      </c>
      <c r="AG58" s="67">
        <f t="shared" ca="1" si="24"/>
        <v>0</v>
      </c>
      <c r="AH58" s="67">
        <f t="shared" ca="1" si="24"/>
        <v>0</v>
      </c>
      <c r="AI58" s="67">
        <f t="shared" ca="1" si="24"/>
        <v>0</v>
      </c>
      <c r="AJ58" s="67">
        <f t="shared" ca="1" si="24"/>
        <v>0</v>
      </c>
      <c r="AK58" s="67">
        <f t="shared" ca="1" si="23"/>
        <v>0</v>
      </c>
      <c r="AL58" s="67">
        <f t="shared" ca="1" si="23"/>
        <v>0</v>
      </c>
      <c r="AM58" s="67">
        <f t="shared" ca="1" si="23"/>
        <v>0</v>
      </c>
      <c r="AN58" s="67">
        <f t="shared" ca="1" si="23"/>
        <v>0</v>
      </c>
      <c r="AO58" s="67">
        <f t="shared" ca="1" si="23"/>
        <v>0</v>
      </c>
      <c r="AP58" s="67">
        <f t="shared" ca="1" si="23"/>
        <v>0</v>
      </c>
      <c r="AQ58" s="67">
        <f t="shared" ca="1" si="23"/>
        <v>0</v>
      </c>
      <c r="AR58" s="67">
        <f t="shared" ca="1" si="23"/>
        <v>0</v>
      </c>
      <c r="AS58" s="67">
        <f t="shared" ca="1" si="23"/>
        <v>0</v>
      </c>
      <c r="AT58" s="67">
        <f t="shared" ca="1" si="23"/>
        <v>0</v>
      </c>
      <c r="AU58" s="67">
        <f t="shared" ca="1" si="23"/>
        <v>0</v>
      </c>
      <c r="AV58" s="67">
        <f t="shared" ca="1" si="23"/>
        <v>0</v>
      </c>
      <c r="AW58" s="67">
        <f t="shared" ca="1" si="23"/>
        <v>0</v>
      </c>
      <c r="AX58" s="67">
        <f t="shared" ca="1" si="23"/>
        <v>0</v>
      </c>
      <c r="AY58" s="67">
        <f t="shared" ca="1" si="23"/>
        <v>0</v>
      </c>
      <c r="AZ58" s="67">
        <f t="shared" ca="1" si="21"/>
        <v>0</v>
      </c>
      <c r="BA58" s="67">
        <f t="shared" ca="1" si="21"/>
        <v>0</v>
      </c>
      <c r="BB58" s="67">
        <f t="shared" ca="1" si="21"/>
        <v>0</v>
      </c>
      <c r="BC58" s="67">
        <f t="shared" ca="1" si="21"/>
        <v>0</v>
      </c>
      <c r="BD58" s="67">
        <f t="shared" ca="1" si="21"/>
        <v>0</v>
      </c>
      <c r="BE58" s="67">
        <f t="shared" ca="1" si="21"/>
        <v>0</v>
      </c>
      <c r="BF58" s="67">
        <f t="shared" ca="1" si="21"/>
        <v>0</v>
      </c>
      <c r="BG58" s="67">
        <f t="shared" ca="1" si="21"/>
        <v>0</v>
      </c>
      <c r="BH58" s="67">
        <f t="shared" ca="1" si="21"/>
        <v>0</v>
      </c>
      <c r="BI58" s="67">
        <f t="shared" ca="1" si="21"/>
        <v>0</v>
      </c>
      <c r="BJ58" s="67">
        <f t="shared" ca="1" si="21"/>
        <v>0</v>
      </c>
      <c r="BK58" s="67">
        <f t="shared" ca="1" si="21"/>
        <v>0</v>
      </c>
      <c r="BL58" s="67">
        <f t="shared" ca="1" si="21"/>
        <v>0</v>
      </c>
      <c r="BM58" s="67">
        <f t="shared" ca="1" si="21"/>
        <v>0</v>
      </c>
      <c r="BN58" s="67">
        <f t="shared" ca="1" si="21"/>
        <v>0</v>
      </c>
      <c r="BO58" s="67">
        <f t="shared" ca="1" si="21"/>
        <v>0</v>
      </c>
      <c r="BP58" s="67">
        <f t="shared" ca="1" si="22"/>
        <v>0</v>
      </c>
      <c r="BQ58" s="67">
        <f t="shared" ca="1" si="20"/>
        <v>0</v>
      </c>
      <c r="BR58" s="67">
        <f t="shared" ca="1" si="20"/>
        <v>0</v>
      </c>
      <c r="BS58" s="67">
        <f t="shared" ca="1" si="20"/>
        <v>0</v>
      </c>
      <c r="BT58" s="67">
        <f t="shared" ca="1" si="20"/>
        <v>0</v>
      </c>
    </row>
    <row r="59" spans="1:72" x14ac:dyDescent="0.25">
      <c r="B59" s="87"/>
      <c r="G59" s="67" t="str">
        <f>ROW(A54)&amp;". "&amp;'Critical resources'!B65</f>
        <v xml:space="preserve">54. </v>
      </c>
      <c r="H59" s="67">
        <f ca="1">IFERROR(VLOOKUP('Critical resources'!D65,$B$6:$C$57,2,0),0)</f>
        <v>0</v>
      </c>
      <c r="I59" s="67">
        <f ca="1">IFERROR(VLOOKUP('Critical resources'!E65,$A$6:$C$57,3,0),0)</f>
        <v>0</v>
      </c>
      <c r="J59" s="67">
        <f ca="1">IFERROR(VLOOKUP('Critical resources'!G65,$B$6:$C$57,2,0),0)</f>
        <v>0</v>
      </c>
      <c r="K59" s="67">
        <f ca="1">IFERROR(VLOOKUP('Critical resources'!H65,$B$6:$C$57,2,0),0)</f>
        <v>0</v>
      </c>
      <c r="L59" s="67">
        <f ca="1">IFERROR(VLOOKUP('Critical resources'!J65,$B$6:$C$57,2,0),0)</f>
        <v>0</v>
      </c>
      <c r="M59" s="67">
        <f ca="1">IFERROR(VLOOKUP('Critical resources'!K65,$A$6:$C$57,3,0),0)</f>
        <v>0</v>
      </c>
      <c r="N59" s="67">
        <f ca="1">IFERROR(VLOOKUP('Critical resources'!M65,$B$6:$C$57,2,0),0)</f>
        <v>0</v>
      </c>
      <c r="O59" s="67">
        <f ca="1">IFERROR(VLOOKUP('Critical resources'!N65,$A$6:$C$57,3,0),0)</f>
        <v>0</v>
      </c>
      <c r="P59" s="67">
        <f ca="1">IFERROR(VLOOKUP('Critical resources'!P65,$B$6:$C$57,2,0),0)</f>
        <v>0</v>
      </c>
      <c r="Q59" s="67">
        <f ca="1">IFERROR(VLOOKUP('Critical resources'!Q65,$A$6:$C$57,3,0),0)</f>
        <v>0</v>
      </c>
      <c r="T59" s="67" t="str">
        <f t="shared" si="17"/>
        <v xml:space="preserve">54. </v>
      </c>
      <c r="U59" s="67">
        <f t="shared" ca="1" si="24"/>
        <v>0</v>
      </c>
      <c r="V59" s="67">
        <f t="shared" ca="1" si="24"/>
        <v>0</v>
      </c>
      <c r="W59" s="67">
        <f t="shared" ca="1" si="24"/>
        <v>0</v>
      </c>
      <c r="X59" s="67">
        <f t="shared" ca="1" si="24"/>
        <v>0</v>
      </c>
      <c r="Y59" s="67">
        <f t="shared" ca="1" si="24"/>
        <v>0</v>
      </c>
      <c r="Z59" s="67">
        <f t="shared" ca="1" si="24"/>
        <v>0</v>
      </c>
      <c r="AA59" s="67">
        <f t="shared" ca="1" si="24"/>
        <v>0</v>
      </c>
      <c r="AB59" s="67">
        <f t="shared" ca="1" si="24"/>
        <v>0</v>
      </c>
      <c r="AC59" s="67">
        <f t="shared" ca="1" si="24"/>
        <v>0</v>
      </c>
      <c r="AD59" s="67">
        <f t="shared" ca="1" si="24"/>
        <v>0</v>
      </c>
      <c r="AE59" s="67">
        <f t="shared" ca="1" si="24"/>
        <v>0</v>
      </c>
      <c r="AF59" s="67">
        <f t="shared" ca="1" si="24"/>
        <v>0</v>
      </c>
      <c r="AG59" s="67">
        <f t="shared" ca="1" si="24"/>
        <v>0</v>
      </c>
      <c r="AH59" s="67">
        <f t="shared" ca="1" si="24"/>
        <v>0</v>
      </c>
      <c r="AI59" s="67">
        <f t="shared" ca="1" si="24"/>
        <v>0</v>
      </c>
      <c r="AJ59" s="67">
        <f t="shared" ca="1" si="24"/>
        <v>0</v>
      </c>
      <c r="AK59" s="67">
        <f t="shared" ca="1" si="23"/>
        <v>0</v>
      </c>
      <c r="AL59" s="67">
        <f t="shared" ca="1" si="23"/>
        <v>0</v>
      </c>
      <c r="AM59" s="67">
        <f t="shared" ca="1" si="23"/>
        <v>0</v>
      </c>
      <c r="AN59" s="67">
        <f t="shared" ca="1" si="23"/>
        <v>0</v>
      </c>
      <c r="AO59" s="67">
        <f t="shared" ca="1" si="23"/>
        <v>0</v>
      </c>
      <c r="AP59" s="67">
        <f t="shared" ca="1" si="23"/>
        <v>0</v>
      </c>
      <c r="AQ59" s="67">
        <f t="shared" ca="1" si="23"/>
        <v>0</v>
      </c>
      <c r="AR59" s="67">
        <f t="shared" ca="1" si="23"/>
        <v>0</v>
      </c>
      <c r="AS59" s="67">
        <f t="shared" ca="1" si="23"/>
        <v>0</v>
      </c>
      <c r="AT59" s="67">
        <f t="shared" ca="1" si="23"/>
        <v>0</v>
      </c>
      <c r="AU59" s="67">
        <f t="shared" ca="1" si="23"/>
        <v>0</v>
      </c>
      <c r="AV59" s="67">
        <f t="shared" ca="1" si="23"/>
        <v>0</v>
      </c>
      <c r="AW59" s="67">
        <f t="shared" ca="1" si="23"/>
        <v>0</v>
      </c>
      <c r="AX59" s="67">
        <f t="shared" ca="1" si="23"/>
        <v>0</v>
      </c>
      <c r="AY59" s="67">
        <f t="shared" ca="1" si="23"/>
        <v>0</v>
      </c>
      <c r="AZ59" s="67">
        <f t="shared" ca="1" si="21"/>
        <v>0</v>
      </c>
      <c r="BA59" s="67">
        <f t="shared" ca="1" si="21"/>
        <v>0</v>
      </c>
      <c r="BB59" s="67">
        <f t="shared" ca="1" si="21"/>
        <v>0</v>
      </c>
      <c r="BC59" s="67">
        <f t="shared" ca="1" si="21"/>
        <v>0</v>
      </c>
      <c r="BD59" s="67">
        <f t="shared" ca="1" si="21"/>
        <v>0</v>
      </c>
      <c r="BE59" s="67">
        <f t="shared" ca="1" si="21"/>
        <v>0</v>
      </c>
      <c r="BF59" s="67">
        <f t="shared" ca="1" si="21"/>
        <v>0</v>
      </c>
      <c r="BG59" s="67">
        <f t="shared" ca="1" si="21"/>
        <v>0</v>
      </c>
      <c r="BH59" s="67">
        <f t="shared" ca="1" si="21"/>
        <v>0</v>
      </c>
      <c r="BI59" s="67">
        <f t="shared" ca="1" si="21"/>
        <v>0</v>
      </c>
      <c r="BJ59" s="67">
        <f t="shared" ca="1" si="21"/>
        <v>0</v>
      </c>
      <c r="BK59" s="67">
        <f t="shared" ca="1" si="21"/>
        <v>0</v>
      </c>
      <c r="BL59" s="67">
        <f t="shared" ca="1" si="21"/>
        <v>0</v>
      </c>
      <c r="BM59" s="67">
        <f t="shared" ca="1" si="21"/>
        <v>0</v>
      </c>
      <c r="BN59" s="67">
        <f t="shared" ca="1" si="21"/>
        <v>0</v>
      </c>
      <c r="BO59" s="67">
        <f t="shared" ca="1" si="21"/>
        <v>0</v>
      </c>
      <c r="BP59" s="67">
        <f t="shared" ca="1" si="22"/>
        <v>0</v>
      </c>
      <c r="BQ59" s="67">
        <f t="shared" ca="1" si="20"/>
        <v>0</v>
      </c>
      <c r="BR59" s="67">
        <f t="shared" ca="1" si="20"/>
        <v>0</v>
      </c>
      <c r="BS59" s="67">
        <f t="shared" ca="1" si="20"/>
        <v>0</v>
      </c>
      <c r="BT59" s="67">
        <f t="shared" ca="1" si="20"/>
        <v>0</v>
      </c>
    </row>
    <row r="60" spans="1:72" x14ac:dyDescent="0.25">
      <c r="B60" s="87"/>
      <c r="G60" s="67" t="str">
        <f>ROW(A55)&amp;". "&amp;'Critical resources'!B66</f>
        <v xml:space="preserve">55. </v>
      </c>
      <c r="H60" s="67">
        <f ca="1">IFERROR(VLOOKUP('Critical resources'!D66,$B$6:$C$57,2,0),0)</f>
        <v>0</v>
      </c>
      <c r="I60" s="67">
        <f ca="1">IFERROR(VLOOKUP('Critical resources'!E66,$A$6:$C$57,3,0),0)</f>
        <v>0</v>
      </c>
      <c r="J60" s="67">
        <f ca="1">IFERROR(VLOOKUP('Critical resources'!G66,$B$6:$C$57,2,0),0)</f>
        <v>0</v>
      </c>
      <c r="K60" s="67">
        <f ca="1">IFERROR(VLOOKUP('Critical resources'!H66,$B$6:$C$57,2,0),0)</f>
        <v>0</v>
      </c>
      <c r="L60" s="67">
        <f ca="1">IFERROR(VLOOKUP('Critical resources'!J66,$B$6:$C$57,2,0),0)</f>
        <v>0</v>
      </c>
      <c r="M60" s="67">
        <f ca="1">IFERROR(VLOOKUP('Critical resources'!K66,$A$6:$C$57,3,0),0)</f>
        <v>0</v>
      </c>
      <c r="N60" s="67">
        <f ca="1">IFERROR(VLOOKUP('Critical resources'!M66,$B$6:$C$57,2,0),0)</f>
        <v>0</v>
      </c>
      <c r="O60" s="67">
        <f ca="1">IFERROR(VLOOKUP('Critical resources'!N66,$A$6:$C$57,3,0),0)</f>
        <v>0</v>
      </c>
      <c r="P60" s="67">
        <f ca="1">IFERROR(VLOOKUP('Critical resources'!P66,$B$6:$C$57,2,0),0)</f>
        <v>0</v>
      </c>
      <c r="Q60" s="67">
        <f ca="1">IFERROR(VLOOKUP('Critical resources'!Q66,$A$6:$C$57,3,0),0)</f>
        <v>0</v>
      </c>
      <c r="T60" s="67" t="str">
        <f t="shared" si="17"/>
        <v xml:space="preserve">55. </v>
      </c>
      <c r="U60" s="67">
        <f t="shared" ca="1" si="24"/>
        <v>0</v>
      </c>
      <c r="V60" s="67">
        <f t="shared" ca="1" si="24"/>
        <v>0</v>
      </c>
      <c r="W60" s="67">
        <f t="shared" ca="1" si="24"/>
        <v>0</v>
      </c>
      <c r="X60" s="67">
        <f t="shared" ca="1" si="24"/>
        <v>0</v>
      </c>
      <c r="Y60" s="67">
        <f t="shared" ca="1" si="24"/>
        <v>0</v>
      </c>
      <c r="Z60" s="67">
        <f t="shared" ca="1" si="24"/>
        <v>0</v>
      </c>
      <c r="AA60" s="67">
        <f t="shared" ca="1" si="24"/>
        <v>0</v>
      </c>
      <c r="AB60" s="67">
        <f t="shared" ca="1" si="24"/>
        <v>0</v>
      </c>
      <c r="AC60" s="67">
        <f t="shared" ca="1" si="24"/>
        <v>0</v>
      </c>
      <c r="AD60" s="67">
        <f t="shared" ca="1" si="24"/>
        <v>0</v>
      </c>
      <c r="AE60" s="67">
        <f t="shared" ca="1" si="24"/>
        <v>0</v>
      </c>
      <c r="AF60" s="67">
        <f t="shared" ca="1" si="24"/>
        <v>0</v>
      </c>
      <c r="AG60" s="67">
        <f t="shared" ca="1" si="24"/>
        <v>0</v>
      </c>
      <c r="AH60" s="67">
        <f t="shared" ca="1" si="24"/>
        <v>0</v>
      </c>
      <c r="AI60" s="67">
        <f t="shared" ca="1" si="24"/>
        <v>0</v>
      </c>
      <c r="AJ60" s="67">
        <f t="shared" ca="1" si="24"/>
        <v>0</v>
      </c>
      <c r="AK60" s="67">
        <f t="shared" ca="1" si="23"/>
        <v>0</v>
      </c>
      <c r="AL60" s="67">
        <f t="shared" ca="1" si="23"/>
        <v>0</v>
      </c>
      <c r="AM60" s="67">
        <f t="shared" ca="1" si="23"/>
        <v>0</v>
      </c>
      <c r="AN60" s="67">
        <f t="shared" ca="1" si="23"/>
        <v>0</v>
      </c>
      <c r="AO60" s="67">
        <f t="shared" ca="1" si="23"/>
        <v>0</v>
      </c>
      <c r="AP60" s="67">
        <f t="shared" ca="1" si="23"/>
        <v>0</v>
      </c>
      <c r="AQ60" s="67">
        <f t="shared" ca="1" si="23"/>
        <v>0</v>
      </c>
      <c r="AR60" s="67">
        <f t="shared" ca="1" si="23"/>
        <v>0</v>
      </c>
      <c r="AS60" s="67">
        <f t="shared" ca="1" si="23"/>
        <v>0</v>
      </c>
      <c r="AT60" s="67">
        <f t="shared" ca="1" si="23"/>
        <v>0</v>
      </c>
      <c r="AU60" s="67">
        <f t="shared" ca="1" si="23"/>
        <v>0</v>
      </c>
      <c r="AV60" s="67">
        <f t="shared" ca="1" si="23"/>
        <v>0</v>
      </c>
      <c r="AW60" s="67">
        <f t="shared" ca="1" si="23"/>
        <v>0</v>
      </c>
      <c r="AX60" s="67">
        <f t="shared" ca="1" si="23"/>
        <v>0</v>
      </c>
      <c r="AY60" s="67">
        <f t="shared" ca="1" si="23"/>
        <v>0</v>
      </c>
      <c r="AZ60" s="67">
        <f t="shared" ca="1" si="21"/>
        <v>0</v>
      </c>
      <c r="BA60" s="67">
        <f t="shared" ca="1" si="21"/>
        <v>0</v>
      </c>
      <c r="BB60" s="67">
        <f t="shared" ca="1" si="21"/>
        <v>0</v>
      </c>
      <c r="BC60" s="67">
        <f t="shared" ca="1" si="21"/>
        <v>0</v>
      </c>
      <c r="BD60" s="67">
        <f t="shared" ca="1" si="21"/>
        <v>0</v>
      </c>
      <c r="BE60" s="67">
        <f t="shared" ca="1" si="21"/>
        <v>0</v>
      </c>
      <c r="BF60" s="67">
        <f t="shared" ca="1" si="21"/>
        <v>0</v>
      </c>
      <c r="BG60" s="67">
        <f t="shared" ca="1" si="21"/>
        <v>0</v>
      </c>
      <c r="BH60" s="67">
        <f t="shared" ca="1" si="21"/>
        <v>0</v>
      </c>
      <c r="BI60" s="67">
        <f t="shared" ca="1" si="21"/>
        <v>0</v>
      </c>
      <c r="BJ60" s="67">
        <f t="shared" ca="1" si="21"/>
        <v>0</v>
      </c>
      <c r="BK60" s="67">
        <f t="shared" ca="1" si="21"/>
        <v>0</v>
      </c>
      <c r="BL60" s="67">
        <f t="shared" ca="1" si="21"/>
        <v>0</v>
      </c>
      <c r="BM60" s="67">
        <f t="shared" ca="1" si="21"/>
        <v>0</v>
      </c>
      <c r="BN60" s="67">
        <f t="shared" ca="1" si="21"/>
        <v>0</v>
      </c>
      <c r="BO60" s="67">
        <f t="shared" ca="1" si="21"/>
        <v>0</v>
      </c>
      <c r="BP60" s="67">
        <f t="shared" ca="1" si="22"/>
        <v>0</v>
      </c>
      <c r="BQ60" s="67">
        <f t="shared" ca="1" si="20"/>
        <v>0</v>
      </c>
      <c r="BR60" s="67">
        <f t="shared" ca="1" si="20"/>
        <v>0</v>
      </c>
      <c r="BS60" s="67">
        <f t="shared" ca="1" si="20"/>
        <v>0</v>
      </c>
      <c r="BT60" s="67">
        <f t="shared" ca="1" si="20"/>
        <v>0</v>
      </c>
    </row>
    <row r="61" spans="1:72" x14ac:dyDescent="0.25">
      <c r="G61" s="67" t="str">
        <f>ROW(A56)&amp;". "&amp;'Critical resources'!B67</f>
        <v xml:space="preserve">56. </v>
      </c>
      <c r="H61" s="67">
        <f ca="1">IFERROR(VLOOKUP('Critical resources'!D67,$B$6:$C$57,2,0),0)</f>
        <v>0</v>
      </c>
      <c r="I61" s="67">
        <f ca="1">IFERROR(VLOOKUP('Critical resources'!E67,$A$6:$C$57,3,0),0)</f>
        <v>0</v>
      </c>
      <c r="J61" s="67">
        <f ca="1">IFERROR(VLOOKUP('Critical resources'!G67,$B$6:$C$57,2,0),0)</f>
        <v>0</v>
      </c>
      <c r="K61" s="67">
        <f ca="1">IFERROR(VLOOKUP('Critical resources'!H67,$B$6:$C$57,2,0),0)</f>
        <v>0</v>
      </c>
      <c r="L61" s="67">
        <f ca="1">IFERROR(VLOOKUP('Critical resources'!J67,$B$6:$C$57,2,0),0)</f>
        <v>0</v>
      </c>
      <c r="M61" s="67">
        <f ca="1">IFERROR(VLOOKUP('Critical resources'!K67,$A$6:$C$57,3,0),0)</f>
        <v>0</v>
      </c>
      <c r="N61" s="67">
        <f ca="1">IFERROR(VLOOKUP('Critical resources'!M67,$B$6:$C$57,2,0),0)</f>
        <v>0</v>
      </c>
      <c r="O61" s="67">
        <f ca="1">IFERROR(VLOOKUP('Critical resources'!N67,$A$6:$C$57,3,0),0)</f>
        <v>0</v>
      </c>
      <c r="P61" s="67">
        <f ca="1">IFERROR(VLOOKUP('Critical resources'!P67,$B$6:$C$57,2,0),0)</f>
        <v>0</v>
      </c>
      <c r="Q61" s="67">
        <f ca="1">IFERROR(VLOOKUP('Critical resources'!Q67,$A$6:$C$57,3,0),0)</f>
        <v>0</v>
      </c>
      <c r="T61" s="67" t="str">
        <f t="shared" si="17"/>
        <v xml:space="preserve">56. </v>
      </c>
      <c r="U61" s="67">
        <f t="shared" ca="1" si="24"/>
        <v>0</v>
      </c>
      <c r="V61" s="67">
        <f t="shared" ca="1" si="24"/>
        <v>0</v>
      </c>
      <c r="W61" s="67">
        <f t="shared" ca="1" si="24"/>
        <v>0</v>
      </c>
      <c r="X61" s="67">
        <f t="shared" ca="1" si="24"/>
        <v>0</v>
      </c>
      <c r="Y61" s="67">
        <f t="shared" ca="1" si="24"/>
        <v>0</v>
      </c>
      <c r="Z61" s="67">
        <f t="shared" ca="1" si="24"/>
        <v>0</v>
      </c>
      <c r="AA61" s="67">
        <f t="shared" ca="1" si="24"/>
        <v>0</v>
      </c>
      <c r="AB61" s="67">
        <f t="shared" ca="1" si="24"/>
        <v>0</v>
      </c>
      <c r="AC61" s="67">
        <f t="shared" ca="1" si="24"/>
        <v>0</v>
      </c>
      <c r="AD61" s="67">
        <f t="shared" ca="1" si="24"/>
        <v>0</v>
      </c>
      <c r="AE61" s="67">
        <f t="shared" ca="1" si="24"/>
        <v>0</v>
      </c>
      <c r="AF61" s="67">
        <f t="shared" ca="1" si="24"/>
        <v>0</v>
      </c>
      <c r="AG61" s="67">
        <f t="shared" ca="1" si="24"/>
        <v>0</v>
      </c>
      <c r="AH61" s="67">
        <f t="shared" ca="1" si="24"/>
        <v>0</v>
      </c>
      <c r="AI61" s="67">
        <f t="shared" ca="1" si="24"/>
        <v>0</v>
      </c>
      <c r="AJ61" s="67">
        <f t="shared" ca="1" si="24"/>
        <v>0</v>
      </c>
      <c r="AK61" s="67">
        <f t="shared" ca="1" si="23"/>
        <v>0</v>
      </c>
      <c r="AL61" s="67">
        <f t="shared" ca="1" si="23"/>
        <v>0</v>
      </c>
      <c r="AM61" s="67">
        <f t="shared" ca="1" si="23"/>
        <v>0</v>
      </c>
      <c r="AN61" s="67">
        <f t="shared" ca="1" si="23"/>
        <v>0</v>
      </c>
      <c r="AO61" s="67">
        <f t="shared" ca="1" si="23"/>
        <v>0</v>
      </c>
      <c r="AP61" s="67">
        <f t="shared" ca="1" si="23"/>
        <v>0</v>
      </c>
      <c r="AQ61" s="67">
        <f t="shared" ca="1" si="23"/>
        <v>0</v>
      </c>
      <c r="AR61" s="67">
        <f t="shared" ca="1" si="23"/>
        <v>0</v>
      </c>
      <c r="AS61" s="67">
        <f t="shared" ca="1" si="23"/>
        <v>0</v>
      </c>
      <c r="AT61" s="67">
        <f t="shared" ca="1" si="23"/>
        <v>0</v>
      </c>
      <c r="AU61" s="67">
        <f t="shared" ca="1" si="23"/>
        <v>0</v>
      </c>
      <c r="AV61" s="67">
        <f t="shared" ca="1" si="23"/>
        <v>0</v>
      </c>
      <c r="AW61" s="67">
        <f t="shared" ca="1" si="23"/>
        <v>0</v>
      </c>
      <c r="AX61" s="67">
        <f t="shared" ca="1" si="23"/>
        <v>0</v>
      </c>
      <c r="AY61" s="67">
        <f t="shared" ca="1" si="23"/>
        <v>0</v>
      </c>
      <c r="AZ61" s="67">
        <f t="shared" ca="1" si="21"/>
        <v>0</v>
      </c>
      <c r="BA61" s="67">
        <f t="shared" ca="1" si="21"/>
        <v>0</v>
      </c>
      <c r="BB61" s="67">
        <f t="shared" ca="1" si="21"/>
        <v>0</v>
      </c>
      <c r="BC61" s="67">
        <f t="shared" ca="1" si="21"/>
        <v>0</v>
      </c>
      <c r="BD61" s="67">
        <f t="shared" ca="1" si="21"/>
        <v>0</v>
      </c>
      <c r="BE61" s="67">
        <f t="shared" ca="1" si="21"/>
        <v>0</v>
      </c>
      <c r="BF61" s="67">
        <f t="shared" ca="1" si="21"/>
        <v>0</v>
      </c>
      <c r="BG61" s="67">
        <f t="shared" ca="1" si="21"/>
        <v>0</v>
      </c>
      <c r="BH61" s="67">
        <f t="shared" ca="1" si="21"/>
        <v>0</v>
      </c>
      <c r="BI61" s="67">
        <f t="shared" ca="1" si="21"/>
        <v>0</v>
      </c>
      <c r="BJ61" s="67">
        <f t="shared" ca="1" si="21"/>
        <v>0</v>
      </c>
      <c r="BK61" s="67">
        <f t="shared" ca="1" si="21"/>
        <v>0</v>
      </c>
      <c r="BL61" s="67">
        <f t="shared" ca="1" si="21"/>
        <v>0</v>
      </c>
      <c r="BM61" s="67">
        <f t="shared" ca="1" si="21"/>
        <v>0</v>
      </c>
      <c r="BN61" s="67">
        <f t="shared" ca="1" si="21"/>
        <v>0</v>
      </c>
      <c r="BO61" s="67">
        <f t="shared" ca="1" si="21"/>
        <v>0</v>
      </c>
      <c r="BP61" s="67">
        <f t="shared" ca="1" si="22"/>
        <v>0</v>
      </c>
      <c r="BQ61" s="67">
        <f t="shared" ca="1" si="22"/>
        <v>0</v>
      </c>
      <c r="BR61" s="67">
        <f t="shared" ca="1" si="22"/>
        <v>0</v>
      </c>
      <c r="BS61" s="67">
        <f t="shared" ca="1" si="22"/>
        <v>0</v>
      </c>
      <c r="BT61" s="67">
        <f t="shared" ca="1" si="22"/>
        <v>0</v>
      </c>
    </row>
    <row r="62" spans="1:72" x14ac:dyDescent="0.25">
      <c r="G62" s="67" t="str">
        <f>ROW(A57)&amp;". "&amp;'Critical resources'!B68</f>
        <v xml:space="preserve">57. </v>
      </c>
      <c r="H62" s="67">
        <f ca="1">IFERROR(VLOOKUP('Critical resources'!D68,$B$6:$C$57,2,0),0)</f>
        <v>0</v>
      </c>
      <c r="I62" s="67">
        <f ca="1">IFERROR(VLOOKUP('Critical resources'!E68,$A$6:$C$57,3,0),0)</f>
        <v>0</v>
      </c>
      <c r="J62" s="67">
        <f ca="1">IFERROR(VLOOKUP('Critical resources'!G68,$B$6:$C$57,2,0),0)</f>
        <v>0</v>
      </c>
      <c r="K62" s="67">
        <f ca="1">IFERROR(VLOOKUP('Critical resources'!H68,$B$6:$C$57,2,0),0)</f>
        <v>0</v>
      </c>
      <c r="L62" s="67">
        <f ca="1">IFERROR(VLOOKUP('Critical resources'!J68,$B$6:$C$57,2,0),0)</f>
        <v>0</v>
      </c>
      <c r="M62" s="67">
        <f ca="1">IFERROR(VLOOKUP('Critical resources'!K68,$A$6:$C$57,3,0),0)</f>
        <v>0</v>
      </c>
      <c r="N62" s="67">
        <f ca="1">IFERROR(VLOOKUP('Critical resources'!M68,$B$6:$C$57,2,0),0)</f>
        <v>0</v>
      </c>
      <c r="O62" s="67">
        <f ca="1">IFERROR(VLOOKUP('Critical resources'!N68,$A$6:$C$57,3,0),0)</f>
        <v>0</v>
      </c>
      <c r="P62" s="67">
        <f ca="1">IFERROR(VLOOKUP('Critical resources'!P68,$B$6:$C$57,2,0),0)</f>
        <v>0</v>
      </c>
      <c r="Q62" s="67">
        <f ca="1">IFERROR(VLOOKUP('Critical resources'!Q68,$A$6:$C$57,3,0),0)</f>
        <v>0</v>
      </c>
      <c r="T62" s="67" t="str">
        <f t="shared" si="17"/>
        <v xml:space="preserve">57. </v>
      </c>
      <c r="U62" s="67">
        <f t="shared" ca="1" si="24"/>
        <v>0</v>
      </c>
      <c r="V62" s="67">
        <f t="shared" ca="1" si="24"/>
        <v>0</v>
      </c>
      <c r="W62" s="67">
        <f t="shared" ca="1" si="24"/>
        <v>0</v>
      </c>
      <c r="X62" s="67">
        <f t="shared" ca="1" si="24"/>
        <v>0</v>
      </c>
      <c r="Y62" s="67">
        <f t="shared" ca="1" si="24"/>
        <v>0</v>
      </c>
      <c r="Z62" s="67">
        <f t="shared" ca="1" si="24"/>
        <v>0</v>
      </c>
      <c r="AA62" s="67">
        <f t="shared" ca="1" si="24"/>
        <v>0</v>
      </c>
      <c r="AB62" s="67">
        <f t="shared" ca="1" si="24"/>
        <v>0</v>
      </c>
      <c r="AC62" s="67">
        <f t="shared" ca="1" si="24"/>
        <v>0</v>
      </c>
      <c r="AD62" s="67">
        <f t="shared" ca="1" si="24"/>
        <v>0</v>
      </c>
      <c r="AE62" s="67">
        <f t="shared" ca="1" si="24"/>
        <v>0</v>
      </c>
      <c r="AF62" s="67">
        <f t="shared" ca="1" si="24"/>
        <v>0</v>
      </c>
      <c r="AG62" s="67">
        <f t="shared" ca="1" si="24"/>
        <v>0</v>
      </c>
      <c r="AH62" s="67">
        <f t="shared" ca="1" si="24"/>
        <v>0</v>
      </c>
      <c r="AI62" s="67">
        <f t="shared" ca="1" si="24"/>
        <v>0</v>
      </c>
      <c r="AJ62" s="67">
        <f t="shared" ca="1" si="24"/>
        <v>0</v>
      </c>
      <c r="AK62" s="67">
        <f t="shared" ca="1" si="23"/>
        <v>0</v>
      </c>
      <c r="AL62" s="67">
        <f t="shared" ca="1" si="23"/>
        <v>0</v>
      </c>
      <c r="AM62" s="67">
        <f t="shared" ca="1" si="23"/>
        <v>0</v>
      </c>
      <c r="AN62" s="67">
        <f t="shared" ca="1" si="23"/>
        <v>0</v>
      </c>
      <c r="AO62" s="67">
        <f t="shared" ca="1" si="23"/>
        <v>0</v>
      </c>
      <c r="AP62" s="67">
        <f t="shared" ca="1" si="23"/>
        <v>0</v>
      </c>
      <c r="AQ62" s="67">
        <f t="shared" ca="1" si="23"/>
        <v>0</v>
      </c>
      <c r="AR62" s="67">
        <f t="shared" ca="1" si="23"/>
        <v>0</v>
      </c>
      <c r="AS62" s="67">
        <f t="shared" ca="1" si="23"/>
        <v>0</v>
      </c>
      <c r="AT62" s="67">
        <f t="shared" ca="1" si="23"/>
        <v>0</v>
      </c>
      <c r="AU62" s="67">
        <f t="shared" ca="1" si="23"/>
        <v>0</v>
      </c>
      <c r="AV62" s="67">
        <f t="shared" ca="1" si="23"/>
        <v>0</v>
      </c>
      <c r="AW62" s="67">
        <f t="shared" ca="1" si="23"/>
        <v>0</v>
      </c>
      <c r="AX62" s="67">
        <f t="shared" ca="1" si="23"/>
        <v>0</v>
      </c>
      <c r="AY62" s="67">
        <f t="shared" ca="1" si="23"/>
        <v>0</v>
      </c>
      <c r="AZ62" s="67">
        <f t="shared" ca="1" si="21"/>
        <v>0</v>
      </c>
      <c r="BA62" s="67">
        <f t="shared" ca="1" si="21"/>
        <v>0</v>
      </c>
      <c r="BB62" s="67">
        <f t="shared" ca="1" si="21"/>
        <v>0</v>
      </c>
      <c r="BC62" s="67">
        <f t="shared" ca="1" si="21"/>
        <v>0</v>
      </c>
      <c r="BD62" s="67">
        <f t="shared" ca="1" si="21"/>
        <v>0</v>
      </c>
      <c r="BE62" s="67">
        <f t="shared" ca="1" si="21"/>
        <v>0</v>
      </c>
      <c r="BF62" s="67">
        <f t="shared" ca="1" si="21"/>
        <v>0</v>
      </c>
      <c r="BG62" s="67">
        <f t="shared" ca="1" si="21"/>
        <v>0</v>
      </c>
      <c r="BH62" s="67">
        <f t="shared" ca="1" si="21"/>
        <v>0</v>
      </c>
      <c r="BI62" s="67">
        <f t="shared" ca="1" si="21"/>
        <v>0</v>
      </c>
      <c r="BJ62" s="67">
        <f t="shared" ca="1" si="21"/>
        <v>0</v>
      </c>
      <c r="BK62" s="67">
        <f t="shared" ca="1" si="21"/>
        <v>0</v>
      </c>
      <c r="BL62" s="67">
        <f t="shared" ca="1" si="21"/>
        <v>0</v>
      </c>
      <c r="BM62" s="67">
        <f t="shared" ca="1" si="21"/>
        <v>0</v>
      </c>
      <c r="BN62" s="67">
        <f t="shared" ca="1" si="21"/>
        <v>0</v>
      </c>
      <c r="BO62" s="67">
        <f t="shared" ca="1" si="21"/>
        <v>0</v>
      </c>
      <c r="BP62" s="67">
        <f t="shared" ca="1" si="22"/>
        <v>0</v>
      </c>
      <c r="BQ62" s="67">
        <f t="shared" ca="1" si="22"/>
        <v>0</v>
      </c>
      <c r="BR62" s="67">
        <f t="shared" ca="1" si="22"/>
        <v>0</v>
      </c>
      <c r="BS62" s="67">
        <f t="shared" ca="1" si="22"/>
        <v>0</v>
      </c>
      <c r="BT62" s="67">
        <f t="shared" ca="1" si="22"/>
        <v>0</v>
      </c>
    </row>
    <row r="63" spans="1:72" x14ac:dyDescent="0.25">
      <c r="B63" s="87"/>
      <c r="G63" s="67" t="str">
        <f>ROW(A58)&amp;". "&amp;'Critical resources'!B69</f>
        <v xml:space="preserve">58. </v>
      </c>
      <c r="H63" s="67">
        <f ca="1">IFERROR(VLOOKUP('Critical resources'!D69,$B$6:$C$57,2,0),0)</f>
        <v>0</v>
      </c>
      <c r="I63" s="67">
        <f ca="1">IFERROR(VLOOKUP('Critical resources'!E69,$A$6:$C$57,3,0),0)</f>
        <v>0</v>
      </c>
      <c r="J63" s="67">
        <f ca="1">IFERROR(VLOOKUP('Critical resources'!G69,$B$6:$C$57,2,0),0)</f>
        <v>0</v>
      </c>
      <c r="K63" s="67">
        <f ca="1">IFERROR(VLOOKUP('Critical resources'!H69,$B$6:$C$57,2,0),0)</f>
        <v>0</v>
      </c>
      <c r="L63" s="67">
        <f ca="1">IFERROR(VLOOKUP('Critical resources'!J69,$B$6:$C$57,2,0),0)</f>
        <v>0</v>
      </c>
      <c r="M63" s="67">
        <f ca="1">IFERROR(VLOOKUP('Critical resources'!K69,$A$6:$C$57,3,0),0)</f>
        <v>0</v>
      </c>
      <c r="N63" s="67">
        <f ca="1">IFERROR(VLOOKUP('Critical resources'!M69,$B$6:$C$57,2,0),0)</f>
        <v>0</v>
      </c>
      <c r="O63" s="67">
        <f ca="1">IFERROR(VLOOKUP('Critical resources'!N69,$A$6:$C$57,3,0),0)</f>
        <v>0</v>
      </c>
      <c r="P63" s="67">
        <f ca="1">IFERROR(VLOOKUP('Critical resources'!P69,$B$6:$C$57,2,0),0)</f>
        <v>0</v>
      </c>
      <c r="Q63" s="67">
        <f ca="1">IFERROR(VLOOKUP('Critical resources'!Q69,$A$6:$C$57,3,0),0)</f>
        <v>0</v>
      </c>
      <c r="T63" s="67" t="str">
        <f t="shared" si="17"/>
        <v xml:space="preserve">58. </v>
      </c>
      <c r="U63" s="67">
        <f t="shared" ca="1" si="24"/>
        <v>0</v>
      </c>
      <c r="V63" s="67">
        <f t="shared" ca="1" si="24"/>
        <v>0</v>
      </c>
      <c r="W63" s="67">
        <f t="shared" ca="1" si="24"/>
        <v>0</v>
      </c>
      <c r="X63" s="67">
        <f t="shared" ca="1" si="24"/>
        <v>0</v>
      </c>
      <c r="Y63" s="67">
        <f t="shared" ca="1" si="24"/>
        <v>0</v>
      </c>
      <c r="Z63" s="67">
        <f t="shared" ca="1" si="24"/>
        <v>0</v>
      </c>
      <c r="AA63" s="67">
        <f t="shared" ca="1" si="24"/>
        <v>0</v>
      </c>
      <c r="AB63" s="67">
        <f t="shared" ca="1" si="24"/>
        <v>0</v>
      </c>
      <c r="AC63" s="67">
        <f t="shared" ca="1" si="24"/>
        <v>0</v>
      </c>
      <c r="AD63" s="67">
        <f t="shared" ca="1" si="24"/>
        <v>0</v>
      </c>
      <c r="AE63" s="67">
        <f t="shared" ca="1" si="24"/>
        <v>0</v>
      </c>
      <c r="AF63" s="67">
        <f t="shared" ca="1" si="24"/>
        <v>0</v>
      </c>
      <c r="AG63" s="67">
        <f t="shared" ca="1" si="24"/>
        <v>0</v>
      </c>
      <c r="AH63" s="67">
        <f t="shared" ca="1" si="24"/>
        <v>0</v>
      </c>
      <c r="AI63" s="67">
        <f t="shared" ca="1" si="24"/>
        <v>0</v>
      </c>
      <c r="AJ63" s="67">
        <f t="shared" ca="1" si="24"/>
        <v>0</v>
      </c>
      <c r="AK63" s="67">
        <f t="shared" ca="1" si="23"/>
        <v>0</v>
      </c>
      <c r="AL63" s="67">
        <f t="shared" ca="1" si="23"/>
        <v>0</v>
      </c>
      <c r="AM63" s="67">
        <f t="shared" ca="1" si="23"/>
        <v>0</v>
      </c>
      <c r="AN63" s="67">
        <f t="shared" ca="1" si="23"/>
        <v>0</v>
      </c>
      <c r="AO63" s="67">
        <f t="shared" ca="1" si="23"/>
        <v>0</v>
      </c>
      <c r="AP63" s="67">
        <f t="shared" ca="1" si="23"/>
        <v>0</v>
      </c>
      <c r="AQ63" s="67">
        <f t="shared" ca="1" si="23"/>
        <v>0</v>
      </c>
      <c r="AR63" s="67">
        <f t="shared" ca="1" si="23"/>
        <v>0</v>
      </c>
      <c r="AS63" s="67">
        <f t="shared" ca="1" si="23"/>
        <v>0</v>
      </c>
      <c r="AT63" s="67">
        <f t="shared" ca="1" si="23"/>
        <v>0</v>
      </c>
      <c r="AU63" s="67">
        <f t="shared" ca="1" si="23"/>
        <v>0</v>
      </c>
      <c r="AV63" s="67">
        <f t="shared" ca="1" si="23"/>
        <v>0</v>
      </c>
      <c r="AW63" s="67">
        <f t="shared" ca="1" si="23"/>
        <v>0</v>
      </c>
      <c r="AX63" s="67">
        <f t="shared" ca="1" si="23"/>
        <v>0</v>
      </c>
      <c r="AY63" s="67">
        <f t="shared" ca="1" si="23"/>
        <v>0</v>
      </c>
      <c r="AZ63" s="67">
        <f t="shared" ca="1" si="21"/>
        <v>0</v>
      </c>
      <c r="BA63" s="67">
        <f t="shared" ca="1" si="21"/>
        <v>0</v>
      </c>
      <c r="BB63" s="67">
        <f t="shared" ca="1" si="21"/>
        <v>0</v>
      </c>
      <c r="BC63" s="67">
        <f t="shared" ca="1" si="21"/>
        <v>0</v>
      </c>
      <c r="BD63" s="67">
        <f t="shared" ca="1" si="21"/>
        <v>0</v>
      </c>
      <c r="BE63" s="67">
        <f t="shared" ca="1" si="21"/>
        <v>0</v>
      </c>
      <c r="BF63" s="67">
        <f t="shared" ca="1" si="21"/>
        <v>0</v>
      </c>
      <c r="BG63" s="67">
        <f t="shared" ca="1" si="21"/>
        <v>0</v>
      </c>
      <c r="BH63" s="67">
        <f t="shared" ca="1" si="21"/>
        <v>0</v>
      </c>
      <c r="BI63" s="67">
        <f t="shared" ca="1" si="21"/>
        <v>0</v>
      </c>
      <c r="BJ63" s="67">
        <f t="shared" ca="1" si="21"/>
        <v>0</v>
      </c>
      <c r="BK63" s="67">
        <f t="shared" ca="1" si="21"/>
        <v>0</v>
      </c>
      <c r="BL63" s="67">
        <f t="shared" ca="1" si="21"/>
        <v>0</v>
      </c>
      <c r="BM63" s="67">
        <f t="shared" ca="1" si="21"/>
        <v>0</v>
      </c>
      <c r="BN63" s="67">
        <f t="shared" ca="1" si="21"/>
        <v>0</v>
      </c>
      <c r="BO63" s="67">
        <f t="shared" ca="1" si="21"/>
        <v>0</v>
      </c>
      <c r="BP63" s="67">
        <f t="shared" ca="1" si="22"/>
        <v>0</v>
      </c>
      <c r="BQ63" s="67">
        <f t="shared" ca="1" si="22"/>
        <v>0</v>
      </c>
      <c r="BR63" s="67">
        <f t="shared" ca="1" si="22"/>
        <v>0</v>
      </c>
      <c r="BS63" s="67">
        <f t="shared" ca="1" si="22"/>
        <v>0</v>
      </c>
      <c r="BT63" s="67">
        <f t="shared" ca="1" si="22"/>
        <v>0</v>
      </c>
    </row>
    <row r="64" spans="1:72" x14ac:dyDescent="0.25">
      <c r="B64" s="87"/>
      <c r="G64" s="67" t="str">
        <f>ROW(A59)&amp;". "&amp;'Critical resources'!B70</f>
        <v xml:space="preserve">59. </v>
      </c>
      <c r="H64" s="67">
        <f ca="1">IFERROR(VLOOKUP('Critical resources'!D70,$B$6:$C$57,2,0),0)</f>
        <v>0</v>
      </c>
      <c r="I64" s="67">
        <f ca="1">IFERROR(VLOOKUP('Critical resources'!E70,$A$6:$C$57,3,0),0)</f>
        <v>0</v>
      </c>
      <c r="J64" s="67">
        <f ca="1">IFERROR(VLOOKUP('Critical resources'!G70,$B$6:$C$57,2,0),0)</f>
        <v>0</v>
      </c>
      <c r="K64" s="67">
        <f ca="1">IFERROR(VLOOKUP('Critical resources'!H70,$B$6:$C$57,2,0),0)</f>
        <v>0</v>
      </c>
      <c r="L64" s="67">
        <f ca="1">IFERROR(VLOOKUP('Critical resources'!J70,$B$6:$C$57,2,0),0)</f>
        <v>0</v>
      </c>
      <c r="M64" s="67">
        <f ca="1">IFERROR(VLOOKUP('Critical resources'!K70,$A$6:$C$57,3,0),0)</f>
        <v>0</v>
      </c>
      <c r="N64" s="67">
        <f ca="1">IFERROR(VLOOKUP('Critical resources'!M70,$B$6:$C$57,2,0),0)</f>
        <v>0</v>
      </c>
      <c r="O64" s="67">
        <f ca="1">IFERROR(VLOOKUP('Critical resources'!N70,$A$6:$C$57,3,0),0)</f>
        <v>0</v>
      </c>
      <c r="P64" s="67">
        <f ca="1">IFERROR(VLOOKUP('Critical resources'!P70,$B$6:$C$57,2,0),0)</f>
        <v>0</v>
      </c>
      <c r="Q64" s="67">
        <f ca="1">IFERROR(VLOOKUP('Critical resources'!Q70,$A$6:$C$57,3,0),0)</f>
        <v>0</v>
      </c>
      <c r="T64" s="67" t="str">
        <f t="shared" si="17"/>
        <v xml:space="preserve">59. </v>
      </c>
      <c r="U64" s="67">
        <f t="shared" ca="1" si="24"/>
        <v>0</v>
      </c>
      <c r="V64" s="67">
        <f t="shared" ca="1" si="24"/>
        <v>0</v>
      </c>
      <c r="W64" s="67">
        <f t="shared" ca="1" si="24"/>
        <v>0</v>
      </c>
      <c r="X64" s="67">
        <f t="shared" ca="1" si="24"/>
        <v>0</v>
      </c>
      <c r="Y64" s="67">
        <f t="shared" ca="1" si="24"/>
        <v>0</v>
      </c>
      <c r="Z64" s="67">
        <f t="shared" ca="1" si="24"/>
        <v>0</v>
      </c>
      <c r="AA64" s="67">
        <f t="shared" ca="1" si="24"/>
        <v>0</v>
      </c>
      <c r="AB64" s="67">
        <f t="shared" ca="1" si="24"/>
        <v>0</v>
      </c>
      <c r="AC64" s="67">
        <f t="shared" ca="1" si="24"/>
        <v>0</v>
      </c>
      <c r="AD64" s="67">
        <f t="shared" ca="1" si="24"/>
        <v>0</v>
      </c>
      <c r="AE64" s="67">
        <f t="shared" ca="1" si="24"/>
        <v>0</v>
      </c>
      <c r="AF64" s="67">
        <f t="shared" ca="1" si="24"/>
        <v>0</v>
      </c>
      <c r="AG64" s="67">
        <f t="shared" ca="1" si="24"/>
        <v>0</v>
      </c>
      <c r="AH64" s="67">
        <f t="shared" ca="1" si="24"/>
        <v>0</v>
      </c>
      <c r="AI64" s="67">
        <f t="shared" ca="1" si="24"/>
        <v>0</v>
      </c>
      <c r="AJ64" s="67">
        <f t="shared" ca="1" si="24"/>
        <v>0</v>
      </c>
      <c r="AK64" s="67">
        <f t="shared" ca="1" si="23"/>
        <v>0</v>
      </c>
      <c r="AL64" s="67">
        <f t="shared" ca="1" si="23"/>
        <v>0</v>
      </c>
      <c r="AM64" s="67">
        <f t="shared" ca="1" si="23"/>
        <v>0</v>
      </c>
      <c r="AN64" s="67">
        <f t="shared" ca="1" si="23"/>
        <v>0</v>
      </c>
      <c r="AO64" s="67">
        <f t="shared" ca="1" si="23"/>
        <v>0</v>
      </c>
      <c r="AP64" s="67">
        <f t="shared" ca="1" si="23"/>
        <v>0</v>
      </c>
      <c r="AQ64" s="67">
        <f t="shared" ca="1" si="23"/>
        <v>0</v>
      </c>
      <c r="AR64" s="67">
        <f t="shared" ca="1" si="23"/>
        <v>0</v>
      </c>
      <c r="AS64" s="67">
        <f t="shared" ca="1" si="23"/>
        <v>0</v>
      </c>
      <c r="AT64" s="67">
        <f t="shared" ca="1" si="23"/>
        <v>0</v>
      </c>
      <c r="AU64" s="67">
        <f t="shared" ca="1" si="23"/>
        <v>0</v>
      </c>
      <c r="AV64" s="67">
        <f t="shared" ca="1" si="23"/>
        <v>0</v>
      </c>
      <c r="AW64" s="67">
        <f t="shared" ca="1" si="23"/>
        <v>0</v>
      </c>
      <c r="AX64" s="67">
        <f t="shared" ca="1" si="23"/>
        <v>0</v>
      </c>
      <c r="AY64" s="67">
        <f t="shared" ca="1" si="23"/>
        <v>0</v>
      </c>
      <c r="AZ64" s="67">
        <f t="shared" ca="1" si="21"/>
        <v>0</v>
      </c>
      <c r="BA64" s="67">
        <f t="shared" ca="1" si="21"/>
        <v>0</v>
      </c>
      <c r="BB64" s="67">
        <f t="shared" ca="1" si="21"/>
        <v>0</v>
      </c>
      <c r="BC64" s="67">
        <f t="shared" ca="1" si="21"/>
        <v>0</v>
      </c>
      <c r="BD64" s="67">
        <f t="shared" ca="1" si="21"/>
        <v>0</v>
      </c>
      <c r="BE64" s="67">
        <f t="shared" ca="1" si="21"/>
        <v>0</v>
      </c>
      <c r="BF64" s="67">
        <f t="shared" ca="1" si="21"/>
        <v>0</v>
      </c>
      <c r="BG64" s="67">
        <f t="shared" ca="1" si="21"/>
        <v>0</v>
      </c>
      <c r="BH64" s="67">
        <f t="shared" ca="1" si="21"/>
        <v>0</v>
      </c>
      <c r="BI64" s="67">
        <f t="shared" ca="1" si="21"/>
        <v>0</v>
      </c>
      <c r="BJ64" s="67">
        <f t="shared" ca="1" si="21"/>
        <v>0</v>
      </c>
      <c r="BK64" s="67">
        <f t="shared" ca="1" si="21"/>
        <v>0</v>
      </c>
      <c r="BL64" s="67">
        <f t="shared" ca="1" si="21"/>
        <v>0</v>
      </c>
      <c r="BM64" s="67">
        <f t="shared" ca="1" si="21"/>
        <v>0</v>
      </c>
      <c r="BN64" s="67">
        <f t="shared" ca="1" si="21"/>
        <v>0</v>
      </c>
      <c r="BO64" s="67">
        <f t="shared" ca="1" si="21"/>
        <v>0</v>
      </c>
      <c r="BP64" s="67">
        <f t="shared" ca="1" si="22"/>
        <v>0</v>
      </c>
      <c r="BQ64" s="67">
        <f t="shared" ca="1" si="22"/>
        <v>0</v>
      </c>
      <c r="BR64" s="67">
        <f t="shared" ca="1" si="22"/>
        <v>0</v>
      </c>
      <c r="BS64" s="67">
        <f t="shared" ca="1" si="22"/>
        <v>0</v>
      </c>
      <c r="BT64" s="67">
        <f t="shared" ca="1" si="22"/>
        <v>0</v>
      </c>
    </row>
    <row r="65" spans="2:72" x14ac:dyDescent="0.25">
      <c r="B65" s="87"/>
      <c r="G65" s="67" t="str">
        <f>ROW(A60)&amp;". "&amp;'Critical resources'!B71</f>
        <v xml:space="preserve">60. </v>
      </c>
      <c r="H65" s="67">
        <f ca="1">IFERROR(VLOOKUP('Critical resources'!D71,$B$6:$C$57,2,0),0)</f>
        <v>0</v>
      </c>
      <c r="I65" s="67">
        <f ca="1">IFERROR(VLOOKUP('Critical resources'!E71,$A$6:$C$57,3,0),0)</f>
        <v>0</v>
      </c>
      <c r="J65" s="67">
        <f ca="1">IFERROR(VLOOKUP('Critical resources'!G71,$B$6:$C$57,2,0),0)</f>
        <v>0</v>
      </c>
      <c r="K65" s="67">
        <f ca="1">IFERROR(VLOOKUP('Critical resources'!H71,$B$6:$C$57,2,0),0)</f>
        <v>0</v>
      </c>
      <c r="L65" s="67">
        <f ca="1">IFERROR(VLOOKUP('Critical resources'!J71,$B$6:$C$57,2,0),0)</f>
        <v>0</v>
      </c>
      <c r="M65" s="67">
        <f ca="1">IFERROR(VLOOKUP('Critical resources'!K71,$A$6:$C$57,3,0),0)</f>
        <v>0</v>
      </c>
      <c r="N65" s="67">
        <f ca="1">IFERROR(VLOOKUP('Critical resources'!M71,$B$6:$C$57,2,0),0)</f>
        <v>0</v>
      </c>
      <c r="O65" s="67">
        <f ca="1">IFERROR(VLOOKUP('Critical resources'!N71,$A$6:$C$57,3,0),0)</f>
        <v>0</v>
      </c>
      <c r="P65" s="67">
        <f ca="1">IFERROR(VLOOKUP('Critical resources'!P71,$B$6:$C$57,2,0),0)</f>
        <v>0</v>
      </c>
      <c r="Q65" s="67">
        <f ca="1">IFERROR(VLOOKUP('Critical resources'!Q71,$A$6:$C$57,3,0),0)</f>
        <v>0</v>
      </c>
      <c r="T65" s="67" t="str">
        <f t="shared" si="17"/>
        <v xml:space="preserve">60. </v>
      </c>
      <c r="U65" s="67">
        <f t="shared" ca="1" si="24"/>
        <v>0</v>
      </c>
      <c r="V65" s="67">
        <f t="shared" ca="1" si="24"/>
        <v>0</v>
      </c>
      <c r="W65" s="67">
        <f t="shared" ca="1" si="24"/>
        <v>0</v>
      </c>
      <c r="X65" s="67">
        <f t="shared" ca="1" si="24"/>
        <v>0</v>
      </c>
      <c r="Y65" s="67">
        <f t="shared" ca="1" si="24"/>
        <v>0</v>
      </c>
      <c r="Z65" s="67">
        <f t="shared" ca="1" si="24"/>
        <v>0</v>
      </c>
      <c r="AA65" s="67">
        <f t="shared" ca="1" si="24"/>
        <v>0</v>
      </c>
      <c r="AB65" s="67">
        <f t="shared" ca="1" si="24"/>
        <v>0</v>
      </c>
      <c r="AC65" s="67">
        <f t="shared" ca="1" si="24"/>
        <v>0</v>
      </c>
      <c r="AD65" s="67">
        <f t="shared" ca="1" si="24"/>
        <v>0</v>
      </c>
      <c r="AE65" s="67">
        <f t="shared" ca="1" si="24"/>
        <v>0</v>
      </c>
      <c r="AF65" s="67">
        <f t="shared" ca="1" si="24"/>
        <v>0</v>
      </c>
      <c r="AG65" s="67">
        <f t="shared" ca="1" si="24"/>
        <v>0</v>
      </c>
      <c r="AH65" s="67">
        <f t="shared" ca="1" si="24"/>
        <v>0</v>
      </c>
      <c r="AI65" s="67">
        <f t="shared" ca="1" si="24"/>
        <v>0</v>
      </c>
      <c r="AJ65" s="67">
        <f t="shared" ca="1" si="24"/>
        <v>0</v>
      </c>
      <c r="AK65" s="67">
        <f t="shared" ca="1" si="23"/>
        <v>0</v>
      </c>
      <c r="AL65" s="67">
        <f t="shared" ca="1" si="23"/>
        <v>0</v>
      </c>
      <c r="AM65" s="67">
        <f t="shared" ca="1" si="23"/>
        <v>0</v>
      </c>
      <c r="AN65" s="67">
        <f t="shared" ca="1" si="23"/>
        <v>0</v>
      </c>
      <c r="AO65" s="67">
        <f t="shared" ca="1" si="23"/>
        <v>0</v>
      </c>
      <c r="AP65" s="67">
        <f t="shared" ca="1" si="23"/>
        <v>0</v>
      </c>
      <c r="AQ65" s="67">
        <f t="shared" ca="1" si="23"/>
        <v>0</v>
      </c>
      <c r="AR65" s="67">
        <f t="shared" ca="1" si="23"/>
        <v>0</v>
      </c>
      <c r="AS65" s="67">
        <f t="shared" ca="1" si="23"/>
        <v>0</v>
      </c>
      <c r="AT65" s="67">
        <f t="shared" ca="1" si="23"/>
        <v>0</v>
      </c>
      <c r="AU65" s="67">
        <f t="shared" ca="1" si="23"/>
        <v>0</v>
      </c>
      <c r="AV65" s="67">
        <f t="shared" ca="1" si="23"/>
        <v>0</v>
      </c>
      <c r="AW65" s="67">
        <f t="shared" ca="1" si="23"/>
        <v>0</v>
      </c>
      <c r="AX65" s="67">
        <f t="shared" ca="1" si="23"/>
        <v>0</v>
      </c>
      <c r="AY65" s="67">
        <f t="shared" ca="1" si="23"/>
        <v>0</v>
      </c>
      <c r="AZ65" s="67">
        <f t="shared" ca="1" si="21"/>
        <v>0</v>
      </c>
      <c r="BA65" s="67">
        <f t="shared" ca="1" si="21"/>
        <v>0</v>
      </c>
      <c r="BB65" s="67">
        <f t="shared" ca="1" si="21"/>
        <v>0</v>
      </c>
      <c r="BC65" s="67">
        <f t="shared" ca="1" si="21"/>
        <v>0</v>
      </c>
      <c r="BD65" s="67">
        <f t="shared" ca="1" si="21"/>
        <v>0</v>
      </c>
      <c r="BE65" s="67">
        <f t="shared" ca="1" si="21"/>
        <v>0</v>
      </c>
      <c r="BF65" s="67">
        <f t="shared" ca="1" si="21"/>
        <v>0</v>
      </c>
      <c r="BG65" s="67">
        <f t="shared" ca="1" si="21"/>
        <v>0</v>
      </c>
      <c r="BH65" s="67">
        <f t="shared" ca="1" si="21"/>
        <v>0</v>
      </c>
      <c r="BI65" s="67">
        <f t="shared" ca="1" si="21"/>
        <v>0</v>
      </c>
      <c r="BJ65" s="67">
        <f t="shared" ca="1" si="21"/>
        <v>0</v>
      </c>
      <c r="BK65" s="67">
        <f t="shared" ca="1" si="21"/>
        <v>0</v>
      </c>
      <c r="BL65" s="67">
        <f t="shared" ca="1" si="21"/>
        <v>0</v>
      </c>
      <c r="BM65" s="67">
        <f t="shared" ca="1" si="21"/>
        <v>0</v>
      </c>
      <c r="BN65" s="67">
        <f t="shared" ca="1" si="21"/>
        <v>0</v>
      </c>
      <c r="BO65" s="67">
        <f t="shared" ca="1" si="21"/>
        <v>0</v>
      </c>
      <c r="BP65" s="67">
        <f t="shared" ca="1" si="22"/>
        <v>0</v>
      </c>
      <c r="BQ65" s="67">
        <f t="shared" ca="1" si="22"/>
        <v>0</v>
      </c>
      <c r="BR65" s="67">
        <f t="shared" ca="1" si="22"/>
        <v>0</v>
      </c>
      <c r="BS65" s="67">
        <f t="shared" ca="1" si="22"/>
        <v>0</v>
      </c>
      <c r="BT65" s="67">
        <f t="shared" ca="1" si="22"/>
        <v>0</v>
      </c>
    </row>
    <row r="66" spans="2:72" x14ac:dyDescent="0.25">
      <c r="B66" s="87"/>
      <c r="G66" s="67" t="str">
        <f>ROW(A61)&amp;". "&amp;'Critical resources'!B72</f>
        <v xml:space="preserve">61. </v>
      </c>
      <c r="H66" s="67">
        <f ca="1">IFERROR(VLOOKUP('Critical resources'!D72,$B$6:$C$57,2,0),0)</f>
        <v>0</v>
      </c>
      <c r="I66" s="67">
        <f ca="1">IFERROR(VLOOKUP('Critical resources'!E72,$A$6:$C$57,3,0),0)</f>
        <v>0</v>
      </c>
      <c r="J66" s="67">
        <f ca="1">IFERROR(VLOOKUP('Critical resources'!G72,$B$6:$C$57,2,0),0)</f>
        <v>0</v>
      </c>
      <c r="K66" s="67">
        <f ca="1">IFERROR(VLOOKUP('Critical resources'!H72,$B$6:$C$57,2,0),0)</f>
        <v>0</v>
      </c>
      <c r="L66" s="67">
        <f ca="1">IFERROR(VLOOKUP('Critical resources'!J72,$B$6:$C$57,2,0),0)</f>
        <v>0</v>
      </c>
      <c r="M66" s="67">
        <f ca="1">IFERROR(VLOOKUP('Critical resources'!K72,$A$6:$C$57,3,0),0)</f>
        <v>0</v>
      </c>
      <c r="N66" s="67">
        <f ca="1">IFERROR(VLOOKUP('Critical resources'!M72,$B$6:$C$57,2,0),0)</f>
        <v>0</v>
      </c>
      <c r="O66" s="67">
        <f ca="1">IFERROR(VLOOKUP('Critical resources'!N72,$A$6:$C$57,3,0),0)</f>
        <v>0</v>
      </c>
      <c r="P66" s="67">
        <f ca="1">IFERROR(VLOOKUP('Critical resources'!P72,$B$6:$C$57,2,0),0)</f>
        <v>0</v>
      </c>
      <c r="Q66" s="67">
        <f ca="1">IFERROR(VLOOKUP('Critical resources'!Q72,$A$6:$C$57,3,0),0)</f>
        <v>0</v>
      </c>
      <c r="T66" s="67" t="str">
        <f t="shared" si="17"/>
        <v xml:space="preserve">61. </v>
      </c>
      <c r="U66" s="67">
        <f t="shared" ca="1" si="24"/>
        <v>0</v>
      </c>
      <c r="V66" s="67">
        <f t="shared" ca="1" si="24"/>
        <v>0</v>
      </c>
      <c r="W66" s="67">
        <f t="shared" ca="1" si="24"/>
        <v>0</v>
      </c>
      <c r="X66" s="67">
        <f t="shared" ca="1" si="24"/>
        <v>0</v>
      </c>
      <c r="Y66" s="67">
        <f t="shared" ca="1" si="24"/>
        <v>0</v>
      </c>
      <c r="Z66" s="67">
        <f t="shared" ca="1" si="24"/>
        <v>0</v>
      </c>
      <c r="AA66" s="67">
        <f t="shared" ca="1" si="24"/>
        <v>0</v>
      </c>
      <c r="AB66" s="67">
        <f t="shared" ca="1" si="24"/>
        <v>0</v>
      </c>
      <c r="AC66" s="67">
        <f t="shared" ca="1" si="24"/>
        <v>0</v>
      </c>
      <c r="AD66" s="67">
        <f t="shared" ca="1" si="24"/>
        <v>0</v>
      </c>
      <c r="AE66" s="67">
        <f t="shared" ca="1" si="24"/>
        <v>0</v>
      </c>
      <c r="AF66" s="67">
        <f t="shared" ca="1" si="24"/>
        <v>0</v>
      </c>
      <c r="AG66" s="67">
        <f t="shared" ca="1" si="24"/>
        <v>0</v>
      </c>
      <c r="AH66" s="67">
        <f t="shared" ca="1" si="24"/>
        <v>0</v>
      </c>
      <c r="AI66" s="67">
        <f t="shared" ca="1" si="24"/>
        <v>0</v>
      </c>
      <c r="AJ66" s="67">
        <f t="shared" ca="1" si="24"/>
        <v>0</v>
      </c>
      <c r="AK66" s="67">
        <f t="shared" ca="1" si="23"/>
        <v>0</v>
      </c>
      <c r="AL66" s="67">
        <f t="shared" ca="1" si="23"/>
        <v>0</v>
      </c>
      <c r="AM66" s="67">
        <f t="shared" ca="1" si="23"/>
        <v>0</v>
      </c>
      <c r="AN66" s="67">
        <f t="shared" ca="1" si="23"/>
        <v>0</v>
      </c>
      <c r="AO66" s="67">
        <f t="shared" ca="1" si="23"/>
        <v>0</v>
      </c>
      <c r="AP66" s="67">
        <f t="shared" ca="1" si="23"/>
        <v>0</v>
      </c>
      <c r="AQ66" s="67">
        <f t="shared" ca="1" si="23"/>
        <v>0</v>
      </c>
      <c r="AR66" s="67">
        <f t="shared" ca="1" si="23"/>
        <v>0</v>
      </c>
      <c r="AS66" s="67">
        <f t="shared" ca="1" si="23"/>
        <v>0</v>
      </c>
      <c r="AT66" s="67">
        <f t="shared" ca="1" si="23"/>
        <v>0</v>
      </c>
      <c r="AU66" s="67">
        <f t="shared" ca="1" si="23"/>
        <v>0</v>
      </c>
      <c r="AV66" s="67">
        <f t="shared" ca="1" si="23"/>
        <v>0</v>
      </c>
      <c r="AW66" s="67">
        <f t="shared" ca="1" si="23"/>
        <v>0</v>
      </c>
      <c r="AX66" s="67">
        <f t="shared" ca="1" si="23"/>
        <v>0</v>
      </c>
      <c r="AY66" s="67">
        <f t="shared" ca="1" si="23"/>
        <v>0</v>
      </c>
      <c r="AZ66" s="67">
        <f t="shared" ca="1" si="21"/>
        <v>0</v>
      </c>
      <c r="BA66" s="67">
        <f t="shared" ca="1" si="21"/>
        <v>0</v>
      </c>
      <c r="BB66" s="67">
        <f t="shared" ca="1" si="21"/>
        <v>0</v>
      </c>
      <c r="BC66" s="67">
        <f t="shared" ca="1" si="21"/>
        <v>0</v>
      </c>
      <c r="BD66" s="67">
        <f t="shared" ca="1" si="21"/>
        <v>0</v>
      </c>
      <c r="BE66" s="67">
        <f t="shared" ca="1" si="21"/>
        <v>0</v>
      </c>
      <c r="BF66" s="67">
        <f t="shared" ca="1" si="21"/>
        <v>0</v>
      </c>
      <c r="BG66" s="67">
        <f t="shared" ca="1" si="21"/>
        <v>0</v>
      </c>
      <c r="BH66" s="67">
        <f t="shared" ca="1" si="21"/>
        <v>0</v>
      </c>
      <c r="BI66" s="67">
        <f t="shared" ca="1" si="21"/>
        <v>0</v>
      </c>
      <c r="BJ66" s="67">
        <f t="shared" ca="1" si="21"/>
        <v>0</v>
      </c>
      <c r="BK66" s="67">
        <f t="shared" ca="1" si="21"/>
        <v>0</v>
      </c>
      <c r="BL66" s="67">
        <f t="shared" ca="1" si="21"/>
        <v>0</v>
      </c>
      <c r="BM66" s="67">
        <f t="shared" ca="1" si="21"/>
        <v>0</v>
      </c>
      <c r="BN66" s="67">
        <f t="shared" ca="1" si="21"/>
        <v>0</v>
      </c>
      <c r="BO66" s="67">
        <f t="shared" ca="1" si="21"/>
        <v>0</v>
      </c>
      <c r="BP66" s="67">
        <f t="shared" ca="1" si="22"/>
        <v>0</v>
      </c>
      <c r="BQ66" s="67">
        <f t="shared" ca="1" si="22"/>
        <v>0</v>
      </c>
      <c r="BR66" s="67">
        <f t="shared" ca="1" si="22"/>
        <v>0</v>
      </c>
      <c r="BS66" s="67">
        <f t="shared" ca="1" si="22"/>
        <v>0</v>
      </c>
      <c r="BT66" s="67">
        <f t="shared" ca="1" si="22"/>
        <v>0</v>
      </c>
    </row>
    <row r="67" spans="2:72" x14ac:dyDescent="0.25">
      <c r="B67" s="87"/>
      <c r="G67" s="67" t="str">
        <f>ROW(A62)&amp;". "&amp;'Critical resources'!B73</f>
        <v xml:space="preserve">62. </v>
      </c>
      <c r="H67" s="67">
        <f ca="1">IFERROR(VLOOKUP('Critical resources'!D73,$B$6:$C$57,2,0),0)</f>
        <v>0</v>
      </c>
      <c r="I67" s="67">
        <f ca="1">IFERROR(VLOOKUP('Critical resources'!E73,$A$6:$C$57,3,0),0)</f>
        <v>0</v>
      </c>
      <c r="J67" s="67">
        <f ca="1">IFERROR(VLOOKUP('Critical resources'!G73,$B$6:$C$57,2,0),0)</f>
        <v>0</v>
      </c>
      <c r="K67" s="67">
        <f ca="1">IFERROR(VLOOKUP('Critical resources'!H73,$B$6:$C$57,2,0),0)</f>
        <v>0</v>
      </c>
      <c r="L67" s="67">
        <f ca="1">IFERROR(VLOOKUP('Critical resources'!J73,$B$6:$C$57,2,0),0)</f>
        <v>0</v>
      </c>
      <c r="M67" s="67">
        <f ca="1">IFERROR(VLOOKUP('Critical resources'!K73,$A$6:$C$57,3,0),0)</f>
        <v>0</v>
      </c>
      <c r="N67" s="67">
        <f ca="1">IFERROR(VLOOKUP('Critical resources'!M73,$B$6:$C$57,2,0),0)</f>
        <v>0</v>
      </c>
      <c r="O67" s="67">
        <f ca="1">IFERROR(VLOOKUP('Critical resources'!N73,$A$6:$C$57,3,0),0)</f>
        <v>0</v>
      </c>
      <c r="P67" s="67">
        <f ca="1">IFERROR(VLOOKUP('Critical resources'!P73,$B$6:$C$57,2,0),0)</f>
        <v>0</v>
      </c>
      <c r="Q67" s="67">
        <f ca="1">IFERROR(VLOOKUP('Critical resources'!Q73,$A$6:$C$57,3,0),0)</f>
        <v>0</v>
      </c>
      <c r="T67" s="67" t="str">
        <f t="shared" si="17"/>
        <v xml:space="preserve">62. </v>
      </c>
      <c r="U67" s="67">
        <f t="shared" ca="1" si="24"/>
        <v>0</v>
      </c>
      <c r="V67" s="67">
        <f t="shared" ca="1" si="24"/>
        <v>0</v>
      </c>
      <c r="W67" s="67">
        <f t="shared" ca="1" si="24"/>
        <v>0</v>
      </c>
      <c r="X67" s="67">
        <f t="shared" ca="1" si="24"/>
        <v>0</v>
      </c>
      <c r="Y67" s="67">
        <f t="shared" ca="1" si="24"/>
        <v>0</v>
      </c>
      <c r="Z67" s="67">
        <f t="shared" ca="1" si="24"/>
        <v>0</v>
      </c>
      <c r="AA67" s="67">
        <f t="shared" ca="1" si="24"/>
        <v>0</v>
      </c>
      <c r="AB67" s="67">
        <f t="shared" ca="1" si="24"/>
        <v>0</v>
      </c>
      <c r="AC67" s="67">
        <f t="shared" ca="1" si="24"/>
        <v>0</v>
      </c>
      <c r="AD67" s="67">
        <f t="shared" ca="1" si="24"/>
        <v>0</v>
      </c>
      <c r="AE67" s="67">
        <f t="shared" ca="1" si="24"/>
        <v>0</v>
      </c>
      <c r="AF67" s="67">
        <f t="shared" ca="1" si="24"/>
        <v>0</v>
      </c>
      <c r="AG67" s="67">
        <f t="shared" ca="1" si="24"/>
        <v>0</v>
      </c>
      <c r="AH67" s="67">
        <f t="shared" ca="1" si="24"/>
        <v>0</v>
      </c>
      <c r="AI67" s="67">
        <f t="shared" ca="1" si="24"/>
        <v>0</v>
      </c>
      <c r="AJ67" s="67">
        <f t="shared" ca="1" si="24"/>
        <v>0</v>
      </c>
      <c r="AK67" s="67">
        <f t="shared" ca="1" si="23"/>
        <v>0</v>
      </c>
      <c r="AL67" s="67">
        <f t="shared" ca="1" si="23"/>
        <v>0</v>
      </c>
      <c r="AM67" s="67">
        <f t="shared" ca="1" si="23"/>
        <v>0</v>
      </c>
      <c r="AN67" s="67">
        <f t="shared" ca="1" si="23"/>
        <v>0</v>
      </c>
      <c r="AO67" s="67">
        <f t="shared" ca="1" si="23"/>
        <v>0</v>
      </c>
      <c r="AP67" s="67">
        <f t="shared" ca="1" si="23"/>
        <v>0</v>
      </c>
      <c r="AQ67" s="67">
        <f t="shared" ca="1" si="23"/>
        <v>0</v>
      </c>
      <c r="AR67" s="67">
        <f t="shared" ca="1" si="23"/>
        <v>0</v>
      </c>
      <c r="AS67" s="67">
        <f t="shared" ca="1" si="23"/>
        <v>0</v>
      </c>
      <c r="AT67" s="67">
        <f t="shared" ca="1" si="23"/>
        <v>0</v>
      </c>
      <c r="AU67" s="67">
        <f t="shared" ca="1" si="23"/>
        <v>0</v>
      </c>
      <c r="AV67" s="67">
        <f t="shared" ca="1" si="23"/>
        <v>0</v>
      </c>
      <c r="AW67" s="67">
        <f t="shared" ca="1" si="23"/>
        <v>0</v>
      </c>
      <c r="AX67" s="67">
        <f t="shared" ca="1" si="23"/>
        <v>0</v>
      </c>
      <c r="AY67" s="67">
        <f t="shared" ca="1" si="23"/>
        <v>0</v>
      </c>
      <c r="AZ67" s="67">
        <f t="shared" ca="1" si="21"/>
        <v>0</v>
      </c>
      <c r="BA67" s="67">
        <f t="shared" ca="1" si="21"/>
        <v>0</v>
      </c>
      <c r="BB67" s="67">
        <f t="shared" ca="1" si="21"/>
        <v>0</v>
      </c>
      <c r="BC67" s="67">
        <f t="shared" ca="1" si="21"/>
        <v>0</v>
      </c>
      <c r="BD67" s="67">
        <f t="shared" ca="1" si="21"/>
        <v>0</v>
      </c>
      <c r="BE67" s="67">
        <f t="shared" ca="1" si="21"/>
        <v>0</v>
      </c>
      <c r="BF67" s="67">
        <f t="shared" ca="1" si="21"/>
        <v>0</v>
      </c>
      <c r="BG67" s="67">
        <f t="shared" ca="1" si="21"/>
        <v>0</v>
      </c>
      <c r="BH67" s="67">
        <f t="shared" ca="1" si="21"/>
        <v>0</v>
      </c>
      <c r="BI67" s="67">
        <f t="shared" ca="1" si="21"/>
        <v>0</v>
      </c>
      <c r="BJ67" s="67">
        <f t="shared" ca="1" si="21"/>
        <v>0</v>
      </c>
      <c r="BK67" s="67">
        <f t="shared" ca="1" si="21"/>
        <v>0</v>
      </c>
      <c r="BL67" s="67">
        <f t="shared" ca="1" si="21"/>
        <v>0</v>
      </c>
      <c r="BM67" s="67">
        <f t="shared" ca="1" si="21"/>
        <v>0</v>
      </c>
      <c r="BN67" s="67">
        <f t="shared" ca="1" si="21"/>
        <v>0</v>
      </c>
      <c r="BO67" s="67">
        <f t="shared" ca="1" si="21"/>
        <v>0</v>
      </c>
      <c r="BP67" s="67">
        <f t="shared" ca="1" si="22"/>
        <v>0</v>
      </c>
      <c r="BQ67" s="67">
        <f t="shared" ca="1" si="22"/>
        <v>0</v>
      </c>
      <c r="BR67" s="67">
        <f t="shared" ca="1" si="22"/>
        <v>0</v>
      </c>
      <c r="BS67" s="67">
        <f t="shared" ca="1" si="22"/>
        <v>0</v>
      </c>
      <c r="BT67" s="67">
        <f t="shared" ca="1" si="22"/>
        <v>0</v>
      </c>
    </row>
    <row r="68" spans="2:72" x14ac:dyDescent="0.25">
      <c r="B68" s="87"/>
      <c r="G68" s="67" t="str">
        <f>ROW(A63)&amp;". "&amp;'Critical resources'!B74</f>
        <v xml:space="preserve">63. </v>
      </c>
      <c r="H68" s="67">
        <f ca="1">IFERROR(VLOOKUP('Critical resources'!D74,$B$6:$C$57,2,0),0)</f>
        <v>0</v>
      </c>
      <c r="I68" s="67">
        <f ca="1">IFERROR(VLOOKUP('Critical resources'!E74,$A$6:$C$57,3,0),0)</f>
        <v>0</v>
      </c>
      <c r="J68" s="67">
        <f ca="1">IFERROR(VLOOKUP('Critical resources'!G74,$B$6:$C$57,2,0),0)</f>
        <v>0</v>
      </c>
      <c r="K68" s="67">
        <f ca="1">IFERROR(VLOOKUP('Critical resources'!H74,$B$6:$C$57,2,0),0)</f>
        <v>0</v>
      </c>
      <c r="L68" s="67">
        <f ca="1">IFERROR(VLOOKUP('Critical resources'!J74,$B$6:$C$57,2,0),0)</f>
        <v>0</v>
      </c>
      <c r="M68" s="67">
        <f ca="1">IFERROR(VLOOKUP('Critical resources'!K74,$A$6:$C$57,3,0),0)</f>
        <v>0</v>
      </c>
      <c r="N68" s="67">
        <f ca="1">IFERROR(VLOOKUP('Critical resources'!M74,$B$6:$C$57,2,0),0)</f>
        <v>0</v>
      </c>
      <c r="O68" s="67">
        <f ca="1">IFERROR(VLOOKUP('Critical resources'!N74,$A$6:$C$57,3,0),0)</f>
        <v>0</v>
      </c>
      <c r="P68" s="67">
        <f ca="1">IFERROR(VLOOKUP('Critical resources'!P74,$B$6:$C$57,2,0),0)</f>
        <v>0</v>
      </c>
      <c r="Q68" s="67">
        <f ca="1">IFERROR(VLOOKUP('Critical resources'!Q74,$A$6:$C$57,3,0),0)</f>
        <v>0</v>
      </c>
      <c r="T68" s="67" t="str">
        <f t="shared" si="17"/>
        <v xml:space="preserve">63. </v>
      </c>
      <c r="U68" s="67">
        <f t="shared" ca="1" si="24"/>
        <v>0</v>
      </c>
      <c r="V68" s="67">
        <f t="shared" ca="1" si="24"/>
        <v>0</v>
      </c>
      <c r="W68" s="67">
        <f t="shared" ca="1" si="24"/>
        <v>0</v>
      </c>
      <c r="X68" s="67">
        <f t="shared" ca="1" si="24"/>
        <v>0</v>
      </c>
      <c r="Y68" s="67">
        <f t="shared" ca="1" si="24"/>
        <v>0</v>
      </c>
      <c r="Z68" s="67">
        <f t="shared" ca="1" si="24"/>
        <v>0</v>
      </c>
      <c r="AA68" s="67">
        <f t="shared" ca="1" si="24"/>
        <v>0</v>
      </c>
      <c r="AB68" s="67">
        <f t="shared" ca="1" si="24"/>
        <v>0</v>
      </c>
      <c r="AC68" s="67">
        <f t="shared" ca="1" si="24"/>
        <v>0</v>
      </c>
      <c r="AD68" s="67">
        <f t="shared" ca="1" si="24"/>
        <v>0</v>
      </c>
      <c r="AE68" s="67">
        <f t="shared" ca="1" si="24"/>
        <v>0</v>
      </c>
      <c r="AF68" s="67">
        <f t="shared" ca="1" si="24"/>
        <v>0</v>
      </c>
      <c r="AG68" s="67">
        <f t="shared" ca="1" si="24"/>
        <v>0</v>
      </c>
      <c r="AH68" s="67">
        <f t="shared" ca="1" si="24"/>
        <v>0</v>
      </c>
      <c r="AI68" s="67">
        <f t="shared" ca="1" si="24"/>
        <v>0</v>
      </c>
      <c r="AJ68" s="67">
        <f t="shared" ca="1" si="24"/>
        <v>0</v>
      </c>
      <c r="AK68" s="67">
        <f t="shared" ca="1" si="23"/>
        <v>0</v>
      </c>
      <c r="AL68" s="67">
        <f t="shared" ca="1" si="23"/>
        <v>0</v>
      </c>
      <c r="AM68" s="67">
        <f t="shared" ca="1" si="23"/>
        <v>0</v>
      </c>
      <c r="AN68" s="67">
        <f t="shared" ca="1" si="23"/>
        <v>0</v>
      </c>
      <c r="AO68" s="67">
        <f t="shared" ca="1" si="23"/>
        <v>0</v>
      </c>
      <c r="AP68" s="67">
        <f t="shared" ca="1" si="23"/>
        <v>0</v>
      </c>
      <c r="AQ68" s="67">
        <f t="shared" ca="1" si="23"/>
        <v>0</v>
      </c>
      <c r="AR68" s="67">
        <f t="shared" ca="1" si="23"/>
        <v>0</v>
      </c>
      <c r="AS68" s="67">
        <f t="shared" ca="1" si="23"/>
        <v>0</v>
      </c>
      <c r="AT68" s="67">
        <f t="shared" ca="1" si="23"/>
        <v>0</v>
      </c>
      <c r="AU68" s="67">
        <f t="shared" ca="1" si="23"/>
        <v>0</v>
      </c>
      <c r="AV68" s="67">
        <f t="shared" ca="1" si="23"/>
        <v>0</v>
      </c>
      <c r="AW68" s="67">
        <f t="shared" ca="1" si="23"/>
        <v>0</v>
      </c>
      <c r="AX68" s="67">
        <f t="shared" ca="1" si="23"/>
        <v>0</v>
      </c>
      <c r="AY68" s="67">
        <f t="shared" ca="1" si="23"/>
        <v>0</v>
      </c>
      <c r="AZ68" s="67">
        <f t="shared" ca="1" si="23"/>
        <v>0</v>
      </c>
      <c r="BA68" s="67">
        <f t="shared" ref="BA68:BP83" ca="1" si="26">SUM(IFERROR(IF(AND(BA$5&gt;=$H68,BA$5&lt;=$I68),1,0),0),IFERROR(IF(AND(BA$5&gt;=$J68,BA$5&lt;=$K68),1,0),0),IFERROR(IF(AND(BA$5&gt;=$L68,BA$5&lt;=$M68),1,0),0),IFERROR(IF(AND(BA$5&gt;=$N68,BA$5&lt;=$O68),1,0),0),IFERROR(IF(AND(BA$5&gt;=$P68,BA$5&lt;=$Q68),1,0),0))</f>
        <v>0</v>
      </c>
      <c r="BB68" s="67">
        <f t="shared" ca="1" si="26"/>
        <v>0</v>
      </c>
      <c r="BC68" s="67">
        <f t="shared" ca="1" si="26"/>
        <v>0</v>
      </c>
      <c r="BD68" s="67">
        <f t="shared" ca="1" si="26"/>
        <v>0</v>
      </c>
      <c r="BE68" s="67">
        <f t="shared" ca="1" si="26"/>
        <v>0</v>
      </c>
      <c r="BF68" s="67">
        <f t="shared" ca="1" si="26"/>
        <v>0</v>
      </c>
      <c r="BG68" s="67">
        <f t="shared" ca="1" si="26"/>
        <v>0</v>
      </c>
      <c r="BH68" s="67">
        <f t="shared" ca="1" si="26"/>
        <v>0</v>
      </c>
      <c r="BI68" s="67">
        <f t="shared" ca="1" si="26"/>
        <v>0</v>
      </c>
      <c r="BJ68" s="67">
        <f t="shared" ca="1" si="26"/>
        <v>0</v>
      </c>
      <c r="BK68" s="67">
        <f t="shared" ca="1" si="26"/>
        <v>0</v>
      </c>
      <c r="BL68" s="67">
        <f t="shared" ca="1" si="26"/>
        <v>0</v>
      </c>
      <c r="BM68" s="67">
        <f t="shared" ca="1" si="26"/>
        <v>0</v>
      </c>
      <c r="BN68" s="67">
        <f t="shared" ca="1" si="26"/>
        <v>0</v>
      </c>
      <c r="BO68" s="67">
        <f t="shared" ca="1" si="26"/>
        <v>0</v>
      </c>
      <c r="BP68" s="67">
        <f t="shared" ca="1" si="26"/>
        <v>0</v>
      </c>
      <c r="BQ68" s="67">
        <f t="shared" ref="BQ68:BT87" ca="1" si="27">SUM(IFERROR(IF(AND(BQ$5&gt;=$H68,BQ$5&lt;=$I68),1,0),0),IFERROR(IF(AND(BQ$5&gt;=$J68,BQ$5&lt;=$K68),1,0),0),IFERROR(IF(AND(BQ$5&gt;=$L68,BQ$5&lt;=$M68),1,0),0),IFERROR(IF(AND(BQ$5&gt;=$N68,BQ$5&lt;=$O68),1,0),0),IFERROR(IF(AND(BQ$5&gt;=$P68,BQ$5&lt;=$Q68),1,0),0))</f>
        <v>0</v>
      </c>
      <c r="BR68" s="67">
        <f t="shared" ca="1" si="27"/>
        <v>0</v>
      </c>
      <c r="BS68" s="67">
        <f t="shared" ca="1" si="27"/>
        <v>0</v>
      </c>
      <c r="BT68" s="67">
        <f t="shared" ca="1" si="27"/>
        <v>0</v>
      </c>
    </row>
    <row r="69" spans="2:72" x14ac:dyDescent="0.25">
      <c r="B69" s="87"/>
      <c r="G69" s="67" t="str">
        <f>ROW(A64)&amp;". "&amp;'Critical resources'!B75</f>
        <v xml:space="preserve">64. </v>
      </c>
      <c r="H69" s="67">
        <f ca="1">IFERROR(VLOOKUP('Critical resources'!D75,$B$6:$C$57,2,0),0)</f>
        <v>0</v>
      </c>
      <c r="I69" s="67">
        <f ca="1">IFERROR(VLOOKUP('Critical resources'!E75,$A$6:$C$57,3,0),0)</f>
        <v>0</v>
      </c>
      <c r="J69" s="67">
        <f ca="1">IFERROR(VLOOKUP('Critical resources'!G75,$B$6:$C$57,2,0),0)</f>
        <v>0</v>
      </c>
      <c r="K69" s="67">
        <f ca="1">IFERROR(VLOOKUP('Critical resources'!H75,$B$6:$C$57,2,0),0)</f>
        <v>0</v>
      </c>
      <c r="L69" s="67">
        <f ca="1">IFERROR(VLOOKUP('Critical resources'!J75,$B$6:$C$57,2,0),0)</f>
        <v>0</v>
      </c>
      <c r="M69" s="67">
        <f ca="1">IFERROR(VLOOKUP('Critical resources'!K75,$A$6:$C$57,3,0),0)</f>
        <v>0</v>
      </c>
      <c r="N69" s="67">
        <f ca="1">IFERROR(VLOOKUP('Critical resources'!M75,$B$6:$C$57,2,0),0)</f>
        <v>0</v>
      </c>
      <c r="O69" s="67">
        <f ca="1">IFERROR(VLOOKUP('Critical resources'!N75,$A$6:$C$57,3,0),0)</f>
        <v>0</v>
      </c>
      <c r="P69" s="67">
        <f ca="1">IFERROR(VLOOKUP('Critical resources'!P75,$B$6:$C$57,2,0),0)</f>
        <v>0</v>
      </c>
      <c r="Q69" s="67">
        <f ca="1">IFERROR(VLOOKUP('Critical resources'!Q75,$A$6:$C$57,3,0),0)</f>
        <v>0</v>
      </c>
      <c r="T69" s="67" t="str">
        <f t="shared" si="17"/>
        <v xml:space="preserve">64. </v>
      </c>
      <c r="U69" s="67">
        <f t="shared" ca="1" si="24"/>
        <v>0</v>
      </c>
      <c r="V69" s="67">
        <f t="shared" ca="1" si="24"/>
        <v>0</v>
      </c>
      <c r="W69" s="67">
        <f t="shared" ca="1" si="24"/>
        <v>0</v>
      </c>
      <c r="X69" s="67">
        <f t="shared" ca="1" si="24"/>
        <v>0</v>
      </c>
      <c r="Y69" s="67">
        <f t="shared" ca="1" si="24"/>
        <v>0</v>
      </c>
      <c r="Z69" s="67">
        <f t="shared" ca="1" si="24"/>
        <v>0</v>
      </c>
      <c r="AA69" s="67">
        <f t="shared" ca="1" si="24"/>
        <v>0</v>
      </c>
      <c r="AB69" s="67">
        <f t="shared" ca="1" si="24"/>
        <v>0</v>
      </c>
      <c r="AC69" s="67">
        <f t="shared" ca="1" si="24"/>
        <v>0</v>
      </c>
      <c r="AD69" s="67">
        <f t="shared" ca="1" si="24"/>
        <v>0</v>
      </c>
      <c r="AE69" s="67">
        <f t="shared" ca="1" si="24"/>
        <v>0</v>
      </c>
      <c r="AF69" s="67">
        <f t="shared" ca="1" si="24"/>
        <v>0</v>
      </c>
      <c r="AG69" s="67">
        <f t="shared" ca="1" si="24"/>
        <v>0</v>
      </c>
      <c r="AH69" s="67">
        <f t="shared" ca="1" si="24"/>
        <v>0</v>
      </c>
      <c r="AI69" s="67">
        <f t="shared" ca="1" si="24"/>
        <v>0</v>
      </c>
      <c r="AJ69" s="67">
        <f t="shared" ca="1" si="24"/>
        <v>0</v>
      </c>
      <c r="AK69" s="67">
        <f t="shared" ca="1" si="23"/>
        <v>0</v>
      </c>
      <c r="AL69" s="67">
        <f t="shared" ca="1" si="23"/>
        <v>0</v>
      </c>
      <c r="AM69" s="67">
        <f t="shared" ca="1" si="23"/>
        <v>0</v>
      </c>
      <c r="AN69" s="67">
        <f t="shared" ca="1" si="23"/>
        <v>0</v>
      </c>
      <c r="AO69" s="67">
        <f t="shared" ca="1" si="23"/>
        <v>0</v>
      </c>
      <c r="AP69" s="67">
        <f t="shared" ca="1" si="23"/>
        <v>0</v>
      </c>
      <c r="AQ69" s="67">
        <f t="shared" ca="1" si="23"/>
        <v>0</v>
      </c>
      <c r="AR69" s="67">
        <f t="shared" ca="1" si="23"/>
        <v>0</v>
      </c>
      <c r="AS69" s="67">
        <f t="shared" ca="1" si="23"/>
        <v>0</v>
      </c>
      <c r="AT69" s="67">
        <f t="shared" ca="1" si="23"/>
        <v>0</v>
      </c>
      <c r="AU69" s="67">
        <f t="shared" ca="1" si="23"/>
        <v>0</v>
      </c>
      <c r="AV69" s="67">
        <f t="shared" ca="1" si="23"/>
        <v>0</v>
      </c>
      <c r="AW69" s="67">
        <f t="shared" ca="1" si="23"/>
        <v>0</v>
      </c>
      <c r="AX69" s="67">
        <f t="shared" ca="1" si="23"/>
        <v>0</v>
      </c>
      <c r="AY69" s="67">
        <f t="shared" ca="1" si="23"/>
        <v>0</v>
      </c>
      <c r="AZ69" s="67">
        <f t="shared" ca="1" si="23"/>
        <v>0</v>
      </c>
      <c r="BA69" s="67">
        <f t="shared" ca="1" si="26"/>
        <v>0</v>
      </c>
      <c r="BB69" s="67">
        <f t="shared" ca="1" si="26"/>
        <v>0</v>
      </c>
      <c r="BC69" s="67">
        <f t="shared" ca="1" si="26"/>
        <v>0</v>
      </c>
      <c r="BD69" s="67">
        <f t="shared" ca="1" si="26"/>
        <v>0</v>
      </c>
      <c r="BE69" s="67">
        <f t="shared" ca="1" si="26"/>
        <v>0</v>
      </c>
      <c r="BF69" s="67">
        <f t="shared" ca="1" si="26"/>
        <v>0</v>
      </c>
      <c r="BG69" s="67">
        <f t="shared" ca="1" si="26"/>
        <v>0</v>
      </c>
      <c r="BH69" s="67">
        <f t="shared" ca="1" si="26"/>
        <v>0</v>
      </c>
      <c r="BI69" s="67">
        <f t="shared" ca="1" si="26"/>
        <v>0</v>
      </c>
      <c r="BJ69" s="67">
        <f t="shared" ca="1" si="26"/>
        <v>0</v>
      </c>
      <c r="BK69" s="67">
        <f t="shared" ca="1" si="26"/>
        <v>0</v>
      </c>
      <c r="BL69" s="67">
        <f t="shared" ca="1" si="26"/>
        <v>0</v>
      </c>
      <c r="BM69" s="67">
        <f t="shared" ca="1" si="26"/>
        <v>0</v>
      </c>
      <c r="BN69" s="67">
        <f t="shared" ca="1" si="26"/>
        <v>0</v>
      </c>
      <c r="BO69" s="67">
        <f t="shared" ca="1" si="26"/>
        <v>0</v>
      </c>
      <c r="BP69" s="67">
        <f t="shared" ca="1" si="26"/>
        <v>0</v>
      </c>
      <c r="BQ69" s="67">
        <f t="shared" ca="1" si="27"/>
        <v>0</v>
      </c>
      <c r="BR69" s="67">
        <f t="shared" ca="1" si="27"/>
        <v>0</v>
      </c>
      <c r="BS69" s="67">
        <f t="shared" ca="1" si="27"/>
        <v>0</v>
      </c>
      <c r="BT69" s="67">
        <f t="shared" ca="1" si="27"/>
        <v>0</v>
      </c>
    </row>
    <row r="70" spans="2:72" x14ac:dyDescent="0.25">
      <c r="B70" s="87"/>
      <c r="G70" s="67" t="str">
        <f>ROW(A65)&amp;". "&amp;'Critical resources'!B76</f>
        <v xml:space="preserve">65. </v>
      </c>
      <c r="H70" s="67">
        <f ca="1">IFERROR(VLOOKUP('Critical resources'!D76,$B$6:$C$57,2,0),0)</f>
        <v>0</v>
      </c>
      <c r="I70" s="67">
        <f ca="1">IFERROR(VLOOKUP('Critical resources'!E76,$A$6:$C$57,3,0),0)</f>
        <v>0</v>
      </c>
      <c r="J70" s="67">
        <f ca="1">IFERROR(VLOOKUP('Critical resources'!G76,$B$6:$C$57,2,0),0)</f>
        <v>0</v>
      </c>
      <c r="K70" s="67">
        <f ca="1">IFERROR(VLOOKUP('Critical resources'!H76,$B$6:$C$57,2,0),0)</f>
        <v>0</v>
      </c>
      <c r="L70" s="67">
        <f ca="1">IFERROR(VLOOKUP('Critical resources'!J76,$B$6:$C$57,2,0),0)</f>
        <v>0</v>
      </c>
      <c r="M70" s="67">
        <f ca="1">IFERROR(VLOOKUP('Critical resources'!K76,$A$6:$C$57,3,0),0)</f>
        <v>0</v>
      </c>
      <c r="N70" s="67">
        <f ca="1">IFERROR(VLOOKUP('Critical resources'!M76,$B$6:$C$57,2,0),0)</f>
        <v>0</v>
      </c>
      <c r="O70" s="67">
        <f ca="1">IFERROR(VLOOKUP('Critical resources'!N76,$A$6:$C$57,3,0),0)</f>
        <v>0</v>
      </c>
      <c r="P70" s="67">
        <f ca="1">IFERROR(VLOOKUP('Critical resources'!P76,$B$6:$C$57,2,0),0)</f>
        <v>0</v>
      </c>
      <c r="Q70" s="67">
        <f ca="1">IFERROR(VLOOKUP('Critical resources'!Q76,$A$6:$C$57,3,0),0)</f>
        <v>0</v>
      </c>
      <c r="T70" s="67" t="str">
        <f t="shared" ref="T70:T105" si="28">G70</f>
        <v xml:space="preserve">65. </v>
      </c>
      <c r="U70" s="67">
        <f t="shared" ca="1" si="24"/>
        <v>0</v>
      </c>
      <c r="V70" s="67">
        <f t="shared" ca="1" si="24"/>
        <v>0</v>
      </c>
      <c r="W70" s="67">
        <f t="shared" ca="1" si="24"/>
        <v>0</v>
      </c>
      <c r="X70" s="67">
        <f t="shared" ca="1" si="24"/>
        <v>0</v>
      </c>
      <c r="Y70" s="67">
        <f t="shared" ca="1" si="24"/>
        <v>0</v>
      </c>
      <c r="Z70" s="67">
        <f t="shared" ca="1" si="24"/>
        <v>0</v>
      </c>
      <c r="AA70" s="67">
        <f t="shared" ca="1" si="24"/>
        <v>0</v>
      </c>
      <c r="AB70" s="67">
        <f t="shared" ca="1" si="24"/>
        <v>0</v>
      </c>
      <c r="AC70" s="67">
        <f t="shared" ca="1" si="24"/>
        <v>0</v>
      </c>
      <c r="AD70" s="67">
        <f t="shared" ca="1" si="24"/>
        <v>0</v>
      </c>
      <c r="AE70" s="67">
        <f t="shared" ca="1" si="24"/>
        <v>0</v>
      </c>
      <c r="AF70" s="67">
        <f t="shared" ca="1" si="24"/>
        <v>0</v>
      </c>
      <c r="AG70" s="67">
        <f t="shared" ca="1" si="24"/>
        <v>0</v>
      </c>
      <c r="AH70" s="67">
        <f t="shared" ca="1" si="24"/>
        <v>0</v>
      </c>
      <c r="AI70" s="67">
        <f t="shared" ca="1" si="24"/>
        <v>0</v>
      </c>
      <c r="AJ70" s="67">
        <f t="shared" ref="AJ70:AY85" ca="1" si="29">SUM(IFERROR(IF(AND(AJ$5&gt;=$H70,AJ$5&lt;=$I70),1,0),0),IFERROR(IF(AND(AJ$5&gt;=$J70,AJ$5&lt;=$K70),1,0),0),IFERROR(IF(AND(AJ$5&gt;=$L70,AJ$5&lt;=$M70),1,0),0),IFERROR(IF(AND(AJ$5&gt;=$N70,AJ$5&lt;=$O70),1,0),0),IFERROR(IF(AND(AJ$5&gt;=$P70,AJ$5&lt;=$Q70),1,0),0))</f>
        <v>0</v>
      </c>
      <c r="AK70" s="67">
        <f t="shared" ca="1" si="29"/>
        <v>0</v>
      </c>
      <c r="AL70" s="67">
        <f t="shared" ca="1" si="29"/>
        <v>0</v>
      </c>
      <c r="AM70" s="67">
        <f t="shared" ca="1" si="29"/>
        <v>0</v>
      </c>
      <c r="AN70" s="67">
        <f t="shared" ca="1" si="29"/>
        <v>0</v>
      </c>
      <c r="AO70" s="67">
        <f t="shared" ca="1" si="29"/>
        <v>0</v>
      </c>
      <c r="AP70" s="67">
        <f t="shared" ca="1" si="29"/>
        <v>0</v>
      </c>
      <c r="AQ70" s="67">
        <f t="shared" ca="1" si="29"/>
        <v>0</v>
      </c>
      <c r="AR70" s="67">
        <f t="shared" ca="1" si="29"/>
        <v>0</v>
      </c>
      <c r="AS70" s="67">
        <f t="shared" ca="1" si="29"/>
        <v>0</v>
      </c>
      <c r="AT70" s="67">
        <f t="shared" ca="1" si="29"/>
        <v>0</v>
      </c>
      <c r="AU70" s="67">
        <f t="shared" ca="1" si="29"/>
        <v>0</v>
      </c>
      <c r="AV70" s="67">
        <f t="shared" ca="1" si="29"/>
        <v>0</v>
      </c>
      <c r="AW70" s="67">
        <f t="shared" ca="1" si="29"/>
        <v>0</v>
      </c>
      <c r="AX70" s="67">
        <f t="shared" ca="1" si="29"/>
        <v>0</v>
      </c>
      <c r="AY70" s="67">
        <f t="shared" ca="1" si="29"/>
        <v>0</v>
      </c>
      <c r="AZ70" s="67">
        <f t="shared" ref="AZ70:BO85" ca="1" si="30">SUM(IFERROR(IF(AND(AZ$5&gt;=$H70,AZ$5&lt;=$I70),1,0),0),IFERROR(IF(AND(AZ$5&gt;=$J70,AZ$5&lt;=$K70),1,0),0),IFERROR(IF(AND(AZ$5&gt;=$L70,AZ$5&lt;=$M70),1,0),0),IFERROR(IF(AND(AZ$5&gt;=$N70,AZ$5&lt;=$O70),1,0),0),IFERROR(IF(AND(AZ$5&gt;=$P70,AZ$5&lt;=$Q70),1,0),0))</f>
        <v>0</v>
      </c>
      <c r="BA70" s="67">
        <f t="shared" ca="1" si="26"/>
        <v>0</v>
      </c>
      <c r="BB70" s="67">
        <f t="shared" ca="1" si="26"/>
        <v>0</v>
      </c>
      <c r="BC70" s="67">
        <f t="shared" ca="1" si="26"/>
        <v>0</v>
      </c>
      <c r="BD70" s="67">
        <f t="shared" ca="1" si="26"/>
        <v>0</v>
      </c>
      <c r="BE70" s="67">
        <f t="shared" ca="1" si="26"/>
        <v>0</v>
      </c>
      <c r="BF70" s="67">
        <f t="shared" ca="1" si="26"/>
        <v>0</v>
      </c>
      <c r="BG70" s="67">
        <f t="shared" ca="1" si="26"/>
        <v>0</v>
      </c>
      <c r="BH70" s="67">
        <f t="shared" ca="1" si="26"/>
        <v>0</v>
      </c>
      <c r="BI70" s="67">
        <f t="shared" ca="1" si="26"/>
        <v>0</v>
      </c>
      <c r="BJ70" s="67">
        <f t="shared" ca="1" si="26"/>
        <v>0</v>
      </c>
      <c r="BK70" s="67">
        <f t="shared" ca="1" si="26"/>
        <v>0</v>
      </c>
      <c r="BL70" s="67">
        <f t="shared" ca="1" si="26"/>
        <v>0</v>
      </c>
      <c r="BM70" s="67">
        <f t="shared" ca="1" si="26"/>
        <v>0</v>
      </c>
      <c r="BN70" s="67">
        <f t="shared" ca="1" si="26"/>
        <v>0</v>
      </c>
      <c r="BO70" s="67">
        <f t="shared" ca="1" si="26"/>
        <v>0</v>
      </c>
      <c r="BP70" s="67">
        <f t="shared" ca="1" si="26"/>
        <v>0</v>
      </c>
      <c r="BQ70" s="67">
        <f t="shared" ca="1" si="27"/>
        <v>0</v>
      </c>
      <c r="BR70" s="67">
        <f t="shared" ca="1" si="27"/>
        <v>0</v>
      </c>
      <c r="BS70" s="67">
        <f t="shared" ca="1" si="27"/>
        <v>0</v>
      </c>
      <c r="BT70" s="67">
        <f t="shared" ca="1" si="27"/>
        <v>0</v>
      </c>
    </row>
    <row r="71" spans="2:72" x14ac:dyDescent="0.25">
      <c r="B71" s="87"/>
      <c r="G71" s="67" t="str">
        <f>ROW(A66)&amp;". "&amp;'Critical resources'!B77</f>
        <v xml:space="preserve">66. </v>
      </c>
      <c r="H71" s="67">
        <f ca="1">IFERROR(VLOOKUP('Critical resources'!D77,$B$6:$C$57,2,0),0)</f>
        <v>0</v>
      </c>
      <c r="I71" s="67">
        <f ca="1">IFERROR(VLOOKUP('Critical resources'!E77,$A$6:$C$57,3,0),0)</f>
        <v>0</v>
      </c>
      <c r="J71" s="67">
        <f ca="1">IFERROR(VLOOKUP('Critical resources'!G77,$B$6:$C$57,2,0),0)</f>
        <v>0</v>
      </c>
      <c r="K71" s="67">
        <f ca="1">IFERROR(VLOOKUP('Critical resources'!H77,$B$6:$C$57,2,0),0)</f>
        <v>0</v>
      </c>
      <c r="L71" s="67">
        <f ca="1">IFERROR(VLOOKUP('Critical resources'!J77,$B$6:$C$57,2,0),0)</f>
        <v>0</v>
      </c>
      <c r="M71" s="67">
        <f ca="1">IFERROR(VLOOKUP('Critical resources'!K77,$A$6:$C$57,3,0),0)</f>
        <v>0</v>
      </c>
      <c r="N71" s="67">
        <f ca="1">IFERROR(VLOOKUP('Critical resources'!M77,$B$6:$C$57,2,0),0)</f>
        <v>0</v>
      </c>
      <c r="O71" s="67">
        <f ca="1">IFERROR(VLOOKUP('Critical resources'!N77,$A$6:$C$57,3,0),0)</f>
        <v>0</v>
      </c>
      <c r="P71" s="67">
        <f ca="1">IFERROR(VLOOKUP('Critical resources'!P77,$B$6:$C$57,2,0),0)</f>
        <v>0</v>
      </c>
      <c r="Q71" s="67">
        <f ca="1">IFERROR(VLOOKUP('Critical resources'!Q77,$A$6:$C$57,3,0),0)</f>
        <v>0</v>
      </c>
      <c r="T71" s="67" t="str">
        <f t="shared" si="28"/>
        <v xml:space="preserve">66. </v>
      </c>
      <c r="U71" s="67">
        <f t="shared" ref="U71:AJ86" ca="1" si="31">SUM(IFERROR(IF(AND(U$5&gt;=$H71,U$5&lt;=$I71),1,0),0),IFERROR(IF(AND(U$5&gt;=$J71,U$5&lt;=$K71),1,0),0),IFERROR(IF(AND(U$5&gt;=$L71,U$5&lt;=$M71),1,0),0),IFERROR(IF(AND(U$5&gt;=$N71,U$5&lt;=$O71),1,0),0),IFERROR(IF(AND(U$5&gt;=$P71,U$5&lt;=$Q71),1,0),0))</f>
        <v>0</v>
      </c>
      <c r="V71" s="67">
        <f t="shared" ca="1" si="31"/>
        <v>0</v>
      </c>
      <c r="W71" s="67">
        <f t="shared" ca="1" si="31"/>
        <v>0</v>
      </c>
      <c r="X71" s="67">
        <f t="shared" ca="1" si="31"/>
        <v>0</v>
      </c>
      <c r="Y71" s="67">
        <f t="shared" ca="1" si="31"/>
        <v>0</v>
      </c>
      <c r="Z71" s="67">
        <f t="shared" ca="1" si="31"/>
        <v>0</v>
      </c>
      <c r="AA71" s="67">
        <f t="shared" ca="1" si="31"/>
        <v>0</v>
      </c>
      <c r="AB71" s="67">
        <f t="shared" ca="1" si="31"/>
        <v>0</v>
      </c>
      <c r="AC71" s="67">
        <f t="shared" ca="1" si="31"/>
        <v>0</v>
      </c>
      <c r="AD71" s="67">
        <f t="shared" ca="1" si="31"/>
        <v>0</v>
      </c>
      <c r="AE71" s="67">
        <f t="shared" ca="1" si="31"/>
        <v>0</v>
      </c>
      <c r="AF71" s="67">
        <f t="shared" ca="1" si="31"/>
        <v>0</v>
      </c>
      <c r="AG71" s="67">
        <f t="shared" ca="1" si="31"/>
        <v>0</v>
      </c>
      <c r="AH71" s="67">
        <f t="shared" ca="1" si="31"/>
        <v>0</v>
      </c>
      <c r="AI71" s="67">
        <f t="shared" ca="1" si="31"/>
        <v>0</v>
      </c>
      <c r="AJ71" s="67">
        <f t="shared" ca="1" si="29"/>
        <v>0</v>
      </c>
      <c r="AK71" s="67">
        <f t="shared" ca="1" si="29"/>
        <v>0</v>
      </c>
      <c r="AL71" s="67">
        <f t="shared" ca="1" si="29"/>
        <v>0</v>
      </c>
      <c r="AM71" s="67">
        <f t="shared" ca="1" si="29"/>
        <v>0</v>
      </c>
      <c r="AN71" s="67">
        <f t="shared" ca="1" si="29"/>
        <v>0</v>
      </c>
      <c r="AO71" s="67">
        <f t="shared" ca="1" si="29"/>
        <v>0</v>
      </c>
      <c r="AP71" s="67">
        <f t="shared" ca="1" si="29"/>
        <v>0</v>
      </c>
      <c r="AQ71" s="67">
        <f t="shared" ca="1" si="29"/>
        <v>0</v>
      </c>
      <c r="AR71" s="67">
        <f t="shared" ca="1" si="29"/>
        <v>0</v>
      </c>
      <c r="AS71" s="67">
        <f t="shared" ca="1" si="29"/>
        <v>0</v>
      </c>
      <c r="AT71" s="67">
        <f t="shared" ca="1" si="29"/>
        <v>0</v>
      </c>
      <c r="AU71" s="67">
        <f t="shared" ca="1" si="29"/>
        <v>0</v>
      </c>
      <c r="AV71" s="67">
        <f t="shared" ca="1" si="29"/>
        <v>0</v>
      </c>
      <c r="AW71" s="67">
        <f t="shared" ca="1" si="29"/>
        <v>0</v>
      </c>
      <c r="AX71" s="67">
        <f t="shared" ca="1" si="29"/>
        <v>0</v>
      </c>
      <c r="AY71" s="67">
        <f t="shared" ca="1" si="29"/>
        <v>0</v>
      </c>
      <c r="AZ71" s="67">
        <f t="shared" ca="1" si="30"/>
        <v>0</v>
      </c>
      <c r="BA71" s="67">
        <f t="shared" ca="1" si="26"/>
        <v>0</v>
      </c>
      <c r="BB71" s="67">
        <f t="shared" ca="1" si="26"/>
        <v>0</v>
      </c>
      <c r="BC71" s="67">
        <f t="shared" ca="1" si="26"/>
        <v>0</v>
      </c>
      <c r="BD71" s="67">
        <f t="shared" ca="1" si="26"/>
        <v>0</v>
      </c>
      <c r="BE71" s="67">
        <f t="shared" ca="1" si="26"/>
        <v>0</v>
      </c>
      <c r="BF71" s="67">
        <f t="shared" ca="1" si="26"/>
        <v>0</v>
      </c>
      <c r="BG71" s="67">
        <f t="shared" ca="1" si="26"/>
        <v>0</v>
      </c>
      <c r="BH71" s="67">
        <f t="shared" ca="1" si="26"/>
        <v>0</v>
      </c>
      <c r="BI71" s="67">
        <f t="shared" ca="1" si="26"/>
        <v>0</v>
      </c>
      <c r="BJ71" s="67">
        <f t="shared" ca="1" si="26"/>
        <v>0</v>
      </c>
      <c r="BK71" s="67">
        <f t="shared" ca="1" si="26"/>
        <v>0</v>
      </c>
      <c r="BL71" s="67">
        <f t="shared" ca="1" si="26"/>
        <v>0</v>
      </c>
      <c r="BM71" s="67">
        <f t="shared" ca="1" si="26"/>
        <v>0</v>
      </c>
      <c r="BN71" s="67">
        <f t="shared" ca="1" si="26"/>
        <v>0</v>
      </c>
      <c r="BO71" s="67">
        <f t="shared" ca="1" si="26"/>
        <v>0</v>
      </c>
      <c r="BP71" s="67">
        <f t="shared" ca="1" si="26"/>
        <v>0</v>
      </c>
      <c r="BQ71" s="67">
        <f t="shared" ca="1" si="27"/>
        <v>0</v>
      </c>
      <c r="BR71" s="67">
        <f t="shared" ca="1" si="27"/>
        <v>0</v>
      </c>
      <c r="BS71" s="67">
        <f t="shared" ca="1" si="27"/>
        <v>0</v>
      </c>
      <c r="BT71" s="67">
        <f t="shared" ca="1" si="27"/>
        <v>0</v>
      </c>
    </row>
    <row r="72" spans="2:72" x14ac:dyDescent="0.25">
      <c r="B72" s="87"/>
      <c r="G72" s="67" t="str">
        <f>ROW(A67)&amp;". "&amp;'Critical resources'!B78</f>
        <v xml:space="preserve">67. </v>
      </c>
      <c r="H72" s="67">
        <f ca="1">IFERROR(VLOOKUP('Critical resources'!D78,$B$6:$C$57,2,0),0)</f>
        <v>0</v>
      </c>
      <c r="I72" s="67">
        <f ca="1">IFERROR(VLOOKUP('Critical resources'!E78,$A$6:$C$57,3,0),0)</f>
        <v>0</v>
      </c>
      <c r="J72" s="67">
        <f ca="1">IFERROR(VLOOKUP('Critical resources'!G78,$B$6:$C$57,2,0),0)</f>
        <v>0</v>
      </c>
      <c r="K72" s="67">
        <f ca="1">IFERROR(VLOOKUP('Critical resources'!H78,$B$6:$C$57,2,0),0)</f>
        <v>0</v>
      </c>
      <c r="L72" s="67">
        <f ca="1">IFERROR(VLOOKUP('Critical resources'!J78,$B$6:$C$57,2,0),0)</f>
        <v>0</v>
      </c>
      <c r="M72" s="67">
        <f ca="1">IFERROR(VLOOKUP('Critical resources'!K78,$A$6:$C$57,3,0),0)</f>
        <v>0</v>
      </c>
      <c r="N72" s="67">
        <f ca="1">IFERROR(VLOOKUP('Critical resources'!M78,$B$6:$C$57,2,0),0)</f>
        <v>0</v>
      </c>
      <c r="O72" s="67">
        <f ca="1">IFERROR(VLOOKUP('Critical resources'!N78,$A$6:$C$57,3,0),0)</f>
        <v>0</v>
      </c>
      <c r="P72" s="67">
        <f ca="1">IFERROR(VLOOKUP('Critical resources'!P78,$B$6:$C$57,2,0),0)</f>
        <v>0</v>
      </c>
      <c r="Q72" s="67">
        <f ca="1">IFERROR(VLOOKUP('Critical resources'!Q78,$A$6:$C$57,3,0),0)</f>
        <v>0</v>
      </c>
      <c r="T72" s="67" t="str">
        <f t="shared" si="28"/>
        <v xml:space="preserve">67. </v>
      </c>
      <c r="U72" s="67">
        <f t="shared" ca="1" si="31"/>
        <v>0</v>
      </c>
      <c r="V72" s="67">
        <f t="shared" ca="1" si="31"/>
        <v>0</v>
      </c>
      <c r="W72" s="67">
        <f t="shared" ca="1" si="31"/>
        <v>0</v>
      </c>
      <c r="X72" s="67">
        <f t="shared" ca="1" si="31"/>
        <v>0</v>
      </c>
      <c r="Y72" s="67">
        <f t="shared" ca="1" si="31"/>
        <v>0</v>
      </c>
      <c r="Z72" s="67">
        <f t="shared" ca="1" si="31"/>
        <v>0</v>
      </c>
      <c r="AA72" s="67">
        <f t="shared" ca="1" si="31"/>
        <v>0</v>
      </c>
      <c r="AB72" s="67">
        <f t="shared" ca="1" si="31"/>
        <v>0</v>
      </c>
      <c r="AC72" s="67">
        <f t="shared" ca="1" si="31"/>
        <v>0</v>
      </c>
      <c r="AD72" s="67">
        <f t="shared" ca="1" si="31"/>
        <v>0</v>
      </c>
      <c r="AE72" s="67">
        <f t="shared" ca="1" si="31"/>
        <v>0</v>
      </c>
      <c r="AF72" s="67">
        <f t="shared" ca="1" si="31"/>
        <v>0</v>
      </c>
      <c r="AG72" s="67">
        <f t="shared" ca="1" si="31"/>
        <v>0</v>
      </c>
      <c r="AH72" s="67">
        <f t="shared" ca="1" si="31"/>
        <v>0</v>
      </c>
      <c r="AI72" s="67">
        <f t="shared" ca="1" si="31"/>
        <v>0</v>
      </c>
      <c r="AJ72" s="67">
        <f t="shared" ca="1" si="29"/>
        <v>0</v>
      </c>
      <c r="AK72" s="67">
        <f t="shared" ca="1" si="29"/>
        <v>0</v>
      </c>
      <c r="AL72" s="67">
        <f t="shared" ca="1" si="29"/>
        <v>0</v>
      </c>
      <c r="AM72" s="67">
        <f t="shared" ca="1" si="29"/>
        <v>0</v>
      </c>
      <c r="AN72" s="67">
        <f t="shared" ca="1" si="29"/>
        <v>0</v>
      </c>
      <c r="AO72" s="67">
        <f t="shared" ca="1" si="29"/>
        <v>0</v>
      </c>
      <c r="AP72" s="67">
        <f t="shared" ca="1" si="29"/>
        <v>0</v>
      </c>
      <c r="AQ72" s="67">
        <f t="shared" ca="1" si="29"/>
        <v>0</v>
      </c>
      <c r="AR72" s="67">
        <f t="shared" ca="1" si="29"/>
        <v>0</v>
      </c>
      <c r="AS72" s="67">
        <f t="shared" ca="1" si="29"/>
        <v>0</v>
      </c>
      <c r="AT72" s="67">
        <f t="shared" ca="1" si="29"/>
        <v>0</v>
      </c>
      <c r="AU72" s="67">
        <f t="shared" ca="1" si="29"/>
        <v>0</v>
      </c>
      <c r="AV72" s="67">
        <f t="shared" ca="1" si="29"/>
        <v>0</v>
      </c>
      <c r="AW72" s="67">
        <f t="shared" ca="1" si="29"/>
        <v>0</v>
      </c>
      <c r="AX72" s="67">
        <f t="shared" ca="1" si="29"/>
        <v>0</v>
      </c>
      <c r="AY72" s="67">
        <f t="shared" ca="1" si="29"/>
        <v>0</v>
      </c>
      <c r="AZ72" s="67">
        <f t="shared" ca="1" si="30"/>
        <v>0</v>
      </c>
      <c r="BA72" s="67">
        <f t="shared" ca="1" si="26"/>
        <v>0</v>
      </c>
      <c r="BB72" s="67">
        <f t="shared" ca="1" si="26"/>
        <v>0</v>
      </c>
      <c r="BC72" s="67">
        <f t="shared" ca="1" si="26"/>
        <v>0</v>
      </c>
      <c r="BD72" s="67">
        <f t="shared" ca="1" si="26"/>
        <v>0</v>
      </c>
      <c r="BE72" s="67">
        <f t="shared" ca="1" si="26"/>
        <v>0</v>
      </c>
      <c r="BF72" s="67">
        <f t="shared" ca="1" si="26"/>
        <v>0</v>
      </c>
      <c r="BG72" s="67">
        <f t="shared" ca="1" si="26"/>
        <v>0</v>
      </c>
      <c r="BH72" s="67">
        <f t="shared" ca="1" si="26"/>
        <v>0</v>
      </c>
      <c r="BI72" s="67">
        <f t="shared" ca="1" si="26"/>
        <v>0</v>
      </c>
      <c r="BJ72" s="67">
        <f t="shared" ca="1" si="26"/>
        <v>0</v>
      </c>
      <c r="BK72" s="67">
        <f t="shared" ca="1" si="26"/>
        <v>0</v>
      </c>
      <c r="BL72" s="67">
        <f t="shared" ca="1" si="26"/>
        <v>0</v>
      </c>
      <c r="BM72" s="67">
        <f t="shared" ca="1" si="26"/>
        <v>0</v>
      </c>
      <c r="BN72" s="67">
        <f t="shared" ca="1" si="26"/>
        <v>0</v>
      </c>
      <c r="BO72" s="67">
        <f t="shared" ca="1" si="26"/>
        <v>0</v>
      </c>
      <c r="BP72" s="67">
        <f t="shared" ca="1" si="26"/>
        <v>0</v>
      </c>
      <c r="BQ72" s="67">
        <f t="shared" ca="1" si="27"/>
        <v>0</v>
      </c>
      <c r="BR72" s="67">
        <f t="shared" ca="1" si="27"/>
        <v>0</v>
      </c>
      <c r="BS72" s="67">
        <f t="shared" ca="1" si="27"/>
        <v>0</v>
      </c>
      <c r="BT72" s="67">
        <f t="shared" ca="1" si="27"/>
        <v>0</v>
      </c>
    </row>
    <row r="73" spans="2:72" x14ac:dyDescent="0.25">
      <c r="B73" s="87"/>
      <c r="G73" s="67" t="str">
        <f>ROW(A68)&amp;". "&amp;'Critical resources'!B79</f>
        <v xml:space="preserve">68. </v>
      </c>
      <c r="H73" s="67">
        <f ca="1">IFERROR(VLOOKUP('Critical resources'!D79,$B$6:$C$57,2,0),0)</f>
        <v>0</v>
      </c>
      <c r="I73" s="67">
        <f ca="1">IFERROR(VLOOKUP('Critical resources'!E79,$A$6:$C$57,3,0),0)</f>
        <v>0</v>
      </c>
      <c r="J73" s="67">
        <f ca="1">IFERROR(VLOOKUP('Critical resources'!G79,$B$6:$C$57,2,0),0)</f>
        <v>0</v>
      </c>
      <c r="K73" s="67">
        <f ca="1">IFERROR(VLOOKUP('Critical resources'!H79,$B$6:$C$57,2,0),0)</f>
        <v>0</v>
      </c>
      <c r="L73" s="67">
        <f ca="1">IFERROR(VLOOKUP('Critical resources'!J79,$B$6:$C$57,2,0),0)</f>
        <v>0</v>
      </c>
      <c r="M73" s="67">
        <f ca="1">IFERROR(VLOOKUP('Critical resources'!K79,$A$6:$C$57,3,0),0)</f>
        <v>0</v>
      </c>
      <c r="N73" s="67">
        <f ca="1">IFERROR(VLOOKUP('Critical resources'!M79,$B$6:$C$57,2,0),0)</f>
        <v>0</v>
      </c>
      <c r="O73" s="67">
        <f ca="1">IFERROR(VLOOKUP('Critical resources'!N79,$A$6:$C$57,3,0),0)</f>
        <v>0</v>
      </c>
      <c r="P73" s="67">
        <f ca="1">IFERROR(VLOOKUP('Critical resources'!P79,$B$6:$C$57,2,0),0)</f>
        <v>0</v>
      </c>
      <c r="Q73" s="67">
        <f ca="1">IFERROR(VLOOKUP('Critical resources'!Q79,$A$6:$C$57,3,0),0)</f>
        <v>0</v>
      </c>
      <c r="T73" s="67" t="str">
        <f t="shared" si="28"/>
        <v xml:space="preserve">68. </v>
      </c>
      <c r="U73" s="67">
        <f t="shared" ca="1" si="31"/>
        <v>0</v>
      </c>
      <c r="V73" s="67">
        <f t="shared" ca="1" si="31"/>
        <v>0</v>
      </c>
      <c r="W73" s="67">
        <f t="shared" ca="1" si="31"/>
        <v>0</v>
      </c>
      <c r="X73" s="67">
        <f t="shared" ca="1" si="31"/>
        <v>0</v>
      </c>
      <c r="Y73" s="67">
        <f t="shared" ca="1" si="31"/>
        <v>0</v>
      </c>
      <c r="Z73" s="67">
        <f t="shared" ca="1" si="31"/>
        <v>0</v>
      </c>
      <c r="AA73" s="67">
        <f t="shared" ca="1" si="31"/>
        <v>0</v>
      </c>
      <c r="AB73" s="67">
        <f t="shared" ca="1" si="31"/>
        <v>0</v>
      </c>
      <c r="AC73" s="67">
        <f t="shared" ca="1" si="31"/>
        <v>0</v>
      </c>
      <c r="AD73" s="67">
        <f t="shared" ca="1" si="31"/>
        <v>0</v>
      </c>
      <c r="AE73" s="67">
        <f t="shared" ca="1" si="31"/>
        <v>0</v>
      </c>
      <c r="AF73" s="67">
        <f t="shared" ca="1" si="31"/>
        <v>0</v>
      </c>
      <c r="AG73" s="67">
        <f t="shared" ca="1" si="31"/>
        <v>0</v>
      </c>
      <c r="AH73" s="67">
        <f t="shared" ca="1" si="31"/>
        <v>0</v>
      </c>
      <c r="AI73" s="67">
        <f t="shared" ca="1" si="31"/>
        <v>0</v>
      </c>
      <c r="AJ73" s="67">
        <f t="shared" ca="1" si="29"/>
        <v>0</v>
      </c>
      <c r="AK73" s="67">
        <f t="shared" ca="1" si="29"/>
        <v>0</v>
      </c>
      <c r="AL73" s="67">
        <f t="shared" ca="1" si="29"/>
        <v>0</v>
      </c>
      <c r="AM73" s="67">
        <f t="shared" ca="1" si="29"/>
        <v>0</v>
      </c>
      <c r="AN73" s="67">
        <f t="shared" ca="1" si="29"/>
        <v>0</v>
      </c>
      <c r="AO73" s="67">
        <f t="shared" ca="1" si="29"/>
        <v>0</v>
      </c>
      <c r="AP73" s="67">
        <f t="shared" ca="1" si="29"/>
        <v>0</v>
      </c>
      <c r="AQ73" s="67">
        <f t="shared" ca="1" si="29"/>
        <v>0</v>
      </c>
      <c r="AR73" s="67">
        <f t="shared" ca="1" si="29"/>
        <v>0</v>
      </c>
      <c r="AS73" s="67">
        <f t="shared" ca="1" si="29"/>
        <v>0</v>
      </c>
      <c r="AT73" s="67">
        <f t="shared" ca="1" si="29"/>
        <v>0</v>
      </c>
      <c r="AU73" s="67">
        <f t="shared" ca="1" si="29"/>
        <v>0</v>
      </c>
      <c r="AV73" s="67">
        <f t="shared" ca="1" si="29"/>
        <v>0</v>
      </c>
      <c r="AW73" s="67">
        <f t="shared" ca="1" si="29"/>
        <v>0</v>
      </c>
      <c r="AX73" s="67">
        <f t="shared" ca="1" si="29"/>
        <v>0</v>
      </c>
      <c r="AY73" s="67">
        <f t="shared" ca="1" si="29"/>
        <v>0</v>
      </c>
      <c r="AZ73" s="67">
        <f t="shared" ca="1" si="30"/>
        <v>0</v>
      </c>
      <c r="BA73" s="67">
        <f t="shared" ca="1" si="26"/>
        <v>0</v>
      </c>
      <c r="BB73" s="67">
        <f t="shared" ca="1" si="26"/>
        <v>0</v>
      </c>
      <c r="BC73" s="67">
        <f t="shared" ca="1" si="26"/>
        <v>0</v>
      </c>
      <c r="BD73" s="67">
        <f t="shared" ca="1" si="26"/>
        <v>0</v>
      </c>
      <c r="BE73" s="67">
        <f t="shared" ca="1" si="26"/>
        <v>0</v>
      </c>
      <c r="BF73" s="67">
        <f t="shared" ca="1" si="26"/>
        <v>0</v>
      </c>
      <c r="BG73" s="67">
        <f t="shared" ca="1" si="26"/>
        <v>0</v>
      </c>
      <c r="BH73" s="67">
        <f t="shared" ca="1" si="26"/>
        <v>0</v>
      </c>
      <c r="BI73" s="67">
        <f t="shared" ca="1" si="26"/>
        <v>0</v>
      </c>
      <c r="BJ73" s="67">
        <f t="shared" ca="1" si="26"/>
        <v>0</v>
      </c>
      <c r="BK73" s="67">
        <f t="shared" ca="1" si="26"/>
        <v>0</v>
      </c>
      <c r="BL73" s="67">
        <f t="shared" ca="1" si="26"/>
        <v>0</v>
      </c>
      <c r="BM73" s="67">
        <f t="shared" ca="1" si="26"/>
        <v>0</v>
      </c>
      <c r="BN73" s="67">
        <f t="shared" ca="1" si="26"/>
        <v>0</v>
      </c>
      <c r="BO73" s="67">
        <f t="shared" ca="1" si="26"/>
        <v>0</v>
      </c>
      <c r="BP73" s="67">
        <f t="shared" ca="1" si="26"/>
        <v>0</v>
      </c>
      <c r="BQ73" s="67">
        <f t="shared" ca="1" si="27"/>
        <v>0</v>
      </c>
      <c r="BR73" s="67">
        <f t="shared" ca="1" si="27"/>
        <v>0</v>
      </c>
      <c r="BS73" s="67">
        <f t="shared" ca="1" si="27"/>
        <v>0</v>
      </c>
      <c r="BT73" s="67">
        <f t="shared" ca="1" si="27"/>
        <v>0</v>
      </c>
    </row>
    <row r="74" spans="2:72" x14ac:dyDescent="0.25">
      <c r="B74" s="87"/>
      <c r="G74" s="67" t="str">
        <f>ROW(A69)&amp;". "&amp;'Critical resources'!B80</f>
        <v xml:space="preserve">69. </v>
      </c>
      <c r="H74" s="67">
        <f ca="1">IFERROR(VLOOKUP('Critical resources'!D80,$B$6:$C$57,2,0),0)</f>
        <v>0</v>
      </c>
      <c r="I74" s="67">
        <f ca="1">IFERROR(VLOOKUP('Critical resources'!E80,$A$6:$C$57,3,0),0)</f>
        <v>0</v>
      </c>
      <c r="J74" s="67">
        <f ca="1">IFERROR(VLOOKUP('Critical resources'!G80,$B$6:$C$57,2,0),0)</f>
        <v>0</v>
      </c>
      <c r="K74" s="67">
        <f ca="1">IFERROR(VLOOKUP('Critical resources'!H80,$B$6:$C$57,2,0),0)</f>
        <v>0</v>
      </c>
      <c r="L74" s="67">
        <f ca="1">IFERROR(VLOOKUP('Critical resources'!J80,$B$6:$C$57,2,0),0)</f>
        <v>0</v>
      </c>
      <c r="M74" s="67">
        <f ca="1">IFERROR(VLOOKUP('Critical resources'!K80,$A$6:$C$57,3,0),0)</f>
        <v>0</v>
      </c>
      <c r="N74" s="67">
        <f ca="1">IFERROR(VLOOKUP('Critical resources'!M80,$B$6:$C$57,2,0),0)</f>
        <v>0</v>
      </c>
      <c r="O74" s="67">
        <f ca="1">IFERROR(VLOOKUP('Critical resources'!N80,$A$6:$C$57,3,0),0)</f>
        <v>0</v>
      </c>
      <c r="P74" s="67">
        <f ca="1">IFERROR(VLOOKUP('Critical resources'!P80,$B$6:$C$57,2,0),0)</f>
        <v>0</v>
      </c>
      <c r="Q74" s="67">
        <f ca="1">IFERROR(VLOOKUP('Critical resources'!Q80,$A$6:$C$57,3,0),0)</f>
        <v>0</v>
      </c>
      <c r="T74" s="67" t="str">
        <f t="shared" si="28"/>
        <v xml:space="preserve">69. </v>
      </c>
      <c r="U74" s="67">
        <f t="shared" ca="1" si="31"/>
        <v>0</v>
      </c>
      <c r="V74" s="67">
        <f t="shared" ca="1" si="31"/>
        <v>0</v>
      </c>
      <c r="W74" s="67">
        <f t="shared" ca="1" si="31"/>
        <v>0</v>
      </c>
      <c r="X74" s="67">
        <f t="shared" ca="1" si="31"/>
        <v>0</v>
      </c>
      <c r="Y74" s="67">
        <f t="shared" ca="1" si="31"/>
        <v>0</v>
      </c>
      <c r="Z74" s="67">
        <f t="shared" ca="1" si="31"/>
        <v>0</v>
      </c>
      <c r="AA74" s="67">
        <f t="shared" ca="1" si="31"/>
        <v>0</v>
      </c>
      <c r="AB74" s="67">
        <f t="shared" ca="1" si="31"/>
        <v>0</v>
      </c>
      <c r="AC74" s="67">
        <f t="shared" ca="1" si="31"/>
        <v>0</v>
      </c>
      <c r="AD74" s="67">
        <f t="shared" ca="1" si="31"/>
        <v>0</v>
      </c>
      <c r="AE74" s="67">
        <f t="shared" ca="1" si="31"/>
        <v>0</v>
      </c>
      <c r="AF74" s="67">
        <f t="shared" ca="1" si="31"/>
        <v>0</v>
      </c>
      <c r="AG74" s="67">
        <f t="shared" ca="1" si="31"/>
        <v>0</v>
      </c>
      <c r="AH74" s="67">
        <f t="shared" ca="1" si="31"/>
        <v>0</v>
      </c>
      <c r="AI74" s="67">
        <f t="shared" ca="1" si="31"/>
        <v>0</v>
      </c>
      <c r="AJ74" s="67">
        <f t="shared" ca="1" si="29"/>
        <v>0</v>
      </c>
      <c r="AK74" s="67">
        <f t="shared" ca="1" si="29"/>
        <v>0</v>
      </c>
      <c r="AL74" s="67">
        <f t="shared" ca="1" si="29"/>
        <v>0</v>
      </c>
      <c r="AM74" s="67">
        <f t="shared" ca="1" si="29"/>
        <v>0</v>
      </c>
      <c r="AN74" s="67">
        <f t="shared" ca="1" si="29"/>
        <v>0</v>
      </c>
      <c r="AO74" s="67">
        <f t="shared" ca="1" si="29"/>
        <v>0</v>
      </c>
      <c r="AP74" s="67">
        <f t="shared" ca="1" si="29"/>
        <v>0</v>
      </c>
      <c r="AQ74" s="67">
        <f t="shared" ca="1" si="29"/>
        <v>0</v>
      </c>
      <c r="AR74" s="67">
        <f t="shared" ca="1" si="29"/>
        <v>0</v>
      </c>
      <c r="AS74" s="67">
        <f t="shared" ca="1" si="29"/>
        <v>0</v>
      </c>
      <c r="AT74" s="67">
        <f t="shared" ca="1" si="29"/>
        <v>0</v>
      </c>
      <c r="AU74" s="67">
        <f t="shared" ca="1" si="29"/>
        <v>0</v>
      </c>
      <c r="AV74" s="67">
        <f t="shared" ca="1" si="29"/>
        <v>0</v>
      </c>
      <c r="AW74" s="67">
        <f t="shared" ca="1" si="29"/>
        <v>0</v>
      </c>
      <c r="AX74" s="67">
        <f t="shared" ca="1" si="29"/>
        <v>0</v>
      </c>
      <c r="AY74" s="67">
        <f t="shared" ca="1" si="29"/>
        <v>0</v>
      </c>
      <c r="AZ74" s="67">
        <f t="shared" ca="1" si="30"/>
        <v>0</v>
      </c>
      <c r="BA74" s="67">
        <f t="shared" ca="1" si="26"/>
        <v>0</v>
      </c>
      <c r="BB74" s="67">
        <f t="shared" ca="1" si="26"/>
        <v>0</v>
      </c>
      <c r="BC74" s="67">
        <f t="shared" ca="1" si="26"/>
        <v>0</v>
      </c>
      <c r="BD74" s="67">
        <f t="shared" ca="1" si="26"/>
        <v>0</v>
      </c>
      <c r="BE74" s="67">
        <f t="shared" ca="1" si="26"/>
        <v>0</v>
      </c>
      <c r="BF74" s="67">
        <f t="shared" ca="1" si="26"/>
        <v>0</v>
      </c>
      <c r="BG74" s="67">
        <f t="shared" ca="1" si="26"/>
        <v>0</v>
      </c>
      <c r="BH74" s="67">
        <f t="shared" ca="1" si="26"/>
        <v>0</v>
      </c>
      <c r="BI74" s="67">
        <f t="shared" ca="1" si="26"/>
        <v>0</v>
      </c>
      <c r="BJ74" s="67">
        <f t="shared" ca="1" si="26"/>
        <v>0</v>
      </c>
      <c r="BK74" s="67">
        <f t="shared" ca="1" si="26"/>
        <v>0</v>
      </c>
      <c r="BL74" s="67">
        <f t="shared" ca="1" si="26"/>
        <v>0</v>
      </c>
      <c r="BM74" s="67">
        <f t="shared" ca="1" si="26"/>
        <v>0</v>
      </c>
      <c r="BN74" s="67">
        <f t="shared" ca="1" si="26"/>
        <v>0</v>
      </c>
      <c r="BO74" s="67">
        <f t="shared" ca="1" si="26"/>
        <v>0</v>
      </c>
      <c r="BP74" s="67">
        <f t="shared" ca="1" si="26"/>
        <v>0</v>
      </c>
      <c r="BQ74" s="67">
        <f t="shared" ca="1" si="27"/>
        <v>0</v>
      </c>
      <c r="BR74" s="67">
        <f t="shared" ca="1" si="27"/>
        <v>0</v>
      </c>
      <c r="BS74" s="67">
        <f t="shared" ca="1" si="27"/>
        <v>0</v>
      </c>
      <c r="BT74" s="67">
        <f t="shared" ca="1" si="27"/>
        <v>0</v>
      </c>
    </row>
    <row r="75" spans="2:72" x14ac:dyDescent="0.25">
      <c r="B75" s="87"/>
      <c r="G75" s="67" t="str">
        <f>ROW(A70)&amp;". "&amp;'Critical resources'!B81</f>
        <v xml:space="preserve">70. </v>
      </c>
      <c r="H75" s="67">
        <f ca="1">IFERROR(VLOOKUP('Critical resources'!D81,$B$6:$C$57,2,0),0)</f>
        <v>0</v>
      </c>
      <c r="I75" s="67">
        <f ca="1">IFERROR(VLOOKUP('Critical resources'!E81,$A$6:$C$57,3,0),0)</f>
        <v>0</v>
      </c>
      <c r="J75" s="67">
        <f ca="1">IFERROR(VLOOKUP('Critical resources'!G81,$B$6:$C$57,2,0),0)</f>
        <v>0</v>
      </c>
      <c r="K75" s="67">
        <f ca="1">IFERROR(VLOOKUP('Critical resources'!H81,$B$6:$C$57,2,0),0)</f>
        <v>0</v>
      </c>
      <c r="L75" s="67">
        <f ca="1">IFERROR(VLOOKUP('Critical resources'!J81,$B$6:$C$57,2,0),0)</f>
        <v>0</v>
      </c>
      <c r="M75" s="67">
        <f ca="1">IFERROR(VLOOKUP('Critical resources'!K81,$A$6:$C$57,3,0),0)</f>
        <v>0</v>
      </c>
      <c r="N75" s="67">
        <f ca="1">IFERROR(VLOOKUP('Critical resources'!M81,$B$6:$C$57,2,0),0)</f>
        <v>0</v>
      </c>
      <c r="O75" s="67">
        <f ca="1">IFERROR(VLOOKUP('Critical resources'!N81,$A$6:$C$57,3,0),0)</f>
        <v>0</v>
      </c>
      <c r="P75" s="67">
        <f ca="1">IFERROR(VLOOKUP('Critical resources'!P81,$B$6:$C$57,2,0),0)</f>
        <v>0</v>
      </c>
      <c r="Q75" s="67">
        <f ca="1">IFERROR(VLOOKUP('Critical resources'!Q81,$A$6:$C$57,3,0),0)</f>
        <v>0</v>
      </c>
      <c r="T75" s="67" t="str">
        <f t="shared" si="28"/>
        <v xml:space="preserve">70. </v>
      </c>
      <c r="U75" s="67">
        <f t="shared" ca="1" si="31"/>
        <v>0</v>
      </c>
      <c r="V75" s="67">
        <f t="shared" ca="1" si="31"/>
        <v>0</v>
      </c>
      <c r="W75" s="67">
        <f t="shared" ca="1" si="31"/>
        <v>0</v>
      </c>
      <c r="X75" s="67">
        <f t="shared" ca="1" si="31"/>
        <v>0</v>
      </c>
      <c r="Y75" s="67">
        <f t="shared" ca="1" si="31"/>
        <v>0</v>
      </c>
      <c r="Z75" s="67">
        <f t="shared" ca="1" si="31"/>
        <v>0</v>
      </c>
      <c r="AA75" s="67">
        <f t="shared" ca="1" si="31"/>
        <v>0</v>
      </c>
      <c r="AB75" s="67">
        <f t="shared" ca="1" si="31"/>
        <v>0</v>
      </c>
      <c r="AC75" s="67">
        <f t="shared" ca="1" si="31"/>
        <v>0</v>
      </c>
      <c r="AD75" s="67">
        <f t="shared" ca="1" si="31"/>
        <v>0</v>
      </c>
      <c r="AE75" s="67">
        <f t="shared" ca="1" si="31"/>
        <v>0</v>
      </c>
      <c r="AF75" s="67">
        <f t="shared" ca="1" si="31"/>
        <v>0</v>
      </c>
      <c r="AG75" s="67">
        <f t="shared" ca="1" si="31"/>
        <v>0</v>
      </c>
      <c r="AH75" s="67">
        <f t="shared" ca="1" si="31"/>
        <v>0</v>
      </c>
      <c r="AI75" s="67">
        <f t="shared" ca="1" si="31"/>
        <v>0</v>
      </c>
      <c r="AJ75" s="67">
        <f t="shared" ca="1" si="29"/>
        <v>0</v>
      </c>
      <c r="AK75" s="67">
        <f t="shared" ca="1" si="29"/>
        <v>0</v>
      </c>
      <c r="AL75" s="67">
        <f t="shared" ca="1" si="29"/>
        <v>0</v>
      </c>
      <c r="AM75" s="67">
        <f t="shared" ca="1" si="29"/>
        <v>0</v>
      </c>
      <c r="AN75" s="67">
        <f t="shared" ca="1" si="29"/>
        <v>0</v>
      </c>
      <c r="AO75" s="67">
        <f t="shared" ca="1" si="29"/>
        <v>0</v>
      </c>
      <c r="AP75" s="67">
        <f t="shared" ca="1" si="29"/>
        <v>0</v>
      </c>
      <c r="AQ75" s="67">
        <f t="shared" ca="1" si="29"/>
        <v>0</v>
      </c>
      <c r="AR75" s="67">
        <f t="shared" ca="1" si="29"/>
        <v>0</v>
      </c>
      <c r="AS75" s="67">
        <f t="shared" ca="1" si="29"/>
        <v>0</v>
      </c>
      <c r="AT75" s="67">
        <f t="shared" ca="1" si="29"/>
        <v>0</v>
      </c>
      <c r="AU75" s="67">
        <f t="shared" ca="1" si="29"/>
        <v>0</v>
      </c>
      <c r="AV75" s="67">
        <f t="shared" ca="1" si="29"/>
        <v>0</v>
      </c>
      <c r="AW75" s="67">
        <f t="shared" ca="1" si="29"/>
        <v>0</v>
      </c>
      <c r="AX75" s="67">
        <f t="shared" ca="1" si="29"/>
        <v>0</v>
      </c>
      <c r="AY75" s="67">
        <f t="shared" ca="1" si="29"/>
        <v>0</v>
      </c>
      <c r="AZ75" s="67">
        <f t="shared" ca="1" si="30"/>
        <v>0</v>
      </c>
      <c r="BA75" s="67">
        <f t="shared" ca="1" si="26"/>
        <v>0</v>
      </c>
      <c r="BB75" s="67">
        <f t="shared" ca="1" si="26"/>
        <v>0</v>
      </c>
      <c r="BC75" s="67">
        <f t="shared" ca="1" si="26"/>
        <v>0</v>
      </c>
      <c r="BD75" s="67">
        <f t="shared" ca="1" si="26"/>
        <v>0</v>
      </c>
      <c r="BE75" s="67">
        <f t="shared" ca="1" si="26"/>
        <v>0</v>
      </c>
      <c r="BF75" s="67">
        <f t="shared" ca="1" si="26"/>
        <v>0</v>
      </c>
      <c r="BG75" s="67">
        <f t="shared" ca="1" si="26"/>
        <v>0</v>
      </c>
      <c r="BH75" s="67">
        <f t="shared" ca="1" si="26"/>
        <v>0</v>
      </c>
      <c r="BI75" s="67">
        <f t="shared" ca="1" si="26"/>
        <v>0</v>
      </c>
      <c r="BJ75" s="67">
        <f t="shared" ca="1" si="26"/>
        <v>0</v>
      </c>
      <c r="BK75" s="67">
        <f t="shared" ca="1" si="26"/>
        <v>0</v>
      </c>
      <c r="BL75" s="67">
        <f t="shared" ca="1" si="26"/>
        <v>0</v>
      </c>
      <c r="BM75" s="67">
        <f t="shared" ca="1" si="26"/>
        <v>0</v>
      </c>
      <c r="BN75" s="67">
        <f t="shared" ca="1" si="26"/>
        <v>0</v>
      </c>
      <c r="BO75" s="67">
        <f t="shared" ca="1" si="26"/>
        <v>0</v>
      </c>
      <c r="BP75" s="67">
        <f t="shared" ca="1" si="26"/>
        <v>0</v>
      </c>
      <c r="BQ75" s="67">
        <f t="shared" ca="1" si="27"/>
        <v>0</v>
      </c>
      <c r="BR75" s="67">
        <f t="shared" ca="1" si="27"/>
        <v>0</v>
      </c>
      <c r="BS75" s="67">
        <f t="shared" ca="1" si="27"/>
        <v>0</v>
      </c>
      <c r="BT75" s="67">
        <f t="shared" ca="1" si="27"/>
        <v>0</v>
      </c>
    </row>
    <row r="76" spans="2:72" x14ac:dyDescent="0.25">
      <c r="B76" s="87"/>
      <c r="G76" s="67" t="str">
        <f>ROW(A71)&amp;". "&amp;'Critical resources'!B82</f>
        <v xml:space="preserve">71. </v>
      </c>
      <c r="H76" s="67">
        <f ca="1">IFERROR(VLOOKUP('Critical resources'!D82,$B$6:$C$57,2,0),0)</f>
        <v>0</v>
      </c>
      <c r="I76" s="67">
        <f ca="1">IFERROR(VLOOKUP('Critical resources'!E82,$A$6:$C$57,3,0),0)</f>
        <v>0</v>
      </c>
      <c r="J76" s="67">
        <f ca="1">IFERROR(VLOOKUP('Critical resources'!G82,$B$6:$C$57,2,0),0)</f>
        <v>0</v>
      </c>
      <c r="K76" s="67">
        <f ca="1">IFERROR(VLOOKUP('Critical resources'!H82,$B$6:$C$57,2,0),0)</f>
        <v>0</v>
      </c>
      <c r="L76" s="67">
        <f ca="1">IFERROR(VLOOKUP('Critical resources'!J82,$B$6:$C$57,2,0),0)</f>
        <v>0</v>
      </c>
      <c r="M76" s="67">
        <f ca="1">IFERROR(VLOOKUP('Critical resources'!K82,$A$6:$C$57,3,0),0)</f>
        <v>0</v>
      </c>
      <c r="N76" s="67">
        <f ca="1">IFERROR(VLOOKUP('Critical resources'!M82,$B$6:$C$57,2,0),0)</f>
        <v>0</v>
      </c>
      <c r="O76" s="67">
        <f ca="1">IFERROR(VLOOKUP('Critical resources'!N82,$A$6:$C$57,3,0),0)</f>
        <v>0</v>
      </c>
      <c r="P76" s="67">
        <f ca="1">IFERROR(VLOOKUP('Critical resources'!P82,$B$6:$C$57,2,0),0)</f>
        <v>0</v>
      </c>
      <c r="Q76" s="67">
        <f ca="1">IFERROR(VLOOKUP('Critical resources'!Q82,$A$6:$C$57,3,0),0)</f>
        <v>0</v>
      </c>
      <c r="T76" s="67" t="str">
        <f t="shared" si="28"/>
        <v xml:space="preserve">71. </v>
      </c>
      <c r="U76" s="67">
        <f t="shared" ca="1" si="31"/>
        <v>0</v>
      </c>
      <c r="V76" s="67">
        <f t="shared" ca="1" si="31"/>
        <v>0</v>
      </c>
      <c r="W76" s="67">
        <f t="shared" ca="1" si="31"/>
        <v>0</v>
      </c>
      <c r="X76" s="67">
        <f t="shared" ca="1" si="31"/>
        <v>0</v>
      </c>
      <c r="Y76" s="67">
        <f t="shared" ca="1" si="31"/>
        <v>0</v>
      </c>
      <c r="Z76" s="67">
        <f t="shared" ca="1" si="31"/>
        <v>0</v>
      </c>
      <c r="AA76" s="67">
        <f t="shared" ca="1" si="31"/>
        <v>0</v>
      </c>
      <c r="AB76" s="67">
        <f t="shared" ca="1" si="31"/>
        <v>0</v>
      </c>
      <c r="AC76" s="67">
        <f t="shared" ca="1" si="31"/>
        <v>0</v>
      </c>
      <c r="AD76" s="67">
        <f t="shared" ca="1" si="31"/>
        <v>0</v>
      </c>
      <c r="AE76" s="67">
        <f t="shared" ca="1" si="31"/>
        <v>0</v>
      </c>
      <c r="AF76" s="67">
        <f t="shared" ca="1" si="31"/>
        <v>0</v>
      </c>
      <c r="AG76" s="67">
        <f t="shared" ca="1" si="31"/>
        <v>0</v>
      </c>
      <c r="AH76" s="67">
        <f t="shared" ca="1" si="31"/>
        <v>0</v>
      </c>
      <c r="AI76" s="67">
        <f t="shared" ca="1" si="31"/>
        <v>0</v>
      </c>
      <c r="AJ76" s="67">
        <f t="shared" ca="1" si="29"/>
        <v>0</v>
      </c>
      <c r="AK76" s="67">
        <f t="shared" ca="1" si="29"/>
        <v>0</v>
      </c>
      <c r="AL76" s="67">
        <f t="shared" ca="1" si="29"/>
        <v>0</v>
      </c>
      <c r="AM76" s="67">
        <f t="shared" ca="1" si="29"/>
        <v>0</v>
      </c>
      <c r="AN76" s="67">
        <f t="shared" ca="1" si="29"/>
        <v>0</v>
      </c>
      <c r="AO76" s="67">
        <f t="shared" ca="1" si="29"/>
        <v>0</v>
      </c>
      <c r="AP76" s="67">
        <f t="shared" ca="1" si="29"/>
        <v>0</v>
      </c>
      <c r="AQ76" s="67">
        <f t="shared" ca="1" si="29"/>
        <v>0</v>
      </c>
      <c r="AR76" s="67">
        <f t="shared" ca="1" si="29"/>
        <v>0</v>
      </c>
      <c r="AS76" s="67">
        <f t="shared" ca="1" si="29"/>
        <v>0</v>
      </c>
      <c r="AT76" s="67">
        <f t="shared" ca="1" si="29"/>
        <v>0</v>
      </c>
      <c r="AU76" s="67">
        <f t="shared" ca="1" si="29"/>
        <v>0</v>
      </c>
      <c r="AV76" s="67">
        <f t="shared" ca="1" si="29"/>
        <v>0</v>
      </c>
      <c r="AW76" s="67">
        <f t="shared" ca="1" si="29"/>
        <v>0</v>
      </c>
      <c r="AX76" s="67">
        <f t="shared" ca="1" si="29"/>
        <v>0</v>
      </c>
      <c r="AY76" s="67">
        <f t="shared" ca="1" si="29"/>
        <v>0</v>
      </c>
      <c r="AZ76" s="67">
        <f t="shared" ca="1" si="30"/>
        <v>0</v>
      </c>
      <c r="BA76" s="67">
        <f t="shared" ca="1" si="26"/>
        <v>0</v>
      </c>
      <c r="BB76" s="67">
        <f t="shared" ca="1" si="26"/>
        <v>0</v>
      </c>
      <c r="BC76" s="67">
        <f t="shared" ca="1" si="26"/>
        <v>0</v>
      </c>
      <c r="BD76" s="67">
        <f t="shared" ca="1" si="26"/>
        <v>0</v>
      </c>
      <c r="BE76" s="67">
        <f t="shared" ca="1" si="26"/>
        <v>0</v>
      </c>
      <c r="BF76" s="67">
        <f t="shared" ca="1" si="26"/>
        <v>0</v>
      </c>
      <c r="BG76" s="67">
        <f t="shared" ca="1" si="26"/>
        <v>0</v>
      </c>
      <c r="BH76" s="67">
        <f t="shared" ca="1" si="26"/>
        <v>0</v>
      </c>
      <c r="BI76" s="67">
        <f t="shared" ca="1" si="26"/>
        <v>0</v>
      </c>
      <c r="BJ76" s="67">
        <f t="shared" ca="1" si="26"/>
        <v>0</v>
      </c>
      <c r="BK76" s="67">
        <f t="shared" ca="1" si="26"/>
        <v>0</v>
      </c>
      <c r="BL76" s="67">
        <f t="shared" ca="1" si="26"/>
        <v>0</v>
      </c>
      <c r="BM76" s="67">
        <f t="shared" ca="1" si="26"/>
        <v>0</v>
      </c>
      <c r="BN76" s="67">
        <f t="shared" ca="1" si="26"/>
        <v>0</v>
      </c>
      <c r="BO76" s="67">
        <f t="shared" ca="1" si="26"/>
        <v>0</v>
      </c>
      <c r="BP76" s="67">
        <f t="shared" ca="1" si="26"/>
        <v>0</v>
      </c>
      <c r="BQ76" s="67">
        <f t="shared" ca="1" si="27"/>
        <v>0</v>
      </c>
      <c r="BR76" s="67">
        <f t="shared" ca="1" si="27"/>
        <v>0</v>
      </c>
      <c r="BS76" s="67">
        <f t="shared" ca="1" si="27"/>
        <v>0</v>
      </c>
      <c r="BT76" s="67">
        <f t="shared" ca="1" si="27"/>
        <v>0</v>
      </c>
    </row>
    <row r="77" spans="2:72" x14ac:dyDescent="0.25">
      <c r="B77" s="87"/>
      <c r="G77" s="67" t="str">
        <f>ROW(A72)&amp;". "&amp;'Critical resources'!B83</f>
        <v xml:space="preserve">72. </v>
      </c>
      <c r="H77" s="67">
        <f ca="1">IFERROR(VLOOKUP('Critical resources'!D83,$B$6:$C$57,2,0),0)</f>
        <v>0</v>
      </c>
      <c r="I77" s="67">
        <f ca="1">IFERROR(VLOOKUP('Critical resources'!E83,$A$6:$C$57,3,0),0)</f>
        <v>0</v>
      </c>
      <c r="J77" s="67">
        <f ca="1">IFERROR(VLOOKUP('Critical resources'!G83,$B$6:$C$57,2,0),0)</f>
        <v>0</v>
      </c>
      <c r="K77" s="67">
        <f ca="1">IFERROR(VLOOKUP('Critical resources'!H83,$B$6:$C$57,2,0),0)</f>
        <v>0</v>
      </c>
      <c r="L77" s="67">
        <f ca="1">IFERROR(VLOOKUP('Critical resources'!J83,$B$6:$C$57,2,0),0)</f>
        <v>0</v>
      </c>
      <c r="M77" s="67">
        <f ca="1">IFERROR(VLOOKUP('Critical resources'!K83,$A$6:$C$57,3,0),0)</f>
        <v>0</v>
      </c>
      <c r="N77" s="67">
        <f ca="1">IFERROR(VLOOKUP('Critical resources'!M83,$B$6:$C$57,2,0),0)</f>
        <v>0</v>
      </c>
      <c r="O77" s="67">
        <f ca="1">IFERROR(VLOOKUP('Critical resources'!N83,$A$6:$C$57,3,0),0)</f>
        <v>0</v>
      </c>
      <c r="P77" s="67">
        <f ca="1">IFERROR(VLOOKUP('Critical resources'!P83,$B$6:$C$57,2,0),0)</f>
        <v>0</v>
      </c>
      <c r="Q77" s="67">
        <f ca="1">IFERROR(VLOOKUP('Critical resources'!Q83,$A$6:$C$57,3,0),0)</f>
        <v>0</v>
      </c>
      <c r="T77" s="67" t="str">
        <f t="shared" si="28"/>
        <v xml:space="preserve">72. </v>
      </c>
      <c r="U77" s="67">
        <f t="shared" ca="1" si="31"/>
        <v>0</v>
      </c>
      <c r="V77" s="67">
        <f t="shared" ca="1" si="31"/>
        <v>0</v>
      </c>
      <c r="W77" s="67">
        <f t="shared" ca="1" si="31"/>
        <v>0</v>
      </c>
      <c r="X77" s="67">
        <f t="shared" ca="1" si="31"/>
        <v>0</v>
      </c>
      <c r="Y77" s="67">
        <f t="shared" ca="1" si="31"/>
        <v>0</v>
      </c>
      <c r="Z77" s="67">
        <f t="shared" ca="1" si="31"/>
        <v>0</v>
      </c>
      <c r="AA77" s="67">
        <f t="shared" ca="1" si="31"/>
        <v>0</v>
      </c>
      <c r="AB77" s="67">
        <f t="shared" ca="1" si="31"/>
        <v>0</v>
      </c>
      <c r="AC77" s="67">
        <f t="shared" ca="1" si="31"/>
        <v>0</v>
      </c>
      <c r="AD77" s="67">
        <f t="shared" ca="1" si="31"/>
        <v>0</v>
      </c>
      <c r="AE77" s="67">
        <f t="shared" ca="1" si="31"/>
        <v>0</v>
      </c>
      <c r="AF77" s="67">
        <f t="shared" ca="1" si="31"/>
        <v>0</v>
      </c>
      <c r="AG77" s="67">
        <f t="shared" ca="1" si="31"/>
        <v>0</v>
      </c>
      <c r="AH77" s="67">
        <f t="shared" ca="1" si="31"/>
        <v>0</v>
      </c>
      <c r="AI77" s="67">
        <f t="shared" ca="1" si="31"/>
        <v>0</v>
      </c>
      <c r="AJ77" s="67">
        <f t="shared" ca="1" si="29"/>
        <v>0</v>
      </c>
      <c r="AK77" s="67">
        <f t="shared" ca="1" si="29"/>
        <v>0</v>
      </c>
      <c r="AL77" s="67">
        <f t="shared" ca="1" si="29"/>
        <v>0</v>
      </c>
      <c r="AM77" s="67">
        <f t="shared" ca="1" si="29"/>
        <v>0</v>
      </c>
      <c r="AN77" s="67">
        <f t="shared" ca="1" si="29"/>
        <v>0</v>
      </c>
      <c r="AO77" s="67">
        <f t="shared" ca="1" si="29"/>
        <v>0</v>
      </c>
      <c r="AP77" s="67">
        <f t="shared" ca="1" si="29"/>
        <v>0</v>
      </c>
      <c r="AQ77" s="67">
        <f t="shared" ca="1" si="29"/>
        <v>0</v>
      </c>
      <c r="AR77" s="67">
        <f t="shared" ca="1" si="29"/>
        <v>0</v>
      </c>
      <c r="AS77" s="67">
        <f t="shared" ca="1" si="29"/>
        <v>0</v>
      </c>
      <c r="AT77" s="67">
        <f t="shared" ca="1" si="29"/>
        <v>0</v>
      </c>
      <c r="AU77" s="67">
        <f t="shared" ca="1" si="29"/>
        <v>0</v>
      </c>
      <c r="AV77" s="67">
        <f t="shared" ca="1" si="29"/>
        <v>0</v>
      </c>
      <c r="AW77" s="67">
        <f t="shared" ca="1" si="29"/>
        <v>0</v>
      </c>
      <c r="AX77" s="67">
        <f t="shared" ca="1" si="29"/>
        <v>0</v>
      </c>
      <c r="AY77" s="67">
        <f t="shared" ca="1" si="29"/>
        <v>0</v>
      </c>
      <c r="AZ77" s="67">
        <f t="shared" ca="1" si="30"/>
        <v>0</v>
      </c>
      <c r="BA77" s="67">
        <f t="shared" ca="1" si="26"/>
        <v>0</v>
      </c>
      <c r="BB77" s="67">
        <f t="shared" ca="1" si="26"/>
        <v>0</v>
      </c>
      <c r="BC77" s="67">
        <f t="shared" ca="1" si="26"/>
        <v>0</v>
      </c>
      <c r="BD77" s="67">
        <f t="shared" ca="1" si="26"/>
        <v>0</v>
      </c>
      <c r="BE77" s="67">
        <f t="shared" ca="1" si="26"/>
        <v>0</v>
      </c>
      <c r="BF77" s="67">
        <f t="shared" ca="1" si="26"/>
        <v>0</v>
      </c>
      <c r="BG77" s="67">
        <f t="shared" ca="1" si="26"/>
        <v>0</v>
      </c>
      <c r="BH77" s="67">
        <f t="shared" ca="1" si="26"/>
        <v>0</v>
      </c>
      <c r="BI77" s="67">
        <f t="shared" ca="1" si="26"/>
        <v>0</v>
      </c>
      <c r="BJ77" s="67">
        <f t="shared" ca="1" si="26"/>
        <v>0</v>
      </c>
      <c r="BK77" s="67">
        <f t="shared" ca="1" si="26"/>
        <v>0</v>
      </c>
      <c r="BL77" s="67">
        <f t="shared" ca="1" si="26"/>
        <v>0</v>
      </c>
      <c r="BM77" s="67">
        <f t="shared" ca="1" si="26"/>
        <v>0</v>
      </c>
      <c r="BN77" s="67">
        <f t="shared" ca="1" si="26"/>
        <v>0</v>
      </c>
      <c r="BO77" s="67">
        <f t="shared" ca="1" si="26"/>
        <v>0</v>
      </c>
      <c r="BP77" s="67">
        <f t="shared" ca="1" si="26"/>
        <v>0</v>
      </c>
      <c r="BQ77" s="67">
        <f t="shared" ca="1" si="27"/>
        <v>0</v>
      </c>
      <c r="BR77" s="67">
        <f t="shared" ca="1" si="27"/>
        <v>0</v>
      </c>
      <c r="BS77" s="67">
        <f t="shared" ca="1" si="27"/>
        <v>0</v>
      </c>
      <c r="BT77" s="67">
        <f t="shared" ca="1" si="27"/>
        <v>0</v>
      </c>
    </row>
    <row r="78" spans="2:72" x14ac:dyDescent="0.25">
      <c r="B78" s="87"/>
      <c r="G78" s="67" t="str">
        <f>ROW(A73)&amp;". "&amp;'Critical resources'!B84</f>
        <v xml:space="preserve">73. </v>
      </c>
      <c r="H78" s="67">
        <f ca="1">IFERROR(VLOOKUP('Critical resources'!D84,$B$6:$C$57,2,0),0)</f>
        <v>0</v>
      </c>
      <c r="I78" s="67">
        <f ca="1">IFERROR(VLOOKUP('Critical resources'!E84,$A$6:$C$57,3,0),0)</f>
        <v>0</v>
      </c>
      <c r="J78" s="67">
        <f ca="1">IFERROR(VLOOKUP('Critical resources'!G84,$B$6:$C$57,2,0),0)</f>
        <v>0</v>
      </c>
      <c r="K78" s="67">
        <f ca="1">IFERROR(VLOOKUP('Critical resources'!H84,$B$6:$C$57,2,0),0)</f>
        <v>0</v>
      </c>
      <c r="L78" s="67">
        <f ca="1">IFERROR(VLOOKUP('Critical resources'!J84,$B$6:$C$57,2,0),0)</f>
        <v>0</v>
      </c>
      <c r="M78" s="67">
        <f ca="1">IFERROR(VLOOKUP('Critical resources'!K84,$A$6:$C$57,3,0),0)</f>
        <v>0</v>
      </c>
      <c r="N78" s="67">
        <f ca="1">IFERROR(VLOOKUP('Critical resources'!M84,$B$6:$C$57,2,0),0)</f>
        <v>0</v>
      </c>
      <c r="O78" s="67">
        <f ca="1">IFERROR(VLOOKUP('Critical resources'!N84,$A$6:$C$57,3,0),0)</f>
        <v>0</v>
      </c>
      <c r="P78" s="67">
        <f ca="1">IFERROR(VLOOKUP('Critical resources'!P84,$B$6:$C$57,2,0),0)</f>
        <v>0</v>
      </c>
      <c r="Q78" s="67">
        <f ca="1">IFERROR(VLOOKUP('Critical resources'!Q84,$A$6:$C$57,3,0),0)</f>
        <v>0</v>
      </c>
      <c r="T78" s="67" t="str">
        <f t="shared" si="28"/>
        <v xml:space="preserve">73. </v>
      </c>
      <c r="U78" s="67">
        <f t="shared" ca="1" si="31"/>
        <v>0</v>
      </c>
      <c r="V78" s="67">
        <f t="shared" ca="1" si="31"/>
        <v>0</v>
      </c>
      <c r="W78" s="67">
        <f t="shared" ca="1" si="31"/>
        <v>0</v>
      </c>
      <c r="X78" s="67">
        <f t="shared" ca="1" si="31"/>
        <v>0</v>
      </c>
      <c r="Y78" s="67">
        <f t="shared" ca="1" si="31"/>
        <v>0</v>
      </c>
      <c r="Z78" s="67">
        <f t="shared" ca="1" si="31"/>
        <v>0</v>
      </c>
      <c r="AA78" s="67">
        <f t="shared" ca="1" si="31"/>
        <v>0</v>
      </c>
      <c r="AB78" s="67">
        <f t="shared" ca="1" si="31"/>
        <v>0</v>
      </c>
      <c r="AC78" s="67">
        <f t="shared" ca="1" si="31"/>
        <v>0</v>
      </c>
      <c r="AD78" s="67">
        <f t="shared" ca="1" si="31"/>
        <v>0</v>
      </c>
      <c r="AE78" s="67">
        <f t="shared" ca="1" si="31"/>
        <v>0</v>
      </c>
      <c r="AF78" s="67">
        <f t="shared" ca="1" si="31"/>
        <v>0</v>
      </c>
      <c r="AG78" s="67">
        <f t="shared" ca="1" si="31"/>
        <v>0</v>
      </c>
      <c r="AH78" s="67">
        <f t="shared" ca="1" si="31"/>
        <v>0</v>
      </c>
      <c r="AI78" s="67">
        <f t="shared" ca="1" si="31"/>
        <v>0</v>
      </c>
      <c r="AJ78" s="67">
        <f t="shared" ca="1" si="29"/>
        <v>0</v>
      </c>
      <c r="AK78" s="67">
        <f t="shared" ca="1" si="29"/>
        <v>0</v>
      </c>
      <c r="AL78" s="67">
        <f t="shared" ca="1" si="29"/>
        <v>0</v>
      </c>
      <c r="AM78" s="67">
        <f t="shared" ca="1" si="29"/>
        <v>0</v>
      </c>
      <c r="AN78" s="67">
        <f t="shared" ca="1" si="29"/>
        <v>0</v>
      </c>
      <c r="AO78" s="67">
        <f t="shared" ca="1" si="29"/>
        <v>0</v>
      </c>
      <c r="AP78" s="67">
        <f t="shared" ca="1" si="29"/>
        <v>0</v>
      </c>
      <c r="AQ78" s="67">
        <f t="shared" ca="1" si="29"/>
        <v>0</v>
      </c>
      <c r="AR78" s="67">
        <f t="shared" ca="1" si="29"/>
        <v>0</v>
      </c>
      <c r="AS78" s="67">
        <f t="shared" ca="1" si="29"/>
        <v>0</v>
      </c>
      <c r="AT78" s="67">
        <f t="shared" ca="1" si="29"/>
        <v>0</v>
      </c>
      <c r="AU78" s="67">
        <f t="shared" ca="1" si="29"/>
        <v>0</v>
      </c>
      <c r="AV78" s="67">
        <f t="shared" ca="1" si="29"/>
        <v>0</v>
      </c>
      <c r="AW78" s="67">
        <f t="shared" ca="1" si="29"/>
        <v>0</v>
      </c>
      <c r="AX78" s="67">
        <f t="shared" ca="1" si="29"/>
        <v>0</v>
      </c>
      <c r="AY78" s="67">
        <f t="shared" ca="1" si="29"/>
        <v>0</v>
      </c>
      <c r="AZ78" s="67">
        <f t="shared" ca="1" si="30"/>
        <v>0</v>
      </c>
      <c r="BA78" s="67">
        <f t="shared" ca="1" si="26"/>
        <v>0</v>
      </c>
      <c r="BB78" s="67">
        <f t="shared" ca="1" si="26"/>
        <v>0</v>
      </c>
      <c r="BC78" s="67">
        <f t="shared" ca="1" si="26"/>
        <v>0</v>
      </c>
      <c r="BD78" s="67">
        <f t="shared" ca="1" si="26"/>
        <v>0</v>
      </c>
      <c r="BE78" s="67">
        <f t="shared" ca="1" si="26"/>
        <v>0</v>
      </c>
      <c r="BF78" s="67">
        <f t="shared" ca="1" si="26"/>
        <v>0</v>
      </c>
      <c r="BG78" s="67">
        <f t="shared" ca="1" si="26"/>
        <v>0</v>
      </c>
      <c r="BH78" s="67">
        <f t="shared" ca="1" si="26"/>
        <v>0</v>
      </c>
      <c r="BI78" s="67">
        <f t="shared" ca="1" si="26"/>
        <v>0</v>
      </c>
      <c r="BJ78" s="67">
        <f t="shared" ca="1" si="26"/>
        <v>0</v>
      </c>
      <c r="BK78" s="67">
        <f t="shared" ca="1" si="26"/>
        <v>0</v>
      </c>
      <c r="BL78" s="67">
        <f t="shared" ca="1" si="26"/>
        <v>0</v>
      </c>
      <c r="BM78" s="67">
        <f t="shared" ca="1" si="26"/>
        <v>0</v>
      </c>
      <c r="BN78" s="67">
        <f t="shared" ca="1" si="26"/>
        <v>0</v>
      </c>
      <c r="BO78" s="67">
        <f t="shared" ca="1" si="26"/>
        <v>0</v>
      </c>
      <c r="BP78" s="67">
        <f t="shared" ca="1" si="26"/>
        <v>0</v>
      </c>
      <c r="BQ78" s="67">
        <f t="shared" ca="1" si="27"/>
        <v>0</v>
      </c>
      <c r="BR78" s="67">
        <f t="shared" ca="1" si="27"/>
        <v>0</v>
      </c>
      <c r="BS78" s="67">
        <f t="shared" ca="1" si="27"/>
        <v>0</v>
      </c>
      <c r="BT78" s="67">
        <f t="shared" ca="1" si="27"/>
        <v>0</v>
      </c>
    </row>
    <row r="79" spans="2:72" x14ac:dyDescent="0.25">
      <c r="B79" s="87"/>
      <c r="G79" s="67" t="str">
        <f>ROW(A74)&amp;". "&amp;'Critical resources'!B85</f>
        <v xml:space="preserve">74. </v>
      </c>
      <c r="H79" s="67">
        <f ca="1">IFERROR(VLOOKUP('Critical resources'!D85,$B$6:$C$57,2,0),0)</f>
        <v>0</v>
      </c>
      <c r="I79" s="67">
        <f ca="1">IFERROR(VLOOKUP('Critical resources'!E85,$A$6:$C$57,3,0),0)</f>
        <v>0</v>
      </c>
      <c r="J79" s="67">
        <f ca="1">IFERROR(VLOOKUP('Critical resources'!G85,$B$6:$C$57,2,0),0)</f>
        <v>0</v>
      </c>
      <c r="K79" s="67">
        <f ca="1">IFERROR(VLOOKUP('Critical resources'!H85,$B$6:$C$57,2,0),0)</f>
        <v>0</v>
      </c>
      <c r="L79" s="67">
        <f ca="1">IFERROR(VLOOKUP('Critical resources'!J85,$B$6:$C$57,2,0),0)</f>
        <v>0</v>
      </c>
      <c r="M79" s="67">
        <f ca="1">IFERROR(VLOOKUP('Critical resources'!K85,$A$6:$C$57,3,0),0)</f>
        <v>0</v>
      </c>
      <c r="N79" s="67">
        <f ca="1">IFERROR(VLOOKUP('Critical resources'!M85,$B$6:$C$57,2,0),0)</f>
        <v>0</v>
      </c>
      <c r="O79" s="67">
        <f ca="1">IFERROR(VLOOKUP('Critical resources'!N85,$A$6:$C$57,3,0),0)</f>
        <v>0</v>
      </c>
      <c r="P79" s="67">
        <f ca="1">IFERROR(VLOOKUP('Critical resources'!P85,$B$6:$C$57,2,0),0)</f>
        <v>0</v>
      </c>
      <c r="Q79" s="67">
        <f ca="1">IFERROR(VLOOKUP('Critical resources'!Q85,$A$6:$C$57,3,0),0)</f>
        <v>0</v>
      </c>
      <c r="T79" s="67" t="str">
        <f t="shared" si="28"/>
        <v xml:space="preserve">74. </v>
      </c>
      <c r="U79" s="67">
        <f t="shared" ca="1" si="31"/>
        <v>0</v>
      </c>
      <c r="V79" s="67">
        <f t="shared" ca="1" si="31"/>
        <v>0</v>
      </c>
      <c r="W79" s="67">
        <f t="shared" ca="1" si="31"/>
        <v>0</v>
      </c>
      <c r="X79" s="67">
        <f t="shared" ca="1" si="31"/>
        <v>0</v>
      </c>
      <c r="Y79" s="67">
        <f t="shared" ca="1" si="31"/>
        <v>0</v>
      </c>
      <c r="Z79" s="67">
        <f t="shared" ca="1" si="31"/>
        <v>0</v>
      </c>
      <c r="AA79" s="67">
        <f t="shared" ca="1" si="31"/>
        <v>0</v>
      </c>
      <c r="AB79" s="67">
        <f t="shared" ca="1" si="31"/>
        <v>0</v>
      </c>
      <c r="AC79" s="67">
        <f t="shared" ca="1" si="31"/>
        <v>0</v>
      </c>
      <c r="AD79" s="67">
        <f t="shared" ca="1" si="31"/>
        <v>0</v>
      </c>
      <c r="AE79" s="67">
        <f t="shared" ca="1" si="31"/>
        <v>0</v>
      </c>
      <c r="AF79" s="67">
        <f t="shared" ca="1" si="31"/>
        <v>0</v>
      </c>
      <c r="AG79" s="67">
        <f t="shared" ca="1" si="31"/>
        <v>0</v>
      </c>
      <c r="AH79" s="67">
        <f t="shared" ca="1" si="31"/>
        <v>0</v>
      </c>
      <c r="AI79" s="67">
        <f t="shared" ca="1" si="31"/>
        <v>0</v>
      </c>
      <c r="AJ79" s="67">
        <f t="shared" ca="1" si="29"/>
        <v>0</v>
      </c>
      <c r="AK79" s="67">
        <f t="shared" ca="1" si="29"/>
        <v>0</v>
      </c>
      <c r="AL79" s="67">
        <f t="shared" ca="1" si="29"/>
        <v>0</v>
      </c>
      <c r="AM79" s="67">
        <f t="shared" ca="1" si="29"/>
        <v>0</v>
      </c>
      <c r="AN79" s="67">
        <f t="shared" ca="1" si="29"/>
        <v>0</v>
      </c>
      <c r="AO79" s="67">
        <f t="shared" ca="1" si="29"/>
        <v>0</v>
      </c>
      <c r="AP79" s="67">
        <f t="shared" ca="1" si="29"/>
        <v>0</v>
      </c>
      <c r="AQ79" s="67">
        <f t="shared" ca="1" si="29"/>
        <v>0</v>
      </c>
      <c r="AR79" s="67">
        <f t="shared" ca="1" si="29"/>
        <v>0</v>
      </c>
      <c r="AS79" s="67">
        <f t="shared" ca="1" si="29"/>
        <v>0</v>
      </c>
      <c r="AT79" s="67">
        <f t="shared" ca="1" si="29"/>
        <v>0</v>
      </c>
      <c r="AU79" s="67">
        <f t="shared" ca="1" si="29"/>
        <v>0</v>
      </c>
      <c r="AV79" s="67">
        <f t="shared" ca="1" si="29"/>
        <v>0</v>
      </c>
      <c r="AW79" s="67">
        <f t="shared" ca="1" si="29"/>
        <v>0</v>
      </c>
      <c r="AX79" s="67">
        <f t="shared" ca="1" si="29"/>
        <v>0</v>
      </c>
      <c r="AY79" s="67">
        <f t="shared" ca="1" si="29"/>
        <v>0</v>
      </c>
      <c r="AZ79" s="67">
        <f t="shared" ca="1" si="30"/>
        <v>0</v>
      </c>
      <c r="BA79" s="67">
        <f t="shared" ca="1" si="26"/>
        <v>0</v>
      </c>
      <c r="BB79" s="67">
        <f t="shared" ca="1" si="26"/>
        <v>0</v>
      </c>
      <c r="BC79" s="67">
        <f t="shared" ca="1" si="26"/>
        <v>0</v>
      </c>
      <c r="BD79" s="67">
        <f t="shared" ca="1" si="26"/>
        <v>0</v>
      </c>
      <c r="BE79" s="67">
        <f t="shared" ca="1" si="26"/>
        <v>0</v>
      </c>
      <c r="BF79" s="67">
        <f t="shared" ca="1" si="26"/>
        <v>0</v>
      </c>
      <c r="BG79" s="67">
        <f t="shared" ca="1" si="26"/>
        <v>0</v>
      </c>
      <c r="BH79" s="67">
        <f t="shared" ca="1" si="26"/>
        <v>0</v>
      </c>
      <c r="BI79" s="67">
        <f t="shared" ca="1" si="26"/>
        <v>0</v>
      </c>
      <c r="BJ79" s="67">
        <f t="shared" ca="1" si="26"/>
        <v>0</v>
      </c>
      <c r="BK79" s="67">
        <f t="shared" ca="1" si="26"/>
        <v>0</v>
      </c>
      <c r="BL79" s="67">
        <f t="shared" ca="1" si="26"/>
        <v>0</v>
      </c>
      <c r="BM79" s="67">
        <f t="shared" ca="1" si="26"/>
        <v>0</v>
      </c>
      <c r="BN79" s="67">
        <f t="shared" ca="1" si="26"/>
        <v>0</v>
      </c>
      <c r="BO79" s="67">
        <f t="shared" ca="1" si="26"/>
        <v>0</v>
      </c>
      <c r="BP79" s="67">
        <f t="shared" ca="1" si="26"/>
        <v>0</v>
      </c>
      <c r="BQ79" s="67">
        <f t="shared" ca="1" si="27"/>
        <v>0</v>
      </c>
      <c r="BR79" s="67">
        <f t="shared" ca="1" si="27"/>
        <v>0</v>
      </c>
      <c r="BS79" s="67">
        <f t="shared" ca="1" si="27"/>
        <v>0</v>
      </c>
      <c r="BT79" s="67">
        <f t="shared" ca="1" si="27"/>
        <v>0</v>
      </c>
    </row>
    <row r="80" spans="2:72" x14ac:dyDescent="0.25">
      <c r="B80" s="87"/>
      <c r="G80" s="67" t="str">
        <f>ROW(A75)&amp;". "&amp;'Critical resources'!B86</f>
        <v xml:space="preserve">75. </v>
      </c>
      <c r="H80" s="67">
        <f ca="1">IFERROR(VLOOKUP('Critical resources'!D86,$B$6:$C$57,2,0),0)</f>
        <v>0</v>
      </c>
      <c r="I80" s="67">
        <f ca="1">IFERROR(VLOOKUP('Critical resources'!E86,$A$6:$C$57,3,0),0)</f>
        <v>0</v>
      </c>
      <c r="J80" s="67">
        <f ca="1">IFERROR(VLOOKUP('Critical resources'!G86,$B$6:$C$57,2,0),0)</f>
        <v>0</v>
      </c>
      <c r="K80" s="67">
        <f ca="1">IFERROR(VLOOKUP('Critical resources'!H86,$B$6:$C$57,2,0),0)</f>
        <v>0</v>
      </c>
      <c r="L80" s="67">
        <f ca="1">IFERROR(VLOOKUP('Critical resources'!J86,$B$6:$C$57,2,0),0)</f>
        <v>0</v>
      </c>
      <c r="M80" s="67">
        <f ca="1">IFERROR(VLOOKUP('Critical resources'!K86,$A$6:$C$57,3,0),0)</f>
        <v>0</v>
      </c>
      <c r="N80" s="67">
        <f ca="1">IFERROR(VLOOKUP('Critical resources'!M86,$B$6:$C$57,2,0),0)</f>
        <v>0</v>
      </c>
      <c r="O80" s="67">
        <f ca="1">IFERROR(VLOOKUP('Critical resources'!N86,$A$6:$C$57,3,0),0)</f>
        <v>0</v>
      </c>
      <c r="P80" s="67">
        <f ca="1">IFERROR(VLOOKUP('Critical resources'!P86,$B$6:$C$57,2,0),0)</f>
        <v>0</v>
      </c>
      <c r="Q80" s="67">
        <f ca="1">IFERROR(VLOOKUP('Critical resources'!Q86,$A$6:$C$57,3,0),0)</f>
        <v>0</v>
      </c>
      <c r="T80" s="67" t="str">
        <f t="shared" si="28"/>
        <v xml:space="preserve">75. </v>
      </c>
      <c r="U80" s="67">
        <f t="shared" ca="1" si="31"/>
        <v>0</v>
      </c>
      <c r="V80" s="67">
        <f t="shared" ca="1" si="31"/>
        <v>0</v>
      </c>
      <c r="W80" s="67">
        <f t="shared" ca="1" si="31"/>
        <v>0</v>
      </c>
      <c r="X80" s="67">
        <f t="shared" ca="1" si="31"/>
        <v>0</v>
      </c>
      <c r="Y80" s="67">
        <f t="shared" ca="1" si="31"/>
        <v>0</v>
      </c>
      <c r="Z80" s="67">
        <f t="shared" ca="1" si="31"/>
        <v>0</v>
      </c>
      <c r="AA80" s="67">
        <f t="shared" ca="1" si="31"/>
        <v>0</v>
      </c>
      <c r="AB80" s="67">
        <f t="shared" ca="1" si="31"/>
        <v>0</v>
      </c>
      <c r="AC80" s="67">
        <f t="shared" ca="1" si="31"/>
        <v>0</v>
      </c>
      <c r="AD80" s="67">
        <f t="shared" ca="1" si="31"/>
        <v>0</v>
      </c>
      <c r="AE80" s="67">
        <f t="shared" ca="1" si="31"/>
        <v>0</v>
      </c>
      <c r="AF80" s="67">
        <f t="shared" ca="1" si="31"/>
        <v>0</v>
      </c>
      <c r="AG80" s="67">
        <f t="shared" ca="1" si="31"/>
        <v>0</v>
      </c>
      <c r="AH80" s="67">
        <f t="shared" ca="1" si="31"/>
        <v>0</v>
      </c>
      <c r="AI80" s="67">
        <f t="shared" ca="1" si="31"/>
        <v>0</v>
      </c>
      <c r="AJ80" s="67">
        <f t="shared" ca="1" si="29"/>
        <v>0</v>
      </c>
      <c r="AK80" s="67">
        <f t="shared" ca="1" si="29"/>
        <v>0</v>
      </c>
      <c r="AL80" s="67">
        <f t="shared" ca="1" si="29"/>
        <v>0</v>
      </c>
      <c r="AM80" s="67">
        <f t="shared" ca="1" si="29"/>
        <v>0</v>
      </c>
      <c r="AN80" s="67">
        <f t="shared" ca="1" si="29"/>
        <v>0</v>
      </c>
      <c r="AO80" s="67">
        <f t="shared" ca="1" si="29"/>
        <v>0</v>
      </c>
      <c r="AP80" s="67">
        <f t="shared" ca="1" si="29"/>
        <v>0</v>
      </c>
      <c r="AQ80" s="67">
        <f t="shared" ca="1" si="29"/>
        <v>0</v>
      </c>
      <c r="AR80" s="67">
        <f t="shared" ca="1" si="29"/>
        <v>0</v>
      </c>
      <c r="AS80" s="67">
        <f t="shared" ca="1" si="29"/>
        <v>0</v>
      </c>
      <c r="AT80" s="67">
        <f t="shared" ca="1" si="29"/>
        <v>0</v>
      </c>
      <c r="AU80" s="67">
        <f t="shared" ca="1" si="29"/>
        <v>0</v>
      </c>
      <c r="AV80" s="67">
        <f t="shared" ca="1" si="29"/>
        <v>0</v>
      </c>
      <c r="AW80" s="67">
        <f t="shared" ca="1" si="29"/>
        <v>0</v>
      </c>
      <c r="AX80" s="67">
        <f t="shared" ca="1" si="29"/>
        <v>0</v>
      </c>
      <c r="AY80" s="67">
        <f t="shared" ca="1" si="29"/>
        <v>0</v>
      </c>
      <c r="AZ80" s="67">
        <f t="shared" ca="1" si="30"/>
        <v>0</v>
      </c>
      <c r="BA80" s="67">
        <f t="shared" ca="1" si="26"/>
        <v>0</v>
      </c>
      <c r="BB80" s="67">
        <f t="shared" ca="1" si="26"/>
        <v>0</v>
      </c>
      <c r="BC80" s="67">
        <f t="shared" ca="1" si="26"/>
        <v>0</v>
      </c>
      <c r="BD80" s="67">
        <f t="shared" ca="1" si="26"/>
        <v>0</v>
      </c>
      <c r="BE80" s="67">
        <f t="shared" ca="1" si="26"/>
        <v>0</v>
      </c>
      <c r="BF80" s="67">
        <f t="shared" ca="1" si="26"/>
        <v>0</v>
      </c>
      <c r="BG80" s="67">
        <f t="shared" ca="1" si="26"/>
        <v>0</v>
      </c>
      <c r="BH80" s="67">
        <f t="shared" ca="1" si="26"/>
        <v>0</v>
      </c>
      <c r="BI80" s="67">
        <f t="shared" ca="1" si="26"/>
        <v>0</v>
      </c>
      <c r="BJ80" s="67">
        <f t="shared" ca="1" si="26"/>
        <v>0</v>
      </c>
      <c r="BK80" s="67">
        <f t="shared" ca="1" si="26"/>
        <v>0</v>
      </c>
      <c r="BL80" s="67">
        <f t="shared" ca="1" si="26"/>
        <v>0</v>
      </c>
      <c r="BM80" s="67">
        <f t="shared" ca="1" si="26"/>
        <v>0</v>
      </c>
      <c r="BN80" s="67">
        <f t="shared" ca="1" si="26"/>
        <v>0</v>
      </c>
      <c r="BO80" s="67">
        <f t="shared" ca="1" si="26"/>
        <v>0</v>
      </c>
      <c r="BP80" s="67">
        <f t="shared" ca="1" si="26"/>
        <v>0</v>
      </c>
      <c r="BQ80" s="67">
        <f t="shared" ca="1" si="27"/>
        <v>0</v>
      </c>
      <c r="BR80" s="67">
        <f t="shared" ca="1" si="27"/>
        <v>0</v>
      </c>
      <c r="BS80" s="67">
        <f t="shared" ca="1" si="27"/>
        <v>0</v>
      </c>
      <c r="BT80" s="67">
        <f t="shared" ca="1" si="27"/>
        <v>0</v>
      </c>
    </row>
    <row r="81" spans="2:72" x14ac:dyDescent="0.25">
      <c r="B81" s="87"/>
      <c r="G81" s="67" t="str">
        <f>ROW(A76)&amp;". "&amp;'Critical resources'!B87</f>
        <v xml:space="preserve">76. </v>
      </c>
      <c r="H81" s="67">
        <f ca="1">IFERROR(VLOOKUP('Critical resources'!D87,$B$6:$C$57,2,0),0)</f>
        <v>0</v>
      </c>
      <c r="I81" s="67">
        <f ca="1">IFERROR(VLOOKUP('Critical resources'!E87,$A$6:$C$57,3,0),0)</f>
        <v>0</v>
      </c>
      <c r="J81" s="67">
        <f ca="1">IFERROR(VLOOKUP('Critical resources'!G87,$B$6:$C$57,2,0),0)</f>
        <v>0</v>
      </c>
      <c r="K81" s="67">
        <f ca="1">IFERROR(VLOOKUP('Critical resources'!H87,$B$6:$C$57,2,0),0)</f>
        <v>0</v>
      </c>
      <c r="L81" s="67">
        <f ca="1">IFERROR(VLOOKUP('Critical resources'!J87,$B$6:$C$57,2,0),0)</f>
        <v>0</v>
      </c>
      <c r="M81" s="67">
        <f ca="1">IFERROR(VLOOKUP('Critical resources'!K87,$A$6:$C$57,3,0),0)</f>
        <v>0</v>
      </c>
      <c r="N81" s="67">
        <f ca="1">IFERROR(VLOOKUP('Critical resources'!M87,$B$6:$C$57,2,0),0)</f>
        <v>0</v>
      </c>
      <c r="O81" s="67">
        <f ca="1">IFERROR(VLOOKUP('Critical resources'!N87,$A$6:$C$57,3,0),0)</f>
        <v>0</v>
      </c>
      <c r="P81" s="67">
        <f ca="1">IFERROR(VLOOKUP('Critical resources'!P87,$B$6:$C$57,2,0),0)</f>
        <v>0</v>
      </c>
      <c r="Q81" s="67">
        <f ca="1">IFERROR(VLOOKUP('Critical resources'!Q87,$A$6:$C$57,3,0),0)</f>
        <v>0</v>
      </c>
      <c r="T81" s="67" t="str">
        <f t="shared" si="28"/>
        <v xml:space="preserve">76. </v>
      </c>
      <c r="U81" s="67">
        <f t="shared" ca="1" si="31"/>
        <v>0</v>
      </c>
      <c r="V81" s="67">
        <f t="shared" ca="1" si="31"/>
        <v>0</v>
      </c>
      <c r="W81" s="67">
        <f t="shared" ca="1" si="31"/>
        <v>0</v>
      </c>
      <c r="X81" s="67">
        <f t="shared" ca="1" si="31"/>
        <v>0</v>
      </c>
      <c r="Y81" s="67">
        <f t="shared" ca="1" si="31"/>
        <v>0</v>
      </c>
      <c r="Z81" s="67">
        <f t="shared" ca="1" si="31"/>
        <v>0</v>
      </c>
      <c r="AA81" s="67">
        <f t="shared" ca="1" si="31"/>
        <v>0</v>
      </c>
      <c r="AB81" s="67">
        <f t="shared" ca="1" si="31"/>
        <v>0</v>
      </c>
      <c r="AC81" s="67">
        <f t="shared" ca="1" si="31"/>
        <v>0</v>
      </c>
      <c r="AD81" s="67">
        <f t="shared" ca="1" si="31"/>
        <v>0</v>
      </c>
      <c r="AE81" s="67">
        <f t="shared" ca="1" si="31"/>
        <v>0</v>
      </c>
      <c r="AF81" s="67">
        <f t="shared" ca="1" si="31"/>
        <v>0</v>
      </c>
      <c r="AG81" s="67">
        <f t="shared" ca="1" si="31"/>
        <v>0</v>
      </c>
      <c r="AH81" s="67">
        <f t="shared" ca="1" si="31"/>
        <v>0</v>
      </c>
      <c r="AI81" s="67">
        <f t="shared" ca="1" si="31"/>
        <v>0</v>
      </c>
      <c r="AJ81" s="67">
        <f t="shared" ca="1" si="29"/>
        <v>0</v>
      </c>
      <c r="AK81" s="67">
        <f t="shared" ca="1" si="29"/>
        <v>0</v>
      </c>
      <c r="AL81" s="67">
        <f t="shared" ca="1" si="29"/>
        <v>0</v>
      </c>
      <c r="AM81" s="67">
        <f t="shared" ca="1" si="29"/>
        <v>0</v>
      </c>
      <c r="AN81" s="67">
        <f t="shared" ca="1" si="29"/>
        <v>0</v>
      </c>
      <c r="AO81" s="67">
        <f t="shared" ca="1" si="29"/>
        <v>0</v>
      </c>
      <c r="AP81" s="67">
        <f t="shared" ca="1" si="29"/>
        <v>0</v>
      </c>
      <c r="AQ81" s="67">
        <f t="shared" ca="1" si="29"/>
        <v>0</v>
      </c>
      <c r="AR81" s="67">
        <f t="shared" ca="1" si="29"/>
        <v>0</v>
      </c>
      <c r="AS81" s="67">
        <f t="shared" ca="1" si="29"/>
        <v>0</v>
      </c>
      <c r="AT81" s="67">
        <f t="shared" ca="1" si="29"/>
        <v>0</v>
      </c>
      <c r="AU81" s="67">
        <f t="shared" ca="1" si="29"/>
        <v>0</v>
      </c>
      <c r="AV81" s="67">
        <f t="shared" ca="1" si="29"/>
        <v>0</v>
      </c>
      <c r="AW81" s="67">
        <f t="shared" ca="1" si="29"/>
        <v>0</v>
      </c>
      <c r="AX81" s="67">
        <f t="shared" ca="1" si="29"/>
        <v>0</v>
      </c>
      <c r="AY81" s="67">
        <f t="shared" ca="1" si="29"/>
        <v>0</v>
      </c>
      <c r="AZ81" s="67">
        <f t="shared" ca="1" si="30"/>
        <v>0</v>
      </c>
      <c r="BA81" s="67">
        <f t="shared" ca="1" si="26"/>
        <v>0</v>
      </c>
      <c r="BB81" s="67">
        <f t="shared" ca="1" si="26"/>
        <v>0</v>
      </c>
      <c r="BC81" s="67">
        <f t="shared" ca="1" si="26"/>
        <v>0</v>
      </c>
      <c r="BD81" s="67">
        <f t="shared" ca="1" si="26"/>
        <v>0</v>
      </c>
      <c r="BE81" s="67">
        <f t="shared" ca="1" si="26"/>
        <v>0</v>
      </c>
      <c r="BF81" s="67">
        <f t="shared" ca="1" si="26"/>
        <v>0</v>
      </c>
      <c r="BG81" s="67">
        <f t="shared" ca="1" si="26"/>
        <v>0</v>
      </c>
      <c r="BH81" s="67">
        <f t="shared" ca="1" si="26"/>
        <v>0</v>
      </c>
      <c r="BI81" s="67">
        <f t="shared" ca="1" si="26"/>
        <v>0</v>
      </c>
      <c r="BJ81" s="67">
        <f t="shared" ca="1" si="26"/>
        <v>0</v>
      </c>
      <c r="BK81" s="67">
        <f t="shared" ca="1" si="26"/>
        <v>0</v>
      </c>
      <c r="BL81" s="67">
        <f t="shared" ca="1" si="26"/>
        <v>0</v>
      </c>
      <c r="BM81" s="67">
        <f t="shared" ca="1" si="26"/>
        <v>0</v>
      </c>
      <c r="BN81" s="67">
        <f t="shared" ca="1" si="26"/>
        <v>0</v>
      </c>
      <c r="BO81" s="67">
        <f t="shared" ca="1" si="26"/>
        <v>0</v>
      </c>
      <c r="BP81" s="67">
        <f t="shared" ca="1" si="26"/>
        <v>0</v>
      </c>
      <c r="BQ81" s="67">
        <f t="shared" ca="1" si="27"/>
        <v>0</v>
      </c>
      <c r="BR81" s="67">
        <f t="shared" ca="1" si="27"/>
        <v>0</v>
      </c>
      <c r="BS81" s="67">
        <f t="shared" ca="1" si="27"/>
        <v>0</v>
      </c>
      <c r="BT81" s="67">
        <f t="shared" ca="1" si="27"/>
        <v>0</v>
      </c>
    </row>
    <row r="82" spans="2:72" x14ac:dyDescent="0.25">
      <c r="B82" s="87"/>
      <c r="G82" s="67" t="str">
        <f>ROW(A77)&amp;". "&amp;'Critical resources'!B88</f>
        <v xml:space="preserve">77. </v>
      </c>
      <c r="H82" s="67">
        <f ca="1">IFERROR(VLOOKUP('Critical resources'!D88,$B$6:$C$57,2,0),0)</f>
        <v>0</v>
      </c>
      <c r="I82" s="67">
        <f ca="1">IFERROR(VLOOKUP('Critical resources'!E88,$A$6:$C$57,3,0),0)</f>
        <v>0</v>
      </c>
      <c r="J82" s="67">
        <f ca="1">IFERROR(VLOOKUP('Critical resources'!G88,$B$6:$C$57,2,0),0)</f>
        <v>0</v>
      </c>
      <c r="K82" s="67">
        <f ca="1">IFERROR(VLOOKUP('Critical resources'!H88,$B$6:$C$57,2,0),0)</f>
        <v>0</v>
      </c>
      <c r="L82" s="67">
        <f ca="1">IFERROR(VLOOKUP('Critical resources'!J88,$B$6:$C$57,2,0),0)</f>
        <v>0</v>
      </c>
      <c r="M82" s="67">
        <f ca="1">IFERROR(VLOOKUP('Critical resources'!K88,$A$6:$C$57,3,0),0)</f>
        <v>0</v>
      </c>
      <c r="N82" s="67">
        <f ca="1">IFERROR(VLOOKUP('Critical resources'!M88,$B$6:$C$57,2,0),0)</f>
        <v>0</v>
      </c>
      <c r="O82" s="67">
        <f ca="1">IFERROR(VLOOKUP('Critical resources'!N88,$A$6:$C$57,3,0),0)</f>
        <v>0</v>
      </c>
      <c r="P82" s="67">
        <f ca="1">IFERROR(VLOOKUP('Critical resources'!P88,$B$6:$C$57,2,0),0)</f>
        <v>0</v>
      </c>
      <c r="Q82" s="67">
        <f ca="1">IFERROR(VLOOKUP('Critical resources'!Q88,$A$6:$C$57,3,0),0)</f>
        <v>0</v>
      </c>
      <c r="T82" s="67" t="str">
        <f t="shared" si="28"/>
        <v xml:space="preserve">77. </v>
      </c>
      <c r="U82" s="67">
        <f t="shared" ca="1" si="31"/>
        <v>0</v>
      </c>
      <c r="V82" s="67">
        <f t="shared" ca="1" si="31"/>
        <v>0</v>
      </c>
      <c r="W82" s="67">
        <f t="shared" ca="1" si="31"/>
        <v>0</v>
      </c>
      <c r="X82" s="67">
        <f t="shared" ca="1" si="31"/>
        <v>0</v>
      </c>
      <c r="Y82" s="67">
        <f t="shared" ca="1" si="31"/>
        <v>0</v>
      </c>
      <c r="Z82" s="67">
        <f t="shared" ca="1" si="31"/>
        <v>0</v>
      </c>
      <c r="AA82" s="67">
        <f t="shared" ca="1" si="31"/>
        <v>0</v>
      </c>
      <c r="AB82" s="67">
        <f t="shared" ca="1" si="31"/>
        <v>0</v>
      </c>
      <c r="AC82" s="67">
        <f t="shared" ca="1" si="31"/>
        <v>0</v>
      </c>
      <c r="AD82" s="67">
        <f t="shared" ca="1" si="31"/>
        <v>0</v>
      </c>
      <c r="AE82" s="67">
        <f t="shared" ca="1" si="31"/>
        <v>0</v>
      </c>
      <c r="AF82" s="67">
        <f t="shared" ca="1" si="31"/>
        <v>0</v>
      </c>
      <c r="AG82" s="67">
        <f t="shared" ca="1" si="31"/>
        <v>0</v>
      </c>
      <c r="AH82" s="67">
        <f t="shared" ca="1" si="31"/>
        <v>0</v>
      </c>
      <c r="AI82" s="67">
        <f t="shared" ca="1" si="31"/>
        <v>0</v>
      </c>
      <c r="AJ82" s="67">
        <f t="shared" ca="1" si="29"/>
        <v>0</v>
      </c>
      <c r="AK82" s="67">
        <f t="shared" ca="1" si="29"/>
        <v>0</v>
      </c>
      <c r="AL82" s="67">
        <f t="shared" ca="1" si="29"/>
        <v>0</v>
      </c>
      <c r="AM82" s="67">
        <f t="shared" ca="1" si="29"/>
        <v>0</v>
      </c>
      <c r="AN82" s="67">
        <f t="shared" ca="1" si="29"/>
        <v>0</v>
      </c>
      <c r="AO82" s="67">
        <f t="shared" ca="1" si="29"/>
        <v>0</v>
      </c>
      <c r="AP82" s="67">
        <f t="shared" ca="1" si="29"/>
        <v>0</v>
      </c>
      <c r="AQ82" s="67">
        <f t="shared" ca="1" si="29"/>
        <v>0</v>
      </c>
      <c r="AR82" s="67">
        <f t="shared" ca="1" si="29"/>
        <v>0</v>
      </c>
      <c r="AS82" s="67">
        <f t="shared" ca="1" si="29"/>
        <v>0</v>
      </c>
      <c r="AT82" s="67">
        <f t="shared" ca="1" si="29"/>
        <v>0</v>
      </c>
      <c r="AU82" s="67">
        <f t="shared" ca="1" si="29"/>
        <v>0</v>
      </c>
      <c r="AV82" s="67">
        <f t="shared" ca="1" si="29"/>
        <v>0</v>
      </c>
      <c r="AW82" s="67">
        <f t="shared" ca="1" si="29"/>
        <v>0</v>
      </c>
      <c r="AX82" s="67">
        <f t="shared" ca="1" si="29"/>
        <v>0</v>
      </c>
      <c r="AY82" s="67">
        <f t="shared" ca="1" si="29"/>
        <v>0</v>
      </c>
      <c r="AZ82" s="67">
        <f t="shared" ca="1" si="30"/>
        <v>0</v>
      </c>
      <c r="BA82" s="67">
        <f t="shared" ca="1" si="26"/>
        <v>0</v>
      </c>
      <c r="BB82" s="67">
        <f t="shared" ca="1" si="26"/>
        <v>0</v>
      </c>
      <c r="BC82" s="67">
        <f t="shared" ca="1" si="26"/>
        <v>0</v>
      </c>
      <c r="BD82" s="67">
        <f t="shared" ca="1" si="26"/>
        <v>0</v>
      </c>
      <c r="BE82" s="67">
        <f t="shared" ca="1" si="26"/>
        <v>0</v>
      </c>
      <c r="BF82" s="67">
        <f t="shared" ca="1" si="26"/>
        <v>0</v>
      </c>
      <c r="BG82" s="67">
        <f t="shared" ca="1" si="26"/>
        <v>0</v>
      </c>
      <c r="BH82" s="67">
        <f t="shared" ca="1" si="26"/>
        <v>0</v>
      </c>
      <c r="BI82" s="67">
        <f t="shared" ca="1" si="26"/>
        <v>0</v>
      </c>
      <c r="BJ82" s="67">
        <f t="shared" ca="1" si="26"/>
        <v>0</v>
      </c>
      <c r="BK82" s="67">
        <f t="shared" ca="1" si="26"/>
        <v>0</v>
      </c>
      <c r="BL82" s="67">
        <f t="shared" ca="1" si="26"/>
        <v>0</v>
      </c>
      <c r="BM82" s="67">
        <f t="shared" ca="1" si="26"/>
        <v>0</v>
      </c>
      <c r="BN82" s="67">
        <f t="shared" ca="1" si="26"/>
        <v>0</v>
      </c>
      <c r="BO82" s="67">
        <f t="shared" ca="1" si="26"/>
        <v>0</v>
      </c>
      <c r="BP82" s="67">
        <f t="shared" ca="1" si="26"/>
        <v>0</v>
      </c>
      <c r="BQ82" s="67">
        <f t="shared" ca="1" si="27"/>
        <v>0</v>
      </c>
      <c r="BR82" s="67">
        <f t="shared" ca="1" si="27"/>
        <v>0</v>
      </c>
      <c r="BS82" s="67">
        <f t="shared" ca="1" si="27"/>
        <v>0</v>
      </c>
      <c r="BT82" s="67">
        <f t="shared" ca="1" si="27"/>
        <v>0</v>
      </c>
    </row>
    <row r="83" spans="2:72" x14ac:dyDescent="0.25">
      <c r="B83" s="87"/>
      <c r="G83" s="67" t="str">
        <f>ROW(A78)&amp;". "&amp;'Critical resources'!B89</f>
        <v xml:space="preserve">78. </v>
      </c>
      <c r="H83" s="67">
        <f ca="1">IFERROR(VLOOKUP('Critical resources'!D89,$B$6:$C$57,2,0),0)</f>
        <v>0</v>
      </c>
      <c r="I83" s="67">
        <f ca="1">IFERROR(VLOOKUP('Critical resources'!E89,$A$6:$C$57,3,0),0)</f>
        <v>0</v>
      </c>
      <c r="J83" s="67">
        <f ca="1">IFERROR(VLOOKUP('Critical resources'!G89,$B$6:$C$57,2,0),0)</f>
        <v>0</v>
      </c>
      <c r="K83" s="67">
        <f ca="1">IFERROR(VLOOKUP('Critical resources'!H89,$B$6:$C$57,2,0),0)</f>
        <v>0</v>
      </c>
      <c r="L83" s="67">
        <f ca="1">IFERROR(VLOOKUP('Critical resources'!J89,$B$6:$C$57,2,0),0)</f>
        <v>0</v>
      </c>
      <c r="M83" s="67">
        <f ca="1">IFERROR(VLOOKUP('Critical resources'!K89,$A$6:$C$57,3,0),0)</f>
        <v>0</v>
      </c>
      <c r="N83" s="67">
        <f ca="1">IFERROR(VLOOKUP('Critical resources'!M89,$B$6:$C$57,2,0),0)</f>
        <v>0</v>
      </c>
      <c r="O83" s="67">
        <f ca="1">IFERROR(VLOOKUP('Critical resources'!N89,$A$6:$C$57,3,0),0)</f>
        <v>0</v>
      </c>
      <c r="P83" s="67">
        <f ca="1">IFERROR(VLOOKUP('Critical resources'!P89,$B$6:$C$57,2,0),0)</f>
        <v>0</v>
      </c>
      <c r="Q83" s="67">
        <f ca="1">IFERROR(VLOOKUP('Critical resources'!Q89,$A$6:$C$57,3,0),0)</f>
        <v>0</v>
      </c>
      <c r="T83" s="67" t="str">
        <f t="shared" si="28"/>
        <v xml:space="preserve">78. </v>
      </c>
      <c r="U83" s="67">
        <f t="shared" ca="1" si="31"/>
        <v>0</v>
      </c>
      <c r="V83" s="67">
        <f t="shared" ca="1" si="31"/>
        <v>0</v>
      </c>
      <c r="W83" s="67">
        <f t="shared" ca="1" si="31"/>
        <v>0</v>
      </c>
      <c r="X83" s="67">
        <f t="shared" ca="1" si="31"/>
        <v>0</v>
      </c>
      <c r="Y83" s="67">
        <f t="shared" ca="1" si="31"/>
        <v>0</v>
      </c>
      <c r="Z83" s="67">
        <f t="shared" ca="1" si="31"/>
        <v>0</v>
      </c>
      <c r="AA83" s="67">
        <f t="shared" ca="1" si="31"/>
        <v>0</v>
      </c>
      <c r="AB83" s="67">
        <f t="shared" ca="1" si="31"/>
        <v>0</v>
      </c>
      <c r="AC83" s="67">
        <f t="shared" ca="1" si="31"/>
        <v>0</v>
      </c>
      <c r="AD83" s="67">
        <f t="shared" ca="1" si="31"/>
        <v>0</v>
      </c>
      <c r="AE83" s="67">
        <f t="shared" ca="1" si="31"/>
        <v>0</v>
      </c>
      <c r="AF83" s="67">
        <f t="shared" ca="1" si="31"/>
        <v>0</v>
      </c>
      <c r="AG83" s="67">
        <f t="shared" ca="1" si="31"/>
        <v>0</v>
      </c>
      <c r="AH83" s="67">
        <f t="shared" ca="1" si="31"/>
        <v>0</v>
      </c>
      <c r="AI83" s="67">
        <f t="shared" ca="1" si="31"/>
        <v>0</v>
      </c>
      <c r="AJ83" s="67">
        <f t="shared" ca="1" si="29"/>
        <v>0</v>
      </c>
      <c r="AK83" s="67">
        <f t="shared" ca="1" si="29"/>
        <v>0</v>
      </c>
      <c r="AL83" s="67">
        <f t="shared" ca="1" si="29"/>
        <v>0</v>
      </c>
      <c r="AM83" s="67">
        <f t="shared" ca="1" si="29"/>
        <v>0</v>
      </c>
      <c r="AN83" s="67">
        <f t="shared" ca="1" si="29"/>
        <v>0</v>
      </c>
      <c r="AO83" s="67">
        <f t="shared" ca="1" si="29"/>
        <v>0</v>
      </c>
      <c r="AP83" s="67">
        <f t="shared" ca="1" si="29"/>
        <v>0</v>
      </c>
      <c r="AQ83" s="67">
        <f t="shared" ca="1" si="29"/>
        <v>0</v>
      </c>
      <c r="AR83" s="67">
        <f t="shared" ca="1" si="29"/>
        <v>0</v>
      </c>
      <c r="AS83" s="67">
        <f t="shared" ca="1" si="29"/>
        <v>0</v>
      </c>
      <c r="AT83" s="67">
        <f t="shared" ca="1" si="29"/>
        <v>0</v>
      </c>
      <c r="AU83" s="67">
        <f t="shared" ca="1" si="29"/>
        <v>0</v>
      </c>
      <c r="AV83" s="67">
        <f t="shared" ca="1" si="29"/>
        <v>0</v>
      </c>
      <c r="AW83" s="67">
        <f t="shared" ca="1" si="29"/>
        <v>0</v>
      </c>
      <c r="AX83" s="67">
        <f t="shared" ca="1" si="29"/>
        <v>0</v>
      </c>
      <c r="AY83" s="67">
        <f t="shared" ca="1" si="29"/>
        <v>0</v>
      </c>
      <c r="AZ83" s="67">
        <f t="shared" ca="1" si="30"/>
        <v>0</v>
      </c>
      <c r="BA83" s="67">
        <f t="shared" ca="1" si="26"/>
        <v>0</v>
      </c>
      <c r="BB83" s="67">
        <f t="shared" ca="1" si="26"/>
        <v>0</v>
      </c>
      <c r="BC83" s="67">
        <f t="shared" ca="1" si="26"/>
        <v>0</v>
      </c>
      <c r="BD83" s="67">
        <f t="shared" ca="1" si="26"/>
        <v>0</v>
      </c>
      <c r="BE83" s="67">
        <f t="shared" ca="1" si="26"/>
        <v>0</v>
      </c>
      <c r="BF83" s="67">
        <f t="shared" ca="1" si="26"/>
        <v>0</v>
      </c>
      <c r="BG83" s="67">
        <f t="shared" ca="1" si="26"/>
        <v>0</v>
      </c>
      <c r="BH83" s="67">
        <f t="shared" ca="1" si="26"/>
        <v>0</v>
      </c>
      <c r="BI83" s="67">
        <f t="shared" ca="1" si="26"/>
        <v>0</v>
      </c>
      <c r="BJ83" s="67">
        <f t="shared" ca="1" si="26"/>
        <v>0</v>
      </c>
      <c r="BK83" s="67">
        <f t="shared" ca="1" si="26"/>
        <v>0</v>
      </c>
      <c r="BL83" s="67">
        <f t="shared" ca="1" si="26"/>
        <v>0</v>
      </c>
      <c r="BM83" s="67">
        <f t="shared" ca="1" si="26"/>
        <v>0</v>
      </c>
      <c r="BN83" s="67">
        <f t="shared" ca="1" si="26"/>
        <v>0</v>
      </c>
      <c r="BO83" s="67">
        <f t="shared" ca="1" si="26"/>
        <v>0</v>
      </c>
      <c r="BP83" s="67">
        <f t="shared" ref="BP83:BT98" ca="1" si="32">SUM(IFERROR(IF(AND(BP$5&gt;=$H83,BP$5&lt;=$I83),1,0),0),IFERROR(IF(AND(BP$5&gt;=$J83,BP$5&lt;=$K83),1,0),0),IFERROR(IF(AND(BP$5&gt;=$L83,BP$5&lt;=$M83),1,0),0),IFERROR(IF(AND(BP$5&gt;=$N83,BP$5&lt;=$O83),1,0),0),IFERROR(IF(AND(BP$5&gt;=$P83,BP$5&lt;=$Q83),1,0),0))</f>
        <v>0</v>
      </c>
      <c r="BQ83" s="67">
        <f t="shared" ca="1" si="27"/>
        <v>0</v>
      </c>
      <c r="BR83" s="67">
        <f t="shared" ca="1" si="27"/>
        <v>0</v>
      </c>
      <c r="BS83" s="67">
        <f t="shared" ca="1" si="27"/>
        <v>0</v>
      </c>
      <c r="BT83" s="67">
        <f t="shared" ca="1" si="27"/>
        <v>0</v>
      </c>
    </row>
    <row r="84" spans="2:72" x14ac:dyDescent="0.25">
      <c r="B84" s="87"/>
      <c r="G84" s="67" t="str">
        <f>ROW(A79)&amp;". "&amp;'Critical resources'!B90</f>
        <v xml:space="preserve">79. </v>
      </c>
      <c r="H84" s="67">
        <f ca="1">IFERROR(VLOOKUP('Critical resources'!D90,$B$6:$C$57,2,0),0)</f>
        <v>0</v>
      </c>
      <c r="I84" s="67">
        <f ca="1">IFERROR(VLOOKUP('Critical resources'!E90,$A$6:$C$57,3,0),0)</f>
        <v>0</v>
      </c>
      <c r="J84" s="67">
        <f ca="1">IFERROR(VLOOKUP('Critical resources'!G90,$B$6:$C$57,2,0),0)</f>
        <v>0</v>
      </c>
      <c r="K84" s="67">
        <f ca="1">IFERROR(VLOOKUP('Critical resources'!H90,$B$6:$C$57,2,0),0)</f>
        <v>0</v>
      </c>
      <c r="L84" s="67">
        <f ca="1">IFERROR(VLOOKUP('Critical resources'!J90,$B$6:$C$57,2,0),0)</f>
        <v>0</v>
      </c>
      <c r="M84" s="67">
        <f ca="1">IFERROR(VLOOKUP('Critical resources'!K90,$A$6:$C$57,3,0),0)</f>
        <v>0</v>
      </c>
      <c r="N84" s="67">
        <f ca="1">IFERROR(VLOOKUP('Critical resources'!M90,$B$6:$C$57,2,0),0)</f>
        <v>0</v>
      </c>
      <c r="O84" s="67">
        <f ca="1">IFERROR(VLOOKUP('Critical resources'!N90,$A$6:$C$57,3,0),0)</f>
        <v>0</v>
      </c>
      <c r="P84" s="67">
        <f ca="1">IFERROR(VLOOKUP('Critical resources'!P90,$B$6:$C$57,2,0),0)</f>
        <v>0</v>
      </c>
      <c r="Q84" s="67">
        <f ca="1">IFERROR(VLOOKUP('Critical resources'!Q90,$A$6:$C$57,3,0),0)</f>
        <v>0</v>
      </c>
      <c r="T84" s="67" t="str">
        <f t="shared" si="28"/>
        <v xml:space="preserve">79. </v>
      </c>
      <c r="U84" s="67">
        <f t="shared" ca="1" si="31"/>
        <v>0</v>
      </c>
      <c r="V84" s="67">
        <f t="shared" ca="1" si="31"/>
        <v>0</v>
      </c>
      <c r="W84" s="67">
        <f t="shared" ca="1" si="31"/>
        <v>0</v>
      </c>
      <c r="X84" s="67">
        <f t="shared" ca="1" si="31"/>
        <v>0</v>
      </c>
      <c r="Y84" s="67">
        <f t="shared" ca="1" si="31"/>
        <v>0</v>
      </c>
      <c r="Z84" s="67">
        <f t="shared" ca="1" si="31"/>
        <v>0</v>
      </c>
      <c r="AA84" s="67">
        <f t="shared" ca="1" si="31"/>
        <v>0</v>
      </c>
      <c r="AB84" s="67">
        <f t="shared" ca="1" si="31"/>
        <v>0</v>
      </c>
      <c r="AC84" s="67">
        <f t="shared" ca="1" si="31"/>
        <v>0</v>
      </c>
      <c r="AD84" s="67">
        <f t="shared" ca="1" si="31"/>
        <v>0</v>
      </c>
      <c r="AE84" s="67">
        <f t="shared" ca="1" si="31"/>
        <v>0</v>
      </c>
      <c r="AF84" s="67">
        <f t="shared" ca="1" si="31"/>
        <v>0</v>
      </c>
      <c r="AG84" s="67">
        <f t="shared" ca="1" si="31"/>
        <v>0</v>
      </c>
      <c r="AH84" s="67">
        <f t="shared" ca="1" si="31"/>
        <v>0</v>
      </c>
      <c r="AI84" s="67">
        <f t="shared" ca="1" si="31"/>
        <v>0</v>
      </c>
      <c r="AJ84" s="67">
        <f t="shared" ca="1" si="29"/>
        <v>0</v>
      </c>
      <c r="AK84" s="67">
        <f t="shared" ca="1" si="29"/>
        <v>0</v>
      </c>
      <c r="AL84" s="67">
        <f t="shared" ca="1" si="29"/>
        <v>0</v>
      </c>
      <c r="AM84" s="67">
        <f t="shared" ca="1" si="29"/>
        <v>0</v>
      </c>
      <c r="AN84" s="67">
        <f t="shared" ca="1" si="29"/>
        <v>0</v>
      </c>
      <c r="AO84" s="67">
        <f t="shared" ca="1" si="29"/>
        <v>0</v>
      </c>
      <c r="AP84" s="67">
        <f t="shared" ca="1" si="29"/>
        <v>0</v>
      </c>
      <c r="AQ84" s="67">
        <f t="shared" ca="1" si="29"/>
        <v>0</v>
      </c>
      <c r="AR84" s="67">
        <f t="shared" ca="1" si="29"/>
        <v>0</v>
      </c>
      <c r="AS84" s="67">
        <f t="shared" ca="1" si="29"/>
        <v>0</v>
      </c>
      <c r="AT84" s="67">
        <f t="shared" ca="1" si="29"/>
        <v>0</v>
      </c>
      <c r="AU84" s="67">
        <f t="shared" ca="1" si="29"/>
        <v>0</v>
      </c>
      <c r="AV84" s="67">
        <f t="shared" ca="1" si="29"/>
        <v>0</v>
      </c>
      <c r="AW84" s="67">
        <f t="shared" ca="1" si="29"/>
        <v>0</v>
      </c>
      <c r="AX84" s="67">
        <f t="shared" ca="1" si="29"/>
        <v>0</v>
      </c>
      <c r="AY84" s="67">
        <f t="shared" ca="1" si="29"/>
        <v>0</v>
      </c>
      <c r="AZ84" s="67">
        <f t="shared" ca="1" si="30"/>
        <v>0</v>
      </c>
      <c r="BA84" s="67">
        <f t="shared" ca="1" si="30"/>
        <v>0</v>
      </c>
      <c r="BB84" s="67">
        <f t="shared" ca="1" si="30"/>
        <v>0</v>
      </c>
      <c r="BC84" s="67">
        <f t="shared" ca="1" si="30"/>
        <v>0</v>
      </c>
      <c r="BD84" s="67">
        <f t="shared" ca="1" si="30"/>
        <v>0</v>
      </c>
      <c r="BE84" s="67">
        <f t="shared" ca="1" si="30"/>
        <v>0</v>
      </c>
      <c r="BF84" s="67">
        <f t="shared" ca="1" si="30"/>
        <v>0</v>
      </c>
      <c r="BG84" s="67">
        <f t="shared" ca="1" si="30"/>
        <v>0</v>
      </c>
      <c r="BH84" s="67">
        <f t="shared" ca="1" si="30"/>
        <v>0</v>
      </c>
      <c r="BI84" s="67">
        <f t="shared" ca="1" si="30"/>
        <v>0</v>
      </c>
      <c r="BJ84" s="67">
        <f t="shared" ca="1" si="30"/>
        <v>0</v>
      </c>
      <c r="BK84" s="67">
        <f t="shared" ca="1" si="30"/>
        <v>0</v>
      </c>
      <c r="BL84" s="67">
        <f t="shared" ca="1" si="30"/>
        <v>0</v>
      </c>
      <c r="BM84" s="67">
        <f t="shared" ca="1" si="30"/>
        <v>0</v>
      </c>
      <c r="BN84" s="67">
        <f t="shared" ca="1" si="30"/>
        <v>0</v>
      </c>
      <c r="BO84" s="67">
        <f t="shared" ca="1" si="30"/>
        <v>0</v>
      </c>
      <c r="BP84" s="67">
        <f t="shared" ca="1" si="32"/>
        <v>0</v>
      </c>
      <c r="BQ84" s="67">
        <f t="shared" ca="1" si="27"/>
        <v>0</v>
      </c>
      <c r="BR84" s="67">
        <f t="shared" ca="1" si="27"/>
        <v>0</v>
      </c>
      <c r="BS84" s="67">
        <f t="shared" ca="1" si="27"/>
        <v>0</v>
      </c>
      <c r="BT84" s="67">
        <f t="shared" ca="1" si="27"/>
        <v>0</v>
      </c>
    </row>
    <row r="85" spans="2:72" x14ac:dyDescent="0.25">
      <c r="B85" s="87"/>
      <c r="G85" s="67" t="str">
        <f>ROW(A80)&amp;". "&amp;'Critical resources'!B91</f>
        <v xml:space="preserve">80. </v>
      </c>
      <c r="H85" s="67">
        <f ca="1">IFERROR(VLOOKUP('Critical resources'!D91,$B$6:$C$57,2,0),0)</f>
        <v>0</v>
      </c>
      <c r="I85" s="67">
        <f ca="1">IFERROR(VLOOKUP('Critical resources'!E91,$A$6:$C$57,3,0),0)</f>
        <v>0</v>
      </c>
      <c r="J85" s="67">
        <f ca="1">IFERROR(VLOOKUP('Critical resources'!G91,$B$6:$C$57,2,0),0)</f>
        <v>0</v>
      </c>
      <c r="K85" s="67">
        <f ca="1">IFERROR(VLOOKUP('Critical resources'!H91,$B$6:$C$57,2,0),0)</f>
        <v>0</v>
      </c>
      <c r="L85" s="67">
        <f ca="1">IFERROR(VLOOKUP('Critical resources'!J91,$B$6:$C$57,2,0),0)</f>
        <v>0</v>
      </c>
      <c r="M85" s="67">
        <f ca="1">IFERROR(VLOOKUP('Critical resources'!K91,$A$6:$C$57,3,0),0)</f>
        <v>0</v>
      </c>
      <c r="N85" s="67">
        <f ca="1">IFERROR(VLOOKUP('Critical resources'!M91,$B$6:$C$57,2,0),0)</f>
        <v>0</v>
      </c>
      <c r="O85" s="67">
        <f ca="1">IFERROR(VLOOKUP('Critical resources'!N91,$A$6:$C$57,3,0),0)</f>
        <v>0</v>
      </c>
      <c r="P85" s="67">
        <f ca="1">IFERROR(VLOOKUP('Critical resources'!P91,$B$6:$C$57,2,0),0)</f>
        <v>0</v>
      </c>
      <c r="Q85" s="67">
        <f ca="1">IFERROR(VLOOKUP('Critical resources'!Q91,$A$6:$C$57,3,0),0)</f>
        <v>0</v>
      </c>
      <c r="T85" s="67" t="str">
        <f t="shared" si="28"/>
        <v xml:space="preserve">80. </v>
      </c>
      <c r="U85" s="67">
        <f t="shared" ca="1" si="31"/>
        <v>0</v>
      </c>
      <c r="V85" s="67">
        <f t="shared" ca="1" si="31"/>
        <v>0</v>
      </c>
      <c r="W85" s="67">
        <f t="shared" ca="1" si="31"/>
        <v>0</v>
      </c>
      <c r="X85" s="67">
        <f t="shared" ca="1" si="31"/>
        <v>0</v>
      </c>
      <c r="Y85" s="67">
        <f t="shared" ca="1" si="31"/>
        <v>0</v>
      </c>
      <c r="Z85" s="67">
        <f t="shared" ca="1" si="31"/>
        <v>0</v>
      </c>
      <c r="AA85" s="67">
        <f t="shared" ca="1" si="31"/>
        <v>0</v>
      </c>
      <c r="AB85" s="67">
        <f t="shared" ca="1" si="31"/>
        <v>0</v>
      </c>
      <c r="AC85" s="67">
        <f t="shared" ca="1" si="31"/>
        <v>0</v>
      </c>
      <c r="AD85" s="67">
        <f t="shared" ca="1" si="31"/>
        <v>0</v>
      </c>
      <c r="AE85" s="67">
        <f t="shared" ca="1" si="31"/>
        <v>0</v>
      </c>
      <c r="AF85" s="67">
        <f t="shared" ca="1" si="31"/>
        <v>0</v>
      </c>
      <c r="AG85" s="67">
        <f t="shared" ca="1" si="31"/>
        <v>0</v>
      </c>
      <c r="AH85" s="67">
        <f t="shared" ca="1" si="31"/>
        <v>0</v>
      </c>
      <c r="AI85" s="67">
        <f t="shared" ca="1" si="31"/>
        <v>0</v>
      </c>
      <c r="AJ85" s="67">
        <f t="shared" ca="1" si="29"/>
        <v>0</v>
      </c>
      <c r="AK85" s="67">
        <f t="shared" ca="1" si="29"/>
        <v>0</v>
      </c>
      <c r="AL85" s="67">
        <f t="shared" ca="1" si="29"/>
        <v>0</v>
      </c>
      <c r="AM85" s="67">
        <f t="shared" ca="1" si="29"/>
        <v>0</v>
      </c>
      <c r="AN85" s="67">
        <f t="shared" ca="1" si="29"/>
        <v>0</v>
      </c>
      <c r="AO85" s="67">
        <f t="shared" ca="1" si="29"/>
        <v>0</v>
      </c>
      <c r="AP85" s="67">
        <f t="shared" ca="1" si="29"/>
        <v>0</v>
      </c>
      <c r="AQ85" s="67">
        <f t="shared" ca="1" si="29"/>
        <v>0</v>
      </c>
      <c r="AR85" s="67">
        <f t="shared" ca="1" si="29"/>
        <v>0</v>
      </c>
      <c r="AS85" s="67">
        <f t="shared" ca="1" si="29"/>
        <v>0</v>
      </c>
      <c r="AT85" s="67">
        <f t="shared" ca="1" si="29"/>
        <v>0</v>
      </c>
      <c r="AU85" s="67">
        <f t="shared" ca="1" si="29"/>
        <v>0</v>
      </c>
      <c r="AV85" s="67">
        <f t="shared" ca="1" si="29"/>
        <v>0</v>
      </c>
      <c r="AW85" s="67">
        <f t="shared" ca="1" si="29"/>
        <v>0</v>
      </c>
      <c r="AX85" s="67">
        <f t="shared" ca="1" si="29"/>
        <v>0</v>
      </c>
      <c r="AY85" s="67">
        <f t="shared" ref="AY85:BN100" ca="1" si="33">SUM(IFERROR(IF(AND(AY$5&gt;=$H85,AY$5&lt;=$I85),1,0),0),IFERROR(IF(AND(AY$5&gt;=$J85,AY$5&lt;=$K85),1,0),0),IFERROR(IF(AND(AY$5&gt;=$L85,AY$5&lt;=$M85),1,0),0),IFERROR(IF(AND(AY$5&gt;=$N85,AY$5&lt;=$O85),1,0),0),IFERROR(IF(AND(AY$5&gt;=$P85,AY$5&lt;=$Q85),1,0),0))</f>
        <v>0</v>
      </c>
      <c r="AZ85" s="67">
        <f t="shared" ca="1" si="30"/>
        <v>0</v>
      </c>
      <c r="BA85" s="67">
        <f t="shared" ca="1" si="30"/>
        <v>0</v>
      </c>
      <c r="BB85" s="67">
        <f t="shared" ca="1" si="30"/>
        <v>0</v>
      </c>
      <c r="BC85" s="67">
        <f t="shared" ca="1" si="30"/>
        <v>0</v>
      </c>
      <c r="BD85" s="67">
        <f t="shared" ca="1" si="30"/>
        <v>0</v>
      </c>
      <c r="BE85" s="67">
        <f t="shared" ca="1" si="30"/>
        <v>0</v>
      </c>
      <c r="BF85" s="67">
        <f t="shared" ca="1" si="30"/>
        <v>0</v>
      </c>
      <c r="BG85" s="67">
        <f t="shared" ca="1" si="30"/>
        <v>0</v>
      </c>
      <c r="BH85" s="67">
        <f t="shared" ca="1" si="30"/>
        <v>0</v>
      </c>
      <c r="BI85" s="67">
        <f t="shared" ca="1" si="30"/>
        <v>0</v>
      </c>
      <c r="BJ85" s="67">
        <f t="shared" ca="1" si="30"/>
        <v>0</v>
      </c>
      <c r="BK85" s="67">
        <f t="shared" ca="1" si="30"/>
        <v>0</v>
      </c>
      <c r="BL85" s="67">
        <f t="shared" ca="1" si="30"/>
        <v>0</v>
      </c>
      <c r="BM85" s="67">
        <f t="shared" ca="1" si="30"/>
        <v>0</v>
      </c>
      <c r="BN85" s="67">
        <f t="shared" ca="1" si="30"/>
        <v>0</v>
      </c>
      <c r="BO85" s="67">
        <f t="shared" ca="1" si="30"/>
        <v>0</v>
      </c>
      <c r="BP85" s="67">
        <f t="shared" ca="1" si="32"/>
        <v>0</v>
      </c>
      <c r="BQ85" s="67">
        <f t="shared" ca="1" si="27"/>
        <v>0</v>
      </c>
      <c r="BR85" s="67">
        <f t="shared" ca="1" si="27"/>
        <v>0</v>
      </c>
      <c r="BS85" s="67">
        <f t="shared" ca="1" si="27"/>
        <v>0</v>
      </c>
      <c r="BT85" s="67">
        <f t="shared" ca="1" si="27"/>
        <v>0</v>
      </c>
    </row>
    <row r="86" spans="2:72" x14ac:dyDescent="0.25">
      <c r="B86" s="87"/>
      <c r="G86" s="67" t="str">
        <f>ROW(A81)&amp;". "&amp;'Critical resources'!B92</f>
        <v xml:space="preserve">81. </v>
      </c>
      <c r="H86" s="67">
        <f ca="1">IFERROR(VLOOKUP('Critical resources'!D92,$B$6:$C$57,2,0),0)</f>
        <v>0</v>
      </c>
      <c r="I86" s="67">
        <f ca="1">IFERROR(VLOOKUP('Critical resources'!E92,$A$6:$C$57,3,0),0)</f>
        <v>0</v>
      </c>
      <c r="J86" s="67">
        <f ca="1">IFERROR(VLOOKUP('Critical resources'!G92,$B$6:$C$57,2,0),0)</f>
        <v>0</v>
      </c>
      <c r="K86" s="67">
        <f ca="1">IFERROR(VLOOKUP('Critical resources'!H92,$B$6:$C$57,2,0),0)</f>
        <v>0</v>
      </c>
      <c r="L86" s="67">
        <f ca="1">IFERROR(VLOOKUP('Critical resources'!J92,$B$6:$C$57,2,0),0)</f>
        <v>0</v>
      </c>
      <c r="M86" s="67">
        <f ca="1">IFERROR(VLOOKUP('Critical resources'!K92,$A$6:$C$57,3,0),0)</f>
        <v>0</v>
      </c>
      <c r="N86" s="67">
        <f ca="1">IFERROR(VLOOKUP('Critical resources'!M92,$B$6:$C$57,2,0),0)</f>
        <v>0</v>
      </c>
      <c r="O86" s="67">
        <f ca="1">IFERROR(VLOOKUP('Critical resources'!N92,$A$6:$C$57,3,0),0)</f>
        <v>0</v>
      </c>
      <c r="P86" s="67">
        <f ca="1">IFERROR(VLOOKUP('Critical resources'!P92,$B$6:$C$57,2,0),0)</f>
        <v>0</v>
      </c>
      <c r="Q86" s="67">
        <f ca="1">IFERROR(VLOOKUP('Critical resources'!Q92,$A$6:$C$57,3,0),0)</f>
        <v>0</v>
      </c>
      <c r="T86" s="67" t="str">
        <f t="shared" si="28"/>
        <v xml:space="preserve">81. </v>
      </c>
      <c r="U86" s="67">
        <f t="shared" ca="1" si="31"/>
        <v>0</v>
      </c>
      <c r="V86" s="67">
        <f t="shared" ca="1" si="31"/>
        <v>0</v>
      </c>
      <c r="W86" s="67">
        <f t="shared" ca="1" si="31"/>
        <v>0</v>
      </c>
      <c r="X86" s="67">
        <f t="shared" ca="1" si="31"/>
        <v>0</v>
      </c>
      <c r="Y86" s="67">
        <f t="shared" ca="1" si="31"/>
        <v>0</v>
      </c>
      <c r="Z86" s="67">
        <f t="shared" ca="1" si="31"/>
        <v>0</v>
      </c>
      <c r="AA86" s="67">
        <f t="shared" ca="1" si="31"/>
        <v>0</v>
      </c>
      <c r="AB86" s="67">
        <f t="shared" ca="1" si="31"/>
        <v>0</v>
      </c>
      <c r="AC86" s="67">
        <f t="shared" ca="1" si="31"/>
        <v>0</v>
      </c>
      <c r="AD86" s="67">
        <f t="shared" ca="1" si="31"/>
        <v>0</v>
      </c>
      <c r="AE86" s="67">
        <f t="shared" ca="1" si="31"/>
        <v>0</v>
      </c>
      <c r="AF86" s="67">
        <f t="shared" ca="1" si="31"/>
        <v>0</v>
      </c>
      <c r="AG86" s="67">
        <f t="shared" ca="1" si="31"/>
        <v>0</v>
      </c>
      <c r="AH86" s="67">
        <f t="shared" ca="1" si="31"/>
        <v>0</v>
      </c>
      <c r="AI86" s="67">
        <f t="shared" ca="1" si="31"/>
        <v>0</v>
      </c>
      <c r="AJ86" s="67">
        <f t="shared" ca="1" si="31"/>
        <v>0</v>
      </c>
      <c r="AK86" s="67">
        <f t="shared" ref="AK86:AZ101" ca="1" si="34">SUM(IFERROR(IF(AND(AK$5&gt;=$H86,AK$5&lt;=$I86),1,0),0),IFERROR(IF(AND(AK$5&gt;=$J86,AK$5&lt;=$K86),1,0),0),IFERROR(IF(AND(AK$5&gt;=$L86,AK$5&lt;=$M86),1,0),0),IFERROR(IF(AND(AK$5&gt;=$N86,AK$5&lt;=$O86),1,0),0),IFERROR(IF(AND(AK$5&gt;=$P86,AK$5&lt;=$Q86),1,0),0))</f>
        <v>0</v>
      </c>
      <c r="AL86" s="67">
        <f t="shared" ca="1" si="34"/>
        <v>0</v>
      </c>
      <c r="AM86" s="67">
        <f t="shared" ca="1" si="34"/>
        <v>0</v>
      </c>
      <c r="AN86" s="67">
        <f t="shared" ca="1" si="34"/>
        <v>0</v>
      </c>
      <c r="AO86" s="67">
        <f t="shared" ca="1" si="34"/>
        <v>0</v>
      </c>
      <c r="AP86" s="67">
        <f t="shared" ca="1" si="34"/>
        <v>0</v>
      </c>
      <c r="AQ86" s="67">
        <f t="shared" ca="1" si="34"/>
        <v>0</v>
      </c>
      <c r="AR86" s="67">
        <f t="shared" ca="1" si="34"/>
        <v>0</v>
      </c>
      <c r="AS86" s="67">
        <f t="shared" ca="1" si="34"/>
        <v>0</v>
      </c>
      <c r="AT86" s="67">
        <f t="shared" ca="1" si="34"/>
        <v>0</v>
      </c>
      <c r="AU86" s="67">
        <f t="shared" ca="1" si="34"/>
        <v>0</v>
      </c>
      <c r="AV86" s="67">
        <f t="shared" ca="1" si="34"/>
        <v>0</v>
      </c>
      <c r="AW86" s="67">
        <f t="shared" ca="1" si="34"/>
        <v>0</v>
      </c>
      <c r="AX86" s="67">
        <f t="shared" ca="1" si="34"/>
        <v>0</v>
      </c>
      <c r="AY86" s="67">
        <f t="shared" ca="1" si="33"/>
        <v>0</v>
      </c>
      <c r="AZ86" s="67">
        <f t="shared" ca="1" si="33"/>
        <v>0</v>
      </c>
      <c r="BA86" s="67">
        <f t="shared" ca="1" si="33"/>
        <v>0</v>
      </c>
      <c r="BB86" s="67">
        <f t="shared" ca="1" si="33"/>
        <v>0</v>
      </c>
      <c r="BC86" s="67">
        <f t="shared" ca="1" si="33"/>
        <v>0</v>
      </c>
      <c r="BD86" s="67">
        <f t="shared" ca="1" si="33"/>
        <v>0</v>
      </c>
      <c r="BE86" s="67">
        <f t="shared" ca="1" si="33"/>
        <v>0</v>
      </c>
      <c r="BF86" s="67">
        <f t="shared" ca="1" si="33"/>
        <v>0</v>
      </c>
      <c r="BG86" s="67">
        <f t="shared" ca="1" si="33"/>
        <v>0</v>
      </c>
      <c r="BH86" s="67">
        <f t="shared" ca="1" si="33"/>
        <v>0</v>
      </c>
      <c r="BI86" s="67">
        <f t="shared" ca="1" si="33"/>
        <v>0</v>
      </c>
      <c r="BJ86" s="67">
        <f t="shared" ca="1" si="33"/>
        <v>0</v>
      </c>
      <c r="BK86" s="67">
        <f t="shared" ca="1" si="33"/>
        <v>0</v>
      </c>
      <c r="BL86" s="67">
        <f t="shared" ca="1" si="33"/>
        <v>0</v>
      </c>
      <c r="BM86" s="67">
        <f t="shared" ca="1" si="33"/>
        <v>0</v>
      </c>
      <c r="BN86" s="67">
        <f t="shared" ca="1" si="33"/>
        <v>0</v>
      </c>
      <c r="BO86" s="67">
        <f t="shared" ref="BO86:BT101" ca="1" si="35">SUM(IFERROR(IF(AND(BO$5&gt;=$H86,BO$5&lt;=$I86),1,0),0),IFERROR(IF(AND(BO$5&gt;=$J86,BO$5&lt;=$K86),1,0),0),IFERROR(IF(AND(BO$5&gt;=$L86,BO$5&lt;=$M86),1,0),0),IFERROR(IF(AND(BO$5&gt;=$N86,BO$5&lt;=$O86),1,0),0),IFERROR(IF(AND(BO$5&gt;=$P86,BO$5&lt;=$Q86),1,0),0))</f>
        <v>0</v>
      </c>
      <c r="BP86" s="67">
        <f t="shared" ca="1" si="32"/>
        <v>0</v>
      </c>
      <c r="BQ86" s="67">
        <f t="shared" ca="1" si="27"/>
        <v>0</v>
      </c>
      <c r="BR86" s="67">
        <f t="shared" ca="1" si="27"/>
        <v>0</v>
      </c>
      <c r="BS86" s="67">
        <f t="shared" ca="1" si="27"/>
        <v>0</v>
      </c>
      <c r="BT86" s="67">
        <f t="shared" ca="1" si="27"/>
        <v>0</v>
      </c>
    </row>
    <row r="87" spans="2:72" x14ac:dyDescent="0.25">
      <c r="B87" s="87"/>
      <c r="G87" s="67" t="str">
        <f>ROW(A82)&amp;". "&amp;'Critical resources'!B93</f>
        <v xml:space="preserve">82. </v>
      </c>
      <c r="H87" s="67">
        <f ca="1">IFERROR(VLOOKUP('Critical resources'!D93,$B$6:$C$57,2,0),0)</f>
        <v>0</v>
      </c>
      <c r="I87" s="67">
        <f ca="1">IFERROR(VLOOKUP('Critical resources'!E93,$A$6:$C$57,3,0),0)</f>
        <v>0</v>
      </c>
      <c r="J87" s="67">
        <f ca="1">IFERROR(VLOOKUP('Critical resources'!G93,$B$6:$C$57,2,0),0)</f>
        <v>0</v>
      </c>
      <c r="K87" s="67">
        <f ca="1">IFERROR(VLOOKUP('Critical resources'!H93,$B$6:$C$57,2,0),0)</f>
        <v>0</v>
      </c>
      <c r="L87" s="67">
        <f ca="1">IFERROR(VLOOKUP('Critical resources'!J93,$B$6:$C$57,2,0),0)</f>
        <v>0</v>
      </c>
      <c r="M87" s="67">
        <f ca="1">IFERROR(VLOOKUP('Critical resources'!K93,$A$6:$C$57,3,0),0)</f>
        <v>0</v>
      </c>
      <c r="N87" s="67">
        <f ca="1">IFERROR(VLOOKUP('Critical resources'!M93,$B$6:$C$57,2,0),0)</f>
        <v>0</v>
      </c>
      <c r="O87" s="67">
        <f ca="1">IFERROR(VLOOKUP('Critical resources'!N93,$A$6:$C$57,3,0),0)</f>
        <v>0</v>
      </c>
      <c r="P87" s="67">
        <f ca="1">IFERROR(VLOOKUP('Critical resources'!P93,$B$6:$C$57,2,0),0)</f>
        <v>0</v>
      </c>
      <c r="Q87" s="67">
        <f ca="1">IFERROR(VLOOKUP('Critical resources'!Q93,$A$6:$C$57,3,0),0)</f>
        <v>0</v>
      </c>
      <c r="T87" s="67" t="str">
        <f t="shared" si="28"/>
        <v xml:space="preserve">82. </v>
      </c>
      <c r="U87" s="67">
        <f t="shared" ref="U87:AJ102" ca="1" si="36">SUM(IFERROR(IF(AND(U$5&gt;=$H87,U$5&lt;=$I87),1,0),0),IFERROR(IF(AND(U$5&gt;=$J87,U$5&lt;=$K87),1,0),0),IFERROR(IF(AND(U$5&gt;=$L87,U$5&lt;=$M87),1,0),0),IFERROR(IF(AND(U$5&gt;=$N87,U$5&lt;=$O87),1,0),0),IFERROR(IF(AND(U$5&gt;=$P87,U$5&lt;=$Q87),1,0),0))</f>
        <v>0</v>
      </c>
      <c r="V87" s="67">
        <f t="shared" ca="1" si="36"/>
        <v>0</v>
      </c>
      <c r="W87" s="67">
        <f t="shared" ca="1" si="36"/>
        <v>0</v>
      </c>
      <c r="X87" s="67">
        <f t="shared" ca="1" si="36"/>
        <v>0</v>
      </c>
      <c r="Y87" s="67">
        <f t="shared" ca="1" si="36"/>
        <v>0</v>
      </c>
      <c r="Z87" s="67">
        <f t="shared" ca="1" si="36"/>
        <v>0</v>
      </c>
      <c r="AA87" s="67">
        <f t="shared" ca="1" si="36"/>
        <v>0</v>
      </c>
      <c r="AB87" s="67">
        <f t="shared" ca="1" si="36"/>
        <v>0</v>
      </c>
      <c r="AC87" s="67">
        <f t="shared" ca="1" si="36"/>
        <v>0</v>
      </c>
      <c r="AD87" s="67">
        <f t="shared" ca="1" si="36"/>
        <v>0</v>
      </c>
      <c r="AE87" s="67">
        <f t="shared" ca="1" si="36"/>
        <v>0</v>
      </c>
      <c r="AF87" s="67">
        <f t="shared" ca="1" si="36"/>
        <v>0</v>
      </c>
      <c r="AG87" s="67">
        <f t="shared" ca="1" si="36"/>
        <v>0</v>
      </c>
      <c r="AH87" s="67">
        <f t="shared" ca="1" si="36"/>
        <v>0</v>
      </c>
      <c r="AI87" s="67">
        <f t="shared" ca="1" si="36"/>
        <v>0</v>
      </c>
      <c r="AJ87" s="67">
        <f t="shared" ca="1" si="36"/>
        <v>0</v>
      </c>
      <c r="AK87" s="67">
        <f t="shared" ca="1" si="34"/>
        <v>0</v>
      </c>
      <c r="AL87" s="67">
        <f t="shared" ca="1" si="34"/>
        <v>0</v>
      </c>
      <c r="AM87" s="67">
        <f t="shared" ca="1" si="34"/>
        <v>0</v>
      </c>
      <c r="AN87" s="67">
        <f t="shared" ca="1" si="34"/>
        <v>0</v>
      </c>
      <c r="AO87" s="67">
        <f t="shared" ca="1" si="34"/>
        <v>0</v>
      </c>
      <c r="AP87" s="67">
        <f t="shared" ca="1" si="34"/>
        <v>0</v>
      </c>
      <c r="AQ87" s="67">
        <f t="shared" ca="1" si="34"/>
        <v>0</v>
      </c>
      <c r="AR87" s="67">
        <f t="shared" ca="1" si="34"/>
        <v>0</v>
      </c>
      <c r="AS87" s="67">
        <f t="shared" ca="1" si="34"/>
        <v>0</v>
      </c>
      <c r="AT87" s="67">
        <f t="shared" ca="1" si="34"/>
        <v>0</v>
      </c>
      <c r="AU87" s="67">
        <f t="shared" ca="1" si="34"/>
        <v>0</v>
      </c>
      <c r="AV87" s="67">
        <f t="shared" ca="1" si="34"/>
        <v>0</v>
      </c>
      <c r="AW87" s="67">
        <f t="shared" ca="1" si="34"/>
        <v>0</v>
      </c>
      <c r="AX87" s="67">
        <f t="shared" ca="1" si="34"/>
        <v>0</v>
      </c>
      <c r="AY87" s="67">
        <f t="shared" ca="1" si="33"/>
        <v>0</v>
      </c>
      <c r="AZ87" s="67">
        <f t="shared" ca="1" si="33"/>
        <v>0</v>
      </c>
      <c r="BA87" s="67">
        <f t="shared" ca="1" si="33"/>
        <v>0</v>
      </c>
      <c r="BB87" s="67">
        <f t="shared" ca="1" si="33"/>
        <v>0</v>
      </c>
      <c r="BC87" s="67">
        <f t="shared" ca="1" si="33"/>
        <v>0</v>
      </c>
      <c r="BD87" s="67">
        <f t="shared" ca="1" si="33"/>
        <v>0</v>
      </c>
      <c r="BE87" s="67">
        <f t="shared" ca="1" si="33"/>
        <v>0</v>
      </c>
      <c r="BF87" s="67">
        <f t="shared" ca="1" si="33"/>
        <v>0</v>
      </c>
      <c r="BG87" s="67">
        <f t="shared" ca="1" si="33"/>
        <v>0</v>
      </c>
      <c r="BH87" s="67">
        <f t="shared" ca="1" si="33"/>
        <v>0</v>
      </c>
      <c r="BI87" s="67">
        <f t="shared" ca="1" si="33"/>
        <v>0</v>
      </c>
      <c r="BJ87" s="67">
        <f t="shared" ca="1" si="33"/>
        <v>0</v>
      </c>
      <c r="BK87" s="67">
        <f t="shared" ca="1" si="33"/>
        <v>0</v>
      </c>
      <c r="BL87" s="67">
        <f t="shared" ca="1" si="33"/>
        <v>0</v>
      </c>
      <c r="BM87" s="67">
        <f t="shared" ca="1" si="33"/>
        <v>0</v>
      </c>
      <c r="BN87" s="67">
        <f t="shared" ca="1" si="33"/>
        <v>0</v>
      </c>
      <c r="BO87" s="67">
        <f t="shared" ca="1" si="35"/>
        <v>0</v>
      </c>
      <c r="BP87" s="67">
        <f t="shared" ca="1" si="32"/>
        <v>0</v>
      </c>
      <c r="BQ87" s="67">
        <f t="shared" ca="1" si="27"/>
        <v>0</v>
      </c>
      <c r="BR87" s="67">
        <f t="shared" ca="1" si="27"/>
        <v>0</v>
      </c>
      <c r="BS87" s="67">
        <f t="shared" ca="1" si="27"/>
        <v>0</v>
      </c>
      <c r="BT87" s="67">
        <f t="shared" ca="1" si="27"/>
        <v>0</v>
      </c>
    </row>
    <row r="88" spans="2:72" x14ac:dyDescent="0.25">
      <c r="B88" s="87"/>
      <c r="G88" s="67" t="str">
        <f>ROW(A83)&amp;". "&amp;'Critical resources'!B94</f>
        <v xml:space="preserve">83. </v>
      </c>
      <c r="H88" s="67">
        <f ca="1">IFERROR(VLOOKUP('Critical resources'!D94,$B$6:$C$57,2,0),0)</f>
        <v>0</v>
      </c>
      <c r="I88" s="67">
        <f ca="1">IFERROR(VLOOKUP('Critical resources'!E94,$A$6:$C$57,3,0),0)</f>
        <v>0</v>
      </c>
      <c r="J88" s="67">
        <f ca="1">IFERROR(VLOOKUP('Critical resources'!G94,$B$6:$C$57,2,0),0)</f>
        <v>0</v>
      </c>
      <c r="K88" s="67">
        <f ca="1">IFERROR(VLOOKUP('Critical resources'!H94,$B$6:$C$57,2,0),0)</f>
        <v>0</v>
      </c>
      <c r="L88" s="67">
        <f ca="1">IFERROR(VLOOKUP('Critical resources'!J94,$B$6:$C$57,2,0),0)</f>
        <v>0</v>
      </c>
      <c r="M88" s="67">
        <f ca="1">IFERROR(VLOOKUP('Critical resources'!K94,$A$6:$C$57,3,0),0)</f>
        <v>0</v>
      </c>
      <c r="N88" s="67">
        <f ca="1">IFERROR(VLOOKUP('Critical resources'!M94,$B$6:$C$57,2,0),0)</f>
        <v>0</v>
      </c>
      <c r="O88" s="67">
        <f ca="1">IFERROR(VLOOKUP('Critical resources'!N94,$A$6:$C$57,3,0),0)</f>
        <v>0</v>
      </c>
      <c r="P88" s="67">
        <f ca="1">IFERROR(VLOOKUP('Critical resources'!P94,$B$6:$C$57,2,0),0)</f>
        <v>0</v>
      </c>
      <c r="Q88" s="67">
        <f ca="1">IFERROR(VLOOKUP('Critical resources'!Q94,$A$6:$C$57,3,0),0)</f>
        <v>0</v>
      </c>
      <c r="T88" s="67" t="str">
        <f t="shared" si="28"/>
        <v xml:space="preserve">83. </v>
      </c>
      <c r="U88" s="67">
        <f t="shared" ca="1" si="36"/>
        <v>0</v>
      </c>
      <c r="V88" s="67">
        <f t="shared" ca="1" si="36"/>
        <v>0</v>
      </c>
      <c r="W88" s="67">
        <f t="shared" ca="1" si="36"/>
        <v>0</v>
      </c>
      <c r="X88" s="67">
        <f t="shared" ca="1" si="36"/>
        <v>0</v>
      </c>
      <c r="Y88" s="67">
        <f t="shared" ca="1" si="36"/>
        <v>0</v>
      </c>
      <c r="Z88" s="67">
        <f t="shared" ca="1" si="36"/>
        <v>0</v>
      </c>
      <c r="AA88" s="67">
        <f t="shared" ca="1" si="36"/>
        <v>0</v>
      </c>
      <c r="AB88" s="67">
        <f t="shared" ca="1" si="36"/>
        <v>0</v>
      </c>
      <c r="AC88" s="67">
        <f t="shared" ca="1" si="36"/>
        <v>0</v>
      </c>
      <c r="AD88" s="67">
        <f t="shared" ca="1" si="36"/>
        <v>0</v>
      </c>
      <c r="AE88" s="67">
        <f t="shared" ca="1" si="36"/>
        <v>0</v>
      </c>
      <c r="AF88" s="67">
        <f t="shared" ca="1" si="36"/>
        <v>0</v>
      </c>
      <c r="AG88" s="67">
        <f t="shared" ca="1" si="36"/>
        <v>0</v>
      </c>
      <c r="AH88" s="67">
        <f t="shared" ca="1" si="36"/>
        <v>0</v>
      </c>
      <c r="AI88" s="67">
        <f t="shared" ca="1" si="36"/>
        <v>0</v>
      </c>
      <c r="AJ88" s="67">
        <f t="shared" ca="1" si="36"/>
        <v>0</v>
      </c>
      <c r="AK88" s="67">
        <f t="shared" ca="1" si="34"/>
        <v>0</v>
      </c>
      <c r="AL88" s="67">
        <f t="shared" ca="1" si="34"/>
        <v>0</v>
      </c>
      <c r="AM88" s="67">
        <f t="shared" ca="1" si="34"/>
        <v>0</v>
      </c>
      <c r="AN88" s="67">
        <f t="shared" ca="1" si="34"/>
        <v>0</v>
      </c>
      <c r="AO88" s="67">
        <f t="shared" ca="1" si="34"/>
        <v>0</v>
      </c>
      <c r="AP88" s="67">
        <f t="shared" ca="1" si="34"/>
        <v>0</v>
      </c>
      <c r="AQ88" s="67">
        <f t="shared" ca="1" si="34"/>
        <v>0</v>
      </c>
      <c r="AR88" s="67">
        <f t="shared" ca="1" si="34"/>
        <v>0</v>
      </c>
      <c r="AS88" s="67">
        <f t="shared" ca="1" si="34"/>
        <v>0</v>
      </c>
      <c r="AT88" s="67">
        <f t="shared" ca="1" si="34"/>
        <v>0</v>
      </c>
      <c r="AU88" s="67">
        <f t="shared" ca="1" si="34"/>
        <v>0</v>
      </c>
      <c r="AV88" s="67">
        <f t="shared" ca="1" si="34"/>
        <v>0</v>
      </c>
      <c r="AW88" s="67">
        <f t="shared" ca="1" si="34"/>
        <v>0</v>
      </c>
      <c r="AX88" s="67">
        <f t="shared" ca="1" si="34"/>
        <v>0</v>
      </c>
      <c r="AY88" s="67">
        <f t="shared" ca="1" si="33"/>
        <v>0</v>
      </c>
      <c r="AZ88" s="67">
        <f t="shared" ca="1" si="33"/>
        <v>0</v>
      </c>
      <c r="BA88" s="67">
        <f t="shared" ca="1" si="33"/>
        <v>0</v>
      </c>
      <c r="BB88" s="67">
        <f t="shared" ca="1" si="33"/>
        <v>0</v>
      </c>
      <c r="BC88" s="67">
        <f t="shared" ca="1" si="33"/>
        <v>0</v>
      </c>
      <c r="BD88" s="67">
        <f t="shared" ca="1" si="33"/>
        <v>0</v>
      </c>
      <c r="BE88" s="67">
        <f t="shared" ca="1" si="33"/>
        <v>0</v>
      </c>
      <c r="BF88" s="67">
        <f t="shared" ca="1" si="33"/>
        <v>0</v>
      </c>
      <c r="BG88" s="67">
        <f t="shared" ca="1" si="33"/>
        <v>0</v>
      </c>
      <c r="BH88" s="67">
        <f t="shared" ca="1" si="33"/>
        <v>0</v>
      </c>
      <c r="BI88" s="67">
        <f t="shared" ca="1" si="33"/>
        <v>0</v>
      </c>
      <c r="BJ88" s="67">
        <f t="shared" ca="1" si="33"/>
        <v>0</v>
      </c>
      <c r="BK88" s="67">
        <f t="shared" ca="1" si="33"/>
        <v>0</v>
      </c>
      <c r="BL88" s="67">
        <f t="shared" ca="1" si="33"/>
        <v>0</v>
      </c>
      <c r="BM88" s="67">
        <f t="shared" ca="1" si="33"/>
        <v>0</v>
      </c>
      <c r="BN88" s="67">
        <f t="shared" ca="1" si="33"/>
        <v>0</v>
      </c>
      <c r="BO88" s="67">
        <f t="shared" ca="1" si="35"/>
        <v>0</v>
      </c>
      <c r="BP88" s="67">
        <f t="shared" ca="1" si="32"/>
        <v>0</v>
      </c>
      <c r="BQ88" s="67">
        <f t="shared" ca="1" si="32"/>
        <v>0</v>
      </c>
      <c r="BR88" s="67">
        <f t="shared" ca="1" si="32"/>
        <v>0</v>
      </c>
      <c r="BS88" s="67">
        <f t="shared" ca="1" si="32"/>
        <v>0</v>
      </c>
      <c r="BT88" s="67">
        <f t="shared" ca="1" si="32"/>
        <v>0</v>
      </c>
    </row>
    <row r="89" spans="2:72" x14ac:dyDescent="0.25">
      <c r="B89" s="87"/>
      <c r="G89" s="67" t="str">
        <f>ROW(A84)&amp;". "&amp;'Critical resources'!B95</f>
        <v xml:space="preserve">84. </v>
      </c>
      <c r="H89" s="67">
        <f ca="1">IFERROR(VLOOKUP('Critical resources'!D95,$B$6:$C$57,2,0),0)</f>
        <v>0</v>
      </c>
      <c r="I89" s="67">
        <f ca="1">IFERROR(VLOOKUP('Critical resources'!E95,$A$6:$C$57,3,0),0)</f>
        <v>0</v>
      </c>
      <c r="J89" s="67">
        <f ca="1">IFERROR(VLOOKUP('Critical resources'!G95,$B$6:$C$57,2,0),0)</f>
        <v>0</v>
      </c>
      <c r="K89" s="67">
        <f ca="1">IFERROR(VLOOKUP('Critical resources'!H95,$B$6:$C$57,2,0),0)</f>
        <v>0</v>
      </c>
      <c r="L89" s="67">
        <f ca="1">IFERROR(VLOOKUP('Critical resources'!J95,$B$6:$C$57,2,0),0)</f>
        <v>0</v>
      </c>
      <c r="M89" s="67">
        <f ca="1">IFERROR(VLOOKUP('Critical resources'!K95,$A$6:$C$57,3,0),0)</f>
        <v>0</v>
      </c>
      <c r="N89" s="67">
        <f ca="1">IFERROR(VLOOKUP('Critical resources'!M95,$B$6:$C$57,2,0),0)</f>
        <v>0</v>
      </c>
      <c r="O89" s="67">
        <f ca="1">IFERROR(VLOOKUP('Critical resources'!N95,$A$6:$C$57,3,0),0)</f>
        <v>0</v>
      </c>
      <c r="P89" s="67">
        <f ca="1">IFERROR(VLOOKUP('Critical resources'!P95,$B$6:$C$57,2,0),0)</f>
        <v>0</v>
      </c>
      <c r="Q89" s="67">
        <f ca="1">IFERROR(VLOOKUP('Critical resources'!Q95,$A$6:$C$57,3,0),0)</f>
        <v>0</v>
      </c>
      <c r="T89" s="67" t="str">
        <f t="shared" si="28"/>
        <v xml:space="preserve">84. </v>
      </c>
      <c r="U89" s="67">
        <f t="shared" ca="1" si="36"/>
        <v>0</v>
      </c>
      <c r="V89" s="67">
        <f t="shared" ca="1" si="36"/>
        <v>0</v>
      </c>
      <c r="W89" s="67">
        <f t="shared" ca="1" si="36"/>
        <v>0</v>
      </c>
      <c r="X89" s="67">
        <f t="shared" ca="1" si="36"/>
        <v>0</v>
      </c>
      <c r="Y89" s="67">
        <f t="shared" ca="1" si="36"/>
        <v>0</v>
      </c>
      <c r="Z89" s="67">
        <f t="shared" ca="1" si="36"/>
        <v>0</v>
      </c>
      <c r="AA89" s="67">
        <f t="shared" ca="1" si="36"/>
        <v>0</v>
      </c>
      <c r="AB89" s="67">
        <f t="shared" ca="1" si="36"/>
        <v>0</v>
      </c>
      <c r="AC89" s="67">
        <f t="shared" ca="1" si="36"/>
        <v>0</v>
      </c>
      <c r="AD89" s="67">
        <f t="shared" ca="1" si="36"/>
        <v>0</v>
      </c>
      <c r="AE89" s="67">
        <f t="shared" ca="1" si="36"/>
        <v>0</v>
      </c>
      <c r="AF89" s="67">
        <f t="shared" ca="1" si="36"/>
        <v>0</v>
      </c>
      <c r="AG89" s="67">
        <f t="shared" ca="1" si="36"/>
        <v>0</v>
      </c>
      <c r="AH89" s="67">
        <f t="shared" ca="1" si="36"/>
        <v>0</v>
      </c>
      <c r="AI89" s="67">
        <f t="shared" ca="1" si="36"/>
        <v>0</v>
      </c>
      <c r="AJ89" s="67">
        <f t="shared" ca="1" si="36"/>
        <v>0</v>
      </c>
      <c r="AK89" s="67">
        <f t="shared" ca="1" si="34"/>
        <v>0</v>
      </c>
      <c r="AL89" s="67">
        <f t="shared" ca="1" si="34"/>
        <v>0</v>
      </c>
      <c r="AM89" s="67">
        <f t="shared" ca="1" si="34"/>
        <v>0</v>
      </c>
      <c r="AN89" s="67">
        <f t="shared" ca="1" si="34"/>
        <v>0</v>
      </c>
      <c r="AO89" s="67">
        <f t="shared" ca="1" si="34"/>
        <v>0</v>
      </c>
      <c r="AP89" s="67">
        <f t="shared" ca="1" si="34"/>
        <v>0</v>
      </c>
      <c r="AQ89" s="67">
        <f t="shared" ca="1" si="34"/>
        <v>0</v>
      </c>
      <c r="AR89" s="67">
        <f t="shared" ca="1" si="34"/>
        <v>0</v>
      </c>
      <c r="AS89" s="67">
        <f t="shared" ca="1" si="34"/>
        <v>0</v>
      </c>
      <c r="AT89" s="67">
        <f t="shared" ca="1" si="34"/>
        <v>0</v>
      </c>
      <c r="AU89" s="67">
        <f t="shared" ca="1" si="34"/>
        <v>0</v>
      </c>
      <c r="AV89" s="67">
        <f t="shared" ca="1" si="34"/>
        <v>0</v>
      </c>
      <c r="AW89" s="67">
        <f t="shared" ca="1" si="34"/>
        <v>0</v>
      </c>
      <c r="AX89" s="67">
        <f t="shared" ca="1" si="34"/>
        <v>0</v>
      </c>
      <c r="AY89" s="67">
        <f t="shared" ca="1" si="33"/>
        <v>0</v>
      </c>
      <c r="AZ89" s="67">
        <f t="shared" ca="1" si="33"/>
        <v>0</v>
      </c>
      <c r="BA89" s="67">
        <f t="shared" ca="1" si="33"/>
        <v>0</v>
      </c>
      <c r="BB89" s="67">
        <f t="shared" ca="1" si="33"/>
        <v>0</v>
      </c>
      <c r="BC89" s="67">
        <f t="shared" ca="1" si="33"/>
        <v>0</v>
      </c>
      <c r="BD89" s="67">
        <f t="shared" ca="1" si="33"/>
        <v>0</v>
      </c>
      <c r="BE89" s="67">
        <f t="shared" ca="1" si="33"/>
        <v>0</v>
      </c>
      <c r="BF89" s="67">
        <f t="shared" ca="1" si="33"/>
        <v>0</v>
      </c>
      <c r="BG89" s="67">
        <f t="shared" ca="1" si="33"/>
        <v>0</v>
      </c>
      <c r="BH89" s="67">
        <f t="shared" ca="1" si="33"/>
        <v>0</v>
      </c>
      <c r="BI89" s="67">
        <f t="shared" ca="1" si="33"/>
        <v>0</v>
      </c>
      <c r="BJ89" s="67">
        <f t="shared" ca="1" si="33"/>
        <v>0</v>
      </c>
      <c r="BK89" s="67">
        <f t="shared" ca="1" si="33"/>
        <v>0</v>
      </c>
      <c r="BL89" s="67">
        <f t="shared" ca="1" si="33"/>
        <v>0</v>
      </c>
      <c r="BM89" s="67">
        <f t="shared" ca="1" si="33"/>
        <v>0</v>
      </c>
      <c r="BN89" s="67">
        <f t="shared" ca="1" si="33"/>
        <v>0</v>
      </c>
      <c r="BO89" s="67">
        <f t="shared" ca="1" si="35"/>
        <v>0</v>
      </c>
      <c r="BP89" s="67">
        <f t="shared" ca="1" si="32"/>
        <v>0</v>
      </c>
      <c r="BQ89" s="67">
        <f t="shared" ca="1" si="32"/>
        <v>0</v>
      </c>
      <c r="BR89" s="67">
        <f t="shared" ca="1" si="32"/>
        <v>0</v>
      </c>
      <c r="BS89" s="67">
        <f t="shared" ca="1" si="32"/>
        <v>0</v>
      </c>
      <c r="BT89" s="67">
        <f t="shared" ca="1" si="32"/>
        <v>0</v>
      </c>
    </row>
    <row r="90" spans="2:72" x14ac:dyDescent="0.25">
      <c r="B90" s="87"/>
      <c r="G90" s="67" t="str">
        <f>ROW(A85)&amp;". "&amp;'Critical resources'!B96</f>
        <v xml:space="preserve">85. </v>
      </c>
      <c r="H90" s="67">
        <f ca="1">IFERROR(VLOOKUP('Critical resources'!D96,$B$6:$C$57,2,0),0)</f>
        <v>0</v>
      </c>
      <c r="I90" s="67">
        <f ca="1">IFERROR(VLOOKUP('Critical resources'!E96,$A$6:$C$57,3,0),0)</f>
        <v>0</v>
      </c>
      <c r="J90" s="67">
        <f ca="1">IFERROR(VLOOKUP('Critical resources'!G96,$B$6:$C$57,2,0),0)</f>
        <v>0</v>
      </c>
      <c r="K90" s="67">
        <f ca="1">IFERROR(VLOOKUP('Critical resources'!H96,$B$6:$C$57,2,0),0)</f>
        <v>0</v>
      </c>
      <c r="L90" s="67">
        <f ca="1">IFERROR(VLOOKUP('Critical resources'!J96,$B$6:$C$57,2,0),0)</f>
        <v>0</v>
      </c>
      <c r="M90" s="67">
        <f ca="1">IFERROR(VLOOKUP('Critical resources'!K96,$A$6:$C$57,3,0),0)</f>
        <v>0</v>
      </c>
      <c r="N90" s="67">
        <f ca="1">IFERROR(VLOOKUP('Critical resources'!M96,$B$6:$C$57,2,0),0)</f>
        <v>0</v>
      </c>
      <c r="O90" s="67">
        <f ca="1">IFERROR(VLOOKUP('Critical resources'!N96,$A$6:$C$57,3,0),0)</f>
        <v>0</v>
      </c>
      <c r="P90" s="67">
        <f ca="1">IFERROR(VLOOKUP('Critical resources'!P96,$B$6:$C$57,2,0),0)</f>
        <v>0</v>
      </c>
      <c r="Q90" s="67">
        <f ca="1">IFERROR(VLOOKUP('Critical resources'!Q96,$A$6:$C$57,3,0),0)</f>
        <v>0</v>
      </c>
      <c r="T90" s="67" t="str">
        <f t="shared" si="28"/>
        <v xml:space="preserve">85. </v>
      </c>
      <c r="U90" s="67">
        <f t="shared" ca="1" si="36"/>
        <v>0</v>
      </c>
      <c r="V90" s="67">
        <f t="shared" ca="1" si="36"/>
        <v>0</v>
      </c>
      <c r="W90" s="67">
        <f t="shared" ca="1" si="36"/>
        <v>0</v>
      </c>
      <c r="X90" s="67">
        <f t="shared" ca="1" si="36"/>
        <v>0</v>
      </c>
      <c r="Y90" s="67">
        <f t="shared" ca="1" si="36"/>
        <v>0</v>
      </c>
      <c r="Z90" s="67">
        <f t="shared" ca="1" si="36"/>
        <v>0</v>
      </c>
      <c r="AA90" s="67">
        <f t="shared" ca="1" si="36"/>
        <v>0</v>
      </c>
      <c r="AB90" s="67">
        <f t="shared" ca="1" si="36"/>
        <v>0</v>
      </c>
      <c r="AC90" s="67">
        <f t="shared" ca="1" si="36"/>
        <v>0</v>
      </c>
      <c r="AD90" s="67">
        <f t="shared" ca="1" si="36"/>
        <v>0</v>
      </c>
      <c r="AE90" s="67">
        <f t="shared" ca="1" si="36"/>
        <v>0</v>
      </c>
      <c r="AF90" s="67">
        <f t="shared" ca="1" si="36"/>
        <v>0</v>
      </c>
      <c r="AG90" s="67">
        <f t="shared" ca="1" si="36"/>
        <v>0</v>
      </c>
      <c r="AH90" s="67">
        <f t="shared" ca="1" si="36"/>
        <v>0</v>
      </c>
      <c r="AI90" s="67">
        <f t="shared" ca="1" si="36"/>
        <v>0</v>
      </c>
      <c r="AJ90" s="67">
        <f t="shared" ca="1" si="36"/>
        <v>0</v>
      </c>
      <c r="AK90" s="67">
        <f t="shared" ca="1" si="34"/>
        <v>0</v>
      </c>
      <c r="AL90" s="67">
        <f t="shared" ca="1" si="34"/>
        <v>0</v>
      </c>
      <c r="AM90" s="67">
        <f t="shared" ca="1" si="34"/>
        <v>0</v>
      </c>
      <c r="AN90" s="67">
        <f t="shared" ca="1" si="34"/>
        <v>0</v>
      </c>
      <c r="AO90" s="67">
        <f t="shared" ca="1" si="34"/>
        <v>0</v>
      </c>
      <c r="AP90" s="67">
        <f t="shared" ca="1" si="34"/>
        <v>0</v>
      </c>
      <c r="AQ90" s="67">
        <f t="shared" ca="1" si="34"/>
        <v>0</v>
      </c>
      <c r="AR90" s="67">
        <f t="shared" ca="1" si="34"/>
        <v>0</v>
      </c>
      <c r="AS90" s="67">
        <f t="shared" ca="1" si="34"/>
        <v>0</v>
      </c>
      <c r="AT90" s="67">
        <f t="shared" ca="1" si="34"/>
        <v>0</v>
      </c>
      <c r="AU90" s="67">
        <f t="shared" ca="1" si="34"/>
        <v>0</v>
      </c>
      <c r="AV90" s="67">
        <f t="shared" ca="1" si="34"/>
        <v>0</v>
      </c>
      <c r="AW90" s="67">
        <f t="shared" ca="1" si="34"/>
        <v>0</v>
      </c>
      <c r="AX90" s="67">
        <f t="shared" ca="1" si="34"/>
        <v>0</v>
      </c>
      <c r="AY90" s="67">
        <f t="shared" ca="1" si="33"/>
        <v>0</v>
      </c>
      <c r="AZ90" s="67">
        <f t="shared" ca="1" si="33"/>
        <v>0</v>
      </c>
      <c r="BA90" s="67">
        <f t="shared" ca="1" si="33"/>
        <v>0</v>
      </c>
      <c r="BB90" s="67">
        <f t="shared" ca="1" si="33"/>
        <v>0</v>
      </c>
      <c r="BC90" s="67">
        <f t="shared" ca="1" si="33"/>
        <v>0</v>
      </c>
      <c r="BD90" s="67">
        <f t="shared" ca="1" si="33"/>
        <v>0</v>
      </c>
      <c r="BE90" s="67">
        <f t="shared" ca="1" si="33"/>
        <v>0</v>
      </c>
      <c r="BF90" s="67">
        <f t="shared" ca="1" si="33"/>
        <v>0</v>
      </c>
      <c r="BG90" s="67">
        <f t="shared" ca="1" si="33"/>
        <v>0</v>
      </c>
      <c r="BH90" s="67">
        <f t="shared" ca="1" si="33"/>
        <v>0</v>
      </c>
      <c r="BI90" s="67">
        <f t="shared" ca="1" si="33"/>
        <v>0</v>
      </c>
      <c r="BJ90" s="67">
        <f t="shared" ca="1" si="33"/>
        <v>0</v>
      </c>
      <c r="BK90" s="67">
        <f t="shared" ca="1" si="33"/>
        <v>0</v>
      </c>
      <c r="BL90" s="67">
        <f t="shared" ca="1" si="33"/>
        <v>0</v>
      </c>
      <c r="BM90" s="67">
        <f t="shared" ca="1" si="33"/>
        <v>0</v>
      </c>
      <c r="BN90" s="67">
        <f t="shared" ca="1" si="33"/>
        <v>0</v>
      </c>
      <c r="BO90" s="67">
        <f t="shared" ca="1" si="35"/>
        <v>0</v>
      </c>
      <c r="BP90" s="67">
        <f t="shared" ca="1" si="32"/>
        <v>0</v>
      </c>
      <c r="BQ90" s="67">
        <f t="shared" ca="1" si="32"/>
        <v>0</v>
      </c>
      <c r="BR90" s="67">
        <f t="shared" ca="1" si="32"/>
        <v>0</v>
      </c>
      <c r="BS90" s="67">
        <f t="shared" ca="1" si="32"/>
        <v>0</v>
      </c>
      <c r="BT90" s="67">
        <f t="shared" ca="1" si="32"/>
        <v>0</v>
      </c>
    </row>
    <row r="91" spans="2:72" x14ac:dyDescent="0.25">
      <c r="B91" s="87"/>
      <c r="G91" s="67" t="str">
        <f>ROW(A86)&amp;". "&amp;'Critical resources'!B97</f>
        <v xml:space="preserve">86. </v>
      </c>
      <c r="H91" s="67">
        <f ca="1">IFERROR(VLOOKUP('Critical resources'!D97,$B$6:$C$57,2,0),0)</f>
        <v>0</v>
      </c>
      <c r="I91" s="67">
        <f ca="1">IFERROR(VLOOKUP('Critical resources'!E97,$A$6:$C$57,3,0),0)</f>
        <v>0</v>
      </c>
      <c r="J91" s="67">
        <f ca="1">IFERROR(VLOOKUP('Critical resources'!G97,$B$6:$C$57,2,0),0)</f>
        <v>0</v>
      </c>
      <c r="K91" s="67">
        <f ca="1">IFERROR(VLOOKUP('Critical resources'!H97,$B$6:$C$57,2,0),0)</f>
        <v>0</v>
      </c>
      <c r="L91" s="67">
        <f ca="1">IFERROR(VLOOKUP('Critical resources'!J97,$B$6:$C$57,2,0),0)</f>
        <v>0</v>
      </c>
      <c r="M91" s="67">
        <f ca="1">IFERROR(VLOOKUP('Critical resources'!K97,$A$6:$C$57,3,0),0)</f>
        <v>0</v>
      </c>
      <c r="N91" s="67">
        <f ca="1">IFERROR(VLOOKUP('Critical resources'!M97,$B$6:$C$57,2,0),0)</f>
        <v>0</v>
      </c>
      <c r="O91" s="67">
        <f ca="1">IFERROR(VLOOKUP('Critical resources'!N97,$A$6:$C$57,3,0),0)</f>
        <v>0</v>
      </c>
      <c r="P91" s="67">
        <f ca="1">IFERROR(VLOOKUP('Critical resources'!P97,$B$6:$C$57,2,0),0)</f>
        <v>0</v>
      </c>
      <c r="Q91" s="67">
        <f ca="1">IFERROR(VLOOKUP('Critical resources'!Q97,$A$6:$C$57,3,0),0)</f>
        <v>0</v>
      </c>
      <c r="T91" s="67" t="str">
        <f t="shared" si="28"/>
        <v xml:space="preserve">86. </v>
      </c>
      <c r="U91" s="67">
        <f t="shared" ca="1" si="36"/>
        <v>0</v>
      </c>
      <c r="V91" s="67">
        <f t="shared" ca="1" si="36"/>
        <v>0</v>
      </c>
      <c r="W91" s="67">
        <f t="shared" ca="1" si="36"/>
        <v>0</v>
      </c>
      <c r="X91" s="67">
        <f t="shared" ca="1" si="36"/>
        <v>0</v>
      </c>
      <c r="Y91" s="67">
        <f t="shared" ca="1" si="36"/>
        <v>0</v>
      </c>
      <c r="Z91" s="67">
        <f t="shared" ca="1" si="36"/>
        <v>0</v>
      </c>
      <c r="AA91" s="67">
        <f t="shared" ca="1" si="36"/>
        <v>0</v>
      </c>
      <c r="AB91" s="67">
        <f t="shared" ca="1" si="36"/>
        <v>0</v>
      </c>
      <c r="AC91" s="67">
        <f t="shared" ca="1" si="36"/>
        <v>0</v>
      </c>
      <c r="AD91" s="67">
        <f t="shared" ca="1" si="36"/>
        <v>0</v>
      </c>
      <c r="AE91" s="67">
        <f t="shared" ca="1" si="36"/>
        <v>0</v>
      </c>
      <c r="AF91" s="67">
        <f t="shared" ca="1" si="36"/>
        <v>0</v>
      </c>
      <c r="AG91" s="67">
        <f t="shared" ca="1" si="36"/>
        <v>0</v>
      </c>
      <c r="AH91" s="67">
        <f t="shared" ca="1" si="36"/>
        <v>0</v>
      </c>
      <c r="AI91" s="67">
        <f t="shared" ca="1" si="36"/>
        <v>0</v>
      </c>
      <c r="AJ91" s="67">
        <f t="shared" ca="1" si="36"/>
        <v>0</v>
      </c>
      <c r="AK91" s="67">
        <f t="shared" ca="1" si="34"/>
        <v>0</v>
      </c>
      <c r="AL91" s="67">
        <f t="shared" ca="1" si="34"/>
        <v>0</v>
      </c>
      <c r="AM91" s="67">
        <f t="shared" ca="1" si="34"/>
        <v>0</v>
      </c>
      <c r="AN91" s="67">
        <f t="shared" ca="1" si="34"/>
        <v>0</v>
      </c>
      <c r="AO91" s="67">
        <f t="shared" ca="1" si="34"/>
        <v>0</v>
      </c>
      <c r="AP91" s="67">
        <f t="shared" ca="1" si="34"/>
        <v>0</v>
      </c>
      <c r="AQ91" s="67">
        <f t="shared" ca="1" si="34"/>
        <v>0</v>
      </c>
      <c r="AR91" s="67">
        <f t="shared" ca="1" si="34"/>
        <v>0</v>
      </c>
      <c r="AS91" s="67">
        <f t="shared" ca="1" si="34"/>
        <v>0</v>
      </c>
      <c r="AT91" s="67">
        <f t="shared" ca="1" si="34"/>
        <v>0</v>
      </c>
      <c r="AU91" s="67">
        <f t="shared" ca="1" si="34"/>
        <v>0</v>
      </c>
      <c r="AV91" s="67">
        <f t="shared" ca="1" si="34"/>
        <v>0</v>
      </c>
      <c r="AW91" s="67">
        <f t="shared" ca="1" si="34"/>
        <v>0</v>
      </c>
      <c r="AX91" s="67">
        <f t="shared" ca="1" si="34"/>
        <v>0</v>
      </c>
      <c r="AY91" s="67">
        <f t="shared" ca="1" si="33"/>
        <v>0</v>
      </c>
      <c r="AZ91" s="67">
        <f t="shared" ca="1" si="33"/>
        <v>0</v>
      </c>
      <c r="BA91" s="67">
        <f t="shared" ca="1" si="33"/>
        <v>0</v>
      </c>
      <c r="BB91" s="67">
        <f t="shared" ca="1" si="33"/>
        <v>0</v>
      </c>
      <c r="BC91" s="67">
        <f t="shared" ca="1" si="33"/>
        <v>0</v>
      </c>
      <c r="BD91" s="67">
        <f t="shared" ca="1" si="33"/>
        <v>0</v>
      </c>
      <c r="BE91" s="67">
        <f t="shared" ca="1" si="33"/>
        <v>0</v>
      </c>
      <c r="BF91" s="67">
        <f t="shared" ca="1" si="33"/>
        <v>0</v>
      </c>
      <c r="BG91" s="67">
        <f t="shared" ca="1" si="33"/>
        <v>0</v>
      </c>
      <c r="BH91" s="67">
        <f t="shared" ca="1" si="33"/>
        <v>0</v>
      </c>
      <c r="BI91" s="67">
        <f t="shared" ca="1" si="33"/>
        <v>0</v>
      </c>
      <c r="BJ91" s="67">
        <f t="shared" ca="1" si="33"/>
        <v>0</v>
      </c>
      <c r="BK91" s="67">
        <f t="shared" ca="1" si="33"/>
        <v>0</v>
      </c>
      <c r="BL91" s="67">
        <f t="shared" ca="1" si="33"/>
        <v>0</v>
      </c>
      <c r="BM91" s="67">
        <f t="shared" ca="1" si="33"/>
        <v>0</v>
      </c>
      <c r="BN91" s="67">
        <f t="shared" ca="1" si="33"/>
        <v>0</v>
      </c>
      <c r="BO91" s="67">
        <f t="shared" ca="1" si="35"/>
        <v>0</v>
      </c>
      <c r="BP91" s="67">
        <f t="shared" ca="1" si="32"/>
        <v>0</v>
      </c>
      <c r="BQ91" s="67">
        <f t="shared" ca="1" si="32"/>
        <v>0</v>
      </c>
      <c r="BR91" s="67">
        <f t="shared" ca="1" si="32"/>
        <v>0</v>
      </c>
      <c r="BS91" s="67">
        <f t="shared" ca="1" si="32"/>
        <v>0</v>
      </c>
      <c r="BT91" s="67">
        <f t="shared" ca="1" si="32"/>
        <v>0</v>
      </c>
    </row>
    <row r="92" spans="2:72" x14ac:dyDescent="0.25">
      <c r="B92" s="87"/>
      <c r="G92" s="67" t="str">
        <f>ROW(A87)&amp;". "&amp;'Critical resources'!B98</f>
        <v xml:space="preserve">87. </v>
      </c>
      <c r="H92" s="67">
        <f ca="1">IFERROR(VLOOKUP('Critical resources'!D98,$B$6:$C$57,2,0),0)</f>
        <v>0</v>
      </c>
      <c r="I92" s="67">
        <f ca="1">IFERROR(VLOOKUP('Critical resources'!E98,$A$6:$C$57,3,0),0)</f>
        <v>0</v>
      </c>
      <c r="J92" s="67">
        <f ca="1">IFERROR(VLOOKUP('Critical resources'!G98,$B$6:$C$57,2,0),0)</f>
        <v>0</v>
      </c>
      <c r="K92" s="67">
        <f ca="1">IFERROR(VLOOKUP('Critical resources'!H98,$B$6:$C$57,2,0),0)</f>
        <v>0</v>
      </c>
      <c r="L92" s="67">
        <f ca="1">IFERROR(VLOOKUP('Critical resources'!J98,$B$6:$C$57,2,0),0)</f>
        <v>0</v>
      </c>
      <c r="M92" s="67">
        <f ca="1">IFERROR(VLOOKUP('Critical resources'!K98,$A$6:$C$57,3,0),0)</f>
        <v>0</v>
      </c>
      <c r="N92" s="67">
        <f ca="1">IFERROR(VLOOKUP('Critical resources'!M98,$B$6:$C$57,2,0),0)</f>
        <v>0</v>
      </c>
      <c r="O92" s="67">
        <f ca="1">IFERROR(VLOOKUP('Critical resources'!N98,$A$6:$C$57,3,0),0)</f>
        <v>0</v>
      </c>
      <c r="P92" s="67">
        <f ca="1">IFERROR(VLOOKUP('Critical resources'!P98,$B$6:$C$57,2,0),0)</f>
        <v>0</v>
      </c>
      <c r="Q92" s="67">
        <f ca="1">IFERROR(VLOOKUP('Critical resources'!Q98,$A$6:$C$57,3,0),0)</f>
        <v>0</v>
      </c>
      <c r="T92" s="67" t="str">
        <f t="shared" si="28"/>
        <v xml:space="preserve">87. </v>
      </c>
      <c r="U92" s="67">
        <f t="shared" ca="1" si="36"/>
        <v>0</v>
      </c>
      <c r="V92" s="67">
        <f t="shared" ca="1" si="36"/>
        <v>0</v>
      </c>
      <c r="W92" s="67">
        <f t="shared" ca="1" si="36"/>
        <v>0</v>
      </c>
      <c r="X92" s="67">
        <f t="shared" ca="1" si="36"/>
        <v>0</v>
      </c>
      <c r="Y92" s="67">
        <f t="shared" ca="1" si="36"/>
        <v>0</v>
      </c>
      <c r="Z92" s="67">
        <f t="shared" ca="1" si="36"/>
        <v>0</v>
      </c>
      <c r="AA92" s="67">
        <f t="shared" ca="1" si="36"/>
        <v>0</v>
      </c>
      <c r="AB92" s="67">
        <f t="shared" ca="1" si="36"/>
        <v>0</v>
      </c>
      <c r="AC92" s="67">
        <f t="shared" ca="1" si="36"/>
        <v>0</v>
      </c>
      <c r="AD92" s="67">
        <f t="shared" ca="1" si="36"/>
        <v>0</v>
      </c>
      <c r="AE92" s="67">
        <f t="shared" ca="1" si="36"/>
        <v>0</v>
      </c>
      <c r="AF92" s="67">
        <f t="shared" ca="1" si="36"/>
        <v>0</v>
      </c>
      <c r="AG92" s="67">
        <f t="shared" ca="1" si="36"/>
        <v>0</v>
      </c>
      <c r="AH92" s="67">
        <f t="shared" ca="1" si="36"/>
        <v>0</v>
      </c>
      <c r="AI92" s="67">
        <f t="shared" ca="1" si="36"/>
        <v>0</v>
      </c>
      <c r="AJ92" s="67">
        <f t="shared" ca="1" si="36"/>
        <v>0</v>
      </c>
      <c r="AK92" s="67">
        <f t="shared" ca="1" si="34"/>
        <v>0</v>
      </c>
      <c r="AL92" s="67">
        <f t="shared" ca="1" si="34"/>
        <v>0</v>
      </c>
      <c r="AM92" s="67">
        <f t="shared" ca="1" si="34"/>
        <v>0</v>
      </c>
      <c r="AN92" s="67">
        <f t="shared" ca="1" si="34"/>
        <v>0</v>
      </c>
      <c r="AO92" s="67">
        <f t="shared" ca="1" si="34"/>
        <v>0</v>
      </c>
      <c r="AP92" s="67">
        <f t="shared" ca="1" si="34"/>
        <v>0</v>
      </c>
      <c r="AQ92" s="67">
        <f t="shared" ca="1" si="34"/>
        <v>0</v>
      </c>
      <c r="AR92" s="67">
        <f t="shared" ca="1" si="34"/>
        <v>0</v>
      </c>
      <c r="AS92" s="67">
        <f t="shared" ca="1" si="34"/>
        <v>0</v>
      </c>
      <c r="AT92" s="67">
        <f t="shared" ca="1" si="34"/>
        <v>0</v>
      </c>
      <c r="AU92" s="67">
        <f t="shared" ca="1" si="34"/>
        <v>0</v>
      </c>
      <c r="AV92" s="67">
        <f t="shared" ca="1" si="34"/>
        <v>0</v>
      </c>
      <c r="AW92" s="67">
        <f t="shared" ca="1" si="34"/>
        <v>0</v>
      </c>
      <c r="AX92" s="67">
        <f t="shared" ca="1" si="34"/>
        <v>0</v>
      </c>
      <c r="AY92" s="67">
        <f t="shared" ca="1" si="33"/>
        <v>0</v>
      </c>
      <c r="AZ92" s="67">
        <f t="shared" ca="1" si="33"/>
        <v>0</v>
      </c>
      <c r="BA92" s="67">
        <f t="shared" ca="1" si="33"/>
        <v>0</v>
      </c>
      <c r="BB92" s="67">
        <f t="shared" ca="1" si="33"/>
        <v>0</v>
      </c>
      <c r="BC92" s="67">
        <f t="shared" ca="1" si="33"/>
        <v>0</v>
      </c>
      <c r="BD92" s="67">
        <f t="shared" ca="1" si="33"/>
        <v>0</v>
      </c>
      <c r="BE92" s="67">
        <f t="shared" ca="1" si="33"/>
        <v>0</v>
      </c>
      <c r="BF92" s="67">
        <f t="shared" ca="1" si="33"/>
        <v>0</v>
      </c>
      <c r="BG92" s="67">
        <f t="shared" ca="1" si="33"/>
        <v>0</v>
      </c>
      <c r="BH92" s="67">
        <f t="shared" ca="1" si="33"/>
        <v>0</v>
      </c>
      <c r="BI92" s="67">
        <f t="shared" ca="1" si="33"/>
        <v>0</v>
      </c>
      <c r="BJ92" s="67">
        <f t="shared" ca="1" si="33"/>
        <v>0</v>
      </c>
      <c r="BK92" s="67">
        <f t="shared" ca="1" si="33"/>
        <v>0</v>
      </c>
      <c r="BL92" s="67">
        <f t="shared" ca="1" si="33"/>
        <v>0</v>
      </c>
      <c r="BM92" s="67">
        <f t="shared" ca="1" si="33"/>
        <v>0</v>
      </c>
      <c r="BN92" s="67">
        <f t="shared" ca="1" si="33"/>
        <v>0</v>
      </c>
      <c r="BO92" s="67">
        <f t="shared" ca="1" si="35"/>
        <v>0</v>
      </c>
      <c r="BP92" s="67">
        <f t="shared" ca="1" si="32"/>
        <v>0</v>
      </c>
      <c r="BQ92" s="67">
        <f t="shared" ca="1" si="32"/>
        <v>0</v>
      </c>
      <c r="BR92" s="67">
        <f t="shared" ca="1" si="32"/>
        <v>0</v>
      </c>
      <c r="BS92" s="67">
        <f t="shared" ca="1" si="32"/>
        <v>0</v>
      </c>
      <c r="BT92" s="67">
        <f t="shared" ca="1" si="32"/>
        <v>0</v>
      </c>
    </row>
    <row r="93" spans="2:72" x14ac:dyDescent="0.25">
      <c r="B93" s="87"/>
      <c r="G93" s="67" t="str">
        <f>ROW(A88)&amp;". "&amp;'Critical resources'!B99</f>
        <v xml:space="preserve">88. </v>
      </c>
      <c r="H93" s="67">
        <f ca="1">IFERROR(VLOOKUP('Critical resources'!D99,$B$6:$C$57,2,0),0)</f>
        <v>0</v>
      </c>
      <c r="I93" s="67">
        <f ca="1">IFERROR(VLOOKUP('Critical resources'!E99,$A$6:$C$57,3,0),0)</f>
        <v>0</v>
      </c>
      <c r="J93" s="67">
        <f ca="1">IFERROR(VLOOKUP('Critical resources'!G99,$B$6:$C$57,2,0),0)</f>
        <v>0</v>
      </c>
      <c r="K93" s="67">
        <f ca="1">IFERROR(VLOOKUP('Critical resources'!H99,$B$6:$C$57,2,0),0)</f>
        <v>0</v>
      </c>
      <c r="L93" s="67">
        <f ca="1">IFERROR(VLOOKUP('Critical resources'!J99,$B$6:$C$57,2,0),0)</f>
        <v>0</v>
      </c>
      <c r="M93" s="67">
        <f ca="1">IFERROR(VLOOKUP('Critical resources'!K99,$A$6:$C$57,3,0),0)</f>
        <v>0</v>
      </c>
      <c r="N93" s="67">
        <f ca="1">IFERROR(VLOOKUP('Critical resources'!M99,$B$6:$C$57,2,0),0)</f>
        <v>0</v>
      </c>
      <c r="O93" s="67">
        <f ca="1">IFERROR(VLOOKUP('Critical resources'!N99,$A$6:$C$57,3,0),0)</f>
        <v>0</v>
      </c>
      <c r="P93" s="67">
        <f ca="1">IFERROR(VLOOKUP('Critical resources'!P99,$B$6:$C$57,2,0),0)</f>
        <v>0</v>
      </c>
      <c r="Q93" s="67">
        <f ca="1">IFERROR(VLOOKUP('Critical resources'!Q99,$A$6:$C$57,3,0),0)</f>
        <v>0</v>
      </c>
      <c r="T93" s="67" t="str">
        <f t="shared" si="28"/>
        <v xml:space="preserve">88. </v>
      </c>
      <c r="U93" s="67">
        <f t="shared" ca="1" si="36"/>
        <v>0</v>
      </c>
      <c r="V93" s="67">
        <f t="shared" ca="1" si="36"/>
        <v>0</v>
      </c>
      <c r="W93" s="67">
        <f t="shared" ca="1" si="36"/>
        <v>0</v>
      </c>
      <c r="X93" s="67">
        <f t="shared" ca="1" si="36"/>
        <v>0</v>
      </c>
      <c r="Y93" s="67">
        <f t="shared" ca="1" si="36"/>
        <v>0</v>
      </c>
      <c r="Z93" s="67">
        <f t="shared" ca="1" si="36"/>
        <v>0</v>
      </c>
      <c r="AA93" s="67">
        <f t="shared" ca="1" si="36"/>
        <v>0</v>
      </c>
      <c r="AB93" s="67">
        <f t="shared" ca="1" si="36"/>
        <v>0</v>
      </c>
      <c r="AC93" s="67">
        <f t="shared" ca="1" si="36"/>
        <v>0</v>
      </c>
      <c r="AD93" s="67">
        <f t="shared" ca="1" si="36"/>
        <v>0</v>
      </c>
      <c r="AE93" s="67">
        <f t="shared" ca="1" si="36"/>
        <v>0</v>
      </c>
      <c r="AF93" s="67">
        <f t="shared" ca="1" si="36"/>
        <v>0</v>
      </c>
      <c r="AG93" s="67">
        <f t="shared" ca="1" si="36"/>
        <v>0</v>
      </c>
      <c r="AH93" s="67">
        <f t="shared" ca="1" si="36"/>
        <v>0</v>
      </c>
      <c r="AI93" s="67">
        <f t="shared" ca="1" si="36"/>
        <v>0</v>
      </c>
      <c r="AJ93" s="67">
        <f t="shared" ca="1" si="36"/>
        <v>0</v>
      </c>
      <c r="AK93" s="67">
        <f t="shared" ca="1" si="34"/>
        <v>0</v>
      </c>
      <c r="AL93" s="67">
        <f t="shared" ca="1" si="34"/>
        <v>0</v>
      </c>
      <c r="AM93" s="67">
        <f t="shared" ca="1" si="34"/>
        <v>0</v>
      </c>
      <c r="AN93" s="67">
        <f t="shared" ca="1" si="34"/>
        <v>0</v>
      </c>
      <c r="AO93" s="67">
        <f t="shared" ca="1" si="34"/>
        <v>0</v>
      </c>
      <c r="AP93" s="67">
        <f t="shared" ca="1" si="34"/>
        <v>0</v>
      </c>
      <c r="AQ93" s="67">
        <f t="shared" ca="1" si="34"/>
        <v>0</v>
      </c>
      <c r="AR93" s="67">
        <f t="shared" ca="1" si="34"/>
        <v>0</v>
      </c>
      <c r="AS93" s="67">
        <f t="shared" ca="1" si="34"/>
        <v>0</v>
      </c>
      <c r="AT93" s="67">
        <f t="shared" ca="1" si="34"/>
        <v>0</v>
      </c>
      <c r="AU93" s="67">
        <f t="shared" ca="1" si="34"/>
        <v>0</v>
      </c>
      <c r="AV93" s="67">
        <f t="shared" ca="1" si="34"/>
        <v>0</v>
      </c>
      <c r="AW93" s="67">
        <f t="shared" ca="1" si="34"/>
        <v>0</v>
      </c>
      <c r="AX93" s="67">
        <f t="shared" ca="1" si="34"/>
        <v>0</v>
      </c>
      <c r="AY93" s="67">
        <f t="shared" ca="1" si="33"/>
        <v>0</v>
      </c>
      <c r="AZ93" s="67">
        <f t="shared" ca="1" si="33"/>
        <v>0</v>
      </c>
      <c r="BA93" s="67">
        <f t="shared" ca="1" si="33"/>
        <v>0</v>
      </c>
      <c r="BB93" s="67">
        <f t="shared" ca="1" si="33"/>
        <v>0</v>
      </c>
      <c r="BC93" s="67">
        <f t="shared" ca="1" si="33"/>
        <v>0</v>
      </c>
      <c r="BD93" s="67">
        <f t="shared" ca="1" si="33"/>
        <v>0</v>
      </c>
      <c r="BE93" s="67">
        <f t="shared" ca="1" si="33"/>
        <v>0</v>
      </c>
      <c r="BF93" s="67">
        <f t="shared" ca="1" si="33"/>
        <v>0</v>
      </c>
      <c r="BG93" s="67">
        <f t="shared" ca="1" si="33"/>
        <v>0</v>
      </c>
      <c r="BH93" s="67">
        <f t="shared" ca="1" si="33"/>
        <v>0</v>
      </c>
      <c r="BI93" s="67">
        <f t="shared" ca="1" si="33"/>
        <v>0</v>
      </c>
      <c r="BJ93" s="67">
        <f t="shared" ca="1" si="33"/>
        <v>0</v>
      </c>
      <c r="BK93" s="67">
        <f t="shared" ca="1" si="33"/>
        <v>0</v>
      </c>
      <c r="BL93" s="67">
        <f t="shared" ca="1" si="33"/>
        <v>0</v>
      </c>
      <c r="BM93" s="67">
        <f t="shared" ca="1" si="33"/>
        <v>0</v>
      </c>
      <c r="BN93" s="67">
        <f t="shared" ca="1" si="33"/>
        <v>0</v>
      </c>
      <c r="BO93" s="67">
        <f t="shared" ca="1" si="35"/>
        <v>0</v>
      </c>
      <c r="BP93" s="67">
        <f t="shared" ca="1" si="32"/>
        <v>0</v>
      </c>
      <c r="BQ93" s="67">
        <f t="shared" ca="1" si="32"/>
        <v>0</v>
      </c>
      <c r="BR93" s="67">
        <f t="shared" ca="1" si="32"/>
        <v>0</v>
      </c>
      <c r="BS93" s="67">
        <f t="shared" ca="1" si="32"/>
        <v>0</v>
      </c>
      <c r="BT93" s="67">
        <f t="shared" ca="1" si="32"/>
        <v>0</v>
      </c>
    </row>
    <row r="94" spans="2:72" x14ac:dyDescent="0.25">
      <c r="B94" s="87"/>
      <c r="G94" s="67" t="str">
        <f>ROW(A89)&amp;". "&amp;'Critical resources'!B100</f>
        <v xml:space="preserve">89. </v>
      </c>
      <c r="H94" s="67">
        <f ca="1">IFERROR(VLOOKUP('Critical resources'!D100,$B$6:$C$57,2,0),0)</f>
        <v>0</v>
      </c>
      <c r="I94" s="67">
        <f ca="1">IFERROR(VLOOKUP('Critical resources'!E100,$A$6:$C$57,3,0),0)</f>
        <v>0</v>
      </c>
      <c r="J94" s="67">
        <f ca="1">IFERROR(VLOOKUP('Critical resources'!G100,$B$6:$C$57,2,0),0)</f>
        <v>0</v>
      </c>
      <c r="K94" s="67">
        <f ca="1">IFERROR(VLOOKUP('Critical resources'!H100,$B$6:$C$57,2,0),0)</f>
        <v>0</v>
      </c>
      <c r="L94" s="67">
        <f ca="1">IFERROR(VLOOKUP('Critical resources'!J100,$B$6:$C$57,2,0),0)</f>
        <v>0</v>
      </c>
      <c r="M94" s="67">
        <f ca="1">IFERROR(VLOOKUP('Critical resources'!K100,$A$6:$C$57,3,0),0)</f>
        <v>0</v>
      </c>
      <c r="N94" s="67">
        <f ca="1">IFERROR(VLOOKUP('Critical resources'!M100,$B$6:$C$57,2,0),0)</f>
        <v>0</v>
      </c>
      <c r="O94" s="67">
        <f ca="1">IFERROR(VLOOKUP('Critical resources'!N100,$A$6:$C$57,3,0),0)</f>
        <v>0</v>
      </c>
      <c r="P94" s="67">
        <f ca="1">IFERROR(VLOOKUP('Critical resources'!P100,$B$6:$C$57,2,0),0)</f>
        <v>0</v>
      </c>
      <c r="Q94" s="67">
        <f ca="1">IFERROR(VLOOKUP('Critical resources'!Q100,$A$6:$C$57,3,0),0)</f>
        <v>0</v>
      </c>
      <c r="T94" s="67" t="str">
        <f t="shared" si="28"/>
        <v xml:space="preserve">89. </v>
      </c>
      <c r="U94" s="67">
        <f t="shared" ca="1" si="36"/>
        <v>0</v>
      </c>
      <c r="V94" s="67">
        <f t="shared" ca="1" si="36"/>
        <v>0</v>
      </c>
      <c r="W94" s="67">
        <f t="shared" ca="1" si="36"/>
        <v>0</v>
      </c>
      <c r="X94" s="67">
        <f t="shared" ca="1" si="36"/>
        <v>0</v>
      </c>
      <c r="Y94" s="67">
        <f t="shared" ca="1" si="36"/>
        <v>0</v>
      </c>
      <c r="Z94" s="67">
        <f t="shared" ca="1" si="36"/>
        <v>0</v>
      </c>
      <c r="AA94" s="67">
        <f t="shared" ca="1" si="36"/>
        <v>0</v>
      </c>
      <c r="AB94" s="67">
        <f t="shared" ca="1" si="36"/>
        <v>0</v>
      </c>
      <c r="AC94" s="67">
        <f t="shared" ca="1" si="36"/>
        <v>0</v>
      </c>
      <c r="AD94" s="67">
        <f t="shared" ca="1" si="36"/>
        <v>0</v>
      </c>
      <c r="AE94" s="67">
        <f t="shared" ca="1" si="36"/>
        <v>0</v>
      </c>
      <c r="AF94" s="67">
        <f t="shared" ca="1" si="36"/>
        <v>0</v>
      </c>
      <c r="AG94" s="67">
        <f t="shared" ca="1" si="36"/>
        <v>0</v>
      </c>
      <c r="AH94" s="67">
        <f t="shared" ca="1" si="36"/>
        <v>0</v>
      </c>
      <c r="AI94" s="67">
        <f t="shared" ca="1" si="36"/>
        <v>0</v>
      </c>
      <c r="AJ94" s="67">
        <f t="shared" ca="1" si="36"/>
        <v>0</v>
      </c>
      <c r="AK94" s="67">
        <f t="shared" ca="1" si="34"/>
        <v>0</v>
      </c>
      <c r="AL94" s="67">
        <f t="shared" ca="1" si="34"/>
        <v>0</v>
      </c>
      <c r="AM94" s="67">
        <f t="shared" ca="1" si="34"/>
        <v>0</v>
      </c>
      <c r="AN94" s="67">
        <f t="shared" ca="1" si="34"/>
        <v>0</v>
      </c>
      <c r="AO94" s="67">
        <f t="shared" ca="1" si="34"/>
        <v>0</v>
      </c>
      <c r="AP94" s="67">
        <f t="shared" ca="1" si="34"/>
        <v>0</v>
      </c>
      <c r="AQ94" s="67">
        <f t="shared" ca="1" si="34"/>
        <v>0</v>
      </c>
      <c r="AR94" s="67">
        <f t="shared" ca="1" si="34"/>
        <v>0</v>
      </c>
      <c r="AS94" s="67">
        <f t="shared" ca="1" si="34"/>
        <v>0</v>
      </c>
      <c r="AT94" s="67">
        <f t="shared" ca="1" si="34"/>
        <v>0</v>
      </c>
      <c r="AU94" s="67">
        <f t="shared" ca="1" si="34"/>
        <v>0</v>
      </c>
      <c r="AV94" s="67">
        <f t="shared" ca="1" si="34"/>
        <v>0</v>
      </c>
      <c r="AW94" s="67">
        <f t="shared" ca="1" si="34"/>
        <v>0</v>
      </c>
      <c r="AX94" s="67">
        <f t="shared" ca="1" si="34"/>
        <v>0</v>
      </c>
      <c r="AY94" s="67">
        <f t="shared" ca="1" si="33"/>
        <v>0</v>
      </c>
      <c r="AZ94" s="67">
        <f t="shared" ca="1" si="33"/>
        <v>0</v>
      </c>
      <c r="BA94" s="67">
        <f t="shared" ca="1" si="33"/>
        <v>0</v>
      </c>
      <c r="BB94" s="67">
        <f t="shared" ca="1" si="33"/>
        <v>0</v>
      </c>
      <c r="BC94" s="67">
        <f t="shared" ca="1" si="33"/>
        <v>0</v>
      </c>
      <c r="BD94" s="67">
        <f t="shared" ca="1" si="33"/>
        <v>0</v>
      </c>
      <c r="BE94" s="67">
        <f t="shared" ca="1" si="33"/>
        <v>0</v>
      </c>
      <c r="BF94" s="67">
        <f t="shared" ca="1" si="33"/>
        <v>0</v>
      </c>
      <c r="BG94" s="67">
        <f t="shared" ca="1" si="33"/>
        <v>0</v>
      </c>
      <c r="BH94" s="67">
        <f t="shared" ca="1" si="33"/>
        <v>0</v>
      </c>
      <c r="BI94" s="67">
        <f t="shared" ca="1" si="33"/>
        <v>0</v>
      </c>
      <c r="BJ94" s="67">
        <f t="shared" ca="1" si="33"/>
        <v>0</v>
      </c>
      <c r="BK94" s="67">
        <f t="shared" ca="1" si="33"/>
        <v>0</v>
      </c>
      <c r="BL94" s="67">
        <f t="shared" ca="1" si="33"/>
        <v>0</v>
      </c>
      <c r="BM94" s="67">
        <f t="shared" ca="1" si="33"/>
        <v>0</v>
      </c>
      <c r="BN94" s="67">
        <f t="shared" ca="1" si="33"/>
        <v>0</v>
      </c>
      <c r="BO94" s="67">
        <f t="shared" ca="1" si="35"/>
        <v>0</v>
      </c>
      <c r="BP94" s="67">
        <f t="shared" ca="1" si="32"/>
        <v>0</v>
      </c>
      <c r="BQ94" s="67">
        <f t="shared" ca="1" si="32"/>
        <v>0</v>
      </c>
      <c r="BR94" s="67">
        <f t="shared" ca="1" si="32"/>
        <v>0</v>
      </c>
      <c r="BS94" s="67">
        <f t="shared" ca="1" si="32"/>
        <v>0</v>
      </c>
      <c r="BT94" s="67">
        <f t="shared" ca="1" si="32"/>
        <v>0</v>
      </c>
    </row>
    <row r="95" spans="2:72" x14ac:dyDescent="0.25">
      <c r="B95" s="87"/>
      <c r="G95" s="67" t="str">
        <f>ROW(A90)&amp;". "&amp;'Critical resources'!B101</f>
        <v xml:space="preserve">90. </v>
      </c>
      <c r="H95" s="67">
        <f ca="1">IFERROR(VLOOKUP('Critical resources'!D101,$B$6:$C$57,2,0),0)</f>
        <v>0</v>
      </c>
      <c r="I95" s="67">
        <f ca="1">IFERROR(VLOOKUP('Critical resources'!E101,$A$6:$C$57,3,0),0)</f>
        <v>0</v>
      </c>
      <c r="J95" s="67">
        <f ca="1">IFERROR(VLOOKUP('Critical resources'!G101,$B$6:$C$57,2,0),0)</f>
        <v>0</v>
      </c>
      <c r="K95" s="67">
        <f ca="1">IFERROR(VLOOKUP('Critical resources'!H101,$B$6:$C$57,2,0),0)</f>
        <v>0</v>
      </c>
      <c r="L95" s="67">
        <f ca="1">IFERROR(VLOOKUP('Critical resources'!J101,$B$6:$C$57,2,0),0)</f>
        <v>0</v>
      </c>
      <c r="M95" s="67">
        <f ca="1">IFERROR(VLOOKUP('Critical resources'!K101,$A$6:$C$57,3,0),0)</f>
        <v>0</v>
      </c>
      <c r="N95" s="67">
        <f ca="1">IFERROR(VLOOKUP('Critical resources'!M101,$B$6:$C$57,2,0),0)</f>
        <v>0</v>
      </c>
      <c r="O95" s="67">
        <f ca="1">IFERROR(VLOOKUP('Critical resources'!N101,$A$6:$C$57,3,0),0)</f>
        <v>0</v>
      </c>
      <c r="P95" s="67">
        <f ca="1">IFERROR(VLOOKUP('Critical resources'!P101,$B$6:$C$57,2,0),0)</f>
        <v>0</v>
      </c>
      <c r="Q95" s="67">
        <f ca="1">IFERROR(VLOOKUP('Critical resources'!Q101,$A$6:$C$57,3,0),0)</f>
        <v>0</v>
      </c>
      <c r="T95" s="67" t="str">
        <f t="shared" si="28"/>
        <v xml:space="preserve">90. </v>
      </c>
      <c r="U95" s="67">
        <f t="shared" ca="1" si="36"/>
        <v>0</v>
      </c>
      <c r="V95" s="67">
        <f t="shared" ca="1" si="36"/>
        <v>0</v>
      </c>
      <c r="W95" s="67">
        <f t="shared" ca="1" si="36"/>
        <v>0</v>
      </c>
      <c r="X95" s="67">
        <f t="shared" ca="1" si="36"/>
        <v>0</v>
      </c>
      <c r="Y95" s="67">
        <f t="shared" ca="1" si="36"/>
        <v>0</v>
      </c>
      <c r="Z95" s="67">
        <f t="shared" ca="1" si="36"/>
        <v>0</v>
      </c>
      <c r="AA95" s="67">
        <f t="shared" ca="1" si="36"/>
        <v>0</v>
      </c>
      <c r="AB95" s="67">
        <f t="shared" ca="1" si="36"/>
        <v>0</v>
      </c>
      <c r="AC95" s="67">
        <f t="shared" ca="1" si="36"/>
        <v>0</v>
      </c>
      <c r="AD95" s="67">
        <f t="shared" ca="1" si="36"/>
        <v>0</v>
      </c>
      <c r="AE95" s="67">
        <f t="shared" ca="1" si="36"/>
        <v>0</v>
      </c>
      <c r="AF95" s="67">
        <f t="shared" ca="1" si="36"/>
        <v>0</v>
      </c>
      <c r="AG95" s="67">
        <f t="shared" ca="1" si="36"/>
        <v>0</v>
      </c>
      <c r="AH95" s="67">
        <f t="shared" ca="1" si="36"/>
        <v>0</v>
      </c>
      <c r="AI95" s="67">
        <f t="shared" ca="1" si="36"/>
        <v>0</v>
      </c>
      <c r="AJ95" s="67">
        <f t="shared" ca="1" si="36"/>
        <v>0</v>
      </c>
      <c r="AK95" s="67">
        <f t="shared" ca="1" si="34"/>
        <v>0</v>
      </c>
      <c r="AL95" s="67">
        <f t="shared" ca="1" si="34"/>
        <v>0</v>
      </c>
      <c r="AM95" s="67">
        <f t="shared" ca="1" si="34"/>
        <v>0</v>
      </c>
      <c r="AN95" s="67">
        <f t="shared" ca="1" si="34"/>
        <v>0</v>
      </c>
      <c r="AO95" s="67">
        <f t="shared" ca="1" si="34"/>
        <v>0</v>
      </c>
      <c r="AP95" s="67">
        <f t="shared" ca="1" si="34"/>
        <v>0</v>
      </c>
      <c r="AQ95" s="67">
        <f t="shared" ca="1" si="34"/>
        <v>0</v>
      </c>
      <c r="AR95" s="67">
        <f t="shared" ca="1" si="34"/>
        <v>0</v>
      </c>
      <c r="AS95" s="67">
        <f t="shared" ca="1" si="34"/>
        <v>0</v>
      </c>
      <c r="AT95" s="67">
        <f t="shared" ca="1" si="34"/>
        <v>0</v>
      </c>
      <c r="AU95" s="67">
        <f t="shared" ca="1" si="34"/>
        <v>0</v>
      </c>
      <c r="AV95" s="67">
        <f t="shared" ca="1" si="34"/>
        <v>0</v>
      </c>
      <c r="AW95" s="67">
        <f t="shared" ca="1" si="34"/>
        <v>0</v>
      </c>
      <c r="AX95" s="67">
        <f t="shared" ca="1" si="34"/>
        <v>0</v>
      </c>
      <c r="AY95" s="67">
        <f t="shared" ca="1" si="33"/>
        <v>0</v>
      </c>
      <c r="AZ95" s="67">
        <f t="shared" ca="1" si="33"/>
        <v>0</v>
      </c>
      <c r="BA95" s="67">
        <f t="shared" ca="1" si="33"/>
        <v>0</v>
      </c>
      <c r="BB95" s="67">
        <f t="shared" ca="1" si="33"/>
        <v>0</v>
      </c>
      <c r="BC95" s="67">
        <f t="shared" ca="1" si="33"/>
        <v>0</v>
      </c>
      <c r="BD95" s="67">
        <f t="shared" ca="1" si="33"/>
        <v>0</v>
      </c>
      <c r="BE95" s="67">
        <f t="shared" ca="1" si="33"/>
        <v>0</v>
      </c>
      <c r="BF95" s="67">
        <f t="shared" ca="1" si="33"/>
        <v>0</v>
      </c>
      <c r="BG95" s="67">
        <f t="shared" ca="1" si="33"/>
        <v>0</v>
      </c>
      <c r="BH95" s="67">
        <f t="shared" ca="1" si="33"/>
        <v>0</v>
      </c>
      <c r="BI95" s="67">
        <f t="shared" ca="1" si="33"/>
        <v>0</v>
      </c>
      <c r="BJ95" s="67">
        <f t="shared" ca="1" si="33"/>
        <v>0</v>
      </c>
      <c r="BK95" s="67">
        <f t="shared" ca="1" si="33"/>
        <v>0</v>
      </c>
      <c r="BL95" s="67">
        <f t="shared" ca="1" si="33"/>
        <v>0</v>
      </c>
      <c r="BM95" s="67">
        <f t="shared" ca="1" si="33"/>
        <v>0</v>
      </c>
      <c r="BN95" s="67">
        <f t="shared" ca="1" si="33"/>
        <v>0</v>
      </c>
      <c r="BO95" s="67">
        <f t="shared" ca="1" si="35"/>
        <v>0</v>
      </c>
      <c r="BP95" s="67">
        <f t="shared" ca="1" si="32"/>
        <v>0</v>
      </c>
      <c r="BQ95" s="67">
        <f t="shared" ca="1" si="32"/>
        <v>0</v>
      </c>
      <c r="BR95" s="67">
        <f t="shared" ca="1" si="32"/>
        <v>0</v>
      </c>
      <c r="BS95" s="67">
        <f t="shared" ca="1" si="32"/>
        <v>0</v>
      </c>
      <c r="BT95" s="67">
        <f t="shared" ca="1" si="32"/>
        <v>0</v>
      </c>
    </row>
    <row r="96" spans="2:72" x14ac:dyDescent="0.25">
      <c r="B96" s="87"/>
      <c r="G96" s="67" t="str">
        <f>ROW(A91)&amp;". "&amp;'Critical resources'!B102</f>
        <v xml:space="preserve">91. </v>
      </c>
      <c r="H96" s="67">
        <f ca="1">IFERROR(VLOOKUP('Critical resources'!D102,$B$6:$C$57,2,0),0)</f>
        <v>0</v>
      </c>
      <c r="I96" s="67">
        <f ca="1">IFERROR(VLOOKUP('Critical resources'!E102,$A$6:$C$57,3,0),0)</f>
        <v>0</v>
      </c>
      <c r="J96" s="67">
        <f ca="1">IFERROR(VLOOKUP('Critical resources'!G102,$B$6:$C$57,2,0),0)</f>
        <v>0</v>
      </c>
      <c r="K96" s="67">
        <f ca="1">IFERROR(VLOOKUP('Critical resources'!H102,$B$6:$C$57,2,0),0)</f>
        <v>0</v>
      </c>
      <c r="L96" s="67">
        <f ca="1">IFERROR(VLOOKUP('Critical resources'!J102,$B$6:$C$57,2,0),0)</f>
        <v>0</v>
      </c>
      <c r="M96" s="67">
        <f ca="1">IFERROR(VLOOKUP('Critical resources'!K102,$A$6:$C$57,3,0),0)</f>
        <v>0</v>
      </c>
      <c r="N96" s="67">
        <f ca="1">IFERROR(VLOOKUP('Critical resources'!M102,$B$6:$C$57,2,0),0)</f>
        <v>0</v>
      </c>
      <c r="O96" s="67">
        <f ca="1">IFERROR(VLOOKUP('Critical resources'!N102,$A$6:$C$57,3,0),0)</f>
        <v>0</v>
      </c>
      <c r="P96" s="67">
        <f ca="1">IFERROR(VLOOKUP('Critical resources'!P102,$B$6:$C$57,2,0),0)</f>
        <v>0</v>
      </c>
      <c r="Q96" s="67">
        <f ca="1">IFERROR(VLOOKUP('Critical resources'!Q102,$A$6:$C$57,3,0),0)</f>
        <v>0</v>
      </c>
      <c r="T96" s="67" t="str">
        <f t="shared" si="28"/>
        <v xml:space="preserve">91. </v>
      </c>
      <c r="U96" s="67">
        <f t="shared" ca="1" si="36"/>
        <v>0</v>
      </c>
      <c r="V96" s="67">
        <f t="shared" ca="1" si="36"/>
        <v>0</v>
      </c>
      <c r="W96" s="67">
        <f t="shared" ca="1" si="36"/>
        <v>0</v>
      </c>
      <c r="X96" s="67">
        <f t="shared" ca="1" si="36"/>
        <v>0</v>
      </c>
      <c r="Y96" s="67">
        <f t="shared" ca="1" si="36"/>
        <v>0</v>
      </c>
      <c r="Z96" s="67">
        <f t="shared" ca="1" si="36"/>
        <v>0</v>
      </c>
      <c r="AA96" s="67">
        <f t="shared" ca="1" si="36"/>
        <v>0</v>
      </c>
      <c r="AB96" s="67">
        <f t="shared" ca="1" si="36"/>
        <v>0</v>
      </c>
      <c r="AC96" s="67">
        <f t="shared" ca="1" si="36"/>
        <v>0</v>
      </c>
      <c r="AD96" s="67">
        <f t="shared" ca="1" si="36"/>
        <v>0</v>
      </c>
      <c r="AE96" s="67">
        <f t="shared" ca="1" si="36"/>
        <v>0</v>
      </c>
      <c r="AF96" s="67">
        <f t="shared" ca="1" si="36"/>
        <v>0</v>
      </c>
      <c r="AG96" s="67">
        <f t="shared" ca="1" si="36"/>
        <v>0</v>
      </c>
      <c r="AH96" s="67">
        <f t="shared" ca="1" si="36"/>
        <v>0</v>
      </c>
      <c r="AI96" s="67">
        <f t="shared" ca="1" si="36"/>
        <v>0</v>
      </c>
      <c r="AJ96" s="67">
        <f t="shared" ca="1" si="36"/>
        <v>0</v>
      </c>
      <c r="AK96" s="67">
        <f t="shared" ca="1" si="34"/>
        <v>0</v>
      </c>
      <c r="AL96" s="67">
        <f t="shared" ca="1" si="34"/>
        <v>0</v>
      </c>
      <c r="AM96" s="67">
        <f t="shared" ca="1" si="34"/>
        <v>0</v>
      </c>
      <c r="AN96" s="67">
        <f t="shared" ca="1" si="34"/>
        <v>0</v>
      </c>
      <c r="AO96" s="67">
        <f t="shared" ca="1" si="34"/>
        <v>0</v>
      </c>
      <c r="AP96" s="67">
        <f t="shared" ca="1" si="34"/>
        <v>0</v>
      </c>
      <c r="AQ96" s="67">
        <f t="shared" ca="1" si="34"/>
        <v>0</v>
      </c>
      <c r="AR96" s="67">
        <f t="shared" ca="1" si="34"/>
        <v>0</v>
      </c>
      <c r="AS96" s="67">
        <f t="shared" ca="1" si="34"/>
        <v>0</v>
      </c>
      <c r="AT96" s="67">
        <f t="shared" ca="1" si="34"/>
        <v>0</v>
      </c>
      <c r="AU96" s="67">
        <f t="shared" ca="1" si="34"/>
        <v>0</v>
      </c>
      <c r="AV96" s="67">
        <f t="shared" ca="1" si="34"/>
        <v>0</v>
      </c>
      <c r="AW96" s="67">
        <f t="shared" ca="1" si="34"/>
        <v>0</v>
      </c>
      <c r="AX96" s="67">
        <f t="shared" ca="1" si="34"/>
        <v>0</v>
      </c>
      <c r="AY96" s="67">
        <f t="shared" ca="1" si="33"/>
        <v>0</v>
      </c>
      <c r="AZ96" s="67">
        <f t="shared" ca="1" si="33"/>
        <v>0</v>
      </c>
      <c r="BA96" s="67">
        <f t="shared" ca="1" si="33"/>
        <v>0</v>
      </c>
      <c r="BB96" s="67">
        <f t="shared" ca="1" si="33"/>
        <v>0</v>
      </c>
      <c r="BC96" s="67">
        <f t="shared" ca="1" si="33"/>
        <v>0</v>
      </c>
      <c r="BD96" s="67">
        <f t="shared" ca="1" si="33"/>
        <v>0</v>
      </c>
      <c r="BE96" s="67">
        <f t="shared" ca="1" si="33"/>
        <v>0</v>
      </c>
      <c r="BF96" s="67">
        <f t="shared" ca="1" si="33"/>
        <v>0</v>
      </c>
      <c r="BG96" s="67">
        <f t="shared" ca="1" si="33"/>
        <v>0</v>
      </c>
      <c r="BH96" s="67">
        <f t="shared" ca="1" si="33"/>
        <v>0</v>
      </c>
      <c r="BI96" s="67">
        <f t="shared" ca="1" si="33"/>
        <v>0</v>
      </c>
      <c r="BJ96" s="67">
        <f t="shared" ca="1" si="33"/>
        <v>0</v>
      </c>
      <c r="BK96" s="67">
        <f t="shared" ca="1" si="33"/>
        <v>0</v>
      </c>
      <c r="BL96" s="67">
        <f t="shared" ca="1" si="33"/>
        <v>0</v>
      </c>
      <c r="BM96" s="67">
        <f t="shared" ca="1" si="33"/>
        <v>0</v>
      </c>
      <c r="BN96" s="67">
        <f t="shared" ca="1" si="33"/>
        <v>0</v>
      </c>
      <c r="BO96" s="67">
        <f t="shared" ca="1" si="35"/>
        <v>0</v>
      </c>
      <c r="BP96" s="67">
        <f t="shared" ca="1" si="32"/>
        <v>0</v>
      </c>
      <c r="BQ96" s="67">
        <f t="shared" ca="1" si="32"/>
        <v>0</v>
      </c>
      <c r="BR96" s="67">
        <f t="shared" ca="1" si="32"/>
        <v>0</v>
      </c>
      <c r="BS96" s="67">
        <f t="shared" ca="1" si="32"/>
        <v>0</v>
      </c>
      <c r="BT96" s="67">
        <f t="shared" ca="1" si="32"/>
        <v>0</v>
      </c>
    </row>
    <row r="97" spans="2:72" x14ac:dyDescent="0.25">
      <c r="B97" s="87"/>
      <c r="G97" s="67" t="str">
        <f>ROW(A92)&amp;". "&amp;'Critical resources'!B103</f>
        <v xml:space="preserve">92. </v>
      </c>
      <c r="H97" s="67">
        <f ca="1">IFERROR(VLOOKUP('Critical resources'!D103,$B$6:$C$57,2,0),0)</f>
        <v>0</v>
      </c>
      <c r="I97" s="67">
        <f ca="1">IFERROR(VLOOKUP('Critical resources'!E103,$A$6:$C$57,3,0),0)</f>
        <v>0</v>
      </c>
      <c r="J97" s="67">
        <f ca="1">IFERROR(VLOOKUP('Critical resources'!G103,$B$6:$C$57,2,0),0)</f>
        <v>0</v>
      </c>
      <c r="K97" s="67">
        <f ca="1">IFERROR(VLOOKUP('Critical resources'!H103,$B$6:$C$57,2,0),0)</f>
        <v>0</v>
      </c>
      <c r="L97" s="67">
        <f ca="1">IFERROR(VLOOKUP('Critical resources'!J103,$B$6:$C$57,2,0),0)</f>
        <v>0</v>
      </c>
      <c r="M97" s="67">
        <f ca="1">IFERROR(VLOOKUP('Critical resources'!K103,$A$6:$C$57,3,0),0)</f>
        <v>0</v>
      </c>
      <c r="N97" s="67">
        <f ca="1">IFERROR(VLOOKUP('Critical resources'!M103,$B$6:$C$57,2,0),0)</f>
        <v>0</v>
      </c>
      <c r="O97" s="67">
        <f ca="1">IFERROR(VLOOKUP('Critical resources'!N103,$A$6:$C$57,3,0),0)</f>
        <v>0</v>
      </c>
      <c r="P97" s="67">
        <f ca="1">IFERROR(VLOOKUP('Critical resources'!P103,$B$6:$C$57,2,0),0)</f>
        <v>0</v>
      </c>
      <c r="Q97" s="67">
        <f ca="1">IFERROR(VLOOKUP('Critical resources'!Q103,$A$6:$C$57,3,0),0)</f>
        <v>0</v>
      </c>
      <c r="T97" s="67" t="str">
        <f t="shared" si="28"/>
        <v xml:space="preserve">92. </v>
      </c>
      <c r="U97" s="67">
        <f t="shared" ca="1" si="36"/>
        <v>0</v>
      </c>
      <c r="V97" s="67">
        <f t="shared" ca="1" si="36"/>
        <v>0</v>
      </c>
      <c r="W97" s="67">
        <f t="shared" ca="1" si="36"/>
        <v>0</v>
      </c>
      <c r="X97" s="67">
        <f t="shared" ca="1" si="36"/>
        <v>0</v>
      </c>
      <c r="Y97" s="67">
        <f t="shared" ca="1" si="36"/>
        <v>0</v>
      </c>
      <c r="Z97" s="67">
        <f t="shared" ca="1" si="36"/>
        <v>0</v>
      </c>
      <c r="AA97" s="67">
        <f t="shared" ca="1" si="36"/>
        <v>0</v>
      </c>
      <c r="AB97" s="67">
        <f t="shared" ca="1" si="36"/>
        <v>0</v>
      </c>
      <c r="AC97" s="67">
        <f t="shared" ca="1" si="36"/>
        <v>0</v>
      </c>
      <c r="AD97" s="67">
        <f t="shared" ca="1" si="36"/>
        <v>0</v>
      </c>
      <c r="AE97" s="67">
        <f t="shared" ca="1" si="36"/>
        <v>0</v>
      </c>
      <c r="AF97" s="67">
        <f t="shared" ca="1" si="36"/>
        <v>0</v>
      </c>
      <c r="AG97" s="67">
        <f t="shared" ca="1" si="36"/>
        <v>0</v>
      </c>
      <c r="AH97" s="67">
        <f t="shared" ca="1" si="36"/>
        <v>0</v>
      </c>
      <c r="AI97" s="67">
        <f t="shared" ca="1" si="36"/>
        <v>0</v>
      </c>
      <c r="AJ97" s="67">
        <f t="shared" ca="1" si="36"/>
        <v>0</v>
      </c>
      <c r="AK97" s="67">
        <f t="shared" ca="1" si="34"/>
        <v>0</v>
      </c>
      <c r="AL97" s="67">
        <f t="shared" ca="1" si="34"/>
        <v>0</v>
      </c>
      <c r="AM97" s="67">
        <f t="shared" ca="1" si="34"/>
        <v>0</v>
      </c>
      <c r="AN97" s="67">
        <f t="shared" ca="1" si="34"/>
        <v>0</v>
      </c>
      <c r="AO97" s="67">
        <f t="shared" ca="1" si="34"/>
        <v>0</v>
      </c>
      <c r="AP97" s="67">
        <f t="shared" ca="1" si="34"/>
        <v>0</v>
      </c>
      <c r="AQ97" s="67">
        <f t="shared" ca="1" si="34"/>
        <v>0</v>
      </c>
      <c r="AR97" s="67">
        <f t="shared" ca="1" si="34"/>
        <v>0</v>
      </c>
      <c r="AS97" s="67">
        <f t="shared" ca="1" si="34"/>
        <v>0</v>
      </c>
      <c r="AT97" s="67">
        <f t="shared" ca="1" si="34"/>
        <v>0</v>
      </c>
      <c r="AU97" s="67">
        <f t="shared" ca="1" si="34"/>
        <v>0</v>
      </c>
      <c r="AV97" s="67">
        <f t="shared" ca="1" si="34"/>
        <v>0</v>
      </c>
      <c r="AW97" s="67">
        <f t="shared" ca="1" si="34"/>
        <v>0</v>
      </c>
      <c r="AX97" s="67">
        <f t="shared" ca="1" si="34"/>
        <v>0</v>
      </c>
      <c r="AY97" s="67">
        <f t="shared" ca="1" si="33"/>
        <v>0</v>
      </c>
      <c r="AZ97" s="67">
        <f t="shared" ca="1" si="33"/>
        <v>0</v>
      </c>
      <c r="BA97" s="67">
        <f t="shared" ca="1" si="33"/>
        <v>0</v>
      </c>
      <c r="BB97" s="67">
        <f t="shared" ca="1" si="33"/>
        <v>0</v>
      </c>
      <c r="BC97" s="67">
        <f t="shared" ca="1" si="33"/>
        <v>0</v>
      </c>
      <c r="BD97" s="67">
        <f t="shared" ca="1" si="33"/>
        <v>0</v>
      </c>
      <c r="BE97" s="67">
        <f t="shared" ca="1" si="33"/>
        <v>0</v>
      </c>
      <c r="BF97" s="67">
        <f t="shared" ca="1" si="33"/>
        <v>0</v>
      </c>
      <c r="BG97" s="67">
        <f t="shared" ca="1" si="33"/>
        <v>0</v>
      </c>
      <c r="BH97" s="67">
        <f t="shared" ca="1" si="33"/>
        <v>0</v>
      </c>
      <c r="BI97" s="67">
        <f t="shared" ca="1" si="33"/>
        <v>0</v>
      </c>
      <c r="BJ97" s="67">
        <f t="shared" ca="1" si="33"/>
        <v>0</v>
      </c>
      <c r="BK97" s="67">
        <f t="shared" ca="1" si="33"/>
        <v>0</v>
      </c>
      <c r="BL97" s="67">
        <f t="shared" ca="1" si="33"/>
        <v>0</v>
      </c>
      <c r="BM97" s="67">
        <f t="shared" ca="1" si="33"/>
        <v>0</v>
      </c>
      <c r="BN97" s="67">
        <f t="shared" ca="1" si="33"/>
        <v>0</v>
      </c>
      <c r="BO97" s="67">
        <f t="shared" ca="1" si="35"/>
        <v>0</v>
      </c>
      <c r="BP97" s="67">
        <f t="shared" ca="1" si="32"/>
        <v>0</v>
      </c>
      <c r="BQ97" s="67">
        <f t="shared" ca="1" si="32"/>
        <v>0</v>
      </c>
      <c r="BR97" s="67">
        <f t="shared" ca="1" si="32"/>
        <v>0</v>
      </c>
      <c r="BS97" s="67">
        <f t="shared" ca="1" si="32"/>
        <v>0</v>
      </c>
      <c r="BT97" s="67">
        <f t="shared" ca="1" si="32"/>
        <v>0</v>
      </c>
    </row>
    <row r="98" spans="2:72" x14ac:dyDescent="0.25">
      <c r="B98" s="87"/>
      <c r="G98" s="67" t="str">
        <f>ROW(A93)&amp;". "&amp;'Critical resources'!B104</f>
        <v xml:space="preserve">93. </v>
      </c>
      <c r="H98" s="67">
        <f ca="1">IFERROR(VLOOKUP('Critical resources'!D104,$B$6:$C$57,2,0),0)</f>
        <v>0</v>
      </c>
      <c r="I98" s="67">
        <f ca="1">IFERROR(VLOOKUP('Critical resources'!E104,$A$6:$C$57,3,0),0)</f>
        <v>0</v>
      </c>
      <c r="J98" s="67">
        <f ca="1">IFERROR(VLOOKUP('Critical resources'!G104,$B$6:$C$57,2,0),0)</f>
        <v>0</v>
      </c>
      <c r="K98" s="67">
        <f ca="1">IFERROR(VLOOKUP('Critical resources'!H104,$B$6:$C$57,2,0),0)</f>
        <v>0</v>
      </c>
      <c r="L98" s="67">
        <f ca="1">IFERROR(VLOOKUP('Critical resources'!J104,$B$6:$C$57,2,0),0)</f>
        <v>0</v>
      </c>
      <c r="M98" s="67">
        <f ca="1">IFERROR(VLOOKUP('Critical resources'!K104,$A$6:$C$57,3,0),0)</f>
        <v>0</v>
      </c>
      <c r="N98" s="67">
        <f ca="1">IFERROR(VLOOKUP('Critical resources'!M104,$B$6:$C$57,2,0),0)</f>
        <v>0</v>
      </c>
      <c r="O98" s="67">
        <f ca="1">IFERROR(VLOOKUP('Critical resources'!N104,$A$6:$C$57,3,0),0)</f>
        <v>0</v>
      </c>
      <c r="P98" s="67">
        <f ca="1">IFERROR(VLOOKUP('Critical resources'!P104,$B$6:$C$57,2,0),0)</f>
        <v>0</v>
      </c>
      <c r="Q98" s="67">
        <f ca="1">IFERROR(VLOOKUP('Critical resources'!Q104,$A$6:$C$57,3,0),0)</f>
        <v>0</v>
      </c>
      <c r="T98" s="67" t="str">
        <f t="shared" si="28"/>
        <v xml:space="preserve">93. </v>
      </c>
      <c r="U98" s="67">
        <f t="shared" ca="1" si="36"/>
        <v>0</v>
      </c>
      <c r="V98" s="67">
        <f t="shared" ca="1" si="36"/>
        <v>0</v>
      </c>
      <c r="W98" s="67">
        <f t="shared" ca="1" si="36"/>
        <v>0</v>
      </c>
      <c r="X98" s="67">
        <f t="shared" ca="1" si="36"/>
        <v>0</v>
      </c>
      <c r="Y98" s="67">
        <f t="shared" ca="1" si="36"/>
        <v>0</v>
      </c>
      <c r="Z98" s="67">
        <f t="shared" ca="1" si="36"/>
        <v>0</v>
      </c>
      <c r="AA98" s="67">
        <f t="shared" ca="1" si="36"/>
        <v>0</v>
      </c>
      <c r="AB98" s="67">
        <f t="shared" ca="1" si="36"/>
        <v>0</v>
      </c>
      <c r="AC98" s="67">
        <f t="shared" ca="1" si="36"/>
        <v>0</v>
      </c>
      <c r="AD98" s="67">
        <f t="shared" ca="1" si="36"/>
        <v>0</v>
      </c>
      <c r="AE98" s="67">
        <f t="shared" ca="1" si="36"/>
        <v>0</v>
      </c>
      <c r="AF98" s="67">
        <f t="shared" ca="1" si="36"/>
        <v>0</v>
      </c>
      <c r="AG98" s="67">
        <f t="shared" ca="1" si="36"/>
        <v>0</v>
      </c>
      <c r="AH98" s="67">
        <f t="shared" ca="1" si="36"/>
        <v>0</v>
      </c>
      <c r="AI98" s="67">
        <f t="shared" ca="1" si="36"/>
        <v>0</v>
      </c>
      <c r="AJ98" s="67">
        <f t="shared" ca="1" si="36"/>
        <v>0</v>
      </c>
      <c r="AK98" s="67">
        <f t="shared" ca="1" si="34"/>
        <v>0</v>
      </c>
      <c r="AL98" s="67">
        <f t="shared" ca="1" si="34"/>
        <v>0</v>
      </c>
      <c r="AM98" s="67">
        <f t="shared" ca="1" si="34"/>
        <v>0</v>
      </c>
      <c r="AN98" s="67">
        <f t="shared" ca="1" si="34"/>
        <v>0</v>
      </c>
      <c r="AO98" s="67">
        <f t="shared" ca="1" si="34"/>
        <v>0</v>
      </c>
      <c r="AP98" s="67">
        <f t="shared" ca="1" si="34"/>
        <v>0</v>
      </c>
      <c r="AQ98" s="67">
        <f t="shared" ca="1" si="34"/>
        <v>0</v>
      </c>
      <c r="AR98" s="67">
        <f t="shared" ca="1" si="34"/>
        <v>0</v>
      </c>
      <c r="AS98" s="67">
        <f t="shared" ca="1" si="34"/>
        <v>0</v>
      </c>
      <c r="AT98" s="67">
        <f t="shared" ca="1" si="34"/>
        <v>0</v>
      </c>
      <c r="AU98" s="67">
        <f t="shared" ca="1" si="34"/>
        <v>0</v>
      </c>
      <c r="AV98" s="67">
        <f t="shared" ca="1" si="34"/>
        <v>0</v>
      </c>
      <c r="AW98" s="67">
        <f t="shared" ca="1" si="34"/>
        <v>0</v>
      </c>
      <c r="AX98" s="67">
        <f t="shared" ca="1" si="34"/>
        <v>0</v>
      </c>
      <c r="AY98" s="67">
        <f t="shared" ca="1" si="33"/>
        <v>0</v>
      </c>
      <c r="AZ98" s="67">
        <f t="shared" ca="1" si="33"/>
        <v>0</v>
      </c>
      <c r="BA98" s="67">
        <f t="shared" ca="1" si="33"/>
        <v>0</v>
      </c>
      <c r="BB98" s="67">
        <f t="shared" ca="1" si="33"/>
        <v>0</v>
      </c>
      <c r="BC98" s="67">
        <f t="shared" ca="1" si="33"/>
        <v>0</v>
      </c>
      <c r="BD98" s="67">
        <f t="shared" ca="1" si="33"/>
        <v>0</v>
      </c>
      <c r="BE98" s="67">
        <f t="shared" ca="1" si="33"/>
        <v>0</v>
      </c>
      <c r="BF98" s="67">
        <f t="shared" ca="1" si="33"/>
        <v>0</v>
      </c>
      <c r="BG98" s="67">
        <f t="shared" ca="1" si="33"/>
        <v>0</v>
      </c>
      <c r="BH98" s="67">
        <f t="shared" ca="1" si="33"/>
        <v>0</v>
      </c>
      <c r="BI98" s="67">
        <f t="shared" ca="1" si="33"/>
        <v>0</v>
      </c>
      <c r="BJ98" s="67">
        <f t="shared" ca="1" si="33"/>
        <v>0</v>
      </c>
      <c r="BK98" s="67">
        <f t="shared" ca="1" si="33"/>
        <v>0</v>
      </c>
      <c r="BL98" s="67">
        <f t="shared" ca="1" si="33"/>
        <v>0</v>
      </c>
      <c r="BM98" s="67">
        <f t="shared" ca="1" si="33"/>
        <v>0</v>
      </c>
      <c r="BN98" s="67">
        <f t="shared" ca="1" si="33"/>
        <v>0</v>
      </c>
      <c r="BO98" s="67">
        <f t="shared" ca="1" si="35"/>
        <v>0</v>
      </c>
      <c r="BP98" s="67">
        <f t="shared" ca="1" si="32"/>
        <v>0</v>
      </c>
      <c r="BQ98" s="67">
        <f t="shared" ca="1" si="32"/>
        <v>0</v>
      </c>
      <c r="BR98" s="67">
        <f t="shared" ca="1" si="32"/>
        <v>0</v>
      </c>
      <c r="BS98" s="67">
        <f t="shared" ca="1" si="32"/>
        <v>0</v>
      </c>
      <c r="BT98" s="67">
        <f t="shared" ca="1" si="32"/>
        <v>0</v>
      </c>
    </row>
    <row r="99" spans="2:72" x14ac:dyDescent="0.25">
      <c r="B99" s="87"/>
      <c r="G99" s="67" t="str">
        <f>ROW(A94)&amp;". "&amp;'Critical resources'!B105</f>
        <v xml:space="preserve">94. </v>
      </c>
      <c r="H99" s="67">
        <f ca="1">IFERROR(VLOOKUP('Critical resources'!D105,$B$6:$C$57,2,0),0)</f>
        <v>0</v>
      </c>
      <c r="I99" s="67">
        <f ca="1">IFERROR(VLOOKUP('Critical resources'!E105,$A$6:$C$57,3,0),0)</f>
        <v>0</v>
      </c>
      <c r="J99" s="67">
        <f ca="1">IFERROR(VLOOKUP('Critical resources'!G105,$B$6:$C$57,2,0),0)</f>
        <v>0</v>
      </c>
      <c r="K99" s="67">
        <f ca="1">IFERROR(VLOOKUP('Critical resources'!H105,$B$6:$C$57,2,0),0)</f>
        <v>0</v>
      </c>
      <c r="L99" s="67">
        <f ca="1">IFERROR(VLOOKUP('Critical resources'!J105,$B$6:$C$57,2,0),0)</f>
        <v>0</v>
      </c>
      <c r="M99" s="67">
        <f ca="1">IFERROR(VLOOKUP('Critical resources'!K105,$A$6:$C$57,3,0),0)</f>
        <v>0</v>
      </c>
      <c r="N99" s="67">
        <f ca="1">IFERROR(VLOOKUP('Critical resources'!M105,$B$6:$C$57,2,0),0)</f>
        <v>0</v>
      </c>
      <c r="O99" s="67">
        <f ca="1">IFERROR(VLOOKUP('Critical resources'!N105,$A$6:$C$57,3,0),0)</f>
        <v>0</v>
      </c>
      <c r="P99" s="67">
        <f ca="1">IFERROR(VLOOKUP('Critical resources'!P105,$B$6:$C$57,2,0),0)</f>
        <v>0</v>
      </c>
      <c r="Q99" s="67">
        <f ca="1">IFERROR(VLOOKUP('Critical resources'!Q105,$A$6:$C$57,3,0),0)</f>
        <v>0</v>
      </c>
      <c r="T99" s="67" t="str">
        <f t="shared" si="28"/>
        <v xml:space="preserve">94. </v>
      </c>
      <c r="U99" s="67">
        <f t="shared" ca="1" si="36"/>
        <v>0</v>
      </c>
      <c r="V99" s="67">
        <f t="shared" ca="1" si="36"/>
        <v>0</v>
      </c>
      <c r="W99" s="67">
        <f t="shared" ca="1" si="36"/>
        <v>0</v>
      </c>
      <c r="X99" s="67">
        <f t="shared" ca="1" si="36"/>
        <v>0</v>
      </c>
      <c r="Y99" s="67">
        <f t="shared" ca="1" si="36"/>
        <v>0</v>
      </c>
      <c r="Z99" s="67">
        <f t="shared" ca="1" si="36"/>
        <v>0</v>
      </c>
      <c r="AA99" s="67">
        <f t="shared" ca="1" si="36"/>
        <v>0</v>
      </c>
      <c r="AB99" s="67">
        <f t="shared" ca="1" si="36"/>
        <v>0</v>
      </c>
      <c r="AC99" s="67">
        <f t="shared" ca="1" si="36"/>
        <v>0</v>
      </c>
      <c r="AD99" s="67">
        <f t="shared" ca="1" si="36"/>
        <v>0</v>
      </c>
      <c r="AE99" s="67">
        <f t="shared" ca="1" si="36"/>
        <v>0</v>
      </c>
      <c r="AF99" s="67">
        <f t="shared" ca="1" si="36"/>
        <v>0</v>
      </c>
      <c r="AG99" s="67">
        <f t="shared" ca="1" si="36"/>
        <v>0</v>
      </c>
      <c r="AH99" s="67">
        <f t="shared" ca="1" si="36"/>
        <v>0</v>
      </c>
      <c r="AI99" s="67">
        <f t="shared" ca="1" si="36"/>
        <v>0</v>
      </c>
      <c r="AJ99" s="67">
        <f t="shared" ca="1" si="36"/>
        <v>0</v>
      </c>
      <c r="AK99" s="67">
        <f t="shared" ca="1" si="34"/>
        <v>0</v>
      </c>
      <c r="AL99" s="67">
        <f t="shared" ca="1" si="34"/>
        <v>0</v>
      </c>
      <c r="AM99" s="67">
        <f t="shared" ca="1" si="34"/>
        <v>0</v>
      </c>
      <c r="AN99" s="67">
        <f t="shared" ca="1" si="34"/>
        <v>0</v>
      </c>
      <c r="AO99" s="67">
        <f t="shared" ca="1" si="34"/>
        <v>0</v>
      </c>
      <c r="AP99" s="67">
        <f t="shared" ca="1" si="34"/>
        <v>0</v>
      </c>
      <c r="AQ99" s="67">
        <f t="shared" ca="1" si="34"/>
        <v>0</v>
      </c>
      <c r="AR99" s="67">
        <f t="shared" ca="1" si="34"/>
        <v>0</v>
      </c>
      <c r="AS99" s="67">
        <f t="shared" ca="1" si="34"/>
        <v>0</v>
      </c>
      <c r="AT99" s="67">
        <f t="shared" ca="1" si="34"/>
        <v>0</v>
      </c>
      <c r="AU99" s="67">
        <f t="shared" ca="1" si="34"/>
        <v>0</v>
      </c>
      <c r="AV99" s="67">
        <f t="shared" ca="1" si="34"/>
        <v>0</v>
      </c>
      <c r="AW99" s="67">
        <f t="shared" ca="1" si="34"/>
        <v>0</v>
      </c>
      <c r="AX99" s="67">
        <f t="shared" ca="1" si="34"/>
        <v>0</v>
      </c>
      <c r="AY99" s="67">
        <f t="shared" ca="1" si="33"/>
        <v>0</v>
      </c>
      <c r="AZ99" s="67">
        <f t="shared" ca="1" si="33"/>
        <v>0</v>
      </c>
      <c r="BA99" s="67">
        <f t="shared" ca="1" si="33"/>
        <v>0</v>
      </c>
      <c r="BB99" s="67">
        <f t="shared" ca="1" si="33"/>
        <v>0</v>
      </c>
      <c r="BC99" s="67">
        <f t="shared" ca="1" si="33"/>
        <v>0</v>
      </c>
      <c r="BD99" s="67">
        <f t="shared" ca="1" si="33"/>
        <v>0</v>
      </c>
      <c r="BE99" s="67">
        <f t="shared" ca="1" si="33"/>
        <v>0</v>
      </c>
      <c r="BF99" s="67">
        <f t="shared" ca="1" si="33"/>
        <v>0</v>
      </c>
      <c r="BG99" s="67">
        <f t="shared" ca="1" si="33"/>
        <v>0</v>
      </c>
      <c r="BH99" s="67">
        <f t="shared" ca="1" si="33"/>
        <v>0</v>
      </c>
      <c r="BI99" s="67">
        <f t="shared" ca="1" si="33"/>
        <v>0</v>
      </c>
      <c r="BJ99" s="67">
        <f t="shared" ca="1" si="33"/>
        <v>0</v>
      </c>
      <c r="BK99" s="67">
        <f t="shared" ca="1" si="33"/>
        <v>0</v>
      </c>
      <c r="BL99" s="67">
        <f t="shared" ca="1" si="33"/>
        <v>0</v>
      </c>
      <c r="BM99" s="67">
        <f t="shared" ca="1" si="33"/>
        <v>0</v>
      </c>
      <c r="BN99" s="67">
        <f t="shared" ca="1" si="33"/>
        <v>0</v>
      </c>
      <c r="BO99" s="67">
        <f t="shared" ca="1" si="35"/>
        <v>0</v>
      </c>
      <c r="BP99" s="67">
        <f t="shared" ca="1" si="35"/>
        <v>0</v>
      </c>
      <c r="BQ99" s="67">
        <f t="shared" ca="1" si="35"/>
        <v>0</v>
      </c>
      <c r="BR99" s="67">
        <f t="shared" ca="1" si="35"/>
        <v>0</v>
      </c>
      <c r="BS99" s="67">
        <f t="shared" ca="1" si="35"/>
        <v>0</v>
      </c>
      <c r="BT99" s="67">
        <f t="shared" ca="1" si="35"/>
        <v>0</v>
      </c>
    </row>
    <row r="100" spans="2:72" x14ac:dyDescent="0.25">
      <c r="B100" s="87"/>
      <c r="G100" s="67" t="str">
        <f>ROW(A95)&amp;". "&amp;'Critical resources'!B106</f>
        <v xml:space="preserve">95. </v>
      </c>
      <c r="H100" s="67">
        <f ca="1">IFERROR(VLOOKUP('Critical resources'!D106,$B$6:$C$57,2,0),0)</f>
        <v>0</v>
      </c>
      <c r="I100" s="67">
        <f ca="1">IFERROR(VLOOKUP('Critical resources'!E106,$A$6:$C$57,3,0),0)</f>
        <v>0</v>
      </c>
      <c r="J100" s="67">
        <f ca="1">IFERROR(VLOOKUP('Critical resources'!G106,$B$6:$C$57,2,0),0)</f>
        <v>0</v>
      </c>
      <c r="K100" s="67">
        <f ca="1">IFERROR(VLOOKUP('Critical resources'!H106,$B$6:$C$57,2,0),0)</f>
        <v>0</v>
      </c>
      <c r="L100" s="67">
        <f ca="1">IFERROR(VLOOKUP('Critical resources'!J106,$B$6:$C$57,2,0),0)</f>
        <v>0</v>
      </c>
      <c r="M100" s="67">
        <f ca="1">IFERROR(VLOOKUP('Critical resources'!K106,$A$6:$C$57,3,0),0)</f>
        <v>0</v>
      </c>
      <c r="N100" s="67">
        <f ca="1">IFERROR(VLOOKUP('Critical resources'!M106,$B$6:$C$57,2,0),0)</f>
        <v>0</v>
      </c>
      <c r="O100" s="67">
        <f ca="1">IFERROR(VLOOKUP('Critical resources'!N106,$A$6:$C$57,3,0),0)</f>
        <v>0</v>
      </c>
      <c r="P100" s="67">
        <f ca="1">IFERROR(VLOOKUP('Critical resources'!P106,$B$6:$C$57,2,0),0)</f>
        <v>0</v>
      </c>
      <c r="Q100" s="67">
        <f ca="1">IFERROR(VLOOKUP('Critical resources'!Q106,$A$6:$C$57,3,0),0)</f>
        <v>0</v>
      </c>
      <c r="T100" s="67" t="str">
        <f t="shared" si="28"/>
        <v xml:space="preserve">95. </v>
      </c>
      <c r="U100" s="67">
        <f t="shared" ca="1" si="36"/>
        <v>0</v>
      </c>
      <c r="V100" s="67">
        <f t="shared" ca="1" si="36"/>
        <v>0</v>
      </c>
      <c r="W100" s="67">
        <f t="shared" ca="1" si="36"/>
        <v>0</v>
      </c>
      <c r="X100" s="67">
        <f t="shared" ca="1" si="36"/>
        <v>0</v>
      </c>
      <c r="Y100" s="67">
        <f t="shared" ca="1" si="36"/>
        <v>0</v>
      </c>
      <c r="Z100" s="67">
        <f t="shared" ca="1" si="36"/>
        <v>0</v>
      </c>
      <c r="AA100" s="67">
        <f t="shared" ca="1" si="36"/>
        <v>0</v>
      </c>
      <c r="AB100" s="67">
        <f t="shared" ca="1" si="36"/>
        <v>0</v>
      </c>
      <c r="AC100" s="67">
        <f t="shared" ca="1" si="36"/>
        <v>0</v>
      </c>
      <c r="AD100" s="67">
        <f t="shared" ca="1" si="36"/>
        <v>0</v>
      </c>
      <c r="AE100" s="67">
        <f t="shared" ca="1" si="36"/>
        <v>0</v>
      </c>
      <c r="AF100" s="67">
        <f t="shared" ca="1" si="36"/>
        <v>0</v>
      </c>
      <c r="AG100" s="67">
        <f t="shared" ca="1" si="36"/>
        <v>0</v>
      </c>
      <c r="AH100" s="67">
        <f t="shared" ca="1" si="36"/>
        <v>0</v>
      </c>
      <c r="AI100" s="67">
        <f t="shared" ca="1" si="36"/>
        <v>0</v>
      </c>
      <c r="AJ100" s="67">
        <f t="shared" ca="1" si="36"/>
        <v>0</v>
      </c>
      <c r="AK100" s="67">
        <f t="shared" ca="1" si="34"/>
        <v>0</v>
      </c>
      <c r="AL100" s="67">
        <f t="shared" ca="1" si="34"/>
        <v>0</v>
      </c>
      <c r="AM100" s="67">
        <f t="shared" ca="1" si="34"/>
        <v>0</v>
      </c>
      <c r="AN100" s="67">
        <f t="shared" ca="1" si="34"/>
        <v>0</v>
      </c>
      <c r="AO100" s="67">
        <f t="shared" ca="1" si="34"/>
        <v>0</v>
      </c>
      <c r="AP100" s="67">
        <f t="shared" ca="1" si="34"/>
        <v>0</v>
      </c>
      <c r="AQ100" s="67">
        <f t="shared" ca="1" si="34"/>
        <v>0</v>
      </c>
      <c r="AR100" s="67">
        <f t="shared" ca="1" si="34"/>
        <v>0</v>
      </c>
      <c r="AS100" s="67">
        <f t="shared" ca="1" si="34"/>
        <v>0</v>
      </c>
      <c r="AT100" s="67">
        <f t="shared" ca="1" si="34"/>
        <v>0</v>
      </c>
      <c r="AU100" s="67">
        <f t="shared" ca="1" si="34"/>
        <v>0</v>
      </c>
      <c r="AV100" s="67">
        <f t="shared" ca="1" si="34"/>
        <v>0</v>
      </c>
      <c r="AW100" s="67">
        <f t="shared" ca="1" si="34"/>
        <v>0</v>
      </c>
      <c r="AX100" s="67">
        <f t="shared" ca="1" si="34"/>
        <v>0</v>
      </c>
      <c r="AY100" s="67">
        <f t="shared" ca="1" si="33"/>
        <v>0</v>
      </c>
      <c r="AZ100" s="67">
        <f t="shared" ca="1" si="33"/>
        <v>0</v>
      </c>
      <c r="BA100" s="67">
        <f t="shared" ca="1" si="33"/>
        <v>0</v>
      </c>
      <c r="BB100" s="67">
        <f t="shared" ca="1" si="33"/>
        <v>0</v>
      </c>
      <c r="BC100" s="67">
        <f t="shared" ca="1" si="33"/>
        <v>0</v>
      </c>
      <c r="BD100" s="67">
        <f t="shared" ca="1" si="33"/>
        <v>0</v>
      </c>
      <c r="BE100" s="67">
        <f t="shared" ca="1" si="33"/>
        <v>0</v>
      </c>
      <c r="BF100" s="67">
        <f t="shared" ca="1" si="33"/>
        <v>0</v>
      </c>
      <c r="BG100" s="67">
        <f t="shared" ca="1" si="33"/>
        <v>0</v>
      </c>
      <c r="BH100" s="67">
        <f t="shared" ca="1" si="33"/>
        <v>0</v>
      </c>
      <c r="BI100" s="67">
        <f t="shared" ca="1" si="33"/>
        <v>0</v>
      </c>
      <c r="BJ100" s="67">
        <f t="shared" ca="1" si="33"/>
        <v>0</v>
      </c>
      <c r="BK100" s="67">
        <f t="shared" ca="1" si="33"/>
        <v>0</v>
      </c>
      <c r="BL100" s="67">
        <f t="shared" ca="1" si="33"/>
        <v>0</v>
      </c>
      <c r="BM100" s="67">
        <f t="shared" ca="1" si="33"/>
        <v>0</v>
      </c>
      <c r="BN100" s="67">
        <f t="shared" ca="1" si="33"/>
        <v>0</v>
      </c>
      <c r="BO100" s="67">
        <f t="shared" ca="1" si="35"/>
        <v>0</v>
      </c>
      <c r="BP100" s="67">
        <f t="shared" ca="1" si="35"/>
        <v>0</v>
      </c>
      <c r="BQ100" s="67">
        <f t="shared" ca="1" si="35"/>
        <v>0</v>
      </c>
      <c r="BR100" s="67">
        <f t="shared" ca="1" si="35"/>
        <v>0</v>
      </c>
      <c r="BS100" s="67">
        <f t="shared" ca="1" si="35"/>
        <v>0</v>
      </c>
      <c r="BT100" s="67">
        <f t="shared" ca="1" si="35"/>
        <v>0</v>
      </c>
    </row>
    <row r="101" spans="2:72" x14ac:dyDescent="0.25">
      <c r="B101" s="87"/>
      <c r="G101" s="67" t="str">
        <f>ROW(A96)&amp;". "&amp;'Critical resources'!B107</f>
        <v xml:space="preserve">96. </v>
      </c>
      <c r="H101" s="67">
        <f ca="1">IFERROR(VLOOKUP('Critical resources'!D107,$B$6:$C$57,2,0),0)</f>
        <v>0</v>
      </c>
      <c r="I101" s="67">
        <f ca="1">IFERROR(VLOOKUP('Critical resources'!E107,$A$6:$C$57,3,0),0)</f>
        <v>0</v>
      </c>
      <c r="J101" s="67">
        <f ca="1">IFERROR(VLOOKUP('Critical resources'!G107,$B$6:$C$57,2,0),0)</f>
        <v>0</v>
      </c>
      <c r="K101" s="67">
        <f ca="1">IFERROR(VLOOKUP('Critical resources'!H107,$B$6:$C$57,2,0),0)</f>
        <v>0</v>
      </c>
      <c r="L101" s="67">
        <f ca="1">IFERROR(VLOOKUP('Critical resources'!J107,$B$6:$C$57,2,0),0)</f>
        <v>0</v>
      </c>
      <c r="M101" s="67">
        <f ca="1">IFERROR(VLOOKUP('Critical resources'!K107,$A$6:$C$57,3,0),0)</f>
        <v>0</v>
      </c>
      <c r="N101" s="67">
        <f ca="1">IFERROR(VLOOKUP('Critical resources'!M107,$B$6:$C$57,2,0),0)</f>
        <v>0</v>
      </c>
      <c r="O101" s="67">
        <f ca="1">IFERROR(VLOOKUP('Critical resources'!N107,$A$6:$C$57,3,0),0)</f>
        <v>0</v>
      </c>
      <c r="P101" s="67">
        <f ca="1">IFERROR(VLOOKUP('Critical resources'!P107,$B$6:$C$57,2,0),0)</f>
        <v>0</v>
      </c>
      <c r="Q101" s="67">
        <f ca="1">IFERROR(VLOOKUP('Critical resources'!Q107,$A$6:$C$57,3,0),0)</f>
        <v>0</v>
      </c>
      <c r="T101" s="67" t="str">
        <f t="shared" si="28"/>
        <v xml:space="preserve">96. </v>
      </c>
      <c r="U101" s="67">
        <f t="shared" ca="1" si="36"/>
        <v>0</v>
      </c>
      <c r="V101" s="67">
        <f t="shared" ca="1" si="36"/>
        <v>0</v>
      </c>
      <c r="W101" s="67">
        <f t="shared" ca="1" si="36"/>
        <v>0</v>
      </c>
      <c r="X101" s="67">
        <f t="shared" ca="1" si="36"/>
        <v>0</v>
      </c>
      <c r="Y101" s="67">
        <f t="shared" ca="1" si="36"/>
        <v>0</v>
      </c>
      <c r="Z101" s="67">
        <f t="shared" ca="1" si="36"/>
        <v>0</v>
      </c>
      <c r="AA101" s="67">
        <f t="shared" ca="1" si="36"/>
        <v>0</v>
      </c>
      <c r="AB101" s="67">
        <f t="shared" ca="1" si="36"/>
        <v>0</v>
      </c>
      <c r="AC101" s="67">
        <f t="shared" ca="1" si="36"/>
        <v>0</v>
      </c>
      <c r="AD101" s="67">
        <f t="shared" ca="1" si="36"/>
        <v>0</v>
      </c>
      <c r="AE101" s="67">
        <f t="shared" ca="1" si="36"/>
        <v>0</v>
      </c>
      <c r="AF101" s="67">
        <f t="shared" ca="1" si="36"/>
        <v>0</v>
      </c>
      <c r="AG101" s="67">
        <f t="shared" ca="1" si="36"/>
        <v>0</v>
      </c>
      <c r="AH101" s="67">
        <f t="shared" ca="1" si="36"/>
        <v>0</v>
      </c>
      <c r="AI101" s="67">
        <f t="shared" ca="1" si="36"/>
        <v>0</v>
      </c>
      <c r="AJ101" s="67">
        <f t="shared" ca="1" si="36"/>
        <v>0</v>
      </c>
      <c r="AK101" s="67">
        <f t="shared" ca="1" si="34"/>
        <v>0</v>
      </c>
      <c r="AL101" s="67">
        <f t="shared" ca="1" si="34"/>
        <v>0</v>
      </c>
      <c r="AM101" s="67">
        <f t="shared" ca="1" si="34"/>
        <v>0</v>
      </c>
      <c r="AN101" s="67">
        <f t="shared" ca="1" si="34"/>
        <v>0</v>
      </c>
      <c r="AO101" s="67">
        <f t="shared" ca="1" si="34"/>
        <v>0</v>
      </c>
      <c r="AP101" s="67">
        <f t="shared" ca="1" si="34"/>
        <v>0</v>
      </c>
      <c r="AQ101" s="67">
        <f t="shared" ca="1" si="34"/>
        <v>0</v>
      </c>
      <c r="AR101" s="67">
        <f t="shared" ca="1" si="34"/>
        <v>0</v>
      </c>
      <c r="AS101" s="67">
        <f t="shared" ca="1" si="34"/>
        <v>0</v>
      </c>
      <c r="AT101" s="67">
        <f t="shared" ca="1" si="34"/>
        <v>0</v>
      </c>
      <c r="AU101" s="67">
        <f t="shared" ca="1" si="34"/>
        <v>0</v>
      </c>
      <c r="AV101" s="67">
        <f t="shared" ca="1" si="34"/>
        <v>0</v>
      </c>
      <c r="AW101" s="67">
        <f t="shared" ca="1" si="34"/>
        <v>0</v>
      </c>
      <c r="AX101" s="67">
        <f t="shared" ca="1" si="34"/>
        <v>0</v>
      </c>
      <c r="AY101" s="67">
        <f t="shared" ca="1" si="34"/>
        <v>0</v>
      </c>
      <c r="AZ101" s="67">
        <f t="shared" ca="1" si="34"/>
        <v>0</v>
      </c>
      <c r="BA101" s="67">
        <f t="shared" ref="BA101:BP105" ca="1" si="37">SUM(IFERROR(IF(AND(BA$5&gt;=$H101,BA$5&lt;=$I101),1,0),0),IFERROR(IF(AND(BA$5&gt;=$J101,BA$5&lt;=$K101),1,0),0),IFERROR(IF(AND(BA$5&gt;=$L101,BA$5&lt;=$M101),1,0),0),IFERROR(IF(AND(BA$5&gt;=$N101,BA$5&lt;=$O101),1,0),0),IFERROR(IF(AND(BA$5&gt;=$P101,BA$5&lt;=$Q101),1,0),0))</f>
        <v>0</v>
      </c>
      <c r="BB101" s="67">
        <f t="shared" ca="1" si="37"/>
        <v>0</v>
      </c>
      <c r="BC101" s="67">
        <f t="shared" ca="1" si="37"/>
        <v>0</v>
      </c>
      <c r="BD101" s="67">
        <f t="shared" ca="1" si="37"/>
        <v>0</v>
      </c>
      <c r="BE101" s="67">
        <f t="shared" ca="1" si="37"/>
        <v>0</v>
      </c>
      <c r="BF101" s="67">
        <f t="shared" ca="1" si="37"/>
        <v>0</v>
      </c>
      <c r="BG101" s="67">
        <f t="shared" ca="1" si="37"/>
        <v>0</v>
      </c>
      <c r="BH101" s="67">
        <f t="shared" ca="1" si="37"/>
        <v>0</v>
      </c>
      <c r="BI101" s="67">
        <f t="shared" ca="1" si="37"/>
        <v>0</v>
      </c>
      <c r="BJ101" s="67">
        <f t="shared" ca="1" si="37"/>
        <v>0</v>
      </c>
      <c r="BK101" s="67">
        <f t="shared" ca="1" si="37"/>
        <v>0</v>
      </c>
      <c r="BL101" s="67">
        <f t="shared" ca="1" si="37"/>
        <v>0</v>
      </c>
      <c r="BM101" s="67">
        <f t="shared" ca="1" si="37"/>
        <v>0</v>
      </c>
      <c r="BN101" s="67">
        <f t="shared" ca="1" si="37"/>
        <v>0</v>
      </c>
      <c r="BO101" s="67">
        <f t="shared" ca="1" si="35"/>
        <v>0</v>
      </c>
      <c r="BP101" s="67">
        <f t="shared" ca="1" si="35"/>
        <v>0</v>
      </c>
      <c r="BQ101" s="67">
        <f t="shared" ca="1" si="35"/>
        <v>0</v>
      </c>
      <c r="BR101" s="67">
        <f t="shared" ca="1" si="35"/>
        <v>0</v>
      </c>
      <c r="BS101" s="67">
        <f t="shared" ca="1" si="35"/>
        <v>0</v>
      </c>
      <c r="BT101" s="67">
        <f t="shared" ca="1" si="35"/>
        <v>0</v>
      </c>
    </row>
    <row r="102" spans="2:72" x14ac:dyDescent="0.25">
      <c r="B102" s="87"/>
      <c r="G102" s="67" t="str">
        <f>ROW(A97)&amp;". "&amp;'Critical resources'!B108</f>
        <v xml:space="preserve">97. </v>
      </c>
      <c r="H102" s="67">
        <f ca="1">IFERROR(VLOOKUP('Critical resources'!D108,$B$6:$C$57,2,0),0)</f>
        <v>0</v>
      </c>
      <c r="I102" s="67">
        <f ca="1">IFERROR(VLOOKUP('Critical resources'!E108,$A$6:$C$57,3,0),0)</f>
        <v>0</v>
      </c>
      <c r="J102" s="67">
        <f ca="1">IFERROR(VLOOKUP('Critical resources'!G108,$B$6:$C$57,2,0),0)</f>
        <v>0</v>
      </c>
      <c r="K102" s="67">
        <f ca="1">IFERROR(VLOOKUP('Critical resources'!H108,$B$6:$C$57,2,0),0)</f>
        <v>0</v>
      </c>
      <c r="L102" s="67">
        <f ca="1">IFERROR(VLOOKUP('Critical resources'!J108,$B$6:$C$57,2,0),0)</f>
        <v>0</v>
      </c>
      <c r="M102" s="67">
        <f ca="1">IFERROR(VLOOKUP('Critical resources'!K108,$A$6:$C$57,3,0),0)</f>
        <v>0</v>
      </c>
      <c r="N102" s="67">
        <f ca="1">IFERROR(VLOOKUP('Critical resources'!M108,$B$6:$C$57,2,0),0)</f>
        <v>0</v>
      </c>
      <c r="O102" s="67">
        <f ca="1">IFERROR(VLOOKUP('Critical resources'!N108,$A$6:$C$57,3,0),0)</f>
        <v>0</v>
      </c>
      <c r="P102" s="67">
        <f ca="1">IFERROR(VLOOKUP('Critical resources'!P108,$B$6:$C$57,2,0),0)</f>
        <v>0</v>
      </c>
      <c r="Q102" s="67">
        <f ca="1">IFERROR(VLOOKUP('Critical resources'!Q108,$A$6:$C$57,3,0),0)</f>
        <v>0</v>
      </c>
      <c r="T102" s="67" t="str">
        <f t="shared" si="28"/>
        <v xml:space="preserve">97. </v>
      </c>
      <c r="U102" s="67">
        <f t="shared" ca="1" si="36"/>
        <v>0</v>
      </c>
      <c r="V102" s="67">
        <f t="shared" ca="1" si="36"/>
        <v>0</v>
      </c>
      <c r="W102" s="67">
        <f t="shared" ca="1" si="36"/>
        <v>0</v>
      </c>
      <c r="X102" s="67">
        <f t="shared" ca="1" si="36"/>
        <v>0</v>
      </c>
      <c r="Y102" s="67">
        <f t="shared" ca="1" si="36"/>
        <v>0</v>
      </c>
      <c r="Z102" s="67">
        <f t="shared" ca="1" si="36"/>
        <v>0</v>
      </c>
      <c r="AA102" s="67">
        <f t="shared" ca="1" si="36"/>
        <v>0</v>
      </c>
      <c r="AB102" s="67">
        <f t="shared" ca="1" si="36"/>
        <v>0</v>
      </c>
      <c r="AC102" s="67">
        <f t="shared" ca="1" si="36"/>
        <v>0</v>
      </c>
      <c r="AD102" s="67">
        <f t="shared" ca="1" si="36"/>
        <v>0</v>
      </c>
      <c r="AE102" s="67">
        <f t="shared" ca="1" si="36"/>
        <v>0</v>
      </c>
      <c r="AF102" s="67">
        <f t="shared" ca="1" si="36"/>
        <v>0</v>
      </c>
      <c r="AG102" s="67">
        <f t="shared" ca="1" si="36"/>
        <v>0</v>
      </c>
      <c r="AH102" s="67">
        <f t="shared" ca="1" si="36"/>
        <v>0</v>
      </c>
      <c r="AI102" s="67">
        <f t="shared" ca="1" si="36"/>
        <v>0</v>
      </c>
      <c r="AJ102" s="67">
        <f t="shared" ref="AJ102:AY105" ca="1" si="38">SUM(IFERROR(IF(AND(AJ$5&gt;=$H102,AJ$5&lt;=$I102),1,0),0),IFERROR(IF(AND(AJ$5&gt;=$J102,AJ$5&lt;=$K102),1,0),0),IFERROR(IF(AND(AJ$5&gt;=$L102,AJ$5&lt;=$M102),1,0),0),IFERROR(IF(AND(AJ$5&gt;=$N102,AJ$5&lt;=$O102),1,0),0),IFERROR(IF(AND(AJ$5&gt;=$P102,AJ$5&lt;=$Q102),1,0),0))</f>
        <v>0</v>
      </c>
      <c r="AK102" s="67">
        <f t="shared" ca="1" si="38"/>
        <v>0</v>
      </c>
      <c r="AL102" s="67">
        <f t="shared" ca="1" si="38"/>
        <v>0</v>
      </c>
      <c r="AM102" s="67">
        <f t="shared" ca="1" si="38"/>
        <v>0</v>
      </c>
      <c r="AN102" s="67">
        <f t="shared" ca="1" si="38"/>
        <v>0</v>
      </c>
      <c r="AO102" s="67">
        <f t="shared" ca="1" si="38"/>
        <v>0</v>
      </c>
      <c r="AP102" s="67">
        <f t="shared" ca="1" si="38"/>
        <v>0</v>
      </c>
      <c r="AQ102" s="67">
        <f t="shared" ca="1" si="38"/>
        <v>0</v>
      </c>
      <c r="AR102" s="67">
        <f t="shared" ca="1" si="38"/>
        <v>0</v>
      </c>
      <c r="AS102" s="67">
        <f t="shared" ca="1" si="38"/>
        <v>0</v>
      </c>
      <c r="AT102" s="67">
        <f t="shared" ca="1" si="38"/>
        <v>0</v>
      </c>
      <c r="AU102" s="67">
        <f t="shared" ca="1" si="38"/>
        <v>0</v>
      </c>
      <c r="AV102" s="67">
        <f t="shared" ca="1" si="38"/>
        <v>0</v>
      </c>
      <c r="AW102" s="67">
        <f t="shared" ca="1" si="38"/>
        <v>0</v>
      </c>
      <c r="AX102" s="67">
        <f t="shared" ca="1" si="38"/>
        <v>0</v>
      </c>
      <c r="AY102" s="67">
        <f t="shared" ca="1" si="38"/>
        <v>0</v>
      </c>
      <c r="AZ102" s="67">
        <f t="shared" ref="AZ102:AZ105" ca="1" si="39">SUM(IFERROR(IF(AND(AZ$5&gt;=$H102,AZ$5&lt;=$I102),1,0),0),IFERROR(IF(AND(AZ$5&gt;=$J102,AZ$5&lt;=$K102),1,0),0),IFERROR(IF(AND(AZ$5&gt;=$L102,AZ$5&lt;=$M102),1,0),0),IFERROR(IF(AND(AZ$5&gt;=$N102,AZ$5&lt;=$O102),1,0),0),IFERROR(IF(AND(AZ$5&gt;=$P102,AZ$5&lt;=$Q102),1,0),0))</f>
        <v>0</v>
      </c>
      <c r="BA102" s="67">
        <f t="shared" ca="1" si="37"/>
        <v>0</v>
      </c>
      <c r="BB102" s="67">
        <f t="shared" ca="1" si="37"/>
        <v>0</v>
      </c>
      <c r="BC102" s="67">
        <f t="shared" ca="1" si="37"/>
        <v>0</v>
      </c>
      <c r="BD102" s="67">
        <f t="shared" ca="1" si="37"/>
        <v>0</v>
      </c>
      <c r="BE102" s="67">
        <f t="shared" ca="1" si="37"/>
        <v>0</v>
      </c>
      <c r="BF102" s="67">
        <f t="shared" ca="1" si="37"/>
        <v>0</v>
      </c>
      <c r="BG102" s="67">
        <f t="shared" ca="1" si="37"/>
        <v>0</v>
      </c>
      <c r="BH102" s="67">
        <f t="shared" ca="1" si="37"/>
        <v>0</v>
      </c>
      <c r="BI102" s="67">
        <f t="shared" ca="1" si="37"/>
        <v>0</v>
      </c>
      <c r="BJ102" s="67">
        <f t="shared" ca="1" si="37"/>
        <v>0</v>
      </c>
      <c r="BK102" s="67">
        <f t="shared" ca="1" si="37"/>
        <v>0</v>
      </c>
      <c r="BL102" s="67">
        <f t="shared" ca="1" si="37"/>
        <v>0</v>
      </c>
      <c r="BM102" s="67">
        <f t="shared" ca="1" si="37"/>
        <v>0</v>
      </c>
      <c r="BN102" s="67">
        <f t="shared" ca="1" si="37"/>
        <v>0</v>
      </c>
      <c r="BO102" s="67">
        <f t="shared" ca="1" si="37"/>
        <v>0</v>
      </c>
      <c r="BP102" s="67">
        <f t="shared" ca="1" si="37"/>
        <v>0</v>
      </c>
      <c r="BQ102" s="67">
        <f t="shared" ref="BQ102:BT105" ca="1" si="40">SUM(IFERROR(IF(AND(BQ$5&gt;=$H102,BQ$5&lt;=$I102),1,0),0),IFERROR(IF(AND(BQ$5&gt;=$J102,BQ$5&lt;=$K102),1,0),0),IFERROR(IF(AND(BQ$5&gt;=$L102,BQ$5&lt;=$M102),1,0),0),IFERROR(IF(AND(BQ$5&gt;=$N102,BQ$5&lt;=$O102),1,0),0),IFERROR(IF(AND(BQ$5&gt;=$P102,BQ$5&lt;=$Q102),1,0),0))</f>
        <v>0</v>
      </c>
      <c r="BR102" s="67">
        <f t="shared" ca="1" si="40"/>
        <v>0</v>
      </c>
      <c r="BS102" s="67">
        <f t="shared" ca="1" si="40"/>
        <v>0</v>
      </c>
      <c r="BT102" s="67">
        <f t="shared" ca="1" si="40"/>
        <v>0</v>
      </c>
    </row>
    <row r="103" spans="2:72" x14ac:dyDescent="0.25">
      <c r="B103" s="87"/>
      <c r="G103" s="67" t="str">
        <f>ROW(A98)&amp;". "&amp;'Critical resources'!B109</f>
        <v xml:space="preserve">98. </v>
      </c>
      <c r="H103" s="67">
        <f ca="1">IFERROR(VLOOKUP('Critical resources'!D109,$B$6:$C$57,2,0),0)</f>
        <v>0</v>
      </c>
      <c r="I103" s="67">
        <f ca="1">IFERROR(VLOOKUP('Critical resources'!E109,$A$6:$C$57,3,0),0)</f>
        <v>0</v>
      </c>
      <c r="J103" s="67">
        <f ca="1">IFERROR(VLOOKUP('Critical resources'!G109,$B$6:$C$57,2,0),0)</f>
        <v>0</v>
      </c>
      <c r="K103" s="67">
        <f ca="1">IFERROR(VLOOKUP('Critical resources'!H109,$B$6:$C$57,2,0),0)</f>
        <v>0</v>
      </c>
      <c r="L103" s="67">
        <f ca="1">IFERROR(VLOOKUP('Critical resources'!J109,$B$6:$C$57,2,0),0)</f>
        <v>0</v>
      </c>
      <c r="M103" s="67">
        <f ca="1">IFERROR(VLOOKUP('Critical resources'!K109,$A$6:$C$57,3,0),0)</f>
        <v>0</v>
      </c>
      <c r="N103" s="67">
        <f ca="1">IFERROR(VLOOKUP('Critical resources'!M109,$B$6:$C$57,2,0),0)</f>
        <v>0</v>
      </c>
      <c r="O103" s="67">
        <f ca="1">IFERROR(VLOOKUP('Critical resources'!N109,$A$6:$C$57,3,0),0)</f>
        <v>0</v>
      </c>
      <c r="P103" s="67">
        <f ca="1">IFERROR(VLOOKUP('Critical resources'!P109,$B$6:$C$57,2,0),0)</f>
        <v>0</v>
      </c>
      <c r="Q103" s="67">
        <f ca="1">IFERROR(VLOOKUP('Critical resources'!Q109,$A$6:$C$57,3,0),0)</f>
        <v>0</v>
      </c>
      <c r="T103" s="67" t="str">
        <f t="shared" si="28"/>
        <v xml:space="preserve">98. </v>
      </c>
      <c r="U103" s="67">
        <f t="shared" ref="U103:AI105" ca="1" si="41">SUM(IFERROR(IF(AND(U$5&gt;=$H103,U$5&lt;=$I103),1,0),0),IFERROR(IF(AND(U$5&gt;=$J103,U$5&lt;=$K103),1,0),0),IFERROR(IF(AND(U$5&gt;=$L103,U$5&lt;=$M103),1,0),0),IFERROR(IF(AND(U$5&gt;=$N103,U$5&lt;=$O103),1,0),0),IFERROR(IF(AND(U$5&gt;=$P103,U$5&lt;=$Q103),1,0),0))</f>
        <v>0</v>
      </c>
      <c r="V103" s="67">
        <f t="shared" ca="1" si="41"/>
        <v>0</v>
      </c>
      <c r="W103" s="67">
        <f t="shared" ca="1" si="41"/>
        <v>0</v>
      </c>
      <c r="X103" s="67">
        <f t="shared" ca="1" si="41"/>
        <v>0</v>
      </c>
      <c r="Y103" s="67">
        <f t="shared" ca="1" si="41"/>
        <v>0</v>
      </c>
      <c r="Z103" s="67">
        <f t="shared" ca="1" si="41"/>
        <v>0</v>
      </c>
      <c r="AA103" s="67">
        <f t="shared" ca="1" si="41"/>
        <v>0</v>
      </c>
      <c r="AB103" s="67">
        <f t="shared" ca="1" si="41"/>
        <v>0</v>
      </c>
      <c r="AC103" s="67">
        <f t="shared" ca="1" si="41"/>
        <v>0</v>
      </c>
      <c r="AD103" s="67">
        <f t="shared" ca="1" si="41"/>
        <v>0</v>
      </c>
      <c r="AE103" s="67">
        <f t="shared" ca="1" si="41"/>
        <v>0</v>
      </c>
      <c r="AF103" s="67">
        <f t="shared" ca="1" si="41"/>
        <v>0</v>
      </c>
      <c r="AG103" s="67">
        <f t="shared" ca="1" si="41"/>
        <v>0</v>
      </c>
      <c r="AH103" s="67">
        <f t="shared" ca="1" si="41"/>
        <v>0</v>
      </c>
      <c r="AI103" s="67">
        <f t="shared" ca="1" si="41"/>
        <v>0</v>
      </c>
      <c r="AJ103" s="67">
        <f t="shared" ca="1" si="38"/>
        <v>0</v>
      </c>
      <c r="AK103" s="67">
        <f t="shared" ca="1" si="38"/>
        <v>0</v>
      </c>
      <c r="AL103" s="67">
        <f t="shared" ca="1" si="38"/>
        <v>0</v>
      </c>
      <c r="AM103" s="67">
        <f t="shared" ca="1" si="38"/>
        <v>0</v>
      </c>
      <c r="AN103" s="67">
        <f t="shared" ca="1" si="38"/>
        <v>0</v>
      </c>
      <c r="AO103" s="67">
        <f t="shared" ca="1" si="38"/>
        <v>0</v>
      </c>
      <c r="AP103" s="67">
        <f t="shared" ca="1" si="38"/>
        <v>0</v>
      </c>
      <c r="AQ103" s="67">
        <f t="shared" ca="1" si="38"/>
        <v>0</v>
      </c>
      <c r="AR103" s="67">
        <f t="shared" ca="1" si="38"/>
        <v>0</v>
      </c>
      <c r="AS103" s="67">
        <f t="shared" ca="1" si="38"/>
        <v>0</v>
      </c>
      <c r="AT103" s="67">
        <f t="shared" ca="1" si="38"/>
        <v>0</v>
      </c>
      <c r="AU103" s="67">
        <f t="shared" ca="1" si="38"/>
        <v>0</v>
      </c>
      <c r="AV103" s="67">
        <f t="shared" ca="1" si="38"/>
        <v>0</v>
      </c>
      <c r="AW103" s="67">
        <f t="shared" ca="1" si="38"/>
        <v>0</v>
      </c>
      <c r="AX103" s="67">
        <f t="shared" ca="1" si="38"/>
        <v>0</v>
      </c>
      <c r="AY103" s="67">
        <f t="shared" ca="1" si="38"/>
        <v>0</v>
      </c>
      <c r="AZ103" s="67">
        <f t="shared" ca="1" si="39"/>
        <v>0</v>
      </c>
      <c r="BA103" s="67">
        <f t="shared" ca="1" si="37"/>
        <v>0</v>
      </c>
      <c r="BB103" s="67">
        <f t="shared" ca="1" si="37"/>
        <v>0</v>
      </c>
      <c r="BC103" s="67">
        <f t="shared" ca="1" si="37"/>
        <v>0</v>
      </c>
      <c r="BD103" s="67">
        <f t="shared" ca="1" si="37"/>
        <v>0</v>
      </c>
      <c r="BE103" s="67">
        <f t="shared" ca="1" si="37"/>
        <v>0</v>
      </c>
      <c r="BF103" s="67">
        <f t="shared" ca="1" si="37"/>
        <v>0</v>
      </c>
      <c r="BG103" s="67">
        <f t="shared" ca="1" si="37"/>
        <v>0</v>
      </c>
      <c r="BH103" s="67">
        <f t="shared" ca="1" si="37"/>
        <v>0</v>
      </c>
      <c r="BI103" s="67">
        <f t="shared" ca="1" si="37"/>
        <v>0</v>
      </c>
      <c r="BJ103" s="67">
        <f t="shared" ca="1" si="37"/>
        <v>0</v>
      </c>
      <c r="BK103" s="67">
        <f t="shared" ca="1" si="37"/>
        <v>0</v>
      </c>
      <c r="BL103" s="67">
        <f t="shared" ca="1" si="37"/>
        <v>0</v>
      </c>
      <c r="BM103" s="67">
        <f t="shared" ca="1" si="37"/>
        <v>0</v>
      </c>
      <c r="BN103" s="67">
        <f t="shared" ca="1" si="37"/>
        <v>0</v>
      </c>
      <c r="BO103" s="67">
        <f t="shared" ca="1" si="37"/>
        <v>0</v>
      </c>
      <c r="BP103" s="67">
        <f t="shared" ca="1" si="37"/>
        <v>0</v>
      </c>
      <c r="BQ103" s="67">
        <f t="shared" ca="1" si="40"/>
        <v>0</v>
      </c>
      <c r="BR103" s="67">
        <f t="shared" ca="1" si="40"/>
        <v>0</v>
      </c>
      <c r="BS103" s="67">
        <f t="shared" ca="1" si="40"/>
        <v>0</v>
      </c>
      <c r="BT103" s="67">
        <f t="shared" ca="1" si="40"/>
        <v>0</v>
      </c>
    </row>
    <row r="104" spans="2:72" x14ac:dyDescent="0.25">
      <c r="B104" s="87"/>
      <c r="G104" s="67" t="str">
        <f>ROW(A99)&amp;". "&amp;'Critical resources'!B110</f>
        <v xml:space="preserve">99. </v>
      </c>
      <c r="H104" s="67">
        <f ca="1">IFERROR(VLOOKUP('Critical resources'!D110,$B$6:$C$57,2,0),0)</f>
        <v>0</v>
      </c>
      <c r="I104" s="67">
        <f ca="1">IFERROR(VLOOKUP('Critical resources'!E110,$A$6:$C$57,3,0),0)</f>
        <v>0</v>
      </c>
      <c r="J104" s="67">
        <f ca="1">IFERROR(VLOOKUP('Critical resources'!G110,$B$6:$C$57,2,0),0)</f>
        <v>0</v>
      </c>
      <c r="K104" s="67">
        <f ca="1">IFERROR(VLOOKUP('Critical resources'!H110,$B$6:$C$57,2,0),0)</f>
        <v>0</v>
      </c>
      <c r="L104" s="67">
        <f ca="1">IFERROR(VLOOKUP('Critical resources'!J110,$B$6:$C$57,2,0),0)</f>
        <v>0</v>
      </c>
      <c r="M104" s="67">
        <f ca="1">IFERROR(VLOOKUP('Critical resources'!K110,$A$6:$C$57,3,0),0)</f>
        <v>0</v>
      </c>
      <c r="N104" s="67">
        <f ca="1">IFERROR(VLOOKUP('Critical resources'!M110,$B$6:$C$57,2,0),0)</f>
        <v>0</v>
      </c>
      <c r="O104" s="67">
        <f ca="1">IFERROR(VLOOKUP('Critical resources'!N110,$A$6:$C$57,3,0),0)</f>
        <v>0</v>
      </c>
      <c r="P104" s="67">
        <f ca="1">IFERROR(VLOOKUP('Critical resources'!P110,$B$6:$C$57,2,0),0)</f>
        <v>0</v>
      </c>
      <c r="Q104" s="67">
        <f ca="1">IFERROR(VLOOKUP('Critical resources'!Q110,$A$6:$C$57,3,0),0)</f>
        <v>0</v>
      </c>
      <c r="T104" s="67" t="str">
        <f t="shared" si="28"/>
        <v xml:space="preserve">99. </v>
      </c>
      <c r="U104" s="67">
        <f t="shared" ca="1" si="41"/>
        <v>0</v>
      </c>
      <c r="V104" s="67">
        <f t="shared" ca="1" si="41"/>
        <v>0</v>
      </c>
      <c r="W104" s="67">
        <f t="shared" ca="1" si="41"/>
        <v>0</v>
      </c>
      <c r="X104" s="67">
        <f t="shared" ca="1" si="41"/>
        <v>0</v>
      </c>
      <c r="Y104" s="67">
        <f t="shared" ca="1" si="41"/>
        <v>0</v>
      </c>
      <c r="Z104" s="67">
        <f t="shared" ca="1" si="41"/>
        <v>0</v>
      </c>
      <c r="AA104" s="67">
        <f t="shared" ca="1" si="41"/>
        <v>0</v>
      </c>
      <c r="AB104" s="67">
        <f t="shared" ca="1" si="41"/>
        <v>0</v>
      </c>
      <c r="AC104" s="67">
        <f t="shared" ca="1" si="41"/>
        <v>0</v>
      </c>
      <c r="AD104" s="67">
        <f t="shared" ca="1" si="41"/>
        <v>0</v>
      </c>
      <c r="AE104" s="67">
        <f t="shared" ca="1" si="41"/>
        <v>0</v>
      </c>
      <c r="AF104" s="67">
        <f t="shared" ca="1" si="41"/>
        <v>0</v>
      </c>
      <c r="AG104" s="67">
        <f t="shared" ca="1" si="41"/>
        <v>0</v>
      </c>
      <c r="AH104" s="67">
        <f t="shared" ca="1" si="41"/>
        <v>0</v>
      </c>
      <c r="AI104" s="67">
        <f t="shared" ca="1" si="41"/>
        <v>0</v>
      </c>
      <c r="AJ104" s="67">
        <f t="shared" ca="1" si="38"/>
        <v>0</v>
      </c>
      <c r="AK104" s="67">
        <f t="shared" ca="1" si="38"/>
        <v>0</v>
      </c>
      <c r="AL104" s="67">
        <f t="shared" ca="1" si="38"/>
        <v>0</v>
      </c>
      <c r="AM104" s="67">
        <f t="shared" ca="1" si="38"/>
        <v>0</v>
      </c>
      <c r="AN104" s="67">
        <f t="shared" ca="1" si="38"/>
        <v>0</v>
      </c>
      <c r="AO104" s="67">
        <f t="shared" ca="1" si="38"/>
        <v>0</v>
      </c>
      <c r="AP104" s="67">
        <f t="shared" ca="1" si="38"/>
        <v>0</v>
      </c>
      <c r="AQ104" s="67">
        <f t="shared" ca="1" si="38"/>
        <v>0</v>
      </c>
      <c r="AR104" s="67">
        <f t="shared" ca="1" si="38"/>
        <v>0</v>
      </c>
      <c r="AS104" s="67">
        <f t="shared" ca="1" si="38"/>
        <v>0</v>
      </c>
      <c r="AT104" s="67">
        <f t="shared" ca="1" si="38"/>
        <v>0</v>
      </c>
      <c r="AU104" s="67">
        <f t="shared" ca="1" si="38"/>
        <v>0</v>
      </c>
      <c r="AV104" s="67">
        <f t="shared" ca="1" si="38"/>
        <v>0</v>
      </c>
      <c r="AW104" s="67">
        <f t="shared" ca="1" si="38"/>
        <v>0</v>
      </c>
      <c r="AX104" s="67">
        <f t="shared" ca="1" si="38"/>
        <v>0</v>
      </c>
      <c r="AY104" s="67">
        <f t="shared" ca="1" si="38"/>
        <v>0</v>
      </c>
      <c r="AZ104" s="67">
        <f t="shared" ca="1" si="39"/>
        <v>0</v>
      </c>
      <c r="BA104" s="67">
        <f t="shared" ca="1" si="37"/>
        <v>0</v>
      </c>
      <c r="BB104" s="67">
        <f t="shared" ca="1" si="37"/>
        <v>0</v>
      </c>
      <c r="BC104" s="67">
        <f t="shared" ca="1" si="37"/>
        <v>0</v>
      </c>
      <c r="BD104" s="67">
        <f t="shared" ca="1" si="37"/>
        <v>0</v>
      </c>
      <c r="BE104" s="67">
        <f t="shared" ca="1" si="37"/>
        <v>0</v>
      </c>
      <c r="BF104" s="67">
        <f t="shared" ca="1" si="37"/>
        <v>0</v>
      </c>
      <c r="BG104" s="67">
        <f t="shared" ca="1" si="37"/>
        <v>0</v>
      </c>
      <c r="BH104" s="67">
        <f t="shared" ca="1" si="37"/>
        <v>0</v>
      </c>
      <c r="BI104" s="67">
        <f t="shared" ca="1" si="37"/>
        <v>0</v>
      </c>
      <c r="BJ104" s="67">
        <f t="shared" ca="1" si="37"/>
        <v>0</v>
      </c>
      <c r="BK104" s="67">
        <f t="shared" ca="1" si="37"/>
        <v>0</v>
      </c>
      <c r="BL104" s="67">
        <f t="shared" ca="1" si="37"/>
        <v>0</v>
      </c>
      <c r="BM104" s="67">
        <f t="shared" ca="1" si="37"/>
        <v>0</v>
      </c>
      <c r="BN104" s="67">
        <f t="shared" ca="1" si="37"/>
        <v>0</v>
      </c>
      <c r="BO104" s="67">
        <f t="shared" ca="1" si="37"/>
        <v>0</v>
      </c>
      <c r="BP104" s="67">
        <f t="shared" ca="1" si="37"/>
        <v>0</v>
      </c>
      <c r="BQ104" s="67">
        <f t="shared" ca="1" si="40"/>
        <v>0</v>
      </c>
      <c r="BR104" s="67">
        <f t="shared" ca="1" si="40"/>
        <v>0</v>
      </c>
      <c r="BS104" s="67">
        <f t="shared" ca="1" si="40"/>
        <v>0</v>
      </c>
      <c r="BT104" s="67">
        <f t="shared" ca="1" si="40"/>
        <v>0</v>
      </c>
    </row>
    <row r="105" spans="2:72" x14ac:dyDescent="0.25">
      <c r="B105" s="87"/>
      <c r="G105" s="67" t="str">
        <f>ROW(A100)&amp;". "&amp;'Critical resources'!B111</f>
        <v xml:space="preserve">100. </v>
      </c>
      <c r="H105" s="67">
        <f ca="1">IFERROR(VLOOKUP('Critical resources'!D111,$B$6:$C$57,2,0),0)</f>
        <v>0</v>
      </c>
      <c r="I105" s="67">
        <f ca="1">IFERROR(VLOOKUP('Critical resources'!E111,$A$6:$C$57,3,0),0)</f>
        <v>0</v>
      </c>
      <c r="J105" s="67">
        <f ca="1">IFERROR(VLOOKUP('Critical resources'!G111,$B$6:$C$57,2,0),0)</f>
        <v>0</v>
      </c>
      <c r="K105" s="67">
        <f ca="1">IFERROR(VLOOKUP('Critical resources'!H111,$B$6:$C$57,2,0),0)</f>
        <v>0</v>
      </c>
      <c r="L105" s="67">
        <f ca="1">IFERROR(VLOOKUP('Critical resources'!J111,$B$6:$C$57,2,0),0)</f>
        <v>0</v>
      </c>
      <c r="M105" s="67">
        <f ca="1">IFERROR(VLOOKUP('Critical resources'!K111,$A$6:$C$57,3,0),0)</f>
        <v>0</v>
      </c>
      <c r="N105" s="67">
        <f ca="1">IFERROR(VLOOKUP('Critical resources'!M111,$B$6:$C$57,2,0),0)</f>
        <v>0</v>
      </c>
      <c r="O105" s="67">
        <f ca="1">IFERROR(VLOOKUP('Critical resources'!N111,$A$6:$C$57,3,0),0)</f>
        <v>0</v>
      </c>
      <c r="P105" s="67">
        <f ca="1">IFERROR(VLOOKUP('Critical resources'!P111,$B$6:$C$57,2,0),0)</f>
        <v>0</v>
      </c>
      <c r="Q105" s="67">
        <f ca="1">IFERROR(VLOOKUP('Critical resources'!Q111,$A$6:$C$57,3,0),0)</f>
        <v>0</v>
      </c>
      <c r="T105" s="67" t="str">
        <f t="shared" si="28"/>
        <v xml:space="preserve">100. </v>
      </c>
      <c r="U105" s="67">
        <f t="shared" ca="1" si="41"/>
        <v>0</v>
      </c>
      <c r="V105" s="67">
        <f t="shared" ca="1" si="41"/>
        <v>0</v>
      </c>
      <c r="W105" s="67">
        <f t="shared" ca="1" si="41"/>
        <v>0</v>
      </c>
      <c r="X105" s="67">
        <f t="shared" ca="1" si="41"/>
        <v>0</v>
      </c>
      <c r="Y105" s="67">
        <f t="shared" ca="1" si="41"/>
        <v>0</v>
      </c>
      <c r="Z105" s="67">
        <f t="shared" ca="1" si="41"/>
        <v>0</v>
      </c>
      <c r="AA105" s="67">
        <f t="shared" ca="1" si="41"/>
        <v>0</v>
      </c>
      <c r="AB105" s="67">
        <f t="shared" ca="1" si="41"/>
        <v>0</v>
      </c>
      <c r="AC105" s="67">
        <f t="shared" ca="1" si="41"/>
        <v>0</v>
      </c>
      <c r="AD105" s="67">
        <f t="shared" ca="1" si="41"/>
        <v>0</v>
      </c>
      <c r="AE105" s="67">
        <f t="shared" ca="1" si="41"/>
        <v>0</v>
      </c>
      <c r="AF105" s="67">
        <f t="shared" ca="1" si="41"/>
        <v>0</v>
      </c>
      <c r="AG105" s="67">
        <f t="shared" ca="1" si="41"/>
        <v>0</v>
      </c>
      <c r="AH105" s="67">
        <f t="shared" ca="1" si="41"/>
        <v>0</v>
      </c>
      <c r="AI105" s="67">
        <f t="shared" ca="1" si="41"/>
        <v>0</v>
      </c>
      <c r="AJ105" s="67">
        <f t="shared" ca="1" si="38"/>
        <v>0</v>
      </c>
      <c r="AK105" s="67">
        <f t="shared" ca="1" si="38"/>
        <v>0</v>
      </c>
      <c r="AL105" s="67">
        <f t="shared" ca="1" si="38"/>
        <v>0</v>
      </c>
      <c r="AM105" s="67">
        <f t="shared" ca="1" si="38"/>
        <v>0</v>
      </c>
      <c r="AN105" s="67">
        <f t="shared" ca="1" si="38"/>
        <v>0</v>
      </c>
      <c r="AO105" s="67">
        <f t="shared" ca="1" si="38"/>
        <v>0</v>
      </c>
      <c r="AP105" s="67">
        <f t="shared" ca="1" si="38"/>
        <v>0</v>
      </c>
      <c r="AQ105" s="67">
        <f t="shared" ca="1" si="38"/>
        <v>0</v>
      </c>
      <c r="AR105" s="67">
        <f t="shared" ca="1" si="38"/>
        <v>0</v>
      </c>
      <c r="AS105" s="67">
        <f t="shared" ca="1" si="38"/>
        <v>0</v>
      </c>
      <c r="AT105" s="67">
        <f t="shared" ca="1" si="38"/>
        <v>0</v>
      </c>
      <c r="AU105" s="67">
        <f t="shared" ca="1" si="38"/>
        <v>0</v>
      </c>
      <c r="AV105" s="67">
        <f t="shared" ca="1" si="38"/>
        <v>0</v>
      </c>
      <c r="AW105" s="67">
        <f t="shared" ca="1" si="38"/>
        <v>0</v>
      </c>
      <c r="AX105" s="67">
        <f t="shared" ca="1" si="38"/>
        <v>0</v>
      </c>
      <c r="AY105" s="67">
        <f t="shared" ca="1" si="38"/>
        <v>0</v>
      </c>
      <c r="AZ105" s="67">
        <f t="shared" ca="1" si="39"/>
        <v>0</v>
      </c>
      <c r="BA105" s="67">
        <f t="shared" ca="1" si="37"/>
        <v>0</v>
      </c>
      <c r="BB105" s="67">
        <f t="shared" ca="1" si="37"/>
        <v>0</v>
      </c>
      <c r="BC105" s="67">
        <f t="shared" ca="1" si="37"/>
        <v>0</v>
      </c>
      <c r="BD105" s="67">
        <f t="shared" ca="1" si="37"/>
        <v>0</v>
      </c>
      <c r="BE105" s="67">
        <f t="shared" ca="1" si="37"/>
        <v>0</v>
      </c>
      <c r="BF105" s="67">
        <f t="shared" ca="1" si="37"/>
        <v>0</v>
      </c>
      <c r="BG105" s="67">
        <f t="shared" ca="1" si="37"/>
        <v>0</v>
      </c>
      <c r="BH105" s="67">
        <f t="shared" ca="1" si="37"/>
        <v>0</v>
      </c>
      <c r="BI105" s="67">
        <f t="shared" ca="1" si="37"/>
        <v>0</v>
      </c>
      <c r="BJ105" s="67">
        <f t="shared" ca="1" si="37"/>
        <v>0</v>
      </c>
      <c r="BK105" s="67">
        <f t="shared" ca="1" si="37"/>
        <v>0</v>
      </c>
      <c r="BL105" s="67">
        <f t="shared" ca="1" si="37"/>
        <v>0</v>
      </c>
      <c r="BM105" s="67">
        <f t="shared" ca="1" si="37"/>
        <v>0</v>
      </c>
      <c r="BN105" s="67">
        <f t="shared" ca="1" si="37"/>
        <v>0</v>
      </c>
      <c r="BO105" s="67">
        <f t="shared" ca="1" si="37"/>
        <v>0</v>
      </c>
      <c r="BP105" s="67">
        <f t="shared" ca="1" si="37"/>
        <v>0</v>
      </c>
      <c r="BQ105" s="67">
        <f t="shared" ca="1" si="40"/>
        <v>0</v>
      </c>
      <c r="BR105" s="67">
        <f t="shared" ca="1" si="40"/>
        <v>0</v>
      </c>
      <c r="BS105" s="67">
        <f t="shared" ca="1" si="40"/>
        <v>0</v>
      </c>
      <c r="BT105" s="67">
        <f t="shared" ca="1" si="40"/>
        <v>0</v>
      </c>
    </row>
    <row r="106" spans="2:72" x14ac:dyDescent="0.25">
      <c r="B106" s="87"/>
    </row>
    <row r="107" spans="2:72" x14ac:dyDescent="0.25">
      <c r="B107" s="87"/>
    </row>
    <row r="108" spans="2:72" x14ac:dyDescent="0.25">
      <c r="B108" s="87"/>
    </row>
    <row r="109" spans="2:72" x14ac:dyDescent="0.25">
      <c r="B109" s="87"/>
    </row>
    <row r="110" spans="2:72" x14ac:dyDescent="0.25">
      <c r="B110" s="87"/>
    </row>
    <row r="111" spans="2:72" x14ac:dyDescent="0.25">
      <c r="B111" s="87"/>
    </row>
    <row r="112" spans="2:72" x14ac:dyDescent="0.25">
      <c r="B112" s="87"/>
    </row>
    <row r="113" spans="2:207" x14ac:dyDescent="0.25">
      <c r="B113" s="87"/>
    </row>
    <row r="114" spans="2:207" x14ac:dyDescent="0.25">
      <c r="B114" s="87"/>
    </row>
    <row r="115" spans="2:207" x14ac:dyDescent="0.25">
      <c r="B115" s="87"/>
    </row>
    <row r="116" spans="2:207" x14ac:dyDescent="0.25">
      <c r="B116" s="87"/>
    </row>
    <row r="117" spans="2:207" x14ac:dyDescent="0.25">
      <c r="B117" s="87"/>
    </row>
    <row r="118" spans="2:207" x14ac:dyDescent="0.25">
      <c r="B118" s="87"/>
    </row>
    <row r="119" spans="2:207" x14ac:dyDescent="0.25">
      <c r="B119" s="87"/>
    </row>
    <row r="120" spans="2:207" x14ac:dyDescent="0.25">
      <c r="B120" s="87"/>
    </row>
    <row r="121" spans="2:207" x14ac:dyDescent="0.25">
      <c r="B121" s="87"/>
    </row>
    <row r="123" spans="2:207" x14ac:dyDescent="0.25">
      <c r="B123" s="87"/>
      <c r="CW123" s="70"/>
      <c r="CZ123" s="87"/>
      <c r="GY123" s="70"/>
    </row>
    <row r="124" spans="2:207" x14ac:dyDescent="0.25">
      <c r="B124" s="87"/>
      <c r="CW124" s="70"/>
      <c r="CZ124" s="87"/>
      <c r="GY124" s="70"/>
    </row>
    <row r="125" spans="2:207" x14ac:dyDescent="0.25">
      <c r="B125" s="87"/>
      <c r="CW125" s="70"/>
      <c r="CZ125" s="87"/>
      <c r="GY125" s="70"/>
    </row>
    <row r="126" spans="2:207" x14ac:dyDescent="0.25">
      <c r="B126" s="87"/>
      <c r="CW126" s="70"/>
      <c r="CZ126" s="87"/>
      <c r="GY126" s="70"/>
    </row>
    <row r="127" spans="2:207" x14ac:dyDescent="0.25">
      <c r="B127" s="87"/>
      <c r="CW127" s="70"/>
      <c r="CZ127" s="87"/>
      <c r="GY127" s="70"/>
    </row>
    <row r="128" spans="2:207" x14ac:dyDescent="0.25">
      <c r="B128" s="87"/>
      <c r="CW128" s="70"/>
      <c r="CZ128" s="87"/>
      <c r="GY128" s="70"/>
    </row>
    <row r="129" spans="2:207" x14ac:dyDescent="0.25">
      <c r="B129" s="87"/>
      <c r="CW129" s="70"/>
      <c r="CZ129" s="87"/>
      <c r="GY129" s="70"/>
    </row>
    <row r="130" spans="2:207" x14ac:dyDescent="0.25">
      <c r="B130" s="87"/>
      <c r="CW130" s="70"/>
      <c r="CZ130" s="87"/>
      <c r="GY130" s="70"/>
    </row>
    <row r="131" spans="2:207" x14ac:dyDescent="0.25">
      <c r="B131" s="87"/>
      <c r="CW131" s="70"/>
      <c r="CZ131" s="87"/>
      <c r="GY131" s="70"/>
    </row>
    <row r="132" spans="2:207" x14ac:dyDescent="0.25">
      <c r="B132" s="87"/>
      <c r="CW132" s="70"/>
      <c r="CZ132" s="87"/>
      <c r="GY132" s="70"/>
    </row>
    <row r="133" spans="2:207" x14ac:dyDescent="0.25">
      <c r="B133" s="87"/>
      <c r="CW133" s="70"/>
      <c r="CZ133" s="87"/>
      <c r="GY133" s="70"/>
    </row>
    <row r="134" spans="2:207" x14ac:dyDescent="0.25">
      <c r="B134" s="87"/>
      <c r="CW134" s="70"/>
      <c r="CZ134" s="87"/>
      <c r="GY134" s="70"/>
    </row>
    <row r="135" spans="2:207" x14ac:dyDescent="0.25">
      <c r="B135" s="87"/>
      <c r="CW135" s="70"/>
      <c r="CZ135" s="87"/>
      <c r="GY135" s="70"/>
    </row>
    <row r="136" spans="2:207" x14ac:dyDescent="0.25">
      <c r="B136" s="87"/>
      <c r="CW136" s="70"/>
      <c r="CZ136" s="87"/>
      <c r="GY136" s="70"/>
    </row>
    <row r="137" spans="2:207" x14ac:dyDescent="0.25">
      <c r="B137" s="87"/>
      <c r="CW137" s="70"/>
      <c r="CZ137" s="87"/>
      <c r="GY137" s="70"/>
    </row>
    <row r="138" spans="2:207" x14ac:dyDescent="0.25">
      <c r="B138" s="87"/>
      <c r="CW138" s="70"/>
      <c r="CZ138" s="87"/>
      <c r="GY138" s="70"/>
    </row>
    <row r="139" spans="2:207" x14ac:dyDescent="0.25">
      <c r="B139" s="87"/>
      <c r="CW139" s="70"/>
      <c r="CZ139" s="87"/>
      <c r="GY139" s="70"/>
    </row>
    <row r="140" spans="2:207" x14ac:dyDescent="0.25">
      <c r="B140" s="87"/>
      <c r="CW140" s="70"/>
      <c r="CZ140" s="87"/>
      <c r="GY140" s="70"/>
    </row>
    <row r="141" spans="2:207" x14ac:dyDescent="0.25">
      <c r="B141" s="87"/>
      <c r="CW141" s="70"/>
      <c r="CZ141" s="87"/>
      <c r="GY141" s="70"/>
    </row>
    <row r="142" spans="2:207" x14ac:dyDescent="0.25">
      <c r="B142" s="87"/>
      <c r="CW142" s="70"/>
      <c r="CZ142" s="87"/>
      <c r="GY142" s="70"/>
    </row>
    <row r="143" spans="2:207" x14ac:dyDescent="0.25">
      <c r="B143" s="87"/>
      <c r="CW143" s="70"/>
      <c r="CZ143" s="87"/>
      <c r="GY143" s="70"/>
    </row>
    <row r="144" spans="2:207" x14ac:dyDescent="0.25">
      <c r="B144" s="87"/>
      <c r="CW144" s="70"/>
      <c r="CZ144" s="87"/>
      <c r="GY144" s="70"/>
    </row>
    <row r="145" spans="2:207" x14ac:dyDescent="0.25">
      <c r="B145" s="87"/>
      <c r="CW145" s="70"/>
      <c r="CZ145" s="87"/>
      <c r="GY145" s="70"/>
    </row>
    <row r="146" spans="2:207" x14ac:dyDescent="0.25">
      <c r="B146" s="87"/>
      <c r="CW146" s="70"/>
      <c r="CZ146" s="87"/>
      <c r="GY146" s="70"/>
    </row>
    <row r="147" spans="2:207" x14ac:dyDescent="0.25">
      <c r="B147" s="87"/>
      <c r="CW147" s="70"/>
      <c r="CZ147" s="87"/>
      <c r="GY147" s="70"/>
    </row>
    <row r="148" spans="2:207" x14ac:dyDescent="0.25">
      <c r="B148" s="87"/>
      <c r="CW148" s="70"/>
      <c r="CZ148" s="87"/>
      <c r="GY148" s="70"/>
    </row>
    <row r="149" spans="2:207" x14ac:dyDescent="0.25">
      <c r="B149" s="87"/>
      <c r="CW149" s="70"/>
      <c r="CZ149" s="87"/>
      <c r="GY149" s="70"/>
    </row>
    <row r="150" spans="2:207" x14ac:dyDescent="0.25">
      <c r="B150" s="87"/>
      <c r="CW150" s="70"/>
      <c r="CZ150" s="87"/>
      <c r="GY150" s="70"/>
    </row>
    <row r="151" spans="2:207" x14ac:dyDescent="0.25">
      <c r="B151" s="87"/>
      <c r="CW151" s="70"/>
      <c r="CZ151" s="87"/>
      <c r="GY151" s="70"/>
    </row>
    <row r="152" spans="2:207" x14ac:dyDescent="0.25">
      <c r="B152" s="87"/>
      <c r="CW152" s="70"/>
      <c r="CZ152" s="87"/>
      <c r="GY152" s="70"/>
    </row>
    <row r="153" spans="2:207" x14ac:dyDescent="0.25">
      <c r="B153" s="87"/>
      <c r="CW153" s="70"/>
      <c r="CZ153" s="87"/>
      <c r="GY153" s="70"/>
    </row>
    <row r="154" spans="2:207" x14ac:dyDescent="0.25">
      <c r="B154" s="87"/>
      <c r="CW154" s="70"/>
      <c r="CZ154" s="87"/>
      <c r="GY154" s="70"/>
    </row>
    <row r="155" spans="2:207" x14ac:dyDescent="0.25">
      <c r="B155" s="87"/>
      <c r="CW155" s="70"/>
      <c r="CZ155" s="87"/>
      <c r="GY155" s="70"/>
    </row>
    <row r="156" spans="2:207" x14ac:dyDescent="0.25">
      <c r="B156" s="87"/>
      <c r="CW156" s="70"/>
      <c r="CZ156" s="87"/>
      <c r="GY156" s="70"/>
    </row>
    <row r="157" spans="2:207" x14ac:dyDescent="0.25">
      <c r="B157" s="87"/>
      <c r="CW157" s="70"/>
      <c r="CZ157" s="87"/>
      <c r="GY157" s="70"/>
    </row>
    <row r="158" spans="2:207" x14ac:dyDescent="0.25">
      <c r="B158" s="87"/>
      <c r="CW158" s="70"/>
      <c r="CZ158" s="87"/>
      <c r="GY158" s="70"/>
    </row>
    <row r="159" spans="2:207" x14ac:dyDescent="0.25">
      <c r="B159" s="87"/>
      <c r="CW159" s="70"/>
      <c r="CZ159" s="87"/>
      <c r="GY159" s="70"/>
    </row>
    <row r="160" spans="2:207" x14ac:dyDescent="0.25">
      <c r="B160" s="87"/>
      <c r="CW160" s="70"/>
      <c r="CZ160" s="87"/>
      <c r="GY160" s="70"/>
    </row>
    <row r="161" spans="2:207" x14ac:dyDescent="0.25">
      <c r="B161" s="87"/>
      <c r="CW161" s="70"/>
      <c r="CZ161" s="87"/>
      <c r="GY161" s="70"/>
    </row>
    <row r="162" spans="2:207" x14ac:dyDescent="0.25">
      <c r="B162" s="87"/>
      <c r="CW162" s="70"/>
      <c r="CZ162" s="87"/>
      <c r="GY162" s="70"/>
    </row>
    <row r="163" spans="2:207" x14ac:dyDescent="0.25">
      <c r="B163" s="87"/>
      <c r="CW163" s="70"/>
      <c r="CZ163" s="87"/>
      <c r="GY163" s="70"/>
    </row>
    <row r="164" spans="2:207" x14ac:dyDescent="0.25">
      <c r="B164" s="87"/>
      <c r="CW164" s="70"/>
      <c r="CZ164" s="87"/>
      <c r="GY164" s="70"/>
    </row>
    <row r="165" spans="2:207" x14ac:dyDescent="0.25">
      <c r="B165" s="87"/>
      <c r="CW165" s="70"/>
      <c r="CZ165" s="87"/>
      <c r="GY165" s="70"/>
    </row>
    <row r="166" spans="2:207" x14ac:dyDescent="0.25">
      <c r="B166" s="87"/>
      <c r="CW166" s="70"/>
      <c r="CZ166" s="87"/>
      <c r="GY166" s="70"/>
    </row>
    <row r="167" spans="2:207" x14ac:dyDescent="0.25">
      <c r="B167" s="87"/>
      <c r="CW167" s="70"/>
      <c r="CZ167" s="87"/>
      <c r="GY167" s="70"/>
    </row>
    <row r="168" spans="2:207" x14ac:dyDescent="0.25">
      <c r="B168" s="87"/>
      <c r="CW168" s="70"/>
      <c r="CZ168" s="87"/>
      <c r="GY168" s="70"/>
    </row>
    <row r="169" spans="2:207" x14ac:dyDescent="0.25">
      <c r="B169" s="87"/>
      <c r="CW169" s="70"/>
      <c r="CZ169" s="87"/>
      <c r="GY169" s="70"/>
    </row>
    <row r="170" spans="2:207" x14ac:dyDescent="0.25">
      <c r="B170" s="87"/>
      <c r="CW170" s="70"/>
      <c r="CZ170" s="87"/>
      <c r="GY170" s="70"/>
    </row>
    <row r="171" spans="2:207" x14ac:dyDescent="0.25">
      <c r="B171" s="87"/>
      <c r="CW171" s="70"/>
      <c r="CZ171" s="87"/>
      <c r="GY171" s="70"/>
    </row>
    <row r="172" spans="2:207" x14ac:dyDescent="0.25">
      <c r="B172" s="87"/>
      <c r="CW172" s="70"/>
      <c r="CZ172" s="87"/>
      <c r="GY172" s="70"/>
    </row>
    <row r="173" spans="2:207" x14ac:dyDescent="0.25">
      <c r="B173" s="87"/>
      <c r="CW173" s="70"/>
      <c r="CZ173" s="87"/>
      <c r="GY173" s="70"/>
    </row>
    <row r="174" spans="2:207" x14ac:dyDescent="0.25">
      <c r="B174" s="87"/>
      <c r="CW174" s="70"/>
      <c r="CZ174" s="87"/>
      <c r="GY174" s="70"/>
    </row>
    <row r="175" spans="2:207" x14ac:dyDescent="0.25">
      <c r="B175" s="87"/>
      <c r="CZ175" s="87"/>
    </row>
    <row r="176" spans="2:207" x14ac:dyDescent="0.25">
      <c r="B176" s="87"/>
      <c r="CW176" s="70"/>
      <c r="CZ176" s="87"/>
      <c r="GY176" s="70"/>
    </row>
    <row r="177" spans="2:102" x14ac:dyDescent="0.25">
      <c r="B177" s="87"/>
      <c r="CX177" s="70"/>
    </row>
    <row r="189" spans="2:102" x14ac:dyDescent="0.25">
      <c r="B189" s="87"/>
    </row>
    <row r="190" spans="2:102" x14ac:dyDescent="0.25">
      <c r="B190" s="87"/>
    </row>
    <row r="191" spans="2:102" x14ac:dyDescent="0.25">
      <c r="B191" s="87"/>
    </row>
    <row r="192" spans="2:102" x14ac:dyDescent="0.25">
      <c r="B192" s="87"/>
    </row>
    <row r="193" spans="2:2" x14ac:dyDescent="0.25">
      <c r="B193" s="87"/>
    </row>
    <row r="194" spans="2:2" x14ac:dyDescent="0.25">
      <c r="B194" s="87"/>
    </row>
    <row r="195" spans="2:2" x14ac:dyDescent="0.25">
      <c r="B195" s="87"/>
    </row>
    <row r="196" spans="2:2" x14ac:dyDescent="0.25">
      <c r="B196" s="87"/>
    </row>
    <row r="197" spans="2:2" x14ac:dyDescent="0.25">
      <c r="B197" s="87"/>
    </row>
    <row r="198" spans="2:2" x14ac:dyDescent="0.25">
      <c r="B198" s="87"/>
    </row>
    <row r="199" spans="2:2" x14ac:dyDescent="0.25">
      <c r="B199" s="87"/>
    </row>
    <row r="200" spans="2:2" x14ac:dyDescent="0.25">
      <c r="B200" s="87"/>
    </row>
    <row r="201" spans="2:2" x14ac:dyDescent="0.25">
      <c r="B201" s="87"/>
    </row>
    <row r="202" spans="2:2" x14ac:dyDescent="0.25">
      <c r="B202" s="87"/>
    </row>
    <row r="203" spans="2:2" x14ac:dyDescent="0.25">
      <c r="B203" s="87"/>
    </row>
    <row r="204" spans="2:2" x14ac:dyDescent="0.25">
      <c r="B204" s="87"/>
    </row>
    <row r="205" spans="2:2" x14ac:dyDescent="0.25">
      <c r="B205" s="87"/>
    </row>
    <row r="206" spans="2:2" x14ac:dyDescent="0.25">
      <c r="B206" s="87"/>
    </row>
    <row r="207" spans="2:2" x14ac:dyDescent="0.25">
      <c r="B207" s="87"/>
    </row>
    <row r="208" spans="2:2" x14ac:dyDescent="0.25">
      <c r="B208" s="87"/>
    </row>
    <row r="209" spans="2:2" x14ac:dyDescent="0.25">
      <c r="B209" s="87"/>
    </row>
    <row r="210" spans="2:2" x14ac:dyDescent="0.25">
      <c r="B210" s="87"/>
    </row>
    <row r="211" spans="2:2" x14ac:dyDescent="0.25">
      <c r="B211" s="87"/>
    </row>
    <row r="212" spans="2:2" x14ac:dyDescent="0.25">
      <c r="B212" s="87"/>
    </row>
    <row r="213" spans="2:2" x14ac:dyDescent="0.25">
      <c r="B213" s="87"/>
    </row>
    <row r="214" spans="2:2" x14ac:dyDescent="0.25">
      <c r="B214" s="87"/>
    </row>
    <row r="215" spans="2:2" x14ac:dyDescent="0.25">
      <c r="B215" s="87"/>
    </row>
    <row r="216" spans="2:2" x14ac:dyDescent="0.25">
      <c r="B216" s="87"/>
    </row>
    <row r="217" spans="2:2" x14ac:dyDescent="0.25">
      <c r="B217" s="87"/>
    </row>
    <row r="218" spans="2:2" x14ac:dyDescent="0.25">
      <c r="B218" s="87"/>
    </row>
    <row r="219" spans="2:2" x14ac:dyDescent="0.25">
      <c r="B219" s="87"/>
    </row>
    <row r="220" spans="2:2" x14ac:dyDescent="0.25">
      <c r="B220" s="87"/>
    </row>
    <row r="221" spans="2:2" x14ac:dyDescent="0.25">
      <c r="B221" s="87"/>
    </row>
    <row r="222" spans="2:2" x14ac:dyDescent="0.25">
      <c r="B222" s="87"/>
    </row>
    <row r="223" spans="2:2" x14ac:dyDescent="0.25">
      <c r="B223" s="87"/>
    </row>
    <row r="224" spans="2:2" x14ac:dyDescent="0.25">
      <c r="B224" s="87"/>
    </row>
    <row r="225" spans="2:2" x14ac:dyDescent="0.25">
      <c r="B225" s="87"/>
    </row>
    <row r="226" spans="2:2" x14ac:dyDescent="0.25">
      <c r="B226" s="87"/>
    </row>
    <row r="227" spans="2:2" x14ac:dyDescent="0.25">
      <c r="B227" s="87"/>
    </row>
    <row r="228" spans="2:2" x14ac:dyDescent="0.25">
      <c r="B228" s="87"/>
    </row>
    <row r="229" spans="2:2" x14ac:dyDescent="0.25">
      <c r="B229" s="87"/>
    </row>
    <row r="230" spans="2:2" x14ac:dyDescent="0.25">
      <c r="B230" s="87"/>
    </row>
    <row r="231" spans="2:2" x14ac:dyDescent="0.25">
      <c r="B231" s="87"/>
    </row>
    <row r="232" spans="2:2" x14ac:dyDescent="0.25">
      <c r="B232" s="87"/>
    </row>
    <row r="233" spans="2:2" x14ac:dyDescent="0.25">
      <c r="B233" s="87"/>
    </row>
    <row r="234" spans="2:2" x14ac:dyDescent="0.25">
      <c r="B234" s="87"/>
    </row>
    <row r="235" spans="2:2" x14ac:dyDescent="0.25">
      <c r="B235" s="87"/>
    </row>
    <row r="236" spans="2:2" x14ac:dyDescent="0.25">
      <c r="B236" s="87"/>
    </row>
    <row r="237" spans="2:2" x14ac:dyDescent="0.25">
      <c r="B237" s="87"/>
    </row>
    <row r="238" spans="2:2" x14ac:dyDescent="0.25">
      <c r="B238" s="87"/>
    </row>
    <row r="239" spans="2:2" x14ac:dyDescent="0.25">
      <c r="B239" s="87"/>
    </row>
    <row r="240" spans="2:2" x14ac:dyDescent="0.25">
      <c r="B240" s="87"/>
    </row>
    <row r="241" spans="2:2" x14ac:dyDescent="0.25">
      <c r="B241" s="87"/>
    </row>
    <row r="245" spans="2:2" x14ac:dyDescent="0.25">
      <c r="B245" s="87"/>
    </row>
    <row r="246" spans="2:2" x14ac:dyDescent="0.25">
      <c r="B246" s="87"/>
    </row>
    <row r="247" spans="2:2" x14ac:dyDescent="0.25">
      <c r="B247" s="87"/>
    </row>
    <row r="248" spans="2:2" x14ac:dyDescent="0.25">
      <c r="B248" s="87"/>
    </row>
    <row r="249" spans="2:2" x14ac:dyDescent="0.25">
      <c r="B249" s="87"/>
    </row>
    <row r="250" spans="2:2" x14ac:dyDescent="0.25">
      <c r="B250" s="87"/>
    </row>
    <row r="251" spans="2:2" x14ac:dyDescent="0.25">
      <c r="B251" s="87"/>
    </row>
    <row r="252" spans="2:2" x14ac:dyDescent="0.25">
      <c r="B252" s="87"/>
    </row>
    <row r="253" spans="2:2" x14ac:dyDescent="0.25">
      <c r="B253" s="87"/>
    </row>
    <row r="254" spans="2:2" x14ac:dyDescent="0.25">
      <c r="B254" s="87"/>
    </row>
    <row r="255" spans="2:2" x14ac:dyDescent="0.25">
      <c r="B255" s="87"/>
    </row>
    <row r="256" spans="2:2" x14ac:dyDescent="0.25">
      <c r="B256" s="87"/>
    </row>
    <row r="257" spans="2:2" x14ac:dyDescent="0.25">
      <c r="B257" s="87"/>
    </row>
    <row r="258" spans="2:2" x14ac:dyDescent="0.25">
      <c r="B258" s="87"/>
    </row>
    <row r="259" spans="2:2" x14ac:dyDescent="0.25">
      <c r="B259" s="87"/>
    </row>
    <row r="260" spans="2:2" x14ac:dyDescent="0.25">
      <c r="B260" s="87"/>
    </row>
    <row r="261" spans="2:2" x14ac:dyDescent="0.25">
      <c r="B261" s="87"/>
    </row>
    <row r="262" spans="2:2" x14ac:dyDescent="0.25">
      <c r="B262" s="87"/>
    </row>
    <row r="263" spans="2:2" x14ac:dyDescent="0.25">
      <c r="B263" s="87"/>
    </row>
    <row r="264" spans="2:2" x14ac:dyDescent="0.25">
      <c r="B264" s="87"/>
    </row>
    <row r="265" spans="2:2" x14ac:dyDescent="0.25">
      <c r="B265" s="87"/>
    </row>
    <row r="266" spans="2:2" x14ac:dyDescent="0.25">
      <c r="B266" s="87"/>
    </row>
    <row r="267" spans="2:2" x14ac:dyDescent="0.25">
      <c r="B267" s="87"/>
    </row>
    <row r="268" spans="2:2" x14ac:dyDescent="0.25">
      <c r="B268" s="87"/>
    </row>
    <row r="269" spans="2:2" x14ac:dyDescent="0.25">
      <c r="B269" s="87"/>
    </row>
    <row r="270" spans="2:2" x14ac:dyDescent="0.25">
      <c r="B270" s="87"/>
    </row>
    <row r="271" spans="2:2" x14ac:dyDescent="0.25">
      <c r="B271" s="87"/>
    </row>
    <row r="272" spans="2:2" x14ac:dyDescent="0.25">
      <c r="B272" s="87"/>
    </row>
    <row r="273" spans="2:2" x14ac:dyDescent="0.25">
      <c r="B273" s="87"/>
    </row>
    <row r="274" spans="2:2" x14ac:dyDescent="0.25">
      <c r="B274" s="87"/>
    </row>
    <row r="275" spans="2:2" x14ac:dyDescent="0.25">
      <c r="B275" s="87"/>
    </row>
    <row r="276" spans="2:2" x14ac:dyDescent="0.25">
      <c r="B276" s="87"/>
    </row>
    <row r="277" spans="2:2" x14ac:dyDescent="0.25">
      <c r="B277" s="87"/>
    </row>
    <row r="278" spans="2:2" x14ac:dyDescent="0.25">
      <c r="B278" s="87"/>
    </row>
    <row r="279" spans="2:2" x14ac:dyDescent="0.25">
      <c r="B279" s="87"/>
    </row>
    <row r="280" spans="2:2" x14ac:dyDescent="0.25">
      <c r="B280" s="87"/>
    </row>
    <row r="281" spans="2:2" x14ac:dyDescent="0.25">
      <c r="B281" s="87"/>
    </row>
    <row r="282" spans="2:2" x14ac:dyDescent="0.25">
      <c r="B282" s="87"/>
    </row>
    <row r="283" spans="2:2" x14ac:dyDescent="0.25">
      <c r="B283" s="87"/>
    </row>
    <row r="284" spans="2:2" x14ac:dyDescent="0.25">
      <c r="B284" s="87"/>
    </row>
    <row r="285" spans="2:2" x14ac:dyDescent="0.25">
      <c r="B285" s="87"/>
    </row>
    <row r="286" spans="2:2" x14ac:dyDescent="0.25">
      <c r="B286" s="87"/>
    </row>
    <row r="287" spans="2:2" x14ac:dyDescent="0.25">
      <c r="B287" s="87"/>
    </row>
    <row r="288" spans="2:2" x14ac:dyDescent="0.25">
      <c r="B288" s="87"/>
    </row>
    <row r="289" spans="2:2" x14ac:dyDescent="0.25">
      <c r="B289" s="87"/>
    </row>
    <row r="290" spans="2:2" x14ac:dyDescent="0.25">
      <c r="B290" s="87"/>
    </row>
    <row r="291" spans="2:2" x14ac:dyDescent="0.25">
      <c r="B291" s="87"/>
    </row>
    <row r="292" spans="2:2" x14ac:dyDescent="0.25">
      <c r="B292" s="87"/>
    </row>
    <row r="293" spans="2:2" x14ac:dyDescent="0.25">
      <c r="B293" s="87"/>
    </row>
    <row r="294" spans="2:2" x14ac:dyDescent="0.25">
      <c r="B294" s="87"/>
    </row>
    <row r="295" spans="2:2" x14ac:dyDescent="0.25">
      <c r="B295" s="87"/>
    </row>
    <row r="296" spans="2:2" x14ac:dyDescent="0.25">
      <c r="B296" s="87"/>
    </row>
    <row r="297" spans="2:2" x14ac:dyDescent="0.25">
      <c r="B297" s="87"/>
    </row>
  </sheetData>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5"/>
  <dimension ref="A1:DP220"/>
  <sheetViews>
    <sheetView topLeftCell="CR1" workbookViewId="0">
      <selection activeCell="DC17" sqref="DC17"/>
    </sheetView>
  </sheetViews>
  <sheetFormatPr defaultRowHeight="13.8" x14ac:dyDescent="0.25"/>
  <cols>
    <col min="1" max="1" width="9" style="67"/>
    <col min="2" max="2" width="12.09765625" customWidth="1"/>
    <col min="3" max="3" width="12.09765625" style="67" customWidth="1"/>
    <col min="4" max="4" width="11.09765625" customWidth="1"/>
    <col min="60" max="61" width="9.59765625" customWidth="1"/>
    <col min="62" max="62" width="9.59765625" style="67" customWidth="1"/>
  </cols>
  <sheetData>
    <row r="1" spans="2:120" x14ac:dyDescent="0.25">
      <c r="C1" s="2" t="s">
        <v>459</v>
      </c>
      <c r="D1" t="s">
        <v>467</v>
      </c>
      <c r="E1">
        <v>1</v>
      </c>
      <c r="H1" t="s">
        <v>433</v>
      </c>
      <c r="I1" t="str">
        <f>"Capacity summary ("&amp;LOWER('Capacity summary'!$C$16)&amp;")"</f>
        <v>Capacity summary (patients)</v>
      </c>
      <c r="BK1" s="67" t="s">
        <v>458</v>
      </c>
      <c r="BL1" s="67"/>
      <c r="BM1" s="67"/>
      <c r="BN1" s="67"/>
      <c r="BO1" s="67"/>
      <c r="BP1" s="67"/>
      <c r="BQ1" s="67"/>
      <c r="BR1" s="67"/>
      <c r="BS1" s="67"/>
      <c r="BT1" s="67"/>
      <c r="BU1" s="67"/>
      <c r="BV1" s="67"/>
      <c r="BW1" s="67"/>
      <c r="BX1" s="67"/>
      <c r="BY1" s="67"/>
      <c r="BZ1" s="67"/>
      <c r="CA1" s="67"/>
      <c r="CB1" s="67"/>
      <c r="CC1" s="67"/>
      <c r="CD1" s="67"/>
      <c r="CE1" s="67"/>
      <c r="CF1" s="67"/>
      <c r="CG1" s="67"/>
      <c r="CH1" s="67"/>
      <c r="CI1" s="67"/>
      <c r="CJ1" s="67"/>
      <c r="CK1" s="67"/>
      <c r="CL1" s="67"/>
      <c r="CM1" s="67"/>
      <c r="CN1" s="67"/>
      <c r="CO1" s="67"/>
      <c r="CP1" s="67"/>
      <c r="CQ1" s="67"/>
      <c r="CR1" s="67"/>
      <c r="CS1" s="67"/>
      <c r="CT1" s="67"/>
      <c r="CU1" s="67"/>
      <c r="CV1" s="67"/>
      <c r="CW1" s="67"/>
      <c r="CX1" s="67"/>
      <c r="CY1" s="67"/>
      <c r="CZ1" s="67"/>
      <c r="DA1" s="67"/>
      <c r="DB1" s="67"/>
      <c r="DC1" s="67"/>
      <c r="DD1" s="67"/>
      <c r="DE1" s="67"/>
      <c r="DF1" s="67"/>
      <c r="DG1" s="67"/>
      <c r="DH1" s="67"/>
      <c r="DI1" s="67"/>
      <c r="DJ1" s="67"/>
    </row>
    <row r="2" spans="2:120" x14ac:dyDescent="0.25">
      <c r="B2" s="2"/>
      <c r="C2" s="2"/>
      <c r="D2" s="2" t="s">
        <v>451</v>
      </c>
      <c r="E2" s="2"/>
      <c r="F2" s="2"/>
      <c r="H2" t="s">
        <v>455</v>
      </c>
      <c r="BK2" s="2">
        <v>1</v>
      </c>
      <c r="BL2" s="2">
        <v>2</v>
      </c>
      <c r="BM2" s="2">
        <v>3</v>
      </c>
      <c r="BN2" s="2">
        <v>4</v>
      </c>
      <c r="BO2" s="2">
        <v>5</v>
      </c>
      <c r="BP2" s="2">
        <v>6</v>
      </c>
      <c r="BQ2" s="2">
        <v>7</v>
      </c>
      <c r="BR2" s="2">
        <v>8</v>
      </c>
      <c r="BS2" s="2">
        <v>9</v>
      </c>
      <c r="BT2" s="2">
        <v>10</v>
      </c>
      <c r="BU2" s="2">
        <v>11</v>
      </c>
      <c r="BV2" s="2">
        <v>12</v>
      </c>
      <c r="BW2" s="2">
        <v>13</v>
      </c>
      <c r="BX2" s="2">
        <v>14</v>
      </c>
      <c r="BY2" s="2">
        <v>15</v>
      </c>
      <c r="BZ2" s="2">
        <v>16</v>
      </c>
      <c r="CA2" s="2">
        <v>17</v>
      </c>
      <c r="CB2" s="2">
        <v>18</v>
      </c>
      <c r="CC2" s="2">
        <v>19</v>
      </c>
      <c r="CD2" s="2">
        <v>20</v>
      </c>
      <c r="CE2" s="2">
        <v>21</v>
      </c>
      <c r="CF2" s="2">
        <v>22</v>
      </c>
      <c r="CG2" s="2">
        <v>23</v>
      </c>
      <c r="CH2" s="2">
        <v>24</v>
      </c>
      <c r="CI2" s="2">
        <v>25</v>
      </c>
      <c r="CJ2" s="2">
        <v>26</v>
      </c>
      <c r="CK2" s="2">
        <v>27</v>
      </c>
      <c r="CL2" s="2">
        <v>28</v>
      </c>
      <c r="CM2" s="2">
        <v>29</v>
      </c>
      <c r="CN2" s="2">
        <v>30</v>
      </c>
      <c r="CO2" s="2">
        <v>31</v>
      </c>
      <c r="CP2" s="2">
        <v>32</v>
      </c>
      <c r="CQ2" s="2">
        <v>33</v>
      </c>
      <c r="CR2" s="2">
        <v>34</v>
      </c>
      <c r="CS2" s="2">
        <v>35</v>
      </c>
      <c r="CT2" s="2">
        <v>36</v>
      </c>
      <c r="CU2" s="2">
        <v>37</v>
      </c>
      <c r="CV2" s="2">
        <v>38</v>
      </c>
      <c r="CW2" s="2">
        <v>39</v>
      </c>
      <c r="CX2" s="2">
        <v>40</v>
      </c>
      <c r="CY2" s="2">
        <v>41</v>
      </c>
      <c r="CZ2" s="2">
        <v>42</v>
      </c>
      <c r="DA2" s="2">
        <v>43</v>
      </c>
      <c r="DB2" s="2">
        <v>44</v>
      </c>
      <c r="DC2" s="2">
        <v>45</v>
      </c>
      <c r="DD2" s="2">
        <v>46</v>
      </c>
      <c r="DE2" s="2">
        <v>47</v>
      </c>
      <c r="DF2" s="2">
        <v>48</v>
      </c>
      <c r="DG2" s="2">
        <v>49</v>
      </c>
      <c r="DH2" s="2">
        <v>50</v>
      </c>
      <c r="DI2" s="2">
        <v>51</v>
      </c>
      <c r="DJ2" s="2">
        <v>52</v>
      </c>
    </row>
    <row r="3" spans="2:120" x14ac:dyDescent="0.25">
      <c r="B3" s="2"/>
      <c r="C3" s="2" t="s">
        <v>470</v>
      </c>
      <c r="D3" s="2">
        <v>1</v>
      </c>
      <c r="E3" s="2">
        <v>2</v>
      </c>
      <c r="F3" s="2">
        <v>3</v>
      </c>
      <c r="G3" s="67"/>
      <c r="H3" s="2">
        <v>1</v>
      </c>
      <c r="I3" s="2">
        <v>2</v>
      </c>
      <c r="J3" s="2">
        <v>3</v>
      </c>
      <c r="K3" s="2">
        <v>4</v>
      </c>
      <c r="L3" s="2">
        <v>5</v>
      </c>
      <c r="M3" s="2">
        <v>6</v>
      </c>
      <c r="N3" s="2">
        <v>7</v>
      </c>
      <c r="O3" s="2">
        <v>8</v>
      </c>
      <c r="P3" s="2">
        <v>9</v>
      </c>
      <c r="Q3" s="2">
        <v>10</v>
      </c>
      <c r="R3" s="2">
        <v>11</v>
      </c>
      <c r="S3" s="2">
        <v>12</v>
      </c>
      <c r="T3" s="2">
        <v>13</v>
      </c>
      <c r="U3" s="2">
        <v>14</v>
      </c>
      <c r="V3" s="2">
        <v>15</v>
      </c>
      <c r="W3" s="2">
        <v>16</v>
      </c>
      <c r="X3" s="2">
        <v>17</v>
      </c>
      <c r="Y3" s="2">
        <v>18</v>
      </c>
      <c r="Z3" s="2">
        <v>19</v>
      </c>
      <c r="AA3" s="2">
        <v>20</v>
      </c>
      <c r="AB3" s="2">
        <v>21</v>
      </c>
      <c r="AC3" s="2">
        <v>22</v>
      </c>
      <c r="AD3" s="2">
        <v>23</v>
      </c>
      <c r="AE3" s="2">
        <v>24</v>
      </c>
      <c r="AF3" s="2">
        <v>25</v>
      </c>
      <c r="AG3" s="2">
        <v>26</v>
      </c>
      <c r="AH3" s="2">
        <v>27</v>
      </c>
      <c r="AI3" s="2">
        <v>28</v>
      </c>
      <c r="AJ3" s="2">
        <v>29</v>
      </c>
      <c r="AK3" s="2">
        <v>30</v>
      </c>
      <c r="AL3" s="2">
        <v>31</v>
      </c>
      <c r="AM3" s="2">
        <v>32</v>
      </c>
      <c r="AN3" s="2">
        <v>33</v>
      </c>
      <c r="AO3" s="2">
        <v>34</v>
      </c>
      <c r="AP3" s="2">
        <v>35</v>
      </c>
      <c r="AQ3" s="2">
        <v>36</v>
      </c>
      <c r="AR3" s="2">
        <v>37</v>
      </c>
      <c r="AS3" s="2">
        <v>38</v>
      </c>
      <c r="AT3" s="2">
        <v>39</v>
      </c>
      <c r="AU3" s="2">
        <v>40</v>
      </c>
      <c r="AV3" s="2">
        <v>41</v>
      </c>
      <c r="AW3" s="2">
        <v>42</v>
      </c>
      <c r="AX3" s="2">
        <v>43</v>
      </c>
      <c r="AY3" s="2">
        <v>44</v>
      </c>
      <c r="AZ3" s="2">
        <v>45</v>
      </c>
      <c r="BA3" s="2">
        <v>46</v>
      </c>
      <c r="BB3" s="2">
        <v>47</v>
      </c>
      <c r="BC3" s="2">
        <v>48</v>
      </c>
      <c r="BD3" s="2">
        <v>49</v>
      </c>
      <c r="BE3" s="2">
        <v>50</v>
      </c>
      <c r="BF3" s="2">
        <v>51</v>
      </c>
      <c r="BG3" s="2">
        <v>52</v>
      </c>
      <c r="BH3" s="2" t="s">
        <v>456</v>
      </c>
      <c r="BI3" s="2" t="s">
        <v>457</v>
      </c>
      <c r="BK3" s="59">
        <f ca="1">OFFSET('Critical resources (hide)'!$F$6,COLUMN(A1)-1,0,1,1)</f>
        <v>16</v>
      </c>
      <c r="BL3" s="59">
        <f ca="1">OFFSET('Critical resources (hide)'!$F$6,COLUMN(B1)-1,0,1,1)</f>
        <v>17</v>
      </c>
      <c r="BM3" s="59">
        <f ca="1">OFFSET('Critical resources (hide)'!$F$6,COLUMN(C1)-1,0,1,1)</f>
        <v>18</v>
      </c>
      <c r="BN3" s="59">
        <f ca="1">OFFSET('Critical resources (hide)'!$F$6,COLUMN(D1)-1,0,1,1)</f>
        <v>19</v>
      </c>
      <c r="BO3" s="59">
        <f ca="1">OFFSET('Critical resources (hide)'!$F$6,COLUMN(E1)-1,0,1,1)</f>
        <v>20</v>
      </c>
      <c r="BP3" s="59">
        <f ca="1">OFFSET('Critical resources (hide)'!$F$6,COLUMN(F1)-1,0,1,1)</f>
        <v>21</v>
      </c>
      <c r="BQ3" s="59">
        <f ca="1">OFFSET('Critical resources (hide)'!$F$6,COLUMN(G1)-1,0,1,1)</f>
        <v>22</v>
      </c>
      <c r="BR3" s="59">
        <f ca="1">OFFSET('Critical resources (hide)'!$F$6,COLUMN(H1)-1,0,1,1)</f>
        <v>23</v>
      </c>
      <c r="BS3" s="59">
        <f ca="1">OFFSET('Critical resources (hide)'!$F$6,COLUMN(I1)-1,0,1,1)</f>
        <v>24</v>
      </c>
      <c r="BT3" s="59">
        <f ca="1">OFFSET('Critical resources (hide)'!$F$6,COLUMN(J1)-1,0,1,1)</f>
        <v>25</v>
      </c>
      <c r="BU3" s="59">
        <f ca="1">OFFSET('Critical resources (hide)'!$F$6,COLUMN(K1)-1,0,1,1)</f>
        <v>26</v>
      </c>
      <c r="BV3" s="59">
        <f ca="1">OFFSET('Critical resources (hide)'!$F$6,COLUMN(L1)-1,0,1,1)</f>
        <v>27</v>
      </c>
      <c r="BW3" s="59">
        <f ca="1">OFFSET('Critical resources (hide)'!$F$6,COLUMN(M1)-1,0,1,1)</f>
        <v>28</v>
      </c>
      <c r="BX3" s="59">
        <f ca="1">OFFSET('Critical resources (hide)'!$F$6,COLUMN(N1)-1,0,1,1)</f>
        <v>29</v>
      </c>
      <c r="BY3" s="59">
        <f ca="1">OFFSET('Critical resources (hide)'!$F$6,COLUMN(O1)-1,0,1,1)</f>
        <v>30</v>
      </c>
      <c r="BZ3" s="59">
        <f ca="1">OFFSET('Critical resources (hide)'!$F$6,COLUMN(P1)-1,0,1,1)</f>
        <v>31</v>
      </c>
      <c r="CA3" s="59">
        <f ca="1">OFFSET('Critical resources (hide)'!$F$6,COLUMN(Q1)-1,0,1,1)</f>
        <v>32</v>
      </c>
      <c r="CB3" s="59">
        <f ca="1">OFFSET('Critical resources (hide)'!$F$6,COLUMN(R1)-1,0,1,1)</f>
        <v>33</v>
      </c>
      <c r="CC3" s="59">
        <f ca="1">OFFSET('Critical resources (hide)'!$F$6,COLUMN(S1)-1,0,1,1)</f>
        <v>34</v>
      </c>
      <c r="CD3" s="59">
        <f ca="1">OFFSET('Critical resources (hide)'!$F$6,COLUMN(T1)-1,0,1,1)</f>
        <v>35</v>
      </c>
      <c r="CE3" s="59">
        <f ca="1">OFFSET('Critical resources (hide)'!$F$6,COLUMN(U1)-1,0,1,1)</f>
        <v>36</v>
      </c>
      <c r="CF3" s="59">
        <f ca="1">OFFSET('Critical resources (hide)'!$F$6,COLUMN(V1)-1,0,1,1)</f>
        <v>37</v>
      </c>
      <c r="CG3" s="59">
        <f ca="1">OFFSET('Critical resources (hide)'!$F$6,COLUMN(W1)-1,0,1,1)</f>
        <v>38</v>
      </c>
      <c r="CH3" s="59">
        <f ca="1">OFFSET('Critical resources (hide)'!$F$6,COLUMN(X1)-1,0,1,1)</f>
        <v>39</v>
      </c>
      <c r="CI3" s="59">
        <f ca="1">OFFSET('Critical resources (hide)'!$F$6,COLUMN(Y1)-1,0,1,1)</f>
        <v>40</v>
      </c>
      <c r="CJ3" s="59">
        <f ca="1">OFFSET('Critical resources (hide)'!$F$6,COLUMN(Z1)-1,0,1,1)</f>
        <v>41</v>
      </c>
      <c r="CK3" s="59">
        <f ca="1">OFFSET('Critical resources (hide)'!$F$6,COLUMN(AA1)-1,0,1,1)</f>
        <v>42</v>
      </c>
      <c r="CL3" s="59">
        <f ca="1">OFFSET('Critical resources (hide)'!$F$6,COLUMN(AB1)-1,0,1,1)</f>
        <v>43</v>
      </c>
      <c r="CM3" s="59">
        <f ca="1">OFFSET('Critical resources (hide)'!$F$6,COLUMN(AC1)-1,0,1,1)</f>
        <v>44</v>
      </c>
      <c r="CN3" s="59">
        <f ca="1">OFFSET('Critical resources (hide)'!$F$6,COLUMN(AD1)-1,0,1,1)</f>
        <v>45</v>
      </c>
      <c r="CO3" s="59">
        <f ca="1">OFFSET('Critical resources (hide)'!$F$6,COLUMN(AE1)-1,0,1,1)</f>
        <v>46</v>
      </c>
      <c r="CP3" s="59">
        <f ca="1">OFFSET('Critical resources (hide)'!$F$6,COLUMN(AF1)-1,0,1,1)</f>
        <v>47</v>
      </c>
      <c r="CQ3" s="59">
        <f ca="1">OFFSET('Critical resources (hide)'!$F$6,COLUMN(AG1)-1,0,1,1)</f>
        <v>48</v>
      </c>
      <c r="CR3" s="59">
        <f ca="1">OFFSET('Critical resources (hide)'!$F$6,COLUMN(AH1)-1,0,1,1)</f>
        <v>49</v>
      </c>
      <c r="CS3" s="59">
        <f ca="1">OFFSET('Critical resources (hide)'!$F$6,COLUMN(AI1)-1,0,1,1)</f>
        <v>50</v>
      </c>
      <c r="CT3" s="59">
        <f ca="1">OFFSET('Critical resources (hide)'!$F$6,COLUMN(AJ1)-1,0,1,1)</f>
        <v>51</v>
      </c>
      <c r="CU3" s="59">
        <f ca="1">OFFSET('Critical resources (hide)'!$F$6,COLUMN(AK1)-1,0,1,1)</f>
        <v>52</v>
      </c>
      <c r="CV3" s="59">
        <f ca="1">OFFSET('Critical resources (hide)'!$F$6,COLUMN(AL1)-1,0,1,1)</f>
        <v>53</v>
      </c>
      <c r="CW3" s="59">
        <f ca="1">OFFSET('Critical resources (hide)'!$F$6,COLUMN(AM1)-1,0,1,1)</f>
        <v>1</v>
      </c>
      <c r="CX3" s="59">
        <f ca="1">OFFSET('Critical resources (hide)'!$F$6,COLUMN(AN1)-1,0,1,1)</f>
        <v>2</v>
      </c>
      <c r="CY3" s="59">
        <f ca="1">OFFSET('Critical resources (hide)'!$F$6,COLUMN(AO1)-1,0,1,1)</f>
        <v>3</v>
      </c>
      <c r="CZ3" s="59">
        <f ca="1">OFFSET('Critical resources (hide)'!$F$6,COLUMN(AP1)-1,0,1,1)</f>
        <v>4</v>
      </c>
      <c r="DA3" s="59">
        <f ca="1">OFFSET('Critical resources (hide)'!$F$6,COLUMN(AQ1)-1,0,1,1)</f>
        <v>5</v>
      </c>
      <c r="DB3" s="59">
        <f ca="1">OFFSET('Critical resources (hide)'!$F$6,COLUMN(AR1)-1,0,1,1)</f>
        <v>6</v>
      </c>
      <c r="DC3" s="59">
        <f ca="1">OFFSET('Critical resources (hide)'!$F$6,COLUMN(AS1)-1,0,1,1)</f>
        <v>7</v>
      </c>
      <c r="DD3" s="59">
        <f ca="1">OFFSET('Critical resources (hide)'!$F$6,COLUMN(AT1)-1,0,1,1)</f>
        <v>8</v>
      </c>
      <c r="DE3" s="59">
        <f ca="1">OFFSET('Critical resources (hide)'!$F$6,COLUMN(AU1)-1,0,1,1)</f>
        <v>9</v>
      </c>
      <c r="DF3" s="59">
        <f ca="1">OFFSET('Critical resources (hide)'!$F$6,COLUMN(AV1)-1,0,1,1)</f>
        <v>10</v>
      </c>
      <c r="DG3" s="59">
        <f ca="1">OFFSET('Critical resources (hide)'!$F$6,COLUMN(AW1)-1,0,1,1)</f>
        <v>11</v>
      </c>
      <c r="DH3" s="59">
        <f ca="1">OFFSET('Critical resources (hide)'!$F$6,COLUMN(AX1)-1,0,1,1)</f>
        <v>12</v>
      </c>
      <c r="DI3" s="59">
        <f ca="1">OFFSET('Critical resources (hide)'!$F$6,COLUMN(AY1)-1,0,1,1)</f>
        <v>13</v>
      </c>
      <c r="DJ3" s="59">
        <f ca="1">OFFSET('Critical resources (hide)'!$F$6,COLUMN(AZ1)-1,0,1,1)</f>
        <v>14</v>
      </c>
      <c r="DK3" s="2" t="s">
        <v>462</v>
      </c>
      <c r="DL3" t="s">
        <v>463</v>
      </c>
    </row>
    <row r="4" spans="2:120" s="67" customFormat="1" x14ac:dyDescent="0.25">
      <c r="C4" s="2" t="s">
        <v>57</v>
      </c>
      <c r="D4" s="2"/>
      <c r="E4" s="2"/>
      <c r="F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c r="AX4" s="2"/>
      <c r="AY4" s="2"/>
      <c r="AZ4" s="2"/>
      <c r="BA4" s="2"/>
      <c r="BB4" s="2"/>
      <c r="BC4" s="2"/>
      <c r="BD4" s="2"/>
      <c r="BE4" s="2"/>
      <c r="BF4" s="2"/>
      <c r="BG4" s="2"/>
      <c r="BH4" s="2"/>
      <c r="BI4" s="2"/>
      <c r="BK4" s="313">
        <f t="shared" ref="BK4:CP4" si="0">SUM(BK5:BK104)</f>
        <v>20</v>
      </c>
      <c r="BL4" s="313">
        <f t="shared" si="0"/>
        <v>20</v>
      </c>
      <c r="BM4" s="313">
        <f t="shared" si="0"/>
        <v>20</v>
      </c>
      <c r="BN4" s="313">
        <f t="shared" si="0"/>
        <v>20</v>
      </c>
      <c r="BO4" s="313">
        <f t="shared" si="0"/>
        <v>20</v>
      </c>
      <c r="BP4" s="313">
        <f t="shared" si="0"/>
        <v>20</v>
      </c>
      <c r="BQ4" s="313">
        <f t="shared" si="0"/>
        <v>40</v>
      </c>
      <c r="BR4" s="313">
        <f t="shared" si="0"/>
        <v>80</v>
      </c>
      <c r="BS4" s="313">
        <f t="shared" si="0"/>
        <v>100</v>
      </c>
      <c r="BT4" s="313">
        <f t="shared" si="0"/>
        <v>100</v>
      </c>
      <c r="BU4" s="313">
        <f t="shared" si="0"/>
        <v>100</v>
      </c>
      <c r="BV4" s="313">
        <f t="shared" si="0"/>
        <v>100</v>
      </c>
      <c r="BW4" s="313">
        <f t="shared" ca="1" si="0"/>
        <v>80.769230769230774</v>
      </c>
      <c r="BX4" s="313">
        <f t="shared" ca="1" si="0"/>
        <v>80.769230769230774</v>
      </c>
      <c r="BY4" s="313">
        <f t="shared" ca="1" si="0"/>
        <v>80.769230769230774</v>
      </c>
      <c r="BZ4" s="313">
        <f t="shared" ca="1" si="0"/>
        <v>80.769230769230774</v>
      </c>
      <c r="CA4" s="313">
        <f t="shared" ca="1" si="0"/>
        <v>80.769230769230774</v>
      </c>
      <c r="CB4" s="313">
        <f t="shared" ca="1" si="0"/>
        <v>80.769230769230774</v>
      </c>
      <c r="CC4" s="313">
        <f t="shared" ca="1" si="0"/>
        <v>80.769230769230774</v>
      </c>
      <c r="CD4" s="313">
        <f t="shared" ca="1" si="0"/>
        <v>80.769230769230774</v>
      </c>
      <c r="CE4" s="313">
        <f t="shared" ca="1" si="0"/>
        <v>80.769230769230774</v>
      </c>
      <c r="CF4" s="313">
        <f t="shared" ca="1" si="0"/>
        <v>80.769230769230774</v>
      </c>
      <c r="CG4" s="313">
        <f t="shared" ca="1" si="0"/>
        <v>80.769230769230774</v>
      </c>
      <c r="CH4" s="313">
        <f t="shared" ca="1" si="0"/>
        <v>80.769230769230774</v>
      </c>
      <c r="CI4" s="313">
        <f t="shared" ca="1" si="0"/>
        <v>80.769230769230774</v>
      </c>
      <c r="CJ4" s="313">
        <f t="shared" ca="1" si="0"/>
        <v>80.769230769230774</v>
      </c>
      <c r="CK4" s="313">
        <f t="shared" ca="1" si="0"/>
        <v>80.769230769230774</v>
      </c>
      <c r="CL4" s="313">
        <f t="shared" ca="1" si="0"/>
        <v>80.769230769230774</v>
      </c>
      <c r="CM4" s="313">
        <f t="shared" ca="1" si="0"/>
        <v>80.769230769230774</v>
      </c>
      <c r="CN4" s="313">
        <f t="shared" ca="1" si="0"/>
        <v>80.769230769230774</v>
      </c>
      <c r="CO4" s="313">
        <f t="shared" ca="1" si="0"/>
        <v>80.769230769230774</v>
      </c>
      <c r="CP4" s="313">
        <f t="shared" ca="1" si="0"/>
        <v>80.769230769230774</v>
      </c>
      <c r="CQ4" s="313">
        <f t="shared" ref="CQ4:DJ4" ca="1" si="1">SUM(CQ5:CQ104)</f>
        <v>80.769230769230774</v>
      </c>
      <c r="CR4" s="313">
        <f t="shared" ca="1" si="1"/>
        <v>80.769230769230774</v>
      </c>
      <c r="CS4" s="313">
        <f t="shared" ca="1" si="1"/>
        <v>80.769230769230774</v>
      </c>
      <c r="CT4" s="313">
        <f t="shared" ca="1" si="1"/>
        <v>80.769230769230774</v>
      </c>
      <c r="CU4" s="313">
        <f t="shared" ca="1" si="1"/>
        <v>80.769230769230774</v>
      </c>
      <c r="CV4" s="313">
        <f t="shared" ca="1" si="1"/>
        <v>80.769230769230774</v>
      </c>
      <c r="CW4" s="313">
        <f t="shared" ca="1" si="1"/>
        <v>80.769230769230774</v>
      </c>
      <c r="CX4" s="313">
        <f t="shared" ca="1" si="1"/>
        <v>80.769230769230774</v>
      </c>
      <c r="CY4" s="313">
        <f t="shared" ca="1" si="1"/>
        <v>80.769230769230774</v>
      </c>
      <c r="CZ4" s="313">
        <f t="shared" ca="1" si="1"/>
        <v>80.769230769230774</v>
      </c>
      <c r="DA4" s="313">
        <f t="shared" ca="1" si="1"/>
        <v>80.769230769230774</v>
      </c>
      <c r="DB4" s="313">
        <f t="shared" ca="1" si="1"/>
        <v>80.769230769230774</v>
      </c>
      <c r="DC4" s="313">
        <f t="shared" ca="1" si="1"/>
        <v>80.769230769230774</v>
      </c>
      <c r="DD4" s="313">
        <f t="shared" ca="1" si="1"/>
        <v>80.769230769230774</v>
      </c>
      <c r="DE4" s="313">
        <f t="shared" ca="1" si="1"/>
        <v>80.769230769230774</v>
      </c>
      <c r="DF4" s="313">
        <f t="shared" ca="1" si="1"/>
        <v>80.769230769230774</v>
      </c>
      <c r="DG4" s="313">
        <f t="shared" ca="1" si="1"/>
        <v>80.769230769230774</v>
      </c>
      <c r="DH4" s="313">
        <f t="shared" ca="1" si="1"/>
        <v>80.769230769230774</v>
      </c>
      <c r="DI4" s="313">
        <f t="shared" ca="1" si="1"/>
        <v>80.769230769230774</v>
      </c>
      <c r="DJ4" s="313">
        <f t="shared" ca="1" si="1"/>
        <v>80.769230769230774</v>
      </c>
      <c r="DK4" s="137">
        <f ca="1">SUM(BK4:DJ4)</f>
        <v>3870.7692307692337</v>
      </c>
      <c r="DL4" s="5">
        <f>SUM(DL5:DL104)</f>
        <v>4200</v>
      </c>
    </row>
    <row r="5" spans="2:120" x14ac:dyDescent="0.25">
      <c r="C5" s="67" t="str">
        <f>ROW(A1)&amp;". "&amp;Capacity!B17</f>
        <v>1. Clinic 1</v>
      </c>
      <c r="D5">
        <f>'Capacity setup'!C12</f>
        <v>0</v>
      </c>
      <c r="E5" s="67">
        <f>'Capacity setup'!D12</f>
        <v>0</v>
      </c>
      <c r="F5" s="67">
        <f>'Capacity setup'!E12</f>
        <v>0</v>
      </c>
      <c r="H5">
        <f ca="1">IF(AND(SUMIF(Capacity_Resource,$D5,'Critical resources (hide)'!U$6:U$105)+SUMIF(Capacity_Resource,$E5,'Critical resources (hide)'!U$6:U$105)+SUMIF(Capacity_Resource,$F5,'Critical resources (hide)'!U$6:U$105)&gt;0,$E$1=2),0,1)</f>
        <v>1</v>
      </c>
      <c r="I5" s="67">
        <f ca="1">IF(AND(SUMIF(Capacity_Resource,$D5,'Critical resources (hide)'!V$6:V$105)+SUMIF(Capacity_Resource,$E5,'Critical resources (hide)'!V$6:V$105)+SUMIF(Capacity_Resource,$F5,'Critical resources (hide)'!V$6:V$105)&gt;0,$E$1=2),0,1)</f>
        <v>1</v>
      </c>
      <c r="J5" s="67">
        <f ca="1">IF(AND(SUMIF(Capacity_Resource,$D5,'Critical resources (hide)'!W$6:W$105)+SUMIF(Capacity_Resource,$E5,'Critical resources (hide)'!W$6:W$105)+SUMIF(Capacity_Resource,$F5,'Critical resources (hide)'!W$6:W$105)&gt;0,$E$1=2),0,1)</f>
        <v>1</v>
      </c>
      <c r="K5" s="67">
        <f ca="1">IF(AND(SUMIF(Capacity_Resource,$D5,'Critical resources (hide)'!X$6:X$105)+SUMIF(Capacity_Resource,$E5,'Critical resources (hide)'!X$6:X$105)+SUMIF(Capacity_Resource,$F5,'Critical resources (hide)'!X$6:X$105)&gt;0,$E$1=2),0,1)</f>
        <v>1</v>
      </c>
      <c r="L5" s="67">
        <f ca="1">IF(AND(SUMIF(Capacity_Resource,$D5,'Critical resources (hide)'!Y$6:Y$105)+SUMIF(Capacity_Resource,$E5,'Critical resources (hide)'!Y$6:Y$105)+SUMIF(Capacity_Resource,$F5,'Critical resources (hide)'!Y$6:Y$105)&gt;0,$E$1=2),0,1)</f>
        <v>1</v>
      </c>
      <c r="M5" s="67">
        <f ca="1">IF(AND(SUMIF(Capacity_Resource,$D5,'Critical resources (hide)'!Z$6:Z$105)+SUMIF(Capacity_Resource,$E5,'Critical resources (hide)'!Z$6:Z$105)+SUMIF(Capacity_Resource,$F5,'Critical resources (hide)'!Z$6:Z$105)&gt;0,$E$1=2),0,1)</f>
        <v>1</v>
      </c>
      <c r="N5" s="67">
        <f ca="1">IF(AND(SUMIF(Capacity_Resource,$D5,'Critical resources (hide)'!AA$6:AA$105)+SUMIF(Capacity_Resource,$E5,'Critical resources (hide)'!AA$6:AA$105)+SUMIF(Capacity_Resource,$F5,'Critical resources (hide)'!AA$6:AA$105)&gt;0,$E$1=2),0,1)</f>
        <v>1</v>
      </c>
      <c r="O5" s="67">
        <f ca="1">IF(AND(SUMIF(Capacity_Resource,$D5,'Critical resources (hide)'!AB$6:AB$105)+SUMIF(Capacity_Resource,$E5,'Critical resources (hide)'!AB$6:AB$105)+SUMIF(Capacity_Resource,$F5,'Critical resources (hide)'!AB$6:AB$105)&gt;0,$E$1=2),0,1)</f>
        <v>1</v>
      </c>
      <c r="P5" s="67">
        <f ca="1">IF(AND(SUMIF(Capacity_Resource,$D5,'Critical resources (hide)'!AC$6:AC$105)+SUMIF(Capacity_Resource,$E5,'Critical resources (hide)'!AC$6:AC$105)+SUMIF(Capacity_Resource,$F5,'Critical resources (hide)'!AC$6:AC$105)&gt;0,$E$1=2),0,1)</f>
        <v>1</v>
      </c>
      <c r="Q5" s="67">
        <f ca="1">IF(AND(SUMIF(Capacity_Resource,$D5,'Critical resources (hide)'!AD$6:AD$105)+SUMIF(Capacity_Resource,$E5,'Critical resources (hide)'!AD$6:AD$105)+SUMIF(Capacity_Resource,$F5,'Critical resources (hide)'!AD$6:AD$105)&gt;0,$E$1=2),0,1)</f>
        <v>1</v>
      </c>
      <c r="R5" s="67">
        <f ca="1">IF(AND(SUMIF(Capacity_Resource,$D5,'Critical resources (hide)'!AE$6:AE$105)+SUMIF(Capacity_Resource,$E5,'Critical resources (hide)'!AE$6:AE$105)+SUMIF(Capacity_Resource,$F5,'Critical resources (hide)'!AE$6:AE$105)&gt;0,$E$1=2),0,1)</f>
        <v>1</v>
      </c>
      <c r="S5" s="67">
        <f ca="1">IF(AND(SUMIF(Capacity_Resource,$D5,'Critical resources (hide)'!AF$6:AF$105)+SUMIF(Capacity_Resource,$E5,'Critical resources (hide)'!AF$6:AF$105)+SUMIF(Capacity_Resource,$F5,'Critical resources (hide)'!AF$6:AF$105)&gt;0,$E$1=2),0,1)</f>
        <v>1</v>
      </c>
      <c r="T5" s="67">
        <f ca="1">IF(AND(SUMIF(Capacity_Resource,$D5,'Critical resources (hide)'!AG$6:AG$105)+SUMIF(Capacity_Resource,$E5,'Critical resources (hide)'!AG$6:AG$105)+SUMIF(Capacity_Resource,$F5,'Critical resources (hide)'!AG$6:AG$105)&gt;0,$E$1=2),0,1)</f>
        <v>1</v>
      </c>
      <c r="U5" s="67">
        <f ca="1">IF(AND(SUMIF(Capacity_Resource,$D5,'Critical resources (hide)'!AH$6:AH$105)+SUMIF(Capacity_Resource,$E5,'Critical resources (hide)'!AH$6:AH$105)+SUMIF(Capacity_Resource,$F5,'Critical resources (hide)'!AH$6:AH$105)&gt;0,$E$1=2),0,1)</f>
        <v>1</v>
      </c>
      <c r="V5" s="67">
        <f ca="1">IF(AND(SUMIF(Capacity_Resource,$D5,'Critical resources (hide)'!AI$6:AI$105)+SUMIF(Capacity_Resource,$E5,'Critical resources (hide)'!AI$6:AI$105)+SUMIF(Capacity_Resource,$F5,'Critical resources (hide)'!AI$6:AI$105)&gt;0,$E$1=2),0,1)</f>
        <v>1</v>
      </c>
      <c r="W5" s="67">
        <f ca="1">IF(AND(SUMIF(Capacity_Resource,$D5,'Critical resources (hide)'!AJ$6:AJ$105)+SUMIF(Capacity_Resource,$E5,'Critical resources (hide)'!AJ$6:AJ$105)+SUMIF(Capacity_Resource,$F5,'Critical resources (hide)'!AJ$6:AJ$105)&gt;0,$E$1=2),0,1)</f>
        <v>1</v>
      </c>
      <c r="X5" s="67">
        <f ca="1">IF(AND(SUMIF(Capacity_Resource,$D5,'Critical resources (hide)'!AK$6:AK$105)+SUMIF(Capacity_Resource,$E5,'Critical resources (hide)'!AK$6:AK$105)+SUMIF(Capacity_Resource,$F5,'Critical resources (hide)'!AK$6:AK$105)&gt;0,$E$1=2),0,1)</f>
        <v>1</v>
      </c>
      <c r="Y5" s="67">
        <f ca="1">IF(AND(SUMIF(Capacity_Resource,$D5,'Critical resources (hide)'!AL$6:AL$105)+SUMIF(Capacity_Resource,$E5,'Critical resources (hide)'!AL$6:AL$105)+SUMIF(Capacity_Resource,$F5,'Critical resources (hide)'!AL$6:AL$105)&gt;0,$E$1=2),0,1)</f>
        <v>1</v>
      </c>
      <c r="Z5" s="67">
        <f ca="1">IF(AND(SUMIF(Capacity_Resource,$D5,'Critical resources (hide)'!AM$6:AM$105)+SUMIF(Capacity_Resource,$E5,'Critical resources (hide)'!AM$6:AM$105)+SUMIF(Capacity_Resource,$F5,'Critical resources (hide)'!AM$6:AM$105)&gt;0,$E$1=2),0,1)</f>
        <v>1</v>
      </c>
      <c r="AA5" s="67">
        <f ca="1">IF(AND(SUMIF(Capacity_Resource,$D5,'Critical resources (hide)'!AN$6:AN$105)+SUMIF(Capacity_Resource,$E5,'Critical resources (hide)'!AN$6:AN$105)+SUMIF(Capacity_Resource,$F5,'Critical resources (hide)'!AN$6:AN$105)&gt;0,$E$1=2),0,1)</f>
        <v>1</v>
      </c>
      <c r="AB5" s="67">
        <f ca="1">IF(AND(SUMIF(Capacity_Resource,$D5,'Critical resources (hide)'!AO$6:AO$105)+SUMIF(Capacity_Resource,$E5,'Critical resources (hide)'!AO$6:AO$105)+SUMIF(Capacity_Resource,$F5,'Critical resources (hide)'!AO$6:AO$105)&gt;0,$E$1=2),0,1)</f>
        <v>1</v>
      </c>
      <c r="AC5" s="67">
        <f ca="1">IF(AND(SUMIF(Capacity_Resource,$D5,'Critical resources (hide)'!AP$6:AP$105)+SUMIF(Capacity_Resource,$E5,'Critical resources (hide)'!AP$6:AP$105)+SUMIF(Capacity_Resource,$F5,'Critical resources (hide)'!AP$6:AP$105)&gt;0,$E$1=2),0,1)</f>
        <v>1</v>
      </c>
      <c r="AD5" s="67">
        <f ca="1">IF(AND(SUMIF(Capacity_Resource,$D5,'Critical resources (hide)'!AQ$6:AQ$105)+SUMIF(Capacity_Resource,$E5,'Critical resources (hide)'!AQ$6:AQ$105)+SUMIF(Capacity_Resource,$F5,'Critical resources (hide)'!AQ$6:AQ$105)&gt;0,$E$1=2),0,1)</f>
        <v>1</v>
      </c>
      <c r="AE5" s="67">
        <f ca="1">IF(AND(SUMIF(Capacity_Resource,$D5,'Critical resources (hide)'!AR$6:AR$105)+SUMIF(Capacity_Resource,$E5,'Critical resources (hide)'!AR$6:AR$105)+SUMIF(Capacity_Resource,$F5,'Critical resources (hide)'!AR$6:AR$105)&gt;0,$E$1=2),0,1)</f>
        <v>1</v>
      </c>
      <c r="AF5" s="67">
        <f ca="1">IF(AND(SUMIF(Capacity_Resource,$D5,'Critical resources (hide)'!AS$6:AS$105)+SUMIF(Capacity_Resource,$E5,'Critical resources (hide)'!AS$6:AS$105)+SUMIF(Capacity_Resource,$F5,'Critical resources (hide)'!AS$6:AS$105)&gt;0,$E$1=2),0,1)</f>
        <v>1</v>
      </c>
      <c r="AG5" s="67">
        <f ca="1">IF(AND(SUMIF(Capacity_Resource,$D5,'Critical resources (hide)'!AT$6:AT$105)+SUMIF(Capacity_Resource,$E5,'Critical resources (hide)'!AT$6:AT$105)+SUMIF(Capacity_Resource,$F5,'Critical resources (hide)'!AT$6:AT$105)&gt;0,$E$1=2),0,1)</f>
        <v>1</v>
      </c>
      <c r="AH5" s="67">
        <f ca="1">IF(AND(SUMIF(Capacity_Resource,$D5,'Critical resources (hide)'!AU$6:AU$105)+SUMIF(Capacity_Resource,$E5,'Critical resources (hide)'!AU$6:AU$105)+SUMIF(Capacity_Resource,$F5,'Critical resources (hide)'!AU$6:AU$105)&gt;0,$E$1=2),0,1)</f>
        <v>1</v>
      </c>
      <c r="AI5" s="67">
        <f ca="1">IF(AND(SUMIF(Capacity_Resource,$D5,'Critical resources (hide)'!AV$6:AV$105)+SUMIF(Capacity_Resource,$E5,'Critical resources (hide)'!AV$6:AV$105)+SUMIF(Capacity_Resource,$F5,'Critical resources (hide)'!AV$6:AV$105)&gt;0,$E$1=2),0,1)</f>
        <v>1</v>
      </c>
      <c r="AJ5" s="67">
        <f ca="1">IF(AND(SUMIF(Capacity_Resource,$D5,'Critical resources (hide)'!AW$6:AW$105)+SUMIF(Capacity_Resource,$E5,'Critical resources (hide)'!AW$6:AW$105)+SUMIF(Capacity_Resource,$F5,'Critical resources (hide)'!AW$6:AW$105)&gt;0,$E$1=2),0,1)</f>
        <v>1</v>
      </c>
      <c r="AK5" s="67">
        <f ca="1">IF(AND(SUMIF(Capacity_Resource,$D5,'Critical resources (hide)'!AX$6:AX$105)+SUMIF(Capacity_Resource,$E5,'Critical resources (hide)'!AX$6:AX$105)+SUMIF(Capacity_Resource,$F5,'Critical resources (hide)'!AX$6:AX$105)&gt;0,$E$1=2),0,1)</f>
        <v>1</v>
      </c>
      <c r="AL5" s="67">
        <f ca="1">IF(AND(SUMIF(Capacity_Resource,$D5,'Critical resources (hide)'!AY$6:AY$105)+SUMIF(Capacity_Resource,$E5,'Critical resources (hide)'!AY$6:AY$105)+SUMIF(Capacity_Resource,$F5,'Critical resources (hide)'!AY$6:AY$105)&gt;0,$E$1=2),0,1)</f>
        <v>1</v>
      </c>
      <c r="AM5" s="67">
        <f ca="1">IF(AND(SUMIF(Capacity_Resource,$D5,'Critical resources (hide)'!AZ$6:AZ$105)+SUMIF(Capacity_Resource,$E5,'Critical resources (hide)'!AZ$6:AZ$105)+SUMIF(Capacity_Resource,$F5,'Critical resources (hide)'!AZ$6:AZ$105)&gt;0,$E$1=2),0,1)</f>
        <v>1</v>
      </c>
      <c r="AN5" s="67">
        <f ca="1">IF(AND(SUMIF(Capacity_Resource,$D5,'Critical resources (hide)'!BA$6:BA$105)+SUMIF(Capacity_Resource,$E5,'Critical resources (hide)'!BA$6:BA$105)+SUMIF(Capacity_Resource,$F5,'Critical resources (hide)'!BA$6:BA$105)&gt;0,$E$1=2),0,1)</f>
        <v>1</v>
      </c>
      <c r="AO5" s="67">
        <f ca="1">IF(AND(SUMIF(Capacity_Resource,$D5,'Critical resources (hide)'!BB$6:BB$105)+SUMIF(Capacity_Resource,$E5,'Critical resources (hide)'!BB$6:BB$105)+SUMIF(Capacity_Resource,$F5,'Critical resources (hide)'!BB$6:BB$105)&gt;0,$E$1=2),0,1)</f>
        <v>1</v>
      </c>
      <c r="AP5" s="67">
        <f ca="1">IF(AND(SUMIF(Capacity_Resource,$D5,'Critical resources (hide)'!BC$6:BC$105)+SUMIF(Capacity_Resource,$E5,'Critical resources (hide)'!BC$6:BC$105)+SUMIF(Capacity_Resource,$F5,'Critical resources (hide)'!BC$6:BC$105)&gt;0,$E$1=2),0,1)</f>
        <v>1</v>
      </c>
      <c r="AQ5" s="67">
        <f ca="1">IF(AND(SUMIF(Capacity_Resource,$D5,'Critical resources (hide)'!BD$6:BD$105)+SUMIF(Capacity_Resource,$E5,'Critical resources (hide)'!BD$6:BD$105)+SUMIF(Capacity_Resource,$F5,'Critical resources (hide)'!BD$6:BD$105)&gt;0,$E$1=2),0,1)</f>
        <v>1</v>
      </c>
      <c r="AR5" s="67">
        <f ca="1">IF(AND(SUMIF(Capacity_Resource,$D5,'Critical resources (hide)'!BE$6:BE$105)+SUMIF(Capacity_Resource,$E5,'Critical resources (hide)'!BE$6:BE$105)+SUMIF(Capacity_Resource,$F5,'Critical resources (hide)'!BE$6:BE$105)&gt;0,$E$1=2),0,1)</f>
        <v>1</v>
      </c>
      <c r="AS5" s="67">
        <f ca="1">IF(AND(SUMIF(Capacity_Resource,$D5,'Critical resources (hide)'!BF$6:BF$105)+SUMIF(Capacity_Resource,$E5,'Critical resources (hide)'!BF$6:BF$105)+SUMIF(Capacity_Resource,$F5,'Critical resources (hide)'!BF$6:BF$105)&gt;0,$E$1=2),0,1)</f>
        <v>1</v>
      </c>
      <c r="AT5" s="67">
        <f ca="1">IF(AND(SUMIF(Capacity_Resource,$D5,'Critical resources (hide)'!BG$6:BG$105)+SUMIF(Capacity_Resource,$E5,'Critical resources (hide)'!BG$6:BG$105)+SUMIF(Capacity_Resource,$F5,'Critical resources (hide)'!BG$6:BG$105)&gt;0,$E$1=2),0,1)</f>
        <v>1</v>
      </c>
      <c r="AU5" s="67">
        <f ca="1">IF(AND(SUMIF(Capacity_Resource,$D5,'Critical resources (hide)'!BH$6:BH$105)+SUMIF(Capacity_Resource,$E5,'Critical resources (hide)'!BH$6:BH$105)+SUMIF(Capacity_Resource,$F5,'Critical resources (hide)'!BH$6:BH$105)&gt;0,$E$1=2),0,1)</f>
        <v>1</v>
      </c>
      <c r="AV5" s="67">
        <f ca="1">IF(AND(SUMIF(Capacity_Resource,$D5,'Critical resources (hide)'!BI$6:BI$105)+SUMIF(Capacity_Resource,$E5,'Critical resources (hide)'!BI$6:BI$105)+SUMIF(Capacity_Resource,$F5,'Critical resources (hide)'!BI$6:BI$105)&gt;0,$E$1=2),0,1)</f>
        <v>1</v>
      </c>
      <c r="AW5" s="67">
        <f ca="1">IF(AND(SUMIF(Capacity_Resource,$D5,'Critical resources (hide)'!BJ$6:BJ$105)+SUMIF(Capacity_Resource,$E5,'Critical resources (hide)'!BJ$6:BJ$105)+SUMIF(Capacity_Resource,$F5,'Critical resources (hide)'!BJ$6:BJ$105)&gt;0,$E$1=2),0,1)</f>
        <v>1</v>
      </c>
      <c r="AX5" s="67">
        <f ca="1">IF(AND(SUMIF(Capacity_Resource,$D5,'Critical resources (hide)'!BK$6:BK$105)+SUMIF(Capacity_Resource,$E5,'Critical resources (hide)'!BK$6:BK$105)+SUMIF(Capacity_Resource,$F5,'Critical resources (hide)'!BK$6:BK$105)&gt;0,$E$1=2),0,1)</f>
        <v>1</v>
      </c>
      <c r="AY5" s="67">
        <f ca="1">IF(AND(SUMIF(Capacity_Resource,$D5,'Critical resources (hide)'!BL$6:BL$105)+SUMIF(Capacity_Resource,$E5,'Critical resources (hide)'!BL$6:BL$105)+SUMIF(Capacity_Resource,$F5,'Critical resources (hide)'!BL$6:BL$105)&gt;0,$E$1=2),0,1)</f>
        <v>1</v>
      </c>
      <c r="AZ5" s="67">
        <f ca="1">IF(AND(SUMIF(Capacity_Resource,$D5,'Critical resources (hide)'!BM$6:BM$105)+SUMIF(Capacity_Resource,$E5,'Critical resources (hide)'!BM$6:BM$105)+SUMIF(Capacity_Resource,$F5,'Critical resources (hide)'!BM$6:BM$105)&gt;0,$E$1=2),0,1)</f>
        <v>1</v>
      </c>
      <c r="BA5" s="67">
        <f ca="1">IF(AND(SUMIF(Capacity_Resource,$D5,'Critical resources (hide)'!BN$6:BN$105)+SUMIF(Capacity_Resource,$E5,'Critical resources (hide)'!BN$6:BN$105)+SUMIF(Capacity_Resource,$F5,'Critical resources (hide)'!BN$6:BN$105)&gt;0,$E$1=2),0,1)</f>
        <v>1</v>
      </c>
      <c r="BB5" s="67">
        <f ca="1">IF(AND(SUMIF(Capacity_Resource,$D5,'Critical resources (hide)'!BO$6:BO$105)+SUMIF(Capacity_Resource,$E5,'Critical resources (hide)'!BO$6:BO$105)+SUMIF(Capacity_Resource,$F5,'Critical resources (hide)'!BO$6:BO$105)&gt;0,$E$1=2),0,1)</f>
        <v>1</v>
      </c>
      <c r="BC5" s="67">
        <f ca="1">IF(AND(SUMIF(Capacity_Resource,$D5,'Critical resources (hide)'!BP$6:BP$105)+SUMIF(Capacity_Resource,$E5,'Critical resources (hide)'!BP$6:BP$105)+SUMIF(Capacity_Resource,$F5,'Critical resources (hide)'!BP$6:BP$105)&gt;0,$E$1=2),0,1)</f>
        <v>1</v>
      </c>
      <c r="BD5" s="67">
        <f ca="1">IF(AND(SUMIF(Capacity_Resource,$D5,'Critical resources (hide)'!BQ$6:BQ$105)+SUMIF(Capacity_Resource,$E5,'Critical resources (hide)'!BQ$6:BQ$105)+SUMIF(Capacity_Resource,$F5,'Critical resources (hide)'!BQ$6:BQ$105)&gt;0,$E$1=2),0,1)</f>
        <v>1</v>
      </c>
      <c r="BE5" s="67">
        <f ca="1">IF(AND(SUMIF(Capacity_Resource,$D5,'Critical resources (hide)'!BR$6:BR$105)+SUMIF(Capacity_Resource,$E5,'Critical resources (hide)'!BR$6:BR$105)+SUMIF(Capacity_Resource,$F5,'Critical resources (hide)'!BR$6:BR$105)&gt;0,$E$1=2),0,1)</f>
        <v>1</v>
      </c>
      <c r="BF5" s="67">
        <f ca="1">IF(AND(SUMIF(Capacity_Resource,$D5,'Critical resources (hide)'!BS$6:BS$105)+SUMIF(Capacity_Resource,$E5,'Critical resources (hide)'!BS$6:BS$105)+SUMIF(Capacity_Resource,$F5,'Critical resources (hide)'!BS$6:BS$105)&gt;0,$E$1=2),0,1)</f>
        <v>1</v>
      </c>
      <c r="BG5" s="67">
        <f ca="1">IF(AND(SUMIF(Capacity_Resource,$D5,'Critical resources (hide)'!BT$6:BT$105)+SUMIF(Capacity_Resource,$E5,'Critical resources (hide)'!BT$6:BT$105)+SUMIF(Capacity_Resource,$F5,'Critical resources (hide)'!BT$6:BT$105)&gt;0,$E$1=2),0,1)</f>
        <v>1</v>
      </c>
      <c r="BH5">
        <f>IF(ROW(C1)&lt;=Capacity!$A$16,IF('Capacity summary'!$D$14="No",SUM(H5:BG5),'Capacity summary'!$E124),0)</f>
        <v>52</v>
      </c>
      <c r="BI5" s="5">
        <f>IF(BH5&gt;0,IF(BH5&lt;Capacity!E17,Capacity!F17,Capacity!H17/'Capacity calculation (hide)'!BH5),"")</f>
        <v>80.769230769230774</v>
      </c>
      <c r="BK5" s="313">
        <f>IF($BI5&lt;&gt;"",IF('Capacity summary'!$D$14="Yes",IF(COUNTBLANK('Capacity summary'!$H124:$BG124)&lt;52,IF('Capacity summary'!H124&lt;&gt;"",IF(LOWER('Capacity summary'!H124)="x",$BI5*H5,VALUE('Capacity summary'!H124)),0),H5*$BI5),H5*$BI5),0)</f>
        <v>20</v>
      </c>
      <c r="BL5" s="313">
        <f>IF($BI5&lt;&gt;"",IF('Capacity summary'!$D$14="Yes",IF(COUNTBLANK('Capacity summary'!$H124:$BG124)&lt;52,IF('Capacity summary'!I124&lt;&gt;"",IF(LOWER('Capacity summary'!I124)="x",$BI5*I5,VALUE('Capacity summary'!I124)),0),I5*$BI5),I5*$BI5),0)</f>
        <v>20</v>
      </c>
      <c r="BM5" s="313">
        <f>IF($BI5&lt;&gt;"",IF('Capacity summary'!$D$14="Yes",IF(COUNTBLANK('Capacity summary'!$H124:$BG124)&lt;52,IF('Capacity summary'!J124&lt;&gt;"",IF(LOWER('Capacity summary'!J124)="x",$BI5*J5,VALUE('Capacity summary'!J124)),0),J5*$BI5),J5*$BI5),0)</f>
        <v>20</v>
      </c>
      <c r="BN5" s="313">
        <f>IF($BI5&lt;&gt;"",IF('Capacity summary'!$D$14="Yes",IF(COUNTBLANK('Capacity summary'!$H124:$BG124)&lt;52,IF('Capacity summary'!K124&lt;&gt;"",IF(LOWER('Capacity summary'!K124)="x",$BI5*K5,VALUE('Capacity summary'!K124)),0),K5*$BI5),K5*$BI5),0)</f>
        <v>20</v>
      </c>
      <c r="BO5" s="313">
        <f>IF($BI5&lt;&gt;"",IF('Capacity summary'!$D$14="Yes",IF(COUNTBLANK('Capacity summary'!$H124:$BG124)&lt;52,IF('Capacity summary'!L124&lt;&gt;"",IF(LOWER('Capacity summary'!L124)="x",$BI5*L5,VALUE('Capacity summary'!L124)),0),L5*$BI5),L5*$BI5),0)</f>
        <v>20</v>
      </c>
      <c r="BP5" s="313">
        <f>IF($BI5&lt;&gt;"",IF('Capacity summary'!$D$14="Yes",IF(COUNTBLANK('Capacity summary'!$H124:$BG124)&lt;52,IF('Capacity summary'!M124&lt;&gt;"",IF(LOWER('Capacity summary'!M124)="x",$BI5*M5,VALUE('Capacity summary'!M124)),0),M5*$BI5),M5*$BI5),0)</f>
        <v>20</v>
      </c>
      <c r="BQ5" s="313">
        <f>IF($BI5&lt;&gt;"",IF('Capacity summary'!$D$14="Yes",IF(COUNTBLANK('Capacity summary'!$H124:$BG124)&lt;52,IF('Capacity summary'!N124&lt;&gt;"",IF(LOWER('Capacity summary'!N124)="x",$BI5*N5,VALUE('Capacity summary'!N124)),0),N5*$BI5),N5*$BI5),0)</f>
        <v>40</v>
      </c>
      <c r="BR5" s="313">
        <f>IF($BI5&lt;&gt;"",IF('Capacity summary'!$D$14="Yes",IF(COUNTBLANK('Capacity summary'!$H124:$BG124)&lt;52,IF('Capacity summary'!O124&lt;&gt;"",IF(LOWER('Capacity summary'!O124)="x",$BI5*O5,VALUE('Capacity summary'!O124)),0),O5*$BI5),O5*$BI5),0)</f>
        <v>80</v>
      </c>
      <c r="BS5" s="313">
        <f>IF($BI5&lt;&gt;"",IF('Capacity summary'!$D$14="Yes",IF(COUNTBLANK('Capacity summary'!$H124:$BG124)&lt;52,IF('Capacity summary'!P124&lt;&gt;"",IF(LOWER('Capacity summary'!P124)="x",$BI5*P5,VALUE('Capacity summary'!P124)),0),P5*$BI5),P5*$BI5),0)</f>
        <v>100</v>
      </c>
      <c r="BT5" s="313">
        <f>IF($BI5&lt;&gt;"",IF('Capacity summary'!$D$14="Yes",IF(COUNTBLANK('Capacity summary'!$H124:$BG124)&lt;52,IF('Capacity summary'!Q124&lt;&gt;"",IF(LOWER('Capacity summary'!Q124)="x",$BI5*Q5,VALUE('Capacity summary'!Q124)),0),Q5*$BI5),Q5*$BI5),0)</f>
        <v>100</v>
      </c>
      <c r="BU5" s="313">
        <f>IF($BI5&lt;&gt;"",IF('Capacity summary'!$D$14="Yes",IF(COUNTBLANK('Capacity summary'!$H124:$BG124)&lt;52,IF('Capacity summary'!R124&lt;&gt;"",IF(LOWER('Capacity summary'!R124)="x",$BI5*R5,VALUE('Capacity summary'!R124)),0),R5*$BI5),R5*$BI5),0)</f>
        <v>100</v>
      </c>
      <c r="BV5" s="313">
        <f>IF($BI5&lt;&gt;"",IF('Capacity summary'!$D$14="Yes",IF(COUNTBLANK('Capacity summary'!$H124:$BG124)&lt;52,IF('Capacity summary'!S124&lt;&gt;"",IF(LOWER('Capacity summary'!S124)="x",$BI5*S5,VALUE('Capacity summary'!S124)),0),S5*$BI5),S5*$BI5),0)</f>
        <v>100</v>
      </c>
      <c r="BW5" s="313">
        <f ca="1">IF($BI5&lt;&gt;"",IF('Capacity summary'!$D$14="Yes",IF(COUNTBLANK('Capacity summary'!$H124:$BG124)&lt;52,IF('Capacity summary'!T124&lt;&gt;"",IF(LOWER('Capacity summary'!T124)="x",$BI5*T5,VALUE('Capacity summary'!T124)),0),T5*$BI5),T5*$BI5),0)</f>
        <v>80.769230769230774</v>
      </c>
      <c r="BX5" s="313">
        <f ca="1">IF($BI5&lt;&gt;"",IF('Capacity summary'!$D$14="Yes",IF(COUNTBLANK('Capacity summary'!$H124:$BG124)&lt;52,IF('Capacity summary'!U124&lt;&gt;"",IF(LOWER('Capacity summary'!U124)="x",$BI5*U5,VALUE('Capacity summary'!U124)),0),U5*$BI5),U5*$BI5),0)</f>
        <v>80.769230769230774</v>
      </c>
      <c r="BY5" s="313">
        <f ca="1">IF($BI5&lt;&gt;"",IF('Capacity summary'!$D$14="Yes",IF(COUNTBLANK('Capacity summary'!$H124:$BG124)&lt;52,IF('Capacity summary'!V124&lt;&gt;"",IF(LOWER('Capacity summary'!V124)="x",$BI5*V5,VALUE('Capacity summary'!V124)),0),V5*$BI5),V5*$BI5),0)</f>
        <v>80.769230769230774</v>
      </c>
      <c r="BZ5" s="313">
        <f ca="1">IF($BI5&lt;&gt;"",IF('Capacity summary'!$D$14="Yes",IF(COUNTBLANK('Capacity summary'!$H124:$BG124)&lt;52,IF('Capacity summary'!W124&lt;&gt;"",IF(LOWER('Capacity summary'!W124)="x",$BI5*W5,VALUE('Capacity summary'!W124)),0),W5*$BI5),W5*$BI5),0)</f>
        <v>80.769230769230774</v>
      </c>
      <c r="CA5" s="313">
        <f ca="1">IF($BI5&lt;&gt;"",IF('Capacity summary'!$D$14="Yes",IF(COUNTBLANK('Capacity summary'!$H124:$BG124)&lt;52,IF('Capacity summary'!X124&lt;&gt;"",IF(LOWER('Capacity summary'!X124)="x",$BI5*X5,VALUE('Capacity summary'!X124)),0),X5*$BI5),X5*$BI5),0)</f>
        <v>80.769230769230774</v>
      </c>
      <c r="CB5" s="313">
        <f ca="1">IF($BI5&lt;&gt;"",IF('Capacity summary'!$D$14="Yes",IF(COUNTBLANK('Capacity summary'!$H124:$BG124)&lt;52,IF('Capacity summary'!Y124&lt;&gt;"",IF(LOWER('Capacity summary'!Y124)="x",$BI5*Y5,VALUE('Capacity summary'!Y124)),0),Y5*$BI5),Y5*$BI5),0)</f>
        <v>80.769230769230774</v>
      </c>
      <c r="CC5" s="313">
        <f ca="1">IF($BI5&lt;&gt;"",IF('Capacity summary'!$D$14="Yes",IF(COUNTBLANK('Capacity summary'!$H124:$BG124)&lt;52,IF('Capacity summary'!Z124&lt;&gt;"",IF(LOWER('Capacity summary'!Z124)="x",$BI5*Z5,VALUE('Capacity summary'!Z124)),0),Z5*$BI5),Z5*$BI5),0)</f>
        <v>80.769230769230774</v>
      </c>
      <c r="CD5" s="313">
        <f ca="1">IF($BI5&lt;&gt;"",IF('Capacity summary'!$D$14="Yes",IF(COUNTBLANK('Capacity summary'!$H124:$BG124)&lt;52,IF('Capacity summary'!AA124&lt;&gt;"",IF(LOWER('Capacity summary'!AA124)="x",$BI5*AA5,VALUE('Capacity summary'!AA124)),0),AA5*$BI5),AA5*$BI5),0)</f>
        <v>80.769230769230774</v>
      </c>
      <c r="CE5" s="313">
        <f ca="1">IF($BI5&lt;&gt;"",IF('Capacity summary'!$D$14="Yes",IF(COUNTBLANK('Capacity summary'!$H124:$BG124)&lt;52,IF('Capacity summary'!AB124&lt;&gt;"",IF(LOWER('Capacity summary'!AB124)="x",$BI5*AB5,VALUE('Capacity summary'!AB124)),0),AB5*$BI5),AB5*$BI5),0)</f>
        <v>80.769230769230774</v>
      </c>
      <c r="CF5" s="313">
        <f ca="1">IF($BI5&lt;&gt;"",IF('Capacity summary'!$D$14="Yes",IF(COUNTBLANK('Capacity summary'!$H124:$BG124)&lt;52,IF('Capacity summary'!AC124&lt;&gt;"",IF(LOWER('Capacity summary'!AC124)="x",$BI5*AC5,VALUE('Capacity summary'!AC124)),0),AC5*$BI5),AC5*$BI5),0)</f>
        <v>80.769230769230774</v>
      </c>
      <c r="CG5" s="313">
        <f ca="1">IF($BI5&lt;&gt;"",IF('Capacity summary'!$D$14="Yes",IF(COUNTBLANK('Capacity summary'!$H124:$BG124)&lt;52,IF('Capacity summary'!AD124&lt;&gt;"",IF(LOWER('Capacity summary'!AD124)="x",$BI5*AD5,VALUE('Capacity summary'!AD124)),0),AD5*$BI5),AD5*$BI5),0)</f>
        <v>80.769230769230774</v>
      </c>
      <c r="CH5" s="313">
        <f ca="1">IF($BI5&lt;&gt;"",IF('Capacity summary'!$D$14="Yes",IF(COUNTBLANK('Capacity summary'!$H124:$BG124)&lt;52,IF('Capacity summary'!AE124&lt;&gt;"",IF(LOWER('Capacity summary'!AE124)="x",$BI5*AE5,VALUE('Capacity summary'!AE124)),0),AE5*$BI5),AE5*$BI5),0)</f>
        <v>80.769230769230774</v>
      </c>
      <c r="CI5" s="313">
        <f ca="1">IF($BI5&lt;&gt;"",IF('Capacity summary'!$D$14="Yes",IF(COUNTBLANK('Capacity summary'!$H124:$BG124)&lt;52,IF('Capacity summary'!AF124&lt;&gt;"",IF(LOWER('Capacity summary'!AF124)="x",$BI5*AF5,VALUE('Capacity summary'!AF124)),0),AF5*$BI5),AF5*$BI5),0)</f>
        <v>80.769230769230774</v>
      </c>
      <c r="CJ5" s="313">
        <f ca="1">IF($BI5&lt;&gt;"",IF('Capacity summary'!$D$14="Yes",IF(COUNTBLANK('Capacity summary'!$H124:$BG124)&lt;52,IF('Capacity summary'!AG124&lt;&gt;"",IF(LOWER('Capacity summary'!AG124)="x",$BI5*AG5,VALUE('Capacity summary'!AG124)),0),AG5*$BI5),AG5*$BI5),0)</f>
        <v>80.769230769230774</v>
      </c>
      <c r="CK5" s="313">
        <f ca="1">IF($BI5&lt;&gt;"",IF('Capacity summary'!$D$14="Yes",IF(COUNTBLANK('Capacity summary'!$H124:$BG124)&lt;52,IF('Capacity summary'!AH124&lt;&gt;"",IF(LOWER('Capacity summary'!AH124)="x",$BI5*AH5,VALUE('Capacity summary'!AH124)),0),AH5*$BI5),AH5*$BI5),0)</f>
        <v>80.769230769230774</v>
      </c>
      <c r="CL5" s="313">
        <f ca="1">IF($BI5&lt;&gt;"",IF('Capacity summary'!$D$14="Yes",IF(COUNTBLANK('Capacity summary'!$H124:$BG124)&lt;52,IF('Capacity summary'!AI124&lt;&gt;"",IF(LOWER('Capacity summary'!AI124)="x",$BI5*AI5,VALUE('Capacity summary'!AI124)),0),AI5*$BI5),AI5*$BI5),0)</f>
        <v>80.769230769230774</v>
      </c>
      <c r="CM5" s="313">
        <f ca="1">IF($BI5&lt;&gt;"",IF('Capacity summary'!$D$14="Yes",IF(COUNTBLANK('Capacity summary'!$H124:$BG124)&lt;52,IF('Capacity summary'!AJ124&lt;&gt;"",IF(LOWER('Capacity summary'!AJ124)="x",$BI5*AJ5,VALUE('Capacity summary'!AJ124)),0),AJ5*$BI5),AJ5*$BI5),0)</f>
        <v>80.769230769230774</v>
      </c>
      <c r="CN5" s="313">
        <f ca="1">IF($BI5&lt;&gt;"",IF('Capacity summary'!$D$14="Yes",IF(COUNTBLANK('Capacity summary'!$H124:$BG124)&lt;52,IF('Capacity summary'!AK124&lt;&gt;"",IF(LOWER('Capacity summary'!AK124)="x",$BI5*AK5,VALUE('Capacity summary'!AK124)),0),AK5*$BI5),AK5*$BI5),0)</f>
        <v>80.769230769230774</v>
      </c>
      <c r="CO5" s="313">
        <f ca="1">IF($BI5&lt;&gt;"",IF('Capacity summary'!$D$14="Yes",IF(COUNTBLANK('Capacity summary'!$H124:$BG124)&lt;52,IF('Capacity summary'!AL124&lt;&gt;"",IF(LOWER('Capacity summary'!AL124)="x",$BI5*AL5,VALUE('Capacity summary'!AL124)),0),AL5*$BI5),AL5*$BI5),0)</f>
        <v>80.769230769230774</v>
      </c>
      <c r="CP5" s="313">
        <f ca="1">IF($BI5&lt;&gt;"",IF('Capacity summary'!$D$14="Yes",IF(COUNTBLANK('Capacity summary'!$H124:$BG124)&lt;52,IF('Capacity summary'!AM124&lt;&gt;"",IF(LOWER('Capacity summary'!AM124)="x",$BI5*AM5,VALUE('Capacity summary'!AM124)),0),AM5*$BI5),AM5*$BI5),0)</f>
        <v>80.769230769230774</v>
      </c>
      <c r="CQ5" s="313">
        <f ca="1">IF($BI5&lt;&gt;"",IF('Capacity summary'!$D$14="Yes",IF(COUNTBLANK('Capacity summary'!$H124:$BG124)&lt;52,IF('Capacity summary'!AN124&lt;&gt;"",IF(LOWER('Capacity summary'!AN124)="x",$BI5*AN5,VALUE('Capacity summary'!AN124)),0),AN5*$BI5),AN5*$BI5),0)</f>
        <v>80.769230769230774</v>
      </c>
      <c r="CR5" s="313">
        <f ca="1">IF($BI5&lt;&gt;"",IF('Capacity summary'!$D$14="Yes",IF(COUNTBLANK('Capacity summary'!$H124:$BG124)&lt;52,IF('Capacity summary'!AO124&lt;&gt;"",IF(LOWER('Capacity summary'!AO124)="x",$BI5*AO5,VALUE('Capacity summary'!AO124)),0),AO5*$BI5),AO5*$BI5),0)</f>
        <v>80.769230769230774</v>
      </c>
      <c r="CS5" s="313">
        <f ca="1">IF($BI5&lt;&gt;"",IF('Capacity summary'!$D$14="Yes",IF(COUNTBLANK('Capacity summary'!$H124:$BG124)&lt;52,IF('Capacity summary'!AP124&lt;&gt;"",IF(LOWER('Capacity summary'!AP124)="x",$BI5*AP5,VALUE('Capacity summary'!AP124)),0),AP5*$BI5),AP5*$BI5),0)</f>
        <v>80.769230769230774</v>
      </c>
      <c r="CT5" s="313">
        <f ca="1">IF($BI5&lt;&gt;"",IF('Capacity summary'!$D$14="Yes",IF(COUNTBLANK('Capacity summary'!$H124:$BG124)&lt;52,IF('Capacity summary'!AQ124&lt;&gt;"",IF(LOWER('Capacity summary'!AQ124)="x",$BI5*AQ5,VALUE('Capacity summary'!AQ124)),0),AQ5*$BI5),AQ5*$BI5),0)</f>
        <v>80.769230769230774</v>
      </c>
      <c r="CU5" s="313">
        <f ca="1">IF($BI5&lt;&gt;"",IF('Capacity summary'!$D$14="Yes",IF(COUNTBLANK('Capacity summary'!$H124:$BG124)&lt;52,IF('Capacity summary'!AR124&lt;&gt;"",IF(LOWER('Capacity summary'!AR124)="x",$BI5*AR5,VALUE('Capacity summary'!AR124)),0),AR5*$BI5),AR5*$BI5),0)</f>
        <v>80.769230769230774</v>
      </c>
      <c r="CV5" s="313">
        <f ca="1">IF($BI5&lt;&gt;"",IF('Capacity summary'!$D$14="Yes",IF(COUNTBLANK('Capacity summary'!$H124:$BG124)&lt;52,IF('Capacity summary'!AS124&lt;&gt;"",IF(LOWER('Capacity summary'!AS124)="x",$BI5*AS5,VALUE('Capacity summary'!AS124)),0),AS5*$BI5),AS5*$BI5),0)</f>
        <v>80.769230769230774</v>
      </c>
      <c r="CW5" s="313">
        <f ca="1">IF($BI5&lt;&gt;"",IF('Capacity summary'!$D$14="Yes",IF(COUNTBLANK('Capacity summary'!$H124:$BG124)&lt;52,IF('Capacity summary'!AT124&lt;&gt;"",IF(LOWER('Capacity summary'!AT124)="x",$BI5*AT5,VALUE('Capacity summary'!AT124)),0),AT5*$BI5),AT5*$BI5),0)</f>
        <v>80.769230769230774</v>
      </c>
      <c r="CX5" s="313">
        <f ca="1">IF($BI5&lt;&gt;"",IF('Capacity summary'!$D$14="Yes",IF(COUNTBLANK('Capacity summary'!$H124:$BG124)&lt;52,IF('Capacity summary'!AU124&lt;&gt;"",IF(LOWER('Capacity summary'!AU124)="x",$BI5*AU5,VALUE('Capacity summary'!AU124)),0),AU5*$BI5),AU5*$BI5),0)</f>
        <v>80.769230769230774</v>
      </c>
      <c r="CY5" s="313">
        <f ca="1">IF($BI5&lt;&gt;"",IF('Capacity summary'!$D$14="Yes",IF(COUNTBLANK('Capacity summary'!$H124:$BG124)&lt;52,IF('Capacity summary'!AV124&lt;&gt;"",IF(LOWER('Capacity summary'!AV124)="x",$BI5*AV5,VALUE('Capacity summary'!AV124)),0),AV5*$BI5),AV5*$BI5),0)</f>
        <v>80.769230769230774</v>
      </c>
      <c r="CZ5" s="313">
        <f ca="1">IF($BI5&lt;&gt;"",IF('Capacity summary'!$D$14="Yes",IF(COUNTBLANK('Capacity summary'!$H124:$BG124)&lt;52,IF('Capacity summary'!AW124&lt;&gt;"",IF(LOWER('Capacity summary'!AW124)="x",$BI5*AW5,VALUE('Capacity summary'!AW124)),0),AW5*$BI5),AW5*$BI5),0)</f>
        <v>80.769230769230774</v>
      </c>
      <c r="DA5" s="313">
        <f ca="1">IF($BI5&lt;&gt;"",IF('Capacity summary'!$D$14="Yes",IF(COUNTBLANK('Capacity summary'!$H124:$BG124)&lt;52,IF('Capacity summary'!AX124&lt;&gt;"",IF(LOWER('Capacity summary'!AX124)="x",$BI5*AX5,VALUE('Capacity summary'!AX124)),0),AX5*$BI5),AX5*$BI5),0)</f>
        <v>80.769230769230774</v>
      </c>
      <c r="DB5" s="313">
        <f ca="1">IF($BI5&lt;&gt;"",IF('Capacity summary'!$D$14="Yes",IF(COUNTBLANK('Capacity summary'!$H124:$BG124)&lt;52,IF('Capacity summary'!AY124&lt;&gt;"",IF(LOWER('Capacity summary'!AY124)="x",$BI5*AY5,VALUE('Capacity summary'!AY124)),0),AY5*$BI5),AY5*$BI5),0)</f>
        <v>80.769230769230774</v>
      </c>
      <c r="DC5" s="313">
        <f ca="1">IF($BI5&lt;&gt;"",IF('Capacity summary'!$D$14="Yes",IF(COUNTBLANK('Capacity summary'!$H124:$BG124)&lt;52,IF('Capacity summary'!AZ124&lt;&gt;"",IF(LOWER('Capacity summary'!AZ124)="x",$BI5*AZ5,VALUE('Capacity summary'!AZ124)),0),AZ5*$BI5),AZ5*$BI5),0)</f>
        <v>80.769230769230774</v>
      </c>
      <c r="DD5" s="313">
        <f ca="1">IF($BI5&lt;&gt;"",IF('Capacity summary'!$D$14="Yes",IF(COUNTBLANK('Capacity summary'!$H124:$BG124)&lt;52,IF('Capacity summary'!BA124&lt;&gt;"",IF(LOWER('Capacity summary'!BA124)="x",$BI5*BA5,VALUE('Capacity summary'!BA124)),0),BA5*$BI5),BA5*$BI5),0)</f>
        <v>80.769230769230774</v>
      </c>
      <c r="DE5" s="313">
        <f ca="1">IF($BI5&lt;&gt;"",IF('Capacity summary'!$D$14="Yes",IF(COUNTBLANK('Capacity summary'!$H124:$BG124)&lt;52,IF('Capacity summary'!BB124&lt;&gt;"",IF(LOWER('Capacity summary'!BB124)="x",$BI5*BB5,VALUE('Capacity summary'!BB124)),0),BB5*$BI5),BB5*$BI5),0)</f>
        <v>80.769230769230774</v>
      </c>
      <c r="DF5" s="313">
        <f ca="1">IF($BI5&lt;&gt;"",IF('Capacity summary'!$D$14="Yes",IF(COUNTBLANK('Capacity summary'!$H124:$BG124)&lt;52,IF('Capacity summary'!BC124&lt;&gt;"",IF(LOWER('Capacity summary'!BC124)="x",$BI5*BC5,VALUE('Capacity summary'!BC124)),0),BC5*$BI5),BC5*$BI5),0)</f>
        <v>80.769230769230774</v>
      </c>
      <c r="DG5" s="313">
        <f ca="1">IF($BI5&lt;&gt;"",IF('Capacity summary'!$D$14="Yes",IF(COUNTBLANK('Capacity summary'!$H124:$BG124)&lt;52,IF('Capacity summary'!BD124&lt;&gt;"",IF(LOWER('Capacity summary'!BD124)="x",$BI5*BD5,VALUE('Capacity summary'!BD124)),0),BD5*$BI5),BD5*$BI5),0)</f>
        <v>80.769230769230774</v>
      </c>
      <c r="DH5" s="313">
        <f ca="1">IF($BI5&lt;&gt;"",IF('Capacity summary'!$D$14="Yes",IF(COUNTBLANK('Capacity summary'!$H124:$BG124)&lt;52,IF('Capacity summary'!BE124&lt;&gt;"",IF(LOWER('Capacity summary'!BE124)="x",$BI5*BE5,VALUE('Capacity summary'!BE124)),0),BE5*$BI5),BE5*$BI5),0)</f>
        <v>80.769230769230774</v>
      </c>
      <c r="DI5" s="313">
        <f ca="1">IF($BI5&lt;&gt;"",IF('Capacity summary'!$D$14="Yes",IF(COUNTBLANK('Capacity summary'!$H124:$BG124)&lt;52,IF('Capacity summary'!BF124&lt;&gt;"",IF(LOWER('Capacity summary'!BF124)="x",$BI5*BF5,VALUE('Capacity summary'!BF124)),0),BF5*$BI5),BF5*$BI5),0)</f>
        <v>80.769230769230774</v>
      </c>
      <c r="DJ5" s="313">
        <f ca="1">IF($BI5&lt;&gt;"",IF('Capacity summary'!$D$14="Yes",IF(COUNTBLANK('Capacity summary'!$H124:$BG124)&lt;52,IF('Capacity summary'!BG124&lt;&gt;"",IF(LOWER('Capacity summary'!BG124)="x",$BI5*BG5,VALUE('Capacity summary'!BG124)),0),BG5*$BI5),BG5*$BI5),0)</f>
        <v>80.769230769230774</v>
      </c>
      <c r="DK5" s="137">
        <f t="shared" ref="DK5:DK68" ca="1" si="2">SUM(BK5:DJ5)</f>
        <v>3870.7692307692337</v>
      </c>
      <c r="DL5" s="313">
        <f>Capacity!H17</f>
        <v>4200</v>
      </c>
      <c r="DP5" s="5"/>
    </row>
    <row r="6" spans="2:120" x14ac:dyDescent="0.25">
      <c r="B6" s="67"/>
      <c r="C6" s="67" t="str">
        <f>ROW(A2)&amp;". "&amp;Capacity!B18</f>
        <v xml:space="preserve">2. </v>
      </c>
      <c r="D6" s="67">
        <f>'Capacity setup'!C13</f>
        <v>0</v>
      </c>
      <c r="E6" s="67">
        <f>'Capacity setup'!D13</f>
        <v>0</v>
      </c>
      <c r="F6" s="67">
        <f>'Capacity setup'!E13</f>
        <v>0</v>
      </c>
      <c r="H6" s="67">
        <f ca="1">IF(AND(SUMIF(Capacity_Resource,$D6,'Critical resources (hide)'!U$6:U$105)+SUMIF(Capacity_Resource,$E6,'Critical resources (hide)'!U$6:U$105)+SUMIF(Capacity_Resource,$F6,'Critical resources (hide)'!U$6:U$105)&gt;0,$E$1=2),0,1)</f>
        <v>1</v>
      </c>
      <c r="I6" s="67">
        <f ca="1">IF(AND(SUMIF(Capacity_Resource,$D6,'Critical resources (hide)'!V$6:V$105)+SUMIF(Capacity_Resource,$E6,'Critical resources (hide)'!V$6:V$105)+SUMIF(Capacity_Resource,$F6,'Critical resources (hide)'!V$6:V$105)&gt;0,$E$1=2),0,1)</f>
        <v>1</v>
      </c>
      <c r="J6" s="67">
        <f ca="1">IF(AND(SUMIF(Capacity_Resource,$D6,'Critical resources (hide)'!W$6:W$105)+SUMIF(Capacity_Resource,$E6,'Critical resources (hide)'!W$6:W$105)+SUMIF(Capacity_Resource,$F6,'Critical resources (hide)'!W$6:W$105)&gt;0,$E$1=2),0,1)</f>
        <v>1</v>
      </c>
      <c r="K6" s="67">
        <f ca="1">IF(AND(SUMIF(Capacity_Resource,$D6,'Critical resources (hide)'!X$6:X$105)+SUMIF(Capacity_Resource,$E6,'Critical resources (hide)'!X$6:X$105)+SUMIF(Capacity_Resource,$F6,'Critical resources (hide)'!X$6:X$105)&gt;0,$E$1=2),0,1)</f>
        <v>1</v>
      </c>
      <c r="L6" s="67">
        <f ca="1">IF(AND(SUMIF(Capacity_Resource,$D6,'Critical resources (hide)'!Y$6:Y$105)+SUMIF(Capacity_Resource,$E6,'Critical resources (hide)'!Y$6:Y$105)+SUMIF(Capacity_Resource,$F6,'Critical resources (hide)'!Y$6:Y$105)&gt;0,$E$1=2),0,1)</f>
        <v>1</v>
      </c>
      <c r="M6" s="67">
        <f ca="1">IF(AND(SUMIF(Capacity_Resource,$D6,'Critical resources (hide)'!Z$6:Z$105)+SUMIF(Capacity_Resource,$E6,'Critical resources (hide)'!Z$6:Z$105)+SUMIF(Capacity_Resource,$F6,'Critical resources (hide)'!Z$6:Z$105)&gt;0,$E$1=2),0,1)</f>
        <v>1</v>
      </c>
      <c r="N6" s="67">
        <f ca="1">IF(AND(SUMIF(Capacity_Resource,$D6,'Critical resources (hide)'!AA$6:AA$105)+SUMIF(Capacity_Resource,$E6,'Critical resources (hide)'!AA$6:AA$105)+SUMIF(Capacity_Resource,$F6,'Critical resources (hide)'!AA$6:AA$105)&gt;0,$E$1=2),0,1)</f>
        <v>1</v>
      </c>
      <c r="O6" s="67">
        <f ca="1">IF(AND(SUMIF(Capacity_Resource,$D6,'Critical resources (hide)'!AB$6:AB$105)+SUMIF(Capacity_Resource,$E6,'Critical resources (hide)'!AB$6:AB$105)+SUMIF(Capacity_Resource,$F6,'Critical resources (hide)'!AB$6:AB$105)&gt;0,$E$1=2),0,1)</f>
        <v>1</v>
      </c>
      <c r="P6" s="67">
        <f ca="1">IF(AND(SUMIF(Capacity_Resource,$D6,'Critical resources (hide)'!AC$6:AC$105)+SUMIF(Capacity_Resource,$E6,'Critical resources (hide)'!AC$6:AC$105)+SUMIF(Capacity_Resource,$F6,'Critical resources (hide)'!AC$6:AC$105)&gt;0,$E$1=2),0,1)</f>
        <v>1</v>
      </c>
      <c r="Q6" s="67">
        <f ca="1">IF(AND(SUMIF(Capacity_Resource,$D6,'Critical resources (hide)'!AD$6:AD$105)+SUMIF(Capacity_Resource,$E6,'Critical resources (hide)'!AD$6:AD$105)+SUMIF(Capacity_Resource,$F6,'Critical resources (hide)'!AD$6:AD$105)&gt;0,$E$1=2),0,1)</f>
        <v>1</v>
      </c>
      <c r="R6" s="67">
        <f ca="1">IF(AND(SUMIF(Capacity_Resource,$D6,'Critical resources (hide)'!AE$6:AE$105)+SUMIF(Capacity_Resource,$E6,'Critical resources (hide)'!AE$6:AE$105)+SUMIF(Capacity_Resource,$F6,'Critical resources (hide)'!AE$6:AE$105)&gt;0,$E$1=2),0,1)</f>
        <v>1</v>
      </c>
      <c r="S6" s="67">
        <f ca="1">IF(AND(SUMIF(Capacity_Resource,$D6,'Critical resources (hide)'!AF$6:AF$105)+SUMIF(Capacity_Resource,$E6,'Critical resources (hide)'!AF$6:AF$105)+SUMIF(Capacity_Resource,$F6,'Critical resources (hide)'!AF$6:AF$105)&gt;0,$E$1=2),0,1)</f>
        <v>1</v>
      </c>
      <c r="T6" s="67">
        <f ca="1">IF(AND(SUMIF(Capacity_Resource,$D6,'Critical resources (hide)'!AG$6:AG$105)+SUMIF(Capacity_Resource,$E6,'Critical resources (hide)'!AG$6:AG$105)+SUMIF(Capacity_Resource,$F6,'Critical resources (hide)'!AG$6:AG$105)&gt;0,$E$1=2),0,1)</f>
        <v>1</v>
      </c>
      <c r="U6" s="67">
        <f ca="1">IF(AND(SUMIF(Capacity_Resource,$D6,'Critical resources (hide)'!AH$6:AH$105)+SUMIF(Capacity_Resource,$E6,'Critical resources (hide)'!AH$6:AH$105)+SUMIF(Capacity_Resource,$F6,'Critical resources (hide)'!AH$6:AH$105)&gt;0,$E$1=2),0,1)</f>
        <v>1</v>
      </c>
      <c r="V6" s="67">
        <f ca="1">IF(AND(SUMIF(Capacity_Resource,$D6,'Critical resources (hide)'!AI$6:AI$105)+SUMIF(Capacity_Resource,$E6,'Critical resources (hide)'!AI$6:AI$105)+SUMIF(Capacity_Resource,$F6,'Critical resources (hide)'!AI$6:AI$105)&gt;0,$E$1=2),0,1)</f>
        <v>1</v>
      </c>
      <c r="W6" s="67">
        <f ca="1">IF(AND(SUMIF(Capacity_Resource,$D6,'Critical resources (hide)'!AJ$6:AJ$105)+SUMIF(Capacity_Resource,$E6,'Critical resources (hide)'!AJ$6:AJ$105)+SUMIF(Capacity_Resource,$F6,'Critical resources (hide)'!AJ$6:AJ$105)&gt;0,$E$1=2),0,1)</f>
        <v>1</v>
      </c>
      <c r="X6" s="67">
        <f ca="1">IF(AND(SUMIF(Capacity_Resource,$D6,'Critical resources (hide)'!AK$6:AK$105)+SUMIF(Capacity_Resource,$E6,'Critical resources (hide)'!AK$6:AK$105)+SUMIF(Capacity_Resource,$F6,'Critical resources (hide)'!AK$6:AK$105)&gt;0,$E$1=2),0,1)</f>
        <v>1</v>
      </c>
      <c r="Y6" s="67">
        <f ca="1">IF(AND(SUMIF(Capacity_Resource,$D6,'Critical resources (hide)'!AL$6:AL$105)+SUMIF(Capacity_Resource,$E6,'Critical resources (hide)'!AL$6:AL$105)+SUMIF(Capacity_Resource,$F6,'Critical resources (hide)'!AL$6:AL$105)&gt;0,$E$1=2),0,1)</f>
        <v>1</v>
      </c>
      <c r="Z6" s="67">
        <f ca="1">IF(AND(SUMIF(Capacity_Resource,$D6,'Critical resources (hide)'!AM$6:AM$105)+SUMIF(Capacity_Resource,$E6,'Critical resources (hide)'!AM$6:AM$105)+SUMIF(Capacity_Resource,$F6,'Critical resources (hide)'!AM$6:AM$105)&gt;0,$E$1=2),0,1)</f>
        <v>1</v>
      </c>
      <c r="AA6" s="67">
        <f ca="1">IF(AND(SUMIF(Capacity_Resource,$D6,'Critical resources (hide)'!AN$6:AN$105)+SUMIF(Capacity_Resource,$E6,'Critical resources (hide)'!AN$6:AN$105)+SUMIF(Capacity_Resource,$F6,'Critical resources (hide)'!AN$6:AN$105)&gt;0,$E$1=2),0,1)</f>
        <v>1</v>
      </c>
      <c r="AB6" s="67">
        <f ca="1">IF(AND(SUMIF(Capacity_Resource,$D6,'Critical resources (hide)'!AO$6:AO$105)+SUMIF(Capacity_Resource,$E6,'Critical resources (hide)'!AO$6:AO$105)+SUMIF(Capacity_Resource,$F6,'Critical resources (hide)'!AO$6:AO$105)&gt;0,$E$1=2),0,1)</f>
        <v>1</v>
      </c>
      <c r="AC6" s="67">
        <f ca="1">IF(AND(SUMIF(Capacity_Resource,$D6,'Critical resources (hide)'!AP$6:AP$105)+SUMIF(Capacity_Resource,$E6,'Critical resources (hide)'!AP$6:AP$105)+SUMIF(Capacity_Resource,$F6,'Critical resources (hide)'!AP$6:AP$105)&gt;0,$E$1=2),0,1)</f>
        <v>1</v>
      </c>
      <c r="AD6" s="67">
        <f ca="1">IF(AND(SUMIF(Capacity_Resource,$D6,'Critical resources (hide)'!AQ$6:AQ$105)+SUMIF(Capacity_Resource,$E6,'Critical resources (hide)'!AQ$6:AQ$105)+SUMIF(Capacity_Resource,$F6,'Critical resources (hide)'!AQ$6:AQ$105)&gt;0,$E$1=2),0,1)</f>
        <v>1</v>
      </c>
      <c r="AE6" s="67">
        <f ca="1">IF(AND(SUMIF(Capacity_Resource,$D6,'Critical resources (hide)'!AR$6:AR$105)+SUMIF(Capacity_Resource,$E6,'Critical resources (hide)'!AR$6:AR$105)+SUMIF(Capacity_Resource,$F6,'Critical resources (hide)'!AR$6:AR$105)&gt;0,$E$1=2),0,1)</f>
        <v>1</v>
      </c>
      <c r="AF6" s="67">
        <f ca="1">IF(AND(SUMIF(Capacity_Resource,$D6,'Critical resources (hide)'!AS$6:AS$105)+SUMIF(Capacity_Resource,$E6,'Critical resources (hide)'!AS$6:AS$105)+SUMIF(Capacity_Resource,$F6,'Critical resources (hide)'!AS$6:AS$105)&gt;0,$E$1=2),0,1)</f>
        <v>1</v>
      </c>
      <c r="AG6" s="67">
        <f ca="1">IF(AND(SUMIF(Capacity_Resource,$D6,'Critical resources (hide)'!AT$6:AT$105)+SUMIF(Capacity_Resource,$E6,'Critical resources (hide)'!AT$6:AT$105)+SUMIF(Capacity_Resource,$F6,'Critical resources (hide)'!AT$6:AT$105)&gt;0,$E$1=2),0,1)</f>
        <v>1</v>
      </c>
      <c r="AH6" s="67">
        <f ca="1">IF(AND(SUMIF(Capacity_Resource,$D6,'Critical resources (hide)'!AU$6:AU$105)+SUMIF(Capacity_Resource,$E6,'Critical resources (hide)'!AU$6:AU$105)+SUMIF(Capacity_Resource,$F6,'Critical resources (hide)'!AU$6:AU$105)&gt;0,$E$1=2),0,1)</f>
        <v>1</v>
      </c>
      <c r="AI6" s="67">
        <f ca="1">IF(AND(SUMIF(Capacity_Resource,$D6,'Critical resources (hide)'!AV$6:AV$105)+SUMIF(Capacity_Resource,$E6,'Critical resources (hide)'!AV$6:AV$105)+SUMIF(Capacity_Resource,$F6,'Critical resources (hide)'!AV$6:AV$105)&gt;0,$E$1=2),0,1)</f>
        <v>1</v>
      </c>
      <c r="AJ6" s="67">
        <f ca="1">IF(AND(SUMIF(Capacity_Resource,$D6,'Critical resources (hide)'!AW$6:AW$105)+SUMIF(Capacity_Resource,$E6,'Critical resources (hide)'!AW$6:AW$105)+SUMIF(Capacity_Resource,$F6,'Critical resources (hide)'!AW$6:AW$105)&gt;0,$E$1=2),0,1)</f>
        <v>1</v>
      </c>
      <c r="AK6" s="67">
        <f ca="1">IF(AND(SUMIF(Capacity_Resource,$D6,'Critical resources (hide)'!AX$6:AX$105)+SUMIF(Capacity_Resource,$E6,'Critical resources (hide)'!AX$6:AX$105)+SUMIF(Capacity_Resource,$F6,'Critical resources (hide)'!AX$6:AX$105)&gt;0,$E$1=2),0,1)</f>
        <v>1</v>
      </c>
      <c r="AL6" s="67">
        <f ca="1">IF(AND(SUMIF(Capacity_Resource,$D6,'Critical resources (hide)'!AY$6:AY$105)+SUMIF(Capacity_Resource,$E6,'Critical resources (hide)'!AY$6:AY$105)+SUMIF(Capacity_Resource,$F6,'Critical resources (hide)'!AY$6:AY$105)&gt;0,$E$1=2),0,1)</f>
        <v>1</v>
      </c>
      <c r="AM6" s="67">
        <f ca="1">IF(AND(SUMIF(Capacity_Resource,$D6,'Critical resources (hide)'!AZ$6:AZ$105)+SUMIF(Capacity_Resource,$E6,'Critical resources (hide)'!AZ$6:AZ$105)+SUMIF(Capacity_Resource,$F6,'Critical resources (hide)'!AZ$6:AZ$105)&gt;0,$E$1=2),0,1)</f>
        <v>1</v>
      </c>
      <c r="AN6" s="67">
        <f ca="1">IF(AND(SUMIF(Capacity_Resource,$D6,'Critical resources (hide)'!BA$6:BA$105)+SUMIF(Capacity_Resource,$E6,'Critical resources (hide)'!BA$6:BA$105)+SUMIF(Capacity_Resource,$F6,'Critical resources (hide)'!BA$6:BA$105)&gt;0,$E$1=2),0,1)</f>
        <v>1</v>
      </c>
      <c r="AO6" s="67">
        <f ca="1">IF(AND(SUMIF(Capacity_Resource,$D6,'Critical resources (hide)'!BB$6:BB$105)+SUMIF(Capacity_Resource,$E6,'Critical resources (hide)'!BB$6:BB$105)+SUMIF(Capacity_Resource,$F6,'Critical resources (hide)'!BB$6:BB$105)&gt;0,$E$1=2),0,1)</f>
        <v>1</v>
      </c>
      <c r="AP6" s="67">
        <f ca="1">IF(AND(SUMIF(Capacity_Resource,$D6,'Critical resources (hide)'!BC$6:BC$105)+SUMIF(Capacity_Resource,$E6,'Critical resources (hide)'!BC$6:BC$105)+SUMIF(Capacity_Resource,$F6,'Critical resources (hide)'!BC$6:BC$105)&gt;0,$E$1=2),0,1)</f>
        <v>1</v>
      </c>
      <c r="AQ6" s="67">
        <f ca="1">IF(AND(SUMIF(Capacity_Resource,$D6,'Critical resources (hide)'!BD$6:BD$105)+SUMIF(Capacity_Resource,$E6,'Critical resources (hide)'!BD$6:BD$105)+SUMIF(Capacity_Resource,$F6,'Critical resources (hide)'!BD$6:BD$105)&gt;0,$E$1=2),0,1)</f>
        <v>1</v>
      </c>
      <c r="AR6" s="67">
        <f ca="1">IF(AND(SUMIF(Capacity_Resource,$D6,'Critical resources (hide)'!BE$6:BE$105)+SUMIF(Capacity_Resource,$E6,'Critical resources (hide)'!BE$6:BE$105)+SUMIF(Capacity_Resource,$F6,'Critical resources (hide)'!BE$6:BE$105)&gt;0,$E$1=2),0,1)</f>
        <v>1</v>
      </c>
      <c r="AS6" s="67">
        <f ca="1">IF(AND(SUMIF(Capacity_Resource,$D6,'Critical resources (hide)'!BF$6:BF$105)+SUMIF(Capacity_Resource,$E6,'Critical resources (hide)'!BF$6:BF$105)+SUMIF(Capacity_Resource,$F6,'Critical resources (hide)'!BF$6:BF$105)&gt;0,$E$1=2),0,1)</f>
        <v>1</v>
      </c>
      <c r="AT6" s="67">
        <f ca="1">IF(AND(SUMIF(Capacity_Resource,$D6,'Critical resources (hide)'!BG$6:BG$105)+SUMIF(Capacity_Resource,$E6,'Critical resources (hide)'!BG$6:BG$105)+SUMIF(Capacity_Resource,$F6,'Critical resources (hide)'!BG$6:BG$105)&gt;0,$E$1=2),0,1)</f>
        <v>1</v>
      </c>
      <c r="AU6" s="67">
        <f ca="1">IF(AND(SUMIF(Capacity_Resource,$D6,'Critical resources (hide)'!BH$6:BH$105)+SUMIF(Capacity_Resource,$E6,'Critical resources (hide)'!BH$6:BH$105)+SUMIF(Capacity_Resource,$F6,'Critical resources (hide)'!BH$6:BH$105)&gt;0,$E$1=2),0,1)</f>
        <v>1</v>
      </c>
      <c r="AV6" s="67">
        <f ca="1">IF(AND(SUMIF(Capacity_Resource,$D6,'Critical resources (hide)'!BI$6:BI$105)+SUMIF(Capacity_Resource,$E6,'Critical resources (hide)'!BI$6:BI$105)+SUMIF(Capacity_Resource,$F6,'Critical resources (hide)'!BI$6:BI$105)&gt;0,$E$1=2),0,1)</f>
        <v>1</v>
      </c>
      <c r="AW6" s="67">
        <f ca="1">IF(AND(SUMIF(Capacity_Resource,$D6,'Critical resources (hide)'!BJ$6:BJ$105)+SUMIF(Capacity_Resource,$E6,'Critical resources (hide)'!BJ$6:BJ$105)+SUMIF(Capacity_Resource,$F6,'Critical resources (hide)'!BJ$6:BJ$105)&gt;0,$E$1=2),0,1)</f>
        <v>1</v>
      </c>
      <c r="AX6" s="67">
        <f ca="1">IF(AND(SUMIF(Capacity_Resource,$D6,'Critical resources (hide)'!BK$6:BK$105)+SUMIF(Capacity_Resource,$E6,'Critical resources (hide)'!BK$6:BK$105)+SUMIF(Capacity_Resource,$F6,'Critical resources (hide)'!BK$6:BK$105)&gt;0,$E$1=2),0,1)</f>
        <v>1</v>
      </c>
      <c r="AY6" s="67">
        <f ca="1">IF(AND(SUMIF(Capacity_Resource,$D6,'Critical resources (hide)'!BL$6:BL$105)+SUMIF(Capacity_Resource,$E6,'Critical resources (hide)'!BL$6:BL$105)+SUMIF(Capacity_Resource,$F6,'Critical resources (hide)'!BL$6:BL$105)&gt;0,$E$1=2),0,1)</f>
        <v>1</v>
      </c>
      <c r="AZ6" s="67">
        <f ca="1">IF(AND(SUMIF(Capacity_Resource,$D6,'Critical resources (hide)'!BM$6:BM$105)+SUMIF(Capacity_Resource,$E6,'Critical resources (hide)'!BM$6:BM$105)+SUMIF(Capacity_Resource,$F6,'Critical resources (hide)'!BM$6:BM$105)&gt;0,$E$1=2),0,1)</f>
        <v>1</v>
      </c>
      <c r="BA6" s="67">
        <f ca="1">IF(AND(SUMIF(Capacity_Resource,$D6,'Critical resources (hide)'!BN$6:BN$105)+SUMIF(Capacity_Resource,$E6,'Critical resources (hide)'!BN$6:BN$105)+SUMIF(Capacity_Resource,$F6,'Critical resources (hide)'!BN$6:BN$105)&gt;0,$E$1=2),0,1)</f>
        <v>1</v>
      </c>
      <c r="BB6" s="67">
        <f ca="1">IF(AND(SUMIF(Capacity_Resource,$D6,'Critical resources (hide)'!BO$6:BO$105)+SUMIF(Capacity_Resource,$E6,'Critical resources (hide)'!BO$6:BO$105)+SUMIF(Capacity_Resource,$F6,'Critical resources (hide)'!BO$6:BO$105)&gt;0,$E$1=2),0,1)</f>
        <v>1</v>
      </c>
      <c r="BC6" s="67">
        <f ca="1">IF(AND(SUMIF(Capacity_Resource,$D6,'Critical resources (hide)'!BP$6:BP$105)+SUMIF(Capacity_Resource,$E6,'Critical resources (hide)'!BP$6:BP$105)+SUMIF(Capacity_Resource,$F6,'Critical resources (hide)'!BP$6:BP$105)&gt;0,$E$1=2),0,1)</f>
        <v>1</v>
      </c>
      <c r="BD6" s="67">
        <f ca="1">IF(AND(SUMIF(Capacity_Resource,$D6,'Critical resources (hide)'!BQ$6:BQ$105)+SUMIF(Capacity_Resource,$E6,'Critical resources (hide)'!BQ$6:BQ$105)+SUMIF(Capacity_Resource,$F6,'Critical resources (hide)'!BQ$6:BQ$105)&gt;0,$E$1=2),0,1)</f>
        <v>1</v>
      </c>
      <c r="BE6" s="67">
        <f ca="1">IF(AND(SUMIF(Capacity_Resource,$D6,'Critical resources (hide)'!BR$6:BR$105)+SUMIF(Capacity_Resource,$E6,'Critical resources (hide)'!BR$6:BR$105)+SUMIF(Capacity_Resource,$F6,'Critical resources (hide)'!BR$6:BR$105)&gt;0,$E$1=2),0,1)</f>
        <v>1</v>
      </c>
      <c r="BF6" s="67">
        <f ca="1">IF(AND(SUMIF(Capacity_Resource,$D6,'Critical resources (hide)'!BS$6:BS$105)+SUMIF(Capacity_Resource,$E6,'Critical resources (hide)'!BS$6:BS$105)+SUMIF(Capacity_Resource,$F6,'Critical resources (hide)'!BS$6:BS$105)&gt;0,$E$1=2),0,1)</f>
        <v>1</v>
      </c>
      <c r="BG6" s="67">
        <f ca="1">IF(AND(SUMIF(Capacity_Resource,$D6,'Critical resources (hide)'!BT$6:BT$105)+SUMIF(Capacity_Resource,$E6,'Critical resources (hide)'!BT$6:BT$105)+SUMIF(Capacity_Resource,$F6,'Critical resources (hide)'!BT$6:BT$105)&gt;0,$E$1=2),0,1)</f>
        <v>1</v>
      </c>
      <c r="BH6" s="67">
        <f>IF(ROW(C2)&lt;=Capacity!$A$16,IF('Capacity summary'!$D$14="No",SUM(H6:BG6),'Capacity summary'!$E125),0)</f>
        <v>0</v>
      </c>
      <c r="BI6" s="5" t="str">
        <f>IF(BH6&gt;0,IF(BH6&lt;Capacity!E18,Capacity!F18,Capacity!H18/'Capacity calculation (hide)'!BH6),"")</f>
        <v/>
      </c>
      <c r="BK6" s="313">
        <f>IF($BI6&lt;&gt;"",IF('Capacity summary'!$D$14="Yes",IF(COUNTBLANK('Capacity summary'!$H125:$BG125)&lt;52,IF('Capacity summary'!H125&lt;&gt;"",IF(LOWER('Capacity summary'!H125)="x",$BI6*H6,VALUE('Capacity summary'!H125)),0),H6*$BI6),H6*$BI6),0)</f>
        <v>0</v>
      </c>
      <c r="BL6" s="313">
        <f>IF($BI6&lt;&gt;"",IF('Capacity summary'!$D$14="Yes",IF(COUNTBLANK('Capacity summary'!$H125:$BG125)&lt;52,IF('Capacity summary'!I125&lt;&gt;"",IF(LOWER('Capacity summary'!I125)="x",$BI6*I6,VALUE('Capacity summary'!I125)),0),I6*$BI6),I6*$BI6),0)</f>
        <v>0</v>
      </c>
      <c r="BM6" s="313">
        <f>IF($BI6&lt;&gt;"",IF('Capacity summary'!$D$14="Yes",IF(COUNTBLANK('Capacity summary'!$H125:$BG125)&lt;52,IF('Capacity summary'!J125&lt;&gt;"",IF(LOWER('Capacity summary'!J125)="x",$BI6*J6,VALUE('Capacity summary'!J125)),0),J6*$BI6),J6*$BI6),0)</f>
        <v>0</v>
      </c>
      <c r="BN6" s="313">
        <f>IF($BI6&lt;&gt;"",IF('Capacity summary'!$D$14="Yes",IF(COUNTBLANK('Capacity summary'!$H125:$BG125)&lt;52,IF('Capacity summary'!K125&lt;&gt;"",IF(LOWER('Capacity summary'!K125)="x",$BI6*K6,VALUE('Capacity summary'!K125)),0),K6*$BI6),K6*$BI6),0)</f>
        <v>0</v>
      </c>
      <c r="BO6" s="313">
        <f>IF($BI6&lt;&gt;"",IF('Capacity summary'!$D$14="Yes",IF(COUNTBLANK('Capacity summary'!$H125:$BG125)&lt;52,IF('Capacity summary'!L125&lt;&gt;"",IF(LOWER('Capacity summary'!L125)="x",$BI6*L6,VALUE('Capacity summary'!L125)),0),L6*$BI6),L6*$BI6),0)</f>
        <v>0</v>
      </c>
      <c r="BP6" s="313">
        <f>IF($BI6&lt;&gt;"",IF('Capacity summary'!$D$14="Yes",IF(COUNTBLANK('Capacity summary'!$H125:$BG125)&lt;52,IF('Capacity summary'!M125&lt;&gt;"",IF(LOWER('Capacity summary'!M125)="x",$BI6*M6,VALUE('Capacity summary'!M125)),0),M6*$BI6),M6*$BI6),0)</f>
        <v>0</v>
      </c>
      <c r="BQ6" s="313">
        <f>IF($BI6&lt;&gt;"",IF('Capacity summary'!$D$14="Yes",IF(COUNTBLANK('Capacity summary'!$H125:$BG125)&lt;52,IF('Capacity summary'!N125&lt;&gt;"",IF(LOWER('Capacity summary'!N125)="x",$BI6*N6,VALUE('Capacity summary'!N125)),0),N6*$BI6),N6*$BI6),0)</f>
        <v>0</v>
      </c>
      <c r="BR6" s="313">
        <f>IF($BI6&lt;&gt;"",IF('Capacity summary'!$D$14="Yes",IF(COUNTBLANK('Capacity summary'!$H125:$BG125)&lt;52,IF('Capacity summary'!O125&lt;&gt;"",IF(LOWER('Capacity summary'!O125)="x",$BI6*O6,VALUE('Capacity summary'!O125)),0),O6*$BI6),O6*$BI6),0)</f>
        <v>0</v>
      </c>
      <c r="BS6" s="313">
        <f>IF($BI6&lt;&gt;"",IF('Capacity summary'!$D$14="Yes",IF(COUNTBLANK('Capacity summary'!$H125:$BG125)&lt;52,IF('Capacity summary'!P125&lt;&gt;"",IF(LOWER('Capacity summary'!P125)="x",$BI6*P6,VALUE('Capacity summary'!P125)),0),P6*$BI6),P6*$BI6),0)</f>
        <v>0</v>
      </c>
      <c r="BT6" s="313">
        <f>IF($BI6&lt;&gt;"",IF('Capacity summary'!$D$14="Yes",IF(COUNTBLANK('Capacity summary'!$H125:$BG125)&lt;52,IF('Capacity summary'!Q125&lt;&gt;"",IF(LOWER('Capacity summary'!Q125)="x",$BI6*Q6,VALUE('Capacity summary'!Q125)),0),Q6*$BI6),Q6*$BI6),0)</f>
        <v>0</v>
      </c>
      <c r="BU6" s="313">
        <f>IF($BI6&lt;&gt;"",IF('Capacity summary'!$D$14="Yes",IF(COUNTBLANK('Capacity summary'!$H125:$BG125)&lt;52,IF('Capacity summary'!R125&lt;&gt;"",IF(LOWER('Capacity summary'!R125)="x",$BI6*R6,VALUE('Capacity summary'!R125)),0),R6*$BI6),R6*$BI6),0)</f>
        <v>0</v>
      </c>
      <c r="BV6" s="313">
        <f>IF($BI6&lt;&gt;"",IF('Capacity summary'!$D$14="Yes",IF(COUNTBLANK('Capacity summary'!$H125:$BG125)&lt;52,IF('Capacity summary'!S125&lt;&gt;"",IF(LOWER('Capacity summary'!S125)="x",$BI6*S6,VALUE('Capacity summary'!S125)),0),S6*$BI6),S6*$BI6),0)</f>
        <v>0</v>
      </c>
      <c r="BW6" s="313">
        <f>IF($BI6&lt;&gt;"",IF('Capacity summary'!$D$14="Yes",IF(COUNTBLANK('Capacity summary'!$H125:$BG125)&lt;52,IF('Capacity summary'!T125&lt;&gt;"",IF(LOWER('Capacity summary'!T125)="x",$BI6*T6,VALUE('Capacity summary'!T125)),0),T6*$BI6),T6*$BI6),0)</f>
        <v>0</v>
      </c>
      <c r="BX6" s="313">
        <f>IF($BI6&lt;&gt;"",IF('Capacity summary'!$D$14="Yes",IF(COUNTBLANK('Capacity summary'!$H125:$BG125)&lt;52,IF('Capacity summary'!U125&lt;&gt;"",IF(LOWER('Capacity summary'!U125)="x",$BI6*U6,VALUE('Capacity summary'!U125)),0),U6*$BI6),U6*$BI6),0)</f>
        <v>0</v>
      </c>
      <c r="BY6" s="313">
        <f>IF($BI6&lt;&gt;"",IF('Capacity summary'!$D$14="Yes",IF(COUNTBLANK('Capacity summary'!$H125:$BG125)&lt;52,IF('Capacity summary'!V125&lt;&gt;"",IF(LOWER('Capacity summary'!V125)="x",$BI6*V6,VALUE('Capacity summary'!V125)),0),V6*$BI6),V6*$BI6),0)</f>
        <v>0</v>
      </c>
      <c r="BZ6" s="313">
        <f>IF($BI6&lt;&gt;"",IF('Capacity summary'!$D$14="Yes",IF(COUNTBLANK('Capacity summary'!$H125:$BG125)&lt;52,IF('Capacity summary'!W125&lt;&gt;"",IF(LOWER('Capacity summary'!W125)="x",$BI6*W6,VALUE('Capacity summary'!W125)),0),W6*$BI6),W6*$BI6),0)</f>
        <v>0</v>
      </c>
      <c r="CA6" s="313">
        <f>IF($BI6&lt;&gt;"",IF('Capacity summary'!$D$14="Yes",IF(COUNTBLANK('Capacity summary'!$H125:$BG125)&lt;52,IF('Capacity summary'!X125&lt;&gt;"",IF(LOWER('Capacity summary'!X125)="x",$BI6*X6,VALUE('Capacity summary'!X125)),0),X6*$BI6),X6*$BI6),0)</f>
        <v>0</v>
      </c>
      <c r="CB6" s="313">
        <f>IF($BI6&lt;&gt;"",IF('Capacity summary'!$D$14="Yes",IF(COUNTBLANK('Capacity summary'!$H125:$BG125)&lt;52,IF('Capacity summary'!Y125&lt;&gt;"",IF(LOWER('Capacity summary'!Y125)="x",$BI6*Y6,VALUE('Capacity summary'!Y125)),0),Y6*$BI6),Y6*$BI6),0)</f>
        <v>0</v>
      </c>
      <c r="CC6" s="313">
        <f>IF($BI6&lt;&gt;"",IF('Capacity summary'!$D$14="Yes",IF(COUNTBLANK('Capacity summary'!$H125:$BG125)&lt;52,IF('Capacity summary'!Z125&lt;&gt;"",IF(LOWER('Capacity summary'!Z125)="x",$BI6*Z6,VALUE('Capacity summary'!Z125)),0),Z6*$BI6),Z6*$BI6),0)</f>
        <v>0</v>
      </c>
      <c r="CD6" s="313">
        <f>IF($BI6&lt;&gt;"",IF('Capacity summary'!$D$14="Yes",IF(COUNTBLANK('Capacity summary'!$H125:$BG125)&lt;52,IF('Capacity summary'!AA125&lt;&gt;"",IF(LOWER('Capacity summary'!AA125)="x",$BI6*AA6,VALUE('Capacity summary'!AA125)),0),AA6*$BI6),AA6*$BI6),0)</f>
        <v>0</v>
      </c>
      <c r="CE6" s="313">
        <f>IF($BI6&lt;&gt;"",IF('Capacity summary'!$D$14="Yes",IF(COUNTBLANK('Capacity summary'!$H125:$BG125)&lt;52,IF('Capacity summary'!AB125&lt;&gt;"",IF(LOWER('Capacity summary'!AB125)="x",$BI6*AB6,VALUE('Capacity summary'!AB125)),0),AB6*$BI6),AB6*$BI6),0)</f>
        <v>0</v>
      </c>
      <c r="CF6" s="313">
        <f>IF($BI6&lt;&gt;"",IF('Capacity summary'!$D$14="Yes",IF(COUNTBLANK('Capacity summary'!$H125:$BG125)&lt;52,IF('Capacity summary'!AC125&lt;&gt;"",IF(LOWER('Capacity summary'!AC125)="x",$BI6*AC6,VALUE('Capacity summary'!AC125)),0),AC6*$BI6),AC6*$BI6),0)</f>
        <v>0</v>
      </c>
      <c r="CG6" s="313">
        <f>IF($BI6&lt;&gt;"",IF('Capacity summary'!$D$14="Yes",IF(COUNTBLANK('Capacity summary'!$H125:$BG125)&lt;52,IF('Capacity summary'!AD125&lt;&gt;"",IF(LOWER('Capacity summary'!AD125)="x",$BI6*AD6,VALUE('Capacity summary'!AD125)),0),AD6*$BI6),AD6*$BI6),0)</f>
        <v>0</v>
      </c>
      <c r="CH6" s="313">
        <f>IF($BI6&lt;&gt;"",IF('Capacity summary'!$D$14="Yes",IF(COUNTBLANK('Capacity summary'!$H125:$BG125)&lt;52,IF('Capacity summary'!AE125&lt;&gt;"",IF(LOWER('Capacity summary'!AE125)="x",$BI6*AE6,VALUE('Capacity summary'!AE125)),0),AE6*$BI6),AE6*$BI6),0)</f>
        <v>0</v>
      </c>
      <c r="CI6" s="313">
        <f>IF($BI6&lt;&gt;"",IF('Capacity summary'!$D$14="Yes",IF(COUNTBLANK('Capacity summary'!$H125:$BG125)&lt;52,IF('Capacity summary'!AF125&lt;&gt;"",IF(LOWER('Capacity summary'!AF125)="x",$BI6*AF6,VALUE('Capacity summary'!AF125)),0),AF6*$BI6),AF6*$BI6),0)</f>
        <v>0</v>
      </c>
      <c r="CJ6" s="313">
        <f>IF($BI6&lt;&gt;"",IF('Capacity summary'!$D$14="Yes",IF(COUNTBLANK('Capacity summary'!$H125:$BG125)&lt;52,IF('Capacity summary'!AG125&lt;&gt;"",IF(LOWER('Capacity summary'!AG125)="x",$BI6*AG6,VALUE('Capacity summary'!AG125)),0),AG6*$BI6),AG6*$BI6),0)</f>
        <v>0</v>
      </c>
      <c r="CK6" s="313">
        <f>IF($BI6&lt;&gt;"",IF('Capacity summary'!$D$14="Yes",IF(COUNTBLANK('Capacity summary'!$H125:$BG125)&lt;52,IF('Capacity summary'!AH125&lt;&gt;"",IF(LOWER('Capacity summary'!AH125)="x",$BI6*AH6,VALUE('Capacity summary'!AH125)),0),AH6*$BI6),AH6*$BI6),0)</f>
        <v>0</v>
      </c>
      <c r="CL6" s="313">
        <f>IF($BI6&lt;&gt;"",IF('Capacity summary'!$D$14="Yes",IF(COUNTBLANK('Capacity summary'!$H125:$BG125)&lt;52,IF('Capacity summary'!AI125&lt;&gt;"",IF(LOWER('Capacity summary'!AI125)="x",$BI6*AI6,VALUE('Capacity summary'!AI125)),0),AI6*$BI6),AI6*$BI6),0)</f>
        <v>0</v>
      </c>
      <c r="CM6" s="313">
        <f>IF($BI6&lt;&gt;"",IF('Capacity summary'!$D$14="Yes",IF(COUNTBLANK('Capacity summary'!$H125:$BG125)&lt;52,IF('Capacity summary'!AJ125&lt;&gt;"",IF(LOWER('Capacity summary'!AJ125)="x",$BI6*AJ6,VALUE('Capacity summary'!AJ125)),0),AJ6*$BI6),AJ6*$BI6),0)</f>
        <v>0</v>
      </c>
      <c r="CN6" s="313">
        <f>IF($BI6&lt;&gt;"",IF('Capacity summary'!$D$14="Yes",IF(COUNTBLANK('Capacity summary'!$H125:$BG125)&lt;52,IF('Capacity summary'!AK125&lt;&gt;"",IF(LOWER('Capacity summary'!AK125)="x",$BI6*AK6,VALUE('Capacity summary'!AK125)),0),AK6*$BI6),AK6*$BI6),0)</f>
        <v>0</v>
      </c>
      <c r="CO6" s="313">
        <f>IF($BI6&lt;&gt;"",IF('Capacity summary'!$D$14="Yes",IF(COUNTBLANK('Capacity summary'!$H125:$BG125)&lt;52,IF('Capacity summary'!AL125&lt;&gt;"",IF(LOWER('Capacity summary'!AL125)="x",$BI6*AL6,VALUE('Capacity summary'!AL125)),0),AL6*$BI6),AL6*$BI6),0)</f>
        <v>0</v>
      </c>
      <c r="CP6" s="313">
        <f>IF($BI6&lt;&gt;"",IF('Capacity summary'!$D$14="Yes",IF(COUNTBLANK('Capacity summary'!$H125:$BG125)&lt;52,IF('Capacity summary'!AM125&lt;&gt;"",IF(LOWER('Capacity summary'!AM125)="x",$BI6*AM6,VALUE('Capacity summary'!AM125)),0),AM6*$BI6),AM6*$BI6),0)</f>
        <v>0</v>
      </c>
      <c r="CQ6" s="313">
        <f>IF($BI6&lt;&gt;"",IF('Capacity summary'!$D$14="Yes",IF(COUNTBLANK('Capacity summary'!$H125:$BG125)&lt;52,IF('Capacity summary'!AN125&lt;&gt;"",IF(LOWER('Capacity summary'!AN125)="x",$BI6*AN6,VALUE('Capacity summary'!AN125)),0),AN6*$BI6),AN6*$BI6),0)</f>
        <v>0</v>
      </c>
      <c r="CR6" s="313">
        <f>IF($BI6&lt;&gt;"",IF('Capacity summary'!$D$14="Yes",IF(COUNTBLANK('Capacity summary'!$H125:$BG125)&lt;52,IF('Capacity summary'!AO125&lt;&gt;"",IF(LOWER('Capacity summary'!AO125)="x",$BI6*AO6,VALUE('Capacity summary'!AO125)),0),AO6*$BI6),AO6*$BI6),0)</f>
        <v>0</v>
      </c>
      <c r="CS6" s="313">
        <f>IF($BI6&lt;&gt;"",IF('Capacity summary'!$D$14="Yes",IF(COUNTBLANK('Capacity summary'!$H125:$BG125)&lt;52,IF('Capacity summary'!AP125&lt;&gt;"",IF(LOWER('Capacity summary'!AP125)="x",$BI6*AP6,VALUE('Capacity summary'!AP125)),0),AP6*$BI6),AP6*$BI6),0)</f>
        <v>0</v>
      </c>
      <c r="CT6" s="313">
        <f>IF($BI6&lt;&gt;"",IF('Capacity summary'!$D$14="Yes",IF(COUNTBLANK('Capacity summary'!$H125:$BG125)&lt;52,IF('Capacity summary'!AQ125&lt;&gt;"",IF(LOWER('Capacity summary'!AQ125)="x",$BI6*AQ6,VALUE('Capacity summary'!AQ125)),0),AQ6*$BI6),AQ6*$BI6),0)</f>
        <v>0</v>
      </c>
      <c r="CU6" s="313">
        <f>IF($BI6&lt;&gt;"",IF('Capacity summary'!$D$14="Yes",IF(COUNTBLANK('Capacity summary'!$H125:$BG125)&lt;52,IF('Capacity summary'!AR125&lt;&gt;"",IF(LOWER('Capacity summary'!AR125)="x",$BI6*AR6,VALUE('Capacity summary'!AR125)),0),AR6*$BI6),AR6*$BI6),0)</f>
        <v>0</v>
      </c>
      <c r="CV6" s="313">
        <f>IF($BI6&lt;&gt;"",IF('Capacity summary'!$D$14="Yes",IF(COUNTBLANK('Capacity summary'!$H125:$BG125)&lt;52,IF('Capacity summary'!AS125&lt;&gt;"",IF(LOWER('Capacity summary'!AS125)="x",$BI6*AS6,VALUE('Capacity summary'!AS125)),0),AS6*$BI6),AS6*$BI6),0)</f>
        <v>0</v>
      </c>
      <c r="CW6" s="313">
        <f>IF($BI6&lt;&gt;"",IF('Capacity summary'!$D$14="Yes",IF(COUNTBLANK('Capacity summary'!$H125:$BG125)&lt;52,IF('Capacity summary'!AT125&lt;&gt;"",IF(LOWER('Capacity summary'!AT125)="x",$BI6*AT6,VALUE('Capacity summary'!AT125)),0),AT6*$BI6),AT6*$BI6),0)</f>
        <v>0</v>
      </c>
      <c r="CX6" s="313">
        <f>IF($BI6&lt;&gt;"",IF('Capacity summary'!$D$14="Yes",IF(COUNTBLANK('Capacity summary'!$H125:$BG125)&lt;52,IF('Capacity summary'!AU125&lt;&gt;"",IF(LOWER('Capacity summary'!AU125)="x",$BI6*AU6,VALUE('Capacity summary'!AU125)),0),AU6*$BI6),AU6*$BI6),0)</f>
        <v>0</v>
      </c>
      <c r="CY6" s="313">
        <f>IF($BI6&lt;&gt;"",IF('Capacity summary'!$D$14="Yes",IF(COUNTBLANK('Capacity summary'!$H125:$BG125)&lt;52,IF('Capacity summary'!AV125&lt;&gt;"",IF(LOWER('Capacity summary'!AV125)="x",$BI6*AV6,VALUE('Capacity summary'!AV125)),0),AV6*$BI6),AV6*$BI6),0)</f>
        <v>0</v>
      </c>
      <c r="CZ6" s="313">
        <f>IF($BI6&lt;&gt;"",IF('Capacity summary'!$D$14="Yes",IF(COUNTBLANK('Capacity summary'!$H125:$BG125)&lt;52,IF('Capacity summary'!AW125&lt;&gt;"",IF(LOWER('Capacity summary'!AW125)="x",$BI6*AW6,VALUE('Capacity summary'!AW125)),0),AW6*$BI6),AW6*$BI6),0)</f>
        <v>0</v>
      </c>
      <c r="DA6" s="313">
        <f>IF($BI6&lt;&gt;"",IF('Capacity summary'!$D$14="Yes",IF(COUNTBLANK('Capacity summary'!$H125:$BG125)&lt;52,IF('Capacity summary'!AX125&lt;&gt;"",IF(LOWER('Capacity summary'!AX125)="x",$BI6*AX6,VALUE('Capacity summary'!AX125)),0),AX6*$BI6),AX6*$BI6),0)</f>
        <v>0</v>
      </c>
      <c r="DB6" s="313">
        <f>IF($BI6&lt;&gt;"",IF('Capacity summary'!$D$14="Yes",IF(COUNTBLANK('Capacity summary'!$H125:$BG125)&lt;52,IF('Capacity summary'!AY125&lt;&gt;"",IF(LOWER('Capacity summary'!AY125)="x",$BI6*AY6,VALUE('Capacity summary'!AY125)),0),AY6*$BI6),AY6*$BI6),0)</f>
        <v>0</v>
      </c>
      <c r="DC6" s="313">
        <f>IF($BI6&lt;&gt;"",IF('Capacity summary'!$D$14="Yes",IF(COUNTBLANK('Capacity summary'!$H125:$BG125)&lt;52,IF('Capacity summary'!AZ125&lt;&gt;"",IF(LOWER('Capacity summary'!AZ125)="x",$BI6*AZ6,VALUE('Capacity summary'!AZ125)),0),AZ6*$BI6),AZ6*$BI6),0)</f>
        <v>0</v>
      </c>
      <c r="DD6" s="313">
        <f>IF($BI6&lt;&gt;"",IF('Capacity summary'!$D$14="Yes",IF(COUNTBLANK('Capacity summary'!$H125:$BG125)&lt;52,IF('Capacity summary'!BA125&lt;&gt;"",IF(LOWER('Capacity summary'!BA125)="x",$BI6*BA6,VALUE('Capacity summary'!BA125)),0),BA6*$BI6),BA6*$BI6),0)</f>
        <v>0</v>
      </c>
      <c r="DE6" s="313">
        <f>IF($BI6&lt;&gt;"",IF('Capacity summary'!$D$14="Yes",IF(COUNTBLANK('Capacity summary'!$H125:$BG125)&lt;52,IF('Capacity summary'!BB125&lt;&gt;"",IF(LOWER('Capacity summary'!BB125)="x",$BI6*BB6,VALUE('Capacity summary'!BB125)),0),BB6*$BI6),BB6*$BI6),0)</f>
        <v>0</v>
      </c>
      <c r="DF6" s="313">
        <f>IF($BI6&lt;&gt;"",IF('Capacity summary'!$D$14="Yes",IF(COUNTBLANK('Capacity summary'!$H125:$BG125)&lt;52,IF('Capacity summary'!BC125&lt;&gt;"",IF(LOWER('Capacity summary'!BC125)="x",$BI6*BC6,VALUE('Capacity summary'!BC125)),0),BC6*$BI6),BC6*$BI6),0)</f>
        <v>0</v>
      </c>
      <c r="DG6" s="313">
        <f>IF($BI6&lt;&gt;"",IF('Capacity summary'!$D$14="Yes",IF(COUNTBLANK('Capacity summary'!$H125:$BG125)&lt;52,IF('Capacity summary'!BD125&lt;&gt;"",IF(LOWER('Capacity summary'!BD125)="x",$BI6*BD6,VALUE('Capacity summary'!BD125)),0),BD6*$BI6),BD6*$BI6),0)</f>
        <v>0</v>
      </c>
      <c r="DH6" s="313">
        <f>IF($BI6&lt;&gt;"",IF('Capacity summary'!$D$14="Yes",IF(COUNTBLANK('Capacity summary'!$H125:$BG125)&lt;52,IF('Capacity summary'!BE125&lt;&gt;"",IF(LOWER('Capacity summary'!BE125)="x",$BI6*BE6,VALUE('Capacity summary'!BE125)),0),BE6*$BI6),BE6*$BI6),0)</f>
        <v>0</v>
      </c>
      <c r="DI6" s="313">
        <f>IF($BI6&lt;&gt;"",IF('Capacity summary'!$D$14="Yes",IF(COUNTBLANK('Capacity summary'!$H125:$BG125)&lt;52,IF('Capacity summary'!BF125&lt;&gt;"",IF(LOWER('Capacity summary'!BF125)="x",$BI6*BF6,VALUE('Capacity summary'!BF125)),0),BF6*$BI6),BF6*$BI6),0)</f>
        <v>0</v>
      </c>
      <c r="DJ6" s="313">
        <f>IF($BI6&lt;&gt;"",IF('Capacity summary'!$D$14="Yes",IF(COUNTBLANK('Capacity summary'!$H125:$BG125)&lt;52,IF('Capacity summary'!BG125&lt;&gt;"",IF(LOWER('Capacity summary'!BG125)="x",$BI6*BG6,VALUE('Capacity summary'!BG125)),0),BG6*$BI6),BG6*$BI6),0)</f>
        <v>0</v>
      </c>
      <c r="DK6" s="137">
        <f t="shared" si="2"/>
        <v>0</v>
      </c>
      <c r="DL6" s="313" t="str">
        <f>Capacity!H18</f>
        <v/>
      </c>
      <c r="DP6" s="5"/>
    </row>
    <row r="7" spans="2:120" x14ac:dyDescent="0.25">
      <c r="B7" s="67"/>
      <c r="C7" s="67" t="str">
        <f>ROW(A3)&amp;". "&amp;Capacity!B19</f>
        <v xml:space="preserve">3. </v>
      </c>
      <c r="D7" s="67">
        <f>'Capacity setup'!C14</f>
        <v>0</v>
      </c>
      <c r="E7" s="67">
        <f>'Capacity setup'!D14</f>
        <v>0</v>
      </c>
      <c r="F7" s="67">
        <f>'Capacity setup'!E14</f>
        <v>0</v>
      </c>
      <c r="H7" s="67">
        <f ca="1">IF(AND(SUMIF(Capacity_Resource,$D7,'Critical resources (hide)'!U$6:U$105)+SUMIF(Capacity_Resource,$E7,'Critical resources (hide)'!U$6:U$105)+SUMIF(Capacity_Resource,$F7,'Critical resources (hide)'!U$6:U$105)&gt;0,$E$1=2),0,1)</f>
        <v>1</v>
      </c>
      <c r="I7" s="67">
        <f ca="1">IF(AND(SUMIF(Capacity_Resource,$D7,'Critical resources (hide)'!V$6:V$105)+SUMIF(Capacity_Resource,$E7,'Critical resources (hide)'!V$6:V$105)+SUMIF(Capacity_Resource,$F7,'Critical resources (hide)'!V$6:V$105)&gt;0,$E$1=2),0,1)</f>
        <v>1</v>
      </c>
      <c r="J7" s="67">
        <f ca="1">IF(AND(SUMIF(Capacity_Resource,$D7,'Critical resources (hide)'!W$6:W$105)+SUMIF(Capacity_Resource,$E7,'Critical resources (hide)'!W$6:W$105)+SUMIF(Capacity_Resource,$F7,'Critical resources (hide)'!W$6:W$105)&gt;0,$E$1=2),0,1)</f>
        <v>1</v>
      </c>
      <c r="K7" s="67">
        <f ca="1">IF(AND(SUMIF(Capacity_Resource,$D7,'Critical resources (hide)'!X$6:X$105)+SUMIF(Capacity_Resource,$E7,'Critical resources (hide)'!X$6:X$105)+SUMIF(Capacity_Resource,$F7,'Critical resources (hide)'!X$6:X$105)&gt;0,$E$1=2),0,1)</f>
        <v>1</v>
      </c>
      <c r="L7" s="67">
        <f ca="1">IF(AND(SUMIF(Capacity_Resource,$D7,'Critical resources (hide)'!Y$6:Y$105)+SUMIF(Capacity_Resource,$E7,'Critical resources (hide)'!Y$6:Y$105)+SUMIF(Capacity_Resource,$F7,'Critical resources (hide)'!Y$6:Y$105)&gt;0,$E$1=2),0,1)</f>
        <v>1</v>
      </c>
      <c r="M7" s="67">
        <f ca="1">IF(AND(SUMIF(Capacity_Resource,$D7,'Critical resources (hide)'!Z$6:Z$105)+SUMIF(Capacity_Resource,$E7,'Critical resources (hide)'!Z$6:Z$105)+SUMIF(Capacity_Resource,$F7,'Critical resources (hide)'!Z$6:Z$105)&gt;0,$E$1=2),0,1)</f>
        <v>1</v>
      </c>
      <c r="N7" s="67">
        <f ca="1">IF(AND(SUMIF(Capacity_Resource,$D7,'Critical resources (hide)'!AA$6:AA$105)+SUMIF(Capacity_Resource,$E7,'Critical resources (hide)'!AA$6:AA$105)+SUMIF(Capacity_Resource,$F7,'Critical resources (hide)'!AA$6:AA$105)&gt;0,$E$1=2),0,1)</f>
        <v>1</v>
      </c>
      <c r="O7" s="67">
        <f ca="1">IF(AND(SUMIF(Capacity_Resource,$D7,'Critical resources (hide)'!AB$6:AB$105)+SUMIF(Capacity_Resource,$E7,'Critical resources (hide)'!AB$6:AB$105)+SUMIF(Capacity_Resource,$F7,'Critical resources (hide)'!AB$6:AB$105)&gt;0,$E$1=2),0,1)</f>
        <v>1</v>
      </c>
      <c r="P7" s="67">
        <f ca="1">IF(AND(SUMIF(Capacity_Resource,$D7,'Critical resources (hide)'!AC$6:AC$105)+SUMIF(Capacity_Resource,$E7,'Critical resources (hide)'!AC$6:AC$105)+SUMIF(Capacity_Resource,$F7,'Critical resources (hide)'!AC$6:AC$105)&gt;0,$E$1=2),0,1)</f>
        <v>1</v>
      </c>
      <c r="Q7" s="67">
        <f ca="1">IF(AND(SUMIF(Capacity_Resource,$D7,'Critical resources (hide)'!AD$6:AD$105)+SUMIF(Capacity_Resource,$E7,'Critical resources (hide)'!AD$6:AD$105)+SUMIF(Capacity_Resource,$F7,'Critical resources (hide)'!AD$6:AD$105)&gt;0,$E$1=2),0,1)</f>
        <v>1</v>
      </c>
      <c r="R7" s="67">
        <f ca="1">IF(AND(SUMIF(Capacity_Resource,$D7,'Critical resources (hide)'!AE$6:AE$105)+SUMIF(Capacity_Resource,$E7,'Critical resources (hide)'!AE$6:AE$105)+SUMIF(Capacity_Resource,$F7,'Critical resources (hide)'!AE$6:AE$105)&gt;0,$E$1=2),0,1)</f>
        <v>1</v>
      </c>
      <c r="S7" s="67">
        <f ca="1">IF(AND(SUMIF(Capacity_Resource,$D7,'Critical resources (hide)'!AF$6:AF$105)+SUMIF(Capacity_Resource,$E7,'Critical resources (hide)'!AF$6:AF$105)+SUMIF(Capacity_Resource,$F7,'Critical resources (hide)'!AF$6:AF$105)&gt;0,$E$1=2),0,1)</f>
        <v>1</v>
      </c>
      <c r="T7" s="67">
        <f ca="1">IF(AND(SUMIF(Capacity_Resource,$D7,'Critical resources (hide)'!AG$6:AG$105)+SUMIF(Capacity_Resource,$E7,'Critical resources (hide)'!AG$6:AG$105)+SUMIF(Capacity_Resource,$F7,'Critical resources (hide)'!AG$6:AG$105)&gt;0,$E$1=2),0,1)</f>
        <v>1</v>
      </c>
      <c r="U7" s="67">
        <f ca="1">IF(AND(SUMIF(Capacity_Resource,$D7,'Critical resources (hide)'!AH$6:AH$105)+SUMIF(Capacity_Resource,$E7,'Critical resources (hide)'!AH$6:AH$105)+SUMIF(Capacity_Resource,$F7,'Critical resources (hide)'!AH$6:AH$105)&gt;0,$E$1=2),0,1)</f>
        <v>1</v>
      </c>
      <c r="V7" s="67">
        <f ca="1">IF(AND(SUMIF(Capacity_Resource,$D7,'Critical resources (hide)'!AI$6:AI$105)+SUMIF(Capacity_Resource,$E7,'Critical resources (hide)'!AI$6:AI$105)+SUMIF(Capacity_Resource,$F7,'Critical resources (hide)'!AI$6:AI$105)&gt;0,$E$1=2),0,1)</f>
        <v>1</v>
      </c>
      <c r="W7" s="67">
        <f ca="1">IF(AND(SUMIF(Capacity_Resource,$D7,'Critical resources (hide)'!AJ$6:AJ$105)+SUMIF(Capacity_Resource,$E7,'Critical resources (hide)'!AJ$6:AJ$105)+SUMIF(Capacity_Resource,$F7,'Critical resources (hide)'!AJ$6:AJ$105)&gt;0,$E$1=2),0,1)</f>
        <v>1</v>
      </c>
      <c r="X7" s="67">
        <f ca="1">IF(AND(SUMIF(Capacity_Resource,$D7,'Critical resources (hide)'!AK$6:AK$105)+SUMIF(Capacity_Resource,$E7,'Critical resources (hide)'!AK$6:AK$105)+SUMIF(Capacity_Resource,$F7,'Critical resources (hide)'!AK$6:AK$105)&gt;0,$E$1=2),0,1)</f>
        <v>1</v>
      </c>
      <c r="Y7" s="67">
        <f ca="1">IF(AND(SUMIF(Capacity_Resource,$D7,'Critical resources (hide)'!AL$6:AL$105)+SUMIF(Capacity_Resource,$E7,'Critical resources (hide)'!AL$6:AL$105)+SUMIF(Capacity_Resource,$F7,'Critical resources (hide)'!AL$6:AL$105)&gt;0,$E$1=2),0,1)</f>
        <v>1</v>
      </c>
      <c r="Z7" s="67">
        <f ca="1">IF(AND(SUMIF(Capacity_Resource,$D7,'Critical resources (hide)'!AM$6:AM$105)+SUMIF(Capacity_Resource,$E7,'Critical resources (hide)'!AM$6:AM$105)+SUMIF(Capacity_Resource,$F7,'Critical resources (hide)'!AM$6:AM$105)&gt;0,$E$1=2),0,1)</f>
        <v>1</v>
      </c>
      <c r="AA7" s="67">
        <f ca="1">IF(AND(SUMIF(Capacity_Resource,$D7,'Critical resources (hide)'!AN$6:AN$105)+SUMIF(Capacity_Resource,$E7,'Critical resources (hide)'!AN$6:AN$105)+SUMIF(Capacity_Resource,$F7,'Critical resources (hide)'!AN$6:AN$105)&gt;0,$E$1=2),0,1)</f>
        <v>1</v>
      </c>
      <c r="AB7" s="67">
        <f ca="1">IF(AND(SUMIF(Capacity_Resource,$D7,'Critical resources (hide)'!AO$6:AO$105)+SUMIF(Capacity_Resource,$E7,'Critical resources (hide)'!AO$6:AO$105)+SUMIF(Capacity_Resource,$F7,'Critical resources (hide)'!AO$6:AO$105)&gt;0,$E$1=2),0,1)</f>
        <v>1</v>
      </c>
      <c r="AC7" s="67">
        <f ca="1">IF(AND(SUMIF(Capacity_Resource,$D7,'Critical resources (hide)'!AP$6:AP$105)+SUMIF(Capacity_Resource,$E7,'Critical resources (hide)'!AP$6:AP$105)+SUMIF(Capacity_Resource,$F7,'Critical resources (hide)'!AP$6:AP$105)&gt;0,$E$1=2),0,1)</f>
        <v>1</v>
      </c>
      <c r="AD7" s="67">
        <f ca="1">IF(AND(SUMIF(Capacity_Resource,$D7,'Critical resources (hide)'!AQ$6:AQ$105)+SUMIF(Capacity_Resource,$E7,'Critical resources (hide)'!AQ$6:AQ$105)+SUMIF(Capacity_Resource,$F7,'Critical resources (hide)'!AQ$6:AQ$105)&gt;0,$E$1=2),0,1)</f>
        <v>1</v>
      </c>
      <c r="AE7" s="67">
        <f ca="1">IF(AND(SUMIF(Capacity_Resource,$D7,'Critical resources (hide)'!AR$6:AR$105)+SUMIF(Capacity_Resource,$E7,'Critical resources (hide)'!AR$6:AR$105)+SUMIF(Capacity_Resource,$F7,'Critical resources (hide)'!AR$6:AR$105)&gt;0,$E$1=2),0,1)</f>
        <v>1</v>
      </c>
      <c r="AF7" s="67">
        <f ca="1">IF(AND(SUMIF(Capacity_Resource,$D7,'Critical resources (hide)'!AS$6:AS$105)+SUMIF(Capacity_Resource,$E7,'Critical resources (hide)'!AS$6:AS$105)+SUMIF(Capacity_Resource,$F7,'Critical resources (hide)'!AS$6:AS$105)&gt;0,$E$1=2),0,1)</f>
        <v>1</v>
      </c>
      <c r="AG7" s="67">
        <f ca="1">IF(AND(SUMIF(Capacity_Resource,$D7,'Critical resources (hide)'!AT$6:AT$105)+SUMIF(Capacity_Resource,$E7,'Critical resources (hide)'!AT$6:AT$105)+SUMIF(Capacity_Resource,$F7,'Critical resources (hide)'!AT$6:AT$105)&gt;0,$E$1=2),0,1)</f>
        <v>1</v>
      </c>
      <c r="AH7" s="67">
        <f ca="1">IF(AND(SUMIF(Capacity_Resource,$D7,'Critical resources (hide)'!AU$6:AU$105)+SUMIF(Capacity_Resource,$E7,'Critical resources (hide)'!AU$6:AU$105)+SUMIF(Capacity_Resource,$F7,'Critical resources (hide)'!AU$6:AU$105)&gt;0,$E$1=2),0,1)</f>
        <v>1</v>
      </c>
      <c r="AI7" s="67">
        <f ca="1">IF(AND(SUMIF(Capacity_Resource,$D7,'Critical resources (hide)'!AV$6:AV$105)+SUMIF(Capacity_Resource,$E7,'Critical resources (hide)'!AV$6:AV$105)+SUMIF(Capacity_Resource,$F7,'Critical resources (hide)'!AV$6:AV$105)&gt;0,$E$1=2),0,1)</f>
        <v>1</v>
      </c>
      <c r="AJ7" s="67">
        <f ca="1">IF(AND(SUMIF(Capacity_Resource,$D7,'Critical resources (hide)'!AW$6:AW$105)+SUMIF(Capacity_Resource,$E7,'Critical resources (hide)'!AW$6:AW$105)+SUMIF(Capacity_Resource,$F7,'Critical resources (hide)'!AW$6:AW$105)&gt;0,$E$1=2),0,1)</f>
        <v>1</v>
      </c>
      <c r="AK7" s="67">
        <f ca="1">IF(AND(SUMIF(Capacity_Resource,$D7,'Critical resources (hide)'!AX$6:AX$105)+SUMIF(Capacity_Resource,$E7,'Critical resources (hide)'!AX$6:AX$105)+SUMIF(Capacity_Resource,$F7,'Critical resources (hide)'!AX$6:AX$105)&gt;0,$E$1=2),0,1)</f>
        <v>1</v>
      </c>
      <c r="AL7" s="67">
        <f ca="1">IF(AND(SUMIF(Capacity_Resource,$D7,'Critical resources (hide)'!AY$6:AY$105)+SUMIF(Capacity_Resource,$E7,'Critical resources (hide)'!AY$6:AY$105)+SUMIF(Capacity_Resource,$F7,'Critical resources (hide)'!AY$6:AY$105)&gt;0,$E$1=2),0,1)</f>
        <v>1</v>
      </c>
      <c r="AM7" s="67">
        <f ca="1">IF(AND(SUMIF(Capacity_Resource,$D7,'Critical resources (hide)'!AZ$6:AZ$105)+SUMIF(Capacity_Resource,$E7,'Critical resources (hide)'!AZ$6:AZ$105)+SUMIF(Capacity_Resource,$F7,'Critical resources (hide)'!AZ$6:AZ$105)&gt;0,$E$1=2),0,1)</f>
        <v>1</v>
      </c>
      <c r="AN7" s="67">
        <f ca="1">IF(AND(SUMIF(Capacity_Resource,$D7,'Critical resources (hide)'!BA$6:BA$105)+SUMIF(Capacity_Resource,$E7,'Critical resources (hide)'!BA$6:BA$105)+SUMIF(Capacity_Resource,$F7,'Critical resources (hide)'!BA$6:BA$105)&gt;0,$E$1=2),0,1)</f>
        <v>1</v>
      </c>
      <c r="AO7" s="67">
        <f ca="1">IF(AND(SUMIF(Capacity_Resource,$D7,'Critical resources (hide)'!BB$6:BB$105)+SUMIF(Capacity_Resource,$E7,'Critical resources (hide)'!BB$6:BB$105)+SUMIF(Capacity_Resource,$F7,'Critical resources (hide)'!BB$6:BB$105)&gt;0,$E$1=2),0,1)</f>
        <v>1</v>
      </c>
      <c r="AP7" s="67">
        <f ca="1">IF(AND(SUMIF(Capacity_Resource,$D7,'Critical resources (hide)'!BC$6:BC$105)+SUMIF(Capacity_Resource,$E7,'Critical resources (hide)'!BC$6:BC$105)+SUMIF(Capacity_Resource,$F7,'Critical resources (hide)'!BC$6:BC$105)&gt;0,$E$1=2),0,1)</f>
        <v>1</v>
      </c>
      <c r="AQ7" s="67">
        <f ca="1">IF(AND(SUMIF(Capacity_Resource,$D7,'Critical resources (hide)'!BD$6:BD$105)+SUMIF(Capacity_Resource,$E7,'Critical resources (hide)'!BD$6:BD$105)+SUMIF(Capacity_Resource,$F7,'Critical resources (hide)'!BD$6:BD$105)&gt;0,$E$1=2),0,1)</f>
        <v>1</v>
      </c>
      <c r="AR7" s="67">
        <f ca="1">IF(AND(SUMIF(Capacity_Resource,$D7,'Critical resources (hide)'!BE$6:BE$105)+SUMIF(Capacity_Resource,$E7,'Critical resources (hide)'!BE$6:BE$105)+SUMIF(Capacity_Resource,$F7,'Critical resources (hide)'!BE$6:BE$105)&gt;0,$E$1=2),0,1)</f>
        <v>1</v>
      </c>
      <c r="AS7" s="67">
        <f ca="1">IF(AND(SUMIF(Capacity_Resource,$D7,'Critical resources (hide)'!BF$6:BF$105)+SUMIF(Capacity_Resource,$E7,'Critical resources (hide)'!BF$6:BF$105)+SUMIF(Capacity_Resource,$F7,'Critical resources (hide)'!BF$6:BF$105)&gt;0,$E$1=2),0,1)</f>
        <v>1</v>
      </c>
      <c r="AT7" s="67">
        <f ca="1">IF(AND(SUMIF(Capacity_Resource,$D7,'Critical resources (hide)'!BG$6:BG$105)+SUMIF(Capacity_Resource,$E7,'Critical resources (hide)'!BG$6:BG$105)+SUMIF(Capacity_Resource,$F7,'Critical resources (hide)'!BG$6:BG$105)&gt;0,$E$1=2),0,1)</f>
        <v>1</v>
      </c>
      <c r="AU7" s="67">
        <f ca="1">IF(AND(SUMIF(Capacity_Resource,$D7,'Critical resources (hide)'!BH$6:BH$105)+SUMIF(Capacity_Resource,$E7,'Critical resources (hide)'!BH$6:BH$105)+SUMIF(Capacity_Resource,$F7,'Critical resources (hide)'!BH$6:BH$105)&gt;0,$E$1=2),0,1)</f>
        <v>1</v>
      </c>
      <c r="AV7" s="67">
        <f ca="1">IF(AND(SUMIF(Capacity_Resource,$D7,'Critical resources (hide)'!BI$6:BI$105)+SUMIF(Capacity_Resource,$E7,'Critical resources (hide)'!BI$6:BI$105)+SUMIF(Capacity_Resource,$F7,'Critical resources (hide)'!BI$6:BI$105)&gt;0,$E$1=2),0,1)</f>
        <v>1</v>
      </c>
      <c r="AW7" s="67">
        <f ca="1">IF(AND(SUMIF(Capacity_Resource,$D7,'Critical resources (hide)'!BJ$6:BJ$105)+SUMIF(Capacity_Resource,$E7,'Critical resources (hide)'!BJ$6:BJ$105)+SUMIF(Capacity_Resource,$F7,'Critical resources (hide)'!BJ$6:BJ$105)&gt;0,$E$1=2),0,1)</f>
        <v>1</v>
      </c>
      <c r="AX7" s="67">
        <f ca="1">IF(AND(SUMIF(Capacity_Resource,$D7,'Critical resources (hide)'!BK$6:BK$105)+SUMIF(Capacity_Resource,$E7,'Critical resources (hide)'!BK$6:BK$105)+SUMIF(Capacity_Resource,$F7,'Critical resources (hide)'!BK$6:BK$105)&gt;0,$E$1=2),0,1)</f>
        <v>1</v>
      </c>
      <c r="AY7" s="67">
        <f ca="1">IF(AND(SUMIF(Capacity_Resource,$D7,'Critical resources (hide)'!BL$6:BL$105)+SUMIF(Capacity_Resource,$E7,'Critical resources (hide)'!BL$6:BL$105)+SUMIF(Capacity_Resource,$F7,'Critical resources (hide)'!BL$6:BL$105)&gt;0,$E$1=2),0,1)</f>
        <v>1</v>
      </c>
      <c r="AZ7" s="67">
        <f ca="1">IF(AND(SUMIF(Capacity_Resource,$D7,'Critical resources (hide)'!BM$6:BM$105)+SUMIF(Capacity_Resource,$E7,'Critical resources (hide)'!BM$6:BM$105)+SUMIF(Capacity_Resource,$F7,'Critical resources (hide)'!BM$6:BM$105)&gt;0,$E$1=2),0,1)</f>
        <v>1</v>
      </c>
      <c r="BA7" s="67">
        <f ca="1">IF(AND(SUMIF(Capacity_Resource,$D7,'Critical resources (hide)'!BN$6:BN$105)+SUMIF(Capacity_Resource,$E7,'Critical resources (hide)'!BN$6:BN$105)+SUMIF(Capacity_Resource,$F7,'Critical resources (hide)'!BN$6:BN$105)&gt;0,$E$1=2),0,1)</f>
        <v>1</v>
      </c>
      <c r="BB7" s="67">
        <f ca="1">IF(AND(SUMIF(Capacity_Resource,$D7,'Critical resources (hide)'!BO$6:BO$105)+SUMIF(Capacity_Resource,$E7,'Critical resources (hide)'!BO$6:BO$105)+SUMIF(Capacity_Resource,$F7,'Critical resources (hide)'!BO$6:BO$105)&gt;0,$E$1=2),0,1)</f>
        <v>1</v>
      </c>
      <c r="BC7" s="67">
        <f ca="1">IF(AND(SUMIF(Capacity_Resource,$D7,'Critical resources (hide)'!BP$6:BP$105)+SUMIF(Capacity_Resource,$E7,'Critical resources (hide)'!BP$6:BP$105)+SUMIF(Capacity_Resource,$F7,'Critical resources (hide)'!BP$6:BP$105)&gt;0,$E$1=2),0,1)</f>
        <v>1</v>
      </c>
      <c r="BD7" s="67">
        <f ca="1">IF(AND(SUMIF(Capacity_Resource,$D7,'Critical resources (hide)'!BQ$6:BQ$105)+SUMIF(Capacity_Resource,$E7,'Critical resources (hide)'!BQ$6:BQ$105)+SUMIF(Capacity_Resource,$F7,'Critical resources (hide)'!BQ$6:BQ$105)&gt;0,$E$1=2),0,1)</f>
        <v>1</v>
      </c>
      <c r="BE7" s="67">
        <f ca="1">IF(AND(SUMIF(Capacity_Resource,$D7,'Critical resources (hide)'!BR$6:BR$105)+SUMIF(Capacity_Resource,$E7,'Critical resources (hide)'!BR$6:BR$105)+SUMIF(Capacity_Resource,$F7,'Critical resources (hide)'!BR$6:BR$105)&gt;0,$E$1=2),0,1)</f>
        <v>1</v>
      </c>
      <c r="BF7" s="67">
        <f ca="1">IF(AND(SUMIF(Capacity_Resource,$D7,'Critical resources (hide)'!BS$6:BS$105)+SUMIF(Capacity_Resource,$E7,'Critical resources (hide)'!BS$6:BS$105)+SUMIF(Capacity_Resource,$F7,'Critical resources (hide)'!BS$6:BS$105)&gt;0,$E$1=2),0,1)</f>
        <v>1</v>
      </c>
      <c r="BG7" s="67">
        <f ca="1">IF(AND(SUMIF(Capacity_Resource,$D7,'Critical resources (hide)'!BT$6:BT$105)+SUMIF(Capacity_Resource,$E7,'Critical resources (hide)'!BT$6:BT$105)+SUMIF(Capacity_Resource,$F7,'Critical resources (hide)'!BT$6:BT$105)&gt;0,$E$1=2),0,1)</f>
        <v>1</v>
      </c>
      <c r="BH7" s="67">
        <f>IF(ROW(C3)&lt;=Capacity!$A$16,IF('Capacity summary'!$D$14="No",SUM(H7:BG7),'Capacity summary'!$E126),0)</f>
        <v>0</v>
      </c>
      <c r="BI7" s="5" t="str">
        <f>IF(BH7&gt;0,IF(BH7&lt;Capacity!E19,Capacity!F19,Capacity!H19/'Capacity calculation (hide)'!BH7),"")</f>
        <v/>
      </c>
      <c r="BK7" s="313">
        <f>IF($BI7&lt;&gt;"",IF('Capacity summary'!$D$14="Yes",IF(COUNTBLANK('Capacity summary'!$H126:$BG126)&lt;52,IF('Capacity summary'!H126&lt;&gt;"",IF(LOWER('Capacity summary'!H126)="x",$BI7*H7,VALUE('Capacity summary'!H126)),0),H7*$BI7),H7*$BI7),0)</f>
        <v>0</v>
      </c>
      <c r="BL7" s="313">
        <f>IF($BI7&lt;&gt;"",IF('Capacity summary'!$D$14="Yes",IF(COUNTBLANK('Capacity summary'!$H126:$BG126)&lt;52,IF('Capacity summary'!I126&lt;&gt;"",IF(LOWER('Capacity summary'!I126)="x",$BI7*I7,VALUE('Capacity summary'!I126)),0),I7*$BI7),I7*$BI7),0)</f>
        <v>0</v>
      </c>
      <c r="BM7" s="313">
        <f>IF($BI7&lt;&gt;"",IF('Capacity summary'!$D$14="Yes",IF(COUNTBLANK('Capacity summary'!$H126:$BG126)&lt;52,IF('Capacity summary'!J126&lt;&gt;"",IF(LOWER('Capacity summary'!J126)="x",$BI7*J7,VALUE('Capacity summary'!J126)),0),J7*$BI7),J7*$BI7),0)</f>
        <v>0</v>
      </c>
      <c r="BN7" s="313">
        <f>IF($BI7&lt;&gt;"",IF('Capacity summary'!$D$14="Yes",IF(COUNTBLANK('Capacity summary'!$H126:$BG126)&lt;52,IF('Capacity summary'!K126&lt;&gt;"",IF(LOWER('Capacity summary'!K126)="x",$BI7*K7,VALUE('Capacity summary'!K126)),0),K7*$BI7),K7*$BI7),0)</f>
        <v>0</v>
      </c>
      <c r="BO7" s="313">
        <f>IF($BI7&lt;&gt;"",IF('Capacity summary'!$D$14="Yes",IF(COUNTBLANK('Capacity summary'!$H126:$BG126)&lt;52,IF('Capacity summary'!L126&lt;&gt;"",IF(LOWER('Capacity summary'!L126)="x",$BI7*L7,VALUE('Capacity summary'!L126)),0),L7*$BI7),L7*$BI7),0)</f>
        <v>0</v>
      </c>
      <c r="BP7" s="313">
        <f>IF($BI7&lt;&gt;"",IF('Capacity summary'!$D$14="Yes",IF(COUNTBLANK('Capacity summary'!$H126:$BG126)&lt;52,IF('Capacity summary'!M126&lt;&gt;"",IF(LOWER('Capacity summary'!M126)="x",$BI7*M7,VALUE('Capacity summary'!M126)),0),M7*$BI7),M7*$BI7),0)</f>
        <v>0</v>
      </c>
      <c r="BQ7" s="313">
        <f>IF($BI7&lt;&gt;"",IF('Capacity summary'!$D$14="Yes",IF(COUNTBLANK('Capacity summary'!$H126:$BG126)&lt;52,IF('Capacity summary'!N126&lt;&gt;"",IF(LOWER('Capacity summary'!N126)="x",$BI7*N7,VALUE('Capacity summary'!N126)),0),N7*$BI7),N7*$BI7),0)</f>
        <v>0</v>
      </c>
      <c r="BR7" s="313">
        <f>IF($BI7&lt;&gt;"",IF('Capacity summary'!$D$14="Yes",IF(COUNTBLANK('Capacity summary'!$H126:$BG126)&lt;52,IF('Capacity summary'!O126&lt;&gt;"",IF(LOWER('Capacity summary'!O126)="x",$BI7*O7,VALUE('Capacity summary'!O126)),0),O7*$BI7),O7*$BI7),0)</f>
        <v>0</v>
      </c>
      <c r="BS7" s="313">
        <f>IF($BI7&lt;&gt;"",IF('Capacity summary'!$D$14="Yes",IF(COUNTBLANK('Capacity summary'!$H126:$BG126)&lt;52,IF('Capacity summary'!P126&lt;&gt;"",IF(LOWER('Capacity summary'!P126)="x",$BI7*P7,VALUE('Capacity summary'!P126)),0),P7*$BI7),P7*$BI7),0)</f>
        <v>0</v>
      </c>
      <c r="BT7" s="313">
        <f>IF($BI7&lt;&gt;"",IF('Capacity summary'!$D$14="Yes",IF(COUNTBLANK('Capacity summary'!$H126:$BG126)&lt;52,IF('Capacity summary'!Q126&lt;&gt;"",IF(LOWER('Capacity summary'!Q126)="x",$BI7*Q7,VALUE('Capacity summary'!Q126)),0),Q7*$BI7),Q7*$BI7),0)</f>
        <v>0</v>
      </c>
      <c r="BU7" s="313">
        <f>IF($BI7&lt;&gt;"",IF('Capacity summary'!$D$14="Yes",IF(COUNTBLANK('Capacity summary'!$H126:$BG126)&lt;52,IF('Capacity summary'!R126&lt;&gt;"",IF(LOWER('Capacity summary'!R126)="x",$BI7*R7,VALUE('Capacity summary'!R126)),0),R7*$BI7),R7*$BI7),0)</f>
        <v>0</v>
      </c>
      <c r="BV7" s="313">
        <f>IF($BI7&lt;&gt;"",IF('Capacity summary'!$D$14="Yes",IF(COUNTBLANK('Capacity summary'!$H126:$BG126)&lt;52,IF('Capacity summary'!S126&lt;&gt;"",IF(LOWER('Capacity summary'!S126)="x",$BI7*S7,VALUE('Capacity summary'!S126)),0),S7*$BI7),S7*$BI7),0)</f>
        <v>0</v>
      </c>
      <c r="BW7" s="313">
        <f>IF($BI7&lt;&gt;"",IF('Capacity summary'!$D$14="Yes",IF(COUNTBLANK('Capacity summary'!$H126:$BG126)&lt;52,IF('Capacity summary'!T126&lt;&gt;"",IF(LOWER('Capacity summary'!T126)="x",$BI7*T7,VALUE('Capacity summary'!T126)),0),T7*$BI7),T7*$BI7),0)</f>
        <v>0</v>
      </c>
      <c r="BX7" s="313">
        <f>IF($BI7&lt;&gt;"",IF('Capacity summary'!$D$14="Yes",IF(COUNTBLANK('Capacity summary'!$H126:$BG126)&lt;52,IF('Capacity summary'!U126&lt;&gt;"",IF(LOWER('Capacity summary'!U126)="x",$BI7*U7,VALUE('Capacity summary'!U126)),0),U7*$BI7),U7*$BI7),0)</f>
        <v>0</v>
      </c>
      <c r="BY7" s="313">
        <f>IF($BI7&lt;&gt;"",IF('Capacity summary'!$D$14="Yes",IF(COUNTBLANK('Capacity summary'!$H126:$BG126)&lt;52,IF('Capacity summary'!V126&lt;&gt;"",IF(LOWER('Capacity summary'!V126)="x",$BI7*V7,VALUE('Capacity summary'!V126)),0),V7*$BI7),V7*$BI7),0)</f>
        <v>0</v>
      </c>
      <c r="BZ7" s="313">
        <f>IF($BI7&lt;&gt;"",IF('Capacity summary'!$D$14="Yes",IF(COUNTBLANK('Capacity summary'!$H126:$BG126)&lt;52,IF('Capacity summary'!W126&lt;&gt;"",IF(LOWER('Capacity summary'!W126)="x",$BI7*W7,VALUE('Capacity summary'!W126)),0),W7*$BI7),W7*$BI7),0)</f>
        <v>0</v>
      </c>
      <c r="CA7" s="313">
        <f>IF($BI7&lt;&gt;"",IF('Capacity summary'!$D$14="Yes",IF(COUNTBLANK('Capacity summary'!$H126:$BG126)&lt;52,IF('Capacity summary'!X126&lt;&gt;"",IF(LOWER('Capacity summary'!X126)="x",$BI7*X7,VALUE('Capacity summary'!X126)),0),X7*$BI7),X7*$BI7),0)</f>
        <v>0</v>
      </c>
      <c r="CB7" s="313">
        <f>IF($BI7&lt;&gt;"",IF('Capacity summary'!$D$14="Yes",IF(COUNTBLANK('Capacity summary'!$H126:$BG126)&lt;52,IF('Capacity summary'!Y126&lt;&gt;"",IF(LOWER('Capacity summary'!Y126)="x",$BI7*Y7,VALUE('Capacity summary'!Y126)),0),Y7*$BI7),Y7*$BI7),0)</f>
        <v>0</v>
      </c>
      <c r="CC7" s="313">
        <f>IF($BI7&lt;&gt;"",IF('Capacity summary'!$D$14="Yes",IF(COUNTBLANK('Capacity summary'!$H126:$BG126)&lt;52,IF('Capacity summary'!Z126&lt;&gt;"",IF(LOWER('Capacity summary'!Z126)="x",$BI7*Z7,VALUE('Capacity summary'!Z126)),0),Z7*$BI7),Z7*$BI7),0)</f>
        <v>0</v>
      </c>
      <c r="CD7" s="313">
        <f>IF($BI7&lt;&gt;"",IF('Capacity summary'!$D$14="Yes",IF(COUNTBLANK('Capacity summary'!$H126:$BG126)&lt;52,IF('Capacity summary'!AA126&lt;&gt;"",IF(LOWER('Capacity summary'!AA126)="x",$BI7*AA7,VALUE('Capacity summary'!AA126)),0),AA7*$BI7),AA7*$BI7),0)</f>
        <v>0</v>
      </c>
      <c r="CE7" s="313">
        <f>IF($BI7&lt;&gt;"",IF('Capacity summary'!$D$14="Yes",IF(COUNTBLANK('Capacity summary'!$H126:$BG126)&lt;52,IF('Capacity summary'!AB126&lt;&gt;"",IF(LOWER('Capacity summary'!AB126)="x",$BI7*AB7,VALUE('Capacity summary'!AB126)),0),AB7*$BI7),AB7*$BI7),0)</f>
        <v>0</v>
      </c>
      <c r="CF7" s="313">
        <f>IF($BI7&lt;&gt;"",IF('Capacity summary'!$D$14="Yes",IF(COUNTBLANK('Capacity summary'!$H126:$BG126)&lt;52,IF('Capacity summary'!AC126&lt;&gt;"",IF(LOWER('Capacity summary'!AC126)="x",$BI7*AC7,VALUE('Capacity summary'!AC126)),0),AC7*$BI7),AC7*$BI7),0)</f>
        <v>0</v>
      </c>
      <c r="CG7" s="313">
        <f>IF($BI7&lt;&gt;"",IF('Capacity summary'!$D$14="Yes",IF(COUNTBLANK('Capacity summary'!$H126:$BG126)&lt;52,IF('Capacity summary'!AD126&lt;&gt;"",IF(LOWER('Capacity summary'!AD126)="x",$BI7*AD7,VALUE('Capacity summary'!AD126)),0),AD7*$BI7),AD7*$BI7),0)</f>
        <v>0</v>
      </c>
      <c r="CH7" s="313">
        <f>IF($BI7&lt;&gt;"",IF('Capacity summary'!$D$14="Yes",IF(COUNTBLANK('Capacity summary'!$H126:$BG126)&lt;52,IF('Capacity summary'!AE126&lt;&gt;"",IF(LOWER('Capacity summary'!AE126)="x",$BI7*AE7,VALUE('Capacity summary'!AE126)),0),AE7*$BI7),AE7*$BI7),0)</f>
        <v>0</v>
      </c>
      <c r="CI7" s="313">
        <f>IF($BI7&lt;&gt;"",IF('Capacity summary'!$D$14="Yes",IF(COUNTBLANK('Capacity summary'!$H126:$BG126)&lt;52,IF('Capacity summary'!AF126&lt;&gt;"",IF(LOWER('Capacity summary'!AF126)="x",$BI7*AF7,VALUE('Capacity summary'!AF126)),0),AF7*$BI7),AF7*$BI7),0)</f>
        <v>0</v>
      </c>
      <c r="CJ7" s="313">
        <f>IF($BI7&lt;&gt;"",IF('Capacity summary'!$D$14="Yes",IF(COUNTBLANK('Capacity summary'!$H126:$BG126)&lt;52,IF('Capacity summary'!AG126&lt;&gt;"",IF(LOWER('Capacity summary'!AG126)="x",$BI7*AG7,VALUE('Capacity summary'!AG126)),0),AG7*$BI7),AG7*$BI7),0)</f>
        <v>0</v>
      </c>
      <c r="CK7" s="313">
        <f>IF($BI7&lt;&gt;"",IF('Capacity summary'!$D$14="Yes",IF(COUNTBLANK('Capacity summary'!$H126:$BG126)&lt;52,IF('Capacity summary'!AH126&lt;&gt;"",IF(LOWER('Capacity summary'!AH126)="x",$BI7*AH7,VALUE('Capacity summary'!AH126)),0),AH7*$BI7),AH7*$BI7),0)</f>
        <v>0</v>
      </c>
      <c r="CL7" s="313">
        <f>IF($BI7&lt;&gt;"",IF('Capacity summary'!$D$14="Yes",IF(COUNTBLANK('Capacity summary'!$H126:$BG126)&lt;52,IF('Capacity summary'!AI126&lt;&gt;"",IF(LOWER('Capacity summary'!AI126)="x",$BI7*AI7,VALUE('Capacity summary'!AI126)),0),AI7*$BI7),AI7*$BI7),0)</f>
        <v>0</v>
      </c>
      <c r="CM7" s="313">
        <f>IF($BI7&lt;&gt;"",IF('Capacity summary'!$D$14="Yes",IF(COUNTBLANK('Capacity summary'!$H126:$BG126)&lt;52,IF('Capacity summary'!AJ126&lt;&gt;"",IF(LOWER('Capacity summary'!AJ126)="x",$BI7*AJ7,VALUE('Capacity summary'!AJ126)),0),AJ7*$BI7),AJ7*$BI7),0)</f>
        <v>0</v>
      </c>
      <c r="CN7" s="313">
        <f>IF($BI7&lt;&gt;"",IF('Capacity summary'!$D$14="Yes",IF(COUNTBLANK('Capacity summary'!$H126:$BG126)&lt;52,IF('Capacity summary'!AK126&lt;&gt;"",IF(LOWER('Capacity summary'!AK126)="x",$BI7*AK7,VALUE('Capacity summary'!AK126)),0),AK7*$BI7),AK7*$BI7),0)</f>
        <v>0</v>
      </c>
      <c r="CO7" s="313">
        <f>IF($BI7&lt;&gt;"",IF('Capacity summary'!$D$14="Yes",IF(COUNTBLANK('Capacity summary'!$H126:$BG126)&lt;52,IF('Capacity summary'!AL126&lt;&gt;"",IF(LOWER('Capacity summary'!AL126)="x",$BI7*AL7,VALUE('Capacity summary'!AL126)),0),AL7*$BI7),AL7*$BI7),0)</f>
        <v>0</v>
      </c>
      <c r="CP7" s="313">
        <f>IF($BI7&lt;&gt;"",IF('Capacity summary'!$D$14="Yes",IF(COUNTBLANK('Capacity summary'!$H126:$BG126)&lt;52,IF('Capacity summary'!AM126&lt;&gt;"",IF(LOWER('Capacity summary'!AM126)="x",$BI7*AM7,VALUE('Capacity summary'!AM126)),0),AM7*$BI7),AM7*$BI7),0)</f>
        <v>0</v>
      </c>
      <c r="CQ7" s="313">
        <f>IF($BI7&lt;&gt;"",IF('Capacity summary'!$D$14="Yes",IF(COUNTBLANK('Capacity summary'!$H126:$BG126)&lt;52,IF('Capacity summary'!AN126&lt;&gt;"",IF(LOWER('Capacity summary'!AN126)="x",$BI7*AN7,VALUE('Capacity summary'!AN126)),0),AN7*$BI7),AN7*$BI7),0)</f>
        <v>0</v>
      </c>
      <c r="CR7" s="313">
        <f>IF($BI7&lt;&gt;"",IF('Capacity summary'!$D$14="Yes",IF(COUNTBLANK('Capacity summary'!$H126:$BG126)&lt;52,IF('Capacity summary'!AO126&lt;&gt;"",IF(LOWER('Capacity summary'!AO126)="x",$BI7*AO7,VALUE('Capacity summary'!AO126)),0),AO7*$BI7),AO7*$BI7),0)</f>
        <v>0</v>
      </c>
      <c r="CS7" s="313">
        <f>IF($BI7&lt;&gt;"",IF('Capacity summary'!$D$14="Yes",IF(COUNTBLANK('Capacity summary'!$H126:$BG126)&lt;52,IF('Capacity summary'!AP126&lt;&gt;"",IF(LOWER('Capacity summary'!AP126)="x",$BI7*AP7,VALUE('Capacity summary'!AP126)),0),AP7*$BI7),AP7*$BI7),0)</f>
        <v>0</v>
      </c>
      <c r="CT7" s="313">
        <f>IF($BI7&lt;&gt;"",IF('Capacity summary'!$D$14="Yes",IF(COUNTBLANK('Capacity summary'!$H126:$BG126)&lt;52,IF('Capacity summary'!AQ126&lt;&gt;"",IF(LOWER('Capacity summary'!AQ126)="x",$BI7*AQ7,VALUE('Capacity summary'!AQ126)),0),AQ7*$BI7),AQ7*$BI7),0)</f>
        <v>0</v>
      </c>
      <c r="CU7" s="313">
        <f>IF($BI7&lt;&gt;"",IF('Capacity summary'!$D$14="Yes",IF(COUNTBLANK('Capacity summary'!$H126:$BG126)&lt;52,IF('Capacity summary'!AR126&lt;&gt;"",IF(LOWER('Capacity summary'!AR126)="x",$BI7*AR7,VALUE('Capacity summary'!AR126)),0),AR7*$BI7),AR7*$BI7),0)</f>
        <v>0</v>
      </c>
      <c r="CV7" s="313">
        <f>IF($BI7&lt;&gt;"",IF('Capacity summary'!$D$14="Yes",IF(COUNTBLANK('Capacity summary'!$H126:$BG126)&lt;52,IF('Capacity summary'!AS126&lt;&gt;"",IF(LOWER('Capacity summary'!AS126)="x",$BI7*AS7,VALUE('Capacity summary'!AS126)),0),AS7*$BI7),AS7*$BI7),0)</f>
        <v>0</v>
      </c>
      <c r="CW7" s="313">
        <f>IF($BI7&lt;&gt;"",IF('Capacity summary'!$D$14="Yes",IF(COUNTBLANK('Capacity summary'!$H126:$BG126)&lt;52,IF('Capacity summary'!AT126&lt;&gt;"",IF(LOWER('Capacity summary'!AT126)="x",$BI7*AT7,VALUE('Capacity summary'!AT126)),0),AT7*$BI7),AT7*$BI7),0)</f>
        <v>0</v>
      </c>
      <c r="CX7" s="313">
        <f>IF($BI7&lt;&gt;"",IF('Capacity summary'!$D$14="Yes",IF(COUNTBLANK('Capacity summary'!$H126:$BG126)&lt;52,IF('Capacity summary'!AU126&lt;&gt;"",IF(LOWER('Capacity summary'!AU126)="x",$BI7*AU7,VALUE('Capacity summary'!AU126)),0),AU7*$BI7),AU7*$BI7),0)</f>
        <v>0</v>
      </c>
      <c r="CY7" s="313">
        <f>IF($BI7&lt;&gt;"",IF('Capacity summary'!$D$14="Yes",IF(COUNTBLANK('Capacity summary'!$H126:$BG126)&lt;52,IF('Capacity summary'!AV126&lt;&gt;"",IF(LOWER('Capacity summary'!AV126)="x",$BI7*AV7,VALUE('Capacity summary'!AV126)),0),AV7*$BI7),AV7*$BI7),0)</f>
        <v>0</v>
      </c>
      <c r="CZ7" s="313">
        <f>IF($BI7&lt;&gt;"",IF('Capacity summary'!$D$14="Yes",IF(COUNTBLANK('Capacity summary'!$H126:$BG126)&lt;52,IF('Capacity summary'!AW126&lt;&gt;"",IF(LOWER('Capacity summary'!AW126)="x",$BI7*AW7,VALUE('Capacity summary'!AW126)),0),AW7*$BI7),AW7*$BI7),0)</f>
        <v>0</v>
      </c>
      <c r="DA7" s="313">
        <f>IF($BI7&lt;&gt;"",IF('Capacity summary'!$D$14="Yes",IF(COUNTBLANK('Capacity summary'!$H126:$BG126)&lt;52,IF('Capacity summary'!AX126&lt;&gt;"",IF(LOWER('Capacity summary'!AX126)="x",$BI7*AX7,VALUE('Capacity summary'!AX126)),0),AX7*$BI7),AX7*$BI7),0)</f>
        <v>0</v>
      </c>
      <c r="DB7" s="313">
        <f>IF($BI7&lt;&gt;"",IF('Capacity summary'!$D$14="Yes",IF(COUNTBLANK('Capacity summary'!$H126:$BG126)&lt;52,IF('Capacity summary'!AY126&lt;&gt;"",IF(LOWER('Capacity summary'!AY126)="x",$BI7*AY7,VALUE('Capacity summary'!AY126)),0),AY7*$BI7),AY7*$BI7),0)</f>
        <v>0</v>
      </c>
      <c r="DC7" s="313">
        <f>IF($BI7&lt;&gt;"",IF('Capacity summary'!$D$14="Yes",IF(COUNTBLANK('Capacity summary'!$H126:$BG126)&lt;52,IF('Capacity summary'!AZ126&lt;&gt;"",IF(LOWER('Capacity summary'!AZ126)="x",$BI7*AZ7,VALUE('Capacity summary'!AZ126)),0),AZ7*$BI7),AZ7*$BI7),0)</f>
        <v>0</v>
      </c>
      <c r="DD7" s="313">
        <f>IF($BI7&lt;&gt;"",IF('Capacity summary'!$D$14="Yes",IF(COUNTBLANK('Capacity summary'!$H126:$BG126)&lt;52,IF('Capacity summary'!BA126&lt;&gt;"",IF(LOWER('Capacity summary'!BA126)="x",$BI7*BA7,VALUE('Capacity summary'!BA126)),0),BA7*$BI7),BA7*$BI7),0)</f>
        <v>0</v>
      </c>
      <c r="DE7" s="313">
        <f>IF($BI7&lt;&gt;"",IF('Capacity summary'!$D$14="Yes",IF(COUNTBLANK('Capacity summary'!$H126:$BG126)&lt;52,IF('Capacity summary'!BB126&lt;&gt;"",IF(LOWER('Capacity summary'!BB126)="x",$BI7*BB7,VALUE('Capacity summary'!BB126)),0),BB7*$BI7),BB7*$BI7),0)</f>
        <v>0</v>
      </c>
      <c r="DF7" s="313">
        <f>IF($BI7&lt;&gt;"",IF('Capacity summary'!$D$14="Yes",IF(COUNTBLANK('Capacity summary'!$H126:$BG126)&lt;52,IF('Capacity summary'!BC126&lt;&gt;"",IF(LOWER('Capacity summary'!BC126)="x",$BI7*BC7,VALUE('Capacity summary'!BC126)),0),BC7*$BI7),BC7*$BI7),0)</f>
        <v>0</v>
      </c>
      <c r="DG7" s="313">
        <f>IF($BI7&lt;&gt;"",IF('Capacity summary'!$D$14="Yes",IF(COUNTBLANK('Capacity summary'!$H126:$BG126)&lt;52,IF('Capacity summary'!BD126&lt;&gt;"",IF(LOWER('Capacity summary'!BD126)="x",$BI7*BD7,VALUE('Capacity summary'!BD126)),0),BD7*$BI7),BD7*$BI7),0)</f>
        <v>0</v>
      </c>
      <c r="DH7" s="313">
        <f>IF($BI7&lt;&gt;"",IF('Capacity summary'!$D$14="Yes",IF(COUNTBLANK('Capacity summary'!$H126:$BG126)&lt;52,IF('Capacity summary'!BE126&lt;&gt;"",IF(LOWER('Capacity summary'!BE126)="x",$BI7*BE7,VALUE('Capacity summary'!BE126)),0),BE7*$BI7),BE7*$BI7),0)</f>
        <v>0</v>
      </c>
      <c r="DI7" s="313">
        <f>IF($BI7&lt;&gt;"",IF('Capacity summary'!$D$14="Yes",IF(COUNTBLANK('Capacity summary'!$H126:$BG126)&lt;52,IF('Capacity summary'!BF126&lt;&gt;"",IF(LOWER('Capacity summary'!BF126)="x",$BI7*BF7,VALUE('Capacity summary'!BF126)),0),BF7*$BI7),BF7*$BI7),0)</f>
        <v>0</v>
      </c>
      <c r="DJ7" s="313">
        <f>IF($BI7&lt;&gt;"",IF('Capacity summary'!$D$14="Yes",IF(COUNTBLANK('Capacity summary'!$H126:$BG126)&lt;52,IF('Capacity summary'!BG126&lt;&gt;"",IF(LOWER('Capacity summary'!BG126)="x",$BI7*BG7,VALUE('Capacity summary'!BG126)),0),BG7*$BI7),BG7*$BI7),0)</f>
        <v>0</v>
      </c>
      <c r="DK7" s="137">
        <f t="shared" si="2"/>
        <v>0</v>
      </c>
      <c r="DL7" s="313" t="str">
        <f>Capacity!H19</f>
        <v/>
      </c>
      <c r="DP7" s="5"/>
    </row>
    <row r="8" spans="2:120" x14ac:dyDescent="0.25">
      <c r="B8" s="67"/>
      <c r="C8" s="67" t="str">
        <f>ROW(A4)&amp;". "&amp;Capacity!B20</f>
        <v xml:space="preserve">4. </v>
      </c>
      <c r="D8" s="67">
        <f>'Capacity setup'!C15</f>
        <v>0</v>
      </c>
      <c r="E8" s="67">
        <f>'Capacity setup'!D15</f>
        <v>0</v>
      </c>
      <c r="F8" s="67">
        <f>'Capacity setup'!E15</f>
        <v>0</v>
      </c>
      <c r="H8" s="67">
        <f ca="1">IF(AND(SUMIF(Capacity_Resource,$D8,'Critical resources (hide)'!U$6:U$105)+SUMIF(Capacity_Resource,$E8,'Critical resources (hide)'!U$6:U$105)+SUMIF(Capacity_Resource,$F8,'Critical resources (hide)'!U$6:U$105)&gt;0,$E$1=2),0,1)</f>
        <v>1</v>
      </c>
      <c r="I8" s="67">
        <f ca="1">IF(AND(SUMIF(Capacity_Resource,$D8,'Critical resources (hide)'!V$6:V$105)+SUMIF(Capacity_Resource,$E8,'Critical resources (hide)'!V$6:V$105)+SUMIF(Capacity_Resource,$F8,'Critical resources (hide)'!V$6:V$105)&gt;0,$E$1=2),0,1)</f>
        <v>1</v>
      </c>
      <c r="J8" s="67">
        <f ca="1">IF(AND(SUMIF(Capacity_Resource,$D8,'Critical resources (hide)'!W$6:W$105)+SUMIF(Capacity_Resource,$E8,'Critical resources (hide)'!W$6:W$105)+SUMIF(Capacity_Resource,$F8,'Critical resources (hide)'!W$6:W$105)&gt;0,$E$1=2),0,1)</f>
        <v>1</v>
      </c>
      <c r="K8" s="67">
        <f ca="1">IF(AND(SUMIF(Capacity_Resource,$D8,'Critical resources (hide)'!X$6:X$105)+SUMIF(Capacity_Resource,$E8,'Critical resources (hide)'!X$6:X$105)+SUMIF(Capacity_Resource,$F8,'Critical resources (hide)'!X$6:X$105)&gt;0,$E$1=2),0,1)</f>
        <v>1</v>
      </c>
      <c r="L8" s="67">
        <f ca="1">IF(AND(SUMIF(Capacity_Resource,$D8,'Critical resources (hide)'!Y$6:Y$105)+SUMIF(Capacity_Resource,$E8,'Critical resources (hide)'!Y$6:Y$105)+SUMIF(Capacity_Resource,$F8,'Critical resources (hide)'!Y$6:Y$105)&gt;0,$E$1=2),0,1)</f>
        <v>1</v>
      </c>
      <c r="M8" s="67">
        <f ca="1">IF(AND(SUMIF(Capacity_Resource,$D8,'Critical resources (hide)'!Z$6:Z$105)+SUMIF(Capacity_Resource,$E8,'Critical resources (hide)'!Z$6:Z$105)+SUMIF(Capacity_Resource,$F8,'Critical resources (hide)'!Z$6:Z$105)&gt;0,$E$1=2),0,1)</f>
        <v>1</v>
      </c>
      <c r="N8" s="67">
        <f ca="1">IF(AND(SUMIF(Capacity_Resource,$D8,'Critical resources (hide)'!AA$6:AA$105)+SUMIF(Capacity_Resource,$E8,'Critical resources (hide)'!AA$6:AA$105)+SUMIF(Capacity_Resource,$F8,'Critical resources (hide)'!AA$6:AA$105)&gt;0,$E$1=2),0,1)</f>
        <v>1</v>
      </c>
      <c r="O8" s="67">
        <f ca="1">IF(AND(SUMIF(Capacity_Resource,$D8,'Critical resources (hide)'!AB$6:AB$105)+SUMIF(Capacity_Resource,$E8,'Critical resources (hide)'!AB$6:AB$105)+SUMIF(Capacity_Resource,$F8,'Critical resources (hide)'!AB$6:AB$105)&gt;0,$E$1=2),0,1)</f>
        <v>1</v>
      </c>
      <c r="P8" s="67">
        <f ca="1">IF(AND(SUMIF(Capacity_Resource,$D8,'Critical resources (hide)'!AC$6:AC$105)+SUMIF(Capacity_Resource,$E8,'Critical resources (hide)'!AC$6:AC$105)+SUMIF(Capacity_Resource,$F8,'Critical resources (hide)'!AC$6:AC$105)&gt;0,$E$1=2),0,1)</f>
        <v>1</v>
      </c>
      <c r="Q8" s="67">
        <f ca="1">IF(AND(SUMIF(Capacity_Resource,$D8,'Critical resources (hide)'!AD$6:AD$105)+SUMIF(Capacity_Resource,$E8,'Critical resources (hide)'!AD$6:AD$105)+SUMIF(Capacity_Resource,$F8,'Critical resources (hide)'!AD$6:AD$105)&gt;0,$E$1=2),0,1)</f>
        <v>1</v>
      </c>
      <c r="R8" s="67">
        <f ca="1">IF(AND(SUMIF(Capacity_Resource,$D8,'Critical resources (hide)'!AE$6:AE$105)+SUMIF(Capacity_Resource,$E8,'Critical resources (hide)'!AE$6:AE$105)+SUMIF(Capacity_Resource,$F8,'Critical resources (hide)'!AE$6:AE$105)&gt;0,$E$1=2),0,1)</f>
        <v>1</v>
      </c>
      <c r="S8" s="67">
        <f ca="1">IF(AND(SUMIF(Capacity_Resource,$D8,'Critical resources (hide)'!AF$6:AF$105)+SUMIF(Capacity_Resource,$E8,'Critical resources (hide)'!AF$6:AF$105)+SUMIF(Capacity_Resource,$F8,'Critical resources (hide)'!AF$6:AF$105)&gt;0,$E$1=2),0,1)</f>
        <v>1</v>
      </c>
      <c r="T8" s="67">
        <f ca="1">IF(AND(SUMIF(Capacity_Resource,$D8,'Critical resources (hide)'!AG$6:AG$105)+SUMIF(Capacity_Resource,$E8,'Critical resources (hide)'!AG$6:AG$105)+SUMIF(Capacity_Resource,$F8,'Critical resources (hide)'!AG$6:AG$105)&gt;0,$E$1=2),0,1)</f>
        <v>1</v>
      </c>
      <c r="U8" s="67">
        <f ca="1">IF(AND(SUMIF(Capacity_Resource,$D8,'Critical resources (hide)'!AH$6:AH$105)+SUMIF(Capacity_Resource,$E8,'Critical resources (hide)'!AH$6:AH$105)+SUMIF(Capacity_Resource,$F8,'Critical resources (hide)'!AH$6:AH$105)&gt;0,$E$1=2),0,1)</f>
        <v>1</v>
      </c>
      <c r="V8" s="67">
        <f ca="1">IF(AND(SUMIF(Capacity_Resource,$D8,'Critical resources (hide)'!AI$6:AI$105)+SUMIF(Capacity_Resource,$E8,'Critical resources (hide)'!AI$6:AI$105)+SUMIF(Capacity_Resource,$F8,'Critical resources (hide)'!AI$6:AI$105)&gt;0,$E$1=2),0,1)</f>
        <v>1</v>
      </c>
      <c r="W8" s="67">
        <f ca="1">IF(AND(SUMIF(Capacity_Resource,$D8,'Critical resources (hide)'!AJ$6:AJ$105)+SUMIF(Capacity_Resource,$E8,'Critical resources (hide)'!AJ$6:AJ$105)+SUMIF(Capacity_Resource,$F8,'Critical resources (hide)'!AJ$6:AJ$105)&gt;0,$E$1=2),0,1)</f>
        <v>1</v>
      </c>
      <c r="X8" s="67">
        <f ca="1">IF(AND(SUMIF(Capacity_Resource,$D8,'Critical resources (hide)'!AK$6:AK$105)+SUMIF(Capacity_Resource,$E8,'Critical resources (hide)'!AK$6:AK$105)+SUMIF(Capacity_Resource,$F8,'Critical resources (hide)'!AK$6:AK$105)&gt;0,$E$1=2),0,1)</f>
        <v>1</v>
      </c>
      <c r="Y8" s="67">
        <f ca="1">IF(AND(SUMIF(Capacity_Resource,$D8,'Critical resources (hide)'!AL$6:AL$105)+SUMIF(Capacity_Resource,$E8,'Critical resources (hide)'!AL$6:AL$105)+SUMIF(Capacity_Resource,$F8,'Critical resources (hide)'!AL$6:AL$105)&gt;0,$E$1=2),0,1)</f>
        <v>1</v>
      </c>
      <c r="Z8" s="67">
        <f ca="1">IF(AND(SUMIF(Capacity_Resource,$D8,'Critical resources (hide)'!AM$6:AM$105)+SUMIF(Capacity_Resource,$E8,'Critical resources (hide)'!AM$6:AM$105)+SUMIF(Capacity_Resource,$F8,'Critical resources (hide)'!AM$6:AM$105)&gt;0,$E$1=2),0,1)</f>
        <v>1</v>
      </c>
      <c r="AA8" s="67">
        <f ca="1">IF(AND(SUMIF(Capacity_Resource,$D8,'Critical resources (hide)'!AN$6:AN$105)+SUMIF(Capacity_Resource,$E8,'Critical resources (hide)'!AN$6:AN$105)+SUMIF(Capacity_Resource,$F8,'Critical resources (hide)'!AN$6:AN$105)&gt;0,$E$1=2),0,1)</f>
        <v>1</v>
      </c>
      <c r="AB8" s="67">
        <f ca="1">IF(AND(SUMIF(Capacity_Resource,$D8,'Critical resources (hide)'!AO$6:AO$105)+SUMIF(Capacity_Resource,$E8,'Critical resources (hide)'!AO$6:AO$105)+SUMIF(Capacity_Resource,$F8,'Critical resources (hide)'!AO$6:AO$105)&gt;0,$E$1=2),0,1)</f>
        <v>1</v>
      </c>
      <c r="AC8" s="67">
        <f ca="1">IF(AND(SUMIF(Capacity_Resource,$D8,'Critical resources (hide)'!AP$6:AP$105)+SUMIF(Capacity_Resource,$E8,'Critical resources (hide)'!AP$6:AP$105)+SUMIF(Capacity_Resource,$F8,'Critical resources (hide)'!AP$6:AP$105)&gt;0,$E$1=2),0,1)</f>
        <v>1</v>
      </c>
      <c r="AD8" s="67">
        <f ca="1">IF(AND(SUMIF(Capacity_Resource,$D8,'Critical resources (hide)'!AQ$6:AQ$105)+SUMIF(Capacity_Resource,$E8,'Critical resources (hide)'!AQ$6:AQ$105)+SUMIF(Capacity_Resource,$F8,'Critical resources (hide)'!AQ$6:AQ$105)&gt;0,$E$1=2),0,1)</f>
        <v>1</v>
      </c>
      <c r="AE8" s="67">
        <f ca="1">IF(AND(SUMIF(Capacity_Resource,$D8,'Critical resources (hide)'!AR$6:AR$105)+SUMIF(Capacity_Resource,$E8,'Critical resources (hide)'!AR$6:AR$105)+SUMIF(Capacity_Resource,$F8,'Critical resources (hide)'!AR$6:AR$105)&gt;0,$E$1=2),0,1)</f>
        <v>1</v>
      </c>
      <c r="AF8" s="67">
        <f ca="1">IF(AND(SUMIF(Capacity_Resource,$D8,'Critical resources (hide)'!AS$6:AS$105)+SUMIF(Capacity_Resource,$E8,'Critical resources (hide)'!AS$6:AS$105)+SUMIF(Capacity_Resource,$F8,'Critical resources (hide)'!AS$6:AS$105)&gt;0,$E$1=2),0,1)</f>
        <v>1</v>
      </c>
      <c r="AG8" s="67">
        <f ca="1">IF(AND(SUMIF(Capacity_Resource,$D8,'Critical resources (hide)'!AT$6:AT$105)+SUMIF(Capacity_Resource,$E8,'Critical resources (hide)'!AT$6:AT$105)+SUMIF(Capacity_Resource,$F8,'Critical resources (hide)'!AT$6:AT$105)&gt;0,$E$1=2),0,1)</f>
        <v>1</v>
      </c>
      <c r="AH8" s="67">
        <f ca="1">IF(AND(SUMIF(Capacity_Resource,$D8,'Critical resources (hide)'!AU$6:AU$105)+SUMIF(Capacity_Resource,$E8,'Critical resources (hide)'!AU$6:AU$105)+SUMIF(Capacity_Resource,$F8,'Critical resources (hide)'!AU$6:AU$105)&gt;0,$E$1=2),0,1)</f>
        <v>1</v>
      </c>
      <c r="AI8" s="67">
        <f ca="1">IF(AND(SUMIF(Capacity_Resource,$D8,'Critical resources (hide)'!AV$6:AV$105)+SUMIF(Capacity_Resource,$E8,'Critical resources (hide)'!AV$6:AV$105)+SUMIF(Capacity_Resource,$F8,'Critical resources (hide)'!AV$6:AV$105)&gt;0,$E$1=2),0,1)</f>
        <v>1</v>
      </c>
      <c r="AJ8" s="67">
        <f ca="1">IF(AND(SUMIF(Capacity_Resource,$D8,'Critical resources (hide)'!AW$6:AW$105)+SUMIF(Capacity_Resource,$E8,'Critical resources (hide)'!AW$6:AW$105)+SUMIF(Capacity_Resource,$F8,'Critical resources (hide)'!AW$6:AW$105)&gt;0,$E$1=2),0,1)</f>
        <v>1</v>
      </c>
      <c r="AK8" s="67">
        <f ca="1">IF(AND(SUMIF(Capacity_Resource,$D8,'Critical resources (hide)'!AX$6:AX$105)+SUMIF(Capacity_Resource,$E8,'Critical resources (hide)'!AX$6:AX$105)+SUMIF(Capacity_Resource,$F8,'Critical resources (hide)'!AX$6:AX$105)&gt;0,$E$1=2),0,1)</f>
        <v>1</v>
      </c>
      <c r="AL8" s="67">
        <f ca="1">IF(AND(SUMIF(Capacity_Resource,$D8,'Critical resources (hide)'!AY$6:AY$105)+SUMIF(Capacity_Resource,$E8,'Critical resources (hide)'!AY$6:AY$105)+SUMIF(Capacity_Resource,$F8,'Critical resources (hide)'!AY$6:AY$105)&gt;0,$E$1=2),0,1)</f>
        <v>1</v>
      </c>
      <c r="AM8" s="67">
        <f ca="1">IF(AND(SUMIF(Capacity_Resource,$D8,'Critical resources (hide)'!AZ$6:AZ$105)+SUMIF(Capacity_Resource,$E8,'Critical resources (hide)'!AZ$6:AZ$105)+SUMIF(Capacity_Resource,$F8,'Critical resources (hide)'!AZ$6:AZ$105)&gt;0,$E$1=2),0,1)</f>
        <v>1</v>
      </c>
      <c r="AN8" s="67">
        <f ca="1">IF(AND(SUMIF(Capacity_Resource,$D8,'Critical resources (hide)'!BA$6:BA$105)+SUMIF(Capacity_Resource,$E8,'Critical resources (hide)'!BA$6:BA$105)+SUMIF(Capacity_Resource,$F8,'Critical resources (hide)'!BA$6:BA$105)&gt;0,$E$1=2),0,1)</f>
        <v>1</v>
      </c>
      <c r="AO8" s="67">
        <f ca="1">IF(AND(SUMIF(Capacity_Resource,$D8,'Critical resources (hide)'!BB$6:BB$105)+SUMIF(Capacity_Resource,$E8,'Critical resources (hide)'!BB$6:BB$105)+SUMIF(Capacity_Resource,$F8,'Critical resources (hide)'!BB$6:BB$105)&gt;0,$E$1=2),0,1)</f>
        <v>1</v>
      </c>
      <c r="AP8" s="67">
        <f ca="1">IF(AND(SUMIF(Capacity_Resource,$D8,'Critical resources (hide)'!BC$6:BC$105)+SUMIF(Capacity_Resource,$E8,'Critical resources (hide)'!BC$6:BC$105)+SUMIF(Capacity_Resource,$F8,'Critical resources (hide)'!BC$6:BC$105)&gt;0,$E$1=2),0,1)</f>
        <v>1</v>
      </c>
      <c r="AQ8" s="67">
        <f ca="1">IF(AND(SUMIF(Capacity_Resource,$D8,'Critical resources (hide)'!BD$6:BD$105)+SUMIF(Capacity_Resource,$E8,'Critical resources (hide)'!BD$6:BD$105)+SUMIF(Capacity_Resource,$F8,'Critical resources (hide)'!BD$6:BD$105)&gt;0,$E$1=2),0,1)</f>
        <v>1</v>
      </c>
      <c r="AR8" s="67">
        <f ca="1">IF(AND(SUMIF(Capacity_Resource,$D8,'Critical resources (hide)'!BE$6:BE$105)+SUMIF(Capacity_Resource,$E8,'Critical resources (hide)'!BE$6:BE$105)+SUMIF(Capacity_Resource,$F8,'Critical resources (hide)'!BE$6:BE$105)&gt;0,$E$1=2),0,1)</f>
        <v>1</v>
      </c>
      <c r="AS8" s="67">
        <f ca="1">IF(AND(SUMIF(Capacity_Resource,$D8,'Critical resources (hide)'!BF$6:BF$105)+SUMIF(Capacity_Resource,$E8,'Critical resources (hide)'!BF$6:BF$105)+SUMIF(Capacity_Resource,$F8,'Critical resources (hide)'!BF$6:BF$105)&gt;0,$E$1=2),0,1)</f>
        <v>1</v>
      </c>
      <c r="AT8" s="67">
        <f ca="1">IF(AND(SUMIF(Capacity_Resource,$D8,'Critical resources (hide)'!BG$6:BG$105)+SUMIF(Capacity_Resource,$E8,'Critical resources (hide)'!BG$6:BG$105)+SUMIF(Capacity_Resource,$F8,'Critical resources (hide)'!BG$6:BG$105)&gt;0,$E$1=2),0,1)</f>
        <v>1</v>
      </c>
      <c r="AU8" s="67">
        <f ca="1">IF(AND(SUMIF(Capacity_Resource,$D8,'Critical resources (hide)'!BH$6:BH$105)+SUMIF(Capacity_Resource,$E8,'Critical resources (hide)'!BH$6:BH$105)+SUMIF(Capacity_Resource,$F8,'Critical resources (hide)'!BH$6:BH$105)&gt;0,$E$1=2),0,1)</f>
        <v>1</v>
      </c>
      <c r="AV8" s="67">
        <f ca="1">IF(AND(SUMIF(Capacity_Resource,$D8,'Critical resources (hide)'!BI$6:BI$105)+SUMIF(Capacity_Resource,$E8,'Critical resources (hide)'!BI$6:BI$105)+SUMIF(Capacity_Resource,$F8,'Critical resources (hide)'!BI$6:BI$105)&gt;0,$E$1=2),0,1)</f>
        <v>1</v>
      </c>
      <c r="AW8" s="67">
        <f ca="1">IF(AND(SUMIF(Capacity_Resource,$D8,'Critical resources (hide)'!BJ$6:BJ$105)+SUMIF(Capacity_Resource,$E8,'Critical resources (hide)'!BJ$6:BJ$105)+SUMIF(Capacity_Resource,$F8,'Critical resources (hide)'!BJ$6:BJ$105)&gt;0,$E$1=2),0,1)</f>
        <v>1</v>
      </c>
      <c r="AX8" s="67">
        <f ca="1">IF(AND(SUMIF(Capacity_Resource,$D8,'Critical resources (hide)'!BK$6:BK$105)+SUMIF(Capacity_Resource,$E8,'Critical resources (hide)'!BK$6:BK$105)+SUMIF(Capacity_Resource,$F8,'Critical resources (hide)'!BK$6:BK$105)&gt;0,$E$1=2),0,1)</f>
        <v>1</v>
      </c>
      <c r="AY8" s="67">
        <f ca="1">IF(AND(SUMIF(Capacity_Resource,$D8,'Critical resources (hide)'!BL$6:BL$105)+SUMIF(Capacity_Resource,$E8,'Critical resources (hide)'!BL$6:BL$105)+SUMIF(Capacity_Resource,$F8,'Critical resources (hide)'!BL$6:BL$105)&gt;0,$E$1=2),0,1)</f>
        <v>1</v>
      </c>
      <c r="AZ8" s="67">
        <f ca="1">IF(AND(SUMIF(Capacity_Resource,$D8,'Critical resources (hide)'!BM$6:BM$105)+SUMIF(Capacity_Resource,$E8,'Critical resources (hide)'!BM$6:BM$105)+SUMIF(Capacity_Resource,$F8,'Critical resources (hide)'!BM$6:BM$105)&gt;0,$E$1=2),0,1)</f>
        <v>1</v>
      </c>
      <c r="BA8" s="67">
        <f ca="1">IF(AND(SUMIF(Capacity_Resource,$D8,'Critical resources (hide)'!BN$6:BN$105)+SUMIF(Capacity_Resource,$E8,'Critical resources (hide)'!BN$6:BN$105)+SUMIF(Capacity_Resource,$F8,'Critical resources (hide)'!BN$6:BN$105)&gt;0,$E$1=2),0,1)</f>
        <v>1</v>
      </c>
      <c r="BB8" s="67">
        <f ca="1">IF(AND(SUMIF(Capacity_Resource,$D8,'Critical resources (hide)'!BO$6:BO$105)+SUMIF(Capacity_Resource,$E8,'Critical resources (hide)'!BO$6:BO$105)+SUMIF(Capacity_Resource,$F8,'Critical resources (hide)'!BO$6:BO$105)&gt;0,$E$1=2),0,1)</f>
        <v>1</v>
      </c>
      <c r="BC8" s="67">
        <f ca="1">IF(AND(SUMIF(Capacity_Resource,$D8,'Critical resources (hide)'!BP$6:BP$105)+SUMIF(Capacity_Resource,$E8,'Critical resources (hide)'!BP$6:BP$105)+SUMIF(Capacity_Resource,$F8,'Critical resources (hide)'!BP$6:BP$105)&gt;0,$E$1=2),0,1)</f>
        <v>1</v>
      </c>
      <c r="BD8" s="67">
        <f ca="1">IF(AND(SUMIF(Capacity_Resource,$D8,'Critical resources (hide)'!BQ$6:BQ$105)+SUMIF(Capacity_Resource,$E8,'Critical resources (hide)'!BQ$6:BQ$105)+SUMIF(Capacity_Resource,$F8,'Critical resources (hide)'!BQ$6:BQ$105)&gt;0,$E$1=2),0,1)</f>
        <v>1</v>
      </c>
      <c r="BE8" s="67">
        <f ca="1">IF(AND(SUMIF(Capacity_Resource,$D8,'Critical resources (hide)'!BR$6:BR$105)+SUMIF(Capacity_Resource,$E8,'Critical resources (hide)'!BR$6:BR$105)+SUMIF(Capacity_Resource,$F8,'Critical resources (hide)'!BR$6:BR$105)&gt;0,$E$1=2),0,1)</f>
        <v>1</v>
      </c>
      <c r="BF8" s="67">
        <f ca="1">IF(AND(SUMIF(Capacity_Resource,$D8,'Critical resources (hide)'!BS$6:BS$105)+SUMIF(Capacity_Resource,$E8,'Critical resources (hide)'!BS$6:BS$105)+SUMIF(Capacity_Resource,$F8,'Critical resources (hide)'!BS$6:BS$105)&gt;0,$E$1=2),0,1)</f>
        <v>1</v>
      </c>
      <c r="BG8" s="67">
        <f ca="1">IF(AND(SUMIF(Capacity_Resource,$D8,'Critical resources (hide)'!BT$6:BT$105)+SUMIF(Capacity_Resource,$E8,'Critical resources (hide)'!BT$6:BT$105)+SUMIF(Capacity_Resource,$F8,'Critical resources (hide)'!BT$6:BT$105)&gt;0,$E$1=2),0,1)</f>
        <v>1</v>
      </c>
      <c r="BH8" s="67">
        <f>IF(ROW(C4)&lt;=Capacity!$A$16,IF('Capacity summary'!$D$14="No",SUM(H8:BG8),'Capacity summary'!$E127),0)</f>
        <v>0</v>
      </c>
      <c r="BI8" s="5" t="str">
        <f>IF(BH8&gt;0,IF(BH8&lt;Capacity!E20,Capacity!F20,Capacity!H20/'Capacity calculation (hide)'!BH8),"")</f>
        <v/>
      </c>
      <c r="BK8" s="313">
        <f>IF($BI8&lt;&gt;"",IF('Capacity summary'!$D$14="Yes",IF(COUNTBLANK('Capacity summary'!$H127:$BG127)&lt;52,IF('Capacity summary'!H127&lt;&gt;"",IF(LOWER('Capacity summary'!H127)="x",$BI8*H8,VALUE('Capacity summary'!H127)),0),H8*$BI8),H8*$BI8),0)</f>
        <v>0</v>
      </c>
      <c r="BL8" s="313">
        <f>IF($BI8&lt;&gt;"",IF('Capacity summary'!$D$14="Yes",IF(COUNTBLANK('Capacity summary'!$H127:$BG127)&lt;52,IF('Capacity summary'!I127&lt;&gt;"",IF(LOWER('Capacity summary'!I127)="x",$BI8*I8,VALUE('Capacity summary'!I127)),0),I8*$BI8),I8*$BI8),0)</f>
        <v>0</v>
      </c>
      <c r="BM8" s="313">
        <f>IF($BI8&lt;&gt;"",IF('Capacity summary'!$D$14="Yes",IF(COUNTBLANK('Capacity summary'!$H127:$BG127)&lt;52,IF('Capacity summary'!J127&lt;&gt;"",IF(LOWER('Capacity summary'!J127)="x",$BI8*J8,VALUE('Capacity summary'!J127)),0),J8*$BI8),J8*$BI8),0)</f>
        <v>0</v>
      </c>
      <c r="BN8" s="313">
        <f>IF($BI8&lt;&gt;"",IF('Capacity summary'!$D$14="Yes",IF(COUNTBLANK('Capacity summary'!$H127:$BG127)&lt;52,IF('Capacity summary'!K127&lt;&gt;"",IF(LOWER('Capacity summary'!K127)="x",$BI8*K8,VALUE('Capacity summary'!K127)),0),K8*$BI8),K8*$BI8),0)</f>
        <v>0</v>
      </c>
      <c r="BO8" s="313">
        <f>IF($BI8&lt;&gt;"",IF('Capacity summary'!$D$14="Yes",IF(COUNTBLANK('Capacity summary'!$H127:$BG127)&lt;52,IF('Capacity summary'!L127&lt;&gt;"",IF(LOWER('Capacity summary'!L127)="x",$BI8*L8,VALUE('Capacity summary'!L127)),0),L8*$BI8),L8*$BI8),0)</f>
        <v>0</v>
      </c>
      <c r="BP8" s="313">
        <f>IF($BI8&lt;&gt;"",IF('Capacity summary'!$D$14="Yes",IF(COUNTBLANK('Capacity summary'!$H127:$BG127)&lt;52,IF('Capacity summary'!M127&lt;&gt;"",IF(LOWER('Capacity summary'!M127)="x",$BI8*M8,VALUE('Capacity summary'!M127)),0),M8*$BI8),M8*$BI8),0)</f>
        <v>0</v>
      </c>
      <c r="BQ8" s="313">
        <f>IF($BI8&lt;&gt;"",IF('Capacity summary'!$D$14="Yes",IF(COUNTBLANK('Capacity summary'!$H127:$BG127)&lt;52,IF('Capacity summary'!N127&lt;&gt;"",IF(LOWER('Capacity summary'!N127)="x",$BI8*N8,VALUE('Capacity summary'!N127)),0),N8*$BI8),N8*$BI8),0)</f>
        <v>0</v>
      </c>
      <c r="BR8" s="313">
        <f>IF($BI8&lt;&gt;"",IF('Capacity summary'!$D$14="Yes",IF(COUNTBLANK('Capacity summary'!$H127:$BG127)&lt;52,IF('Capacity summary'!O127&lt;&gt;"",IF(LOWER('Capacity summary'!O127)="x",$BI8*O8,VALUE('Capacity summary'!O127)),0),O8*$BI8),O8*$BI8),0)</f>
        <v>0</v>
      </c>
      <c r="BS8" s="313">
        <f>IF($BI8&lt;&gt;"",IF('Capacity summary'!$D$14="Yes",IF(COUNTBLANK('Capacity summary'!$H127:$BG127)&lt;52,IF('Capacity summary'!P127&lt;&gt;"",IF(LOWER('Capacity summary'!P127)="x",$BI8*P8,VALUE('Capacity summary'!P127)),0),P8*$BI8),P8*$BI8),0)</f>
        <v>0</v>
      </c>
      <c r="BT8" s="313">
        <f>IF($BI8&lt;&gt;"",IF('Capacity summary'!$D$14="Yes",IF(COUNTBLANK('Capacity summary'!$H127:$BG127)&lt;52,IF('Capacity summary'!Q127&lt;&gt;"",IF(LOWER('Capacity summary'!Q127)="x",$BI8*Q8,VALUE('Capacity summary'!Q127)),0),Q8*$BI8),Q8*$BI8),0)</f>
        <v>0</v>
      </c>
      <c r="BU8" s="313">
        <f>IF($BI8&lt;&gt;"",IF('Capacity summary'!$D$14="Yes",IF(COUNTBLANK('Capacity summary'!$H127:$BG127)&lt;52,IF('Capacity summary'!R127&lt;&gt;"",IF(LOWER('Capacity summary'!R127)="x",$BI8*R8,VALUE('Capacity summary'!R127)),0),R8*$BI8),R8*$BI8),0)</f>
        <v>0</v>
      </c>
      <c r="BV8" s="313">
        <f>IF($BI8&lt;&gt;"",IF('Capacity summary'!$D$14="Yes",IF(COUNTBLANK('Capacity summary'!$H127:$BG127)&lt;52,IF('Capacity summary'!S127&lt;&gt;"",IF(LOWER('Capacity summary'!S127)="x",$BI8*S8,VALUE('Capacity summary'!S127)),0),S8*$BI8),S8*$BI8),0)</f>
        <v>0</v>
      </c>
      <c r="BW8" s="313">
        <f>IF($BI8&lt;&gt;"",IF('Capacity summary'!$D$14="Yes",IF(COUNTBLANK('Capacity summary'!$H127:$BG127)&lt;52,IF('Capacity summary'!T127&lt;&gt;"",IF(LOWER('Capacity summary'!T127)="x",$BI8*T8,VALUE('Capacity summary'!T127)),0),T8*$BI8),T8*$BI8),0)</f>
        <v>0</v>
      </c>
      <c r="BX8" s="313">
        <f>IF($BI8&lt;&gt;"",IF('Capacity summary'!$D$14="Yes",IF(COUNTBLANK('Capacity summary'!$H127:$BG127)&lt;52,IF('Capacity summary'!U127&lt;&gt;"",IF(LOWER('Capacity summary'!U127)="x",$BI8*U8,VALUE('Capacity summary'!U127)),0),U8*$BI8),U8*$BI8),0)</f>
        <v>0</v>
      </c>
      <c r="BY8" s="313">
        <f>IF($BI8&lt;&gt;"",IF('Capacity summary'!$D$14="Yes",IF(COUNTBLANK('Capacity summary'!$H127:$BG127)&lt;52,IF('Capacity summary'!V127&lt;&gt;"",IF(LOWER('Capacity summary'!V127)="x",$BI8*V8,VALUE('Capacity summary'!V127)),0),V8*$BI8),V8*$BI8),0)</f>
        <v>0</v>
      </c>
      <c r="BZ8" s="313">
        <f>IF($BI8&lt;&gt;"",IF('Capacity summary'!$D$14="Yes",IF(COUNTBLANK('Capacity summary'!$H127:$BG127)&lt;52,IF('Capacity summary'!W127&lt;&gt;"",IF(LOWER('Capacity summary'!W127)="x",$BI8*W8,VALUE('Capacity summary'!W127)),0),W8*$BI8),W8*$BI8),0)</f>
        <v>0</v>
      </c>
      <c r="CA8" s="313">
        <f>IF($BI8&lt;&gt;"",IF('Capacity summary'!$D$14="Yes",IF(COUNTBLANK('Capacity summary'!$H127:$BG127)&lt;52,IF('Capacity summary'!X127&lt;&gt;"",IF(LOWER('Capacity summary'!X127)="x",$BI8*X8,VALUE('Capacity summary'!X127)),0),X8*$BI8),X8*$BI8),0)</f>
        <v>0</v>
      </c>
      <c r="CB8" s="313">
        <f>IF($BI8&lt;&gt;"",IF('Capacity summary'!$D$14="Yes",IF(COUNTBLANK('Capacity summary'!$H127:$BG127)&lt;52,IF('Capacity summary'!Y127&lt;&gt;"",IF(LOWER('Capacity summary'!Y127)="x",$BI8*Y8,VALUE('Capacity summary'!Y127)),0),Y8*$BI8),Y8*$BI8),0)</f>
        <v>0</v>
      </c>
      <c r="CC8" s="313">
        <f>IF($BI8&lt;&gt;"",IF('Capacity summary'!$D$14="Yes",IF(COUNTBLANK('Capacity summary'!$H127:$BG127)&lt;52,IF('Capacity summary'!Z127&lt;&gt;"",IF(LOWER('Capacity summary'!Z127)="x",$BI8*Z8,VALUE('Capacity summary'!Z127)),0),Z8*$BI8),Z8*$BI8),0)</f>
        <v>0</v>
      </c>
      <c r="CD8" s="313">
        <f>IF($BI8&lt;&gt;"",IF('Capacity summary'!$D$14="Yes",IF(COUNTBLANK('Capacity summary'!$H127:$BG127)&lt;52,IF('Capacity summary'!AA127&lt;&gt;"",IF(LOWER('Capacity summary'!AA127)="x",$BI8*AA8,VALUE('Capacity summary'!AA127)),0),AA8*$BI8),AA8*$BI8),0)</f>
        <v>0</v>
      </c>
      <c r="CE8" s="313">
        <f>IF($BI8&lt;&gt;"",IF('Capacity summary'!$D$14="Yes",IF(COUNTBLANK('Capacity summary'!$H127:$BG127)&lt;52,IF('Capacity summary'!AB127&lt;&gt;"",IF(LOWER('Capacity summary'!AB127)="x",$BI8*AB8,VALUE('Capacity summary'!AB127)),0),AB8*$BI8),AB8*$BI8),0)</f>
        <v>0</v>
      </c>
      <c r="CF8" s="313">
        <f>IF($BI8&lt;&gt;"",IF('Capacity summary'!$D$14="Yes",IF(COUNTBLANK('Capacity summary'!$H127:$BG127)&lt;52,IF('Capacity summary'!AC127&lt;&gt;"",IF(LOWER('Capacity summary'!AC127)="x",$BI8*AC8,VALUE('Capacity summary'!AC127)),0),AC8*$BI8),AC8*$BI8),0)</f>
        <v>0</v>
      </c>
      <c r="CG8" s="313">
        <f>IF($BI8&lt;&gt;"",IF('Capacity summary'!$D$14="Yes",IF(COUNTBLANK('Capacity summary'!$H127:$BG127)&lt;52,IF('Capacity summary'!AD127&lt;&gt;"",IF(LOWER('Capacity summary'!AD127)="x",$BI8*AD8,VALUE('Capacity summary'!AD127)),0),AD8*$BI8),AD8*$BI8),0)</f>
        <v>0</v>
      </c>
      <c r="CH8" s="313">
        <f>IF($BI8&lt;&gt;"",IF('Capacity summary'!$D$14="Yes",IF(COUNTBLANK('Capacity summary'!$H127:$BG127)&lt;52,IF('Capacity summary'!AE127&lt;&gt;"",IF(LOWER('Capacity summary'!AE127)="x",$BI8*AE8,VALUE('Capacity summary'!AE127)),0),AE8*$BI8),AE8*$BI8),0)</f>
        <v>0</v>
      </c>
      <c r="CI8" s="313">
        <f>IF($BI8&lt;&gt;"",IF('Capacity summary'!$D$14="Yes",IF(COUNTBLANK('Capacity summary'!$H127:$BG127)&lt;52,IF('Capacity summary'!AF127&lt;&gt;"",IF(LOWER('Capacity summary'!AF127)="x",$BI8*AF8,VALUE('Capacity summary'!AF127)),0),AF8*$BI8),AF8*$BI8),0)</f>
        <v>0</v>
      </c>
      <c r="CJ8" s="313">
        <f>IF($BI8&lt;&gt;"",IF('Capacity summary'!$D$14="Yes",IF(COUNTBLANK('Capacity summary'!$H127:$BG127)&lt;52,IF('Capacity summary'!AG127&lt;&gt;"",IF(LOWER('Capacity summary'!AG127)="x",$BI8*AG8,VALUE('Capacity summary'!AG127)),0),AG8*$BI8),AG8*$BI8),0)</f>
        <v>0</v>
      </c>
      <c r="CK8" s="313">
        <f>IF($BI8&lt;&gt;"",IF('Capacity summary'!$D$14="Yes",IF(COUNTBLANK('Capacity summary'!$H127:$BG127)&lt;52,IF('Capacity summary'!AH127&lt;&gt;"",IF(LOWER('Capacity summary'!AH127)="x",$BI8*AH8,VALUE('Capacity summary'!AH127)),0),AH8*$BI8),AH8*$BI8),0)</f>
        <v>0</v>
      </c>
      <c r="CL8" s="313">
        <f>IF($BI8&lt;&gt;"",IF('Capacity summary'!$D$14="Yes",IF(COUNTBLANK('Capacity summary'!$H127:$BG127)&lt;52,IF('Capacity summary'!AI127&lt;&gt;"",IF(LOWER('Capacity summary'!AI127)="x",$BI8*AI8,VALUE('Capacity summary'!AI127)),0),AI8*$BI8),AI8*$BI8),0)</f>
        <v>0</v>
      </c>
      <c r="CM8" s="313">
        <f>IF($BI8&lt;&gt;"",IF('Capacity summary'!$D$14="Yes",IF(COUNTBLANK('Capacity summary'!$H127:$BG127)&lt;52,IF('Capacity summary'!AJ127&lt;&gt;"",IF(LOWER('Capacity summary'!AJ127)="x",$BI8*AJ8,VALUE('Capacity summary'!AJ127)),0),AJ8*$BI8),AJ8*$BI8),0)</f>
        <v>0</v>
      </c>
      <c r="CN8" s="313">
        <f>IF($BI8&lt;&gt;"",IF('Capacity summary'!$D$14="Yes",IF(COUNTBLANK('Capacity summary'!$H127:$BG127)&lt;52,IF('Capacity summary'!AK127&lt;&gt;"",IF(LOWER('Capacity summary'!AK127)="x",$BI8*AK8,VALUE('Capacity summary'!AK127)),0),AK8*$BI8),AK8*$BI8),0)</f>
        <v>0</v>
      </c>
      <c r="CO8" s="313">
        <f>IF($BI8&lt;&gt;"",IF('Capacity summary'!$D$14="Yes",IF(COUNTBLANK('Capacity summary'!$H127:$BG127)&lt;52,IF('Capacity summary'!AL127&lt;&gt;"",IF(LOWER('Capacity summary'!AL127)="x",$BI8*AL8,VALUE('Capacity summary'!AL127)),0),AL8*$BI8),AL8*$BI8),0)</f>
        <v>0</v>
      </c>
      <c r="CP8" s="313">
        <f>IF($BI8&lt;&gt;"",IF('Capacity summary'!$D$14="Yes",IF(COUNTBLANK('Capacity summary'!$H127:$BG127)&lt;52,IF('Capacity summary'!AM127&lt;&gt;"",IF(LOWER('Capacity summary'!AM127)="x",$BI8*AM8,VALUE('Capacity summary'!AM127)),0),AM8*$BI8),AM8*$BI8),0)</f>
        <v>0</v>
      </c>
      <c r="CQ8" s="313">
        <f>IF($BI8&lt;&gt;"",IF('Capacity summary'!$D$14="Yes",IF(COUNTBLANK('Capacity summary'!$H127:$BG127)&lt;52,IF('Capacity summary'!AN127&lt;&gt;"",IF(LOWER('Capacity summary'!AN127)="x",$BI8*AN8,VALUE('Capacity summary'!AN127)),0),AN8*$BI8),AN8*$BI8),0)</f>
        <v>0</v>
      </c>
      <c r="CR8" s="313">
        <f>IF($BI8&lt;&gt;"",IF('Capacity summary'!$D$14="Yes",IF(COUNTBLANK('Capacity summary'!$H127:$BG127)&lt;52,IF('Capacity summary'!AO127&lt;&gt;"",IF(LOWER('Capacity summary'!AO127)="x",$BI8*AO8,VALUE('Capacity summary'!AO127)),0),AO8*$BI8),AO8*$BI8),0)</f>
        <v>0</v>
      </c>
      <c r="CS8" s="313">
        <f>IF($BI8&lt;&gt;"",IF('Capacity summary'!$D$14="Yes",IF(COUNTBLANK('Capacity summary'!$H127:$BG127)&lt;52,IF('Capacity summary'!AP127&lt;&gt;"",IF(LOWER('Capacity summary'!AP127)="x",$BI8*AP8,VALUE('Capacity summary'!AP127)),0),AP8*$BI8),AP8*$BI8),0)</f>
        <v>0</v>
      </c>
      <c r="CT8" s="313">
        <f>IF($BI8&lt;&gt;"",IF('Capacity summary'!$D$14="Yes",IF(COUNTBLANK('Capacity summary'!$H127:$BG127)&lt;52,IF('Capacity summary'!AQ127&lt;&gt;"",IF(LOWER('Capacity summary'!AQ127)="x",$BI8*AQ8,VALUE('Capacity summary'!AQ127)),0),AQ8*$BI8),AQ8*$BI8),0)</f>
        <v>0</v>
      </c>
      <c r="CU8" s="313">
        <f>IF($BI8&lt;&gt;"",IF('Capacity summary'!$D$14="Yes",IF(COUNTBLANK('Capacity summary'!$H127:$BG127)&lt;52,IF('Capacity summary'!AR127&lt;&gt;"",IF(LOWER('Capacity summary'!AR127)="x",$BI8*AR8,VALUE('Capacity summary'!AR127)),0),AR8*$BI8),AR8*$BI8),0)</f>
        <v>0</v>
      </c>
      <c r="CV8" s="313">
        <f>IF($BI8&lt;&gt;"",IF('Capacity summary'!$D$14="Yes",IF(COUNTBLANK('Capacity summary'!$H127:$BG127)&lt;52,IF('Capacity summary'!AS127&lt;&gt;"",IF(LOWER('Capacity summary'!AS127)="x",$BI8*AS8,VALUE('Capacity summary'!AS127)),0),AS8*$BI8),AS8*$BI8),0)</f>
        <v>0</v>
      </c>
      <c r="CW8" s="313">
        <f>IF($BI8&lt;&gt;"",IF('Capacity summary'!$D$14="Yes",IF(COUNTBLANK('Capacity summary'!$H127:$BG127)&lt;52,IF('Capacity summary'!AT127&lt;&gt;"",IF(LOWER('Capacity summary'!AT127)="x",$BI8*AT8,VALUE('Capacity summary'!AT127)),0),AT8*$BI8),AT8*$BI8),0)</f>
        <v>0</v>
      </c>
      <c r="CX8" s="313">
        <f>IF($BI8&lt;&gt;"",IF('Capacity summary'!$D$14="Yes",IF(COUNTBLANK('Capacity summary'!$H127:$BG127)&lt;52,IF('Capacity summary'!AU127&lt;&gt;"",IF(LOWER('Capacity summary'!AU127)="x",$BI8*AU8,VALUE('Capacity summary'!AU127)),0),AU8*$BI8),AU8*$BI8),0)</f>
        <v>0</v>
      </c>
      <c r="CY8" s="313">
        <f>IF($BI8&lt;&gt;"",IF('Capacity summary'!$D$14="Yes",IF(COUNTBLANK('Capacity summary'!$H127:$BG127)&lt;52,IF('Capacity summary'!AV127&lt;&gt;"",IF(LOWER('Capacity summary'!AV127)="x",$BI8*AV8,VALUE('Capacity summary'!AV127)),0),AV8*$BI8),AV8*$BI8),0)</f>
        <v>0</v>
      </c>
      <c r="CZ8" s="313">
        <f>IF($BI8&lt;&gt;"",IF('Capacity summary'!$D$14="Yes",IF(COUNTBLANK('Capacity summary'!$H127:$BG127)&lt;52,IF('Capacity summary'!AW127&lt;&gt;"",IF(LOWER('Capacity summary'!AW127)="x",$BI8*AW8,VALUE('Capacity summary'!AW127)),0),AW8*$BI8),AW8*$BI8),0)</f>
        <v>0</v>
      </c>
      <c r="DA8" s="313">
        <f>IF($BI8&lt;&gt;"",IF('Capacity summary'!$D$14="Yes",IF(COUNTBLANK('Capacity summary'!$H127:$BG127)&lt;52,IF('Capacity summary'!AX127&lt;&gt;"",IF(LOWER('Capacity summary'!AX127)="x",$BI8*AX8,VALUE('Capacity summary'!AX127)),0),AX8*$BI8),AX8*$BI8),0)</f>
        <v>0</v>
      </c>
      <c r="DB8" s="313">
        <f>IF($BI8&lt;&gt;"",IF('Capacity summary'!$D$14="Yes",IF(COUNTBLANK('Capacity summary'!$H127:$BG127)&lt;52,IF('Capacity summary'!AY127&lt;&gt;"",IF(LOWER('Capacity summary'!AY127)="x",$BI8*AY8,VALUE('Capacity summary'!AY127)),0),AY8*$BI8),AY8*$BI8),0)</f>
        <v>0</v>
      </c>
      <c r="DC8" s="313">
        <f>IF($BI8&lt;&gt;"",IF('Capacity summary'!$D$14="Yes",IF(COUNTBLANK('Capacity summary'!$H127:$BG127)&lt;52,IF('Capacity summary'!AZ127&lt;&gt;"",IF(LOWER('Capacity summary'!AZ127)="x",$BI8*AZ8,VALUE('Capacity summary'!AZ127)),0),AZ8*$BI8),AZ8*$BI8),0)</f>
        <v>0</v>
      </c>
      <c r="DD8" s="313">
        <f>IF($BI8&lt;&gt;"",IF('Capacity summary'!$D$14="Yes",IF(COUNTBLANK('Capacity summary'!$H127:$BG127)&lt;52,IF('Capacity summary'!BA127&lt;&gt;"",IF(LOWER('Capacity summary'!BA127)="x",$BI8*BA8,VALUE('Capacity summary'!BA127)),0),BA8*$BI8),BA8*$BI8),0)</f>
        <v>0</v>
      </c>
      <c r="DE8" s="313">
        <f>IF($BI8&lt;&gt;"",IF('Capacity summary'!$D$14="Yes",IF(COUNTBLANK('Capacity summary'!$H127:$BG127)&lt;52,IF('Capacity summary'!BB127&lt;&gt;"",IF(LOWER('Capacity summary'!BB127)="x",$BI8*BB8,VALUE('Capacity summary'!BB127)),0),BB8*$BI8),BB8*$BI8),0)</f>
        <v>0</v>
      </c>
      <c r="DF8" s="313">
        <f>IF($BI8&lt;&gt;"",IF('Capacity summary'!$D$14="Yes",IF(COUNTBLANK('Capacity summary'!$H127:$BG127)&lt;52,IF('Capacity summary'!BC127&lt;&gt;"",IF(LOWER('Capacity summary'!BC127)="x",$BI8*BC8,VALUE('Capacity summary'!BC127)),0),BC8*$BI8),BC8*$BI8),0)</f>
        <v>0</v>
      </c>
      <c r="DG8" s="313">
        <f>IF($BI8&lt;&gt;"",IF('Capacity summary'!$D$14="Yes",IF(COUNTBLANK('Capacity summary'!$H127:$BG127)&lt;52,IF('Capacity summary'!BD127&lt;&gt;"",IF(LOWER('Capacity summary'!BD127)="x",$BI8*BD8,VALUE('Capacity summary'!BD127)),0),BD8*$BI8),BD8*$BI8),0)</f>
        <v>0</v>
      </c>
      <c r="DH8" s="313">
        <f>IF($BI8&lt;&gt;"",IF('Capacity summary'!$D$14="Yes",IF(COUNTBLANK('Capacity summary'!$H127:$BG127)&lt;52,IF('Capacity summary'!BE127&lt;&gt;"",IF(LOWER('Capacity summary'!BE127)="x",$BI8*BE8,VALUE('Capacity summary'!BE127)),0),BE8*$BI8),BE8*$BI8),0)</f>
        <v>0</v>
      </c>
      <c r="DI8" s="313">
        <f>IF($BI8&lt;&gt;"",IF('Capacity summary'!$D$14="Yes",IF(COUNTBLANK('Capacity summary'!$H127:$BG127)&lt;52,IF('Capacity summary'!BF127&lt;&gt;"",IF(LOWER('Capacity summary'!BF127)="x",$BI8*BF8,VALUE('Capacity summary'!BF127)),0),BF8*$BI8),BF8*$BI8),0)</f>
        <v>0</v>
      </c>
      <c r="DJ8" s="313">
        <f>IF($BI8&lt;&gt;"",IF('Capacity summary'!$D$14="Yes",IF(COUNTBLANK('Capacity summary'!$H127:$BG127)&lt;52,IF('Capacity summary'!BG127&lt;&gt;"",IF(LOWER('Capacity summary'!BG127)="x",$BI8*BG8,VALUE('Capacity summary'!BG127)),0),BG8*$BI8),BG8*$BI8),0)</f>
        <v>0</v>
      </c>
      <c r="DK8" s="137">
        <f t="shared" si="2"/>
        <v>0</v>
      </c>
      <c r="DL8" s="313" t="str">
        <f>Capacity!H20</f>
        <v/>
      </c>
      <c r="DP8" s="5"/>
    </row>
    <row r="9" spans="2:120" x14ac:dyDescent="0.25">
      <c r="B9" s="67"/>
      <c r="C9" s="67" t="str">
        <f>ROW(A5)&amp;". "&amp;Capacity!B21</f>
        <v xml:space="preserve">5. </v>
      </c>
      <c r="D9" s="67">
        <f>'Capacity setup'!C16</f>
        <v>0</v>
      </c>
      <c r="E9" s="67">
        <f>'Capacity setup'!D16</f>
        <v>0</v>
      </c>
      <c r="F9" s="67">
        <f>'Capacity setup'!E16</f>
        <v>0</v>
      </c>
      <c r="H9" s="67">
        <f ca="1">IF(AND(SUMIF(Capacity_Resource,$D9,'Critical resources (hide)'!U$6:U$105)+SUMIF(Capacity_Resource,$E9,'Critical resources (hide)'!U$6:U$105)+SUMIF(Capacity_Resource,$F9,'Critical resources (hide)'!U$6:U$105)&gt;0,$E$1=2),0,1)</f>
        <v>1</v>
      </c>
      <c r="I9" s="67">
        <f ca="1">IF(AND(SUMIF(Capacity_Resource,$D9,'Critical resources (hide)'!V$6:V$105)+SUMIF(Capacity_Resource,$E9,'Critical resources (hide)'!V$6:V$105)+SUMIF(Capacity_Resource,$F9,'Critical resources (hide)'!V$6:V$105)&gt;0,$E$1=2),0,1)</f>
        <v>1</v>
      </c>
      <c r="J9" s="67">
        <f ca="1">IF(AND(SUMIF(Capacity_Resource,$D9,'Critical resources (hide)'!W$6:W$105)+SUMIF(Capacity_Resource,$E9,'Critical resources (hide)'!W$6:W$105)+SUMIF(Capacity_Resource,$F9,'Critical resources (hide)'!W$6:W$105)&gt;0,$E$1=2),0,1)</f>
        <v>1</v>
      </c>
      <c r="K9" s="67">
        <f ca="1">IF(AND(SUMIF(Capacity_Resource,$D9,'Critical resources (hide)'!X$6:X$105)+SUMIF(Capacity_Resource,$E9,'Critical resources (hide)'!X$6:X$105)+SUMIF(Capacity_Resource,$F9,'Critical resources (hide)'!X$6:X$105)&gt;0,$E$1=2),0,1)</f>
        <v>1</v>
      </c>
      <c r="L9" s="67">
        <f ca="1">IF(AND(SUMIF(Capacity_Resource,$D9,'Critical resources (hide)'!Y$6:Y$105)+SUMIF(Capacity_Resource,$E9,'Critical resources (hide)'!Y$6:Y$105)+SUMIF(Capacity_Resource,$F9,'Critical resources (hide)'!Y$6:Y$105)&gt;0,$E$1=2),0,1)</f>
        <v>1</v>
      </c>
      <c r="M9" s="67">
        <f ca="1">IF(AND(SUMIF(Capacity_Resource,$D9,'Critical resources (hide)'!Z$6:Z$105)+SUMIF(Capacity_Resource,$E9,'Critical resources (hide)'!Z$6:Z$105)+SUMIF(Capacity_Resource,$F9,'Critical resources (hide)'!Z$6:Z$105)&gt;0,$E$1=2),0,1)</f>
        <v>1</v>
      </c>
      <c r="N9" s="67">
        <f ca="1">IF(AND(SUMIF(Capacity_Resource,$D9,'Critical resources (hide)'!AA$6:AA$105)+SUMIF(Capacity_Resource,$E9,'Critical resources (hide)'!AA$6:AA$105)+SUMIF(Capacity_Resource,$F9,'Critical resources (hide)'!AA$6:AA$105)&gt;0,$E$1=2),0,1)</f>
        <v>1</v>
      </c>
      <c r="O9" s="67">
        <f ca="1">IF(AND(SUMIF(Capacity_Resource,$D9,'Critical resources (hide)'!AB$6:AB$105)+SUMIF(Capacity_Resource,$E9,'Critical resources (hide)'!AB$6:AB$105)+SUMIF(Capacity_Resource,$F9,'Critical resources (hide)'!AB$6:AB$105)&gt;0,$E$1=2),0,1)</f>
        <v>1</v>
      </c>
      <c r="P9" s="67">
        <f ca="1">IF(AND(SUMIF(Capacity_Resource,$D9,'Critical resources (hide)'!AC$6:AC$105)+SUMIF(Capacity_Resource,$E9,'Critical resources (hide)'!AC$6:AC$105)+SUMIF(Capacity_Resource,$F9,'Critical resources (hide)'!AC$6:AC$105)&gt;0,$E$1=2),0,1)</f>
        <v>1</v>
      </c>
      <c r="Q9" s="67">
        <f ca="1">IF(AND(SUMIF(Capacity_Resource,$D9,'Critical resources (hide)'!AD$6:AD$105)+SUMIF(Capacity_Resource,$E9,'Critical resources (hide)'!AD$6:AD$105)+SUMIF(Capacity_Resource,$F9,'Critical resources (hide)'!AD$6:AD$105)&gt;0,$E$1=2),0,1)</f>
        <v>1</v>
      </c>
      <c r="R9" s="67">
        <f ca="1">IF(AND(SUMIF(Capacity_Resource,$D9,'Critical resources (hide)'!AE$6:AE$105)+SUMIF(Capacity_Resource,$E9,'Critical resources (hide)'!AE$6:AE$105)+SUMIF(Capacity_Resource,$F9,'Critical resources (hide)'!AE$6:AE$105)&gt;0,$E$1=2),0,1)</f>
        <v>1</v>
      </c>
      <c r="S9" s="67">
        <f ca="1">IF(AND(SUMIF(Capacity_Resource,$D9,'Critical resources (hide)'!AF$6:AF$105)+SUMIF(Capacity_Resource,$E9,'Critical resources (hide)'!AF$6:AF$105)+SUMIF(Capacity_Resource,$F9,'Critical resources (hide)'!AF$6:AF$105)&gt;0,$E$1=2),0,1)</f>
        <v>1</v>
      </c>
      <c r="T9" s="67">
        <f ca="1">IF(AND(SUMIF(Capacity_Resource,$D9,'Critical resources (hide)'!AG$6:AG$105)+SUMIF(Capacity_Resource,$E9,'Critical resources (hide)'!AG$6:AG$105)+SUMIF(Capacity_Resource,$F9,'Critical resources (hide)'!AG$6:AG$105)&gt;0,$E$1=2),0,1)</f>
        <v>1</v>
      </c>
      <c r="U9" s="67">
        <f ca="1">IF(AND(SUMIF(Capacity_Resource,$D9,'Critical resources (hide)'!AH$6:AH$105)+SUMIF(Capacity_Resource,$E9,'Critical resources (hide)'!AH$6:AH$105)+SUMIF(Capacity_Resource,$F9,'Critical resources (hide)'!AH$6:AH$105)&gt;0,$E$1=2),0,1)</f>
        <v>1</v>
      </c>
      <c r="V9" s="67">
        <f ca="1">IF(AND(SUMIF(Capacity_Resource,$D9,'Critical resources (hide)'!AI$6:AI$105)+SUMIF(Capacity_Resource,$E9,'Critical resources (hide)'!AI$6:AI$105)+SUMIF(Capacity_Resource,$F9,'Critical resources (hide)'!AI$6:AI$105)&gt;0,$E$1=2),0,1)</f>
        <v>1</v>
      </c>
      <c r="W9" s="67">
        <f ca="1">IF(AND(SUMIF(Capacity_Resource,$D9,'Critical resources (hide)'!AJ$6:AJ$105)+SUMIF(Capacity_Resource,$E9,'Critical resources (hide)'!AJ$6:AJ$105)+SUMIF(Capacity_Resource,$F9,'Critical resources (hide)'!AJ$6:AJ$105)&gt;0,$E$1=2),0,1)</f>
        <v>1</v>
      </c>
      <c r="X9" s="67">
        <f ca="1">IF(AND(SUMIF(Capacity_Resource,$D9,'Critical resources (hide)'!AK$6:AK$105)+SUMIF(Capacity_Resource,$E9,'Critical resources (hide)'!AK$6:AK$105)+SUMIF(Capacity_Resource,$F9,'Critical resources (hide)'!AK$6:AK$105)&gt;0,$E$1=2),0,1)</f>
        <v>1</v>
      </c>
      <c r="Y9" s="67">
        <f ca="1">IF(AND(SUMIF(Capacity_Resource,$D9,'Critical resources (hide)'!AL$6:AL$105)+SUMIF(Capacity_Resource,$E9,'Critical resources (hide)'!AL$6:AL$105)+SUMIF(Capacity_Resource,$F9,'Critical resources (hide)'!AL$6:AL$105)&gt;0,$E$1=2),0,1)</f>
        <v>1</v>
      </c>
      <c r="Z9" s="67">
        <f ca="1">IF(AND(SUMIF(Capacity_Resource,$D9,'Critical resources (hide)'!AM$6:AM$105)+SUMIF(Capacity_Resource,$E9,'Critical resources (hide)'!AM$6:AM$105)+SUMIF(Capacity_Resource,$F9,'Critical resources (hide)'!AM$6:AM$105)&gt;0,$E$1=2),0,1)</f>
        <v>1</v>
      </c>
      <c r="AA9" s="67">
        <f ca="1">IF(AND(SUMIF(Capacity_Resource,$D9,'Critical resources (hide)'!AN$6:AN$105)+SUMIF(Capacity_Resource,$E9,'Critical resources (hide)'!AN$6:AN$105)+SUMIF(Capacity_Resource,$F9,'Critical resources (hide)'!AN$6:AN$105)&gt;0,$E$1=2),0,1)</f>
        <v>1</v>
      </c>
      <c r="AB9" s="67">
        <f ca="1">IF(AND(SUMIF(Capacity_Resource,$D9,'Critical resources (hide)'!AO$6:AO$105)+SUMIF(Capacity_Resource,$E9,'Critical resources (hide)'!AO$6:AO$105)+SUMIF(Capacity_Resource,$F9,'Critical resources (hide)'!AO$6:AO$105)&gt;0,$E$1=2),0,1)</f>
        <v>1</v>
      </c>
      <c r="AC9" s="67">
        <f ca="1">IF(AND(SUMIF(Capacity_Resource,$D9,'Critical resources (hide)'!AP$6:AP$105)+SUMIF(Capacity_Resource,$E9,'Critical resources (hide)'!AP$6:AP$105)+SUMIF(Capacity_Resource,$F9,'Critical resources (hide)'!AP$6:AP$105)&gt;0,$E$1=2),0,1)</f>
        <v>1</v>
      </c>
      <c r="AD9" s="67">
        <f ca="1">IF(AND(SUMIF(Capacity_Resource,$D9,'Critical resources (hide)'!AQ$6:AQ$105)+SUMIF(Capacity_Resource,$E9,'Critical resources (hide)'!AQ$6:AQ$105)+SUMIF(Capacity_Resource,$F9,'Critical resources (hide)'!AQ$6:AQ$105)&gt;0,$E$1=2),0,1)</f>
        <v>1</v>
      </c>
      <c r="AE9" s="67">
        <f ca="1">IF(AND(SUMIF(Capacity_Resource,$D9,'Critical resources (hide)'!AR$6:AR$105)+SUMIF(Capacity_Resource,$E9,'Critical resources (hide)'!AR$6:AR$105)+SUMIF(Capacity_Resource,$F9,'Critical resources (hide)'!AR$6:AR$105)&gt;0,$E$1=2),0,1)</f>
        <v>1</v>
      </c>
      <c r="AF9" s="67">
        <f ca="1">IF(AND(SUMIF(Capacity_Resource,$D9,'Critical resources (hide)'!AS$6:AS$105)+SUMIF(Capacity_Resource,$E9,'Critical resources (hide)'!AS$6:AS$105)+SUMIF(Capacity_Resource,$F9,'Critical resources (hide)'!AS$6:AS$105)&gt;0,$E$1=2),0,1)</f>
        <v>1</v>
      </c>
      <c r="AG9" s="67">
        <f ca="1">IF(AND(SUMIF(Capacity_Resource,$D9,'Critical resources (hide)'!AT$6:AT$105)+SUMIF(Capacity_Resource,$E9,'Critical resources (hide)'!AT$6:AT$105)+SUMIF(Capacity_Resource,$F9,'Critical resources (hide)'!AT$6:AT$105)&gt;0,$E$1=2),0,1)</f>
        <v>1</v>
      </c>
      <c r="AH9" s="67">
        <f ca="1">IF(AND(SUMIF(Capacity_Resource,$D9,'Critical resources (hide)'!AU$6:AU$105)+SUMIF(Capacity_Resource,$E9,'Critical resources (hide)'!AU$6:AU$105)+SUMIF(Capacity_Resource,$F9,'Critical resources (hide)'!AU$6:AU$105)&gt;0,$E$1=2),0,1)</f>
        <v>1</v>
      </c>
      <c r="AI9" s="67">
        <f ca="1">IF(AND(SUMIF(Capacity_Resource,$D9,'Critical resources (hide)'!AV$6:AV$105)+SUMIF(Capacity_Resource,$E9,'Critical resources (hide)'!AV$6:AV$105)+SUMIF(Capacity_Resource,$F9,'Critical resources (hide)'!AV$6:AV$105)&gt;0,$E$1=2),0,1)</f>
        <v>1</v>
      </c>
      <c r="AJ9" s="67">
        <f ca="1">IF(AND(SUMIF(Capacity_Resource,$D9,'Critical resources (hide)'!AW$6:AW$105)+SUMIF(Capacity_Resource,$E9,'Critical resources (hide)'!AW$6:AW$105)+SUMIF(Capacity_Resource,$F9,'Critical resources (hide)'!AW$6:AW$105)&gt;0,$E$1=2),0,1)</f>
        <v>1</v>
      </c>
      <c r="AK9" s="67">
        <f ca="1">IF(AND(SUMIF(Capacity_Resource,$D9,'Critical resources (hide)'!AX$6:AX$105)+SUMIF(Capacity_Resource,$E9,'Critical resources (hide)'!AX$6:AX$105)+SUMIF(Capacity_Resource,$F9,'Critical resources (hide)'!AX$6:AX$105)&gt;0,$E$1=2),0,1)</f>
        <v>1</v>
      </c>
      <c r="AL9" s="67">
        <f ca="1">IF(AND(SUMIF(Capacity_Resource,$D9,'Critical resources (hide)'!AY$6:AY$105)+SUMIF(Capacity_Resource,$E9,'Critical resources (hide)'!AY$6:AY$105)+SUMIF(Capacity_Resource,$F9,'Critical resources (hide)'!AY$6:AY$105)&gt;0,$E$1=2),0,1)</f>
        <v>1</v>
      </c>
      <c r="AM9" s="67">
        <f ca="1">IF(AND(SUMIF(Capacity_Resource,$D9,'Critical resources (hide)'!AZ$6:AZ$105)+SUMIF(Capacity_Resource,$E9,'Critical resources (hide)'!AZ$6:AZ$105)+SUMIF(Capacity_Resource,$F9,'Critical resources (hide)'!AZ$6:AZ$105)&gt;0,$E$1=2),0,1)</f>
        <v>1</v>
      </c>
      <c r="AN9" s="67">
        <f ca="1">IF(AND(SUMIF(Capacity_Resource,$D9,'Critical resources (hide)'!BA$6:BA$105)+SUMIF(Capacity_Resource,$E9,'Critical resources (hide)'!BA$6:BA$105)+SUMIF(Capacity_Resource,$F9,'Critical resources (hide)'!BA$6:BA$105)&gt;0,$E$1=2),0,1)</f>
        <v>1</v>
      </c>
      <c r="AO9" s="67">
        <f ca="1">IF(AND(SUMIF(Capacity_Resource,$D9,'Critical resources (hide)'!BB$6:BB$105)+SUMIF(Capacity_Resource,$E9,'Critical resources (hide)'!BB$6:BB$105)+SUMIF(Capacity_Resource,$F9,'Critical resources (hide)'!BB$6:BB$105)&gt;0,$E$1=2),0,1)</f>
        <v>1</v>
      </c>
      <c r="AP9" s="67">
        <f ca="1">IF(AND(SUMIF(Capacity_Resource,$D9,'Critical resources (hide)'!BC$6:BC$105)+SUMIF(Capacity_Resource,$E9,'Critical resources (hide)'!BC$6:BC$105)+SUMIF(Capacity_Resource,$F9,'Critical resources (hide)'!BC$6:BC$105)&gt;0,$E$1=2),0,1)</f>
        <v>1</v>
      </c>
      <c r="AQ9" s="67">
        <f ca="1">IF(AND(SUMIF(Capacity_Resource,$D9,'Critical resources (hide)'!BD$6:BD$105)+SUMIF(Capacity_Resource,$E9,'Critical resources (hide)'!BD$6:BD$105)+SUMIF(Capacity_Resource,$F9,'Critical resources (hide)'!BD$6:BD$105)&gt;0,$E$1=2),0,1)</f>
        <v>1</v>
      </c>
      <c r="AR9" s="67">
        <f ca="1">IF(AND(SUMIF(Capacity_Resource,$D9,'Critical resources (hide)'!BE$6:BE$105)+SUMIF(Capacity_Resource,$E9,'Critical resources (hide)'!BE$6:BE$105)+SUMIF(Capacity_Resource,$F9,'Critical resources (hide)'!BE$6:BE$105)&gt;0,$E$1=2),0,1)</f>
        <v>1</v>
      </c>
      <c r="AS9" s="67">
        <f ca="1">IF(AND(SUMIF(Capacity_Resource,$D9,'Critical resources (hide)'!BF$6:BF$105)+SUMIF(Capacity_Resource,$E9,'Critical resources (hide)'!BF$6:BF$105)+SUMIF(Capacity_Resource,$F9,'Critical resources (hide)'!BF$6:BF$105)&gt;0,$E$1=2),0,1)</f>
        <v>1</v>
      </c>
      <c r="AT9" s="67">
        <f ca="1">IF(AND(SUMIF(Capacity_Resource,$D9,'Critical resources (hide)'!BG$6:BG$105)+SUMIF(Capacity_Resource,$E9,'Critical resources (hide)'!BG$6:BG$105)+SUMIF(Capacity_Resource,$F9,'Critical resources (hide)'!BG$6:BG$105)&gt;0,$E$1=2),0,1)</f>
        <v>1</v>
      </c>
      <c r="AU9" s="67">
        <f ca="1">IF(AND(SUMIF(Capacity_Resource,$D9,'Critical resources (hide)'!BH$6:BH$105)+SUMIF(Capacity_Resource,$E9,'Critical resources (hide)'!BH$6:BH$105)+SUMIF(Capacity_Resource,$F9,'Critical resources (hide)'!BH$6:BH$105)&gt;0,$E$1=2),0,1)</f>
        <v>1</v>
      </c>
      <c r="AV9" s="67">
        <f ca="1">IF(AND(SUMIF(Capacity_Resource,$D9,'Critical resources (hide)'!BI$6:BI$105)+SUMIF(Capacity_Resource,$E9,'Critical resources (hide)'!BI$6:BI$105)+SUMIF(Capacity_Resource,$F9,'Critical resources (hide)'!BI$6:BI$105)&gt;0,$E$1=2),0,1)</f>
        <v>1</v>
      </c>
      <c r="AW9" s="67">
        <f ca="1">IF(AND(SUMIF(Capacity_Resource,$D9,'Critical resources (hide)'!BJ$6:BJ$105)+SUMIF(Capacity_Resource,$E9,'Critical resources (hide)'!BJ$6:BJ$105)+SUMIF(Capacity_Resource,$F9,'Critical resources (hide)'!BJ$6:BJ$105)&gt;0,$E$1=2),0,1)</f>
        <v>1</v>
      </c>
      <c r="AX9" s="67">
        <f ca="1">IF(AND(SUMIF(Capacity_Resource,$D9,'Critical resources (hide)'!BK$6:BK$105)+SUMIF(Capacity_Resource,$E9,'Critical resources (hide)'!BK$6:BK$105)+SUMIF(Capacity_Resource,$F9,'Critical resources (hide)'!BK$6:BK$105)&gt;0,$E$1=2),0,1)</f>
        <v>1</v>
      </c>
      <c r="AY9" s="67">
        <f ca="1">IF(AND(SUMIF(Capacity_Resource,$D9,'Critical resources (hide)'!BL$6:BL$105)+SUMIF(Capacity_Resource,$E9,'Critical resources (hide)'!BL$6:BL$105)+SUMIF(Capacity_Resource,$F9,'Critical resources (hide)'!BL$6:BL$105)&gt;0,$E$1=2),0,1)</f>
        <v>1</v>
      </c>
      <c r="AZ9" s="67">
        <f ca="1">IF(AND(SUMIF(Capacity_Resource,$D9,'Critical resources (hide)'!BM$6:BM$105)+SUMIF(Capacity_Resource,$E9,'Critical resources (hide)'!BM$6:BM$105)+SUMIF(Capacity_Resource,$F9,'Critical resources (hide)'!BM$6:BM$105)&gt;0,$E$1=2),0,1)</f>
        <v>1</v>
      </c>
      <c r="BA9" s="67">
        <f ca="1">IF(AND(SUMIF(Capacity_Resource,$D9,'Critical resources (hide)'!BN$6:BN$105)+SUMIF(Capacity_Resource,$E9,'Critical resources (hide)'!BN$6:BN$105)+SUMIF(Capacity_Resource,$F9,'Critical resources (hide)'!BN$6:BN$105)&gt;0,$E$1=2),0,1)</f>
        <v>1</v>
      </c>
      <c r="BB9" s="67">
        <f ca="1">IF(AND(SUMIF(Capacity_Resource,$D9,'Critical resources (hide)'!BO$6:BO$105)+SUMIF(Capacity_Resource,$E9,'Critical resources (hide)'!BO$6:BO$105)+SUMIF(Capacity_Resource,$F9,'Critical resources (hide)'!BO$6:BO$105)&gt;0,$E$1=2),0,1)</f>
        <v>1</v>
      </c>
      <c r="BC9" s="67">
        <f ca="1">IF(AND(SUMIF(Capacity_Resource,$D9,'Critical resources (hide)'!BP$6:BP$105)+SUMIF(Capacity_Resource,$E9,'Critical resources (hide)'!BP$6:BP$105)+SUMIF(Capacity_Resource,$F9,'Critical resources (hide)'!BP$6:BP$105)&gt;0,$E$1=2),0,1)</f>
        <v>1</v>
      </c>
      <c r="BD9" s="67">
        <f ca="1">IF(AND(SUMIF(Capacity_Resource,$D9,'Critical resources (hide)'!BQ$6:BQ$105)+SUMIF(Capacity_Resource,$E9,'Critical resources (hide)'!BQ$6:BQ$105)+SUMIF(Capacity_Resource,$F9,'Critical resources (hide)'!BQ$6:BQ$105)&gt;0,$E$1=2),0,1)</f>
        <v>1</v>
      </c>
      <c r="BE9" s="67">
        <f ca="1">IF(AND(SUMIF(Capacity_Resource,$D9,'Critical resources (hide)'!BR$6:BR$105)+SUMIF(Capacity_Resource,$E9,'Critical resources (hide)'!BR$6:BR$105)+SUMIF(Capacity_Resource,$F9,'Critical resources (hide)'!BR$6:BR$105)&gt;0,$E$1=2),0,1)</f>
        <v>1</v>
      </c>
      <c r="BF9" s="67">
        <f ca="1">IF(AND(SUMIF(Capacity_Resource,$D9,'Critical resources (hide)'!BS$6:BS$105)+SUMIF(Capacity_Resource,$E9,'Critical resources (hide)'!BS$6:BS$105)+SUMIF(Capacity_Resource,$F9,'Critical resources (hide)'!BS$6:BS$105)&gt;0,$E$1=2),0,1)</f>
        <v>1</v>
      </c>
      <c r="BG9" s="67">
        <f ca="1">IF(AND(SUMIF(Capacity_Resource,$D9,'Critical resources (hide)'!BT$6:BT$105)+SUMIF(Capacity_Resource,$E9,'Critical resources (hide)'!BT$6:BT$105)+SUMIF(Capacity_Resource,$F9,'Critical resources (hide)'!BT$6:BT$105)&gt;0,$E$1=2),0,1)</f>
        <v>1</v>
      </c>
      <c r="BH9" s="67">
        <f>IF(ROW(C5)&lt;=Capacity!$A$16,IF('Capacity summary'!$D$14="No",SUM(H9:BG9),'Capacity summary'!$E128),0)</f>
        <v>0</v>
      </c>
      <c r="BI9" s="5" t="str">
        <f>IF(BH9&gt;0,IF(BH9&lt;Capacity!E21,Capacity!F21,Capacity!H21/'Capacity calculation (hide)'!BH9),"")</f>
        <v/>
      </c>
      <c r="BK9" s="313">
        <f>IF($BI9&lt;&gt;"",IF('Capacity summary'!$D$14="Yes",IF(COUNTBLANK('Capacity summary'!$H128:$BG128)&lt;52,IF('Capacity summary'!H128&lt;&gt;"",IF(LOWER('Capacity summary'!H128)="x",$BI9*H9,VALUE('Capacity summary'!H128)),0),H9*$BI9),H9*$BI9),0)</f>
        <v>0</v>
      </c>
      <c r="BL9" s="313">
        <f>IF($BI9&lt;&gt;"",IF('Capacity summary'!$D$14="Yes",IF(COUNTBLANK('Capacity summary'!$H128:$BG128)&lt;52,IF('Capacity summary'!I128&lt;&gt;"",IF(LOWER('Capacity summary'!I128)="x",$BI9*I9,VALUE('Capacity summary'!I128)),0),I9*$BI9),I9*$BI9),0)</f>
        <v>0</v>
      </c>
      <c r="BM9" s="313">
        <f>IF($BI9&lt;&gt;"",IF('Capacity summary'!$D$14="Yes",IF(COUNTBLANK('Capacity summary'!$H128:$BG128)&lt;52,IF('Capacity summary'!J128&lt;&gt;"",IF(LOWER('Capacity summary'!J128)="x",$BI9*J9,VALUE('Capacity summary'!J128)),0),J9*$BI9),J9*$BI9),0)</f>
        <v>0</v>
      </c>
      <c r="BN9" s="313">
        <f>IF($BI9&lt;&gt;"",IF('Capacity summary'!$D$14="Yes",IF(COUNTBLANK('Capacity summary'!$H128:$BG128)&lt;52,IF('Capacity summary'!K128&lt;&gt;"",IF(LOWER('Capacity summary'!K128)="x",$BI9*K9,VALUE('Capacity summary'!K128)),0),K9*$BI9),K9*$BI9),0)</f>
        <v>0</v>
      </c>
      <c r="BO9" s="313">
        <f>IF($BI9&lt;&gt;"",IF('Capacity summary'!$D$14="Yes",IF(COUNTBLANK('Capacity summary'!$H128:$BG128)&lt;52,IF('Capacity summary'!L128&lt;&gt;"",IF(LOWER('Capacity summary'!L128)="x",$BI9*L9,VALUE('Capacity summary'!L128)),0),L9*$BI9),L9*$BI9),0)</f>
        <v>0</v>
      </c>
      <c r="BP9" s="313">
        <f>IF($BI9&lt;&gt;"",IF('Capacity summary'!$D$14="Yes",IF(COUNTBLANK('Capacity summary'!$H128:$BG128)&lt;52,IF('Capacity summary'!M128&lt;&gt;"",IF(LOWER('Capacity summary'!M128)="x",$BI9*M9,VALUE('Capacity summary'!M128)),0),M9*$BI9),M9*$BI9),0)</f>
        <v>0</v>
      </c>
      <c r="BQ9" s="313">
        <f>IF($BI9&lt;&gt;"",IF('Capacity summary'!$D$14="Yes",IF(COUNTBLANK('Capacity summary'!$H128:$BG128)&lt;52,IF('Capacity summary'!N128&lt;&gt;"",IF(LOWER('Capacity summary'!N128)="x",$BI9*N9,VALUE('Capacity summary'!N128)),0),N9*$BI9),N9*$BI9),0)</f>
        <v>0</v>
      </c>
      <c r="BR9" s="313">
        <f>IF($BI9&lt;&gt;"",IF('Capacity summary'!$D$14="Yes",IF(COUNTBLANK('Capacity summary'!$H128:$BG128)&lt;52,IF('Capacity summary'!O128&lt;&gt;"",IF(LOWER('Capacity summary'!O128)="x",$BI9*O9,VALUE('Capacity summary'!O128)),0),O9*$BI9),O9*$BI9),0)</f>
        <v>0</v>
      </c>
      <c r="BS9" s="313">
        <f>IF($BI9&lt;&gt;"",IF('Capacity summary'!$D$14="Yes",IF(COUNTBLANK('Capacity summary'!$H128:$BG128)&lt;52,IF('Capacity summary'!P128&lt;&gt;"",IF(LOWER('Capacity summary'!P128)="x",$BI9*P9,VALUE('Capacity summary'!P128)),0),P9*$BI9),P9*$BI9),0)</f>
        <v>0</v>
      </c>
      <c r="BT9" s="313">
        <f>IF($BI9&lt;&gt;"",IF('Capacity summary'!$D$14="Yes",IF(COUNTBLANK('Capacity summary'!$H128:$BG128)&lt;52,IF('Capacity summary'!Q128&lt;&gt;"",IF(LOWER('Capacity summary'!Q128)="x",$BI9*Q9,VALUE('Capacity summary'!Q128)),0),Q9*$BI9),Q9*$BI9),0)</f>
        <v>0</v>
      </c>
      <c r="BU9" s="313">
        <f>IF($BI9&lt;&gt;"",IF('Capacity summary'!$D$14="Yes",IF(COUNTBLANK('Capacity summary'!$H128:$BG128)&lt;52,IF('Capacity summary'!R128&lt;&gt;"",IF(LOWER('Capacity summary'!R128)="x",$BI9*R9,VALUE('Capacity summary'!R128)),0),R9*$BI9),R9*$BI9),0)</f>
        <v>0</v>
      </c>
      <c r="BV9" s="313">
        <f>IF($BI9&lt;&gt;"",IF('Capacity summary'!$D$14="Yes",IF(COUNTBLANK('Capacity summary'!$H128:$BG128)&lt;52,IF('Capacity summary'!S128&lt;&gt;"",IF(LOWER('Capacity summary'!S128)="x",$BI9*S9,VALUE('Capacity summary'!S128)),0),S9*$BI9),S9*$BI9),0)</f>
        <v>0</v>
      </c>
      <c r="BW9" s="313">
        <f>IF($BI9&lt;&gt;"",IF('Capacity summary'!$D$14="Yes",IF(COUNTBLANK('Capacity summary'!$H128:$BG128)&lt;52,IF('Capacity summary'!T128&lt;&gt;"",IF(LOWER('Capacity summary'!T128)="x",$BI9*T9,VALUE('Capacity summary'!T128)),0),T9*$BI9),T9*$BI9),0)</f>
        <v>0</v>
      </c>
      <c r="BX9" s="313">
        <f>IF($BI9&lt;&gt;"",IF('Capacity summary'!$D$14="Yes",IF(COUNTBLANK('Capacity summary'!$H128:$BG128)&lt;52,IF('Capacity summary'!U128&lt;&gt;"",IF(LOWER('Capacity summary'!U128)="x",$BI9*U9,VALUE('Capacity summary'!U128)),0),U9*$BI9),U9*$BI9),0)</f>
        <v>0</v>
      </c>
      <c r="BY9" s="313">
        <f>IF($BI9&lt;&gt;"",IF('Capacity summary'!$D$14="Yes",IF(COUNTBLANK('Capacity summary'!$H128:$BG128)&lt;52,IF('Capacity summary'!V128&lt;&gt;"",IF(LOWER('Capacity summary'!V128)="x",$BI9*V9,VALUE('Capacity summary'!V128)),0),V9*$BI9),V9*$BI9),0)</f>
        <v>0</v>
      </c>
      <c r="BZ9" s="313">
        <f>IF($BI9&lt;&gt;"",IF('Capacity summary'!$D$14="Yes",IF(COUNTBLANK('Capacity summary'!$H128:$BG128)&lt;52,IF('Capacity summary'!W128&lt;&gt;"",IF(LOWER('Capacity summary'!W128)="x",$BI9*W9,VALUE('Capacity summary'!W128)),0),W9*$BI9),W9*$BI9),0)</f>
        <v>0</v>
      </c>
      <c r="CA9" s="313">
        <f>IF($BI9&lt;&gt;"",IF('Capacity summary'!$D$14="Yes",IF(COUNTBLANK('Capacity summary'!$H128:$BG128)&lt;52,IF('Capacity summary'!X128&lt;&gt;"",IF(LOWER('Capacity summary'!X128)="x",$BI9*X9,VALUE('Capacity summary'!X128)),0),X9*$BI9),X9*$BI9),0)</f>
        <v>0</v>
      </c>
      <c r="CB9" s="313">
        <f>IF($BI9&lt;&gt;"",IF('Capacity summary'!$D$14="Yes",IF(COUNTBLANK('Capacity summary'!$H128:$BG128)&lt;52,IF('Capacity summary'!Y128&lt;&gt;"",IF(LOWER('Capacity summary'!Y128)="x",$BI9*Y9,VALUE('Capacity summary'!Y128)),0),Y9*$BI9),Y9*$BI9),0)</f>
        <v>0</v>
      </c>
      <c r="CC9" s="313">
        <f>IF($BI9&lt;&gt;"",IF('Capacity summary'!$D$14="Yes",IF(COUNTBLANK('Capacity summary'!$H128:$BG128)&lt;52,IF('Capacity summary'!Z128&lt;&gt;"",IF(LOWER('Capacity summary'!Z128)="x",$BI9*Z9,VALUE('Capacity summary'!Z128)),0),Z9*$BI9),Z9*$BI9),0)</f>
        <v>0</v>
      </c>
      <c r="CD9" s="313">
        <f>IF($BI9&lt;&gt;"",IF('Capacity summary'!$D$14="Yes",IF(COUNTBLANK('Capacity summary'!$H128:$BG128)&lt;52,IF('Capacity summary'!AA128&lt;&gt;"",IF(LOWER('Capacity summary'!AA128)="x",$BI9*AA9,VALUE('Capacity summary'!AA128)),0),AA9*$BI9),AA9*$BI9),0)</f>
        <v>0</v>
      </c>
      <c r="CE9" s="313">
        <f>IF($BI9&lt;&gt;"",IF('Capacity summary'!$D$14="Yes",IF(COUNTBLANK('Capacity summary'!$H128:$BG128)&lt;52,IF('Capacity summary'!AB128&lt;&gt;"",IF(LOWER('Capacity summary'!AB128)="x",$BI9*AB9,VALUE('Capacity summary'!AB128)),0),AB9*$BI9),AB9*$BI9),0)</f>
        <v>0</v>
      </c>
      <c r="CF9" s="313">
        <f>IF($BI9&lt;&gt;"",IF('Capacity summary'!$D$14="Yes",IF(COUNTBLANK('Capacity summary'!$H128:$BG128)&lt;52,IF('Capacity summary'!AC128&lt;&gt;"",IF(LOWER('Capacity summary'!AC128)="x",$BI9*AC9,VALUE('Capacity summary'!AC128)),0),AC9*$BI9),AC9*$BI9),0)</f>
        <v>0</v>
      </c>
      <c r="CG9" s="313">
        <f>IF($BI9&lt;&gt;"",IF('Capacity summary'!$D$14="Yes",IF(COUNTBLANK('Capacity summary'!$H128:$BG128)&lt;52,IF('Capacity summary'!AD128&lt;&gt;"",IF(LOWER('Capacity summary'!AD128)="x",$BI9*AD9,VALUE('Capacity summary'!AD128)),0),AD9*$BI9),AD9*$BI9),0)</f>
        <v>0</v>
      </c>
      <c r="CH9" s="313">
        <f>IF($BI9&lt;&gt;"",IF('Capacity summary'!$D$14="Yes",IF(COUNTBLANK('Capacity summary'!$H128:$BG128)&lt;52,IF('Capacity summary'!AE128&lt;&gt;"",IF(LOWER('Capacity summary'!AE128)="x",$BI9*AE9,VALUE('Capacity summary'!AE128)),0),AE9*$BI9),AE9*$BI9),0)</f>
        <v>0</v>
      </c>
      <c r="CI9" s="313">
        <f>IF($BI9&lt;&gt;"",IF('Capacity summary'!$D$14="Yes",IF(COUNTBLANK('Capacity summary'!$H128:$BG128)&lt;52,IF('Capacity summary'!AF128&lt;&gt;"",IF(LOWER('Capacity summary'!AF128)="x",$BI9*AF9,VALUE('Capacity summary'!AF128)),0),AF9*$BI9),AF9*$BI9),0)</f>
        <v>0</v>
      </c>
      <c r="CJ9" s="313">
        <f>IF($BI9&lt;&gt;"",IF('Capacity summary'!$D$14="Yes",IF(COUNTBLANK('Capacity summary'!$H128:$BG128)&lt;52,IF('Capacity summary'!AG128&lt;&gt;"",IF(LOWER('Capacity summary'!AG128)="x",$BI9*AG9,VALUE('Capacity summary'!AG128)),0),AG9*$BI9),AG9*$BI9),0)</f>
        <v>0</v>
      </c>
      <c r="CK9" s="313">
        <f>IF($BI9&lt;&gt;"",IF('Capacity summary'!$D$14="Yes",IF(COUNTBLANK('Capacity summary'!$H128:$BG128)&lt;52,IF('Capacity summary'!AH128&lt;&gt;"",IF(LOWER('Capacity summary'!AH128)="x",$BI9*AH9,VALUE('Capacity summary'!AH128)),0),AH9*$BI9),AH9*$BI9),0)</f>
        <v>0</v>
      </c>
      <c r="CL9" s="313">
        <f>IF($BI9&lt;&gt;"",IF('Capacity summary'!$D$14="Yes",IF(COUNTBLANK('Capacity summary'!$H128:$BG128)&lt;52,IF('Capacity summary'!AI128&lt;&gt;"",IF(LOWER('Capacity summary'!AI128)="x",$BI9*AI9,VALUE('Capacity summary'!AI128)),0),AI9*$BI9),AI9*$BI9),0)</f>
        <v>0</v>
      </c>
      <c r="CM9" s="313">
        <f>IF($BI9&lt;&gt;"",IF('Capacity summary'!$D$14="Yes",IF(COUNTBLANK('Capacity summary'!$H128:$BG128)&lt;52,IF('Capacity summary'!AJ128&lt;&gt;"",IF(LOWER('Capacity summary'!AJ128)="x",$BI9*AJ9,VALUE('Capacity summary'!AJ128)),0),AJ9*$BI9),AJ9*$BI9),0)</f>
        <v>0</v>
      </c>
      <c r="CN9" s="313">
        <f>IF($BI9&lt;&gt;"",IF('Capacity summary'!$D$14="Yes",IF(COUNTBLANK('Capacity summary'!$H128:$BG128)&lt;52,IF('Capacity summary'!AK128&lt;&gt;"",IF(LOWER('Capacity summary'!AK128)="x",$BI9*AK9,VALUE('Capacity summary'!AK128)),0),AK9*$BI9),AK9*$BI9),0)</f>
        <v>0</v>
      </c>
      <c r="CO9" s="313">
        <f>IF($BI9&lt;&gt;"",IF('Capacity summary'!$D$14="Yes",IF(COUNTBLANK('Capacity summary'!$H128:$BG128)&lt;52,IF('Capacity summary'!AL128&lt;&gt;"",IF(LOWER('Capacity summary'!AL128)="x",$BI9*AL9,VALUE('Capacity summary'!AL128)),0),AL9*$BI9),AL9*$BI9),0)</f>
        <v>0</v>
      </c>
      <c r="CP9" s="313">
        <f>IF($BI9&lt;&gt;"",IF('Capacity summary'!$D$14="Yes",IF(COUNTBLANK('Capacity summary'!$H128:$BG128)&lt;52,IF('Capacity summary'!AM128&lt;&gt;"",IF(LOWER('Capacity summary'!AM128)="x",$BI9*AM9,VALUE('Capacity summary'!AM128)),0),AM9*$BI9),AM9*$BI9),0)</f>
        <v>0</v>
      </c>
      <c r="CQ9" s="313">
        <f>IF($BI9&lt;&gt;"",IF('Capacity summary'!$D$14="Yes",IF(COUNTBLANK('Capacity summary'!$H128:$BG128)&lt;52,IF('Capacity summary'!AN128&lt;&gt;"",IF(LOWER('Capacity summary'!AN128)="x",$BI9*AN9,VALUE('Capacity summary'!AN128)),0),AN9*$BI9),AN9*$BI9),0)</f>
        <v>0</v>
      </c>
      <c r="CR9" s="313">
        <f>IF($BI9&lt;&gt;"",IF('Capacity summary'!$D$14="Yes",IF(COUNTBLANK('Capacity summary'!$H128:$BG128)&lt;52,IF('Capacity summary'!AO128&lt;&gt;"",IF(LOWER('Capacity summary'!AO128)="x",$BI9*AO9,VALUE('Capacity summary'!AO128)),0),AO9*$BI9),AO9*$BI9),0)</f>
        <v>0</v>
      </c>
      <c r="CS9" s="313">
        <f>IF($BI9&lt;&gt;"",IF('Capacity summary'!$D$14="Yes",IF(COUNTBLANK('Capacity summary'!$H128:$BG128)&lt;52,IF('Capacity summary'!AP128&lt;&gt;"",IF(LOWER('Capacity summary'!AP128)="x",$BI9*AP9,VALUE('Capacity summary'!AP128)),0),AP9*$BI9),AP9*$BI9),0)</f>
        <v>0</v>
      </c>
      <c r="CT9" s="313">
        <f>IF($BI9&lt;&gt;"",IF('Capacity summary'!$D$14="Yes",IF(COUNTBLANK('Capacity summary'!$H128:$BG128)&lt;52,IF('Capacity summary'!AQ128&lt;&gt;"",IF(LOWER('Capacity summary'!AQ128)="x",$BI9*AQ9,VALUE('Capacity summary'!AQ128)),0),AQ9*$BI9),AQ9*$BI9),0)</f>
        <v>0</v>
      </c>
      <c r="CU9" s="313">
        <f>IF($BI9&lt;&gt;"",IF('Capacity summary'!$D$14="Yes",IF(COUNTBLANK('Capacity summary'!$H128:$BG128)&lt;52,IF('Capacity summary'!AR128&lt;&gt;"",IF(LOWER('Capacity summary'!AR128)="x",$BI9*AR9,VALUE('Capacity summary'!AR128)),0),AR9*$BI9),AR9*$BI9),0)</f>
        <v>0</v>
      </c>
      <c r="CV9" s="313">
        <f>IF($BI9&lt;&gt;"",IF('Capacity summary'!$D$14="Yes",IF(COUNTBLANK('Capacity summary'!$H128:$BG128)&lt;52,IF('Capacity summary'!AS128&lt;&gt;"",IF(LOWER('Capacity summary'!AS128)="x",$BI9*AS9,VALUE('Capacity summary'!AS128)),0),AS9*$BI9),AS9*$BI9),0)</f>
        <v>0</v>
      </c>
      <c r="CW9" s="313">
        <f>IF($BI9&lt;&gt;"",IF('Capacity summary'!$D$14="Yes",IF(COUNTBLANK('Capacity summary'!$H128:$BG128)&lt;52,IF('Capacity summary'!AT128&lt;&gt;"",IF(LOWER('Capacity summary'!AT128)="x",$BI9*AT9,VALUE('Capacity summary'!AT128)),0),AT9*$BI9),AT9*$BI9),0)</f>
        <v>0</v>
      </c>
      <c r="CX9" s="313">
        <f>IF($BI9&lt;&gt;"",IF('Capacity summary'!$D$14="Yes",IF(COUNTBLANK('Capacity summary'!$H128:$BG128)&lt;52,IF('Capacity summary'!AU128&lt;&gt;"",IF(LOWER('Capacity summary'!AU128)="x",$BI9*AU9,VALUE('Capacity summary'!AU128)),0),AU9*$BI9),AU9*$BI9),0)</f>
        <v>0</v>
      </c>
      <c r="CY9" s="313">
        <f>IF($BI9&lt;&gt;"",IF('Capacity summary'!$D$14="Yes",IF(COUNTBLANK('Capacity summary'!$H128:$BG128)&lt;52,IF('Capacity summary'!AV128&lt;&gt;"",IF(LOWER('Capacity summary'!AV128)="x",$BI9*AV9,VALUE('Capacity summary'!AV128)),0),AV9*$BI9),AV9*$BI9),0)</f>
        <v>0</v>
      </c>
      <c r="CZ9" s="313">
        <f>IF($BI9&lt;&gt;"",IF('Capacity summary'!$D$14="Yes",IF(COUNTBLANK('Capacity summary'!$H128:$BG128)&lt;52,IF('Capacity summary'!AW128&lt;&gt;"",IF(LOWER('Capacity summary'!AW128)="x",$BI9*AW9,VALUE('Capacity summary'!AW128)),0),AW9*$BI9),AW9*$BI9),0)</f>
        <v>0</v>
      </c>
      <c r="DA9" s="313">
        <f>IF($BI9&lt;&gt;"",IF('Capacity summary'!$D$14="Yes",IF(COUNTBLANK('Capacity summary'!$H128:$BG128)&lt;52,IF('Capacity summary'!AX128&lt;&gt;"",IF(LOWER('Capacity summary'!AX128)="x",$BI9*AX9,VALUE('Capacity summary'!AX128)),0),AX9*$BI9),AX9*$BI9),0)</f>
        <v>0</v>
      </c>
      <c r="DB9" s="313">
        <f>IF($BI9&lt;&gt;"",IF('Capacity summary'!$D$14="Yes",IF(COUNTBLANK('Capacity summary'!$H128:$BG128)&lt;52,IF('Capacity summary'!AY128&lt;&gt;"",IF(LOWER('Capacity summary'!AY128)="x",$BI9*AY9,VALUE('Capacity summary'!AY128)),0),AY9*$BI9),AY9*$BI9),0)</f>
        <v>0</v>
      </c>
      <c r="DC9" s="313">
        <f>IF($BI9&lt;&gt;"",IF('Capacity summary'!$D$14="Yes",IF(COUNTBLANK('Capacity summary'!$H128:$BG128)&lt;52,IF('Capacity summary'!AZ128&lt;&gt;"",IF(LOWER('Capacity summary'!AZ128)="x",$BI9*AZ9,VALUE('Capacity summary'!AZ128)),0),AZ9*$BI9),AZ9*$BI9),0)</f>
        <v>0</v>
      </c>
      <c r="DD9" s="313">
        <f>IF($BI9&lt;&gt;"",IF('Capacity summary'!$D$14="Yes",IF(COUNTBLANK('Capacity summary'!$H128:$BG128)&lt;52,IF('Capacity summary'!BA128&lt;&gt;"",IF(LOWER('Capacity summary'!BA128)="x",$BI9*BA9,VALUE('Capacity summary'!BA128)),0),BA9*$BI9),BA9*$BI9),0)</f>
        <v>0</v>
      </c>
      <c r="DE9" s="313">
        <f>IF($BI9&lt;&gt;"",IF('Capacity summary'!$D$14="Yes",IF(COUNTBLANK('Capacity summary'!$H128:$BG128)&lt;52,IF('Capacity summary'!BB128&lt;&gt;"",IF(LOWER('Capacity summary'!BB128)="x",$BI9*BB9,VALUE('Capacity summary'!BB128)),0),BB9*$BI9),BB9*$BI9),0)</f>
        <v>0</v>
      </c>
      <c r="DF9" s="313">
        <f>IF($BI9&lt;&gt;"",IF('Capacity summary'!$D$14="Yes",IF(COUNTBLANK('Capacity summary'!$H128:$BG128)&lt;52,IF('Capacity summary'!BC128&lt;&gt;"",IF(LOWER('Capacity summary'!BC128)="x",$BI9*BC9,VALUE('Capacity summary'!BC128)),0),BC9*$BI9),BC9*$BI9),0)</f>
        <v>0</v>
      </c>
      <c r="DG9" s="313">
        <f>IF($BI9&lt;&gt;"",IF('Capacity summary'!$D$14="Yes",IF(COUNTBLANK('Capacity summary'!$H128:$BG128)&lt;52,IF('Capacity summary'!BD128&lt;&gt;"",IF(LOWER('Capacity summary'!BD128)="x",$BI9*BD9,VALUE('Capacity summary'!BD128)),0),BD9*$BI9),BD9*$BI9),0)</f>
        <v>0</v>
      </c>
      <c r="DH9" s="313">
        <f>IF($BI9&lt;&gt;"",IF('Capacity summary'!$D$14="Yes",IF(COUNTBLANK('Capacity summary'!$H128:$BG128)&lt;52,IF('Capacity summary'!BE128&lt;&gt;"",IF(LOWER('Capacity summary'!BE128)="x",$BI9*BE9,VALUE('Capacity summary'!BE128)),0),BE9*$BI9),BE9*$BI9),0)</f>
        <v>0</v>
      </c>
      <c r="DI9" s="313">
        <f>IF($BI9&lt;&gt;"",IF('Capacity summary'!$D$14="Yes",IF(COUNTBLANK('Capacity summary'!$H128:$BG128)&lt;52,IF('Capacity summary'!BF128&lt;&gt;"",IF(LOWER('Capacity summary'!BF128)="x",$BI9*BF9,VALUE('Capacity summary'!BF128)),0),BF9*$BI9),BF9*$BI9),0)</f>
        <v>0</v>
      </c>
      <c r="DJ9" s="313">
        <f>IF($BI9&lt;&gt;"",IF('Capacity summary'!$D$14="Yes",IF(COUNTBLANK('Capacity summary'!$H128:$BG128)&lt;52,IF('Capacity summary'!BG128&lt;&gt;"",IF(LOWER('Capacity summary'!BG128)="x",$BI9*BG9,VALUE('Capacity summary'!BG128)),0),BG9*$BI9),BG9*$BI9),0)</f>
        <v>0</v>
      </c>
      <c r="DK9" s="137">
        <f t="shared" si="2"/>
        <v>0</v>
      </c>
      <c r="DL9" s="313" t="str">
        <f>Capacity!H21</f>
        <v/>
      </c>
      <c r="DP9" s="5"/>
    </row>
    <row r="10" spans="2:120" x14ac:dyDescent="0.25">
      <c r="B10" s="67"/>
      <c r="C10" s="67" t="str">
        <f>ROW(A6)&amp;". "&amp;Capacity!B22</f>
        <v xml:space="preserve">6. </v>
      </c>
      <c r="D10" s="67">
        <f>'Capacity setup'!C17</f>
        <v>0</v>
      </c>
      <c r="E10" s="67">
        <f>'Capacity setup'!D17</f>
        <v>0</v>
      </c>
      <c r="F10" s="67">
        <f>'Capacity setup'!E17</f>
        <v>0</v>
      </c>
      <c r="H10" s="67">
        <f ca="1">IF(AND(SUMIF(Capacity_Resource,$D10,'Critical resources (hide)'!U$6:U$105)+SUMIF(Capacity_Resource,$E10,'Critical resources (hide)'!U$6:U$105)+SUMIF(Capacity_Resource,$F10,'Critical resources (hide)'!U$6:U$105)&gt;0,$E$1=2),0,1)</f>
        <v>1</v>
      </c>
      <c r="I10" s="67">
        <f ca="1">IF(AND(SUMIF(Capacity_Resource,$D10,'Critical resources (hide)'!V$6:V$105)+SUMIF(Capacity_Resource,$E10,'Critical resources (hide)'!V$6:V$105)+SUMIF(Capacity_Resource,$F10,'Critical resources (hide)'!V$6:V$105)&gt;0,$E$1=2),0,1)</f>
        <v>1</v>
      </c>
      <c r="J10" s="67">
        <f ca="1">IF(AND(SUMIF(Capacity_Resource,$D10,'Critical resources (hide)'!W$6:W$105)+SUMIF(Capacity_Resource,$E10,'Critical resources (hide)'!W$6:W$105)+SUMIF(Capacity_Resource,$F10,'Critical resources (hide)'!W$6:W$105)&gt;0,$E$1=2),0,1)</f>
        <v>1</v>
      </c>
      <c r="K10" s="67">
        <f ca="1">IF(AND(SUMIF(Capacity_Resource,$D10,'Critical resources (hide)'!X$6:X$105)+SUMIF(Capacity_Resource,$E10,'Critical resources (hide)'!X$6:X$105)+SUMIF(Capacity_Resource,$F10,'Critical resources (hide)'!X$6:X$105)&gt;0,$E$1=2),0,1)</f>
        <v>1</v>
      </c>
      <c r="L10" s="67">
        <f ca="1">IF(AND(SUMIF(Capacity_Resource,$D10,'Critical resources (hide)'!Y$6:Y$105)+SUMIF(Capacity_Resource,$E10,'Critical resources (hide)'!Y$6:Y$105)+SUMIF(Capacity_Resource,$F10,'Critical resources (hide)'!Y$6:Y$105)&gt;0,$E$1=2),0,1)</f>
        <v>1</v>
      </c>
      <c r="M10" s="67">
        <f ca="1">IF(AND(SUMIF(Capacity_Resource,$D10,'Critical resources (hide)'!Z$6:Z$105)+SUMIF(Capacity_Resource,$E10,'Critical resources (hide)'!Z$6:Z$105)+SUMIF(Capacity_Resource,$F10,'Critical resources (hide)'!Z$6:Z$105)&gt;0,$E$1=2),0,1)</f>
        <v>1</v>
      </c>
      <c r="N10" s="67">
        <f ca="1">IF(AND(SUMIF(Capacity_Resource,$D10,'Critical resources (hide)'!AA$6:AA$105)+SUMIF(Capacity_Resource,$E10,'Critical resources (hide)'!AA$6:AA$105)+SUMIF(Capacity_Resource,$F10,'Critical resources (hide)'!AA$6:AA$105)&gt;0,$E$1=2),0,1)</f>
        <v>1</v>
      </c>
      <c r="O10" s="67">
        <f ca="1">IF(AND(SUMIF(Capacity_Resource,$D10,'Critical resources (hide)'!AB$6:AB$105)+SUMIF(Capacity_Resource,$E10,'Critical resources (hide)'!AB$6:AB$105)+SUMIF(Capacity_Resource,$F10,'Critical resources (hide)'!AB$6:AB$105)&gt;0,$E$1=2),0,1)</f>
        <v>1</v>
      </c>
      <c r="P10" s="67">
        <f ca="1">IF(AND(SUMIF(Capacity_Resource,$D10,'Critical resources (hide)'!AC$6:AC$105)+SUMIF(Capacity_Resource,$E10,'Critical resources (hide)'!AC$6:AC$105)+SUMIF(Capacity_Resource,$F10,'Critical resources (hide)'!AC$6:AC$105)&gt;0,$E$1=2),0,1)</f>
        <v>1</v>
      </c>
      <c r="Q10" s="67">
        <f ca="1">IF(AND(SUMIF(Capacity_Resource,$D10,'Critical resources (hide)'!AD$6:AD$105)+SUMIF(Capacity_Resource,$E10,'Critical resources (hide)'!AD$6:AD$105)+SUMIF(Capacity_Resource,$F10,'Critical resources (hide)'!AD$6:AD$105)&gt;0,$E$1=2),0,1)</f>
        <v>1</v>
      </c>
      <c r="R10" s="67">
        <f ca="1">IF(AND(SUMIF(Capacity_Resource,$D10,'Critical resources (hide)'!AE$6:AE$105)+SUMIF(Capacity_Resource,$E10,'Critical resources (hide)'!AE$6:AE$105)+SUMIF(Capacity_Resource,$F10,'Critical resources (hide)'!AE$6:AE$105)&gt;0,$E$1=2),0,1)</f>
        <v>1</v>
      </c>
      <c r="S10" s="67">
        <f ca="1">IF(AND(SUMIF(Capacity_Resource,$D10,'Critical resources (hide)'!AF$6:AF$105)+SUMIF(Capacity_Resource,$E10,'Critical resources (hide)'!AF$6:AF$105)+SUMIF(Capacity_Resource,$F10,'Critical resources (hide)'!AF$6:AF$105)&gt;0,$E$1=2),0,1)</f>
        <v>1</v>
      </c>
      <c r="T10" s="67">
        <f ca="1">IF(AND(SUMIF(Capacity_Resource,$D10,'Critical resources (hide)'!AG$6:AG$105)+SUMIF(Capacity_Resource,$E10,'Critical resources (hide)'!AG$6:AG$105)+SUMIF(Capacity_Resource,$F10,'Critical resources (hide)'!AG$6:AG$105)&gt;0,$E$1=2),0,1)</f>
        <v>1</v>
      </c>
      <c r="U10" s="67">
        <f ca="1">IF(AND(SUMIF(Capacity_Resource,$D10,'Critical resources (hide)'!AH$6:AH$105)+SUMIF(Capacity_Resource,$E10,'Critical resources (hide)'!AH$6:AH$105)+SUMIF(Capacity_Resource,$F10,'Critical resources (hide)'!AH$6:AH$105)&gt;0,$E$1=2),0,1)</f>
        <v>1</v>
      </c>
      <c r="V10" s="67">
        <f ca="1">IF(AND(SUMIF(Capacity_Resource,$D10,'Critical resources (hide)'!AI$6:AI$105)+SUMIF(Capacity_Resource,$E10,'Critical resources (hide)'!AI$6:AI$105)+SUMIF(Capacity_Resource,$F10,'Critical resources (hide)'!AI$6:AI$105)&gt;0,$E$1=2),0,1)</f>
        <v>1</v>
      </c>
      <c r="W10" s="67">
        <f ca="1">IF(AND(SUMIF(Capacity_Resource,$D10,'Critical resources (hide)'!AJ$6:AJ$105)+SUMIF(Capacity_Resource,$E10,'Critical resources (hide)'!AJ$6:AJ$105)+SUMIF(Capacity_Resource,$F10,'Critical resources (hide)'!AJ$6:AJ$105)&gt;0,$E$1=2),0,1)</f>
        <v>1</v>
      </c>
      <c r="X10" s="67">
        <f ca="1">IF(AND(SUMIF(Capacity_Resource,$D10,'Critical resources (hide)'!AK$6:AK$105)+SUMIF(Capacity_Resource,$E10,'Critical resources (hide)'!AK$6:AK$105)+SUMIF(Capacity_Resource,$F10,'Critical resources (hide)'!AK$6:AK$105)&gt;0,$E$1=2),0,1)</f>
        <v>1</v>
      </c>
      <c r="Y10" s="67">
        <f ca="1">IF(AND(SUMIF(Capacity_Resource,$D10,'Critical resources (hide)'!AL$6:AL$105)+SUMIF(Capacity_Resource,$E10,'Critical resources (hide)'!AL$6:AL$105)+SUMIF(Capacity_Resource,$F10,'Critical resources (hide)'!AL$6:AL$105)&gt;0,$E$1=2),0,1)</f>
        <v>1</v>
      </c>
      <c r="Z10" s="67">
        <f ca="1">IF(AND(SUMIF(Capacity_Resource,$D10,'Critical resources (hide)'!AM$6:AM$105)+SUMIF(Capacity_Resource,$E10,'Critical resources (hide)'!AM$6:AM$105)+SUMIF(Capacity_Resource,$F10,'Critical resources (hide)'!AM$6:AM$105)&gt;0,$E$1=2),0,1)</f>
        <v>1</v>
      </c>
      <c r="AA10" s="67">
        <f ca="1">IF(AND(SUMIF(Capacity_Resource,$D10,'Critical resources (hide)'!AN$6:AN$105)+SUMIF(Capacity_Resource,$E10,'Critical resources (hide)'!AN$6:AN$105)+SUMIF(Capacity_Resource,$F10,'Critical resources (hide)'!AN$6:AN$105)&gt;0,$E$1=2),0,1)</f>
        <v>1</v>
      </c>
      <c r="AB10" s="67">
        <f ca="1">IF(AND(SUMIF(Capacity_Resource,$D10,'Critical resources (hide)'!AO$6:AO$105)+SUMIF(Capacity_Resource,$E10,'Critical resources (hide)'!AO$6:AO$105)+SUMIF(Capacity_Resource,$F10,'Critical resources (hide)'!AO$6:AO$105)&gt;0,$E$1=2),0,1)</f>
        <v>1</v>
      </c>
      <c r="AC10" s="67">
        <f ca="1">IF(AND(SUMIF(Capacity_Resource,$D10,'Critical resources (hide)'!AP$6:AP$105)+SUMIF(Capacity_Resource,$E10,'Critical resources (hide)'!AP$6:AP$105)+SUMIF(Capacity_Resource,$F10,'Critical resources (hide)'!AP$6:AP$105)&gt;0,$E$1=2),0,1)</f>
        <v>1</v>
      </c>
      <c r="AD10" s="67">
        <f ca="1">IF(AND(SUMIF(Capacity_Resource,$D10,'Critical resources (hide)'!AQ$6:AQ$105)+SUMIF(Capacity_Resource,$E10,'Critical resources (hide)'!AQ$6:AQ$105)+SUMIF(Capacity_Resource,$F10,'Critical resources (hide)'!AQ$6:AQ$105)&gt;0,$E$1=2),0,1)</f>
        <v>1</v>
      </c>
      <c r="AE10" s="67">
        <f ca="1">IF(AND(SUMIF(Capacity_Resource,$D10,'Critical resources (hide)'!AR$6:AR$105)+SUMIF(Capacity_Resource,$E10,'Critical resources (hide)'!AR$6:AR$105)+SUMIF(Capacity_Resource,$F10,'Critical resources (hide)'!AR$6:AR$105)&gt;0,$E$1=2),0,1)</f>
        <v>1</v>
      </c>
      <c r="AF10" s="67">
        <f ca="1">IF(AND(SUMIF(Capacity_Resource,$D10,'Critical resources (hide)'!AS$6:AS$105)+SUMIF(Capacity_Resource,$E10,'Critical resources (hide)'!AS$6:AS$105)+SUMIF(Capacity_Resource,$F10,'Critical resources (hide)'!AS$6:AS$105)&gt;0,$E$1=2),0,1)</f>
        <v>1</v>
      </c>
      <c r="AG10" s="67">
        <f ca="1">IF(AND(SUMIF(Capacity_Resource,$D10,'Critical resources (hide)'!AT$6:AT$105)+SUMIF(Capacity_Resource,$E10,'Critical resources (hide)'!AT$6:AT$105)+SUMIF(Capacity_Resource,$F10,'Critical resources (hide)'!AT$6:AT$105)&gt;0,$E$1=2),0,1)</f>
        <v>1</v>
      </c>
      <c r="AH10" s="67">
        <f ca="1">IF(AND(SUMIF(Capacity_Resource,$D10,'Critical resources (hide)'!AU$6:AU$105)+SUMIF(Capacity_Resource,$E10,'Critical resources (hide)'!AU$6:AU$105)+SUMIF(Capacity_Resource,$F10,'Critical resources (hide)'!AU$6:AU$105)&gt;0,$E$1=2),0,1)</f>
        <v>1</v>
      </c>
      <c r="AI10" s="67">
        <f ca="1">IF(AND(SUMIF(Capacity_Resource,$D10,'Critical resources (hide)'!AV$6:AV$105)+SUMIF(Capacity_Resource,$E10,'Critical resources (hide)'!AV$6:AV$105)+SUMIF(Capacity_Resource,$F10,'Critical resources (hide)'!AV$6:AV$105)&gt;0,$E$1=2),0,1)</f>
        <v>1</v>
      </c>
      <c r="AJ10" s="67">
        <f ca="1">IF(AND(SUMIF(Capacity_Resource,$D10,'Critical resources (hide)'!AW$6:AW$105)+SUMIF(Capacity_Resource,$E10,'Critical resources (hide)'!AW$6:AW$105)+SUMIF(Capacity_Resource,$F10,'Critical resources (hide)'!AW$6:AW$105)&gt;0,$E$1=2),0,1)</f>
        <v>1</v>
      </c>
      <c r="AK10" s="67">
        <f ca="1">IF(AND(SUMIF(Capacity_Resource,$D10,'Critical resources (hide)'!AX$6:AX$105)+SUMIF(Capacity_Resource,$E10,'Critical resources (hide)'!AX$6:AX$105)+SUMIF(Capacity_Resource,$F10,'Critical resources (hide)'!AX$6:AX$105)&gt;0,$E$1=2),0,1)</f>
        <v>1</v>
      </c>
      <c r="AL10" s="67">
        <f ca="1">IF(AND(SUMIF(Capacity_Resource,$D10,'Critical resources (hide)'!AY$6:AY$105)+SUMIF(Capacity_Resource,$E10,'Critical resources (hide)'!AY$6:AY$105)+SUMIF(Capacity_Resource,$F10,'Critical resources (hide)'!AY$6:AY$105)&gt;0,$E$1=2),0,1)</f>
        <v>1</v>
      </c>
      <c r="AM10" s="67">
        <f ca="1">IF(AND(SUMIF(Capacity_Resource,$D10,'Critical resources (hide)'!AZ$6:AZ$105)+SUMIF(Capacity_Resource,$E10,'Critical resources (hide)'!AZ$6:AZ$105)+SUMIF(Capacity_Resource,$F10,'Critical resources (hide)'!AZ$6:AZ$105)&gt;0,$E$1=2),0,1)</f>
        <v>1</v>
      </c>
      <c r="AN10" s="67">
        <f ca="1">IF(AND(SUMIF(Capacity_Resource,$D10,'Critical resources (hide)'!BA$6:BA$105)+SUMIF(Capacity_Resource,$E10,'Critical resources (hide)'!BA$6:BA$105)+SUMIF(Capacity_Resource,$F10,'Critical resources (hide)'!BA$6:BA$105)&gt;0,$E$1=2),0,1)</f>
        <v>1</v>
      </c>
      <c r="AO10" s="67">
        <f ca="1">IF(AND(SUMIF(Capacity_Resource,$D10,'Critical resources (hide)'!BB$6:BB$105)+SUMIF(Capacity_Resource,$E10,'Critical resources (hide)'!BB$6:BB$105)+SUMIF(Capacity_Resource,$F10,'Critical resources (hide)'!BB$6:BB$105)&gt;0,$E$1=2),0,1)</f>
        <v>1</v>
      </c>
      <c r="AP10" s="67">
        <f ca="1">IF(AND(SUMIF(Capacity_Resource,$D10,'Critical resources (hide)'!BC$6:BC$105)+SUMIF(Capacity_Resource,$E10,'Critical resources (hide)'!BC$6:BC$105)+SUMIF(Capacity_Resource,$F10,'Critical resources (hide)'!BC$6:BC$105)&gt;0,$E$1=2),0,1)</f>
        <v>1</v>
      </c>
      <c r="AQ10" s="67">
        <f ca="1">IF(AND(SUMIF(Capacity_Resource,$D10,'Critical resources (hide)'!BD$6:BD$105)+SUMIF(Capacity_Resource,$E10,'Critical resources (hide)'!BD$6:BD$105)+SUMIF(Capacity_Resource,$F10,'Critical resources (hide)'!BD$6:BD$105)&gt;0,$E$1=2),0,1)</f>
        <v>1</v>
      </c>
      <c r="AR10" s="67">
        <f ca="1">IF(AND(SUMIF(Capacity_Resource,$D10,'Critical resources (hide)'!BE$6:BE$105)+SUMIF(Capacity_Resource,$E10,'Critical resources (hide)'!BE$6:BE$105)+SUMIF(Capacity_Resource,$F10,'Critical resources (hide)'!BE$6:BE$105)&gt;0,$E$1=2),0,1)</f>
        <v>1</v>
      </c>
      <c r="AS10" s="67">
        <f ca="1">IF(AND(SUMIF(Capacity_Resource,$D10,'Critical resources (hide)'!BF$6:BF$105)+SUMIF(Capacity_Resource,$E10,'Critical resources (hide)'!BF$6:BF$105)+SUMIF(Capacity_Resource,$F10,'Critical resources (hide)'!BF$6:BF$105)&gt;0,$E$1=2),0,1)</f>
        <v>1</v>
      </c>
      <c r="AT10" s="67">
        <f ca="1">IF(AND(SUMIF(Capacity_Resource,$D10,'Critical resources (hide)'!BG$6:BG$105)+SUMIF(Capacity_Resource,$E10,'Critical resources (hide)'!BG$6:BG$105)+SUMIF(Capacity_Resource,$F10,'Critical resources (hide)'!BG$6:BG$105)&gt;0,$E$1=2),0,1)</f>
        <v>1</v>
      </c>
      <c r="AU10" s="67">
        <f ca="1">IF(AND(SUMIF(Capacity_Resource,$D10,'Critical resources (hide)'!BH$6:BH$105)+SUMIF(Capacity_Resource,$E10,'Critical resources (hide)'!BH$6:BH$105)+SUMIF(Capacity_Resource,$F10,'Critical resources (hide)'!BH$6:BH$105)&gt;0,$E$1=2),0,1)</f>
        <v>1</v>
      </c>
      <c r="AV10" s="67">
        <f ca="1">IF(AND(SUMIF(Capacity_Resource,$D10,'Critical resources (hide)'!BI$6:BI$105)+SUMIF(Capacity_Resource,$E10,'Critical resources (hide)'!BI$6:BI$105)+SUMIF(Capacity_Resource,$F10,'Critical resources (hide)'!BI$6:BI$105)&gt;0,$E$1=2),0,1)</f>
        <v>1</v>
      </c>
      <c r="AW10" s="67">
        <f ca="1">IF(AND(SUMIF(Capacity_Resource,$D10,'Critical resources (hide)'!BJ$6:BJ$105)+SUMIF(Capacity_Resource,$E10,'Critical resources (hide)'!BJ$6:BJ$105)+SUMIF(Capacity_Resource,$F10,'Critical resources (hide)'!BJ$6:BJ$105)&gt;0,$E$1=2),0,1)</f>
        <v>1</v>
      </c>
      <c r="AX10" s="67">
        <f ca="1">IF(AND(SUMIF(Capacity_Resource,$D10,'Critical resources (hide)'!BK$6:BK$105)+SUMIF(Capacity_Resource,$E10,'Critical resources (hide)'!BK$6:BK$105)+SUMIF(Capacity_Resource,$F10,'Critical resources (hide)'!BK$6:BK$105)&gt;0,$E$1=2),0,1)</f>
        <v>1</v>
      </c>
      <c r="AY10" s="67">
        <f ca="1">IF(AND(SUMIF(Capacity_Resource,$D10,'Critical resources (hide)'!BL$6:BL$105)+SUMIF(Capacity_Resource,$E10,'Critical resources (hide)'!BL$6:BL$105)+SUMIF(Capacity_Resource,$F10,'Critical resources (hide)'!BL$6:BL$105)&gt;0,$E$1=2),0,1)</f>
        <v>1</v>
      </c>
      <c r="AZ10" s="67">
        <f ca="1">IF(AND(SUMIF(Capacity_Resource,$D10,'Critical resources (hide)'!BM$6:BM$105)+SUMIF(Capacity_Resource,$E10,'Critical resources (hide)'!BM$6:BM$105)+SUMIF(Capacity_Resource,$F10,'Critical resources (hide)'!BM$6:BM$105)&gt;0,$E$1=2),0,1)</f>
        <v>1</v>
      </c>
      <c r="BA10" s="67">
        <f ca="1">IF(AND(SUMIF(Capacity_Resource,$D10,'Critical resources (hide)'!BN$6:BN$105)+SUMIF(Capacity_Resource,$E10,'Critical resources (hide)'!BN$6:BN$105)+SUMIF(Capacity_Resource,$F10,'Critical resources (hide)'!BN$6:BN$105)&gt;0,$E$1=2),0,1)</f>
        <v>1</v>
      </c>
      <c r="BB10" s="67">
        <f ca="1">IF(AND(SUMIF(Capacity_Resource,$D10,'Critical resources (hide)'!BO$6:BO$105)+SUMIF(Capacity_Resource,$E10,'Critical resources (hide)'!BO$6:BO$105)+SUMIF(Capacity_Resource,$F10,'Critical resources (hide)'!BO$6:BO$105)&gt;0,$E$1=2),0,1)</f>
        <v>1</v>
      </c>
      <c r="BC10" s="67">
        <f ca="1">IF(AND(SUMIF(Capacity_Resource,$D10,'Critical resources (hide)'!BP$6:BP$105)+SUMIF(Capacity_Resource,$E10,'Critical resources (hide)'!BP$6:BP$105)+SUMIF(Capacity_Resource,$F10,'Critical resources (hide)'!BP$6:BP$105)&gt;0,$E$1=2),0,1)</f>
        <v>1</v>
      </c>
      <c r="BD10" s="67">
        <f ca="1">IF(AND(SUMIF(Capacity_Resource,$D10,'Critical resources (hide)'!BQ$6:BQ$105)+SUMIF(Capacity_Resource,$E10,'Critical resources (hide)'!BQ$6:BQ$105)+SUMIF(Capacity_Resource,$F10,'Critical resources (hide)'!BQ$6:BQ$105)&gt;0,$E$1=2),0,1)</f>
        <v>1</v>
      </c>
      <c r="BE10" s="67">
        <f ca="1">IF(AND(SUMIF(Capacity_Resource,$D10,'Critical resources (hide)'!BR$6:BR$105)+SUMIF(Capacity_Resource,$E10,'Critical resources (hide)'!BR$6:BR$105)+SUMIF(Capacity_Resource,$F10,'Critical resources (hide)'!BR$6:BR$105)&gt;0,$E$1=2),0,1)</f>
        <v>1</v>
      </c>
      <c r="BF10" s="67">
        <f ca="1">IF(AND(SUMIF(Capacity_Resource,$D10,'Critical resources (hide)'!BS$6:BS$105)+SUMIF(Capacity_Resource,$E10,'Critical resources (hide)'!BS$6:BS$105)+SUMIF(Capacity_Resource,$F10,'Critical resources (hide)'!BS$6:BS$105)&gt;0,$E$1=2),0,1)</f>
        <v>1</v>
      </c>
      <c r="BG10" s="67">
        <f ca="1">IF(AND(SUMIF(Capacity_Resource,$D10,'Critical resources (hide)'!BT$6:BT$105)+SUMIF(Capacity_Resource,$E10,'Critical resources (hide)'!BT$6:BT$105)+SUMIF(Capacity_Resource,$F10,'Critical resources (hide)'!BT$6:BT$105)&gt;0,$E$1=2),0,1)</f>
        <v>1</v>
      </c>
      <c r="BH10" s="67">
        <f>IF(ROW(C6)&lt;=Capacity!$A$16,IF('Capacity summary'!$D$14="No",SUM(H10:BG10),'Capacity summary'!$E129),0)</f>
        <v>0</v>
      </c>
      <c r="BI10" s="5" t="str">
        <f>IF(BH10&gt;0,IF(BH10&lt;Capacity!E22,Capacity!F22,Capacity!H22/'Capacity calculation (hide)'!BH10),"")</f>
        <v/>
      </c>
      <c r="BK10" s="313">
        <f>IF($BI10&lt;&gt;"",IF('Capacity summary'!$D$14="Yes",IF(COUNTBLANK('Capacity summary'!$H129:$BG129)&lt;52,IF('Capacity summary'!H129&lt;&gt;"",IF(LOWER('Capacity summary'!H129)="x",$BI10*H10,VALUE('Capacity summary'!H129)),0),H10*$BI10),H10*$BI10),0)</f>
        <v>0</v>
      </c>
      <c r="BL10" s="313">
        <f>IF($BI10&lt;&gt;"",IF('Capacity summary'!$D$14="Yes",IF(COUNTBLANK('Capacity summary'!$H129:$BG129)&lt;52,IF('Capacity summary'!I129&lt;&gt;"",IF(LOWER('Capacity summary'!I129)="x",$BI10*I10,VALUE('Capacity summary'!I129)),0),I10*$BI10),I10*$BI10),0)</f>
        <v>0</v>
      </c>
      <c r="BM10" s="313">
        <f>IF($BI10&lt;&gt;"",IF('Capacity summary'!$D$14="Yes",IF(COUNTBLANK('Capacity summary'!$H129:$BG129)&lt;52,IF('Capacity summary'!J129&lt;&gt;"",IF(LOWER('Capacity summary'!J129)="x",$BI10*J10,VALUE('Capacity summary'!J129)),0),J10*$BI10),J10*$BI10),0)</f>
        <v>0</v>
      </c>
      <c r="BN10" s="313">
        <f>IF($BI10&lt;&gt;"",IF('Capacity summary'!$D$14="Yes",IF(COUNTBLANK('Capacity summary'!$H129:$BG129)&lt;52,IF('Capacity summary'!K129&lt;&gt;"",IF(LOWER('Capacity summary'!K129)="x",$BI10*K10,VALUE('Capacity summary'!K129)),0),K10*$BI10),K10*$BI10),0)</f>
        <v>0</v>
      </c>
      <c r="BO10" s="313">
        <f>IF($BI10&lt;&gt;"",IF('Capacity summary'!$D$14="Yes",IF(COUNTBLANK('Capacity summary'!$H129:$BG129)&lt;52,IF('Capacity summary'!L129&lt;&gt;"",IF(LOWER('Capacity summary'!L129)="x",$BI10*L10,VALUE('Capacity summary'!L129)),0),L10*$BI10),L10*$BI10),0)</f>
        <v>0</v>
      </c>
      <c r="BP10" s="313">
        <f>IF($BI10&lt;&gt;"",IF('Capacity summary'!$D$14="Yes",IF(COUNTBLANK('Capacity summary'!$H129:$BG129)&lt;52,IF('Capacity summary'!M129&lt;&gt;"",IF(LOWER('Capacity summary'!M129)="x",$BI10*M10,VALUE('Capacity summary'!M129)),0),M10*$BI10),M10*$BI10),0)</f>
        <v>0</v>
      </c>
      <c r="BQ10" s="313">
        <f>IF($BI10&lt;&gt;"",IF('Capacity summary'!$D$14="Yes",IF(COUNTBLANK('Capacity summary'!$H129:$BG129)&lt;52,IF('Capacity summary'!N129&lt;&gt;"",IF(LOWER('Capacity summary'!N129)="x",$BI10*N10,VALUE('Capacity summary'!N129)),0),N10*$BI10),N10*$BI10),0)</f>
        <v>0</v>
      </c>
      <c r="BR10" s="313">
        <f>IF($BI10&lt;&gt;"",IF('Capacity summary'!$D$14="Yes",IF(COUNTBLANK('Capacity summary'!$H129:$BG129)&lt;52,IF('Capacity summary'!O129&lt;&gt;"",IF(LOWER('Capacity summary'!O129)="x",$BI10*O10,VALUE('Capacity summary'!O129)),0),O10*$BI10),O10*$BI10),0)</f>
        <v>0</v>
      </c>
      <c r="BS10" s="313">
        <f>IF($BI10&lt;&gt;"",IF('Capacity summary'!$D$14="Yes",IF(COUNTBLANK('Capacity summary'!$H129:$BG129)&lt;52,IF('Capacity summary'!P129&lt;&gt;"",IF(LOWER('Capacity summary'!P129)="x",$BI10*P10,VALUE('Capacity summary'!P129)),0),P10*$BI10),P10*$BI10),0)</f>
        <v>0</v>
      </c>
      <c r="BT10" s="313">
        <f>IF($BI10&lt;&gt;"",IF('Capacity summary'!$D$14="Yes",IF(COUNTBLANK('Capacity summary'!$H129:$BG129)&lt;52,IF('Capacity summary'!Q129&lt;&gt;"",IF(LOWER('Capacity summary'!Q129)="x",$BI10*Q10,VALUE('Capacity summary'!Q129)),0),Q10*$BI10),Q10*$BI10),0)</f>
        <v>0</v>
      </c>
      <c r="BU10" s="313">
        <f>IF($BI10&lt;&gt;"",IF('Capacity summary'!$D$14="Yes",IF(COUNTBLANK('Capacity summary'!$H129:$BG129)&lt;52,IF('Capacity summary'!R129&lt;&gt;"",IF(LOWER('Capacity summary'!R129)="x",$BI10*R10,VALUE('Capacity summary'!R129)),0),R10*$BI10),R10*$BI10),0)</f>
        <v>0</v>
      </c>
      <c r="BV10" s="313">
        <f>IF($BI10&lt;&gt;"",IF('Capacity summary'!$D$14="Yes",IF(COUNTBLANK('Capacity summary'!$H129:$BG129)&lt;52,IF('Capacity summary'!S129&lt;&gt;"",IF(LOWER('Capacity summary'!S129)="x",$BI10*S10,VALUE('Capacity summary'!S129)),0),S10*$BI10),S10*$BI10),0)</f>
        <v>0</v>
      </c>
      <c r="BW10" s="313">
        <f>IF($BI10&lt;&gt;"",IF('Capacity summary'!$D$14="Yes",IF(COUNTBLANK('Capacity summary'!$H129:$BG129)&lt;52,IF('Capacity summary'!T129&lt;&gt;"",IF(LOWER('Capacity summary'!T129)="x",$BI10*T10,VALUE('Capacity summary'!T129)),0),T10*$BI10),T10*$BI10),0)</f>
        <v>0</v>
      </c>
      <c r="BX10" s="313">
        <f>IF($BI10&lt;&gt;"",IF('Capacity summary'!$D$14="Yes",IF(COUNTBLANK('Capacity summary'!$H129:$BG129)&lt;52,IF('Capacity summary'!U129&lt;&gt;"",IF(LOWER('Capacity summary'!U129)="x",$BI10*U10,VALUE('Capacity summary'!U129)),0),U10*$BI10),U10*$BI10),0)</f>
        <v>0</v>
      </c>
      <c r="BY10" s="313">
        <f>IF($BI10&lt;&gt;"",IF('Capacity summary'!$D$14="Yes",IF(COUNTBLANK('Capacity summary'!$H129:$BG129)&lt;52,IF('Capacity summary'!V129&lt;&gt;"",IF(LOWER('Capacity summary'!V129)="x",$BI10*V10,VALUE('Capacity summary'!V129)),0),V10*$BI10),V10*$BI10),0)</f>
        <v>0</v>
      </c>
      <c r="BZ10" s="313">
        <f>IF($BI10&lt;&gt;"",IF('Capacity summary'!$D$14="Yes",IF(COUNTBLANK('Capacity summary'!$H129:$BG129)&lt;52,IF('Capacity summary'!W129&lt;&gt;"",IF(LOWER('Capacity summary'!W129)="x",$BI10*W10,VALUE('Capacity summary'!W129)),0),W10*$BI10),W10*$BI10),0)</f>
        <v>0</v>
      </c>
      <c r="CA10" s="313">
        <f>IF($BI10&lt;&gt;"",IF('Capacity summary'!$D$14="Yes",IF(COUNTBLANK('Capacity summary'!$H129:$BG129)&lt;52,IF('Capacity summary'!X129&lt;&gt;"",IF(LOWER('Capacity summary'!X129)="x",$BI10*X10,VALUE('Capacity summary'!X129)),0),X10*$BI10),X10*$BI10),0)</f>
        <v>0</v>
      </c>
      <c r="CB10" s="313">
        <f>IF($BI10&lt;&gt;"",IF('Capacity summary'!$D$14="Yes",IF(COUNTBLANK('Capacity summary'!$H129:$BG129)&lt;52,IF('Capacity summary'!Y129&lt;&gt;"",IF(LOWER('Capacity summary'!Y129)="x",$BI10*Y10,VALUE('Capacity summary'!Y129)),0),Y10*$BI10),Y10*$BI10),0)</f>
        <v>0</v>
      </c>
      <c r="CC10" s="313">
        <f>IF($BI10&lt;&gt;"",IF('Capacity summary'!$D$14="Yes",IF(COUNTBLANK('Capacity summary'!$H129:$BG129)&lt;52,IF('Capacity summary'!Z129&lt;&gt;"",IF(LOWER('Capacity summary'!Z129)="x",$BI10*Z10,VALUE('Capacity summary'!Z129)),0),Z10*$BI10),Z10*$BI10),0)</f>
        <v>0</v>
      </c>
      <c r="CD10" s="313">
        <f>IF($BI10&lt;&gt;"",IF('Capacity summary'!$D$14="Yes",IF(COUNTBLANK('Capacity summary'!$H129:$BG129)&lt;52,IF('Capacity summary'!AA129&lt;&gt;"",IF(LOWER('Capacity summary'!AA129)="x",$BI10*AA10,VALUE('Capacity summary'!AA129)),0),AA10*$BI10),AA10*$BI10),0)</f>
        <v>0</v>
      </c>
      <c r="CE10" s="313">
        <f>IF($BI10&lt;&gt;"",IF('Capacity summary'!$D$14="Yes",IF(COUNTBLANK('Capacity summary'!$H129:$BG129)&lt;52,IF('Capacity summary'!AB129&lt;&gt;"",IF(LOWER('Capacity summary'!AB129)="x",$BI10*AB10,VALUE('Capacity summary'!AB129)),0),AB10*$BI10),AB10*$BI10),0)</f>
        <v>0</v>
      </c>
      <c r="CF10" s="313">
        <f>IF($BI10&lt;&gt;"",IF('Capacity summary'!$D$14="Yes",IF(COUNTBLANK('Capacity summary'!$H129:$BG129)&lt;52,IF('Capacity summary'!AC129&lt;&gt;"",IF(LOWER('Capacity summary'!AC129)="x",$BI10*AC10,VALUE('Capacity summary'!AC129)),0),AC10*$BI10),AC10*$BI10),0)</f>
        <v>0</v>
      </c>
      <c r="CG10" s="313">
        <f>IF($BI10&lt;&gt;"",IF('Capacity summary'!$D$14="Yes",IF(COUNTBLANK('Capacity summary'!$H129:$BG129)&lt;52,IF('Capacity summary'!AD129&lt;&gt;"",IF(LOWER('Capacity summary'!AD129)="x",$BI10*AD10,VALUE('Capacity summary'!AD129)),0),AD10*$BI10),AD10*$BI10),0)</f>
        <v>0</v>
      </c>
      <c r="CH10" s="313">
        <f>IF($BI10&lt;&gt;"",IF('Capacity summary'!$D$14="Yes",IF(COUNTBLANK('Capacity summary'!$H129:$BG129)&lt;52,IF('Capacity summary'!AE129&lt;&gt;"",IF(LOWER('Capacity summary'!AE129)="x",$BI10*AE10,VALUE('Capacity summary'!AE129)),0),AE10*$BI10),AE10*$BI10),0)</f>
        <v>0</v>
      </c>
      <c r="CI10" s="313">
        <f>IF($BI10&lt;&gt;"",IF('Capacity summary'!$D$14="Yes",IF(COUNTBLANK('Capacity summary'!$H129:$BG129)&lt;52,IF('Capacity summary'!AF129&lt;&gt;"",IF(LOWER('Capacity summary'!AF129)="x",$BI10*AF10,VALUE('Capacity summary'!AF129)),0),AF10*$BI10),AF10*$BI10),0)</f>
        <v>0</v>
      </c>
      <c r="CJ10" s="313">
        <f>IF($BI10&lt;&gt;"",IF('Capacity summary'!$D$14="Yes",IF(COUNTBLANK('Capacity summary'!$H129:$BG129)&lt;52,IF('Capacity summary'!AG129&lt;&gt;"",IF(LOWER('Capacity summary'!AG129)="x",$BI10*AG10,VALUE('Capacity summary'!AG129)),0),AG10*$BI10),AG10*$BI10),0)</f>
        <v>0</v>
      </c>
      <c r="CK10" s="313">
        <f>IF($BI10&lt;&gt;"",IF('Capacity summary'!$D$14="Yes",IF(COUNTBLANK('Capacity summary'!$H129:$BG129)&lt;52,IF('Capacity summary'!AH129&lt;&gt;"",IF(LOWER('Capacity summary'!AH129)="x",$BI10*AH10,VALUE('Capacity summary'!AH129)),0),AH10*$BI10),AH10*$BI10),0)</f>
        <v>0</v>
      </c>
      <c r="CL10" s="313">
        <f>IF($BI10&lt;&gt;"",IF('Capacity summary'!$D$14="Yes",IF(COUNTBLANK('Capacity summary'!$H129:$BG129)&lt;52,IF('Capacity summary'!AI129&lt;&gt;"",IF(LOWER('Capacity summary'!AI129)="x",$BI10*AI10,VALUE('Capacity summary'!AI129)),0),AI10*$BI10),AI10*$BI10),0)</f>
        <v>0</v>
      </c>
      <c r="CM10" s="313">
        <f>IF($BI10&lt;&gt;"",IF('Capacity summary'!$D$14="Yes",IF(COUNTBLANK('Capacity summary'!$H129:$BG129)&lt;52,IF('Capacity summary'!AJ129&lt;&gt;"",IF(LOWER('Capacity summary'!AJ129)="x",$BI10*AJ10,VALUE('Capacity summary'!AJ129)),0),AJ10*$BI10),AJ10*$BI10),0)</f>
        <v>0</v>
      </c>
      <c r="CN10" s="313">
        <f>IF($BI10&lt;&gt;"",IF('Capacity summary'!$D$14="Yes",IF(COUNTBLANK('Capacity summary'!$H129:$BG129)&lt;52,IF('Capacity summary'!AK129&lt;&gt;"",IF(LOWER('Capacity summary'!AK129)="x",$BI10*AK10,VALUE('Capacity summary'!AK129)),0),AK10*$BI10),AK10*$BI10),0)</f>
        <v>0</v>
      </c>
      <c r="CO10" s="313">
        <f>IF($BI10&lt;&gt;"",IF('Capacity summary'!$D$14="Yes",IF(COUNTBLANK('Capacity summary'!$H129:$BG129)&lt;52,IF('Capacity summary'!AL129&lt;&gt;"",IF(LOWER('Capacity summary'!AL129)="x",$BI10*AL10,VALUE('Capacity summary'!AL129)),0),AL10*$BI10),AL10*$BI10),0)</f>
        <v>0</v>
      </c>
      <c r="CP10" s="313">
        <f>IF($BI10&lt;&gt;"",IF('Capacity summary'!$D$14="Yes",IF(COUNTBLANK('Capacity summary'!$H129:$BG129)&lt;52,IF('Capacity summary'!AM129&lt;&gt;"",IF(LOWER('Capacity summary'!AM129)="x",$BI10*AM10,VALUE('Capacity summary'!AM129)),0),AM10*$BI10),AM10*$BI10),0)</f>
        <v>0</v>
      </c>
      <c r="CQ10" s="313">
        <f>IF($BI10&lt;&gt;"",IF('Capacity summary'!$D$14="Yes",IF(COUNTBLANK('Capacity summary'!$H129:$BG129)&lt;52,IF('Capacity summary'!AN129&lt;&gt;"",IF(LOWER('Capacity summary'!AN129)="x",$BI10*AN10,VALUE('Capacity summary'!AN129)),0),AN10*$BI10),AN10*$BI10),0)</f>
        <v>0</v>
      </c>
      <c r="CR10" s="313">
        <f>IF($BI10&lt;&gt;"",IF('Capacity summary'!$D$14="Yes",IF(COUNTBLANK('Capacity summary'!$H129:$BG129)&lt;52,IF('Capacity summary'!AO129&lt;&gt;"",IF(LOWER('Capacity summary'!AO129)="x",$BI10*AO10,VALUE('Capacity summary'!AO129)),0),AO10*$BI10),AO10*$BI10),0)</f>
        <v>0</v>
      </c>
      <c r="CS10" s="313">
        <f>IF($BI10&lt;&gt;"",IF('Capacity summary'!$D$14="Yes",IF(COUNTBLANK('Capacity summary'!$H129:$BG129)&lt;52,IF('Capacity summary'!AP129&lt;&gt;"",IF(LOWER('Capacity summary'!AP129)="x",$BI10*AP10,VALUE('Capacity summary'!AP129)),0),AP10*$BI10),AP10*$BI10),0)</f>
        <v>0</v>
      </c>
      <c r="CT10" s="313">
        <f>IF($BI10&lt;&gt;"",IF('Capacity summary'!$D$14="Yes",IF(COUNTBLANK('Capacity summary'!$H129:$BG129)&lt;52,IF('Capacity summary'!AQ129&lt;&gt;"",IF(LOWER('Capacity summary'!AQ129)="x",$BI10*AQ10,VALUE('Capacity summary'!AQ129)),0),AQ10*$BI10),AQ10*$BI10),0)</f>
        <v>0</v>
      </c>
      <c r="CU10" s="313">
        <f>IF($BI10&lt;&gt;"",IF('Capacity summary'!$D$14="Yes",IF(COUNTBLANK('Capacity summary'!$H129:$BG129)&lt;52,IF('Capacity summary'!AR129&lt;&gt;"",IF(LOWER('Capacity summary'!AR129)="x",$BI10*AR10,VALUE('Capacity summary'!AR129)),0),AR10*$BI10),AR10*$BI10),0)</f>
        <v>0</v>
      </c>
      <c r="CV10" s="313">
        <f>IF($BI10&lt;&gt;"",IF('Capacity summary'!$D$14="Yes",IF(COUNTBLANK('Capacity summary'!$H129:$BG129)&lt;52,IF('Capacity summary'!AS129&lt;&gt;"",IF(LOWER('Capacity summary'!AS129)="x",$BI10*AS10,VALUE('Capacity summary'!AS129)),0),AS10*$BI10),AS10*$BI10),0)</f>
        <v>0</v>
      </c>
      <c r="CW10" s="313">
        <f>IF($BI10&lt;&gt;"",IF('Capacity summary'!$D$14="Yes",IF(COUNTBLANK('Capacity summary'!$H129:$BG129)&lt;52,IF('Capacity summary'!AT129&lt;&gt;"",IF(LOWER('Capacity summary'!AT129)="x",$BI10*AT10,VALUE('Capacity summary'!AT129)),0),AT10*$BI10),AT10*$BI10),0)</f>
        <v>0</v>
      </c>
      <c r="CX10" s="313">
        <f>IF($BI10&lt;&gt;"",IF('Capacity summary'!$D$14="Yes",IF(COUNTBLANK('Capacity summary'!$H129:$BG129)&lt;52,IF('Capacity summary'!AU129&lt;&gt;"",IF(LOWER('Capacity summary'!AU129)="x",$BI10*AU10,VALUE('Capacity summary'!AU129)),0),AU10*$BI10),AU10*$BI10),0)</f>
        <v>0</v>
      </c>
      <c r="CY10" s="313">
        <f>IF($BI10&lt;&gt;"",IF('Capacity summary'!$D$14="Yes",IF(COUNTBLANK('Capacity summary'!$H129:$BG129)&lt;52,IF('Capacity summary'!AV129&lt;&gt;"",IF(LOWER('Capacity summary'!AV129)="x",$BI10*AV10,VALUE('Capacity summary'!AV129)),0),AV10*$BI10),AV10*$BI10),0)</f>
        <v>0</v>
      </c>
      <c r="CZ10" s="313">
        <f>IF($BI10&lt;&gt;"",IF('Capacity summary'!$D$14="Yes",IF(COUNTBLANK('Capacity summary'!$H129:$BG129)&lt;52,IF('Capacity summary'!AW129&lt;&gt;"",IF(LOWER('Capacity summary'!AW129)="x",$BI10*AW10,VALUE('Capacity summary'!AW129)),0),AW10*$BI10),AW10*$BI10),0)</f>
        <v>0</v>
      </c>
      <c r="DA10" s="313">
        <f>IF($BI10&lt;&gt;"",IF('Capacity summary'!$D$14="Yes",IF(COUNTBLANK('Capacity summary'!$H129:$BG129)&lt;52,IF('Capacity summary'!AX129&lt;&gt;"",IF(LOWER('Capacity summary'!AX129)="x",$BI10*AX10,VALUE('Capacity summary'!AX129)),0),AX10*$BI10),AX10*$BI10),0)</f>
        <v>0</v>
      </c>
      <c r="DB10" s="313">
        <f>IF($BI10&lt;&gt;"",IF('Capacity summary'!$D$14="Yes",IF(COUNTBLANK('Capacity summary'!$H129:$BG129)&lt;52,IF('Capacity summary'!AY129&lt;&gt;"",IF(LOWER('Capacity summary'!AY129)="x",$BI10*AY10,VALUE('Capacity summary'!AY129)),0),AY10*$BI10),AY10*$BI10),0)</f>
        <v>0</v>
      </c>
      <c r="DC10" s="313">
        <f>IF($BI10&lt;&gt;"",IF('Capacity summary'!$D$14="Yes",IF(COUNTBLANK('Capacity summary'!$H129:$BG129)&lt;52,IF('Capacity summary'!AZ129&lt;&gt;"",IF(LOWER('Capacity summary'!AZ129)="x",$BI10*AZ10,VALUE('Capacity summary'!AZ129)),0),AZ10*$BI10),AZ10*$BI10),0)</f>
        <v>0</v>
      </c>
      <c r="DD10" s="313">
        <f>IF($BI10&lt;&gt;"",IF('Capacity summary'!$D$14="Yes",IF(COUNTBLANK('Capacity summary'!$H129:$BG129)&lt;52,IF('Capacity summary'!BA129&lt;&gt;"",IF(LOWER('Capacity summary'!BA129)="x",$BI10*BA10,VALUE('Capacity summary'!BA129)),0),BA10*$BI10),BA10*$BI10),0)</f>
        <v>0</v>
      </c>
      <c r="DE10" s="313">
        <f>IF($BI10&lt;&gt;"",IF('Capacity summary'!$D$14="Yes",IF(COUNTBLANK('Capacity summary'!$H129:$BG129)&lt;52,IF('Capacity summary'!BB129&lt;&gt;"",IF(LOWER('Capacity summary'!BB129)="x",$BI10*BB10,VALUE('Capacity summary'!BB129)),0),BB10*$BI10),BB10*$BI10),0)</f>
        <v>0</v>
      </c>
      <c r="DF10" s="313">
        <f>IF($BI10&lt;&gt;"",IF('Capacity summary'!$D$14="Yes",IF(COUNTBLANK('Capacity summary'!$H129:$BG129)&lt;52,IF('Capacity summary'!BC129&lt;&gt;"",IF(LOWER('Capacity summary'!BC129)="x",$BI10*BC10,VALUE('Capacity summary'!BC129)),0),BC10*$BI10),BC10*$BI10),0)</f>
        <v>0</v>
      </c>
      <c r="DG10" s="313">
        <f>IF($BI10&lt;&gt;"",IF('Capacity summary'!$D$14="Yes",IF(COUNTBLANK('Capacity summary'!$H129:$BG129)&lt;52,IF('Capacity summary'!BD129&lt;&gt;"",IF(LOWER('Capacity summary'!BD129)="x",$BI10*BD10,VALUE('Capacity summary'!BD129)),0),BD10*$BI10),BD10*$BI10),0)</f>
        <v>0</v>
      </c>
      <c r="DH10" s="313">
        <f>IF($BI10&lt;&gt;"",IF('Capacity summary'!$D$14="Yes",IF(COUNTBLANK('Capacity summary'!$H129:$BG129)&lt;52,IF('Capacity summary'!BE129&lt;&gt;"",IF(LOWER('Capacity summary'!BE129)="x",$BI10*BE10,VALUE('Capacity summary'!BE129)),0),BE10*$BI10),BE10*$BI10),0)</f>
        <v>0</v>
      </c>
      <c r="DI10" s="313">
        <f>IF($BI10&lt;&gt;"",IF('Capacity summary'!$D$14="Yes",IF(COUNTBLANK('Capacity summary'!$H129:$BG129)&lt;52,IF('Capacity summary'!BF129&lt;&gt;"",IF(LOWER('Capacity summary'!BF129)="x",$BI10*BF10,VALUE('Capacity summary'!BF129)),0),BF10*$BI10),BF10*$BI10),0)</f>
        <v>0</v>
      </c>
      <c r="DJ10" s="313">
        <f>IF($BI10&lt;&gt;"",IF('Capacity summary'!$D$14="Yes",IF(COUNTBLANK('Capacity summary'!$H129:$BG129)&lt;52,IF('Capacity summary'!BG129&lt;&gt;"",IF(LOWER('Capacity summary'!BG129)="x",$BI10*BG10,VALUE('Capacity summary'!BG129)),0),BG10*$BI10),BG10*$BI10),0)</f>
        <v>0</v>
      </c>
      <c r="DK10" s="137">
        <f t="shared" si="2"/>
        <v>0</v>
      </c>
      <c r="DL10" s="313" t="str">
        <f>Capacity!H22</f>
        <v/>
      </c>
      <c r="DP10" s="5"/>
    </row>
    <row r="11" spans="2:120" x14ac:dyDescent="0.25">
      <c r="B11" s="67"/>
      <c r="C11" s="67" t="str">
        <f>ROW(A7)&amp;". "&amp;Capacity!B23</f>
        <v xml:space="preserve">7. </v>
      </c>
      <c r="D11" s="67">
        <f>'Capacity setup'!C18</f>
        <v>0</v>
      </c>
      <c r="E11" s="67">
        <f>'Capacity setup'!D18</f>
        <v>0</v>
      </c>
      <c r="F11" s="67">
        <f>'Capacity setup'!E18</f>
        <v>0</v>
      </c>
      <c r="H11" s="67">
        <f ca="1">IF(AND(SUMIF(Capacity_Resource,$D11,'Critical resources (hide)'!U$6:U$105)+SUMIF(Capacity_Resource,$E11,'Critical resources (hide)'!U$6:U$105)+SUMIF(Capacity_Resource,$F11,'Critical resources (hide)'!U$6:U$105)&gt;0,$E$1=2),0,1)</f>
        <v>1</v>
      </c>
      <c r="I11" s="67">
        <f ca="1">IF(AND(SUMIF(Capacity_Resource,$D11,'Critical resources (hide)'!V$6:V$105)+SUMIF(Capacity_Resource,$E11,'Critical resources (hide)'!V$6:V$105)+SUMIF(Capacity_Resource,$F11,'Critical resources (hide)'!V$6:V$105)&gt;0,$E$1=2),0,1)</f>
        <v>1</v>
      </c>
      <c r="J11" s="67">
        <f ca="1">IF(AND(SUMIF(Capacity_Resource,$D11,'Critical resources (hide)'!W$6:W$105)+SUMIF(Capacity_Resource,$E11,'Critical resources (hide)'!W$6:W$105)+SUMIF(Capacity_Resource,$F11,'Critical resources (hide)'!W$6:W$105)&gt;0,$E$1=2),0,1)</f>
        <v>1</v>
      </c>
      <c r="K11" s="67">
        <f ca="1">IF(AND(SUMIF(Capacity_Resource,$D11,'Critical resources (hide)'!X$6:X$105)+SUMIF(Capacity_Resource,$E11,'Critical resources (hide)'!X$6:X$105)+SUMIF(Capacity_Resource,$F11,'Critical resources (hide)'!X$6:X$105)&gt;0,$E$1=2),0,1)</f>
        <v>1</v>
      </c>
      <c r="L11" s="67">
        <f ca="1">IF(AND(SUMIF(Capacity_Resource,$D11,'Critical resources (hide)'!Y$6:Y$105)+SUMIF(Capacity_Resource,$E11,'Critical resources (hide)'!Y$6:Y$105)+SUMIF(Capacity_Resource,$F11,'Critical resources (hide)'!Y$6:Y$105)&gt;0,$E$1=2),0,1)</f>
        <v>1</v>
      </c>
      <c r="M11" s="67">
        <f ca="1">IF(AND(SUMIF(Capacity_Resource,$D11,'Critical resources (hide)'!Z$6:Z$105)+SUMIF(Capacity_Resource,$E11,'Critical resources (hide)'!Z$6:Z$105)+SUMIF(Capacity_Resource,$F11,'Critical resources (hide)'!Z$6:Z$105)&gt;0,$E$1=2),0,1)</f>
        <v>1</v>
      </c>
      <c r="N11" s="67">
        <f ca="1">IF(AND(SUMIF(Capacity_Resource,$D11,'Critical resources (hide)'!AA$6:AA$105)+SUMIF(Capacity_Resource,$E11,'Critical resources (hide)'!AA$6:AA$105)+SUMIF(Capacity_Resource,$F11,'Critical resources (hide)'!AA$6:AA$105)&gt;0,$E$1=2),0,1)</f>
        <v>1</v>
      </c>
      <c r="O11" s="67">
        <f ca="1">IF(AND(SUMIF(Capacity_Resource,$D11,'Critical resources (hide)'!AB$6:AB$105)+SUMIF(Capacity_Resource,$E11,'Critical resources (hide)'!AB$6:AB$105)+SUMIF(Capacity_Resource,$F11,'Critical resources (hide)'!AB$6:AB$105)&gt;0,$E$1=2),0,1)</f>
        <v>1</v>
      </c>
      <c r="P11" s="67">
        <f ca="1">IF(AND(SUMIF(Capacity_Resource,$D11,'Critical resources (hide)'!AC$6:AC$105)+SUMIF(Capacity_Resource,$E11,'Critical resources (hide)'!AC$6:AC$105)+SUMIF(Capacity_Resource,$F11,'Critical resources (hide)'!AC$6:AC$105)&gt;0,$E$1=2),0,1)</f>
        <v>1</v>
      </c>
      <c r="Q11" s="67">
        <f ca="1">IF(AND(SUMIF(Capacity_Resource,$D11,'Critical resources (hide)'!AD$6:AD$105)+SUMIF(Capacity_Resource,$E11,'Critical resources (hide)'!AD$6:AD$105)+SUMIF(Capacity_Resource,$F11,'Critical resources (hide)'!AD$6:AD$105)&gt;0,$E$1=2),0,1)</f>
        <v>1</v>
      </c>
      <c r="R11" s="67">
        <f ca="1">IF(AND(SUMIF(Capacity_Resource,$D11,'Critical resources (hide)'!AE$6:AE$105)+SUMIF(Capacity_Resource,$E11,'Critical resources (hide)'!AE$6:AE$105)+SUMIF(Capacity_Resource,$F11,'Critical resources (hide)'!AE$6:AE$105)&gt;0,$E$1=2),0,1)</f>
        <v>1</v>
      </c>
      <c r="S11" s="67">
        <f ca="1">IF(AND(SUMIF(Capacity_Resource,$D11,'Critical resources (hide)'!AF$6:AF$105)+SUMIF(Capacity_Resource,$E11,'Critical resources (hide)'!AF$6:AF$105)+SUMIF(Capacity_Resource,$F11,'Critical resources (hide)'!AF$6:AF$105)&gt;0,$E$1=2),0,1)</f>
        <v>1</v>
      </c>
      <c r="T11" s="67">
        <f ca="1">IF(AND(SUMIF(Capacity_Resource,$D11,'Critical resources (hide)'!AG$6:AG$105)+SUMIF(Capacity_Resource,$E11,'Critical resources (hide)'!AG$6:AG$105)+SUMIF(Capacity_Resource,$F11,'Critical resources (hide)'!AG$6:AG$105)&gt;0,$E$1=2),0,1)</f>
        <v>1</v>
      </c>
      <c r="U11" s="67">
        <f ca="1">IF(AND(SUMIF(Capacity_Resource,$D11,'Critical resources (hide)'!AH$6:AH$105)+SUMIF(Capacity_Resource,$E11,'Critical resources (hide)'!AH$6:AH$105)+SUMIF(Capacity_Resource,$F11,'Critical resources (hide)'!AH$6:AH$105)&gt;0,$E$1=2),0,1)</f>
        <v>1</v>
      </c>
      <c r="V11" s="67">
        <f ca="1">IF(AND(SUMIF(Capacity_Resource,$D11,'Critical resources (hide)'!AI$6:AI$105)+SUMIF(Capacity_Resource,$E11,'Critical resources (hide)'!AI$6:AI$105)+SUMIF(Capacity_Resource,$F11,'Critical resources (hide)'!AI$6:AI$105)&gt;0,$E$1=2),0,1)</f>
        <v>1</v>
      </c>
      <c r="W11" s="67">
        <f ca="1">IF(AND(SUMIF(Capacity_Resource,$D11,'Critical resources (hide)'!AJ$6:AJ$105)+SUMIF(Capacity_Resource,$E11,'Critical resources (hide)'!AJ$6:AJ$105)+SUMIF(Capacity_Resource,$F11,'Critical resources (hide)'!AJ$6:AJ$105)&gt;0,$E$1=2),0,1)</f>
        <v>1</v>
      </c>
      <c r="X11" s="67">
        <f ca="1">IF(AND(SUMIF(Capacity_Resource,$D11,'Critical resources (hide)'!AK$6:AK$105)+SUMIF(Capacity_Resource,$E11,'Critical resources (hide)'!AK$6:AK$105)+SUMIF(Capacity_Resource,$F11,'Critical resources (hide)'!AK$6:AK$105)&gt;0,$E$1=2),0,1)</f>
        <v>1</v>
      </c>
      <c r="Y11" s="67">
        <f ca="1">IF(AND(SUMIF(Capacity_Resource,$D11,'Critical resources (hide)'!AL$6:AL$105)+SUMIF(Capacity_Resource,$E11,'Critical resources (hide)'!AL$6:AL$105)+SUMIF(Capacity_Resource,$F11,'Critical resources (hide)'!AL$6:AL$105)&gt;0,$E$1=2),0,1)</f>
        <v>1</v>
      </c>
      <c r="Z11" s="67">
        <f ca="1">IF(AND(SUMIF(Capacity_Resource,$D11,'Critical resources (hide)'!AM$6:AM$105)+SUMIF(Capacity_Resource,$E11,'Critical resources (hide)'!AM$6:AM$105)+SUMIF(Capacity_Resource,$F11,'Critical resources (hide)'!AM$6:AM$105)&gt;0,$E$1=2),0,1)</f>
        <v>1</v>
      </c>
      <c r="AA11" s="67">
        <f ca="1">IF(AND(SUMIF(Capacity_Resource,$D11,'Critical resources (hide)'!AN$6:AN$105)+SUMIF(Capacity_Resource,$E11,'Critical resources (hide)'!AN$6:AN$105)+SUMIF(Capacity_Resource,$F11,'Critical resources (hide)'!AN$6:AN$105)&gt;0,$E$1=2),0,1)</f>
        <v>1</v>
      </c>
      <c r="AB11" s="67">
        <f ca="1">IF(AND(SUMIF(Capacity_Resource,$D11,'Critical resources (hide)'!AO$6:AO$105)+SUMIF(Capacity_Resource,$E11,'Critical resources (hide)'!AO$6:AO$105)+SUMIF(Capacity_Resource,$F11,'Critical resources (hide)'!AO$6:AO$105)&gt;0,$E$1=2),0,1)</f>
        <v>1</v>
      </c>
      <c r="AC11" s="67">
        <f ca="1">IF(AND(SUMIF(Capacity_Resource,$D11,'Critical resources (hide)'!AP$6:AP$105)+SUMIF(Capacity_Resource,$E11,'Critical resources (hide)'!AP$6:AP$105)+SUMIF(Capacity_Resource,$F11,'Critical resources (hide)'!AP$6:AP$105)&gt;0,$E$1=2),0,1)</f>
        <v>1</v>
      </c>
      <c r="AD11" s="67">
        <f ca="1">IF(AND(SUMIF(Capacity_Resource,$D11,'Critical resources (hide)'!AQ$6:AQ$105)+SUMIF(Capacity_Resource,$E11,'Critical resources (hide)'!AQ$6:AQ$105)+SUMIF(Capacity_Resource,$F11,'Critical resources (hide)'!AQ$6:AQ$105)&gt;0,$E$1=2),0,1)</f>
        <v>1</v>
      </c>
      <c r="AE11" s="67">
        <f ca="1">IF(AND(SUMIF(Capacity_Resource,$D11,'Critical resources (hide)'!AR$6:AR$105)+SUMIF(Capacity_Resource,$E11,'Critical resources (hide)'!AR$6:AR$105)+SUMIF(Capacity_Resource,$F11,'Critical resources (hide)'!AR$6:AR$105)&gt;0,$E$1=2),0,1)</f>
        <v>1</v>
      </c>
      <c r="AF11" s="67">
        <f ca="1">IF(AND(SUMIF(Capacity_Resource,$D11,'Critical resources (hide)'!AS$6:AS$105)+SUMIF(Capacity_Resource,$E11,'Critical resources (hide)'!AS$6:AS$105)+SUMIF(Capacity_Resource,$F11,'Critical resources (hide)'!AS$6:AS$105)&gt;0,$E$1=2),0,1)</f>
        <v>1</v>
      </c>
      <c r="AG11" s="67">
        <f ca="1">IF(AND(SUMIF(Capacity_Resource,$D11,'Critical resources (hide)'!AT$6:AT$105)+SUMIF(Capacity_Resource,$E11,'Critical resources (hide)'!AT$6:AT$105)+SUMIF(Capacity_Resource,$F11,'Critical resources (hide)'!AT$6:AT$105)&gt;0,$E$1=2),0,1)</f>
        <v>1</v>
      </c>
      <c r="AH11" s="67">
        <f ca="1">IF(AND(SUMIF(Capacity_Resource,$D11,'Critical resources (hide)'!AU$6:AU$105)+SUMIF(Capacity_Resource,$E11,'Critical resources (hide)'!AU$6:AU$105)+SUMIF(Capacity_Resource,$F11,'Critical resources (hide)'!AU$6:AU$105)&gt;0,$E$1=2),0,1)</f>
        <v>1</v>
      </c>
      <c r="AI11" s="67">
        <f ca="1">IF(AND(SUMIF(Capacity_Resource,$D11,'Critical resources (hide)'!AV$6:AV$105)+SUMIF(Capacity_Resource,$E11,'Critical resources (hide)'!AV$6:AV$105)+SUMIF(Capacity_Resource,$F11,'Critical resources (hide)'!AV$6:AV$105)&gt;0,$E$1=2),0,1)</f>
        <v>1</v>
      </c>
      <c r="AJ11" s="67">
        <f ca="1">IF(AND(SUMIF(Capacity_Resource,$D11,'Critical resources (hide)'!AW$6:AW$105)+SUMIF(Capacity_Resource,$E11,'Critical resources (hide)'!AW$6:AW$105)+SUMIF(Capacity_Resource,$F11,'Critical resources (hide)'!AW$6:AW$105)&gt;0,$E$1=2),0,1)</f>
        <v>1</v>
      </c>
      <c r="AK11" s="67">
        <f ca="1">IF(AND(SUMIF(Capacity_Resource,$D11,'Critical resources (hide)'!AX$6:AX$105)+SUMIF(Capacity_Resource,$E11,'Critical resources (hide)'!AX$6:AX$105)+SUMIF(Capacity_Resource,$F11,'Critical resources (hide)'!AX$6:AX$105)&gt;0,$E$1=2),0,1)</f>
        <v>1</v>
      </c>
      <c r="AL11" s="67">
        <f ca="1">IF(AND(SUMIF(Capacity_Resource,$D11,'Critical resources (hide)'!AY$6:AY$105)+SUMIF(Capacity_Resource,$E11,'Critical resources (hide)'!AY$6:AY$105)+SUMIF(Capacity_Resource,$F11,'Critical resources (hide)'!AY$6:AY$105)&gt;0,$E$1=2),0,1)</f>
        <v>1</v>
      </c>
      <c r="AM11" s="67">
        <f ca="1">IF(AND(SUMIF(Capacity_Resource,$D11,'Critical resources (hide)'!AZ$6:AZ$105)+SUMIF(Capacity_Resource,$E11,'Critical resources (hide)'!AZ$6:AZ$105)+SUMIF(Capacity_Resource,$F11,'Critical resources (hide)'!AZ$6:AZ$105)&gt;0,$E$1=2),0,1)</f>
        <v>1</v>
      </c>
      <c r="AN11" s="67">
        <f ca="1">IF(AND(SUMIF(Capacity_Resource,$D11,'Critical resources (hide)'!BA$6:BA$105)+SUMIF(Capacity_Resource,$E11,'Critical resources (hide)'!BA$6:BA$105)+SUMIF(Capacity_Resource,$F11,'Critical resources (hide)'!BA$6:BA$105)&gt;0,$E$1=2),0,1)</f>
        <v>1</v>
      </c>
      <c r="AO11" s="67">
        <f ca="1">IF(AND(SUMIF(Capacity_Resource,$D11,'Critical resources (hide)'!BB$6:BB$105)+SUMIF(Capacity_Resource,$E11,'Critical resources (hide)'!BB$6:BB$105)+SUMIF(Capacity_Resource,$F11,'Critical resources (hide)'!BB$6:BB$105)&gt;0,$E$1=2),0,1)</f>
        <v>1</v>
      </c>
      <c r="AP11" s="67">
        <f ca="1">IF(AND(SUMIF(Capacity_Resource,$D11,'Critical resources (hide)'!BC$6:BC$105)+SUMIF(Capacity_Resource,$E11,'Critical resources (hide)'!BC$6:BC$105)+SUMIF(Capacity_Resource,$F11,'Critical resources (hide)'!BC$6:BC$105)&gt;0,$E$1=2),0,1)</f>
        <v>1</v>
      </c>
      <c r="AQ11" s="67">
        <f ca="1">IF(AND(SUMIF(Capacity_Resource,$D11,'Critical resources (hide)'!BD$6:BD$105)+SUMIF(Capacity_Resource,$E11,'Critical resources (hide)'!BD$6:BD$105)+SUMIF(Capacity_Resource,$F11,'Critical resources (hide)'!BD$6:BD$105)&gt;0,$E$1=2),0,1)</f>
        <v>1</v>
      </c>
      <c r="AR11" s="67">
        <f ca="1">IF(AND(SUMIF(Capacity_Resource,$D11,'Critical resources (hide)'!BE$6:BE$105)+SUMIF(Capacity_Resource,$E11,'Critical resources (hide)'!BE$6:BE$105)+SUMIF(Capacity_Resource,$F11,'Critical resources (hide)'!BE$6:BE$105)&gt;0,$E$1=2),0,1)</f>
        <v>1</v>
      </c>
      <c r="AS11" s="67">
        <f ca="1">IF(AND(SUMIF(Capacity_Resource,$D11,'Critical resources (hide)'!BF$6:BF$105)+SUMIF(Capacity_Resource,$E11,'Critical resources (hide)'!BF$6:BF$105)+SUMIF(Capacity_Resource,$F11,'Critical resources (hide)'!BF$6:BF$105)&gt;0,$E$1=2),0,1)</f>
        <v>1</v>
      </c>
      <c r="AT11" s="67">
        <f ca="1">IF(AND(SUMIF(Capacity_Resource,$D11,'Critical resources (hide)'!BG$6:BG$105)+SUMIF(Capacity_Resource,$E11,'Critical resources (hide)'!BG$6:BG$105)+SUMIF(Capacity_Resource,$F11,'Critical resources (hide)'!BG$6:BG$105)&gt;0,$E$1=2),0,1)</f>
        <v>1</v>
      </c>
      <c r="AU11" s="67">
        <f ca="1">IF(AND(SUMIF(Capacity_Resource,$D11,'Critical resources (hide)'!BH$6:BH$105)+SUMIF(Capacity_Resource,$E11,'Critical resources (hide)'!BH$6:BH$105)+SUMIF(Capacity_Resource,$F11,'Critical resources (hide)'!BH$6:BH$105)&gt;0,$E$1=2),0,1)</f>
        <v>1</v>
      </c>
      <c r="AV11" s="67">
        <f ca="1">IF(AND(SUMIF(Capacity_Resource,$D11,'Critical resources (hide)'!BI$6:BI$105)+SUMIF(Capacity_Resource,$E11,'Critical resources (hide)'!BI$6:BI$105)+SUMIF(Capacity_Resource,$F11,'Critical resources (hide)'!BI$6:BI$105)&gt;0,$E$1=2),0,1)</f>
        <v>1</v>
      </c>
      <c r="AW11" s="67">
        <f ca="1">IF(AND(SUMIF(Capacity_Resource,$D11,'Critical resources (hide)'!BJ$6:BJ$105)+SUMIF(Capacity_Resource,$E11,'Critical resources (hide)'!BJ$6:BJ$105)+SUMIF(Capacity_Resource,$F11,'Critical resources (hide)'!BJ$6:BJ$105)&gt;0,$E$1=2),0,1)</f>
        <v>1</v>
      </c>
      <c r="AX11" s="67">
        <f ca="1">IF(AND(SUMIF(Capacity_Resource,$D11,'Critical resources (hide)'!BK$6:BK$105)+SUMIF(Capacity_Resource,$E11,'Critical resources (hide)'!BK$6:BK$105)+SUMIF(Capacity_Resource,$F11,'Critical resources (hide)'!BK$6:BK$105)&gt;0,$E$1=2),0,1)</f>
        <v>1</v>
      </c>
      <c r="AY11" s="67">
        <f ca="1">IF(AND(SUMIF(Capacity_Resource,$D11,'Critical resources (hide)'!BL$6:BL$105)+SUMIF(Capacity_Resource,$E11,'Critical resources (hide)'!BL$6:BL$105)+SUMIF(Capacity_Resource,$F11,'Critical resources (hide)'!BL$6:BL$105)&gt;0,$E$1=2),0,1)</f>
        <v>1</v>
      </c>
      <c r="AZ11" s="67">
        <f ca="1">IF(AND(SUMIF(Capacity_Resource,$D11,'Critical resources (hide)'!BM$6:BM$105)+SUMIF(Capacity_Resource,$E11,'Critical resources (hide)'!BM$6:BM$105)+SUMIF(Capacity_Resource,$F11,'Critical resources (hide)'!BM$6:BM$105)&gt;0,$E$1=2),0,1)</f>
        <v>1</v>
      </c>
      <c r="BA11" s="67">
        <f ca="1">IF(AND(SUMIF(Capacity_Resource,$D11,'Critical resources (hide)'!BN$6:BN$105)+SUMIF(Capacity_Resource,$E11,'Critical resources (hide)'!BN$6:BN$105)+SUMIF(Capacity_Resource,$F11,'Critical resources (hide)'!BN$6:BN$105)&gt;0,$E$1=2),0,1)</f>
        <v>1</v>
      </c>
      <c r="BB11" s="67">
        <f ca="1">IF(AND(SUMIF(Capacity_Resource,$D11,'Critical resources (hide)'!BO$6:BO$105)+SUMIF(Capacity_Resource,$E11,'Critical resources (hide)'!BO$6:BO$105)+SUMIF(Capacity_Resource,$F11,'Critical resources (hide)'!BO$6:BO$105)&gt;0,$E$1=2),0,1)</f>
        <v>1</v>
      </c>
      <c r="BC11" s="67">
        <f ca="1">IF(AND(SUMIF(Capacity_Resource,$D11,'Critical resources (hide)'!BP$6:BP$105)+SUMIF(Capacity_Resource,$E11,'Critical resources (hide)'!BP$6:BP$105)+SUMIF(Capacity_Resource,$F11,'Critical resources (hide)'!BP$6:BP$105)&gt;0,$E$1=2),0,1)</f>
        <v>1</v>
      </c>
      <c r="BD11" s="67">
        <f ca="1">IF(AND(SUMIF(Capacity_Resource,$D11,'Critical resources (hide)'!BQ$6:BQ$105)+SUMIF(Capacity_Resource,$E11,'Critical resources (hide)'!BQ$6:BQ$105)+SUMIF(Capacity_Resource,$F11,'Critical resources (hide)'!BQ$6:BQ$105)&gt;0,$E$1=2),0,1)</f>
        <v>1</v>
      </c>
      <c r="BE11" s="67">
        <f ca="1">IF(AND(SUMIF(Capacity_Resource,$D11,'Critical resources (hide)'!BR$6:BR$105)+SUMIF(Capacity_Resource,$E11,'Critical resources (hide)'!BR$6:BR$105)+SUMIF(Capacity_Resource,$F11,'Critical resources (hide)'!BR$6:BR$105)&gt;0,$E$1=2),0,1)</f>
        <v>1</v>
      </c>
      <c r="BF11" s="67">
        <f ca="1">IF(AND(SUMIF(Capacity_Resource,$D11,'Critical resources (hide)'!BS$6:BS$105)+SUMIF(Capacity_Resource,$E11,'Critical resources (hide)'!BS$6:BS$105)+SUMIF(Capacity_Resource,$F11,'Critical resources (hide)'!BS$6:BS$105)&gt;0,$E$1=2),0,1)</f>
        <v>1</v>
      </c>
      <c r="BG11" s="67">
        <f ca="1">IF(AND(SUMIF(Capacity_Resource,$D11,'Critical resources (hide)'!BT$6:BT$105)+SUMIF(Capacity_Resource,$E11,'Critical resources (hide)'!BT$6:BT$105)+SUMIF(Capacity_Resource,$F11,'Critical resources (hide)'!BT$6:BT$105)&gt;0,$E$1=2),0,1)</f>
        <v>1</v>
      </c>
      <c r="BH11" s="67">
        <f>IF(ROW(C7)&lt;=Capacity!$A$16,IF('Capacity summary'!$D$14="No",SUM(H11:BG11),'Capacity summary'!$E130),0)</f>
        <v>0</v>
      </c>
      <c r="BI11" s="5" t="str">
        <f>IF(BH11&gt;0,IF(BH11&lt;Capacity!E23,Capacity!F23,Capacity!H23/'Capacity calculation (hide)'!BH11),"")</f>
        <v/>
      </c>
      <c r="BK11" s="313">
        <f>IF($BI11&lt;&gt;"",IF('Capacity summary'!$D$14="Yes",IF(COUNTBLANK('Capacity summary'!$H130:$BG130)&lt;52,IF('Capacity summary'!H130&lt;&gt;"",IF(LOWER('Capacity summary'!H130)="x",$BI11*H11,VALUE('Capacity summary'!H130)),0),H11*$BI11),H11*$BI11),0)</f>
        <v>0</v>
      </c>
      <c r="BL11" s="313">
        <f>IF($BI11&lt;&gt;"",IF('Capacity summary'!$D$14="Yes",IF(COUNTBLANK('Capacity summary'!$H130:$BG130)&lt;52,IF('Capacity summary'!I130&lt;&gt;"",IF(LOWER('Capacity summary'!I130)="x",$BI11*I11,VALUE('Capacity summary'!I130)),0),I11*$BI11),I11*$BI11),0)</f>
        <v>0</v>
      </c>
      <c r="BM11" s="313">
        <f>IF($BI11&lt;&gt;"",IF('Capacity summary'!$D$14="Yes",IF(COUNTBLANK('Capacity summary'!$H130:$BG130)&lt;52,IF('Capacity summary'!J130&lt;&gt;"",IF(LOWER('Capacity summary'!J130)="x",$BI11*J11,VALUE('Capacity summary'!J130)),0),J11*$BI11),J11*$BI11),0)</f>
        <v>0</v>
      </c>
      <c r="BN11" s="313">
        <f>IF($BI11&lt;&gt;"",IF('Capacity summary'!$D$14="Yes",IF(COUNTBLANK('Capacity summary'!$H130:$BG130)&lt;52,IF('Capacity summary'!K130&lt;&gt;"",IF(LOWER('Capacity summary'!K130)="x",$BI11*K11,VALUE('Capacity summary'!K130)),0),K11*$BI11),K11*$BI11),0)</f>
        <v>0</v>
      </c>
      <c r="BO11" s="313">
        <f>IF($BI11&lt;&gt;"",IF('Capacity summary'!$D$14="Yes",IF(COUNTBLANK('Capacity summary'!$H130:$BG130)&lt;52,IF('Capacity summary'!L130&lt;&gt;"",IF(LOWER('Capacity summary'!L130)="x",$BI11*L11,VALUE('Capacity summary'!L130)),0),L11*$BI11),L11*$BI11),0)</f>
        <v>0</v>
      </c>
      <c r="BP11" s="313">
        <f>IF($BI11&lt;&gt;"",IF('Capacity summary'!$D$14="Yes",IF(COUNTBLANK('Capacity summary'!$H130:$BG130)&lt;52,IF('Capacity summary'!M130&lt;&gt;"",IF(LOWER('Capacity summary'!M130)="x",$BI11*M11,VALUE('Capacity summary'!M130)),0),M11*$BI11),M11*$BI11),0)</f>
        <v>0</v>
      </c>
      <c r="BQ11" s="313">
        <f>IF($BI11&lt;&gt;"",IF('Capacity summary'!$D$14="Yes",IF(COUNTBLANK('Capacity summary'!$H130:$BG130)&lt;52,IF('Capacity summary'!N130&lt;&gt;"",IF(LOWER('Capacity summary'!N130)="x",$BI11*N11,VALUE('Capacity summary'!N130)),0),N11*$BI11),N11*$BI11),0)</f>
        <v>0</v>
      </c>
      <c r="BR11" s="313">
        <f>IF($BI11&lt;&gt;"",IF('Capacity summary'!$D$14="Yes",IF(COUNTBLANK('Capacity summary'!$H130:$BG130)&lt;52,IF('Capacity summary'!O130&lt;&gt;"",IF(LOWER('Capacity summary'!O130)="x",$BI11*O11,VALUE('Capacity summary'!O130)),0),O11*$BI11),O11*$BI11),0)</f>
        <v>0</v>
      </c>
      <c r="BS11" s="313">
        <f>IF($BI11&lt;&gt;"",IF('Capacity summary'!$D$14="Yes",IF(COUNTBLANK('Capacity summary'!$H130:$BG130)&lt;52,IF('Capacity summary'!P130&lt;&gt;"",IF(LOWER('Capacity summary'!P130)="x",$BI11*P11,VALUE('Capacity summary'!P130)),0),P11*$BI11),P11*$BI11),0)</f>
        <v>0</v>
      </c>
      <c r="BT11" s="313">
        <f>IF($BI11&lt;&gt;"",IF('Capacity summary'!$D$14="Yes",IF(COUNTBLANK('Capacity summary'!$H130:$BG130)&lt;52,IF('Capacity summary'!Q130&lt;&gt;"",IF(LOWER('Capacity summary'!Q130)="x",$BI11*Q11,VALUE('Capacity summary'!Q130)),0),Q11*$BI11),Q11*$BI11),0)</f>
        <v>0</v>
      </c>
      <c r="BU11" s="313">
        <f>IF($BI11&lt;&gt;"",IF('Capacity summary'!$D$14="Yes",IF(COUNTBLANK('Capacity summary'!$H130:$BG130)&lt;52,IF('Capacity summary'!R130&lt;&gt;"",IF(LOWER('Capacity summary'!R130)="x",$BI11*R11,VALUE('Capacity summary'!R130)),0),R11*$BI11),R11*$BI11),0)</f>
        <v>0</v>
      </c>
      <c r="BV11" s="313">
        <f>IF($BI11&lt;&gt;"",IF('Capacity summary'!$D$14="Yes",IF(COUNTBLANK('Capacity summary'!$H130:$BG130)&lt;52,IF('Capacity summary'!S130&lt;&gt;"",IF(LOWER('Capacity summary'!S130)="x",$BI11*S11,VALUE('Capacity summary'!S130)),0),S11*$BI11),S11*$BI11),0)</f>
        <v>0</v>
      </c>
      <c r="BW11" s="313">
        <f>IF($BI11&lt;&gt;"",IF('Capacity summary'!$D$14="Yes",IF(COUNTBLANK('Capacity summary'!$H130:$BG130)&lt;52,IF('Capacity summary'!T130&lt;&gt;"",IF(LOWER('Capacity summary'!T130)="x",$BI11*T11,VALUE('Capacity summary'!T130)),0),T11*$BI11),T11*$BI11),0)</f>
        <v>0</v>
      </c>
      <c r="BX11" s="313">
        <f>IF($BI11&lt;&gt;"",IF('Capacity summary'!$D$14="Yes",IF(COUNTBLANK('Capacity summary'!$H130:$BG130)&lt;52,IF('Capacity summary'!U130&lt;&gt;"",IF(LOWER('Capacity summary'!U130)="x",$BI11*U11,VALUE('Capacity summary'!U130)),0),U11*$BI11),U11*$BI11),0)</f>
        <v>0</v>
      </c>
      <c r="BY11" s="313">
        <f>IF($BI11&lt;&gt;"",IF('Capacity summary'!$D$14="Yes",IF(COUNTBLANK('Capacity summary'!$H130:$BG130)&lt;52,IF('Capacity summary'!V130&lt;&gt;"",IF(LOWER('Capacity summary'!V130)="x",$BI11*V11,VALUE('Capacity summary'!V130)),0),V11*$BI11),V11*$BI11),0)</f>
        <v>0</v>
      </c>
      <c r="BZ11" s="313">
        <f>IF($BI11&lt;&gt;"",IF('Capacity summary'!$D$14="Yes",IF(COUNTBLANK('Capacity summary'!$H130:$BG130)&lt;52,IF('Capacity summary'!W130&lt;&gt;"",IF(LOWER('Capacity summary'!W130)="x",$BI11*W11,VALUE('Capacity summary'!W130)),0),W11*$BI11),W11*$BI11),0)</f>
        <v>0</v>
      </c>
      <c r="CA11" s="313">
        <f>IF($BI11&lt;&gt;"",IF('Capacity summary'!$D$14="Yes",IF(COUNTBLANK('Capacity summary'!$H130:$BG130)&lt;52,IF('Capacity summary'!X130&lt;&gt;"",IF(LOWER('Capacity summary'!X130)="x",$BI11*X11,VALUE('Capacity summary'!X130)),0),X11*$BI11),X11*$BI11),0)</f>
        <v>0</v>
      </c>
      <c r="CB11" s="313">
        <f>IF($BI11&lt;&gt;"",IF('Capacity summary'!$D$14="Yes",IF(COUNTBLANK('Capacity summary'!$H130:$BG130)&lt;52,IF('Capacity summary'!Y130&lt;&gt;"",IF(LOWER('Capacity summary'!Y130)="x",$BI11*Y11,VALUE('Capacity summary'!Y130)),0),Y11*$BI11),Y11*$BI11),0)</f>
        <v>0</v>
      </c>
      <c r="CC11" s="313">
        <f>IF($BI11&lt;&gt;"",IF('Capacity summary'!$D$14="Yes",IF(COUNTBLANK('Capacity summary'!$H130:$BG130)&lt;52,IF('Capacity summary'!Z130&lt;&gt;"",IF(LOWER('Capacity summary'!Z130)="x",$BI11*Z11,VALUE('Capacity summary'!Z130)),0),Z11*$BI11),Z11*$BI11),0)</f>
        <v>0</v>
      </c>
      <c r="CD11" s="313">
        <f>IF($BI11&lt;&gt;"",IF('Capacity summary'!$D$14="Yes",IF(COUNTBLANK('Capacity summary'!$H130:$BG130)&lt;52,IF('Capacity summary'!AA130&lt;&gt;"",IF(LOWER('Capacity summary'!AA130)="x",$BI11*AA11,VALUE('Capacity summary'!AA130)),0),AA11*$BI11),AA11*$BI11),0)</f>
        <v>0</v>
      </c>
      <c r="CE11" s="313">
        <f>IF($BI11&lt;&gt;"",IF('Capacity summary'!$D$14="Yes",IF(COUNTBLANK('Capacity summary'!$H130:$BG130)&lt;52,IF('Capacity summary'!AB130&lt;&gt;"",IF(LOWER('Capacity summary'!AB130)="x",$BI11*AB11,VALUE('Capacity summary'!AB130)),0),AB11*$BI11),AB11*$BI11),0)</f>
        <v>0</v>
      </c>
      <c r="CF11" s="313">
        <f>IF($BI11&lt;&gt;"",IF('Capacity summary'!$D$14="Yes",IF(COUNTBLANK('Capacity summary'!$H130:$BG130)&lt;52,IF('Capacity summary'!AC130&lt;&gt;"",IF(LOWER('Capacity summary'!AC130)="x",$BI11*AC11,VALUE('Capacity summary'!AC130)),0),AC11*$BI11),AC11*$BI11),0)</f>
        <v>0</v>
      </c>
      <c r="CG11" s="313">
        <f>IF($BI11&lt;&gt;"",IF('Capacity summary'!$D$14="Yes",IF(COUNTBLANK('Capacity summary'!$H130:$BG130)&lt;52,IF('Capacity summary'!AD130&lt;&gt;"",IF(LOWER('Capacity summary'!AD130)="x",$BI11*AD11,VALUE('Capacity summary'!AD130)),0),AD11*$BI11),AD11*$BI11),0)</f>
        <v>0</v>
      </c>
      <c r="CH11" s="313">
        <f>IF($BI11&lt;&gt;"",IF('Capacity summary'!$D$14="Yes",IF(COUNTBLANK('Capacity summary'!$H130:$BG130)&lt;52,IF('Capacity summary'!AE130&lt;&gt;"",IF(LOWER('Capacity summary'!AE130)="x",$BI11*AE11,VALUE('Capacity summary'!AE130)),0),AE11*$BI11),AE11*$BI11),0)</f>
        <v>0</v>
      </c>
      <c r="CI11" s="313">
        <f>IF($BI11&lt;&gt;"",IF('Capacity summary'!$D$14="Yes",IF(COUNTBLANK('Capacity summary'!$H130:$BG130)&lt;52,IF('Capacity summary'!AF130&lt;&gt;"",IF(LOWER('Capacity summary'!AF130)="x",$BI11*AF11,VALUE('Capacity summary'!AF130)),0),AF11*$BI11),AF11*$BI11),0)</f>
        <v>0</v>
      </c>
      <c r="CJ11" s="313">
        <f>IF($BI11&lt;&gt;"",IF('Capacity summary'!$D$14="Yes",IF(COUNTBLANK('Capacity summary'!$H130:$BG130)&lt;52,IF('Capacity summary'!AG130&lt;&gt;"",IF(LOWER('Capacity summary'!AG130)="x",$BI11*AG11,VALUE('Capacity summary'!AG130)),0),AG11*$BI11),AG11*$BI11),0)</f>
        <v>0</v>
      </c>
      <c r="CK11" s="313">
        <f>IF($BI11&lt;&gt;"",IF('Capacity summary'!$D$14="Yes",IF(COUNTBLANK('Capacity summary'!$H130:$BG130)&lt;52,IF('Capacity summary'!AH130&lt;&gt;"",IF(LOWER('Capacity summary'!AH130)="x",$BI11*AH11,VALUE('Capacity summary'!AH130)),0),AH11*$BI11),AH11*$BI11),0)</f>
        <v>0</v>
      </c>
      <c r="CL11" s="313">
        <f>IF($BI11&lt;&gt;"",IF('Capacity summary'!$D$14="Yes",IF(COUNTBLANK('Capacity summary'!$H130:$BG130)&lt;52,IF('Capacity summary'!AI130&lt;&gt;"",IF(LOWER('Capacity summary'!AI130)="x",$BI11*AI11,VALUE('Capacity summary'!AI130)),0),AI11*$BI11),AI11*$BI11),0)</f>
        <v>0</v>
      </c>
      <c r="CM11" s="313">
        <f>IF($BI11&lt;&gt;"",IF('Capacity summary'!$D$14="Yes",IF(COUNTBLANK('Capacity summary'!$H130:$BG130)&lt;52,IF('Capacity summary'!AJ130&lt;&gt;"",IF(LOWER('Capacity summary'!AJ130)="x",$BI11*AJ11,VALUE('Capacity summary'!AJ130)),0),AJ11*$BI11),AJ11*$BI11),0)</f>
        <v>0</v>
      </c>
      <c r="CN11" s="313">
        <f>IF($BI11&lt;&gt;"",IF('Capacity summary'!$D$14="Yes",IF(COUNTBLANK('Capacity summary'!$H130:$BG130)&lt;52,IF('Capacity summary'!AK130&lt;&gt;"",IF(LOWER('Capacity summary'!AK130)="x",$BI11*AK11,VALUE('Capacity summary'!AK130)),0),AK11*$BI11),AK11*$BI11),0)</f>
        <v>0</v>
      </c>
      <c r="CO11" s="313">
        <f>IF($BI11&lt;&gt;"",IF('Capacity summary'!$D$14="Yes",IF(COUNTBLANK('Capacity summary'!$H130:$BG130)&lt;52,IF('Capacity summary'!AL130&lt;&gt;"",IF(LOWER('Capacity summary'!AL130)="x",$BI11*AL11,VALUE('Capacity summary'!AL130)),0),AL11*$BI11),AL11*$BI11),0)</f>
        <v>0</v>
      </c>
      <c r="CP11" s="313">
        <f>IF($BI11&lt;&gt;"",IF('Capacity summary'!$D$14="Yes",IF(COUNTBLANK('Capacity summary'!$H130:$BG130)&lt;52,IF('Capacity summary'!AM130&lt;&gt;"",IF(LOWER('Capacity summary'!AM130)="x",$BI11*AM11,VALUE('Capacity summary'!AM130)),0),AM11*$BI11),AM11*$BI11),0)</f>
        <v>0</v>
      </c>
      <c r="CQ11" s="313">
        <f>IF($BI11&lt;&gt;"",IF('Capacity summary'!$D$14="Yes",IF(COUNTBLANK('Capacity summary'!$H130:$BG130)&lt;52,IF('Capacity summary'!AN130&lt;&gt;"",IF(LOWER('Capacity summary'!AN130)="x",$BI11*AN11,VALUE('Capacity summary'!AN130)),0),AN11*$BI11),AN11*$BI11),0)</f>
        <v>0</v>
      </c>
      <c r="CR11" s="313">
        <f>IF($BI11&lt;&gt;"",IF('Capacity summary'!$D$14="Yes",IF(COUNTBLANK('Capacity summary'!$H130:$BG130)&lt;52,IF('Capacity summary'!AO130&lt;&gt;"",IF(LOWER('Capacity summary'!AO130)="x",$BI11*AO11,VALUE('Capacity summary'!AO130)),0),AO11*$BI11),AO11*$BI11),0)</f>
        <v>0</v>
      </c>
      <c r="CS11" s="313">
        <f>IF($BI11&lt;&gt;"",IF('Capacity summary'!$D$14="Yes",IF(COUNTBLANK('Capacity summary'!$H130:$BG130)&lt;52,IF('Capacity summary'!AP130&lt;&gt;"",IF(LOWER('Capacity summary'!AP130)="x",$BI11*AP11,VALUE('Capacity summary'!AP130)),0),AP11*$BI11),AP11*$BI11),0)</f>
        <v>0</v>
      </c>
      <c r="CT11" s="313">
        <f>IF($BI11&lt;&gt;"",IF('Capacity summary'!$D$14="Yes",IF(COUNTBLANK('Capacity summary'!$H130:$BG130)&lt;52,IF('Capacity summary'!AQ130&lt;&gt;"",IF(LOWER('Capacity summary'!AQ130)="x",$BI11*AQ11,VALUE('Capacity summary'!AQ130)),0),AQ11*$BI11),AQ11*$BI11),0)</f>
        <v>0</v>
      </c>
      <c r="CU11" s="313">
        <f>IF($BI11&lt;&gt;"",IF('Capacity summary'!$D$14="Yes",IF(COUNTBLANK('Capacity summary'!$H130:$BG130)&lt;52,IF('Capacity summary'!AR130&lt;&gt;"",IF(LOWER('Capacity summary'!AR130)="x",$BI11*AR11,VALUE('Capacity summary'!AR130)),0),AR11*$BI11),AR11*$BI11),0)</f>
        <v>0</v>
      </c>
      <c r="CV11" s="313">
        <f>IF($BI11&lt;&gt;"",IF('Capacity summary'!$D$14="Yes",IF(COUNTBLANK('Capacity summary'!$H130:$BG130)&lt;52,IF('Capacity summary'!AS130&lt;&gt;"",IF(LOWER('Capacity summary'!AS130)="x",$BI11*AS11,VALUE('Capacity summary'!AS130)),0),AS11*$BI11),AS11*$BI11),0)</f>
        <v>0</v>
      </c>
      <c r="CW11" s="313">
        <f>IF($BI11&lt;&gt;"",IF('Capacity summary'!$D$14="Yes",IF(COUNTBLANK('Capacity summary'!$H130:$BG130)&lt;52,IF('Capacity summary'!AT130&lt;&gt;"",IF(LOWER('Capacity summary'!AT130)="x",$BI11*AT11,VALUE('Capacity summary'!AT130)),0),AT11*$BI11),AT11*$BI11),0)</f>
        <v>0</v>
      </c>
      <c r="CX11" s="313">
        <f>IF($BI11&lt;&gt;"",IF('Capacity summary'!$D$14="Yes",IF(COUNTBLANK('Capacity summary'!$H130:$BG130)&lt;52,IF('Capacity summary'!AU130&lt;&gt;"",IF(LOWER('Capacity summary'!AU130)="x",$BI11*AU11,VALUE('Capacity summary'!AU130)),0),AU11*$BI11),AU11*$BI11),0)</f>
        <v>0</v>
      </c>
      <c r="CY11" s="313">
        <f>IF($BI11&lt;&gt;"",IF('Capacity summary'!$D$14="Yes",IF(COUNTBLANK('Capacity summary'!$H130:$BG130)&lt;52,IF('Capacity summary'!AV130&lt;&gt;"",IF(LOWER('Capacity summary'!AV130)="x",$BI11*AV11,VALUE('Capacity summary'!AV130)),0),AV11*$BI11),AV11*$BI11),0)</f>
        <v>0</v>
      </c>
      <c r="CZ11" s="313">
        <f>IF($BI11&lt;&gt;"",IF('Capacity summary'!$D$14="Yes",IF(COUNTBLANK('Capacity summary'!$H130:$BG130)&lt;52,IF('Capacity summary'!AW130&lt;&gt;"",IF(LOWER('Capacity summary'!AW130)="x",$BI11*AW11,VALUE('Capacity summary'!AW130)),0),AW11*$BI11),AW11*$BI11),0)</f>
        <v>0</v>
      </c>
      <c r="DA11" s="313">
        <f>IF($BI11&lt;&gt;"",IF('Capacity summary'!$D$14="Yes",IF(COUNTBLANK('Capacity summary'!$H130:$BG130)&lt;52,IF('Capacity summary'!AX130&lt;&gt;"",IF(LOWER('Capacity summary'!AX130)="x",$BI11*AX11,VALUE('Capacity summary'!AX130)),0),AX11*$BI11),AX11*$BI11),0)</f>
        <v>0</v>
      </c>
      <c r="DB11" s="313">
        <f>IF($BI11&lt;&gt;"",IF('Capacity summary'!$D$14="Yes",IF(COUNTBLANK('Capacity summary'!$H130:$BG130)&lt;52,IF('Capacity summary'!AY130&lt;&gt;"",IF(LOWER('Capacity summary'!AY130)="x",$BI11*AY11,VALUE('Capacity summary'!AY130)),0),AY11*$BI11),AY11*$BI11),0)</f>
        <v>0</v>
      </c>
      <c r="DC11" s="313">
        <f>IF($BI11&lt;&gt;"",IF('Capacity summary'!$D$14="Yes",IF(COUNTBLANK('Capacity summary'!$H130:$BG130)&lt;52,IF('Capacity summary'!AZ130&lt;&gt;"",IF(LOWER('Capacity summary'!AZ130)="x",$BI11*AZ11,VALUE('Capacity summary'!AZ130)),0),AZ11*$BI11),AZ11*$BI11),0)</f>
        <v>0</v>
      </c>
      <c r="DD11" s="313">
        <f>IF($BI11&lt;&gt;"",IF('Capacity summary'!$D$14="Yes",IF(COUNTBLANK('Capacity summary'!$H130:$BG130)&lt;52,IF('Capacity summary'!BA130&lt;&gt;"",IF(LOWER('Capacity summary'!BA130)="x",$BI11*BA11,VALUE('Capacity summary'!BA130)),0),BA11*$BI11),BA11*$BI11),0)</f>
        <v>0</v>
      </c>
      <c r="DE11" s="313">
        <f>IF($BI11&lt;&gt;"",IF('Capacity summary'!$D$14="Yes",IF(COUNTBLANK('Capacity summary'!$H130:$BG130)&lt;52,IF('Capacity summary'!BB130&lt;&gt;"",IF(LOWER('Capacity summary'!BB130)="x",$BI11*BB11,VALUE('Capacity summary'!BB130)),0),BB11*$BI11),BB11*$BI11),0)</f>
        <v>0</v>
      </c>
      <c r="DF11" s="313">
        <f>IF($BI11&lt;&gt;"",IF('Capacity summary'!$D$14="Yes",IF(COUNTBLANK('Capacity summary'!$H130:$BG130)&lt;52,IF('Capacity summary'!BC130&lt;&gt;"",IF(LOWER('Capacity summary'!BC130)="x",$BI11*BC11,VALUE('Capacity summary'!BC130)),0),BC11*$BI11),BC11*$BI11),0)</f>
        <v>0</v>
      </c>
      <c r="DG11" s="313">
        <f>IF($BI11&lt;&gt;"",IF('Capacity summary'!$D$14="Yes",IF(COUNTBLANK('Capacity summary'!$H130:$BG130)&lt;52,IF('Capacity summary'!BD130&lt;&gt;"",IF(LOWER('Capacity summary'!BD130)="x",$BI11*BD11,VALUE('Capacity summary'!BD130)),0),BD11*$BI11),BD11*$BI11),0)</f>
        <v>0</v>
      </c>
      <c r="DH11" s="313">
        <f>IF($BI11&lt;&gt;"",IF('Capacity summary'!$D$14="Yes",IF(COUNTBLANK('Capacity summary'!$H130:$BG130)&lt;52,IF('Capacity summary'!BE130&lt;&gt;"",IF(LOWER('Capacity summary'!BE130)="x",$BI11*BE11,VALUE('Capacity summary'!BE130)),0),BE11*$BI11),BE11*$BI11),0)</f>
        <v>0</v>
      </c>
      <c r="DI11" s="313">
        <f>IF($BI11&lt;&gt;"",IF('Capacity summary'!$D$14="Yes",IF(COUNTBLANK('Capacity summary'!$H130:$BG130)&lt;52,IF('Capacity summary'!BF130&lt;&gt;"",IF(LOWER('Capacity summary'!BF130)="x",$BI11*BF11,VALUE('Capacity summary'!BF130)),0),BF11*$BI11),BF11*$BI11),0)</f>
        <v>0</v>
      </c>
      <c r="DJ11" s="313">
        <f>IF($BI11&lt;&gt;"",IF('Capacity summary'!$D$14="Yes",IF(COUNTBLANK('Capacity summary'!$H130:$BG130)&lt;52,IF('Capacity summary'!BG130&lt;&gt;"",IF(LOWER('Capacity summary'!BG130)="x",$BI11*BG11,VALUE('Capacity summary'!BG130)),0),BG11*$BI11),BG11*$BI11),0)</f>
        <v>0</v>
      </c>
      <c r="DK11" s="137">
        <f t="shared" si="2"/>
        <v>0</v>
      </c>
      <c r="DL11" s="313" t="str">
        <f>Capacity!H23</f>
        <v/>
      </c>
      <c r="DP11" s="5"/>
    </row>
    <row r="12" spans="2:120" x14ac:dyDescent="0.25">
      <c r="B12" s="67"/>
      <c r="C12" s="67" t="str">
        <f>ROW(A8)&amp;". "&amp;Capacity!B24</f>
        <v xml:space="preserve">8. </v>
      </c>
      <c r="D12" s="67">
        <f>'Capacity setup'!C19</f>
        <v>0</v>
      </c>
      <c r="E12" s="67">
        <f>'Capacity setup'!D19</f>
        <v>0</v>
      </c>
      <c r="F12" s="67">
        <f>'Capacity setup'!E19</f>
        <v>0</v>
      </c>
      <c r="H12" s="67">
        <f ca="1">IF(AND(SUMIF(Capacity_Resource,$D12,'Critical resources (hide)'!U$6:U$105)+SUMIF(Capacity_Resource,$E12,'Critical resources (hide)'!U$6:U$105)+SUMIF(Capacity_Resource,$F12,'Critical resources (hide)'!U$6:U$105)&gt;0,$E$1=2),0,1)</f>
        <v>1</v>
      </c>
      <c r="I12" s="67">
        <f ca="1">IF(AND(SUMIF(Capacity_Resource,$D12,'Critical resources (hide)'!V$6:V$105)+SUMIF(Capacity_Resource,$E12,'Critical resources (hide)'!V$6:V$105)+SUMIF(Capacity_Resource,$F12,'Critical resources (hide)'!V$6:V$105)&gt;0,$E$1=2),0,1)</f>
        <v>1</v>
      </c>
      <c r="J12" s="67">
        <f ca="1">IF(AND(SUMIF(Capacity_Resource,$D12,'Critical resources (hide)'!W$6:W$105)+SUMIF(Capacity_Resource,$E12,'Critical resources (hide)'!W$6:W$105)+SUMIF(Capacity_Resource,$F12,'Critical resources (hide)'!W$6:W$105)&gt;0,$E$1=2),0,1)</f>
        <v>1</v>
      </c>
      <c r="K12" s="67">
        <f ca="1">IF(AND(SUMIF(Capacity_Resource,$D12,'Critical resources (hide)'!X$6:X$105)+SUMIF(Capacity_Resource,$E12,'Critical resources (hide)'!X$6:X$105)+SUMIF(Capacity_Resource,$F12,'Critical resources (hide)'!X$6:X$105)&gt;0,$E$1=2),0,1)</f>
        <v>1</v>
      </c>
      <c r="L12" s="67">
        <f ca="1">IF(AND(SUMIF(Capacity_Resource,$D12,'Critical resources (hide)'!Y$6:Y$105)+SUMIF(Capacity_Resource,$E12,'Critical resources (hide)'!Y$6:Y$105)+SUMIF(Capacity_Resource,$F12,'Critical resources (hide)'!Y$6:Y$105)&gt;0,$E$1=2),0,1)</f>
        <v>1</v>
      </c>
      <c r="M12" s="67">
        <f ca="1">IF(AND(SUMIF(Capacity_Resource,$D12,'Critical resources (hide)'!Z$6:Z$105)+SUMIF(Capacity_Resource,$E12,'Critical resources (hide)'!Z$6:Z$105)+SUMIF(Capacity_Resource,$F12,'Critical resources (hide)'!Z$6:Z$105)&gt;0,$E$1=2),0,1)</f>
        <v>1</v>
      </c>
      <c r="N12" s="67">
        <f ca="1">IF(AND(SUMIF(Capacity_Resource,$D12,'Critical resources (hide)'!AA$6:AA$105)+SUMIF(Capacity_Resource,$E12,'Critical resources (hide)'!AA$6:AA$105)+SUMIF(Capacity_Resource,$F12,'Critical resources (hide)'!AA$6:AA$105)&gt;0,$E$1=2),0,1)</f>
        <v>1</v>
      </c>
      <c r="O12" s="67">
        <f ca="1">IF(AND(SUMIF(Capacity_Resource,$D12,'Critical resources (hide)'!AB$6:AB$105)+SUMIF(Capacity_Resource,$E12,'Critical resources (hide)'!AB$6:AB$105)+SUMIF(Capacity_Resource,$F12,'Critical resources (hide)'!AB$6:AB$105)&gt;0,$E$1=2),0,1)</f>
        <v>1</v>
      </c>
      <c r="P12" s="67">
        <f ca="1">IF(AND(SUMIF(Capacity_Resource,$D12,'Critical resources (hide)'!AC$6:AC$105)+SUMIF(Capacity_Resource,$E12,'Critical resources (hide)'!AC$6:AC$105)+SUMIF(Capacity_Resource,$F12,'Critical resources (hide)'!AC$6:AC$105)&gt;0,$E$1=2),0,1)</f>
        <v>1</v>
      </c>
      <c r="Q12" s="67">
        <f ca="1">IF(AND(SUMIF(Capacity_Resource,$D12,'Critical resources (hide)'!AD$6:AD$105)+SUMIF(Capacity_Resource,$E12,'Critical resources (hide)'!AD$6:AD$105)+SUMIF(Capacity_Resource,$F12,'Critical resources (hide)'!AD$6:AD$105)&gt;0,$E$1=2),0,1)</f>
        <v>1</v>
      </c>
      <c r="R12" s="67">
        <f ca="1">IF(AND(SUMIF(Capacity_Resource,$D12,'Critical resources (hide)'!AE$6:AE$105)+SUMIF(Capacity_Resource,$E12,'Critical resources (hide)'!AE$6:AE$105)+SUMIF(Capacity_Resource,$F12,'Critical resources (hide)'!AE$6:AE$105)&gt;0,$E$1=2),0,1)</f>
        <v>1</v>
      </c>
      <c r="S12" s="67">
        <f ca="1">IF(AND(SUMIF(Capacity_Resource,$D12,'Critical resources (hide)'!AF$6:AF$105)+SUMIF(Capacity_Resource,$E12,'Critical resources (hide)'!AF$6:AF$105)+SUMIF(Capacity_Resource,$F12,'Critical resources (hide)'!AF$6:AF$105)&gt;0,$E$1=2),0,1)</f>
        <v>1</v>
      </c>
      <c r="T12" s="67">
        <f ca="1">IF(AND(SUMIF(Capacity_Resource,$D12,'Critical resources (hide)'!AG$6:AG$105)+SUMIF(Capacity_Resource,$E12,'Critical resources (hide)'!AG$6:AG$105)+SUMIF(Capacity_Resource,$F12,'Critical resources (hide)'!AG$6:AG$105)&gt;0,$E$1=2),0,1)</f>
        <v>1</v>
      </c>
      <c r="U12" s="67">
        <f ca="1">IF(AND(SUMIF(Capacity_Resource,$D12,'Critical resources (hide)'!AH$6:AH$105)+SUMIF(Capacity_Resource,$E12,'Critical resources (hide)'!AH$6:AH$105)+SUMIF(Capacity_Resource,$F12,'Critical resources (hide)'!AH$6:AH$105)&gt;0,$E$1=2),0,1)</f>
        <v>1</v>
      </c>
      <c r="V12" s="67">
        <f ca="1">IF(AND(SUMIF(Capacity_Resource,$D12,'Critical resources (hide)'!AI$6:AI$105)+SUMIF(Capacity_Resource,$E12,'Critical resources (hide)'!AI$6:AI$105)+SUMIF(Capacity_Resource,$F12,'Critical resources (hide)'!AI$6:AI$105)&gt;0,$E$1=2),0,1)</f>
        <v>1</v>
      </c>
      <c r="W12" s="67">
        <f ca="1">IF(AND(SUMIF(Capacity_Resource,$D12,'Critical resources (hide)'!AJ$6:AJ$105)+SUMIF(Capacity_Resource,$E12,'Critical resources (hide)'!AJ$6:AJ$105)+SUMIF(Capacity_Resource,$F12,'Critical resources (hide)'!AJ$6:AJ$105)&gt;0,$E$1=2),0,1)</f>
        <v>1</v>
      </c>
      <c r="X12" s="67">
        <f ca="1">IF(AND(SUMIF(Capacity_Resource,$D12,'Critical resources (hide)'!AK$6:AK$105)+SUMIF(Capacity_Resource,$E12,'Critical resources (hide)'!AK$6:AK$105)+SUMIF(Capacity_Resource,$F12,'Critical resources (hide)'!AK$6:AK$105)&gt;0,$E$1=2),0,1)</f>
        <v>1</v>
      </c>
      <c r="Y12" s="67">
        <f ca="1">IF(AND(SUMIF(Capacity_Resource,$D12,'Critical resources (hide)'!AL$6:AL$105)+SUMIF(Capacity_Resource,$E12,'Critical resources (hide)'!AL$6:AL$105)+SUMIF(Capacity_Resource,$F12,'Critical resources (hide)'!AL$6:AL$105)&gt;0,$E$1=2),0,1)</f>
        <v>1</v>
      </c>
      <c r="Z12" s="67">
        <f ca="1">IF(AND(SUMIF(Capacity_Resource,$D12,'Critical resources (hide)'!AM$6:AM$105)+SUMIF(Capacity_Resource,$E12,'Critical resources (hide)'!AM$6:AM$105)+SUMIF(Capacity_Resource,$F12,'Critical resources (hide)'!AM$6:AM$105)&gt;0,$E$1=2),0,1)</f>
        <v>1</v>
      </c>
      <c r="AA12" s="67">
        <f ca="1">IF(AND(SUMIF(Capacity_Resource,$D12,'Critical resources (hide)'!AN$6:AN$105)+SUMIF(Capacity_Resource,$E12,'Critical resources (hide)'!AN$6:AN$105)+SUMIF(Capacity_Resource,$F12,'Critical resources (hide)'!AN$6:AN$105)&gt;0,$E$1=2),0,1)</f>
        <v>1</v>
      </c>
      <c r="AB12" s="67">
        <f ca="1">IF(AND(SUMIF(Capacity_Resource,$D12,'Critical resources (hide)'!AO$6:AO$105)+SUMIF(Capacity_Resource,$E12,'Critical resources (hide)'!AO$6:AO$105)+SUMIF(Capacity_Resource,$F12,'Critical resources (hide)'!AO$6:AO$105)&gt;0,$E$1=2),0,1)</f>
        <v>1</v>
      </c>
      <c r="AC12" s="67">
        <f ca="1">IF(AND(SUMIF(Capacity_Resource,$D12,'Critical resources (hide)'!AP$6:AP$105)+SUMIF(Capacity_Resource,$E12,'Critical resources (hide)'!AP$6:AP$105)+SUMIF(Capacity_Resource,$F12,'Critical resources (hide)'!AP$6:AP$105)&gt;0,$E$1=2),0,1)</f>
        <v>1</v>
      </c>
      <c r="AD12" s="67">
        <f ca="1">IF(AND(SUMIF(Capacity_Resource,$D12,'Critical resources (hide)'!AQ$6:AQ$105)+SUMIF(Capacity_Resource,$E12,'Critical resources (hide)'!AQ$6:AQ$105)+SUMIF(Capacity_Resource,$F12,'Critical resources (hide)'!AQ$6:AQ$105)&gt;0,$E$1=2),0,1)</f>
        <v>1</v>
      </c>
      <c r="AE12" s="67">
        <f ca="1">IF(AND(SUMIF(Capacity_Resource,$D12,'Critical resources (hide)'!AR$6:AR$105)+SUMIF(Capacity_Resource,$E12,'Critical resources (hide)'!AR$6:AR$105)+SUMIF(Capacity_Resource,$F12,'Critical resources (hide)'!AR$6:AR$105)&gt;0,$E$1=2),0,1)</f>
        <v>1</v>
      </c>
      <c r="AF12" s="67">
        <f ca="1">IF(AND(SUMIF(Capacity_Resource,$D12,'Critical resources (hide)'!AS$6:AS$105)+SUMIF(Capacity_Resource,$E12,'Critical resources (hide)'!AS$6:AS$105)+SUMIF(Capacity_Resource,$F12,'Critical resources (hide)'!AS$6:AS$105)&gt;0,$E$1=2),0,1)</f>
        <v>1</v>
      </c>
      <c r="AG12" s="67">
        <f ca="1">IF(AND(SUMIF(Capacity_Resource,$D12,'Critical resources (hide)'!AT$6:AT$105)+SUMIF(Capacity_Resource,$E12,'Critical resources (hide)'!AT$6:AT$105)+SUMIF(Capacity_Resource,$F12,'Critical resources (hide)'!AT$6:AT$105)&gt;0,$E$1=2),0,1)</f>
        <v>1</v>
      </c>
      <c r="AH12" s="67">
        <f ca="1">IF(AND(SUMIF(Capacity_Resource,$D12,'Critical resources (hide)'!AU$6:AU$105)+SUMIF(Capacity_Resource,$E12,'Critical resources (hide)'!AU$6:AU$105)+SUMIF(Capacity_Resource,$F12,'Critical resources (hide)'!AU$6:AU$105)&gt;0,$E$1=2),0,1)</f>
        <v>1</v>
      </c>
      <c r="AI12" s="67">
        <f ca="1">IF(AND(SUMIF(Capacity_Resource,$D12,'Critical resources (hide)'!AV$6:AV$105)+SUMIF(Capacity_Resource,$E12,'Critical resources (hide)'!AV$6:AV$105)+SUMIF(Capacity_Resource,$F12,'Critical resources (hide)'!AV$6:AV$105)&gt;0,$E$1=2),0,1)</f>
        <v>1</v>
      </c>
      <c r="AJ12" s="67">
        <f ca="1">IF(AND(SUMIF(Capacity_Resource,$D12,'Critical resources (hide)'!AW$6:AW$105)+SUMIF(Capacity_Resource,$E12,'Critical resources (hide)'!AW$6:AW$105)+SUMIF(Capacity_Resource,$F12,'Critical resources (hide)'!AW$6:AW$105)&gt;0,$E$1=2),0,1)</f>
        <v>1</v>
      </c>
      <c r="AK12" s="67">
        <f ca="1">IF(AND(SUMIF(Capacity_Resource,$D12,'Critical resources (hide)'!AX$6:AX$105)+SUMIF(Capacity_Resource,$E12,'Critical resources (hide)'!AX$6:AX$105)+SUMIF(Capacity_Resource,$F12,'Critical resources (hide)'!AX$6:AX$105)&gt;0,$E$1=2),0,1)</f>
        <v>1</v>
      </c>
      <c r="AL12" s="67">
        <f ca="1">IF(AND(SUMIF(Capacity_Resource,$D12,'Critical resources (hide)'!AY$6:AY$105)+SUMIF(Capacity_Resource,$E12,'Critical resources (hide)'!AY$6:AY$105)+SUMIF(Capacity_Resource,$F12,'Critical resources (hide)'!AY$6:AY$105)&gt;0,$E$1=2),0,1)</f>
        <v>1</v>
      </c>
      <c r="AM12" s="67">
        <f ca="1">IF(AND(SUMIF(Capacity_Resource,$D12,'Critical resources (hide)'!AZ$6:AZ$105)+SUMIF(Capacity_Resource,$E12,'Critical resources (hide)'!AZ$6:AZ$105)+SUMIF(Capacity_Resource,$F12,'Critical resources (hide)'!AZ$6:AZ$105)&gt;0,$E$1=2),0,1)</f>
        <v>1</v>
      </c>
      <c r="AN12" s="67">
        <f ca="1">IF(AND(SUMIF(Capacity_Resource,$D12,'Critical resources (hide)'!BA$6:BA$105)+SUMIF(Capacity_Resource,$E12,'Critical resources (hide)'!BA$6:BA$105)+SUMIF(Capacity_Resource,$F12,'Critical resources (hide)'!BA$6:BA$105)&gt;0,$E$1=2),0,1)</f>
        <v>1</v>
      </c>
      <c r="AO12" s="67">
        <f ca="1">IF(AND(SUMIF(Capacity_Resource,$D12,'Critical resources (hide)'!BB$6:BB$105)+SUMIF(Capacity_Resource,$E12,'Critical resources (hide)'!BB$6:BB$105)+SUMIF(Capacity_Resource,$F12,'Critical resources (hide)'!BB$6:BB$105)&gt;0,$E$1=2),0,1)</f>
        <v>1</v>
      </c>
      <c r="AP12" s="67">
        <f ca="1">IF(AND(SUMIF(Capacity_Resource,$D12,'Critical resources (hide)'!BC$6:BC$105)+SUMIF(Capacity_Resource,$E12,'Critical resources (hide)'!BC$6:BC$105)+SUMIF(Capacity_Resource,$F12,'Critical resources (hide)'!BC$6:BC$105)&gt;0,$E$1=2),0,1)</f>
        <v>1</v>
      </c>
      <c r="AQ12" s="67">
        <f ca="1">IF(AND(SUMIF(Capacity_Resource,$D12,'Critical resources (hide)'!BD$6:BD$105)+SUMIF(Capacity_Resource,$E12,'Critical resources (hide)'!BD$6:BD$105)+SUMIF(Capacity_Resource,$F12,'Critical resources (hide)'!BD$6:BD$105)&gt;0,$E$1=2),0,1)</f>
        <v>1</v>
      </c>
      <c r="AR12" s="67">
        <f ca="1">IF(AND(SUMIF(Capacity_Resource,$D12,'Critical resources (hide)'!BE$6:BE$105)+SUMIF(Capacity_Resource,$E12,'Critical resources (hide)'!BE$6:BE$105)+SUMIF(Capacity_Resource,$F12,'Critical resources (hide)'!BE$6:BE$105)&gt;0,$E$1=2),0,1)</f>
        <v>1</v>
      </c>
      <c r="AS12" s="67">
        <f ca="1">IF(AND(SUMIF(Capacity_Resource,$D12,'Critical resources (hide)'!BF$6:BF$105)+SUMIF(Capacity_Resource,$E12,'Critical resources (hide)'!BF$6:BF$105)+SUMIF(Capacity_Resource,$F12,'Critical resources (hide)'!BF$6:BF$105)&gt;0,$E$1=2),0,1)</f>
        <v>1</v>
      </c>
      <c r="AT12" s="67">
        <f ca="1">IF(AND(SUMIF(Capacity_Resource,$D12,'Critical resources (hide)'!BG$6:BG$105)+SUMIF(Capacity_Resource,$E12,'Critical resources (hide)'!BG$6:BG$105)+SUMIF(Capacity_Resource,$F12,'Critical resources (hide)'!BG$6:BG$105)&gt;0,$E$1=2),0,1)</f>
        <v>1</v>
      </c>
      <c r="AU12" s="67">
        <f ca="1">IF(AND(SUMIF(Capacity_Resource,$D12,'Critical resources (hide)'!BH$6:BH$105)+SUMIF(Capacity_Resource,$E12,'Critical resources (hide)'!BH$6:BH$105)+SUMIF(Capacity_Resource,$F12,'Critical resources (hide)'!BH$6:BH$105)&gt;0,$E$1=2),0,1)</f>
        <v>1</v>
      </c>
      <c r="AV12" s="67">
        <f ca="1">IF(AND(SUMIF(Capacity_Resource,$D12,'Critical resources (hide)'!BI$6:BI$105)+SUMIF(Capacity_Resource,$E12,'Critical resources (hide)'!BI$6:BI$105)+SUMIF(Capacity_Resource,$F12,'Critical resources (hide)'!BI$6:BI$105)&gt;0,$E$1=2),0,1)</f>
        <v>1</v>
      </c>
      <c r="AW12" s="67">
        <f ca="1">IF(AND(SUMIF(Capacity_Resource,$D12,'Critical resources (hide)'!BJ$6:BJ$105)+SUMIF(Capacity_Resource,$E12,'Critical resources (hide)'!BJ$6:BJ$105)+SUMIF(Capacity_Resource,$F12,'Critical resources (hide)'!BJ$6:BJ$105)&gt;0,$E$1=2),0,1)</f>
        <v>1</v>
      </c>
      <c r="AX12" s="67">
        <f ca="1">IF(AND(SUMIF(Capacity_Resource,$D12,'Critical resources (hide)'!BK$6:BK$105)+SUMIF(Capacity_Resource,$E12,'Critical resources (hide)'!BK$6:BK$105)+SUMIF(Capacity_Resource,$F12,'Critical resources (hide)'!BK$6:BK$105)&gt;0,$E$1=2),0,1)</f>
        <v>1</v>
      </c>
      <c r="AY12" s="67">
        <f ca="1">IF(AND(SUMIF(Capacity_Resource,$D12,'Critical resources (hide)'!BL$6:BL$105)+SUMIF(Capacity_Resource,$E12,'Critical resources (hide)'!BL$6:BL$105)+SUMIF(Capacity_Resource,$F12,'Critical resources (hide)'!BL$6:BL$105)&gt;0,$E$1=2),0,1)</f>
        <v>1</v>
      </c>
      <c r="AZ12" s="67">
        <f ca="1">IF(AND(SUMIF(Capacity_Resource,$D12,'Critical resources (hide)'!BM$6:BM$105)+SUMIF(Capacity_Resource,$E12,'Critical resources (hide)'!BM$6:BM$105)+SUMIF(Capacity_Resource,$F12,'Critical resources (hide)'!BM$6:BM$105)&gt;0,$E$1=2),0,1)</f>
        <v>1</v>
      </c>
      <c r="BA12" s="67">
        <f ca="1">IF(AND(SUMIF(Capacity_Resource,$D12,'Critical resources (hide)'!BN$6:BN$105)+SUMIF(Capacity_Resource,$E12,'Critical resources (hide)'!BN$6:BN$105)+SUMIF(Capacity_Resource,$F12,'Critical resources (hide)'!BN$6:BN$105)&gt;0,$E$1=2),0,1)</f>
        <v>1</v>
      </c>
      <c r="BB12" s="67">
        <f ca="1">IF(AND(SUMIF(Capacity_Resource,$D12,'Critical resources (hide)'!BO$6:BO$105)+SUMIF(Capacity_Resource,$E12,'Critical resources (hide)'!BO$6:BO$105)+SUMIF(Capacity_Resource,$F12,'Critical resources (hide)'!BO$6:BO$105)&gt;0,$E$1=2),0,1)</f>
        <v>1</v>
      </c>
      <c r="BC12" s="67">
        <f ca="1">IF(AND(SUMIF(Capacity_Resource,$D12,'Critical resources (hide)'!BP$6:BP$105)+SUMIF(Capacity_Resource,$E12,'Critical resources (hide)'!BP$6:BP$105)+SUMIF(Capacity_Resource,$F12,'Critical resources (hide)'!BP$6:BP$105)&gt;0,$E$1=2),0,1)</f>
        <v>1</v>
      </c>
      <c r="BD12" s="67">
        <f ca="1">IF(AND(SUMIF(Capacity_Resource,$D12,'Critical resources (hide)'!BQ$6:BQ$105)+SUMIF(Capacity_Resource,$E12,'Critical resources (hide)'!BQ$6:BQ$105)+SUMIF(Capacity_Resource,$F12,'Critical resources (hide)'!BQ$6:BQ$105)&gt;0,$E$1=2),0,1)</f>
        <v>1</v>
      </c>
      <c r="BE12" s="67">
        <f ca="1">IF(AND(SUMIF(Capacity_Resource,$D12,'Critical resources (hide)'!BR$6:BR$105)+SUMIF(Capacity_Resource,$E12,'Critical resources (hide)'!BR$6:BR$105)+SUMIF(Capacity_Resource,$F12,'Critical resources (hide)'!BR$6:BR$105)&gt;0,$E$1=2),0,1)</f>
        <v>1</v>
      </c>
      <c r="BF12" s="67">
        <f ca="1">IF(AND(SUMIF(Capacity_Resource,$D12,'Critical resources (hide)'!BS$6:BS$105)+SUMIF(Capacity_Resource,$E12,'Critical resources (hide)'!BS$6:BS$105)+SUMIF(Capacity_Resource,$F12,'Critical resources (hide)'!BS$6:BS$105)&gt;0,$E$1=2),0,1)</f>
        <v>1</v>
      </c>
      <c r="BG12" s="67">
        <f ca="1">IF(AND(SUMIF(Capacity_Resource,$D12,'Critical resources (hide)'!BT$6:BT$105)+SUMIF(Capacity_Resource,$E12,'Critical resources (hide)'!BT$6:BT$105)+SUMIF(Capacity_Resource,$F12,'Critical resources (hide)'!BT$6:BT$105)&gt;0,$E$1=2),0,1)</f>
        <v>1</v>
      </c>
      <c r="BH12" s="67">
        <f>IF(ROW(C8)&lt;=Capacity!$A$16,IF('Capacity summary'!$D$14="No",SUM(H12:BG12),'Capacity summary'!$E131),0)</f>
        <v>0</v>
      </c>
      <c r="BI12" s="5" t="str">
        <f>IF(BH12&gt;0,IF(BH12&lt;Capacity!E24,Capacity!F24,Capacity!H24/'Capacity calculation (hide)'!BH12),"")</f>
        <v/>
      </c>
      <c r="BK12" s="313">
        <f>IF($BI12&lt;&gt;"",IF('Capacity summary'!$D$14="Yes",IF(COUNTBLANK('Capacity summary'!$H131:$BG131)&lt;52,IF('Capacity summary'!H131&lt;&gt;"",IF(LOWER('Capacity summary'!H131)="x",$BI12*H12,VALUE('Capacity summary'!H131)),0),H12*$BI12),H12*$BI12),0)</f>
        <v>0</v>
      </c>
      <c r="BL12" s="313">
        <f>IF($BI12&lt;&gt;"",IF('Capacity summary'!$D$14="Yes",IF(COUNTBLANK('Capacity summary'!$H131:$BG131)&lt;52,IF('Capacity summary'!I131&lt;&gt;"",IF(LOWER('Capacity summary'!I131)="x",$BI12*I12,VALUE('Capacity summary'!I131)),0),I12*$BI12),I12*$BI12),0)</f>
        <v>0</v>
      </c>
      <c r="BM12" s="313">
        <f>IF($BI12&lt;&gt;"",IF('Capacity summary'!$D$14="Yes",IF(COUNTBLANK('Capacity summary'!$H131:$BG131)&lt;52,IF('Capacity summary'!J131&lt;&gt;"",IF(LOWER('Capacity summary'!J131)="x",$BI12*J12,VALUE('Capacity summary'!J131)),0),J12*$BI12),J12*$BI12),0)</f>
        <v>0</v>
      </c>
      <c r="BN12" s="313">
        <f>IF($BI12&lt;&gt;"",IF('Capacity summary'!$D$14="Yes",IF(COUNTBLANK('Capacity summary'!$H131:$BG131)&lt;52,IF('Capacity summary'!K131&lt;&gt;"",IF(LOWER('Capacity summary'!K131)="x",$BI12*K12,VALUE('Capacity summary'!K131)),0),K12*$BI12),K12*$BI12),0)</f>
        <v>0</v>
      </c>
      <c r="BO12" s="313">
        <f>IF($BI12&lt;&gt;"",IF('Capacity summary'!$D$14="Yes",IF(COUNTBLANK('Capacity summary'!$H131:$BG131)&lt;52,IF('Capacity summary'!L131&lt;&gt;"",IF(LOWER('Capacity summary'!L131)="x",$BI12*L12,VALUE('Capacity summary'!L131)),0),L12*$BI12),L12*$BI12),0)</f>
        <v>0</v>
      </c>
      <c r="BP12" s="313">
        <f>IF($BI12&lt;&gt;"",IF('Capacity summary'!$D$14="Yes",IF(COUNTBLANK('Capacity summary'!$H131:$BG131)&lt;52,IF('Capacity summary'!M131&lt;&gt;"",IF(LOWER('Capacity summary'!M131)="x",$BI12*M12,VALUE('Capacity summary'!M131)),0),M12*$BI12),M12*$BI12),0)</f>
        <v>0</v>
      </c>
      <c r="BQ12" s="313">
        <f>IF($BI12&lt;&gt;"",IF('Capacity summary'!$D$14="Yes",IF(COUNTBLANK('Capacity summary'!$H131:$BG131)&lt;52,IF('Capacity summary'!N131&lt;&gt;"",IF(LOWER('Capacity summary'!N131)="x",$BI12*N12,VALUE('Capacity summary'!N131)),0),N12*$BI12),N12*$BI12),0)</f>
        <v>0</v>
      </c>
      <c r="BR12" s="313">
        <f>IF($BI12&lt;&gt;"",IF('Capacity summary'!$D$14="Yes",IF(COUNTBLANK('Capacity summary'!$H131:$BG131)&lt;52,IF('Capacity summary'!O131&lt;&gt;"",IF(LOWER('Capacity summary'!O131)="x",$BI12*O12,VALUE('Capacity summary'!O131)),0),O12*$BI12),O12*$BI12),0)</f>
        <v>0</v>
      </c>
      <c r="BS12" s="313">
        <f>IF($BI12&lt;&gt;"",IF('Capacity summary'!$D$14="Yes",IF(COUNTBLANK('Capacity summary'!$H131:$BG131)&lt;52,IF('Capacity summary'!P131&lt;&gt;"",IF(LOWER('Capacity summary'!P131)="x",$BI12*P12,VALUE('Capacity summary'!P131)),0),P12*$BI12),P12*$BI12),0)</f>
        <v>0</v>
      </c>
      <c r="BT12" s="313">
        <f>IF($BI12&lt;&gt;"",IF('Capacity summary'!$D$14="Yes",IF(COUNTBLANK('Capacity summary'!$H131:$BG131)&lt;52,IF('Capacity summary'!Q131&lt;&gt;"",IF(LOWER('Capacity summary'!Q131)="x",$BI12*Q12,VALUE('Capacity summary'!Q131)),0),Q12*$BI12),Q12*$BI12),0)</f>
        <v>0</v>
      </c>
      <c r="BU12" s="313">
        <f>IF($BI12&lt;&gt;"",IF('Capacity summary'!$D$14="Yes",IF(COUNTBLANK('Capacity summary'!$H131:$BG131)&lt;52,IF('Capacity summary'!R131&lt;&gt;"",IF(LOWER('Capacity summary'!R131)="x",$BI12*R12,VALUE('Capacity summary'!R131)),0),R12*$BI12),R12*$BI12),0)</f>
        <v>0</v>
      </c>
      <c r="BV12" s="313">
        <f>IF($BI12&lt;&gt;"",IF('Capacity summary'!$D$14="Yes",IF(COUNTBLANK('Capacity summary'!$H131:$BG131)&lt;52,IF('Capacity summary'!S131&lt;&gt;"",IF(LOWER('Capacity summary'!S131)="x",$BI12*S12,VALUE('Capacity summary'!S131)),0),S12*$BI12),S12*$BI12),0)</f>
        <v>0</v>
      </c>
      <c r="BW12" s="313">
        <f>IF($BI12&lt;&gt;"",IF('Capacity summary'!$D$14="Yes",IF(COUNTBLANK('Capacity summary'!$H131:$BG131)&lt;52,IF('Capacity summary'!T131&lt;&gt;"",IF(LOWER('Capacity summary'!T131)="x",$BI12*T12,VALUE('Capacity summary'!T131)),0),T12*$BI12),T12*$BI12),0)</f>
        <v>0</v>
      </c>
      <c r="BX12" s="313">
        <f>IF($BI12&lt;&gt;"",IF('Capacity summary'!$D$14="Yes",IF(COUNTBLANK('Capacity summary'!$H131:$BG131)&lt;52,IF('Capacity summary'!U131&lt;&gt;"",IF(LOWER('Capacity summary'!U131)="x",$BI12*U12,VALUE('Capacity summary'!U131)),0),U12*$BI12),U12*$BI12),0)</f>
        <v>0</v>
      </c>
      <c r="BY12" s="313">
        <f>IF($BI12&lt;&gt;"",IF('Capacity summary'!$D$14="Yes",IF(COUNTBLANK('Capacity summary'!$H131:$BG131)&lt;52,IF('Capacity summary'!V131&lt;&gt;"",IF(LOWER('Capacity summary'!V131)="x",$BI12*V12,VALUE('Capacity summary'!V131)),0),V12*$BI12),V12*$BI12),0)</f>
        <v>0</v>
      </c>
      <c r="BZ12" s="313">
        <f>IF($BI12&lt;&gt;"",IF('Capacity summary'!$D$14="Yes",IF(COUNTBLANK('Capacity summary'!$H131:$BG131)&lt;52,IF('Capacity summary'!W131&lt;&gt;"",IF(LOWER('Capacity summary'!W131)="x",$BI12*W12,VALUE('Capacity summary'!W131)),0),W12*$BI12),W12*$BI12),0)</f>
        <v>0</v>
      </c>
      <c r="CA12" s="313">
        <f>IF($BI12&lt;&gt;"",IF('Capacity summary'!$D$14="Yes",IF(COUNTBLANK('Capacity summary'!$H131:$BG131)&lt;52,IF('Capacity summary'!X131&lt;&gt;"",IF(LOWER('Capacity summary'!X131)="x",$BI12*X12,VALUE('Capacity summary'!X131)),0),X12*$BI12),X12*$BI12),0)</f>
        <v>0</v>
      </c>
      <c r="CB12" s="313">
        <f>IF($BI12&lt;&gt;"",IF('Capacity summary'!$D$14="Yes",IF(COUNTBLANK('Capacity summary'!$H131:$BG131)&lt;52,IF('Capacity summary'!Y131&lt;&gt;"",IF(LOWER('Capacity summary'!Y131)="x",$BI12*Y12,VALUE('Capacity summary'!Y131)),0),Y12*$BI12),Y12*$BI12),0)</f>
        <v>0</v>
      </c>
      <c r="CC12" s="313">
        <f>IF($BI12&lt;&gt;"",IF('Capacity summary'!$D$14="Yes",IF(COUNTBLANK('Capacity summary'!$H131:$BG131)&lt;52,IF('Capacity summary'!Z131&lt;&gt;"",IF(LOWER('Capacity summary'!Z131)="x",$BI12*Z12,VALUE('Capacity summary'!Z131)),0),Z12*$BI12),Z12*$BI12),0)</f>
        <v>0</v>
      </c>
      <c r="CD12" s="313">
        <f>IF($BI12&lt;&gt;"",IF('Capacity summary'!$D$14="Yes",IF(COUNTBLANK('Capacity summary'!$H131:$BG131)&lt;52,IF('Capacity summary'!AA131&lt;&gt;"",IF(LOWER('Capacity summary'!AA131)="x",$BI12*AA12,VALUE('Capacity summary'!AA131)),0),AA12*$BI12),AA12*$BI12),0)</f>
        <v>0</v>
      </c>
      <c r="CE12" s="313">
        <f>IF($BI12&lt;&gt;"",IF('Capacity summary'!$D$14="Yes",IF(COUNTBLANK('Capacity summary'!$H131:$BG131)&lt;52,IF('Capacity summary'!AB131&lt;&gt;"",IF(LOWER('Capacity summary'!AB131)="x",$BI12*AB12,VALUE('Capacity summary'!AB131)),0),AB12*$BI12),AB12*$BI12),0)</f>
        <v>0</v>
      </c>
      <c r="CF12" s="313">
        <f>IF($BI12&lt;&gt;"",IF('Capacity summary'!$D$14="Yes",IF(COUNTBLANK('Capacity summary'!$H131:$BG131)&lt;52,IF('Capacity summary'!AC131&lt;&gt;"",IF(LOWER('Capacity summary'!AC131)="x",$BI12*AC12,VALUE('Capacity summary'!AC131)),0),AC12*$BI12),AC12*$BI12),0)</f>
        <v>0</v>
      </c>
      <c r="CG12" s="313">
        <f>IF($BI12&lt;&gt;"",IF('Capacity summary'!$D$14="Yes",IF(COUNTBLANK('Capacity summary'!$H131:$BG131)&lt;52,IF('Capacity summary'!AD131&lt;&gt;"",IF(LOWER('Capacity summary'!AD131)="x",$BI12*AD12,VALUE('Capacity summary'!AD131)),0),AD12*$BI12),AD12*$BI12),0)</f>
        <v>0</v>
      </c>
      <c r="CH12" s="313">
        <f>IF($BI12&lt;&gt;"",IF('Capacity summary'!$D$14="Yes",IF(COUNTBLANK('Capacity summary'!$H131:$BG131)&lt;52,IF('Capacity summary'!AE131&lt;&gt;"",IF(LOWER('Capacity summary'!AE131)="x",$BI12*AE12,VALUE('Capacity summary'!AE131)),0),AE12*$BI12),AE12*$BI12),0)</f>
        <v>0</v>
      </c>
      <c r="CI12" s="313">
        <f>IF($BI12&lt;&gt;"",IF('Capacity summary'!$D$14="Yes",IF(COUNTBLANK('Capacity summary'!$H131:$BG131)&lt;52,IF('Capacity summary'!AF131&lt;&gt;"",IF(LOWER('Capacity summary'!AF131)="x",$BI12*AF12,VALUE('Capacity summary'!AF131)),0),AF12*$BI12),AF12*$BI12),0)</f>
        <v>0</v>
      </c>
      <c r="CJ12" s="313">
        <f>IF($BI12&lt;&gt;"",IF('Capacity summary'!$D$14="Yes",IF(COUNTBLANK('Capacity summary'!$H131:$BG131)&lt;52,IF('Capacity summary'!AG131&lt;&gt;"",IF(LOWER('Capacity summary'!AG131)="x",$BI12*AG12,VALUE('Capacity summary'!AG131)),0),AG12*$BI12),AG12*$BI12),0)</f>
        <v>0</v>
      </c>
      <c r="CK12" s="313">
        <f>IF($BI12&lt;&gt;"",IF('Capacity summary'!$D$14="Yes",IF(COUNTBLANK('Capacity summary'!$H131:$BG131)&lt;52,IF('Capacity summary'!AH131&lt;&gt;"",IF(LOWER('Capacity summary'!AH131)="x",$BI12*AH12,VALUE('Capacity summary'!AH131)),0),AH12*$BI12),AH12*$BI12),0)</f>
        <v>0</v>
      </c>
      <c r="CL12" s="313">
        <f>IF($BI12&lt;&gt;"",IF('Capacity summary'!$D$14="Yes",IF(COUNTBLANK('Capacity summary'!$H131:$BG131)&lt;52,IF('Capacity summary'!AI131&lt;&gt;"",IF(LOWER('Capacity summary'!AI131)="x",$BI12*AI12,VALUE('Capacity summary'!AI131)),0),AI12*$BI12),AI12*$BI12),0)</f>
        <v>0</v>
      </c>
      <c r="CM12" s="313">
        <f>IF($BI12&lt;&gt;"",IF('Capacity summary'!$D$14="Yes",IF(COUNTBLANK('Capacity summary'!$H131:$BG131)&lt;52,IF('Capacity summary'!AJ131&lt;&gt;"",IF(LOWER('Capacity summary'!AJ131)="x",$BI12*AJ12,VALUE('Capacity summary'!AJ131)),0),AJ12*$BI12),AJ12*$BI12),0)</f>
        <v>0</v>
      </c>
      <c r="CN12" s="313">
        <f>IF($BI12&lt;&gt;"",IF('Capacity summary'!$D$14="Yes",IF(COUNTBLANK('Capacity summary'!$H131:$BG131)&lt;52,IF('Capacity summary'!AK131&lt;&gt;"",IF(LOWER('Capacity summary'!AK131)="x",$BI12*AK12,VALUE('Capacity summary'!AK131)),0),AK12*$BI12),AK12*$BI12),0)</f>
        <v>0</v>
      </c>
      <c r="CO12" s="313">
        <f>IF($BI12&lt;&gt;"",IF('Capacity summary'!$D$14="Yes",IF(COUNTBLANK('Capacity summary'!$H131:$BG131)&lt;52,IF('Capacity summary'!AL131&lt;&gt;"",IF(LOWER('Capacity summary'!AL131)="x",$BI12*AL12,VALUE('Capacity summary'!AL131)),0),AL12*$BI12),AL12*$BI12),0)</f>
        <v>0</v>
      </c>
      <c r="CP12" s="313">
        <f>IF($BI12&lt;&gt;"",IF('Capacity summary'!$D$14="Yes",IF(COUNTBLANK('Capacity summary'!$H131:$BG131)&lt;52,IF('Capacity summary'!AM131&lt;&gt;"",IF(LOWER('Capacity summary'!AM131)="x",$BI12*AM12,VALUE('Capacity summary'!AM131)),0),AM12*$BI12),AM12*$BI12),0)</f>
        <v>0</v>
      </c>
      <c r="CQ12" s="313">
        <f>IF($BI12&lt;&gt;"",IF('Capacity summary'!$D$14="Yes",IF(COUNTBLANK('Capacity summary'!$H131:$BG131)&lt;52,IF('Capacity summary'!AN131&lt;&gt;"",IF(LOWER('Capacity summary'!AN131)="x",$BI12*AN12,VALUE('Capacity summary'!AN131)),0),AN12*$BI12),AN12*$BI12),0)</f>
        <v>0</v>
      </c>
      <c r="CR12" s="313">
        <f>IF($BI12&lt;&gt;"",IF('Capacity summary'!$D$14="Yes",IF(COUNTBLANK('Capacity summary'!$H131:$BG131)&lt;52,IF('Capacity summary'!AO131&lt;&gt;"",IF(LOWER('Capacity summary'!AO131)="x",$BI12*AO12,VALUE('Capacity summary'!AO131)),0),AO12*$BI12),AO12*$BI12),0)</f>
        <v>0</v>
      </c>
      <c r="CS12" s="313">
        <f>IF($BI12&lt;&gt;"",IF('Capacity summary'!$D$14="Yes",IF(COUNTBLANK('Capacity summary'!$H131:$BG131)&lt;52,IF('Capacity summary'!AP131&lt;&gt;"",IF(LOWER('Capacity summary'!AP131)="x",$BI12*AP12,VALUE('Capacity summary'!AP131)),0),AP12*$BI12),AP12*$BI12),0)</f>
        <v>0</v>
      </c>
      <c r="CT12" s="313">
        <f>IF($BI12&lt;&gt;"",IF('Capacity summary'!$D$14="Yes",IF(COUNTBLANK('Capacity summary'!$H131:$BG131)&lt;52,IF('Capacity summary'!AQ131&lt;&gt;"",IF(LOWER('Capacity summary'!AQ131)="x",$BI12*AQ12,VALUE('Capacity summary'!AQ131)),0),AQ12*$BI12),AQ12*$BI12),0)</f>
        <v>0</v>
      </c>
      <c r="CU12" s="313">
        <f>IF($BI12&lt;&gt;"",IF('Capacity summary'!$D$14="Yes",IF(COUNTBLANK('Capacity summary'!$H131:$BG131)&lt;52,IF('Capacity summary'!AR131&lt;&gt;"",IF(LOWER('Capacity summary'!AR131)="x",$BI12*AR12,VALUE('Capacity summary'!AR131)),0),AR12*$BI12),AR12*$BI12),0)</f>
        <v>0</v>
      </c>
      <c r="CV12" s="313">
        <f>IF($BI12&lt;&gt;"",IF('Capacity summary'!$D$14="Yes",IF(COUNTBLANK('Capacity summary'!$H131:$BG131)&lt;52,IF('Capacity summary'!AS131&lt;&gt;"",IF(LOWER('Capacity summary'!AS131)="x",$BI12*AS12,VALUE('Capacity summary'!AS131)),0),AS12*$BI12),AS12*$BI12),0)</f>
        <v>0</v>
      </c>
      <c r="CW12" s="313">
        <f>IF($BI12&lt;&gt;"",IF('Capacity summary'!$D$14="Yes",IF(COUNTBLANK('Capacity summary'!$H131:$BG131)&lt;52,IF('Capacity summary'!AT131&lt;&gt;"",IF(LOWER('Capacity summary'!AT131)="x",$BI12*AT12,VALUE('Capacity summary'!AT131)),0),AT12*$BI12),AT12*$BI12),0)</f>
        <v>0</v>
      </c>
      <c r="CX12" s="313">
        <f>IF($BI12&lt;&gt;"",IF('Capacity summary'!$D$14="Yes",IF(COUNTBLANK('Capacity summary'!$H131:$BG131)&lt;52,IF('Capacity summary'!AU131&lt;&gt;"",IF(LOWER('Capacity summary'!AU131)="x",$BI12*AU12,VALUE('Capacity summary'!AU131)),0),AU12*$BI12),AU12*$BI12),0)</f>
        <v>0</v>
      </c>
      <c r="CY12" s="313">
        <f>IF($BI12&lt;&gt;"",IF('Capacity summary'!$D$14="Yes",IF(COUNTBLANK('Capacity summary'!$H131:$BG131)&lt;52,IF('Capacity summary'!AV131&lt;&gt;"",IF(LOWER('Capacity summary'!AV131)="x",$BI12*AV12,VALUE('Capacity summary'!AV131)),0),AV12*$BI12),AV12*$BI12),0)</f>
        <v>0</v>
      </c>
      <c r="CZ12" s="313">
        <f>IF($BI12&lt;&gt;"",IF('Capacity summary'!$D$14="Yes",IF(COUNTBLANK('Capacity summary'!$H131:$BG131)&lt;52,IF('Capacity summary'!AW131&lt;&gt;"",IF(LOWER('Capacity summary'!AW131)="x",$BI12*AW12,VALUE('Capacity summary'!AW131)),0),AW12*$BI12),AW12*$BI12),0)</f>
        <v>0</v>
      </c>
      <c r="DA12" s="313">
        <f>IF($BI12&lt;&gt;"",IF('Capacity summary'!$D$14="Yes",IF(COUNTBLANK('Capacity summary'!$H131:$BG131)&lt;52,IF('Capacity summary'!AX131&lt;&gt;"",IF(LOWER('Capacity summary'!AX131)="x",$BI12*AX12,VALUE('Capacity summary'!AX131)),0),AX12*$BI12),AX12*$BI12),0)</f>
        <v>0</v>
      </c>
      <c r="DB12" s="313">
        <f>IF($BI12&lt;&gt;"",IF('Capacity summary'!$D$14="Yes",IF(COUNTBLANK('Capacity summary'!$H131:$BG131)&lt;52,IF('Capacity summary'!AY131&lt;&gt;"",IF(LOWER('Capacity summary'!AY131)="x",$BI12*AY12,VALUE('Capacity summary'!AY131)),0),AY12*$BI12),AY12*$BI12),0)</f>
        <v>0</v>
      </c>
      <c r="DC12" s="313">
        <f>IF($BI12&lt;&gt;"",IF('Capacity summary'!$D$14="Yes",IF(COUNTBLANK('Capacity summary'!$H131:$BG131)&lt;52,IF('Capacity summary'!AZ131&lt;&gt;"",IF(LOWER('Capacity summary'!AZ131)="x",$BI12*AZ12,VALUE('Capacity summary'!AZ131)),0),AZ12*$BI12),AZ12*$BI12),0)</f>
        <v>0</v>
      </c>
      <c r="DD12" s="313">
        <f>IF($BI12&lt;&gt;"",IF('Capacity summary'!$D$14="Yes",IF(COUNTBLANK('Capacity summary'!$H131:$BG131)&lt;52,IF('Capacity summary'!BA131&lt;&gt;"",IF(LOWER('Capacity summary'!BA131)="x",$BI12*BA12,VALUE('Capacity summary'!BA131)),0),BA12*$BI12),BA12*$BI12),0)</f>
        <v>0</v>
      </c>
      <c r="DE12" s="313">
        <f>IF($BI12&lt;&gt;"",IF('Capacity summary'!$D$14="Yes",IF(COUNTBLANK('Capacity summary'!$H131:$BG131)&lt;52,IF('Capacity summary'!BB131&lt;&gt;"",IF(LOWER('Capacity summary'!BB131)="x",$BI12*BB12,VALUE('Capacity summary'!BB131)),0),BB12*$BI12),BB12*$BI12),0)</f>
        <v>0</v>
      </c>
      <c r="DF12" s="313">
        <f>IF($BI12&lt;&gt;"",IF('Capacity summary'!$D$14="Yes",IF(COUNTBLANK('Capacity summary'!$H131:$BG131)&lt;52,IF('Capacity summary'!BC131&lt;&gt;"",IF(LOWER('Capacity summary'!BC131)="x",$BI12*BC12,VALUE('Capacity summary'!BC131)),0),BC12*$BI12),BC12*$BI12),0)</f>
        <v>0</v>
      </c>
      <c r="DG12" s="313">
        <f>IF($BI12&lt;&gt;"",IF('Capacity summary'!$D$14="Yes",IF(COUNTBLANK('Capacity summary'!$H131:$BG131)&lt;52,IF('Capacity summary'!BD131&lt;&gt;"",IF(LOWER('Capacity summary'!BD131)="x",$BI12*BD12,VALUE('Capacity summary'!BD131)),0),BD12*$BI12),BD12*$BI12),0)</f>
        <v>0</v>
      </c>
      <c r="DH12" s="313">
        <f>IF($BI12&lt;&gt;"",IF('Capacity summary'!$D$14="Yes",IF(COUNTBLANK('Capacity summary'!$H131:$BG131)&lt;52,IF('Capacity summary'!BE131&lt;&gt;"",IF(LOWER('Capacity summary'!BE131)="x",$BI12*BE12,VALUE('Capacity summary'!BE131)),0),BE12*$BI12),BE12*$BI12),0)</f>
        <v>0</v>
      </c>
      <c r="DI12" s="313">
        <f>IF($BI12&lt;&gt;"",IF('Capacity summary'!$D$14="Yes",IF(COUNTBLANK('Capacity summary'!$H131:$BG131)&lt;52,IF('Capacity summary'!BF131&lt;&gt;"",IF(LOWER('Capacity summary'!BF131)="x",$BI12*BF12,VALUE('Capacity summary'!BF131)),0),BF12*$BI12),BF12*$BI12),0)</f>
        <v>0</v>
      </c>
      <c r="DJ12" s="313">
        <f>IF($BI12&lt;&gt;"",IF('Capacity summary'!$D$14="Yes",IF(COUNTBLANK('Capacity summary'!$H131:$BG131)&lt;52,IF('Capacity summary'!BG131&lt;&gt;"",IF(LOWER('Capacity summary'!BG131)="x",$BI12*BG12,VALUE('Capacity summary'!BG131)),0),BG12*$BI12),BG12*$BI12),0)</f>
        <v>0</v>
      </c>
      <c r="DK12" s="137">
        <f t="shared" si="2"/>
        <v>0</v>
      </c>
      <c r="DL12" s="313" t="str">
        <f>Capacity!H24</f>
        <v/>
      </c>
      <c r="DP12" s="5"/>
    </row>
    <row r="13" spans="2:120" x14ac:dyDescent="0.25">
      <c r="B13" s="67"/>
      <c r="C13" s="67" t="str">
        <f>ROW(A9)&amp;". "&amp;Capacity!B25</f>
        <v xml:space="preserve">9. </v>
      </c>
      <c r="D13" s="67">
        <f>'Capacity setup'!C20</f>
        <v>0</v>
      </c>
      <c r="E13" s="67">
        <f>'Capacity setup'!D20</f>
        <v>0</v>
      </c>
      <c r="F13" s="67">
        <f>'Capacity setup'!E20</f>
        <v>0</v>
      </c>
      <c r="H13" s="67">
        <f ca="1">IF(AND(SUMIF(Capacity_Resource,$D13,'Critical resources (hide)'!U$6:U$105)+SUMIF(Capacity_Resource,$E13,'Critical resources (hide)'!U$6:U$105)+SUMIF(Capacity_Resource,$F13,'Critical resources (hide)'!U$6:U$105)&gt;0,$E$1=2),0,1)</f>
        <v>1</v>
      </c>
      <c r="I13" s="67">
        <f ca="1">IF(AND(SUMIF(Capacity_Resource,$D13,'Critical resources (hide)'!V$6:V$105)+SUMIF(Capacity_Resource,$E13,'Critical resources (hide)'!V$6:V$105)+SUMIF(Capacity_Resource,$F13,'Critical resources (hide)'!V$6:V$105)&gt;0,$E$1=2),0,1)</f>
        <v>1</v>
      </c>
      <c r="J13" s="67">
        <f ca="1">IF(AND(SUMIF(Capacity_Resource,$D13,'Critical resources (hide)'!W$6:W$105)+SUMIF(Capacity_Resource,$E13,'Critical resources (hide)'!W$6:W$105)+SUMIF(Capacity_Resource,$F13,'Critical resources (hide)'!W$6:W$105)&gt;0,$E$1=2),0,1)</f>
        <v>1</v>
      </c>
      <c r="K13" s="67">
        <f ca="1">IF(AND(SUMIF(Capacity_Resource,$D13,'Critical resources (hide)'!X$6:X$105)+SUMIF(Capacity_Resource,$E13,'Critical resources (hide)'!X$6:X$105)+SUMIF(Capacity_Resource,$F13,'Critical resources (hide)'!X$6:X$105)&gt;0,$E$1=2),0,1)</f>
        <v>1</v>
      </c>
      <c r="L13" s="67">
        <f ca="1">IF(AND(SUMIF(Capacity_Resource,$D13,'Critical resources (hide)'!Y$6:Y$105)+SUMIF(Capacity_Resource,$E13,'Critical resources (hide)'!Y$6:Y$105)+SUMIF(Capacity_Resource,$F13,'Critical resources (hide)'!Y$6:Y$105)&gt;0,$E$1=2),0,1)</f>
        <v>1</v>
      </c>
      <c r="M13" s="67">
        <f ca="1">IF(AND(SUMIF(Capacity_Resource,$D13,'Critical resources (hide)'!Z$6:Z$105)+SUMIF(Capacity_Resource,$E13,'Critical resources (hide)'!Z$6:Z$105)+SUMIF(Capacity_Resource,$F13,'Critical resources (hide)'!Z$6:Z$105)&gt;0,$E$1=2),0,1)</f>
        <v>1</v>
      </c>
      <c r="N13" s="67">
        <f ca="1">IF(AND(SUMIF(Capacity_Resource,$D13,'Critical resources (hide)'!AA$6:AA$105)+SUMIF(Capacity_Resource,$E13,'Critical resources (hide)'!AA$6:AA$105)+SUMIF(Capacity_Resource,$F13,'Critical resources (hide)'!AA$6:AA$105)&gt;0,$E$1=2),0,1)</f>
        <v>1</v>
      </c>
      <c r="O13" s="67">
        <f ca="1">IF(AND(SUMIF(Capacity_Resource,$D13,'Critical resources (hide)'!AB$6:AB$105)+SUMIF(Capacity_Resource,$E13,'Critical resources (hide)'!AB$6:AB$105)+SUMIF(Capacity_Resource,$F13,'Critical resources (hide)'!AB$6:AB$105)&gt;0,$E$1=2),0,1)</f>
        <v>1</v>
      </c>
      <c r="P13" s="67">
        <f ca="1">IF(AND(SUMIF(Capacity_Resource,$D13,'Critical resources (hide)'!AC$6:AC$105)+SUMIF(Capacity_Resource,$E13,'Critical resources (hide)'!AC$6:AC$105)+SUMIF(Capacity_Resource,$F13,'Critical resources (hide)'!AC$6:AC$105)&gt;0,$E$1=2),0,1)</f>
        <v>1</v>
      </c>
      <c r="Q13" s="67">
        <f ca="1">IF(AND(SUMIF(Capacity_Resource,$D13,'Critical resources (hide)'!AD$6:AD$105)+SUMIF(Capacity_Resource,$E13,'Critical resources (hide)'!AD$6:AD$105)+SUMIF(Capacity_Resource,$F13,'Critical resources (hide)'!AD$6:AD$105)&gt;0,$E$1=2),0,1)</f>
        <v>1</v>
      </c>
      <c r="R13" s="67">
        <f ca="1">IF(AND(SUMIF(Capacity_Resource,$D13,'Critical resources (hide)'!AE$6:AE$105)+SUMIF(Capacity_Resource,$E13,'Critical resources (hide)'!AE$6:AE$105)+SUMIF(Capacity_Resource,$F13,'Critical resources (hide)'!AE$6:AE$105)&gt;0,$E$1=2),0,1)</f>
        <v>1</v>
      </c>
      <c r="S13" s="67">
        <f ca="1">IF(AND(SUMIF(Capacity_Resource,$D13,'Critical resources (hide)'!AF$6:AF$105)+SUMIF(Capacity_Resource,$E13,'Critical resources (hide)'!AF$6:AF$105)+SUMIF(Capacity_Resource,$F13,'Critical resources (hide)'!AF$6:AF$105)&gt;0,$E$1=2),0,1)</f>
        <v>1</v>
      </c>
      <c r="T13" s="67">
        <f ca="1">IF(AND(SUMIF(Capacity_Resource,$D13,'Critical resources (hide)'!AG$6:AG$105)+SUMIF(Capacity_Resource,$E13,'Critical resources (hide)'!AG$6:AG$105)+SUMIF(Capacity_Resource,$F13,'Critical resources (hide)'!AG$6:AG$105)&gt;0,$E$1=2),0,1)</f>
        <v>1</v>
      </c>
      <c r="U13" s="67">
        <f ca="1">IF(AND(SUMIF(Capacity_Resource,$D13,'Critical resources (hide)'!AH$6:AH$105)+SUMIF(Capacity_Resource,$E13,'Critical resources (hide)'!AH$6:AH$105)+SUMIF(Capacity_Resource,$F13,'Critical resources (hide)'!AH$6:AH$105)&gt;0,$E$1=2),0,1)</f>
        <v>1</v>
      </c>
      <c r="V13" s="67">
        <f ca="1">IF(AND(SUMIF(Capacity_Resource,$D13,'Critical resources (hide)'!AI$6:AI$105)+SUMIF(Capacity_Resource,$E13,'Critical resources (hide)'!AI$6:AI$105)+SUMIF(Capacity_Resource,$F13,'Critical resources (hide)'!AI$6:AI$105)&gt;0,$E$1=2),0,1)</f>
        <v>1</v>
      </c>
      <c r="W13" s="67">
        <f ca="1">IF(AND(SUMIF(Capacity_Resource,$D13,'Critical resources (hide)'!AJ$6:AJ$105)+SUMIF(Capacity_Resource,$E13,'Critical resources (hide)'!AJ$6:AJ$105)+SUMIF(Capacity_Resource,$F13,'Critical resources (hide)'!AJ$6:AJ$105)&gt;0,$E$1=2),0,1)</f>
        <v>1</v>
      </c>
      <c r="X13" s="67">
        <f ca="1">IF(AND(SUMIF(Capacity_Resource,$D13,'Critical resources (hide)'!AK$6:AK$105)+SUMIF(Capacity_Resource,$E13,'Critical resources (hide)'!AK$6:AK$105)+SUMIF(Capacity_Resource,$F13,'Critical resources (hide)'!AK$6:AK$105)&gt;0,$E$1=2),0,1)</f>
        <v>1</v>
      </c>
      <c r="Y13" s="67">
        <f ca="1">IF(AND(SUMIF(Capacity_Resource,$D13,'Critical resources (hide)'!AL$6:AL$105)+SUMIF(Capacity_Resource,$E13,'Critical resources (hide)'!AL$6:AL$105)+SUMIF(Capacity_Resource,$F13,'Critical resources (hide)'!AL$6:AL$105)&gt;0,$E$1=2),0,1)</f>
        <v>1</v>
      </c>
      <c r="Z13" s="67">
        <f ca="1">IF(AND(SUMIF(Capacity_Resource,$D13,'Critical resources (hide)'!AM$6:AM$105)+SUMIF(Capacity_Resource,$E13,'Critical resources (hide)'!AM$6:AM$105)+SUMIF(Capacity_Resource,$F13,'Critical resources (hide)'!AM$6:AM$105)&gt;0,$E$1=2),0,1)</f>
        <v>1</v>
      </c>
      <c r="AA13" s="67">
        <f ca="1">IF(AND(SUMIF(Capacity_Resource,$D13,'Critical resources (hide)'!AN$6:AN$105)+SUMIF(Capacity_Resource,$E13,'Critical resources (hide)'!AN$6:AN$105)+SUMIF(Capacity_Resource,$F13,'Critical resources (hide)'!AN$6:AN$105)&gt;0,$E$1=2),0,1)</f>
        <v>1</v>
      </c>
      <c r="AB13" s="67">
        <f ca="1">IF(AND(SUMIF(Capacity_Resource,$D13,'Critical resources (hide)'!AO$6:AO$105)+SUMIF(Capacity_Resource,$E13,'Critical resources (hide)'!AO$6:AO$105)+SUMIF(Capacity_Resource,$F13,'Critical resources (hide)'!AO$6:AO$105)&gt;0,$E$1=2),0,1)</f>
        <v>1</v>
      </c>
      <c r="AC13" s="67">
        <f ca="1">IF(AND(SUMIF(Capacity_Resource,$D13,'Critical resources (hide)'!AP$6:AP$105)+SUMIF(Capacity_Resource,$E13,'Critical resources (hide)'!AP$6:AP$105)+SUMIF(Capacity_Resource,$F13,'Critical resources (hide)'!AP$6:AP$105)&gt;0,$E$1=2),0,1)</f>
        <v>1</v>
      </c>
      <c r="AD13" s="67">
        <f ca="1">IF(AND(SUMIF(Capacity_Resource,$D13,'Critical resources (hide)'!AQ$6:AQ$105)+SUMIF(Capacity_Resource,$E13,'Critical resources (hide)'!AQ$6:AQ$105)+SUMIF(Capacity_Resource,$F13,'Critical resources (hide)'!AQ$6:AQ$105)&gt;0,$E$1=2),0,1)</f>
        <v>1</v>
      </c>
      <c r="AE13" s="67">
        <f ca="1">IF(AND(SUMIF(Capacity_Resource,$D13,'Critical resources (hide)'!AR$6:AR$105)+SUMIF(Capacity_Resource,$E13,'Critical resources (hide)'!AR$6:AR$105)+SUMIF(Capacity_Resource,$F13,'Critical resources (hide)'!AR$6:AR$105)&gt;0,$E$1=2),0,1)</f>
        <v>1</v>
      </c>
      <c r="AF13" s="67">
        <f ca="1">IF(AND(SUMIF(Capacity_Resource,$D13,'Critical resources (hide)'!AS$6:AS$105)+SUMIF(Capacity_Resource,$E13,'Critical resources (hide)'!AS$6:AS$105)+SUMIF(Capacity_Resource,$F13,'Critical resources (hide)'!AS$6:AS$105)&gt;0,$E$1=2),0,1)</f>
        <v>1</v>
      </c>
      <c r="AG13" s="67">
        <f ca="1">IF(AND(SUMIF(Capacity_Resource,$D13,'Critical resources (hide)'!AT$6:AT$105)+SUMIF(Capacity_Resource,$E13,'Critical resources (hide)'!AT$6:AT$105)+SUMIF(Capacity_Resource,$F13,'Critical resources (hide)'!AT$6:AT$105)&gt;0,$E$1=2),0,1)</f>
        <v>1</v>
      </c>
      <c r="AH13" s="67">
        <f ca="1">IF(AND(SUMIF(Capacity_Resource,$D13,'Critical resources (hide)'!AU$6:AU$105)+SUMIF(Capacity_Resource,$E13,'Critical resources (hide)'!AU$6:AU$105)+SUMIF(Capacity_Resource,$F13,'Critical resources (hide)'!AU$6:AU$105)&gt;0,$E$1=2),0,1)</f>
        <v>1</v>
      </c>
      <c r="AI13" s="67">
        <f ca="1">IF(AND(SUMIF(Capacity_Resource,$D13,'Critical resources (hide)'!AV$6:AV$105)+SUMIF(Capacity_Resource,$E13,'Critical resources (hide)'!AV$6:AV$105)+SUMIF(Capacity_Resource,$F13,'Critical resources (hide)'!AV$6:AV$105)&gt;0,$E$1=2),0,1)</f>
        <v>1</v>
      </c>
      <c r="AJ13" s="67">
        <f ca="1">IF(AND(SUMIF(Capacity_Resource,$D13,'Critical resources (hide)'!AW$6:AW$105)+SUMIF(Capacity_Resource,$E13,'Critical resources (hide)'!AW$6:AW$105)+SUMIF(Capacity_Resource,$F13,'Critical resources (hide)'!AW$6:AW$105)&gt;0,$E$1=2),0,1)</f>
        <v>1</v>
      </c>
      <c r="AK13" s="67">
        <f ca="1">IF(AND(SUMIF(Capacity_Resource,$D13,'Critical resources (hide)'!AX$6:AX$105)+SUMIF(Capacity_Resource,$E13,'Critical resources (hide)'!AX$6:AX$105)+SUMIF(Capacity_Resource,$F13,'Critical resources (hide)'!AX$6:AX$105)&gt;0,$E$1=2),0,1)</f>
        <v>1</v>
      </c>
      <c r="AL13" s="67">
        <f ca="1">IF(AND(SUMIF(Capacity_Resource,$D13,'Critical resources (hide)'!AY$6:AY$105)+SUMIF(Capacity_Resource,$E13,'Critical resources (hide)'!AY$6:AY$105)+SUMIF(Capacity_Resource,$F13,'Critical resources (hide)'!AY$6:AY$105)&gt;0,$E$1=2),0,1)</f>
        <v>1</v>
      </c>
      <c r="AM13" s="67">
        <f ca="1">IF(AND(SUMIF(Capacity_Resource,$D13,'Critical resources (hide)'!AZ$6:AZ$105)+SUMIF(Capacity_Resource,$E13,'Critical resources (hide)'!AZ$6:AZ$105)+SUMIF(Capacity_Resource,$F13,'Critical resources (hide)'!AZ$6:AZ$105)&gt;0,$E$1=2),0,1)</f>
        <v>1</v>
      </c>
      <c r="AN13" s="67">
        <f ca="1">IF(AND(SUMIF(Capacity_Resource,$D13,'Critical resources (hide)'!BA$6:BA$105)+SUMIF(Capacity_Resource,$E13,'Critical resources (hide)'!BA$6:BA$105)+SUMIF(Capacity_Resource,$F13,'Critical resources (hide)'!BA$6:BA$105)&gt;0,$E$1=2),0,1)</f>
        <v>1</v>
      </c>
      <c r="AO13" s="67">
        <f ca="1">IF(AND(SUMIF(Capacity_Resource,$D13,'Critical resources (hide)'!BB$6:BB$105)+SUMIF(Capacity_Resource,$E13,'Critical resources (hide)'!BB$6:BB$105)+SUMIF(Capacity_Resource,$F13,'Critical resources (hide)'!BB$6:BB$105)&gt;0,$E$1=2),0,1)</f>
        <v>1</v>
      </c>
      <c r="AP13" s="67">
        <f ca="1">IF(AND(SUMIF(Capacity_Resource,$D13,'Critical resources (hide)'!BC$6:BC$105)+SUMIF(Capacity_Resource,$E13,'Critical resources (hide)'!BC$6:BC$105)+SUMIF(Capacity_Resource,$F13,'Critical resources (hide)'!BC$6:BC$105)&gt;0,$E$1=2),0,1)</f>
        <v>1</v>
      </c>
      <c r="AQ13" s="67">
        <f ca="1">IF(AND(SUMIF(Capacity_Resource,$D13,'Critical resources (hide)'!BD$6:BD$105)+SUMIF(Capacity_Resource,$E13,'Critical resources (hide)'!BD$6:BD$105)+SUMIF(Capacity_Resource,$F13,'Critical resources (hide)'!BD$6:BD$105)&gt;0,$E$1=2),0,1)</f>
        <v>1</v>
      </c>
      <c r="AR13" s="67">
        <f ca="1">IF(AND(SUMIF(Capacity_Resource,$D13,'Critical resources (hide)'!BE$6:BE$105)+SUMIF(Capacity_Resource,$E13,'Critical resources (hide)'!BE$6:BE$105)+SUMIF(Capacity_Resource,$F13,'Critical resources (hide)'!BE$6:BE$105)&gt;0,$E$1=2),0,1)</f>
        <v>1</v>
      </c>
      <c r="AS13" s="67">
        <f ca="1">IF(AND(SUMIF(Capacity_Resource,$D13,'Critical resources (hide)'!BF$6:BF$105)+SUMIF(Capacity_Resource,$E13,'Critical resources (hide)'!BF$6:BF$105)+SUMIF(Capacity_Resource,$F13,'Critical resources (hide)'!BF$6:BF$105)&gt;0,$E$1=2),0,1)</f>
        <v>1</v>
      </c>
      <c r="AT13" s="67">
        <f ca="1">IF(AND(SUMIF(Capacity_Resource,$D13,'Critical resources (hide)'!BG$6:BG$105)+SUMIF(Capacity_Resource,$E13,'Critical resources (hide)'!BG$6:BG$105)+SUMIF(Capacity_Resource,$F13,'Critical resources (hide)'!BG$6:BG$105)&gt;0,$E$1=2),0,1)</f>
        <v>1</v>
      </c>
      <c r="AU13" s="67">
        <f ca="1">IF(AND(SUMIF(Capacity_Resource,$D13,'Critical resources (hide)'!BH$6:BH$105)+SUMIF(Capacity_Resource,$E13,'Critical resources (hide)'!BH$6:BH$105)+SUMIF(Capacity_Resource,$F13,'Critical resources (hide)'!BH$6:BH$105)&gt;0,$E$1=2),0,1)</f>
        <v>1</v>
      </c>
      <c r="AV13" s="67">
        <f ca="1">IF(AND(SUMIF(Capacity_Resource,$D13,'Critical resources (hide)'!BI$6:BI$105)+SUMIF(Capacity_Resource,$E13,'Critical resources (hide)'!BI$6:BI$105)+SUMIF(Capacity_Resource,$F13,'Critical resources (hide)'!BI$6:BI$105)&gt;0,$E$1=2),0,1)</f>
        <v>1</v>
      </c>
      <c r="AW13" s="67">
        <f ca="1">IF(AND(SUMIF(Capacity_Resource,$D13,'Critical resources (hide)'!BJ$6:BJ$105)+SUMIF(Capacity_Resource,$E13,'Critical resources (hide)'!BJ$6:BJ$105)+SUMIF(Capacity_Resource,$F13,'Critical resources (hide)'!BJ$6:BJ$105)&gt;0,$E$1=2),0,1)</f>
        <v>1</v>
      </c>
      <c r="AX13" s="67">
        <f ca="1">IF(AND(SUMIF(Capacity_Resource,$D13,'Critical resources (hide)'!BK$6:BK$105)+SUMIF(Capacity_Resource,$E13,'Critical resources (hide)'!BK$6:BK$105)+SUMIF(Capacity_Resource,$F13,'Critical resources (hide)'!BK$6:BK$105)&gt;0,$E$1=2),0,1)</f>
        <v>1</v>
      </c>
      <c r="AY13" s="67">
        <f ca="1">IF(AND(SUMIF(Capacity_Resource,$D13,'Critical resources (hide)'!BL$6:BL$105)+SUMIF(Capacity_Resource,$E13,'Critical resources (hide)'!BL$6:BL$105)+SUMIF(Capacity_Resource,$F13,'Critical resources (hide)'!BL$6:BL$105)&gt;0,$E$1=2),0,1)</f>
        <v>1</v>
      </c>
      <c r="AZ13" s="67">
        <f ca="1">IF(AND(SUMIF(Capacity_Resource,$D13,'Critical resources (hide)'!BM$6:BM$105)+SUMIF(Capacity_Resource,$E13,'Critical resources (hide)'!BM$6:BM$105)+SUMIF(Capacity_Resource,$F13,'Critical resources (hide)'!BM$6:BM$105)&gt;0,$E$1=2),0,1)</f>
        <v>1</v>
      </c>
      <c r="BA13" s="67">
        <f ca="1">IF(AND(SUMIF(Capacity_Resource,$D13,'Critical resources (hide)'!BN$6:BN$105)+SUMIF(Capacity_Resource,$E13,'Critical resources (hide)'!BN$6:BN$105)+SUMIF(Capacity_Resource,$F13,'Critical resources (hide)'!BN$6:BN$105)&gt;0,$E$1=2),0,1)</f>
        <v>1</v>
      </c>
      <c r="BB13" s="67">
        <f ca="1">IF(AND(SUMIF(Capacity_Resource,$D13,'Critical resources (hide)'!BO$6:BO$105)+SUMIF(Capacity_Resource,$E13,'Critical resources (hide)'!BO$6:BO$105)+SUMIF(Capacity_Resource,$F13,'Critical resources (hide)'!BO$6:BO$105)&gt;0,$E$1=2),0,1)</f>
        <v>1</v>
      </c>
      <c r="BC13" s="67">
        <f ca="1">IF(AND(SUMIF(Capacity_Resource,$D13,'Critical resources (hide)'!BP$6:BP$105)+SUMIF(Capacity_Resource,$E13,'Critical resources (hide)'!BP$6:BP$105)+SUMIF(Capacity_Resource,$F13,'Critical resources (hide)'!BP$6:BP$105)&gt;0,$E$1=2),0,1)</f>
        <v>1</v>
      </c>
      <c r="BD13" s="67">
        <f ca="1">IF(AND(SUMIF(Capacity_Resource,$D13,'Critical resources (hide)'!BQ$6:BQ$105)+SUMIF(Capacity_Resource,$E13,'Critical resources (hide)'!BQ$6:BQ$105)+SUMIF(Capacity_Resource,$F13,'Critical resources (hide)'!BQ$6:BQ$105)&gt;0,$E$1=2),0,1)</f>
        <v>1</v>
      </c>
      <c r="BE13" s="67">
        <f ca="1">IF(AND(SUMIF(Capacity_Resource,$D13,'Critical resources (hide)'!BR$6:BR$105)+SUMIF(Capacity_Resource,$E13,'Critical resources (hide)'!BR$6:BR$105)+SUMIF(Capacity_Resource,$F13,'Critical resources (hide)'!BR$6:BR$105)&gt;0,$E$1=2),0,1)</f>
        <v>1</v>
      </c>
      <c r="BF13" s="67">
        <f ca="1">IF(AND(SUMIF(Capacity_Resource,$D13,'Critical resources (hide)'!BS$6:BS$105)+SUMIF(Capacity_Resource,$E13,'Critical resources (hide)'!BS$6:BS$105)+SUMIF(Capacity_Resource,$F13,'Critical resources (hide)'!BS$6:BS$105)&gt;0,$E$1=2),0,1)</f>
        <v>1</v>
      </c>
      <c r="BG13" s="67">
        <f ca="1">IF(AND(SUMIF(Capacity_Resource,$D13,'Critical resources (hide)'!BT$6:BT$105)+SUMIF(Capacity_Resource,$E13,'Critical resources (hide)'!BT$6:BT$105)+SUMIF(Capacity_Resource,$F13,'Critical resources (hide)'!BT$6:BT$105)&gt;0,$E$1=2),0,1)</f>
        <v>1</v>
      </c>
      <c r="BH13" s="67">
        <f>IF(ROW(C9)&lt;=Capacity!$A$16,IF('Capacity summary'!$D$14="No",SUM(H13:BG13),'Capacity summary'!$E132),0)</f>
        <v>0</v>
      </c>
      <c r="BI13" s="5" t="str">
        <f>IF(BH13&gt;0,IF(BH13&lt;Capacity!E25,Capacity!F25,Capacity!H25/'Capacity calculation (hide)'!BH13),"")</f>
        <v/>
      </c>
      <c r="BK13" s="313">
        <f>IF($BI13&lt;&gt;"",IF('Capacity summary'!$D$14="Yes",IF(COUNTBLANK('Capacity summary'!$H132:$BG132)&lt;52,IF('Capacity summary'!H132&lt;&gt;"",IF(LOWER('Capacity summary'!H132)="x",$BI13*H13,VALUE('Capacity summary'!H132)),0),H13*$BI13),H13*$BI13),0)</f>
        <v>0</v>
      </c>
      <c r="BL13" s="313">
        <f>IF($BI13&lt;&gt;"",IF('Capacity summary'!$D$14="Yes",IF(COUNTBLANK('Capacity summary'!$H132:$BG132)&lt;52,IF('Capacity summary'!I132&lt;&gt;"",IF(LOWER('Capacity summary'!I132)="x",$BI13*I13,VALUE('Capacity summary'!I132)),0),I13*$BI13),I13*$BI13),0)</f>
        <v>0</v>
      </c>
      <c r="BM13" s="313">
        <f>IF($BI13&lt;&gt;"",IF('Capacity summary'!$D$14="Yes",IF(COUNTBLANK('Capacity summary'!$H132:$BG132)&lt;52,IF('Capacity summary'!J132&lt;&gt;"",IF(LOWER('Capacity summary'!J132)="x",$BI13*J13,VALUE('Capacity summary'!J132)),0),J13*$BI13),J13*$BI13),0)</f>
        <v>0</v>
      </c>
      <c r="BN13" s="313">
        <f>IF($BI13&lt;&gt;"",IF('Capacity summary'!$D$14="Yes",IF(COUNTBLANK('Capacity summary'!$H132:$BG132)&lt;52,IF('Capacity summary'!K132&lt;&gt;"",IF(LOWER('Capacity summary'!K132)="x",$BI13*K13,VALUE('Capacity summary'!K132)),0),K13*$BI13),K13*$BI13),0)</f>
        <v>0</v>
      </c>
      <c r="BO13" s="313">
        <f>IF($BI13&lt;&gt;"",IF('Capacity summary'!$D$14="Yes",IF(COUNTBLANK('Capacity summary'!$H132:$BG132)&lt;52,IF('Capacity summary'!L132&lt;&gt;"",IF(LOWER('Capacity summary'!L132)="x",$BI13*L13,VALUE('Capacity summary'!L132)),0),L13*$BI13),L13*$BI13),0)</f>
        <v>0</v>
      </c>
      <c r="BP13" s="313">
        <f>IF($BI13&lt;&gt;"",IF('Capacity summary'!$D$14="Yes",IF(COUNTBLANK('Capacity summary'!$H132:$BG132)&lt;52,IF('Capacity summary'!M132&lt;&gt;"",IF(LOWER('Capacity summary'!M132)="x",$BI13*M13,VALUE('Capacity summary'!M132)),0),M13*$BI13),M13*$BI13),0)</f>
        <v>0</v>
      </c>
      <c r="BQ13" s="313">
        <f>IF($BI13&lt;&gt;"",IF('Capacity summary'!$D$14="Yes",IF(COUNTBLANK('Capacity summary'!$H132:$BG132)&lt;52,IF('Capacity summary'!N132&lt;&gt;"",IF(LOWER('Capacity summary'!N132)="x",$BI13*N13,VALUE('Capacity summary'!N132)),0),N13*$BI13),N13*$BI13),0)</f>
        <v>0</v>
      </c>
      <c r="BR13" s="313">
        <f>IF($BI13&lt;&gt;"",IF('Capacity summary'!$D$14="Yes",IF(COUNTBLANK('Capacity summary'!$H132:$BG132)&lt;52,IF('Capacity summary'!O132&lt;&gt;"",IF(LOWER('Capacity summary'!O132)="x",$BI13*O13,VALUE('Capacity summary'!O132)),0),O13*$BI13),O13*$BI13),0)</f>
        <v>0</v>
      </c>
      <c r="BS13" s="313">
        <f>IF($BI13&lt;&gt;"",IF('Capacity summary'!$D$14="Yes",IF(COUNTBLANK('Capacity summary'!$H132:$BG132)&lt;52,IF('Capacity summary'!P132&lt;&gt;"",IF(LOWER('Capacity summary'!P132)="x",$BI13*P13,VALUE('Capacity summary'!P132)),0),P13*$BI13),P13*$BI13),0)</f>
        <v>0</v>
      </c>
      <c r="BT13" s="313">
        <f>IF($BI13&lt;&gt;"",IF('Capacity summary'!$D$14="Yes",IF(COUNTBLANK('Capacity summary'!$H132:$BG132)&lt;52,IF('Capacity summary'!Q132&lt;&gt;"",IF(LOWER('Capacity summary'!Q132)="x",$BI13*Q13,VALUE('Capacity summary'!Q132)),0),Q13*$BI13),Q13*$BI13),0)</f>
        <v>0</v>
      </c>
      <c r="BU13" s="313">
        <f>IF($BI13&lt;&gt;"",IF('Capacity summary'!$D$14="Yes",IF(COUNTBLANK('Capacity summary'!$H132:$BG132)&lt;52,IF('Capacity summary'!R132&lt;&gt;"",IF(LOWER('Capacity summary'!R132)="x",$BI13*R13,VALUE('Capacity summary'!R132)),0),R13*$BI13),R13*$BI13),0)</f>
        <v>0</v>
      </c>
      <c r="BV13" s="313">
        <f>IF($BI13&lt;&gt;"",IF('Capacity summary'!$D$14="Yes",IF(COUNTBLANK('Capacity summary'!$H132:$BG132)&lt;52,IF('Capacity summary'!S132&lt;&gt;"",IF(LOWER('Capacity summary'!S132)="x",$BI13*S13,VALUE('Capacity summary'!S132)),0),S13*$BI13),S13*$BI13),0)</f>
        <v>0</v>
      </c>
      <c r="BW13" s="313">
        <f>IF($BI13&lt;&gt;"",IF('Capacity summary'!$D$14="Yes",IF(COUNTBLANK('Capacity summary'!$H132:$BG132)&lt;52,IF('Capacity summary'!T132&lt;&gt;"",IF(LOWER('Capacity summary'!T132)="x",$BI13*T13,VALUE('Capacity summary'!T132)),0),T13*$BI13),T13*$BI13),0)</f>
        <v>0</v>
      </c>
      <c r="BX13" s="313">
        <f>IF($BI13&lt;&gt;"",IF('Capacity summary'!$D$14="Yes",IF(COUNTBLANK('Capacity summary'!$H132:$BG132)&lt;52,IF('Capacity summary'!U132&lt;&gt;"",IF(LOWER('Capacity summary'!U132)="x",$BI13*U13,VALUE('Capacity summary'!U132)),0),U13*$BI13),U13*$BI13),0)</f>
        <v>0</v>
      </c>
      <c r="BY13" s="313">
        <f>IF($BI13&lt;&gt;"",IF('Capacity summary'!$D$14="Yes",IF(COUNTBLANK('Capacity summary'!$H132:$BG132)&lt;52,IF('Capacity summary'!V132&lt;&gt;"",IF(LOWER('Capacity summary'!V132)="x",$BI13*V13,VALUE('Capacity summary'!V132)),0),V13*$BI13),V13*$BI13),0)</f>
        <v>0</v>
      </c>
      <c r="BZ13" s="313">
        <f>IF($BI13&lt;&gt;"",IF('Capacity summary'!$D$14="Yes",IF(COUNTBLANK('Capacity summary'!$H132:$BG132)&lt;52,IF('Capacity summary'!W132&lt;&gt;"",IF(LOWER('Capacity summary'!W132)="x",$BI13*W13,VALUE('Capacity summary'!W132)),0),W13*$BI13),W13*$BI13),0)</f>
        <v>0</v>
      </c>
      <c r="CA13" s="313">
        <f>IF($BI13&lt;&gt;"",IF('Capacity summary'!$D$14="Yes",IF(COUNTBLANK('Capacity summary'!$H132:$BG132)&lt;52,IF('Capacity summary'!X132&lt;&gt;"",IF(LOWER('Capacity summary'!X132)="x",$BI13*X13,VALUE('Capacity summary'!X132)),0),X13*$BI13),X13*$BI13),0)</f>
        <v>0</v>
      </c>
      <c r="CB13" s="313">
        <f>IF($BI13&lt;&gt;"",IF('Capacity summary'!$D$14="Yes",IF(COUNTBLANK('Capacity summary'!$H132:$BG132)&lt;52,IF('Capacity summary'!Y132&lt;&gt;"",IF(LOWER('Capacity summary'!Y132)="x",$BI13*Y13,VALUE('Capacity summary'!Y132)),0),Y13*$BI13),Y13*$BI13),0)</f>
        <v>0</v>
      </c>
      <c r="CC13" s="313">
        <f>IF($BI13&lt;&gt;"",IF('Capacity summary'!$D$14="Yes",IF(COUNTBLANK('Capacity summary'!$H132:$BG132)&lt;52,IF('Capacity summary'!Z132&lt;&gt;"",IF(LOWER('Capacity summary'!Z132)="x",$BI13*Z13,VALUE('Capacity summary'!Z132)),0),Z13*$BI13),Z13*$BI13),0)</f>
        <v>0</v>
      </c>
      <c r="CD13" s="313">
        <f>IF($BI13&lt;&gt;"",IF('Capacity summary'!$D$14="Yes",IF(COUNTBLANK('Capacity summary'!$H132:$BG132)&lt;52,IF('Capacity summary'!AA132&lt;&gt;"",IF(LOWER('Capacity summary'!AA132)="x",$BI13*AA13,VALUE('Capacity summary'!AA132)),0),AA13*$BI13),AA13*$BI13),0)</f>
        <v>0</v>
      </c>
      <c r="CE13" s="313">
        <f>IF($BI13&lt;&gt;"",IF('Capacity summary'!$D$14="Yes",IF(COUNTBLANK('Capacity summary'!$H132:$BG132)&lt;52,IF('Capacity summary'!AB132&lt;&gt;"",IF(LOWER('Capacity summary'!AB132)="x",$BI13*AB13,VALUE('Capacity summary'!AB132)),0),AB13*$BI13),AB13*$BI13),0)</f>
        <v>0</v>
      </c>
      <c r="CF13" s="313">
        <f>IF($BI13&lt;&gt;"",IF('Capacity summary'!$D$14="Yes",IF(COUNTBLANK('Capacity summary'!$H132:$BG132)&lt;52,IF('Capacity summary'!AC132&lt;&gt;"",IF(LOWER('Capacity summary'!AC132)="x",$BI13*AC13,VALUE('Capacity summary'!AC132)),0),AC13*$BI13),AC13*$BI13),0)</f>
        <v>0</v>
      </c>
      <c r="CG13" s="313">
        <f>IF($BI13&lt;&gt;"",IF('Capacity summary'!$D$14="Yes",IF(COUNTBLANK('Capacity summary'!$H132:$BG132)&lt;52,IF('Capacity summary'!AD132&lt;&gt;"",IF(LOWER('Capacity summary'!AD132)="x",$BI13*AD13,VALUE('Capacity summary'!AD132)),0),AD13*$BI13),AD13*$BI13),0)</f>
        <v>0</v>
      </c>
      <c r="CH13" s="313">
        <f>IF($BI13&lt;&gt;"",IF('Capacity summary'!$D$14="Yes",IF(COUNTBLANK('Capacity summary'!$H132:$BG132)&lt;52,IF('Capacity summary'!AE132&lt;&gt;"",IF(LOWER('Capacity summary'!AE132)="x",$BI13*AE13,VALUE('Capacity summary'!AE132)),0),AE13*$BI13),AE13*$BI13),0)</f>
        <v>0</v>
      </c>
      <c r="CI13" s="313">
        <f>IF($BI13&lt;&gt;"",IF('Capacity summary'!$D$14="Yes",IF(COUNTBLANK('Capacity summary'!$H132:$BG132)&lt;52,IF('Capacity summary'!AF132&lt;&gt;"",IF(LOWER('Capacity summary'!AF132)="x",$BI13*AF13,VALUE('Capacity summary'!AF132)),0),AF13*$BI13),AF13*$BI13),0)</f>
        <v>0</v>
      </c>
      <c r="CJ13" s="313">
        <f>IF($BI13&lt;&gt;"",IF('Capacity summary'!$D$14="Yes",IF(COUNTBLANK('Capacity summary'!$H132:$BG132)&lt;52,IF('Capacity summary'!AG132&lt;&gt;"",IF(LOWER('Capacity summary'!AG132)="x",$BI13*AG13,VALUE('Capacity summary'!AG132)),0),AG13*$BI13),AG13*$BI13),0)</f>
        <v>0</v>
      </c>
      <c r="CK13" s="313">
        <f>IF($BI13&lt;&gt;"",IF('Capacity summary'!$D$14="Yes",IF(COUNTBLANK('Capacity summary'!$H132:$BG132)&lt;52,IF('Capacity summary'!AH132&lt;&gt;"",IF(LOWER('Capacity summary'!AH132)="x",$BI13*AH13,VALUE('Capacity summary'!AH132)),0),AH13*$BI13),AH13*$BI13),0)</f>
        <v>0</v>
      </c>
      <c r="CL13" s="313">
        <f>IF($BI13&lt;&gt;"",IF('Capacity summary'!$D$14="Yes",IF(COUNTBLANK('Capacity summary'!$H132:$BG132)&lt;52,IF('Capacity summary'!AI132&lt;&gt;"",IF(LOWER('Capacity summary'!AI132)="x",$BI13*AI13,VALUE('Capacity summary'!AI132)),0),AI13*$BI13),AI13*$BI13),0)</f>
        <v>0</v>
      </c>
      <c r="CM13" s="313">
        <f>IF($BI13&lt;&gt;"",IF('Capacity summary'!$D$14="Yes",IF(COUNTBLANK('Capacity summary'!$H132:$BG132)&lt;52,IF('Capacity summary'!AJ132&lt;&gt;"",IF(LOWER('Capacity summary'!AJ132)="x",$BI13*AJ13,VALUE('Capacity summary'!AJ132)),0),AJ13*$BI13),AJ13*$BI13),0)</f>
        <v>0</v>
      </c>
      <c r="CN13" s="313">
        <f>IF($BI13&lt;&gt;"",IF('Capacity summary'!$D$14="Yes",IF(COUNTBLANK('Capacity summary'!$H132:$BG132)&lt;52,IF('Capacity summary'!AK132&lt;&gt;"",IF(LOWER('Capacity summary'!AK132)="x",$BI13*AK13,VALUE('Capacity summary'!AK132)),0),AK13*$BI13),AK13*$BI13),0)</f>
        <v>0</v>
      </c>
      <c r="CO13" s="313">
        <f>IF($BI13&lt;&gt;"",IF('Capacity summary'!$D$14="Yes",IF(COUNTBLANK('Capacity summary'!$H132:$BG132)&lt;52,IF('Capacity summary'!AL132&lt;&gt;"",IF(LOWER('Capacity summary'!AL132)="x",$BI13*AL13,VALUE('Capacity summary'!AL132)),0),AL13*$BI13),AL13*$BI13),0)</f>
        <v>0</v>
      </c>
      <c r="CP13" s="313">
        <f>IF($BI13&lt;&gt;"",IF('Capacity summary'!$D$14="Yes",IF(COUNTBLANK('Capacity summary'!$H132:$BG132)&lt;52,IF('Capacity summary'!AM132&lt;&gt;"",IF(LOWER('Capacity summary'!AM132)="x",$BI13*AM13,VALUE('Capacity summary'!AM132)),0),AM13*$BI13),AM13*$BI13),0)</f>
        <v>0</v>
      </c>
      <c r="CQ13" s="313">
        <f>IF($BI13&lt;&gt;"",IF('Capacity summary'!$D$14="Yes",IF(COUNTBLANK('Capacity summary'!$H132:$BG132)&lt;52,IF('Capacity summary'!AN132&lt;&gt;"",IF(LOWER('Capacity summary'!AN132)="x",$BI13*AN13,VALUE('Capacity summary'!AN132)),0),AN13*$BI13),AN13*$BI13),0)</f>
        <v>0</v>
      </c>
      <c r="CR13" s="313">
        <f>IF($BI13&lt;&gt;"",IF('Capacity summary'!$D$14="Yes",IF(COUNTBLANK('Capacity summary'!$H132:$BG132)&lt;52,IF('Capacity summary'!AO132&lt;&gt;"",IF(LOWER('Capacity summary'!AO132)="x",$BI13*AO13,VALUE('Capacity summary'!AO132)),0),AO13*$BI13),AO13*$BI13),0)</f>
        <v>0</v>
      </c>
      <c r="CS13" s="313">
        <f>IF($BI13&lt;&gt;"",IF('Capacity summary'!$D$14="Yes",IF(COUNTBLANK('Capacity summary'!$H132:$BG132)&lt;52,IF('Capacity summary'!AP132&lt;&gt;"",IF(LOWER('Capacity summary'!AP132)="x",$BI13*AP13,VALUE('Capacity summary'!AP132)),0),AP13*$BI13),AP13*$BI13),0)</f>
        <v>0</v>
      </c>
      <c r="CT13" s="313">
        <f>IF($BI13&lt;&gt;"",IF('Capacity summary'!$D$14="Yes",IF(COUNTBLANK('Capacity summary'!$H132:$BG132)&lt;52,IF('Capacity summary'!AQ132&lt;&gt;"",IF(LOWER('Capacity summary'!AQ132)="x",$BI13*AQ13,VALUE('Capacity summary'!AQ132)),0),AQ13*$BI13),AQ13*$BI13),0)</f>
        <v>0</v>
      </c>
      <c r="CU13" s="313">
        <f>IF($BI13&lt;&gt;"",IF('Capacity summary'!$D$14="Yes",IF(COUNTBLANK('Capacity summary'!$H132:$BG132)&lt;52,IF('Capacity summary'!AR132&lt;&gt;"",IF(LOWER('Capacity summary'!AR132)="x",$BI13*AR13,VALUE('Capacity summary'!AR132)),0),AR13*$BI13),AR13*$BI13),0)</f>
        <v>0</v>
      </c>
      <c r="CV13" s="313">
        <f>IF($BI13&lt;&gt;"",IF('Capacity summary'!$D$14="Yes",IF(COUNTBLANK('Capacity summary'!$H132:$BG132)&lt;52,IF('Capacity summary'!AS132&lt;&gt;"",IF(LOWER('Capacity summary'!AS132)="x",$BI13*AS13,VALUE('Capacity summary'!AS132)),0),AS13*$BI13),AS13*$BI13),0)</f>
        <v>0</v>
      </c>
      <c r="CW13" s="313">
        <f>IF($BI13&lt;&gt;"",IF('Capacity summary'!$D$14="Yes",IF(COUNTBLANK('Capacity summary'!$H132:$BG132)&lt;52,IF('Capacity summary'!AT132&lt;&gt;"",IF(LOWER('Capacity summary'!AT132)="x",$BI13*AT13,VALUE('Capacity summary'!AT132)),0),AT13*$BI13),AT13*$BI13),0)</f>
        <v>0</v>
      </c>
      <c r="CX13" s="313">
        <f>IF($BI13&lt;&gt;"",IF('Capacity summary'!$D$14="Yes",IF(COUNTBLANK('Capacity summary'!$H132:$BG132)&lt;52,IF('Capacity summary'!AU132&lt;&gt;"",IF(LOWER('Capacity summary'!AU132)="x",$BI13*AU13,VALUE('Capacity summary'!AU132)),0),AU13*$BI13),AU13*$BI13),0)</f>
        <v>0</v>
      </c>
      <c r="CY13" s="313">
        <f>IF($BI13&lt;&gt;"",IF('Capacity summary'!$D$14="Yes",IF(COUNTBLANK('Capacity summary'!$H132:$BG132)&lt;52,IF('Capacity summary'!AV132&lt;&gt;"",IF(LOWER('Capacity summary'!AV132)="x",$BI13*AV13,VALUE('Capacity summary'!AV132)),0),AV13*$BI13),AV13*$BI13),0)</f>
        <v>0</v>
      </c>
      <c r="CZ13" s="313">
        <f>IF($BI13&lt;&gt;"",IF('Capacity summary'!$D$14="Yes",IF(COUNTBLANK('Capacity summary'!$H132:$BG132)&lt;52,IF('Capacity summary'!AW132&lt;&gt;"",IF(LOWER('Capacity summary'!AW132)="x",$BI13*AW13,VALUE('Capacity summary'!AW132)),0),AW13*$BI13),AW13*$BI13),0)</f>
        <v>0</v>
      </c>
      <c r="DA13" s="313">
        <f>IF($BI13&lt;&gt;"",IF('Capacity summary'!$D$14="Yes",IF(COUNTBLANK('Capacity summary'!$H132:$BG132)&lt;52,IF('Capacity summary'!AX132&lt;&gt;"",IF(LOWER('Capacity summary'!AX132)="x",$BI13*AX13,VALUE('Capacity summary'!AX132)),0),AX13*$BI13),AX13*$BI13),0)</f>
        <v>0</v>
      </c>
      <c r="DB13" s="313">
        <f>IF($BI13&lt;&gt;"",IF('Capacity summary'!$D$14="Yes",IF(COUNTBLANK('Capacity summary'!$H132:$BG132)&lt;52,IF('Capacity summary'!AY132&lt;&gt;"",IF(LOWER('Capacity summary'!AY132)="x",$BI13*AY13,VALUE('Capacity summary'!AY132)),0),AY13*$BI13),AY13*$BI13),0)</f>
        <v>0</v>
      </c>
      <c r="DC13" s="313">
        <f>IF($BI13&lt;&gt;"",IF('Capacity summary'!$D$14="Yes",IF(COUNTBLANK('Capacity summary'!$H132:$BG132)&lt;52,IF('Capacity summary'!AZ132&lt;&gt;"",IF(LOWER('Capacity summary'!AZ132)="x",$BI13*AZ13,VALUE('Capacity summary'!AZ132)),0),AZ13*$BI13),AZ13*$BI13),0)</f>
        <v>0</v>
      </c>
      <c r="DD13" s="313">
        <f>IF($BI13&lt;&gt;"",IF('Capacity summary'!$D$14="Yes",IF(COUNTBLANK('Capacity summary'!$H132:$BG132)&lt;52,IF('Capacity summary'!BA132&lt;&gt;"",IF(LOWER('Capacity summary'!BA132)="x",$BI13*BA13,VALUE('Capacity summary'!BA132)),0),BA13*$BI13),BA13*$BI13),0)</f>
        <v>0</v>
      </c>
      <c r="DE13" s="313">
        <f>IF($BI13&lt;&gt;"",IF('Capacity summary'!$D$14="Yes",IF(COUNTBLANK('Capacity summary'!$H132:$BG132)&lt;52,IF('Capacity summary'!BB132&lt;&gt;"",IF(LOWER('Capacity summary'!BB132)="x",$BI13*BB13,VALUE('Capacity summary'!BB132)),0),BB13*$BI13),BB13*$BI13),0)</f>
        <v>0</v>
      </c>
      <c r="DF13" s="313">
        <f>IF($BI13&lt;&gt;"",IF('Capacity summary'!$D$14="Yes",IF(COUNTBLANK('Capacity summary'!$H132:$BG132)&lt;52,IF('Capacity summary'!BC132&lt;&gt;"",IF(LOWER('Capacity summary'!BC132)="x",$BI13*BC13,VALUE('Capacity summary'!BC132)),0),BC13*$BI13),BC13*$BI13),0)</f>
        <v>0</v>
      </c>
      <c r="DG13" s="313">
        <f>IF($BI13&lt;&gt;"",IF('Capacity summary'!$D$14="Yes",IF(COUNTBLANK('Capacity summary'!$H132:$BG132)&lt;52,IF('Capacity summary'!BD132&lt;&gt;"",IF(LOWER('Capacity summary'!BD132)="x",$BI13*BD13,VALUE('Capacity summary'!BD132)),0),BD13*$BI13),BD13*$BI13),0)</f>
        <v>0</v>
      </c>
      <c r="DH13" s="313">
        <f>IF($BI13&lt;&gt;"",IF('Capacity summary'!$D$14="Yes",IF(COUNTBLANK('Capacity summary'!$H132:$BG132)&lt;52,IF('Capacity summary'!BE132&lt;&gt;"",IF(LOWER('Capacity summary'!BE132)="x",$BI13*BE13,VALUE('Capacity summary'!BE132)),0),BE13*$BI13),BE13*$BI13),0)</f>
        <v>0</v>
      </c>
      <c r="DI13" s="313">
        <f>IF($BI13&lt;&gt;"",IF('Capacity summary'!$D$14="Yes",IF(COUNTBLANK('Capacity summary'!$H132:$BG132)&lt;52,IF('Capacity summary'!BF132&lt;&gt;"",IF(LOWER('Capacity summary'!BF132)="x",$BI13*BF13,VALUE('Capacity summary'!BF132)),0),BF13*$BI13),BF13*$BI13),0)</f>
        <v>0</v>
      </c>
      <c r="DJ13" s="313">
        <f>IF($BI13&lt;&gt;"",IF('Capacity summary'!$D$14="Yes",IF(COUNTBLANK('Capacity summary'!$H132:$BG132)&lt;52,IF('Capacity summary'!BG132&lt;&gt;"",IF(LOWER('Capacity summary'!BG132)="x",$BI13*BG13,VALUE('Capacity summary'!BG132)),0),BG13*$BI13),BG13*$BI13),0)</f>
        <v>0</v>
      </c>
      <c r="DK13" s="137">
        <f t="shared" si="2"/>
        <v>0</v>
      </c>
      <c r="DL13" s="313" t="str">
        <f>Capacity!H25</f>
        <v/>
      </c>
      <c r="DP13" s="5"/>
    </row>
    <row r="14" spans="2:120" x14ac:dyDescent="0.25">
      <c r="B14" s="67"/>
      <c r="C14" s="67" t="str">
        <f>ROW(A10)&amp;". "&amp;Capacity!B26</f>
        <v xml:space="preserve">10. </v>
      </c>
      <c r="D14" s="67">
        <f>'Capacity setup'!C21</f>
        <v>0</v>
      </c>
      <c r="E14" s="67">
        <f>'Capacity setup'!D21</f>
        <v>0</v>
      </c>
      <c r="F14" s="67">
        <f>'Capacity setup'!E21</f>
        <v>0</v>
      </c>
      <c r="H14" s="67">
        <f ca="1">IF(AND(SUMIF(Capacity_Resource,$D14,'Critical resources (hide)'!U$6:U$105)+SUMIF(Capacity_Resource,$E14,'Critical resources (hide)'!U$6:U$105)+SUMIF(Capacity_Resource,$F14,'Critical resources (hide)'!U$6:U$105)&gt;0,$E$1=2),0,1)</f>
        <v>1</v>
      </c>
      <c r="I14" s="67">
        <f ca="1">IF(AND(SUMIF(Capacity_Resource,$D14,'Critical resources (hide)'!V$6:V$105)+SUMIF(Capacity_Resource,$E14,'Critical resources (hide)'!V$6:V$105)+SUMIF(Capacity_Resource,$F14,'Critical resources (hide)'!V$6:V$105)&gt;0,$E$1=2),0,1)</f>
        <v>1</v>
      </c>
      <c r="J14" s="67">
        <f ca="1">IF(AND(SUMIF(Capacity_Resource,$D14,'Critical resources (hide)'!W$6:W$105)+SUMIF(Capacity_Resource,$E14,'Critical resources (hide)'!W$6:W$105)+SUMIF(Capacity_Resource,$F14,'Critical resources (hide)'!W$6:W$105)&gt;0,$E$1=2),0,1)</f>
        <v>1</v>
      </c>
      <c r="K14" s="67">
        <f ca="1">IF(AND(SUMIF(Capacity_Resource,$D14,'Critical resources (hide)'!X$6:X$105)+SUMIF(Capacity_Resource,$E14,'Critical resources (hide)'!X$6:X$105)+SUMIF(Capacity_Resource,$F14,'Critical resources (hide)'!X$6:X$105)&gt;0,$E$1=2),0,1)</f>
        <v>1</v>
      </c>
      <c r="L14" s="67">
        <f ca="1">IF(AND(SUMIF(Capacity_Resource,$D14,'Critical resources (hide)'!Y$6:Y$105)+SUMIF(Capacity_Resource,$E14,'Critical resources (hide)'!Y$6:Y$105)+SUMIF(Capacity_Resource,$F14,'Critical resources (hide)'!Y$6:Y$105)&gt;0,$E$1=2),0,1)</f>
        <v>1</v>
      </c>
      <c r="M14" s="67">
        <f ca="1">IF(AND(SUMIF(Capacity_Resource,$D14,'Critical resources (hide)'!Z$6:Z$105)+SUMIF(Capacity_Resource,$E14,'Critical resources (hide)'!Z$6:Z$105)+SUMIF(Capacity_Resource,$F14,'Critical resources (hide)'!Z$6:Z$105)&gt;0,$E$1=2),0,1)</f>
        <v>1</v>
      </c>
      <c r="N14" s="67">
        <f ca="1">IF(AND(SUMIF(Capacity_Resource,$D14,'Critical resources (hide)'!AA$6:AA$105)+SUMIF(Capacity_Resource,$E14,'Critical resources (hide)'!AA$6:AA$105)+SUMIF(Capacity_Resource,$F14,'Critical resources (hide)'!AA$6:AA$105)&gt;0,$E$1=2),0,1)</f>
        <v>1</v>
      </c>
      <c r="O14" s="67">
        <f ca="1">IF(AND(SUMIF(Capacity_Resource,$D14,'Critical resources (hide)'!AB$6:AB$105)+SUMIF(Capacity_Resource,$E14,'Critical resources (hide)'!AB$6:AB$105)+SUMIF(Capacity_Resource,$F14,'Critical resources (hide)'!AB$6:AB$105)&gt;0,$E$1=2),0,1)</f>
        <v>1</v>
      </c>
      <c r="P14" s="67">
        <f ca="1">IF(AND(SUMIF(Capacity_Resource,$D14,'Critical resources (hide)'!AC$6:AC$105)+SUMIF(Capacity_Resource,$E14,'Critical resources (hide)'!AC$6:AC$105)+SUMIF(Capacity_Resource,$F14,'Critical resources (hide)'!AC$6:AC$105)&gt;0,$E$1=2),0,1)</f>
        <v>1</v>
      </c>
      <c r="Q14" s="67">
        <f ca="1">IF(AND(SUMIF(Capacity_Resource,$D14,'Critical resources (hide)'!AD$6:AD$105)+SUMIF(Capacity_Resource,$E14,'Critical resources (hide)'!AD$6:AD$105)+SUMIF(Capacity_Resource,$F14,'Critical resources (hide)'!AD$6:AD$105)&gt;0,$E$1=2),0,1)</f>
        <v>1</v>
      </c>
      <c r="R14" s="67">
        <f ca="1">IF(AND(SUMIF(Capacity_Resource,$D14,'Critical resources (hide)'!AE$6:AE$105)+SUMIF(Capacity_Resource,$E14,'Critical resources (hide)'!AE$6:AE$105)+SUMIF(Capacity_Resource,$F14,'Critical resources (hide)'!AE$6:AE$105)&gt;0,$E$1=2),0,1)</f>
        <v>1</v>
      </c>
      <c r="S14" s="67">
        <f ca="1">IF(AND(SUMIF(Capacity_Resource,$D14,'Critical resources (hide)'!AF$6:AF$105)+SUMIF(Capacity_Resource,$E14,'Critical resources (hide)'!AF$6:AF$105)+SUMIF(Capacity_Resource,$F14,'Critical resources (hide)'!AF$6:AF$105)&gt;0,$E$1=2),0,1)</f>
        <v>1</v>
      </c>
      <c r="T14" s="67">
        <f ca="1">IF(AND(SUMIF(Capacity_Resource,$D14,'Critical resources (hide)'!AG$6:AG$105)+SUMIF(Capacity_Resource,$E14,'Critical resources (hide)'!AG$6:AG$105)+SUMIF(Capacity_Resource,$F14,'Critical resources (hide)'!AG$6:AG$105)&gt;0,$E$1=2),0,1)</f>
        <v>1</v>
      </c>
      <c r="U14" s="67">
        <f ca="1">IF(AND(SUMIF(Capacity_Resource,$D14,'Critical resources (hide)'!AH$6:AH$105)+SUMIF(Capacity_Resource,$E14,'Critical resources (hide)'!AH$6:AH$105)+SUMIF(Capacity_Resource,$F14,'Critical resources (hide)'!AH$6:AH$105)&gt;0,$E$1=2),0,1)</f>
        <v>1</v>
      </c>
      <c r="V14" s="67">
        <f ca="1">IF(AND(SUMIF(Capacity_Resource,$D14,'Critical resources (hide)'!AI$6:AI$105)+SUMIF(Capacity_Resource,$E14,'Critical resources (hide)'!AI$6:AI$105)+SUMIF(Capacity_Resource,$F14,'Critical resources (hide)'!AI$6:AI$105)&gt;0,$E$1=2),0,1)</f>
        <v>1</v>
      </c>
      <c r="W14" s="67">
        <f ca="1">IF(AND(SUMIF(Capacity_Resource,$D14,'Critical resources (hide)'!AJ$6:AJ$105)+SUMIF(Capacity_Resource,$E14,'Critical resources (hide)'!AJ$6:AJ$105)+SUMIF(Capacity_Resource,$F14,'Critical resources (hide)'!AJ$6:AJ$105)&gt;0,$E$1=2),0,1)</f>
        <v>1</v>
      </c>
      <c r="X14" s="67">
        <f ca="1">IF(AND(SUMIF(Capacity_Resource,$D14,'Critical resources (hide)'!AK$6:AK$105)+SUMIF(Capacity_Resource,$E14,'Critical resources (hide)'!AK$6:AK$105)+SUMIF(Capacity_Resource,$F14,'Critical resources (hide)'!AK$6:AK$105)&gt;0,$E$1=2),0,1)</f>
        <v>1</v>
      </c>
      <c r="Y14" s="67">
        <f ca="1">IF(AND(SUMIF(Capacity_Resource,$D14,'Critical resources (hide)'!AL$6:AL$105)+SUMIF(Capacity_Resource,$E14,'Critical resources (hide)'!AL$6:AL$105)+SUMIF(Capacity_Resource,$F14,'Critical resources (hide)'!AL$6:AL$105)&gt;0,$E$1=2),0,1)</f>
        <v>1</v>
      </c>
      <c r="Z14" s="67">
        <f ca="1">IF(AND(SUMIF(Capacity_Resource,$D14,'Critical resources (hide)'!AM$6:AM$105)+SUMIF(Capacity_Resource,$E14,'Critical resources (hide)'!AM$6:AM$105)+SUMIF(Capacity_Resource,$F14,'Critical resources (hide)'!AM$6:AM$105)&gt;0,$E$1=2),0,1)</f>
        <v>1</v>
      </c>
      <c r="AA14" s="67">
        <f ca="1">IF(AND(SUMIF(Capacity_Resource,$D14,'Critical resources (hide)'!AN$6:AN$105)+SUMIF(Capacity_Resource,$E14,'Critical resources (hide)'!AN$6:AN$105)+SUMIF(Capacity_Resource,$F14,'Critical resources (hide)'!AN$6:AN$105)&gt;0,$E$1=2),0,1)</f>
        <v>1</v>
      </c>
      <c r="AB14" s="67">
        <f ca="1">IF(AND(SUMIF(Capacity_Resource,$D14,'Critical resources (hide)'!AO$6:AO$105)+SUMIF(Capacity_Resource,$E14,'Critical resources (hide)'!AO$6:AO$105)+SUMIF(Capacity_Resource,$F14,'Critical resources (hide)'!AO$6:AO$105)&gt;0,$E$1=2),0,1)</f>
        <v>1</v>
      </c>
      <c r="AC14" s="67">
        <f ca="1">IF(AND(SUMIF(Capacity_Resource,$D14,'Critical resources (hide)'!AP$6:AP$105)+SUMIF(Capacity_Resource,$E14,'Critical resources (hide)'!AP$6:AP$105)+SUMIF(Capacity_Resource,$F14,'Critical resources (hide)'!AP$6:AP$105)&gt;0,$E$1=2),0,1)</f>
        <v>1</v>
      </c>
      <c r="AD14" s="67">
        <f ca="1">IF(AND(SUMIF(Capacity_Resource,$D14,'Critical resources (hide)'!AQ$6:AQ$105)+SUMIF(Capacity_Resource,$E14,'Critical resources (hide)'!AQ$6:AQ$105)+SUMIF(Capacity_Resource,$F14,'Critical resources (hide)'!AQ$6:AQ$105)&gt;0,$E$1=2),0,1)</f>
        <v>1</v>
      </c>
      <c r="AE14" s="67">
        <f ca="1">IF(AND(SUMIF(Capacity_Resource,$D14,'Critical resources (hide)'!AR$6:AR$105)+SUMIF(Capacity_Resource,$E14,'Critical resources (hide)'!AR$6:AR$105)+SUMIF(Capacity_Resource,$F14,'Critical resources (hide)'!AR$6:AR$105)&gt;0,$E$1=2),0,1)</f>
        <v>1</v>
      </c>
      <c r="AF14" s="67">
        <f ca="1">IF(AND(SUMIF(Capacity_Resource,$D14,'Critical resources (hide)'!AS$6:AS$105)+SUMIF(Capacity_Resource,$E14,'Critical resources (hide)'!AS$6:AS$105)+SUMIF(Capacity_Resource,$F14,'Critical resources (hide)'!AS$6:AS$105)&gt;0,$E$1=2),0,1)</f>
        <v>1</v>
      </c>
      <c r="AG14" s="67">
        <f ca="1">IF(AND(SUMIF(Capacity_Resource,$D14,'Critical resources (hide)'!AT$6:AT$105)+SUMIF(Capacity_Resource,$E14,'Critical resources (hide)'!AT$6:AT$105)+SUMIF(Capacity_Resource,$F14,'Critical resources (hide)'!AT$6:AT$105)&gt;0,$E$1=2),0,1)</f>
        <v>1</v>
      </c>
      <c r="AH14" s="67">
        <f ca="1">IF(AND(SUMIF(Capacity_Resource,$D14,'Critical resources (hide)'!AU$6:AU$105)+SUMIF(Capacity_Resource,$E14,'Critical resources (hide)'!AU$6:AU$105)+SUMIF(Capacity_Resource,$F14,'Critical resources (hide)'!AU$6:AU$105)&gt;0,$E$1=2),0,1)</f>
        <v>1</v>
      </c>
      <c r="AI14" s="67">
        <f ca="1">IF(AND(SUMIF(Capacity_Resource,$D14,'Critical resources (hide)'!AV$6:AV$105)+SUMIF(Capacity_Resource,$E14,'Critical resources (hide)'!AV$6:AV$105)+SUMIF(Capacity_Resource,$F14,'Critical resources (hide)'!AV$6:AV$105)&gt;0,$E$1=2),0,1)</f>
        <v>1</v>
      </c>
      <c r="AJ14" s="67">
        <f ca="1">IF(AND(SUMIF(Capacity_Resource,$D14,'Critical resources (hide)'!AW$6:AW$105)+SUMIF(Capacity_Resource,$E14,'Critical resources (hide)'!AW$6:AW$105)+SUMIF(Capacity_Resource,$F14,'Critical resources (hide)'!AW$6:AW$105)&gt;0,$E$1=2),0,1)</f>
        <v>1</v>
      </c>
      <c r="AK14" s="67">
        <f ca="1">IF(AND(SUMIF(Capacity_Resource,$D14,'Critical resources (hide)'!AX$6:AX$105)+SUMIF(Capacity_Resource,$E14,'Critical resources (hide)'!AX$6:AX$105)+SUMIF(Capacity_Resource,$F14,'Critical resources (hide)'!AX$6:AX$105)&gt;0,$E$1=2),0,1)</f>
        <v>1</v>
      </c>
      <c r="AL14" s="67">
        <f ca="1">IF(AND(SUMIF(Capacity_Resource,$D14,'Critical resources (hide)'!AY$6:AY$105)+SUMIF(Capacity_Resource,$E14,'Critical resources (hide)'!AY$6:AY$105)+SUMIF(Capacity_Resource,$F14,'Critical resources (hide)'!AY$6:AY$105)&gt;0,$E$1=2),0,1)</f>
        <v>1</v>
      </c>
      <c r="AM14" s="67">
        <f ca="1">IF(AND(SUMIF(Capacity_Resource,$D14,'Critical resources (hide)'!AZ$6:AZ$105)+SUMIF(Capacity_Resource,$E14,'Critical resources (hide)'!AZ$6:AZ$105)+SUMIF(Capacity_Resource,$F14,'Critical resources (hide)'!AZ$6:AZ$105)&gt;0,$E$1=2),0,1)</f>
        <v>1</v>
      </c>
      <c r="AN14" s="67">
        <f ca="1">IF(AND(SUMIF(Capacity_Resource,$D14,'Critical resources (hide)'!BA$6:BA$105)+SUMIF(Capacity_Resource,$E14,'Critical resources (hide)'!BA$6:BA$105)+SUMIF(Capacity_Resource,$F14,'Critical resources (hide)'!BA$6:BA$105)&gt;0,$E$1=2),0,1)</f>
        <v>1</v>
      </c>
      <c r="AO14" s="67">
        <f ca="1">IF(AND(SUMIF(Capacity_Resource,$D14,'Critical resources (hide)'!BB$6:BB$105)+SUMIF(Capacity_Resource,$E14,'Critical resources (hide)'!BB$6:BB$105)+SUMIF(Capacity_Resource,$F14,'Critical resources (hide)'!BB$6:BB$105)&gt;0,$E$1=2),0,1)</f>
        <v>1</v>
      </c>
      <c r="AP14" s="67">
        <f ca="1">IF(AND(SUMIF(Capacity_Resource,$D14,'Critical resources (hide)'!BC$6:BC$105)+SUMIF(Capacity_Resource,$E14,'Critical resources (hide)'!BC$6:BC$105)+SUMIF(Capacity_Resource,$F14,'Critical resources (hide)'!BC$6:BC$105)&gt;0,$E$1=2),0,1)</f>
        <v>1</v>
      </c>
      <c r="AQ14" s="67">
        <f ca="1">IF(AND(SUMIF(Capacity_Resource,$D14,'Critical resources (hide)'!BD$6:BD$105)+SUMIF(Capacity_Resource,$E14,'Critical resources (hide)'!BD$6:BD$105)+SUMIF(Capacity_Resource,$F14,'Critical resources (hide)'!BD$6:BD$105)&gt;0,$E$1=2),0,1)</f>
        <v>1</v>
      </c>
      <c r="AR14" s="67">
        <f ca="1">IF(AND(SUMIF(Capacity_Resource,$D14,'Critical resources (hide)'!BE$6:BE$105)+SUMIF(Capacity_Resource,$E14,'Critical resources (hide)'!BE$6:BE$105)+SUMIF(Capacity_Resource,$F14,'Critical resources (hide)'!BE$6:BE$105)&gt;0,$E$1=2),0,1)</f>
        <v>1</v>
      </c>
      <c r="AS14" s="67">
        <f ca="1">IF(AND(SUMIF(Capacity_Resource,$D14,'Critical resources (hide)'!BF$6:BF$105)+SUMIF(Capacity_Resource,$E14,'Critical resources (hide)'!BF$6:BF$105)+SUMIF(Capacity_Resource,$F14,'Critical resources (hide)'!BF$6:BF$105)&gt;0,$E$1=2),0,1)</f>
        <v>1</v>
      </c>
      <c r="AT14" s="67">
        <f ca="1">IF(AND(SUMIF(Capacity_Resource,$D14,'Critical resources (hide)'!BG$6:BG$105)+SUMIF(Capacity_Resource,$E14,'Critical resources (hide)'!BG$6:BG$105)+SUMIF(Capacity_Resource,$F14,'Critical resources (hide)'!BG$6:BG$105)&gt;0,$E$1=2),0,1)</f>
        <v>1</v>
      </c>
      <c r="AU14" s="67">
        <f ca="1">IF(AND(SUMIF(Capacity_Resource,$D14,'Critical resources (hide)'!BH$6:BH$105)+SUMIF(Capacity_Resource,$E14,'Critical resources (hide)'!BH$6:BH$105)+SUMIF(Capacity_Resource,$F14,'Critical resources (hide)'!BH$6:BH$105)&gt;0,$E$1=2),0,1)</f>
        <v>1</v>
      </c>
      <c r="AV14" s="67">
        <f ca="1">IF(AND(SUMIF(Capacity_Resource,$D14,'Critical resources (hide)'!BI$6:BI$105)+SUMIF(Capacity_Resource,$E14,'Critical resources (hide)'!BI$6:BI$105)+SUMIF(Capacity_Resource,$F14,'Critical resources (hide)'!BI$6:BI$105)&gt;0,$E$1=2),0,1)</f>
        <v>1</v>
      </c>
      <c r="AW14" s="67">
        <f ca="1">IF(AND(SUMIF(Capacity_Resource,$D14,'Critical resources (hide)'!BJ$6:BJ$105)+SUMIF(Capacity_Resource,$E14,'Critical resources (hide)'!BJ$6:BJ$105)+SUMIF(Capacity_Resource,$F14,'Critical resources (hide)'!BJ$6:BJ$105)&gt;0,$E$1=2),0,1)</f>
        <v>1</v>
      </c>
      <c r="AX14" s="67">
        <f ca="1">IF(AND(SUMIF(Capacity_Resource,$D14,'Critical resources (hide)'!BK$6:BK$105)+SUMIF(Capacity_Resource,$E14,'Critical resources (hide)'!BK$6:BK$105)+SUMIF(Capacity_Resource,$F14,'Critical resources (hide)'!BK$6:BK$105)&gt;0,$E$1=2),0,1)</f>
        <v>1</v>
      </c>
      <c r="AY14" s="67">
        <f ca="1">IF(AND(SUMIF(Capacity_Resource,$D14,'Critical resources (hide)'!BL$6:BL$105)+SUMIF(Capacity_Resource,$E14,'Critical resources (hide)'!BL$6:BL$105)+SUMIF(Capacity_Resource,$F14,'Critical resources (hide)'!BL$6:BL$105)&gt;0,$E$1=2),0,1)</f>
        <v>1</v>
      </c>
      <c r="AZ14" s="67">
        <f ca="1">IF(AND(SUMIF(Capacity_Resource,$D14,'Critical resources (hide)'!BM$6:BM$105)+SUMIF(Capacity_Resource,$E14,'Critical resources (hide)'!BM$6:BM$105)+SUMIF(Capacity_Resource,$F14,'Critical resources (hide)'!BM$6:BM$105)&gt;0,$E$1=2),0,1)</f>
        <v>1</v>
      </c>
      <c r="BA14" s="67">
        <f ca="1">IF(AND(SUMIF(Capacity_Resource,$D14,'Critical resources (hide)'!BN$6:BN$105)+SUMIF(Capacity_Resource,$E14,'Critical resources (hide)'!BN$6:BN$105)+SUMIF(Capacity_Resource,$F14,'Critical resources (hide)'!BN$6:BN$105)&gt;0,$E$1=2),0,1)</f>
        <v>1</v>
      </c>
      <c r="BB14" s="67">
        <f ca="1">IF(AND(SUMIF(Capacity_Resource,$D14,'Critical resources (hide)'!BO$6:BO$105)+SUMIF(Capacity_Resource,$E14,'Critical resources (hide)'!BO$6:BO$105)+SUMIF(Capacity_Resource,$F14,'Critical resources (hide)'!BO$6:BO$105)&gt;0,$E$1=2),0,1)</f>
        <v>1</v>
      </c>
      <c r="BC14" s="67">
        <f ca="1">IF(AND(SUMIF(Capacity_Resource,$D14,'Critical resources (hide)'!BP$6:BP$105)+SUMIF(Capacity_Resource,$E14,'Critical resources (hide)'!BP$6:BP$105)+SUMIF(Capacity_Resource,$F14,'Critical resources (hide)'!BP$6:BP$105)&gt;0,$E$1=2),0,1)</f>
        <v>1</v>
      </c>
      <c r="BD14" s="67">
        <f ca="1">IF(AND(SUMIF(Capacity_Resource,$D14,'Critical resources (hide)'!BQ$6:BQ$105)+SUMIF(Capacity_Resource,$E14,'Critical resources (hide)'!BQ$6:BQ$105)+SUMIF(Capacity_Resource,$F14,'Critical resources (hide)'!BQ$6:BQ$105)&gt;0,$E$1=2),0,1)</f>
        <v>1</v>
      </c>
      <c r="BE14" s="67">
        <f ca="1">IF(AND(SUMIF(Capacity_Resource,$D14,'Critical resources (hide)'!BR$6:BR$105)+SUMIF(Capacity_Resource,$E14,'Critical resources (hide)'!BR$6:BR$105)+SUMIF(Capacity_Resource,$F14,'Critical resources (hide)'!BR$6:BR$105)&gt;0,$E$1=2),0,1)</f>
        <v>1</v>
      </c>
      <c r="BF14" s="67">
        <f ca="1">IF(AND(SUMIF(Capacity_Resource,$D14,'Critical resources (hide)'!BS$6:BS$105)+SUMIF(Capacity_Resource,$E14,'Critical resources (hide)'!BS$6:BS$105)+SUMIF(Capacity_Resource,$F14,'Critical resources (hide)'!BS$6:BS$105)&gt;0,$E$1=2),0,1)</f>
        <v>1</v>
      </c>
      <c r="BG14" s="67">
        <f ca="1">IF(AND(SUMIF(Capacity_Resource,$D14,'Critical resources (hide)'!BT$6:BT$105)+SUMIF(Capacity_Resource,$E14,'Critical resources (hide)'!BT$6:BT$105)+SUMIF(Capacity_Resource,$F14,'Critical resources (hide)'!BT$6:BT$105)&gt;0,$E$1=2),0,1)</f>
        <v>1</v>
      </c>
      <c r="BH14" s="67">
        <f>IF(ROW(C10)&lt;=Capacity!$A$16,IF('Capacity summary'!$D$14="No",SUM(H14:BG14),'Capacity summary'!$E133),0)</f>
        <v>0</v>
      </c>
      <c r="BI14" s="5" t="str">
        <f>IF(BH14&gt;0,IF(BH14&lt;Capacity!E26,Capacity!F26,Capacity!H26/'Capacity calculation (hide)'!BH14),"")</f>
        <v/>
      </c>
      <c r="BK14" s="313">
        <f>IF($BI14&lt;&gt;"",IF('Capacity summary'!$D$14="Yes",IF(COUNTBLANK('Capacity summary'!$H133:$BG133)&lt;52,IF('Capacity summary'!H133&lt;&gt;"",IF(LOWER('Capacity summary'!H133)="x",$BI14*H14,VALUE('Capacity summary'!H133)),0),H14*$BI14),H14*$BI14),0)</f>
        <v>0</v>
      </c>
      <c r="BL14" s="313">
        <f>IF($BI14&lt;&gt;"",IF('Capacity summary'!$D$14="Yes",IF(COUNTBLANK('Capacity summary'!$H133:$BG133)&lt;52,IF('Capacity summary'!I133&lt;&gt;"",IF(LOWER('Capacity summary'!I133)="x",$BI14*I14,VALUE('Capacity summary'!I133)),0),I14*$BI14),I14*$BI14),0)</f>
        <v>0</v>
      </c>
      <c r="BM14" s="313">
        <f>IF($BI14&lt;&gt;"",IF('Capacity summary'!$D$14="Yes",IF(COUNTBLANK('Capacity summary'!$H133:$BG133)&lt;52,IF('Capacity summary'!J133&lt;&gt;"",IF(LOWER('Capacity summary'!J133)="x",$BI14*J14,VALUE('Capacity summary'!J133)),0),J14*$BI14),J14*$BI14),0)</f>
        <v>0</v>
      </c>
      <c r="BN14" s="313">
        <f>IF($BI14&lt;&gt;"",IF('Capacity summary'!$D$14="Yes",IF(COUNTBLANK('Capacity summary'!$H133:$BG133)&lt;52,IF('Capacity summary'!K133&lt;&gt;"",IF(LOWER('Capacity summary'!K133)="x",$BI14*K14,VALUE('Capacity summary'!K133)),0),K14*$BI14),K14*$BI14),0)</f>
        <v>0</v>
      </c>
      <c r="BO14" s="313">
        <f>IF($BI14&lt;&gt;"",IF('Capacity summary'!$D$14="Yes",IF(COUNTBLANK('Capacity summary'!$H133:$BG133)&lt;52,IF('Capacity summary'!L133&lt;&gt;"",IF(LOWER('Capacity summary'!L133)="x",$BI14*L14,VALUE('Capacity summary'!L133)),0),L14*$BI14),L14*$BI14),0)</f>
        <v>0</v>
      </c>
      <c r="BP14" s="313">
        <f>IF($BI14&lt;&gt;"",IF('Capacity summary'!$D$14="Yes",IF(COUNTBLANK('Capacity summary'!$H133:$BG133)&lt;52,IF('Capacity summary'!M133&lt;&gt;"",IF(LOWER('Capacity summary'!M133)="x",$BI14*M14,VALUE('Capacity summary'!M133)),0),M14*$BI14),M14*$BI14),0)</f>
        <v>0</v>
      </c>
      <c r="BQ14" s="313">
        <f>IF($BI14&lt;&gt;"",IF('Capacity summary'!$D$14="Yes",IF(COUNTBLANK('Capacity summary'!$H133:$BG133)&lt;52,IF('Capacity summary'!N133&lt;&gt;"",IF(LOWER('Capacity summary'!N133)="x",$BI14*N14,VALUE('Capacity summary'!N133)),0),N14*$BI14),N14*$BI14),0)</f>
        <v>0</v>
      </c>
      <c r="BR14" s="313">
        <f>IF($BI14&lt;&gt;"",IF('Capacity summary'!$D$14="Yes",IF(COUNTBLANK('Capacity summary'!$H133:$BG133)&lt;52,IF('Capacity summary'!O133&lt;&gt;"",IF(LOWER('Capacity summary'!O133)="x",$BI14*O14,VALUE('Capacity summary'!O133)),0),O14*$BI14),O14*$BI14),0)</f>
        <v>0</v>
      </c>
      <c r="BS14" s="313">
        <f>IF($BI14&lt;&gt;"",IF('Capacity summary'!$D$14="Yes",IF(COUNTBLANK('Capacity summary'!$H133:$BG133)&lt;52,IF('Capacity summary'!P133&lt;&gt;"",IF(LOWER('Capacity summary'!P133)="x",$BI14*P14,VALUE('Capacity summary'!P133)),0),P14*$BI14),P14*$BI14),0)</f>
        <v>0</v>
      </c>
      <c r="BT14" s="313">
        <f>IF($BI14&lt;&gt;"",IF('Capacity summary'!$D$14="Yes",IF(COUNTBLANK('Capacity summary'!$H133:$BG133)&lt;52,IF('Capacity summary'!Q133&lt;&gt;"",IF(LOWER('Capacity summary'!Q133)="x",$BI14*Q14,VALUE('Capacity summary'!Q133)),0),Q14*$BI14),Q14*$BI14),0)</f>
        <v>0</v>
      </c>
      <c r="BU14" s="313">
        <f>IF($BI14&lt;&gt;"",IF('Capacity summary'!$D$14="Yes",IF(COUNTBLANK('Capacity summary'!$H133:$BG133)&lt;52,IF('Capacity summary'!R133&lt;&gt;"",IF(LOWER('Capacity summary'!R133)="x",$BI14*R14,VALUE('Capacity summary'!R133)),0),R14*$BI14),R14*$BI14),0)</f>
        <v>0</v>
      </c>
      <c r="BV14" s="313">
        <f>IF($BI14&lt;&gt;"",IF('Capacity summary'!$D$14="Yes",IF(COUNTBLANK('Capacity summary'!$H133:$BG133)&lt;52,IF('Capacity summary'!S133&lt;&gt;"",IF(LOWER('Capacity summary'!S133)="x",$BI14*S14,VALUE('Capacity summary'!S133)),0),S14*$BI14),S14*$BI14),0)</f>
        <v>0</v>
      </c>
      <c r="BW14" s="313">
        <f>IF($BI14&lt;&gt;"",IF('Capacity summary'!$D$14="Yes",IF(COUNTBLANK('Capacity summary'!$H133:$BG133)&lt;52,IF('Capacity summary'!T133&lt;&gt;"",IF(LOWER('Capacity summary'!T133)="x",$BI14*T14,VALUE('Capacity summary'!T133)),0),T14*$BI14),T14*$BI14),0)</f>
        <v>0</v>
      </c>
      <c r="BX14" s="313">
        <f>IF($BI14&lt;&gt;"",IF('Capacity summary'!$D$14="Yes",IF(COUNTBLANK('Capacity summary'!$H133:$BG133)&lt;52,IF('Capacity summary'!U133&lt;&gt;"",IF(LOWER('Capacity summary'!U133)="x",$BI14*U14,VALUE('Capacity summary'!U133)),0),U14*$BI14),U14*$BI14),0)</f>
        <v>0</v>
      </c>
      <c r="BY14" s="313">
        <f>IF($BI14&lt;&gt;"",IF('Capacity summary'!$D$14="Yes",IF(COUNTBLANK('Capacity summary'!$H133:$BG133)&lt;52,IF('Capacity summary'!V133&lt;&gt;"",IF(LOWER('Capacity summary'!V133)="x",$BI14*V14,VALUE('Capacity summary'!V133)),0),V14*$BI14),V14*$BI14),0)</f>
        <v>0</v>
      </c>
      <c r="BZ14" s="313">
        <f>IF($BI14&lt;&gt;"",IF('Capacity summary'!$D$14="Yes",IF(COUNTBLANK('Capacity summary'!$H133:$BG133)&lt;52,IF('Capacity summary'!W133&lt;&gt;"",IF(LOWER('Capacity summary'!W133)="x",$BI14*W14,VALUE('Capacity summary'!W133)),0),W14*$BI14),W14*$BI14),0)</f>
        <v>0</v>
      </c>
      <c r="CA14" s="313">
        <f>IF($BI14&lt;&gt;"",IF('Capacity summary'!$D$14="Yes",IF(COUNTBLANK('Capacity summary'!$H133:$BG133)&lt;52,IF('Capacity summary'!X133&lt;&gt;"",IF(LOWER('Capacity summary'!X133)="x",$BI14*X14,VALUE('Capacity summary'!X133)),0),X14*$BI14),X14*$BI14),0)</f>
        <v>0</v>
      </c>
      <c r="CB14" s="313">
        <f>IF($BI14&lt;&gt;"",IF('Capacity summary'!$D$14="Yes",IF(COUNTBLANK('Capacity summary'!$H133:$BG133)&lt;52,IF('Capacity summary'!Y133&lt;&gt;"",IF(LOWER('Capacity summary'!Y133)="x",$BI14*Y14,VALUE('Capacity summary'!Y133)),0),Y14*$BI14),Y14*$BI14),0)</f>
        <v>0</v>
      </c>
      <c r="CC14" s="313">
        <f>IF($BI14&lt;&gt;"",IF('Capacity summary'!$D$14="Yes",IF(COUNTBLANK('Capacity summary'!$H133:$BG133)&lt;52,IF('Capacity summary'!Z133&lt;&gt;"",IF(LOWER('Capacity summary'!Z133)="x",$BI14*Z14,VALUE('Capacity summary'!Z133)),0),Z14*$BI14),Z14*$BI14),0)</f>
        <v>0</v>
      </c>
      <c r="CD14" s="313">
        <f>IF($BI14&lt;&gt;"",IF('Capacity summary'!$D$14="Yes",IF(COUNTBLANK('Capacity summary'!$H133:$BG133)&lt;52,IF('Capacity summary'!AA133&lt;&gt;"",IF(LOWER('Capacity summary'!AA133)="x",$BI14*AA14,VALUE('Capacity summary'!AA133)),0),AA14*$BI14),AA14*$BI14),0)</f>
        <v>0</v>
      </c>
      <c r="CE14" s="313">
        <f>IF($BI14&lt;&gt;"",IF('Capacity summary'!$D$14="Yes",IF(COUNTBLANK('Capacity summary'!$H133:$BG133)&lt;52,IF('Capacity summary'!AB133&lt;&gt;"",IF(LOWER('Capacity summary'!AB133)="x",$BI14*AB14,VALUE('Capacity summary'!AB133)),0),AB14*$BI14),AB14*$BI14),0)</f>
        <v>0</v>
      </c>
      <c r="CF14" s="313">
        <f>IF($BI14&lt;&gt;"",IF('Capacity summary'!$D$14="Yes",IF(COUNTBLANK('Capacity summary'!$H133:$BG133)&lt;52,IF('Capacity summary'!AC133&lt;&gt;"",IF(LOWER('Capacity summary'!AC133)="x",$BI14*AC14,VALUE('Capacity summary'!AC133)),0),AC14*$BI14),AC14*$BI14),0)</f>
        <v>0</v>
      </c>
      <c r="CG14" s="313">
        <f>IF($BI14&lt;&gt;"",IF('Capacity summary'!$D$14="Yes",IF(COUNTBLANK('Capacity summary'!$H133:$BG133)&lt;52,IF('Capacity summary'!AD133&lt;&gt;"",IF(LOWER('Capacity summary'!AD133)="x",$BI14*AD14,VALUE('Capacity summary'!AD133)),0),AD14*$BI14),AD14*$BI14),0)</f>
        <v>0</v>
      </c>
      <c r="CH14" s="313">
        <f>IF($BI14&lt;&gt;"",IF('Capacity summary'!$D$14="Yes",IF(COUNTBLANK('Capacity summary'!$H133:$BG133)&lt;52,IF('Capacity summary'!AE133&lt;&gt;"",IF(LOWER('Capacity summary'!AE133)="x",$BI14*AE14,VALUE('Capacity summary'!AE133)),0),AE14*$BI14),AE14*$BI14),0)</f>
        <v>0</v>
      </c>
      <c r="CI14" s="313">
        <f>IF($BI14&lt;&gt;"",IF('Capacity summary'!$D$14="Yes",IF(COUNTBLANK('Capacity summary'!$H133:$BG133)&lt;52,IF('Capacity summary'!AF133&lt;&gt;"",IF(LOWER('Capacity summary'!AF133)="x",$BI14*AF14,VALUE('Capacity summary'!AF133)),0),AF14*$BI14),AF14*$BI14),0)</f>
        <v>0</v>
      </c>
      <c r="CJ14" s="313">
        <f>IF($BI14&lt;&gt;"",IF('Capacity summary'!$D$14="Yes",IF(COUNTBLANK('Capacity summary'!$H133:$BG133)&lt;52,IF('Capacity summary'!AG133&lt;&gt;"",IF(LOWER('Capacity summary'!AG133)="x",$BI14*AG14,VALUE('Capacity summary'!AG133)),0),AG14*$BI14),AG14*$BI14),0)</f>
        <v>0</v>
      </c>
      <c r="CK14" s="313">
        <f>IF($BI14&lt;&gt;"",IF('Capacity summary'!$D$14="Yes",IF(COUNTBLANK('Capacity summary'!$H133:$BG133)&lt;52,IF('Capacity summary'!AH133&lt;&gt;"",IF(LOWER('Capacity summary'!AH133)="x",$BI14*AH14,VALUE('Capacity summary'!AH133)),0),AH14*$BI14),AH14*$BI14),0)</f>
        <v>0</v>
      </c>
      <c r="CL14" s="313">
        <f>IF($BI14&lt;&gt;"",IF('Capacity summary'!$D$14="Yes",IF(COUNTBLANK('Capacity summary'!$H133:$BG133)&lt;52,IF('Capacity summary'!AI133&lt;&gt;"",IF(LOWER('Capacity summary'!AI133)="x",$BI14*AI14,VALUE('Capacity summary'!AI133)),0),AI14*$BI14),AI14*$BI14),0)</f>
        <v>0</v>
      </c>
      <c r="CM14" s="313">
        <f>IF($BI14&lt;&gt;"",IF('Capacity summary'!$D$14="Yes",IF(COUNTBLANK('Capacity summary'!$H133:$BG133)&lt;52,IF('Capacity summary'!AJ133&lt;&gt;"",IF(LOWER('Capacity summary'!AJ133)="x",$BI14*AJ14,VALUE('Capacity summary'!AJ133)),0),AJ14*$BI14),AJ14*$BI14),0)</f>
        <v>0</v>
      </c>
      <c r="CN14" s="313">
        <f>IF($BI14&lt;&gt;"",IF('Capacity summary'!$D$14="Yes",IF(COUNTBLANK('Capacity summary'!$H133:$BG133)&lt;52,IF('Capacity summary'!AK133&lt;&gt;"",IF(LOWER('Capacity summary'!AK133)="x",$BI14*AK14,VALUE('Capacity summary'!AK133)),0),AK14*$BI14),AK14*$BI14),0)</f>
        <v>0</v>
      </c>
      <c r="CO14" s="313">
        <f>IF($BI14&lt;&gt;"",IF('Capacity summary'!$D$14="Yes",IF(COUNTBLANK('Capacity summary'!$H133:$BG133)&lt;52,IF('Capacity summary'!AL133&lt;&gt;"",IF(LOWER('Capacity summary'!AL133)="x",$BI14*AL14,VALUE('Capacity summary'!AL133)),0),AL14*$BI14),AL14*$BI14),0)</f>
        <v>0</v>
      </c>
      <c r="CP14" s="313">
        <f>IF($BI14&lt;&gt;"",IF('Capacity summary'!$D$14="Yes",IF(COUNTBLANK('Capacity summary'!$H133:$BG133)&lt;52,IF('Capacity summary'!AM133&lt;&gt;"",IF(LOWER('Capacity summary'!AM133)="x",$BI14*AM14,VALUE('Capacity summary'!AM133)),0),AM14*$BI14),AM14*$BI14),0)</f>
        <v>0</v>
      </c>
      <c r="CQ14" s="313">
        <f>IF($BI14&lt;&gt;"",IF('Capacity summary'!$D$14="Yes",IF(COUNTBLANK('Capacity summary'!$H133:$BG133)&lt;52,IF('Capacity summary'!AN133&lt;&gt;"",IF(LOWER('Capacity summary'!AN133)="x",$BI14*AN14,VALUE('Capacity summary'!AN133)),0),AN14*$BI14),AN14*$BI14),0)</f>
        <v>0</v>
      </c>
      <c r="CR14" s="313">
        <f>IF($BI14&lt;&gt;"",IF('Capacity summary'!$D$14="Yes",IF(COUNTBLANK('Capacity summary'!$H133:$BG133)&lt;52,IF('Capacity summary'!AO133&lt;&gt;"",IF(LOWER('Capacity summary'!AO133)="x",$BI14*AO14,VALUE('Capacity summary'!AO133)),0),AO14*$BI14),AO14*$BI14),0)</f>
        <v>0</v>
      </c>
      <c r="CS14" s="313">
        <f>IF($BI14&lt;&gt;"",IF('Capacity summary'!$D$14="Yes",IF(COUNTBLANK('Capacity summary'!$H133:$BG133)&lt;52,IF('Capacity summary'!AP133&lt;&gt;"",IF(LOWER('Capacity summary'!AP133)="x",$BI14*AP14,VALUE('Capacity summary'!AP133)),0),AP14*$BI14),AP14*$BI14),0)</f>
        <v>0</v>
      </c>
      <c r="CT14" s="313">
        <f>IF($BI14&lt;&gt;"",IF('Capacity summary'!$D$14="Yes",IF(COUNTBLANK('Capacity summary'!$H133:$BG133)&lt;52,IF('Capacity summary'!AQ133&lt;&gt;"",IF(LOWER('Capacity summary'!AQ133)="x",$BI14*AQ14,VALUE('Capacity summary'!AQ133)),0),AQ14*$BI14),AQ14*$BI14),0)</f>
        <v>0</v>
      </c>
      <c r="CU14" s="313">
        <f>IF($BI14&lt;&gt;"",IF('Capacity summary'!$D$14="Yes",IF(COUNTBLANK('Capacity summary'!$H133:$BG133)&lt;52,IF('Capacity summary'!AR133&lt;&gt;"",IF(LOWER('Capacity summary'!AR133)="x",$BI14*AR14,VALUE('Capacity summary'!AR133)),0),AR14*$BI14),AR14*$BI14),0)</f>
        <v>0</v>
      </c>
      <c r="CV14" s="313">
        <f>IF($BI14&lt;&gt;"",IF('Capacity summary'!$D$14="Yes",IF(COUNTBLANK('Capacity summary'!$H133:$BG133)&lt;52,IF('Capacity summary'!AS133&lt;&gt;"",IF(LOWER('Capacity summary'!AS133)="x",$BI14*AS14,VALUE('Capacity summary'!AS133)),0),AS14*$BI14),AS14*$BI14),0)</f>
        <v>0</v>
      </c>
      <c r="CW14" s="313">
        <f>IF($BI14&lt;&gt;"",IF('Capacity summary'!$D$14="Yes",IF(COUNTBLANK('Capacity summary'!$H133:$BG133)&lt;52,IF('Capacity summary'!AT133&lt;&gt;"",IF(LOWER('Capacity summary'!AT133)="x",$BI14*AT14,VALUE('Capacity summary'!AT133)),0),AT14*$BI14),AT14*$BI14),0)</f>
        <v>0</v>
      </c>
      <c r="CX14" s="313">
        <f>IF($BI14&lt;&gt;"",IF('Capacity summary'!$D$14="Yes",IF(COUNTBLANK('Capacity summary'!$H133:$BG133)&lt;52,IF('Capacity summary'!AU133&lt;&gt;"",IF(LOWER('Capacity summary'!AU133)="x",$BI14*AU14,VALUE('Capacity summary'!AU133)),0),AU14*$BI14),AU14*$BI14),0)</f>
        <v>0</v>
      </c>
      <c r="CY14" s="313">
        <f>IF($BI14&lt;&gt;"",IF('Capacity summary'!$D$14="Yes",IF(COUNTBLANK('Capacity summary'!$H133:$BG133)&lt;52,IF('Capacity summary'!AV133&lt;&gt;"",IF(LOWER('Capacity summary'!AV133)="x",$BI14*AV14,VALUE('Capacity summary'!AV133)),0),AV14*$BI14),AV14*$BI14),0)</f>
        <v>0</v>
      </c>
      <c r="CZ14" s="313">
        <f>IF($BI14&lt;&gt;"",IF('Capacity summary'!$D$14="Yes",IF(COUNTBLANK('Capacity summary'!$H133:$BG133)&lt;52,IF('Capacity summary'!AW133&lt;&gt;"",IF(LOWER('Capacity summary'!AW133)="x",$BI14*AW14,VALUE('Capacity summary'!AW133)),0),AW14*$BI14),AW14*$BI14),0)</f>
        <v>0</v>
      </c>
      <c r="DA14" s="313">
        <f>IF($BI14&lt;&gt;"",IF('Capacity summary'!$D$14="Yes",IF(COUNTBLANK('Capacity summary'!$H133:$BG133)&lt;52,IF('Capacity summary'!AX133&lt;&gt;"",IF(LOWER('Capacity summary'!AX133)="x",$BI14*AX14,VALUE('Capacity summary'!AX133)),0),AX14*$BI14),AX14*$BI14),0)</f>
        <v>0</v>
      </c>
      <c r="DB14" s="313">
        <f>IF($BI14&lt;&gt;"",IF('Capacity summary'!$D$14="Yes",IF(COUNTBLANK('Capacity summary'!$H133:$BG133)&lt;52,IF('Capacity summary'!AY133&lt;&gt;"",IF(LOWER('Capacity summary'!AY133)="x",$BI14*AY14,VALUE('Capacity summary'!AY133)),0),AY14*$BI14),AY14*$BI14),0)</f>
        <v>0</v>
      </c>
      <c r="DC14" s="313">
        <f>IF($BI14&lt;&gt;"",IF('Capacity summary'!$D$14="Yes",IF(COUNTBLANK('Capacity summary'!$H133:$BG133)&lt;52,IF('Capacity summary'!AZ133&lt;&gt;"",IF(LOWER('Capacity summary'!AZ133)="x",$BI14*AZ14,VALUE('Capacity summary'!AZ133)),0),AZ14*$BI14),AZ14*$BI14),0)</f>
        <v>0</v>
      </c>
      <c r="DD14" s="313">
        <f>IF($BI14&lt;&gt;"",IF('Capacity summary'!$D$14="Yes",IF(COUNTBLANK('Capacity summary'!$H133:$BG133)&lt;52,IF('Capacity summary'!BA133&lt;&gt;"",IF(LOWER('Capacity summary'!BA133)="x",$BI14*BA14,VALUE('Capacity summary'!BA133)),0),BA14*$BI14),BA14*$BI14),0)</f>
        <v>0</v>
      </c>
      <c r="DE14" s="313">
        <f>IF($BI14&lt;&gt;"",IF('Capacity summary'!$D$14="Yes",IF(COUNTBLANK('Capacity summary'!$H133:$BG133)&lt;52,IF('Capacity summary'!BB133&lt;&gt;"",IF(LOWER('Capacity summary'!BB133)="x",$BI14*BB14,VALUE('Capacity summary'!BB133)),0),BB14*$BI14),BB14*$BI14),0)</f>
        <v>0</v>
      </c>
      <c r="DF14" s="313">
        <f>IF($BI14&lt;&gt;"",IF('Capacity summary'!$D$14="Yes",IF(COUNTBLANK('Capacity summary'!$H133:$BG133)&lt;52,IF('Capacity summary'!BC133&lt;&gt;"",IF(LOWER('Capacity summary'!BC133)="x",$BI14*BC14,VALUE('Capacity summary'!BC133)),0),BC14*$BI14),BC14*$BI14),0)</f>
        <v>0</v>
      </c>
      <c r="DG14" s="313">
        <f>IF($BI14&lt;&gt;"",IF('Capacity summary'!$D$14="Yes",IF(COUNTBLANK('Capacity summary'!$H133:$BG133)&lt;52,IF('Capacity summary'!BD133&lt;&gt;"",IF(LOWER('Capacity summary'!BD133)="x",$BI14*BD14,VALUE('Capacity summary'!BD133)),0),BD14*$BI14),BD14*$BI14),0)</f>
        <v>0</v>
      </c>
      <c r="DH14" s="313">
        <f>IF($BI14&lt;&gt;"",IF('Capacity summary'!$D$14="Yes",IF(COUNTBLANK('Capacity summary'!$H133:$BG133)&lt;52,IF('Capacity summary'!BE133&lt;&gt;"",IF(LOWER('Capacity summary'!BE133)="x",$BI14*BE14,VALUE('Capacity summary'!BE133)),0),BE14*$BI14),BE14*$BI14),0)</f>
        <v>0</v>
      </c>
      <c r="DI14" s="313">
        <f>IF($BI14&lt;&gt;"",IF('Capacity summary'!$D$14="Yes",IF(COUNTBLANK('Capacity summary'!$H133:$BG133)&lt;52,IF('Capacity summary'!BF133&lt;&gt;"",IF(LOWER('Capacity summary'!BF133)="x",$BI14*BF14,VALUE('Capacity summary'!BF133)),0),BF14*$BI14),BF14*$BI14),0)</f>
        <v>0</v>
      </c>
      <c r="DJ14" s="313">
        <f>IF($BI14&lt;&gt;"",IF('Capacity summary'!$D$14="Yes",IF(COUNTBLANK('Capacity summary'!$H133:$BG133)&lt;52,IF('Capacity summary'!BG133&lt;&gt;"",IF(LOWER('Capacity summary'!BG133)="x",$BI14*BG14,VALUE('Capacity summary'!BG133)),0),BG14*$BI14),BG14*$BI14),0)</f>
        <v>0</v>
      </c>
      <c r="DK14" s="137">
        <f t="shared" si="2"/>
        <v>0</v>
      </c>
      <c r="DL14" s="313" t="str">
        <f>Capacity!H26</f>
        <v/>
      </c>
      <c r="DP14" s="5"/>
    </row>
    <row r="15" spans="2:120" x14ac:dyDescent="0.25">
      <c r="B15" s="67"/>
      <c r="C15" s="67" t="str">
        <f>ROW(A11)&amp;". "&amp;Capacity!B27</f>
        <v xml:space="preserve">11. </v>
      </c>
      <c r="D15" s="67">
        <f>'Capacity setup'!C22</f>
        <v>0</v>
      </c>
      <c r="E15" s="67">
        <f>'Capacity setup'!D22</f>
        <v>0</v>
      </c>
      <c r="F15" s="67">
        <f>'Capacity setup'!E22</f>
        <v>0</v>
      </c>
      <c r="H15" s="67">
        <f ca="1">IF(AND(SUMIF(Capacity_Resource,$D15,'Critical resources (hide)'!U$6:U$105)+SUMIF(Capacity_Resource,$E15,'Critical resources (hide)'!U$6:U$105)+SUMIF(Capacity_Resource,$F15,'Critical resources (hide)'!U$6:U$105)&gt;0,$E$1=2),0,1)</f>
        <v>1</v>
      </c>
      <c r="I15" s="67">
        <f ca="1">IF(AND(SUMIF(Capacity_Resource,$D15,'Critical resources (hide)'!V$6:V$105)+SUMIF(Capacity_Resource,$E15,'Critical resources (hide)'!V$6:V$105)+SUMIF(Capacity_Resource,$F15,'Critical resources (hide)'!V$6:V$105)&gt;0,$E$1=2),0,1)</f>
        <v>1</v>
      </c>
      <c r="J15" s="67">
        <f ca="1">IF(AND(SUMIF(Capacity_Resource,$D15,'Critical resources (hide)'!W$6:W$105)+SUMIF(Capacity_Resource,$E15,'Critical resources (hide)'!W$6:W$105)+SUMIF(Capacity_Resource,$F15,'Critical resources (hide)'!W$6:W$105)&gt;0,$E$1=2),0,1)</f>
        <v>1</v>
      </c>
      <c r="K15" s="67">
        <f ca="1">IF(AND(SUMIF(Capacity_Resource,$D15,'Critical resources (hide)'!X$6:X$105)+SUMIF(Capacity_Resource,$E15,'Critical resources (hide)'!X$6:X$105)+SUMIF(Capacity_Resource,$F15,'Critical resources (hide)'!X$6:X$105)&gt;0,$E$1=2),0,1)</f>
        <v>1</v>
      </c>
      <c r="L15" s="67">
        <f ca="1">IF(AND(SUMIF(Capacity_Resource,$D15,'Critical resources (hide)'!Y$6:Y$105)+SUMIF(Capacity_Resource,$E15,'Critical resources (hide)'!Y$6:Y$105)+SUMIF(Capacity_Resource,$F15,'Critical resources (hide)'!Y$6:Y$105)&gt;0,$E$1=2),0,1)</f>
        <v>1</v>
      </c>
      <c r="M15" s="67">
        <f ca="1">IF(AND(SUMIF(Capacity_Resource,$D15,'Critical resources (hide)'!Z$6:Z$105)+SUMIF(Capacity_Resource,$E15,'Critical resources (hide)'!Z$6:Z$105)+SUMIF(Capacity_Resource,$F15,'Critical resources (hide)'!Z$6:Z$105)&gt;0,$E$1=2),0,1)</f>
        <v>1</v>
      </c>
      <c r="N15" s="67">
        <f ca="1">IF(AND(SUMIF(Capacity_Resource,$D15,'Critical resources (hide)'!AA$6:AA$105)+SUMIF(Capacity_Resource,$E15,'Critical resources (hide)'!AA$6:AA$105)+SUMIF(Capacity_Resource,$F15,'Critical resources (hide)'!AA$6:AA$105)&gt;0,$E$1=2),0,1)</f>
        <v>1</v>
      </c>
      <c r="O15" s="67">
        <f ca="1">IF(AND(SUMIF(Capacity_Resource,$D15,'Critical resources (hide)'!AB$6:AB$105)+SUMIF(Capacity_Resource,$E15,'Critical resources (hide)'!AB$6:AB$105)+SUMIF(Capacity_Resource,$F15,'Critical resources (hide)'!AB$6:AB$105)&gt;0,$E$1=2),0,1)</f>
        <v>1</v>
      </c>
      <c r="P15" s="67">
        <f ca="1">IF(AND(SUMIF(Capacity_Resource,$D15,'Critical resources (hide)'!AC$6:AC$105)+SUMIF(Capacity_Resource,$E15,'Critical resources (hide)'!AC$6:AC$105)+SUMIF(Capacity_Resource,$F15,'Critical resources (hide)'!AC$6:AC$105)&gt;0,$E$1=2),0,1)</f>
        <v>1</v>
      </c>
      <c r="Q15" s="67">
        <f ca="1">IF(AND(SUMIF(Capacity_Resource,$D15,'Critical resources (hide)'!AD$6:AD$105)+SUMIF(Capacity_Resource,$E15,'Critical resources (hide)'!AD$6:AD$105)+SUMIF(Capacity_Resource,$F15,'Critical resources (hide)'!AD$6:AD$105)&gt;0,$E$1=2),0,1)</f>
        <v>1</v>
      </c>
      <c r="R15" s="67">
        <f ca="1">IF(AND(SUMIF(Capacity_Resource,$D15,'Critical resources (hide)'!AE$6:AE$105)+SUMIF(Capacity_Resource,$E15,'Critical resources (hide)'!AE$6:AE$105)+SUMIF(Capacity_Resource,$F15,'Critical resources (hide)'!AE$6:AE$105)&gt;0,$E$1=2),0,1)</f>
        <v>1</v>
      </c>
      <c r="S15" s="67">
        <f ca="1">IF(AND(SUMIF(Capacity_Resource,$D15,'Critical resources (hide)'!AF$6:AF$105)+SUMIF(Capacity_Resource,$E15,'Critical resources (hide)'!AF$6:AF$105)+SUMIF(Capacity_Resource,$F15,'Critical resources (hide)'!AF$6:AF$105)&gt;0,$E$1=2),0,1)</f>
        <v>1</v>
      </c>
      <c r="T15" s="67">
        <f ca="1">IF(AND(SUMIF(Capacity_Resource,$D15,'Critical resources (hide)'!AG$6:AG$105)+SUMIF(Capacity_Resource,$E15,'Critical resources (hide)'!AG$6:AG$105)+SUMIF(Capacity_Resource,$F15,'Critical resources (hide)'!AG$6:AG$105)&gt;0,$E$1=2),0,1)</f>
        <v>1</v>
      </c>
      <c r="U15" s="67">
        <f ca="1">IF(AND(SUMIF(Capacity_Resource,$D15,'Critical resources (hide)'!AH$6:AH$105)+SUMIF(Capacity_Resource,$E15,'Critical resources (hide)'!AH$6:AH$105)+SUMIF(Capacity_Resource,$F15,'Critical resources (hide)'!AH$6:AH$105)&gt;0,$E$1=2),0,1)</f>
        <v>1</v>
      </c>
      <c r="V15" s="67">
        <f ca="1">IF(AND(SUMIF(Capacity_Resource,$D15,'Critical resources (hide)'!AI$6:AI$105)+SUMIF(Capacity_Resource,$E15,'Critical resources (hide)'!AI$6:AI$105)+SUMIF(Capacity_Resource,$F15,'Critical resources (hide)'!AI$6:AI$105)&gt;0,$E$1=2),0,1)</f>
        <v>1</v>
      </c>
      <c r="W15" s="67">
        <f ca="1">IF(AND(SUMIF(Capacity_Resource,$D15,'Critical resources (hide)'!AJ$6:AJ$105)+SUMIF(Capacity_Resource,$E15,'Critical resources (hide)'!AJ$6:AJ$105)+SUMIF(Capacity_Resource,$F15,'Critical resources (hide)'!AJ$6:AJ$105)&gt;0,$E$1=2),0,1)</f>
        <v>1</v>
      </c>
      <c r="X15" s="67">
        <f ca="1">IF(AND(SUMIF(Capacity_Resource,$D15,'Critical resources (hide)'!AK$6:AK$105)+SUMIF(Capacity_Resource,$E15,'Critical resources (hide)'!AK$6:AK$105)+SUMIF(Capacity_Resource,$F15,'Critical resources (hide)'!AK$6:AK$105)&gt;0,$E$1=2),0,1)</f>
        <v>1</v>
      </c>
      <c r="Y15" s="67">
        <f ca="1">IF(AND(SUMIF(Capacity_Resource,$D15,'Critical resources (hide)'!AL$6:AL$105)+SUMIF(Capacity_Resource,$E15,'Critical resources (hide)'!AL$6:AL$105)+SUMIF(Capacity_Resource,$F15,'Critical resources (hide)'!AL$6:AL$105)&gt;0,$E$1=2),0,1)</f>
        <v>1</v>
      </c>
      <c r="Z15" s="67">
        <f ca="1">IF(AND(SUMIF(Capacity_Resource,$D15,'Critical resources (hide)'!AM$6:AM$105)+SUMIF(Capacity_Resource,$E15,'Critical resources (hide)'!AM$6:AM$105)+SUMIF(Capacity_Resource,$F15,'Critical resources (hide)'!AM$6:AM$105)&gt;0,$E$1=2),0,1)</f>
        <v>1</v>
      </c>
      <c r="AA15" s="67">
        <f ca="1">IF(AND(SUMIF(Capacity_Resource,$D15,'Critical resources (hide)'!AN$6:AN$105)+SUMIF(Capacity_Resource,$E15,'Critical resources (hide)'!AN$6:AN$105)+SUMIF(Capacity_Resource,$F15,'Critical resources (hide)'!AN$6:AN$105)&gt;0,$E$1=2),0,1)</f>
        <v>1</v>
      </c>
      <c r="AB15" s="67">
        <f ca="1">IF(AND(SUMIF(Capacity_Resource,$D15,'Critical resources (hide)'!AO$6:AO$105)+SUMIF(Capacity_Resource,$E15,'Critical resources (hide)'!AO$6:AO$105)+SUMIF(Capacity_Resource,$F15,'Critical resources (hide)'!AO$6:AO$105)&gt;0,$E$1=2),0,1)</f>
        <v>1</v>
      </c>
      <c r="AC15" s="67">
        <f ca="1">IF(AND(SUMIF(Capacity_Resource,$D15,'Critical resources (hide)'!AP$6:AP$105)+SUMIF(Capacity_Resource,$E15,'Critical resources (hide)'!AP$6:AP$105)+SUMIF(Capacity_Resource,$F15,'Critical resources (hide)'!AP$6:AP$105)&gt;0,$E$1=2),0,1)</f>
        <v>1</v>
      </c>
      <c r="AD15" s="67">
        <f ca="1">IF(AND(SUMIF(Capacity_Resource,$D15,'Critical resources (hide)'!AQ$6:AQ$105)+SUMIF(Capacity_Resource,$E15,'Critical resources (hide)'!AQ$6:AQ$105)+SUMIF(Capacity_Resource,$F15,'Critical resources (hide)'!AQ$6:AQ$105)&gt;0,$E$1=2),0,1)</f>
        <v>1</v>
      </c>
      <c r="AE15" s="67">
        <f ca="1">IF(AND(SUMIF(Capacity_Resource,$D15,'Critical resources (hide)'!AR$6:AR$105)+SUMIF(Capacity_Resource,$E15,'Critical resources (hide)'!AR$6:AR$105)+SUMIF(Capacity_Resource,$F15,'Critical resources (hide)'!AR$6:AR$105)&gt;0,$E$1=2),0,1)</f>
        <v>1</v>
      </c>
      <c r="AF15" s="67">
        <f ca="1">IF(AND(SUMIF(Capacity_Resource,$D15,'Critical resources (hide)'!AS$6:AS$105)+SUMIF(Capacity_Resource,$E15,'Critical resources (hide)'!AS$6:AS$105)+SUMIF(Capacity_Resource,$F15,'Critical resources (hide)'!AS$6:AS$105)&gt;0,$E$1=2),0,1)</f>
        <v>1</v>
      </c>
      <c r="AG15" s="67">
        <f ca="1">IF(AND(SUMIF(Capacity_Resource,$D15,'Critical resources (hide)'!AT$6:AT$105)+SUMIF(Capacity_Resource,$E15,'Critical resources (hide)'!AT$6:AT$105)+SUMIF(Capacity_Resource,$F15,'Critical resources (hide)'!AT$6:AT$105)&gt;0,$E$1=2),0,1)</f>
        <v>1</v>
      </c>
      <c r="AH15" s="67">
        <f ca="1">IF(AND(SUMIF(Capacity_Resource,$D15,'Critical resources (hide)'!AU$6:AU$105)+SUMIF(Capacity_Resource,$E15,'Critical resources (hide)'!AU$6:AU$105)+SUMIF(Capacity_Resource,$F15,'Critical resources (hide)'!AU$6:AU$105)&gt;0,$E$1=2),0,1)</f>
        <v>1</v>
      </c>
      <c r="AI15" s="67">
        <f ca="1">IF(AND(SUMIF(Capacity_Resource,$D15,'Critical resources (hide)'!AV$6:AV$105)+SUMIF(Capacity_Resource,$E15,'Critical resources (hide)'!AV$6:AV$105)+SUMIF(Capacity_Resource,$F15,'Critical resources (hide)'!AV$6:AV$105)&gt;0,$E$1=2),0,1)</f>
        <v>1</v>
      </c>
      <c r="AJ15" s="67">
        <f ca="1">IF(AND(SUMIF(Capacity_Resource,$D15,'Critical resources (hide)'!AW$6:AW$105)+SUMIF(Capacity_Resource,$E15,'Critical resources (hide)'!AW$6:AW$105)+SUMIF(Capacity_Resource,$F15,'Critical resources (hide)'!AW$6:AW$105)&gt;0,$E$1=2),0,1)</f>
        <v>1</v>
      </c>
      <c r="AK15" s="67">
        <f ca="1">IF(AND(SUMIF(Capacity_Resource,$D15,'Critical resources (hide)'!AX$6:AX$105)+SUMIF(Capacity_Resource,$E15,'Critical resources (hide)'!AX$6:AX$105)+SUMIF(Capacity_Resource,$F15,'Critical resources (hide)'!AX$6:AX$105)&gt;0,$E$1=2),0,1)</f>
        <v>1</v>
      </c>
      <c r="AL15" s="67">
        <f ca="1">IF(AND(SUMIF(Capacity_Resource,$D15,'Critical resources (hide)'!AY$6:AY$105)+SUMIF(Capacity_Resource,$E15,'Critical resources (hide)'!AY$6:AY$105)+SUMIF(Capacity_Resource,$F15,'Critical resources (hide)'!AY$6:AY$105)&gt;0,$E$1=2),0,1)</f>
        <v>1</v>
      </c>
      <c r="AM15" s="67">
        <f ca="1">IF(AND(SUMIF(Capacity_Resource,$D15,'Critical resources (hide)'!AZ$6:AZ$105)+SUMIF(Capacity_Resource,$E15,'Critical resources (hide)'!AZ$6:AZ$105)+SUMIF(Capacity_Resource,$F15,'Critical resources (hide)'!AZ$6:AZ$105)&gt;0,$E$1=2),0,1)</f>
        <v>1</v>
      </c>
      <c r="AN15" s="67">
        <f ca="1">IF(AND(SUMIF(Capacity_Resource,$D15,'Critical resources (hide)'!BA$6:BA$105)+SUMIF(Capacity_Resource,$E15,'Critical resources (hide)'!BA$6:BA$105)+SUMIF(Capacity_Resource,$F15,'Critical resources (hide)'!BA$6:BA$105)&gt;0,$E$1=2),0,1)</f>
        <v>1</v>
      </c>
      <c r="AO15" s="67">
        <f ca="1">IF(AND(SUMIF(Capacity_Resource,$D15,'Critical resources (hide)'!BB$6:BB$105)+SUMIF(Capacity_Resource,$E15,'Critical resources (hide)'!BB$6:BB$105)+SUMIF(Capacity_Resource,$F15,'Critical resources (hide)'!BB$6:BB$105)&gt;0,$E$1=2),0,1)</f>
        <v>1</v>
      </c>
      <c r="AP15" s="67">
        <f ca="1">IF(AND(SUMIF(Capacity_Resource,$D15,'Critical resources (hide)'!BC$6:BC$105)+SUMIF(Capacity_Resource,$E15,'Critical resources (hide)'!BC$6:BC$105)+SUMIF(Capacity_Resource,$F15,'Critical resources (hide)'!BC$6:BC$105)&gt;0,$E$1=2),0,1)</f>
        <v>1</v>
      </c>
      <c r="AQ15" s="67">
        <f ca="1">IF(AND(SUMIF(Capacity_Resource,$D15,'Critical resources (hide)'!BD$6:BD$105)+SUMIF(Capacity_Resource,$E15,'Critical resources (hide)'!BD$6:BD$105)+SUMIF(Capacity_Resource,$F15,'Critical resources (hide)'!BD$6:BD$105)&gt;0,$E$1=2),0,1)</f>
        <v>1</v>
      </c>
      <c r="AR15" s="67">
        <f ca="1">IF(AND(SUMIF(Capacity_Resource,$D15,'Critical resources (hide)'!BE$6:BE$105)+SUMIF(Capacity_Resource,$E15,'Critical resources (hide)'!BE$6:BE$105)+SUMIF(Capacity_Resource,$F15,'Critical resources (hide)'!BE$6:BE$105)&gt;0,$E$1=2),0,1)</f>
        <v>1</v>
      </c>
      <c r="AS15" s="67">
        <f ca="1">IF(AND(SUMIF(Capacity_Resource,$D15,'Critical resources (hide)'!BF$6:BF$105)+SUMIF(Capacity_Resource,$E15,'Critical resources (hide)'!BF$6:BF$105)+SUMIF(Capacity_Resource,$F15,'Critical resources (hide)'!BF$6:BF$105)&gt;0,$E$1=2),0,1)</f>
        <v>1</v>
      </c>
      <c r="AT15" s="67">
        <f ca="1">IF(AND(SUMIF(Capacity_Resource,$D15,'Critical resources (hide)'!BG$6:BG$105)+SUMIF(Capacity_Resource,$E15,'Critical resources (hide)'!BG$6:BG$105)+SUMIF(Capacity_Resource,$F15,'Critical resources (hide)'!BG$6:BG$105)&gt;0,$E$1=2),0,1)</f>
        <v>1</v>
      </c>
      <c r="AU15" s="67">
        <f ca="1">IF(AND(SUMIF(Capacity_Resource,$D15,'Critical resources (hide)'!BH$6:BH$105)+SUMIF(Capacity_Resource,$E15,'Critical resources (hide)'!BH$6:BH$105)+SUMIF(Capacity_Resource,$F15,'Critical resources (hide)'!BH$6:BH$105)&gt;0,$E$1=2),0,1)</f>
        <v>1</v>
      </c>
      <c r="AV15" s="67">
        <f ca="1">IF(AND(SUMIF(Capacity_Resource,$D15,'Critical resources (hide)'!BI$6:BI$105)+SUMIF(Capacity_Resource,$E15,'Critical resources (hide)'!BI$6:BI$105)+SUMIF(Capacity_Resource,$F15,'Critical resources (hide)'!BI$6:BI$105)&gt;0,$E$1=2),0,1)</f>
        <v>1</v>
      </c>
      <c r="AW15" s="67">
        <f ca="1">IF(AND(SUMIF(Capacity_Resource,$D15,'Critical resources (hide)'!BJ$6:BJ$105)+SUMIF(Capacity_Resource,$E15,'Critical resources (hide)'!BJ$6:BJ$105)+SUMIF(Capacity_Resource,$F15,'Critical resources (hide)'!BJ$6:BJ$105)&gt;0,$E$1=2),0,1)</f>
        <v>1</v>
      </c>
      <c r="AX15" s="67">
        <f ca="1">IF(AND(SUMIF(Capacity_Resource,$D15,'Critical resources (hide)'!BK$6:BK$105)+SUMIF(Capacity_Resource,$E15,'Critical resources (hide)'!BK$6:BK$105)+SUMIF(Capacity_Resource,$F15,'Critical resources (hide)'!BK$6:BK$105)&gt;0,$E$1=2),0,1)</f>
        <v>1</v>
      </c>
      <c r="AY15" s="67">
        <f ca="1">IF(AND(SUMIF(Capacity_Resource,$D15,'Critical resources (hide)'!BL$6:BL$105)+SUMIF(Capacity_Resource,$E15,'Critical resources (hide)'!BL$6:BL$105)+SUMIF(Capacity_Resource,$F15,'Critical resources (hide)'!BL$6:BL$105)&gt;0,$E$1=2),0,1)</f>
        <v>1</v>
      </c>
      <c r="AZ15" s="67">
        <f ca="1">IF(AND(SUMIF(Capacity_Resource,$D15,'Critical resources (hide)'!BM$6:BM$105)+SUMIF(Capacity_Resource,$E15,'Critical resources (hide)'!BM$6:BM$105)+SUMIF(Capacity_Resource,$F15,'Critical resources (hide)'!BM$6:BM$105)&gt;0,$E$1=2),0,1)</f>
        <v>1</v>
      </c>
      <c r="BA15" s="67">
        <f ca="1">IF(AND(SUMIF(Capacity_Resource,$D15,'Critical resources (hide)'!BN$6:BN$105)+SUMIF(Capacity_Resource,$E15,'Critical resources (hide)'!BN$6:BN$105)+SUMIF(Capacity_Resource,$F15,'Critical resources (hide)'!BN$6:BN$105)&gt;0,$E$1=2),0,1)</f>
        <v>1</v>
      </c>
      <c r="BB15" s="67">
        <f ca="1">IF(AND(SUMIF(Capacity_Resource,$D15,'Critical resources (hide)'!BO$6:BO$105)+SUMIF(Capacity_Resource,$E15,'Critical resources (hide)'!BO$6:BO$105)+SUMIF(Capacity_Resource,$F15,'Critical resources (hide)'!BO$6:BO$105)&gt;0,$E$1=2),0,1)</f>
        <v>1</v>
      </c>
      <c r="BC15" s="67">
        <f ca="1">IF(AND(SUMIF(Capacity_Resource,$D15,'Critical resources (hide)'!BP$6:BP$105)+SUMIF(Capacity_Resource,$E15,'Critical resources (hide)'!BP$6:BP$105)+SUMIF(Capacity_Resource,$F15,'Critical resources (hide)'!BP$6:BP$105)&gt;0,$E$1=2),0,1)</f>
        <v>1</v>
      </c>
      <c r="BD15" s="67">
        <f ca="1">IF(AND(SUMIF(Capacity_Resource,$D15,'Critical resources (hide)'!BQ$6:BQ$105)+SUMIF(Capacity_Resource,$E15,'Critical resources (hide)'!BQ$6:BQ$105)+SUMIF(Capacity_Resource,$F15,'Critical resources (hide)'!BQ$6:BQ$105)&gt;0,$E$1=2),0,1)</f>
        <v>1</v>
      </c>
      <c r="BE15" s="67">
        <f ca="1">IF(AND(SUMIF(Capacity_Resource,$D15,'Critical resources (hide)'!BR$6:BR$105)+SUMIF(Capacity_Resource,$E15,'Critical resources (hide)'!BR$6:BR$105)+SUMIF(Capacity_Resource,$F15,'Critical resources (hide)'!BR$6:BR$105)&gt;0,$E$1=2),0,1)</f>
        <v>1</v>
      </c>
      <c r="BF15" s="67">
        <f ca="1">IF(AND(SUMIF(Capacity_Resource,$D15,'Critical resources (hide)'!BS$6:BS$105)+SUMIF(Capacity_Resource,$E15,'Critical resources (hide)'!BS$6:BS$105)+SUMIF(Capacity_Resource,$F15,'Critical resources (hide)'!BS$6:BS$105)&gt;0,$E$1=2),0,1)</f>
        <v>1</v>
      </c>
      <c r="BG15" s="67">
        <f ca="1">IF(AND(SUMIF(Capacity_Resource,$D15,'Critical resources (hide)'!BT$6:BT$105)+SUMIF(Capacity_Resource,$E15,'Critical resources (hide)'!BT$6:BT$105)+SUMIF(Capacity_Resource,$F15,'Critical resources (hide)'!BT$6:BT$105)&gt;0,$E$1=2),0,1)</f>
        <v>1</v>
      </c>
      <c r="BH15" s="67">
        <f>IF(ROW(C11)&lt;=Capacity!$A$16,IF('Capacity summary'!$D$14="No",SUM(H15:BG15),'Capacity summary'!$E134),0)</f>
        <v>0</v>
      </c>
      <c r="BI15" s="5" t="str">
        <f>IF(BH15&gt;0,IF(BH15&lt;Capacity!E27,Capacity!F27,Capacity!H27/'Capacity calculation (hide)'!BH15),"")</f>
        <v/>
      </c>
      <c r="BK15" s="313">
        <f>IF($BI15&lt;&gt;"",IF('Capacity summary'!$D$14="Yes",IF(COUNTBLANK('Capacity summary'!$H134:$BG134)&lt;52,IF('Capacity summary'!H134&lt;&gt;"",IF(LOWER('Capacity summary'!H134)="x",$BI15*H15,VALUE('Capacity summary'!H134)),0),H15*$BI15),H15*$BI15),0)</f>
        <v>0</v>
      </c>
      <c r="BL15" s="313">
        <f>IF($BI15&lt;&gt;"",IF('Capacity summary'!$D$14="Yes",IF(COUNTBLANK('Capacity summary'!$H134:$BG134)&lt;52,IF('Capacity summary'!I134&lt;&gt;"",IF(LOWER('Capacity summary'!I134)="x",$BI15*I15,VALUE('Capacity summary'!I134)),0),I15*$BI15),I15*$BI15),0)</f>
        <v>0</v>
      </c>
      <c r="BM15" s="313">
        <f>IF($BI15&lt;&gt;"",IF('Capacity summary'!$D$14="Yes",IF(COUNTBLANK('Capacity summary'!$H134:$BG134)&lt;52,IF('Capacity summary'!J134&lt;&gt;"",IF(LOWER('Capacity summary'!J134)="x",$BI15*J15,VALUE('Capacity summary'!J134)),0),J15*$BI15),J15*$BI15),0)</f>
        <v>0</v>
      </c>
      <c r="BN15" s="313">
        <f>IF($BI15&lt;&gt;"",IF('Capacity summary'!$D$14="Yes",IF(COUNTBLANK('Capacity summary'!$H134:$BG134)&lt;52,IF('Capacity summary'!K134&lt;&gt;"",IF(LOWER('Capacity summary'!K134)="x",$BI15*K15,VALUE('Capacity summary'!K134)),0),K15*$BI15),K15*$BI15),0)</f>
        <v>0</v>
      </c>
      <c r="BO15" s="313">
        <f>IF($BI15&lt;&gt;"",IF('Capacity summary'!$D$14="Yes",IF(COUNTBLANK('Capacity summary'!$H134:$BG134)&lt;52,IF('Capacity summary'!L134&lt;&gt;"",IF(LOWER('Capacity summary'!L134)="x",$BI15*L15,VALUE('Capacity summary'!L134)),0),L15*$BI15),L15*$BI15),0)</f>
        <v>0</v>
      </c>
      <c r="BP15" s="313">
        <f>IF($BI15&lt;&gt;"",IF('Capacity summary'!$D$14="Yes",IF(COUNTBLANK('Capacity summary'!$H134:$BG134)&lt;52,IF('Capacity summary'!M134&lt;&gt;"",IF(LOWER('Capacity summary'!M134)="x",$BI15*M15,VALUE('Capacity summary'!M134)),0),M15*$BI15),M15*$BI15),0)</f>
        <v>0</v>
      </c>
      <c r="BQ15" s="313">
        <f>IF($BI15&lt;&gt;"",IF('Capacity summary'!$D$14="Yes",IF(COUNTBLANK('Capacity summary'!$H134:$BG134)&lt;52,IF('Capacity summary'!N134&lt;&gt;"",IF(LOWER('Capacity summary'!N134)="x",$BI15*N15,VALUE('Capacity summary'!N134)),0),N15*$BI15),N15*$BI15),0)</f>
        <v>0</v>
      </c>
      <c r="BR15" s="313">
        <f>IF($BI15&lt;&gt;"",IF('Capacity summary'!$D$14="Yes",IF(COUNTBLANK('Capacity summary'!$H134:$BG134)&lt;52,IF('Capacity summary'!O134&lt;&gt;"",IF(LOWER('Capacity summary'!O134)="x",$BI15*O15,VALUE('Capacity summary'!O134)),0),O15*$BI15),O15*$BI15),0)</f>
        <v>0</v>
      </c>
      <c r="BS15" s="313">
        <f>IF($BI15&lt;&gt;"",IF('Capacity summary'!$D$14="Yes",IF(COUNTBLANK('Capacity summary'!$H134:$BG134)&lt;52,IF('Capacity summary'!P134&lt;&gt;"",IF(LOWER('Capacity summary'!P134)="x",$BI15*P15,VALUE('Capacity summary'!P134)),0),P15*$BI15),P15*$BI15),0)</f>
        <v>0</v>
      </c>
      <c r="BT15" s="313">
        <f>IF($BI15&lt;&gt;"",IF('Capacity summary'!$D$14="Yes",IF(COUNTBLANK('Capacity summary'!$H134:$BG134)&lt;52,IF('Capacity summary'!Q134&lt;&gt;"",IF(LOWER('Capacity summary'!Q134)="x",$BI15*Q15,VALUE('Capacity summary'!Q134)),0),Q15*$BI15),Q15*$BI15),0)</f>
        <v>0</v>
      </c>
      <c r="BU15" s="313">
        <f>IF($BI15&lt;&gt;"",IF('Capacity summary'!$D$14="Yes",IF(COUNTBLANK('Capacity summary'!$H134:$BG134)&lt;52,IF('Capacity summary'!R134&lt;&gt;"",IF(LOWER('Capacity summary'!R134)="x",$BI15*R15,VALUE('Capacity summary'!R134)),0),R15*$BI15),R15*$BI15),0)</f>
        <v>0</v>
      </c>
      <c r="BV15" s="313">
        <f>IF($BI15&lt;&gt;"",IF('Capacity summary'!$D$14="Yes",IF(COUNTBLANK('Capacity summary'!$H134:$BG134)&lt;52,IF('Capacity summary'!S134&lt;&gt;"",IF(LOWER('Capacity summary'!S134)="x",$BI15*S15,VALUE('Capacity summary'!S134)),0),S15*$BI15),S15*$BI15),0)</f>
        <v>0</v>
      </c>
      <c r="BW15" s="313">
        <f>IF($BI15&lt;&gt;"",IF('Capacity summary'!$D$14="Yes",IF(COUNTBLANK('Capacity summary'!$H134:$BG134)&lt;52,IF('Capacity summary'!T134&lt;&gt;"",IF(LOWER('Capacity summary'!T134)="x",$BI15*T15,VALUE('Capacity summary'!T134)),0),T15*$BI15),T15*$BI15),0)</f>
        <v>0</v>
      </c>
      <c r="BX15" s="313">
        <f>IF($BI15&lt;&gt;"",IF('Capacity summary'!$D$14="Yes",IF(COUNTBLANK('Capacity summary'!$H134:$BG134)&lt;52,IF('Capacity summary'!U134&lt;&gt;"",IF(LOWER('Capacity summary'!U134)="x",$BI15*U15,VALUE('Capacity summary'!U134)),0),U15*$BI15),U15*$BI15),0)</f>
        <v>0</v>
      </c>
      <c r="BY15" s="313">
        <f>IF($BI15&lt;&gt;"",IF('Capacity summary'!$D$14="Yes",IF(COUNTBLANK('Capacity summary'!$H134:$BG134)&lt;52,IF('Capacity summary'!V134&lt;&gt;"",IF(LOWER('Capacity summary'!V134)="x",$BI15*V15,VALUE('Capacity summary'!V134)),0),V15*$BI15),V15*$BI15),0)</f>
        <v>0</v>
      </c>
      <c r="BZ15" s="313">
        <f>IF($BI15&lt;&gt;"",IF('Capacity summary'!$D$14="Yes",IF(COUNTBLANK('Capacity summary'!$H134:$BG134)&lt;52,IF('Capacity summary'!W134&lt;&gt;"",IF(LOWER('Capacity summary'!W134)="x",$BI15*W15,VALUE('Capacity summary'!W134)),0),W15*$BI15),W15*$BI15),0)</f>
        <v>0</v>
      </c>
      <c r="CA15" s="313">
        <f>IF($BI15&lt;&gt;"",IF('Capacity summary'!$D$14="Yes",IF(COUNTBLANK('Capacity summary'!$H134:$BG134)&lt;52,IF('Capacity summary'!X134&lt;&gt;"",IF(LOWER('Capacity summary'!X134)="x",$BI15*X15,VALUE('Capacity summary'!X134)),0),X15*$BI15),X15*$BI15),0)</f>
        <v>0</v>
      </c>
      <c r="CB15" s="313">
        <f>IF($BI15&lt;&gt;"",IF('Capacity summary'!$D$14="Yes",IF(COUNTBLANK('Capacity summary'!$H134:$BG134)&lt;52,IF('Capacity summary'!Y134&lt;&gt;"",IF(LOWER('Capacity summary'!Y134)="x",$BI15*Y15,VALUE('Capacity summary'!Y134)),0),Y15*$BI15),Y15*$BI15),0)</f>
        <v>0</v>
      </c>
      <c r="CC15" s="313">
        <f>IF($BI15&lt;&gt;"",IF('Capacity summary'!$D$14="Yes",IF(COUNTBLANK('Capacity summary'!$H134:$BG134)&lt;52,IF('Capacity summary'!Z134&lt;&gt;"",IF(LOWER('Capacity summary'!Z134)="x",$BI15*Z15,VALUE('Capacity summary'!Z134)),0),Z15*$BI15),Z15*$BI15),0)</f>
        <v>0</v>
      </c>
      <c r="CD15" s="313">
        <f>IF($BI15&lt;&gt;"",IF('Capacity summary'!$D$14="Yes",IF(COUNTBLANK('Capacity summary'!$H134:$BG134)&lt;52,IF('Capacity summary'!AA134&lt;&gt;"",IF(LOWER('Capacity summary'!AA134)="x",$BI15*AA15,VALUE('Capacity summary'!AA134)),0),AA15*$BI15),AA15*$BI15),0)</f>
        <v>0</v>
      </c>
      <c r="CE15" s="313">
        <f>IF($BI15&lt;&gt;"",IF('Capacity summary'!$D$14="Yes",IF(COUNTBLANK('Capacity summary'!$H134:$BG134)&lt;52,IF('Capacity summary'!AB134&lt;&gt;"",IF(LOWER('Capacity summary'!AB134)="x",$BI15*AB15,VALUE('Capacity summary'!AB134)),0),AB15*$BI15),AB15*$BI15),0)</f>
        <v>0</v>
      </c>
      <c r="CF15" s="313">
        <f>IF($BI15&lt;&gt;"",IF('Capacity summary'!$D$14="Yes",IF(COUNTBLANK('Capacity summary'!$H134:$BG134)&lt;52,IF('Capacity summary'!AC134&lt;&gt;"",IF(LOWER('Capacity summary'!AC134)="x",$BI15*AC15,VALUE('Capacity summary'!AC134)),0),AC15*$BI15),AC15*$BI15),0)</f>
        <v>0</v>
      </c>
      <c r="CG15" s="313">
        <f>IF($BI15&lt;&gt;"",IF('Capacity summary'!$D$14="Yes",IF(COUNTBLANK('Capacity summary'!$H134:$BG134)&lt;52,IF('Capacity summary'!AD134&lt;&gt;"",IF(LOWER('Capacity summary'!AD134)="x",$BI15*AD15,VALUE('Capacity summary'!AD134)),0),AD15*$BI15),AD15*$BI15),0)</f>
        <v>0</v>
      </c>
      <c r="CH15" s="313">
        <f>IF($BI15&lt;&gt;"",IF('Capacity summary'!$D$14="Yes",IF(COUNTBLANK('Capacity summary'!$H134:$BG134)&lt;52,IF('Capacity summary'!AE134&lt;&gt;"",IF(LOWER('Capacity summary'!AE134)="x",$BI15*AE15,VALUE('Capacity summary'!AE134)),0),AE15*$BI15),AE15*$BI15),0)</f>
        <v>0</v>
      </c>
      <c r="CI15" s="313">
        <f>IF($BI15&lt;&gt;"",IF('Capacity summary'!$D$14="Yes",IF(COUNTBLANK('Capacity summary'!$H134:$BG134)&lt;52,IF('Capacity summary'!AF134&lt;&gt;"",IF(LOWER('Capacity summary'!AF134)="x",$BI15*AF15,VALUE('Capacity summary'!AF134)),0),AF15*$BI15),AF15*$BI15),0)</f>
        <v>0</v>
      </c>
      <c r="CJ15" s="313">
        <f>IF($BI15&lt;&gt;"",IF('Capacity summary'!$D$14="Yes",IF(COUNTBLANK('Capacity summary'!$H134:$BG134)&lt;52,IF('Capacity summary'!AG134&lt;&gt;"",IF(LOWER('Capacity summary'!AG134)="x",$BI15*AG15,VALUE('Capacity summary'!AG134)),0),AG15*$BI15),AG15*$BI15),0)</f>
        <v>0</v>
      </c>
      <c r="CK15" s="313">
        <f>IF($BI15&lt;&gt;"",IF('Capacity summary'!$D$14="Yes",IF(COUNTBLANK('Capacity summary'!$H134:$BG134)&lt;52,IF('Capacity summary'!AH134&lt;&gt;"",IF(LOWER('Capacity summary'!AH134)="x",$BI15*AH15,VALUE('Capacity summary'!AH134)),0),AH15*$BI15),AH15*$BI15),0)</f>
        <v>0</v>
      </c>
      <c r="CL15" s="313">
        <f>IF($BI15&lt;&gt;"",IF('Capacity summary'!$D$14="Yes",IF(COUNTBLANK('Capacity summary'!$H134:$BG134)&lt;52,IF('Capacity summary'!AI134&lt;&gt;"",IF(LOWER('Capacity summary'!AI134)="x",$BI15*AI15,VALUE('Capacity summary'!AI134)),0),AI15*$BI15),AI15*$BI15),0)</f>
        <v>0</v>
      </c>
      <c r="CM15" s="313">
        <f>IF($BI15&lt;&gt;"",IF('Capacity summary'!$D$14="Yes",IF(COUNTBLANK('Capacity summary'!$H134:$BG134)&lt;52,IF('Capacity summary'!AJ134&lt;&gt;"",IF(LOWER('Capacity summary'!AJ134)="x",$BI15*AJ15,VALUE('Capacity summary'!AJ134)),0),AJ15*$BI15),AJ15*$BI15),0)</f>
        <v>0</v>
      </c>
      <c r="CN15" s="313">
        <f>IF($BI15&lt;&gt;"",IF('Capacity summary'!$D$14="Yes",IF(COUNTBLANK('Capacity summary'!$H134:$BG134)&lt;52,IF('Capacity summary'!AK134&lt;&gt;"",IF(LOWER('Capacity summary'!AK134)="x",$BI15*AK15,VALUE('Capacity summary'!AK134)),0),AK15*$BI15),AK15*$BI15),0)</f>
        <v>0</v>
      </c>
      <c r="CO15" s="313">
        <f>IF($BI15&lt;&gt;"",IF('Capacity summary'!$D$14="Yes",IF(COUNTBLANK('Capacity summary'!$H134:$BG134)&lt;52,IF('Capacity summary'!AL134&lt;&gt;"",IF(LOWER('Capacity summary'!AL134)="x",$BI15*AL15,VALUE('Capacity summary'!AL134)),0),AL15*$BI15),AL15*$BI15),0)</f>
        <v>0</v>
      </c>
      <c r="CP15" s="313">
        <f>IF($BI15&lt;&gt;"",IF('Capacity summary'!$D$14="Yes",IF(COUNTBLANK('Capacity summary'!$H134:$BG134)&lt;52,IF('Capacity summary'!AM134&lt;&gt;"",IF(LOWER('Capacity summary'!AM134)="x",$BI15*AM15,VALUE('Capacity summary'!AM134)),0),AM15*$BI15),AM15*$BI15),0)</f>
        <v>0</v>
      </c>
      <c r="CQ15" s="313">
        <f>IF($BI15&lt;&gt;"",IF('Capacity summary'!$D$14="Yes",IF(COUNTBLANK('Capacity summary'!$H134:$BG134)&lt;52,IF('Capacity summary'!AN134&lt;&gt;"",IF(LOWER('Capacity summary'!AN134)="x",$BI15*AN15,VALUE('Capacity summary'!AN134)),0),AN15*$BI15),AN15*$BI15),0)</f>
        <v>0</v>
      </c>
      <c r="CR15" s="313">
        <f>IF($BI15&lt;&gt;"",IF('Capacity summary'!$D$14="Yes",IF(COUNTBLANK('Capacity summary'!$H134:$BG134)&lt;52,IF('Capacity summary'!AO134&lt;&gt;"",IF(LOWER('Capacity summary'!AO134)="x",$BI15*AO15,VALUE('Capacity summary'!AO134)),0),AO15*$BI15),AO15*$BI15),0)</f>
        <v>0</v>
      </c>
      <c r="CS15" s="313">
        <f>IF($BI15&lt;&gt;"",IF('Capacity summary'!$D$14="Yes",IF(COUNTBLANK('Capacity summary'!$H134:$BG134)&lt;52,IF('Capacity summary'!AP134&lt;&gt;"",IF(LOWER('Capacity summary'!AP134)="x",$BI15*AP15,VALUE('Capacity summary'!AP134)),0),AP15*$BI15),AP15*$BI15),0)</f>
        <v>0</v>
      </c>
      <c r="CT15" s="313">
        <f>IF($BI15&lt;&gt;"",IF('Capacity summary'!$D$14="Yes",IF(COUNTBLANK('Capacity summary'!$H134:$BG134)&lt;52,IF('Capacity summary'!AQ134&lt;&gt;"",IF(LOWER('Capacity summary'!AQ134)="x",$BI15*AQ15,VALUE('Capacity summary'!AQ134)),0),AQ15*$BI15),AQ15*$BI15),0)</f>
        <v>0</v>
      </c>
      <c r="CU15" s="313">
        <f>IF($BI15&lt;&gt;"",IF('Capacity summary'!$D$14="Yes",IF(COUNTBLANK('Capacity summary'!$H134:$BG134)&lt;52,IF('Capacity summary'!AR134&lt;&gt;"",IF(LOWER('Capacity summary'!AR134)="x",$BI15*AR15,VALUE('Capacity summary'!AR134)),0),AR15*$BI15),AR15*$BI15),0)</f>
        <v>0</v>
      </c>
      <c r="CV15" s="313">
        <f>IF($BI15&lt;&gt;"",IF('Capacity summary'!$D$14="Yes",IF(COUNTBLANK('Capacity summary'!$H134:$BG134)&lt;52,IF('Capacity summary'!AS134&lt;&gt;"",IF(LOWER('Capacity summary'!AS134)="x",$BI15*AS15,VALUE('Capacity summary'!AS134)),0),AS15*$BI15),AS15*$BI15),0)</f>
        <v>0</v>
      </c>
      <c r="CW15" s="313">
        <f>IF($BI15&lt;&gt;"",IF('Capacity summary'!$D$14="Yes",IF(COUNTBLANK('Capacity summary'!$H134:$BG134)&lt;52,IF('Capacity summary'!AT134&lt;&gt;"",IF(LOWER('Capacity summary'!AT134)="x",$BI15*AT15,VALUE('Capacity summary'!AT134)),0),AT15*$BI15),AT15*$BI15),0)</f>
        <v>0</v>
      </c>
      <c r="CX15" s="313">
        <f>IF($BI15&lt;&gt;"",IF('Capacity summary'!$D$14="Yes",IF(COUNTBLANK('Capacity summary'!$H134:$BG134)&lt;52,IF('Capacity summary'!AU134&lt;&gt;"",IF(LOWER('Capacity summary'!AU134)="x",$BI15*AU15,VALUE('Capacity summary'!AU134)),0),AU15*$BI15),AU15*$BI15),0)</f>
        <v>0</v>
      </c>
      <c r="CY15" s="313">
        <f>IF($BI15&lt;&gt;"",IF('Capacity summary'!$D$14="Yes",IF(COUNTBLANK('Capacity summary'!$H134:$BG134)&lt;52,IF('Capacity summary'!AV134&lt;&gt;"",IF(LOWER('Capacity summary'!AV134)="x",$BI15*AV15,VALUE('Capacity summary'!AV134)),0),AV15*$BI15),AV15*$BI15),0)</f>
        <v>0</v>
      </c>
      <c r="CZ15" s="313">
        <f>IF($BI15&lt;&gt;"",IF('Capacity summary'!$D$14="Yes",IF(COUNTBLANK('Capacity summary'!$H134:$BG134)&lt;52,IF('Capacity summary'!AW134&lt;&gt;"",IF(LOWER('Capacity summary'!AW134)="x",$BI15*AW15,VALUE('Capacity summary'!AW134)),0),AW15*$BI15),AW15*$BI15),0)</f>
        <v>0</v>
      </c>
      <c r="DA15" s="313">
        <f>IF($BI15&lt;&gt;"",IF('Capacity summary'!$D$14="Yes",IF(COUNTBLANK('Capacity summary'!$H134:$BG134)&lt;52,IF('Capacity summary'!AX134&lt;&gt;"",IF(LOWER('Capacity summary'!AX134)="x",$BI15*AX15,VALUE('Capacity summary'!AX134)),0),AX15*$BI15),AX15*$BI15),0)</f>
        <v>0</v>
      </c>
      <c r="DB15" s="313">
        <f>IF($BI15&lt;&gt;"",IF('Capacity summary'!$D$14="Yes",IF(COUNTBLANK('Capacity summary'!$H134:$BG134)&lt;52,IF('Capacity summary'!AY134&lt;&gt;"",IF(LOWER('Capacity summary'!AY134)="x",$BI15*AY15,VALUE('Capacity summary'!AY134)),0),AY15*$BI15),AY15*$BI15),0)</f>
        <v>0</v>
      </c>
      <c r="DC15" s="313">
        <f>IF($BI15&lt;&gt;"",IF('Capacity summary'!$D$14="Yes",IF(COUNTBLANK('Capacity summary'!$H134:$BG134)&lt;52,IF('Capacity summary'!AZ134&lt;&gt;"",IF(LOWER('Capacity summary'!AZ134)="x",$BI15*AZ15,VALUE('Capacity summary'!AZ134)),0),AZ15*$BI15),AZ15*$BI15),0)</f>
        <v>0</v>
      </c>
      <c r="DD15" s="313">
        <f>IF($BI15&lt;&gt;"",IF('Capacity summary'!$D$14="Yes",IF(COUNTBLANK('Capacity summary'!$H134:$BG134)&lt;52,IF('Capacity summary'!BA134&lt;&gt;"",IF(LOWER('Capacity summary'!BA134)="x",$BI15*BA15,VALUE('Capacity summary'!BA134)),0),BA15*$BI15),BA15*$BI15),0)</f>
        <v>0</v>
      </c>
      <c r="DE15" s="313">
        <f>IF($BI15&lt;&gt;"",IF('Capacity summary'!$D$14="Yes",IF(COUNTBLANK('Capacity summary'!$H134:$BG134)&lt;52,IF('Capacity summary'!BB134&lt;&gt;"",IF(LOWER('Capacity summary'!BB134)="x",$BI15*BB15,VALUE('Capacity summary'!BB134)),0),BB15*$BI15),BB15*$BI15),0)</f>
        <v>0</v>
      </c>
      <c r="DF15" s="313">
        <f>IF($BI15&lt;&gt;"",IF('Capacity summary'!$D$14="Yes",IF(COUNTBLANK('Capacity summary'!$H134:$BG134)&lt;52,IF('Capacity summary'!BC134&lt;&gt;"",IF(LOWER('Capacity summary'!BC134)="x",$BI15*BC15,VALUE('Capacity summary'!BC134)),0),BC15*$BI15),BC15*$BI15),0)</f>
        <v>0</v>
      </c>
      <c r="DG15" s="313">
        <f>IF($BI15&lt;&gt;"",IF('Capacity summary'!$D$14="Yes",IF(COUNTBLANK('Capacity summary'!$H134:$BG134)&lt;52,IF('Capacity summary'!BD134&lt;&gt;"",IF(LOWER('Capacity summary'!BD134)="x",$BI15*BD15,VALUE('Capacity summary'!BD134)),0),BD15*$BI15),BD15*$BI15),0)</f>
        <v>0</v>
      </c>
      <c r="DH15" s="313">
        <f>IF($BI15&lt;&gt;"",IF('Capacity summary'!$D$14="Yes",IF(COUNTBLANK('Capacity summary'!$H134:$BG134)&lt;52,IF('Capacity summary'!BE134&lt;&gt;"",IF(LOWER('Capacity summary'!BE134)="x",$BI15*BE15,VALUE('Capacity summary'!BE134)),0),BE15*$BI15),BE15*$BI15),0)</f>
        <v>0</v>
      </c>
      <c r="DI15" s="313">
        <f>IF($BI15&lt;&gt;"",IF('Capacity summary'!$D$14="Yes",IF(COUNTBLANK('Capacity summary'!$H134:$BG134)&lt;52,IF('Capacity summary'!BF134&lt;&gt;"",IF(LOWER('Capacity summary'!BF134)="x",$BI15*BF15,VALUE('Capacity summary'!BF134)),0),BF15*$BI15),BF15*$BI15),0)</f>
        <v>0</v>
      </c>
      <c r="DJ15" s="313">
        <f>IF($BI15&lt;&gt;"",IF('Capacity summary'!$D$14="Yes",IF(COUNTBLANK('Capacity summary'!$H134:$BG134)&lt;52,IF('Capacity summary'!BG134&lt;&gt;"",IF(LOWER('Capacity summary'!BG134)="x",$BI15*BG15,VALUE('Capacity summary'!BG134)),0),BG15*$BI15),BG15*$BI15),0)</f>
        <v>0</v>
      </c>
      <c r="DK15" s="137">
        <f t="shared" si="2"/>
        <v>0</v>
      </c>
      <c r="DL15" s="313" t="str">
        <f>Capacity!H27</f>
        <v/>
      </c>
      <c r="DP15" s="5"/>
    </row>
    <row r="16" spans="2:120" x14ac:dyDescent="0.25">
      <c r="B16" s="67"/>
      <c r="C16" s="67" t="str">
        <f>ROW(A12)&amp;". "&amp;Capacity!B28</f>
        <v xml:space="preserve">12. </v>
      </c>
      <c r="D16" s="67">
        <f>'Capacity setup'!C23</f>
        <v>0</v>
      </c>
      <c r="E16" s="67">
        <f>'Capacity setup'!D23</f>
        <v>0</v>
      </c>
      <c r="F16" s="67">
        <f>'Capacity setup'!E23</f>
        <v>0</v>
      </c>
      <c r="H16" s="67">
        <f ca="1">IF(AND(SUMIF(Capacity_Resource,$D16,'Critical resources (hide)'!U$6:U$105)+SUMIF(Capacity_Resource,$E16,'Critical resources (hide)'!U$6:U$105)+SUMIF(Capacity_Resource,$F16,'Critical resources (hide)'!U$6:U$105)&gt;0,$E$1=2),0,1)</f>
        <v>1</v>
      </c>
      <c r="I16" s="67">
        <f ca="1">IF(AND(SUMIF(Capacity_Resource,$D16,'Critical resources (hide)'!V$6:V$105)+SUMIF(Capacity_Resource,$E16,'Critical resources (hide)'!V$6:V$105)+SUMIF(Capacity_Resource,$F16,'Critical resources (hide)'!V$6:V$105)&gt;0,$E$1=2),0,1)</f>
        <v>1</v>
      </c>
      <c r="J16" s="67">
        <f ca="1">IF(AND(SUMIF(Capacity_Resource,$D16,'Critical resources (hide)'!W$6:W$105)+SUMIF(Capacity_Resource,$E16,'Critical resources (hide)'!W$6:W$105)+SUMIF(Capacity_Resource,$F16,'Critical resources (hide)'!W$6:W$105)&gt;0,$E$1=2),0,1)</f>
        <v>1</v>
      </c>
      <c r="K16" s="67">
        <f ca="1">IF(AND(SUMIF(Capacity_Resource,$D16,'Critical resources (hide)'!X$6:X$105)+SUMIF(Capacity_Resource,$E16,'Critical resources (hide)'!X$6:X$105)+SUMIF(Capacity_Resource,$F16,'Critical resources (hide)'!X$6:X$105)&gt;0,$E$1=2),0,1)</f>
        <v>1</v>
      </c>
      <c r="L16" s="67">
        <f ca="1">IF(AND(SUMIF(Capacity_Resource,$D16,'Critical resources (hide)'!Y$6:Y$105)+SUMIF(Capacity_Resource,$E16,'Critical resources (hide)'!Y$6:Y$105)+SUMIF(Capacity_Resource,$F16,'Critical resources (hide)'!Y$6:Y$105)&gt;0,$E$1=2),0,1)</f>
        <v>1</v>
      </c>
      <c r="M16" s="67">
        <f ca="1">IF(AND(SUMIF(Capacity_Resource,$D16,'Critical resources (hide)'!Z$6:Z$105)+SUMIF(Capacity_Resource,$E16,'Critical resources (hide)'!Z$6:Z$105)+SUMIF(Capacity_Resource,$F16,'Critical resources (hide)'!Z$6:Z$105)&gt;0,$E$1=2),0,1)</f>
        <v>1</v>
      </c>
      <c r="N16" s="67">
        <f ca="1">IF(AND(SUMIF(Capacity_Resource,$D16,'Critical resources (hide)'!AA$6:AA$105)+SUMIF(Capacity_Resource,$E16,'Critical resources (hide)'!AA$6:AA$105)+SUMIF(Capacity_Resource,$F16,'Critical resources (hide)'!AA$6:AA$105)&gt;0,$E$1=2),0,1)</f>
        <v>1</v>
      </c>
      <c r="O16" s="67">
        <f ca="1">IF(AND(SUMIF(Capacity_Resource,$D16,'Critical resources (hide)'!AB$6:AB$105)+SUMIF(Capacity_Resource,$E16,'Critical resources (hide)'!AB$6:AB$105)+SUMIF(Capacity_Resource,$F16,'Critical resources (hide)'!AB$6:AB$105)&gt;0,$E$1=2),0,1)</f>
        <v>1</v>
      </c>
      <c r="P16" s="67">
        <f ca="1">IF(AND(SUMIF(Capacity_Resource,$D16,'Critical resources (hide)'!AC$6:AC$105)+SUMIF(Capacity_Resource,$E16,'Critical resources (hide)'!AC$6:AC$105)+SUMIF(Capacity_Resource,$F16,'Critical resources (hide)'!AC$6:AC$105)&gt;0,$E$1=2),0,1)</f>
        <v>1</v>
      </c>
      <c r="Q16" s="67">
        <f ca="1">IF(AND(SUMIF(Capacity_Resource,$D16,'Critical resources (hide)'!AD$6:AD$105)+SUMIF(Capacity_Resource,$E16,'Critical resources (hide)'!AD$6:AD$105)+SUMIF(Capacity_Resource,$F16,'Critical resources (hide)'!AD$6:AD$105)&gt;0,$E$1=2),0,1)</f>
        <v>1</v>
      </c>
      <c r="R16" s="67">
        <f ca="1">IF(AND(SUMIF(Capacity_Resource,$D16,'Critical resources (hide)'!AE$6:AE$105)+SUMIF(Capacity_Resource,$E16,'Critical resources (hide)'!AE$6:AE$105)+SUMIF(Capacity_Resource,$F16,'Critical resources (hide)'!AE$6:AE$105)&gt;0,$E$1=2),0,1)</f>
        <v>1</v>
      </c>
      <c r="S16" s="67">
        <f ca="1">IF(AND(SUMIF(Capacity_Resource,$D16,'Critical resources (hide)'!AF$6:AF$105)+SUMIF(Capacity_Resource,$E16,'Critical resources (hide)'!AF$6:AF$105)+SUMIF(Capacity_Resource,$F16,'Critical resources (hide)'!AF$6:AF$105)&gt;0,$E$1=2),0,1)</f>
        <v>1</v>
      </c>
      <c r="T16" s="67">
        <f ca="1">IF(AND(SUMIF(Capacity_Resource,$D16,'Critical resources (hide)'!AG$6:AG$105)+SUMIF(Capacity_Resource,$E16,'Critical resources (hide)'!AG$6:AG$105)+SUMIF(Capacity_Resource,$F16,'Critical resources (hide)'!AG$6:AG$105)&gt;0,$E$1=2),0,1)</f>
        <v>1</v>
      </c>
      <c r="U16" s="67">
        <f ca="1">IF(AND(SUMIF(Capacity_Resource,$D16,'Critical resources (hide)'!AH$6:AH$105)+SUMIF(Capacity_Resource,$E16,'Critical resources (hide)'!AH$6:AH$105)+SUMIF(Capacity_Resource,$F16,'Critical resources (hide)'!AH$6:AH$105)&gt;0,$E$1=2),0,1)</f>
        <v>1</v>
      </c>
      <c r="V16" s="67">
        <f ca="1">IF(AND(SUMIF(Capacity_Resource,$D16,'Critical resources (hide)'!AI$6:AI$105)+SUMIF(Capacity_Resource,$E16,'Critical resources (hide)'!AI$6:AI$105)+SUMIF(Capacity_Resource,$F16,'Critical resources (hide)'!AI$6:AI$105)&gt;0,$E$1=2),0,1)</f>
        <v>1</v>
      </c>
      <c r="W16" s="67">
        <f ca="1">IF(AND(SUMIF(Capacity_Resource,$D16,'Critical resources (hide)'!AJ$6:AJ$105)+SUMIF(Capacity_Resource,$E16,'Critical resources (hide)'!AJ$6:AJ$105)+SUMIF(Capacity_Resource,$F16,'Critical resources (hide)'!AJ$6:AJ$105)&gt;0,$E$1=2),0,1)</f>
        <v>1</v>
      </c>
      <c r="X16" s="67">
        <f ca="1">IF(AND(SUMIF(Capacity_Resource,$D16,'Critical resources (hide)'!AK$6:AK$105)+SUMIF(Capacity_Resource,$E16,'Critical resources (hide)'!AK$6:AK$105)+SUMIF(Capacity_Resource,$F16,'Critical resources (hide)'!AK$6:AK$105)&gt;0,$E$1=2),0,1)</f>
        <v>1</v>
      </c>
      <c r="Y16" s="67">
        <f ca="1">IF(AND(SUMIF(Capacity_Resource,$D16,'Critical resources (hide)'!AL$6:AL$105)+SUMIF(Capacity_Resource,$E16,'Critical resources (hide)'!AL$6:AL$105)+SUMIF(Capacity_Resource,$F16,'Critical resources (hide)'!AL$6:AL$105)&gt;0,$E$1=2),0,1)</f>
        <v>1</v>
      </c>
      <c r="Z16" s="67">
        <f ca="1">IF(AND(SUMIF(Capacity_Resource,$D16,'Critical resources (hide)'!AM$6:AM$105)+SUMIF(Capacity_Resource,$E16,'Critical resources (hide)'!AM$6:AM$105)+SUMIF(Capacity_Resource,$F16,'Critical resources (hide)'!AM$6:AM$105)&gt;0,$E$1=2),0,1)</f>
        <v>1</v>
      </c>
      <c r="AA16" s="67">
        <f ca="1">IF(AND(SUMIF(Capacity_Resource,$D16,'Critical resources (hide)'!AN$6:AN$105)+SUMIF(Capacity_Resource,$E16,'Critical resources (hide)'!AN$6:AN$105)+SUMIF(Capacity_Resource,$F16,'Critical resources (hide)'!AN$6:AN$105)&gt;0,$E$1=2),0,1)</f>
        <v>1</v>
      </c>
      <c r="AB16" s="67">
        <f ca="1">IF(AND(SUMIF(Capacity_Resource,$D16,'Critical resources (hide)'!AO$6:AO$105)+SUMIF(Capacity_Resource,$E16,'Critical resources (hide)'!AO$6:AO$105)+SUMIF(Capacity_Resource,$F16,'Critical resources (hide)'!AO$6:AO$105)&gt;0,$E$1=2),0,1)</f>
        <v>1</v>
      </c>
      <c r="AC16" s="67">
        <f ca="1">IF(AND(SUMIF(Capacity_Resource,$D16,'Critical resources (hide)'!AP$6:AP$105)+SUMIF(Capacity_Resource,$E16,'Critical resources (hide)'!AP$6:AP$105)+SUMIF(Capacity_Resource,$F16,'Critical resources (hide)'!AP$6:AP$105)&gt;0,$E$1=2),0,1)</f>
        <v>1</v>
      </c>
      <c r="AD16" s="67">
        <f ca="1">IF(AND(SUMIF(Capacity_Resource,$D16,'Critical resources (hide)'!AQ$6:AQ$105)+SUMIF(Capacity_Resource,$E16,'Critical resources (hide)'!AQ$6:AQ$105)+SUMIF(Capacity_Resource,$F16,'Critical resources (hide)'!AQ$6:AQ$105)&gt;0,$E$1=2),0,1)</f>
        <v>1</v>
      </c>
      <c r="AE16" s="67">
        <f ca="1">IF(AND(SUMIF(Capacity_Resource,$D16,'Critical resources (hide)'!AR$6:AR$105)+SUMIF(Capacity_Resource,$E16,'Critical resources (hide)'!AR$6:AR$105)+SUMIF(Capacity_Resource,$F16,'Critical resources (hide)'!AR$6:AR$105)&gt;0,$E$1=2),0,1)</f>
        <v>1</v>
      </c>
      <c r="AF16" s="67">
        <f ca="1">IF(AND(SUMIF(Capacity_Resource,$D16,'Critical resources (hide)'!AS$6:AS$105)+SUMIF(Capacity_Resource,$E16,'Critical resources (hide)'!AS$6:AS$105)+SUMIF(Capacity_Resource,$F16,'Critical resources (hide)'!AS$6:AS$105)&gt;0,$E$1=2),0,1)</f>
        <v>1</v>
      </c>
      <c r="AG16" s="67">
        <f ca="1">IF(AND(SUMIF(Capacity_Resource,$D16,'Critical resources (hide)'!AT$6:AT$105)+SUMIF(Capacity_Resource,$E16,'Critical resources (hide)'!AT$6:AT$105)+SUMIF(Capacity_Resource,$F16,'Critical resources (hide)'!AT$6:AT$105)&gt;0,$E$1=2),0,1)</f>
        <v>1</v>
      </c>
      <c r="AH16" s="67">
        <f ca="1">IF(AND(SUMIF(Capacity_Resource,$D16,'Critical resources (hide)'!AU$6:AU$105)+SUMIF(Capacity_Resource,$E16,'Critical resources (hide)'!AU$6:AU$105)+SUMIF(Capacity_Resource,$F16,'Critical resources (hide)'!AU$6:AU$105)&gt;0,$E$1=2),0,1)</f>
        <v>1</v>
      </c>
      <c r="AI16" s="67">
        <f ca="1">IF(AND(SUMIF(Capacity_Resource,$D16,'Critical resources (hide)'!AV$6:AV$105)+SUMIF(Capacity_Resource,$E16,'Critical resources (hide)'!AV$6:AV$105)+SUMIF(Capacity_Resource,$F16,'Critical resources (hide)'!AV$6:AV$105)&gt;0,$E$1=2),0,1)</f>
        <v>1</v>
      </c>
      <c r="AJ16" s="67">
        <f ca="1">IF(AND(SUMIF(Capacity_Resource,$D16,'Critical resources (hide)'!AW$6:AW$105)+SUMIF(Capacity_Resource,$E16,'Critical resources (hide)'!AW$6:AW$105)+SUMIF(Capacity_Resource,$F16,'Critical resources (hide)'!AW$6:AW$105)&gt;0,$E$1=2),0,1)</f>
        <v>1</v>
      </c>
      <c r="AK16" s="67">
        <f ca="1">IF(AND(SUMIF(Capacity_Resource,$D16,'Critical resources (hide)'!AX$6:AX$105)+SUMIF(Capacity_Resource,$E16,'Critical resources (hide)'!AX$6:AX$105)+SUMIF(Capacity_Resource,$F16,'Critical resources (hide)'!AX$6:AX$105)&gt;0,$E$1=2),0,1)</f>
        <v>1</v>
      </c>
      <c r="AL16" s="67">
        <f ca="1">IF(AND(SUMIF(Capacity_Resource,$D16,'Critical resources (hide)'!AY$6:AY$105)+SUMIF(Capacity_Resource,$E16,'Critical resources (hide)'!AY$6:AY$105)+SUMIF(Capacity_Resource,$F16,'Critical resources (hide)'!AY$6:AY$105)&gt;0,$E$1=2),0,1)</f>
        <v>1</v>
      </c>
      <c r="AM16" s="67">
        <f ca="1">IF(AND(SUMIF(Capacity_Resource,$D16,'Critical resources (hide)'!AZ$6:AZ$105)+SUMIF(Capacity_Resource,$E16,'Critical resources (hide)'!AZ$6:AZ$105)+SUMIF(Capacity_Resource,$F16,'Critical resources (hide)'!AZ$6:AZ$105)&gt;0,$E$1=2),0,1)</f>
        <v>1</v>
      </c>
      <c r="AN16" s="67">
        <f ca="1">IF(AND(SUMIF(Capacity_Resource,$D16,'Critical resources (hide)'!BA$6:BA$105)+SUMIF(Capacity_Resource,$E16,'Critical resources (hide)'!BA$6:BA$105)+SUMIF(Capacity_Resource,$F16,'Critical resources (hide)'!BA$6:BA$105)&gt;0,$E$1=2),0,1)</f>
        <v>1</v>
      </c>
      <c r="AO16" s="67">
        <f ca="1">IF(AND(SUMIF(Capacity_Resource,$D16,'Critical resources (hide)'!BB$6:BB$105)+SUMIF(Capacity_Resource,$E16,'Critical resources (hide)'!BB$6:BB$105)+SUMIF(Capacity_Resource,$F16,'Critical resources (hide)'!BB$6:BB$105)&gt;0,$E$1=2),0,1)</f>
        <v>1</v>
      </c>
      <c r="AP16" s="67">
        <f ca="1">IF(AND(SUMIF(Capacity_Resource,$D16,'Critical resources (hide)'!BC$6:BC$105)+SUMIF(Capacity_Resource,$E16,'Critical resources (hide)'!BC$6:BC$105)+SUMIF(Capacity_Resource,$F16,'Critical resources (hide)'!BC$6:BC$105)&gt;0,$E$1=2),0,1)</f>
        <v>1</v>
      </c>
      <c r="AQ16" s="67">
        <f ca="1">IF(AND(SUMIF(Capacity_Resource,$D16,'Critical resources (hide)'!BD$6:BD$105)+SUMIF(Capacity_Resource,$E16,'Critical resources (hide)'!BD$6:BD$105)+SUMIF(Capacity_Resource,$F16,'Critical resources (hide)'!BD$6:BD$105)&gt;0,$E$1=2),0,1)</f>
        <v>1</v>
      </c>
      <c r="AR16" s="67">
        <f ca="1">IF(AND(SUMIF(Capacity_Resource,$D16,'Critical resources (hide)'!BE$6:BE$105)+SUMIF(Capacity_Resource,$E16,'Critical resources (hide)'!BE$6:BE$105)+SUMIF(Capacity_Resource,$F16,'Critical resources (hide)'!BE$6:BE$105)&gt;0,$E$1=2),0,1)</f>
        <v>1</v>
      </c>
      <c r="AS16" s="67">
        <f ca="1">IF(AND(SUMIF(Capacity_Resource,$D16,'Critical resources (hide)'!BF$6:BF$105)+SUMIF(Capacity_Resource,$E16,'Critical resources (hide)'!BF$6:BF$105)+SUMIF(Capacity_Resource,$F16,'Critical resources (hide)'!BF$6:BF$105)&gt;0,$E$1=2),0,1)</f>
        <v>1</v>
      </c>
      <c r="AT16" s="67">
        <f ca="1">IF(AND(SUMIF(Capacity_Resource,$D16,'Critical resources (hide)'!BG$6:BG$105)+SUMIF(Capacity_Resource,$E16,'Critical resources (hide)'!BG$6:BG$105)+SUMIF(Capacity_Resource,$F16,'Critical resources (hide)'!BG$6:BG$105)&gt;0,$E$1=2),0,1)</f>
        <v>1</v>
      </c>
      <c r="AU16" s="67">
        <f ca="1">IF(AND(SUMIF(Capacity_Resource,$D16,'Critical resources (hide)'!BH$6:BH$105)+SUMIF(Capacity_Resource,$E16,'Critical resources (hide)'!BH$6:BH$105)+SUMIF(Capacity_Resource,$F16,'Critical resources (hide)'!BH$6:BH$105)&gt;0,$E$1=2),0,1)</f>
        <v>1</v>
      </c>
      <c r="AV16" s="67">
        <f ca="1">IF(AND(SUMIF(Capacity_Resource,$D16,'Critical resources (hide)'!BI$6:BI$105)+SUMIF(Capacity_Resource,$E16,'Critical resources (hide)'!BI$6:BI$105)+SUMIF(Capacity_Resource,$F16,'Critical resources (hide)'!BI$6:BI$105)&gt;0,$E$1=2),0,1)</f>
        <v>1</v>
      </c>
      <c r="AW16" s="67">
        <f ca="1">IF(AND(SUMIF(Capacity_Resource,$D16,'Critical resources (hide)'!BJ$6:BJ$105)+SUMIF(Capacity_Resource,$E16,'Critical resources (hide)'!BJ$6:BJ$105)+SUMIF(Capacity_Resource,$F16,'Critical resources (hide)'!BJ$6:BJ$105)&gt;0,$E$1=2),0,1)</f>
        <v>1</v>
      </c>
      <c r="AX16" s="67">
        <f ca="1">IF(AND(SUMIF(Capacity_Resource,$D16,'Critical resources (hide)'!BK$6:BK$105)+SUMIF(Capacity_Resource,$E16,'Critical resources (hide)'!BK$6:BK$105)+SUMIF(Capacity_Resource,$F16,'Critical resources (hide)'!BK$6:BK$105)&gt;0,$E$1=2),0,1)</f>
        <v>1</v>
      </c>
      <c r="AY16" s="67">
        <f ca="1">IF(AND(SUMIF(Capacity_Resource,$D16,'Critical resources (hide)'!BL$6:BL$105)+SUMIF(Capacity_Resource,$E16,'Critical resources (hide)'!BL$6:BL$105)+SUMIF(Capacity_Resource,$F16,'Critical resources (hide)'!BL$6:BL$105)&gt;0,$E$1=2),0,1)</f>
        <v>1</v>
      </c>
      <c r="AZ16" s="67">
        <f ca="1">IF(AND(SUMIF(Capacity_Resource,$D16,'Critical resources (hide)'!BM$6:BM$105)+SUMIF(Capacity_Resource,$E16,'Critical resources (hide)'!BM$6:BM$105)+SUMIF(Capacity_Resource,$F16,'Critical resources (hide)'!BM$6:BM$105)&gt;0,$E$1=2),0,1)</f>
        <v>1</v>
      </c>
      <c r="BA16" s="67">
        <f ca="1">IF(AND(SUMIF(Capacity_Resource,$D16,'Critical resources (hide)'!BN$6:BN$105)+SUMIF(Capacity_Resource,$E16,'Critical resources (hide)'!BN$6:BN$105)+SUMIF(Capacity_Resource,$F16,'Critical resources (hide)'!BN$6:BN$105)&gt;0,$E$1=2),0,1)</f>
        <v>1</v>
      </c>
      <c r="BB16" s="67">
        <f ca="1">IF(AND(SUMIF(Capacity_Resource,$D16,'Critical resources (hide)'!BO$6:BO$105)+SUMIF(Capacity_Resource,$E16,'Critical resources (hide)'!BO$6:BO$105)+SUMIF(Capacity_Resource,$F16,'Critical resources (hide)'!BO$6:BO$105)&gt;0,$E$1=2),0,1)</f>
        <v>1</v>
      </c>
      <c r="BC16" s="67">
        <f ca="1">IF(AND(SUMIF(Capacity_Resource,$D16,'Critical resources (hide)'!BP$6:BP$105)+SUMIF(Capacity_Resource,$E16,'Critical resources (hide)'!BP$6:BP$105)+SUMIF(Capacity_Resource,$F16,'Critical resources (hide)'!BP$6:BP$105)&gt;0,$E$1=2),0,1)</f>
        <v>1</v>
      </c>
      <c r="BD16" s="67">
        <f ca="1">IF(AND(SUMIF(Capacity_Resource,$D16,'Critical resources (hide)'!BQ$6:BQ$105)+SUMIF(Capacity_Resource,$E16,'Critical resources (hide)'!BQ$6:BQ$105)+SUMIF(Capacity_Resource,$F16,'Critical resources (hide)'!BQ$6:BQ$105)&gt;0,$E$1=2),0,1)</f>
        <v>1</v>
      </c>
      <c r="BE16" s="67">
        <f ca="1">IF(AND(SUMIF(Capacity_Resource,$D16,'Critical resources (hide)'!BR$6:BR$105)+SUMIF(Capacity_Resource,$E16,'Critical resources (hide)'!BR$6:BR$105)+SUMIF(Capacity_Resource,$F16,'Critical resources (hide)'!BR$6:BR$105)&gt;0,$E$1=2),0,1)</f>
        <v>1</v>
      </c>
      <c r="BF16" s="67">
        <f ca="1">IF(AND(SUMIF(Capacity_Resource,$D16,'Critical resources (hide)'!BS$6:BS$105)+SUMIF(Capacity_Resource,$E16,'Critical resources (hide)'!BS$6:BS$105)+SUMIF(Capacity_Resource,$F16,'Critical resources (hide)'!BS$6:BS$105)&gt;0,$E$1=2),0,1)</f>
        <v>1</v>
      </c>
      <c r="BG16" s="67">
        <f ca="1">IF(AND(SUMIF(Capacity_Resource,$D16,'Critical resources (hide)'!BT$6:BT$105)+SUMIF(Capacity_Resource,$E16,'Critical resources (hide)'!BT$6:BT$105)+SUMIF(Capacity_Resource,$F16,'Critical resources (hide)'!BT$6:BT$105)&gt;0,$E$1=2),0,1)</f>
        <v>1</v>
      </c>
      <c r="BH16" s="67">
        <f>IF(ROW(C12)&lt;=Capacity!$A$16,IF('Capacity summary'!$D$14="No",SUM(H16:BG16),'Capacity summary'!$E135),0)</f>
        <v>0</v>
      </c>
      <c r="BI16" s="5" t="str">
        <f>IF(BH16&gt;0,IF(BH16&lt;Capacity!E28,Capacity!F28,Capacity!H28/'Capacity calculation (hide)'!BH16),"")</f>
        <v/>
      </c>
      <c r="BK16" s="313">
        <f>IF($BI16&lt;&gt;"",IF('Capacity summary'!$D$14="Yes",IF(COUNTBLANK('Capacity summary'!$H135:$BG135)&lt;52,IF('Capacity summary'!H135&lt;&gt;"",IF(LOWER('Capacity summary'!H135)="x",$BI16*H16,VALUE('Capacity summary'!H135)),0),H16*$BI16),H16*$BI16),0)</f>
        <v>0</v>
      </c>
      <c r="BL16" s="313">
        <f>IF($BI16&lt;&gt;"",IF('Capacity summary'!$D$14="Yes",IF(COUNTBLANK('Capacity summary'!$H135:$BG135)&lt;52,IF('Capacity summary'!I135&lt;&gt;"",IF(LOWER('Capacity summary'!I135)="x",$BI16*I16,VALUE('Capacity summary'!I135)),0),I16*$BI16),I16*$BI16),0)</f>
        <v>0</v>
      </c>
      <c r="BM16" s="313">
        <f>IF($BI16&lt;&gt;"",IF('Capacity summary'!$D$14="Yes",IF(COUNTBLANK('Capacity summary'!$H135:$BG135)&lt;52,IF('Capacity summary'!J135&lt;&gt;"",IF(LOWER('Capacity summary'!J135)="x",$BI16*J16,VALUE('Capacity summary'!J135)),0),J16*$BI16),J16*$BI16),0)</f>
        <v>0</v>
      </c>
      <c r="BN16" s="313">
        <f>IF($BI16&lt;&gt;"",IF('Capacity summary'!$D$14="Yes",IF(COUNTBLANK('Capacity summary'!$H135:$BG135)&lt;52,IF('Capacity summary'!K135&lt;&gt;"",IF(LOWER('Capacity summary'!K135)="x",$BI16*K16,VALUE('Capacity summary'!K135)),0),K16*$BI16),K16*$BI16),0)</f>
        <v>0</v>
      </c>
      <c r="BO16" s="313">
        <f>IF($BI16&lt;&gt;"",IF('Capacity summary'!$D$14="Yes",IF(COUNTBLANK('Capacity summary'!$H135:$BG135)&lt;52,IF('Capacity summary'!L135&lt;&gt;"",IF(LOWER('Capacity summary'!L135)="x",$BI16*L16,VALUE('Capacity summary'!L135)),0),L16*$BI16),L16*$BI16),0)</f>
        <v>0</v>
      </c>
      <c r="BP16" s="313">
        <f>IF($BI16&lt;&gt;"",IF('Capacity summary'!$D$14="Yes",IF(COUNTBLANK('Capacity summary'!$H135:$BG135)&lt;52,IF('Capacity summary'!M135&lt;&gt;"",IF(LOWER('Capacity summary'!M135)="x",$BI16*M16,VALUE('Capacity summary'!M135)),0),M16*$BI16),M16*$BI16),0)</f>
        <v>0</v>
      </c>
      <c r="BQ16" s="313">
        <f>IF($BI16&lt;&gt;"",IF('Capacity summary'!$D$14="Yes",IF(COUNTBLANK('Capacity summary'!$H135:$BG135)&lt;52,IF('Capacity summary'!N135&lt;&gt;"",IF(LOWER('Capacity summary'!N135)="x",$BI16*N16,VALUE('Capacity summary'!N135)),0),N16*$BI16),N16*$BI16),0)</f>
        <v>0</v>
      </c>
      <c r="BR16" s="313">
        <f>IF($BI16&lt;&gt;"",IF('Capacity summary'!$D$14="Yes",IF(COUNTBLANK('Capacity summary'!$H135:$BG135)&lt;52,IF('Capacity summary'!O135&lt;&gt;"",IF(LOWER('Capacity summary'!O135)="x",$BI16*O16,VALUE('Capacity summary'!O135)),0),O16*$BI16),O16*$BI16),0)</f>
        <v>0</v>
      </c>
      <c r="BS16" s="313">
        <f>IF($BI16&lt;&gt;"",IF('Capacity summary'!$D$14="Yes",IF(COUNTBLANK('Capacity summary'!$H135:$BG135)&lt;52,IF('Capacity summary'!P135&lt;&gt;"",IF(LOWER('Capacity summary'!P135)="x",$BI16*P16,VALUE('Capacity summary'!P135)),0),P16*$BI16),P16*$BI16),0)</f>
        <v>0</v>
      </c>
      <c r="BT16" s="313">
        <f>IF($BI16&lt;&gt;"",IF('Capacity summary'!$D$14="Yes",IF(COUNTBLANK('Capacity summary'!$H135:$BG135)&lt;52,IF('Capacity summary'!Q135&lt;&gt;"",IF(LOWER('Capacity summary'!Q135)="x",$BI16*Q16,VALUE('Capacity summary'!Q135)),0),Q16*$BI16),Q16*$BI16),0)</f>
        <v>0</v>
      </c>
      <c r="BU16" s="313">
        <f>IF($BI16&lt;&gt;"",IF('Capacity summary'!$D$14="Yes",IF(COUNTBLANK('Capacity summary'!$H135:$BG135)&lt;52,IF('Capacity summary'!R135&lt;&gt;"",IF(LOWER('Capacity summary'!R135)="x",$BI16*R16,VALUE('Capacity summary'!R135)),0),R16*$BI16),R16*$BI16),0)</f>
        <v>0</v>
      </c>
      <c r="BV16" s="313">
        <f>IF($BI16&lt;&gt;"",IF('Capacity summary'!$D$14="Yes",IF(COUNTBLANK('Capacity summary'!$H135:$BG135)&lt;52,IF('Capacity summary'!S135&lt;&gt;"",IF(LOWER('Capacity summary'!S135)="x",$BI16*S16,VALUE('Capacity summary'!S135)),0),S16*$BI16),S16*$BI16),0)</f>
        <v>0</v>
      </c>
      <c r="BW16" s="313">
        <f>IF($BI16&lt;&gt;"",IF('Capacity summary'!$D$14="Yes",IF(COUNTBLANK('Capacity summary'!$H135:$BG135)&lt;52,IF('Capacity summary'!T135&lt;&gt;"",IF(LOWER('Capacity summary'!T135)="x",$BI16*T16,VALUE('Capacity summary'!T135)),0),T16*$BI16),T16*$BI16),0)</f>
        <v>0</v>
      </c>
      <c r="BX16" s="313">
        <f>IF($BI16&lt;&gt;"",IF('Capacity summary'!$D$14="Yes",IF(COUNTBLANK('Capacity summary'!$H135:$BG135)&lt;52,IF('Capacity summary'!U135&lt;&gt;"",IF(LOWER('Capacity summary'!U135)="x",$BI16*U16,VALUE('Capacity summary'!U135)),0),U16*$BI16),U16*$BI16),0)</f>
        <v>0</v>
      </c>
      <c r="BY16" s="313">
        <f>IF($BI16&lt;&gt;"",IF('Capacity summary'!$D$14="Yes",IF(COUNTBLANK('Capacity summary'!$H135:$BG135)&lt;52,IF('Capacity summary'!V135&lt;&gt;"",IF(LOWER('Capacity summary'!V135)="x",$BI16*V16,VALUE('Capacity summary'!V135)),0),V16*$BI16),V16*$BI16),0)</f>
        <v>0</v>
      </c>
      <c r="BZ16" s="313">
        <f>IF($BI16&lt;&gt;"",IF('Capacity summary'!$D$14="Yes",IF(COUNTBLANK('Capacity summary'!$H135:$BG135)&lt;52,IF('Capacity summary'!W135&lt;&gt;"",IF(LOWER('Capacity summary'!W135)="x",$BI16*W16,VALUE('Capacity summary'!W135)),0),W16*$BI16),W16*$BI16),0)</f>
        <v>0</v>
      </c>
      <c r="CA16" s="313">
        <f>IF($BI16&lt;&gt;"",IF('Capacity summary'!$D$14="Yes",IF(COUNTBLANK('Capacity summary'!$H135:$BG135)&lt;52,IF('Capacity summary'!X135&lt;&gt;"",IF(LOWER('Capacity summary'!X135)="x",$BI16*X16,VALUE('Capacity summary'!X135)),0),X16*$BI16),X16*$BI16),0)</f>
        <v>0</v>
      </c>
      <c r="CB16" s="313">
        <f>IF($BI16&lt;&gt;"",IF('Capacity summary'!$D$14="Yes",IF(COUNTBLANK('Capacity summary'!$H135:$BG135)&lt;52,IF('Capacity summary'!Y135&lt;&gt;"",IF(LOWER('Capacity summary'!Y135)="x",$BI16*Y16,VALUE('Capacity summary'!Y135)),0),Y16*$BI16),Y16*$BI16),0)</f>
        <v>0</v>
      </c>
      <c r="CC16" s="313">
        <f>IF($BI16&lt;&gt;"",IF('Capacity summary'!$D$14="Yes",IF(COUNTBLANK('Capacity summary'!$H135:$BG135)&lt;52,IF('Capacity summary'!Z135&lt;&gt;"",IF(LOWER('Capacity summary'!Z135)="x",$BI16*Z16,VALUE('Capacity summary'!Z135)),0),Z16*$BI16),Z16*$BI16),0)</f>
        <v>0</v>
      </c>
      <c r="CD16" s="313">
        <f>IF($BI16&lt;&gt;"",IF('Capacity summary'!$D$14="Yes",IF(COUNTBLANK('Capacity summary'!$H135:$BG135)&lt;52,IF('Capacity summary'!AA135&lt;&gt;"",IF(LOWER('Capacity summary'!AA135)="x",$BI16*AA16,VALUE('Capacity summary'!AA135)),0),AA16*$BI16),AA16*$BI16),0)</f>
        <v>0</v>
      </c>
      <c r="CE16" s="313">
        <f>IF($BI16&lt;&gt;"",IF('Capacity summary'!$D$14="Yes",IF(COUNTBLANK('Capacity summary'!$H135:$BG135)&lt;52,IF('Capacity summary'!AB135&lt;&gt;"",IF(LOWER('Capacity summary'!AB135)="x",$BI16*AB16,VALUE('Capacity summary'!AB135)),0),AB16*$BI16),AB16*$BI16),0)</f>
        <v>0</v>
      </c>
      <c r="CF16" s="313">
        <f>IF($BI16&lt;&gt;"",IF('Capacity summary'!$D$14="Yes",IF(COUNTBLANK('Capacity summary'!$H135:$BG135)&lt;52,IF('Capacity summary'!AC135&lt;&gt;"",IF(LOWER('Capacity summary'!AC135)="x",$BI16*AC16,VALUE('Capacity summary'!AC135)),0),AC16*$BI16),AC16*$BI16),0)</f>
        <v>0</v>
      </c>
      <c r="CG16" s="313">
        <f>IF($BI16&lt;&gt;"",IF('Capacity summary'!$D$14="Yes",IF(COUNTBLANK('Capacity summary'!$H135:$BG135)&lt;52,IF('Capacity summary'!AD135&lt;&gt;"",IF(LOWER('Capacity summary'!AD135)="x",$BI16*AD16,VALUE('Capacity summary'!AD135)),0),AD16*$BI16),AD16*$BI16),0)</f>
        <v>0</v>
      </c>
      <c r="CH16" s="313">
        <f>IF($BI16&lt;&gt;"",IF('Capacity summary'!$D$14="Yes",IF(COUNTBLANK('Capacity summary'!$H135:$BG135)&lt;52,IF('Capacity summary'!AE135&lt;&gt;"",IF(LOWER('Capacity summary'!AE135)="x",$BI16*AE16,VALUE('Capacity summary'!AE135)),0),AE16*$BI16),AE16*$BI16),0)</f>
        <v>0</v>
      </c>
      <c r="CI16" s="313">
        <f>IF($BI16&lt;&gt;"",IF('Capacity summary'!$D$14="Yes",IF(COUNTBLANK('Capacity summary'!$H135:$BG135)&lt;52,IF('Capacity summary'!AF135&lt;&gt;"",IF(LOWER('Capacity summary'!AF135)="x",$BI16*AF16,VALUE('Capacity summary'!AF135)),0),AF16*$BI16),AF16*$BI16),0)</f>
        <v>0</v>
      </c>
      <c r="CJ16" s="313">
        <f>IF($BI16&lt;&gt;"",IF('Capacity summary'!$D$14="Yes",IF(COUNTBLANK('Capacity summary'!$H135:$BG135)&lt;52,IF('Capacity summary'!AG135&lt;&gt;"",IF(LOWER('Capacity summary'!AG135)="x",$BI16*AG16,VALUE('Capacity summary'!AG135)),0),AG16*$BI16),AG16*$BI16),0)</f>
        <v>0</v>
      </c>
      <c r="CK16" s="313">
        <f>IF($BI16&lt;&gt;"",IF('Capacity summary'!$D$14="Yes",IF(COUNTBLANK('Capacity summary'!$H135:$BG135)&lt;52,IF('Capacity summary'!AH135&lt;&gt;"",IF(LOWER('Capacity summary'!AH135)="x",$BI16*AH16,VALUE('Capacity summary'!AH135)),0),AH16*$BI16),AH16*$BI16),0)</f>
        <v>0</v>
      </c>
      <c r="CL16" s="313">
        <f>IF($BI16&lt;&gt;"",IF('Capacity summary'!$D$14="Yes",IF(COUNTBLANK('Capacity summary'!$H135:$BG135)&lt;52,IF('Capacity summary'!AI135&lt;&gt;"",IF(LOWER('Capacity summary'!AI135)="x",$BI16*AI16,VALUE('Capacity summary'!AI135)),0),AI16*$BI16),AI16*$BI16),0)</f>
        <v>0</v>
      </c>
      <c r="CM16" s="313">
        <f>IF($BI16&lt;&gt;"",IF('Capacity summary'!$D$14="Yes",IF(COUNTBLANK('Capacity summary'!$H135:$BG135)&lt;52,IF('Capacity summary'!AJ135&lt;&gt;"",IF(LOWER('Capacity summary'!AJ135)="x",$BI16*AJ16,VALUE('Capacity summary'!AJ135)),0),AJ16*$BI16),AJ16*$BI16),0)</f>
        <v>0</v>
      </c>
      <c r="CN16" s="313">
        <f>IF($BI16&lt;&gt;"",IF('Capacity summary'!$D$14="Yes",IF(COUNTBLANK('Capacity summary'!$H135:$BG135)&lt;52,IF('Capacity summary'!AK135&lt;&gt;"",IF(LOWER('Capacity summary'!AK135)="x",$BI16*AK16,VALUE('Capacity summary'!AK135)),0),AK16*$BI16),AK16*$BI16),0)</f>
        <v>0</v>
      </c>
      <c r="CO16" s="313">
        <f>IF($BI16&lt;&gt;"",IF('Capacity summary'!$D$14="Yes",IF(COUNTBLANK('Capacity summary'!$H135:$BG135)&lt;52,IF('Capacity summary'!AL135&lt;&gt;"",IF(LOWER('Capacity summary'!AL135)="x",$BI16*AL16,VALUE('Capacity summary'!AL135)),0),AL16*$BI16),AL16*$BI16),0)</f>
        <v>0</v>
      </c>
      <c r="CP16" s="313">
        <f>IF($BI16&lt;&gt;"",IF('Capacity summary'!$D$14="Yes",IF(COUNTBLANK('Capacity summary'!$H135:$BG135)&lt;52,IF('Capacity summary'!AM135&lt;&gt;"",IF(LOWER('Capacity summary'!AM135)="x",$BI16*AM16,VALUE('Capacity summary'!AM135)),0),AM16*$BI16),AM16*$BI16),0)</f>
        <v>0</v>
      </c>
      <c r="CQ16" s="313">
        <f>IF($BI16&lt;&gt;"",IF('Capacity summary'!$D$14="Yes",IF(COUNTBLANK('Capacity summary'!$H135:$BG135)&lt;52,IF('Capacity summary'!AN135&lt;&gt;"",IF(LOWER('Capacity summary'!AN135)="x",$BI16*AN16,VALUE('Capacity summary'!AN135)),0),AN16*$BI16),AN16*$BI16),0)</f>
        <v>0</v>
      </c>
      <c r="CR16" s="313">
        <f>IF($BI16&lt;&gt;"",IF('Capacity summary'!$D$14="Yes",IF(COUNTBLANK('Capacity summary'!$H135:$BG135)&lt;52,IF('Capacity summary'!AO135&lt;&gt;"",IF(LOWER('Capacity summary'!AO135)="x",$BI16*AO16,VALUE('Capacity summary'!AO135)),0),AO16*$BI16),AO16*$BI16),0)</f>
        <v>0</v>
      </c>
      <c r="CS16" s="313">
        <f>IF($BI16&lt;&gt;"",IF('Capacity summary'!$D$14="Yes",IF(COUNTBLANK('Capacity summary'!$H135:$BG135)&lt;52,IF('Capacity summary'!AP135&lt;&gt;"",IF(LOWER('Capacity summary'!AP135)="x",$BI16*AP16,VALUE('Capacity summary'!AP135)),0),AP16*$BI16),AP16*$BI16),0)</f>
        <v>0</v>
      </c>
      <c r="CT16" s="313">
        <f>IF($BI16&lt;&gt;"",IF('Capacity summary'!$D$14="Yes",IF(COUNTBLANK('Capacity summary'!$H135:$BG135)&lt;52,IF('Capacity summary'!AQ135&lt;&gt;"",IF(LOWER('Capacity summary'!AQ135)="x",$BI16*AQ16,VALUE('Capacity summary'!AQ135)),0),AQ16*$BI16),AQ16*$BI16),0)</f>
        <v>0</v>
      </c>
      <c r="CU16" s="313">
        <f>IF($BI16&lt;&gt;"",IF('Capacity summary'!$D$14="Yes",IF(COUNTBLANK('Capacity summary'!$H135:$BG135)&lt;52,IF('Capacity summary'!AR135&lt;&gt;"",IF(LOWER('Capacity summary'!AR135)="x",$BI16*AR16,VALUE('Capacity summary'!AR135)),0),AR16*$BI16),AR16*$BI16),0)</f>
        <v>0</v>
      </c>
      <c r="CV16" s="313">
        <f>IF($BI16&lt;&gt;"",IF('Capacity summary'!$D$14="Yes",IF(COUNTBLANK('Capacity summary'!$H135:$BG135)&lt;52,IF('Capacity summary'!AS135&lt;&gt;"",IF(LOWER('Capacity summary'!AS135)="x",$BI16*AS16,VALUE('Capacity summary'!AS135)),0),AS16*$BI16),AS16*$BI16),0)</f>
        <v>0</v>
      </c>
      <c r="CW16" s="313">
        <f>IF($BI16&lt;&gt;"",IF('Capacity summary'!$D$14="Yes",IF(COUNTBLANK('Capacity summary'!$H135:$BG135)&lt;52,IF('Capacity summary'!AT135&lt;&gt;"",IF(LOWER('Capacity summary'!AT135)="x",$BI16*AT16,VALUE('Capacity summary'!AT135)),0),AT16*$BI16),AT16*$BI16),0)</f>
        <v>0</v>
      </c>
      <c r="CX16" s="313">
        <f>IF($BI16&lt;&gt;"",IF('Capacity summary'!$D$14="Yes",IF(COUNTBLANK('Capacity summary'!$H135:$BG135)&lt;52,IF('Capacity summary'!AU135&lt;&gt;"",IF(LOWER('Capacity summary'!AU135)="x",$BI16*AU16,VALUE('Capacity summary'!AU135)),0),AU16*$BI16),AU16*$BI16),0)</f>
        <v>0</v>
      </c>
      <c r="CY16" s="313">
        <f>IF($BI16&lt;&gt;"",IF('Capacity summary'!$D$14="Yes",IF(COUNTBLANK('Capacity summary'!$H135:$BG135)&lt;52,IF('Capacity summary'!AV135&lt;&gt;"",IF(LOWER('Capacity summary'!AV135)="x",$BI16*AV16,VALUE('Capacity summary'!AV135)),0),AV16*$BI16),AV16*$BI16),0)</f>
        <v>0</v>
      </c>
      <c r="CZ16" s="313">
        <f>IF($BI16&lt;&gt;"",IF('Capacity summary'!$D$14="Yes",IF(COUNTBLANK('Capacity summary'!$H135:$BG135)&lt;52,IF('Capacity summary'!AW135&lt;&gt;"",IF(LOWER('Capacity summary'!AW135)="x",$BI16*AW16,VALUE('Capacity summary'!AW135)),0),AW16*$BI16),AW16*$BI16),0)</f>
        <v>0</v>
      </c>
      <c r="DA16" s="313">
        <f>IF($BI16&lt;&gt;"",IF('Capacity summary'!$D$14="Yes",IF(COUNTBLANK('Capacity summary'!$H135:$BG135)&lt;52,IF('Capacity summary'!AX135&lt;&gt;"",IF(LOWER('Capacity summary'!AX135)="x",$BI16*AX16,VALUE('Capacity summary'!AX135)),0),AX16*$BI16),AX16*$BI16),0)</f>
        <v>0</v>
      </c>
      <c r="DB16" s="313">
        <f>IF($BI16&lt;&gt;"",IF('Capacity summary'!$D$14="Yes",IF(COUNTBLANK('Capacity summary'!$H135:$BG135)&lt;52,IF('Capacity summary'!AY135&lt;&gt;"",IF(LOWER('Capacity summary'!AY135)="x",$BI16*AY16,VALUE('Capacity summary'!AY135)),0),AY16*$BI16),AY16*$BI16),0)</f>
        <v>0</v>
      </c>
      <c r="DC16" s="313">
        <f>IF($BI16&lt;&gt;"",IF('Capacity summary'!$D$14="Yes",IF(COUNTBLANK('Capacity summary'!$H135:$BG135)&lt;52,IF('Capacity summary'!AZ135&lt;&gt;"",IF(LOWER('Capacity summary'!AZ135)="x",$BI16*AZ16,VALUE('Capacity summary'!AZ135)),0),AZ16*$BI16),AZ16*$BI16),0)</f>
        <v>0</v>
      </c>
      <c r="DD16" s="313">
        <f>IF($BI16&lt;&gt;"",IF('Capacity summary'!$D$14="Yes",IF(COUNTBLANK('Capacity summary'!$H135:$BG135)&lt;52,IF('Capacity summary'!BA135&lt;&gt;"",IF(LOWER('Capacity summary'!BA135)="x",$BI16*BA16,VALUE('Capacity summary'!BA135)),0),BA16*$BI16),BA16*$BI16),0)</f>
        <v>0</v>
      </c>
      <c r="DE16" s="313">
        <f>IF($BI16&lt;&gt;"",IF('Capacity summary'!$D$14="Yes",IF(COUNTBLANK('Capacity summary'!$H135:$BG135)&lt;52,IF('Capacity summary'!BB135&lt;&gt;"",IF(LOWER('Capacity summary'!BB135)="x",$BI16*BB16,VALUE('Capacity summary'!BB135)),0),BB16*$BI16),BB16*$BI16),0)</f>
        <v>0</v>
      </c>
      <c r="DF16" s="313">
        <f>IF($BI16&lt;&gt;"",IF('Capacity summary'!$D$14="Yes",IF(COUNTBLANK('Capacity summary'!$H135:$BG135)&lt;52,IF('Capacity summary'!BC135&lt;&gt;"",IF(LOWER('Capacity summary'!BC135)="x",$BI16*BC16,VALUE('Capacity summary'!BC135)),0),BC16*$BI16),BC16*$BI16),0)</f>
        <v>0</v>
      </c>
      <c r="DG16" s="313">
        <f>IF($BI16&lt;&gt;"",IF('Capacity summary'!$D$14="Yes",IF(COUNTBLANK('Capacity summary'!$H135:$BG135)&lt;52,IF('Capacity summary'!BD135&lt;&gt;"",IF(LOWER('Capacity summary'!BD135)="x",$BI16*BD16,VALUE('Capacity summary'!BD135)),0),BD16*$BI16),BD16*$BI16),0)</f>
        <v>0</v>
      </c>
      <c r="DH16" s="313">
        <f>IF($BI16&lt;&gt;"",IF('Capacity summary'!$D$14="Yes",IF(COUNTBLANK('Capacity summary'!$H135:$BG135)&lt;52,IF('Capacity summary'!BE135&lt;&gt;"",IF(LOWER('Capacity summary'!BE135)="x",$BI16*BE16,VALUE('Capacity summary'!BE135)),0),BE16*$BI16),BE16*$BI16),0)</f>
        <v>0</v>
      </c>
      <c r="DI16" s="313">
        <f>IF($BI16&lt;&gt;"",IF('Capacity summary'!$D$14="Yes",IF(COUNTBLANK('Capacity summary'!$H135:$BG135)&lt;52,IF('Capacity summary'!BF135&lt;&gt;"",IF(LOWER('Capacity summary'!BF135)="x",$BI16*BF16,VALUE('Capacity summary'!BF135)),0),BF16*$BI16),BF16*$BI16),0)</f>
        <v>0</v>
      </c>
      <c r="DJ16" s="313">
        <f>IF($BI16&lt;&gt;"",IF('Capacity summary'!$D$14="Yes",IF(COUNTBLANK('Capacity summary'!$H135:$BG135)&lt;52,IF('Capacity summary'!BG135&lt;&gt;"",IF(LOWER('Capacity summary'!BG135)="x",$BI16*BG16,VALUE('Capacity summary'!BG135)),0),BG16*$BI16),BG16*$BI16),0)</f>
        <v>0</v>
      </c>
      <c r="DK16" s="137">
        <f t="shared" si="2"/>
        <v>0</v>
      </c>
      <c r="DL16" s="313" t="str">
        <f>Capacity!H28</f>
        <v/>
      </c>
      <c r="DP16" s="5"/>
    </row>
    <row r="17" spans="2:120" x14ac:dyDescent="0.25">
      <c r="B17" s="67"/>
      <c r="C17" s="67" t="str">
        <f>ROW(A13)&amp;". "&amp;Capacity!B29</f>
        <v xml:space="preserve">13. </v>
      </c>
      <c r="D17" s="67">
        <f>'Capacity setup'!C24</f>
        <v>0</v>
      </c>
      <c r="E17" s="67">
        <f>'Capacity setup'!D24</f>
        <v>0</v>
      </c>
      <c r="F17" s="67">
        <f>'Capacity setup'!E24</f>
        <v>0</v>
      </c>
      <c r="H17" s="67">
        <f ca="1">IF(AND(SUMIF(Capacity_Resource,$D17,'Critical resources (hide)'!U$6:U$105)+SUMIF(Capacity_Resource,$E17,'Critical resources (hide)'!U$6:U$105)+SUMIF(Capacity_Resource,$F17,'Critical resources (hide)'!U$6:U$105)&gt;0,$E$1=2),0,1)</f>
        <v>1</v>
      </c>
      <c r="I17" s="67">
        <f ca="1">IF(AND(SUMIF(Capacity_Resource,$D17,'Critical resources (hide)'!V$6:V$105)+SUMIF(Capacity_Resource,$E17,'Critical resources (hide)'!V$6:V$105)+SUMIF(Capacity_Resource,$F17,'Critical resources (hide)'!V$6:V$105)&gt;0,$E$1=2),0,1)</f>
        <v>1</v>
      </c>
      <c r="J17" s="67">
        <f ca="1">IF(AND(SUMIF(Capacity_Resource,$D17,'Critical resources (hide)'!W$6:W$105)+SUMIF(Capacity_Resource,$E17,'Critical resources (hide)'!W$6:W$105)+SUMIF(Capacity_Resource,$F17,'Critical resources (hide)'!W$6:W$105)&gt;0,$E$1=2),0,1)</f>
        <v>1</v>
      </c>
      <c r="K17" s="67">
        <f ca="1">IF(AND(SUMIF(Capacity_Resource,$D17,'Critical resources (hide)'!X$6:X$105)+SUMIF(Capacity_Resource,$E17,'Critical resources (hide)'!X$6:X$105)+SUMIF(Capacity_Resource,$F17,'Critical resources (hide)'!X$6:X$105)&gt;0,$E$1=2),0,1)</f>
        <v>1</v>
      </c>
      <c r="L17" s="67">
        <f ca="1">IF(AND(SUMIF(Capacity_Resource,$D17,'Critical resources (hide)'!Y$6:Y$105)+SUMIF(Capacity_Resource,$E17,'Critical resources (hide)'!Y$6:Y$105)+SUMIF(Capacity_Resource,$F17,'Critical resources (hide)'!Y$6:Y$105)&gt;0,$E$1=2),0,1)</f>
        <v>1</v>
      </c>
      <c r="M17" s="67">
        <f ca="1">IF(AND(SUMIF(Capacity_Resource,$D17,'Critical resources (hide)'!Z$6:Z$105)+SUMIF(Capacity_Resource,$E17,'Critical resources (hide)'!Z$6:Z$105)+SUMIF(Capacity_Resource,$F17,'Critical resources (hide)'!Z$6:Z$105)&gt;0,$E$1=2),0,1)</f>
        <v>1</v>
      </c>
      <c r="N17" s="67">
        <f ca="1">IF(AND(SUMIF(Capacity_Resource,$D17,'Critical resources (hide)'!AA$6:AA$105)+SUMIF(Capacity_Resource,$E17,'Critical resources (hide)'!AA$6:AA$105)+SUMIF(Capacity_Resource,$F17,'Critical resources (hide)'!AA$6:AA$105)&gt;0,$E$1=2),0,1)</f>
        <v>1</v>
      </c>
      <c r="O17" s="67">
        <f ca="1">IF(AND(SUMIF(Capacity_Resource,$D17,'Critical resources (hide)'!AB$6:AB$105)+SUMIF(Capacity_Resource,$E17,'Critical resources (hide)'!AB$6:AB$105)+SUMIF(Capacity_Resource,$F17,'Critical resources (hide)'!AB$6:AB$105)&gt;0,$E$1=2),0,1)</f>
        <v>1</v>
      </c>
      <c r="P17" s="67">
        <f ca="1">IF(AND(SUMIF(Capacity_Resource,$D17,'Critical resources (hide)'!AC$6:AC$105)+SUMIF(Capacity_Resource,$E17,'Critical resources (hide)'!AC$6:AC$105)+SUMIF(Capacity_Resource,$F17,'Critical resources (hide)'!AC$6:AC$105)&gt;0,$E$1=2),0,1)</f>
        <v>1</v>
      </c>
      <c r="Q17" s="67">
        <f ca="1">IF(AND(SUMIF(Capacity_Resource,$D17,'Critical resources (hide)'!AD$6:AD$105)+SUMIF(Capacity_Resource,$E17,'Critical resources (hide)'!AD$6:AD$105)+SUMIF(Capacity_Resource,$F17,'Critical resources (hide)'!AD$6:AD$105)&gt;0,$E$1=2),0,1)</f>
        <v>1</v>
      </c>
      <c r="R17" s="67">
        <f ca="1">IF(AND(SUMIF(Capacity_Resource,$D17,'Critical resources (hide)'!AE$6:AE$105)+SUMIF(Capacity_Resource,$E17,'Critical resources (hide)'!AE$6:AE$105)+SUMIF(Capacity_Resource,$F17,'Critical resources (hide)'!AE$6:AE$105)&gt;0,$E$1=2),0,1)</f>
        <v>1</v>
      </c>
      <c r="S17" s="67">
        <f ca="1">IF(AND(SUMIF(Capacity_Resource,$D17,'Critical resources (hide)'!AF$6:AF$105)+SUMIF(Capacity_Resource,$E17,'Critical resources (hide)'!AF$6:AF$105)+SUMIF(Capacity_Resource,$F17,'Critical resources (hide)'!AF$6:AF$105)&gt;0,$E$1=2),0,1)</f>
        <v>1</v>
      </c>
      <c r="T17" s="67">
        <f ca="1">IF(AND(SUMIF(Capacity_Resource,$D17,'Critical resources (hide)'!AG$6:AG$105)+SUMIF(Capacity_Resource,$E17,'Critical resources (hide)'!AG$6:AG$105)+SUMIF(Capacity_Resource,$F17,'Critical resources (hide)'!AG$6:AG$105)&gt;0,$E$1=2),0,1)</f>
        <v>1</v>
      </c>
      <c r="U17" s="67">
        <f ca="1">IF(AND(SUMIF(Capacity_Resource,$D17,'Critical resources (hide)'!AH$6:AH$105)+SUMIF(Capacity_Resource,$E17,'Critical resources (hide)'!AH$6:AH$105)+SUMIF(Capacity_Resource,$F17,'Critical resources (hide)'!AH$6:AH$105)&gt;0,$E$1=2),0,1)</f>
        <v>1</v>
      </c>
      <c r="V17" s="67">
        <f ca="1">IF(AND(SUMIF(Capacity_Resource,$D17,'Critical resources (hide)'!AI$6:AI$105)+SUMIF(Capacity_Resource,$E17,'Critical resources (hide)'!AI$6:AI$105)+SUMIF(Capacity_Resource,$F17,'Critical resources (hide)'!AI$6:AI$105)&gt;0,$E$1=2),0,1)</f>
        <v>1</v>
      </c>
      <c r="W17" s="67">
        <f ca="1">IF(AND(SUMIF(Capacity_Resource,$D17,'Critical resources (hide)'!AJ$6:AJ$105)+SUMIF(Capacity_Resource,$E17,'Critical resources (hide)'!AJ$6:AJ$105)+SUMIF(Capacity_Resource,$F17,'Critical resources (hide)'!AJ$6:AJ$105)&gt;0,$E$1=2),0,1)</f>
        <v>1</v>
      </c>
      <c r="X17" s="67">
        <f ca="1">IF(AND(SUMIF(Capacity_Resource,$D17,'Critical resources (hide)'!AK$6:AK$105)+SUMIF(Capacity_Resource,$E17,'Critical resources (hide)'!AK$6:AK$105)+SUMIF(Capacity_Resource,$F17,'Critical resources (hide)'!AK$6:AK$105)&gt;0,$E$1=2),0,1)</f>
        <v>1</v>
      </c>
      <c r="Y17" s="67">
        <f ca="1">IF(AND(SUMIF(Capacity_Resource,$D17,'Critical resources (hide)'!AL$6:AL$105)+SUMIF(Capacity_Resource,$E17,'Critical resources (hide)'!AL$6:AL$105)+SUMIF(Capacity_Resource,$F17,'Critical resources (hide)'!AL$6:AL$105)&gt;0,$E$1=2),0,1)</f>
        <v>1</v>
      </c>
      <c r="Z17" s="67">
        <f ca="1">IF(AND(SUMIF(Capacity_Resource,$D17,'Critical resources (hide)'!AM$6:AM$105)+SUMIF(Capacity_Resource,$E17,'Critical resources (hide)'!AM$6:AM$105)+SUMIF(Capacity_Resource,$F17,'Critical resources (hide)'!AM$6:AM$105)&gt;0,$E$1=2),0,1)</f>
        <v>1</v>
      </c>
      <c r="AA17" s="67">
        <f ca="1">IF(AND(SUMIF(Capacity_Resource,$D17,'Critical resources (hide)'!AN$6:AN$105)+SUMIF(Capacity_Resource,$E17,'Critical resources (hide)'!AN$6:AN$105)+SUMIF(Capacity_Resource,$F17,'Critical resources (hide)'!AN$6:AN$105)&gt;0,$E$1=2),0,1)</f>
        <v>1</v>
      </c>
      <c r="AB17" s="67">
        <f ca="1">IF(AND(SUMIF(Capacity_Resource,$D17,'Critical resources (hide)'!AO$6:AO$105)+SUMIF(Capacity_Resource,$E17,'Critical resources (hide)'!AO$6:AO$105)+SUMIF(Capacity_Resource,$F17,'Critical resources (hide)'!AO$6:AO$105)&gt;0,$E$1=2),0,1)</f>
        <v>1</v>
      </c>
      <c r="AC17" s="67">
        <f ca="1">IF(AND(SUMIF(Capacity_Resource,$D17,'Critical resources (hide)'!AP$6:AP$105)+SUMIF(Capacity_Resource,$E17,'Critical resources (hide)'!AP$6:AP$105)+SUMIF(Capacity_Resource,$F17,'Critical resources (hide)'!AP$6:AP$105)&gt;0,$E$1=2),0,1)</f>
        <v>1</v>
      </c>
      <c r="AD17" s="67">
        <f ca="1">IF(AND(SUMIF(Capacity_Resource,$D17,'Critical resources (hide)'!AQ$6:AQ$105)+SUMIF(Capacity_Resource,$E17,'Critical resources (hide)'!AQ$6:AQ$105)+SUMIF(Capacity_Resource,$F17,'Critical resources (hide)'!AQ$6:AQ$105)&gt;0,$E$1=2),0,1)</f>
        <v>1</v>
      </c>
      <c r="AE17" s="67">
        <f ca="1">IF(AND(SUMIF(Capacity_Resource,$D17,'Critical resources (hide)'!AR$6:AR$105)+SUMIF(Capacity_Resource,$E17,'Critical resources (hide)'!AR$6:AR$105)+SUMIF(Capacity_Resource,$F17,'Critical resources (hide)'!AR$6:AR$105)&gt;0,$E$1=2),0,1)</f>
        <v>1</v>
      </c>
      <c r="AF17" s="67">
        <f ca="1">IF(AND(SUMIF(Capacity_Resource,$D17,'Critical resources (hide)'!AS$6:AS$105)+SUMIF(Capacity_Resource,$E17,'Critical resources (hide)'!AS$6:AS$105)+SUMIF(Capacity_Resource,$F17,'Critical resources (hide)'!AS$6:AS$105)&gt;0,$E$1=2),0,1)</f>
        <v>1</v>
      </c>
      <c r="AG17" s="67">
        <f ca="1">IF(AND(SUMIF(Capacity_Resource,$D17,'Critical resources (hide)'!AT$6:AT$105)+SUMIF(Capacity_Resource,$E17,'Critical resources (hide)'!AT$6:AT$105)+SUMIF(Capacity_Resource,$F17,'Critical resources (hide)'!AT$6:AT$105)&gt;0,$E$1=2),0,1)</f>
        <v>1</v>
      </c>
      <c r="AH17" s="67">
        <f ca="1">IF(AND(SUMIF(Capacity_Resource,$D17,'Critical resources (hide)'!AU$6:AU$105)+SUMIF(Capacity_Resource,$E17,'Critical resources (hide)'!AU$6:AU$105)+SUMIF(Capacity_Resource,$F17,'Critical resources (hide)'!AU$6:AU$105)&gt;0,$E$1=2),0,1)</f>
        <v>1</v>
      </c>
      <c r="AI17" s="67">
        <f ca="1">IF(AND(SUMIF(Capacity_Resource,$D17,'Critical resources (hide)'!AV$6:AV$105)+SUMIF(Capacity_Resource,$E17,'Critical resources (hide)'!AV$6:AV$105)+SUMIF(Capacity_Resource,$F17,'Critical resources (hide)'!AV$6:AV$105)&gt;0,$E$1=2),0,1)</f>
        <v>1</v>
      </c>
      <c r="AJ17" s="67">
        <f ca="1">IF(AND(SUMIF(Capacity_Resource,$D17,'Critical resources (hide)'!AW$6:AW$105)+SUMIF(Capacity_Resource,$E17,'Critical resources (hide)'!AW$6:AW$105)+SUMIF(Capacity_Resource,$F17,'Critical resources (hide)'!AW$6:AW$105)&gt;0,$E$1=2),0,1)</f>
        <v>1</v>
      </c>
      <c r="AK17" s="67">
        <f ca="1">IF(AND(SUMIF(Capacity_Resource,$D17,'Critical resources (hide)'!AX$6:AX$105)+SUMIF(Capacity_Resource,$E17,'Critical resources (hide)'!AX$6:AX$105)+SUMIF(Capacity_Resource,$F17,'Critical resources (hide)'!AX$6:AX$105)&gt;0,$E$1=2),0,1)</f>
        <v>1</v>
      </c>
      <c r="AL17" s="67">
        <f ca="1">IF(AND(SUMIF(Capacity_Resource,$D17,'Critical resources (hide)'!AY$6:AY$105)+SUMIF(Capacity_Resource,$E17,'Critical resources (hide)'!AY$6:AY$105)+SUMIF(Capacity_Resource,$F17,'Critical resources (hide)'!AY$6:AY$105)&gt;0,$E$1=2),0,1)</f>
        <v>1</v>
      </c>
      <c r="AM17" s="67">
        <f ca="1">IF(AND(SUMIF(Capacity_Resource,$D17,'Critical resources (hide)'!AZ$6:AZ$105)+SUMIF(Capacity_Resource,$E17,'Critical resources (hide)'!AZ$6:AZ$105)+SUMIF(Capacity_Resource,$F17,'Critical resources (hide)'!AZ$6:AZ$105)&gt;0,$E$1=2),0,1)</f>
        <v>1</v>
      </c>
      <c r="AN17" s="67">
        <f ca="1">IF(AND(SUMIF(Capacity_Resource,$D17,'Critical resources (hide)'!BA$6:BA$105)+SUMIF(Capacity_Resource,$E17,'Critical resources (hide)'!BA$6:BA$105)+SUMIF(Capacity_Resource,$F17,'Critical resources (hide)'!BA$6:BA$105)&gt;0,$E$1=2),0,1)</f>
        <v>1</v>
      </c>
      <c r="AO17" s="67">
        <f ca="1">IF(AND(SUMIF(Capacity_Resource,$D17,'Critical resources (hide)'!BB$6:BB$105)+SUMIF(Capacity_Resource,$E17,'Critical resources (hide)'!BB$6:BB$105)+SUMIF(Capacity_Resource,$F17,'Critical resources (hide)'!BB$6:BB$105)&gt;0,$E$1=2),0,1)</f>
        <v>1</v>
      </c>
      <c r="AP17" s="67">
        <f ca="1">IF(AND(SUMIF(Capacity_Resource,$D17,'Critical resources (hide)'!BC$6:BC$105)+SUMIF(Capacity_Resource,$E17,'Critical resources (hide)'!BC$6:BC$105)+SUMIF(Capacity_Resource,$F17,'Critical resources (hide)'!BC$6:BC$105)&gt;0,$E$1=2),0,1)</f>
        <v>1</v>
      </c>
      <c r="AQ17" s="67">
        <f ca="1">IF(AND(SUMIF(Capacity_Resource,$D17,'Critical resources (hide)'!BD$6:BD$105)+SUMIF(Capacity_Resource,$E17,'Critical resources (hide)'!BD$6:BD$105)+SUMIF(Capacity_Resource,$F17,'Critical resources (hide)'!BD$6:BD$105)&gt;0,$E$1=2),0,1)</f>
        <v>1</v>
      </c>
      <c r="AR17" s="67">
        <f ca="1">IF(AND(SUMIF(Capacity_Resource,$D17,'Critical resources (hide)'!BE$6:BE$105)+SUMIF(Capacity_Resource,$E17,'Critical resources (hide)'!BE$6:BE$105)+SUMIF(Capacity_Resource,$F17,'Critical resources (hide)'!BE$6:BE$105)&gt;0,$E$1=2),0,1)</f>
        <v>1</v>
      </c>
      <c r="AS17" s="67">
        <f ca="1">IF(AND(SUMIF(Capacity_Resource,$D17,'Critical resources (hide)'!BF$6:BF$105)+SUMIF(Capacity_Resource,$E17,'Critical resources (hide)'!BF$6:BF$105)+SUMIF(Capacity_Resource,$F17,'Critical resources (hide)'!BF$6:BF$105)&gt;0,$E$1=2),0,1)</f>
        <v>1</v>
      </c>
      <c r="AT17" s="67">
        <f ca="1">IF(AND(SUMIF(Capacity_Resource,$D17,'Critical resources (hide)'!BG$6:BG$105)+SUMIF(Capacity_Resource,$E17,'Critical resources (hide)'!BG$6:BG$105)+SUMIF(Capacity_Resource,$F17,'Critical resources (hide)'!BG$6:BG$105)&gt;0,$E$1=2),0,1)</f>
        <v>1</v>
      </c>
      <c r="AU17" s="67">
        <f ca="1">IF(AND(SUMIF(Capacity_Resource,$D17,'Critical resources (hide)'!BH$6:BH$105)+SUMIF(Capacity_Resource,$E17,'Critical resources (hide)'!BH$6:BH$105)+SUMIF(Capacity_Resource,$F17,'Critical resources (hide)'!BH$6:BH$105)&gt;0,$E$1=2),0,1)</f>
        <v>1</v>
      </c>
      <c r="AV17" s="67">
        <f ca="1">IF(AND(SUMIF(Capacity_Resource,$D17,'Critical resources (hide)'!BI$6:BI$105)+SUMIF(Capacity_Resource,$E17,'Critical resources (hide)'!BI$6:BI$105)+SUMIF(Capacity_Resource,$F17,'Critical resources (hide)'!BI$6:BI$105)&gt;0,$E$1=2),0,1)</f>
        <v>1</v>
      </c>
      <c r="AW17" s="67">
        <f ca="1">IF(AND(SUMIF(Capacity_Resource,$D17,'Critical resources (hide)'!BJ$6:BJ$105)+SUMIF(Capacity_Resource,$E17,'Critical resources (hide)'!BJ$6:BJ$105)+SUMIF(Capacity_Resource,$F17,'Critical resources (hide)'!BJ$6:BJ$105)&gt;0,$E$1=2),0,1)</f>
        <v>1</v>
      </c>
      <c r="AX17" s="67">
        <f ca="1">IF(AND(SUMIF(Capacity_Resource,$D17,'Critical resources (hide)'!BK$6:BK$105)+SUMIF(Capacity_Resource,$E17,'Critical resources (hide)'!BK$6:BK$105)+SUMIF(Capacity_Resource,$F17,'Critical resources (hide)'!BK$6:BK$105)&gt;0,$E$1=2),0,1)</f>
        <v>1</v>
      </c>
      <c r="AY17" s="67">
        <f ca="1">IF(AND(SUMIF(Capacity_Resource,$D17,'Critical resources (hide)'!BL$6:BL$105)+SUMIF(Capacity_Resource,$E17,'Critical resources (hide)'!BL$6:BL$105)+SUMIF(Capacity_Resource,$F17,'Critical resources (hide)'!BL$6:BL$105)&gt;0,$E$1=2),0,1)</f>
        <v>1</v>
      </c>
      <c r="AZ17" s="67">
        <f ca="1">IF(AND(SUMIF(Capacity_Resource,$D17,'Critical resources (hide)'!BM$6:BM$105)+SUMIF(Capacity_Resource,$E17,'Critical resources (hide)'!BM$6:BM$105)+SUMIF(Capacity_Resource,$F17,'Critical resources (hide)'!BM$6:BM$105)&gt;0,$E$1=2),0,1)</f>
        <v>1</v>
      </c>
      <c r="BA17" s="67">
        <f ca="1">IF(AND(SUMIF(Capacity_Resource,$D17,'Critical resources (hide)'!BN$6:BN$105)+SUMIF(Capacity_Resource,$E17,'Critical resources (hide)'!BN$6:BN$105)+SUMIF(Capacity_Resource,$F17,'Critical resources (hide)'!BN$6:BN$105)&gt;0,$E$1=2),0,1)</f>
        <v>1</v>
      </c>
      <c r="BB17" s="67">
        <f ca="1">IF(AND(SUMIF(Capacity_Resource,$D17,'Critical resources (hide)'!BO$6:BO$105)+SUMIF(Capacity_Resource,$E17,'Critical resources (hide)'!BO$6:BO$105)+SUMIF(Capacity_Resource,$F17,'Critical resources (hide)'!BO$6:BO$105)&gt;0,$E$1=2),0,1)</f>
        <v>1</v>
      </c>
      <c r="BC17" s="67">
        <f ca="1">IF(AND(SUMIF(Capacity_Resource,$D17,'Critical resources (hide)'!BP$6:BP$105)+SUMIF(Capacity_Resource,$E17,'Critical resources (hide)'!BP$6:BP$105)+SUMIF(Capacity_Resource,$F17,'Critical resources (hide)'!BP$6:BP$105)&gt;0,$E$1=2),0,1)</f>
        <v>1</v>
      </c>
      <c r="BD17" s="67">
        <f ca="1">IF(AND(SUMIF(Capacity_Resource,$D17,'Critical resources (hide)'!BQ$6:BQ$105)+SUMIF(Capacity_Resource,$E17,'Critical resources (hide)'!BQ$6:BQ$105)+SUMIF(Capacity_Resource,$F17,'Critical resources (hide)'!BQ$6:BQ$105)&gt;0,$E$1=2),0,1)</f>
        <v>1</v>
      </c>
      <c r="BE17" s="67">
        <f ca="1">IF(AND(SUMIF(Capacity_Resource,$D17,'Critical resources (hide)'!BR$6:BR$105)+SUMIF(Capacity_Resource,$E17,'Critical resources (hide)'!BR$6:BR$105)+SUMIF(Capacity_Resource,$F17,'Critical resources (hide)'!BR$6:BR$105)&gt;0,$E$1=2),0,1)</f>
        <v>1</v>
      </c>
      <c r="BF17" s="67">
        <f ca="1">IF(AND(SUMIF(Capacity_Resource,$D17,'Critical resources (hide)'!BS$6:BS$105)+SUMIF(Capacity_Resource,$E17,'Critical resources (hide)'!BS$6:BS$105)+SUMIF(Capacity_Resource,$F17,'Critical resources (hide)'!BS$6:BS$105)&gt;0,$E$1=2),0,1)</f>
        <v>1</v>
      </c>
      <c r="BG17" s="67">
        <f ca="1">IF(AND(SUMIF(Capacity_Resource,$D17,'Critical resources (hide)'!BT$6:BT$105)+SUMIF(Capacity_Resource,$E17,'Critical resources (hide)'!BT$6:BT$105)+SUMIF(Capacity_Resource,$F17,'Critical resources (hide)'!BT$6:BT$105)&gt;0,$E$1=2),0,1)</f>
        <v>1</v>
      </c>
      <c r="BH17" s="67">
        <f>IF(ROW(C13)&lt;=Capacity!$A$16,IF('Capacity summary'!$D$14="No",SUM(H17:BG17),'Capacity summary'!$E136),0)</f>
        <v>0</v>
      </c>
      <c r="BI17" s="5" t="str">
        <f>IF(BH17&gt;0,IF(BH17&lt;Capacity!E29,Capacity!F29,Capacity!H29/'Capacity calculation (hide)'!BH17),"")</f>
        <v/>
      </c>
      <c r="BK17" s="313">
        <f>IF($BI17&lt;&gt;"",IF('Capacity summary'!$D$14="Yes",IF(COUNTBLANK('Capacity summary'!$H136:$BG136)&lt;52,IF('Capacity summary'!H136&lt;&gt;"",IF(LOWER('Capacity summary'!H136)="x",$BI17*H17,VALUE('Capacity summary'!H136)),0),H17*$BI17),H17*$BI17),0)</f>
        <v>0</v>
      </c>
      <c r="BL17" s="313">
        <f>IF($BI17&lt;&gt;"",IF('Capacity summary'!$D$14="Yes",IF(COUNTBLANK('Capacity summary'!$H136:$BG136)&lt;52,IF('Capacity summary'!I136&lt;&gt;"",IF(LOWER('Capacity summary'!I136)="x",$BI17*I17,VALUE('Capacity summary'!I136)),0),I17*$BI17),I17*$BI17),0)</f>
        <v>0</v>
      </c>
      <c r="BM17" s="313">
        <f>IF($BI17&lt;&gt;"",IF('Capacity summary'!$D$14="Yes",IF(COUNTBLANK('Capacity summary'!$H136:$BG136)&lt;52,IF('Capacity summary'!J136&lt;&gt;"",IF(LOWER('Capacity summary'!J136)="x",$BI17*J17,VALUE('Capacity summary'!J136)),0),J17*$BI17),J17*$BI17),0)</f>
        <v>0</v>
      </c>
      <c r="BN17" s="313">
        <f>IF($BI17&lt;&gt;"",IF('Capacity summary'!$D$14="Yes",IF(COUNTBLANK('Capacity summary'!$H136:$BG136)&lt;52,IF('Capacity summary'!K136&lt;&gt;"",IF(LOWER('Capacity summary'!K136)="x",$BI17*K17,VALUE('Capacity summary'!K136)),0),K17*$BI17),K17*$BI17),0)</f>
        <v>0</v>
      </c>
      <c r="BO17" s="313">
        <f>IF($BI17&lt;&gt;"",IF('Capacity summary'!$D$14="Yes",IF(COUNTBLANK('Capacity summary'!$H136:$BG136)&lt;52,IF('Capacity summary'!L136&lt;&gt;"",IF(LOWER('Capacity summary'!L136)="x",$BI17*L17,VALUE('Capacity summary'!L136)),0),L17*$BI17),L17*$BI17),0)</f>
        <v>0</v>
      </c>
      <c r="BP17" s="313">
        <f>IF($BI17&lt;&gt;"",IF('Capacity summary'!$D$14="Yes",IF(COUNTBLANK('Capacity summary'!$H136:$BG136)&lt;52,IF('Capacity summary'!M136&lt;&gt;"",IF(LOWER('Capacity summary'!M136)="x",$BI17*M17,VALUE('Capacity summary'!M136)),0),M17*$BI17),M17*$BI17),0)</f>
        <v>0</v>
      </c>
      <c r="BQ17" s="313">
        <f>IF($BI17&lt;&gt;"",IF('Capacity summary'!$D$14="Yes",IF(COUNTBLANK('Capacity summary'!$H136:$BG136)&lt;52,IF('Capacity summary'!N136&lt;&gt;"",IF(LOWER('Capacity summary'!N136)="x",$BI17*N17,VALUE('Capacity summary'!N136)),0),N17*$BI17),N17*$BI17),0)</f>
        <v>0</v>
      </c>
      <c r="BR17" s="313">
        <f>IF($BI17&lt;&gt;"",IF('Capacity summary'!$D$14="Yes",IF(COUNTBLANK('Capacity summary'!$H136:$BG136)&lt;52,IF('Capacity summary'!O136&lt;&gt;"",IF(LOWER('Capacity summary'!O136)="x",$BI17*O17,VALUE('Capacity summary'!O136)),0),O17*$BI17),O17*$BI17),0)</f>
        <v>0</v>
      </c>
      <c r="BS17" s="313">
        <f>IF($BI17&lt;&gt;"",IF('Capacity summary'!$D$14="Yes",IF(COUNTBLANK('Capacity summary'!$H136:$BG136)&lt;52,IF('Capacity summary'!P136&lt;&gt;"",IF(LOWER('Capacity summary'!P136)="x",$BI17*P17,VALUE('Capacity summary'!P136)),0),P17*$BI17),P17*$BI17),0)</f>
        <v>0</v>
      </c>
      <c r="BT17" s="313">
        <f>IF($BI17&lt;&gt;"",IF('Capacity summary'!$D$14="Yes",IF(COUNTBLANK('Capacity summary'!$H136:$BG136)&lt;52,IF('Capacity summary'!Q136&lt;&gt;"",IF(LOWER('Capacity summary'!Q136)="x",$BI17*Q17,VALUE('Capacity summary'!Q136)),0),Q17*$BI17),Q17*$BI17),0)</f>
        <v>0</v>
      </c>
      <c r="BU17" s="313">
        <f>IF($BI17&lt;&gt;"",IF('Capacity summary'!$D$14="Yes",IF(COUNTBLANK('Capacity summary'!$H136:$BG136)&lt;52,IF('Capacity summary'!R136&lt;&gt;"",IF(LOWER('Capacity summary'!R136)="x",$BI17*R17,VALUE('Capacity summary'!R136)),0),R17*$BI17),R17*$BI17),0)</f>
        <v>0</v>
      </c>
      <c r="BV17" s="313">
        <f>IF($BI17&lt;&gt;"",IF('Capacity summary'!$D$14="Yes",IF(COUNTBLANK('Capacity summary'!$H136:$BG136)&lt;52,IF('Capacity summary'!S136&lt;&gt;"",IF(LOWER('Capacity summary'!S136)="x",$BI17*S17,VALUE('Capacity summary'!S136)),0),S17*$BI17),S17*$BI17),0)</f>
        <v>0</v>
      </c>
      <c r="BW17" s="313">
        <f>IF($BI17&lt;&gt;"",IF('Capacity summary'!$D$14="Yes",IF(COUNTBLANK('Capacity summary'!$H136:$BG136)&lt;52,IF('Capacity summary'!T136&lt;&gt;"",IF(LOWER('Capacity summary'!T136)="x",$BI17*T17,VALUE('Capacity summary'!T136)),0),T17*$BI17),T17*$BI17),0)</f>
        <v>0</v>
      </c>
      <c r="BX17" s="313">
        <f>IF($BI17&lt;&gt;"",IF('Capacity summary'!$D$14="Yes",IF(COUNTBLANK('Capacity summary'!$H136:$BG136)&lt;52,IF('Capacity summary'!U136&lt;&gt;"",IF(LOWER('Capacity summary'!U136)="x",$BI17*U17,VALUE('Capacity summary'!U136)),0),U17*$BI17),U17*$BI17),0)</f>
        <v>0</v>
      </c>
      <c r="BY17" s="313">
        <f>IF($BI17&lt;&gt;"",IF('Capacity summary'!$D$14="Yes",IF(COUNTBLANK('Capacity summary'!$H136:$BG136)&lt;52,IF('Capacity summary'!V136&lt;&gt;"",IF(LOWER('Capacity summary'!V136)="x",$BI17*V17,VALUE('Capacity summary'!V136)),0),V17*$BI17),V17*$BI17),0)</f>
        <v>0</v>
      </c>
      <c r="BZ17" s="313">
        <f>IF($BI17&lt;&gt;"",IF('Capacity summary'!$D$14="Yes",IF(COUNTBLANK('Capacity summary'!$H136:$BG136)&lt;52,IF('Capacity summary'!W136&lt;&gt;"",IF(LOWER('Capacity summary'!W136)="x",$BI17*W17,VALUE('Capacity summary'!W136)),0),W17*$BI17),W17*$BI17),0)</f>
        <v>0</v>
      </c>
      <c r="CA17" s="313">
        <f>IF($BI17&lt;&gt;"",IF('Capacity summary'!$D$14="Yes",IF(COUNTBLANK('Capacity summary'!$H136:$BG136)&lt;52,IF('Capacity summary'!X136&lt;&gt;"",IF(LOWER('Capacity summary'!X136)="x",$BI17*X17,VALUE('Capacity summary'!X136)),0),X17*$BI17),X17*$BI17),0)</f>
        <v>0</v>
      </c>
      <c r="CB17" s="313">
        <f>IF($BI17&lt;&gt;"",IF('Capacity summary'!$D$14="Yes",IF(COUNTBLANK('Capacity summary'!$H136:$BG136)&lt;52,IF('Capacity summary'!Y136&lt;&gt;"",IF(LOWER('Capacity summary'!Y136)="x",$BI17*Y17,VALUE('Capacity summary'!Y136)),0),Y17*$BI17),Y17*$BI17),0)</f>
        <v>0</v>
      </c>
      <c r="CC17" s="313">
        <f>IF($BI17&lt;&gt;"",IF('Capacity summary'!$D$14="Yes",IF(COUNTBLANK('Capacity summary'!$H136:$BG136)&lt;52,IF('Capacity summary'!Z136&lt;&gt;"",IF(LOWER('Capacity summary'!Z136)="x",$BI17*Z17,VALUE('Capacity summary'!Z136)),0),Z17*$BI17),Z17*$BI17),0)</f>
        <v>0</v>
      </c>
      <c r="CD17" s="313">
        <f>IF($BI17&lt;&gt;"",IF('Capacity summary'!$D$14="Yes",IF(COUNTBLANK('Capacity summary'!$H136:$BG136)&lt;52,IF('Capacity summary'!AA136&lt;&gt;"",IF(LOWER('Capacity summary'!AA136)="x",$BI17*AA17,VALUE('Capacity summary'!AA136)),0),AA17*$BI17),AA17*$BI17),0)</f>
        <v>0</v>
      </c>
      <c r="CE17" s="313">
        <f>IF($BI17&lt;&gt;"",IF('Capacity summary'!$D$14="Yes",IF(COUNTBLANK('Capacity summary'!$H136:$BG136)&lt;52,IF('Capacity summary'!AB136&lt;&gt;"",IF(LOWER('Capacity summary'!AB136)="x",$BI17*AB17,VALUE('Capacity summary'!AB136)),0),AB17*$BI17),AB17*$BI17),0)</f>
        <v>0</v>
      </c>
      <c r="CF17" s="313">
        <f>IF($BI17&lt;&gt;"",IF('Capacity summary'!$D$14="Yes",IF(COUNTBLANK('Capacity summary'!$H136:$BG136)&lt;52,IF('Capacity summary'!AC136&lt;&gt;"",IF(LOWER('Capacity summary'!AC136)="x",$BI17*AC17,VALUE('Capacity summary'!AC136)),0),AC17*$BI17),AC17*$BI17),0)</f>
        <v>0</v>
      </c>
      <c r="CG17" s="313">
        <f>IF($BI17&lt;&gt;"",IF('Capacity summary'!$D$14="Yes",IF(COUNTBLANK('Capacity summary'!$H136:$BG136)&lt;52,IF('Capacity summary'!AD136&lt;&gt;"",IF(LOWER('Capacity summary'!AD136)="x",$BI17*AD17,VALUE('Capacity summary'!AD136)),0),AD17*$BI17),AD17*$BI17),0)</f>
        <v>0</v>
      </c>
      <c r="CH17" s="313">
        <f>IF($BI17&lt;&gt;"",IF('Capacity summary'!$D$14="Yes",IF(COUNTBLANK('Capacity summary'!$H136:$BG136)&lt;52,IF('Capacity summary'!AE136&lt;&gt;"",IF(LOWER('Capacity summary'!AE136)="x",$BI17*AE17,VALUE('Capacity summary'!AE136)),0),AE17*$BI17),AE17*$BI17),0)</f>
        <v>0</v>
      </c>
      <c r="CI17" s="313">
        <f>IF($BI17&lt;&gt;"",IF('Capacity summary'!$D$14="Yes",IF(COUNTBLANK('Capacity summary'!$H136:$BG136)&lt;52,IF('Capacity summary'!AF136&lt;&gt;"",IF(LOWER('Capacity summary'!AF136)="x",$BI17*AF17,VALUE('Capacity summary'!AF136)),0),AF17*$BI17),AF17*$BI17),0)</f>
        <v>0</v>
      </c>
      <c r="CJ17" s="313">
        <f>IF($BI17&lt;&gt;"",IF('Capacity summary'!$D$14="Yes",IF(COUNTBLANK('Capacity summary'!$H136:$BG136)&lt;52,IF('Capacity summary'!AG136&lt;&gt;"",IF(LOWER('Capacity summary'!AG136)="x",$BI17*AG17,VALUE('Capacity summary'!AG136)),0),AG17*$BI17),AG17*$BI17),0)</f>
        <v>0</v>
      </c>
      <c r="CK17" s="313">
        <f>IF($BI17&lt;&gt;"",IF('Capacity summary'!$D$14="Yes",IF(COUNTBLANK('Capacity summary'!$H136:$BG136)&lt;52,IF('Capacity summary'!AH136&lt;&gt;"",IF(LOWER('Capacity summary'!AH136)="x",$BI17*AH17,VALUE('Capacity summary'!AH136)),0),AH17*$BI17),AH17*$BI17),0)</f>
        <v>0</v>
      </c>
      <c r="CL17" s="313">
        <f>IF($BI17&lt;&gt;"",IF('Capacity summary'!$D$14="Yes",IF(COUNTBLANK('Capacity summary'!$H136:$BG136)&lt;52,IF('Capacity summary'!AI136&lt;&gt;"",IF(LOWER('Capacity summary'!AI136)="x",$BI17*AI17,VALUE('Capacity summary'!AI136)),0),AI17*$BI17),AI17*$BI17),0)</f>
        <v>0</v>
      </c>
      <c r="CM17" s="313">
        <f>IF($BI17&lt;&gt;"",IF('Capacity summary'!$D$14="Yes",IF(COUNTBLANK('Capacity summary'!$H136:$BG136)&lt;52,IF('Capacity summary'!AJ136&lt;&gt;"",IF(LOWER('Capacity summary'!AJ136)="x",$BI17*AJ17,VALUE('Capacity summary'!AJ136)),0),AJ17*$BI17),AJ17*$BI17),0)</f>
        <v>0</v>
      </c>
      <c r="CN17" s="313">
        <f>IF($BI17&lt;&gt;"",IF('Capacity summary'!$D$14="Yes",IF(COUNTBLANK('Capacity summary'!$H136:$BG136)&lt;52,IF('Capacity summary'!AK136&lt;&gt;"",IF(LOWER('Capacity summary'!AK136)="x",$BI17*AK17,VALUE('Capacity summary'!AK136)),0),AK17*$BI17),AK17*$BI17),0)</f>
        <v>0</v>
      </c>
      <c r="CO17" s="313">
        <f>IF($BI17&lt;&gt;"",IF('Capacity summary'!$D$14="Yes",IF(COUNTBLANK('Capacity summary'!$H136:$BG136)&lt;52,IF('Capacity summary'!AL136&lt;&gt;"",IF(LOWER('Capacity summary'!AL136)="x",$BI17*AL17,VALUE('Capacity summary'!AL136)),0),AL17*$BI17),AL17*$BI17),0)</f>
        <v>0</v>
      </c>
      <c r="CP17" s="313">
        <f>IF($BI17&lt;&gt;"",IF('Capacity summary'!$D$14="Yes",IF(COUNTBLANK('Capacity summary'!$H136:$BG136)&lt;52,IF('Capacity summary'!AM136&lt;&gt;"",IF(LOWER('Capacity summary'!AM136)="x",$BI17*AM17,VALUE('Capacity summary'!AM136)),0),AM17*$BI17),AM17*$BI17),0)</f>
        <v>0</v>
      </c>
      <c r="CQ17" s="313">
        <f>IF($BI17&lt;&gt;"",IF('Capacity summary'!$D$14="Yes",IF(COUNTBLANK('Capacity summary'!$H136:$BG136)&lt;52,IF('Capacity summary'!AN136&lt;&gt;"",IF(LOWER('Capacity summary'!AN136)="x",$BI17*AN17,VALUE('Capacity summary'!AN136)),0),AN17*$BI17),AN17*$BI17),0)</f>
        <v>0</v>
      </c>
      <c r="CR17" s="313">
        <f>IF($BI17&lt;&gt;"",IF('Capacity summary'!$D$14="Yes",IF(COUNTBLANK('Capacity summary'!$H136:$BG136)&lt;52,IF('Capacity summary'!AO136&lt;&gt;"",IF(LOWER('Capacity summary'!AO136)="x",$BI17*AO17,VALUE('Capacity summary'!AO136)),0),AO17*$BI17),AO17*$BI17),0)</f>
        <v>0</v>
      </c>
      <c r="CS17" s="313">
        <f>IF($BI17&lt;&gt;"",IF('Capacity summary'!$D$14="Yes",IF(COUNTBLANK('Capacity summary'!$H136:$BG136)&lt;52,IF('Capacity summary'!AP136&lt;&gt;"",IF(LOWER('Capacity summary'!AP136)="x",$BI17*AP17,VALUE('Capacity summary'!AP136)),0),AP17*$BI17),AP17*$BI17),0)</f>
        <v>0</v>
      </c>
      <c r="CT17" s="313">
        <f>IF($BI17&lt;&gt;"",IF('Capacity summary'!$D$14="Yes",IF(COUNTBLANK('Capacity summary'!$H136:$BG136)&lt;52,IF('Capacity summary'!AQ136&lt;&gt;"",IF(LOWER('Capacity summary'!AQ136)="x",$BI17*AQ17,VALUE('Capacity summary'!AQ136)),0),AQ17*$BI17),AQ17*$BI17),0)</f>
        <v>0</v>
      </c>
      <c r="CU17" s="313">
        <f>IF($BI17&lt;&gt;"",IF('Capacity summary'!$D$14="Yes",IF(COUNTBLANK('Capacity summary'!$H136:$BG136)&lt;52,IF('Capacity summary'!AR136&lt;&gt;"",IF(LOWER('Capacity summary'!AR136)="x",$BI17*AR17,VALUE('Capacity summary'!AR136)),0),AR17*$BI17),AR17*$BI17),0)</f>
        <v>0</v>
      </c>
      <c r="CV17" s="313">
        <f>IF($BI17&lt;&gt;"",IF('Capacity summary'!$D$14="Yes",IF(COUNTBLANK('Capacity summary'!$H136:$BG136)&lt;52,IF('Capacity summary'!AS136&lt;&gt;"",IF(LOWER('Capacity summary'!AS136)="x",$BI17*AS17,VALUE('Capacity summary'!AS136)),0),AS17*$BI17),AS17*$BI17),0)</f>
        <v>0</v>
      </c>
      <c r="CW17" s="313">
        <f>IF($BI17&lt;&gt;"",IF('Capacity summary'!$D$14="Yes",IF(COUNTBLANK('Capacity summary'!$H136:$BG136)&lt;52,IF('Capacity summary'!AT136&lt;&gt;"",IF(LOWER('Capacity summary'!AT136)="x",$BI17*AT17,VALUE('Capacity summary'!AT136)),0),AT17*$BI17),AT17*$BI17),0)</f>
        <v>0</v>
      </c>
      <c r="CX17" s="313">
        <f>IF($BI17&lt;&gt;"",IF('Capacity summary'!$D$14="Yes",IF(COUNTBLANK('Capacity summary'!$H136:$BG136)&lt;52,IF('Capacity summary'!AU136&lt;&gt;"",IF(LOWER('Capacity summary'!AU136)="x",$BI17*AU17,VALUE('Capacity summary'!AU136)),0),AU17*$BI17),AU17*$BI17),0)</f>
        <v>0</v>
      </c>
      <c r="CY17" s="313">
        <f>IF($BI17&lt;&gt;"",IF('Capacity summary'!$D$14="Yes",IF(COUNTBLANK('Capacity summary'!$H136:$BG136)&lt;52,IF('Capacity summary'!AV136&lt;&gt;"",IF(LOWER('Capacity summary'!AV136)="x",$BI17*AV17,VALUE('Capacity summary'!AV136)),0),AV17*$BI17),AV17*$BI17),0)</f>
        <v>0</v>
      </c>
      <c r="CZ17" s="313">
        <f>IF($BI17&lt;&gt;"",IF('Capacity summary'!$D$14="Yes",IF(COUNTBLANK('Capacity summary'!$H136:$BG136)&lt;52,IF('Capacity summary'!AW136&lt;&gt;"",IF(LOWER('Capacity summary'!AW136)="x",$BI17*AW17,VALUE('Capacity summary'!AW136)),0),AW17*$BI17),AW17*$BI17),0)</f>
        <v>0</v>
      </c>
      <c r="DA17" s="313">
        <f>IF($BI17&lt;&gt;"",IF('Capacity summary'!$D$14="Yes",IF(COUNTBLANK('Capacity summary'!$H136:$BG136)&lt;52,IF('Capacity summary'!AX136&lt;&gt;"",IF(LOWER('Capacity summary'!AX136)="x",$BI17*AX17,VALUE('Capacity summary'!AX136)),0),AX17*$BI17),AX17*$BI17),0)</f>
        <v>0</v>
      </c>
      <c r="DB17" s="313">
        <f>IF($BI17&lt;&gt;"",IF('Capacity summary'!$D$14="Yes",IF(COUNTBLANK('Capacity summary'!$H136:$BG136)&lt;52,IF('Capacity summary'!AY136&lt;&gt;"",IF(LOWER('Capacity summary'!AY136)="x",$BI17*AY17,VALUE('Capacity summary'!AY136)),0),AY17*$BI17),AY17*$BI17),0)</f>
        <v>0</v>
      </c>
      <c r="DC17" s="313">
        <f>IF($BI17&lt;&gt;"",IF('Capacity summary'!$D$14="Yes",IF(COUNTBLANK('Capacity summary'!$H136:$BG136)&lt;52,IF('Capacity summary'!AZ136&lt;&gt;"",IF(LOWER('Capacity summary'!AZ136)="x",$BI17*AZ17,VALUE('Capacity summary'!AZ136)),0),AZ17*$BI17),AZ17*$BI17),0)</f>
        <v>0</v>
      </c>
      <c r="DD17" s="313">
        <f>IF($BI17&lt;&gt;"",IF('Capacity summary'!$D$14="Yes",IF(COUNTBLANK('Capacity summary'!$H136:$BG136)&lt;52,IF('Capacity summary'!BA136&lt;&gt;"",IF(LOWER('Capacity summary'!BA136)="x",$BI17*BA17,VALUE('Capacity summary'!BA136)),0),BA17*$BI17),BA17*$BI17),0)</f>
        <v>0</v>
      </c>
      <c r="DE17" s="313">
        <f>IF($BI17&lt;&gt;"",IF('Capacity summary'!$D$14="Yes",IF(COUNTBLANK('Capacity summary'!$H136:$BG136)&lt;52,IF('Capacity summary'!BB136&lt;&gt;"",IF(LOWER('Capacity summary'!BB136)="x",$BI17*BB17,VALUE('Capacity summary'!BB136)),0),BB17*$BI17),BB17*$BI17),0)</f>
        <v>0</v>
      </c>
      <c r="DF17" s="313">
        <f>IF($BI17&lt;&gt;"",IF('Capacity summary'!$D$14="Yes",IF(COUNTBLANK('Capacity summary'!$H136:$BG136)&lt;52,IF('Capacity summary'!BC136&lt;&gt;"",IF(LOWER('Capacity summary'!BC136)="x",$BI17*BC17,VALUE('Capacity summary'!BC136)),0),BC17*$BI17),BC17*$BI17),0)</f>
        <v>0</v>
      </c>
      <c r="DG17" s="313">
        <f>IF($BI17&lt;&gt;"",IF('Capacity summary'!$D$14="Yes",IF(COUNTBLANK('Capacity summary'!$H136:$BG136)&lt;52,IF('Capacity summary'!BD136&lt;&gt;"",IF(LOWER('Capacity summary'!BD136)="x",$BI17*BD17,VALUE('Capacity summary'!BD136)),0),BD17*$BI17),BD17*$BI17),0)</f>
        <v>0</v>
      </c>
      <c r="DH17" s="313">
        <f>IF($BI17&lt;&gt;"",IF('Capacity summary'!$D$14="Yes",IF(COUNTBLANK('Capacity summary'!$H136:$BG136)&lt;52,IF('Capacity summary'!BE136&lt;&gt;"",IF(LOWER('Capacity summary'!BE136)="x",$BI17*BE17,VALUE('Capacity summary'!BE136)),0),BE17*$BI17),BE17*$BI17),0)</f>
        <v>0</v>
      </c>
      <c r="DI17" s="313">
        <f>IF($BI17&lt;&gt;"",IF('Capacity summary'!$D$14="Yes",IF(COUNTBLANK('Capacity summary'!$H136:$BG136)&lt;52,IF('Capacity summary'!BF136&lt;&gt;"",IF(LOWER('Capacity summary'!BF136)="x",$BI17*BF17,VALUE('Capacity summary'!BF136)),0),BF17*$BI17),BF17*$BI17),0)</f>
        <v>0</v>
      </c>
      <c r="DJ17" s="313">
        <f>IF($BI17&lt;&gt;"",IF('Capacity summary'!$D$14="Yes",IF(COUNTBLANK('Capacity summary'!$H136:$BG136)&lt;52,IF('Capacity summary'!BG136&lt;&gt;"",IF(LOWER('Capacity summary'!BG136)="x",$BI17*BG17,VALUE('Capacity summary'!BG136)),0),BG17*$BI17),BG17*$BI17),0)</f>
        <v>0</v>
      </c>
      <c r="DK17" s="137">
        <f t="shared" si="2"/>
        <v>0</v>
      </c>
      <c r="DL17" s="313" t="str">
        <f>Capacity!H29</f>
        <v/>
      </c>
      <c r="DP17" s="5"/>
    </row>
    <row r="18" spans="2:120" x14ac:dyDescent="0.25">
      <c r="B18" s="67"/>
      <c r="C18" s="67" t="str">
        <f>ROW(A14)&amp;". "&amp;Capacity!B30</f>
        <v xml:space="preserve">14. </v>
      </c>
      <c r="D18" s="67">
        <f>'Capacity setup'!C25</f>
        <v>0</v>
      </c>
      <c r="E18" s="67">
        <f>'Capacity setup'!D25</f>
        <v>0</v>
      </c>
      <c r="F18" s="67">
        <f>'Capacity setup'!E25</f>
        <v>0</v>
      </c>
      <c r="H18" s="67">
        <f ca="1">IF(AND(SUMIF(Capacity_Resource,$D18,'Critical resources (hide)'!U$6:U$105)+SUMIF(Capacity_Resource,$E18,'Critical resources (hide)'!U$6:U$105)+SUMIF(Capacity_Resource,$F18,'Critical resources (hide)'!U$6:U$105)&gt;0,$E$1=2),0,1)</f>
        <v>1</v>
      </c>
      <c r="I18" s="67">
        <f ca="1">IF(AND(SUMIF(Capacity_Resource,$D18,'Critical resources (hide)'!V$6:V$105)+SUMIF(Capacity_Resource,$E18,'Critical resources (hide)'!V$6:V$105)+SUMIF(Capacity_Resource,$F18,'Critical resources (hide)'!V$6:V$105)&gt;0,$E$1=2),0,1)</f>
        <v>1</v>
      </c>
      <c r="J18" s="67">
        <f ca="1">IF(AND(SUMIF(Capacity_Resource,$D18,'Critical resources (hide)'!W$6:W$105)+SUMIF(Capacity_Resource,$E18,'Critical resources (hide)'!W$6:W$105)+SUMIF(Capacity_Resource,$F18,'Critical resources (hide)'!W$6:W$105)&gt;0,$E$1=2),0,1)</f>
        <v>1</v>
      </c>
      <c r="K18" s="67">
        <f ca="1">IF(AND(SUMIF(Capacity_Resource,$D18,'Critical resources (hide)'!X$6:X$105)+SUMIF(Capacity_Resource,$E18,'Critical resources (hide)'!X$6:X$105)+SUMIF(Capacity_Resource,$F18,'Critical resources (hide)'!X$6:X$105)&gt;0,$E$1=2),0,1)</f>
        <v>1</v>
      </c>
      <c r="L18" s="67">
        <f ca="1">IF(AND(SUMIF(Capacity_Resource,$D18,'Critical resources (hide)'!Y$6:Y$105)+SUMIF(Capacity_Resource,$E18,'Critical resources (hide)'!Y$6:Y$105)+SUMIF(Capacity_Resource,$F18,'Critical resources (hide)'!Y$6:Y$105)&gt;0,$E$1=2),0,1)</f>
        <v>1</v>
      </c>
      <c r="M18" s="67">
        <f ca="1">IF(AND(SUMIF(Capacity_Resource,$D18,'Critical resources (hide)'!Z$6:Z$105)+SUMIF(Capacity_Resource,$E18,'Critical resources (hide)'!Z$6:Z$105)+SUMIF(Capacity_Resource,$F18,'Critical resources (hide)'!Z$6:Z$105)&gt;0,$E$1=2),0,1)</f>
        <v>1</v>
      </c>
      <c r="N18" s="67">
        <f ca="1">IF(AND(SUMIF(Capacity_Resource,$D18,'Critical resources (hide)'!AA$6:AA$105)+SUMIF(Capacity_Resource,$E18,'Critical resources (hide)'!AA$6:AA$105)+SUMIF(Capacity_Resource,$F18,'Critical resources (hide)'!AA$6:AA$105)&gt;0,$E$1=2),0,1)</f>
        <v>1</v>
      </c>
      <c r="O18" s="67">
        <f ca="1">IF(AND(SUMIF(Capacity_Resource,$D18,'Critical resources (hide)'!AB$6:AB$105)+SUMIF(Capacity_Resource,$E18,'Critical resources (hide)'!AB$6:AB$105)+SUMIF(Capacity_Resource,$F18,'Critical resources (hide)'!AB$6:AB$105)&gt;0,$E$1=2),0,1)</f>
        <v>1</v>
      </c>
      <c r="P18" s="67">
        <f ca="1">IF(AND(SUMIF(Capacity_Resource,$D18,'Critical resources (hide)'!AC$6:AC$105)+SUMIF(Capacity_Resource,$E18,'Critical resources (hide)'!AC$6:AC$105)+SUMIF(Capacity_Resource,$F18,'Critical resources (hide)'!AC$6:AC$105)&gt;0,$E$1=2),0,1)</f>
        <v>1</v>
      </c>
      <c r="Q18" s="67">
        <f ca="1">IF(AND(SUMIF(Capacity_Resource,$D18,'Critical resources (hide)'!AD$6:AD$105)+SUMIF(Capacity_Resource,$E18,'Critical resources (hide)'!AD$6:AD$105)+SUMIF(Capacity_Resource,$F18,'Critical resources (hide)'!AD$6:AD$105)&gt;0,$E$1=2),0,1)</f>
        <v>1</v>
      </c>
      <c r="R18" s="67">
        <f ca="1">IF(AND(SUMIF(Capacity_Resource,$D18,'Critical resources (hide)'!AE$6:AE$105)+SUMIF(Capacity_Resource,$E18,'Critical resources (hide)'!AE$6:AE$105)+SUMIF(Capacity_Resource,$F18,'Critical resources (hide)'!AE$6:AE$105)&gt;0,$E$1=2),0,1)</f>
        <v>1</v>
      </c>
      <c r="S18" s="67">
        <f ca="1">IF(AND(SUMIF(Capacity_Resource,$D18,'Critical resources (hide)'!AF$6:AF$105)+SUMIF(Capacity_Resource,$E18,'Critical resources (hide)'!AF$6:AF$105)+SUMIF(Capacity_Resource,$F18,'Critical resources (hide)'!AF$6:AF$105)&gt;0,$E$1=2),0,1)</f>
        <v>1</v>
      </c>
      <c r="T18" s="67">
        <f ca="1">IF(AND(SUMIF(Capacity_Resource,$D18,'Critical resources (hide)'!AG$6:AG$105)+SUMIF(Capacity_Resource,$E18,'Critical resources (hide)'!AG$6:AG$105)+SUMIF(Capacity_Resource,$F18,'Critical resources (hide)'!AG$6:AG$105)&gt;0,$E$1=2),0,1)</f>
        <v>1</v>
      </c>
      <c r="U18" s="67">
        <f ca="1">IF(AND(SUMIF(Capacity_Resource,$D18,'Critical resources (hide)'!AH$6:AH$105)+SUMIF(Capacity_Resource,$E18,'Critical resources (hide)'!AH$6:AH$105)+SUMIF(Capacity_Resource,$F18,'Critical resources (hide)'!AH$6:AH$105)&gt;0,$E$1=2),0,1)</f>
        <v>1</v>
      </c>
      <c r="V18" s="67">
        <f ca="1">IF(AND(SUMIF(Capacity_Resource,$D18,'Critical resources (hide)'!AI$6:AI$105)+SUMIF(Capacity_Resource,$E18,'Critical resources (hide)'!AI$6:AI$105)+SUMIF(Capacity_Resource,$F18,'Critical resources (hide)'!AI$6:AI$105)&gt;0,$E$1=2),0,1)</f>
        <v>1</v>
      </c>
      <c r="W18" s="67">
        <f ca="1">IF(AND(SUMIF(Capacity_Resource,$D18,'Critical resources (hide)'!AJ$6:AJ$105)+SUMIF(Capacity_Resource,$E18,'Critical resources (hide)'!AJ$6:AJ$105)+SUMIF(Capacity_Resource,$F18,'Critical resources (hide)'!AJ$6:AJ$105)&gt;0,$E$1=2),0,1)</f>
        <v>1</v>
      </c>
      <c r="X18" s="67">
        <f ca="1">IF(AND(SUMIF(Capacity_Resource,$D18,'Critical resources (hide)'!AK$6:AK$105)+SUMIF(Capacity_Resource,$E18,'Critical resources (hide)'!AK$6:AK$105)+SUMIF(Capacity_Resource,$F18,'Critical resources (hide)'!AK$6:AK$105)&gt;0,$E$1=2),0,1)</f>
        <v>1</v>
      </c>
      <c r="Y18" s="67">
        <f ca="1">IF(AND(SUMIF(Capacity_Resource,$D18,'Critical resources (hide)'!AL$6:AL$105)+SUMIF(Capacity_Resource,$E18,'Critical resources (hide)'!AL$6:AL$105)+SUMIF(Capacity_Resource,$F18,'Critical resources (hide)'!AL$6:AL$105)&gt;0,$E$1=2),0,1)</f>
        <v>1</v>
      </c>
      <c r="Z18" s="67">
        <f ca="1">IF(AND(SUMIF(Capacity_Resource,$D18,'Critical resources (hide)'!AM$6:AM$105)+SUMIF(Capacity_Resource,$E18,'Critical resources (hide)'!AM$6:AM$105)+SUMIF(Capacity_Resource,$F18,'Critical resources (hide)'!AM$6:AM$105)&gt;0,$E$1=2),0,1)</f>
        <v>1</v>
      </c>
      <c r="AA18" s="67">
        <f ca="1">IF(AND(SUMIF(Capacity_Resource,$D18,'Critical resources (hide)'!AN$6:AN$105)+SUMIF(Capacity_Resource,$E18,'Critical resources (hide)'!AN$6:AN$105)+SUMIF(Capacity_Resource,$F18,'Critical resources (hide)'!AN$6:AN$105)&gt;0,$E$1=2),0,1)</f>
        <v>1</v>
      </c>
      <c r="AB18" s="67">
        <f ca="1">IF(AND(SUMIF(Capacity_Resource,$D18,'Critical resources (hide)'!AO$6:AO$105)+SUMIF(Capacity_Resource,$E18,'Critical resources (hide)'!AO$6:AO$105)+SUMIF(Capacity_Resource,$F18,'Critical resources (hide)'!AO$6:AO$105)&gt;0,$E$1=2),0,1)</f>
        <v>1</v>
      </c>
      <c r="AC18" s="67">
        <f ca="1">IF(AND(SUMIF(Capacity_Resource,$D18,'Critical resources (hide)'!AP$6:AP$105)+SUMIF(Capacity_Resource,$E18,'Critical resources (hide)'!AP$6:AP$105)+SUMIF(Capacity_Resource,$F18,'Critical resources (hide)'!AP$6:AP$105)&gt;0,$E$1=2),0,1)</f>
        <v>1</v>
      </c>
      <c r="AD18" s="67">
        <f ca="1">IF(AND(SUMIF(Capacity_Resource,$D18,'Critical resources (hide)'!AQ$6:AQ$105)+SUMIF(Capacity_Resource,$E18,'Critical resources (hide)'!AQ$6:AQ$105)+SUMIF(Capacity_Resource,$F18,'Critical resources (hide)'!AQ$6:AQ$105)&gt;0,$E$1=2),0,1)</f>
        <v>1</v>
      </c>
      <c r="AE18" s="67">
        <f ca="1">IF(AND(SUMIF(Capacity_Resource,$D18,'Critical resources (hide)'!AR$6:AR$105)+SUMIF(Capacity_Resource,$E18,'Critical resources (hide)'!AR$6:AR$105)+SUMIF(Capacity_Resource,$F18,'Critical resources (hide)'!AR$6:AR$105)&gt;0,$E$1=2),0,1)</f>
        <v>1</v>
      </c>
      <c r="AF18" s="67">
        <f ca="1">IF(AND(SUMIF(Capacity_Resource,$D18,'Critical resources (hide)'!AS$6:AS$105)+SUMIF(Capacity_Resource,$E18,'Critical resources (hide)'!AS$6:AS$105)+SUMIF(Capacity_Resource,$F18,'Critical resources (hide)'!AS$6:AS$105)&gt;0,$E$1=2),0,1)</f>
        <v>1</v>
      </c>
      <c r="AG18" s="67">
        <f ca="1">IF(AND(SUMIF(Capacity_Resource,$D18,'Critical resources (hide)'!AT$6:AT$105)+SUMIF(Capacity_Resource,$E18,'Critical resources (hide)'!AT$6:AT$105)+SUMIF(Capacity_Resource,$F18,'Critical resources (hide)'!AT$6:AT$105)&gt;0,$E$1=2),0,1)</f>
        <v>1</v>
      </c>
      <c r="AH18" s="67">
        <f ca="1">IF(AND(SUMIF(Capacity_Resource,$D18,'Critical resources (hide)'!AU$6:AU$105)+SUMIF(Capacity_Resource,$E18,'Critical resources (hide)'!AU$6:AU$105)+SUMIF(Capacity_Resource,$F18,'Critical resources (hide)'!AU$6:AU$105)&gt;0,$E$1=2),0,1)</f>
        <v>1</v>
      </c>
      <c r="AI18" s="67">
        <f ca="1">IF(AND(SUMIF(Capacity_Resource,$D18,'Critical resources (hide)'!AV$6:AV$105)+SUMIF(Capacity_Resource,$E18,'Critical resources (hide)'!AV$6:AV$105)+SUMIF(Capacity_Resource,$F18,'Critical resources (hide)'!AV$6:AV$105)&gt;0,$E$1=2),0,1)</f>
        <v>1</v>
      </c>
      <c r="AJ18" s="67">
        <f ca="1">IF(AND(SUMIF(Capacity_Resource,$D18,'Critical resources (hide)'!AW$6:AW$105)+SUMIF(Capacity_Resource,$E18,'Critical resources (hide)'!AW$6:AW$105)+SUMIF(Capacity_Resource,$F18,'Critical resources (hide)'!AW$6:AW$105)&gt;0,$E$1=2),0,1)</f>
        <v>1</v>
      </c>
      <c r="AK18" s="67">
        <f ca="1">IF(AND(SUMIF(Capacity_Resource,$D18,'Critical resources (hide)'!AX$6:AX$105)+SUMIF(Capacity_Resource,$E18,'Critical resources (hide)'!AX$6:AX$105)+SUMIF(Capacity_Resource,$F18,'Critical resources (hide)'!AX$6:AX$105)&gt;0,$E$1=2),0,1)</f>
        <v>1</v>
      </c>
      <c r="AL18" s="67">
        <f ca="1">IF(AND(SUMIF(Capacity_Resource,$D18,'Critical resources (hide)'!AY$6:AY$105)+SUMIF(Capacity_Resource,$E18,'Critical resources (hide)'!AY$6:AY$105)+SUMIF(Capacity_Resource,$F18,'Critical resources (hide)'!AY$6:AY$105)&gt;0,$E$1=2),0,1)</f>
        <v>1</v>
      </c>
      <c r="AM18" s="67">
        <f ca="1">IF(AND(SUMIF(Capacity_Resource,$D18,'Critical resources (hide)'!AZ$6:AZ$105)+SUMIF(Capacity_Resource,$E18,'Critical resources (hide)'!AZ$6:AZ$105)+SUMIF(Capacity_Resource,$F18,'Critical resources (hide)'!AZ$6:AZ$105)&gt;0,$E$1=2),0,1)</f>
        <v>1</v>
      </c>
      <c r="AN18" s="67">
        <f ca="1">IF(AND(SUMIF(Capacity_Resource,$D18,'Critical resources (hide)'!BA$6:BA$105)+SUMIF(Capacity_Resource,$E18,'Critical resources (hide)'!BA$6:BA$105)+SUMIF(Capacity_Resource,$F18,'Critical resources (hide)'!BA$6:BA$105)&gt;0,$E$1=2),0,1)</f>
        <v>1</v>
      </c>
      <c r="AO18" s="67">
        <f ca="1">IF(AND(SUMIF(Capacity_Resource,$D18,'Critical resources (hide)'!BB$6:BB$105)+SUMIF(Capacity_Resource,$E18,'Critical resources (hide)'!BB$6:BB$105)+SUMIF(Capacity_Resource,$F18,'Critical resources (hide)'!BB$6:BB$105)&gt;0,$E$1=2),0,1)</f>
        <v>1</v>
      </c>
      <c r="AP18" s="67">
        <f ca="1">IF(AND(SUMIF(Capacity_Resource,$D18,'Critical resources (hide)'!BC$6:BC$105)+SUMIF(Capacity_Resource,$E18,'Critical resources (hide)'!BC$6:BC$105)+SUMIF(Capacity_Resource,$F18,'Critical resources (hide)'!BC$6:BC$105)&gt;0,$E$1=2),0,1)</f>
        <v>1</v>
      </c>
      <c r="AQ18" s="67">
        <f ca="1">IF(AND(SUMIF(Capacity_Resource,$D18,'Critical resources (hide)'!BD$6:BD$105)+SUMIF(Capacity_Resource,$E18,'Critical resources (hide)'!BD$6:BD$105)+SUMIF(Capacity_Resource,$F18,'Critical resources (hide)'!BD$6:BD$105)&gt;0,$E$1=2),0,1)</f>
        <v>1</v>
      </c>
      <c r="AR18" s="67">
        <f ca="1">IF(AND(SUMIF(Capacity_Resource,$D18,'Critical resources (hide)'!BE$6:BE$105)+SUMIF(Capacity_Resource,$E18,'Critical resources (hide)'!BE$6:BE$105)+SUMIF(Capacity_Resource,$F18,'Critical resources (hide)'!BE$6:BE$105)&gt;0,$E$1=2),0,1)</f>
        <v>1</v>
      </c>
      <c r="AS18" s="67">
        <f ca="1">IF(AND(SUMIF(Capacity_Resource,$D18,'Critical resources (hide)'!BF$6:BF$105)+SUMIF(Capacity_Resource,$E18,'Critical resources (hide)'!BF$6:BF$105)+SUMIF(Capacity_Resource,$F18,'Critical resources (hide)'!BF$6:BF$105)&gt;0,$E$1=2),0,1)</f>
        <v>1</v>
      </c>
      <c r="AT18" s="67">
        <f ca="1">IF(AND(SUMIF(Capacity_Resource,$D18,'Critical resources (hide)'!BG$6:BG$105)+SUMIF(Capacity_Resource,$E18,'Critical resources (hide)'!BG$6:BG$105)+SUMIF(Capacity_Resource,$F18,'Critical resources (hide)'!BG$6:BG$105)&gt;0,$E$1=2),0,1)</f>
        <v>1</v>
      </c>
      <c r="AU18" s="67">
        <f ca="1">IF(AND(SUMIF(Capacity_Resource,$D18,'Critical resources (hide)'!BH$6:BH$105)+SUMIF(Capacity_Resource,$E18,'Critical resources (hide)'!BH$6:BH$105)+SUMIF(Capacity_Resource,$F18,'Critical resources (hide)'!BH$6:BH$105)&gt;0,$E$1=2),0,1)</f>
        <v>1</v>
      </c>
      <c r="AV18" s="67">
        <f ca="1">IF(AND(SUMIF(Capacity_Resource,$D18,'Critical resources (hide)'!BI$6:BI$105)+SUMIF(Capacity_Resource,$E18,'Critical resources (hide)'!BI$6:BI$105)+SUMIF(Capacity_Resource,$F18,'Critical resources (hide)'!BI$6:BI$105)&gt;0,$E$1=2),0,1)</f>
        <v>1</v>
      </c>
      <c r="AW18" s="67">
        <f ca="1">IF(AND(SUMIF(Capacity_Resource,$D18,'Critical resources (hide)'!BJ$6:BJ$105)+SUMIF(Capacity_Resource,$E18,'Critical resources (hide)'!BJ$6:BJ$105)+SUMIF(Capacity_Resource,$F18,'Critical resources (hide)'!BJ$6:BJ$105)&gt;0,$E$1=2),0,1)</f>
        <v>1</v>
      </c>
      <c r="AX18" s="67">
        <f ca="1">IF(AND(SUMIF(Capacity_Resource,$D18,'Critical resources (hide)'!BK$6:BK$105)+SUMIF(Capacity_Resource,$E18,'Critical resources (hide)'!BK$6:BK$105)+SUMIF(Capacity_Resource,$F18,'Critical resources (hide)'!BK$6:BK$105)&gt;0,$E$1=2),0,1)</f>
        <v>1</v>
      </c>
      <c r="AY18" s="67">
        <f ca="1">IF(AND(SUMIF(Capacity_Resource,$D18,'Critical resources (hide)'!BL$6:BL$105)+SUMIF(Capacity_Resource,$E18,'Critical resources (hide)'!BL$6:BL$105)+SUMIF(Capacity_Resource,$F18,'Critical resources (hide)'!BL$6:BL$105)&gt;0,$E$1=2),0,1)</f>
        <v>1</v>
      </c>
      <c r="AZ18" s="67">
        <f ca="1">IF(AND(SUMIF(Capacity_Resource,$D18,'Critical resources (hide)'!BM$6:BM$105)+SUMIF(Capacity_Resource,$E18,'Critical resources (hide)'!BM$6:BM$105)+SUMIF(Capacity_Resource,$F18,'Critical resources (hide)'!BM$6:BM$105)&gt;0,$E$1=2),0,1)</f>
        <v>1</v>
      </c>
      <c r="BA18" s="67">
        <f ca="1">IF(AND(SUMIF(Capacity_Resource,$D18,'Critical resources (hide)'!BN$6:BN$105)+SUMIF(Capacity_Resource,$E18,'Critical resources (hide)'!BN$6:BN$105)+SUMIF(Capacity_Resource,$F18,'Critical resources (hide)'!BN$6:BN$105)&gt;0,$E$1=2),0,1)</f>
        <v>1</v>
      </c>
      <c r="BB18" s="67">
        <f ca="1">IF(AND(SUMIF(Capacity_Resource,$D18,'Critical resources (hide)'!BO$6:BO$105)+SUMIF(Capacity_Resource,$E18,'Critical resources (hide)'!BO$6:BO$105)+SUMIF(Capacity_Resource,$F18,'Critical resources (hide)'!BO$6:BO$105)&gt;0,$E$1=2),0,1)</f>
        <v>1</v>
      </c>
      <c r="BC18" s="67">
        <f ca="1">IF(AND(SUMIF(Capacity_Resource,$D18,'Critical resources (hide)'!BP$6:BP$105)+SUMIF(Capacity_Resource,$E18,'Critical resources (hide)'!BP$6:BP$105)+SUMIF(Capacity_Resource,$F18,'Critical resources (hide)'!BP$6:BP$105)&gt;0,$E$1=2),0,1)</f>
        <v>1</v>
      </c>
      <c r="BD18" s="67">
        <f ca="1">IF(AND(SUMIF(Capacity_Resource,$D18,'Critical resources (hide)'!BQ$6:BQ$105)+SUMIF(Capacity_Resource,$E18,'Critical resources (hide)'!BQ$6:BQ$105)+SUMIF(Capacity_Resource,$F18,'Critical resources (hide)'!BQ$6:BQ$105)&gt;0,$E$1=2),0,1)</f>
        <v>1</v>
      </c>
      <c r="BE18" s="67">
        <f ca="1">IF(AND(SUMIF(Capacity_Resource,$D18,'Critical resources (hide)'!BR$6:BR$105)+SUMIF(Capacity_Resource,$E18,'Critical resources (hide)'!BR$6:BR$105)+SUMIF(Capacity_Resource,$F18,'Critical resources (hide)'!BR$6:BR$105)&gt;0,$E$1=2),0,1)</f>
        <v>1</v>
      </c>
      <c r="BF18" s="67">
        <f ca="1">IF(AND(SUMIF(Capacity_Resource,$D18,'Critical resources (hide)'!BS$6:BS$105)+SUMIF(Capacity_Resource,$E18,'Critical resources (hide)'!BS$6:BS$105)+SUMIF(Capacity_Resource,$F18,'Critical resources (hide)'!BS$6:BS$105)&gt;0,$E$1=2),0,1)</f>
        <v>1</v>
      </c>
      <c r="BG18" s="67">
        <f ca="1">IF(AND(SUMIF(Capacity_Resource,$D18,'Critical resources (hide)'!BT$6:BT$105)+SUMIF(Capacity_Resource,$E18,'Critical resources (hide)'!BT$6:BT$105)+SUMIF(Capacity_Resource,$F18,'Critical resources (hide)'!BT$6:BT$105)&gt;0,$E$1=2),0,1)</f>
        <v>1</v>
      </c>
      <c r="BH18" s="67">
        <f>IF(ROW(C14)&lt;=Capacity!$A$16,IF('Capacity summary'!$D$14="No",SUM(H18:BG18),'Capacity summary'!$E137),0)</f>
        <v>0</v>
      </c>
      <c r="BI18" s="5" t="str">
        <f>IF(BH18&gt;0,IF(BH18&lt;Capacity!E30,Capacity!F30,Capacity!H30/'Capacity calculation (hide)'!BH18),"")</f>
        <v/>
      </c>
      <c r="BK18" s="313">
        <f>IF($BI18&lt;&gt;"",IF('Capacity summary'!$D$14="Yes",IF(COUNTBLANK('Capacity summary'!$H137:$BG137)&lt;52,IF('Capacity summary'!H137&lt;&gt;"",IF(LOWER('Capacity summary'!H137)="x",$BI18*H18,VALUE('Capacity summary'!H137)),0),H18*$BI18),H18*$BI18),0)</f>
        <v>0</v>
      </c>
      <c r="BL18" s="313">
        <f>IF($BI18&lt;&gt;"",IF('Capacity summary'!$D$14="Yes",IF(COUNTBLANK('Capacity summary'!$H137:$BG137)&lt;52,IF('Capacity summary'!I137&lt;&gt;"",IF(LOWER('Capacity summary'!I137)="x",$BI18*I18,VALUE('Capacity summary'!I137)),0),I18*$BI18),I18*$BI18),0)</f>
        <v>0</v>
      </c>
      <c r="BM18" s="313">
        <f>IF($BI18&lt;&gt;"",IF('Capacity summary'!$D$14="Yes",IF(COUNTBLANK('Capacity summary'!$H137:$BG137)&lt;52,IF('Capacity summary'!J137&lt;&gt;"",IF(LOWER('Capacity summary'!J137)="x",$BI18*J18,VALUE('Capacity summary'!J137)),0),J18*$BI18),J18*$BI18),0)</f>
        <v>0</v>
      </c>
      <c r="BN18" s="313">
        <f>IF($BI18&lt;&gt;"",IF('Capacity summary'!$D$14="Yes",IF(COUNTBLANK('Capacity summary'!$H137:$BG137)&lt;52,IF('Capacity summary'!K137&lt;&gt;"",IF(LOWER('Capacity summary'!K137)="x",$BI18*K18,VALUE('Capacity summary'!K137)),0),K18*$BI18),K18*$BI18),0)</f>
        <v>0</v>
      </c>
      <c r="BO18" s="313">
        <f>IF($BI18&lt;&gt;"",IF('Capacity summary'!$D$14="Yes",IF(COUNTBLANK('Capacity summary'!$H137:$BG137)&lt;52,IF('Capacity summary'!L137&lt;&gt;"",IF(LOWER('Capacity summary'!L137)="x",$BI18*L18,VALUE('Capacity summary'!L137)),0),L18*$BI18),L18*$BI18),0)</f>
        <v>0</v>
      </c>
      <c r="BP18" s="313">
        <f>IF($BI18&lt;&gt;"",IF('Capacity summary'!$D$14="Yes",IF(COUNTBLANK('Capacity summary'!$H137:$BG137)&lt;52,IF('Capacity summary'!M137&lt;&gt;"",IF(LOWER('Capacity summary'!M137)="x",$BI18*M18,VALUE('Capacity summary'!M137)),0),M18*$BI18),M18*$BI18),0)</f>
        <v>0</v>
      </c>
      <c r="BQ18" s="313">
        <f>IF($BI18&lt;&gt;"",IF('Capacity summary'!$D$14="Yes",IF(COUNTBLANK('Capacity summary'!$H137:$BG137)&lt;52,IF('Capacity summary'!N137&lt;&gt;"",IF(LOWER('Capacity summary'!N137)="x",$BI18*N18,VALUE('Capacity summary'!N137)),0),N18*$BI18),N18*$BI18),0)</f>
        <v>0</v>
      </c>
      <c r="BR18" s="313">
        <f>IF($BI18&lt;&gt;"",IF('Capacity summary'!$D$14="Yes",IF(COUNTBLANK('Capacity summary'!$H137:$BG137)&lt;52,IF('Capacity summary'!O137&lt;&gt;"",IF(LOWER('Capacity summary'!O137)="x",$BI18*O18,VALUE('Capacity summary'!O137)),0),O18*$BI18),O18*$BI18),0)</f>
        <v>0</v>
      </c>
      <c r="BS18" s="313">
        <f>IF($BI18&lt;&gt;"",IF('Capacity summary'!$D$14="Yes",IF(COUNTBLANK('Capacity summary'!$H137:$BG137)&lt;52,IF('Capacity summary'!P137&lt;&gt;"",IF(LOWER('Capacity summary'!P137)="x",$BI18*P18,VALUE('Capacity summary'!P137)),0),P18*$BI18),P18*$BI18),0)</f>
        <v>0</v>
      </c>
      <c r="BT18" s="313">
        <f>IF($BI18&lt;&gt;"",IF('Capacity summary'!$D$14="Yes",IF(COUNTBLANK('Capacity summary'!$H137:$BG137)&lt;52,IF('Capacity summary'!Q137&lt;&gt;"",IF(LOWER('Capacity summary'!Q137)="x",$BI18*Q18,VALUE('Capacity summary'!Q137)),0),Q18*$BI18),Q18*$BI18),0)</f>
        <v>0</v>
      </c>
      <c r="BU18" s="313">
        <f>IF($BI18&lt;&gt;"",IF('Capacity summary'!$D$14="Yes",IF(COUNTBLANK('Capacity summary'!$H137:$BG137)&lt;52,IF('Capacity summary'!R137&lt;&gt;"",IF(LOWER('Capacity summary'!R137)="x",$BI18*R18,VALUE('Capacity summary'!R137)),0),R18*$BI18),R18*$BI18),0)</f>
        <v>0</v>
      </c>
      <c r="BV18" s="313">
        <f>IF($BI18&lt;&gt;"",IF('Capacity summary'!$D$14="Yes",IF(COUNTBLANK('Capacity summary'!$H137:$BG137)&lt;52,IF('Capacity summary'!S137&lt;&gt;"",IF(LOWER('Capacity summary'!S137)="x",$BI18*S18,VALUE('Capacity summary'!S137)),0),S18*$BI18),S18*$BI18),0)</f>
        <v>0</v>
      </c>
      <c r="BW18" s="313">
        <f>IF($BI18&lt;&gt;"",IF('Capacity summary'!$D$14="Yes",IF(COUNTBLANK('Capacity summary'!$H137:$BG137)&lt;52,IF('Capacity summary'!T137&lt;&gt;"",IF(LOWER('Capacity summary'!T137)="x",$BI18*T18,VALUE('Capacity summary'!T137)),0),T18*$BI18),T18*$BI18),0)</f>
        <v>0</v>
      </c>
      <c r="BX18" s="313">
        <f>IF($BI18&lt;&gt;"",IF('Capacity summary'!$D$14="Yes",IF(COUNTBLANK('Capacity summary'!$H137:$BG137)&lt;52,IF('Capacity summary'!U137&lt;&gt;"",IF(LOWER('Capacity summary'!U137)="x",$BI18*U18,VALUE('Capacity summary'!U137)),0),U18*$BI18),U18*$BI18),0)</f>
        <v>0</v>
      </c>
      <c r="BY18" s="313">
        <f>IF($BI18&lt;&gt;"",IF('Capacity summary'!$D$14="Yes",IF(COUNTBLANK('Capacity summary'!$H137:$BG137)&lt;52,IF('Capacity summary'!V137&lt;&gt;"",IF(LOWER('Capacity summary'!V137)="x",$BI18*V18,VALUE('Capacity summary'!V137)),0),V18*$BI18),V18*$BI18),0)</f>
        <v>0</v>
      </c>
      <c r="BZ18" s="313">
        <f>IF($BI18&lt;&gt;"",IF('Capacity summary'!$D$14="Yes",IF(COUNTBLANK('Capacity summary'!$H137:$BG137)&lt;52,IF('Capacity summary'!W137&lt;&gt;"",IF(LOWER('Capacity summary'!W137)="x",$BI18*W18,VALUE('Capacity summary'!W137)),0),W18*$BI18),W18*$BI18),0)</f>
        <v>0</v>
      </c>
      <c r="CA18" s="313">
        <f>IF($BI18&lt;&gt;"",IF('Capacity summary'!$D$14="Yes",IF(COUNTBLANK('Capacity summary'!$H137:$BG137)&lt;52,IF('Capacity summary'!X137&lt;&gt;"",IF(LOWER('Capacity summary'!X137)="x",$BI18*X18,VALUE('Capacity summary'!X137)),0),X18*$BI18),X18*$BI18),0)</f>
        <v>0</v>
      </c>
      <c r="CB18" s="313">
        <f>IF($BI18&lt;&gt;"",IF('Capacity summary'!$D$14="Yes",IF(COUNTBLANK('Capacity summary'!$H137:$BG137)&lt;52,IF('Capacity summary'!Y137&lt;&gt;"",IF(LOWER('Capacity summary'!Y137)="x",$BI18*Y18,VALUE('Capacity summary'!Y137)),0),Y18*$BI18),Y18*$BI18),0)</f>
        <v>0</v>
      </c>
      <c r="CC18" s="313">
        <f>IF($BI18&lt;&gt;"",IF('Capacity summary'!$D$14="Yes",IF(COUNTBLANK('Capacity summary'!$H137:$BG137)&lt;52,IF('Capacity summary'!Z137&lt;&gt;"",IF(LOWER('Capacity summary'!Z137)="x",$BI18*Z18,VALUE('Capacity summary'!Z137)),0),Z18*$BI18),Z18*$BI18),0)</f>
        <v>0</v>
      </c>
      <c r="CD18" s="313">
        <f>IF($BI18&lt;&gt;"",IF('Capacity summary'!$D$14="Yes",IF(COUNTBLANK('Capacity summary'!$H137:$BG137)&lt;52,IF('Capacity summary'!AA137&lt;&gt;"",IF(LOWER('Capacity summary'!AA137)="x",$BI18*AA18,VALUE('Capacity summary'!AA137)),0),AA18*$BI18),AA18*$BI18),0)</f>
        <v>0</v>
      </c>
      <c r="CE18" s="313">
        <f>IF($BI18&lt;&gt;"",IF('Capacity summary'!$D$14="Yes",IF(COUNTBLANK('Capacity summary'!$H137:$BG137)&lt;52,IF('Capacity summary'!AB137&lt;&gt;"",IF(LOWER('Capacity summary'!AB137)="x",$BI18*AB18,VALUE('Capacity summary'!AB137)),0),AB18*$BI18),AB18*$BI18),0)</f>
        <v>0</v>
      </c>
      <c r="CF18" s="313">
        <f>IF($BI18&lt;&gt;"",IF('Capacity summary'!$D$14="Yes",IF(COUNTBLANK('Capacity summary'!$H137:$BG137)&lt;52,IF('Capacity summary'!AC137&lt;&gt;"",IF(LOWER('Capacity summary'!AC137)="x",$BI18*AC18,VALUE('Capacity summary'!AC137)),0),AC18*$BI18),AC18*$BI18),0)</f>
        <v>0</v>
      </c>
      <c r="CG18" s="313">
        <f>IF($BI18&lt;&gt;"",IF('Capacity summary'!$D$14="Yes",IF(COUNTBLANK('Capacity summary'!$H137:$BG137)&lt;52,IF('Capacity summary'!AD137&lt;&gt;"",IF(LOWER('Capacity summary'!AD137)="x",$BI18*AD18,VALUE('Capacity summary'!AD137)),0),AD18*$BI18),AD18*$BI18),0)</f>
        <v>0</v>
      </c>
      <c r="CH18" s="313">
        <f>IF($BI18&lt;&gt;"",IF('Capacity summary'!$D$14="Yes",IF(COUNTBLANK('Capacity summary'!$H137:$BG137)&lt;52,IF('Capacity summary'!AE137&lt;&gt;"",IF(LOWER('Capacity summary'!AE137)="x",$BI18*AE18,VALUE('Capacity summary'!AE137)),0),AE18*$BI18),AE18*$BI18),0)</f>
        <v>0</v>
      </c>
      <c r="CI18" s="313">
        <f>IF($BI18&lt;&gt;"",IF('Capacity summary'!$D$14="Yes",IF(COUNTBLANK('Capacity summary'!$H137:$BG137)&lt;52,IF('Capacity summary'!AF137&lt;&gt;"",IF(LOWER('Capacity summary'!AF137)="x",$BI18*AF18,VALUE('Capacity summary'!AF137)),0),AF18*$BI18),AF18*$BI18),0)</f>
        <v>0</v>
      </c>
      <c r="CJ18" s="313">
        <f>IF($BI18&lt;&gt;"",IF('Capacity summary'!$D$14="Yes",IF(COUNTBLANK('Capacity summary'!$H137:$BG137)&lt;52,IF('Capacity summary'!AG137&lt;&gt;"",IF(LOWER('Capacity summary'!AG137)="x",$BI18*AG18,VALUE('Capacity summary'!AG137)),0),AG18*$BI18),AG18*$BI18),0)</f>
        <v>0</v>
      </c>
      <c r="CK18" s="313">
        <f>IF($BI18&lt;&gt;"",IF('Capacity summary'!$D$14="Yes",IF(COUNTBLANK('Capacity summary'!$H137:$BG137)&lt;52,IF('Capacity summary'!AH137&lt;&gt;"",IF(LOWER('Capacity summary'!AH137)="x",$BI18*AH18,VALUE('Capacity summary'!AH137)),0),AH18*$BI18),AH18*$BI18),0)</f>
        <v>0</v>
      </c>
      <c r="CL18" s="313">
        <f>IF($BI18&lt;&gt;"",IF('Capacity summary'!$D$14="Yes",IF(COUNTBLANK('Capacity summary'!$H137:$BG137)&lt;52,IF('Capacity summary'!AI137&lt;&gt;"",IF(LOWER('Capacity summary'!AI137)="x",$BI18*AI18,VALUE('Capacity summary'!AI137)),0),AI18*$BI18),AI18*$BI18),0)</f>
        <v>0</v>
      </c>
      <c r="CM18" s="313">
        <f>IF($BI18&lt;&gt;"",IF('Capacity summary'!$D$14="Yes",IF(COUNTBLANK('Capacity summary'!$H137:$BG137)&lt;52,IF('Capacity summary'!AJ137&lt;&gt;"",IF(LOWER('Capacity summary'!AJ137)="x",$BI18*AJ18,VALUE('Capacity summary'!AJ137)),0),AJ18*$BI18),AJ18*$BI18),0)</f>
        <v>0</v>
      </c>
      <c r="CN18" s="313">
        <f>IF($BI18&lt;&gt;"",IF('Capacity summary'!$D$14="Yes",IF(COUNTBLANK('Capacity summary'!$H137:$BG137)&lt;52,IF('Capacity summary'!AK137&lt;&gt;"",IF(LOWER('Capacity summary'!AK137)="x",$BI18*AK18,VALUE('Capacity summary'!AK137)),0),AK18*$BI18),AK18*$BI18),0)</f>
        <v>0</v>
      </c>
      <c r="CO18" s="313">
        <f>IF($BI18&lt;&gt;"",IF('Capacity summary'!$D$14="Yes",IF(COUNTBLANK('Capacity summary'!$H137:$BG137)&lt;52,IF('Capacity summary'!AL137&lt;&gt;"",IF(LOWER('Capacity summary'!AL137)="x",$BI18*AL18,VALUE('Capacity summary'!AL137)),0),AL18*$BI18),AL18*$BI18),0)</f>
        <v>0</v>
      </c>
      <c r="CP18" s="313">
        <f>IF($BI18&lt;&gt;"",IF('Capacity summary'!$D$14="Yes",IF(COUNTBLANK('Capacity summary'!$H137:$BG137)&lt;52,IF('Capacity summary'!AM137&lt;&gt;"",IF(LOWER('Capacity summary'!AM137)="x",$BI18*AM18,VALUE('Capacity summary'!AM137)),0),AM18*$BI18),AM18*$BI18),0)</f>
        <v>0</v>
      </c>
      <c r="CQ18" s="313">
        <f>IF($BI18&lt;&gt;"",IF('Capacity summary'!$D$14="Yes",IF(COUNTBLANK('Capacity summary'!$H137:$BG137)&lt;52,IF('Capacity summary'!AN137&lt;&gt;"",IF(LOWER('Capacity summary'!AN137)="x",$BI18*AN18,VALUE('Capacity summary'!AN137)),0),AN18*$BI18),AN18*$BI18),0)</f>
        <v>0</v>
      </c>
      <c r="CR18" s="313">
        <f>IF($BI18&lt;&gt;"",IF('Capacity summary'!$D$14="Yes",IF(COUNTBLANK('Capacity summary'!$H137:$BG137)&lt;52,IF('Capacity summary'!AO137&lt;&gt;"",IF(LOWER('Capacity summary'!AO137)="x",$BI18*AO18,VALUE('Capacity summary'!AO137)),0),AO18*$BI18),AO18*$BI18),0)</f>
        <v>0</v>
      </c>
      <c r="CS18" s="313">
        <f>IF($BI18&lt;&gt;"",IF('Capacity summary'!$D$14="Yes",IF(COUNTBLANK('Capacity summary'!$H137:$BG137)&lt;52,IF('Capacity summary'!AP137&lt;&gt;"",IF(LOWER('Capacity summary'!AP137)="x",$BI18*AP18,VALUE('Capacity summary'!AP137)),0),AP18*$BI18),AP18*$BI18),0)</f>
        <v>0</v>
      </c>
      <c r="CT18" s="313">
        <f>IF($BI18&lt;&gt;"",IF('Capacity summary'!$D$14="Yes",IF(COUNTBLANK('Capacity summary'!$H137:$BG137)&lt;52,IF('Capacity summary'!AQ137&lt;&gt;"",IF(LOWER('Capacity summary'!AQ137)="x",$BI18*AQ18,VALUE('Capacity summary'!AQ137)),0),AQ18*$BI18),AQ18*$BI18),0)</f>
        <v>0</v>
      </c>
      <c r="CU18" s="313">
        <f>IF($BI18&lt;&gt;"",IF('Capacity summary'!$D$14="Yes",IF(COUNTBLANK('Capacity summary'!$H137:$BG137)&lt;52,IF('Capacity summary'!AR137&lt;&gt;"",IF(LOWER('Capacity summary'!AR137)="x",$BI18*AR18,VALUE('Capacity summary'!AR137)),0),AR18*$BI18),AR18*$BI18),0)</f>
        <v>0</v>
      </c>
      <c r="CV18" s="313">
        <f>IF($BI18&lt;&gt;"",IF('Capacity summary'!$D$14="Yes",IF(COUNTBLANK('Capacity summary'!$H137:$BG137)&lt;52,IF('Capacity summary'!AS137&lt;&gt;"",IF(LOWER('Capacity summary'!AS137)="x",$BI18*AS18,VALUE('Capacity summary'!AS137)),0),AS18*$BI18),AS18*$BI18),0)</f>
        <v>0</v>
      </c>
      <c r="CW18" s="313">
        <f>IF($BI18&lt;&gt;"",IF('Capacity summary'!$D$14="Yes",IF(COUNTBLANK('Capacity summary'!$H137:$BG137)&lt;52,IF('Capacity summary'!AT137&lt;&gt;"",IF(LOWER('Capacity summary'!AT137)="x",$BI18*AT18,VALUE('Capacity summary'!AT137)),0),AT18*$BI18),AT18*$BI18),0)</f>
        <v>0</v>
      </c>
      <c r="CX18" s="313">
        <f>IF($BI18&lt;&gt;"",IF('Capacity summary'!$D$14="Yes",IF(COUNTBLANK('Capacity summary'!$H137:$BG137)&lt;52,IF('Capacity summary'!AU137&lt;&gt;"",IF(LOWER('Capacity summary'!AU137)="x",$BI18*AU18,VALUE('Capacity summary'!AU137)),0),AU18*$BI18),AU18*$BI18),0)</f>
        <v>0</v>
      </c>
      <c r="CY18" s="313">
        <f>IF($BI18&lt;&gt;"",IF('Capacity summary'!$D$14="Yes",IF(COUNTBLANK('Capacity summary'!$H137:$BG137)&lt;52,IF('Capacity summary'!AV137&lt;&gt;"",IF(LOWER('Capacity summary'!AV137)="x",$BI18*AV18,VALUE('Capacity summary'!AV137)),0),AV18*$BI18),AV18*$BI18),0)</f>
        <v>0</v>
      </c>
      <c r="CZ18" s="313">
        <f>IF($BI18&lt;&gt;"",IF('Capacity summary'!$D$14="Yes",IF(COUNTBLANK('Capacity summary'!$H137:$BG137)&lt;52,IF('Capacity summary'!AW137&lt;&gt;"",IF(LOWER('Capacity summary'!AW137)="x",$BI18*AW18,VALUE('Capacity summary'!AW137)),0),AW18*$BI18),AW18*$BI18),0)</f>
        <v>0</v>
      </c>
      <c r="DA18" s="313">
        <f>IF($BI18&lt;&gt;"",IF('Capacity summary'!$D$14="Yes",IF(COUNTBLANK('Capacity summary'!$H137:$BG137)&lt;52,IF('Capacity summary'!AX137&lt;&gt;"",IF(LOWER('Capacity summary'!AX137)="x",$BI18*AX18,VALUE('Capacity summary'!AX137)),0),AX18*$BI18),AX18*$BI18),0)</f>
        <v>0</v>
      </c>
      <c r="DB18" s="313">
        <f>IF($BI18&lt;&gt;"",IF('Capacity summary'!$D$14="Yes",IF(COUNTBLANK('Capacity summary'!$H137:$BG137)&lt;52,IF('Capacity summary'!AY137&lt;&gt;"",IF(LOWER('Capacity summary'!AY137)="x",$BI18*AY18,VALUE('Capacity summary'!AY137)),0),AY18*$BI18),AY18*$BI18),0)</f>
        <v>0</v>
      </c>
      <c r="DC18" s="313">
        <f>IF($BI18&lt;&gt;"",IF('Capacity summary'!$D$14="Yes",IF(COUNTBLANK('Capacity summary'!$H137:$BG137)&lt;52,IF('Capacity summary'!AZ137&lt;&gt;"",IF(LOWER('Capacity summary'!AZ137)="x",$BI18*AZ18,VALUE('Capacity summary'!AZ137)),0),AZ18*$BI18),AZ18*$BI18),0)</f>
        <v>0</v>
      </c>
      <c r="DD18" s="313">
        <f>IF($BI18&lt;&gt;"",IF('Capacity summary'!$D$14="Yes",IF(COUNTBLANK('Capacity summary'!$H137:$BG137)&lt;52,IF('Capacity summary'!BA137&lt;&gt;"",IF(LOWER('Capacity summary'!BA137)="x",$BI18*BA18,VALUE('Capacity summary'!BA137)),0),BA18*$BI18),BA18*$BI18),0)</f>
        <v>0</v>
      </c>
      <c r="DE18" s="313">
        <f>IF($BI18&lt;&gt;"",IF('Capacity summary'!$D$14="Yes",IF(COUNTBLANK('Capacity summary'!$H137:$BG137)&lt;52,IF('Capacity summary'!BB137&lt;&gt;"",IF(LOWER('Capacity summary'!BB137)="x",$BI18*BB18,VALUE('Capacity summary'!BB137)),0),BB18*$BI18),BB18*$BI18),0)</f>
        <v>0</v>
      </c>
      <c r="DF18" s="313">
        <f>IF($BI18&lt;&gt;"",IF('Capacity summary'!$D$14="Yes",IF(COUNTBLANK('Capacity summary'!$H137:$BG137)&lt;52,IF('Capacity summary'!BC137&lt;&gt;"",IF(LOWER('Capacity summary'!BC137)="x",$BI18*BC18,VALUE('Capacity summary'!BC137)),0),BC18*$BI18),BC18*$BI18),0)</f>
        <v>0</v>
      </c>
      <c r="DG18" s="313">
        <f>IF($BI18&lt;&gt;"",IF('Capacity summary'!$D$14="Yes",IF(COUNTBLANK('Capacity summary'!$H137:$BG137)&lt;52,IF('Capacity summary'!BD137&lt;&gt;"",IF(LOWER('Capacity summary'!BD137)="x",$BI18*BD18,VALUE('Capacity summary'!BD137)),0),BD18*$BI18),BD18*$BI18),0)</f>
        <v>0</v>
      </c>
      <c r="DH18" s="313">
        <f>IF($BI18&lt;&gt;"",IF('Capacity summary'!$D$14="Yes",IF(COUNTBLANK('Capacity summary'!$H137:$BG137)&lt;52,IF('Capacity summary'!BE137&lt;&gt;"",IF(LOWER('Capacity summary'!BE137)="x",$BI18*BE18,VALUE('Capacity summary'!BE137)),0),BE18*$BI18),BE18*$BI18),0)</f>
        <v>0</v>
      </c>
      <c r="DI18" s="313">
        <f>IF($BI18&lt;&gt;"",IF('Capacity summary'!$D$14="Yes",IF(COUNTBLANK('Capacity summary'!$H137:$BG137)&lt;52,IF('Capacity summary'!BF137&lt;&gt;"",IF(LOWER('Capacity summary'!BF137)="x",$BI18*BF18,VALUE('Capacity summary'!BF137)),0),BF18*$BI18),BF18*$BI18),0)</f>
        <v>0</v>
      </c>
      <c r="DJ18" s="313">
        <f>IF($BI18&lt;&gt;"",IF('Capacity summary'!$D$14="Yes",IF(COUNTBLANK('Capacity summary'!$H137:$BG137)&lt;52,IF('Capacity summary'!BG137&lt;&gt;"",IF(LOWER('Capacity summary'!BG137)="x",$BI18*BG18,VALUE('Capacity summary'!BG137)),0),BG18*$BI18),BG18*$BI18),0)</f>
        <v>0</v>
      </c>
      <c r="DK18" s="137">
        <f t="shared" si="2"/>
        <v>0</v>
      </c>
      <c r="DL18" s="313" t="str">
        <f>Capacity!H30</f>
        <v/>
      </c>
      <c r="DP18" s="5"/>
    </row>
    <row r="19" spans="2:120" x14ac:dyDescent="0.25">
      <c r="B19" s="67"/>
      <c r="C19" s="67" t="str">
        <f>ROW(A15)&amp;". "&amp;Capacity!B31</f>
        <v xml:space="preserve">15. </v>
      </c>
      <c r="D19" s="67">
        <f>'Capacity setup'!C26</f>
        <v>0</v>
      </c>
      <c r="E19" s="67">
        <f>'Capacity setup'!D26</f>
        <v>0</v>
      </c>
      <c r="F19" s="67">
        <f>'Capacity setup'!E26</f>
        <v>0</v>
      </c>
      <c r="H19" s="67">
        <f ca="1">IF(AND(SUMIF(Capacity_Resource,$D19,'Critical resources (hide)'!U$6:U$105)+SUMIF(Capacity_Resource,$E19,'Critical resources (hide)'!U$6:U$105)+SUMIF(Capacity_Resource,$F19,'Critical resources (hide)'!U$6:U$105)&gt;0,$E$1=2),0,1)</f>
        <v>1</v>
      </c>
      <c r="I19" s="67">
        <f ca="1">IF(AND(SUMIF(Capacity_Resource,$D19,'Critical resources (hide)'!V$6:V$105)+SUMIF(Capacity_Resource,$E19,'Critical resources (hide)'!V$6:V$105)+SUMIF(Capacity_Resource,$F19,'Critical resources (hide)'!V$6:V$105)&gt;0,$E$1=2),0,1)</f>
        <v>1</v>
      </c>
      <c r="J19" s="67">
        <f ca="1">IF(AND(SUMIF(Capacity_Resource,$D19,'Critical resources (hide)'!W$6:W$105)+SUMIF(Capacity_Resource,$E19,'Critical resources (hide)'!W$6:W$105)+SUMIF(Capacity_Resource,$F19,'Critical resources (hide)'!W$6:W$105)&gt;0,$E$1=2),0,1)</f>
        <v>1</v>
      </c>
      <c r="K19" s="67">
        <f ca="1">IF(AND(SUMIF(Capacity_Resource,$D19,'Critical resources (hide)'!X$6:X$105)+SUMIF(Capacity_Resource,$E19,'Critical resources (hide)'!X$6:X$105)+SUMIF(Capacity_Resource,$F19,'Critical resources (hide)'!X$6:X$105)&gt;0,$E$1=2),0,1)</f>
        <v>1</v>
      </c>
      <c r="L19" s="67">
        <f ca="1">IF(AND(SUMIF(Capacity_Resource,$D19,'Critical resources (hide)'!Y$6:Y$105)+SUMIF(Capacity_Resource,$E19,'Critical resources (hide)'!Y$6:Y$105)+SUMIF(Capacity_Resource,$F19,'Critical resources (hide)'!Y$6:Y$105)&gt;0,$E$1=2),0,1)</f>
        <v>1</v>
      </c>
      <c r="M19" s="67">
        <f ca="1">IF(AND(SUMIF(Capacity_Resource,$D19,'Critical resources (hide)'!Z$6:Z$105)+SUMIF(Capacity_Resource,$E19,'Critical resources (hide)'!Z$6:Z$105)+SUMIF(Capacity_Resource,$F19,'Critical resources (hide)'!Z$6:Z$105)&gt;0,$E$1=2),0,1)</f>
        <v>1</v>
      </c>
      <c r="N19" s="67">
        <f ca="1">IF(AND(SUMIF(Capacity_Resource,$D19,'Critical resources (hide)'!AA$6:AA$105)+SUMIF(Capacity_Resource,$E19,'Critical resources (hide)'!AA$6:AA$105)+SUMIF(Capacity_Resource,$F19,'Critical resources (hide)'!AA$6:AA$105)&gt;0,$E$1=2),0,1)</f>
        <v>1</v>
      </c>
      <c r="O19" s="67">
        <f ca="1">IF(AND(SUMIF(Capacity_Resource,$D19,'Critical resources (hide)'!AB$6:AB$105)+SUMIF(Capacity_Resource,$E19,'Critical resources (hide)'!AB$6:AB$105)+SUMIF(Capacity_Resource,$F19,'Critical resources (hide)'!AB$6:AB$105)&gt;0,$E$1=2),0,1)</f>
        <v>1</v>
      </c>
      <c r="P19" s="67">
        <f ca="1">IF(AND(SUMIF(Capacity_Resource,$D19,'Critical resources (hide)'!AC$6:AC$105)+SUMIF(Capacity_Resource,$E19,'Critical resources (hide)'!AC$6:AC$105)+SUMIF(Capacity_Resource,$F19,'Critical resources (hide)'!AC$6:AC$105)&gt;0,$E$1=2),0,1)</f>
        <v>1</v>
      </c>
      <c r="Q19" s="67">
        <f ca="1">IF(AND(SUMIF(Capacity_Resource,$D19,'Critical resources (hide)'!AD$6:AD$105)+SUMIF(Capacity_Resource,$E19,'Critical resources (hide)'!AD$6:AD$105)+SUMIF(Capacity_Resource,$F19,'Critical resources (hide)'!AD$6:AD$105)&gt;0,$E$1=2),0,1)</f>
        <v>1</v>
      </c>
      <c r="R19" s="67">
        <f ca="1">IF(AND(SUMIF(Capacity_Resource,$D19,'Critical resources (hide)'!AE$6:AE$105)+SUMIF(Capacity_Resource,$E19,'Critical resources (hide)'!AE$6:AE$105)+SUMIF(Capacity_Resource,$F19,'Critical resources (hide)'!AE$6:AE$105)&gt;0,$E$1=2),0,1)</f>
        <v>1</v>
      </c>
      <c r="S19" s="67">
        <f ca="1">IF(AND(SUMIF(Capacity_Resource,$D19,'Critical resources (hide)'!AF$6:AF$105)+SUMIF(Capacity_Resource,$E19,'Critical resources (hide)'!AF$6:AF$105)+SUMIF(Capacity_Resource,$F19,'Critical resources (hide)'!AF$6:AF$105)&gt;0,$E$1=2),0,1)</f>
        <v>1</v>
      </c>
      <c r="T19" s="67">
        <f ca="1">IF(AND(SUMIF(Capacity_Resource,$D19,'Critical resources (hide)'!AG$6:AG$105)+SUMIF(Capacity_Resource,$E19,'Critical resources (hide)'!AG$6:AG$105)+SUMIF(Capacity_Resource,$F19,'Critical resources (hide)'!AG$6:AG$105)&gt;0,$E$1=2),0,1)</f>
        <v>1</v>
      </c>
      <c r="U19" s="67">
        <f ca="1">IF(AND(SUMIF(Capacity_Resource,$D19,'Critical resources (hide)'!AH$6:AH$105)+SUMIF(Capacity_Resource,$E19,'Critical resources (hide)'!AH$6:AH$105)+SUMIF(Capacity_Resource,$F19,'Critical resources (hide)'!AH$6:AH$105)&gt;0,$E$1=2),0,1)</f>
        <v>1</v>
      </c>
      <c r="V19" s="67">
        <f ca="1">IF(AND(SUMIF(Capacity_Resource,$D19,'Critical resources (hide)'!AI$6:AI$105)+SUMIF(Capacity_Resource,$E19,'Critical resources (hide)'!AI$6:AI$105)+SUMIF(Capacity_Resource,$F19,'Critical resources (hide)'!AI$6:AI$105)&gt;0,$E$1=2),0,1)</f>
        <v>1</v>
      </c>
      <c r="W19" s="67">
        <f ca="1">IF(AND(SUMIF(Capacity_Resource,$D19,'Critical resources (hide)'!AJ$6:AJ$105)+SUMIF(Capacity_Resource,$E19,'Critical resources (hide)'!AJ$6:AJ$105)+SUMIF(Capacity_Resource,$F19,'Critical resources (hide)'!AJ$6:AJ$105)&gt;0,$E$1=2),0,1)</f>
        <v>1</v>
      </c>
      <c r="X19" s="67">
        <f ca="1">IF(AND(SUMIF(Capacity_Resource,$D19,'Critical resources (hide)'!AK$6:AK$105)+SUMIF(Capacity_Resource,$E19,'Critical resources (hide)'!AK$6:AK$105)+SUMIF(Capacity_Resource,$F19,'Critical resources (hide)'!AK$6:AK$105)&gt;0,$E$1=2),0,1)</f>
        <v>1</v>
      </c>
      <c r="Y19" s="67">
        <f ca="1">IF(AND(SUMIF(Capacity_Resource,$D19,'Critical resources (hide)'!AL$6:AL$105)+SUMIF(Capacity_Resource,$E19,'Critical resources (hide)'!AL$6:AL$105)+SUMIF(Capacity_Resource,$F19,'Critical resources (hide)'!AL$6:AL$105)&gt;0,$E$1=2),0,1)</f>
        <v>1</v>
      </c>
      <c r="Z19" s="67">
        <f ca="1">IF(AND(SUMIF(Capacity_Resource,$D19,'Critical resources (hide)'!AM$6:AM$105)+SUMIF(Capacity_Resource,$E19,'Critical resources (hide)'!AM$6:AM$105)+SUMIF(Capacity_Resource,$F19,'Critical resources (hide)'!AM$6:AM$105)&gt;0,$E$1=2),0,1)</f>
        <v>1</v>
      </c>
      <c r="AA19" s="67">
        <f ca="1">IF(AND(SUMIF(Capacity_Resource,$D19,'Critical resources (hide)'!AN$6:AN$105)+SUMIF(Capacity_Resource,$E19,'Critical resources (hide)'!AN$6:AN$105)+SUMIF(Capacity_Resource,$F19,'Critical resources (hide)'!AN$6:AN$105)&gt;0,$E$1=2),0,1)</f>
        <v>1</v>
      </c>
      <c r="AB19" s="67">
        <f ca="1">IF(AND(SUMIF(Capacity_Resource,$D19,'Critical resources (hide)'!AO$6:AO$105)+SUMIF(Capacity_Resource,$E19,'Critical resources (hide)'!AO$6:AO$105)+SUMIF(Capacity_Resource,$F19,'Critical resources (hide)'!AO$6:AO$105)&gt;0,$E$1=2),0,1)</f>
        <v>1</v>
      </c>
      <c r="AC19" s="67">
        <f ca="1">IF(AND(SUMIF(Capacity_Resource,$D19,'Critical resources (hide)'!AP$6:AP$105)+SUMIF(Capacity_Resource,$E19,'Critical resources (hide)'!AP$6:AP$105)+SUMIF(Capacity_Resource,$F19,'Critical resources (hide)'!AP$6:AP$105)&gt;0,$E$1=2),0,1)</f>
        <v>1</v>
      </c>
      <c r="AD19" s="67">
        <f ca="1">IF(AND(SUMIF(Capacity_Resource,$D19,'Critical resources (hide)'!AQ$6:AQ$105)+SUMIF(Capacity_Resource,$E19,'Critical resources (hide)'!AQ$6:AQ$105)+SUMIF(Capacity_Resource,$F19,'Critical resources (hide)'!AQ$6:AQ$105)&gt;0,$E$1=2),0,1)</f>
        <v>1</v>
      </c>
      <c r="AE19" s="67">
        <f ca="1">IF(AND(SUMIF(Capacity_Resource,$D19,'Critical resources (hide)'!AR$6:AR$105)+SUMIF(Capacity_Resource,$E19,'Critical resources (hide)'!AR$6:AR$105)+SUMIF(Capacity_Resource,$F19,'Critical resources (hide)'!AR$6:AR$105)&gt;0,$E$1=2),0,1)</f>
        <v>1</v>
      </c>
      <c r="AF19" s="67">
        <f ca="1">IF(AND(SUMIF(Capacity_Resource,$D19,'Critical resources (hide)'!AS$6:AS$105)+SUMIF(Capacity_Resource,$E19,'Critical resources (hide)'!AS$6:AS$105)+SUMIF(Capacity_Resource,$F19,'Critical resources (hide)'!AS$6:AS$105)&gt;0,$E$1=2),0,1)</f>
        <v>1</v>
      </c>
      <c r="AG19" s="67">
        <f ca="1">IF(AND(SUMIF(Capacity_Resource,$D19,'Critical resources (hide)'!AT$6:AT$105)+SUMIF(Capacity_Resource,$E19,'Critical resources (hide)'!AT$6:AT$105)+SUMIF(Capacity_Resource,$F19,'Critical resources (hide)'!AT$6:AT$105)&gt;0,$E$1=2),0,1)</f>
        <v>1</v>
      </c>
      <c r="AH19" s="67">
        <f ca="1">IF(AND(SUMIF(Capacity_Resource,$D19,'Critical resources (hide)'!AU$6:AU$105)+SUMIF(Capacity_Resource,$E19,'Critical resources (hide)'!AU$6:AU$105)+SUMIF(Capacity_Resource,$F19,'Critical resources (hide)'!AU$6:AU$105)&gt;0,$E$1=2),0,1)</f>
        <v>1</v>
      </c>
      <c r="AI19" s="67">
        <f ca="1">IF(AND(SUMIF(Capacity_Resource,$D19,'Critical resources (hide)'!AV$6:AV$105)+SUMIF(Capacity_Resource,$E19,'Critical resources (hide)'!AV$6:AV$105)+SUMIF(Capacity_Resource,$F19,'Critical resources (hide)'!AV$6:AV$105)&gt;0,$E$1=2),0,1)</f>
        <v>1</v>
      </c>
      <c r="AJ19" s="67">
        <f ca="1">IF(AND(SUMIF(Capacity_Resource,$D19,'Critical resources (hide)'!AW$6:AW$105)+SUMIF(Capacity_Resource,$E19,'Critical resources (hide)'!AW$6:AW$105)+SUMIF(Capacity_Resource,$F19,'Critical resources (hide)'!AW$6:AW$105)&gt;0,$E$1=2),0,1)</f>
        <v>1</v>
      </c>
      <c r="AK19" s="67">
        <f ca="1">IF(AND(SUMIF(Capacity_Resource,$D19,'Critical resources (hide)'!AX$6:AX$105)+SUMIF(Capacity_Resource,$E19,'Critical resources (hide)'!AX$6:AX$105)+SUMIF(Capacity_Resource,$F19,'Critical resources (hide)'!AX$6:AX$105)&gt;0,$E$1=2),0,1)</f>
        <v>1</v>
      </c>
      <c r="AL19" s="67">
        <f ca="1">IF(AND(SUMIF(Capacity_Resource,$D19,'Critical resources (hide)'!AY$6:AY$105)+SUMIF(Capacity_Resource,$E19,'Critical resources (hide)'!AY$6:AY$105)+SUMIF(Capacity_Resource,$F19,'Critical resources (hide)'!AY$6:AY$105)&gt;0,$E$1=2),0,1)</f>
        <v>1</v>
      </c>
      <c r="AM19" s="67">
        <f ca="1">IF(AND(SUMIF(Capacity_Resource,$D19,'Critical resources (hide)'!AZ$6:AZ$105)+SUMIF(Capacity_Resource,$E19,'Critical resources (hide)'!AZ$6:AZ$105)+SUMIF(Capacity_Resource,$F19,'Critical resources (hide)'!AZ$6:AZ$105)&gt;0,$E$1=2),0,1)</f>
        <v>1</v>
      </c>
      <c r="AN19" s="67">
        <f ca="1">IF(AND(SUMIF(Capacity_Resource,$D19,'Critical resources (hide)'!BA$6:BA$105)+SUMIF(Capacity_Resource,$E19,'Critical resources (hide)'!BA$6:BA$105)+SUMIF(Capacity_Resource,$F19,'Critical resources (hide)'!BA$6:BA$105)&gt;0,$E$1=2),0,1)</f>
        <v>1</v>
      </c>
      <c r="AO19" s="67">
        <f ca="1">IF(AND(SUMIF(Capacity_Resource,$D19,'Critical resources (hide)'!BB$6:BB$105)+SUMIF(Capacity_Resource,$E19,'Critical resources (hide)'!BB$6:BB$105)+SUMIF(Capacity_Resource,$F19,'Critical resources (hide)'!BB$6:BB$105)&gt;0,$E$1=2),0,1)</f>
        <v>1</v>
      </c>
      <c r="AP19" s="67">
        <f ca="1">IF(AND(SUMIF(Capacity_Resource,$D19,'Critical resources (hide)'!BC$6:BC$105)+SUMIF(Capacity_Resource,$E19,'Critical resources (hide)'!BC$6:BC$105)+SUMIF(Capacity_Resource,$F19,'Critical resources (hide)'!BC$6:BC$105)&gt;0,$E$1=2),0,1)</f>
        <v>1</v>
      </c>
      <c r="AQ19" s="67">
        <f ca="1">IF(AND(SUMIF(Capacity_Resource,$D19,'Critical resources (hide)'!BD$6:BD$105)+SUMIF(Capacity_Resource,$E19,'Critical resources (hide)'!BD$6:BD$105)+SUMIF(Capacity_Resource,$F19,'Critical resources (hide)'!BD$6:BD$105)&gt;0,$E$1=2),0,1)</f>
        <v>1</v>
      </c>
      <c r="AR19" s="67">
        <f ca="1">IF(AND(SUMIF(Capacity_Resource,$D19,'Critical resources (hide)'!BE$6:BE$105)+SUMIF(Capacity_Resource,$E19,'Critical resources (hide)'!BE$6:BE$105)+SUMIF(Capacity_Resource,$F19,'Critical resources (hide)'!BE$6:BE$105)&gt;0,$E$1=2),0,1)</f>
        <v>1</v>
      </c>
      <c r="AS19" s="67">
        <f ca="1">IF(AND(SUMIF(Capacity_Resource,$D19,'Critical resources (hide)'!BF$6:BF$105)+SUMIF(Capacity_Resource,$E19,'Critical resources (hide)'!BF$6:BF$105)+SUMIF(Capacity_Resource,$F19,'Critical resources (hide)'!BF$6:BF$105)&gt;0,$E$1=2),0,1)</f>
        <v>1</v>
      </c>
      <c r="AT19" s="67">
        <f ca="1">IF(AND(SUMIF(Capacity_Resource,$D19,'Critical resources (hide)'!BG$6:BG$105)+SUMIF(Capacity_Resource,$E19,'Critical resources (hide)'!BG$6:BG$105)+SUMIF(Capacity_Resource,$F19,'Critical resources (hide)'!BG$6:BG$105)&gt;0,$E$1=2),0,1)</f>
        <v>1</v>
      </c>
      <c r="AU19" s="67">
        <f ca="1">IF(AND(SUMIF(Capacity_Resource,$D19,'Critical resources (hide)'!BH$6:BH$105)+SUMIF(Capacity_Resource,$E19,'Critical resources (hide)'!BH$6:BH$105)+SUMIF(Capacity_Resource,$F19,'Critical resources (hide)'!BH$6:BH$105)&gt;0,$E$1=2),0,1)</f>
        <v>1</v>
      </c>
      <c r="AV19" s="67">
        <f ca="1">IF(AND(SUMIF(Capacity_Resource,$D19,'Critical resources (hide)'!BI$6:BI$105)+SUMIF(Capacity_Resource,$E19,'Critical resources (hide)'!BI$6:BI$105)+SUMIF(Capacity_Resource,$F19,'Critical resources (hide)'!BI$6:BI$105)&gt;0,$E$1=2),0,1)</f>
        <v>1</v>
      </c>
      <c r="AW19" s="67">
        <f ca="1">IF(AND(SUMIF(Capacity_Resource,$D19,'Critical resources (hide)'!BJ$6:BJ$105)+SUMIF(Capacity_Resource,$E19,'Critical resources (hide)'!BJ$6:BJ$105)+SUMIF(Capacity_Resource,$F19,'Critical resources (hide)'!BJ$6:BJ$105)&gt;0,$E$1=2),0,1)</f>
        <v>1</v>
      </c>
      <c r="AX19" s="67">
        <f ca="1">IF(AND(SUMIF(Capacity_Resource,$D19,'Critical resources (hide)'!BK$6:BK$105)+SUMIF(Capacity_Resource,$E19,'Critical resources (hide)'!BK$6:BK$105)+SUMIF(Capacity_Resource,$F19,'Critical resources (hide)'!BK$6:BK$105)&gt;0,$E$1=2),0,1)</f>
        <v>1</v>
      </c>
      <c r="AY19" s="67">
        <f ca="1">IF(AND(SUMIF(Capacity_Resource,$D19,'Critical resources (hide)'!BL$6:BL$105)+SUMIF(Capacity_Resource,$E19,'Critical resources (hide)'!BL$6:BL$105)+SUMIF(Capacity_Resource,$F19,'Critical resources (hide)'!BL$6:BL$105)&gt;0,$E$1=2),0,1)</f>
        <v>1</v>
      </c>
      <c r="AZ19" s="67">
        <f ca="1">IF(AND(SUMIF(Capacity_Resource,$D19,'Critical resources (hide)'!BM$6:BM$105)+SUMIF(Capacity_Resource,$E19,'Critical resources (hide)'!BM$6:BM$105)+SUMIF(Capacity_Resource,$F19,'Critical resources (hide)'!BM$6:BM$105)&gt;0,$E$1=2),0,1)</f>
        <v>1</v>
      </c>
      <c r="BA19" s="67">
        <f ca="1">IF(AND(SUMIF(Capacity_Resource,$D19,'Critical resources (hide)'!BN$6:BN$105)+SUMIF(Capacity_Resource,$E19,'Critical resources (hide)'!BN$6:BN$105)+SUMIF(Capacity_Resource,$F19,'Critical resources (hide)'!BN$6:BN$105)&gt;0,$E$1=2),0,1)</f>
        <v>1</v>
      </c>
      <c r="BB19" s="67">
        <f ca="1">IF(AND(SUMIF(Capacity_Resource,$D19,'Critical resources (hide)'!BO$6:BO$105)+SUMIF(Capacity_Resource,$E19,'Critical resources (hide)'!BO$6:BO$105)+SUMIF(Capacity_Resource,$F19,'Critical resources (hide)'!BO$6:BO$105)&gt;0,$E$1=2),0,1)</f>
        <v>1</v>
      </c>
      <c r="BC19" s="67">
        <f ca="1">IF(AND(SUMIF(Capacity_Resource,$D19,'Critical resources (hide)'!BP$6:BP$105)+SUMIF(Capacity_Resource,$E19,'Critical resources (hide)'!BP$6:BP$105)+SUMIF(Capacity_Resource,$F19,'Critical resources (hide)'!BP$6:BP$105)&gt;0,$E$1=2),0,1)</f>
        <v>1</v>
      </c>
      <c r="BD19" s="67">
        <f ca="1">IF(AND(SUMIF(Capacity_Resource,$D19,'Critical resources (hide)'!BQ$6:BQ$105)+SUMIF(Capacity_Resource,$E19,'Critical resources (hide)'!BQ$6:BQ$105)+SUMIF(Capacity_Resource,$F19,'Critical resources (hide)'!BQ$6:BQ$105)&gt;0,$E$1=2),0,1)</f>
        <v>1</v>
      </c>
      <c r="BE19" s="67">
        <f ca="1">IF(AND(SUMIF(Capacity_Resource,$D19,'Critical resources (hide)'!BR$6:BR$105)+SUMIF(Capacity_Resource,$E19,'Critical resources (hide)'!BR$6:BR$105)+SUMIF(Capacity_Resource,$F19,'Critical resources (hide)'!BR$6:BR$105)&gt;0,$E$1=2),0,1)</f>
        <v>1</v>
      </c>
      <c r="BF19" s="67">
        <f ca="1">IF(AND(SUMIF(Capacity_Resource,$D19,'Critical resources (hide)'!BS$6:BS$105)+SUMIF(Capacity_Resource,$E19,'Critical resources (hide)'!BS$6:BS$105)+SUMIF(Capacity_Resource,$F19,'Critical resources (hide)'!BS$6:BS$105)&gt;0,$E$1=2),0,1)</f>
        <v>1</v>
      </c>
      <c r="BG19" s="67">
        <f ca="1">IF(AND(SUMIF(Capacity_Resource,$D19,'Critical resources (hide)'!BT$6:BT$105)+SUMIF(Capacity_Resource,$E19,'Critical resources (hide)'!BT$6:BT$105)+SUMIF(Capacity_Resource,$F19,'Critical resources (hide)'!BT$6:BT$105)&gt;0,$E$1=2),0,1)</f>
        <v>1</v>
      </c>
      <c r="BH19" s="67">
        <f>IF(ROW(C15)&lt;=Capacity!$A$16,IF('Capacity summary'!$D$14="No",SUM(H19:BG19),'Capacity summary'!$E138),0)</f>
        <v>0</v>
      </c>
      <c r="BI19" s="5" t="str">
        <f>IF(BH19&gt;0,IF(BH19&lt;Capacity!E31,Capacity!F31,Capacity!H31/'Capacity calculation (hide)'!BH19),"")</f>
        <v/>
      </c>
      <c r="BK19" s="313">
        <f>IF($BI19&lt;&gt;"",IF('Capacity summary'!$D$14="Yes",IF(COUNTBLANK('Capacity summary'!$H138:$BG138)&lt;52,IF('Capacity summary'!H138&lt;&gt;"",IF(LOWER('Capacity summary'!H138)="x",$BI19*H19,VALUE('Capacity summary'!H138)),0),H19*$BI19),H19*$BI19),0)</f>
        <v>0</v>
      </c>
      <c r="BL19" s="313">
        <f>IF($BI19&lt;&gt;"",IF('Capacity summary'!$D$14="Yes",IF(COUNTBLANK('Capacity summary'!$H138:$BG138)&lt;52,IF('Capacity summary'!I138&lt;&gt;"",IF(LOWER('Capacity summary'!I138)="x",$BI19*I19,VALUE('Capacity summary'!I138)),0),I19*$BI19),I19*$BI19),0)</f>
        <v>0</v>
      </c>
      <c r="BM19" s="313">
        <f>IF($BI19&lt;&gt;"",IF('Capacity summary'!$D$14="Yes",IF(COUNTBLANK('Capacity summary'!$H138:$BG138)&lt;52,IF('Capacity summary'!J138&lt;&gt;"",IF(LOWER('Capacity summary'!J138)="x",$BI19*J19,VALUE('Capacity summary'!J138)),0),J19*$BI19),J19*$BI19),0)</f>
        <v>0</v>
      </c>
      <c r="BN19" s="313">
        <f>IF($BI19&lt;&gt;"",IF('Capacity summary'!$D$14="Yes",IF(COUNTBLANK('Capacity summary'!$H138:$BG138)&lt;52,IF('Capacity summary'!K138&lt;&gt;"",IF(LOWER('Capacity summary'!K138)="x",$BI19*K19,VALUE('Capacity summary'!K138)),0),K19*$BI19),K19*$BI19),0)</f>
        <v>0</v>
      </c>
      <c r="BO19" s="313">
        <f>IF($BI19&lt;&gt;"",IF('Capacity summary'!$D$14="Yes",IF(COUNTBLANK('Capacity summary'!$H138:$BG138)&lt;52,IF('Capacity summary'!L138&lt;&gt;"",IF(LOWER('Capacity summary'!L138)="x",$BI19*L19,VALUE('Capacity summary'!L138)),0),L19*$BI19),L19*$BI19),0)</f>
        <v>0</v>
      </c>
      <c r="BP19" s="313">
        <f>IF($BI19&lt;&gt;"",IF('Capacity summary'!$D$14="Yes",IF(COUNTBLANK('Capacity summary'!$H138:$BG138)&lt;52,IF('Capacity summary'!M138&lt;&gt;"",IF(LOWER('Capacity summary'!M138)="x",$BI19*M19,VALUE('Capacity summary'!M138)),0),M19*$BI19),M19*$BI19),0)</f>
        <v>0</v>
      </c>
      <c r="BQ19" s="313">
        <f>IF($BI19&lt;&gt;"",IF('Capacity summary'!$D$14="Yes",IF(COUNTBLANK('Capacity summary'!$H138:$BG138)&lt;52,IF('Capacity summary'!N138&lt;&gt;"",IF(LOWER('Capacity summary'!N138)="x",$BI19*N19,VALUE('Capacity summary'!N138)),0),N19*$BI19),N19*$BI19),0)</f>
        <v>0</v>
      </c>
      <c r="BR19" s="313">
        <f>IF($BI19&lt;&gt;"",IF('Capacity summary'!$D$14="Yes",IF(COUNTBLANK('Capacity summary'!$H138:$BG138)&lt;52,IF('Capacity summary'!O138&lt;&gt;"",IF(LOWER('Capacity summary'!O138)="x",$BI19*O19,VALUE('Capacity summary'!O138)),0),O19*$BI19),O19*$BI19),0)</f>
        <v>0</v>
      </c>
      <c r="BS19" s="313">
        <f>IF($BI19&lt;&gt;"",IF('Capacity summary'!$D$14="Yes",IF(COUNTBLANK('Capacity summary'!$H138:$BG138)&lt;52,IF('Capacity summary'!P138&lt;&gt;"",IF(LOWER('Capacity summary'!P138)="x",$BI19*P19,VALUE('Capacity summary'!P138)),0),P19*$BI19),P19*$BI19),0)</f>
        <v>0</v>
      </c>
      <c r="BT19" s="313">
        <f>IF($BI19&lt;&gt;"",IF('Capacity summary'!$D$14="Yes",IF(COUNTBLANK('Capacity summary'!$H138:$BG138)&lt;52,IF('Capacity summary'!Q138&lt;&gt;"",IF(LOWER('Capacity summary'!Q138)="x",$BI19*Q19,VALUE('Capacity summary'!Q138)),0),Q19*$BI19),Q19*$BI19),0)</f>
        <v>0</v>
      </c>
      <c r="BU19" s="313">
        <f>IF($BI19&lt;&gt;"",IF('Capacity summary'!$D$14="Yes",IF(COUNTBLANK('Capacity summary'!$H138:$BG138)&lt;52,IF('Capacity summary'!R138&lt;&gt;"",IF(LOWER('Capacity summary'!R138)="x",$BI19*R19,VALUE('Capacity summary'!R138)),0),R19*$BI19),R19*$BI19),0)</f>
        <v>0</v>
      </c>
      <c r="BV19" s="313">
        <f>IF($BI19&lt;&gt;"",IF('Capacity summary'!$D$14="Yes",IF(COUNTBLANK('Capacity summary'!$H138:$BG138)&lt;52,IF('Capacity summary'!S138&lt;&gt;"",IF(LOWER('Capacity summary'!S138)="x",$BI19*S19,VALUE('Capacity summary'!S138)),0),S19*$BI19),S19*$BI19),0)</f>
        <v>0</v>
      </c>
      <c r="BW19" s="313">
        <f>IF($BI19&lt;&gt;"",IF('Capacity summary'!$D$14="Yes",IF(COUNTBLANK('Capacity summary'!$H138:$BG138)&lt;52,IF('Capacity summary'!T138&lt;&gt;"",IF(LOWER('Capacity summary'!T138)="x",$BI19*T19,VALUE('Capacity summary'!T138)),0),T19*$BI19),T19*$BI19),0)</f>
        <v>0</v>
      </c>
      <c r="BX19" s="313">
        <f>IF($BI19&lt;&gt;"",IF('Capacity summary'!$D$14="Yes",IF(COUNTBLANK('Capacity summary'!$H138:$BG138)&lt;52,IF('Capacity summary'!U138&lt;&gt;"",IF(LOWER('Capacity summary'!U138)="x",$BI19*U19,VALUE('Capacity summary'!U138)),0),U19*$BI19),U19*$BI19),0)</f>
        <v>0</v>
      </c>
      <c r="BY19" s="313">
        <f>IF($BI19&lt;&gt;"",IF('Capacity summary'!$D$14="Yes",IF(COUNTBLANK('Capacity summary'!$H138:$BG138)&lt;52,IF('Capacity summary'!V138&lt;&gt;"",IF(LOWER('Capacity summary'!V138)="x",$BI19*V19,VALUE('Capacity summary'!V138)),0),V19*$BI19),V19*$BI19),0)</f>
        <v>0</v>
      </c>
      <c r="BZ19" s="313">
        <f>IF($BI19&lt;&gt;"",IF('Capacity summary'!$D$14="Yes",IF(COUNTBLANK('Capacity summary'!$H138:$BG138)&lt;52,IF('Capacity summary'!W138&lt;&gt;"",IF(LOWER('Capacity summary'!W138)="x",$BI19*W19,VALUE('Capacity summary'!W138)),0),W19*$BI19),W19*$BI19),0)</f>
        <v>0</v>
      </c>
      <c r="CA19" s="313">
        <f>IF($BI19&lt;&gt;"",IF('Capacity summary'!$D$14="Yes",IF(COUNTBLANK('Capacity summary'!$H138:$BG138)&lt;52,IF('Capacity summary'!X138&lt;&gt;"",IF(LOWER('Capacity summary'!X138)="x",$BI19*X19,VALUE('Capacity summary'!X138)),0),X19*$BI19),X19*$BI19),0)</f>
        <v>0</v>
      </c>
      <c r="CB19" s="313">
        <f>IF($BI19&lt;&gt;"",IF('Capacity summary'!$D$14="Yes",IF(COUNTBLANK('Capacity summary'!$H138:$BG138)&lt;52,IF('Capacity summary'!Y138&lt;&gt;"",IF(LOWER('Capacity summary'!Y138)="x",$BI19*Y19,VALUE('Capacity summary'!Y138)),0),Y19*$BI19),Y19*$BI19),0)</f>
        <v>0</v>
      </c>
      <c r="CC19" s="313">
        <f>IF($BI19&lt;&gt;"",IF('Capacity summary'!$D$14="Yes",IF(COUNTBLANK('Capacity summary'!$H138:$BG138)&lt;52,IF('Capacity summary'!Z138&lt;&gt;"",IF(LOWER('Capacity summary'!Z138)="x",$BI19*Z19,VALUE('Capacity summary'!Z138)),0),Z19*$BI19),Z19*$BI19),0)</f>
        <v>0</v>
      </c>
      <c r="CD19" s="313">
        <f>IF($BI19&lt;&gt;"",IF('Capacity summary'!$D$14="Yes",IF(COUNTBLANK('Capacity summary'!$H138:$BG138)&lt;52,IF('Capacity summary'!AA138&lt;&gt;"",IF(LOWER('Capacity summary'!AA138)="x",$BI19*AA19,VALUE('Capacity summary'!AA138)),0),AA19*$BI19),AA19*$BI19),0)</f>
        <v>0</v>
      </c>
      <c r="CE19" s="313">
        <f>IF($BI19&lt;&gt;"",IF('Capacity summary'!$D$14="Yes",IF(COUNTBLANK('Capacity summary'!$H138:$BG138)&lt;52,IF('Capacity summary'!AB138&lt;&gt;"",IF(LOWER('Capacity summary'!AB138)="x",$BI19*AB19,VALUE('Capacity summary'!AB138)),0),AB19*$BI19),AB19*$BI19),0)</f>
        <v>0</v>
      </c>
      <c r="CF19" s="313">
        <f>IF($BI19&lt;&gt;"",IF('Capacity summary'!$D$14="Yes",IF(COUNTBLANK('Capacity summary'!$H138:$BG138)&lt;52,IF('Capacity summary'!AC138&lt;&gt;"",IF(LOWER('Capacity summary'!AC138)="x",$BI19*AC19,VALUE('Capacity summary'!AC138)),0),AC19*$BI19),AC19*$BI19),0)</f>
        <v>0</v>
      </c>
      <c r="CG19" s="313">
        <f>IF($BI19&lt;&gt;"",IF('Capacity summary'!$D$14="Yes",IF(COUNTBLANK('Capacity summary'!$H138:$BG138)&lt;52,IF('Capacity summary'!AD138&lt;&gt;"",IF(LOWER('Capacity summary'!AD138)="x",$BI19*AD19,VALUE('Capacity summary'!AD138)),0),AD19*$BI19),AD19*$BI19),0)</f>
        <v>0</v>
      </c>
      <c r="CH19" s="313">
        <f>IF($BI19&lt;&gt;"",IF('Capacity summary'!$D$14="Yes",IF(COUNTBLANK('Capacity summary'!$H138:$BG138)&lt;52,IF('Capacity summary'!AE138&lt;&gt;"",IF(LOWER('Capacity summary'!AE138)="x",$BI19*AE19,VALUE('Capacity summary'!AE138)),0),AE19*$BI19),AE19*$BI19),0)</f>
        <v>0</v>
      </c>
      <c r="CI19" s="313">
        <f>IF($BI19&lt;&gt;"",IF('Capacity summary'!$D$14="Yes",IF(COUNTBLANK('Capacity summary'!$H138:$BG138)&lt;52,IF('Capacity summary'!AF138&lt;&gt;"",IF(LOWER('Capacity summary'!AF138)="x",$BI19*AF19,VALUE('Capacity summary'!AF138)),0),AF19*$BI19),AF19*$BI19),0)</f>
        <v>0</v>
      </c>
      <c r="CJ19" s="313">
        <f>IF($BI19&lt;&gt;"",IF('Capacity summary'!$D$14="Yes",IF(COUNTBLANK('Capacity summary'!$H138:$BG138)&lt;52,IF('Capacity summary'!AG138&lt;&gt;"",IF(LOWER('Capacity summary'!AG138)="x",$BI19*AG19,VALUE('Capacity summary'!AG138)),0),AG19*$BI19),AG19*$BI19),0)</f>
        <v>0</v>
      </c>
      <c r="CK19" s="313">
        <f>IF($BI19&lt;&gt;"",IF('Capacity summary'!$D$14="Yes",IF(COUNTBLANK('Capacity summary'!$H138:$BG138)&lt;52,IF('Capacity summary'!AH138&lt;&gt;"",IF(LOWER('Capacity summary'!AH138)="x",$BI19*AH19,VALUE('Capacity summary'!AH138)),0),AH19*$BI19),AH19*$BI19),0)</f>
        <v>0</v>
      </c>
      <c r="CL19" s="313">
        <f>IF($BI19&lt;&gt;"",IF('Capacity summary'!$D$14="Yes",IF(COUNTBLANK('Capacity summary'!$H138:$BG138)&lt;52,IF('Capacity summary'!AI138&lt;&gt;"",IF(LOWER('Capacity summary'!AI138)="x",$BI19*AI19,VALUE('Capacity summary'!AI138)),0),AI19*$BI19),AI19*$BI19),0)</f>
        <v>0</v>
      </c>
      <c r="CM19" s="313">
        <f>IF($BI19&lt;&gt;"",IF('Capacity summary'!$D$14="Yes",IF(COUNTBLANK('Capacity summary'!$H138:$BG138)&lt;52,IF('Capacity summary'!AJ138&lt;&gt;"",IF(LOWER('Capacity summary'!AJ138)="x",$BI19*AJ19,VALUE('Capacity summary'!AJ138)),0),AJ19*$BI19),AJ19*$BI19),0)</f>
        <v>0</v>
      </c>
      <c r="CN19" s="313">
        <f>IF($BI19&lt;&gt;"",IF('Capacity summary'!$D$14="Yes",IF(COUNTBLANK('Capacity summary'!$H138:$BG138)&lt;52,IF('Capacity summary'!AK138&lt;&gt;"",IF(LOWER('Capacity summary'!AK138)="x",$BI19*AK19,VALUE('Capacity summary'!AK138)),0),AK19*$BI19),AK19*$BI19),0)</f>
        <v>0</v>
      </c>
      <c r="CO19" s="313">
        <f>IF($BI19&lt;&gt;"",IF('Capacity summary'!$D$14="Yes",IF(COUNTBLANK('Capacity summary'!$H138:$BG138)&lt;52,IF('Capacity summary'!AL138&lt;&gt;"",IF(LOWER('Capacity summary'!AL138)="x",$BI19*AL19,VALUE('Capacity summary'!AL138)),0),AL19*$BI19),AL19*$BI19),0)</f>
        <v>0</v>
      </c>
      <c r="CP19" s="313">
        <f>IF($BI19&lt;&gt;"",IF('Capacity summary'!$D$14="Yes",IF(COUNTBLANK('Capacity summary'!$H138:$BG138)&lt;52,IF('Capacity summary'!AM138&lt;&gt;"",IF(LOWER('Capacity summary'!AM138)="x",$BI19*AM19,VALUE('Capacity summary'!AM138)),0),AM19*$BI19),AM19*$BI19),0)</f>
        <v>0</v>
      </c>
      <c r="CQ19" s="313">
        <f>IF($BI19&lt;&gt;"",IF('Capacity summary'!$D$14="Yes",IF(COUNTBLANK('Capacity summary'!$H138:$BG138)&lt;52,IF('Capacity summary'!AN138&lt;&gt;"",IF(LOWER('Capacity summary'!AN138)="x",$BI19*AN19,VALUE('Capacity summary'!AN138)),0),AN19*$BI19),AN19*$BI19),0)</f>
        <v>0</v>
      </c>
      <c r="CR19" s="313">
        <f>IF($BI19&lt;&gt;"",IF('Capacity summary'!$D$14="Yes",IF(COUNTBLANK('Capacity summary'!$H138:$BG138)&lt;52,IF('Capacity summary'!AO138&lt;&gt;"",IF(LOWER('Capacity summary'!AO138)="x",$BI19*AO19,VALUE('Capacity summary'!AO138)),0),AO19*$BI19),AO19*$BI19),0)</f>
        <v>0</v>
      </c>
      <c r="CS19" s="313">
        <f>IF($BI19&lt;&gt;"",IF('Capacity summary'!$D$14="Yes",IF(COUNTBLANK('Capacity summary'!$H138:$BG138)&lt;52,IF('Capacity summary'!AP138&lt;&gt;"",IF(LOWER('Capacity summary'!AP138)="x",$BI19*AP19,VALUE('Capacity summary'!AP138)),0),AP19*$BI19),AP19*$BI19),0)</f>
        <v>0</v>
      </c>
      <c r="CT19" s="313">
        <f>IF($BI19&lt;&gt;"",IF('Capacity summary'!$D$14="Yes",IF(COUNTBLANK('Capacity summary'!$H138:$BG138)&lt;52,IF('Capacity summary'!AQ138&lt;&gt;"",IF(LOWER('Capacity summary'!AQ138)="x",$BI19*AQ19,VALUE('Capacity summary'!AQ138)),0),AQ19*$BI19),AQ19*$BI19),0)</f>
        <v>0</v>
      </c>
      <c r="CU19" s="313">
        <f>IF($BI19&lt;&gt;"",IF('Capacity summary'!$D$14="Yes",IF(COUNTBLANK('Capacity summary'!$H138:$BG138)&lt;52,IF('Capacity summary'!AR138&lt;&gt;"",IF(LOWER('Capacity summary'!AR138)="x",$BI19*AR19,VALUE('Capacity summary'!AR138)),0),AR19*$BI19),AR19*$BI19),0)</f>
        <v>0</v>
      </c>
      <c r="CV19" s="313">
        <f>IF($BI19&lt;&gt;"",IF('Capacity summary'!$D$14="Yes",IF(COUNTBLANK('Capacity summary'!$H138:$BG138)&lt;52,IF('Capacity summary'!AS138&lt;&gt;"",IF(LOWER('Capacity summary'!AS138)="x",$BI19*AS19,VALUE('Capacity summary'!AS138)),0),AS19*$BI19),AS19*$BI19),0)</f>
        <v>0</v>
      </c>
      <c r="CW19" s="313">
        <f>IF($BI19&lt;&gt;"",IF('Capacity summary'!$D$14="Yes",IF(COUNTBLANK('Capacity summary'!$H138:$BG138)&lt;52,IF('Capacity summary'!AT138&lt;&gt;"",IF(LOWER('Capacity summary'!AT138)="x",$BI19*AT19,VALUE('Capacity summary'!AT138)),0),AT19*$BI19),AT19*$BI19),0)</f>
        <v>0</v>
      </c>
      <c r="CX19" s="313">
        <f>IF($BI19&lt;&gt;"",IF('Capacity summary'!$D$14="Yes",IF(COUNTBLANK('Capacity summary'!$H138:$BG138)&lt;52,IF('Capacity summary'!AU138&lt;&gt;"",IF(LOWER('Capacity summary'!AU138)="x",$BI19*AU19,VALUE('Capacity summary'!AU138)),0),AU19*$BI19),AU19*$BI19),0)</f>
        <v>0</v>
      </c>
      <c r="CY19" s="313">
        <f>IF($BI19&lt;&gt;"",IF('Capacity summary'!$D$14="Yes",IF(COUNTBLANK('Capacity summary'!$H138:$BG138)&lt;52,IF('Capacity summary'!AV138&lt;&gt;"",IF(LOWER('Capacity summary'!AV138)="x",$BI19*AV19,VALUE('Capacity summary'!AV138)),0),AV19*$BI19),AV19*$BI19),0)</f>
        <v>0</v>
      </c>
      <c r="CZ19" s="313">
        <f>IF($BI19&lt;&gt;"",IF('Capacity summary'!$D$14="Yes",IF(COUNTBLANK('Capacity summary'!$H138:$BG138)&lt;52,IF('Capacity summary'!AW138&lt;&gt;"",IF(LOWER('Capacity summary'!AW138)="x",$BI19*AW19,VALUE('Capacity summary'!AW138)),0),AW19*$BI19),AW19*$BI19),0)</f>
        <v>0</v>
      </c>
      <c r="DA19" s="313">
        <f>IF($BI19&lt;&gt;"",IF('Capacity summary'!$D$14="Yes",IF(COUNTBLANK('Capacity summary'!$H138:$BG138)&lt;52,IF('Capacity summary'!AX138&lt;&gt;"",IF(LOWER('Capacity summary'!AX138)="x",$BI19*AX19,VALUE('Capacity summary'!AX138)),0),AX19*$BI19),AX19*$BI19),0)</f>
        <v>0</v>
      </c>
      <c r="DB19" s="313">
        <f>IF($BI19&lt;&gt;"",IF('Capacity summary'!$D$14="Yes",IF(COUNTBLANK('Capacity summary'!$H138:$BG138)&lt;52,IF('Capacity summary'!AY138&lt;&gt;"",IF(LOWER('Capacity summary'!AY138)="x",$BI19*AY19,VALUE('Capacity summary'!AY138)),0),AY19*$BI19),AY19*$BI19),0)</f>
        <v>0</v>
      </c>
      <c r="DC19" s="313">
        <f>IF($BI19&lt;&gt;"",IF('Capacity summary'!$D$14="Yes",IF(COUNTBLANK('Capacity summary'!$H138:$BG138)&lt;52,IF('Capacity summary'!AZ138&lt;&gt;"",IF(LOWER('Capacity summary'!AZ138)="x",$BI19*AZ19,VALUE('Capacity summary'!AZ138)),0),AZ19*$BI19),AZ19*$BI19),0)</f>
        <v>0</v>
      </c>
      <c r="DD19" s="313">
        <f>IF($BI19&lt;&gt;"",IF('Capacity summary'!$D$14="Yes",IF(COUNTBLANK('Capacity summary'!$H138:$BG138)&lt;52,IF('Capacity summary'!BA138&lt;&gt;"",IF(LOWER('Capacity summary'!BA138)="x",$BI19*BA19,VALUE('Capacity summary'!BA138)),0),BA19*$BI19),BA19*$BI19),0)</f>
        <v>0</v>
      </c>
      <c r="DE19" s="313">
        <f>IF($BI19&lt;&gt;"",IF('Capacity summary'!$D$14="Yes",IF(COUNTBLANK('Capacity summary'!$H138:$BG138)&lt;52,IF('Capacity summary'!BB138&lt;&gt;"",IF(LOWER('Capacity summary'!BB138)="x",$BI19*BB19,VALUE('Capacity summary'!BB138)),0),BB19*$BI19),BB19*$BI19),0)</f>
        <v>0</v>
      </c>
      <c r="DF19" s="313">
        <f>IF($BI19&lt;&gt;"",IF('Capacity summary'!$D$14="Yes",IF(COUNTBLANK('Capacity summary'!$H138:$BG138)&lt;52,IF('Capacity summary'!BC138&lt;&gt;"",IF(LOWER('Capacity summary'!BC138)="x",$BI19*BC19,VALUE('Capacity summary'!BC138)),0),BC19*$BI19),BC19*$BI19),0)</f>
        <v>0</v>
      </c>
      <c r="DG19" s="313">
        <f>IF($BI19&lt;&gt;"",IF('Capacity summary'!$D$14="Yes",IF(COUNTBLANK('Capacity summary'!$H138:$BG138)&lt;52,IF('Capacity summary'!BD138&lt;&gt;"",IF(LOWER('Capacity summary'!BD138)="x",$BI19*BD19,VALUE('Capacity summary'!BD138)),0),BD19*$BI19),BD19*$BI19),0)</f>
        <v>0</v>
      </c>
      <c r="DH19" s="313">
        <f>IF($BI19&lt;&gt;"",IF('Capacity summary'!$D$14="Yes",IF(COUNTBLANK('Capacity summary'!$H138:$BG138)&lt;52,IF('Capacity summary'!BE138&lt;&gt;"",IF(LOWER('Capacity summary'!BE138)="x",$BI19*BE19,VALUE('Capacity summary'!BE138)),0),BE19*$BI19),BE19*$BI19),0)</f>
        <v>0</v>
      </c>
      <c r="DI19" s="313">
        <f>IF($BI19&lt;&gt;"",IF('Capacity summary'!$D$14="Yes",IF(COUNTBLANK('Capacity summary'!$H138:$BG138)&lt;52,IF('Capacity summary'!BF138&lt;&gt;"",IF(LOWER('Capacity summary'!BF138)="x",$BI19*BF19,VALUE('Capacity summary'!BF138)),0),BF19*$BI19),BF19*$BI19),0)</f>
        <v>0</v>
      </c>
      <c r="DJ19" s="313">
        <f>IF($BI19&lt;&gt;"",IF('Capacity summary'!$D$14="Yes",IF(COUNTBLANK('Capacity summary'!$H138:$BG138)&lt;52,IF('Capacity summary'!BG138&lt;&gt;"",IF(LOWER('Capacity summary'!BG138)="x",$BI19*BG19,VALUE('Capacity summary'!BG138)),0),BG19*$BI19),BG19*$BI19),0)</f>
        <v>0</v>
      </c>
      <c r="DK19" s="137">
        <f t="shared" si="2"/>
        <v>0</v>
      </c>
      <c r="DL19" s="313" t="str">
        <f>Capacity!H31</f>
        <v/>
      </c>
      <c r="DP19" s="5"/>
    </row>
    <row r="20" spans="2:120" x14ac:dyDescent="0.25">
      <c r="B20" s="67"/>
      <c r="C20" s="67" t="str">
        <f>ROW(A16)&amp;". "&amp;Capacity!B32</f>
        <v xml:space="preserve">16. </v>
      </c>
      <c r="D20" s="67">
        <f>'Capacity setup'!C27</f>
        <v>0</v>
      </c>
      <c r="E20" s="67">
        <f>'Capacity setup'!D27</f>
        <v>0</v>
      </c>
      <c r="F20" s="67">
        <f>'Capacity setup'!E27</f>
        <v>0</v>
      </c>
      <c r="H20" s="67">
        <f ca="1">IF(AND(SUMIF(Capacity_Resource,$D20,'Critical resources (hide)'!U$6:U$105)+SUMIF(Capacity_Resource,$E20,'Critical resources (hide)'!U$6:U$105)+SUMIF(Capacity_Resource,$F20,'Critical resources (hide)'!U$6:U$105)&gt;0,$E$1=2),0,1)</f>
        <v>1</v>
      </c>
      <c r="I20" s="67">
        <f ca="1">IF(AND(SUMIF(Capacity_Resource,$D20,'Critical resources (hide)'!V$6:V$105)+SUMIF(Capacity_Resource,$E20,'Critical resources (hide)'!V$6:V$105)+SUMIF(Capacity_Resource,$F20,'Critical resources (hide)'!V$6:V$105)&gt;0,$E$1=2),0,1)</f>
        <v>1</v>
      </c>
      <c r="J20" s="67">
        <f ca="1">IF(AND(SUMIF(Capacity_Resource,$D20,'Critical resources (hide)'!W$6:W$105)+SUMIF(Capacity_Resource,$E20,'Critical resources (hide)'!W$6:W$105)+SUMIF(Capacity_Resource,$F20,'Critical resources (hide)'!W$6:W$105)&gt;0,$E$1=2),0,1)</f>
        <v>1</v>
      </c>
      <c r="K20" s="67">
        <f ca="1">IF(AND(SUMIF(Capacity_Resource,$D20,'Critical resources (hide)'!X$6:X$105)+SUMIF(Capacity_Resource,$E20,'Critical resources (hide)'!X$6:X$105)+SUMIF(Capacity_Resource,$F20,'Critical resources (hide)'!X$6:X$105)&gt;0,$E$1=2),0,1)</f>
        <v>1</v>
      </c>
      <c r="L20" s="67">
        <f ca="1">IF(AND(SUMIF(Capacity_Resource,$D20,'Critical resources (hide)'!Y$6:Y$105)+SUMIF(Capacity_Resource,$E20,'Critical resources (hide)'!Y$6:Y$105)+SUMIF(Capacity_Resource,$F20,'Critical resources (hide)'!Y$6:Y$105)&gt;0,$E$1=2),0,1)</f>
        <v>1</v>
      </c>
      <c r="M20" s="67">
        <f ca="1">IF(AND(SUMIF(Capacity_Resource,$D20,'Critical resources (hide)'!Z$6:Z$105)+SUMIF(Capacity_Resource,$E20,'Critical resources (hide)'!Z$6:Z$105)+SUMIF(Capacity_Resource,$F20,'Critical resources (hide)'!Z$6:Z$105)&gt;0,$E$1=2),0,1)</f>
        <v>1</v>
      </c>
      <c r="N20" s="67">
        <f ca="1">IF(AND(SUMIF(Capacity_Resource,$D20,'Critical resources (hide)'!AA$6:AA$105)+SUMIF(Capacity_Resource,$E20,'Critical resources (hide)'!AA$6:AA$105)+SUMIF(Capacity_Resource,$F20,'Critical resources (hide)'!AA$6:AA$105)&gt;0,$E$1=2),0,1)</f>
        <v>1</v>
      </c>
      <c r="O20" s="67">
        <f ca="1">IF(AND(SUMIF(Capacity_Resource,$D20,'Critical resources (hide)'!AB$6:AB$105)+SUMIF(Capacity_Resource,$E20,'Critical resources (hide)'!AB$6:AB$105)+SUMIF(Capacity_Resource,$F20,'Critical resources (hide)'!AB$6:AB$105)&gt;0,$E$1=2),0,1)</f>
        <v>1</v>
      </c>
      <c r="P20" s="67">
        <f ca="1">IF(AND(SUMIF(Capacity_Resource,$D20,'Critical resources (hide)'!AC$6:AC$105)+SUMIF(Capacity_Resource,$E20,'Critical resources (hide)'!AC$6:AC$105)+SUMIF(Capacity_Resource,$F20,'Critical resources (hide)'!AC$6:AC$105)&gt;0,$E$1=2),0,1)</f>
        <v>1</v>
      </c>
      <c r="Q20" s="67">
        <f ca="1">IF(AND(SUMIF(Capacity_Resource,$D20,'Critical resources (hide)'!AD$6:AD$105)+SUMIF(Capacity_Resource,$E20,'Critical resources (hide)'!AD$6:AD$105)+SUMIF(Capacity_Resource,$F20,'Critical resources (hide)'!AD$6:AD$105)&gt;0,$E$1=2),0,1)</f>
        <v>1</v>
      </c>
      <c r="R20" s="67">
        <f ca="1">IF(AND(SUMIF(Capacity_Resource,$D20,'Critical resources (hide)'!AE$6:AE$105)+SUMIF(Capacity_Resource,$E20,'Critical resources (hide)'!AE$6:AE$105)+SUMIF(Capacity_Resource,$F20,'Critical resources (hide)'!AE$6:AE$105)&gt;0,$E$1=2),0,1)</f>
        <v>1</v>
      </c>
      <c r="S20" s="67">
        <f ca="1">IF(AND(SUMIF(Capacity_Resource,$D20,'Critical resources (hide)'!AF$6:AF$105)+SUMIF(Capacity_Resource,$E20,'Critical resources (hide)'!AF$6:AF$105)+SUMIF(Capacity_Resource,$F20,'Critical resources (hide)'!AF$6:AF$105)&gt;0,$E$1=2),0,1)</f>
        <v>1</v>
      </c>
      <c r="T20" s="67">
        <f ca="1">IF(AND(SUMIF(Capacity_Resource,$D20,'Critical resources (hide)'!AG$6:AG$105)+SUMIF(Capacity_Resource,$E20,'Critical resources (hide)'!AG$6:AG$105)+SUMIF(Capacity_Resource,$F20,'Critical resources (hide)'!AG$6:AG$105)&gt;0,$E$1=2),0,1)</f>
        <v>1</v>
      </c>
      <c r="U20" s="67">
        <f ca="1">IF(AND(SUMIF(Capacity_Resource,$D20,'Critical resources (hide)'!AH$6:AH$105)+SUMIF(Capacity_Resource,$E20,'Critical resources (hide)'!AH$6:AH$105)+SUMIF(Capacity_Resource,$F20,'Critical resources (hide)'!AH$6:AH$105)&gt;0,$E$1=2),0,1)</f>
        <v>1</v>
      </c>
      <c r="V20" s="67">
        <f ca="1">IF(AND(SUMIF(Capacity_Resource,$D20,'Critical resources (hide)'!AI$6:AI$105)+SUMIF(Capacity_Resource,$E20,'Critical resources (hide)'!AI$6:AI$105)+SUMIF(Capacity_Resource,$F20,'Critical resources (hide)'!AI$6:AI$105)&gt;0,$E$1=2),0,1)</f>
        <v>1</v>
      </c>
      <c r="W20" s="67">
        <f ca="1">IF(AND(SUMIF(Capacity_Resource,$D20,'Critical resources (hide)'!AJ$6:AJ$105)+SUMIF(Capacity_Resource,$E20,'Critical resources (hide)'!AJ$6:AJ$105)+SUMIF(Capacity_Resource,$F20,'Critical resources (hide)'!AJ$6:AJ$105)&gt;0,$E$1=2),0,1)</f>
        <v>1</v>
      </c>
      <c r="X20" s="67">
        <f ca="1">IF(AND(SUMIF(Capacity_Resource,$D20,'Critical resources (hide)'!AK$6:AK$105)+SUMIF(Capacity_Resource,$E20,'Critical resources (hide)'!AK$6:AK$105)+SUMIF(Capacity_Resource,$F20,'Critical resources (hide)'!AK$6:AK$105)&gt;0,$E$1=2),0,1)</f>
        <v>1</v>
      </c>
      <c r="Y20" s="67">
        <f ca="1">IF(AND(SUMIF(Capacity_Resource,$D20,'Critical resources (hide)'!AL$6:AL$105)+SUMIF(Capacity_Resource,$E20,'Critical resources (hide)'!AL$6:AL$105)+SUMIF(Capacity_Resource,$F20,'Critical resources (hide)'!AL$6:AL$105)&gt;0,$E$1=2),0,1)</f>
        <v>1</v>
      </c>
      <c r="Z20" s="67">
        <f ca="1">IF(AND(SUMIF(Capacity_Resource,$D20,'Critical resources (hide)'!AM$6:AM$105)+SUMIF(Capacity_Resource,$E20,'Critical resources (hide)'!AM$6:AM$105)+SUMIF(Capacity_Resource,$F20,'Critical resources (hide)'!AM$6:AM$105)&gt;0,$E$1=2),0,1)</f>
        <v>1</v>
      </c>
      <c r="AA20" s="67">
        <f ca="1">IF(AND(SUMIF(Capacity_Resource,$D20,'Critical resources (hide)'!AN$6:AN$105)+SUMIF(Capacity_Resource,$E20,'Critical resources (hide)'!AN$6:AN$105)+SUMIF(Capacity_Resource,$F20,'Critical resources (hide)'!AN$6:AN$105)&gt;0,$E$1=2),0,1)</f>
        <v>1</v>
      </c>
      <c r="AB20" s="67">
        <f ca="1">IF(AND(SUMIF(Capacity_Resource,$D20,'Critical resources (hide)'!AO$6:AO$105)+SUMIF(Capacity_Resource,$E20,'Critical resources (hide)'!AO$6:AO$105)+SUMIF(Capacity_Resource,$F20,'Critical resources (hide)'!AO$6:AO$105)&gt;0,$E$1=2),0,1)</f>
        <v>1</v>
      </c>
      <c r="AC20" s="67">
        <f ca="1">IF(AND(SUMIF(Capacity_Resource,$D20,'Critical resources (hide)'!AP$6:AP$105)+SUMIF(Capacity_Resource,$E20,'Critical resources (hide)'!AP$6:AP$105)+SUMIF(Capacity_Resource,$F20,'Critical resources (hide)'!AP$6:AP$105)&gt;0,$E$1=2),0,1)</f>
        <v>1</v>
      </c>
      <c r="AD20" s="67">
        <f ca="1">IF(AND(SUMIF(Capacity_Resource,$D20,'Critical resources (hide)'!AQ$6:AQ$105)+SUMIF(Capacity_Resource,$E20,'Critical resources (hide)'!AQ$6:AQ$105)+SUMIF(Capacity_Resource,$F20,'Critical resources (hide)'!AQ$6:AQ$105)&gt;0,$E$1=2),0,1)</f>
        <v>1</v>
      </c>
      <c r="AE20" s="67">
        <f ca="1">IF(AND(SUMIF(Capacity_Resource,$D20,'Critical resources (hide)'!AR$6:AR$105)+SUMIF(Capacity_Resource,$E20,'Critical resources (hide)'!AR$6:AR$105)+SUMIF(Capacity_Resource,$F20,'Critical resources (hide)'!AR$6:AR$105)&gt;0,$E$1=2),0,1)</f>
        <v>1</v>
      </c>
      <c r="AF20" s="67">
        <f ca="1">IF(AND(SUMIF(Capacity_Resource,$D20,'Critical resources (hide)'!AS$6:AS$105)+SUMIF(Capacity_Resource,$E20,'Critical resources (hide)'!AS$6:AS$105)+SUMIF(Capacity_Resource,$F20,'Critical resources (hide)'!AS$6:AS$105)&gt;0,$E$1=2),0,1)</f>
        <v>1</v>
      </c>
      <c r="AG20" s="67">
        <f ca="1">IF(AND(SUMIF(Capacity_Resource,$D20,'Critical resources (hide)'!AT$6:AT$105)+SUMIF(Capacity_Resource,$E20,'Critical resources (hide)'!AT$6:AT$105)+SUMIF(Capacity_Resource,$F20,'Critical resources (hide)'!AT$6:AT$105)&gt;0,$E$1=2),0,1)</f>
        <v>1</v>
      </c>
      <c r="AH20" s="67">
        <f ca="1">IF(AND(SUMIF(Capacity_Resource,$D20,'Critical resources (hide)'!AU$6:AU$105)+SUMIF(Capacity_Resource,$E20,'Critical resources (hide)'!AU$6:AU$105)+SUMIF(Capacity_Resource,$F20,'Critical resources (hide)'!AU$6:AU$105)&gt;0,$E$1=2),0,1)</f>
        <v>1</v>
      </c>
      <c r="AI20" s="67">
        <f ca="1">IF(AND(SUMIF(Capacity_Resource,$D20,'Critical resources (hide)'!AV$6:AV$105)+SUMIF(Capacity_Resource,$E20,'Critical resources (hide)'!AV$6:AV$105)+SUMIF(Capacity_Resource,$F20,'Critical resources (hide)'!AV$6:AV$105)&gt;0,$E$1=2),0,1)</f>
        <v>1</v>
      </c>
      <c r="AJ20" s="67">
        <f ca="1">IF(AND(SUMIF(Capacity_Resource,$D20,'Critical resources (hide)'!AW$6:AW$105)+SUMIF(Capacity_Resource,$E20,'Critical resources (hide)'!AW$6:AW$105)+SUMIF(Capacity_Resource,$F20,'Critical resources (hide)'!AW$6:AW$105)&gt;0,$E$1=2),0,1)</f>
        <v>1</v>
      </c>
      <c r="AK20" s="67">
        <f ca="1">IF(AND(SUMIF(Capacity_Resource,$D20,'Critical resources (hide)'!AX$6:AX$105)+SUMIF(Capacity_Resource,$E20,'Critical resources (hide)'!AX$6:AX$105)+SUMIF(Capacity_Resource,$F20,'Critical resources (hide)'!AX$6:AX$105)&gt;0,$E$1=2),0,1)</f>
        <v>1</v>
      </c>
      <c r="AL20" s="67">
        <f ca="1">IF(AND(SUMIF(Capacity_Resource,$D20,'Critical resources (hide)'!AY$6:AY$105)+SUMIF(Capacity_Resource,$E20,'Critical resources (hide)'!AY$6:AY$105)+SUMIF(Capacity_Resource,$F20,'Critical resources (hide)'!AY$6:AY$105)&gt;0,$E$1=2),0,1)</f>
        <v>1</v>
      </c>
      <c r="AM20" s="67">
        <f ca="1">IF(AND(SUMIF(Capacity_Resource,$D20,'Critical resources (hide)'!AZ$6:AZ$105)+SUMIF(Capacity_Resource,$E20,'Critical resources (hide)'!AZ$6:AZ$105)+SUMIF(Capacity_Resource,$F20,'Critical resources (hide)'!AZ$6:AZ$105)&gt;0,$E$1=2),0,1)</f>
        <v>1</v>
      </c>
      <c r="AN20" s="67">
        <f ca="1">IF(AND(SUMIF(Capacity_Resource,$D20,'Critical resources (hide)'!BA$6:BA$105)+SUMIF(Capacity_Resource,$E20,'Critical resources (hide)'!BA$6:BA$105)+SUMIF(Capacity_Resource,$F20,'Critical resources (hide)'!BA$6:BA$105)&gt;0,$E$1=2),0,1)</f>
        <v>1</v>
      </c>
      <c r="AO20" s="67">
        <f ca="1">IF(AND(SUMIF(Capacity_Resource,$D20,'Critical resources (hide)'!BB$6:BB$105)+SUMIF(Capacity_Resource,$E20,'Critical resources (hide)'!BB$6:BB$105)+SUMIF(Capacity_Resource,$F20,'Critical resources (hide)'!BB$6:BB$105)&gt;0,$E$1=2),0,1)</f>
        <v>1</v>
      </c>
      <c r="AP20" s="67">
        <f ca="1">IF(AND(SUMIF(Capacity_Resource,$D20,'Critical resources (hide)'!BC$6:BC$105)+SUMIF(Capacity_Resource,$E20,'Critical resources (hide)'!BC$6:BC$105)+SUMIF(Capacity_Resource,$F20,'Critical resources (hide)'!BC$6:BC$105)&gt;0,$E$1=2),0,1)</f>
        <v>1</v>
      </c>
      <c r="AQ20" s="67">
        <f ca="1">IF(AND(SUMIF(Capacity_Resource,$D20,'Critical resources (hide)'!BD$6:BD$105)+SUMIF(Capacity_Resource,$E20,'Critical resources (hide)'!BD$6:BD$105)+SUMIF(Capacity_Resource,$F20,'Critical resources (hide)'!BD$6:BD$105)&gt;0,$E$1=2),0,1)</f>
        <v>1</v>
      </c>
      <c r="AR20" s="67">
        <f ca="1">IF(AND(SUMIF(Capacity_Resource,$D20,'Critical resources (hide)'!BE$6:BE$105)+SUMIF(Capacity_Resource,$E20,'Critical resources (hide)'!BE$6:BE$105)+SUMIF(Capacity_Resource,$F20,'Critical resources (hide)'!BE$6:BE$105)&gt;0,$E$1=2),0,1)</f>
        <v>1</v>
      </c>
      <c r="AS20" s="67">
        <f ca="1">IF(AND(SUMIF(Capacity_Resource,$D20,'Critical resources (hide)'!BF$6:BF$105)+SUMIF(Capacity_Resource,$E20,'Critical resources (hide)'!BF$6:BF$105)+SUMIF(Capacity_Resource,$F20,'Critical resources (hide)'!BF$6:BF$105)&gt;0,$E$1=2),0,1)</f>
        <v>1</v>
      </c>
      <c r="AT20" s="67">
        <f ca="1">IF(AND(SUMIF(Capacity_Resource,$D20,'Critical resources (hide)'!BG$6:BG$105)+SUMIF(Capacity_Resource,$E20,'Critical resources (hide)'!BG$6:BG$105)+SUMIF(Capacity_Resource,$F20,'Critical resources (hide)'!BG$6:BG$105)&gt;0,$E$1=2),0,1)</f>
        <v>1</v>
      </c>
      <c r="AU20" s="67">
        <f ca="1">IF(AND(SUMIF(Capacity_Resource,$D20,'Critical resources (hide)'!BH$6:BH$105)+SUMIF(Capacity_Resource,$E20,'Critical resources (hide)'!BH$6:BH$105)+SUMIF(Capacity_Resource,$F20,'Critical resources (hide)'!BH$6:BH$105)&gt;0,$E$1=2),0,1)</f>
        <v>1</v>
      </c>
      <c r="AV20" s="67">
        <f ca="1">IF(AND(SUMIF(Capacity_Resource,$D20,'Critical resources (hide)'!BI$6:BI$105)+SUMIF(Capacity_Resource,$E20,'Critical resources (hide)'!BI$6:BI$105)+SUMIF(Capacity_Resource,$F20,'Critical resources (hide)'!BI$6:BI$105)&gt;0,$E$1=2),0,1)</f>
        <v>1</v>
      </c>
      <c r="AW20" s="67">
        <f ca="1">IF(AND(SUMIF(Capacity_Resource,$D20,'Critical resources (hide)'!BJ$6:BJ$105)+SUMIF(Capacity_Resource,$E20,'Critical resources (hide)'!BJ$6:BJ$105)+SUMIF(Capacity_Resource,$F20,'Critical resources (hide)'!BJ$6:BJ$105)&gt;0,$E$1=2),0,1)</f>
        <v>1</v>
      </c>
      <c r="AX20" s="67">
        <f ca="1">IF(AND(SUMIF(Capacity_Resource,$D20,'Critical resources (hide)'!BK$6:BK$105)+SUMIF(Capacity_Resource,$E20,'Critical resources (hide)'!BK$6:BK$105)+SUMIF(Capacity_Resource,$F20,'Critical resources (hide)'!BK$6:BK$105)&gt;0,$E$1=2),0,1)</f>
        <v>1</v>
      </c>
      <c r="AY20" s="67">
        <f ca="1">IF(AND(SUMIF(Capacity_Resource,$D20,'Critical resources (hide)'!BL$6:BL$105)+SUMIF(Capacity_Resource,$E20,'Critical resources (hide)'!BL$6:BL$105)+SUMIF(Capacity_Resource,$F20,'Critical resources (hide)'!BL$6:BL$105)&gt;0,$E$1=2),0,1)</f>
        <v>1</v>
      </c>
      <c r="AZ20" s="67">
        <f ca="1">IF(AND(SUMIF(Capacity_Resource,$D20,'Critical resources (hide)'!BM$6:BM$105)+SUMIF(Capacity_Resource,$E20,'Critical resources (hide)'!BM$6:BM$105)+SUMIF(Capacity_Resource,$F20,'Critical resources (hide)'!BM$6:BM$105)&gt;0,$E$1=2),0,1)</f>
        <v>1</v>
      </c>
      <c r="BA20" s="67">
        <f ca="1">IF(AND(SUMIF(Capacity_Resource,$D20,'Critical resources (hide)'!BN$6:BN$105)+SUMIF(Capacity_Resource,$E20,'Critical resources (hide)'!BN$6:BN$105)+SUMIF(Capacity_Resource,$F20,'Critical resources (hide)'!BN$6:BN$105)&gt;0,$E$1=2),0,1)</f>
        <v>1</v>
      </c>
      <c r="BB20" s="67">
        <f ca="1">IF(AND(SUMIF(Capacity_Resource,$D20,'Critical resources (hide)'!BO$6:BO$105)+SUMIF(Capacity_Resource,$E20,'Critical resources (hide)'!BO$6:BO$105)+SUMIF(Capacity_Resource,$F20,'Critical resources (hide)'!BO$6:BO$105)&gt;0,$E$1=2),0,1)</f>
        <v>1</v>
      </c>
      <c r="BC20" s="67">
        <f ca="1">IF(AND(SUMIF(Capacity_Resource,$D20,'Critical resources (hide)'!BP$6:BP$105)+SUMIF(Capacity_Resource,$E20,'Critical resources (hide)'!BP$6:BP$105)+SUMIF(Capacity_Resource,$F20,'Critical resources (hide)'!BP$6:BP$105)&gt;0,$E$1=2),0,1)</f>
        <v>1</v>
      </c>
      <c r="BD20" s="67">
        <f ca="1">IF(AND(SUMIF(Capacity_Resource,$D20,'Critical resources (hide)'!BQ$6:BQ$105)+SUMIF(Capacity_Resource,$E20,'Critical resources (hide)'!BQ$6:BQ$105)+SUMIF(Capacity_Resource,$F20,'Critical resources (hide)'!BQ$6:BQ$105)&gt;0,$E$1=2),0,1)</f>
        <v>1</v>
      </c>
      <c r="BE20" s="67">
        <f ca="1">IF(AND(SUMIF(Capacity_Resource,$D20,'Critical resources (hide)'!BR$6:BR$105)+SUMIF(Capacity_Resource,$E20,'Critical resources (hide)'!BR$6:BR$105)+SUMIF(Capacity_Resource,$F20,'Critical resources (hide)'!BR$6:BR$105)&gt;0,$E$1=2),0,1)</f>
        <v>1</v>
      </c>
      <c r="BF20" s="67">
        <f ca="1">IF(AND(SUMIF(Capacity_Resource,$D20,'Critical resources (hide)'!BS$6:BS$105)+SUMIF(Capacity_Resource,$E20,'Critical resources (hide)'!BS$6:BS$105)+SUMIF(Capacity_Resource,$F20,'Critical resources (hide)'!BS$6:BS$105)&gt;0,$E$1=2),0,1)</f>
        <v>1</v>
      </c>
      <c r="BG20" s="67">
        <f ca="1">IF(AND(SUMIF(Capacity_Resource,$D20,'Critical resources (hide)'!BT$6:BT$105)+SUMIF(Capacity_Resource,$E20,'Critical resources (hide)'!BT$6:BT$105)+SUMIF(Capacity_Resource,$F20,'Critical resources (hide)'!BT$6:BT$105)&gt;0,$E$1=2),0,1)</f>
        <v>1</v>
      </c>
      <c r="BH20" s="67">
        <f>IF(ROW(C16)&lt;=Capacity!$A$16,IF('Capacity summary'!$D$14="No",SUM(H20:BG20),'Capacity summary'!$E139),0)</f>
        <v>0</v>
      </c>
      <c r="BI20" s="5" t="str">
        <f>IF(BH20&gt;0,IF(BH20&lt;Capacity!E32,Capacity!F32,Capacity!H32/'Capacity calculation (hide)'!BH20),"")</f>
        <v/>
      </c>
      <c r="BK20" s="313">
        <f>IF($BI20&lt;&gt;"",IF('Capacity summary'!$D$14="Yes",IF(COUNTBLANK('Capacity summary'!$H139:$BG139)&lt;52,IF('Capacity summary'!H139&lt;&gt;"",IF(LOWER('Capacity summary'!H139)="x",$BI20*H20,VALUE('Capacity summary'!H139)),0),H20*$BI20),H20*$BI20),0)</f>
        <v>0</v>
      </c>
      <c r="BL20" s="313">
        <f>IF($BI20&lt;&gt;"",IF('Capacity summary'!$D$14="Yes",IF(COUNTBLANK('Capacity summary'!$H139:$BG139)&lt;52,IF('Capacity summary'!I139&lt;&gt;"",IF(LOWER('Capacity summary'!I139)="x",$BI20*I20,VALUE('Capacity summary'!I139)),0),I20*$BI20),I20*$BI20),0)</f>
        <v>0</v>
      </c>
      <c r="BM20" s="313">
        <f>IF($BI20&lt;&gt;"",IF('Capacity summary'!$D$14="Yes",IF(COUNTBLANK('Capacity summary'!$H139:$BG139)&lt;52,IF('Capacity summary'!J139&lt;&gt;"",IF(LOWER('Capacity summary'!J139)="x",$BI20*J20,VALUE('Capacity summary'!J139)),0),J20*$BI20),J20*$BI20),0)</f>
        <v>0</v>
      </c>
      <c r="BN20" s="313">
        <f>IF($BI20&lt;&gt;"",IF('Capacity summary'!$D$14="Yes",IF(COUNTBLANK('Capacity summary'!$H139:$BG139)&lt;52,IF('Capacity summary'!K139&lt;&gt;"",IF(LOWER('Capacity summary'!K139)="x",$BI20*K20,VALUE('Capacity summary'!K139)),0),K20*$BI20),K20*$BI20),0)</f>
        <v>0</v>
      </c>
      <c r="BO20" s="313">
        <f>IF($BI20&lt;&gt;"",IF('Capacity summary'!$D$14="Yes",IF(COUNTBLANK('Capacity summary'!$H139:$BG139)&lt;52,IF('Capacity summary'!L139&lt;&gt;"",IF(LOWER('Capacity summary'!L139)="x",$BI20*L20,VALUE('Capacity summary'!L139)),0),L20*$BI20),L20*$BI20),0)</f>
        <v>0</v>
      </c>
      <c r="BP20" s="313">
        <f>IF($BI20&lt;&gt;"",IF('Capacity summary'!$D$14="Yes",IF(COUNTBLANK('Capacity summary'!$H139:$BG139)&lt;52,IF('Capacity summary'!M139&lt;&gt;"",IF(LOWER('Capacity summary'!M139)="x",$BI20*M20,VALUE('Capacity summary'!M139)),0),M20*$BI20),M20*$BI20),0)</f>
        <v>0</v>
      </c>
      <c r="BQ20" s="313">
        <f>IF($BI20&lt;&gt;"",IF('Capacity summary'!$D$14="Yes",IF(COUNTBLANK('Capacity summary'!$H139:$BG139)&lt;52,IF('Capacity summary'!N139&lt;&gt;"",IF(LOWER('Capacity summary'!N139)="x",$BI20*N20,VALUE('Capacity summary'!N139)),0),N20*$BI20),N20*$BI20),0)</f>
        <v>0</v>
      </c>
      <c r="BR20" s="313">
        <f>IF($BI20&lt;&gt;"",IF('Capacity summary'!$D$14="Yes",IF(COUNTBLANK('Capacity summary'!$H139:$BG139)&lt;52,IF('Capacity summary'!O139&lt;&gt;"",IF(LOWER('Capacity summary'!O139)="x",$BI20*O20,VALUE('Capacity summary'!O139)),0),O20*$BI20),O20*$BI20),0)</f>
        <v>0</v>
      </c>
      <c r="BS20" s="313">
        <f>IF($BI20&lt;&gt;"",IF('Capacity summary'!$D$14="Yes",IF(COUNTBLANK('Capacity summary'!$H139:$BG139)&lt;52,IF('Capacity summary'!P139&lt;&gt;"",IF(LOWER('Capacity summary'!P139)="x",$BI20*P20,VALUE('Capacity summary'!P139)),0),P20*$BI20),P20*$BI20),0)</f>
        <v>0</v>
      </c>
      <c r="BT20" s="313">
        <f>IF($BI20&lt;&gt;"",IF('Capacity summary'!$D$14="Yes",IF(COUNTBLANK('Capacity summary'!$H139:$BG139)&lt;52,IF('Capacity summary'!Q139&lt;&gt;"",IF(LOWER('Capacity summary'!Q139)="x",$BI20*Q20,VALUE('Capacity summary'!Q139)),0),Q20*$BI20),Q20*$BI20),0)</f>
        <v>0</v>
      </c>
      <c r="BU20" s="313">
        <f>IF($BI20&lt;&gt;"",IF('Capacity summary'!$D$14="Yes",IF(COUNTBLANK('Capacity summary'!$H139:$BG139)&lt;52,IF('Capacity summary'!R139&lt;&gt;"",IF(LOWER('Capacity summary'!R139)="x",$BI20*R20,VALUE('Capacity summary'!R139)),0),R20*$BI20),R20*$BI20),0)</f>
        <v>0</v>
      </c>
      <c r="BV20" s="313">
        <f>IF($BI20&lt;&gt;"",IF('Capacity summary'!$D$14="Yes",IF(COUNTBLANK('Capacity summary'!$H139:$BG139)&lt;52,IF('Capacity summary'!S139&lt;&gt;"",IF(LOWER('Capacity summary'!S139)="x",$BI20*S20,VALUE('Capacity summary'!S139)),0),S20*$BI20),S20*$BI20),0)</f>
        <v>0</v>
      </c>
      <c r="BW20" s="313">
        <f>IF($BI20&lt;&gt;"",IF('Capacity summary'!$D$14="Yes",IF(COUNTBLANK('Capacity summary'!$H139:$BG139)&lt;52,IF('Capacity summary'!T139&lt;&gt;"",IF(LOWER('Capacity summary'!T139)="x",$BI20*T20,VALUE('Capacity summary'!T139)),0),T20*$BI20),T20*$BI20),0)</f>
        <v>0</v>
      </c>
      <c r="BX20" s="313">
        <f>IF($BI20&lt;&gt;"",IF('Capacity summary'!$D$14="Yes",IF(COUNTBLANK('Capacity summary'!$H139:$BG139)&lt;52,IF('Capacity summary'!U139&lt;&gt;"",IF(LOWER('Capacity summary'!U139)="x",$BI20*U20,VALUE('Capacity summary'!U139)),0),U20*$BI20),U20*$BI20),0)</f>
        <v>0</v>
      </c>
      <c r="BY20" s="313">
        <f>IF($BI20&lt;&gt;"",IF('Capacity summary'!$D$14="Yes",IF(COUNTBLANK('Capacity summary'!$H139:$BG139)&lt;52,IF('Capacity summary'!V139&lt;&gt;"",IF(LOWER('Capacity summary'!V139)="x",$BI20*V20,VALUE('Capacity summary'!V139)),0),V20*$BI20),V20*$BI20),0)</f>
        <v>0</v>
      </c>
      <c r="BZ20" s="313">
        <f>IF($BI20&lt;&gt;"",IF('Capacity summary'!$D$14="Yes",IF(COUNTBLANK('Capacity summary'!$H139:$BG139)&lt;52,IF('Capacity summary'!W139&lt;&gt;"",IF(LOWER('Capacity summary'!W139)="x",$BI20*W20,VALUE('Capacity summary'!W139)),0),W20*$BI20),W20*$BI20),0)</f>
        <v>0</v>
      </c>
      <c r="CA20" s="313">
        <f>IF($BI20&lt;&gt;"",IF('Capacity summary'!$D$14="Yes",IF(COUNTBLANK('Capacity summary'!$H139:$BG139)&lt;52,IF('Capacity summary'!X139&lt;&gt;"",IF(LOWER('Capacity summary'!X139)="x",$BI20*X20,VALUE('Capacity summary'!X139)),0),X20*$BI20),X20*$BI20),0)</f>
        <v>0</v>
      </c>
      <c r="CB20" s="313">
        <f>IF($BI20&lt;&gt;"",IF('Capacity summary'!$D$14="Yes",IF(COUNTBLANK('Capacity summary'!$H139:$BG139)&lt;52,IF('Capacity summary'!Y139&lt;&gt;"",IF(LOWER('Capacity summary'!Y139)="x",$BI20*Y20,VALUE('Capacity summary'!Y139)),0),Y20*$BI20),Y20*$BI20),0)</f>
        <v>0</v>
      </c>
      <c r="CC20" s="313">
        <f>IF($BI20&lt;&gt;"",IF('Capacity summary'!$D$14="Yes",IF(COUNTBLANK('Capacity summary'!$H139:$BG139)&lt;52,IF('Capacity summary'!Z139&lt;&gt;"",IF(LOWER('Capacity summary'!Z139)="x",$BI20*Z20,VALUE('Capacity summary'!Z139)),0),Z20*$BI20),Z20*$BI20),0)</f>
        <v>0</v>
      </c>
      <c r="CD20" s="313">
        <f>IF($BI20&lt;&gt;"",IF('Capacity summary'!$D$14="Yes",IF(COUNTBLANK('Capacity summary'!$H139:$BG139)&lt;52,IF('Capacity summary'!AA139&lt;&gt;"",IF(LOWER('Capacity summary'!AA139)="x",$BI20*AA20,VALUE('Capacity summary'!AA139)),0),AA20*$BI20),AA20*$BI20),0)</f>
        <v>0</v>
      </c>
      <c r="CE20" s="313">
        <f>IF($BI20&lt;&gt;"",IF('Capacity summary'!$D$14="Yes",IF(COUNTBLANK('Capacity summary'!$H139:$BG139)&lt;52,IF('Capacity summary'!AB139&lt;&gt;"",IF(LOWER('Capacity summary'!AB139)="x",$BI20*AB20,VALUE('Capacity summary'!AB139)),0),AB20*$BI20),AB20*$BI20),0)</f>
        <v>0</v>
      </c>
      <c r="CF20" s="313">
        <f>IF($BI20&lt;&gt;"",IF('Capacity summary'!$D$14="Yes",IF(COUNTBLANK('Capacity summary'!$H139:$BG139)&lt;52,IF('Capacity summary'!AC139&lt;&gt;"",IF(LOWER('Capacity summary'!AC139)="x",$BI20*AC20,VALUE('Capacity summary'!AC139)),0),AC20*$BI20),AC20*$BI20),0)</f>
        <v>0</v>
      </c>
      <c r="CG20" s="313">
        <f>IF($BI20&lt;&gt;"",IF('Capacity summary'!$D$14="Yes",IF(COUNTBLANK('Capacity summary'!$H139:$BG139)&lt;52,IF('Capacity summary'!AD139&lt;&gt;"",IF(LOWER('Capacity summary'!AD139)="x",$BI20*AD20,VALUE('Capacity summary'!AD139)),0),AD20*$BI20),AD20*$BI20),0)</f>
        <v>0</v>
      </c>
      <c r="CH20" s="313">
        <f>IF($BI20&lt;&gt;"",IF('Capacity summary'!$D$14="Yes",IF(COUNTBLANK('Capacity summary'!$H139:$BG139)&lt;52,IF('Capacity summary'!AE139&lt;&gt;"",IF(LOWER('Capacity summary'!AE139)="x",$BI20*AE20,VALUE('Capacity summary'!AE139)),0),AE20*$BI20),AE20*$BI20),0)</f>
        <v>0</v>
      </c>
      <c r="CI20" s="313">
        <f>IF($BI20&lt;&gt;"",IF('Capacity summary'!$D$14="Yes",IF(COUNTBLANK('Capacity summary'!$H139:$BG139)&lt;52,IF('Capacity summary'!AF139&lt;&gt;"",IF(LOWER('Capacity summary'!AF139)="x",$BI20*AF20,VALUE('Capacity summary'!AF139)),0),AF20*$BI20),AF20*$BI20),0)</f>
        <v>0</v>
      </c>
      <c r="CJ20" s="313">
        <f>IF($BI20&lt;&gt;"",IF('Capacity summary'!$D$14="Yes",IF(COUNTBLANK('Capacity summary'!$H139:$BG139)&lt;52,IF('Capacity summary'!AG139&lt;&gt;"",IF(LOWER('Capacity summary'!AG139)="x",$BI20*AG20,VALUE('Capacity summary'!AG139)),0),AG20*$BI20),AG20*$BI20),0)</f>
        <v>0</v>
      </c>
      <c r="CK20" s="313">
        <f>IF($BI20&lt;&gt;"",IF('Capacity summary'!$D$14="Yes",IF(COUNTBLANK('Capacity summary'!$H139:$BG139)&lt;52,IF('Capacity summary'!AH139&lt;&gt;"",IF(LOWER('Capacity summary'!AH139)="x",$BI20*AH20,VALUE('Capacity summary'!AH139)),0),AH20*$BI20),AH20*$BI20),0)</f>
        <v>0</v>
      </c>
      <c r="CL20" s="313">
        <f>IF($BI20&lt;&gt;"",IF('Capacity summary'!$D$14="Yes",IF(COUNTBLANK('Capacity summary'!$H139:$BG139)&lt;52,IF('Capacity summary'!AI139&lt;&gt;"",IF(LOWER('Capacity summary'!AI139)="x",$BI20*AI20,VALUE('Capacity summary'!AI139)),0),AI20*$BI20),AI20*$BI20),0)</f>
        <v>0</v>
      </c>
      <c r="CM20" s="313">
        <f>IF($BI20&lt;&gt;"",IF('Capacity summary'!$D$14="Yes",IF(COUNTBLANK('Capacity summary'!$H139:$BG139)&lt;52,IF('Capacity summary'!AJ139&lt;&gt;"",IF(LOWER('Capacity summary'!AJ139)="x",$BI20*AJ20,VALUE('Capacity summary'!AJ139)),0),AJ20*$BI20),AJ20*$BI20),0)</f>
        <v>0</v>
      </c>
      <c r="CN20" s="313">
        <f>IF($BI20&lt;&gt;"",IF('Capacity summary'!$D$14="Yes",IF(COUNTBLANK('Capacity summary'!$H139:$BG139)&lt;52,IF('Capacity summary'!AK139&lt;&gt;"",IF(LOWER('Capacity summary'!AK139)="x",$BI20*AK20,VALUE('Capacity summary'!AK139)),0),AK20*$BI20),AK20*$BI20),0)</f>
        <v>0</v>
      </c>
      <c r="CO20" s="313">
        <f>IF($BI20&lt;&gt;"",IF('Capacity summary'!$D$14="Yes",IF(COUNTBLANK('Capacity summary'!$H139:$BG139)&lt;52,IF('Capacity summary'!AL139&lt;&gt;"",IF(LOWER('Capacity summary'!AL139)="x",$BI20*AL20,VALUE('Capacity summary'!AL139)),0),AL20*$BI20),AL20*$BI20),0)</f>
        <v>0</v>
      </c>
      <c r="CP20" s="313">
        <f>IF($BI20&lt;&gt;"",IF('Capacity summary'!$D$14="Yes",IF(COUNTBLANK('Capacity summary'!$H139:$BG139)&lt;52,IF('Capacity summary'!AM139&lt;&gt;"",IF(LOWER('Capacity summary'!AM139)="x",$BI20*AM20,VALUE('Capacity summary'!AM139)),0),AM20*$BI20),AM20*$BI20),0)</f>
        <v>0</v>
      </c>
      <c r="CQ20" s="313">
        <f>IF($BI20&lt;&gt;"",IF('Capacity summary'!$D$14="Yes",IF(COUNTBLANK('Capacity summary'!$H139:$BG139)&lt;52,IF('Capacity summary'!AN139&lt;&gt;"",IF(LOWER('Capacity summary'!AN139)="x",$BI20*AN20,VALUE('Capacity summary'!AN139)),0),AN20*$BI20),AN20*$BI20),0)</f>
        <v>0</v>
      </c>
      <c r="CR20" s="313">
        <f>IF($BI20&lt;&gt;"",IF('Capacity summary'!$D$14="Yes",IF(COUNTBLANK('Capacity summary'!$H139:$BG139)&lt;52,IF('Capacity summary'!AO139&lt;&gt;"",IF(LOWER('Capacity summary'!AO139)="x",$BI20*AO20,VALUE('Capacity summary'!AO139)),0),AO20*$BI20),AO20*$BI20),0)</f>
        <v>0</v>
      </c>
      <c r="CS20" s="313">
        <f>IF($BI20&lt;&gt;"",IF('Capacity summary'!$D$14="Yes",IF(COUNTBLANK('Capacity summary'!$H139:$BG139)&lt;52,IF('Capacity summary'!AP139&lt;&gt;"",IF(LOWER('Capacity summary'!AP139)="x",$BI20*AP20,VALUE('Capacity summary'!AP139)),0),AP20*$BI20),AP20*$BI20),0)</f>
        <v>0</v>
      </c>
      <c r="CT20" s="313">
        <f>IF($BI20&lt;&gt;"",IF('Capacity summary'!$D$14="Yes",IF(COUNTBLANK('Capacity summary'!$H139:$BG139)&lt;52,IF('Capacity summary'!AQ139&lt;&gt;"",IF(LOWER('Capacity summary'!AQ139)="x",$BI20*AQ20,VALUE('Capacity summary'!AQ139)),0),AQ20*$BI20),AQ20*$BI20),0)</f>
        <v>0</v>
      </c>
      <c r="CU20" s="313">
        <f>IF($BI20&lt;&gt;"",IF('Capacity summary'!$D$14="Yes",IF(COUNTBLANK('Capacity summary'!$H139:$BG139)&lt;52,IF('Capacity summary'!AR139&lt;&gt;"",IF(LOWER('Capacity summary'!AR139)="x",$BI20*AR20,VALUE('Capacity summary'!AR139)),0),AR20*$BI20),AR20*$BI20),0)</f>
        <v>0</v>
      </c>
      <c r="CV20" s="313">
        <f>IF($BI20&lt;&gt;"",IF('Capacity summary'!$D$14="Yes",IF(COUNTBLANK('Capacity summary'!$H139:$BG139)&lt;52,IF('Capacity summary'!AS139&lt;&gt;"",IF(LOWER('Capacity summary'!AS139)="x",$BI20*AS20,VALUE('Capacity summary'!AS139)),0),AS20*$BI20),AS20*$BI20),0)</f>
        <v>0</v>
      </c>
      <c r="CW20" s="313">
        <f>IF($BI20&lt;&gt;"",IF('Capacity summary'!$D$14="Yes",IF(COUNTBLANK('Capacity summary'!$H139:$BG139)&lt;52,IF('Capacity summary'!AT139&lt;&gt;"",IF(LOWER('Capacity summary'!AT139)="x",$BI20*AT20,VALUE('Capacity summary'!AT139)),0),AT20*$BI20),AT20*$BI20),0)</f>
        <v>0</v>
      </c>
      <c r="CX20" s="313">
        <f>IF($BI20&lt;&gt;"",IF('Capacity summary'!$D$14="Yes",IF(COUNTBLANK('Capacity summary'!$H139:$BG139)&lt;52,IF('Capacity summary'!AU139&lt;&gt;"",IF(LOWER('Capacity summary'!AU139)="x",$BI20*AU20,VALUE('Capacity summary'!AU139)),0),AU20*$BI20),AU20*$BI20),0)</f>
        <v>0</v>
      </c>
      <c r="CY20" s="313">
        <f>IF($BI20&lt;&gt;"",IF('Capacity summary'!$D$14="Yes",IF(COUNTBLANK('Capacity summary'!$H139:$BG139)&lt;52,IF('Capacity summary'!AV139&lt;&gt;"",IF(LOWER('Capacity summary'!AV139)="x",$BI20*AV20,VALUE('Capacity summary'!AV139)),0),AV20*$BI20),AV20*$BI20),0)</f>
        <v>0</v>
      </c>
      <c r="CZ20" s="313">
        <f>IF($BI20&lt;&gt;"",IF('Capacity summary'!$D$14="Yes",IF(COUNTBLANK('Capacity summary'!$H139:$BG139)&lt;52,IF('Capacity summary'!AW139&lt;&gt;"",IF(LOWER('Capacity summary'!AW139)="x",$BI20*AW20,VALUE('Capacity summary'!AW139)),0),AW20*$BI20),AW20*$BI20),0)</f>
        <v>0</v>
      </c>
      <c r="DA20" s="313">
        <f>IF($BI20&lt;&gt;"",IF('Capacity summary'!$D$14="Yes",IF(COUNTBLANK('Capacity summary'!$H139:$BG139)&lt;52,IF('Capacity summary'!AX139&lt;&gt;"",IF(LOWER('Capacity summary'!AX139)="x",$BI20*AX20,VALUE('Capacity summary'!AX139)),0),AX20*$BI20),AX20*$BI20),0)</f>
        <v>0</v>
      </c>
      <c r="DB20" s="313">
        <f>IF($BI20&lt;&gt;"",IF('Capacity summary'!$D$14="Yes",IF(COUNTBLANK('Capacity summary'!$H139:$BG139)&lt;52,IF('Capacity summary'!AY139&lt;&gt;"",IF(LOWER('Capacity summary'!AY139)="x",$BI20*AY20,VALUE('Capacity summary'!AY139)),0),AY20*$BI20),AY20*$BI20),0)</f>
        <v>0</v>
      </c>
      <c r="DC20" s="313">
        <f>IF($BI20&lt;&gt;"",IF('Capacity summary'!$D$14="Yes",IF(COUNTBLANK('Capacity summary'!$H139:$BG139)&lt;52,IF('Capacity summary'!AZ139&lt;&gt;"",IF(LOWER('Capacity summary'!AZ139)="x",$BI20*AZ20,VALUE('Capacity summary'!AZ139)),0),AZ20*$BI20),AZ20*$BI20),0)</f>
        <v>0</v>
      </c>
      <c r="DD20" s="313">
        <f>IF($BI20&lt;&gt;"",IF('Capacity summary'!$D$14="Yes",IF(COUNTBLANK('Capacity summary'!$H139:$BG139)&lt;52,IF('Capacity summary'!BA139&lt;&gt;"",IF(LOWER('Capacity summary'!BA139)="x",$BI20*BA20,VALUE('Capacity summary'!BA139)),0),BA20*$BI20),BA20*$BI20),0)</f>
        <v>0</v>
      </c>
      <c r="DE20" s="313">
        <f>IF($BI20&lt;&gt;"",IF('Capacity summary'!$D$14="Yes",IF(COUNTBLANK('Capacity summary'!$H139:$BG139)&lt;52,IF('Capacity summary'!BB139&lt;&gt;"",IF(LOWER('Capacity summary'!BB139)="x",$BI20*BB20,VALUE('Capacity summary'!BB139)),0),BB20*$BI20),BB20*$BI20),0)</f>
        <v>0</v>
      </c>
      <c r="DF20" s="313">
        <f>IF($BI20&lt;&gt;"",IF('Capacity summary'!$D$14="Yes",IF(COUNTBLANK('Capacity summary'!$H139:$BG139)&lt;52,IF('Capacity summary'!BC139&lt;&gt;"",IF(LOWER('Capacity summary'!BC139)="x",$BI20*BC20,VALUE('Capacity summary'!BC139)),0),BC20*$BI20),BC20*$BI20),0)</f>
        <v>0</v>
      </c>
      <c r="DG20" s="313">
        <f>IF($BI20&lt;&gt;"",IF('Capacity summary'!$D$14="Yes",IF(COUNTBLANK('Capacity summary'!$H139:$BG139)&lt;52,IF('Capacity summary'!BD139&lt;&gt;"",IF(LOWER('Capacity summary'!BD139)="x",$BI20*BD20,VALUE('Capacity summary'!BD139)),0),BD20*$BI20),BD20*$BI20),0)</f>
        <v>0</v>
      </c>
      <c r="DH20" s="313">
        <f>IF($BI20&lt;&gt;"",IF('Capacity summary'!$D$14="Yes",IF(COUNTBLANK('Capacity summary'!$H139:$BG139)&lt;52,IF('Capacity summary'!BE139&lt;&gt;"",IF(LOWER('Capacity summary'!BE139)="x",$BI20*BE20,VALUE('Capacity summary'!BE139)),0),BE20*$BI20),BE20*$BI20),0)</f>
        <v>0</v>
      </c>
      <c r="DI20" s="313">
        <f>IF($BI20&lt;&gt;"",IF('Capacity summary'!$D$14="Yes",IF(COUNTBLANK('Capacity summary'!$H139:$BG139)&lt;52,IF('Capacity summary'!BF139&lt;&gt;"",IF(LOWER('Capacity summary'!BF139)="x",$BI20*BF20,VALUE('Capacity summary'!BF139)),0),BF20*$BI20),BF20*$BI20),0)</f>
        <v>0</v>
      </c>
      <c r="DJ20" s="313">
        <f>IF($BI20&lt;&gt;"",IF('Capacity summary'!$D$14="Yes",IF(COUNTBLANK('Capacity summary'!$H139:$BG139)&lt;52,IF('Capacity summary'!BG139&lt;&gt;"",IF(LOWER('Capacity summary'!BG139)="x",$BI20*BG20,VALUE('Capacity summary'!BG139)),0),BG20*$BI20),BG20*$BI20),0)</f>
        <v>0</v>
      </c>
      <c r="DK20" s="137">
        <f t="shared" si="2"/>
        <v>0</v>
      </c>
      <c r="DL20" s="313" t="str">
        <f>Capacity!H32</f>
        <v/>
      </c>
      <c r="DP20" s="5"/>
    </row>
    <row r="21" spans="2:120" x14ac:dyDescent="0.25">
      <c r="B21" s="67"/>
      <c r="C21" s="67" t="str">
        <f>ROW(A17)&amp;". "&amp;Capacity!B33</f>
        <v xml:space="preserve">17. </v>
      </c>
      <c r="D21" s="67">
        <f>'Capacity setup'!C28</f>
        <v>0</v>
      </c>
      <c r="E21" s="67">
        <f>'Capacity setup'!D28</f>
        <v>0</v>
      </c>
      <c r="F21" s="67">
        <f>'Capacity setup'!E28</f>
        <v>0</v>
      </c>
      <c r="H21" s="67">
        <f ca="1">IF(AND(SUMIF(Capacity_Resource,$D21,'Critical resources (hide)'!U$6:U$105)+SUMIF(Capacity_Resource,$E21,'Critical resources (hide)'!U$6:U$105)+SUMIF(Capacity_Resource,$F21,'Critical resources (hide)'!U$6:U$105)&gt;0,$E$1=2),0,1)</f>
        <v>1</v>
      </c>
      <c r="I21" s="67">
        <f ca="1">IF(AND(SUMIF(Capacity_Resource,$D21,'Critical resources (hide)'!V$6:V$105)+SUMIF(Capacity_Resource,$E21,'Critical resources (hide)'!V$6:V$105)+SUMIF(Capacity_Resource,$F21,'Critical resources (hide)'!V$6:V$105)&gt;0,$E$1=2),0,1)</f>
        <v>1</v>
      </c>
      <c r="J21" s="67">
        <f ca="1">IF(AND(SUMIF(Capacity_Resource,$D21,'Critical resources (hide)'!W$6:W$105)+SUMIF(Capacity_Resource,$E21,'Critical resources (hide)'!W$6:W$105)+SUMIF(Capacity_Resource,$F21,'Critical resources (hide)'!W$6:W$105)&gt;0,$E$1=2),0,1)</f>
        <v>1</v>
      </c>
      <c r="K21" s="67">
        <f ca="1">IF(AND(SUMIF(Capacity_Resource,$D21,'Critical resources (hide)'!X$6:X$105)+SUMIF(Capacity_Resource,$E21,'Critical resources (hide)'!X$6:X$105)+SUMIF(Capacity_Resource,$F21,'Critical resources (hide)'!X$6:X$105)&gt;0,$E$1=2),0,1)</f>
        <v>1</v>
      </c>
      <c r="L21" s="67">
        <f ca="1">IF(AND(SUMIF(Capacity_Resource,$D21,'Critical resources (hide)'!Y$6:Y$105)+SUMIF(Capacity_Resource,$E21,'Critical resources (hide)'!Y$6:Y$105)+SUMIF(Capacity_Resource,$F21,'Critical resources (hide)'!Y$6:Y$105)&gt;0,$E$1=2),0,1)</f>
        <v>1</v>
      </c>
      <c r="M21" s="67">
        <f ca="1">IF(AND(SUMIF(Capacity_Resource,$D21,'Critical resources (hide)'!Z$6:Z$105)+SUMIF(Capacity_Resource,$E21,'Critical resources (hide)'!Z$6:Z$105)+SUMIF(Capacity_Resource,$F21,'Critical resources (hide)'!Z$6:Z$105)&gt;0,$E$1=2),0,1)</f>
        <v>1</v>
      </c>
      <c r="N21" s="67">
        <f ca="1">IF(AND(SUMIF(Capacity_Resource,$D21,'Critical resources (hide)'!AA$6:AA$105)+SUMIF(Capacity_Resource,$E21,'Critical resources (hide)'!AA$6:AA$105)+SUMIF(Capacity_Resource,$F21,'Critical resources (hide)'!AA$6:AA$105)&gt;0,$E$1=2),0,1)</f>
        <v>1</v>
      </c>
      <c r="O21" s="67">
        <f ca="1">IF(AND(SUMIF(Capacity_Resource,$D21,'Critical resources (hide)'!AB$6:AB$105)+SUMIF(Capacity_Resource,$E21,'Critical resources (hide)'!AB$6:AB$105)+SUMIF(Capacity_Resource,$F21,'Critical resources (hide)'!AB$6:AB$105)&gt;0,$E$1=2),0,1)</f>
        <v>1</v>
      </c>
      <c r="P21" s="67">
        <f ca="1">IF(AND(SUMIF(Capacity_Resource,$D21,'Critical resources (hide)'!AC$6:AC$105)+SUMIF(Capacity_Resource,$E21,'Critical resources (hide)'!AC$6:AC$105)+SUMIF(Capacity_Resource,$F21,'Critical resources (hide)'!AC$6:AC$105)&gt;0,$E$1=2),0,1)</f>
        <v>1</v>
      </c>
      <c r="Q21" s="67">
        <f ca="1">IF(AND(SUMIF(Capacity_Resource,$D21,'Critical resources (hide)'!AD$6:AD$105)+SUMIF(Capacity_Resource,$E21,'Critical resources (hide)'!AD$6:AD$105)+SUMIF(Capacity_Resource,$F21,'Critical resources (hide)'!AD$6:AD$105)&gt;0,$E$1=2),0,1)</f>
        <v>1</v>
      </c>
      <c r="R21" s="67">
        <f ca="1">IF(AND(SUMIF(Capacity_Resource,$D21,'Critical resources (hide)'!AE$6:AE$105)+SUMIF(Capacity_Resource,$E21,'Critical resources (hide)'!AE$6:AE$105)+SUMIF(Capacity_Resource,$F21,'Critical resources (hide)'!AE$6:AE$105)&gt;0,$E$1=2),0,1)</f>
        <v>1</v>
      </c>
      <c r="S21" s="67">
        <f ca="1">IF(AND(SUMIF(Capacity_Resource,$D21,'Critical resources (hide)'!AF$6:AF$105)+SUMIF(Capacity_Resource,$E21,'Critical resources (hide)'!AF$6:AF$105)+SUMIF(Capacity_Resource,$F21,'Critical resources (hide)'!AF$6:AF$105)&gt;0,$E$1=2),0,1)</f>
        <v>1</v>
      </c>
      <c r="T21" s="67">
        <f ca="1">IF(AND(SUMIF(Capacity_Resource,$D21,'Critical resources (hide)'!AG$6:AG$105)+SUMIF(Capacity_Resource,$E21,'Critical resources (hide)'!AG$6:AG$105)+SUMIF(Capacity_Resource,$F21,'Critical resources (hide)'!AG$6:AG$105)&gt;0,$E$1=2),0,1)</f>
        <v>1</v>
      </c>
      <c r="U21" s="67">
        <f ca="1">IF(AND(SUMIF(Capacity_Resource,$D21,'Critical resources (hide)'!AH$6:AH$105)+SUMIF(Capacity_Resource,$E21,'Critical resources (hide)'!AH$6:AH$105)+SUMIF(Capacity_Resource,$F21,'Critical resources (hide)'!AH$6:AH$105)&gt;0,$E$1=2),0,1)</f>
        <v>1</v>
      </c>
      <c r="V21" s="67">
        <f ca="1">IF(AND(SUMIF(Capacity_Resource,$D21,'Critical resources (hide)'!AI$6:AI$105)+SUMIF(Capacity_Resource,$E21,'Critical resources (hide)'!AI$6:AI$105)+SUMIF(Capacity_Resource,$F21,'Critical resources (hide)'!AI$6:AI$105)&gt;0,$E$1=2),0,1)</f>
        <v>1</v>
      </c>
      <c r="W21" s="67">
        <f ca="1">IF(AND(SUMIF(Capacity_Resource,$D21,'Critical resources (hide)'!AJ$6:AJ$105)+SUMIF(Capacity_Resource,$E21,'Critical resources (hide)'!AJ$6:AJ$105)+SUMIF(Capacity_Resource,$F21,'Critical resources (hide)'!AJ$6:AJ$105)&gt;0,$E$1=2),0,1)</f>
        <v>1</v>
      </c>
      <c r="X21" s="67">
        <f ca="1">IF(AND(SUMIF(Capacity_Resource,$D21,'Critical resources (hide)'!AK$6:AK$105)+SUMIF(Capacity_Resource,$E21,'Critical resources (hide)'!AK$6:AK$105)+SUMIF(Capacity_Resource,$F21,'Critical resources (hide)'!AK$6:AK$105)&gt;0,$E$1=2),0,1)</f>
        <v>1</v>
      </c>
      <c r="Y21" s="67">
        <f ca="1">IF(AND(SUMIF(Capacity_Resource,$D21,'Critical resources (hide)'!AL$6:AL$105)+SUMIF(Capacity_Resource,$E21,'Critical resources (hide)'!AL$6:AL$105)+SUMIF(Capacity_Resource,$F21,'Critical resources (hide)'!AL$6:AL$105)&gt;0,$E$1=2),0,1)</f>
        <v>1</v>
      </c>
      <c r="Z21" s="67">
        <f ca="1">IF(AND(SUMIF(Capacity_Resource,$D21,'Critical resources (hide)'!AM$6:AM$105)+SUMIF(Capacity_Resource,$E21,'Critical resources (hide)'!AM$6:AM$105)+SUMIF(Capacity_Resource,$F21,'Critical resources (hide)'!AM$6:AM$105)&gt;0,$E$1=2),0,1)</f>
        <v>1</v>
      </c>
      <c r="AA21" s="67">
        <f ca="1">IF(AND(SUMIF(Capacity_Resource,$D21,'Critical resources (hide)'!AN$6:AN$105)+SUMIF(Capacity_Resource,$E21,'Critical resources (hide)'!AN$6:AN$105)+SUMIF(Capacity_Resource,$F21,'Critical resources (hide)'!AN$6:AN$105)&gt;0,$E$1=2),0,1)</f>
        <v>1</v>
      </c>
      <c r="AB21" s="67">
        <f ca="1">IF(AND(SUMIF(Capacity_Resource,$D21,'Critical resources (hide)'!AO$6:AO$105)+SUMIF(Capacity_Resource,$E21,'Critical resources (hide)'!AO$6:AO$105)+SUMIF(Capacity_Resource,$F21,'Critical resources (hide)'!AO$6:AO$105)&gt;0,$E$1=2),0,1)</f>
        <v>1</v>
      </c>
      <c r="AC21" s="67">
        <f ca="1">IF(AND(SUMIF(Capacity_Resource,$D21,'Critical resources (hide)'!AP$6:AP$105)+SUMIF(Capacity_Resource,$E21,'Critical resources (hide)'!AP$6:AP$105)+SUMIF(Capacity_Resource,$F21,'Critical resources (hide)'!AP$6:AP$105)&gt;0,$E$1=2),0,1)</f>
        <v>1</v>
      </c>
      <c r="AD21" s="67">
        <f ca="1">IF(AND(SUMIF(Capacity_Resource,$D21,'Critical resources (hide)'!AQ$6:AQ$105)+SUMIF(Capacity_Resource,$E21,'Critical resources (hide)'!AQ$6:AQ$105)+SUMIF(Capacity_Resource,$F21,'Critical resources (hide)'!AQ$6:AQ$105)&gt;0,$E$1=2),0,1)</f>
        <v>1</v>
      </c>
      <c r="AE21" s="67">
        <f ca="1">IF(AND(SUMIF(Capacity_Resource,$D21,'Critical resources (hide)'!AR$6:AR$105)+SUMIF(Capacity_Resource,$E21,'Critical resources (hide)'!AR$6:AR$105)+SUMIF(Capacity_Resource,$F21,'Critical resources (hide)'!AR$6:AR$105)&gt;0,$E$1=2),0,1)</f>
        <v>1</v>
      </c>
      <c r="AF21" s="67">
        <f ca="1">IF(AND(SUMIF(Capacity_Resource,$D21,'Critical resources (hide)'!AS$6:AS$105)+SUMIF(Capacity_Resource,$E21,'Critical resources (hide)'!AS$6:AS$105)+SUMIF(Capacity_Resource,$F21,'Critical resources (hide)'!AS$6:AS$105)&gt;0,$E$1=2),0,1)</f>
        <v>1</v>
      </c>
      <c r="AG21" s="67">
        <f ca="1">IF(AND(SUMIF(Capacity_Resource,$D21,'Critical resources (hide)'!AT$6:AT$105)+SUMIF(Capacity_Resource,$E21,'Critical resources (hide)'!AT$6:AT$105)+SUMIF(Capacity_Resource,$F21,'Critical resources (hide)'!AT$6:AT$105)&gt;0,$E$1=2),0,1)</f>
        <v>1</v>
      </c>
      <c r="AH21" s="67">
        <f ca="1">IF(AND(SUMIF(Capacity_Resource,$D21,'Critical resources (hide)'!AU$6:AU$105)+SUMIF(Capacity_Resource,$E21,'Critical resources (hide)'!AU$6:AU$105)+SUMIF(Capacity_Resource,$F21,'Critical resources (hide)'!AU$6:AU$105)&gt;0,$E$1=2),0,1)</f>
        <v>1</v>
      </c>
      <c r="AI21" s="67">
        <f ca="1">IF(AND(SUMIF(Capacity_Resource,$D21,'Critical resources (hide)'!AV$6:AV$105)+SUMIF(Capacity_Resource,$E21,'Critical resources (hide)'!AV$6:AV$105)+SUMIF(Capacity_Resource,$F21,'Critical resources (hide)'!AV$6:AV$105)&gt;0,$E$1=2),0,1)</f>
        <v>1</v>
      </c>
      <c r="AJ21" s="67">
        <f ca="1">IF(AND(SUMIF(Capacity_Resource,$D21,'Critical resources (hide)'!AW$6:AW$105)+SUMIF(Capacity_Resource,$E21,'Critical resources (hide)'!AW$6:AW$105)+SUMIF(Capacity_Resource,$F21,'Critical resources (hide)'!AW$6:AW$105)&gt;0,$E$1=2),0,1)</f>
        <v>1</v>
      </c>
      <c r="AK21" s="67">
        <f ca="1">IF(AND(SUMIF(Capacity_Resource,$D21,'Critical resources (hide)'!AX$6:AX$105)+SUMIF(Capacity_Resource,$E21,'Critical resources (hide)'!AX$6:AX$105)+SUMIF(Capacity_Resource,$F21,'Critical resources (hide)'!AX$6:AX$105)&gt;0,$E$1=2),0,1)</f>
        <v>1</v>
      </c>
      <c r="AL21" s="67">
        <f ca="1">IF(AND(SUMIF(Capacity_Resource,$D21,'Critical resources (hide)'!AY$6:AY$105)+SUMIF(Capacity_Resource,$E21,'Critical resources (hide)'!AY$6:AY$105)+SUMIF(Capacity_Resource,$F21,'Critical resources (hide)'!AY$6:AY$105)&gt;0,$E$1=2),0,1)</f>
        <v>1</v>
      </c>
      <c r="AM21" s="67">
        <f ca="1">IF(AND(SUMIF(Capacity_Resource,$D21,'Critical resources (hide)'!AZ$6:AZ$105)+SUMIF(Capacity_Resource,$E21,'Critical resources (hide)'!AZ$6:AZ$105)+SUMIF(Capacity_Resource,$F21,'Critical resources (hide)'!AZ$6:AZ$105)&gt;0,$E$1=2),0,1)</f>
        <v>1</v>
      </c>
      <c r="AN21" s="67">
        <f ca="1">IF(AND(SUMIF(Capacity_Resource,$D21,'Critical resources (hide)'!BA$6:BA$105)+SUMIF(Capacity_Resource,$E21,'Critical resources (hide)'!BA$6:BA$105)+SUMIF(Capacity_Resource,$F21,'Critical resources (hide)'!BA$6:BA$105)&gt;0,$E$1=2),0,1)</f>
        <v>1</v>
      </c>
      <c r="AO21" s="67">
        <f ca="1">IF(AND(SUMIF(Capacity_Resource,$D21,'Critical resources (hide)'!BB$6:BB$105)+SUMIF(Capacity_Resource,$E21,'Critical resources (hide)'!BB$6:BB$105)+SUMIF(Capacity_Resource,$F21,'Critical resources (hide)'!BB$6:BB$105)&gt;0,$E$1=2),0,1)</f>
        <v>1</v>
      </c>
      <c r="AP21" s="67">
        <f ca="1">IF(AND(SUMIF(Capacity_Resource,$D21,'Critical resources (hide)'!BC$6:BC$105)+SUMIF(Capacity_Resource,$E21,'Critical resources (hide)'!BC$6:BC$105)+SUMIF(Capacity_Resource,$F21,'Critical resources (hide)'!BC$6:BC$105)&gt;0,$E$1=2),0,1)</f>
        <v>1</v>
      </c>
      <c r="AQ21" s="67">
        <f ca="1">IF(AND(SUMIF(Capacity_Resource,$D21,'Critical resources (hide)'!BD$6:BD$105)+SUMIF(Capacity_Resource,$E21,'Critical resources (hide)'!BD$6:BD$105)+SUMIF(Capacity_Resource,$F21,'Critical resources (hide)'!BD$6:BD$105)&gt;0,$E$1=2),0,1)</f>
        <v>1</v>
      </c>
      <c r="AR21" s="67">
        <f ca="1">IF(AND(SUMIF(Capacity_Resource,$D21,'Critical resources (hide)'!BE$6:BE$105)+SUMIF(Capacity_Resource,$E21,'Critical resources (hide)'!BE$6:BE$105)+SUMIF(Capacity_Resource,$F21,'Critical resources (hide)'!BE$6:BE$105)&gt;0,$E$1=2),0,1)</f>
        <v>1</v>
      </c>
      <c r="AS21" s="67">
        <f ca="1">IF(AND(SUMIF(Capacity_Resource,$D21,'Critical resources (hide)'!BF$6:BF$105)+SUMIF(Capacity_Resource,$E21,'Critical resources (hide)'!BF$6:BF$105)+SUMIF(Capacity_Resource,$F21,'Critical resources (hide)'!BF$6:BF$105)&gt;0,$E$1=2),0,1)</f>
        <v>1</v>
      </c>
      <c r="AT21" s="67">
        <f ca="1">IF(AND(SUMIF(Capacity_Resource,$D21,'Critical resources (hide)'!BG$6:BG$105)+SUMIF(Capacity_Resource,$E21,'Critical resources (hide)'!BG$6:BG$105)+SUMIF(Capacity_Resource,$F21,'Critical resources (hide)'!BG$6:BG$105)&gt;0,$E$1=2),0,1)</f>
        <v>1</v>
      </c>
      <c r="AU21" s="67">
        <f ca="1">IF(AND(SUMIF(Capacity_Resource,$D21,'Critical resources (hide)'!BH$6:BH$105)+SUMIF(Capacity_Resource,$E21,'Critical resources (hide)'!BH$6:BH$105)+SUMIF(Capacity_Resource,$F21,'Critical resources (hide)'!BH$6:BH$105)&gt;0,$E$1=2),0,1)</f>
        <v>1</v>
      </c>
      <c r="AV21" s="67">
        <f ca="1">IF(AND(SUMIF(Capacity_Resource,$D21,'Critical resources (hide)'!BI$6:BI$105)+SUMIF(Capacity_Resource,$E21,'Critical resources (hide)'!BI$6:BI$105)+SUMIF(Capacity_Resource,$F21,'Critical resources (hide)'!BI$6:BI$105)&gt;0,$E$1=2),0,1)</f>
        <v>1</v>
      </c>
      <c r="AW21" s="67">
        <f ca="1">IF(AND(SUMIF(Capacity_Resource,$D21,'Critical resources (hide)'!BJ$6:BJ$105)+SUMIF(Capacity_Resource,$E21,'Critical resources (hide)'!BJ$6:BJ$105)+SUMIF(Capacity_Resource,$F21,'Critical resources (hide)'!BJ$6:BJ$105)&gt;0,$E$1=2),0,1)</f>
        <v>1</v>
      </c>
      <c r="AX21" s="67">
        <f ca="1">IF(AND(SUMIF(Capacity_Resource,$D21,'Critical resources (hide)'!BK$6:BK$105)+SUMIF(Capacity_Resource,$E21,'Critical resources (hide)'!BK$6:BK$105)+SUMIF(Capacity_Resource,$F21,'Critical resources (hide)'!BK$6:BK$105)&gt;0,$E$1=2),0,1)</f>
        <v>1</v>
      </c>
      <c r="AY21" s="67">
        <f ca="1">IF(AND(SUMIF(Capacity_Resource,$D21,'Critical resources (hide)'!BL$6:BL$105)+SUMIF(Capacity_Resource,$E21,'Critical resources (hide)'!BL$6:BL$105)+SUMIF(Capacity_Resource,$F21,'Critical resources (hide)'!BL$6:BL$105)&gt;0,$E$1=2),0,1)</f>
        <v>1</v>
      </c>
      <c r="AZ21" s="67">
        <f ca="1">IF(AND(SUMIF(Capacity_Resource,$D21,'Critical resources (hide)'!BM$6:BM$105)+SUMIF(Capacity_Resource,$E21,'Critical resources (hide)'!BM$6:BM$105)+SUMIF(Capacity_Resource,$F21,'Critical resources (hide)'!BM$6:BM$105)&gt;0,$E$1=2),0,1)</f>
        <v>1</v>
      </c>
      <c r="BA21" s="67">
        <f ca="1">IF(AND(SUMIF(Capacity_Resource,$D21,'Critical resources (hide)'!BN$6:BN$105)+SUMIF(Capacity_Resource,$E21,'Critical resources (hide)'!BN$6:BN$105)+SUMIF(Capacity_Resource,$F21,'Critical resources (hide)'!BN$6:BN$105)&gt;0,$E$1=2),0,1)</f>
        <v>1</v>
      </c>
      <c r="BB21" s="67">
        <f ca="1">IF(AND(SUMIF(Capacity_Resource,$D21,'Critical resources (hide)'!BO$6:BO$105)+SUMIF(Capacity_Resource,$E21,'Critical resources (hide)'!BO$6:BO$105)+SUMIF(Capacity_Resource,$F21,'Critical resources (hide)'!BO$6:BO$105)&gt;0,$E$1=2),0,1)</f>
        <v>1</v>
      </c>
      <c r="BC21" s="67">
        <f ca="1">IF(AND(SUMIF(Capacity_Resource,$D21,'Critical resources (hide)'!BP$6:BP$105)+SUMIF(Capacity_Resource,$E21,'Critical resources (hide)'!BP$6:BP$105)+SUMIF(Capacity_Resource,$F21,'Critical resources (hide)'!BP$6:BP$105)&gt;0,$E$1=2),0,1)</f>
        <v>1</v>
      </c>
      <c r="BD21" s="67">
        <f ca="1">IF(AND(SUMIF(Capacity_Resource,$D21,'Critical resources (hide)'!BQ$6:BQ$105)+SUMIF(Capacity_Resource,$E21,'Critical resources (hide)'!BQ$6:BQ$105)+SUMIF(Capacity_Resource,$F21,'Critical resources (hide)'!BQ$6:BQ$105)&gt;0,$E$1=2),0,1)</f>
        <v>1</v>
      </c>
      <c r="BE21" s="67">
        <f ca="1">IF(AND(SUMIF(Capacity_Resource,$D21,'Critical resources (hide)'!BR$6:BR$105)+SUMIF(Capacity_Resource,$E21,'Critical resources (hide)'!BR$6:BR$105)+SUMIF(Capacity_Resource,$F21,'Critical resources (hide)'!BR$6:BR$105)&gt;0,$E$1=2),0,1)</f>
        <v>1</v>
      </c>
      <c r="BF21" s="67">
        <f ca="1">IF(AND(SUMIF(Capacity_Resource,$D21,'Critical resources (hide)'!BS$6:BS$105)+SUMIF(Capacity_Resource,$E21,'Critical resources (hide)'!BS$6:BS$105)+SUMIF(Capacity_Resource,$F21,'Critical resources (hide)'!BS$6:BS$105)&gt;0,$E$1=2),0,1)</f>
        <v>1</v>
      </c>
      <c r="BG21" s="67">
        <f ca="1">IF(AND(SUMIF(Capacity_Resource,$D21,'Critical resources (hide)'!BT$6:BT$105)+SUMIF(Capacity_Resource,$E21,'Critical resources (hide)'!BT$6:BT$105)+SUMIF(Capacity_Resource,$F21,'Critical resources (hide)'!BT$6:BT$105)&gt;0,$E$1=2),0,1)</f>
        <v>1</v>
      </c>
      <c r="BH21" s="67">
        <f>IF(ROW(C17)&lt;=Capacity!$A$16,IF('Capacity summary'!$D$14="No",SUM(H21:BG21),'Capacity summary'!$E140),0)</f>
        <v>0</v>
      </c>
      <c r="BI21" s="5" t="str">
        <f>IF(BH21&gt;0,IF(BH21&lt;Capacity!E33,Capacity!F33,Capacity!H33/'Capacity calculation (hide)'!BH21),"")</f>
        <v/>
      </c>
      <c r="BK21" s="313">
        <f>IF($BI21&lt;&gt;"",IF('Capacity summary'!$D$14="Yes",IF(COUNTBLANK('Capacity summary'!$H140:$BG140)&lt;52,IF('Capacity summary'!H140&lt;&gt;"",IF(LOWER('Capacity summary'!H140)="x",$BI21*H21,VALUE('Capacity summary'!H140)),0),H21*$BI21),H21*$BI21),0)</f>
        <v>0</v>
      </c>
      <c r="BL21" s="313">
        <f>IF($BI21&lt;&gt;"",IF('Capacity summary'!$D$14="Yes",IF(COUNTBLANK('Capacity summary'!$H140:$BG140)&lt;52,IF('Capacity summary'!I140&lt;&gt;"",IF(LOWER('Capacity summary'!I140)="x",$BI21*I21,VALUE('Capacity summary'!I140)),0),I21*$BI21),I21*$BI21),0)</f>
        <v>0</v>
      </c>
      <c r="BM21" s="313">
        <f>IF($BI21&lt;&gt;"",IF('Capacity summary'!$D$14="Yes",IF(COUNTBLANK('Capacity summary'!$H140:$BG140)&lt;52,IF('Capacity summary'!J140&lt;&gt;"",IF(LOWER('Capacity summary'!J140)="x",$BI21*J21,VALUE('Capacity summary'!J140)),0),J21*$BI21),J21*$BI21),0)</f>
        <v>0</v>
      </c>
      <c r="BN21" s="313">
        <f>IF($BI21&lt;&gt;"",IF('Capacity summary'!$D$14="Yes",IF(COUNTBLANK('Capacity summary'!$H140:$BG140)&lt;52,IF('Capacity summary'!K140&lt;&gt;"",IF(LOWER('Capacity summary'!K140)="x",$BI21*K21,VALUE('Capacity summary'!K140)),0),K21*$BI21),K21*$BI21),0)</f>
        <v>0</v>
      </c>
      <c r="BO21" s="313">
        <f>IF($BI21&lt;&gt;"",IF('Capacity summary'!$D$14="Yes",IF(COUNTBLANK('Capacity summary'!$H140:$BG140)&lt;52,IF('Capacity summary'!L140&lt;&gt;"",IF(LOWER('Capacity summary'!L140)="x",$BI21*L21,VALUE('Capacity summary'!L140)),0),L21*$BI21),L21*$BI21),0)</f>
        <v>0</v>
      </c>
      <c r="BP21" s="313">
        <f>IF($BI21&lt;&gt;"",IF('Capacity summary'!$D$14="Yes",IF(COUNTBLANK('Capacity summary'!$H140:$BG140)&lt;52,IF('Capacity summary'!M140&lt;&gt;"",IF(LOWER('Capacity summary'!M140)="x",$BI21*M21,VALUE('Capacity summary'!M140)),0),M21*$BI21),M21*$BI21),0)</f>
        <v>0</v>
      </c>
      <c r="BQ21" s="313">
        <f>IF($BI21&lt;&gt;"",IF('Capacity summary'!$D$14="Yes",IF(COUNTBLANK('Capacity summary'!$H140:$BG140)&lt;52,IF('Capacity summary'!N140&lt;&gt;"",IF(LOWER('Capacity summary'!N140)="x",$BI21*N21,VALUE('Capacity summary'!N140)),0),N21*$BI21),N21*$BI21),0)</f>
        <v>0</v>
      </c>
      <c r="BR21" s="313">
        <f>IF($BI21&lt;&gt;"",IF('Capacity summary'!$D$14="Yes",IF(COUNTBLANK('Capacity summary'!$H140:$BG140)&lt;52,IF('Capacity summary'!O140&lt;&gt;"",IF(LOWER('Capacity summary'!O140)="x",$BI21*O21,VALUE('Capacity summary'!O140)),0),O21*$BI21),O21*$BI21),0)</f>
        <v>0</v>
      </c>
      <c r="BS21" s="313">
        <f>IF($BI21&lt;&gt;"",IF('Capacity summary'!$D$14="Yes",IF(COUNTBLANK('Capacity summary'!$H140:$BG140)&lt;52,IF('Capacity summary'!P140&lt;&gt;"",IF(LOWER('Capacity summary'!P140)="x",$BI21*P21,VALUE('Capacity summary'!P140)),0),P21*$BI21),P21*$BI21),0)</f>
        <v>0</v>
      </c>
      <c r="BT21" s="313">
        <f>IF($BI21&lt;&gt;"",IF('Capacity summary'!$D$14="Yes",IF(COUNTBLANK('Capacity summary'!$H140:$BG140)&lt;52,IF('Capacity summary'!Q140&lt;&gt;"",IF(LOWER('Capacity summary'!Q140)="x",$BI21*Q21,VALUE('Capacity summary'!Q140)),0),Q21*$BI21),Q21*$BI21),0)</f>
        <v>0</v>
      </c>
      <c r="BU21" s="313">
        <f>IF($BI21&lt;&gt;"",IF('Capacity summary'!$D$14="Yes",IF(COUNTBLANK('Capacity summary'!$H140:$BG140)&lt;52,IF('Capacity summary'!R140&lt;&gt;"",IF(LOWER('Capacity summary'!R140)="x",$BI21*R21,VALUE('Capacity summary'!R140)),0),R21*$BI21),R21*$BI21),0)</f>
        <v>0</v>
      </c>
      <c r="BV21" s="313">
        <f>IF($BI21&lt;&gt;"",IF('Capacity summary'!$D$14="Yes",IF(COUNTBLANK('Capacity summary'!$H140:$BG140)&lt;52,IF('Capacity summary'!S140&lt;&gt;"",IF(LOWER('Capacity summary'!S140)="x",$BI21*S21,VALUE('Capacity summary'!S140)),0),S21*$BI21),S21*$BI21),0)</f>
        <v>0</v>
      </c>
      <c r="BW21" s="313">
        <f>IF($BI21&lt;&gt;"",IF('Capacity summary'!$D$14="Yes",IF(COUNTBLANK('Capacity summary'!$H140:$BG140)&lt;52,IF('Capacity summary'!T140&lt;&gt;"",IF(LOWER('Capacity summary'!T140)="x",$BI21*T21,VALUE('Capacity summary'!T140)),0),T21*$BI21),T21*$BI21),0)</f>
        <v>0</v>
      </c>
      <c r="BX21" s="313">
        <f>IF($BI21&lt;&gt;"",IF('Capacity summary'!$D$14="Yes",IF(COUNTBLANK('Capacity summary'!$H140:$BG140)&lt;52,IF('Capacity summary'!U140&lt;&gt;"",IF(LOWER('Capacity summary'!U140)="x",$BI21*U21,VALUE('Capacity summary'!U140)),0),U21*$BI21),U21*$BI21),0)</f>
        <v>0</v>
      </c>
      <c r="BY21" s="313">
        <f>IF($BI21&lt;&gt;"",IF('Capacity summary'!$D$14="Yes",IF(COUNTBLANK('Capacity summary'!$H140:$BG140)&lt;52,IF('Capacity summary'!V140&lt;&gt;"",IF(LOWER('Capacity summary'!V140)="x",$BI21*V21,VALUE('Capacity summary'!V140)),0),V21*$BI21),V21*$BI21),0)</f>
        <v>0</v>
      </c>
      <c r="BZ21" s="313">
        <f>IF($BI21&lt;&gt;"",IF('Capacity summary'!$D$14="Yes",IF(COUNTBLANK('Capacity summary'!$H140:$BG140)&lt;52,IF('Capacity summary'!W140&lt;&gt;"",IF(LOWER('Capacity summary'!W140)="x",$BI21*W21,VALUE('Capacity summary'!W140)),0),W21*$BI21),W21*$BI21),0)</f>
        <v>0</v>
      </c>
      <c r="CA21" s="313">
        <f>IF($BI21&lt;&gt;"",IF('Capacity summary'!$D$14="Yes",IF(COUNTBLANK('Capacity summary'!$H140:$BG140)&lt;52,IF('Capacity summary'!X140&lt;&gt;"",IF(LOWER('Capacity summary'!X140)="x",$BI21*X21,VALUE('Capacity summary'!X140)),0),X21*$BI21),X21*$BI21),0)</f>
        <v>0</v>
      </c>
      <c r="CB21" s="313">
        <f>IF($BI21&lt;&gt;"",IF('Capacity summary'!$D$14="Yes",IF(COUNTBLANK('Capacity summary'!$H140:$BG140)&lt;52,IF('Capacity summary'!Y140&lt;&gt;"",IF(LOWER('Capacity summary'!Y140)="x",$BI21*Y21,VALUE('Capacity summary'!Y140)),0),Y21*$BI21),Y21*$BI21),0)</f>
        <v>0</v>
      </c>
      <c r="CC21" s="313">
        <f>IF($BI21&lt;&gt;"",IF('Capacity summary'!$D$14="Yes",IF(COUNTBLANK('Capacity summary'!$H140:$BG140)&lt;52,IF('Capacity summary'!Z140&lt;&gt;"",IF(LOWER('Capacity summary'!Z140)="x",$BI21*Z21,VALUE('Capacity summary'!Z140)),0),Z21*$BI21),Z21*$BI21),0)</f>
        <v>0</v>
      </c>
      <c r="CD21" s="313">
        <f>IF($BI21&lt;&gt;"",IF('Capacity summary'!$D$14="Yes",IF(COUNTBLANK('Capacity summary'!$H140:$BG140)&lt;52,IF('Capacity summary'!AA140&lt;&gt;"",IF(LOWER('Capacity summary'!AA140)="x",$BI21*AA21,VALUE('Capacity summary'!AA140)),0),AA21*$BI21),AA21*$BI21),0)</f>
        <v>0</v>
      </c>
      <c r="CE21" s="313">
        <f>IF($BI21&lt;&gt;"",IF('Capacity summary'!$D$14="Yes",IF(COUNTBLANK('Capacity summary'!$H140:$BG140)&lt;52,IF('Capacity summary'!AB140&lt;&gt;"",IF(LOWER('Capacity summary'!AB140)="x",$BI21*AB21,VALUE('Capacity summary'!AB140)),0),AB21*$BI21),AB21*$BI21),0)</f>
        <v>0</v>
      </c>
      <c r="CF21" s="313">
        <f>IF($BI21&lt;&gt;"",IF('Capacity summary'!$D$14="Yes",IF(COUNTBLANK('Capacity summary'!$H140:$BG140)&lt;52,IF('Capacity summary'!AC140&lt;&gt;"",IF(LOWER('Capacity summary'!AC140)="x",$BI21*AC21,VALUE('Capacity summary'!AC140)),0),AC21*$BI21),AC21*$BI21),0)</f>
        <v>0</v>
      </c>
      <c r="CG21" s="313">
        <f>IF($BI21&lt;&gt;"",IF('Capacity summary'!$D$14="Yes",IF(COUNTBLANK('Capacity summary'!$H140:$BG140)&lt;52,IF('Capacity summary'!AD140&lt;&gt;"",IF(LOWER('Capacity summary'!AD140)="x",$BI21*AD21,VALUE('Capacity summary'!AD140)),0),AD21*$BI21),AD21*$BI21),0)</f>
        <v>0</v>
      </c>
      <c r="CH21" s="313">
        <f>IF($BI21&lt;&gt;"",IF('Capacity summary'!$D$14="Yes",IF(COUNTBLANK('Capacity summary'!$H140:$BG140)&lt;52,IF('Capacity summary'!AE140&lt;&gt;"",IF(LOWER('Capacity summary'!AE140)="x",$BI21*AE21,VALUE('Capacity summary'!AE140)),0),AE21*$BI21),AE21*$BI21),0)</f>
        <v>0</v>
      </c>
      <c r="CI21" s="313">
        <f>IF($BI21&lt;&gt;"",IF('Capacity summary'!$D$14="Yes",IF(COUNTBLANK('Capacity summary'!$H140:$BG140)&lt;52,IF('Capacity summary'!AF140&lt;&gt;"",IF(LOWER('Capacity summary'!AF140)="x",$BI21*AF21,VALUE('Capacity summary'!AF140)),0),AF21*$BI21),AF21*$BI21),0)</f>
        <v>0</v>
      </c>
      <c r="CJ21" s="313">
        <f>IF($BI21&lt;&gt;"",IF('Capacity summary'!$D$14="Yes",IF(COUNTBLANK('Capacity summary'!$H140:$BG140)&lt;52,IF('Capacity summary'!AG140&lt;&gt;"",IF(LOWER('Capacity summary'!AG140)="x",$BI21*AG21,VALUE('Capacity summary'!AG140)),0),AG21*$BI21),AG21*$BI21),0)</f>
        <v>0</v>
      </c>
      <c r="CK21" s="313">
        <f>IF($BI21&lt;&gt;"",IF('Capacity summary'!$D$14="Yes",IF(COUNTBLANK('Capacity summary'!$H140:$BG140)&lt;52,IF('Capacity summary'!AH140&lt;&gt;"",IF(LOWER('Capacity summary'!AH140)="x",$BI21*AH21,VALUE('Capacity summary'!AH140)),0),AH21*$BI21),AH21*$BI21),0)</f>
        <v>0</v>
      </c>
      <c r="CL21" s="313">
        <f>IF($BI21&lt;&gt;"",IF('Capacity summary'!$D$14="Yes",IF(COUNTBLANK('Capacity summary'!$H140:$BG140)&lt;52,IF('Capacity summary'!AI140&lt;&gt;"",IF(LOWER('Capacity summary'!AI140)="x",$BI21*AI21,VALUE('Capacity summary'!AI140)),0),AI21*$BI21),AI21*$BI21),0)</f>
        <v>0</v>
      </c>
      <c r="CM21" s="313">
        <f>IF($BI21&lt;&gt;"",IF('Capacity summary'!$D$14="Yes",IF(COUNTBLANK('Capacity summary'!$H140:$BG140)&lt;52,IF('Capacity summary'!AJ140&lt;&gt;"",IF(LOWER('Capacity summary'!AJ140)="x",$BI21*AJ21,VALUE('Capacity summary'!AJ140)),0),AJ21*$BI21),AJ21*$BI21),0)</f>
        <v>0</v>
      </c>
      <c r="CN21" s="313">
        <f>IF($BI21&lt;&gt;"",IF('Capacity summary'!$D$14="Yes",IF(COUNTBLANK('Capacity summary'!$H140:$BG140)&lt;52,IF('Capacity summary'!AK140&lt;&gt;"",IF(LOWER('Capacity summary'!AK140)="x",$BI21*AK21,VALUE('Capacity summary'!AK140)),0),AK21*$BI21),AK21*$BI21),0)</f>
        <v>0</v>
      </c>
      <c r="CO21" s="313">
        <f>IF($BI21&lt;&gt;"",IF('Capacity summary'!$D$14="Yes",IF(COUNTBLANK('Capacity summary'!$H140:$BG140)&lt;52,IF('Capacity summary'!AL140&lt;&gt;"",IF(LOWER('Capacity summary'!AL140)="x",$BI21*AL21,VALUE('Capacity summary'!AL140)),0),AL21*$BI21),AL21*$BI21),0)</f>
        <v>0</v>
      </c>
      <c r="CP21" s="313">
        <f>IF($BI21&lt;&gt;"",IF('Capacity summary'!$D$14="Yes",IF(COUNTBLANK('Capacity summary'!$H140:$BG140)&lt;52,IF('Capacity summary'!AM140&lt;&gt;"",IF(LOWER('Capacity summary'!AM140)="x",$BI21*AM21,VALUE('Capacity summary'!AM140)),0),AM21*$BI21),AM21*$BI21),0)</f>
        <v>0</v>
      </c>
      <c r="CQ21" s="313">
        <f>IF($BI21&lt;&gt;"",IF('Capacity summary'!$D$14="Yes",IF(COUNTBLANK('Capacity summary'!$H140:$BG140)&lt;52,IF('Capacity summary'!AN140&lt;&gt;"",IF(LOWER('Capacity summary'!AN140)="x",$BI21*AN21,VALUE('Capacity summary'!AN140)),0),AN21*$BI21),AN21*$BI21),0)</f>
        <v>0</v>
      </c>
      <c r="CR21" s="313">
        <f>IF($BI21&lt;&gt;"",IF('Capacity summary'!$D$14="Yes",IF(COUNTBLANK('Capacity summary'!$H140:$BG140)&lt;52,IF('Capacity summary'!AO140&lt;&gt;"",IF(LOWER('Capacity summary'!AO140)="x",$BI21*AO21,VALUE('Capacity summary'!AO140)),0),AO21*$BI21),AO21*$BI21),0)</f>
        <v>0</v>
      </c>
      <c r="CS21" s="313">
        <f>IF($BI21&lt;&gt;"",IF('Capacity summary'!$D$14="Yes",IF(COUNTBLANK('Capacity summary'!$H140:$BG140)&lt;52,IF('Capacity summary'!AP140&lt;&gt;"",IF(LOWER('Capacity summary'!AP140)="x",$BI21*AP21,VALUE('Capacity summary'!AP140)),0),AP21*$BI21),AP21*$BI21),0)</f>
        <v>0</v>
      </c>
      <c r="CT21" s="313">
        <f>IF($BI21&lt;&gt;"",IF('Capacity summary'!$D$14="Yes",IF(COUNTBLANK('Capacity summary'!$H140:$BG140)&lt;52,IF('Capacity summary'!AQ140&lt;&gt;"",IF(LOWER('Capacity summary'!AQ140)="x",$BI21*AQ21,VALUE('Capacity summary'!AQ140)),0),AQ21*$BI21),AQ21*$BI21),0)</f>
        <v>0</v>
      </c>
      <c r="CU21" s="313">
        <f>IF($BI21&lt;&gt;"",IF('Capacity summary'!$D$14="Yes",IF(COUNTBLANK('Capacity summary'!$H140:$BG140)&lt;52,IF('Capacity summary'!AR140&lt;&gt;"",IF(LOWER('Capacity summary'!AR140)="x",$BI21*AR21,VALUE('Capacity summary'!AR140)),0),AR21*$BI21),AR21*$BI21),0)</f>
        <v>0</v>
      </c>
      <c r="CV21" s="313">
        <f>IF($BI21&lt;&gt;"",IF('Capacity summary'!$D$14="Yes",IF(COUNTBLANK('Capacity summary'!$H140:$BG140)&lt;52,IF('Capacity summary'!AS140&lt;&gt;"",IF(LOWER('Capacity summary'!AS140)="x",$BI21*AS21,VALUE('Capacity summary'!AS140)),0),AS21*$BI21),AS21*$BI21),0)</f>
        <v>0</v>
      </c>
      <c r="CW21" s="313">
        <f>IF($BI21&lt;&gt;"",IF('Capacity summary'!$D$14="Yes",IF(COUNTBLANK('Capacity summary'!$H140:$BG140)&lt;52,IF('Capacity summary'!AT140&lt;&gt;"",IF(LOWER('Capacity summary'!AT140)="x",$BI21*AT21,VALUE('Capacity summary'!AT140)),0),AT21*$BI21),AT21*$BI21),0)</f>
        <v>0</v>
      </c>
      <c r="CX21" s="313">
        <f>IF($BI21&lt;&gt;"",IF('Capacity summary'!$D$14="Yes",IF(COUNTBLANK('Capacity summary'!$H140:$BG140)&lt;52,IF('Capacity summary'!AU140&lt;&gt;"",IF(LOWER('Capacity summary'!AU140)="x",$BI21*AU21,VALUE('Capacity summary'!AU140)),0),AU21*$BI21),AU21*$BI21),0)</f>
        <v>0</v>
      </c>
      <c r="CY21" s="313">
        <f>IF($BI21&lt;&gt;"",IF('Capacity summary'!$D$14="Yes",IF(COUNTBLANK('Capacity summary'!$H140:$BG140)&lt;52,IF('Capacity summary'!AV140&lt;&gt;"",IF(LOWER('Capacity summary'!AV140)="x",$BI21*AV21,VALUE('Capacity summary'!AV140)),0),AV21*$BI21),AV21*$BI21),0)</f>
        <v>0</v>
      </c>
      <c r="CZ21" s="313">
        <f>IF($BI21&lt;&gt;"",IF('Capacity summary'!$D$14="Yes",IF(COUNTBLANK('Capacity summary'!$H140:$BG140)&lt;52,IF('Capacity summary'!AW140&lt;&gt;"",IF(LOWER('Capacity summary'!AW140)="x",$BI21*AW21,VALUE('Capacity summary'!AW140)),0),AW21*$BI21),AW21*$BI21),0)</f>
        <v>0</v>
      </c>
      <c r="DA21" s="313">
        <f>IF($BI21&lt;&gt;"",IF('Capacity summary'!$D$14="Yes",IF(COUNTBLANK('Capacity summary'!$H140:$BG140)&lt;52,IF('Capacity summary'!AX140&lt;&gt;"",IF(LOWER('Capacity summary'!AX140)="x",$BI21*AX21,VALUE('Capacity summary'!AX140)),0),AX21*$BI21),AX21*$BI21),0)</f>
        <v>0</v>
      </c>
      <c r="DB21" s="313">
        <f>IF($BI21&lt;&gt;"",IF('Capacity summary'!$D$14="Yes",IF(COUNTBLANK('Capacity summary'!$H140:$BG140)&lt;52,IF('Capacity summary'!AY140&lt;&gt;"",IF(LOWER('Capacity summary'!AY140)="x",$BI21*AY21,VALUE('Capacity summary'!AY140)),0),AY21*$BI21),AY21*$BI21),0)</f>
        <v>0</v>
      </c>
      <c r="DC21" s="313">
        <f>IF($BI21&lt;&gt;"",IF('Capacity summary'!$D$14="Yes",IF(COUNTBLANK('Capacity summary'!$H140:$BG140)&lt;52,IF('Capacity summary'!AZ140&lt;&gt;"",IF(LOWER('Capacity summary'!AZ140)="x",$BI21*AZ21,VALUE('Capacity summary'!AZ140)),0),AZ21*$BI21),AZ21*$BI21),0)</f>
        <v>0</v>
      </c>
      <c r="DD21" s="313">
        <f>IF($BI21&lt;&gt;"",IF('Capacity summary'!$D$14="Yes",IF(COUNTBLANK('Capacity summary'!$H140:$BG140)&lt;52,IF('Capacity summary'!BA140&lt;&gt;"",IF(LOWER('Capacity summary'!BA140)="x",$BI21*BA21,VALUE('Capacity summary'!BA140)),0),BA21*$BI21),BA21*$BI21),0)</f>
        <v>0</v>
      </c>
      <c r="DE21" s="313">
        <f>IF($BI21&lt;&gt;"",IF('Capacity summary'!$D$14="Yes",IF(COUNTBLANK('Capacity summary'!$H140:$BG140)&lt;52,IF('Capacity summary'!BB140&lt;&gt;"",IF(LOWER('Capacity summary'!BB140)="x",$BI21*BB21,VALUE('Capacity summary'!BB140)),0),BB21*$BI21),BB21*$BI21),0)</f>
        <v>0</v>
      </c>
      <c r="DF21" s="313">
        <f>IF($BI21&lt;&gt;"",IF('Capacity summary'!$D$14="Yes",IF(COUNTBLANK('Capacity summary'!$H140:$BG140)&lt;52,IF('Capacity summary'!BC140&lt;&gt;"",IF(LOWER('Capacity summary'!BC140)="x",$BI21*BC21,VALUE('Capacity summary'!BC140)),0),BC21*$BI21),BC21*$BI21),0)</f>
        <v>0</v>
      </c>
      <c r="DG21" s="313">
        <f>IF($BI21&lt;&gt;"",IF('Capacity summary'!$D$14="Yes",IF(COUNTBLANK('Capacity summary'!$H140:$BG140)&lt;52,IF('Capacity summary'!BD140&lt;&gt;"",IF(LOWER('Capacity summary'!BD140)="x",$BI21*BD21,VALUE('Capacity summary'!BD140)),0),BD21*$BI21),BD21*$BI21),0)</f>
        <v>0</v>
      </c>
      <c r="DH21" s="313">
        <f>IF($BI21&lt;&gt;"",IF('Capacity summary'!$D$14="Yes",IF(COUNTBLANK('Capacity summary'!$H140:$BG140)&lt;52,IF('Capacity summary'!BE140&lt;&gt;"",IF(LOWER('Capacity summary'!BE140)="x",$BI21*BE21,VALUE('Capacity summary'!BE140)),0),BE21*$BI21),BE21*$BI21),0)</f>
        <v>0</v>
      </c>
      <c r="DI21" s="313">
        <f>IF($BI21&lt;&gt;"",IF('Capacity summary'!$D$14="Yes",IF(COUNTBLANK('Capacity summary'!$H140:$BG140)&lt;52,IF('Capacity summary'!BF140&lt;&gt;"",IF(LOWER('Capacity summary'!BF140)="x",$BI21*BF21,VALUE('Capacity summary'!BF140)),0),BF21*$BI21),BF21*$BI21),0)</f>
        <v>0</v>
      </c>
      <c r="DJ21" s="313">
        <f>IF($BI21&lt;&gt;"",IF('Capacity summary'!$D$14="Yes",IF(COUNTBLANK('Capacity summary'!$H140:$BG140)&lt;52,IF('Capacity summary'!BG140&lt;&gt;"",IF(LOWER('Capacity summary'!BG140)="x",$BI21*BG21,VALUE('Capacity summary'!BG140)),0),BG21*$BI21),BG21*$BI21),0)</f>
        <v>0</v>
      </c>
      <c r="DK21" s="137">
        <f t="shared" si="2"/>
        <v>0</v>
      </c>
      <c r="DL21" s="313" t="str">
        <f>Capacity!H33</f>
        <v/>
      </c>
      <c r="DP21" s="5"/>
    </row>
    <row r="22" spans="2:120" x14ac:dyDescent="0.25">
      <c r="B22" s="67"/>
      <c r="C22" s="67" t="str">
        <f>ROW(A18)&amp;". "&amp;Capacity!B34</f>
        <v xml:space="preserve">18. </v>
      </c>
      <c r="D22" s="67">
        <f>'Capacity setup'!C29</f>
        <v>0</v>
      </c>
      <c r="E22" s="67">
        <f>'Capacity setup'!D29</f>
        <v>0</v>
      </c>
      <c r="F22" s="67">
        <f>'Capacity setup'!E29</f>
        <v>0</v>
      </c>
      <c r="H22" s="67">
        <f ca="1">IF(AND(SUMIF(Capacity_Resource,$D22,'Critical resources (hide)'!U$6:U$105)+SUMIF(Capacity_Resource,$E22,'Critical resources (hide)'!U$6:U$105)+SUMIF(Capacity_Resource,$F22,'Critical resources (hide)'!U$6:U$105)&gt;0,$E$1=2),0,1)</f>
        <v>1</v>
      </c>
      <c r="I22" s="67">
        <f ca="1">IF(AND(SUMIF(Capacity_Resource,$D22,'Critical resources (hide)'!V$6:V$105)+SUMIF(Capacity_Resource,$E22,'Critical resources (hide)'!V$6:V$105)+SUMIF(Capacity_Resource,$F22,'Critical resources (hide)'!V$6:V$105)&gt;0,$E$1=2),0,1)</f>
        <v>1</v>
      </c>
      <c r="J22" s="67">
        <f ca="1">IF(AND(SUMIF(Capacity_Resource,$D22,'Critical resources (hide)'!W$6:W$105)+SUMIF(Capacity_Resource,$E22,'Critical resources (hide)'!W$6:W$105)+SUMIF(Capacity_Resource,$F22,'Critical resources (hide)'!W$6:W$105)&gt;0,$E$1=2),0,1)</f>
        <v>1</v>
      </c>
      <c r="K22" s="67">
        <f ca="1">IF(AND(SUMIF(Capacity_Resource,$D22,'Critical resources (hide)'!X$6:X$105)+SUMIF(Capacity_Resource,$E22,'Critical resources (hide)'!X$6:X$105)+SUMIF(Capacity_Resource,$F22,'Critical resources (hide)'!X$6:X$105)&gt;0,$E$1=2),0,1)</f>
        <v>1</v>
      </c>
      <c r="L22" s="67">
        <f ca="1">IF(AND(SUMIF(Capacity_Resource,$D22,'Critical resources (hide)'!Y$6:Y$105)+SUMIF(Capacity_Resource,$E22,'Critical resources (hide)'!Y$6:Y$105)+SUMIF(Capacity_Resource,$F22,'Critical resources (hide)'!Y$6:Y$105)&gt;0,$E$1=2),0,1)</f>
        <v>1</v>
      </c>
      <c r="M22" s="67">
        <f ca="1">IF(AND(SUMIF(Capacity_Resource,$D22,'Critical resources (hide)'!Z$6:Z$105)+SUMIF(Capacity_Resource,$E22,'Critical resources (hide)'!Z$6:Z$105)+SUMIF(Capacity_Resource,$F22,'Critical resources (hide)'!Z$6:Z$105)&gt;0,$E$1=2),0,1)</f>
        <v>1</v>
      </c>
      <c r="N22" s="67">
        <f ca="1">IF(AND(SUMIF(Capacity_Resource,$D22,'Critical resources (hide)'!AA$6:AA$105)+SUMIF(Capacity_Resource,$E22,'Critical resources (hide)'!AA$6:AA$105)+SUMIF(Capacity_Resource,$F22,'Critical resources (hide)'!AA$6:AA$105)&gt;0,$E$1=2),0,1)</f>
        <v>1</v>
      </c>
      <c r="O22" s="67">
        <f ca="1">IF(AND(SUMIF(Capacity_Resource,$D22,'Critical resources (hide)'!AB$6:AB$105)+SUMIF(Capacity_Resource,$E22,'Critical resources (hide)'!AB$6:AB$105)+SUMIF(Capacity_Resource,$F22,'Critical resources (hide)'!AB$6:AB$105)&gt;0,$E$1=2),0,1)</f>
        <v>1</v>
      </c>
      <c r="P22" s="67">
        <f ca="1">IF(AND(SUMIF(Capacity_Resource,$D22,'Critical resources (hide)'!AC$6:AC$105)+SUMIF(Capacity_Resource,$E22,'Critical resources (hide)'!AC$6:AC$105)+SUMIF(Capacity_Resource,$F22,'Critical resources (hide)'!AC$6:AC$105)&gt;0,$E$1=2),0,1)</f>
        <v>1</v>
      </c>
      <c r="Q22" s="67">
        <f ca="1">IF(AND(SUMIF(Capacity_Resource,$D22,'Critical resources (hide)'!AD$6:AD$105)+SUMIF(Capacity_Resource,$E22,'Critical resources (hide)'!AD$6:AD$105)+SUMIF(Capacity_Resource,$F22,'Critical resources (hide)'!AD$6:AD$105)&gt;0,$E$1=2),0,1)</f>
        <v>1</v>
      </c>
      <c r="R22" s="67">
        <f ca="1">IF(AND(SUMIF(Capacity_Resource,$D22,'Critical resources (hide)'!AE$6:AE$105)+SUMIF(Capacity_Resource,$E22,'Critical resources (hide)'!AE$6:AE$105)+SUMIF(Capacity_Resource,$F22,'Critical resources (hide)'!AE$6:AE$105)&gt;0,$E$1=2),0,1)</f>
        <v>1</v>
      </c>
      <c r="S22" s="67">
        <f ca="1">IF(AND(SUMIF(Capacity_Resource,$D22,'Critical resources (hide)'!AF$6:AF$105)+SUMIF(Capacity_Resource,$E22,'Critical resources (hide)'!AF$6:AF$105)+SUMIF(Capacity_Resource,$F22,'Critical resources (hide)'!AF$6:AF$105)&gt;0,$E$1=2),0,1)</f>
        <v>1</v>
      </c>
      <c r="T22" s="67">
        <f ca="1">IF(AND(SUMIF(Capacity_Resource,$D22,'Critical resources (hide)'!AG$6:AG$105)+SUMIF(Capacity_Resource,$E22,'Critical resources (hide)'!AG$6:AG$105)+SUMIF(Capacity_Resource,$F22,'Critical resources (hide)'!AG$6:AG$105)&gt;0,$E$1=2),0,1)</f>
        <v>1</v>
      </c>
      <c r="U22" s="67">
        <f ca="1">IF(AND(SUMIF(Capacity_Resource,$D22,'Critical resources (hide)'!AH$6:AH$105)+SUMIF(Capacity_Resource,$E22,'Critical resources (hide)'!AH$6:AH$105)+SUMIF(Capacity_Resource,$F22,'Critical resources (hide)'!AH$6:AH$105)&gt;0,$E$1=2),0,1)</f>
        <v>1</v>
      </c>
      <c r="V22" s="67">
        <f ca="1">IF(AND(SUMIF(Capacity_Resource,$D22,'Critical resources (hide)'!AI$6:AI$105)+SUMIF(Capacity_Resource,$E22,'Critical resources (hide)'!AI$6:AI$105)+SUMIF(Capacity_Resource,$F22,'Critical resources (hide)'!AI$6:AI$105)&gt;0,$E$1=2),0,1)</f>
        <v>1</v>
      </c>
      <c r="W22" s="67">
        <f ca="1">IF(AND(SUMIF(Capacity_Resource,$D22,'Critical resources (hide)'!AJ$6:AJ$105)+SUMIF(Capacity_Resource,$E22,'Critical resources (hide)'!AJ$6:AJ$105)+SUMIF(Capacity_Resource,$F22,'Critical resources (hide)'!AJ$6:AJ$105)&gt;0,$E$1=2),0,1)</f>
        <v>1</v>
      </c>
      <c r="X22" s="67">
        <f ca="1">IF(AND(SUMIF(Capacity_Resource,$D22,'Critical resources (hide)'!AK$6:AK$105)+SUMIF(Capacity_Resource,$E22,'Critical resources (hide)'!AK$6:AK$105)+SUMIF(Capacity_Resource,$F22,'Critical resources (hide)'!AK$6:AK$105)&gt;0,$E$1=2),0,1)</f>
        <v>1</v>
      </c>
      <c r="Y22" s="67">
        <f ca="1">IF(AND(SUMIF(Capacity_Resource,$D22,'Critical resources (hide)'!AL$6:AL$105)+SUMIF(Capacity_Resource,$E22,'Critical resources (hide)'!AL$6:AL$105)+SUMIF(Capacity_Resource,$F22,'Critical resources (hide)'!AL$6:AL$105)&gt;0,$E$1=2),0,1)</f>
        <v>1</v>
      </c>
      <c r="Z22" s="67">
        <f ca="1">IF(AND(SUMIF(Capacity_Resource,$D22,'Critical resources (hide)'!AM$6:AM$105)+SUMIF(Capacity_Resource,$E22,'Critical resources (hide)'!AM$6:AM$105)+SUMIF(Capacity_Resource,$F22,'Critical resources (hide)'!AM$6:AM$105)&gt;0,$E$1=2),0,1)</f>
        <v>1</v>
      </c>
      <c r="AA22" s="67">
        <f ca="1">IF(AND(SUMIF(Capacity_Resource,$D22,'Critical resources (hide)'!AN$6:AN$105)+SUMIF(Capacity_Resource,$E22,'Critical resources (hide)'!AN$6:AN$105)+SUMIF(Capacity_Resource,$F22,'Critical resources (hide)'!AN$6:AN$105)&gt;0,$E$1=2),0,1)</f>
        <v>1</v>
      </c>
      <c r="AB22" s="67">
        <f ca="1">IF(AND(SUMIF(Capacity_Resource,$D22,'Critical resources (hide)'!AO$6:AO$105)+SUMIF(Capacity_Resource,$E22,'Critical resources (hide)'!AO$6:AO$105)+SUMIF(Capacity_Resource,$F22,'Critical resources (hide)'!AO$6:AO$105)&gt;0,$E$1=2),0,1)</f>
        <v>1</v>
      </c>
      <c r="AC22" s="67">
        <f ca="1">IF(AND(SUMIF(Capacity_Resource,$D22,'Critical resources (hide)'!AP$6:AP$105)+SUMIF(Capacity_Resource,$E22,'Critical resources (hide)'!AP$6:AP$105)+SUMIF(Capacity_Resource,$F22,'Critical resources (hide)'!AP$6:AP$105)&gt;0,$E$1=2),0,1)</f>
        <v>1</v>
      </c>
      <c r="AD22" s="67">
        <f ca="1">IF(AND(SUMIF(Capacity_Resource,$D22,'Critical resources (hide)'!AQ$6:AQ$105)+SUMIF(Capacity_Resource,$E22,'Critical resources (hide)'!AQ$6:AQ$105)+SUMIF(Capacity_Resource,$F22,'Critical resources (hide)'!AQ$6:AQ$105)&gt;0,$E$1=2),0,1)</f>
        <v>1</v>
      </c>
      <c r="AE22" s="67">
        <f ca="1">IF(AND(SUMIF(Capacity_Resource,$D22,'Critical resources (hide)'!AR$6:AR$105)+SUMIF(Capacity_Resource,$E22,'Critical resources (hide)'!AR$6:AR$105)+SUMIF(Capacity_Resource,$F22,'Critical resources (hide)'!AR$6:AR$105)&gt;0,$E$1=2),0,1)</f>
        <v>1</v>
      </c>
      <c r="AF22" s="67">
        <f ca="1">IF(AND(SUMIF(Capacity_Resource,$D22,'Critical resources (hide)'!AS$6:AS$105)+SUMIF(Capacity_Resource,$E22,'Critical resources (hide)'!AS$6:AS$105)+SUMIF(Capacity_Resource,$F22,'Critical resources (hide)'!AS$6:AS$105)&gt;0,$E$1=2),0,1)</f>
        <v>1</v>
      </c>
      <c r="AG22" s="67">
        <f ca="1">IF(AND(SUMIF(Capacity_Resource,$D22,'Critical resources (hide)'!AT$6:AT$105)+SUMIF(Capacity_Resource,$E22,'Critical resources (hide)'!AT$6:AT$105)+SUMIF(Capacity_Resource,$F22,'Critical resources (hide)'!AT$6:AT$105)&gt;0,$E$1=2),0,1)</f>
        <v>1</v>
      </c>
      <c r="AH22" s="67">
        <f ca="1">IF(AND(SUMIF(Capacity_Resource,$D22,'Critical resources (hide)'!AU$6:AU$105)+SUMIF(Capacity_Resource,$E22,'Critical resources (hide)'!AU$6:AU$105)+SUMIF(Capacity_Resource,$F22,'Critical resources (hide)'!AU$6:AU$105)&gt;0,$E$1=2),0,1)</f>
        <v>1</v>
      </c>
      <c r="AI22" s="67">
        <f ca="1">IF(AND(SUMIF(Capacity_Resource,$D22,'Critical resources (hide)'!AV$6:AV$105)+SUMIF(Capacity_Resource,$E22,'Critical resources (hide)'!AV$6:AV$105)+SUMIF(Capacity_Resource,$F22,'Critical resources (hide)'!AV$6:AV$105)&gt;0,$E$1=2),0,1)</f>
        <v>1</v>
      </c>
      <c r="AJ22" s="67">
        <f ca="1">IF(AND(SUMIF(Capacity_Resource,$D22,'Critical resources (hide)'!AW$6:AW$105)+SUMIF(Capacity_Resource,$E22,'Critical resources (hide)'!AW$6:AW$105)+SUMIF(Capacity_Resource,$F22,'Critical resources (hide)'!AW$6:AW$105)&gt;0,$E$1=2),0,1)</f>
        <v>1</v>
      </c>
      <c r="AK22" s="67">
        <f ca="1">IF(AND(SUMIF(Capacity_Resource,$D22,'Critical resources (hide)'!AX$6:AX$105)+SUMIF(Capacity_Resource,$E22,'Critical resources (hide)'!AX$6:AX$105)+SUMIF(Capacity_Resource,$F22,'Critical resources (hide)'!AX$6:AX$105)&gt;0,$E$1=2),0,1)</f>
        <v>1</v>
      </c>
      <c r="AL22" s="67">
        <f ca="1">IF(AND(SUMIF(Capacity_Resource,$D22,'Critical resources (hide)'!AY$6:AY$105)+SUMIF(Capacity_Resource,$E22,'Critical resources (hide)'!AY$6:AY$105)+SUMIF(Capacity_Resource,$F22,'Critical resources (hide)'!AY$6:AY$105)&gt;0,$E$1=2),0,1)</f>
        <v>1</v>
      </c>
      <c r="AM22" s="67">
        <f ca="1">IF(AND(SUMIF(Capacity_Resource,$D22,'Critical resources (hide)'!AZ$6:AZ$105)+SUMIF(Capacity_Resource,$E22,'Critical resources (hide)'!AZ$6:AZ$105)+SUMIF(Capacity_Resource,$F22,'Critical resources (hide)'!AZ$6:AZ$105)&gt;0,$E$1=2),0,1)</f>
        <v>1</v>
      </c>
      <c r="AN22" s="67">
        <f ca="1">IF(AND(SUMIF(Capacity_Resource,$D22,'Critical resources (hide)'!BA$6:BA$105)+SUMIF(Capacity_Resource,$E22,'Critical resources (hide)'!BA$6:BA$105)+SUMIF(Capacity_Resource,$F22,'Critical resources (hide)'!BA$6:BA$105)&gt;0,$E$1=2),0,1)</f>
        <v>1</v>
      </c>
      <c r="AO22" s="67">
        <f ca="1">IF(AND(SUMIF(Capacity_Resource,$D22,'Critical resources (hide)'!BB$6:BB$105)+SUMIF(Capacity_Resource,$E22,'Critical resources (hide)'!BB$6:BB$105)+SUMIF(Capacity_Resource,$F22,'Critical resources (hide)'!BB$6:BB$105)&gt;0,$E$1=2),0,1)</f>
        <v>1</v>
      </c>
      <c r="AP22" s="67">
        <f ca="1">IF(AND(SUMIF(Capacity_Resource,$D22,'Critical resources (hide)'!BC$6:BC$105)+SUMIF(Capacity_Resource,$E22,'Critical resources (hide)'!BC$6:BC$105)+SUMIF(Capacity_Resource,$F22,'Critical resources (hide)'!BC$6:BC$105)&gt;0,$E$1=2),0,1)</f>
        <v>1</v>
      </c>
      <c r="AQ22" s="67">
        <f ca="1">IF(AND(SUMIF(Capacity_Resource,$D22,'Critical resources (hide)'!BD$6:BD$105)+SUMIF(Capacity_Resource,$E22,'Critical resources (hide)'!BD$6:BD$105)+SUMIF(Capacity_Resource,$F22,'Critical resources (hide)'!BD$6:BD$105)&gt;0,$E$1=2),0,1)</f>
        <v>1</v>
      </c>
      <c r="AR22" s="67">
        <f ca="1">IF(AND(SUMIF(Capacity_Resource,$D22,'Critical resources (hide)'!BE$6:BE$105)+SUMIF(Capacity_Resource,$E22,'Critical resources (hide)'!BE$6:BE$105)+SUMIF(Capacity_Resource,$F22,'Critical resources (hide)'!BE$6:BE$105)&gt;0,$E$1=2),0,1)</f>
        <v>1</v>
      </c>
      <c r="AS22" s="67">
        <f ca="1">IF(AND(SUMIF(Capacity_Resource,$D22,'Critical resources (hide)'!BF$6:BF$105)+SUMIF(Capacity_Resource,$E22,'Critical resources (hide)'!BF$6:BF$105)+SUMIF(Capacity_Resource,$F22,'Critical resources (hide)'!BF$6:BF$105)&gt;0,$E$1=2),0,1)</f>
        <v>1</v>
      </c>
      <c r="AT22" s="67">
        <f ca="1">IF(AND(SUMIF(Capacity_Resource,$D22,'Critical resources (hide)'!BG$6:BG$105)+SUMIF(Capacity_Resource,$E22,'Critical resources (hide)'!BG$6:BG$105)+SUMIF(Capacity_Resource,$F22,'Critical resources (hide)'!BG$6:BG$105)&gt;0,$E$1=2),0,1)</f>
        <v>1</v>
      </c>
      <c r="AU22" s="67">
        <f ca="1">IF(AND(SUMIF(Capacity_Resource,$D22,'Critical resources (hide)'!BH$6:BH$105)+SUMIF(Capacity_Resource,$E22,'Critical resources (hide)'!BH$6:BH$105)+SUMIF(Capacity_Resource,$F22,'Critical resources (hide)'!BH$6:BH$105)&gt;0,$E$1=2),0,1)</f>
        <v>1</v>
      </c>
      <c r="AV22" s="67">
        <f ca="1">IF(AND(SUMIF(Capacity_Resource,$D22,'Critical resources (hide)'!BI$6:BI$105)+SUMIF(Capacity_Resource,$E22,'Critical resources (hide)'!BI$6:BI$105)+SUMIF(Capacity_Resource,$F22,'Critical resources (hide)'!BI$6:BI$105)&gt;0,$E$1=2),0,1)</f>
        <v>1</v>
      </c>
      <c r="AW22" s="67">
        <f ca="1">IF(AND(SUMIF(Capacity_Resource,$D22,'Critical resources (hide)'!BJ$6:BJ$105)+SUMIF(Capacity_Resource,$E22,'Critical resources (hide)'!BJ$6:BJ$105)+SUMIF(Capacity_Resource,$F22,'Critical resources (hide)'!BJ$6:BJ$105)&gt;0,$E$1=2),0,1)</f>
        <v>1</v>
      </c>
      <c r="AX22" s="67">
        <f ca="1">IF(AND(SUMIF(Capacity_Resource,$D22,'Critical resources (hide)'!BK$6:BK$105)+SUMIF(Capacity_Resource,$E22,'Critical resources (hide)'!BK$6:BK$105)+SUMIF(Capacity_Resource,$F22,'Critical resources (hide)'!BK$6:BK$105)&gt;0,$E$1=2),0,1)</f>
        <v>1</v>
      </c>
      <c r="AY22" s="67">
        <f ca="1">IF(AND(SUMIF(Capacity_Resource,$D22,'Critical resources (hide)'!BL$6:BL$105)+SUMIF(Capacity_Resource,$E22,'Critical resources (hide)'!BL$6:BL$105)+SUMIF(Capacity_Resource,$F22,'Critical resources (hide)'!BL$6:BL$105)&gt;0,$E$1=2),0,1)</f>
        <v>1</v>
      </c>
      <c r="AZ22" s="67">
        <f ca="1">IF(AND(SUMIF(Capacity_Resource,$D22,'Critical resources (hide)'!BM$6:BM$105)+SUMIF(Capacity_Resource,$E22,'Critical resources (hide)'!BM$6:BM$105)+SUMIF(Capacity_Resource,$F22,'Critical resources (hide)'!BM$6:BM$105)&gt;0,$E$1=2),0,1)</f>
        <v>1</v>
      </c>
      <c r="BA22" s="67">
        <f ca="1">IF(AND(SUMIF(Capacity_Resource,$D22,'Critical resources (hide)'!BN$6:BN$105)+SUMIF(Capacity_Resource,$E22,'Critical resources (hide)'!BN$6:BN$105)+SUMIF(Capacity_Resource,$F22,'Critical resources (hide)'!BN$6:BN$105)&gt;0,$E$1=2),0,1)</f>
        <v>1</v>
      </c>
      <c r="BB22" s="67">
        <f ca="1">IF(AND(SUMIF(Capacity_Resource,$D22,'Critical resources (hide)'!BO$6:BO$105)+SUMIF(Capacity_Resource,$E22,'Critical resources (hide)'!BO$6:BO$105)+SUMIF(Capacity_Resource,$F22,'Critical resources (hide)'!BO$6:BO$105)&gt;0,$E$1=2),0,1)</f>
        <v>1</v>
      </c>
      <c r="BC22" s="67">
        <f ca="1">IF(AND(SUMIF(Capacity_Resource,$D22,'Critical resources (hide)'!BP$6:BP$105)+SUMIF(Capacity_Resource,$E22,'Critical resources (hide)'!BP$6:BP$105)+SUMIF(Capacity_Resource,$F22,'Critical resources (hide)'!BP$6:BP$105)&gt;0,$E$1=2),0,1)</f>
        <v>1</v>
      </c>
      <c r="BD22" s="67">
        <f ca="1">IF(AND(SUMIF(Capacity_Resource,$D22,'Critical resources (hide)'!BQ$6:BQ$105)+SUMIF(Capacity_Resource,$E22,'Critical resources (hide)'!BQ$6:BQ$105)+SUMIF(Capacity_Resource,$F22,'Critical resources (hide)'!BQ$6:BQ$105)&gt;0,$E$1=2),0,1)</f>
        <v>1</v>
      </c>
      <c r="BE22" s="67">
        <f ca="1">IF(AND(SUMIF(Capacity_Resource,$D22,'Critical resources (hide)'!BR$6:BR$105)+SUMIF(Capacity_Resource,$E22,'Critical resources (hide)'!BR$6:BR$105)+SUMIF(Capacity_Resource,$F22,'Critical resources (hide)'!BR$6:BR$105)&gt;0,$E$1=2),0,1)</f>
        <v>1</v>
      </c>
      <c r="BF22" s="67">
        <f ca="1">IF(AND(SUMIF(Capacity_Resource,$D22,'Critical resources (hide)'!BS$6:BS$105)+SUMIF(Capacity_Resource,$E22,'Critical resources (hide)'!BS$6:BS$105)+SUMIF(Capacity_Resource,$F22,'Critical resources (hide)'!BS$6:BS$105)&gt;0,$E$1=2),0,1)</f>
        <v>1</v>
      </c>
      <c r="BG22" s="67">
        <f ca="1">IF(AND(SUMIF(Capacity_Resource,$D22,'Critical resources (hide)'!BT$6:BT$105)+SUMIF(Capacity_Resource,$E22,'Critical resources (hide)'!BT$6:BT$105)+SUMIF(Capacity_Resource,$F22,'Critical resources (hide)'!BT$6:BT$105)&gt;0,$E$1=2),0,1)</f>
        <v>1</v>
      </c>
      <c r="BH22" s="67">
        <f>IF(ROW(C18)&lt;=Capacity!$A$16,IF('Capacity summary'!$D$14="No",SUM(H22:BG22),'Capacity summary'!$E141),0)</f>
        <v>0</v>
      </c>
      <c r="BI22" s="5" t="str">
        <f>IF(BH22&gt;0,IF(BH22&lt;Capacity!E34,Capacity!F34,Capacity!H34/'Capacity calculation (hide)'!BH22),"")</f>
        <v/>
      </c>
      <c r="BK22" s="313">
        <f>IF($BI22&lt;&gt;"",IF('Capacity summary'!$D$14="Yes",IF(COUNTBLANK('Capacity summary'!$H141:$BG141)&lt;52,IF('Capacity summary'!H141&lt;&gt;"",IF(LOWER('Capacity summary'!H141)="x",$BI22*H22,VALUE('Capacity summary'!H141)),0),H22*$BI22),H22*$BI22),0)</f>
        <v>0</v>
      </c>
      <c r="BL22" s="313">
        <f>IF($BI22&lt;&gt;"",IF('Capacity summary'!$D$14="Yes",IF(COUNTBLANK('Capacity summary'!$H141:$BG141)&lt;52,IF('Capacity summary'!I141&lt;&gt;"",IF(LOWER('Capacity summary'!I141)="x",$BI22*I22,VALUE('Capacity summary'!I141)),0),I22*$BI22),I22*$BI22),0)</f>
        <v>0</v>
      </c>
      <c r="BM22" s="313">
        <f>IF($BI22&lt;&gt;"",IF('Capacity summary'!$D$14="Yes",IF(COUNTBLANK('Capacity summary'!$H141:$BG141)&lt;52,IF('Capacity summary'!J141&lt;&gt;"",IF(LOWER('Capacity summary'!J141)="x",$BI22*J22,VALUE('Capacity summary'!J141)),0),J22*$BI22),J22*$BI22),0)</f>
        <v>0</v>
      </c>
      <c r="BN22" s="313">
        <f>IF($BI22&lt;&gt;"",IF('Capacity summary'!$D$14="Yes",IF(COUNTBLANK('Capacity summary'!$H141:$BG141)&lt;52,IF('Capacity summary'!K141&lt;&gt;"",IF(LOWER('Capacity summary'!K141)="x",$BI22*K22,VALUE('Capacity summary'!K141)),0),K22*$BI22),K22*$BI22),0)</f>
        <v>0</v>
      </c>
      <c r="BO22" s="313">
        <f>IF($BI22&lt;&gt;"",IF('Capacity summary'!$D$14="Yes",IF(COUNTBLANK('Capacity summary'!$H141:$BG141)&lt;52,IF('Capacity summary'!L141&lt;&gt;"",IF(LOWER('Capacity summary'!L141)="x",$BI22*L22,VALUE('Capacity summary'!L141)),0),L22*$BI22),L22*$BI22),0)</f>
        <v>0</v>
      </c>
      <c r="BP22" s="313">
        <f>IF($BI22&lt;&gt;"",IF('Capacity summary'!$D$14="Yes",IF(COUNTBLANK('Capacity summary'!$H141:$BG141)&lt;52,IF('Capacity summary'!M141&lt;&gt;"",IF(LOWER('Capacity summary'!M141)="x",$BI22*M22,VALUE('Capacity summary'!M141)),0),M22*$BI22),M22*$BI22),0)</f>
        <v>0</v>
      </c>
      <c r="BQ22" s="313">
        <f>IF($BI22&lt;&gt;"",IF('Capacity summary'!$D$14="Yes",IF(COUNTBLANK('Capacity summary'!$H141:$BG141)&lt;52,IF('Capacity summary'!N141&lt;&gt;"",IF(LOWER('Capacity summary'!N141)="x",$BI22*N22,VALUE('Capacity summary'!N141)),0),N22*$BI22),N22*$BI22),0)</f>
        <v>0</v>
      </c>
      <c r="BR22" s="313">
        <f>IF($BI22&lt;&gt;"",IF('Capacity summary'!$D$14="Yes",IF(COUNTBLANK('Capacity summary'!$H141:$BG141)&lt;52,IF('Capacity summary'!O141&lt;&gt;"",IF(LOWER('Capacity summary'!O141)="x",$BI22*O22,VALUE('Capacity summary'!O141)),0),O22*$BI22),O22*$BI22),0)</f>
        <v>0</v>
      </c>
      <c r="BS22" s="313">
        <f>IF($BI22&lt;&gt;"",IF('Capacity summary'!$D$14="Yes",IF(COUNTBLANK('Capacity summary'!$H141:$BG141)&lt;52,IF('Capacity summary'!P141&lt;&gt;"",IF(LOWER('Capacity summary'!P141)="x",$BI22*P22,VALUE('Capacity summary'!P141)),0),P22*$BI22),P22*$BI22),0)</f>
        <v>0</v>
      </c>
      <c r="BT22" s="313">
        <f>IF($BI22&lt;&gt;"",IF('Capacity summary'!$D$14="Yes",IF(COUNTBLANK('Capacity summary'!$H141:$BG141)&lt;52,IF('Capacity summary'!Q141&lt;&gt;"",IF(LOWER('Capacity summary'!Q141)="x",$BI22*Q22,VALUE('Capacity summary'!Q141)),0),Q22*$BI22),Q22*$BI22),0)</f>
        <v>0</v>
      </c>
      <c r="BU22" s="313">
        <f>IF($BI22&lt;&gt;"",IF('Capacity summary'!$D$14="Yes",IF(COUNTBLANK('Capacity summary'!$H141:$BG141)&lt;52,IF('Capacity summary'!R141&lt;&gt;"",IF(LOWER('Capacity summary'!R141)="x",$BI22*R22,VALUE('Capacity summary'!R141)),0),R22*$BI22),R22*$BI22),0)</f>
        <v>0</v>
      </c>
      <c r="BV22" s="313">
        <f>IF($BI22&lt;&gt;"",IF('Capacity summary'!$D$14="Yes",IF(COUNTBLANK('Capacity summary'!$H141:$BG141)&lt;52,IF('Capacity summary'!S141&lt;&gt;"",IF(LOWER('Capacity summary'!S141)="x",$BI22*S22,VALUE('Capacity summary'!S141)),0),S22*$BI22),S22*$BI22),0)</f>
        <v>0</v>
      </c>
      <c r="BW22" s="313">
        <f>IF($BI22&lt;&gt;"",IF('Capacity summary'!$D$14="Yes",IF(COUNTBLANK('Capacity summary'!$H141:$BG141)&lt;52,IF('Capacity summary'!T141&lt;&gt;"",IF(LOWER('Capacity summary'!T141)="x",$BI22*T22,VALUE('Capacity summary'!T141)),0),T22*$BI22),T22*$BI22),0)</f>
        <v>0</v>
      </c>
      <c r="BX22" s="313">
        <f>IF($BI22&lt;&gt;"",IF('Capacity summary'!$D$14="Yes",IF(COUNTBLANK('Capacity summary'!$H141:$BG141)&lt;52,IF('Capacity summary'!U141&lt;&gt;"",IF(LOWER('Capacity summary'!U141)="x",$BI22*U22,VALUE('Capacity summary'!U141)),0),U22*$BI22),U22*$BI22),0)</f>
        <v>0</v>
      </c>
      <c r="BY22" s="313">
        <f>IF($BI22&lt;&gt;"",IF('Capacity summary'!$D$14="Yes",IF(COUNTBLANK('Capacity summary'!$H141:$BG141)&lt;52,IF('Capacity summary'!V141&lt;&gt;"",IF(LOWER('Capacity summary'!V141)="x",$BI22*V22,VALUE('Capacity summary'!V141)),0),V22*$BI22),V22*$BI22),0)</f>
        <v>0</v>
      </c>
      <c r="BZ22" s="313">
        <f>IF($BI22&lt;&gt;"",IF('Capacity summary'!$D$14="Yes",IF(COUNTBLANK('Capacity summary'!$H141:$BG141)&lt;52,IF('Capacity summary'!W141&lt;&gt;"",IF(LOWER('Capacity summary'!W141)="x",$BI22*W22,VALUE('Capacity summary'!W141)),0),W22*$BI22),W22*$BI22),0)</f>
        <v>0</v>
      </c>
      <c r="CA22" s="313">
        <f>IF($BI22&lt;&gt;"",IF('Capacity summary'!$D$14="Yes",IF(COUNTBLANK('Capacity summary'!$H141:$BG141)&lt;52,IF('Capacity summary'!X141&lt;&gt;"",IF(LOWER('Capacity summary'!X141)="x",$BI22*X22,VALUE('Capacity summary'!X141)),0),X22*$BI22),X22*$BI22),0)</f>
        <v>0</v>
      </c>
      <c r="CB22" s="313">
        <f>IF($BI22&lt;&gt;"",IF('Capacity summary'!$D$14="Yes",IF(COUNTBLANK('Capacity summary'!$H141:$BG141)&lt;52,IF('Capacity summary'!Y141&lt;&gt;"",IF(LOWER('Capacity summary'!Y141)="x",$BI22*Y22,VALUE('Capacity summary'!Y141)),0),Y22*$BI22),Y22*$BI22),0)</f>
        <v>0</v>
      </c>
      <c r="CC22" s="313">
        <f>IF($BI22&lt;&gt;"",IF('Capacity summary'!$D$14="Yes",IF(COUNTBLANK('Capacity summary'!$H141:$BG141)&lt;52,IF('Capacity summary'!Z141&lt;&gt;"",IF(LOWER('Capacity summary'!Z141)="x",$BI22*Z22,VALUE('Capacity summary'!Z141)),0),Z22*$BI22),Z22*$BI22),0)</f>
        <v>0</v>
      </c>
      <c r="CD22" s="313">
        <f>IF($BI22&lt;&gt;"",IF('Capacity summary'!$D$14="Yes",IF(COUNTBLANK('Capacity summary'!$H141:$BG141)&lt;52,IF('Capacity summary'!AA141&lt;&gt;"",IF(LOWER('Capacity summary'!AA141)="x",$BI22*AA22,VALUE('Capacity summary'!AA141)),0),AA22*$BI22),AA22*$BI22),0)</f>
        <v>0</v>
      </c>
      <c r="CE22" s="313">
        <f>IF($BI22&lt;&gt;"",IF('Capacity summary'!$D$14="Yes",IF(COUNTBLANK('Capacity summary'!$H141:$BG141)&lt;52,IF('Capacity summary'!AB141&lt;&gt;"",IF(LOWER('Capacity summary'!AB141)="x",$BI22*AB22,VALUE('Capacity summary'!AB141)),0),AB22*$BI22),AB22*$BI22),0)</f>
        <v>0</v>
      </c>
      <c r="CF22" s="313">
        <f>IF($BI22&lt;&gt;"",IF('Capacity summary'!$D$14="Yes",IF(COUNTBLANK('Capacity summary'!$H141:$BG141)&lt;52,IF('Capacity summary'!AC141&lt;&gt;"",IF(LOWER('Capacity summary'!AC141)="x",$BI22*AC22,VALUE('Capacity summary'!AC141)),0),AC22*$BI22),AC22*$BI22),0)</f>
        <v>0</v>
      </c>
      <c r="CG22" s="313">
        <f>IF($BI22&lt;&gt;"",IF('Capacity summary'!$D$14="Yes",IF(COUNTBLANK('Capacity summary'!$H141:$BG141)&lt;52,IF('Capacity summary'!AD141&lt;&gt;"",IF(LOWER('Capacity summary'!AD141)="x",$BI22*AD22,VALUE('Capacity summary'!AD141)),0),AD22*$BI22),AD22*$BI22),0)</f>
        <v>0</v>
      </c>
      <c r="CH22" s="313">
        <f>IF($BI22&lt;&gt;"",IF('Capacity summary'!$D$14="Yes",IF(COUNTBLANK('Capacity summary'!$H141:$BG141)&lt;52,IF('Capacity summary'!AE141&lt;&gt;"",IF(LOWER('Capacity summary'!AE141)="x",$BI22*AE22,VALUE('Capacity summary'!AE141)),0),AE22*$BI22),AE22*$BI22),0)</f>
        <v>0</v>
      </c>
      <c r="CI22" s="313">
        <f>IF($BI22&lt;&gt;"",IF('Capacity summary'!$D$14="Yes",IF(COUNTBLANK('Capacity summary'!$H141:$BG141)&lt;52,IF('Capacity summary'!AF141&lt;&gt;"",IF(LOWER('Capacity summary'!AF141)="x",$BI22*AF22,VALUE('Capacity summary'!AF141)),0),AF22*$BI22),AF22*$BI22),0)</f>
        <v>0</v>
      </c>
      <c r="CJ22" s="313">
        <f>IF($BI22&lt;&gt;"",IF('Capacity summary'!$D$14="Yes",IF(COUNTBLANK('Capacity summary'!$H141:$BG141)&lt;52,IF('Capacity summary'!AG141&lt;&gt;"",IF(LOWER('Capacity summary'!AG141)="x",$BI22*AG22,VALUE('Capacity summary'!AG141)),0),AG22*$BI22),AG22*$BI22),0)</f>
        <v>0</v>
      </c>
      <c r="CK22" s="313">
        <f>IF($BI22&lt;&gt;"",IF('Capacity summary'!$D$14="Yes",IF(COUNTBLANK('Capacity summary'!$H141:$BG141)&lt;52,IF('Capacity summary'!AH141&lt;&gt;"",IF(LOWER('Capacity summary'!AH141)="x",$BI22*AH22,VALUE('Capacity summary'!AH141)),0),AH22*$BI22),AH22*$BI22),0)</f>
        <v>0</v>
      </c>
      <c r="CL22" s="313">
        <f>IF($BI22&lt;&gt;"",IF('Capacity summary'!$D$14="Yes",IF(COUNTBLANK('Capacity summary'!$H141:$BG141)&lt;52,IF('Capacity summary'!AI141&lt;&gt;"",IF(LOWER('Capacity summary'!AI141)="x",$BI22*AI22,VALUE('Capacity summary'!AI141)),0),AI22*$BI22),AI22*$BI22),0)</f>
        <v>0</v>
      </c>
      <c r="CM22" s="313">
        <f>IF($BI22&lt;&gt;"",IF('Capacity summary'!$D$14="Yes",IF(COUNTBLANK('Capacity summary'!$H141:$BG141)&lt;52,IF('Capacity summary'!AJ141&lt;&gt;"",IF(LOWER('Capacity summary'!AJ141)="x",$BI22*AJ22,VALUE('Capacity summary'!AJ141)),0),AJ22*$BI22),AJ22*$BI22),0)</f>
        <v>0</v>
      </c>
      <c r="CN22" s="313">
        <f>IF($BI22&lt;&gt;"",IF('Capacity summary'!$D$14="Yes",IF(COUNTBLANK('Capacity summary'!$H141:$BG141)&lt;52,IF('Capacity summary'!AK141&lt;&gt;"",IF(LOWER('Capacity summary'!AK141)="x",$BI22*AK22,VALUE('Capacity summary'!AK141)),0),AK22*$BI22),AK22*$BI22),0)</f>
        <v>0</v>
      </c>
      <c r="CO22" s="313">
        <f>IF($BI22&lt;&gt;"",IF('Capacity summary'!$D$14="Yes",IF(COUNTBLANK('Capacity summary'!$H141:$BG141)&lt;52,IF('Capacity summary'!AL141&lt;&gt;"",IF(LOWER('Capacity summary'!AL141)="x",$BI22*AL22,VALUE('Capacity summary'!AL141)),0),AL22*$BI22),AL22*$BI22),0)</f>
        <v>0</v>
      </c>
      <c r="CP22" s="313">
        <f>IF($BI22&lt;&gt;"",IF('Capacity summary'!$D$14="Yes",IF(COUNTBLANK('Capacity summary'!$H141:$BG141)&lt;52,IF('Capacity summary'!AM141&lt;&gt;"",IF(LOWER('Capacity summary'!AM141)="x",$BI22*AM22,VALUE('Capacity summary'!AM141)),0),AM22*$BI22),AM22*$BI22),0)</f>
        <v>0</v>
      </c>
      <c r="CQ22" s="313">
        <f>IF($BI22&lt;&gt;"",IF('Capacity summary'!$D$14="Yes",IF(COUNTBLANK('Capacity summary'!$H141:$BG141)&lt;52,IF('Capacity summary'!AN141&lt;&gt;"",IF(LOWER('Capacity summary'!AN141)="x",$BI22*AN22,VALUE('Capacity summary'!AN141)),0),AN22*$BI22),AN22*$BI22),0)</f>
        <v>0</v>
      </c>
      <c r="CR22" s="313">
        <f>IF($BI22&lt;&gt;"",IF('Capacity summary'!$D$14="Yes",IF(COUNTBLANK('Capacity summary'!$H141:$BG141)&lt;52,IF('Capacity summary'!AO141&lt;&gt;"",IF(LOWER('Capacity summary'!AO141)="x",$BI22*AO22,VALUE('Capacity summary'!AO141)),0),AO22*$BI22),AO22*$BI22),0)</f>
        <v>0</v>
      </c>
      <c r="CS22" s="313">
        <f>IF($BI22&lt;&gt;"",IF('Capacity summary'!$D$14="Yes",IF(COUNTBLANK('Capacity summary'!$H141:$BG141)&lt;52,IF('Capacity summary'!AP141&lt;&gt;"",IF(LOWER('Capacity summary'!AP141)="x",$BI22*AP22,VALUE('Capacity summary'!AP141)),0),AP22*$BI22),AP22*$BI22),0)</f>
        <v>0</v>
      </c>
      <c r="CT22" s="313">
        <f>IF($BI22&lt;&gt;"",IF('Capacity summary'!$D$14="Yes",IF(COUNTBLANK('Capacity summary'!$H141:$BG141)&lt;52,IF('Capacity summary'!AQ141&lt;&gt;"",IF(LOWER('Capacity summary'!AQ141)="x",$BI22*AQ22,VALUE('Capacity summary'!AQ141)),0),AQ22*$BI22),AQ22*$BI22),0)</f>
        <v>0</v>
      </c>
      <c r="CU22" s="313">
        <f>IF($BI22&lt;&gt;"",IF('Capacity summary'!$D$14="Yes",IF(COUNTBLANK('Capacity summary'!$H141:$BG141)&lt;52,IF('Capacity summary'!AR141&lt;&gt;"",IF(LOWER('Capacity summary'!AR141)="x",$BI22*AR22,VALUE('Capacity summary'!AR141)),0),AR22*$BI22),AR22*$BI22),0)</f>
        <v>0</v>
      </c>
      <c r="CV22" s="313">
        <f>IF($BI22&lt;&gt;"",IF('Capacity summary'!$D$14="Yes",IF(COUNTBLANK('Capacity summary'!$H141:$BG141)&lt;52,IF('Capacity summary'!AS141&lt;&gt;"",IF(LOWER('Capacity summary'!AS141)="x",$BI22*AS22,VALUE('Capacity summary'!AS141)),0),AS22*$BI22),AS22*$BI22),0)</f>
        <v>0</v>
      </c>
      <c r="CW22" s="313">
        <f>IF($BI22&lt;&gt;"",IF('Capacity summary'!$D$14="Yes",IF(COUNTBLANK('Capacity summary'!$H141:$BG141)&lt;52,IF('Capacity summary'!AT141&lt;&gt;"",IF(LOWER('Capacity summary'!AT141)="x",$BI22*AT22,VALUE('Capacity summary'!AT141)),0),AT22*$BI22),AT22*$BI22),0)</f>
        <v>0</v>
      </c>
      <c r="CX22" s="313">
        <f>IF($BI22&lt;&gt;"",IF('Capacity summary'!$D$14="Yes",IF(COUNTBLANK('Capacity summary'!$H141:$BG141)&lt;52,IF('Capacity summary'!AU141&lt;&gt;"",IF(LOWER('Capacity summary'!AU141)="x",$BI22*AU22,VALUE('Capacity summary'!AU141)),0),AU22*$BI22),AU22*$BI22),0)</f>
        <v>0</v>
      </c>
      <c r="CY22" s="313">
        <f>IF($BI22&lt;&gt;"",IF('Capacity summary'!$D$14="Yes",IF(COUNTBLANK('Capacity summary'!$H141:$BG141)&lt;52,IF('Capacity summary'!AV141&lt;&gt;"",IF(LOWER('Capacity summary'!AV141)="x",$BI22*AV22,VALUE('Capacity summary'!AV141)),0),AV22*$BI22),AV22*$BI22),0)</f>
        <v>0</v>
      </c>
      <c r="CZ22" s="313">
        <f>IF($BI22&lt;&gt;"",IF('Capacity summary'!$D$14="Yes",IF(COUNTBLANK('Capacity summary'!$H141:$BG141)&lt;52,IF('Capacity summary'!AW141&lt;&gt;"",IF(LOWER('Capacity summary'!AW141)="x",$BI22*AW22,VALUE('Capacity summary'!AW141)),0),AW22*$BI22),AW22*$BI22),0)</f>
        <v>0</v>
      </c>
      <c r="DA22" s="313">
        <f>IF($BI22&lt;&gt;"",IF('Capacity summary'!$D$14="Yes",IF(COUNTBLANK('Capacity summary'!$H141:$BG141)&lt;52,IF('Capacity summary'!AX141&lt;&gt;"",IF(LOWER('Capacity summary'!AX141)="x",$BI22*AX22,VALUE('Capacity summary'!AX141)),0),AX22*$BI22),AX22*$BI22),0)</f>
        <v>0</v>
      </c>
      <c r="DB22" s="313">
        <f>IF($BI22&lt;&gt;"",IF('Capacity summary'!$D$14="Yes",IF(COUNTBLANK('Capacity summary'!$H141:$BG141)&lt;52,IF('Capacity summary'!AY141&lt;&gt;"",IF(LOWER('Capacity summary'!AY141)="x",$BI22*AY22,VALUE('Capacity summary'!AY141)),0),AY22*$BI22),AY22*$BI22),0)</f>
        <v>0</v>
      </c>
      <c r="DC22" s="313">
        <f>IF($BI22&lt;&gt;"",IF('Capacity summary'!$D$14="Yes",IF(COUNTBLANK('Capacity summary'!$H141:$BG141)&lt;52,IF('Capacity summary'!AZ141&lt;&gt;"",IF(LOWER('Capacity summary'!AZ141)="x",$BI22*AZ22,VALUE('Capacity summary'!AZ141)),0),AZ22*$BI22),AZ22*$BI22),0)</f>
        <v>0</v>
      </c>
      <c r="DD22" s="313">
        <f>IF($BI22&lt;&gt;"",IF('Capacity summary'!$D$14="Yes",IF(COUNTBLANK('Capacity summary'!$H141:$BG141)&lt;52,IF('Capacity summary'!BA141&lt;&gt;"",IF(LOWER('Capacity summary'!BA141)="x",$BI22*BA22,VALUE('Capacity summary'!BA141)),0),BA22*$BI22),BA22*$BI22),0)</f>
        <v>0</v>
      </c>
      <c r="DE22" s="313">
        <f>IF($BI22&lt;&gt;"",IF('Capacity summary'!$D$14="Yes",IF(COUNTBLANK('Capacity summary'!$H141:$BG141)&lt;52,IF('Capacity summary'!BB141&lt;&gt;"",IF(LOWER('Capacity summary'!BB141)="x",$BI22*BB22,VALUE('Capacity summary'!BB141)),0),BB22*$BI22),BB22*$BI22),0)</f>
        <v>0</v>
      </c>
      <c r="DF22" s="313">
        <f>IF($BI22&lt;&gt;"",IF('Capacity summary'!$D$14="Yes",IF(COUNTBLANK('Capacity summary'!$H141:$BG141)&lt;52,IF('Capacity summary'!BC141&lt;&gt;"",IF(LOWER('Capacity summary'!BC141)="x",$BI22*BC22,VALUE('Capacity summary'!BC141)),0),BC22*$BI22),BC22*$BI22),0)</f>
        <v>0</v>
      </c>
      <c r="DG22" s="313">
        <f>IF($BI22&lt;&gt;"",IF('Capacity summary'!$D$14="Yes",IF(COUNTBLANK('Capacity summary'!$H141:$BG141)&lt;52,IF('Capacity summary'!BD141&lt;&gt;"",IF(LOWER('Capacity summary'!BD141)="x",$BI22*BD22,VALUE('Capacity summary'!BD141)),0),BD22*$BI22),BD22*$BI22),0)</f>
        <v>0</v>
      </c>
      <c r="DH22" s="313">
        <f>IF($BI22&lt;&gt;"",IF('Capacity summary'!$D$14="Yes",IF(COUNTBLANK('Capacity summary'!$H141:$BG141)&lt;52,IF('Capacity summary'!BE141&lt;&gt;"",IF(LOWER('Capacity summary'!BE141)="x",$BI22*BE22,VALUE('Capacity summary'!BE141)),0),BE22*$BI22),BE22*$BI22),0)</f>
        <v>0</v>
      </c>
      <c r="DI22" s="313">
        <f>IF($BI22&lt;&gt;"",IF('Capacity summary'!$D$14="Yes",IF(COUNTBLANK('Capacity summary'!$H141:$BG141)&lt;52,IF('Capacity summary'!BF141&lt;&gt;"",IF(LOWER('Capacity summary'!BF141)="x",$BI22*BF22,VALUE('Capacity summary'!BF141)),0),BF22*$BI22),BF22*$BI22),0)</f>
        <v>0</v>
      </c>
      <c r="DJ22" s="313">
        <f>IF($BI22&lt;&gt;"",IF('Capacity summary'!$D$14="Yes",IF(COUNTBLANK('Capacity summary'!$H141:$BG141)&lt;52,IF('Capacity summary'!BG141&lt;&gt;"",IF(LOWER('Capacity summary'!BG141)="x",$BI22*BG22,VALUE('Capacity summary'!BG141)),0),BG22*$BI22),BG22*$BI22),0)</f>
        <v>0</v>
      </c>
      <c r="DK22" s="137">
        <f t="shared" si="2"/>
        <v>0</v>
      </c>
      <c r="DL22" s="313" t="str">
        <f>Capacity!H34</f>
        <v/>
      </c>
      <c r="DP22" s="5"/>
    </row>
    <row r="23" spans="2:120" x14ac:dyDescent="0.25">
      <c r="B23" s="67"/>
      <c r="C23" s="67" t="str">
        <f>ROW(A19)&amp;". "&amp;Capacity!B35</f>
        <v xml:space="preserve">19. </v>
      </c>
      <c r="D23" s="67">
        <f>'Capacity setup'!C30</f>
        <v>0</v>
      </c>
      <c r="E23" s="67">
        <f>'Capacity setup'!D30</f>
        <v>0</v>
      </c>
      <c r="F23" s="67">
        <f>'Capacity setup'!E30</f>
        <v>0</v>
      </c>
      <c r="H23" s="67">
        <f ca="1">IF(AND(SUMIF(Capacity_Resource,$D23,'Critical resources (hide)'!U$6:U$105)+SUMIF(Capacity_Resource,$E23,'Critical resources (hide)'!U$6:U$105)+SUMIF(Capacity_Resource,$F23,'Critical resources (hide)'!U$6:U$105)&gt;0,$E$1=2),0,1)</f>
        <v>1</v>
      </c>
      <c r="I23" s="67">
        <f ca="1">IF(AND(SUMIF(Capacity_Resource,$D23,'Critical resources (hide)'!V$6:V$105)+SUMIF(Capacity_Resource,$E23,'Critical resources (hide)'!V$6:V$105)+SUMIF(Capacity_Resource,$F23,'Critical resources (hide)'!V$6:V$105)&gt;0,$E$1=2),0,1)</f>
        <v>1</v>
      </c>
      <c r="J23" s="67">
        <f ca="1">IF(AND(SUMIF(Capacity_Resource,$D23,'Critical resources (hide)'!W$6:W$105)+SUMIF(Capacity_Resource,$E23,'Critical resources (hide)'!W$6:W$105)+SUMIF(Capacity_Resource,$F23,'Critical resources (hide)'!W$6:W$105)&gt;0,$E$1=2),0,1)</f>
        <v>1</v>
      </c>
      <c r="K23" s="67">
        <f ca="1">IF(AND(SUMIF(Capacity_Resource,$D23,'Critical resources (hide)'!X$6:X$105)+SUMIF(Capacity_Resource,$E23,'Critical resources (hide)'!X$6:X$105)+SUMIF(Capacity_Resource,$F23,'Critical resources (hide)'!X$6:X$105)&gt;0,$E$1=2),0,1)</f>
        <v>1</v>
      </c>
      <c r="L23" s="67">
        <f ca="1">IF(AND(SUMIF(Capacity_Resource,$D23,'Critical resources (hide)'!Y$6:Y$105)+SUMIF(Capacity_Resource,$E23,'Critical resources (hide)'!Y$6:Y$105)+SUMIF(Capacity_Resource,$F23,'Critical resources (hide)'!Y$6:Y$105)&gt;0,$E$1=2),0,1)</f>
        <v>1</v>
      </c>
      <c r="M23" s="67">
        <f ca="1">IF(AND(SUMIF(Capacity_Resource,$D23,'Critical resources (hide)'!Z$6:Z$105)+SUMIF(Capacity_Resource,$E23,'Critical resources (hide)'!Z$6:Z$105)+SUMIF(Capacity_Resource,$F23,'Critical resources (hide)'!Z$6:Z$105)&gt;0,$E$1=2),0,1)</f>
        <v>1</v>
      </c>
      <c r="N23" s="67">
        <f ca="1">IF(AND(SUMIF(Capacity_Resource,$D23,'Critical resources (hide)'!AA$6:AA$105)+SUMIF(Capacity_Resource,$E23,'Critical resources (hide)'!AA$6:AA$105)+SUMIF(Capacity_Resource,$F23,'Critical resources (hide)'!AA$6:AA$105)&gt;0,$E$1=2),0,1)</f>
        <v>1</v>
      </c>
      <c r="O23" s="67">
        <f ca="1">IF(AND(SUMIF(Capacity_Resource,$D23,'Critical resources (hide)'!AB$6:AB$105)+SUMIF(Capacity_Resource,$E23,'Critical resources (hide)'!AB$6:AB$105)+SUMIF(Capacity_Resource,$F23,'Critical resources (hide)'!AB$6:AB$105)&gt;0,$E$1=2),0,1)</f>
        <v>1</v>
      </c>
      <c r="P23" s="67">
        <f ca="1">IF(AND(SUMIF(Capacity_Resource,$D23,'Critical resources (hide)'!AC$6:AC$105)+SUMIF(Capacity_Resource,$E23,'Critical resources (hide)'!AC$6:AC$105)+SUMIF(Capacity_Resource,$F23,'Critical resources (hide)'!AC$6:AC$105)&gt;0,$E$1=2),0,1)</f>
        <v>1</v>
      </c>
      <c r="Q23" s="67">
        <f ca="1">IF(AND(SUMIF(Capacity_Resource,$D23,'Critical resources (hide)'!AD$6:AD$105)+SUMIF(Capacity_Resource,$E23,'Critical resources (hide)'!AD$6:AD$105)+SUMIF(Capacity_Resource,$F23,'Critical resources (hide)'!AD$6:AD$105)&gt;0,$E$1=2),0,1)</f>
        <v>1</v>
      </c>
      <c r="R23" s="67">
        <f ca="1">IF(AND(SUMIF(Capacity_Resource,$D23,'Critical resources (hide)'!AE$6:AE$105)+SUMIF(Capacity_Resource,$E23,'Critical resources (hide)'!AE$6:AE$105)+SUMIF(Capacity_Resource,$F23,'Critical resources (hide)'!AE$6:AE$105)&gt;0,$E$1=2),0,1)</f>
        <v>1</v>
      </c>
      <c r="S23" s="67">
        <f ca="1">IF(AND(SUMIF(Capacity_Resource,$D23,'Critical resources (hide)'!AF$6:AF$105)+SUMIF(Capacity_Resource,$E23,'Critical resources (hide)'!AF$6:AF$105)+SUMIF(Capacity_Resource,$F23,'Critical resources (hide)'!AF$6:AF$105)&gt;0,$E$1=2),0,1)</f>
        <v>1</v>
      </c>
      <c r="T23" s="67">
        <f ca="1">IF(AND(SUMIF(Capacity_Resource,$D23,'Critical resources (hide)'!AG$6:AG$105)+SUMIF(Capacity_Resource,$E23,'Critical resources (hide)'!AG$6:AG$105)+SUMIF(Capacity_Resource,$F23,'Critical resources (hide)'!AG$6:AG$105)&gt;0,$E$1=2),0,1)</f>
        <v>1</v>
      </c>
      <c r="U23" s="67">
        <f ca="1">IF(AND(SUMIF(Capacity_Resource,$D23,'Critical resources (hide)'!AH$6:AH$105)+SUMIF(Capacity_Resource,$E23,'Critical resources (hide)'!AH$6:AH$105)+SUMIF(Capacity_Resource,$F23,'Critical resources (hide)'!AH$6:AH$105)&gt;0,$E$1=2),0,1)</f>
        <v>1</v>
      </c>
      <c r="V23" s="67">
        <f ca="1">IF(AND(SUMIF(Capacity_Resource,$D23,'Critical resources (hide)'!AI$6:AI$105)+SUMIF(Capacity_Resource,$E23,'Critical resources (hide)'!AI$6:AI$105)+SUMIF(Capacity_Resource,$F23,'Critical resources (hide)'!AI$6:AI$105)&gt;0,$E$1=2),0,1)</f>
        <v>1</v>
      </c>
      <c r="W23" s="67">
        <f ca="1">IF(AND(SUMIF(Capacity_Resource,$D23,'Critical resources (hide)'!AJ$6:AJ$105)+SUMIF(Capacity_Resource,$E23,'Critical resources (hide)'!AJ$6:AJ$105)+SUMIF(Capacity_Resource,$F23,'Critical resources (hide)'!AJ$6:AJ$105)&gt;0,$E$1=2),0,1)</f>
        <v>1</v>
      </c>
      <c r="X23" s="67">
        <f ca="1">IF(AND(SUMIF(Capacity_Resource,$D23,'Critical resources (hide)'!AK$6:AK$105)+SUMIF(Capacity_Resource,$E23,'Critical resources (hide)'!AK$6:AK$105)+SUMIF(Capacity_Resource,$F23,'Critical resources (hide)'!AK$6:AK$105)&gt;0,$E$1=2),0,1)</f>
        <v>1</v>
      </c>
      <c r="Y23" s="67">
        <f ca="1">IF(AND(SUMIF(Capacity_Resource,$D23,'Critical resources (hide)'!AL$6:AL$105)+SUMIF(Capacity_Resource,$E23,'Critical resources (hide)'!AL$6:AL$105)+SUMIF(Capacity_Resource,$F23,'Critical resources (hide)'!AL$6:AL$105)&gt;0,$E$1=2),0,1)</f>
        <v>1</v>
      </c>
      <c r="Z23" s="67">
        <f ca="1">IF(AND(SUMIF(Capacity_Resource,$D23,'Critical resources (hide)'!AM$6:AM$105)+SUMIF(Capacity_Resource,$E23,'Critical resources (hide)'!AM$6:AM$105)+SUMIF(Capacity_Resource,$F23,'Critical resources (hide)'!AM$6:AM$105)&gt;0,$E$1=2),0,1)</f>
        <v>1</v>
      </c>
      <c r="AA23" s="67">
        <f ca="1">IF(AND(SUMIF(Capacity_Resource,$D23,'Critical resources (hide)'!AN$6:AN$105)+SUMIF(Capacity_Resource,$E23,'Critical resources (hide)'!AN$6:AN$105)+SUMIF(Capacity_Resource,$F23,'Critical resources (hide)'!AN$6:AN$105)&gt;0,$E$1=2),0,1)</f>
        <v>1</v>
      </c>
      <c r="AB23" s="67">
        <f ca="1">IF(AND(SUMIF(Capacity_Resource,$D23,'Critical resources (hide)'!AO$6:AO$105)+SUMIF(Capacity_Resource,$E23,'Critical resources (hide)'!AO$6:AO$105)+SUMIF(Capacity_Resource,$F23,'Critical resources (hide)'!AO$6:AO$105)&gt;0,$E$1=2),0,1)</f>
        <v>1</v>
      </c>
      <c r="AC23" s="67">
        <f ca="1">IF(AND(SUMIF(Capacity_Resource,$D23,'Critical resources (hide)'!AP$6:AP$105)+SUMIF(Capacity_Resource,$E23,'Critical resources (hide)'!AP$6:AP$105)+SUMIF(Capacity_Resource,$F23,'Critical resources (hide)'!AP$6:AP$105)&gt;0,$E$1=2),0,1)</f>
        <v>1</v>
      </c>
      <c r="AD23" s="67">
        <f ca="1">IF(AND(SUMIF(Capacity_Resource,$D23,'Critical resources (hide)'!AQ$6:AQ$105)+SUMIF(Capacity_Resource,$E23,'Critical resources (hide)'!AQ$6:AQ$105)+SUMIF(Capacity_Resource,$F23,'Critical resources (hide)'!AQ$6:AQ$105)&gt;0,$E$1=2),0,1)</f>
        <v>1</v>
      </c>
      <c r="AE23" s="67">
        <f ca="1">IF(AND(SUMIF(Capacity_Resource,$D23,'Critical resources (hide)'!AR$6:AR$105)+SUMIF(Capacity_Resource,$E23,'Critical resources (hide)'!AR$6:AR$105)+SUMIF(Capacity_Resource,$F23,'Critical resources (hide)'!AR$6:AR$105)&gt;0,$E$1=2),0,1)</f>
        <v>1</v>
      </c>
      <c r="AF23" s="67">
        <f ca="1">IF(AND(SUMIF(Capacity_Resource,$D23,'Critical resources (hide)'!AS$6:AS$105)+SUMIF(Capacity_Resource,$E23,'Critical resources (hide)'!AS$6:AS$105)+SUMIF(Capacity_Resource,$F23,'Critical resources (hide)'!AS$6:AS$105)&gt;0,$E$1=2),0,1)</f>
        <v>1</v>
      </c>
      <c r="AG23" s="67">
        <f ca="1">IF(AND(SUMIF(Capacity_Resource,$D23,'Critical resources (hide)'!AT$6:AT$105)+SUMIF(Capacity_Resource,$E23,'Critical resources (hide)'!AT$6:AT$105)+SUMIF(Capacity_Resource,$F23,'Critical resources (hide)'!AT$6:AT$105)&gt;0,$E$1=2),0,1)</f>
        <v>1</v>
      </c>
      <c r="AH23" s="67">
        <f ca="1">IF(AND(SUMIF(Capacity_Resource,$D23,'Critical resources (hide)'!AU$6:AU$105)+SUMIF(Capacity_Resource,$E23,'Critical resources (hide)'!AU$6:AU$105)+SUMIF(Capacity_Resource,$F23,'Critical resources (hide)'!AU$6:AU$105)&gt;0,$E$1=2),0,1)</f>
        <v>1</v>
      </c>
      <c r="AI23" s="67">
        <f ca="1">IF(AND(SUMIF(Capacity_Resource,$D23,'Critical resources (hide)'!AV$6:AV$105)+SUMIF(Capacity_Resource,$E23,'Critical resources (hide)'!AV$6:AV$105)+SUMIF(Capacity_Resource,$F23,'Critical resources (hide)'!AV$6:AV$105)&gt;0,$E$1=2),0,1)</f>
        <v>1</v>
      </c>
      <c r="AJ23" s="67">
        <f ca="1">IF(AND(SUMIF(Capacity_Resource,$D23,'Critical resources (hide)'!AW$6:AW$105)+SUMIF(Capacity_Resource,$E23,'Critical resources (hide)'!AW$6:AW$105)+SUMIF(Capacity_Resource,$F23,'Critical resources (hide)'!AW$6:AW$105)&gt;0,$E$1=2),0,1)</f>
        <v>1</v>
      </c>
      <c r="AK23" s="67">
        <f ca="1">IF(AND(SUMIF(Capacity_Resource,$D23,'Critical resources (hide)'!AX$6:AX$105)+SUMIF(Capacity_Resource,$E23,'Critical resources (hide)'!AX$6:AX$105)+SUMIF(Capacity_Resource,$F23,'Critical resources (hide)'!AX$6:AX$105)&gt;0,$E$1=2),0,1)</f>
        <v>1</v>
      </c>
      <c r="AL23" s="67">
        <f ca="1">IF(AND(SUMIF(Capacity_Resource,$D23,'Critical resources (hide)'!AY$6:AY$105)+SUMIF(Capacity_Resource,$E23,'Critical resources (hide)'!AY$6:AY$105)+SUMIF(Capacity_Resource,$F23,'Critical resources (hide)'!AY$6:AY$105)&gt;0,$E$1=2),0,1)</f>
        <v>1</v>
      </c>
      <c r="AM23" s="67">
        <f ca="1">IF(AND(SUMIF(Capacity_Resource,$D23,'Critical resources (hide)'!AZ$6:AZ$105)+SUMIF(Capacity_Resource,$E23,'Critical resources (hide)'!AZ$6:AZ$105)+SUMIF(Capacity_Resource,$F23,'Critical resources (hide)'!AZ$6:AZ$105)&gt;0,$E$1=2),0,1)</f>
        <v>1</v>
      </c>
      <c r="AN23" s="67">
        <f ca="1">IF(AND(SUMIF(Capacity_Resource,$D23,'Critical resources (hide)'!BA$6:BA$105)+SUMIF(Capacity_Resource,$E23,'Critical resources (hide)'!BA$6:BA$105)+SUMIF(Capacity_Resource,$F23,'Critical resources (hide)'!BA$6:BA$105)&gt;0,$E$1=2),0,1)</f>
        <v>1</v>
      </c>
      <c r="AO23" s="67">
        <f ca="1">IF(AND(SUMIF(Capacity_Resource,$D23,'Critical resources (hide)'!BB$6:BB$105)+SUMIF(Capacity_Resource,$E23,'Critical resources (hide)'!BB$6:BB$105)+SUMIF(Capacity_Resource,$F23,'Critical resources (hide)'!BB$6:BB$105)&gt;0,$E$1=2),0,1)</f>
        <v>1</v>
      </c>
      <c r="AP23" s="67">
        <f ca="1">IF(AND(SUMIF(Capacity_Resource,$D23,'Critical resources (hide)'!BC$6:BC$105)+SUMIF(Capacity_Resource,$E23,'Critical resources (hide)'!BC$6:BC$105)+SUMIF(Capacity_Resource,$F23,'Critical resources (hide)'!BC$6:BC$105)&gt;0,$E$1=2),0,1)</f>
        <v>1</v>
      </c>
      <c r="AQ23" s="67">
        <f ca="1">IF(AND(SUMIF(Capacity_Resource,$D23,'Critical resources (hide)'!BD$6:BD$105)+SUMIF(Capacity_Resource,$E23,'Critical resources (hide)'!BD$6:BD$105)+SUMIF(Capacity_Resource,$F23,'Critical resources (hide)'!BD$6:BD$105)&gt;0,$E$1=2),0,1)</f>
        <v>1</v>
      </c>
      <c r="AR23" s="67">
        <f ca="1">IF(AND(SUMIF(Capacity_Resource,$D23,'Critical resources (hide)'!BE$6:BE$105)+SUMIF(Capacity_Resource,$E23,'Critical resources (hide)'!BE$6:BE$105)+SUMIF(Capacity_Resource,$F23,'Critical resources (hide)'!BE$6:BE$105)&gt;0,$E$1=2),0,1)</f>
        <v>1</v>
      </c>
      <c r="AS23" s="67">
        <f ca="1">IF(AND(SUMIF(Capacity_Resource,$D23,'Critical resources (hide)'!BF$6:BF$105)+SUMIF(Capacity_Resource,$E23,'Critical resources (hide)'!BF$6:BF$105)+SUMIF(Capacity_Resource,$F23,'Critical resources (hide)'!BF$6:BF$105)&gt;0,$E$1=2),0,1)</f>
        <v>1</v>
      </c>
      <c r="AT23" s="67">
        <f ca="1">IF(AND(SUMIF(Capacity_Resource,$D23,'Critical resources (hide)'!BG$6:BG$105)+SUMIF(Capacity_Resource,$E23,'Critical resources (hide)'!BG$6:BG$105)+SUMIF(Capacity_Resource,$F23,'Critical resources (hide)'!BG$6:BG$105)&gt;0,$E$1=2),0,1)</f>
        <v>1</v>
      </c>
      <c r="AU23" s="67">
        <f ca="1">IF(AND(SUMIF(Capacity_Resource,$D23,'Critical resources (hide)'!BH$6:BH$105)+SUMIF(Capacity_Resource,$E23,'Critical resources (hide)'!BH$6:BH$105)+SUMIF(Capacity_Resource,$F23,'Critical resources (hide)'!BH$6:BH$105)&gt;0,$E$1=2),0,1)</f>
        <v>1</v>
      </c>
      <c r="AV23" s="67">
        <f ca="1">IF(AND(SUMIF(Capacity_Resource,$D23,'Critical resources (hide)'!BI$6:BI$105)+SUMIF(Capacity_Resource,$E23,'Critical resources (hide)'!BI$6:BI$105)+SUMIF(Capacity_Resource,$F23,'Critical resources (hide)'!BI$6:BI$105)&gt;0,$E$1=2),0,1)</f>
        <v>1</v>
      </c>
      <c r="AW23" s="67">
        <f ca="1">IF(AND(SUMIF(Capacity_Resource,$D23,'Critical resources (hide)'!BJ$6:BJ$105)+SUMIF(Capacity_Resource,$E23,'Critical resources (hide)'!BJ$6:BJ$105)+SUMIF(Capacity_Resource,$F23,'Critical resources (hide)'!BJ$6:BJ$105)&gt;0,$E$1=2),0,1)</f>
        <v>1</v>
      </c>
      <c r="AX23" s="67">
        <f ca="1">IF(AND(SUMIF(Capacity_Resource,$D23,'Critical resources (hide)'!BK$6:BK$105)+SUMIF(Capacity_Resource,$E23,'Critical resources (hide)'!BK$6:BK$105)+SUMIF(Capacity_Resource,$F23,'Critical resources (hide)'!BK$6:BK$105)&gt;0,$E$1=2),0,1)</f>
        <v>1</v>
      </c>
      <c r="AY23" s="67">
        <f ca="1">IF(AND(SUMIF(Capacity_Resource,$D23,'Critical resources (hide)'!BL$6:BL$105)+SUMIF(Capacity_Resource,$E23,'Critical resources (hide)'!BL$6:BL$105)+SUMIF(Capacity_Resource,$F23,'Critical resources (hide)'!BL$6:BL$105)&gt;0,$E$1=2),0,1)</f>
        <v>1</v>
      </c>
      <c r="AZ23" s="67">
        <f ca="1">IF(AND(SUMIF(Capacity_Resource,$D23,'Critical resources (hide)'!BM$6:BM$105)+SUMIF(Capacity_Resource,$E23,'Critical resources (hide)'!BM$6:BM$105)+SUMIF(Capacity_Resource,$F23,'Critical resources (hide)'!BM$6:BM$105)&gt;0,$E$1=2),0,1)</f>
        <v>1</v>
      </c>
      <c r="BA23" s="67">
        <f ca="1">IF(AND(SUMIF(Capacity_Resource,$D23,'Critical resources (hide)'!BN$6:BN$105)+SUMIF(Capacity_Resource,$E23,'Critical resources (hide)'!BN$6:BN$105)+SUMIF(Capacity_Resource,$F23,'Critical resources (hide)'!BN$6:BN$105)&gt;0,$E$1=2),0,1)</f>
        <v>1</v>
      </c>
      <c r="BB23" s="67">
        <f ca="1">IF(AND(SUMIF(Capacity_Resource,$D23,'Critical resources (hide)'!BO$6:BO$105)+SUMIF(Capacity_Resource,$E23,'Critical resources (hide)'!BO$6:BO$105)+SUMIF(Capacity_Resource,$F23,'Critical resources (hide)'!BO$6:BO$105)&gt;0,$E$1=2),0,1)</f>
        <v>1</v>
      </c>
      <c r="BC23" s="67">
        <f ca="1">IF(AND(SUMIF(Capacity_Resource,$D23,'Critical resources (hide)'!BP$6:BP$105)+SUMIF(Capacity_Resource,$E23,'Critical resources (hide)'!BP$6:BP$105)+SUMIF(Capacity_Resource,$F23,'Critical resources (hide)'!BP$6:BP$105)&gt;0,$E$1=2),0,1)</f>
        <v>1</v>
      </c>
      <c r="BD23" s="67">
        <f ca="1">IF(AND(SUMIF(Capacity_Resource,$D23,'Critical resources (hide)'!BQ$6:BQ$105)+SUMIF(Capacity_Resource,$E23,'Critical resources (hide)'!BQ$6:BQ$105)+SUMIF(Capacity_Resource,$F23,'Critical resources (hide)'!BQ$6:BQ$105)&gt;0,$E$1=2),0,1)</f>
        <v>1</v>
      </c>
      <c r="BE23" s="67">
        <f ca="1">IF(AND(SUMIF(Capacity_Resource,$D23,'Critical resources (hide)'!BR$6:BR$105)+SUMIF(Capacity_Resource,$E23,'Critical resources (hide)'!BR$6:BR$105)+SUMIF(Capacity_Resource,$F23,'Critical resources (hide)'!BR$6:BR$105)&gt;0,$E$1=2),0,1)</f>
        <v>1</v>
      </c>
      <c r="BF23" s="67">
        <f ca="1">IF(AND(SUMIF(Capacity_Resource,$D23,'Critical resources (hide)'!BS$6:BS$105)+SUMIF(Capacity_Resource,$E23,'Critical resources (hide)'!BS$6:BS$105)+SUMIF(Capacity_Resource,$F23,'Critical resources (hide)'!BS$6:BS$105)&gt;0,$E$1=2),0,1)</f>
        <v>1</v>
      </c>
      <c r="BG23" s="67">
        <f ca="1">IF(AND(SUMIF(Capacity_Resource,$D23,'Critical resources (hide)'!BT$6:BT$105)+SUMIF(Capacity_Resource,$E23,'Critical resources (hide)'!BT$6:BT$105)+SUMIF(Capacity_Resource,$F23,'Critical resources (hide)'!BT$6:BT$105)&gt;0,$E$1=2),0,1)</f>
        <v>1</v>
      </c>
      <c r="BH23" s="67">
        <f>IF(ROW(C19)&lt;=Capacity!$A$16,IF('Capacity summary'!$D$14="No",SUM(H23:BG23),'Capacity summary'!$E142),0)</f>
        <v>0</v>
      </c>
      <c r="BI23" s="5" t="str">
        <f>IF(BH23&gt;0,IF(BH23&lt;Capacity!E35,Capacity!F35,Capacity!H35/'Capacity calculation (hide)'!BH23),"")</f>
        <v/>
      </c>
      <c r="BK23" s="313">
        <f>IF($BI23&lt;&gt;"",IF('Capacity summary'!$D$14="Yes",IF(COUNTBLANK('Capacity summary'!$H142:$BG142)&lt;52,IF('Capacity summary'!H142&lt;&gt;"",IF(LOWER('Capacity summary'!H142)="x",$BI23*H23,VALUE('Capacity summary'!H142)),0),H23*$BI23),H23*$BI23),0)</f>
        <v>0</v>
      </c>
      <c r="BL23" s="313">
        <f>IF($BI23&lt;&gt;"",IF('Capacity summary'!$D$14="Yes",IF(COUNTBLANK('Capacity summary'!$H142:$BG142)&lt;52,IF('Capacity summary'!I142&lt;&gt;"",IF(LOWER('Capacity summary'!I142)="x",$BI23*I23,VALUE('Capacity summary'!I142)),0),I23*$BI23),I23*$BI23),0)</f>
        <v>0</v>
      </c>
      <c r="BM23" s="313">
        <f>IF($BI23&lt;&gt;"",IF('Capacity summary'!$D$14="Yes",IF(COUNTBLANK('Capacity summary'!$H142:$BG142)&lt;52,IF('Capacity summary'!J142&lt;&gt;"",IF(LOWER('Capacity summary'!J142)="x",$BI23*J23,VALUE('Capacity summary'!J142)),0),J23*$BI23),J23*$BI23),0)</f>
        <v>0</v>
      </c>
      <c r="BN23" s="313">
        <f>IF($BI23&lt;&gt;"",IF('Capacity summary'!$D$14="Yes",IF(COUNTBLANK('Capacity summary'!$H142:$BG142)&lt;52,IF('Capacity summary'!K142&lt;&gt;"",IF(LOWER('Capacity summary'!K142)="x",$BI23*K23,VALUE('Capacity summary'!K142)),0),K23*$BI23),K23*$BI23),0)</f>
        <v>0</v>
      </c>
      <c r="BO23" s="313">
        <f>IF($BI23&lt;&gt;"",IF('Capacity summary'!$D$14="Yes",IF(COUNTBLANK('Capacity summary'!$H142:$BG142)&lt;52,IF('Capacity summary'!L142&lt;&gt;"",IF(LOWER('Capacity summary'!L142)="x",$BI23*L23,VALUE('Capacity summary'!L142)),0),L23*$BI23),L23*$BI23),0)</f>
        <v>0</v>
      </c>
      <c r="BP23" s="313">
        <f>IF($BI23&lt;&gt;"",IF('Capacity summary'!$D$14="Yes",IF(COUNTBLANK('Capacity summary'!$H142:$BG142)&lt;52,IF('Capacity summary'!M142&lt;&gt;"",IF(LOWER('Capacity summary'!M142)="x",$BI23*M23,VALUE('Capacity summary'!M142)),0),M23*$BI23),M23*$BI23),0)</f>
        <v>0</v>
      </c>
      <c r="BQ23" s="313">
        <f>IF($BI23&lt;&gt;"",IF('Capacity summary'!$D$14="Yes",IF(COUNTBLANK('Capacity summary'!$H142:$BG142)&lt;52,IF('Capacity summary'!N142&lt;&gt;"",IF(LOWER('Capacity summary'!N142)="x",$BI23*N23,VALUE('Capacity summary'!N142)),0),N23*$BI23),N23*$BI23),0)</f>
        <v>0</v>
      </c>
      <c r="BR23" s="313">
        <f>IF($BI23&lt;&gt;"",IF('Capacity summary'!$D$14="Yes",IF(COUNTBLANK('Capacity summary'!$H142:$BG142)&lt;52,IF('Capacity summary'!O142&lt;&gt;"",IF(LOWER('Capacity summary'!O142)="x",$BI23*O23,VALUE('Capacity summary'!O142)),0),O23*$BI23),O23*$BI23),0)</f>
        <v>0</v>
      </c>
      <c r="BS23" s="313">
        <f>IF($BI23&lt;&gt;"",IF('Capacity summary'!$D$14="Yes",IF(COUNTBLANK('Capacity summary'!$H142:$BG142)&lt;52,IF('Capacity summary'!P142&lt;&gt;"",IF(LOWER('Capacity summary'!P142)="x",$BI23*P23,VALUE('Capacity summary'!P142)),0),P23*$BI23),P23*$BI23),0)</f>
        <v>0</v>
      </c>
      <c r="BT23" s="313">
        <f>IF($BI23&lt;&gt;"",IF('Capacity summary'!$D$14="Yes",IF(COUNTBLANK('Capacity summary'!$H142:$BG142)&lt;52,IF('Capacity summary'!Q142&lt;&gt;"",IF(LOWER('Capacity summary'!Q142)="x",$BI23*Q23,VALUE('Capacity summary'!Q142)),0),Q23*$BI23),Q23*$BI23),0)</f>
        <v>0</v>
      </c>
      <c r="BU23" s="313">
        <f>IF($BI23&lt;&gt;"",IF('Capacity summary'!$D$14="Yes",IF(COUNTBLANK('Capacity summary'!$H142:$BG142)&lt;52,IF('Capacity summary'!R142&lt;&gt;"",IF(LOWER('Capacity summary'!R142)="x",$BI23*R23,VALUE('Capacity summary'!R142)),0),R23*$BI23),R23*$BI23),0)</f>
        <v>0</v>
      </c>
      <c r="BV23" s="313">
        <f>IF($BI23&lt;&gt;"",IF('Capacity summary'!$D$14="Yes",IF(COUNTBLANK('Capacity summary'!$H142:$BG142)&lt;52,IF('Capacity summary'!S142&lt;&gt;"",IF(LOWER('Capacity summary'!S142)="x",$BI23*S23,VALUE('Capacity summary'!S142)),0),S23*$BI23),S23*$BI23),0)</f>
        <v>0</v>
      </c>
      <c r="BW23" s="313">
        <f>IF($BI23&lt;&gt;"",IF('Capacity summary'!$D$14="Yes",IF(COUNTBLANK('Capacity summary'!$H142:$BG142)&lt;52,IF('Capacity summary'!T142&lt;&gt;"",IF(LOWER('Capacity summary'!T142)="x",$BI23*T23,VALUE('Capacity summary'!T142)),0),T23*$BI23),T23*$BI23),0)</f>
        <v>0</v>
      </c>
      <c r="BX23" s="313">
        <f>IF($BI23&lt;&gt;"",IF('Capacity summary'!$D$14="Yes",IF(COUNTBLANK('Capacity summary'!$H142:$BG142)&lt;52,IF('Capacity summary'!U142&lt;&gt;"",IF(LOWER('Capacity summary'!U142)="x",$BI23*U23,VALUE('Capacity summary'!U142)),0),U23*$BI23),U23*$BI23),0)</f>
        <v>0</v>
      </c>
      <c r="BY23" s="313">
        <f>IF($BI23&lt;&gt;"",IF('Capacity summary'!$D$14="Yes",IF(COUNTBLANK('Capacity summary'!$H142:$BG142)&lt;52,IF('Capacity summary'!V142&lt;&gt;"",IF(LOWER('Capacity summary'!V142)="x",$BI23*V23,VALUE('Capacity summary'!V142)),0),V23*$BI23),V23*$BI23),0)</f>
        <v>0</v>
      </c>
      <c r="BZ23" s="313">
        <f>IF($BI23&lt;&gt;"",IF('Capacity summary'!$D$14="Yes",IF(COUNTBLANK('Capacity summary'!$H142:$BG142)&lt;52,IF('Capacity summary'!W142&lt;&gt;"",IF(LOWER('Capacity summary'!W142)="x",$BI23*W23,VALUE('Capacity summary'!W142)),0),W23*$BI23),W23*$BI23),0)</f>
        <v>0</v>
      </c>
      <c r="CA23" s="313">
        <f>IF($BI23&lt;&gt;"",IF('Capacity summary'!$D$14="Yes",IF(COUNTBLANK('Capacity summary'!$H142:$BG142)&lt;52,IF('Capacity summary'!X142&lt;&gt;"",IF(LOWER('Capacity summary'!X142)="x",$BI23*X23,VALUE('Capacity summary'!X142)),0),X23*$BI23),X23*$BI23),0)</f>
        <v>0</v>
      </c>
      <c r="CB23" s="313">
        <f>IF($BI23&lt;&gt;"",IF('Capacity summary'!$D$14="Yes",IF(COUNTBLANK('Capacity summary'!$H142:$BG142)&lt;52,IF('Capacity summary'!Y142&lt;&gt;"",IF(LOWER('Capacity summary'!Y142)="x",$BI23*Y23,VALUE('Capacity summary'!Y142)),0),Y23*$BI23),Y23*$BI23),0)</f>
        <v>0</v>
      </c>
      <c r="CC23" s="313">
        <f>IF($BI23&lt;&gt;"",IF('Capacity summary'!$D$14="Yes",IF(COUNTBLANK('Capacity summary'!$H142:$BG142)&lt;52,IF('Capacity summary'!Z142&lt;&gt;"",IF(LOWER('Capacity summary'!Z142)="x",$BI23*Z23,VALUE('Capacity summary'!Z142)),0),Z23*$BI23),Z23*$BI23),0)</f>
        <v>0</v>
      </c>
      <c r="CD23" s="313">
        <f>IF($BI23&lt;&gt;"",IF('Capacity summary'!$D$14="Yes",IF(COUNTBLANK('Capacity summary'!$H142:$BG142)&lt;52,IF('Capacity summary'!AA142&lt;&gt;"",IF(LOWER('Capacity summary'!AA142)="x",$BI23*AA23,VALUE('Capacity summary'!AA142)),0),AA23*$BI23),AA23*$BI23),0)</f>
        <v>0</v>
      </c>
      <c r="CE23" s="313">
        <f>IF($BI23&lt;&gt;"",IF('Capacity summary'!$D$14="Yes",IF(COUNTBLANK('Capacity summary'!$H142:$BG142)&lt;52,IF('Capacity summary'!AB142&lt;&gt;"",IF(LOWER('Capacity summary'!AB142)="x",$BI23*AB23,VALUE('Capacity summary'!AB142)),0),AB23*$BI23),AB23*$BI23),0)</f>
        <v>0</v>
      </c>
      <c r="CF23" s="313">
        <f>IF($BI23&lt;&gt;"",IF('Capacity summary'!$D$14="Yes",IF(COUNTBLANK('Capacity summary'!$H142:$BG142)&lt;52,IF('Capacity summary'!AC142&lt;&gt;"",IF(LOWER('Capacity summary'!AC142)="x",$BI23*AC23,VALUE('Capacity summary'!AC142)),0),AC23*$BI23),AC23*$BI23),0)</f>
        <v>0</v>
      </c>
      <c r="CG23" s="313">
        <f>IF($BI23&lt;&gt;"",IF('Capacity summary'!$D$14="Yes",IF(COUNTBLANK('Capacity summary'!$H142:$BG142)&lt;52,IF('Capacity summary'!AD142&lt;&gt;"",IF(LOWER('Capacity summary'!AD142)="x",$BI23*AD23,VALUE('Capacity summary'!AD142)),0),AD23*$BI23),AD23*$BI23),0)</f>
        <v>0</v>
      </c>
      <c r="CH23" s="313">
        <f>IF($BI23&lt;&gt;"",IF('Capacity summary'!$D$14="Yes",IF(COUNTBLANK('Capacity summary'!$H142:$BG142)&lt;52,IF('Capacity summary'!AE142&lt;&gt;"",IF(LOWER('Capacity summary'!AE142)="x",$BI23*AE23,VALUE('Capacity summary'!AE142)),0),AE23*$BI23),AE23*$BI23),0)</f>
        <v>0</v>
      </c>
      <c r="CI23" s="313">
        <f>IF($BI23&lt;&gt;"",IF('Capacity summary'!$D$14="Yes",IF(COUNTBLANK('Capacity summary'!$H142:$BG142)&lt;52,IF('Capacity summary'!AF142&lt;&gt;"",IF(LOWER('Capacity summary'!AF142)="x",$BI23*AF23,VALUE('Capacity summary'!AF142)),0),AF23*$BI23),AF23*$BI23),0)</f>
        <v>0</v>
      </c>
      <c r="CJ23" s="313">
        <f>IF($BI23&lt;&gt;"",IF('Capacity summary'!$D$14="Yes",IF(COUNTBLANK('Capacity summary'!$H142:$BG142)&lt;52,IF('Capacity summary'!AG142&lt;&gt;"",IF(LOWER('Capacity summary'!AG142)="x",$BI23*AG23,VALUE('Capacity summary'!AG142)),0),AG23*$BI23),AG23*$BI23),0)</f>
        <v>0</v>
      </c>
      <c r="CK23" s="313">
        <f>IF($BI23&lt;&gt;"",IF('Capacity summary'!$D$14="Yes",IF(COUNTBLANK('Capacity summary'!$H142:$BG142)&lt;52,IF('Capacity summary'!AH142&lt;&gt;"",IF(LOWER('Capacity summary'!AH142)="x",$BI23*AH23,VALUE('Capacity summary'!AH142)),0),AH23*$BI23),AH23*$BI23),0)</f>
        <v>0</v>
      </c>
      <c r="CL23" s="313">
        <f>IF($BI23&lt;&gt;"",IF('Capacity summary'!$D$14="Yes",IF(COUNTBLANK('Capacity summary'!$H142:$BG142)&lt;52,IF('Capacity summary'!AI142&lt;&gt;"",IF(LOWER('Capacity summary'!AI142)="x",$BI23*AI23,VALUE('Capacity summary'!AI142)),0),AI23*$BI23),AI23*$BI23),0)</f>
        <v>0</v>
      </c>
      <c r="CM23" s="313">
        <f>IF($BI23&lt;&gt;"",IF('Capacity summary'!$D$14="Yes",IF(COUNTBLANK('Capacity summary'!$H142:$BG142)&lt;52,IF('Capacity summary'!AJ142&lt;&gt;"",IF(LOWER('Capacity summary'!AJ142)="x",$BI23*AJ23,VALUE('Capacity summary'!AJ142)),0),AJ23*$BI23),AJ23*$BI23),0)</f>
        <v>0</v>
      </c>
      <c r="CN23" s="313">
        <f>IF($BI23&lt;&gt;"",IF('Capacity summary'!$D$14="Yes",IF(COUNTBLANK('Capacity summary'!$H142:$BG142)&lt;52,IF('Capacity summary'!AK142&lt;&gt;"",IF(LOWER('Capacity summary'!AK142)="x",$BI23*AK23,VALUE('Capacity summary'!AK142)),0),AK23*$BI23),AK23*$BI23),0)</f>
        <v>0</v>
      </c>
      <c r="CO23" s="313">
        <f>IF($BI23&lt;&gt;"",IF('Capacity summary'!$D$14="Yes",IF(COUNTBLANK('Capacity summary'!$H142:$BG142)&lt;52,IF('Capacity summary'!AL142&lt;&gt;"",IF(LOWER('Capacity summary'!AL142)="x",$BI23*AL23,VALUE('Capacity summary'!AL142)),0),AL23*$BI23),AL23*$BI23),0)</f>
        <v>0</v>
      </c>
      <c r="CP23" s="313">
        <f>IF($BI23&lt;&gt;"",IF('Capacity summary'!$D$14="Yes",IF(COUNTBLANK('Capacity summary'!$H142:$BG142)&lt;52,IF('Capacity summary'!AM142&lt;&gt;"",IF(LOWER('Capacity summary'!AM142)="x",$BI23*AM23,VALUE('Capacity summary'!AM142)),0),AM23*$BI23),AM23*$BI23),0)</f>
        <v>0</v>
      </c>
      <c r="CQ23" s="313">
        <f>IF($BI23&lt;&gt;"",IF('Capacity summary'!$D$14="Yes",IF(COUNTBLANK('Capacity summary'!$H142:$BG142)&lt;52,IF('Capacity summary'!AN142&lt;&gt;"",IF(LOWER('Capacity summary'!AN142)="x",$BI23*AN23,VALUE('Capacity summary'!AN142)),0),AN23*$BI23),AN23*$BI23),0)</f>
        <v>0</v>
      </c>
      <c r="CR23" s="313">
        <f>IF($BI23&lt;&gt;"",IF('Capacity summary'!$D$14="Yes",IF(COUNTBLANK('Capacity summary'!$H142:$BG142)&lt;52,IF('Capacity summary'!AO142&lt;&gt;"",IF(LOWER('Capacity summary'!AO142)="x",$BI23*AO23,VALUE('Capacity summary'!AO142)),0),AO23*$BI23),AO23*$BI23),0)</f>
        <v>0</v>
      </c>
      <c r="CS23" s="313">
        <f>IF($BI23&lt;&gt;"",IF('Capacity summary'!$D$14="Yes",IF(COUNTBLANK('Capacity summary'!$H142:$BG142)&lt;52,IF('Capacity summary'!AP142&lt;&gt;"",IF(LOWER('Capacity summary'!AP142)="x",$BI23*AP23,VALUE('Capacity summary'!AP142)),0),AP23*$BI23),AP23*$BI23),0)</f>
        <v>0</v>
      </c>
      <c r="CT23" s="313">
        <f>IF($BI23&lt;&gt;"",IF('Capacity summary'!$D$14="Yes",IF(COUNTBLANK('Capacity summary'!$H142:$BG142)&lt;52,IF('Capacity summary'!AQ142&lt;&gt;"",IF(LOWER('Capacity summary'!AQ142)="x",$BI23*AQ23,VALUE('Capacity summary'!AQ142)),0),AQ23*$BI23),AQ23*$BI23),0)</f>
        <v>0</v>
      </c>
      <c r="CU23" s="313">
        <f>IF($BI23&lt;&gt;"",IF('Capacity summary'!$D$14="Yes",IF(COUNTBLANK('Capacity summary'!$H142:$BG142)&lt;52,IF('Capacity summary'!AR142&lt;&gt;"",IF(LOWER('Capacity summary'!AR142)="x",$BI23*AR23,VALUE('Capacity summary'!AR142)),0),AR23*$BI23),AR23*$BI23),0)</f>
        <v>0</v>
      </c>
      <c r="CV23" s="313">
        <f>IF($BI23&lt;&gt;"",IF('Capacity summary'!$D$14="Yes",IF(COUNTBLANK('Capacity summary'!$H142:$BG142)&lt;52,IF('Capacity summary'!AS142&lt;&gt;"",IF(LOWER('Capacity summary'!AS142)="x",$BI23*AS23,VALUE('Capacity summary'!AS142)),0),AS23*$BI23),AS23*$BI23),0)</f>
        <v>0</v>
      </c>
      <c r="CW23" s="313">
        <f>IF($BI23&lt;&gt;"",IF('Capacity summary'!$D$14="Yes",IF(COUNTBLANK('Capacity summary'!$H142:$BG142)&lt;52,IF('Capacity summary'!AT142&lt;&gt;"",IF(LOWER('Capacity summary'!AT142)="x",$BI23*AT23,VALUE('Capacity summary'!AT142)),0),AT23*$BI23),AT23*$BI23),0)</f>
        <v>0</v>
      </c>
      <c r="CX23" s="313">
        <f>IF($BI23&lt;&gt;"",IF('Capacity summary'!$D$14="Yes",IF(COUNTBLANK('Capacity summary'!$H142:$BG142)&lt;52,IF('Capacity summary'!AU142&lt;&gt;"",IF(LOWER('Capacity summary'!AU142)="x",$BI23*AU23,VALUE('Capacity summary'!AU142)),0),AU23*$BI23),AU23*$BI23),0)</f>
        <v>0</v>
      </c>
      <c r="CY23" s="313">
        <f>IF($BI23&lt;&gt;"",IF('Capacity summary'!$D$14="Yes",IF(COUNTBLANK('Capacity summary'!$H142:$BG142)&lt;52,IF('Capacity summary'!AV142&lt;&gt;"",IF(LOWER('Capacity summary'!AV142)="x",$BI23*AV23,VALUE('Capacity summary'!AV142)),0),AV23*$BI23),AV23*$BI23),0)</f>
        <v>0</v>
      </c>
      <c r="CZ23" s="313">
        <f>IF($BI23&lt;&gt;"",IF('Capacity summary'!$D$14="Yes",IF(COUNTBLANK('Capacity summary'!$H142:$BG142)&lt;52,IF('Capacity summary'!AW142&lt;&gt;"",IF(LOWER('Capacity summary'!AW142)="x",$BI23*AW23,VALUE('Capacity summary'!AW142)),0),AW23*$BI23),AW23*$BI23),0)</f>
        <v>0</v>
      </c>
      <c r="DA23" s="313">
        <f>IF($BI23&lt;&gt;"",IF('Capacity summary'!$D$14="Yes",IF(COUNTBLANK('Capacity summary'!$H142:$BG142)&lt;52,IF('Capacity summary'!AX142&lt;&gt;"",IF(LOWER('Capacity summary'!AX142)="x",$BI23*AX23,VALUE('Capacity summary'!AX142)),0),AX23*$BI23),AX23*$BI23),0)</f>
        <v>0</v>
      </c>
      <c r="DB23" s="313">
        <f>IF($BI23&lt;&gt;"",IF('Capacity summary'!$D$14="Yes",IF(COUNTBLANK('Capacity summary'!$H142:$BG142)&lt;52,IF('Capacity summary'!AY142&lt;&gt;"",IF(LOWER('Capacity summary'!AY142)="x",$BI23*AY23,VALUE('Capacity summary'!AY142)),0),AY23*$BI23),AY23*$BI23),0)</f>
        <v>0</v>
      </c>
      <c r="DC23" s="313">
        <f>IF($BI23&lt;&gt;"",IF('Capacity summary'!$D$14="Yes",IF(COUNTBLANK('Capacity summary'!$H142:$BG142)&lt;52,IF('Capacity summary'!AZ142&lt;&gt;"",IF(LOWER('Capacity summary'!AZ142)="x",$BI23*AZ23,VALUE('Capacity summary'!AZ142)),0),AZ23*$BI23),AZ23*$BI23),0)</f>
        <v>0</v>
      </c>
      <c r="DD23" s="313">
        <f>IF($BI23&lt;&gt;"",IF('Capacity summary'!$D$14="Yes",IF(COUNTBLANK('Capacity summary'!$H142:$BG142)&lt;52,IF('Capacity summary'!BA142&lt;&gt;"",IF(LOWER('Capacity summary'!BA142)="x",$BI23*BA23,VALUE('Capacity summary'!BA142)),0),BA23*$BI23),BA23*$BI23),0)</f>
        <v>0</v>
      </c>
      <c r="DE23" s="313">
        <f>IF($BI23&lt;&gt;"",IF('Capacity summary'!$D$14="Yes",IF(COUNTBLANK('Capacity summary'!$H142:$BG142)&lt;52,IF('Capacity summary'!BB142&lt;&gt;"",IF(LOWER('Capacity summary'!BB142)="x",$BI23*BB23,VALUE('Capacity summary'!BB142)),0),BB23*$BI23),BB23*$BI23),0)</f>
        <v>0</v>
      </c>
      <c r="DF23" s="313">
        <f>IF($BI23&lt;&gt;"",IF('Capacity summary'!$D$14="Yes",IF(COUNTBLANK('Capacity summary'!$H142:$BG142)&lt;52,IF('Capacity summary'!BC142&lt;&gt;"",IF(LOWER('Capacity summary'!BC142)="x",$BI23*BC23,VALUE('Capacity summary'!BC142)),0),BC23*$BI23),BC23*$BI23),0)</f>
        <v>0</v>
      </c>
      <c r="DG23" s="313">
        <f>IF($BI23&lt;&gt;"",IF('Capacity summary'!$D$14="Yes",IF(COUNTBLANK('Capacity summary'!$H142:$BG142)&lt;52,IF('Capacity summary'!BD142&lt;&gt;"",IF(LOWER('Capacity summary'!BD142)="x",$BI23*BD23,VALUE('Capacity summary'!BD142)),0),BD23*$BI23),BD23*$BI23),0)</f>
        <v>0</v>
      </c>
      <c r="DH23" s="313">
        <f>IF($BI23&lt;&gt;"",IF('Capacity summary'!$D$14="Yes",IF(COUNTBLANK('Capacity summary'!$H142:$BG142)&lt;52,IF('Capacity summary'!BE142&lt;&gt;"",IF(LOWER('Capacity summary'!BE142)="x",$BI23*BE23,VALUE('Capacity summary'!BE142)),0),BE23*$BI23),BE23*$BI23),0)</f>
        <v>0</v>
      </c>
      <c r="DI23" s="313">
        <f>IF($BI23&lt;&gt;"",IF('Capacity summary'!$D$14="Yes",IF(COUNTBLANK('Capacity summary'!$H142:$BG142)&lt;52,IF('Capacity summary'!BF142&lt;&gt;"",IF(LOWER('Capacity summary'!BF142)="x",$BI23*BF23,VALUE('Capacity summary'!BF142)),0),BF23*$BI23),BF23*$BI23),0)</f>
        <v>0</v>
      </c>
      <c r="DJ23" s="313">
        <f>IF($BI23&lt;&gt;"",IF('Capacity summary'!$D$14="Yes",IF(COUNTBLANK('Capacity summary'!$H142:$BG142)&lt;52,IF('Capacity summary'!BG142&lt;&gt;"",IF(LOWER('Capacity summary'!BG142)="x",$BI23*BG23,VALUE('Capacity summary'!BG142)),0),BG23*$BI23),BG23*$BI23),0)</f>
        <v>0</v>
      </c>
      <c r="DK23" s="137">
        <f t="shared" si="2"/>
        <v>0</v>
      </c>
      <c r="DL23" s="313" t="str">
        <f>Capacity!H35</f>
        <v/>
      </c>
      <c r="DP23" s="5"/>
    </row>
    <row r="24" spans="2:120" x14ac:dyDescent="0.25">
      <c r="B24" s="67"/>
      <c r="C24" s="67" t="str">
        <f>ROW(A20)&amp;". "&amp;Capacity!B36</f>
        <v xml:space="preserve">20. </v>
      </c>
      <c r="D24" s="67">
        <f>'Capacity setup'!C31</f>
        <v>0</v>
      </c>
      <c r="E24" s="67">
        <f>'Capacity setup'!D31</f>
        <v>0</v>
      </c>
      <c r="F24" s="67">
        <f>'Capacity setup'!E31</f>
        <v>0</v>
      </c>
      <c r="H24" s="67">
        <f ca="1">IF(AND(SUMIF(Capacity_Resource,$D24,'Critical resources (hide)'!U$6:U$105)+SUMIF(Capacity_Resource,$E24,'Critical resources (hide)'!U$6:U$105)+SUMIF(Capacity_Resource,$F24,'Critical resources (hide)'!U$6:U$105)&gt;0,$E$1=2),0,1)</f>
        <v>1</v>
      </c>
      <c r="I24" s="67">
        <f ca="1">IF(AND(SUMIF(Capacity_Resource,$D24,'Critical resources (hide)'!V$6:V$105)+SUMIF(Capacity_Resource,$E24,'Critical resources (hide)'!V$6:V$105)+SUMIF(Capacity_Resource,$F24,'Critical resources (hide)'!V$6:V$105)&gt;0,$E$1=2),0,1)</f>
        <v>1</v>
      </c>
      <c r="J24" s="67">
        <f ca="1">IF(AND(SUMIF(Capacity_Resource,$D24,'Critical resources (hide)'!W$6:W$105)+SUMIF(Capacity_Resource,$E24,'Critical resources (hide)'!W$6:W$105)+SUMIF(Capacity_Resource,$F24,'Critical resources (hide)'!W$6:W$105)&gt;0,$E$1=2),0,1)</f>
        <v>1</v>
      </c>
      <c r="K24" s="67">
        <f ca="1">IF(AND(SUMIF(Capacity_Resource,$D24,'Critical resources (hide)'!X$6:X$105)+SUMIF(Capacity_Resource,$E24,'Critical resources (hide)'!X$6:X$105)+SUMIF(Capacity_Resource,$F24,'Critical resources (hide)'!X$6:X$105)&gt;0,$E$1=2),0,1)</f>
        <v>1</v>
      </c>
      <c r="L24" s="67">
        <f ca="1">IF(AND(SUMIF(Capacity_Resource,$D24,'Critical resources (hide)'!Y$6:Y$105)+SUMIF(Capacity_Resource,$E24,'Critical resources (hide)'!Y$6:Y$105)+SUMIF(Capacity_Resource,$F24,'Critical resources (hide)'!Y$6:Y$105)&gt;0,$E$1=2),0,1)</f>
        <v>1</v>
      </c>
      <c r="M24" s="67">
        <f ca="1">IF(AND(SUMIF(Capacity_Resource,$D24,'Critical resources (hide)'!Z$6:Z$105)+SUMIF(Capacity_Resource,$E24,'Critical resources (hide)'!Z$6:Z$105)+SUMIF(Capacity_Resource,$F24,'Critical resources (hide)'!Z$6:Z$105)&gt;0,$E$1=2),0,1)</f>
        <v>1</v>
      </c>
      <c r="N24" s="67">
        <f ca="1">IF(AND(SUMIF(Capacity_Resource,$D24,'Critical resources (hide)'!AA$6:AA$105)+SUMIF(Capacity_Resource,$E24,'Critical resources (hide)'!AA$6:AA$105)+SUMIF(Capacity_Resource,$F24,'Critical resources (hide)'!AA$6:AA$105)&gt;0,$E$1=2),0,1)</f>
        <v>1</v>
      </c>
      <c r="O24" s="67">
        <f ca="1">IF(AND(SUMIF(Capacity_Resource,$D24,'Critical resources (hide)'!AB$6:AB$105)+SUMIF(Capacity_Resource,$E24,'Critical resources (hide)'!AB$6:AB$105)+SUMIF(Capacity_Resource,$F24,'Critical resources (hide)'!AB$6:AB$105)&gt;0,$E$1=2),0,1)</f>
        <v>1</v>
      </c>
      <c r="P24" s="67">
        <f ca="1">IF(AND(SUMIF(Capacity_Resource,$D24,'Critical resources (hide)'!AC$6:AC$105)+SUMIF(Capacity_Resource,$E24,'Critical resources (hide)'!AC$6:AC$105)+SUMIF(Capacity_Resource,$F24,'Critical resources (hide)'!AC$6:AC$105)&gt;0,$E$1=2),0,1)</f>
        <v>1</v>
      </c>
      <c r="Q24" s="67">
        <f ca="1">IF(AND(SUMIF(Capacity_Resource,$D24,'Critical resources (hide)'!AD$6:AD$105)+SUMIF(Capacity_Resource,$E24,'Critical resources (hide)'!AD$6:AD$105)+SUMIF(Capacity_Resource,$F24,'Critical resources (hide)'!AD$6:AD$105)&gt;0,$E$1=2),0,1)</f>
        <v>1</v>
      </c>
      <c r="R24" s="67">
        <f ca="1">IF(AND(SUMIF(Capacity_Resource,$D24,'Critical resources (hide)'!AE$6:AE$105)+SUMIF(Capacity_Resource,$E24,'Critical resources (hide)'!AE$6:AE$105)+SUMIF(Capacity_Resource,$F24,'Critical resources (hide)'!AE$6:AE$105)&gt;0,$E$1=2),0,1)</f>
        <v>1</v>
      </c>
      <c r="S24" s="67">
        <f ca="1">IF(AND(SUMIF(Capacity_Resource,$D24,'Critical resources (hide)'!AF$6:AF$105)+SUMIF(Capacity_Resource,$E24,'Critical resources (hide)'!AF$6:AF$105)+SUMIF(Capacity_Resource,$F24,'Critical resources (hide)'!AF$6:AF$105)&gt;0,$E$1=2),0,1)</f>
        <v>1</v>
      </c>
      <c r="T24" s="67">
        <f ca="1">IF(AND(SUMIF(Capacity_Resource,$D24,'Critical resources (hide)'!AG$6:AG$105)+SUMIF(Capacity_Resource,$E24,'Critical resources (hide)'!AG$6:AG$105)+SUMIF(Capacity_Resource,$F24,'Critical resources (hide)'!AG$6:AG$105)&gt;0,$E$1=2),0,1)</f>
        <v>1</v>
      </c>
      <c r="U24" s="67">
        <f ca="1">IF(AND(SUMIF(Capacity_Resource,$D24,'Critical resources (hide)'!AH$6:AH$105)+SUMIF(Capacity_Resource,$E24,'Critical resources (hide)'!AH$6:AH$105)+SUMIF(Capacity_Resource,$F24,'Critical resources (hide)'!AH$6:AH$105)&gt;0,$E$1=2),0,1)</f>
        <v>1</v>
      </c>
      <c r="V24" s="67">
        <f ca="1">IF(AND(SUMIF(Capacity_Resource,$D24,'Critical resources (hide)'!AI$6:AI$105)+SUMIF(Capacity_Resource,$E24,'Critical resources (hide)'!AI$6:AI$105)+SUMIF(Capacity_Resource,$F24,'Critical resources (hide)'!AI$6:AI$105)&gt;0,$E$1=2),0,1)</f>
        <v>1</v>
      </c>
      <c r="W24" s="67">
        <f ca="1">IF(AND(SUMIF(Capacity_Resource,$D24,'Critical resources (hide)'!AJ$6:AJ$105)+SUMIF(Capacity_Resource,$E24,'Critical resources (hide)'!AJ$6:AJ$105)+SUMIF(Capacity_Resource,$F24,'Critical resources (hide)'!AJ$6:AJ$105)&gt;0,$E$1=2),0,1)</f>
        <v>1</v>
      </c>
      <c r="X24" s="67">
        <f ca="1">IF(AND(SUMIF(Capacity_Resource,$D24,'Critical resources (hide)'!AK$6:AK$105)+SUMIF(Capacity_Resource,$E24,'Critical resources (hide)'!AK$6:AK$105)+SUMIF(Capacity_Resource,$F24,'Critical resources (hide)'!AK$6:AK$105)&gt;0,$E$1=2),0,1)</f>
        <v>1</v>
      </c>
      <c r="Y24" s="67">
        <f ca="1">IF(AND(SUMIF(Capacity_Resource,$D24,'Critical resources (hide)'!AL$6:AL$105)+SUMIF(Capacity_Resource,$E24,'Critical resources (hide)'!AL$6:AL$105)+SUMIF(Capacity_Resource,$F24,'Critical resources (hide)'!AL$6:AL$105)&gt;0,$E$1=2),0,1)</f>
        <v>1</v>
      </c>
      <c r="Z24" s="67">
        <f ca="1">IF(AND(SUMIF(Capacity_Resource,$D24,'Critical resources (hide)'!AM$6:AM$105)+SUMIF(Capacity_Resource,$E24,'Critical resources (hide)'!AM$6:AM$105)+SUMIF(Capacity_Resource,$F24,'Critical resources (hide)'!AM$6:AM$105)&gt;0,$E$1=2),0,1)</f>
        <v>1</v>
      </c>
      <c r="AA24" s="67">
        <f ca="1">IF(AND(SUMIF(Capacity_Resource,$D24,'Critical resources (hide)'!AN$6:AN$105)+SUMIF(Capacity_Resource,$E24,'Critical resources (hide)'!AN$6:AN$105)+SUMIF(Capacity_Resource,$F24,'Critical resources (hide)'!AN$6:AN$105)&gt;0,$E$1=2),0,1)</f>
        <v>1</v>
      </c>
      <c r="AB24" s="67">
        <f ca="1">IF(AND(SUMIF(Capacity_Resource,$D24,'Critical resources (hide)'!AO$6:AO$105)+SUMIF(Capacity_Resource,$E24,'Critical resources (hide)'!AO$6:AO$105)+SUMIF(Capacity_Resource,$F24,'Critical resources (hide)'!AO$6:AO$105)&gt;0,$E$1=2),0,1)</f>
        <v>1</v>
      </c>
      <c r="AC24" s="67">
        <f ca="1">IF(AND(SUMIF(Capacity_Resource,$D24,'Critical resources (hide)'!AP$6:AP$105)+SUMIF(Capacity_Resource,$E24,'Critical resources (hide)'!AP$6:AP$105)+SUMIF(Capacity_Resource,$F24,'Critical resources (hide)'!AP$6:AP$105)&gt;0,$E$1=2),0,1)</f>
        <v>1</v>
      </c>
      <c r="AD24" s="67">
        <f ca="1">IF(AND(SUMIF(Capacity_Resource,$D24,'Critical resources (hide)'!AQ$6:AQ$105)+SUMIF(Capacity_Resource,$E24,'Critical resources (hide)'!AQ$6:AQ$105)+SUMIF(Capacity_Resource,$F24,'Critical resources (hide)'!AQ$6:AQ$105)&gt;0,$E$1=2),0,1)</f>
        <v>1</v>
      </c>
      <c r="AE24" s="67">
        <f ca="1">IF(AND(SUMIF(Capacity_Resource,$D24,'Critical resources (hide)'!AR$6:AR$105)+SUMIF(Capacity_Resource,$E24,'Critical resources (hide)'!AR$6:AR$105)+SUMIF(Capacity_Resource,$F24,'Critical resources (hide)'!AR$6:AR$105)&gt;0,$E$1=2),0,1)</f>
        <v>1</v>
      </c>
      <c r="AF24" s="67">
        <f ca="1">IF(AND(SUMIF(Capacity_Resource,$D24,'Critical resources (hide)'!AS$6:AS$105)+SUMIF(Capacity_Resource,$E24,'Critical resources (hide)'!AS$6:AS$105)+SUMIF(Capacity_Resource,$F24,'Critical resources (hide)'!AS$6:AS$105)&gt;0,$E$1=2),0,1)</f>
        <v>1</v>
      </c>
      <c r="AG24" s="67">
        <f ca="1">IF(AND(SUMIF(Capacity_Resource,$D24,'Critical resources (hide)'!AT$6:AT$105)+SUMIF(Capacity_Resource,$E24,'Critical resources (hide)'!AT$6:AT$105)+SUMIF(Capacity_Resource,$F24,'Critical resources (hide)'!AT$6:AT$105)&gt;0,$E$1=2),0,1)</f>
        <v>1</v>
      </c>
      <c r="AH24" s="67">
        <f ca="1">IF(AND(SUMIF(Capacity_Resource,$D24,'Critical resources (hide)'!AU$6:AU$105)+SUMIF(Capacity_Resource,$E24,'Critical resources (hide)'!AU$6:AU$105)+SUMIF(Capacity_Resource,$F24,'Critical resources (hide)'!AU$6:AU$105)&gt;0,$E$1=2),0,1)</f>
        <v>1</v>
      </c>
      <c r="AI24" s="67">
        <f ca="1">IF(AND(SUMIF(Capacity_Resource,$D24,'Critical resources (hide)'!AV$6:AV$105)+SUMIF(Capacity_Resource,$E24,'Critical resources (hide)'!AV$6:AV$105)+SUMIF(Capacity_Resource,$F24,'Critical resources (hide)'!AV$6:AV$105)&gt;0,$E$1=2),0,1)</f>
        <v>1</v>
      </c>
      <c r="AJ24" s="67">
        <f ca="1">IF(AND(SUMIF(Capacity_Resource,$D24,'Critical resources (hide)'!AW$6:AW$105)+SUMIF(Capacity_Resource,$E24,'Critical resources (hide)'!AW$6:AW$105)+SUMIF(Capacity_Resource,$F24,'Critical resources (hide)'!AW$6:AW$105)&gt;0,$E$1=2),0,1)</f>
        <v>1</v>
      </c>
      <c r="AK24" s="67">
        <f ca="1">IF(AND(SUMIF(Capacity_Resource,$D24,'Critical resources (hide)'!AX$6:AX$105)+SUMIF(Capacity_Resource,$E24,'Critical resources (hide)'!AX$6:AX$105)+SUMIF(Capacity_Resource,$F24,'Critical resources (hide)'!AX$6:AX$105)&gt;0,$E$1=2),0,1)</f>
        <v>1</v>
      </c>
      <c r="AL24" s="67">
        <f ca="1">IF(AND(SUMIF(Capacity_Resource,$D24,'Critical resources (hide)'!AY$6:AY$105)+SUMIF(Capacity_Resource,$E24,'Critical resources (hide)'!AY$6:AY$105)+SUMIF(Capacity_Resource,$F24,'Critical resources (hide)'!AY$6:AY$105)&gt;0,$E$1=2),0,1)</f>
        <v>1</v>
      </c>
      <c r="AM24" s="67">
        <f ca="1">IF(AND(SUMIF(Capacity_Resource,$D24,'Critical resources (hide)'!AZ$6:AZ$105)+SUMIF(Capacity_Resource,$E24,'Critical resources (hide)'!AZ$6:AZ$105)+SUMIF(Capacity_Resource,$F24,'Critical resources (hide)'!AZ$6:AZ$105)&gt;0,$E$1=2),0,1)</f>
        <v>1</v>
      </c>
      <c r="AN24" s="67">
        <f ca="1">IF(AND(SUMIF(Capacity_Resource,$D24,'Critical resources (hide)'!BA$6:BA$105)+SUMIF(Capacity_Resource,$E24,'Critical resources (hide)'!BA$6:BA$105)+SUMIF(Capacity_Resource,$F24,'Critical resources (hide)'!BA$6:BA$105)&gt;0,$E$1=2),0,1)</f>
        <v>1</v>
      </c>
      <c r="AO24" s="67">
        <f ca="1">IF(AND(SUMIF(Capacity_Resource,$D24,'Critical resources (hide)'!BB$6:BB$105)+SUMIF(Capacity_Resource,$E24,'Critical resources (hide)'!BB$6:BB$105)+SUMIF(Capacity_Resource,$F24,'Critical resources (hide)'!BB$6:BB$105)&gt;0,$E$1=2),0,1)</f>
        <v>1</v>
      </c>
      <c r="AP24" s="67">
        <f ca="1">IF(AND(SUMIF(Capacity_Resource,$D24,'Critical resources (hide)'!BC$6:BC$105)+SUMIF(Capacity_Resource,$E24,'Critical resources (hide)'!BC$6:BC$105)+SUMIF(Capacity_Resource,$F24,'Critical resources (hide)'!BC$6:BC$105)&gt;0,$E$1=2),0,1)</f>
        <v>1</v>
      </c>
      <c r="AQ24" s="67">
        <f ca="1">IF(AND(SUMIF(Capacity_Resource,$D24,'Critical resources (hide)'!BD$6:BD$105)+SUMIF(Capacity_Resource,$E24,'Critical resources (hide)'!BD$6:BD$105)+SUMIF(Capacity_Resource,$F24,'Critical resources (hide)'!BD$6:BD$105)&gt;0,$E$1=2),0,1)</f>
        <v>1</v>
      </c>
      <c r="AR24" s="67">
        <f ca="1">IF(AND(SUMIF(Capacity_Resource,$D24,'Critical resources (hide)'!BE$6:BE$105)+SUMIF(Capacity_Resource,$E24,'Critical resources (hide)'!BE$6:BE$105)+SUMIF(Capacity_Resource,$F24,'Critical resources (hide)'!BE$6:BE$105)&gt;0,$E$1=2),0,1)</f>
        <v>1</v>
      </c>
      <c r="AS24" s="67">
        <f ca="1">IF(AND(SUMIF(Capacity_Resource,$D24,'Critical resources (hide)'!BF$6:BF$105)+SUMIF(Capacity_Resource,$E24,'Critical resources (hide)'!BF$6:BF$105)+SUMIF(Capacity_Resource,$F24,'Critical resources (hide)'!BF$6:BF$105)&gt;0,$E$1=2),0,1)</f>
        <v>1</v>
      </c>
      <c r="AT24" s="67">
        <f ca="1">IF(AND(SUMIF(Capacity_Resource,$D24,'Critical resources (hide)'!BG$6:BG$105)+SUMIF(Capacity_Resource,$E24,'Critical resources (hide)'!BG$6:BG$105)+SUMIF(Capacity_Resource,$F24,'Critical resources (hide)'!BG$6:BG$105)&gt;0,$E$1=2),0,1)</f>
        <v>1</v>
      </c>
      <c r="AU24" s="67">
        <f ca="1">IF(AND(SUMIF(Capacity_Resource,$D24,'Critical resources (hide)'!BH$6:BH$105)+SUMIF(Capacity_Resource,$E24,'Critical resources (hide)'!BH$6:BH$105)+SUMIF(Capacity_Resource,$F24,'Critical resources (hide)'!BH$6:BH$105)&gt;0,$E$1=2),0,1)</f>
        <v>1</v>
      </c>
      <c r="AV24" s="67">
        <f ca="1">IF(AND(SUMIF(Capacity_Resource,$D24,'Critical resources (hide)'!BI$6:BI$105)+SUMIF(Capacity_Resource,$E24,'Critical resources (hide)'!BI$6:BI$105)+SUMIF(Capacity_Resource,$F24,'Critical resources (hide)'!BI$6:BI$105)&gt;0,$E$1=2),0,1)</f>
        <v>1</v>
      </c>
      <c r="AW24" s="67">
        <f ca="1">IF(AND(SUMIF(Capacity_Resource,$D24,'Critical resources (hide)'!BJ$6:BJ$105)+SUMIF(Capacity_Resource,$E24,'Critical resources (hide)'!BJ$6:BJ$105)+SUMIF(Capacity_Resource,$F24,'Critical resources (hide)'!BJ$6:BJ$105)&gt;0,$E$1=2),0,1)</f>
        <v>1</v>
      </c>
      <c r="AX24" s="67">
        <f ca="1">IF(AND(SUMIF(Capacity_Resource,$D24,'Critical resources (hide)'!BK$6:BK$105)+SUMIF(Capacity_Resource,$E24,'Critical resources (hide)'!BK$6:BK$105)+SUMIF(Capacity_Resource,$F24,'Critical resources (hide)'!BK$6:BK$105)&gt;0,$E$1=2),0,1)</f>
        <v>1</v>
      </c>
      <c r="AY24" s="67">
        <f ca="1">IF(AND(SUMIF(Capacity_Resource,$D24,'Critical resources (hide)'!BL$6:BL$105)+SUMIF(Capacity_Resource,$E24,'Critical resources (hide)'!BL$6:BL$105)+SUMIF(Capacity_Resource,$F24,'Critical resources (hide)'!BL$6:BL$105)&gt;0,$E$1=2),0,1)</f>
        <v>1</v>
      </c>
      <c r="AZ24" s="67">
        <f ca="1">IF(AND(SUMIF(Capacity_Resource,$D24,'Critical resources (hide)'!BM$6:BM$105)+SUMIF(Capacity_Resource,$E24,'Critical resources (hide)'!BM$6:BM$105)+SUMIF(Capacity_Resource,$F24,'Critical resources (hide)'!BM$6:BM$105)&gt;0,$E$1=2),0,1)</f>
        <v>1</v>
      </c>
      <c r="BA24" s="67">
        <f ca="1">IF(AND(SUMIF(Capacity_Resource,$D24,'Critical resources (hide)'!BN$6:BN$105)+SUMIF(Capacity_Resource,$E24,'Critical resources (hide)'!BN$6:BN$105)+SUMIF(Capacity_Resource,$F24,'Critical resources (hide)'!BN$6:BN$105)&gt;0,$E$1=2),0,1)</f>
        <v>1</v>
      </c>
      <c r="BB24" s="67">
        <f ca="1">IF(AND(SUMIF(Capacity_Resource,$D24,'Critical resources (hide)'!BO$6:BO$105)+SUMIF(Capacity_Resource,$E24,'Critical resources (hide)'!BO$6:BO$105)+SUMIF(Capacity_Resource,$F24,'Critical resources (hide)'!BO$6:BO$105)&gt;0,$E$1=2),0,1)</f>
        <v>1</v>
      </c>
      <c r="BC24" s="67">
        <f ca="1">IF(AND(SUMIF(Capacity_Resource,$D24,'Critical resources (hide)'!BP$6:BP$105)+SUMIF(Capacity_Resource,$E24,'Critical resources (hide)'!BP$6:BP$105)+SUMIF(Capacity_Resource,$F24,'Critical resources (hide)'!BP$6:BP$105)&gt;0,$E$1=2),0,1)</f>
        <v>1</v>
      </c>
      <c r="BD24" s="67">
        <f ca="1">IF(AND(SUMIF(Capacity_Resource,$D24,'Critical resources (hide)'!BQ$6:BQ$105)+SUMIF(Capacity_Resource,$E24,'Critical resources (hide)'!BQ$6:BQ$105)+SUMIF(Capacity_Resource,$F24,'Critical resources (hide)'!BQ$6:BQ$105)&gt;0,$E$1=2),0,1)</f>
        <v>1</v>
      </c>
      <c r="BE24" s="67">
        <f ca="1">IF(AND(SUMIF(Capacity_Resource,$D24,'Critical resources (hide)'!BR$6:BR$105)+SUMIF(Capacity_Resource,$E24,'Critical resources (hide)'!BR$6:BR$105)+SUMIF(Capacity_Resource,$F24,'Critical resources (hide)'!BR$6:BR$105)&gt;0,$E$1=2),0,1)</f>
        <v>1</v>
      </c>
      <c r="BF24" s="67">
        <f ca="1">IF(AND(SUMIF(Capacity_Resource,$D24,'Critical resources (hide)'!BS$6:BS$105)+SUMIF(Capacity_Resource,$E24,'Critical resources (hide)'!BS$6:BS$105)+SUMIF(Capacity_Resource,$F24,'Critical resources (hide)'!BS$6:BS$105)&gt;0,$E$1=2),0,1)</f>
        <v>1</v>
      </c>
      <c r="BG24" s="67">
        <f ca="1">IF(AND(SUMIF(Capacity_Resource,$D24,'Critical resources (hide)'!BT$6:BT$105)+SUMIF(Capacity_Resource,$E24,'Critical resources (hide)'!BT$6:BT$105)+SUMIF(Capacity_Resource,$F24,'Critical resources (hide)'!BT$6:BT$105)&gt;0,$E$1=2),0,1)</f>
        <v>1</v>
      </c>
      <c r="BH24" s="67">
        <f>IF(ROW(C20)&lt;=Capacity!$A$16,IF('Capacity summary'!$D$14="No",SUM(H24:BG24),'Capacity summary'!$E143),0)</f>
        <v>0</v>
      </c>
      <c r="BI24" s="5" t="str">
        <f>IF(BH24&gt;0,IF(BH24&lt;Capacity!E36,Capacity!F36,Capacity!H36/'Capacity calculation (hide)'!BH24),"")</f>
        <v/>
      </c>
      <c r="BK24" s="313">
        <f>IF($BI24&lt;&gt;"",IF('Capacity summary'!$D$14="Yes",IF(COUNTBLANK('Capacity summary'!$H143:$BG143)&lt;52,IF('Capacity summary'!H143&lt;&gt;"",IF(LOWER('Capacity summary'!H143)="x",$BI24*H24,VALUE('Capacity summary'!H143)),0),H24*$BI24),H24*$BI24),0)</f>
        <v>0</v>
      </c>
      <c r="BL24" s="313">
        <f>IF($BI24&lt;&gt;"",IF('Capacity summary'!$D$14="Yes",IF(COUNTBLANK('Capacity summary'!$H143:$BG143)&lt;52,IF('Capacity summary'!I143&lt;&gt;"",IF(LOWER('Capacity summary'!I143)="x",$BI24*I24,VALUE('Capacity summary'!I143)),0),I24*$BI24),I24*$BI24),0)</f>
        <v>0</v>
      </c>
      <c r="BM24" s="313">
        <f>IF($BI24&lt;&gt;"",IF('Capacity summary'!$D$14="Yes",IF(COUNTBLANK('Capacity summary'!$H143:$BG143)&lt;52,IF('Capacity summary'!J143&lt;&gt;"",IF(LOWER('Capacity summary'!J143)="x",$BI24*J24,VALUE('Capacity summary'!J143)),0),J24*$BI24),J24*$BI24),0)</f>
        <v>0</v>
      </c>
      <c r="BN24" s="313">
        <f>IF($BI24&lt;&gt;"",IF('Capacity summary'!$D$14="Yes",IF(COUNTBLANK('Capacity summary'!$H143:$BG143)&lt;52,IF('Capacity summary'!K143&lt;&gt;"",IF(LOWER('Capacity summary'!K143)="x",$BI24*K24,VALUE('Capacity summary'!K143)),0),K24*$BI24),K24*$BI24),0)</f>
        <v>0</v>
      </c>
      <c r="BO24" s="313">
        <f>IF($BI24&lt;&gt;"",IF('Capacity summary'!$D$14="Yes",IF(COUNTBLANK('Capacity summary'!$H143:$BG143)&lt;52,IF('Capacity summary'!L143&lt;&gt;"",IF(LOWER('Capacity summary'!L143)="x",$BI24*L24,VALUE('Capacity summary'!L143)),0),L24*$BI24),L24*$BI24),0)</f>
        <v>0</v>
      </c>
      <c r="BP24" s="313">
        <f>IF($BI24&lt;&gt;"",IF('Capacity summary'!$D$14="Yes",IF(COUNTBLANK('Capacity summary'!$H143:$BG143)&lt;52,IF('Capacity summary'!M143&lt;&gt;"",IF(LOWER('Capacity summary'!M143)="x",$BI24*M24,VALUE('Capacity summary'!M143)),0),M24*$BI24),M24*$BI24),0)</f>
        <v>0</v>
      </c>
      <c r="BQ24" s="313">
        <f>IF($BI24&lt;&gt;"",IF('Capacity summary'!$D$14="Yes",IF(COUNTBLANK('Capacity summary'!$H143:$BG143)&lt;52,IF('Capacity summary'!N143&lt;&gt;"",IF(LOWER('Capacity summary'!N143)="x",$BI24*N24,VALUE('Capacity summary'!N143)),0),N24*$BI24),N24*$BI24),0)</f>
        <v>0</v>
      </c>
      <c r="BR24" s="313">
        <f>IF($BI24&lt;&gt;"",IF('Capacity summary'!$D$14="Yes",IF(COUNTBLANK('Capacity summary'!$H143:$BG143)&lt;52,IF('Capacity summary'!O143&lt;&gt;"",IF(LOWER('Capacity summary'!O143)="x",$BI24*O24,VALUE('Capacity summary'!O143)),0),O24*$BI24),O24*$BI24),0)</f>
        <v>0</v>
      </c>
      <c r="BS24" s="313">
        <f>IF($BI24&lt;&gt;"",IF('Capacity summary'!$D$14="Yes",IF(COUNTBLANK('Capacity summary'!$H143:$BG143)&lt;52,IF('Capacity summary'!P143&lt;&gt;"",IF(LOWER('Capacity summary'!P143)="x",$BI24*P24,VALUE('Capacity summary'!P143)),0),P24*$BI24),P24*$BI24),0)</f>
        <v>0</v>
      </c>
      <c r="BT24" s="313">
        <f>IF($BI24&lt;&gt;"",IF('Capacity summary'!$D$14="Yes",IF(COUNTBLANK('Capacity summary'!$H143:$BG143)&lt;52,IF('Capacity summary'!Q143&lt;&gt;"",IF(LOWER('Capacity summary'!Q143)="x",$BI24*Q24,VALUE('Capacity summary'!Q143)),0),Q24*$BI24),Q24*$BI24),0)</f>
        <v>0</v>
      </c>
      <c r="BU24" s="313">
        <f>IF($BI24&lt;&gt;"",IF('Capacity summary'!$D$14="Yes",IF(COUNTBLANK('Capacity summary'!$H143:$BG143)&lt;52,IF('Capacity summary'!R143&lt;&gt;"",IF(LOWER('Capacity summary'!R143)="x",$BI24*R24,VALUE('Capacity summary'!R143)),0),R24*$BI24),R24*$BI24),0)</f>
        <v>0</v>
      </c>
      <c r="BV24" s="313">
        <f>IF($BI24&lt;&gt;"",IF('Capacity summary'!$D$14="Yes",IF(COUNTBLANK('Capacity summary'!$H143:$BG143)&lt;52,IF('Capacity summary'!S143&lt;&gt;"",IF(LOWER('Capacity summary'!S143)="x",$BI24*S24,VALUE('Capacity summary'!S143)),0),S24*$BI24),S24*$BI24),0)</f>
        <v>0</v>
      </c>
      <c r="BW24" s="313">
        <f>IF($BI24&lt;&gt;"",IF('Capacity summary'!$D$14="Yes",IF(COUNTBLANK('Capacity summary'!$H143:$BG143)&lt;52,IF('Capacity summary'!T143&lt;&gt;"",IF(LOWER('Capacity summary'!T143)="x",$BI24*T24,VALUE('Capacity summary'!T143)),0),T24*$BI24),T24*$BI24),0)</f>
        <v>0</v>
      </c>
      <c r="BX24" s="313">
        <f>IF($BI24&lt;&gt;"",IF('Capacity summary'!$D$14="Yes",IF(COUNTBLANK('Capacity summary'!$H143:$BG143)&lt;52,IF('Capacity summary'!U143&lt;&gt;"",IF(LOWER('Capacity summary'!U143)="x",$BI24*U24,VALUE('Capacity summary'!U143)),0),U24*$BI24),U24*$BI24),0)</f>
        <v>0</v>
      </c>
      <c r="BY24" s="313">
        <f>IF($BI24&lt;&gt;"",IF('Capacity summary'!$D$14="Yes",IF(COUNTBLANK('Capacity summary'!$H143:$BG143)&lt;52,IF('Capacity summary'!V143&lt;&gt;"",IF(LOWER('Capacity summary'!V143)="x",$BI24*V24,VALUE('Capacity summary'!V143)),0),V24*$BI24),V24*$BI24),0)</f>
        <v>0</v>
      </c>
      <c r="BZ24" s="313">
        <f>IF($BI24&lt;&gt;"",IF('Capacity summary'!$D$14="Yes",IF(COUNTBLANK('Capacity summary'!$H143:$BG143)&lt;52,IF('Capacity summary'!W143&lt;&gt;"",IF(LOWER('Capacity summary'!W143)="x",$BI24*W24,VALUE('Capacity summary'!W143)),0),W24*$BI24),W24*$BI24),0)</f>
        <v>0</v>
      </c>
      <c r="CA24" s="313">
        <f>IF($BI24&lt;&gt;"",IF('Capacity summary'!$D$14="Yes",IF(COUNTBLANK('Capacity summary'!$H143:$BG143)&lt;52,IF('Capacity summary'!X143&lt;&gt;"",IF(LOWER('Capacity summary'!X143)="x",$BI24*X24,VALUE('Capacity summary'!X143)),0),X24*$BI24),X24*$BI24),0)</f>
        <v>0</v>
      </c>
      <c r="CB24" s="313">
        <f>IF($BI24&lt;&gt;"",IF('Capacity summary'!$D$14="Yes",IF(COUNTBLANK('Capacity summary'!$H143:$BG143)&lt;52,IF('Capacity summary'!Y143&lt;&gt;"",IF(LOWER('Capacity summary'!Y143)="x",$BI24*Y24,VALUE('Capacity summary'!Y143)),0),Y24*$BI24),Y24*$BI24),0)</f>
        <v>0</v>
      </c>
      <c r="CC24" s="313">
        <f>IF($BI24&lt;&gt;"",IF('Capacity summary'!$D$14="Yes",IF(COUNTBLANK('Capacity summary'!$H143:$BG143)&lt;52,IF('Capacity summary'!Z143&lt;&gt;"",IF(LOWER('Capacity summary'!Z143)="x",$BI24*Z24,VALUE('Capacity summary'!Z143)),0),Z24*$BI24),Z24*$BI24),0)</f>
        <v>0</v>
      </c>
      <c r="CD24" s="313">
        <f>IF($BI24&lt;&gt;"",IF('Capacity summary'!$D$14="Yes",IF(COUNTBLANK('Capacity summary'!$H143:$BG143)&lt;52,IF('Capacity summary'!AA143&lt;&gt;"",IF(LOWER('Capacity summary'!AA143)="x",$BI24*AA24,VALUE('Capacity summary'!AA143)),0),AA24*$BI24),AA24*$BI24),0)</f>
        <v>0</v>
      </c>
      <c r="CE24" s="313">
        <f>IF($BI24&lt;&gt;"",IF('Capacity summary'!$D$14="Yes",IF(COUNTBLANK('Capacity summary'!$H143:$BG143)&lt;52,IF('Capacity summary'!AB143&lt;&gt;"",IF(LOWER('Capacity summary'!AB143)="x",$BI24*AB24,VALUE('Capacity summary'!AB143)),0),AB24*$BI24),AB24*$BI24),0)</f>
        <v>0</v>
      </c>
      <c r="CF24" s="313">
        <f>IF($BI24&lt;&gt;"",IF('Capacity summary'!$D$14="Yes",IF(COUNTBLANK('Capacity summary'!$H143:$BG143)&lt;52,IF('Capacity summary'!AC143&lt;&gt;"",IF(LOWER('Capacity summary'!AC143)="x",$BI24*AC24,VALUE('Capacity summary'!AC143)),0),AC24*$BI24),AC24*$BI24),0)</f>
        <v>0</v>
      </c>
      <c r="CG24" s="313">
        <f>IF($BI24&lt;&gt;"",IF('Capacity summary'!$D$14="Yes",IF(COUNTBLANK('Capacity summary'!$H143:$BG143)&lt;52,IF('Capacity summary'!AD143&lt;&gt;"",IF(LOWER('Capacity summary'!AD143)="x",$BI24*AD24,VALUE('Capacity summary'!AD143)),0),AD24*$BI24),AD24*$BI24),0)</f>
        <v>0</v>
      </c>
      <c r="CH24" s="313">
        <f>IF($BI24&lt;&gt;"",IF('Capacity summary'!$D$14="Yes",IF(COUNTBLANK('Capacity summary'!$H143:$BG143)&lt;52,IF('Capacity summary'!AE143&lt;&gt;"",IF(LOWER('Capacity summary'!AE143)="x",$BI24*AE24,VALUE('Capacity summary'!AE143)),0),AE24*$BI24),AE24*$BI24),0)</f>
        <v>0</v>
      </c>
      <c r="CI24" s="313">
        <f>IF($BI24&lt;&gt;"",IF('Capacity summary'!$D$14="Yes",IF(COUNTBLANK('Capacity summary'!$H143:$BG143)&lt;52,IF('Capacity summary'!AF143&lt;&gt;"",IF(LOWER('Capacity summary'!AF143)="x",$BI24*AF24,VALUE('Capacity summary'!AF143)),0),AF24*$BI24),AF24*$BI24),0)</f>
        <v>0</v>
      </c>
      <c r="CJ24" s="313">
        <f>IF($BI24&lt;&gt;"",IF('Capacity summary'!$D$14="Yes",IF(COUNTBLANK('Capacity summary'!$H143:$BG143)&lt;52,IF('Capacity summary'!AG143&lt;&gt;"",IF(LOWER('Capacity summary'!AG143)="x",$BI24*AG24,VALUE('Capacity summary'!AG143)),0),AG24*$BI24),AG24*$BI24),0)</f>
        <v>0</v>
      </c>
      <c r="CK24" s="313">
        <f>IF($BI24&lt;&gt;"",IF('Capacity summary'!$D$14="Yes",IF(COUNTBLANK('Capacity summary'!$H143:$BG143)&lt;52,IF('Capacity summary'!AH143&lt;&gt;"",IF(LOWER('Capacity summary'!AH143)="x",$BI24*AH24,VALUE('Capacity summary'!AH143)),0),AH24*$BI24),AH24*$BI24),0)</f>
        <v>0</v>
      </c>
      <c r="CL24" s="313">
        <f>IF($BI24&lt;&gt;"",IF('Capacity summary'!$D$14="Yes",IF(COUNTBLANK('Capacity summary'!$H143:$BG143)&lt;52,IF('Capacity summary'!AI143&lt;&gt;"",IF(LOWER('Capacity summary'!AI143)="x",$BI24*AI24,VALUE('Capacity summary'!AI143)),0),AI24*$BI24),AI24*$BI24),0)</f>
        <v>0</v>
      </c>
      <c r="CM24" s="313">
        <f>IF($BI24&lt;&gt;"",IF('Capacity summary'!$D$14="Yes",IF(COUNTBLANK('Capacity summary'!$H143:$BG143)&lt;52,IF('Capacity summary'!AJ143&lt;&gt;"",IF(LOWER('Capacity summary'!AJ143)="x",$BI24*AJ24,VALUE('Capacity summary'!AJ143)),0),AJ24*$BI24),AJ24*$BI24),0)</f>
        <v>0</v>
      </c>
      <c r="CN24" s="313">
        <f>IF($BI24&lt;&gt;"",IF('Capacity summary'!$D$14="Yes",IF(COUNTBLANK('Capacity summary'!$H143:$BG143)&lt;52,IF('Capacity summary'!AK143&lt;&gt;"",IF(LOWER('Capacity summary'!AK143)="x",$BI24*AK24,VALUE('Capacity summary'!AK143)),0),AK24*$BI24),AK24*$BI24),0)</f>
        <v>0</v>
      </c>
      <c r="CO24" s="313">
        <f>IF($BI24&lt;&gt;"",IF('Capacity summary'!$D$14="Yes",IF(COUNTBLANK('Capacity summary'!$H143:$BG143)&lt;52,IF('Capacity summary'!AL143&lt;&gt;"",IF(LOWER('Capacity summary'!AL143)="x",$BI24*AL24,VALUE('Capacity summary'!AL143)),0),AL24*$BI24),AL24*$BI24),0)</f>
        <v>0</v>
      </c>
      <c r="CP24" s="313">
        <f>IF($BI24&lt;&gt;"",IF('Capacity summary'!$D$14="Yes",IF(COUNTBLANK('Capacity summary'!$H143:$BG143)&lt;52,IF('Capacity summary'!AM143&lt;&gt;"",IF(LOWER('Capacity summary'!AM143)="x",$BI24*AM24,VALUE('Capacity summary'!AM143)),0),AM24*$BI24),AM24*$BI24),0)</f>
        <v>0</v>
      </c>
      <c r="CQ24" s="313">
        <f>IF($BI24&lt;&gt;"",IF('Capacity summary'!$D$14="Yes",IF(COUNTBLANK('Capacity summary'!$H143:$BG143)&lt;52,IF('Capacity summary'!AN143&lt;&gt;"",IF(LOWER('Capacity summary'!AN143)="x",$BI24*AN24,VALUE('Capacity summary'!AN143)),0),AN24*$BI24),AN24*$BI24),0)</f>
        <v>0</v>
      </c>
      <c r="CR24" s="313">
        <f>IF($BI24&lt;&gt;"",IF('Capacity summary'!$D$14="Yes",IF(COUNTBLANK('Capacity summary'!$H143:$BG143)&lt;52,IF('Capacity summary'!AO143&lt;&gt;"",IF(LOWER('Capacity summary'!AO143)="x",$BI24*AO24,VALUE('Capacity summary'!AO143)),0),AO24*$BI24),AO24*$BI24),0)</f>
        <v>0</v>
      </c>
      <c r="CS24" s="313">
        <f>IF($BI24&lt;&gt;"",IF('Capacity summary'!$D$14="Yes",IF(COUNTBLANK('Capacity summary'!$H143:$BG143)&lt;52,IF('Capacity summary'!AP143&lt;&gt;"",IF(LOWER('Capacity summary'!AP143)="x",$BI24*AP24,VALUE('Capacity summary'!AP143)),0),AP24*$BI24),AP24*$BI24),0)</f>
        <v>0</v>
      </c>
      <c r="CT24" s="313">
        <f>IF($BI24&lt;&gt;"",IF('Capacity summary'!$D$14="Yes",IF(COUNTBLANK('Capacity summary'!$H143:$BG143)&lt;52,IF('Capacity summary'!AQ143&lt;&gt;"",IF(LOWER('Capacity summary'!AQ143)="x",$BI24*AQ24,VALUE('Capacity summary'!AQ143)),0),AQ24*$BI24),AQ24*$BI24),0)</f>
        <v>0</v>
      </c>
      <c r="CU24" s="313">
        <f>IF($BI24&lt;&gt;"",IF('Capacity summary'!$D$14="Yes",IF(COUNTBLANK('Capacity summary'!$H143:$BG143)&lt;52,IF('Capacity summary'!AR143&lt;&gt;"",IF(LOWER('Capacity summary'!AR143)="x",$BI24*AR24,VALUE('Capacity summary'!AR143)),0),AR24*$BI24),AR24*$BI24),0)</f>
        <v>0</v>
      </c>
      <c r="CV24" s="313">
        <f>IF($BI24&lt;&gt;"",IF('Capacity summary'!$D$14="Yes",IF(COUNTBLANK('Capacity summary'!$H143:$BG143)&lt;52,IF('Capacity summary'!AS143&lt;&gt;"",IF(LOWER('Capacity summary'!AS143)="x",$BI24*AS24,VALUE('Capacity summary'!AS143)),0),AS24*$BI24),AS24*$BI24),0)</f>
        <v>0</v>
      </c>
      <c r="CW24" s="313">
        <f>IF($BI24&lt;&gt;"",IF('Capacity summary'!$D$14="Yes",IF(COUNTBLANK('Capacity summary'!$H143:$BG143)&lt;52,IF('Capacity summary'!AT143&lt;&gt;"",IF(LOWER('Capacity summary'!AT143)="x",$BI24*AT24,VALUE('Capacity summary'!AT143)),0),AT24*$BI24),AT24*$BI24),0)</f>
        <v>0</v>
      </c>
      <c r="CX24" s="313">
        <f>IF($BI24&lt;&gt;"",IF('Capacity summary'!$D$14="Yes",IF(COUNTBLANK('Capacity summary'!$H143:$BG143)&lt;52,IF('Capacity summary'!AU143&lt;&gt;"",IF(LOWER('Capacity summary'!AU143)="x",$BI24*AU24,VALUE('Capacity summary'!AU143)),0),AU24*$BI24),AU24*$BI24),0)</f>
        <v>0</v>
      </c>
      <c r="CY24" s="313">
        <f>IF($BI24&lt;&gt;"",IF('Capacity summary'!$D$14="Yes",IF(COUNTBLANK('Capacity summary'!$H143:$BG143)&lt;52,IF('Capacity summary'!AV143&lt;&gt;"",IF(LOWER('Capacity summary'!AV143)="x",$BI24*AV24,VALUE('Capacity summary'!AV143)),0),AV24*$BI24),AV24*$BI24),0)</f>
        <v>0</v>
      </c>
      <c r="CZ24" s="313">
        <f>IF($BI24&lt;&gt;"",IF('Capacity summary'!$D$14="Yes",IF(COUNTBLANK('Capacity summary'!$H143:$BG143)&lt;52,IF('Capacity summary'!AW143&lt;&gt;"",IF(LOWER('Capacity summary'!AW143)="x",$BI24*AW24,VALUE('Capacity summary'!AW143)),0),AW24*$BI24),AW24*$BI24),0)</f>
        <v>0</v>
      </c>
      <c r="DA24" s="313">
        <f>IF($BI24&lt;&gt;"",IF('Capacity summary'!$D$14="Yes",IF(COUNTBLANK('Capacity summary'!$H143:$BG143)&lt;52,IF('Capacity summary'!AX143&lt;&gt;"",IF(LOWER('Capacity summary'!AX143)="x",$BI24*AX24,VALUE('Capacity summary'!AX143)),0),AX24*$BI24),AX24*$BI24),0)</f>
        <v>0</v>
      </c>
      <c r="DB24" s="313">
        <f>IF($BI24&lt;&gt;"",IF('Capacity summary'!$D$14="Yes",IF(COUNTBLANK('Capacity summary'!$H143:$BG143)&lt;52,IF('Capacity summary'!AY143&lt;&gt;"",IF(LOWER('Capacity summary'!AY143)="x",$BI24*AY24,VALUE('Capacity summary'!AY143)),0),AY24*$BI24),AY24*$BI24),0)</f>
        <v>0</v>
      </c>
      <c r="DC24" s="313">
        <f>IF($BI24&lt;&gt;"",IF('Capacity summary'!$D$14="Yes",IF(COUNTBLANK('Capacity summary'!$H143:$BG143)&lt;52,IF('Capacity summary'!AZ143&lt;&gt;"",IF(LOWER('Capacity summary'!AZ143)="x",$BI24*AZ24,VALUE('Capacity summary'!AZ143)),0),AZ24*$BI24),AZ24*$BI24),0)</f>
        <v>0</v>
      </c>
      <c r="DD24" s="313">
        <f>IF($BI24&lt;&gt;"",IF('Capacity summary'!$D$14="Yes",IF(COUNTBLANK('Capacity summary'!$H143:$BG143)&lt;52,IF('Capacity summary'!BA143&lt;&gt;"",IF(LOWER('Capacity summary'!BA143)="x",$BI24*BA24,VALUE('Capacity summary'!BA143)),0),BA24*$BI24),BA24*$BI24),0)</f>
        <v>0</v>
      </c>
      <c r="DE24" s="313">
        <f>IF($BI24&lt;&gt;"",IF('Capacity summary'!$D$14="Yes",IF(COUNTBLANK('Capacity summary'!$H143:$BG143)&lt;52,IF('Capacity summary'!BB143&lt;&gt;"",IF(LOWER('Capacity summary'!BB143)="x",$BI24*BB24,VALUE('Capacity summary'!BB143)),0),BB24*$BI24),BB24*$BI24),0)</f>
        <v>0</v>
      </c>
      <c r="DF24" s="313">
        <f>IF($BI24&lt;&gt;"",IF('Capacity summary'!$D$14="Yes",IF(COUNTBLANK('Capacity summary'!$H143:$BG143)&lt;52,IF('Capacity summary'!BC143&lt;&gt;"",IF(LOWER('Capacity summary'!BC143)="x",$BI24*BC24,VALUE('Capacity summary'!BC143)),0),BC24*$BI24),BC24*$BI24),0)</f>
        <v>0</v>
      </c>
      <c r="DG24" s="313">
        <f>IF($BI24&lt;&gt;"",IF('Capacity summary'!$D$14="Yes",IF(COUNTBLANK('Capacity summary'!$H143:$BG143)&lt;52,IF('Capacity summary'!BD143&lt;&gt;"",IF(LOWER('Capacity summary'!BD143)="x",$BI24*BD24,VALUE('Capacity summary'!BD143)),0),BD24*$BI24),BD24*$BI24),0)</f>
        <v>0</v>
      </c>
      <c r="DH24" s="313">
        <f>IF($BI24&lt;&gt;"",IF('Capacity summary'!$D$14="Yes",IF(COUNTBLANK('Capacity summary'!$H143:$BG143)&lt;52,IF('Capacity summary'!BE143&lt;&gt;"",IF(LOWER('Capacity summary'!BE143)="x",$BI24*BE24,VALUE('Capacity summary'!BE143)),0),BE24*$BI24),BE24*$BI24),0)</f>
        <v>0</v>
      </c>
      <c r="DI24" s="313">
        <f>IF($BI24&lt;&gt;"",IF('Capacity summary'!$D$14="Yes",IF(COUNTBLANK('Capacity summary'!$H143:$BG143)&lt;52,IF('Capacity summary'!BF143&lt;&gt;"",IF(LOWER('Capacity summary'!BF143)="x",$BI24*BF24,VALUE('Capacity summary'!BF143)),0),BF24*$BI24),BF24*$BI24),0)</f>
        <v>0</v>
      </c>
      <c r="DJ24" s="313">
        <f>IF($BI24&lt;&gt;"",IF('Capacity summary'!$D$14="Yes",IF(COUNTBLANK('Capacity summary'!$H143:$BG143)&lt;52,IF('Capacity summary'!BG143&lt;&gt;"",IF(LOWER('Capacity summary'!BG143)="x",$BI24*BG24,VALUE('Capacity summary'!BG143)),0),BG24*$BI24),BG24*$BI24),0)</f>
        <v>0</v>
      </c>
      <c r="DK24" s="137">
        <f t="shared" si="2"/>
        <v>0</v>
      </c>
      <c r="DL24" s="313" t="str">
        <f>Capacity!H36</f>
        <v/>
      </c>
      <c r="DP24" s="5"/>
    </row>
    <row r="25" spans="2:120" x14ac:dyDescent="0.25">
      <c r="B25" s="67"/>
      <c r="C25" s="67" t="str">
        <f>ROW(A21)&amp;". "&amp;Capacity!B37</f>
        <v xml:space="preserve">21. </v>
      </c>
      <c r="D25" s="67">
        <f>'Capacity setup'!C32</f>
        <v>0</v>
      </c>
      <c r="E25" s="67">
        <f>'Capacity setup'!D32</f>
        <v>0</v>
      </c>
      <c r="F25" s="67">
        <f>'Capacity setup'!E32</f>
        <v>0</v>
      </c>
      <c r="H25" s="67">
        <f ca="1">IF(AND(SUMIF(Capacity_Resource,$D25,'Critical resources (hide)'!U$6:U$105)+SUMIF(Capacity_Resource,$E25,'Critical resources (hide)'!U$6:U$105)+SUMIF(Capacity_Resource,$F25,'Critical resources (hide)'!U$6:U$105)&gt;0,$E$1=2),0,1)</f>
        <v>1</v>
      </c>
      <c r="I25" s="67">
        <f ca="1">IF(AND(SUMIF(Capacity_Resource,$D25,'Critical resources (hide)'!V$6:V$105)+SUMIF(Capacity_Resource,$E25,'Critical resources (hide)'!V$6:V$105)+SUMIF(Capacity_Resource,$F25,'Critical resources (hide)'!V$6:V$105)&gt;0,$E$1=2),0,1)</f>
        <v>1</v>
      </c>
      <c r="J25" s="67">
        <f ca="1">IF(AND(SUMIF(Capacity_Resource,$D25,'Critical resources (hide)'!W$6:W$105)+SUMIF(Capacity_Resource,$E25,'Critical resources (hide)'!W$6:W$105)+SUMIF(Capacity_Resource,$F25,'Critical resources (hide)'!W$6:W$105)&gt;0,$E$1=2),0,1)</f>
        <v>1</v>
      </c>
      <c r="K25" s="67">
        <f ca="1">IF(AND(SUMIF(Capacity_Resource,$D25,'Critical resources (hide)'!X$6:X$105)+SUMIF(Capacity_Resource,$E25,'Critical resources (hide)'!X$6:X$105)+SUMIF(Capacity_Resource,$F25,'Critical resources (hide)'!X$6:X$105)&gt;0,$E$1=2),0,1)</f>
        <v>1</v>
      </c>
      <c r="L25" s="67">
        <f ca="1">IF(AND(SUMIF(Capacity_Resource,$D25,'Critical resources (hide)'!Y$6:Y$105)+SUMIF(Capacity_Resource,$E25,'Critical resources (hide)'!Y$6:Y$105)+SUMIF(Capacity_Resource,$F25,'Critical resources (hide)'!Y$6:Y$105)&gt;0,$E$1=2),0,1)</f>
        <v>1</v>
      </c>
      <c r="M25" s="67">
        <f ca="1">IF(AND(SUMIF(Capacity_Resource,$D25,'Critical resources (hide)'!Z$6:Z$105)+SUMIF(Capacity_Resource,$E25,'Critical resources (hide)'!Z$6:Z$105)+SUMIF(Capacity_Resource,$F25,'Critical resources (hide)'!Z$6:Z$105)&gt;0,$E$1=2),0,1)</f>
        <v>1</v>
      </c>
      <c r="N25" s="67">
        <f ca="1">IF(AND(SUMIF(Capacity_Resource,$D25,'Critical resources (hide)'!AA$6:AA$105)+SUMIF(Capacity_Resource,$E25,'Critical resources (hide)'!AA$6:AA$105)+SUMIF(Capacity_Resource,$F25,'Critical resources (hide)'!AA$6:AA$105)&gt;0,$E$1=2),0,1)</f>
        <v>1</v>
      </c>
      <c r="O25" s="67">
        <f ca="1">IF(AND(SUMIF(Capacity_Resource,$D25,'Critical resources (hide)'!AB$6:AB$105)+SUMIF(Capacity_Resource,$E25,'Critical resources (hide)'!AB$6:AB$105)+SUMIF(Capacity_Resource,$F25,'Critical resources (hide)'!AB$6:AB$105)&gt;0,$E$1=2),0,1)</f>
        <v>1</v>
      </c>
      <c r="P25" s="67">
        <f ca="1">IF(AND(SUMIF(Capacity_Resource,$D25,'Critical resources (hide)'!AC$6:AC$105)+SUMIF(Capacity_Resource,$E25,'Critical resources (hide)'!AC$6:AC$105)+SUMIF(Capacity_Resource,$F25,'Critical resources (hide)'!AC$6:AC$105)&gt;0,$E$1=2),0,1)</f>
        <v>1</v>
      </c>
      <c r="Q25" s="67">
        <f ca="1">IF(AND(SUMIF(Capacity_Resource,$D25,'Critical resources (hide)'!AD$6:AD$105)+SUMIF(Capacity_Resource,$E25,'Critical resources (hide)'!AD$6:AD$105)+SUMIF(Capacity_Resource,$F25,'Critical resources (hide)'!AD$6:AD$105)&gt;0,$E$1=2),0,1)</f>
        <v>1</v>
      </c>
      <c r="R25" s="67">
        <f ca="1">IF(AND(SUMIF(Capacity_Resource,$D25,'Critical resources (hide)'!AE$6:AE$105)+SUMIF(Capacity_Resource,$E25,'Critical resources (hide)'!AE$6:AE$105)+SUMIF(Capacity_Resource,$F25,'Critical resources (hide)'!AE$6:AE$105)&gt;0,$E$1=2),0,1)</f>
        <v>1</v>
      </c>
      <c r="S25" s="67">
        <f ca="1">IF(AND(SUMIF(Capacity_Resource,$D25,'Critical resources (hide)'!AF$6:AF$105)+SUMIF(Capacity_Resource,$E25,'Critical resources (hide)'!AF$6:AF$105)+SUMIF(Capacity_Resource,$F25,'Critical resources (hide)'!AF$6:AF$105)&gt;0,$E$1=2),0,1)</f>
        <v>1</v>
      </c>
      <c r="T25" s="67">
        <f ca="1">IF(AND(SUMIF(Capacity_Resource,$D25,'Critical resources (hide)'!AG$6:AG$105)+SUMIF(Capacity_Resource,$E25,'Critical resources (hide)'!AG$6:AG$105)+SUMIF(Capacity_Resource,$F25,'Critical resources (hide)'!AG$6:AG$105)&gt;0,$E$1=2),0,1)</f>
        <v>1</v>
      </c>
      <c r="U25" s="67">
        <f ca="1">IF(AND(SUMIF(Capacity_Resource,$D25,'Critical resources (hide)'!AH$6:AH$105)+SUMIF(Capacity_Resource,$E25,'Critical resources (hide)'!AH$6:AH$105)+SUMIF(Capacity_Resource,$F25,'Critical resources (hide)'!AH$6:AH$105)&gt;0,$E$1=2),0,1)</f>
        <v>1</v>
      </c>
      <c r="V25" s="67">
        <f ca="1">IF(AND(SUMIF(Capacity_Resource,$D25,'Critical resources (hide)'!AI$6:AI$105)+SUMIF(Capacity_Resource,$E25,'Critical resources (hide)'!AI$6:AI$105)+SUMIF(Capacity_Resource,$F25,'Critical resources (hide)'!AI$6:AI$105)&gt;0,$E$1=2),0,1)</f>
        <v>1</v>
      </c>
      <c r="W25" s="67">
        <f ca="1">IF(AND(SUMIF(Capacity_Resource,$D25,'Critical resources (hide)'!AJ$6:AJ$105)+SUMIF(Capacity_Resource,$E25,'Critical resources (hide)'!AJ$6:AJ$105)+SUMIF(Capacity_Resource,$F25,'Critical resources (hide)'!AJ$6:AJ$105)&gt;0,$E$1=2),0,1)</f>
        <v>1</v>
      </c>
      <c r="X25" s="67">
        <f ca="1">IF(AND(SUMIF(Capacity_Resource,$D25,'Critical resources (hide)'!AK$6:AK$105)+SUMIF(Capacity_Resource,$E25,'Critical resources (hide)'!AK$6:AK$105)+SUMIF(Capacity_Resource,$F25,'Critical resources (hide)'!AK$6:AK$105)&gt;0,$E$1=2),0,1)</f>
        <v>1</v>
      </c>
      <c r="Y25" s="67">
        <f ca="1">IF(AND(SUMIF(Capacity_Resource,$D25,'Critical resources (hide)'!AL$6:AL$105)+SUMIF(Capacity_Resource,$E25,'Critical resources (hide)'!AL$6:AL$105)+SUMIF(Capacity_Resource,$F25,'Critical resources (hide)'!AL$6:AL$105)&gt;0,$E$1=2),0,1)</f>
        <v>1</v>
      </c>
      <c r="Z25" s="67">
        <f ca="1">IF(AND(SUMIF(Capacity_Resource,$D25,'Critical resources (hide)'!AM$6:AM$105)+SUMIF(Capacity_Resource,$E25,'Critical resources (hide)'!AM$6:AM$105)+SUMIF(Capacity_Resource,$F25,'Critical resources (hide)'!AM$6:AM$105)&gt;0,$E$1=2),0,1)</f>
        <v>1</v>
      </c>
      <c r="AA25" s="67">
        <f ca="1">IF(AND(SUMIF(Capacity_Resource,$D25,'Critical resources (hide)'!AN$6:AN$105)+SUMIF(Capacity_Resource,$E25,'Critical resources (hide)'!AN$6:AN$105)+SUMIF(Capacity_Resource,$F25,'Critical resources (hide)'!AN$6:AN$105)&gt;0,$E$1=2),0,1)</f>
        <v>1</v>
      </c>
      <c r="AB25" s="67">
        <f ca="1">IF(AND(SUMIF(Capacity_Resource,$D25,'Critical resources (hide)'!AO$6:AO$105)+SUMIF(Capacity_Resource,$E25,'Critical resources (hide)'!AO$6:AO$105)+SUMIF(Capacity_Resource,$F25,'Critical resources (hide)'!AO$6:AO$105)&gt;0,$E$1=2),0,1)</f>
        <v>1</v>
      </c>
      <c r="AC25" s="67">
        <f ca="1">IF(AND(SUMIF(Capacity_Resource,$D25,'Critical resources (hide)'!AP$6:AP$105)+SUMIF(Capacity_Resource,$E25,'Critical resources (hide)'!AP$6:AP$105)+SUMIF(Capacity_Resource,$F25,'Critical resources (hide)'!AP$6:AP$105)&gt;0,$E$1=2),0,1)</f>
        <v>1</v>
      </c>
      <c r="AD25" s="67">
        <f ca="1">IF(AND(SUMIF(Capacity_Resource,$D25,'Critical resources (hide)'!AQ$6:AQ$105)+SUMIF(Capacity_Resource,$E25,'Critical resources (hide)'!AQ$6:AQ$105)+SUMIF(Capacity_Resource,$F25,'Critical resources (hide)'!AQ$6:AQ$105)&gt;0,$E$1=2),0,1)</f>
        <v>1</v>
      </c>
      <c r="AE25" s="67">
        <f ca="1">IF(AND(SUMIF(Capacity_Resource,$D25,'Critical resources (hide)'!AR$6:AR$105)+SUMIF(Capacity_Resource,$E25,'Critical resources (hide)'!AR$6:AR$105)+SUMIF(Capacity_Resource,$F25,'Critical resources (hide)'!AR$6:AR$105)&gt;0,$E$1=2),0,1)</f>
        <v>1</v>
      </c>
      <c r="AF25" s="67">
        <f ca="1">IF(AND(SUMIF(Capacity_Resource,$D25,'Critical resources (hide)'!AS$6:AS$105)+SUMIF(Capacity_Resource,$E25,'Critical resources (hide)'!AS$6:AS$105)+SUMIF(Capacity_Resource,$F25,'Critical resources (hide)'!AS$6:AS$105)&gt;0,$E$1=2),0,1)</f>
        <v>1</v>
      </c>
      <c r="AG25" s="67">
        <f ca="1">IF(AND(SUMIF(Capacity_Resource,$D25,'Critical resources (hide)'!AT$6:AT$105)+SUMIF(Capacity_Resource,$E25,'Critical resources (hide)'!AT$6:AT$105)+SUMIF(Capacity_Resource,$F25,'Critical resources (hide)'!AT$6:AT$105)&gt;0,$E$1=2),0,1)</f>
        <v>1</v>
      </c>
      <c r="AH25" s="67">
        <f ca="1">IF(AND(SUMIF(Capacity_Resource,$D25,'Critical resources (hide)'!AU$6:AU$105)+SUMIF(Capacity_Resource,$E25,'Critical resources (hide)'!AU$6:AU$105)+SUMIF(Capacity_Resource,$F25,'Critical resources (hide)'!AU$6:AU$105)&gt;0,$E$1=2),0,1)</f>
        <v>1</v>
      </c>
      <c r="AI25" s="67">
        <f ca="1">IF(AND(SUMIF(Capacity_Resource,$D25,'Critical resources (hide)'!AV$6:AV$105)+SUMIF(Capacity_Resource,$E25,'Critical resources (hide)'!AV$6:AV$105)+SUMIF(Capacity_Resource,$F25,'Critical resources (hide)'!AV$6:AV$105)&gt;0,$E$1=2),0,1)</f>
        <v>1</v>
      </c>
      <c r="AJ25" s="67">
        <f ca="1">IF(AND(SUMIF(Capacity_Resource,$D25,'Critical resources (hide)'!AW$6:AW$105)+SUMIF(Capacity_Resource,$E25,'Critical resources (hide)'!AW$6:AW$105)+SUMIF(Capacity_Resource,$F25,'Critical resources (hide)'!AW$6:AW$105)&gt;0,$E$1=2),0,1)</f>
        <v>1</v>
      </c>
      <c r="AK25" s="67">
        <f ca="1">IF(AND(SUMIF(Capacity_Resource,$D25,'Critical resources (hide)'!AX$6:AX$105)+SUMIF(Capacity_Resource,$E25,'Critical resources (hide)'!AX$6:AX$105)+SUMIF(Capacity_Resource,$F25,'Critical resources (hide)'!AX$6:AX$105)&gt;0,$E$1=2),0,1)</f>
        <v>1</v>
      </c>
      <c r="AL25" s="67">
        <f ca="1">IF(AND(SUMIF(Capacity_Resource,$D25,'Critical resources (hide)'!AY$6:AY$105)+SUMIF(Capacity_Resource,$E25,'Critical resources (hide)'!AY$6:AY$105)+SUMIF(Capacity_Resource,$F25,'Critical resources (hide)'!AY$6:AY$105)&gt;0,$E$1=2),0,1)</f>
        <v>1</v>
      </c>
      <c r="AM25" s="67">
        <f ca="1">IF(AND(SUMIF(Capacity_Resource,$D25,'Critical resources (hide)'!AZ$6:AZ$105)+SUMIF(Capacity_Resource,$E25,'Critical resources (hide)'!AZ$6:AZ$105)+SUMIF(Capacity_Resource,$F25,'Critical resources (hide)'!AZ$6:AZ$105)&gt;0,$E$1=2),0,1)</f>
        <v>1</v>
      </c>
      <c r="AN25" s="67">
        <f ca="1">IF(AND(SUMIF(Capacity_Resource,$D25,'Critical resources (hide)'!BA$6:BA$105)+SUMIF(Capacity_Resource,$E25,'Critical resources (hide)'!BA$6:BA$105)+SUMIF(Capacity_Resource,$F25,'Critical resources (hide)'!BA$6:BA$105)&gt;0,$E$1=2),0,1)</f>
        <v>1</v>
      </c>
      <c r="AO25" s="67">
        <f ca="1">IF(AND(SUMIF(Capacity_Resource,$D25,'Critical resources (hide)'!BB$6:BB$105)+SUMIF(Capacity_Resource,$E25,'Critical resources (hide)'!BB$6:BB$105)+SUMIF(Capacity_Resource,$F25,'Critical resources (hide)'!BB$6:BB$105)&gt;0,$E$1=2),0,1)</f>
        <v>1</v>
      </c>
      <c r="AP25" s="67">
        <f ca="1">IF(AND(SUMIF(Capacity_Resource,$D25,'Critical resources (hide)'!BC$6:BC$105)+SUMIF(Capacity_Resource,$E25,'Critical resources (hide)'!BC$6:BC$105)+SUMIF(Capacity_Resource,$F25,'Critical resources (hide)'!BC$6:BC$105)&gt;0,$E$1=2),0,1)</f>
        <v>1</v>
      </c>
      <c r="AQ25" s="67">
        <f ca="1">IF(AND(SUMIF(Capacity_Resource,$D25,'Critical resources (hide)'!BD$6:BD$105)+SUMIF(Capacity_Resource,$E25,'Critical resources (hide)'!BD$6:BD$105)+SUMIF(Capacity_Resource,$F25,'Critical resources (hide)'!BD$6:BD$105)&gt;0,$E$1=2),0,1)</f>
        <v>1</v>
      </c>
      <c r="AR25" s="67">
        <f ca="1">IF(AND(SUMIF(Capacity_Resource,$D25,'Critical resources (hide)'!BE$6:BE$105)+SUMIF(Capacity_Resource,$E25,'Critical resources (hide)'!BE$6:BE$105)+SUMIF(Capacity_Resource,$F25,'Critical resources (hide)'!BE$6:BE$105)&gt;0,$E$1=2),0,1)</f>
        <v>1</v>
      </c>
      <c r="AS25" s="67">
        <f ca="1">IF(AND(SUMIF(Capacity_Resource,$D25,'Critical resources (hide)'!BF$6:BF$105)+SUMIF(Capacity_Resource,$E25,'Critical resources (hide)'!BF$6:BF$105)+SUMIF(Capacity_Resource,$F25,'Critical resources (hide)'!BF$6:BF$105)&gt;0,$E$1=2),0,1)</f>
        <v>1</v>
      </c>
      <c r="AT25" s="67">
        <f ca="1">IF(AND(SUMIF(Capacity_Resource,$D25,'Critical resources (hide)'!BG$6:BG$105)+SUMIF(Capacity_Resource,$E25,'Critical resources (hide)'!BG$6:BG$105)+SUMIF(Capacity_Resource,$F25,'Critical resources (hide)'!BG$6:BG$105)&gt;0,$E$1=2),0,1)</f>
        <v>1</v>
      </c>
      <c r="AU25" s="67">
        <f ca="1">IF(AND(SUMIF(Capacity_Resource,$D25,'Critical resources (hide)'!BH$6:BH$105)+SUMIF(Capacity_Resource,$E25,'Critical resources (hide)'!BH$6:BH$105)+SUMIF(Capacity_Resource,$F25,'Critical resources (hide)'!BH$6:BH$105)&gt;0,$E$1=2),0,1)</f>
        <v>1</v>
      </c>
      <c r="AV25" s="67">
        <f ca="1">IF(AND(SUMIF(Capacity_Resource,$D25,'Critical resources (hide)'!BI$6:BI$105)+SUMIF(Capacity_Resource,$E25,'Critical resources (hide)'!BI$6:BI$105)+SUMIF(Capacity_Resource,$F25,'Critical resources (hide)'!BI$6:BI$105)&gt;0,$E$1=2),0,1)</f>
        <v>1</v>
      </c>
      <c r="AW25" s="67">
        <f ca="1">IF(AND(SUMIF(Capacity_Resource,$D25,'Critical resources (hide)'!BJ$6:BJ$105)+SUMIF(Capacity_Resource,$E25,'Critical resources (hide)'!BJ$6:BJ$105)+SUMIF(Capacity_Resource,$F25,'Critical resources (hide)'!BJ$6:BJ$105)&gt;0,$E$1=2),0,1)</f>
        <v>1</v>
      </c>
      <c r="AX25" s="67">
        <f ca="1">IF(AND(SUMIF(Capacity_Resource,$D25,'Critical resources (hide)'!BK$6:BK$105)+SUMIF(Capacity_Resource,$E25,'Critical resources (hide)'!BK$6:BK$105)+SUMIF(Capacity_Resource,$F25,'Critical resources (hide)'!BK$6:BK$105)&gt;0,$E$1=2),0,1)</f>
        <v>1</v>
      </c>
      <c r="AY25" s="67">
        <f ca="1">IF(AND(SUMIF(Capacity_Resource,$D25,'Critical resources (hide)'!BL$6:BL$105)+SUMIF(Capacity_Resource,$E25,'Critical resources (hide)'!BL$6:BL$105)+SUMIF(Capacity_Resource,$F25,'Critical resources (hide)'!BL$6:BL$105)&gt;0,$E$1=2),0,1)</f>
        <v>1</v>
      </c>
      <c r="AZ25" s="67">
        <f ca="1">IF(AND(SUMIF(Capacity_Resource,$D25,'Critical resources (hide)'!BM$6:BM$105)+SUMIF(Capacity_Resource,$E25,'Critical resources (hide)'!BM$6:BM$105)+SUMIF(Capacity_Resource,$F25,'Critical resources (hide)'!BM$6:BM$105)&gt;0,$E$1=2),0,1)</f>
        <v>1</v>
      </c>
      <c r="BA25" s="67">
        <f ca="1">IF(AND(SUMIF(Capacity_Resource,$D25,'Critical resources (hide)'!BN$6:BN$105)+SUMIF(Capacity_Resource,$E25,'Critical resources (hide)'!BN$6:BN$105)+SUMIF(Capacity_Resource,$F25,'Critical resources (hide)'!BN$6:BN$105)&gt;0,$E$1=2),0,1)</f>
        <v>1</v>
      </c>
      <c r="BB25" s="67">
        <f ca="1">IF(AND(SUMIF(Capacity_Resource,$D25,'Critical resources (hide)'!BO$6:BO$105)+SUMIF(Capacity_Resource,$E25,'Critical resources (hide)'!BO$6:BO$105)+SUMIF(Capacity_Resource,$F25,'Critical resources (hide)'!BO$6:BO$105)&gt;0,$E$1=2),0,1)</f>
        <v>1</v>
      </c>
      <c r="BC25" s="67">
        <f ca="1">IF(AND(SUMIF(Capacity_Resource,$D25,'Critical resources (hide)'!BP$6:BP$105)+SUMIF(Capacity_Resource,$E25,'Critical resources (hide)'!BP$6:BP$105)+SUMIF(Capacity_Resource,$F25,'Critical resources (hide)'!BP$6:BP$105)&gt;0,$E$1=2),0,1)</f>
        <v>1</v>
      </c>
      <c r="BD25" s="67">
        <f ca="1">IF(AND(SUMIF(Capacity_Resource,$D25,'Critical resources (hide)'!BQ$6:BQ$105)+SUMIF(Capacity_Resource,$E25,'Critical resources (hide)'!BQ$6:BQ$105)+SUMIF(Capacity_Resource,$F25,'Critical resources (hide)'!BQ$6:BQ$105)&gt;0,$E$1=2),0,1)</f>
        <v>1</v>
      </c>
      <c r="BE25" s="67">
        <f ca="1">IF(AND(SUMIF(Capacity_Resource,$D25,'Critical resources (hide)'!BR$6:BR$105)+SUMIF(Capacity_Resource,$E25,'Critical resources (hide)'!BR$6:BR$105)+SUMIF(Capacity_Resource,$F25,'Critical resources (hide)'!BR$6:BR$105)&gt;0,$E$1=2),0,1)</f>
        <v>1</v>
      </c>
      <c r="BF25" s="67">
        <f ca="1">IF(AND(SUMIF(Capacity_Resource,$D25,'Critical resources (hide)'!BS$6:BS$105)+SUMIF(Capacity_Resource,$E25,'Critical resources (hide)'!BS$6:BS$105)+SUMIF(Capacity_Resource,$F25,'Critical resources (hide)'!BS$6:BS$105)&gt;0,$E$1=2),0,1)</f>
        <v>1</v>
      </c>
      <c r="BG25" s="67">
        <f ca="1">IF(AND(SUMIF(Capacity_Resource,$D25,'Critical resources (hide)'!BT$6:BT$105)+SUMIF(Capacity_Resource,$E25,'Critical resources (hide)'!BT$6:BT$105)+SUMIF(Capacity_Resource,$F25,'Critical resources (hide)'!BT$6:BT$105)&gt;0,$E$1=2),0,1)</f>
        <v>1</v>
      </c>
      <c r="BH25" s="67">
        <f>IF(ROW(C21)&lt;=Capacity!$A$16,IF('Capacity summary'!$D$14="No",SUM(H25:BG25),'Capacity summary'!$E144),0)</f>
        <v>0</v>
      </c>
      <c r="BI25" s="5" t="str">
        <f>IF(BH25&gt;0,IF(BH25&lt;Capacity!E37,Capacity!F37,Capacity!H37/'Capacity calculation (hide)'!BH25),"")</f>
        <v/>
      </c>
      <c r="BK25" s="313">
        <f>IF($BI25&lt;&gt;"",IF('Capacity summary'!$D$14="Yes",IF(COUNTBLANK('Capacity summary'!$H144:$BG144)&lt;52,IF('Capacity summary'!H144&lt;&gt;"",IF(LOWER('Capacity summary'!H144)="x",$BI25*H25,VALUE('Capacity summary'!H144)),0),H25*$BI25),H25*$BI25),0)</f>
        <v>0</v>
      </c>
      <c r="BL25" s="313">
        <f>IF($BI25&lt;&gt;"",IF('Capacity summary'!$D$14="Yes",IF(COUNTBLANK('Capacity summary'!$H144:$BG144)&lt;52,IF('Capacity summary'!I144&lt;&gt;"",IF(LOWER('Capacity summary'!I144)="x",$BI25*I25,VALUE('Capacity summary'!I144)),0),I25*$BI25),I25*$BI25),0)</f>
        <v>0</v>
      </c>
      <c r="BM25" s="313">
        <f>IF($BI25&lt;&gt;"",IF('Capacity summary'!$D$14="Yes",IF(COUNTBLANK('Capacity summary'!$H144:$BG144)&lt;52,IF('Capacity summary'!J144&lt;&gt;"",IF(LOWER('Capacity summary'!J144)="x",$BI25*J25,VALUE('Capacity summary'!J144)),0),J25*$BI25),J25*$BI25),0)</f>
        <v>0</v>
      </c>
      <c r="BN25" s="313">
        <f>IF($BI25&lt;&gt;"",IF('Capacity summary'!$D$14="Yes",IF(COUNTBLANK('Capacity summary'!$H144:$BG144)&lt;52,IF('Capacity summary'!K144&lt;&gt;"",IF(LOWER('Capacity summary'!K144)="x",$BI25*K25,VALUE('Capacity summary'!K144)),0),K25*$BI25),K25*$BI25),0)</f>
        <v>0</v>
      </c>
      <c r="BO25" s="313">
        <f>IF($BI25&lt;&gt;"",IF('Capacity summary'!$D$14="Yes",IF(COUNTBLANK('Capacity summary'!$H144:$BG144)&lt;52,IF('Capacity summary'!L144&lt;&gt;"",IF(LOWER('Capacity summary'!L144)="x",$BI25*L25,VALUE('Capacity summary'!L144)),0),L25*$BI25),L25*$BI25),0)</f>
        <v>0</v>
      </c>
      <c r="BP25" s="313">
        <f>IF($BI25&lt;&gt;"",IF('Capacity summary'!$D$14="Yes",IF(COUNTBLANK('Capacity summary'!$H144:$BG144)&lt;52,IF('Capacity summary'!M144&lt;&gt;"",IF(LOWER('Capacity summary'!M144)="x",$BI25*M25,VALUE('Capacity summary'!M144)),0),M25*$BI25),M25*$BI25),0)</f>
        <v>0</v>
      </c>
      <c r="BQ25" s="313">
        <f>IF($BI25&lt;&gt;"",IF('Capacity summary'!$D$14="Yes",IF(COUNTBLANK('Capacity summary'!$H144:$BG144)&lt;52,IF('Capacity summary'!N144&lt;&gt;"",IF(LOWER('Capacity summary'!N144)="x",$BI25*N25,VALUE('Capacity summary'!N144)),0),N25*$BI25),N25*$BI25),0)</f>
        <v>0</v>
      </c>
      <c r="BR25" s="313">
        <f>IF($BI25&lt;&gt;"",IF('Capacity summary'!$D$14="Yes",IF(COUNTBLANK('Capacity summary'!$H144:$BG144)&lt;52,IF('Capacity summary'!O144&lt;&gt;"",IF(LOWER('Capacity summary'!O144)="x",$BI25*O25,VALUE('Capacity summary'!O144)),0),O25*$BI25),O25*$BI25),0)</f>
        <v>0</v>
      </c>
      <c r="BS25" s="313">
        <f>IF($BI25&lt;&gt;"",IF('Capacity summary'!$D$14="Yes",IF(COUNTBLANK('Capacity summary'!$H144:$BG144)&lt;52,IF('Capacity summary'!P144&lt;&gt;"",IF(LOWER('Capacity summary'!P144)="x",$BI25*P25,VALUE('Capacity summary'!P144)),0),P25*$BI25),P25*$BI25),0)</f>
        <v>0</v>
      </c>
      <c r="BT25" s="313">
        <f>IF($BI25&lt;&gt;"",IF('Capacity summary'!$D$14="Yes",IF(COUNTBLANK('Capacity summary'!$H144:$BG144)&lt;52,IF('Capacity summary'!Q144&lt;&gt;"",IF(LOWER('Capacity summary'!Q144)="x",$BI25*Q25,VALUE('Capacity summary'!Q144)),0),Q25*$BI25),Q25*$BI25),0)</f>
        <v>0</v>
      </c>
      <c r="BU25" s="313">
        <f>IF($BI25&lt;&gt;"",IF('Capacity summary'!$D$14="Yes",IF(COUNTBLANK('Capacity summary'!$H144:$BG144)&lt;52,IF('Capacity summary'!R144&lt;&gt;"",IF(LOWER('Capacity summary'!R144)="x",$BI25*R25,VALUE('Capacity summary'!R144)),0),R25*$BI25),R25*$BI25),0)</f>
        <v>0</v>
      </c>
      <c r="BV25" s="313">
        <f>IF($BI25&lt;&gt;"",IF('Capacity summary'!$D$14="Yes",IF(COUNTBLANK('Capacity summary'!$H144:$BG144)&lt;52,IF('Capacity summary'!S144&lt;&gt;"",IF(LOWER('Capacity summary'!S144)="x",$BI25*S25,VALUE('Capacity summary'!S144)),0),S25*$BI25),S25*$BI25),0)</f>
        <v>0</v>
      </c>
      <c r="BW25" s="313">
        <f>IF($BI25&lt;&gt;"",IF('Capacity summary'!$D$14="Yes",IF(COUNTBLANK('Capacity summary'!$H144:$BG144)&lt;52,IF('Capacity summary'!T144&lt;&gt;"",IF(LOWER('Capacity summary'!T144)="x",$BI25*T25,VALUE('Capacity summary'!T144)),0),T25*$BI25),T25*$BI25),0)</f>
        <v>0</v>
      </c>
      <c r="BX25" s="313">
        <f>IF($BI25&lt;&gt;"",IF('Capacity summary'!$D$14="Yes",IF(COUNTBLANK('Capacity summary'!$H144:$BG144)&lt;52,IF('Capacity summary'!U144&lt;&gt;"",IF(LOWER('Capacity summary'!U144)="x",$BI25*U25,VALUE('Capacity summary'!U144)),0),U25*$BI25),U25*$BI25),0)</f>
        <v>0</v>
      </c>
      <c r="BY25" s="313">
        <f>IF($BI25&lt;&gt;"",IF('Capacity summary'!$D$14="Yes",IF(COUNTBLANK('Capacity summary'!$H144:$BG144)&lt;52,IF('Capacity summary'!V144&lt;&gt;"",IF(LOWER('Capacity summary'!V144)="x",$BI25*V25,VALUE('Capacity summary'!V144)),0),V25*$BI25),V25*$BI25),0)</f>
        <v>0</v>
      </c>
      <c r="BZ25" s="313">
        <f>IF($BI25&lt;&gt;"",IF('Capacity summary'!$D$14="Yes",IF(COUNTBLANK('Capacity summary'!$H144:$BG144)&lt;52,IF('Capacity summary'!W144&lt;&gt;"",IF(LOWER('Capacity summary'!W144)="x",$BI25*W25,VALUE('Capacity summary'!W144)),0),W25*$BI25),W25*$BI25),0)</f>
        <v>0</v>
      </c>
      <c r="CA25" s="313">
        <f>IF($BI25&lt;&gt;"",IF('Capacity summary'!$D$14="Yes",IF(COUNTBLANK('Capacity summary'!$H144:$BG144)&lt;52,IF('Capacity summary'!X144&lt;&gt;"",IF(LOWER('Capacity summary'!X144)="x",$BI25*X25,VALUE('Capacity summary'!X144)),0),X25*$BI25),X25*$BI25),0)</f>
        <v>0</v>
      </c>
      <c r="CB25" s="313">
        <f>IF($BI25&lt;&gt;"",IF('Capacity summary'!$D$14="Yes",IF(COUNTBLANK('Capacity summary'!$H144:$BG144)&lt;52,IF('Capacity summary'!Y144&lt;&gt;"",IF(LOWER('Capacity summary'!Y144)="x",$BI25*Y25,VALUE('Capacity summary'!Y144)),0),Y25*$BI25),Y25*$BI25),0)</f>
        <v>0</v>
      </c>
      <c r="CC25" s="313">
        <f>IF($BI25&lt;&gt;"",IF('Capacity summary'!$D$14="Yes",IF(COUNTBLANK('Capacity summary'!$H144:$BG144)&lt;52,IF('Capacity summary'!Z144&lt;&gt;"",IF(LOWER('Capacity summary'!Z144)="x",$BI25*Z25,VALUE('Capacity summary'!Z144)),0),Z25*$BI25),Z25*$BI25),0)</f>
        <v>0</v>
      </c>
      <c r="CD25" s="313">
        <f>IF($BI25&lt;&gt;"",IF('Capacity summary'!$D$14="Yes",IF(COUNTBLANK('Capacity summary'!$H144:$BG144)&lt;52,IF('Capacity summary'!AA144&lt;&gt;"",IF(LOWER('Capacity summary'!AA144)="x",$BI25*AA25,VALUE('Capacity summary'!AA144)),0),AA25*$BI25),AA25*$BI25),0)</f>
        <v>0</v>
      </c>
      <c r="CE25" s="313">
        <f>IF($BI25&lt;&gt;"",IF('Capacity summary'!$D$14="Yes",IF(COUNTBLANK('Capacity summary'!$H144:$BG144)&lt;52,IF('Capacity summary'!AB144&lt;&gt;"",IF(LOWER('Capacity summary'!AB144)="x",$BI25*AB25,VALUE('Capacity summary'!AB144)),0),AB25*$BI25),AB25*$BI25),0)</f>
        <v>0</v>
      </c>
      <c r="CF25" s="313">
        <f>IF($BI25&lt;&gt;"",IF('Capacity summary'!$D$14="Yes",IF(COUNTBLANK('Capacity summary'!$H144:$BG144)&lt;52,IF('Capacity summary'!AC144&lt;&gt;"",IF(LOWER('Capacity summary'!AC144)="x",$BI25*AC25,VALUE('Capacity summary'!AC144)),0),AC25*$BI25),AC25*$BI25),0)</f>
        <v>0</v>
      </c>
      <c r="CG25" s="313">
        <f>IF($BI25&lt;&gt;"",IF('Capacity summary'!$D$14="Yes",IF(COUNTBLANK('Capacity summary'!$H144:$BG144)&lt;52,IF('Capacity summary'!AD144&lt;&gt;"",IF(LOWER('Capacity summary'!AD144)="x",$BI25*AD25,VALUE('Capacity summary'!AD144)),0),AD25*$BI25),AD25*$BI25),0)</f>
        <v>0</v>
      </c>
      <c r="CH25" s="313">
        <f>IF($BI25&lt;&gt;"",IF('Capacity summary'!$D$14="Yes",IF(COUNTBLANK('Capacity summary'!$H144:$BG144)&lt;52,IF('Capacity summary'!AE144&lt;&gt;"",IF(LOWER('Capacity summary'!AE144)="x",$BI25*AE25,VALUE('Capacity summary'!AE144)),0),AE25*$BI25),AE25*$BI25),0)</f>
        <v>0</v>
      </c>
      <c r="CI25" s="313">
        <f>IF($BI25&lt;&gt;"",IF('Capacity summary'!$D$14="Yes",IF(COUNTBLANK('Capacity summary'!$H144:$BG144)&lt;52,IF('Capacity summary'!AF144&lt;&gt;"",IF(LOWER('Capacity summary'!AF144)="x",$BI25*AF25,VALUE('Capacity summary'!AF144)),0),AF25*$BI25),AF25*$BI25),0)</f>
        <v>0</v>
      </c>
      <c r="CJ25" s="313">
        <f>IF($BI25&lt;&gt;"",IF('Capacity summary'!$D$14="Yes",IF(COUNTBLANK('Capacity summary'!$H144:$BG144)&lt;52,IF('Capacity summary'!AG144&lt;&gt;"",IF(LOWER('Capacity summary'!AG144)="x",$BI25*AG25,VALUE('Capacity summary'!AG144)),0),AG25*$BI25),AG25*$BI25),0)</f>
        <v>0</v>
      </c>
      <c r="CK25" s="313">
        <f>IF($BI25&lt;&gt;"",IF('Capacity summary'!$D$14="Yes",IF(COUNTBLANK('Capacity summary'!$H144:$BG144)&lt;52,IF('Capacity summary'!AH144&lt;&gt;"",IF(LOWER('Capacity summary'!AH144)="x",$BI25*AH25,VALUE('Capacity summary'!AH144)),0),AH25*$BI25),AH25*$BI25),0)</f>
        <v>0</v>
      </c>
      <c r="CL25" s="313">
        <f>IF($BI25&lt;&gt;"",IF('Capacity summary'!$D$14="Yes",IF(COUNTBLANK('Capacity summary'!$H144:$BG144)&lt;52,IF('Capacity summary'!AI144&lt;&gt;"",IF(LOWER('Capacity summary'!AI144)="x",$BI25*AI25,VALUE('Capacity summary'!AI144)),0),AI25*$BI25),AI25*$BI25),0)</f>
        <v>0</v>
      </c>
      <c r="CM25" s="313">
        <f>IF($BI25&lt;&gt;"",IF('Capacity summary'!$D$14="Yes",IF(COUNTBLANK('Capacity summary'!$H144:$BG144)&lt;52,IF('Capacity summary'!AJ144&lt;&gt;"",IF(LOWER('Capacity summary'!AJ144)="x",$BI25*AJ25,VALUE('Capacity summary'!AJ144)),0),AJ25*$BI25),AJ25*$BI25),0)</f>
        <v>0</v>
      </c>
      <c r="CN25" s="313">
        <f>IF($BI25&lt;&gt;"",IF('Capacity summary'!$D$14="Yes",IF(COUNTBLANK('Capacity summary'!$H144:$BG144)&lt;52,IF('Capacity summary'!AK144&lt;&gt;"",IF(LOWER('Capacity summary'!AK144)="x",$BI25*AK25,VALUE('Capacity summary'!AK144)),0),AK25*$BI25),AK25*$BI25),0)</f>
        <v>0</v>
      </c>
      <c r="CO25" s="313">
        <f>IF($BI25&lt;&gt;"",IF('Capacity summary'!$D$14="Yes",IF(COUNTBLANK('Capacity summary'!$H144:$BG144)&lt;52,IF('Capacity summary'!AL144&lt;&gt;"",IF(LOWER('Capacity summary'!AL144)="x",$BI25*AL25,VALUE('Capacity summary'!AL144)),0),AL25*$BI25),AL25*$BI25),0)</f>
        <v>0</v>
      </c>
      <c r="CP25" s="313">
        <f>IF($BI25&lt;&gt;"",IF('Capacity summary'!$D$14="Yes",IF(COUNTBLANK('Capacity summary'!$H144:$BG144)&lt;52,IF('Capacity summary'!AM144&lt;&gt;"",IF(LOWER('Capacity summary'!AM144)="x",$BI25*AM25,VALUE('Capacity summary'!AM144)),0),AM25*$BI25),AM25*$BI25),0)</f>
        <v>0</v>
      </c>
      <c r="CQ25" s="313">
        <f>IF($BI25&lt;&gt;"",IF('Capacity summary'!$D$14="Yes",IF(COUNTBLANK('Capacity summary'!$H144:$BG144)&lt;52,IF('Capacity summary'!AN144&lt;&gt;"",IF(LOWER('Capacity summary'!AN144)="x",$BI25*AN25,VALUE('Capacity summary'!AN144)),0),AN25*$BI25),AN25*$BI25),0)</f>
        <v>0</v>
      </c>
      <c r="CR25" s="313">
        <f>IF($BI25&lt;&gt;"",IF('Capacity summary'!$D$14="Yes",IF(COUNTBLANK('Capacity summary'!$H144:$BG144)&lt;52,IF('Capacity summary'!AO144&lt;&gt;"",IF(LOWER('Capacity summary'!AO144)="x",$BI25*AO25,VALUE('Capacity summary'!AO144)),0),AO25*$BI25),AO25*$BI25),0)</f>
        <v>0</v>
      </c>
      <c r="CS25" s="313">
        <f>IF($BI25&lt;&gt;"",IF('Capacity summary'!$D$14="Yes",IF(COUNTBLANK('Capacity summary'!$H144:$BG144)&lt;52,IF('Capacity summary'!AP144&lt;&gt;"",IF(LOWER('Capacity summary'!AP144)="x",$BI25*AP25,VALUE('Capacity summary'!AP144)),0),AP25*$BI25),AP25*$BI25),0)</f>
        <v>0</v>
      </c>
      <c r="CT25" s="313">
        <f>IF($BI25&lt;&gt;"",IF('Capacity summary'!$D$14="Yes",IF(COUNTBLANK('Capacity summary'!$H144:$BG144)&lt;52,IF('Capacity summary'!AQ144&lt;&gt;"",IF(LOWER('Capacity summary'!AQ144)="x",$BI25*AQ25,VALUE('Capacity summary'!AQ144)),0),AQ25*$BI25),AQ25*$BI25),0)</f>
        <v>0</v>
      </c>
      <c r="CU25" s="313">
        <f>IF($BI25&lt;&gt;"",IF('Capacity summary'!$D$14="Yes",IF(COUNTBLANK('Capacity summary'!$H144:$BG144)&lt;52,IF('Capacity summary'!AR144&lt;&gt;"",IF(LOWER('Capacity summary'!AR144)="x",$BI25*AR25,VALUE('Capacity summary'!AR144)),0),AR25*$BI25),AR25*$BI25),0)</f>
        <v>0</v>
      </c>
      <c r="CV25" s="313">
        <f>IF($BI25&lt;&gt;"",IF('Capacity summary'!$D$14="Yes",IF(COUNTBLANK('Capacity summary'!$H144:$BG144)&lt;52,IF('Capacity summary'!AS144&lt;&gt;"",IF(LOWER('Capacity summary'!AS144)="x",$BI25*AS25,VALUE('Capacity summary'!AS144)),0),AS25*$BI25),AS25*$BI25),0)</f>
        <v>0</v>
      </c>
      <c r="CW25" s="313">
        <f>IF($BI25&lt;&gt;"",IF('Capacity summary'!$D$14="Yes",IF(COUNTBLANK('Capacity summary'!$H144:$BG144)&lt;52,IF('Capacity summary'!AT144&lt;&gt;"",IF(LOWER('Capacity summary'!AT144)="x",$BI25*AT25,VALUE('Capacity summary'!AT144)),0),AT25*$BI25),AT25*$BI25),0)</f>
        <v>0</v>
      </c>
      <c r="CX25" s="313">
        <f>IF($BI25&lt;&gt;"",IF('Capacity summary'!$D$14="Yes",IF(COUNTBLANK('Capacity summary'!$H144:$BG144)&lt;52,IF('Capacity summary'!AU144&lt;&gt;"",IF(LOWER('Capacity summary'!AU144)="x",$BI25*AU25,VALUE('Capacity summary'!AU144)),0),AU25*$BI25),AU25*$BI25),0)</f>
        <v>0</v>
      </c>
      <c r="CY25" s="313">
        <f>IF($BI25&lt;&gt;"",IF('Capacity summary'!$D$14="Yes",IF(COUNTBLANK('Capacity summary'!$H144:$BG144)&lt;52,IF('Capacity summary'!AV144&lt;&gt;"",IF(LOWER('Capacity summary'!AV144)="x",$BI25*AV25,VALUE('Capacity summary'!AV144)),0),AV25*$BI25),AV25*$BI25),0)</f>
        <v>0</v>
      </c>
      <c r="CZ25" s="313">
        <f>IF($BI25&lt;&gt;"",IF('Capacity summary'!$D$14="Yes",IF(COUNTBLANK('Capacity summary'!$H144:$BG144)&lt;52,IF('Capacity summary'!AW144&lt;&gt;"",IF(LOWER('Capacity summary'!AW144)="x",$BI25*AW25,VALUE('Capacity summary'!AW144)),0),AW25*$BI25),AW25*$BI25),0)</f>
        <v>0</v>
      </c>
      <c r="DA25" s="313">
        <f>IF($BI25&lt;&gt;"",IF('Capacity summary'!$D$14="Yes",IF(COUNTBLANK('Capacity summary'!$H144:$BG144)&lt;52,IF('Capacity summary'!AX144&lt;&gt;"",IF(LOWER('Capacity summary'!AX144)="x",$BI25*AX25,VALUE('Capacity summary'!AX144)),0),AX25*$BI25),AX25*$BI25),0)</f>
        <v>0</v>
      </c>
      <c r="DB25" s="313">
        <f>IF($BI25&lt;&gt;"",IF('Capacity summary'!$D$14="Yes",IF(COUNTBLANK('Capacity summary'!$H144:$BG144)&lt;52,IF('Capacity summary'!AY144&lt;&gt;"",IF(LOWER('Capacity summary'!AY144)="x",$BI25*AY25,VALUE('Capacity summary'!AY144)),0),AY25*$BI25),AY25*$BI25),0)</f>
        <v>0</v>
      </c>
      <c r="DC25" s="313">
        <f>IF($BI25&lt;&gt;"",IF('Capacity summary'!$D$14="Yes",IF(COUNTBLANK('Capacity summary'!$H144:$BG144)&lt;52,IF('Capacity summary'!AZ144&lt;&gt;"",IF(LOWER('Capacity summary'!AZ144)="x",$BI25*AZ25,VALUE('Capacity summary'!AZ144)),0),AZ25*$BI25),AZ25*$BI25),0)</f>
        <v>0</v>
      </c>
      <c r="DD25" s="313">
        <f>IF($BI25&lt;&gt;"",IF('Capacity summary'!$D$14="Yes",IF(COUNTBLANK('Capacity summary'!$H144:$BG144)&lt;52,IF('Capacity summary'!BA144&lt;&gt;"",IF(LOWER('Capacity summary'!BA144)="x",$BI25*BA25,VALUE('Capacity summary'!BA144)),0),BA25*$BI25),BA25*$BI25),0)</f>
        <v>0</v>
      </c>
      <c r="DE25" s="313">
        <f>IF($BI25&lt;&gt;"",IF('Capacity summary'!$D$14="Yes",IF(COUNTBLANK('Capacity summary'!$H144:$BG144)&lt;52,IF('Capacity summary'!BB144&lt;&gt;"",IF(LOWER('Capacity summary'!BB144)="x",$BI25*BB25,VALUE('Capacity summary'!BB144)),0),BB25*$BI25),BB25*$BI25),0)</f>
        <v>0</v>
      </c>
      <c r="DF25" s="313">
        <f>IF($BI25&lt;&gt;"",IF('Capacity summary'!$D$14="Yes",IF(COUNTBLANK('Capacity summary'!$H144:$BG144)&lt;52,IF('Capacity summary'!BC144&lt;&gt;"",IF(LOWER('Capacity summary'!BC144)="x",$BI25*BC25,VALUE('Capacity summary'!BC144)),0),BC25*$BI25),BC25*$BI25),0)</f>
        <v>0</v>
      </c>
      <c r="DG25" s="313">
        <f>IF($BI25&lt;&gt;"",IF('Capacity summary'!$D$14="Yes",IF(COUNTBLANK('Capacity summary'!$H144:$BG144)&lt;52,IF('Capacity summary'!BD144&lt;&gt;"",IF(LOWER('Capacity summary'!BD144)="x",$BI25*BD25,VALUE('Capacity summary'!BD144)),0),BD25*$BI25),BD25*$BI25),0)</f>
        <v>0</v>
      </c>
      <c r="DH25" s="313">
        <f>IF($BI25&lt;&gt;"",IF('Capacity summary'!$D$14="Yes",IF(COUNTBLANK('Capacity summary'!$H144:$BG144)&lt;52,IF('Capacity summary'!BE144&lt;&gt;"",IF(LOWER('Capacity summary'!BE144)="x",$BI25*BE25,VALUE('Capacity summary'!BE144)),0),BE25*$BI25),BE25*$BI25),0)</f>
        <v>0</v>
      </c>
      <c r="DI25" s="313">
        <f>IF($BI25&lt;&gt;"",IF('Capacity summary'!$D$14="Yes",IF(COUNTBLANK('Capacity summary'!$H144:$BG144)&lt;52,IF('Capacity summary'!BF144&lt;&gt;"",IF(LOWER('Capacity summary'!BF144)="x",$BI25*BF25,VALUE('Capacity summary'!BF144)),0),BF25*$BI25),BF25*$BI25),0)</f>
        <v>0</v>
      </c>
      <c r="DJ25" s="313">
        <f>IF($BI25&lt;&gt;"",IF('Capacity summary'!$D$14="Yes",IF(COUNTBLANK('Capacity summary'!$H144:$BG144)&lt;52,IF('Capacity summary'!BG144&lt;&gt;"",IF(LOWER('Capacity summary'!BG144)="x",$BI25*BG25,VALUE('Capacity summary'!BG144)),0),BG25*$BI25),BG25*$BI25),0)</f>
        <v>0</v>
      </c>
      <c r="DK25" s="137">
        <f t="shared" si="2"/>
        <v>0</v>
      </c>
      <c r="DL25" s="313" t="str">
        <f>Capacity!H37</f>
        <v/>
      </c>
      <c r="DP25" s="5"/>
    </row>
    <row r="26" spans="2:120" x14ac:dyDescent="0.25">
      <c r="B26" s="67"/>
      <c r="C26" s="67" t="str">
        <f>ROW(A22)&amp;". "&amp;Capacity!B38</f>
        <v xml:space="preserve">22. </v>
      </c>
      <c r="D26" s="67">
        <f>'Capacity setup'!C33</f>
        <v>0</v>
      </c>
      <c r="E26" s="67">
        <f>'Capacity setup'!D33</f>
        <v>0</v>
      </c>
      <c r="F26" s="67">
        <f>'Capacity setup'!E33</f>
        <v>0</v>
      </c>
      <c r="H26" s="67">
        <f ca="1">IF(AND(SUMIF(Capacity_Resource,$D26,'Critical resources (hide)'!U$6:U$105)+SUMIF(Capacity_Resource,$E26,'Critical resources (hide)'!U$6:U$105)+SUMIF(Capacity_Resource,$F26,'Critical resources (hide)'!U$6:U$105)&gt;0,$E$1=2),0,1)</f>
        <v>1</v>
      </c>
      <c r="I26" s="67">
        <f ca="1">IF(AND(SUMIF(Capacity_Resource,$D26,'Critical resources (hide)'!V$6:V$105)+SUMIF(Capacity_Resource,$E26,'Critical resources (hide)'!V$6:V$105)+SUMIF(Capacity_Resource,$F26,'Critical resources (hide)'!V$6:V$105)&gt;0,$E$1=2),0,1)</f>
        <v>1</v>
      </c>
      <c r="J26" s="67">
        <f ca="1">IF(AND(SUMIF(Capacity_Resource,$D26,'Critical resources (hide)'!W$6:W$105)+SUMIF(Capacity_Resource,$E26,'Critical resources (hide)'!W$6:W$105)+SUMIF(Capacity_Resource,$F26,'Critical resources (hide)'!W$6:W$105)&gt;0,$E$1=2),0,1)</f>
        <v>1</v>
      </c>
      <c r="K26" s="67">
        <f ca="1">IF(AND(SUMIF(Capacity_Resource,$D26,'Critical resources (hide)'!X$6:X$105)+SUMIF(Capacity_Resource,$E26,'Critical resources (hide)'!X$6:X$105)+SUMIF(Capacity_Resource,$F26,'Critical resources (hide)'!X$6:X$105)&gt;0,$E$1=2),0,1)</f>
        <v>1</v>
      </c>
      <c r="L26" s="67">
        <f ca="1">IF(AND(SUMIF(Capacity_Resource,$D26,'Critical resources (hide)'!Y$6:Y$105)+SUMIF(Capacity_Resource,$E26,'Critical resources (hide)'!Y$6:Y$105)+SUMIF(Capacity_Resource,$F26,'Critical resources (hide)'!Y$6:Y$105)&gt;0,$E$1=2),0,1)</f>
        <v>1</v>
      </c>
      <c r="M26" s="67">
        <f ca="1">IF(AND(SUMIF(Capacity_Resource,$D26,'Critical resources (hide)'!Z$6:Z$105)+SUMIF(Capacity_Resource,$E26,'Critical resources (hide)'!Z$6:Z$105)+SUMIF(Capacity_Resource,$F26,'Critical resources (hide)'!Z$6:Z$105)&gt;0,$E$1=2),0,1)</f>
        <v>1</v>
      </c>
      <c r="N26" s="67">
        <f ca="1">IF(AND(SUMIF(Capacity_Resource,$D26,'Critical resources (hide)'!AA$6:AA$105)+SUMIF(Capacity_Resource,$E26,'Critical resources (hide)'!AA$6:AA$105)+SUMIF(Capacity_Resource,$F26,'Critical resources (hide)'!AA$6:AA$105)&gt;0,$E$1=2),0,1)</f>
        <v>1</v>
      </c>
      <c r="O26" s="67">
        <f ca="1">IF(AND(SUMIF(Capacity_Resource,$D26,'Critical resources (hide)'!AB$6:AB$105)+SUMIF(Capacity_Resource,$E26,'Critical resources (hide)'!AB$6:AB$105)+SUMIF(Capacity_Resource,$F26,'Critical resources (hide)'!AB$6:AB$105)&gt;0,$E$1=2),0,1)</f>
        <v>1</v>
      </c>
      <c r="P26" s="67">
        <f ca="1">IF(AND(SUMIF(Capacity_Resource,$D26,'Critical resources (hide)'!AC$6:AC$105)+SUMIF(Capacity_Resource,$E26,'Critical resources (hide)'!AC$6:AC$105)+SUMIF(Capacity_Resource,$F26,'Critical resources (hide)'!AC$6:AC$105)&gt;0,$E$1=2),0,1)</f>
        <v>1</v>
      </c>
      <c r="Q26" s="67">
        <f ca="1">IF(AND(SUMIF(Capacity_Resource,$D26,'Critical resources (hide)'!AD$6:AD$105)+SUMIF(Capacity_Resource,$E26,'Critical resources (hide)'!AD$6:AD$105)+SUMIF(Capacity_Resource,$F26,'Critical resources (hide)'!AD$6:AD$105)&gt;0,$E$1=2),0,1)</f>
        <v>1</v>
      </c>
      <c r="R26" s="67">
        <f ca="1">IF(AND(SUMIF(Capacity_Resource,$D26,'Critical resources (hide)'!AE$6:AE$105)+SUMIF(Capacity_Resource,$E26,'Critical resources (hide)'!AE$6:AE$105)+SUMIF(Capacity_Resource,$F26,'Critical resources (hide)'!AE$6:AE$105)&gt;0,$E$1=2),0,1)</f>
        <v>1</v>
      </c>
      <c r="S26" s="67">
        <f ca="1">IF(AND(SUMIF(Capacity_Resource,$D26,'Critical resources (hide)'!AF$6:AF$105)+SUMIF(Capacity_Resource,$E26,'Critical resources (hide)'!AF$6:AF$105)+SUMIF(Capacity_Resource,$F26,'Critical resources (hide)'!AF$6:AF$105)&gt;0,$E$1=2),0,1)</f>
        <v>1</v>
      </c>
      <c r="T26" s="67">
        <f ca="1">IF(AND(SUMIF(Capacity_Resource,$D26,'Critical resources (hide)'!AG$6:AG$105)+SUMIF(Capacity_Resource,$E26,'Critical resources (hide)'!AG$6:AG$105)+SUMIF(Capacity_Resource,$F26,'Critical resources (hide)'!AG$6:AG$105)&gt;0,$E$1=2),0,1)</f>
        <v>1</v>
      </c>
      <c r="U26" s="67">
        <f ca="1">IF(AND(SUMIF(Capacity_Resource,$D26,'Critical resources (hide)'!AH$6:AH$105)+SUMIF(Capacity_Resource,$E26,'Critical resources (hide)'!AH$6:AH$105)+SUMIF(Capacity_Resource,$F26,'Critical resources (hide)'!AH$6:AH$105)&gt;0,$E$1=2),0,1)</f>
        <v>1</v>
      </c>
      <c r="V26" s="67">
        <f ca="1">IF(AND(SUMIF(Capacity_Resource,$D26,'Critical resources (hide)'!AI$6:AI$105)+SUMIF(Capacity_Resource,$E26,'Critical resources (hide)'!AI$6:AI$105)+SUMIF(Capacity_Resource,$F26,'Critical resources (hide)'!AI$6:AI$105)&gt;0,$E$1=2),0,1)</f>
        <v>1</v>
      </c>
      <c r="W26" s="67">
        <f ca="1">IF(AND(SUMIF(Capacity_Resource,$D26,'Critical resources (hide)'!AJ$6:AJ$105)+SUMIF(Capacity_Resource,$E26,'Critical resources (hide)'!AJ$6:AJ$105)+SUMIF(Capacity_Resource,$F26,'Critical resources (hide)'!AJ$6:AJ$105)&gt;0,$E$1=2),0,1)</f>
        <v>1</v>
      </c>
      <c r="X26" s="67">
        <f ca="1">IF(AND(SUMIF(Capacity_Resource,$D26,'Critical resources (hide)'!AK$6:AK$105)+SUMIF(Capacity_Resource,$E26,'Critical resources (hide)'!AK$6:AK$105)+SUMIF(Capacity_Resource,$F26,'Critical resources (hide)'!AK$6:AK$105)&gt;0,$E$1=2),0,1)</f>
        <v>1</v>
      </c>
      <c r="Y26" s="67">
        <f ca="1">IF(AND(SUMIF(Capacity_Resource,$D26,'Critical resources (hide)'!AL$6:AL$105)+SUMIF(Capacity_Resource,$E26,'Critical resources (hide)'!AL$6:AL$105)+SUMIF(Capacity_Resource,$F26,'Critical resources (hide)'!AL$6:AL$105)&gt;0,$E$1=2),0,1)</f>
        <v>1</v>
      </c>
      <c r="Z26" s="67">
        <f ca="1">IF(AND(SUMIF(Capacity_Resource,$D26,'Critical resources (hide)'!AM$6:AM$105)+SUMIF(Capacity_Resource,$E26,'Critical resources (hide)'!AM$6:AM$105)+SUMIF(Capacity_Resource,$F26,'Critical resources (hide)'!AM$6:AM$105)&gt;0,$E$1=2),0,1)</f>
        <v>1</v>
      </c>
      <c r="AA26" s="67">
        <f ca="1">IF(AND(SUMIF(Capacity_Resource,$D26,'Critical resources (hide)'!AN$6:AN$105)+SUMIF(Capacity_Resource,$E26,'Critical resources (hide)'!AN$6:AN$105)+SUMIF(Capacity_Resource,$F26,'Critical resources (hide)'!AN$6:AN$105)&gt;0,$E$1=2),0,1)</f>
        <v>1</v>
      </c>
      <c r="AB26" s="67">
        <f ca="1">IF(AND(SUMIF(Capacity_Resource,$D26,'Critical resources (hide)'!AO$6:AO$105)+SUMIF(Capacity_Resource,$E26,'Critical resources (hide)'!AO$6:AO$105)+SUMIF(Capacity_Resource,$F26,'Critical resources (hide)'!AO$6:AO$105)&gt;0,$E$1=2),0,1)</f>
        <v>1</v>
      </c>
      <c r="AC26" s="67">
        <f ca="1">IF(AND(SUMIF(Capacity_Resource,$D26,'Critical resources (hide)'!AP$6:AP$105)+SUMIF(Capacity_Resource,$E26,'Critical resources (hide)'!AP$6:AP$105)+SUMIF(Capacity_Resource,$F26,'Critical resources (hide)'!AP$6:AP$105)&gt;0,$E$1=2),0,1)</f>
        <v>1</v>
      </c>
      <c r="AD26" s="67">
        <f ca="1">IF(AND(SUMIF(Capacity_Resource,$D26,'Critical resources (hide)'!AQ$6:AQ$105)+SUMIF(Capacity_Resource,$E26,'Critical resources (hide)'!AQ$6:AQ$105)+SUMIF(Capacity_Resource,$F26,'Critical resources (hide)'!AQ$6:AQ$105)&gt;0,$E$1=2),0,1)</f>
        <v>1</v>
      </c>
      <c r="AE26" s="67">
        <f ca="1">IF(AND(SUMIF(Capacity_Resource,$D26,'Critical resources (hide)'!AR$6:AR$105)+SUMIF(Capacity_Resource,$E26,'Critical resources (hide)'!AR$6:AR$105)+SUMIF(Capacity_Resource,$F26,'Critical resources (hide)'!AR$6:AR$105)&gt;0,$E$1=2),0,1)</f>
        <v>1</v>
      </c>
      <c r="AF26" s="67">
        <f ca="1">IF(AND(SUMIF(Capacity_Resource,$D26,'Critical resources (hide)'!AS$6:AS$105)+SUMIF(Capacity_Resource,$E26,'Critical resources (hide)'!AS$6:AS$105)+SUMIF(Capacity_Resource,$F26,'Critical resources (hide)'!AS$6:AS$105)&gt;0,$E$1=2),0,1)</f>
        <v>1</v>
      </c>
      <c r="AG26" s="67">
        <f ca="1">IF(AND(SUMIF(Capacity_Resource,$D26,'Critical resources (hide)'!AT$6:AT$105)+SUMIF(Capacity_Resource,$E26,'Critical resources (hide)'!AT$6:AT$105)+SUMIF(Capacity_Resource,$F26,'Critical resources (hide)'!AT$6:AT$105)&gt;0,$E$1=2),0,1)</f>
        <v>1</v>
      </c>
      <c r="AH26" s="67">
        <f ca="1">IF(AND(SUMIF(Capacity_Resource,$D26,'Critical resources (hide)'!AU$6:AU$105)+SUMIF(Capacity_Resource,$E26,'Critical resources (hide)'!AU$6:AU$105)+SUMIF(Capacity_Resource,$F26,'Critical resources (hide)'!AU$6:AU$105)&gt;0,$E$1=2),0,1)</f>
        <v>1</v>
      </c>
      <c r="AI26" s="67">
        <f ca="1">IF(AND(SUMIF(Capacity_Resource,$D26,'Critical resources (hide)'!AV$6:AV$105)+SUMIF(Capacity_Resource,$E26,'Critical resources (hide)'!AV$6:AV$105)+SUMIF(Capacity_Resource,$F26,'Critical resources (hide)'!AV$6:AV$105)&gt;0,$E$1=2),0,1)</f>
        <v>1</v>
      </c>
      <c r="AJ26" s="67">
        <f ca="1">IF(AND(SUMIF(Capacity_Resource,$D26,'Critical resources (hide)'!AW$6:AW$105)+SUMIF(Capacity_Resource,$E26,'Critical resources (hide)'!AW$6:AW$105)+SUMIF(Capacity_Resource,$F26,'Critical resources (hide)'!AW$6:AW$105)&gt;0,$E$1=2),0,1)</f>
        <v>1</v>
      </c>
      <c r="AK26" s="67">
        <f ca="1">IF(AND(SUMIF(Capacity_Resource,$D26,'Critical resources (hide)'!AX$6:AX$105)+SUMIF(Capacity_Resource,$E26,'Critical resources (hide)'!AX$6:AX$105)+SUMIF(Capacity_Resource,$F26,'Critical resources (hide)'!AX$6:AX$105)&gt;0,$E$1=2),0,1)</f>
        <v>1</v>
      </c>
      <c r="AL26" s="67">
        <f ca="1">IF(AND(SUMIF(Capacity_Resource,$D26,'Critical resources (hide)'!AY$6:AY$105)+SUMIF(Capacity_Resource,$E26,'Critical resources (hide)'!AY$6:AY$105)+SUMIF(Capacity_Resource,$F26,'Critical resources (hide)'!AY$6:AY$105)&gt;0,$E$1=2),0,1)</f>
        <v>1</v>
      </c>
      <c r="AM26" s="67">
        <f ca="1">IF(AND(SUMIF(Capacity_Resource,$D26,'Critical resources (hide)'!AZ$6:AZ$105)+SUMIF(Capacity_Resource,$E26,'Critical resources (hide)'!AZ$6:AZ$105)+SUMIF(Capacity_Resource,$F26,'Critical resources (hide)'!AZ$6:AZ$105)&gt;0,$E$1=2),0,1)</f>
        <v>1</v>
      </c>
      <c r="AN26" s="67">
        <f ca="1">IF(AND(SUMIF(Capacity_Resource,$D26,'Critical resources (hide)'!BA$6:BA$105)+SUMIF(Capacity_Resource,$E26,'Critical resources (hide)'!BA$6:BA$105)+SUMIF(Capacity_Resource,$F26,'Critical resources (hide)'!BA$6:BA$105)&gt;0,$E$1=2),0,1)</f>
        <v>1</v>
      </c>
      <c r="AO26" s="67">
        <f ca="1">IF(AND(SUMIF(Capacity_Resource,$D26,'Critical resources (hide)'!BB$6:BB$105)+SUMIF(Capacity_Resource,$E26,'Critical resources (hide)'!BB$6:BB$105)+SUMIF(Capacity_Resource,$F26,'Critical resources (hide)'!BB$6:BB$105)&gt;0,$E$1=2),0,1)</f>
        <v>1</v>
      </c>
      <c r="AP26" s="67">
        <f ca="1">IF(AND(SUMIF(Capacity_Resource,$D26,'Critical resources (hide)'!BC$6:BC$105)+SUMIF(Capacity_Resource,$E26,'Critical resources (hide)'!BC$6:BC$105)+SUMIF(Capacity_Resource,$F26,'Critical resources (hide)'!BC$6:BC$105)&gt;0,$E$1=2),0,1)</f>
        <v>1</v>
      </c>
      <c r="AQ26" s="67">
        <f ca="1">IF(AND(SUMIF(Capacity_Resource,$D26,'Critical resources (hide)'!BD$6:BD$105)+SUMIF(Capacity_Resource,$E26,'Critical resources (hide)'!BD$6:BD$105)+SUMIF(Capacity_Resource,$F26,'Critical resources (hide)'!BD$6:BD$105)&gt;0,$E$1=2),0,1)</f>
        <v>1</v>
      </c>
      <c r="AR26" s="67">
        <f ca="1">IF(AND(SUMIF(Capacity_Resource,$D26,'Critical resources (hide)'!BE$6:BE$105)+SUMIF(Capacity_Resource,$E26,'Critical resources (hide)'!BE$6:BE$105)+SUMIF(Capacity_Resource,$F26,'Critical resources (hide)'!BE$6:BE$105)&gt;0,$E$1=2),0,1)</f>
        <v>1</v>
      </c>
      <c r="AS26" s="67">
        <f ca="1">IF(AND(SUMIF(Capacity_Resource,$D26,'Critical resources (hide)'!BF$6:BF$105)+SUMIF(Capacity_Resource,$E26,'Critical resources (hide)'!BF$6:BF$105)+SUMIF(Capacity_Resource,$F26,'Critical resources (hide)'!BF$6:BF$105)&gt;0,$E$1=2),0,1)</f>
        <v>1</v>
      </c>
      <c r="AT26" s="67">
        <f ca="1">IF(AND(SUMIF(Capacity_Resource,$D26,'Critical resources (hide)'!BG$6:BG$105)+SUMIF(Capacity_Resource,$E26,'Critical resources (hide)'!BG$6:BG$105)+SUMIF(Capacity_Resource,$F26,'Critical resources (hide)'!BG$6:BG$105)&gt;0,$E$1=2),0,1)</f>
        <v>1</v>
      </c>
      <c r="AU26" s="67">
        <f ca="1">IF(AND(SUMIF(Capacity_Resource,$D26,'Critical resources (hide)'!BH$6:BH$105)+SUMIF(Capacity_Resource,$E26,'Critical resources (hide)'!BH$6:BH$105)+SUMIF(Capacity_Resource,$F26,'Critical resources (hide)'!BH$6:BH$105)&gt;0,$E$1=2),0,1)</f>
        <v>1</v>
      </c>
      <c r="AV26" s="67">
        <f ca="1">IF(AND(SUMIF(Capacity_Resource,$D26,'Critical resources (hide)'!BI$6:BI$105)+SUMIF(Capacity_Resource,$E26,'Critical resources (hide)'!BI$6:BI$105)+SUMIF(Capacity_Resource,$F26,'Critical resources (hide)'!BI$6:BI$105)&gt;0,$E$1=2),0,1)</f>
        <v>1</v>
      </c>
      <c r="AW26" s="67">
        <f ca="1">IF(AND(SUMIF(Capacity_Resource,$D26,'Critical resources (hide)'!BJ$6:BJ$105)+SUMIF(Capacity_Resource,$E26,'Critical resources (hide)'!BJ$6:BJ$105)+SUMIF(Capacity_Resource,$F26,'Critical resources (hide)'!BJ$6:BJ$105)&gt;0,$E$1=2),0,1)</f>
        <v>1</v>
      </c>
      <c r="AX26" s="67">
        <f ca="1">IF(AND(SUMIF(Capacity_Resource,$D26,'Critical resources (hide)'!BK$6:BK$105)+SUMIF(Capacity_Resource,$E26,'Critical resources (hide)'!BK$6:BK$105)+SUMIF(Capacity_Resource,$F26,'Critical resources (hide)'!BK$6:BK$105)&gt;0,$E$1=2),0,1)</f>
        <v>1</v>
      </c>
      <c r="AY26" s="67">
        <f ca="1">IF(AND(SUMIF(Capacity_Resource,$D26,'Critical resources (hide)'!BL$6:BL$105)+SUMIF(Capacity_Resource,$E26,'Critical resources (hide)'!BL$6:BL$105)+SUMIF(Capacity_Resource,$F26,'Critical resources (hide)'!BL$6:BL$105)&gt;0,$E$1=2),0,1)</f>
        <v>1</v>
      </c>
      <c r="AZ26" s="67">
        <f ca="1">IF(AND(SUMIF(Capacity_Resource,$D26,'Critical resources (hide)'!BM$6:BM$105)+SUMIF(Capacity_Resource,$E26,'Critical resources (hide)'!BM$6:BM$105)+SUMIF(Capacity_Resource,$F26,'Critical resources (hide)'!BM$6:BM$105)&gt;0,$E$1=2),0,1)</f>
        <v>1</v>
      </c>
      <c r="BA26" s="67">
        <f ca="1">IF(AND(SUMIF(Capacity_Resource,$D26,'Critical resources (hide)'!BN$6:BN$105)+SUMIF(Capacity_Resource,$E26,'Critical resources (hide)'!BN$6:BN$105)+SUMIF(Capacity_Resource,$F26,'Critical resources (hide)'!BN$6:BN$105)&gt;0,$E$1=2),0,1)</f>
        <v>1</v>
      </c>
      <c r="BB26" s="67">
        <f ca="1">IF(AND(SUMIF(Capacity_Resource,$D26,'Critical resources (hide)'!BO$6:BO$105)+SUMIF(Capacity_Resource,$E26,'Critical resources (hide)'!BO$6:BO$105)+SUMIF(Capacity_Resource,$F26,'Critical resources (hide)'!BO$6:BO$105)&gt;0,$E$1=2),0,1)</f>
        <v>1</v>
      </c>
      <c r="BC26" s="67">
        <f ca="1">IF(AND(SUMIF(Capacity_Resource,$D26,'Critical resources (hide)'!BP$6:BP$105)+SUMIF(Capacity_Resource,$E26,'Critical resources (hide)'!BP$6:BP$105)+SUMIF(Capacity_Resource,$F26,'Critical resources (hide)'!BP$6:BP$105)&gt;0,$E$1=2),0,1)</f>
        <v>1</v>
      </c>
      <c r="BD26" s="67">
        <f ca="1">IF(AND(SUMIF(Capacity_Resource,$D26,'Critical resources (hide)'!BQ$6:BQ$105)+SUMIF(Capacity_Resource,$E26,'Critical resources (hide)'!BQ$6:BQ$105)+SUMIF(Capacity_Resource,$F26,'Critical resources (hide)'!BQ$6:BQ$105)&gt;0,$E$1=2),0,1)</f>
        <v>1</v>
      </c>
      <c r="BE26" s="67">
        <f ca="1">IF(AND(SUMIF(Capacity_Resource,$D26,'Critical resources (hide)'!BR$6:BR$105)+SUMIF(Capacity_Resource,$E26,'Critical resources (hide)'!BR$6:BR$105)+SUMIF(Capacity_Resource,$F26,'Critical resources (hide)'!BR$6:BR$105)&gt;0,$E$1=2),0,1)</f>
        <v>1</v>
      </c>
      <c r="BF26" s="67">
        <f ca="1">IF(AND(SUMIF(Capacity_Resource,$D26,'Critical resources (hide)'!BS$6:BS$105)+SUMIF(Capacity_Resource,$E26,'Critical resources (hide)'!BS$6:BS$105)+SUMIF(Capacity_Resource,$F26,'Critical resources (hide)'!BS$6:BS$105)&gt;0,$E$1=2),0,1)</f>
        <v>1</v>
      </c>
      <c r="BG26" s="67">
        <f ca="1">IF(AND(SUMIF(Capacity_Resource,$D26,'Critical resources (hide)'!BT$6:BT$105)+SUMIF(Capacity_Resource,$E26,'Critical resources (hide)'!BT$6:BT$105)+SUMIF(Capacity_Resource,$F26,'Critical resources (hide)'!BT$6:BT$105)&gt;0,$E$1=2),0,1)</f>
        <v>1</v>
      </c>
      <c r="BH26" s="67">
        <f>IF(ROW(C22)&lt;=Capacity!$A$16,IF('Capacity summary'!$D$14="No",SUM(H26:BG26),'Capacity summary'!$E145),0)</f>
        <v>0</v>
      </c>
      <c r="BI26" s="5" t="str">
        <f>IF(BH26&gt;0,IF(BH26&lt;Capacity!E38,Capacity!F38,Capacity!H38/'Capacity calculation (hide)'!BH26),"")</f>
        <v/>
      </c>
      <c r="BK26" s="313">
        <f>IF($BI26&lt;&gt;"",IF('Capacity summary'!$D$14="Yes",IF(COUNTBLANK('Capacity summary'!$H145:$BG145)&lt;52,IF('Capacity summary'!H145&lt;&gt;"",IF(LOWER('Capacity summary'!H145)="x",$BI26*H26,VALUE('Capacity summary'!H145)),0),H26*$BI26),H26*$BI26),0)</f>
        <v>0</v>
      </c>
      <c r="BL26" s="313">
        <f>IF($BI26&lt;&gt;"",IF('Capacity summary'!$D$14="Yes",IF(COUNTBLANK('Capacity summary'!$H145:$BG145)&lt;52,IF('Capacity summary'!I145&lt;&gt;"",IF(LOWER('Capacity summary'!I145)="x",$BI26*I26,VALUE('Capacity summary'!I145)),0),I26*$BI26),I26*$BI26),0)</f>
        <v>0</v>
      </c>
      <c r="BM26" s="313">
        <f>IF($BI26&lt;&gt;"",IF('Capacity summary'!$D$14="Yes",IF(COUNTBLANK('Capacity summary'!$H145:$BG145)&lt;52,IF('Capacity summary'!J145&lt;&gt;"",IF(LOWER('Capacity summary'!J145)="x",$BI26*J26,VALUE('Capacity summary'!J145)),0),J26*$BI26),J26*$BI26),0)</f>
        <v>0</v>
      </c>
      <c r="BN26" s="313">
        <f>IF($BI26&lt;&gt;"",IF('Capacity summary'!$D$14="Yes",IF(COUNTBLANK('Capacity summary'!$H145:$BG145)&lt;52,IF('Capacity summary'!K145&lt;&gt;"",IF(LOWER('Capacity summary'!K145)="x",$BI26*K26,VALUE('Capacity summary'!K145)),0),K26*$BI26),K26*$BI26),0)</f>
        <v>0</v>
      </c>
      <c r="BO26" s="313">
        <f>IF($BI26&lt;&gt;"",IF('Capacity summary'!$D$14="Yes",IF(COUNTBLANK('Capacity summary'!$H145:$BG145)&lt;52,IF('Capacity summary'!L145&lt;&gt;"",IF(LOWER('Capacity summary'!L145)="x",$BI26*L26,VALUE('Capacity summary'!L145)),0),L26*$BI26),L26*$BI26),0)</f>
        <v>0</v>
      </c>
      <c r="BP26" s="313">
        <f>IF($BI26&lt;&gt;"",IF('Capacity summary'!$D$14="Yes",IF(COUNTBLANK('Capacity summary'!$H145:$BG145)&lt;52,IF('Capacity summary'!M145&lt;&gt;"",IF(LOWER('Capacity summary'!M145)="x",$BI26*M26,VALUE('Capacity summary'!M145)),0),M26*$BI26),M26*$BI26),0)</f>
        <v>0</v>
      </c>
      <c r="BQ26" s="313">
        <f>IF($BI26&lt;&gt;"",IF('Capacity summary'!$D$14="Yes",IF(COUNTBLANK('Capacity summary'!$H145:$BG145)&lt;52,IF('Capacity summary'!N145&lt;&gt;"",IF(LOWER('Capacity summary'!N145)="x",$BI26*N26,VALUE('Capacity summary'!N145)),0),N26*$BI26),N26*$BI26),0)</f>
        <v>0</v>
      </c>
      <c r="BR26" s="313">
        <f>IF($BI26&lt;&gt;"",IF('Capacity summary'!$D$14="Yes",IF(COUNTBLANK('Capacity summary'!$H145:$BG145)&lt;52,IF('Capacity summary'!O145&lt;&gt;"",IF(LOWER('Capacity summary'!O145)="x",$BI26*O26,VALUE('Capacity summary'!O145)),0),O26*$BI26),O26*$BI26),0)</f>
        <v>0</v>
      </c>
      <c r="BS26" s="313">
        <f>IF($BI26&lt;&gt;"",IF('Capacity summary'!$D$14="Yes",IF(COUNTBLANK('Capacity summary'!$H145:$BG145)&lt;52,IF('Capacity summary'!P145&lt;&gt;"",IF(LOWER('Capacity summary'!P145)="x",$BI26*P26,VALUE('Capacity summary'!P145)),0),P26*$BI26),P26*$BI26),0)</f>
        <v>0</v>
      </c>
      <c r="BT26" s="313">
        <f>IF($BI26&lt;&gt;"",IF('Capacity summary'!$D$14="Yes",IF(COUNTBLANK('Capacity summary'!$H145:$BG145)&lt;52,IF('Capacity summary'!Q145&lt;&gt;"",IF(LOWER('Capacity summary'!Q145)="x",$BI26*Q26,VALUE('Capacity summary'!Q145)),0),Q26*$BI26),Q26*$BI26),0)</f>
        <v>0</v>
      </c>
      <c r="BU26" s="313">
        <f>IF($BI26&lt;&gt;"",IF('Capacity summary'!$D$14="Yes",IF(COUNTBLANK('Capacity summary'!$H145:$BG145)&lt;52,IF('Capacity summary'!R145&lt;&gt;"",IF(LOWER('Capacity summary'!R145)="x",$BI26*R26,VALUE('Capacity summary'!R145)),0),R26*$BI26),R26*$BI26),0)</f>
        <v>0</v>
      </c>
      <c r="BV26" s="313">
        <f>IF($BI26&lt;&gt;"",IF('Capacity summary'!$D$14="Yes",IF(COUNTBLANK('Capacity summary'!$H145:$BG145)&lt;52,IF('Capacity summary'!S145&lt;&gt;"",IF(LOWER('Capacity summary'!S145)="x",$BI26*S26,VALUE('Capacity summary'!S145)),0),S26*$BI26),S26*$BI26),0)</f>
        <v>0</v>
      </c>
      <c r="BW26" s="313">
        <f>IF($BI26&lt;&gt;"",IF('Capacity summary'!$D$14="Yes",IF(COUNTBLANK('Capacity summary'!$H145:$BG145)&lt;52,IF('Capacity summary'!T145&lt;&gt;"",IF(LOWER('Capacity summary'!T145)="x",$BI26*T26,VALUE('Capacity summary'!T145)),0),T26*$BI26),T26*$BI26),0)</f>
        <v>0</v>
      </c>
      <c r="BX26" s="313">
        <f>IF($BI26&lt;&gt;"",IF('Capacity summary'!$D$14="Yes",IF(COUNTBLANK('Capacity summary'!$H145:$BG145)&lt;52,IF('Capacity summary'!U145&lt;&gt;"",IF(LOWER('Capacity summary'!U145)="x",$BI26*U26,VALUE('Capacity summary'!U145)),0),U26*$BI26),U26*$BI26),0)</f>
        <v>0</v>
      </c>
      <c r="BY26" s="313">
        <f>IF($BI26&lt;&gt;"",IF('Capacity summary'!$D$14="Yes",IF(COUNTBLANK('Capacity summary'!$H145:$BG145)&lt;52,IF('Capacity summary'!V145&lt;&gt;"",IF(LOWER('Capacity summary'!V145)="x",$BI26*V26,VALUE('Capacity summary'!V145)),0),V26*$BI26),V26*$BI26),0)</f>
        <v>0</v>
      </c>
      <c r="BZ26" s="313">
        <f>IF($BI26&lt;&gt;"",IF('Capacity summary'!$D$14="Yes",IF(COUNTBLANK('Capacity summary'!$H145:$BG145)&lt;52,IF('Capacity summary'!W145&lt;&gt;"",IF(LOWER('Capacity summary'!W145)="x",$BI26*W26,VALUE('Capacity summary'!W145)),0),W26*$BI26),W26*$BI26),0)</f>
        <v>0</v>
      </c>
      <c r="CA26" s="313">
        <f>IF($BI26&lt;&gt;"",IF('Capacity summary'!$D$14="Yes",IF(COUNTBLANK('Capacity summary'!$H145:$BG145)&lt;52,IF('Capacity summary'!X145&lt;&gt;"",IF(LOWER('Capacity summary'!X145)="x",$BI26*X26,VALUE('Capacity summary'!X145)),0),X26*$BI26),X26*$BI26),0)</f>
        <v>0</v>
      </c>
      <c r="CB26" s="313">
        <f>IF($BI26&lt;&gt;"",IF('Capacity summary'!$D$14="Yes",IF(COUNTBLANK('Capacity summary'!$H145:$BG145)&lt;52,IF('Capacity summary'!Y145&lt;&gt;"",IF(LOWER('Capacity summary'!Y145)="x",$BI26*Y26,VALUE('Capacity summary'!Y145)),0),Y26*$BI26),Y26*$BI26),0)</f>
        <v>0</v>
      </c>
      <c r="CC26" s="313">
        <f>IF($BI26&lt;&gt;"",IF('Capacity summary'!$D$14="Yes",IF(COUNTBLANK('Capacity summary'!$H145:$BG145)&lt;52,IF('Capacity summary'!Z145&lt;&gt;"",IF(LOWER('Capacity summary'!Z145)="x",$BI26*Z26,VALUE('Capacity summary'!Z145)),0),Z26*$BI26),Z26*$BI26),0)</f>
        <v>0</v>
      </c>
      <c r="CD26" s="313">
        <f>IF($BI26&lt;&gt;"",IF('Capacity summary'!$D$14="Yes",IF(COUNTBLANK('Capacity summary'!$H145:$BG145)&lt;52,IF('Capacity summary'!AA145&lt;&gt;"",IF(LOWER('Capacity summary'!AA145)="x",$BI26*AA26,VALUE('Capacity summary'!AA145)),0),AA26*$BI26),AA26*$BI26),0)</f>
        <v>0</v>
      </c>
      <c r="CE26" s="313">
        <f>IF($BI26&lt;&gt;"",IF('Capacity summary'!$D$14="Yes",IF(COUNTBLANK('Capacity summary'!$H145:$BG145)&lt;52,IF('Capacity summary'!AB145&lt;&gt;"",IF(LOWER('Capacity summary'!AB145)="x",$BI26*AB26,VALUE('Capacity summary'!AB145)),0),AB26*$BI26),AB26*$BI26),0)</f>
        <v>0</v>
      </c>
      <c r="CF26" s="313">
        <f>IF($BI26&lt;&gt;"",IF('Capacity summary'!$D$14="Yes",IF(COUNTBLANK('Capacity summary'!$H145:$BG145)&lt;52,IF('Capacity summary'!AC145&lt;&gt;"",IF(LOWER('Capacity summary'!AC145)="x",$BI26*AC26,VALUE('Capacity summary'!AC145)),0),AC26*$BI26),AC26*$BI26),0)</f>
        <v>0</v>
      </c>
      <c r="CG26" s="313">
        <f>IF($BI26&lt;&gt;"",IF('Capacity summary'!$D$14="Yes",IF(COUNTBLANK('Capacity summary'!$H145:$BG145)&lt;52,IF('Capacity summary'!AD145&lt;&gt;"",IF(LOWER('Capacity summary'!AD145)="x",$BI26*AD26,VALUE('Capacity summary'!AD145)),0),AD26*$BI26),AD26*$BI26),0)</f>
        <v>0</v>
      </c>
      <c r="CH26" s="313">
        <f>IF($BI26&lt;&gt;"",IF('Capacity summary'!$D$14="Yes",IF(COUNTBLANK('Capacity summary'!$H145:$BG145)&lt;52,IF('Capacity summary'!AE145&lt;&gt;"",IF(LOWER('Capacity summary'!AE145)="x",$BI26*AE26,VALUE('Capacity summary'!AE145)),0),AE26*$BI26),AE26*$BI26),0)</f>
        <v>0</v>
      </c>
      <c r="CI26" s="313">
        <f>IF($BI26&lt;&gt;"",IF('Capacity summary'!$D$14="Yes",IF(COUNTBLANK('Capacity summary'!$H145:$BG145)&lt;52,IF('Capacity summary'!AF145&lt;&gt;"",IF(LOWER('Capacity summary'!AF145)="x",$BI26*AF26,VALUE('Capacity summary'!AF145)),0),AF26*$BI26),AF26*$BI26),0)</f>
        <v>0</v>
      </c>
      <c r="CJ26" s="313">
        <f>IF($BI26&lt;&gt;"",IF('Capacity summary'!$D$14="Yes",IF(COUNTBLANK('Capacity summary'!$H145:$BG145)&lt;52,IF('Capacity summary'!AG145&lt;&gt;"",IF(LOWER('Capacity summary'!AG145)="x",$BI26*AG26,VALUE('Capacity summary'!AG145)),0),AG26*$BI26),AG26*$BI26),0)</f>
        <v>0</v>
      </c>
      <c r="CK26" s="313">
        <f>IF($BI26&lt;&gt;"",IF('Capacity summary'!$D$14="Yes",IF(COUNTBLANK('Capacity summary'!$H145:$BG145)&lt;52,IF('Capacity summary'!AH145&lt;&gt;"",IF(LOWER('Capacity summary'!AH145)="x",$BI26*AH26,VALUE('Capacity summary'!AH145)),0),AH26*$BI26),AH26*$BI26),0)</f>
        <v>0</v>
      </c>
      <c r="CL26" s="313">
        <f>IF($BI26&lt;&gt;"",IF('Capacity summary'!$D$14="Yes",IF(COUNTBLANK('Capacity summary'!$H145:$BG145)&lt;52,IF('Capacity summary'!AI145&lt;&gt;"",IF(LOWER('Capacity summary'!AI145)="x",$BI26*AI26,VALUE('Capacity summary'!AI145)),0),AI26*$BI26),AI26*$BI26),0)</f>
        <v>0</v>
      </c>
      <c r="CM26" s="313">
        <f>IF($BI26&lt;&gt;"",IF('Capacity summary'!$D$14="Yes",IF(COUNTBLANK('Capacity summary'!$H145:$BG145)&lt;52,IF('Capacity summary'!AJ145&lt;&gt;"",IF(LOWER('Capacity summary'!AJ145)="x",$BI26*AJ26,VALUE('Capacity summary'!AJ145)),0),AJ26*$BI26),AJ26*$BI26),0)</f>
        <v>0</v>
      </c>
      <c r="CN26" s="313">
        <f>IF($BI26&lt;&gt;"",IF('Capacity summary'!$D$14="Yes",IF(COUNTBLANK('Capacity summary'!$H145:$BG145)&lt;52,IF('Capacity summary'!AK145&lt;&gt;"",IF(LOWER('Capacity summary'!AK145)="x",$BI26*AK26,VALUE('Capacity summary'!AK145)),0),AK26*$BI26),AK26*$BI26),0)</f>
        <v>0</v>
      </c>
      <c r="CO26" s="313">
        <f>IF($BI26&lt;&gt;"",IF('Capacity summary'!$D$14="Yes",IF(COUNTBLANK('Capacity summary'!$H145:$BG145)&lt;52,IF('Capacity summary'!AL145&lt;&gt;"",IF(LOWER('Capacity summary'!AL145)="x",$BI26*AL26,VALUE('Capacity summary'!AL145)),0),AL26*$BI26),AL26*$BI26),0)</f>
        <v>0</v>
      </c>
      <c r="CP26" s="313">
        <f>IF($BI26&lt;&gt;"",IF('Capacity summary'!$D$14="Yes",IF(COUNTBLANK('Capacity summary'!$H145:$BG145)&lt;52,IF('Capacity summary'!AM145&lt;&gt;"",IF(LOWER('Capacity summary'!AM145)="x",$BI26*AM26,VALUE('Capacity summary'!AM145)),0),AM26*$BI26),AM26*$BI26),0)</f>
        <v>0</v>
      </c>
      <c r="CQ26" s="313">
        <f>IF($BI26&lt;&gt;"",IF('Capacity summary'!$D$14="Yes",IF(COUNTBLANK('Capacity summary'!$H145:$BG145)&lt;52,IF('Capacity summary'!AN145&lt;&gt;"",IF(LOWER('Capacity summary'!AN145)="x",$BI26*AN26,VALUE('Capacity summary'!AN145)),0),AN26*$BI26),AN26*$BI26),0)</f>
        <v>0</v>
      </c>
      <c r="CR26" s="313">
        <f>IF($BI26&lt;&gt;"",IF('Capacity summary'!$D$14="Yes",IF(COUNTBLANK('Capacity summary'!$H145:$BG145)&lt;52,IF('Capacity summary'!AO145&lt;&gt;"",IF(LOWER('Capacity summary'!AO145)="x",$BI26*AO26,VALUE('Capacity summary'!AO145)),0),AO26*$BI26),AO26*$BI26),0)</f>
        <v>0</v>
      </c>
      <c r="CS26" s="313">
        <f>IF($BI26&lt;&gt;"",IF('Capacity summary'!$D$14="Yes",IF(COUNTBLANK('Capacity summary'!$H145:$BG145)&lt;52,IF('Capacity summary'!AP145&lt;&gt;"",IF(LOWER('Capacity summary'!AP145)="x",$BI26*AP26,VALUE('Capacity summary'!AP145)),0),AP26*$BI26),AP26*$BI26),0)</f>
        <v>0</v>
      </c>
      <c r="CT26" s="313">
        <f>IF($BI26&lt;&gt;"",IF('Capacity summary'!$D$14="Yes",IF(COUNTBLANK('Capacity summary'!$H145:$BG145)&lt;52,IF('Capacity summary'!AQ145&lt;&gt;"",IF(LOWER('Capacity summary'!AQ145)="x",$BI26*AQ26,VALUE('Capacity summary'!AQ145)),0),AQ26*$BI26),AQ26*$BI26),0)</f>
        <v>0</v>
      </c>
      <c r="CU26" s="313">
        <f>IF($BI26&lt;&gt;"",IF('Capacity summary'!$D$14="Yes",IF(COUNTBLANK('Capacity summary'!$H145:$BG145)&lt;52,IF('Capacity summary'!AR145&lt;&gt;"",IF(LOWER('Capacity summary'!AR145)="x",$BI26*AR26,VALUE('Capacity summary'!AR145)),0),AR26*$BI26),AR26*$BI26),0)</f>
        <v>0</v>
      </c>
      <c r="CV26" s="313">
        <f>IF($BI26&lt;&gt;"",IF('Capacity summary'!$D$14="Yes",IF(COUNTBLANK('Capacity summary'!$H145:$BG145)&lt;52,IF('Capacity summary'!AS145&lt;&gt;"",IF(LOWER('Capacity summary'!AS145)="x",$BI26*AS26,VALUE('Capacity summary'!AS145)),0),AS26*$BI26),AS26*$BI26),0)</f>
        <v>0</v>
      </c>
      <c r="CW26" s="313">
        <f>IF($BI26&lt;&gt;"",IF('Capacity summary'!$D$14="Yes",IF(COUNTBLANK('Capacity summary'!$H145:$BG145)&lt;52,IF('Capacity summary'!AT145&lt;&gt;"",IF(LOWER('Capacity summary'!AT145)="x",$BI26*AT26,VALUE('Capacity summary'!AT145)),0),AT26*$BI26),AT26*$BI26),0)</f>
        <v>0</v>
      </c>
      <c r="CX26" s="313">
        <f>IF($BI26&lt;&gt;"",IF('Capacity summary'!$D$14="Yes",IF(COUNTBLANK('Capacity summary'!$H145:$BG145)&lt;52,IF('Capacity summary'!AU145&lt;&gt;"",IF(LOWER('Capacity summary'!AU145)="x",$BI26*AU26,VALUE('Capacity summary'!AU145)),0),AU26*$BI26),AU26*$BI26),0)</f>
        <v>0</v>
      </c>
      <c r="CY26" s="313">
        <f>IF($BI26&lt;&gt;"",IF('Capacity summary'!$D$14="Yes",IF(COUNTBLANK('Capacity summary'!$H145:$BG145)&lt;52,IF('Capacity summary'!AV145&lt;&gt;"",IF(LOWER('Capacity summary'!AV145)="x",$BI26*AV26,VALUE('Capacity summary'!AV145)),0),AV26*$BI26),AV26*$BI26),0)</f>
        <v>0</v>
      </c>
      <c r="CZ26" s="313">
        <f>IF($BI26&lt;&gt;"",IF('Capacity summary'!$D$14="Yes",IF(COUNTBLANK('Capacity summary'!$H145:$BG145)&lt;52,IF('Capacity summary'!AW145&lt;&gt;"",IF(LOWER('Capacity summary'!AW145)="x",$BI26*AW26,VALUE('Capacity summary'!AW145)),0),AW26*$BI26),AW26*$BI26),0)</f>
        <v>0</v>
      </c>
      <c r="DA26" s="313">
        <f>IF($BI26&lt;&gt;"",IF('Capacity summary'!$D$14="Yes",IF(COUNTBLANK('Capacity summary'!$H145:$BG145)&lt;52,IF('Capacity summary'!AX145&lt;&gt;"",IF(LOWER('Capacity summary'!AX145)="x",$BI26*AX26,VALUE('Capacity summary'!AX145)),0),AX26*$BI26),AX26*$BI26),0)</f>
        <v>0</v>
      </c>
      <c r="DB26" s="313">
        <f>IF($BI26&lt;&gt;"",IF('Capacity summary'!$D$14="Yes",IF(COUNTBLANK('Capacity summary'!$H145:$BG145)&lt;52,IF('Capacity summary'!AY145&lt;&gt;"",IF(LOWER('Capacity summary'!AY145)="x",$BI26*AY26,VALUE('Capacity summary'!AY145)),0),AY26*$BI26),AY26*$BI26),0)</f>
        <v>0</v>
      </c>
      <c r="DC26" s="313">
        <f>IF($BI26&lt;&gt;"",IF('Capacity summary'!$D$14="Yes",IF(COUNTBLANK('Capacity summary'!$H145:$BG145)&lt;52,IF('Capacity summary'!AZ145&lt;&gt;"",IF(LOWER('Capacity summary'!AZ145)="x",$BI26*AZ26,VALUE('Capacity summary'!AZ145)),0),AZ26*$BI26),AZ26*$BI26),0)</f>
        <v>0</v>
      </c>
      <c r="DD26" s="313">
        <f>IF($BI26&lt;&gt;"",IF('Capacity summary'!$D$14="Yes",IF(COUNTBLANK('Capacity summary'!$H145:$BG145)&lt;52,IF('Capacity summary'!BA145&lt;&gt;"",IF(LOWER('Capacity summary'!BA145)="x",$BI26*BA26,VALUE('Capacity summary'!BA145)),0),BA26*$BI26),BA26*$BI26),0)</f>
        <v>0</v>
      </c>
      <c r="DE26" s="313">
        <f>IF($BI26&lt;&gt;"",IF('Capacity summary'!$D$14="Yes",IF(COUNTBLANK('Capacity summary'!$H145:$BG145)&lt;52,IF('Capacity summary'!BB145&lt;&gt;"",IF(LOWER('Capacity summary'!BB145)="x",$BI26*BB26,VALUE('Capacity summary'!BB145)),0),BB26*$BI26),BB26*$BI26),0)</f>
        <v>0</v>
      </c>
      <c r="DF26" s="313">
        <f>IF($BI26&lt;&gt;"",IF('Capacity summary'!$D$14="Yes",IF(COUNTBLANK('Capacity summary'!$H145:$BG145)&lt;52,IF('Capacity summary'!BC145&lt;&gt;"",IF(LOWER('Capacity summary'!BC145)="x",$BI26*BC26,VALUE('Capacity summary'!BC145)),0),BC26*$BI26),BC26*$BI26),0)</f>
        <v>0</v>
      </c>
      <c r="DG26" s="313">
        <f>IF($BI26&lt;&gt;"",IF('Capacity summary'!$D$14="Yes",IF(COUNTBLANK('Capacity summary'!$H145:$BG145)&lt;52,IF('Capacity summary'!BD145&lt;&gt;"",IF(LOWER('Capacity summary'!BD145)="x",$BI26*BD26,VALUE('Capacity summary'!BD145)),0),BD26*$BI26),BD26*$BI26),0)</f>
        <v>0</v>
      </c>
      <c r="DH26" s="313">
        <f>IF($BI26&lt;&gt;"",IF('Capacity summary'!$D$14="Yes",IF(COUNTBLANK('Capacity summary'!$H145:$BG145)&lt;52,IF('Capacity summary'!BE145&lt;&gt;"",IF(LOWER('Capacity summary'!BE145)="x",$BI26*BE26,VALUE('Capacity summary'!BE145)),0),BE26*$BI26),BE26*$BI26),0)</f>
        <v>0</v>
      </c>
      <c r="DI26" s="313">
        <f>IF($BI26&lt;&gt;"",IF('Capacity summary'!$D$14="Yes",IF(COUNTBLANK('Capacity summary'!$H145:$BG145)&lt;52,IF('Capacity summary'!BF145&lt;&gt;"",IF(LOWER('Capacity summary'!BF145)="x",$BI26*BF26,VALUE('Capacity summary'!BF145)),0),BF26*$BI26),BF26*$BI26),0)</f>
        <v>0</v>
      </c>
      <c r="DJ26" s="313">
        <f>IF($BI26&lt;&gt;"",IF('Capacity summary'!$D$14="Yes",IF(COUNTBLANK('Capacity summary'!$H145:$BG145)&lt;52,IF('Capacity summary'!BG145&lt;&gt;"",IF(LOWER('Capacity summary'!BG145)="x",$BI26*BG26,VALUE('Capacity summary'!BG145)),0),BG26*$BI26),BG26*$BI26),0)</f>
        <v>0</v>
      </c>
      <c r="DK26" s="137">
        <f t="shared" si="2"/>
        <v>0</v>
      </c>
      <c r="DL26" s="313" t="str">
        <f>Capacity!H38</f>
        <v/>
      </c>
      <c r="DP26" s="5"/>
    </row>
    <row r="27" spans="2:120" x14ac:dyDescent="0.25">
      <c r="B27" s="67"/>
      <c r="C27" s="67" t="str">
        <f>ROW(A23)&amp;". "&amp;Capacity!B39</f>
        <v xml:space="preserve">23. </v>
      </c>
      <c r="D27" s="67">
        <f>'Capacity setup'!C34</f>
        <v>0</v>
      </c>
      <c r="E27" s="67">
        <f>'Capacity setup'!D34</f>
        <v>0</v>
      </c>
      <c r="F27" s="67">
        <f>'Capacity setup'!E34</f>
        <v>0</v>
      </c>
      <c r="H27" s="67">
        <f ca="1">IF(AND(SUMIF(Capacity_Resource,$D27,'Critical resources (hide)'!U$6:U$105)+SUMIF(Capacity_Resource,$E27,'Critical resources (hide)'!U$6:U$105)+SUMIF(Capacity_Resource,$F27,'Critical resources (hide)'!U$6:U$105)&gt;0,$E$1=2),0,1)</f>
        <v>1</v>
      </c>
      <c r="I27" s="67">
        <f ca="1">IF(AND(SUMIF(Capacity_Resource,$D27,'Critical resources (hide)'!V$6:V$105)+SUMIF(Capacity_Resource,$E27,'Critical resources (hide)'!V$6:V$105)+SUMIF(Capacity_Resource,$F27,'Critical resources (hide)'!V$6:V$105)&gt;0,$E$1=2),0,1)</f>
        <v>1</v>
      </c>
      <c r="J27" s="67">
        <f ca="1">IF(AND(SUMIF(Capacity_Resource,$D27,'Critical resources (hide)'!W$6:W$105)+SUMIF(Capacity_Resource,$E27,'Critical resources (hide)'!W$6:W$105)+SUMIF(Capacity_Resource,$F27,'Critical resources (hide)'!W$6:W$105)&gt;0,$E$1=2),0,1)</f>
        <v>1</v>
      </c>
      <c r="K27" s="67">
        <f ca="1">IF(AND(SUMIF(Capacity_Resource,$D27,'Critical resources (hide)'!X$6:X$105)+SUMIF(Capacity_Resource,$E27,'Critical resources (hide)'!X$6:X$105)+SUMIF(Capacity_Resource,$F27,'Critical resources (hide)'!X$6:X$105)&gt;0,$E$1=2),0,1)</f>
        <v>1</v>
      </c>
      <c r="L27" s="67">
        <f ca="1">IF(AND(SUMIF(Capacity_Resource,$D27,'Critical resources (hide)'!Y$6:Y$105)+SUMIF(Capacity_Resource,$E27,'Critical resources (hide)'!Y$6:Y$105)+SUMIF(Capacity_Resource,$F27,'Critical resources (hide)'!Y$6:Y$105)&gt;0,$E$1=2),0,1)</f>
        <v>1</v>
      </c>
      <c r="M27" s="67">
        <f ca="1">IF(AND(SUMIF(Capacity_Resource,$D27,'Critical resources (hide)'!Z$6:Z$105)+SUMIF(Capacity_Resource,$E27,'Critical resources (hide)'!Z$6:Z$105)+SUMIF(Capacity_Resource,$F27,'Critical resources (hide)'!Z$6:Z$105)&gt;0,$E$1=2),0,1)</f>
        <v>1</v>
      </c>
      <c r="N27" s="67">
        <f ca="1">IF(AND(SUMIF(Capacity_Resource,$D27,'Critical resources (hide)'!AA$6:AA$105)+SUMIF(Capacity_Resource,$E27,'Critical resources (hide)'!AA$6:AA$105)+SUMIF(Capacity_Resource,$F27,'Critical resources (hide)'!AA$6:AA$105)&gt;0,$E$1=2),0,1)</f>
        <v>1</v>
      </c>
      <c r="O27" s="67">
        <f ca="1">IF(AND(SUMIF(Capacity_Resource,$D27,'Critical resources (hide)'!AB$6:AB$105)+SUMIF(Capacity_Resource,$E27,'Critical resources (hide)'!AB$6:AB$105)+SUMIF(Capacity_Resource,$F27,'Critical resources (hide)'!AB$6:AB$105)&gt;0,$E$1=2),0,1)</f>
        <v>1</v>
      </c>
      <c r="P27" s="67">
        <f ca="1">IF(AND(SUMIF(Capacity_Resource,$D27,'Critical resources (hide)'!AC$6:AC$105)+SUMIF(Capacity_Resource,$E27,'Critical resources (hide)'!AC$6:AC$105)+SUMIF(Capacity_Resource,$F27,'Critical resources (hide)'!AC$6:AC$105)&gt;0,$E$1=2),0,1)</f>
        <v>1</v>
      </c>
      <c r="Q27" s="67">
        <f ca="1">IF(AND(SUMIF(Capacity_Resource,$D27,'Critical resources (hide)'!AD$6:AD$105)+SUMIF(Capacity_Resource,$E27,'Critical resources (hide)'!AD$6:AD$105)+SUMIF(Capacity_Resource,$F27,'Critical resources (hide)'!AD$6:AD$105)&gt;0,$E$1=2),0,1)</f>
        <v>1</v>
      </c>
      <c r="R27" s="67">
        <f ca="1">IF(AND(SUMIF(Capacity_Resource,$D27,'Critical resources (hide)'!AE$6:AE$105)+SUMIF(Capacity_Resource,$E27,'Critical resources (hide)'!AE$6:AE$105)+SUMIF(Capacity_Resource,$F27,'Critical resources (hide)'!AE$6:AE$105)&gt;0,$E$1=2),0,1)</f>
        <v>1</v>
      </c>
      <c r="S27" s="67">
        <f ca="1">IF(AND(SUMIF(Capacity_Resource,$D27,'Critical resources (hide)'!AF$6:AF$105)+SUMIF(Capacity_Resource,$E27,'Critical resources (hide)'!AF$6:AF$105)+SUMIF(Capacity_Resource,$F27,'Critical resources (hide)'!AF$6:AF$105)&gt;0,$E$1=2),0,1)</f>
        <v>1</v>
      </c>
      <c r="T27" s="67">
        <f ca="1">IF(AND(SUMIF(Capacity_Resource,$D27,'Critical resources (hide)'!AG$6:AG$105)+SUMIF(Capacity_Resource,$E27,'Critical resources (hide)'!AG$6:AG$105)+SUMIF(Capacity_Resource,$F27,'Critical resources (hide)'!AG$6:AG$105)&gt;0,$E$1=2),0,1)</f>
        <v>1</v>
      </c>
      <c r="U27" s="67">
        <f ca="1">IF(AND(SUMIF(Capacity_Resource,$D27,'Critical resources (hide)'!AH$6:AH$105)+SUMIF(Capacity_Resource,$E27,'Critical resources (hide)'!AH$6:AH$105)+SUMIF(Capacity_Resource,$F27,'Critical resources (hide)'!AH$6:AH$105)&gt;0,$E$1=2),0,1)</f>
        <v>1</v>
      </c>
      <c r="V27" s="67">
        <f ca="1">IF(AND(SUMIF(Capacity_Resource,$D27,'Critical resources (hide)'!AI$6:AI$105)+SUMIF(Capacity_Resource,$E27,'Critical resources (hide)'!AI$6:AI$105)+SUMIF(Capacity_Resource,$F27,'Critical resources (hide)'!AI$6:AI$105)&gt;0,$E$1=2),0,1)</f>
        <v>1</v>
      </c>
      <c r="W27" s="67">
        <f ca="1">IF(AND(SUMIF(Capacity_Resource,$D27,'Critical resources (hide)'!AJ$6:AJ$105)+SUMIF(Capacity_Resource,$E27,'Critical resources (hide)'!AJ$6:AJ$105)+SUMIF(Capacity_Resource,$F27,'Critical resources (hide)'!AJ$6:AJ$105)&gt;0,$E$1=2),0,1)</f>
        <v>1</v>
      </c>
      <c r="X27" s="67">
        <f ca="1">IF(AND(SUMIF(Capacity_Resource,$D27,'Critical resources (hide)'!AK$6:AK$105)+SUMIF(Capacity_Resource,$E27,'Critical resources (hide)'!AK$6:AK$105)+SUMIF(Capacity_Resource,$F27,'Critical resources (hide)'!AK$6:AK$105)&gt;0,$E$1=2),0,1)</f>
        <v>1</v>
      </c>
      <c r="Y27" s="67">
        <f ca="1">IF(AND(SUMIF(Capacity_Resource,$D27,'Critical resources (hide)'!AL$6:AL$105)+SUMIF(Capacity_Resource,$E27,'Critical resources (hide)'!AL$6:AL$105)+SUMIF(Capacity_Resource,$F27,'Critical resources (hide)'!AL$6:AL$105)&gt;0,$E$1=2),0,1)</f>
        <v>1</v>
      </c>
      <c r="Z27" s="67">
        <f ca="1">IF(AND(SUMIF(Capacity_Resource,$D27,'Critical resources (hide)'!AM$6:AM$105)+SUMIF(Capacity_Resource,$E27,'Critical resources (hide)'!AM$6:AM$105)+SUMIF(Capacity_Resource,$F27,'Critical resources (hide)'!AM$6:AM$105)&gt;0,$E$1=2),0,1)</f>
        <v>1</v>
      </c>
      <c r="AA27" s="67">
        <f ca="1">IF(AND(SUMIF(Capacity_Resource,$D27,'Critical resources (hide)'!AN$6:AN$105)+SUMIF(Capacity_Resource,$E27,'Critical resources (hide)'!AN$6:AN$105)+SUMIF(Capacity_Resource,$F27,'Critical resources (hide)'!AN$6:AN$105)&gt;0,$E$1=2),0,1)</f>
        <v>1</v>
      </c>
      <c r="AB27" s="67">
        <f ca="1">IF(AND(SUMIF(Capacity_Resource,$D27,'Critical resources (hide)'!AO$6:AO$105)+SUMIF(Capacity_Resource,$E27,'Critical resources (hide)'!AO$6:AO$105)+SUMIF(Capacity_Resource,$F27,'Critical resources (hide)'!AO$6:AO$105)&gt;0,$E$1=2),0,1)</f>
        <v>1</v>
      </c>
      <c r="AC27" s="67">
        <f ca="1">IF(AND(SUMIF(Capacity_Resource,$D27,'Critical resources (hide)'!AP$6:AP$105)+SUMIF(Capacity_Resource,$E27,'Critical resources (hide)'!AP$6:AP$105)+SUMIF(Capacity_Resource,$F27,'Critical resources (hide)'!AP$6:AP$105)&gt;0,$E$1=2),0,1)</f>
        <v>1</v>
      </c>
      <c r="AD27" s="67">
        <f ca="1">IF(AND(SUMIF(Capacity_Resource,$D27,'Critical resources (hide)'!AQ$6:AQ$105)+SUMIF(Capacity_Resource,$E27,'Critical resources (hide)'!AQ$6:AQ$105)+SUMIF(Capacity_Resource,$F27,'Critical resources (hide)'!AQ$6:AQ$105)&gt;0,$E$1=2),0,1)</f>
        <v>1</v>
      </c>
      <c r="AE27" s="67">
        <f ca="1">IF(AND(SUMIF(Capacity_Resource,$D27,'Critical resources (hide)'!AR$6:AR$105)+SUMIF(Capacity_Resource,$E27,'Critical resources (hide)'!AR$6:AR$105)+SUMIF(Capacity_Resource,$F27,'Critical resources (hide)'!AR$6:AR$105)&gt;0,$E$1=2),0,1)</f>
        <v>1</v>
      </c>
      <c r="AF27" s="67">
        <f ca="1">IF(AND(SUMIF(Capacity_Resource,$D27,'Critical resources (hide)'!AS$6:AS$105)+SUMIF(Capacity_Resource,$E27,'Critical resources (hide)'!AS$6:AS$105)+SUMIF(Capacity_Resource,$F27,'Critical resources (hide)'!AS$6:AS$105)&gt;0,$E$1=2),0,1)</f>
        <v>1</v>
      </c>
      <c r="AG27" s="67">
        <f ca="1">IF(AND(SUMIF(Capacity_Resource,$D27,'Critical resources (hide)'!AT$6:AT$105)+SUMIF(Capacity_Resource,$E27,'Critical resources (hide)'!AT$6:AT$105)+SUMIF(Capacity_Resource,$F27,'Critical resources (hide)'!AT$6:AT$105)&gt;0,$E$1=2),0,1)</f>
        <v>1</v>
      </c>
      <c r="AH27" s="67">
        <f ca="1">IF(AND(SUMIF(Capacity_Resource,$D27,'Critical resources (hide)'!AU$6:AU$105)+SUMIF(Capacity_Resource,$E27,'Critical resources (hide)'!AU$6:AU$105)+SUMIF(Capacity_Resource,$F27,'Critical resources (hide)'!AU$6:AU$105)&gt;0,$E$1=2),0,1)</f>
        <v>1</v>
      </c>
      <c r="AI27" s="67">
        <f ca="1">IF(AND(SUMIF(Capacity_Resource,$D27,'Critical resources (hide)'!AV$6:AV$105)+SUMIF(Capacity_Resource,$E27,'Critical resources (hide)'!AV$6:AV$105)+SUMIF(Capacity_Resource,$F27,'Critical resources (hide)'!AV$6:AV$105)&gt;0,$E$1=2),0,1)</f>
        <v>1</v>
      </c>
      <c r="AJ27" s="67">
        <f ca="1">IF(AND(SUMIF(Capacity_Resource,$D27,'Critical resources (hide)'!AW$6:AW$105)+SUMIF(Capacity_Resource,$E27,'Critical resources (hide)'!AW$6:AW$105)+SUMIF(Capacity_Resource,$F27,'Critical resources (hide)'!AW$6:AW$105)&gt;0,$E$1=2),0,1)</f>
        <v>1</v>
      </c>
      <c r="AK27" s="67">
        <f ca="1">IF(AND(SUMIF(Capacity_Resource,$D27,'Critical resources (hide)'!AX$6:AX$105)+SUMIF(Capacity_Resource,$E27,'Critical resources (hide)'!AX$6:AX$105)+SUMIF(Capacity_Resource,$F27,'Critical resources (hide)'!AX$6:AX$105)&gt;0,$E$1=2),0,1)</f>
        <v>1</v>
      </c>
      <c r="AL27" s="67">
        <f ca="1">IF(AND(SUMIF(Capacity_Resource,$D27,'Critical resources (hide)'!AY$6:AY$105)+SUMIF(Capacity_Resource,$E27,'Critical resources (hide)'!AY$6:AY$105)+SUMIF(Capacity_Resource,$F27,'Critical resources (hide)'!AY$6:AY$105)&gt;0,$E$1=2),0,1)</f>
        <v>1</v>
      </c>
      <c r="AM27" s="67">
        <f ca="1">IF(AND(SUMIF(Capacity_Resource,$D27,'Critical resources (hide)'!AZ$6:AZ$105)+SUMIF(Capacity_Resource,$E27,'Critical resources (hide)'!AZ$6:AZ$105)+SUMIF(Capacity_Resource,$F27,'Critical resources (hide)'!AZ$6:AZ$105)&gt;0,$E$1=2),0,1)</f>
        <v>1</v>
      </c>
      <c r="AN27" s="67">
        <f ca="1">IF(AND(SUMIF(Capacity_Resource,$D27,'Critical resources (hide)'!BA$6:BA$105)+SUMIF(Capacity_Resource,$E27,'Critical resources (hide)'!BA$6:BA$105)+SUMIF(Capacity_Resource,$F27,'Critical resources (hide)'!BA$6:BA$105)&gt;0,$E$1=2),0,1)</f>
        <v>1</v>
      </c>
      <c r="AO27" s="67">
        <f ca="1">IF(AND(SUMIF(Capacity_Resource,$D27,'Critical resources (hide)'!BB$6:BB$105)+SUMIF(Capacity_Resource,$E27,'Critical resources (hide)'!BB$6:BB$105)+SUMIF(Capacity_Resource,$F27,'Critical resources (hide)'!BB$6:BB$105)&gt;0,$E$1=2),0,1)</f>
        <v>1</v>
      </c>
      <c r="AP27" s="67">
        <f ca="1">IF(AND(SUMIF(Capacity_Resource,$D27,'Critical resources (hide)'!BC$6:BC$105)+SUMIF(Capacity_Resource,$E27,'Critical resources (hide)'!BC$6:BC$105)+SUMIF(Capacity_Resource,$F27,'Critical resources (hide)'!BC$6:BC$105)&gt;0,$E$1=2),0,1)</f>
        <v>1</v>
      </c>
      <c r="AQ27" s="67">
        <f ca="1">IF(AND(SUMIF(Capacity_Resource,$D27,'Critical resources (hide)'!BD$6:BD$105)+SUMIF(Capacity_Resource,$E27,'Critical resources (hide)'!BD$6:BD$105)+SUMIF(Capacity_Resource,$F27,'Critical resources (hide)'!BD$6:BD$105)&gt;0,$E$1=2),0,1)</f>
        <v>1</v>
      </c>
      <c r="AR27" s="67">
        <f ca="1">IF(AND(SUMIF(Capacity_Resource,$D27,'Critical resources (hide)'!BE$6:BE$105)+SUMIF(Capacity_Resource,$E27,'Critical resources (hide)'!BE$6:BE$105)+SUMIF(Capacity_Resource,$F27,'Critical resources (hide)'!BE$6:BE$105)&gt;0,$E$1=2),0,1)</f>
        <v>1</v>
      </c>
      <c r="AS27" s="67">
        <f ca="1">IF(AND(SUMIF(Capacity_Resource,$D27,'Critical resources (hide)'!BF$6:BF$105)+SUMIF(Capacity_Resource,$E27,'Critical resources (hide)'!BF$6:BF$105)+SUMIF(Capacity_Resource,$F27,'Critical resources (hide)'!BF$6:BF$105)&gt;0,$E$1=2),0,1)</f>
        <v>1</v>
      </c>
      <c r="AT27" s="67">
        <f ca="1">IF(AND(SUMIF(Capacity_Resource,$D27,'Critical resources (hide)'!BG$6:BG$105)+SUMIF(Capacity_Resource,$E27,'Critical resources (hide)'!BG$6:BG$105)+SUMIF(Capacity_Resource,$F27,'Critical resources (hide)'!BG$6:BG$105)&gt;0,$E$1=2),0,1)</f>
        <v>1</v>
      </c>
      <c r="AU27" s="67">
        <f ca="1">IF(AND(SUMIF(Capacity_Resource,$D27,'Critical resources (hide)'!BH$6:BH$105)+SUMIF(Capacity_Resource,$E27,'Critical resources (hide)'!BH$6:BH$105)+SUMIF(Capacity_Resource,$F27,'Critical resources (hide)'!BH$6:BH$105)&gt;0,$E$1=2),0,1)</f>
        <v>1</v>
      </c>
      <c r="AV27" s="67">
        <f ca="1">IF(AND(SUMIF(Capacity_Resource,$D27,'Critical resources (hide)'!BI$6:BI$105)+SUMIF(Capacity_Resource,$E27,'Critical resources (hide)'!BI$6:BI$105)+SUMIF(Capacity_Resource,$F27,'Critical resources (hide)'!BI$6:BI$105)&gt;0,$E$1=2),0,1)</f>
        <v>1</v>
      </c>
      <c r="AW27" s="67">
        <f ca="1">IF(AND(SUMIF(Capacity_Resource,$D27,'Critical resources (hide)'!BJ$6:BJ$105)+SUMIF(Capacity_Resource,$E27,'Critical resources (hide)'!BJ$6:BJ$105)+SUMIF(Capacity_Resource,$F27,'Critical resources (hide)'!BJ$6:BJ$105)&gt;0,$E$1=2),0,1)</f>
        <v>1</v>
      </c>
      <c r="AX27" s="67">
        <f ca="1">IF(AND(SUMIF(Capacity_Resource,$D27,'Critical resources (hide)'!BK$6:BK$105)+SUMIF(Capacity_Resource,$E27,'Critical resources (hide)'!BK$6:BK$105)+SUMIF(Capacity_Resource,$F27,'Critical resources (hide)'!BK$6:BK$105)&gt;0,$E$1=2),0,1)</f>
        <v>1</v>
      </c>
      <c r="AY27" s="67">
        <f ca="1">IF(AND(SUMIF(Capacity_Resource,$D27,'Critical resources (hide)'!BL$6:BL$105)+SUMIF(Capacity_Resource,$E27,'Critical resources (hide)'!BL$6:BL$105)+SUMIF(Capacity_Resource,$F27,'Critical resources (hide)'!BL$6:BL$105)&gt;0,$E$1=2),0,1)</f>
        <v>1</v>
      </c>
      <c r="AZ27" s="67">
        <f ca="1">IF(AND(SUMIF(Capacity_Resource,$D27,'Critical resources (hide)'!BM$6:BM$105)+SUMIF(Capacity_Resource,$E27,'Critical resources (hide)'!BM$6:BM$105)+SUMIF(Capacity_Resource,$F27,'Critical resources (hide)'!BM$6:BM$105)&gt;0,$E$1=2),0,1)</f>
        <v>1</v>
      </c>
      <c r="BA27" s="67">
        <f ca="1">IF(AND(SUMIF(Capacity_Resource,$D27,'Critical resources (hide)'!BN$6:BN$105)+SUMIF(Capacity_Resource,$E27,'Critical resources (hide)'!BN$6:BN$105)+SUMIF(Capacity_Resource,$F27,'Critical resources (hide)'!BN$6:BN$105)&gt;0,$E$1=2),0,1)</f>
        <v>1</v>
      </c>
      <c r="BB27" s="67">
        <f ca="1">IF(AND(SUMIF(Capacity_Resource,$D27,'Critical resources (hide)'!BO$6:BO$105)+SUMIF(Capacity_Resource,$E27,'Critical resources (hide)'!BO$6:BO$105)+SUMIF(Capacity_Resource,$F27,'Critical resources (hide)'!BO$6:BO$105)&gt;0,$E$1=2),0,1)</f>
        <v>1</v>
      </c>
      <c r="BC27" s="67">
        <f ca="1">IF(AND(SUMIF(Capacity_Resource,$D27,'Critical resources (hide)'!BP$6:BP$105)+SUMIF(Capacity_Resource,$E27,'Critical resources (hide)'!BP$6:BP$105)+SUMIF(Capacity_Resource,$F27,'Critical resources (hide)'!BP$6:BP$105)&gt;0,$E$1=2),0,1)</f>
        <v>1</v>
      </c>
      <c r="BD27" s="67">
        <f ca="1">IF(AND(SUMIF(Capacity_Resource,$D27,'Critical resources (hide)'!BQ$6:BQ$105)+SUMIF(Capacity_Resource,$E27,'Critical resources (hide)'!BQ$6:BQ$105)+SUMIF(Capacity_Resource,$F27,'Critical resources (hide)'!BQ$6:BQ$105)&gt;0,$E$1=2),0,1)</f>
        <v>1</v>
      </c>
      <c r="BE27" s="67">
        <f ca="1">IF(AND(SUMIF(Capacity_Resource,$D27,'Critical resources (hide)'!BR$6:BR$105)+SUMIF(Capacity_Resource,$E27,'Critical resources (hide)'!BR$6:BR$105)+SUMIF(Capacity_Resource,$F27,'Critical resources (hide)'!BR$6:BR$105)&gt;0,$E$1=2),0,1)</f>
        <v>1</v>
      </c>
      <c r="BF27" s="67">
        <f ca="1">IF(AND(SUMIF(Capacity_Resource,$D27,'Critical resources (hide)'!BS$6:BS$105)+SUMIF(Capacity_Resource,$E27,'Critical resources (hide)'!BS$6:BS$105)+SUMIF(Capacity_Resource,$F27,'Critical resources (hide)'!BS$6:BS$105)&gt;0,$E$1=2),0,1)</f>
        <v>1</v>
      </c>
      <c r="BG27" s="67">
        <f ca="1">IF(AND(SUMIF(Capacity_Resource,$D27,'Critical resources (hide)'!BT$6:BT$105)+SUMIF(Capacity_Resource,$E27,'Critical resources (hide)'!BT$6:BT$105)+SUMIF(Capacity_Resource,$F27,'Critical resources (hide)'!BT$6:BT$105)&gt;0,$E$1=2),0,1)</f>
        <v>1</v>
      </c>
      <c r="BH27" s="67">
        <f>IF(ROW(C23)&lt;=Capacity!$A$16,IF('Capacity summary'!$D$14="No",SUM(H27:BG27),'Capacity summary'!$E146),0)</f>
        <v>0</v>
      </c>
      <c r="BI27" s="5" t="str">
        <f>IF(BH27&gt;0,IF(BH27&lt;Capacity!E39,Capacity!F39,Capacity!H39/'Capacity calculation (hide)'!BH27),"")</f>
        <v/>
      </c>
      <c r="BK27" s="313">
        <f>IF($BI27&lt;&gt;"",IF('Capacity summary'!$D$14="Yes",IF(COUNTBLANK('Capacity summary'!$H146:$BG146)&lt;52,IF('Capacity summary'!H146&lt;&gt;"",IF(LOWER('Capacity summary'!H146)="x",$BI27*H27,VALUE('Capacity summary'!H146)),0),H27*$BI27),H27*$BI27),0)</f>
        <v>0</v>
      </c>
      <c r="BL27" s="313">
        <f>IF($BI27&lt;&gt;"",IF('Capacity summary'!$D$14="Yes",IF(COUNTBLANK('Capacity summary'!$H146:$BG146)&lt;52,IF('Capacity summary'!I146&lt;&gt;"",IF(LOWER('Capacity summary'!I146)="x",$BI27*I27,VALUE('Capacity summary'!I146)),0),I27*$BI27),I27*$BI27),0)</f>
        <v>0</v>
      </c>
      <c r="BM27" s="313">
        <f>IF($BI27&lt;&gt;"",IF('Capacity summary'!$D$14="Yes",IF(COUNTBLANK('Capacity summary'!$H146:$BG146)&lt;52,IF('Capacity summary'!J146&lt;&gt;"",IF(LOWER('Capacity summary'!J146)="x",$BI27*J27,VALUE('Capacity summary'!J146)),0),J27*$BI27),J27*$BI27),0)</f>
        <v>0</v>
      </c>
      <c r="BN27" s="313">
        <f>IF($BI27&lt;&gt;"",IF('Capacity summary'!$D$14="Yes",IF(COUNTBLANK('Capacity summary'!$H146:$BG146)&lt;52,IF('Capacity summary'!K146&lt;&gt;"",IF(LOWER('Capacity summary'!K146)="x",$BI27*K27,VALUE('Capacity summary'!K146)),0),K27*$BI27),K27*$BI27),0)</f>
        <v>0</v>
      </c>
      <c r="BO27" s="313">
        <f>IF($BI27&lt;&gt;"",IF('Capacity summary'!$D$14="Yes",IF(COUNTBLANK('Capacity summary'!$H146:$BG146)&lt;52,IF('Capacity summary'!L146&lt;&gt;"",IF(LOWER('Capacity summary'!L146)="x",$BI27*L27,VALUE('Capacity summary'!L146)),0),L27*$BI27),L27*$BI27),0)</f>
        <v>0</v>
      </c>
      <c r="BP27" s="313">
        <f>IF($BI27&lt;&gt;"",IF('Capacity summary'!$D$14="Yes",IF(COUNTBLANK('Capacity summary'!$H146:$BG146)&lt;52,IF('Capacity summary'!M146&lt;&gt;"",IF(LOWER('Capacity summary'!M146)="x",$BI27*M27,VALUE('Capacity summary'!M146)),0),M27*$BI27),M27*$BI27),0)</f>
        <v>0</v>
      </c>
      <c r="BQ27" s="313">
        <f>IF($BI27&lt;&gt;"",IF('Capacity summary'!$D$14="Yes",IF(COUNTBLANK('Capacity summary'!$H146:$BG146)&lt;52,IF('Capacity summary'!N146&lt;&gt;"",IF(LOWER('Capacity summary'!N146)="x",$BI27*N27,VALUE('Capacity summary'!N146)),0),N27*$BI27),N27*$BI27),0)</f>
        <v>0</v>
      </c>
      <c r="BR27" s="313">
        <f>IF($BI27&lt;&gt;"",IF('Capacity summary'!$D$14="Yes",IF(COUNTBLANK('Capacity summary'!$H146:$BG146)&lt;52,IF('Capacity summary'!O146&lt;&gt;"",IF(LOWER('Capacity summary'!O146)="x",$BI27*O27,VALUE('Capacity summary'!O146)),0),O27*$BI27),O27*$BI27),0)</f>
        <v>0</v>
      </c>
      <c r="BS27" s="313">
        <f>IF($BI27&lt;&gt;"",IF('Capacity summary'!$D$14="Yes",IF(COUNTBLANK('Capacity summary'!$H146:$BG146)&lt;52,IF('Capacity summary'!P146&lt;&gt;"",IF(LOWER('Capacity summary'!P146)="x",$BI27*P27,VALUE('Capacity summary'!P146)),0),P27*$BI27),P27*$BI27),0)</f>
        <v>0</v>
      </c>
      <c r="BT27" s="313">
        <f>IF($BI27&lt;&gt;"",IF('Capacity summary'!$D$14="Yes",IF(COUNTBLANK('Capacity summary'!$H146:$BG146)&lt;52,IF('Capacity summary'!Q146&lt;&gt;"",IF(LOWER('Capacity summary'!Q146)="x",$BI27*Q27,VALUE('Capacity summary'!Q146)),0),Q27*$BI27),Q27*$BI27),0)</f>
        <v>0</v>
      </c>
      <c r="BU27" s="313">
        <f>IF($BI27&lt;&gt;"",IF('Capacity summary'!$D$14="Yes",IF(COUNTBLANK('Capacity summary'!$H146:$BG146)&lt;52,IF('Capacity summary'!R146&lt;&gt;"",IF(LOWER('Capacity summary'!R146)="x",$BI27*R27,VALUE('Capacity summary'!R146)),0),R27*$BI27),R27*$BI27),0)</f>
        <v>0</v>
      </c>
      <c r="BV27" s="313">
        <f>IF($BI27&lt;&gt;"",IF('Capacity summary'!$D$14="Yes",IF(COUNTBLANK('Capacity summary'!$H146:$BG146)&lt;52,IF('Capacity summary'!S146&lt;&gt;"",IF(LOWER('Capacity summary'!S146)="x",$BI27*S27,VALUE('Capacity summary'!S146)),0),S27*$BI27),S27*$BI27),0)</f>
        <v>0</v>
      </c>
      <c r="BW27" s="313">
        <f>IF($BI27&lt;&gt;"",IF('Capacity summary'!$D$14="Yes",IF(COUNTBLANK('Capacity summary'!$H146:$BG146)&lt;52,IF('Capacity summary'!T146&lt;&gt;"",IF(LOWER('Capacity summary'!T146)="x",$BI27*T27,VALUE('Capacity summary'!T146)),0),T27*$BI27),T27*$BI27),0)</f>
        <v>0</v>
      </c>
      <c r="BX27" s="313">
        <f>IF($BI27&lt;&gt;"",IF('Capacity summary'!$D$14="Yes",IF(COUNTBLANK('Capacity summary'!$H146:$BG146)&lt;52,IF('Capacity summary'!U146&lt;&gt;"",IF(LOWER('Capacity summary'!U146)="x",$BI27*U27,VALUE('Capacity summary'!U146)),0),U27*$BI27),U27*$BI27),0)</f>
        <v>0</v>
      </c>
      <c r="BY27" s="313">
        <f>IF($BI27&lt;&gt;"",IF('Capacity summary'!$D$14="Yes",IF(COUNTBLANK('Capacity summary'!$H146:$BG146)&lt;52,IF('Capacity summary'!V146&lt;&gt;"",IF(LOWER('Capacity summary'!V146)="x",$BI27*V27,VALUE('Capacity summary'!V146)),0),V27*$BI27),V27*$BI27),0)</f>
        <v>0</v>
      </c>
      <c r="BZ27" s="313">
        <f>IF($BI27&lt;&gt;"",IF('Capacity summary'!$D$14="Yes",IF(COUNTBLANK('Capacity summary'!$H146:$BG146)&lt;52,IF('Capacity summary'!W146&lt;&gt;"",IF(LOWER('Capacity summary'!W146)="x",$BI27*W27,VALUE('Capacity summary'!W146)),0),W27*$BI27),W27*$BI27),0)</f>
        <v>0</v>
      </c>
      <c r="CA27" s="313">
        <f>IF($BI27&lt;&gt;"",IF('Capacity summary'!$D$14="Yes",IF(COUNTBLANK('Capacity summary'!$H146:$BG146)&lt;52,IF('Capacity summary'!X146&lt;&gt;"",IF(LOWER('Capacity summary'!X146)="x",$BI27*X27,VALUE('Capacity summary'!X146)),0),X27*$BI27),X27*$BI27),0)</f>
        <v>0</v>
      </c>
      <c r="CB27" s="313">
        <f>IF($BI27&lt;&gt;"",IF('Capacity summary'!$D$14="Yes",IF(COUNTBLANK('Capacity summary'!$H146:$BG146)&lt;52,IF('Capacity summary'!Y146&lt;&gt;"",IF(LOWER('Capacity summary'!Y146)="x",$BI27*Y27,VALUE('Capacity summary'!Y146)),0),Y27*$BI27),Y27*$BI27),0)</f>
        <v>0</v>
      </c>
      <c r="CC27" s="313">
        <f>IF($BI27&lt;&gt;"",IF('Capacity summary'!$D$14="Yes",IF(COUNTBLANK('Capacity summary'!$H146:$BG146)&lt;52,IF('Capacity summary'!Z146&lt;&gt;"",IF(LOWER('Capacity summary'!Z146)="x",$BI27*Z27,VALUE('Capacity summary'!Z146)),0),Z27*$BI27),Z27*$BI27),0)</f>
        <v>0</v>
      </c>
      <c r="CD27" s="313">
        <f>IF($BI27&lt;&gt;"",IF('Capacity summary'!$D$14="Yes",IF(COUNTBLANK('Capacity summary'!$H146:$BG146)&lt;52,IF('Capacity summary'!AA146&lt;&gt;"",IF(LOWER('Capacity summary'!AA146)="x",$BI27*AA27,VALUE('Capacity summary'!AA146)),0),AA27*$BI27),AA27*$BI27),0)</f>
        <v>0</v>
      </c>
      <c r="CE27" s="313">
        <f>IF($BI27&lt;&gt;"",IF('Capacity summary'!$D$14="Yes",IF(COUNTBLANK('Capacity summary'!$H146:$BG146)&lt;52,IF('Capacity summary'!AB146&lt;&gt;"",IF(LOWER('Capacity summary'!AB146)="x",$BI27*AB27,VALUE('Capacity summary'!AB146)),0),AB27*$BI27),AB27*$BI27),0)</f>
        <v>0</v>
      </c>
      <c r="CF27" s="313">
        <f>IF($BI27&lt;&gt;"",IF('Capacity summary'!$D$14="Yes",IF(COUNTBLANK('Capacity summary'!$H146:$BG146)&lt;52,IF('Capacity summary'!AC146&lt;&gt;"",IF(LOWER('Capacity summary'!AC146)="x",$BI27*AC27,VALUE('Capacity summary'!AC146)),0),AC27*$BI27),AC27*$BI27),0)</f>
        <v>0</v>
      </c>
      <c r="CG27" s="313">
        <f>IF($BI27&lt;&gt;"",IF('Capacity summary'!$D$14="Yes",IF(COUNTBLANK('Capacity summary'!$H146:$BG146)&lt;52,IF('Capacity summary'!AD146&lt;&gt;"",IF(LOWER('Capacity summary'!AD146)="x",$BI27*AD27,VALUE('Capacity summary'!AD146)),0),AD27*$BI27),AD27*$BI27),0)</f>
        <v>0</v>
      </c>
      <c r="CH27" s="313">
        <f>IF($BI27&lt;&gt;"",IF('Capacity summary'!$D$14="Yes",IF(COUNTBLANK('Capacity summary'!$H146:$BG146)&lt;52,IF('Capacity summary'!AE146&lt;&gt;"",IF(LOWER('Capacity summary'!AE146)="x",$BI27*AE27,VALUE('Capacity summary'!AE146)),0),AE27*$BI27),AE27*$BI27),0)</f>
        <v>0</v>
      </c>
      <c r="CI27" s="313">
        <f>IF($BI27&lt;&gt;"",IF('Capacity summary'!$D$14="Yes",IF(COUNTBLANK('Capacity summary'!$H146:$BG146)&lt;52,IF('Capacity summary'!AF146&lt;&gt;"",IF(LOWER('Capacity summary'!AF146)="x",$BI27*AF27,VALUE('Capacity summary'!AF146)),0),AF27*$BI27),AF27*$BI27),0)</f>
        <v>0</v>
      </c>
      <c r="CJ27" s="313">
        <f>IF($BI27&lt;&gt;"",IF('Capacity summary'!$D$14="Yes",IF(COUNTBLANK('Capacity summary'!$H146:$BG146)&lt;52,IF('Capacity summary'!AG146&lt;&gt;"",IF(LOWER('Capacity summary'!AG146)="x",$BI27*AG27,VALUE('Capacity summary'!AG146)),0),AG27*$BI27),AG27*$BI27),0)</f>
        <v>0</v>
      </c>
      <c r="CK27" s="313">
        <f>IF($BI27&lt;&gt;"",IF('Capacity summary'!$D$14="Yes",IF(COUNTBLANK('Capacity summary'!$H146:$BG146)&lt;52,IF('Capacity summary'!AH146&lt;&gt;"",IF(LOWER('Capacity summary'!AH146)="x",$BI27*AH27,VALUE('Capacity summary'!AH146)),0),AH27*$BI27),AH27*$BI27),0)</f>
        <v>0</v>
      </c>
      <c r="CL27" s="313">
        <f>IF($BI27&lt;&gt;"",IF('Capacity summary'!$D$14="Yes",IF(COUNTBLANK('Capacity summary'!$H146:$BG146)&lt;52,IF('Capacity summary'!AI146&lt;&gt;"",IF(LOWER('Capacity summary'!AI146)="x",$BI27*AI27,VALUE('Capacity summary'!AI146)),0),AI27*$BI27),AI27*$BI27),0)</f>
        <v>0</v>
      </c>
      <c r="CM27" s="313">
        <f>IF($BI27&lt;&gt;"",IF('Capacity summary'!$D$14="Yes",IF(COUNTBLANK('Capacity summary'!$H146:$BG146)&lt;52,IF('Capacity summary'!AJ146&lt;&gt;"",IF(LOWER('Capacity summary'!AJ146)="x",$BI27*AJ27,VALUE('Capacity summary'!AJ146)),0),AJ27*$BI27),AJ27*$BI27),0)</f>
        <v>0</v>
      </c>
      <c r="CN27" s="313">
        <f>IF($BI27&lt;&gt;"",IF('Capacity summary'!$D$14="Yes",IF(COUNTBLANK('Capacity summary'!$H146:$BG146)&lt;52,IF('Capacity summary'!AK146&lt;&gt;"",IF(LOWER('Capacity summary'!AK146)="x",$BI27*AK27,VALUE('Capacity summary'!AK146)),0),AK27*$BI27),AK27*$BI27),0)</f>
        <v>0</v>
      </c>
      <c r="CO27" s="313">
        <f>IF($BI27&lt;&gt;"",IF('Capacity summary'!$D$14="Yes",IF(COUNTBLANK('Capacity summary'!$H146:$BG146)&lt;52,IF('Capacity summary'!AL146&lt;&gt;"",IF(LOWER('Capacity summary'!AL146)="x",$BI27*AL27,VALUE('Capacity summary'!AL146)),0),AL27*$BI27),AL27*$BI27),0)</f>
        <v>0</v>
      </c>
      <c r="CP27" s="313">
        <f>IF($BI27&lt;&gt;"",IF('Capacity summary'!$D$14="Yes",IF(COUNTBLANK('Capacity summary'!$H146:$BG146)&lt;52,IF('Capacity summary'!AM146&lt;&gt;"",IF(LOWER('Capacity summary'!AM146)="x",$BI27*AM27,VALUE('Capacity summary'!AM146)),0),AM27*$BI27),AM27*$BI27),0)</f>
        <v>0</v>
      </c>
      <c r="CQ27" s="313">
        <f>IF($BI27&lt;&gt;"",IF('Capacity summary'!$D$14="Yes",IF(COUNTBLANK('Capacity summary'!$H146:$BG146)&lt;52,IF('Capacity summary'!AN146&lt;&gt;"",IF(LOWER('Capacity summary'!AN146)="x",$BI27*AN27,VALUE('Capacity summary'!AN146)),0),AN27*$BI27),AN27*$BI27),0)</f>
        <v>0</v>
      </c>
      <c r="CR27" s="313">
        <f>IF($BI27&lt;&gt;"",IF('Capacity summary'!$D$14="Yes",IF(COUNTBLANK('Capacity summary'!$H146:$BG146)&lt;52,IF('Capacity summary'!AO146&lt;&gt;"",IF(LOWER('Capacity summary'!AO146)="x",$BI27*AO27,VALUE('Capacity summary'!AO146)),0),AO27*$BI27),AO27*$BI27),0)</f>
        <v>0</v>
      </c>
      <c r="CS27" s="313">
        <f>IF($BI27&lt;&gt;"",IF('Capacity summary'!$D$14="Yes",IF(COUNTBLANK('Capacity summary'!$H146:$BG146)&lt;52,IF('Capacity summary'!AP146&lt;&gt;"",IF(LOWER('Capacity summary'!AP146)="x",$BI27*AP27,VALUE('Capacity summary'!AP146)),0),AP27*$BI27),AP27*$BI27),0)</f>
        <v>0</v>
      </c>
      <c r="CT27" s="313">
        <f>IF($BI27&lt;&gt;"",IF('Capacity summary'!$D$14="Yes",IF(COUNTBLANK('Capacity summary'!$H146:$BG146)&lt;52,IF('Capacity summary'!AQ146&lt;&gt;"",IF(LOWER('Capacity summary'!AQ146)="x",$BI27*AQ27,VALUE('Capacity summary'!AQ146)),0),AQ27*$BI27),AQ27*$BI27),0)</f>
        <v>0</v>
      </c>
      <c r="CU27" s="313">
        <f>IF($BI27&lt;&gt;"",IF('Capacity summary'!$D$14="Yes",IF(COUNTBLANK('Capacity summary'!$H146:$BG146)&lt;52,IF('Capacity summary'!AR146&lt;&gt;"",IF(LOWER('Capacity summary'!AR146)="x",$BI27*AR27,VALUE('Capacity summary'!AR146)),0),AR27*$BI27),AR27*$BI27),0)</f>
        <v>0</v>
      </c>
      <c r="CV27" s="313">
        <f>IF($BI27&lt;&gt;"",IF('Capacity summary'!$D$14="Yes",IF(COUNTBLANK('Capacity summary'!$H146:$BG146)&lt;52,IF('Capacity summary'!AS146&lt;&gt;"",IF(LOWER('Capacity summary'!AS146)="x",$BI27*AS27,VALUE('Capacity summary'!AS146)),0),AS27*$BI27),AS27*$BI27),0)</f>
        <v>0</v>
      </c>
      <c r="CW27" s="313">
        <f>IF($BI27&lt;&gt;"",IF('Capacity summary'!$D$14="Yes",IF(COUNTBLANK('Capacity summary'!$H146:$BG146)&lt;52,IF('Capacity summary'!AT146&lt;&gt;"",IF(LOWER('Capacity summary'!AT146)="x",$BI27*AT27,VALUE('Capacity summary'!AT146)),0),AT27*$BI27),AT27*$BI27),0)</f>
        <v>0</v>
      </c>
      <c r="CX27" s="313">
        <f>IF($BI27&lt;&gt;"",IF('Capacity summary'!$D$14="Yes",IF(COUNTBLANK('Capacity summary'!$H146:$BG146)&lt;52,IF('Capacity summary'!AU146&lt;&gt;"",IF(LOWER('Capacity summary'!AU146)="x",$BI27*AU27,VALUE('Capacity summary'!AU146)),0),AU27*$BI27),AU27*$BI27),0)</f>
        <v>0</v>
      </c>
      <c r="CY27" s="313">
        <f>IF($BI27&lt;&gt;"",IF('Capacity summary'!$D$14="Yes",IF(COUNTBLANK('Capacity summary'!$H146:$BG146)&lt;52,IF('Capacity summary'!AV146&lt;&gt;"",IF(LOWER('Capacity summary'!AV146)="x",$BI27*AV27,VALUE('Capacity summary'!AV146)),0),AV27*$BI27),AV27*$BI27),0)</f>
        <v>0</v>
      </c>
      <c r="CZ27" s="313">
        <f>IF($BI27&lt;&gt;"",IF('Capacity summary'!$D$14="Yes",IF(COUNTBLANK('Capacity summary'!$H146:$BG146)&lt;52,IF('Capacity summary'!AW146&lt;&gt;"",IF(LOWER('Capacity summary'!AW146)="x",$BI27*AW27,VALUE('Capacity summary'!AW146)),0),AW27*$BI27),AW27*$BI27),0)</f>
        <v>0</v>
      </c>
      <c r="DA27" s="313">
        <f>IF($BI27&lt;&gt;"",IF('Capacity summary'!$D$14="Yes",IF(COUNTBLANK('Capacity summary'!$H146:$BG146)&lt;52,IF('Capacity summary'!AX146&lt;&gt;"",IF(LOWER('Capacity summary'!AX146)="x",$BI27*AX27,VALUE('Capacity summary'!AX146)),0),AX27*$BI27),AX27*$BI27),0)</f>
        <v>0</v>
      </c>
      <c r="DB27" s="313">
        <f>IF($BI27&lt;&gt;"",IF('Capacity summary'!$D$14="Yes",IF(COUNTBLANK('Capacity summary'!$H146:$BG146)&lt;52,IF('Capacity summary'!AY146&lt;&gt;"",IF(LOWER('Capacity summary'!AY146)="x",$BI27*AY27,VALUE('Capacity summary'!AY146)),0),AY27*$BI27),AY27*$BI27),0)</f>
        <v>0</v>
      </c>
      <c r="DC27" s="313">
        <f>IF($BI27&lt;&gt;"",IF('Capacity summary'!$D$14="Yes",IF(COUNTBLANK('Capacity summary'!$H146:$BG146)&lt;52,IF('Capacity summary'!AZ146&lt;&gt;"",IF(LOWER('Capacity summary'!AZ146)="x",$BI27*AZ27,VALUE('Capacity summary'!AZ146)),0),AZ27*$BI27),AZ27*$BI27),0)</f>
        <v>0</v>
      </c>
      <c r="DD27" s="313">
        <f>IF($BI27&lt;&gt;"",IF('Capacity summary'!$D$14="Yes",IF(COUNTBLANK('Capacity summary'!$H146:$BG146)&lt;52,IF('Capacity summary'!BA146&lt;&gt;"",IF(LOWER('Capacity summary'!BA146)="x",$BI27*BA27,VALUE('Capacity summary'!BA146)),0),BA27*$BI27),BA27*$BI27),0)</f>
        <v>0</v>
      </c>
      <c r="DE27" s="313">
        <f>IF($BI27&lt;&gt;"",IF('Capacity summary'!$D$14="Yes",IF(COUNTBLANK('Capacity summary'!$H146:$BG146)&lt;52,IF('Capacity summary'!BB146&lt;&gt;"",IF(LOWER('Capacity summary'!BB146)="x",$BI27*BB27,VALUE('Capacity summary'!BB146)),0),BB27*$BI27),BB27*$BI27),0)</f>
        <v>0</v>
      </c>
      <c r="DF27" s="313">
        <f>IF($BI27&lt;&gt;"",IF('Capacity summary'!$D$14="Yes",IF(COUNTBLANK('Capacity summary'!$H146:$BG146)&lt;52,IF('Capacity summary'!BC146&lt;&gt;"",IF(LOWER('Capacity summary'!BC146)="x",$BI27*BC27,VALUE('Capacity summary'!BC146)),0),BC27*$BI27),BC27*$BI27),0)</f>
        <v>0</v>
      </c>
      <c r="DG27" s="313">
        <f>IF($BI27&lt;&gt;"",IF('Capacity summary'!$D$14="Yes",IF(COUNTBLANK('Capacity summary'!$H146:$BG146)&lt;52,IF('Capacity summary'!BD146&lt;&gt;"",IF(LOWER('Capacity summary'!BD146)="x",$BI27*BD27,VALUE('Capacity summary'!BD146)),0),BD27*$BI27),BD27*$BI27),0)</f>
        <v>0</v>
      </c>
      <c r="DH27" s="313">
        <f>IF($BI27&lt;&gt;"",IF('Capacity summary'!$D$14="Yes",IF(COUNTBLANK('Capacity summary'!$H146:$BG146)&lt;52,IF('Capacity summary'!BE146&lt;&gt;"",IF(LOWER('Capacity summary'!BE146)="x",$BI27*BE27,VALUE('Capacity summary'!BE146)),0),BE27*$BI27),BE27*$BI27),0)</f>
        <v>0</v>
      </c>
      <c r="DI27" s="313">
        <f>IF($BI27&lt;&gt;"",IF('Capacity summary'!$D$14="Yes",IF(COUNTBLANK('Capacity summary'!$H146:$BG146)&lt;52,IF('Capacity summary'!BF146&lt;&gt;"",IF(LOWER('Capacity summary'!BF146)="x",$BI27*BF27,VALUE('Capacity summary'!BF146)),0),BF27*$BI27),BF27*$BI27),0)</f>
        <v>0</v>
      </c>
      <c r="DJ27" s="313">
        <f>IF($BI27&lt;&gt;"",IF('Capacity summary'!$D$14="Yes",IF(COUNTBLANK('Capacity summary'!$H146:$BG146)&lt;52,IF('Capacity summary'!BG146&lt;&gt;"",IF(LOWER('Capacity summary'!BG146)="x",$BI27*BG27,VALUE('Capacity summary'!BG146)),0),BG27*$BI27),BG27*$BI27),0)</f>
        <v>0</v>
      </c>
      <c r="DK27" s="137">
        <f t="shared" si="2"/>
        <v>0</v>
      </c>
      <c r="DL27" s="313" t="str">
        <f>Capacity!H39</f>
        <v/>
      </c>
      <c r="DP27" s="5"/>
    </row>
    <row r="28" spans="2:120" x14ac:dyDescent="0.25">
      <c r="B28" s="67"/>
      <c r="C28" s="67" t="str">
        <f>ROW(A24)&amp;". "&amp;Capacity!B40</f>
        <v xml:space="preserve">24. </v>
      </c>
      <c r="D28" s="67">
        <f>'Capacity setup'!C35</f>
        <v>0</v>
      </c>
      <c r="E28" s="67">
        <f>'Capacity setup'!D35</f>
        <v>0</v>
      </c>
      <c r="F28" s="67">
        <f>'Capacity setup'!E35</f>
        <v>0</v>
      </c>
      <c r="H28" s="67">
        <f ca="1">IF(AND(SUMIF(Capacity_Resource,$D28,'Critical resources (hide)'!U$6:U$105)+SUMIF(Capacity_Resource,$E28,'Critical resources (hide)'!U$6:U$105)+SUMIF(Capacity_Resource,$F28,'Critical resources (hide)'!U$6:U$105)&gt;0,$E$1=2),0,1)</f>
        <v>1</v>
      </c>
      <c r="I28" s="67">
        <f ca="1">IF(AND(SUMIF(Capacity_Resource,$D28,'Critical resources (hide)'!V$6:V$105)+SUMIF(Capacity_Resource,$E28,'Critical resources (hide)'!V$6:V$105)+SUMIF(Capacity_Resource,$F28,'Critical resources (hide)'!V$6:V$105)&gt;0,$E$1=2),0,1)</f>
        <v>1</v>
      </c>
      <c r="J28" s="67">
        <f ca="1">IF(AND(SUMIF(Capacity_Resource,$D28,'Critical resources (hide)'!W$6:W$105)+SUMIF(Capacity_Resource,$E28,'Critical resources (hide)'!W$6:W$105)+SUMIF(Capacity_Resource,$F28,'Critical resources (hide)'!W$6:W$105)&gt;0,$E$1=2),0,1)</f>
        <v>1</v>
      </c>
      <c r="K28" s="67">
        <f ca="1">IF(AND(SUMIF(Capacity_Resource,$D28,'Critical resources (hide)'!X$6:X$105)+SUMIF(Capacity_Resource,$E28,'Critical resources (hide)'!X$6:X$105)+SUMIF(Capacity_Resource,$F28,'Critical resources (hide)'!X$6:X$105)&gt;0,$E$1=2),0,1)</f>
        <v>1</v>
      </c>
      <c r="L28" s="67">
        <f ca="1">IF(AND(SUMIF(Capacity_Resource,$D28,'Critical resources (hide)'!Y$6:Y$105)+SUMIF(Capacity_Resource,$E28,'Critical resources (hide)'!Y$6:Y$105)+SUMIF(Capacity_Resource,$F28,'Critical resources (hide)'!Y$6:Y$105)&gt;0,$E$1=2),0,1)</f>
        <v>1</v>
      </c>
      <c r="M28" s="67">
        <f ca="1">IF(AND(SUMIF(Capacity_Resource,$D28,'Critical resources (hide)'!Z$6:Z$105)+SUMIF(Capacity_Resource,$E28,'Critical resources (hide)'!Z$6:Z$105)+SUMIF(Capacity_Resource,$F28,'Critical resources (hide)'!Z$6:Z$105)&gt;0,$E$1=2),0,1)</f>
        <v>1</v>
      </c>
      <c r="N28" s="67">
        <f ca="1">IF(AND(SUMIF(Capacity_Resource,$D28,'Critical resources (hide)'!AA$6:AA$105)+SUMIF(Capacity_Resource,$E28,'Critical resources (hide)'!AA$6:AA$105)+SUMIF(Capacity_Resource,$F28,'Critical resources (hide)'!AA$6:AA$105)&gt;0,$E$1=2),0,1)</f>
        <v>1</v>
      </c>
      <c r="O28" s="67">
        <f ca="1">IF(AND(SUMIF(Capacity_Resource,$D28,'Critical resources (hide)'!AB$6:AB$105)+SUMIF(Capacity_Resource,$E28,'Critical resources (hide)'!AB$6:AB$105)+SUMIF(Capacity_Resource,$F28,'Critical resources (hide)'!AB$6:AB$105)&gt;0,$E$1=2),0,1)</f>
        <v>1</v>
      </c>
      <c r="P28" s="67">
        <f ca="1">IF(AND(SUMIF(Capacity_Resource,$D28,'Critical resources (hide)'!AC$6:AC$105)+SUMIF(Capacity_Resource,$E28,'Critical resources (hide)'!AC$6:AC$105)+SUMIF(Capacity_Resource,$F28,'Critical resources (hide)'!AC$6:AC$105)&gt;0,$E$1=2),0,1)</f>
        <v>1</v>
      </c>
      <c r="Q28" s="67">
        <f ca="1">IF(AND(SUMIF(Capacity_Resource,$D28,'Critical resources (hide)'!AD$6:AD$105)+SUMIF(Capacity_Resource,$E28,'Critical resources (hide)'!AD$6:AD$105)+SUMIF(Capacity_Resource,$F28,'Critical resources (hide)'!AD$6:AD$105)&gt;0,$E$1=2),0,1)</f>
        <v>1</v>
      </c>
      <c r="R28" s="67">
        <f ca="1">IF(AND(SUMIF(Capacity_Resource,$D28,'Critical resources (hide)'!AE$6:AE$105)+SUMIF(Capacity_Resource,$E28,'Critical resources (hide)'!AE$6:AE$105)+SUMIF(Capacity_Resource,$F28,'Critical resources (hide)'!AE$6:AE$105)&gt;0,$E$1=2),0,1)</f>
        <v>1</v>
      </c>
      <c r="S28" s="67">
        <f ca="1">IF(AND(SUMIF(Capacity_Resource,$D28,'Critical resources (hide)'!AF$6:AF$105)+SUMIF(Capacity_Resource,$E28,'Critical resources (hide)'!AF$6:AF$105)+SUMIF(Capacity_Resource,$F28,'Critical resources (hide)'!AF$6:AF$105)&gt;0,$E$1=2),0,1)</f>
        <v>1</v>
      </c>
      <c r="T28" s="67">
        <f ca="1">IF(AND(SUMIF(Capacity_Resource,$D28,'Critical resources (hide)'!AG$6:AG$105)+SUMIF(Capacity_Resource,$E28,'Critical resources (hide)'!AG$6:AG$105)+SUMIF(Capacity_Resource,$F28,'Critical resources (hide)'!AG$6:AG$105)&gt;0,$E$1=2),0,1)</f>
        <v>1</v>
      </c>
      <c r="U28" s="67">
        <f ca="1">IF(AND(SUMIF(Capacity_Resource,$D28,'Critical resources (hide)'!AH$6:AH$105)+SUMIF(Capacity_Resource,$E28,'Critical resources (hide)'!AH$6:AH$105)+SUMIF(Capacity_Resource,$F28,'Critical resources (hide)'!AH$6:AH$105)&gt;0,$E$1=2),0,1)</f>
        <v>1</v>
      </c>
      <c r="V28" s="67">
        <f ca="1">IF(AND(SUMIF(Capacity_Resource,$D28,'Critical resources (hide)'!AI$6:AI$105)+SUMIF(Capacity_Resource,$E28,'Critical resources (hide)'!AI$6:AI$105)+SUMIF(Capacity_Resource,$F28,'Critical resources (hide)'!AI$6:AI$105)&gt;0,$E$1=2),0,1)</f>
        <v>1</v>
      </c>
      <c r="W28" s="67">
        <f ca="1">IF(AND(SUMIF(Capacity_Resource,$D28,'Critical resources (hide)'!AJ$6:AJ$105)+SUMIF(Capacity_Resource,$E28,'Critical resources (hide)'!AJ$6:AJ$105)+SUMIF(Capacity_Resource,$F28,'Critical resources (hide)'!AJ$6:AJ$105)&gt;0,$E$1=2),0,1)</f>
        <v>1</v>
      </c>
      <c r="X28" s="67">
        <f ca="1">IF(AND(SUMIF(Capacity_Resource,$D28,'Critical resources (hide)'!AK$6:AK$105)+SUMIF(Capacity_Resource,$E28,'Critical resources (hide)'!AK$6:AK$105)+SUMIF(Capacity_Resource,$F28,'Critical resources (hide)'!AK$6:AK$105)&gt;0,$E$1=2),0,1)</f>
        <v>1</v>
      </c>
      <c r="Y28" s="67">
        <f ca="1">IF(AND(SUMIF(Capacity_Resource,$D28,'Critical resources (hide)'!AL$6:AL$105)+SUMIF(Capacity_Resource,$E28,'Critical resources (hide)'!AL$6:AL$105)+SUMIF(Capacity_Resource,$F28,'Critical resources (hide)'!AL$6:AL$105)&gt;0,$E$1=2),0,1)</f>
        <v>1</v>
      </c>
      <c r="Z28" s="67">
        <f ca="1">IF(AND(SUMIF(Capacity_Resource,$D28,'Critical resources (hide)'!AM$6:AM$105)+SUMIF(Capacity_Resource,$E28,'Critical resources (hide)'!AM$6:AM$105)+SUMIF(Capacity_Resource,$F28,'Critical resources (hide)'!AM$6:AM$105)&gt;0,$E$1=2),0,1)</f>
        <v>1</v>
      </c>
      <c r="AA28" s="67">
        <f ca="1">IF(AND(SUMIF(Capacity_Resource,$D28,'Critical resources (hide)'!AN$6:AN$105)+SUMIF(Capacity_Resource,$E28,'Critical resources (hide)'!AN$6:AN$105)+SUMIF(Capacity_Resource,$F28,'Critical resources (hide)'!AN$6:AN$105)&gt;0,$E$1=2),0,1)</f>
        <v>1</v>
      </c>
      <c r="AB28" s="67">
        <f ca="1">IF(AND(SUMIF(Capacity_Resource,$D28,'Critical resources (hide)'!AO$6:AO$105)+SUMIF(Capacity_Resource,$E28,'Critical resources (hide)'!AO$6:AO$105)+SUMIF(Capacity_Resource,$F28,'Critical resources (hide)'!AO$6:AO$105)&gt;0,$E$1=2),0,1)</f>
        <v>1</v>
      </c>
      <c r="AC28" s="67">
        <f ca="1">IF(AND(SUMIF(Capacity_Resource,$D28,'Critical resources (hide)'!AP$6:AP$105)+SUMIF(Capacity_Resource,$E28,'Critical resources (hide)'!AP$6:AP$105)+SUMIF(Capacity_Resource,$F28,'Critical resources (hide)'!AP$6:AP$105)&gt;0,$E$1=2),0,1)</f>
        <v>1</v>
      </c>
      <c r="AD28" s="67">
        <f ca="1">IF(AND(SUMIF(Capacity_Resource,$D28,'Critical resources (hide)'!AQ$6:AQ$105)+SUMIF(Capacity_Resource,$E28,'Critical resources (hide)'!AQ$6:AQ$105)+SUMIF(Capacity_Resource,$F28,'Critical resources (hide)'!AQ$6:AQ$105)&gt;0,$E$1=2),0,1)</f>
        <v>1</v>
      </c>
      <c r="AE28" s="67">
        <f ca="1">IF(AND(SUMIF(Capacity_Resource,$D28,'Critical resources (hide)'!AR$6:AR$105)+SUMIF(Capacity_Resource,$E28,'Critical resources (hide)'!AR$6:AR$105)+SUMIF(Capacity_Resource,$F28,'Critical resources (hide)'!AR$6:AR$105)&gt;0,$E$1=2),0,1)</f>
        <v>1</v>
      </c>
      <c r="AF28" s="67">
        <f ca="1">IF(AND(SUMIF(Capacity_Resource,$D28,'Critical resources (hide)'!AS$6:AS$105)+SUMIF(Capacity_Resource,$E28,'Critical resources (hide)'!AS$6:AS$105)+SUMIF(Capacity_Resource,$F28,'Critical resources (hide)'!AS$6:AS$105)&gt;0,$E$1=2),0,1)</f>
        <v>1</v>
      </c>
      <c r="AG28" s="67">
        <f ca="1">IF(AND(SUMIF(Capacity_Resource,$D28,'Critical resources (hide)'!AT$6:AT$105)+SUMIF(Capacity_Resource,$E28,'Critical resources (hide)'!AT$6:AT$105)+SUMIF(Capacity_Resource,$F28,'Critical resources (hide)'!AT$6:AT$105)&gt;0,$E$1=2),0,1)</f>
        <v>1</v>
      </c>
      <c r="AH28" s="67">
        <f ca="1">IF(AND(SUMIF(Capacity_Resource,$D28,'Critical resources (hide)'!AU$6:AU$105)+SUMIF(Capacity_Resource,$E28,'Critical resources (hide)'!AU$6:AU$105)+SUMIF(Capacity_Resource,$F28,'Critical resources (hide)'!AU$6:AU$105)&gt;0,$E$1=2),0,1)</f>
        <v>1</v>
      </c>
      <c r="AI28" s="67">
        <f ca="1">IF(AND(SUMIF(Capacity_Resource,$D28,'Critical resources (hide)'!AV$6:AV$105)+SUMIF(Capacity_Resource,$E28,'Critical resources (hide)'!AV$6:AV$105)+SUMIF(Capacity_Resource,$F28,'Critical resources (hide)'!AV$6:AV$105)&gt;0,$E$1=2),0,1)</f>
        <v>1</v>
      </c>
      <c r="AJ28" s="67">
        <f ca="1">IF(AND(SUMIF(Capacity_Resource,$D28,'Critical resources (hide)'!AW$6:AW$105)+SUMIF(Capacity_Resource,$E28,'Critical resources (hide)'!AW$6:AW$105)+SUMIF(Capacity_Resource,$F28,'Critical resources (hide)'!AW$6:AW$105)&gt;0,$E$1=2),0,1)</f>
        <v>1</v>
      </c>
      <c r="AK28" s="67">
        <f ca="1">IF(AND(SUMIF(Capacity_Resource,$D28,'Critical resources (hide)'!AX$6:AX$105)+SUMIF(Capacity_Resource,$E28,'Critical resources (hide)'!AX$6:AX$105)+SUMIF(Capacity_Resource,$F28,'Critical resources (hide)'!AX$6:AX$105)&gt;0,$E$1=2),0,1)</f>
        <v>1</v>
      </c>
      <c r="AL28" s="67">
        <f ca="1">IF(AND(SUMIF(Capacity_Resource,$D28,'Critical resources (hide)'!AY$6:AY$105)+SUMIF(Capacity_Resource,$E28,'Critical resources (hide)'!AY$6:AY$105)+SUMIF(Capacity_Resource,$F28,'Critical resources (hide)'!AY$6:AY$105)&gt;0,$E$1=2),0,1)</f>
        <v>1</v>
      </c>
      <c r="AM28" s="67">
        <f ca="1">IF(AND(SUMIF(Capacity_Resource,$D28,'Critical resources (hide)'!AZ$6:AZ$105)+SUMIF(Capacity_Resource,$E28,'Critical resources (hide)'!AZ$6:AZ$105)+SUMIF(Capacity_Resource,$F28,'Critical resources (hide)'!AZ$6:AZ$105)&gt;0,$E$1=2),0,1)</f>
        <v>1</v>
      </c>
      <c r="AN28" s="67">
        <f ca="1">IF(AND(SUMIF(Capacity_Resource,$D28,'Critical resources (hide)'!BA$6:BA$105)+SUMIF(Capacity_Resource,$E28,'Critical resources (hide)'!BA$6:BA$105)+SUMIF(Capacity_Resource,$F28,'Critical resources (hide)'!BA$6:BA$105)&gt;0,$E$1=2),0,1)</f>
        <v>1</v>
      </c>
      <c r="AO28" s="67">
        <f ca="1">IF(AND(SUMIF(Capacity_Resource,$D28,'Critical resources (hide)'!BB$6:BB$105)+SUMIF(Capacity_Resource,$E28,'Critical resources (hide)'!BB$6:BB$105)+SUMIF(Capacity_Resource,$F28,'Critical resources (hide)'!BB$6:BB$105)&gt;0,$E$1=2),0,1)</f>
        <v>1</v>
      </c>
      <c r="AP28" s="67">
        <f ca="1">IF(AND(SUMIF(Capacity_Resource,$D28,'Critical resources (hide)'!BC$6:BC$105)+SUMIF(Capacity_Resource,$E28,'Critical resources (hide)'!BC$6:BC$105)+SUMIF(Capacity_Resource,$F28,'Critical resources (hide)'!BC$6:BC$105)&gt;0,$E$1=2),0,1)</f>
        <v>1</v>
      </c>
      <c r="AQ28" s="67">
        <f ca="1">IF(AND(SUMIF(Capacity_Resource,$D28,'Critical resources (hide)'!BD$6:BD$105)+SUMIF(Capacity_Resource,$E28,'Critical resources (hide)'!BD$6:BD$105)+SUMIF(Capacity_Resource,$F28,'Critical resources (hide)'!BD$6:BD$105)&gt;0,$E$1=2),0,1)</f>
        <v>1</v>
      </c>
      <c r="AR28" s="67">
        <f ca="1">IF(AND(SUMIF(Capacity_Resource,$D28,'Critical resources (hide)'!BE$6:BE$105)+SUMIF(Capacity_Resource,$E28,'Critical resources (hide)'!BE$6:BE$105)+SUMIF(Capacity_Resource,$F28,'Critical resources (hide)'!BE$6:BE$105)&gt;0,$E$1=2),0,1)</f>
        <v>1</v>
      </c>
      <c r="AS28" s="67">
        <f ca="1">IF(AND(SUMIF(Capacity_Resource,$D28,'Critical resources (hide)'!BF$6:BF$105)+SUMIF(Capacity_Resource,$E28,'Critical resources (hide)'!BF$6:BF$105)+SUMIF(Capacity_Resource,$F28,'Critical resources (hide)'!BF$6:BF$105)&gt;0,$E$1=2),0,1)</f>
        <v>1</v>
      </c>
      <c r="AT28" s="67">
        <f ca="1">IF(AND(SUMIF(Capacity_Resource,$D28,'Critical resources (hide)'!BG$6:BG$105)+SUMIF(Capacity_Resource,$E28,'Critical resources (hide)'!BG$6:BG$105)+SUMIF(Capacity_Resource,$F28,'Critical resources (hide)'!BG$6:BG$105)&gt;0,$E$1=2),0,1)</f>
        <v>1</v>
      </c>
      <c r="AU28" s="67">
        <f ca="1">IF(AND(SUMIF(Capacity_Resource,$D28,'Critical resources (hide)'!BH$6:BH$105)+SUMIF(Capacity_Resource,$E28,'Critical resources (hide)'!BH$6:BH$105)+SUMIF(Capacity_Resource,$F28,'Critical resources (hide)'!BH$6:BH$105)&gt;0,$E$1=2),0,1)</f>
        <v>1</v>
      </c>
      <c r="AV28" s="67">
        <f ca="1">IF(AND(SUMIF(Capacity_Resource,$D28,'Critical resources (hide)'!BI$6:BI$105)+SUMIF(Capacity_Resource,$E28,'Critical resources (hide)'!BI$6:BI$105)+SUMIF(Capacity_Resource,$F28,'Critical resources (hide)'!BI$6:BI$105)&gt;0,$E$1=2),0,1)</f>
        <v>1</v>
      </c>
      <c r="AW28" s="67">
        <f ca="1">IF(AND(SUMIF(Capacity_Resource,$D28,'Critical resources (hide)'!BJ$6:BJ$105)+SUMIF(Capacity_Resource,$E28,'Critical resources (hide)'!BJ$6:BJ$105)+SUMIF(Capacity_Resource,$F28,'Critical resources (hide)'!BJ$6:BJ$105)&gt;0,$E$1=2),0,1)</f>
        <v>1</v>
      </c>
      <c r="AX28" s="67">
        <f ca="1">IF(AND(SUMIF(Capacity_Resource,$D28,'Critical resources (hide)'!BK$6:BK$105)+SUMIF(Capacity_Resource,$E28,'Critical resources (hide)'!BK$6:BK$105)+SUMIF(Capacity_Resource,$F28,'Critical resources (hide)'!BK$6:BK$105)&gt;0,$E$1=2),0,1)</f>
        <v>1</v>
      </c>
      <c r="AY28" s="67">
        <f ca="1">IF(AND(SUMIF(Capacity_Resource,$D28,'Critical resources (hide)'!BL$6:BL$105)+SUMIF(Capacity_Resource,$E28,'Critical resources (hide)'!BL$6:BL$105)+SUMIF(Capacity_Resource,$F28,'Critical resources (hide)'!BL$6:BL$105)&gt;0,$E$1=2),0,1)</f>
        <v>1</v>
      </c>
      <c r="AZ28" s="67">
        <f ca="1">IF(AND(SUMIF(Capacity_Resource,$D28,'Critical resources (hide)'!BM$6:BM$105)+SUMIF(Capacity_Resource,$E28,'Critical resources (hide)'!BM$6:BM$105)+SUMIF(Capacity_Resource,$F28,'Critical resources (hide)'!BM$6:BM$105)&gt;0,$E$1=2),0,1)</f>
        <v>1</v>
      </c>
      <c r="BA28" s="67">
        <f ca="1">IF(AND(SUMIF(Capacity_Resource,$D28,'Critical resources (hide)'!BN$6:BN$105)+SUMIF(Capacity_Resource,$E28,'Critical resources (hide)'!BN$6:BN$105)+SUMIF(Capacity_Resource,$F28,'Critical resources (hide)'!BN$6:BN$105)&gt;0,$E$1=2),0,1)</f>
        <v>1</v>
      </c>
      <c r="BB28" s="67">
        <f ca="1">IF(AND(SUMIF(Capacity_Resource,$D28,'Critical resources (hide)'!BO$6:BO$105)+SUMIF(Capacity_Resource,$E28,'Critical resources (hide)'!BO$6:BO$105)+SUMIF(Capacity_Resource,$F28,'Critical resources (hide)'!BO$6:BO$105)&gt;0,$E$1=2),0,1)</f>
        <v>1</v>
      </c>
      <c r="BC28" s="67">
        <f ca="1">IF(AND(SUMIF(Capacity_Resource,$D28,'Critical resources (hide)'!BP$6:BP$105)+SUMIF(Capacity_Resource,$E28,'Critical resources (hide)'!BP$6:BP$105)+SUMIF(Capacity_Resource,$F28,'Critical resources (hide)'!BP$6:BP$105)&gt;0,$E$1=2),0,1)</f>
        <v>1</v>
      </c>
      <c r="BD28" s="67">
        <f ca="1">IF(AND(SUMIF(Capacity_Resource,$D28,'Critical resources (hide)'!BQ$6:BQ$105)+SUMIF(Capacity_Resource,$E28,'Critical resources (hide)'!BQ$6:BQ$105)+SUMIF(Capacity_Resource,$F28,'Critical resources (hide)'!BQ$6:BQ$105)&gt;0,$E$1=2),0,1)</f>
        <v>1</v>
      </c>
      <c r="BE28" s="67">
        <f ca="1">IF(AND(SUMIF(Capacity_Resource,$D28,'Critical resources (hide)'!BR$6:BR$105)+SUMIF(Capacity_Resource,$E28,'Critical resources (hide)'!BR$6:BR$105)+SUMIF(Capacity_Resource,$F28,'Critical resources (hide)'!BR$6:BR$105)&gt;0,$E$1=2),0,1)</f>
        <v>1</v>
      </c>
      <c r="BF28" s="67">
        <f ca="1">IF(AND(SUMIF(Capacity_Resource,$D28,'Critical resources (hide)'!BS$6:BS$105)+SUMIF(Capacity_Resource,$E28,'Critical resources (hide)'!BS$6:BS$105)+SUMIF(Capacity_Resource,$F28,'Critical resources (hide)'!BS$6:BS$105)&gt;0,$E$1=2),0,1)</f>
        <v>1</v>
      </c>
      <c r="BG28" s="67">
        <f ca="1">IF(AND(SUMIF(Capacity_Resource,$D28,'Critical resources (hide)'!BT$6:BT$105)+SUMIF(Capacity_Resource,$E28,'Critical resources (hide)'!BT$6:BT$105)+SUMIF(Capacity_Resource,$F28,'Critical resources (hide)'!BT$6:BT$105)&gt;0,$E$1=2),0,1)</f>
        <v>1</v>
      </c>
      <c r="BH28" s="67">
        <f>IF(ROW(C24)&lt;=Capacity!$A$16,IF('Capacity summary'!$D$14="No",SUM(H28:BG28),'Capacity summary'!$E147),0)</f>
        <v>0</v>
      </c>
      <c r="BI28" s="5" t="str">
        <f>IF(BH28&gt;0,IF(BH28&lt;Capacity!E40,Capacity!F40,Capacity!H40/'Capacity calculation (hide)'!BH28),"")</f>
        <v/>
      </c>
      <c r="BK28" s="313">
        <f>IF($BI28&lt;&gt;"",IF('Capacity summary'!$D$14="Yes",IF(COUNTBLANK('Capacity summary'!$H147:$BG147)&lt;52,IF('Capacity summary'!H147&lt;&gt;"",IF(LOWER('Capacity summary'!H147)="x",$BI28*H28,VALUE('Capacity summary'!H147)),0),H28*$BI28),H28*$BI28),0)</f>
        <v>0</v>
      </c>
      <c r="BL28" s="313">
        <f>IF($BI28&lt;&gt;"",IF('Capacity summary'!$D$14="Yes",IF(COUNTBLANK('Capacity summary'!$H147:$BG147)&lt;52,IF('Capacity summary'!I147&lt;&gt;"",IF(LOWER('Capacity summary'!I147)="x",$BI28*I28,VALUE('Capacity summary'!I147)),0),I28*$BI28),I28*$BI28),0)</f>
        <v>0</v>
      </c>
      <c r="BM28" s="313">
        <f>IF($BI28&lt;&gt;"",IF('Capacity summary'!$D$14="Yes",IF(COUNTBLANK('Capacity summary'!$H147:$BG147)&lt;52,IF('Capacity summary'!J147&lt;&gt;"",IF(LOWER('Capacity summary'!J147)="x",$BI28*J28,VALUE('Capacity summary'!J147)),0),J28*$BI28),J28*$BI28),0)</f>
        <v>0</v>
      </c>
      <c r="BN28" s="313">
        <f>IF($BI28&lt;&gt;"",IF('Capacity summary'!$D$14="Yes",IF(COUNTBLANK('Capacity summary'!$H147:$BG147)&lt;52,IF('Capacity summary'!K147&lt;&gt;"",IF(LOWER('Capacity summary'!K147)="x",$BI28*K28,VALUE('Capacity summary'!K147)),0),K28*$BI28),K28*$BI28),0)</f>
        <v>0</v>
      </c>
      <c r="BO28" s="313">
        <f>IF($BI28&lt;&gt;"",IF('Capacity summary'!$D$14="Yes",IF(COUNTBLANK('Capacity summary'!$H147:$BG147)&lt;52,IF('Capacity summary'!L147&lt;&gt;"",IF(LOWER('Capacity summary'!L147)="x",$BI28*L28,VALUE('Capacity summary'!L147)),0),L28*$BI28),L28*$BI28),0)</f>
        <v>0</v>
      </c>
      <c r="BP28" s="313">
        <f>IF($BI28&lt;&gt;"",IF('Capacity summary'!$D$14="Yes",IF(COUNTBLANK('Capacity summary'!$H147:$BG147)&lt;52,IF('Capacity summary'!M147&lt;&gt;"",IF(LOWER('Capacity summary'!M147)="x",$BI28*M28,VALUE('Capacity summary'!M147)),0),M28*$BI28),M28*$BI28),0)</f>
        <v>0</v>
      </c>
      <c r="BQ28" s="313">
        <f>IF($BI28&lt;&gt;"",IF('Capacity summary'!$D$14="Yes",IF(COUNTBLANK('Capacity summary'!$H147:$BG147)&lt;52,IF('Capacity summary'!N147&lt;&gt;"",IF(LOWER('Capacity summary'!N147)="x",$BI28*N28,VALUE('Capacity summary'!N147)),0),N28*$BI28),N28*$BI28),0)</f>
        <v>0</v>
      </c>
      <c r="BR28" s="313">
        <f>IF($BI28&lt;&gt;"",IF('Capacity summary'!$D$14="Yes",IF(COUNTBLANK('Capacity summary'!$H147:$BG147)&lt;52,IF('Capacity summary'!O147&lt;&gt;"",IF(LOWER('Capacity summary'!O147)="x",$BI28*O28,VALUE('Capacity summary'!O147)),0),O28*$BI28),O28*$BI28),0)</f>
        <v>0</v>
      </c>
      <c r="BS28" s="313">
        <f>IF($BI28&lt;&gt;"",IF('Capacity summary'!$D$14="Yes",IF(COUNTBLANK('Capacity summary'!$H147:$BG147)&lt;52,IF('Capacity summary'!P147&lt;&gt;"",IF(LOWER('Capacity summary'!P147)="x",$BI28*P28,VALUE('Capacity summary'!P147)),0),P28*$BI28),P28*$BI28),0)</f>
        <v>0</v>
      </c>
      <c r="BT28" s="313">
        <f>IF($BI28&lt;&gt;"",IF('Capacity summary'!$D$14="Yes",IF(COUNTBLANK('Capacity summary'!$H147:$BG147)&lt;52,IF('Capacity summary'!Q147&lt;&gt;"",IF(LOWER('Capacity summary'!Q147)="x",$BI28*Q28,VALUE('Capacity summary'!Q147)),0),Q28*$BI28),Q28*$BI28),0)</f>
        <v>0</v>
      </c>
      <c r="BU28" s="313">
        <f>IF($BI28&lt;&gt;"",IF('Capacity summary'!$D$14="Yes",IF(COUNTBLANK('Capacity summary'!$H147:$BG147)&lt;52,IF('Capacity summary'!R147&lt;&gt;"",IF(LOWER('Capacity summary'!R147)="x",$BI28*R28,VALUE('Capacity summary'!R147)),0),R28*$BI28),R28*$BI28),0)</f>
        <v>0</v>
      </c>
      <c r="BV28" s="313">
        <f>IF($BI28&lt;&gt;"",IF('Capacity summary'!$D$14="Yes",IF(COUNTBLANK('Capacity summary'!$H147:$BG147)&lt;52,IF('Capacity summary'!S147&lt;&gt;"",IF(LOWER('Capacity summary'!S147)="x",$BI28*S28,VALUE('Capacity summary'!S147)),0),S28*$BI28),S28*$BI28),0)</f>
        <v>0</v>
      </c>
      <c r="BW28" s="313">
        <f>IF($BI28&lt;&gt;"",IF('Capacity summary'!$D$14="Yes",IF(COUNTBLANK('Capacity summary'!$H147:$BG147)&lt;52,IF('Capacity summary'!T147&lt;&gt;"",IF(LOWER('Capacity summary'!T147)="x",$BI28*T28,VALUE('Capacity summary'!T147)),0),T28*$BI28),T28*$BI28),0)</f>
        <v>0</v>
      </c>
      <c r="BX28" s="313">
        <f>IF($BI28&lt;&gt;"",IF('Capacity summary'!$D$14="Yes",IF(COUNTBLANK('Capacity summary'!$H147:$BG147)&lt;52,IF('Capacity summary'!U147&lt;&gt;"",IF(LOWER('Capacity summary'!U147)="x",$BI28*U28,VALUE('Capacity summary'!U147)),0),U28*$BI28),U28*$BI28),0)</f>
        <v>0</v>
      </c>
      <c r="BY28" s="313">
        <f>IF($BI28&lt;&gt;"",IF('Capacity summary'!$D$14="Yes",IF(COUNTBLANK('Capacity summary'!$H147:$BG147)&lt;52,IF('Capacity summary'!V147&lt;&gt;"",IF(LOWER('Capacity summary'!V147)="x",$BI28*V28,VALUE('Capacity summary'!V147)),0),V28*$BI28),V28*$BI28),0)</f>
        <v>0</v>
      </c>
      <c r="BZ28" s="313">
        <f>IF($BI28&lt;&gt;"",IF('Capacity summary'!$D$14="Yes",IF(COUNTBLANK('Capacity summary'!$H147:$BG147)&lt;52,IF('Capacity summary'!W147&lt;&gt;"",IF(LOWER('Capacity summary'!W147)="x",$BI28*W28,VALUE('Capacity summary'!W147)),0),W28*$BI28),W28*$BI28),0)</f>
        <v>0</v>
      </c>
      <c r="CA28" s="313">
        <f>IF($BI28&lt;&gt;"",IF('Capacity summary'!$D$14="Yes",IF(COUNTBLANK('Capacity summary'!$H147:$BG147)&lt;52,IF('Capacity summary'!X147&lt;&gt;"",IF(LOWER('Capacity summary'!X147)="x",$BI28*X28,VALUE('Capacity summary'!X147)),0),X28*$BI28),X28*$BI28),0)</f>
        <v>0</v>
      </c>
      <c r="CB28" s="313">
        <f>IF($BI28&lt;&gt;"",IF('Capacity summary'!$D$14="Yes",IF(COUNTBLANK('Capacity summary'!$H147:$BG147)&lt;52,IF('Capacity summary'!Y147&lt;&gt;"",IF(LOWER('Capacity summary'!Y147)="x",$BI28*Y28,VALUE('Capacity summary'!Y147)),0),Y28*$BI28),Y28*$BI28),0)</f>
        <v>0</v>
      </c>
      <c r="CC28" s="313">
        <f>IF($BI28&lt;&gt;"",IF('Capacity summary'!$D$14="Yes",IF(COUNTBLANK('Capacity summary'!$H147:$BG147)&lt;52,IF('Capacity summary'!Z147&lt;&gt;"",IF(LOWER('Capacity summary'!Z147)="x",$BI28*Z28,VALUE('Capacity summary'!Z147)),0),Z28*$BI28),Z28*$BI28),0)</f>
        <v>0</v>
      </c>
      <c r="CD28" s="313">
        <f>IF($BI28&lt;&gt;"",IF('Capacity summary'!$D$14="Yes",IF(COUNTBLANK('Capacity summary'!$H147:$BG147)&lt;52,IF('Capacity summary'!AA147&lt;&gt;"",IF(LOWER('Capacity summary'!AA147)="x",$BI28*AA28,VALUE('Capacity summary'!AA147)),0),AA28*$BI28),AA28*$BI28),0)</f>
        <v>0</v>
      </c>
      <c r="CE28" s="313">
        <f>IF($BI28&lt;&gt;"",IF('Capacity summary'!$D$14="Yes",IF(COUNTBLANK('Capacity summary'!$H147:$BG147)&lt;52,IF('Capacity summary'!AB147&lt;&gt;"",IF(LOWER('Capacity summary'!AB147)="x",$BI28*AB28,VALUE('Capacity summary'!AB147)),0),AB28*$BI28),AB28*$BI28),0)</f>
        <v>0</v>
      </c>
      <c r="CF28" s="313">
        <f>IF($BI28&lt;&gt;"",IF('Capacity summary'!$D$14="Yes",IF(COUNTBLANK('Capacity summary'!$H147:$BG147)&lt;52,IF('Capacity summary'!AC147&lt;&gt;"",IF(LOWER('Capacity summary'!AC147)="x",$BI28*AC28,VALUE('Capacity summary'!AC147)),0),AC28*$BI28),AC28*$BI28),0)</f>
        <v>0</v>
      </c>
      <c r="CG28" s="313">
        <f>IF($BI28&lt;&gt;"",IF('Capacity summary'!$D$14="Yes",IF(COUNTBLANK('Capacity summary'!$H147:$BG147)&lt;52,IF('Capacity summary'!AD147&lt;&gt;"",IF(LOWER('Capacity summary'!AD147)="x",$BI28*AD28,VALUE('Capacity summary'!AD147)),0),AD28*$BI28),AD28*$BI28),0)</f>
        <v>0</v>
      </c>
      <c r="CH28" s="313">
        <f>IF($BI28&lt;&gt;"",IF('Capacity summary'!$D$14="Yes",IF(COUNTBLANK('Capacity summary'!$H147:$BG147)&lt;52,IF('Capacity summary'!AE147&lt;&gt;"",IF(LOWER('Capacity summary'!AE147)="x",$BI28*AE28,VALUE('Capacity summary'!AE147)),0),AE28*$BI28),AE28*$BI28),0)</f>
        <v>0</v>
      </c>
      <c r="CI28" s="313">
        <f>IF($BI28&lt;&gt;"",IF('Capacity summary'!$D$14="Yes",IF(COUNTBLANK('Capacity summary'!$H147:$BG147)&lt;52,IF('Capacity summary'!AF147&lt;&gt;"",IF(LOWER('Capacity summary'!AF147)="x",$BI28*AF28,VALUE('Capacity summary'!AF147)),0),AF28*$BI28),AF28*$BI28),0)</f>
        <v>0</v>
      </c>
      <c r="CJ28" s="313">
        <f>IF($BI28&lt;&gt;"",IF('Capacity summary'!$D$14="Yes",IF(COUNTBLANK('Capacity summary'!$H147:$BG147)&lt;52,IF('Capacity summary'!AG147&lt;&gt;"",IF(LOWER('Capacity summary'!AG147)="x",$BI28*AG28,VALUE('Capacity summary'!AG147)),0),AG28*$BI28),AG28*$BI28),0)</f>
        <v>0</v>
      </c>
      <c r="CK28" s="313">
        <f>IF($BI28&lt;&gt;"",IF('Capacity summary'!$D$14="Yes",IF(COUNTBLANK('Capacity summary'!$H147:$BG147)&lt;52,IF('Capacity summary'!AH147&lt;&gt;"",IF(LOWER('Capacity summary'!AH147)="x",$BI28*AH28,VALUE('Capacity summary'!AH147)),0),AH28*$BI28),AH28*$BI28),0)</f>
        <v>0</v>
      </c>
      <c r="CL28" s="313">
        <f>IF($BI28&lt;&gt;"",IF('Capacity summary'!$D$14="Yes",IF(COUNTBLANK('Capacity summary'!$H147:$BG147)&lt;52,IF('Capacity summary'!AI147&lt;&gt;"",IF(LOWER('Capacity summary'!AI147)="x",$BI28*AI28,VALUE('Capacity summary'!AI147)),0),AI28*$BI28),AI28*$BI28),0)</f>
        <v>0</v>
      </c>
      <c r="CM28" s="313">
        <f>IF($BI28&lt;&gt;"",IF('Capacity summary'!$D$14="Yes",IF(COUNTBLANK('Capacity summary'!$H147:$BG147)&lt;52,IF('Capacity summary'!AJ147&lt;&gt;"",IF(LOWER('Capacity summary'!AJ147)="x",$BI28*AJ28,VALUE('Capacity summary'!AJ147)),0),AJ28*$BI28),AJ28*$BI28),0)</f>
        <v>0</v>
      </c>
      <c r="CN28" s="313">
        <f>IF($BI28&lt;&gt;"",IF('Capacity summary'!$D$14="Yes",IF(COUNTBLANK('Capacity summary'!$H147:$BG147)&lt;52,IF('Capacity summary'!AK147&lt;&gt;"",IF(LOWER('Capacity summary'!AK147)="x",$BI28*AK28,VALUE('Capacity summary'!AK147)),0),AK28*$BI28),AK28*$BI28),0)</f>
        <v>0</v>
      </c>
      <c r="CO28" s="313">
        <f>IF($BI28&lt;&gt;"",IF('Capacity summary'!$D$14="Yes",IF(COUNTBLANK('Capacity summary'!$H147:$BG147)&lt;52,IF('Capacity summary'!AL147&lt;&gt;"",IF(LOWER('Capacity summary'!AL147)="x",$BI28*AL28,VALUE('Capacity summary'!AL147)),0),AL28*$BI28),AL28*$BI28),0)</f>
        <v>0</v>
      </c>
      <c r="CP28" s="313">
        <f>IF($BI28&lt;&gt;"",IF('Capacity summary'!$D$14="Yes",IF(COUNTBLANK('Capacity summary'!$H147:$BG147)&lt;52,IF('Capacity summary'!AM147&lt;&gt;"",IF(LOWER('Capacity summary'!AM147)="x",$BI28*AM28,VALUE('Capacity summary'!AM147)),0),AM28*$BI28),AM28*$BI28),0)</f>
        <v>0</v>
      </c>
      <c r="CQ28" s="313">
        <f>IF($BI28&lt;&gt;"",IF('Capacity summary'!$D$14="Yes",IF(COUNTBLANK('Capacity summary'!$H147:$BG147)&lt;52,IF('Capacity summary'!AN147&lt;&gt;"",IF(LOWER('Capacity summary'!AN147)="x",$BI28*AN28,VALUE('Capacity summary'!AN147)),0),AN28*$BI28),AN28*$BI28),0)</f>
        <v>0</v>
      </c>
      <c r="CR28" s="313">
        <f>IF($BI28&lt;&gt;"",IF('Capacity summary'!$D$14="Yes",IF(COUNTBLANK('Capacity summary'!$H147:$BG147)&lt;52,IF('Capacity summary'!AO147&lt;&gt;"",IF(LOWER('Capacity summary'!AO147)="x",$BI28*AO28,VALUE('Capacity summary'!AO147)),0),AO28*$BI28),AO28*$BI28),0)</f>
        <v>0</v>
      </c>
      <c r="CS28" s="313">
        <f>IF($BI28&lt;&gt;"",IF('Capacity summary'!$D$14="Yes",IF(COUNTBLANK('Capacity summary'!$H147:$BG147)&lt;52,IF('Capacity summary'!AP147&lt;&gt;"",IF(LOWER('Capacity summary'!AP147)="x",$BI28*AP28,VALUE('Capacity summary'!AP147)),0),AP28*$BI28),AP28*$BI28),0)</f>
        <v>0</v>
      </c>
      <c r="CT28" s="313">
        <f>IF($BI28&lt;&gt;"",IF('Capacity summary'!$D$14="Yes",IF(COUNTBLANK('Capacity summary'!$H147:$BG147)&lt;52,IF('Capacity summary'!AQ147&lt;&gt;"",IF(LOWER('Capacity summary'!AQ147)="x",$BI28*AQ28,VALUE('Capacity summary'!AQ147)),0),AQ28*$BI28),AQ28*$BI28),0)</f>
        <v>0</v>
      </c>
      <c r="CU28" s="313">
        <f>IF($BI28&lt;&gt;"",IF('Capacity summary'!$D$14="Yes",IF(COUNTBLANK('Capacity summary'!$H147:$BG147)&lt;52,IF('Capacity summary'!AR147&lt;&gt;"",IF(LOWER('Capacity summary'!AR147)="x",$BI28*AR28,VALUE('Capacity summary'!AR147)),0),AR28*$BI28),AR28*$BI28),0)</f>
        <v>0</v>
      </c>
      <c r="CV28" s="313">
        <f>IF($BI28&lt;&gt;"",IF('Capacity summary'!$D$14="Yes",IF(COUNTBLANK('Capacity summary'!$H147:$BG147)&lt;52,IF('Capacity summary'!AS147&lt;&gt;"",IF(LOWER('Capacity summary'!AS147)="x",$BI28*AS28,VALUE('Capacity summary'!AS147)),0),AS28*$BI28),AS28*$BI28),0)</f>
        <v>0</v>
      </c>
      <c r="CW28" s="313">
        <f>IF($BI28&lt;&gt;"",IF('Capacity summary'!$D$14="Yes",IF(COUNTBLANK('Capacity summary'!$H147:$BG147)&lt;52,IF('Capacity summary'!AT147&lt;&gt;"",IF(LOWER('Capacity summary'!AT147)="x",$BI28*AT28,VALUE('Capacity summary'!AT147)),0),AT28*$BI28),AT28*$BI28),0)</f>
        <v>0</v>
      </c>
      <c r="CX28" s="313">
        <f>IF($BI28&lt;&gt;"",IF('Capacity summary'!$D$14="Yes",IF(COUNTBLANK('Capacity summary'!$H147:$BG147)&lt;52,IF('Capacity summary'!AU147&lt;&gt;"",IF(LOWER('Capacity summary'!AU147)="x",$BI28*AU28,VALUE('Capacity summary'!AU147)),0),AU28*$BI28),AU28*$BI28),0)</f>
        <v>0</v>
      </c>
      <c r="CY28" s="313">
        <f>IF($BI28&lt;&gt;"",IF('Capacity summary'!$D$14="Yes",IF(COUNTBLANK('Capacity summary'!$H147:$BG147)&lt;52,IF('Capacity summary'!AV147&lt;&gt;"",IF(LOWER('Capacity summary'!AV147)="x",$BI28*AV28,VALUE('Capacity summary'!AV147)),0),AV28*$BI28),AV28*$BI28),0)</f>
        <v>0</v>
      </c>
      <c r="CZ28" s="313">
        <f>IF($BI28&lt;&gt;"",IF('Capacity summary'!$D$14="Yes",IF(COUNTBLANK('Capacity summary'!$H147:$BG147)&lt;52,IF('Capacity summary'!AW147&lt;&gt;"",IF(LOWER('Capacity summary'!AW147)="x",$BI28*AW28,VALUE('Capacity summary'!AW147)),0),AW28*$BI28),AW28*$BI28),0)</f>
        <v>0</v>
      </c>
      <c r="DA28" s="313">
        <f>IF($BI28&lt;&gt;"",IF('Capacity summary'!$D$14="Yes",IF(COUNTBLANK('Capacity summary'!$H147:$BG147)&lt;52,IF('Capacity summary'!AX147&lt;&gt;"",IF(LOWER('Capacity summary'!AX147)="x",$BI28*AX28,VALUE('Capacity summary'!AX147)),0),AX28*$BI28),AX28*$BI28),0)</f>
        <v>0</v>
      </c>
      <c r="DB28" s="313">
        <f>IF($BI28&lt;&gt;"",IF('Capacity summary'!$D$14="Yes",IF(COUNTBLANK('Capacity summary'!$H147:$BG147)&lt;52,IF('Capacity summary'!AY147&lt;&gt;"",IF(LOWER('Capacity summary'!AY147)="x",$BI28*AY28,VALUE('Capacity summary'!AY147)),0),AY28*$BI28),AY28*$BI28),0)</f>
        <v>0</v>
      </c>
      <c r="DC28" s="313">
        <f>IF($BI28&lt;&gt;"",IF('Capacity summary'!$D$14="Yes",IF(COUNTBLANK('Capacity summary'!$H147:$BG147)&lt;52,IF('Capacity summary'!AZ147&lt;&gt;"",IF(LOWER('Capacity summary'!AZ147)="x",$BI28*AZ28,VALUE('Capacity summary'!AZ147)),0),AZ28*$BI28),AZ28*$BI28),0)</f>
        <v>0</v>
      </c>
      <c r="DD28" s="313">
        <f>IF($BI28&lt;&gt;"",IF('Capacity summary'!$D$14="Yes",IF(COUNTBLANK('Capacity summary'!$H147:$BG147)&lt;52,IF('Capacity summary'!BA147&lt;&gt;"",IF(LOWER('Capacity summary'!BA147)="x",$BI28*BA28,VALUE('Capacity summary'!BA147)),0),BA28*$BI28),BA28*$BI28),0)</f>
        <v>0</v>
      </c>
      <c r="DE28" s="313">
        <f>IF($BI28&lt;&gt;"",IF('Capacity summary'!$D$14="Yes",IF(COUNTBLANK('Capacity summary'!$H147:$BG147)&lt;52,IF('Capacity summary'!BB147&lt;&gt;"",IF(LOWER('Capacity summary'!BB147)="x",$BI28*BB28,VALUE('Capacity summary'!BB147)),0),BB28*$BI28),BB28*$BI28),0)</f>
        <v>0</v>
      </c>
      <c r="DF28" s="313">
        <f>IF($BI28&lt;&gt;"",IF('Capacity summary'!$D$14="Yes",IF(COUNTBLANK('Capacity summary'!$H147:$BG147)&lt;52,IF('Capacity summary'!BC147&lt;&gt;"",IF(LOWER('Capacity summary'!BC147)="x",$BI28*BC28,VALUE('Capacity summary'!BC147)),0),BC28*$BI28),BC28*$BI28),0)</f>
        <v>0</v>
      </c>
      <c r="DG28" s="313">
        <f>IF($BI28&lt;&gt;"",IF('Capacity summary'!$D$14="Yes",IF(COUNTBLANK('Capacity summary'!$H147:$BG147)&lt;52,IF('Capacity summary'!BD147&lt;&gt;"",IF(LOWER('Capacity summary'!BD147)="x",$BI28*BD28,VALUE('Capacity summary'!BD147)),0),BD28*$BI28),BD28*$BI28),0)</f>
        <v>0</v>
      </c>
      <c r="DH28" s="313">
        <f>IF($BI28&lt;&gt;"",IF('Capacity summary'!$D$14="Yes",IF(COUNTBLANK('Capacity summary'!$H147:$BG147)&lt;52,IF('Capacity summary'!BE147&lt;&gt;"",IF(LOWER('Capacity summary'!BE147)="x",$BI28*BE28,VALUE('Capacity summary'!BE147)),0),BE28*$BI28),BE28*$BI28),0)</f>
        <v>0</v>
      </c>
      <c r="DI28" s="313">
        <f>IF($BI28&lt;&gt;"",IF('Capacity summary'!$D$14="Yes",IF(COUNTBLANK('Capacity summary'!$H147:$BG147)&lt;52,IF('Capacity summary'!BF147&lt;&gt;"",IF(LOWER('Capacity summary'!BF147)="x",$BI28*BF28,VALUE('Capacity summary'!BF147)),0),BF28*$BI28),BF28*$BI28),0)</f>
        <v>0</v>
      </c>
      <c r="DJ28" s="313">
        <f>IF($BI28&lt;&gt;"",IF('Capacity summary'!$D$14="Yes",IF(COUNTBLANK('Capacity summary'!$H147:$BG147)&lt;52,IF('Capacity summary'!BG147&lt;&gt;"",IF(LOWER('Capacity summary'!BG147)="x",$BI28*BG28,VALUE('Capacity summary'!BG147)),0),BG28*$BI28),BG28*$BI28),0)</f>
        <v>0</v>
      </c>
      <c r="DK28" s="137">
        <f t="shared" si="2"/>
        <v>0</v>
      </c>
      <c r="DL28" s="313" t="str">
        <f>Capacity!H40</f>
        <v/>
      </c>
      <c r="DP28" s="5"/>
    </row>
    <row r="29" spans="2:120" x14ac:dyDescent="0.25">
      <c r="B29" s="67"/>
      <c r="C29" s="67" t="str">
        <f>ROW(A25)&amp;". "&amp;Capacity!B41</f>
        <v xml:space="preserve">25. </v>
      </c>
      <c r="D29" s="67">
        <f>'Capacity setup'!C36</f>
        <v>0</v>
      </c>
      <c r="E29" s="67">
        <f>'Capacity setup'!D36</f>
        <v>0</v>
      </c>
      <c r="F29" s="67">
        <f>'Capacity setup'!E36</f>
        <v>0</v>
      </c>
      <c r="H29" s="67">
        <f ca="1">IF(AND(SUMIF(Capacity_Resource,$D29,'Critical resources (hide)'!U$6:U$105)+SUMIF(Capacity_Resource,$E29,'Critical resources (hide)'!U$6:U$105)+SUMIF(Capacity_Resource,$F29,'Critical resources (hide)'!U$6:U$105)&gt;0,$E$1=2),0,1)</f>
        <v>1</v>
      </c>
      <c r="I29" s="67">
        <f ca="1">IF(AND(SUMIF(Capacity_Resource,$D29,'Critical resources (hide)'!V$6:V$105)+SUMIF(Capacity_Resource,$E29,'Critical resources (hide)'!V$6:V$105)+SUMIF(Capacity_Resource,$F29,'Critical resources (hide)'!V$6:V$105)&gt;0,$E$1=2),0,1)</f>
        <v>1</v>
      </c>
      <c r="J29" s="67">
        <f ca="1">IF(AND(SUMIF(Capacity_Resource,$D29,'Critical resources (hide)'!W$6:W$105)+SUMIF(Capacity_Resource,$E29,'Critical resources (hide)'!W$6:W$105)+SUMIF(Capacity_Resource,$F29,'Critical resources (hide)'!W$6:W$105)&gt;0,$E$1=2),0,1)</f>
        <v>1</v>
      </c>
      <c r="K29" s="67">
        <f ca="1">IF(AND(SUMIF(Capacity_Resource,$D29,'Critical resources (hide)'!X$6:X$105)+SUMIF(Capacity_Resource,$E29,'Critical resources (hide)'!X$6:X$105)+SUMIF(Capacity_Resource,$F29,'Critical resources (hide)'!X$6:X$105)&gt;0,$E$1=2),0,1)</f>
        <v>1</v>
      </c>
      <c r="L29" s="67">
        <f ca="1">IF(AND(SUMIF(Capacity_Resource,$D29,'Critical resources (hide)'!Y$6:Y$105)+SUMIF(Capacity_Resource,$E29,'Critical resources (hide)'!Y$6:Y$105)+SUMIF(Capacity_Resource,$F29,'Critical resources (hide)'!Y$6:Y$105)&gt;0,$E$1=2),0,1)</f>
        <v>1</v>
      </c>
      <c r="M29" s="67">
        <f ca="1">IF(AND(SUMIF(Capacity_Resource,$D29,'Critical resources (hide)'!Z$6:Z$105)+SUMIF(Capacity_Resource,$E29,'Critical resources (hide)'!Z$6:Z$105)+SUMIF(Capacity_Resource,$F29,'Critical resources (hide)'!Z$6:Z$105)&gt;0,$E$1=2),0,1)</f>
        <v>1</v>
      </c>
      <c r="N29" s="67">
        <f ca="1">IF(AND(SUMIF(Capacity_Resource,$D29,'Critical resources (hide)'!AA$6:AA$105)+SUMIF(Capacity_Resource,$E29,'Critical resources (hide)'!AA$6:AA$105)+SUMIF(Capacity_Resource,$F29,'Critical resources (hide)'!AA$6:AA$105)&gt;0,$E$1=2),0,1)</f>
        <v>1</v>
      </c>
      <c r="O29" s="67">
        <f ca="1">IF(AND(SUMIF(Capacity_Resource,$D29,'Critical resources (hide)'!AB$6:AB$105)+SUMIF(Capacity_Resource,$E29,'Critical resources (hide)'!AB$6:AB$105)+SUMIF(Capacity_Resource,$F29,'Critical resources (hide)'!AB$6:AB$105)&gt;0,$E$1=2),0,1)</f>
        <v>1</v>
      </c>
      <c r="P29" s="67">
        <f ca="1">IF(AND(SUMIF(Capacity_Resource,$D29,'Critical resources (hide)'!AC$6:AC$105)+SUMIF(Capacity_Resource,$E29,'Critical resources (hide)'!AC$6:AC$105)+SUMIF(Capacity_Resource,$F29,'Critical resources (hide)'!AC$6:AC$105)&gt;0,$E$1=2),0,1)</f>
        <v>1</v>
      </c>
      <c r="Q29" s="67">
        <f ca="1">IF(AND(SUMIF(Capacity_Resource,$D29,'Critical resources (hide)'!AD$6:AD$105)+SUMIF(Capacity_Resource,$E29,'Critical resources (hide)'!AD$6:AD$105)+SUMIF(Capacity_Resource,$F29,'Critical resources (hide)'!AD$6:AD$105)&gt;0,$E$1=2),0,1)</f>
        <v>1</v>
      </c>
      <c r="R29" s="67">
        <f ca="1">IF(AND(SUMIF(Capacity_Resource,$D29,'Critical resources (hide)'!AE$6:AE$105)+SUMIF(Capacity_Resource,$E29,'Critical resources (hide)'!AE$6:AE$105)+SUMIF(Capacity_Resource,$F29,'Critical resources (hide)'!AE$6:AE$105)&gt;0,$E$1=2),0,1)</f>
        <v>1</v>
      </c>
      <c r="S29" s="67">
        <f ca="1">IF(AND(SUMIF(Capacity_Resource,$D29,'Critical resources (hide)'!AF$6:AF$105)+SUMIF(Capacity_Resource,$E29,'Critical resources (hide)'!AF$6:AF$105)+SUMIF(Capacity_Resource,$F29,'Critical resources (hide)'!AF$6:AF$105)&gt;0,$E$1=2),0,1)</f>
        <v>1</v>
      </c>
      <c r="T29" s="67">
        <f ca="1">IF(AND(SUMIF(Capacity_Resource,$D29,'Critical resources (hide)'!AG$6:AG$105)+SUMIF(Capacity_Resource,$E29,'Critical resources (hide)'!AG$6:AG$105)+SUMIF(Capacity_Resource,$F29,'Critical resources (hide)'!AG$6:AG$105)&gt;0,$E$1=2),0,1)</f>
        <v>1</v>
      </c>
      <c r="U29" s="67">
        <f ca="1">IF(AND(SUMIF(Capacity_Resource,$D29,'Critical resources (hide)'!AH$6:AH$105)+SUMIF(Capacity_Resource,$E29,'Critical resources (hide)'!AH$6:AH$105)+SUMIF(Capacity_Resource,$F29,'Critical resources (hide)'!AH$6:AH$105)&gt;0,$E$1=2),0,1)</f>
        <v>1</v>
      </c>
      <c r="V29" s="67">
        <f ca="1">IF(AND(SUMIF(Capacity_Resource,$D29,'Critical resources (hide)'!AI$6:AI$105)+SUMIF(Capacity_Resource,$E29,'Critical resources (hide)'!AI$6:AI$105)+SUMIF(Capacity_Resource,$F29,'Critical resources (hide)'!AI$6:AI$105)&gt;0,$E$1=2),0,1)</f>
        <v>1</v>
      </c>
      <c r="W29" s="67">
        <f ca="1">IF(AND(SUMIF(Capacity_Resource,$D29,'Critical resources (hide)'!AJ$6:AJ$105)+SUMIF(Capacity_Resource,$E29,'Critical resources (hide)'!AJ$6:AJ$105)+SUMIF(Capacity_Resource,$F29,'Critical resources (hide)'!AJ$6:AJ$105)&gt;0,$E$1=2),0,1)</f>
        <v>1</v>
      </c>
      <c r="X29" s="67">
        <f ca="1">IF(AND(SUMIF(Capacity_Resource,$D29,'Critical resources (hide)'!AK$6:AK$105)+SUMIF(Capacity_Resource,$E29,'Critical resources (hide)'!AK$6:AK$105)+SUMIF(Capacity_Resource,$F29,'Critical resources (hide)'!AK$6:AK$105)&gt;0,$E$1=2),0,1)</f>
        <v>1</v>
      </c>
      <c r="Y29" s="67">
        <f ca="1">IF(AND(SUMIF(Capacity_Resource,$D29,'Critical resources (hide)'!AL$6:AL$105)+SUMIF(Capacity_Resource,$E29,'Critical resources (hide)'!AL$6:AL$105)+SUMIF(Capacity_Resource,$F29,'Critical resources (hide)'!AL$6:AL$105)&gt;0,$E$1=2),0,1)</f>
        <v>1</v>
      </c>
      <c r="Z29" s="67">
        <f ca="1">IF(AND(SUMIF(Capacity_Resource,$D29,'Critical resources (hide)'!AM$6:AM$105)+SUMIF(Capacity_Resource,$E29,'Critical resources (hide)'!AM$6:AM$105)+SUMIF(Capacity_Resource,$F29,'Critical resources (hide)'!AM$6:AM$105)&gt;0,$E$1=2),0,1)</f>
        <v>1</v>
      </c>
      <c r="AA29" s="67">
        <f ca="1">IF(AND(SUMIF(Capacity_Resource,$D29,'Critical resources (hide)'!AN$6:AN$105)+SUMIF(Capacity_Resource,$E29,'Critical resources (hide)'!AN$6:AN$105)+SUMIF(Capacity_Resource,$F29,'Critical resources (hide)'!AN$6:AN$105)&gt;0,$E$1=2),0,1)</f>
        <v>1</v>
      </c>
      <c r="AB29" s="67">
        <f ca="1">IF(AND(SUMIF(Capacity_Resource,$D29,'Critical resources (hide)'!AO$6:AO$105)+SUMIF(Capacity_Resource,$E29,'Critical resources (hide)'!AO$6:AO$105)+SUMIF(Capacity_Resource,$F29,'Critical resources (hide)'!AO$6:AO$105)&gt;0,$E$1=2),0,1)</f>
        <v>1</v>
      </c>
      <c r="AC29" s="67">
        <f ca="1">IF(AND(SUMIF(Capacity_Resource,$D29,'Critical resources (hide)'!AP$6:AP$105)+SUMIF(Capacity_Resource,$E29,'Critical resources (hide)'!AP$6:AP$105)+SUMIF(Capacity_Resource,$F29,'Critical resources (hide)'!AP$6:AP$105)&gt;0,$E$1=2),0,1)</f>
        <v>1</v>
      </c>
      <c r="AD29" s="67">
        <f ca="1">IF(AND(SUMIF(Capacity_Resource,$D29,'Critical resources (hide)'!AQ$6:AQ$105)+SUMIF(Capacity_Resource,$E29,'Critical resources (hide)'!AQ$6:AQ$105)+SUMIF(Capacity_Resource,$F29,'Critical resources (hide)'!AQ$6:AQ$105)&gt;0,$E$1=2),0,1)</f>
        <v>1</v>
      </c>
      <c r="AE29" s="67">
        <f ca="1">IF(AND(SUMIF(Capacity_Resource,$D29,'Critical resources (hide)'!AR$6:AR$105)+SUMIF(Capacity_Resource,$E29,'Critical resources (hide)'!AR$6:AR$105)+SUMIF(Capacity_Resource,$F29,'Critical resources (hide)'!AR$6:AR$105)&gt;0,$E$1=2),0,1)</f>
        <v>1</v>
      </c>
      <c r="AF29" s="67">
        <f ca="1">IF(AND(SUMIF(Capacity_Resource,$D29,'Critical resources (hide)'!AS$6:AS$105)+SUMIF(Capacity_Resource,$E29,'Critical resources (hide)'!AS$6:AS$105)+SUMIF(Capacity_Resource,$F29,'Critical resources (hide)'!AS$6:AS$105)&gt;0,$E$1=2),0,1)</f>
        <v>1</v>
      </c>
      <c r="AG29" s="67">
        <f ca="1">IF(AND(SUMIF(Capacity_Resource,$D29,'Critical resources (hide)'!AT$6:AT$105)+SUMIF(Capacity_Resource,$E29,'Critical resources (hide)'!AT$6:AT$105)+SUMIF(Capacity_Resource,$F29,'Critical resources (hide)'!AT$6:AT$105)&gt;0,$E$1=2),0,1)</f>
        <v>1</v>
      </c>
      <c r="AH29" s="67">
        <f ca="1">IF(AND(SUMIF(Capacity_Resource,$D29,'Critical resources (hide)'!AU$6:AU$105)+SUMIF(Capacity_Resource,$E29,'Critical resources (hide)'!AU$6:AU$105)+SUMIF(Capacity_Resource,$F29,'Critical resources (hide)'!AU$6:AU$105)&gt;0,$E$1=2),0,1)</f>
        <v>1</v>
      </c>
      <c r="AI29" s="67">
        <f ca="1">IF(AND(SUMIF(Capacity_Resource,$D29,'Critical resources (hide)'!AV$6:AV$105)+SUMIF(Capacity_Resource,$E29,'Critical resources (hide)'!AV$6:AV$105)+SUMIF(Capacity_Resource,$F29,'Critical resources (hide)'!AV$6:AV$105)&gt;0,$E$1=2),0,1)</f>
        <v>1</v>
      </c>
      <c r="AJ29" s="67">
        <f ca="1">IF(AND(SUMIF(Capacity_Resource,$D29,'Critical resources (hide)'!AW$6:AW$105)+SUMIF(Capacity_Resource,$E29,'Critical resources (hide)'!AW$6:AW$105)+SUMIF(Capacity_Resource,$F29,'Critical resources (hide)'!AW$6:AW$105)&gt;0,$E$1=2),0,1)</f>
        <v>1</v>
      </c>
      <c r="AK29" s="67">
        <f ca="1">IF(AND(SUMIF(Capacity_Resource,$D29,'Critical resources (hide)'!AX$6:AX$105)+SUMIF(Capacity_Resource,$E29,'Critical resources (hide)'!AX$6:AX$105)+SUMIF(Capacity_Resource,$F29,'Critical resources (hide)'!AX$6:AX$105)&gt;0,$E$1=2),0,1)</f>
        <v>1</v>
      </c>
      <c r="AL29" s="67">
        <f ca="1">IF(AND(SUMIF(Capacity_Resource,$D29,'Critical resources (hide)'!AY$6:AY$105)+SUMIF(Capacity_Resource,$E29,'Critical resources (hide)'!AY$6:AY$105)+SUMIF(Capacity_Resource,$F29,'Critical resources (hide)'!AY$6:AY$105)&gt;0,$E$1=2),0,1)</f>
        <v>1</v>
      </c>
      <c r="AM29" s="67">
        <f ca="1">IF(AND(SUMIF(Capacity_Resource,$D29,'Critical resources (hide)'!AZ$6:AZ$105)+SUMIF(Capacity_Resource,$E29,'Critical resources (hide)'!AZ$6:AZ$105)+SUMIF(Capacity_Resource,$F29,'Critical resources (hide)'!AZ$6:AZ$105)&gt;0,$E$1=2),0,1)</f>
        <v>1</v>
      </c>
      <c r="AN29" s="67">
        <f ca="1">IF(AND(SUMIF(Capacity_Resource,$D29,'Critical resources (hide)'!BA$6:BA$105)+SUMIF(Capacity_Resource,$E29,'Critical resources (hide)'!BA$6:BA$105)+SUMIF(Capacity_Resource,$F29,'Critical resources (hide)'!BA$6:BA$105)&gt;0,$E$1=2),0,1)</f>
        <v>1</v>
      </c>
      <c r="AO29" s="67">
        <f ca="1">IF(AND(SUMIF(Capacity_Resource,$D29,'Critical resources (hide)'!BB$6:BB$105)+SUMIF(Capacity_Resource,$E29,'Critical resources (hide)'!BB$6:BB$105)+SUMIF(Capacity_Resource,$F29,'Critical resources (hide)'!BB$6:BB$105)&gt;0,$E$1=2),0,1)</f>
        <v>1</v>
      </c>
      <c r="AP29" s="67">
        <f ca="1">IF(AND(SUMIF(Capacity_Resource,$D29,'Critical resources (hide)'!BC$6:BC$105)+SUMIF(Capacity_Resource,$E29,'Critical resources (hide)'!BC$6:BC$105)+SUMIF(Capacity_Resource,$F29,'Critical resources (hide)'!BC$6:BC$105)&gt;0,$E$1=2),0,1)</f>
        <v>1</v>
      </c>
      <c r="AQ29" s="67">
        <f ca="1">IF(AND(SUMIF(Capacity_Resource,$D29,'Critical resources (hide)'!BD$6:BD$105)+SUMIF(Capacity_Resource,$E29,'Critical resources (hide)'!BD$6:BD$105)+SUMIF(Capacity_Resource,$F29,'Critical resources (hide)'!BD$6:BD$105)&gt;0,$E$1=2),0,1)</f>
        <v>1</v>
      </c>
      <c r="AR29" s="67">
        <f ca="1">IF(AND(SUMIF(Capacity_Resource,$D29,'Critical resources (hide)'!BE$6:BE$105)+SUMIF(Capacity_Resource,$E29,'Critical resources (hide)'!BE$6:BE$105)+SUMIF(Capacity_Resource,$F29,'Critical resources (hide)'!BE$6:BE$105)&gt;0,$E$1=2),0,1)</f>
        <v>1</v>
      </c>
      <c r="AS29" s="67">
        <f ca="1">IF(AND(SUMIF(Capacity_Resource,$D29,'Critical resources (hide)'!BF$6:BF$105)+SUMIF(Capacity_Resource,$E29,'Critical resources (hide)'!BF$6:BF$105)+SUMIF(Capacity_Resource,$F29,'Critical resources (hide)'!BF$6:BF$105)&gt;0,$E$1=2),0,1)</f>
        <v>1</v>
      </c>
      <c r="AT29" s="67">
        <f ca="1">IF(AND(SUMIF(Capacity_Resource,$D29,'Critical resources (hide)'!BG$6:BG$105)+SUMIF(Capacity_Resource,$E29,'Critical resources (hide)'!BG$6:BG$105)+SUMIF(Capacity_Resource,$F29,'Critical resources (hide)'!BG$6:BG$105)&gt;0,$E$1=2),0,1)</f>
        <v>1</v>
      </c>
      <c r="AU29" s="67">
        <f ca="1">IF(AND(SUMIF(Capacity_Resource,$D29,'Critical resources (hide)'!BH$6:BH$105)+SUMIF(Capacity_Resource,$E29,'Critical resources (hide)'!BH$6:BH$105)+SUMIF(Capacity_Resource,$F29,'Critical resources (hide)'!BH$6:BH$105)&gt;0,$E$1=2),0,1)</f>
        <v>1</v>
      </c>
      <c r="AV29" s="67">
        <f ca="1">IF(AND(SUMIF(Capacity_Resource,$D29,'Critical resources (hide)'!BI$6:BI$105)+SUMIF(Capacity_Resource,$E29,'Critical resources (hide)'!BI$6:BI$105)+SUMIF(Capacity_Resource,$F29,'Critical resources (hide)'!BI$6:BI$105)&gt;0,$E$1=2),0,1)</f>
        <v>1</v>
      </c>
      <c r="AW29" s="67">
        <f ca="1">IF(AND(SUMIF(Capacity_Resource,$D29,'Critical resources (hide)'!BJ$6:BJ$105)+SUMIF(Capacity_Resource,$E29,'Critical resources (hide)'!BJ$6:BJ$105)+SUMIF(Capacity_Resource,$F29,'Critical resources (hide)'!BJ$6:BJ$105)&gt;0,$E$1=2),0,1)</f>
        <v>1</v>
      </c>
      <c r="AX29" s="67">
        <f ca="1">IF(AND(SUMIF(Capacity_Resource,$D29,'Critical resources (hide)'!BK$6:BK$105)+SUMIF(Capacity_Resource,$E29,'Critical resources (hide)'!BK$6:BK$105)+SUMIF(Capacity_Resource,$F29,'Critical resources (hide)'!BK$6:BK$105)&gt;0,$E$1=2),0,1)</f>
        <v>1</v>
      </c>
      <c r="AY29" s="67">
        <f ca="1">IF(AND(SUMIF(Capacity_Resource,$D29,'Critical resources (hide)'!BL$6:BL$105)+SUMIF(Capacity_Resource,$E29,'Critical resources (hide)'!BL$6:BL$105)+SUMIF(Capacity_Resource,$F29,'Critical resources (hide)'!BL$6:BL$105)&gt;0,$E$1=2),0,1)</f>
        <v>1</v>
      </c>
      <c r="AZ29" s="67">
        <f ca="1">IF(AND(SUMIF(Capacity_Resource,$D29,'Critical resources (hide)'!BM$6:BM$105)+SUMIF(Capacity_Resource,$E29,'Critical resources (hide)'!BM$6:BM$105)+SUMIF(Capacity_Resource,$F29,'Critical resources (hide)'!BM$6:BM$105)&gt;0,$E$1=2),0,1)</f>
        <v>1</v>
      </c>
      <c r="BA29" s="67">
        <f ca="1">IF(AND(SUMIF(Capacity_Resource,$D29,'Critical resources (hide)'!BN$6:BN$105)+SUMIF(Capacity_Resource,$E29,'Critical resources (hide)'!BN$6:BN$105)+SUMIF(Capacity_Resource,$F29,'Critical resources (hide)'!BN$6:BN$105)&gt;0,$E$1=2),0,1)</f>
        <v>1</v>
      </c>
      <c r="BB29" s="67">
        <f ca="1">IF(AND(SUMIF(Capacity_Resource,$D29,'Critical resources (hide)'!BO$6:BO$105)+SUMIF(Capacity_Resource,$E29,'Critical resources (hide)'!BO$6:BO$105)+SUMIF(Capacity_Resource,$F29,'Critical resources (hide)'!BO$6:BO$105)&gt;0,$E$1=2),0,1)</f>
        <v>1</v>
      </c>
      <c r="BC29" s="67">
        <f ca="1">IF(AND(SUMIF(Capacity_Resource,$D29,'Critical resources (hide)'!BP$6:BP$105)+SUMIF(Capacity_Resource,$E29,'Critical resources (hide)'!BP$6:BP$105)+SUMIF(Capacity_Resource,$F29,'Critical resources (hide)'!BP$6:BP$105)&gt;0,$E$1=2),0,1)</f>
        <v>1</v>
      </c>
      <c r="BD29" s="67">
        <f ca="1">IF(AND(SUMIF(Capacity_Resource,$D29,'Critical resources (hide)'!BQ$6:BQ$105)+SUMIF(Capacity_Resource,$E29,'Critical resources (hide)'!BQ$6:BQ$105)+SUMIF(Capacity_Resource,$F29,'Critical resources (hide)'!BQ$6:BQ$105)&gt;0,$E$1=2),0,1)</f>
        <v>1</v>
      </c>
      <c r="BE29" s="67">
        <f ca="1">IF(AND(SUMIF(Capacity_Resource,$D29,'Critical resources (hide)'!BR$6:BR$105)+SUMIF(Capacity_Resource,$E29,'Critical resources (hide)'!BR$6:BR$105)+SUMIF(Capacity_Resource,$F29,'Critical resources (hide)'!BR$6:BR$105)&gt;0,$E$1=2),0,1)</f>
        <v>1</v>
      </c>
      <c r="BF29" s="67">
        <f ca="1">IF(AND(SUMIF(Capacity_Resource,$D29,'Critical resources (hide)'!BS$6:BS$105)+SUMIF(Capacity_Resource,$E29,'Critical resources (hide)'!BS$6:BS$105)+SUMIF(Capacity_Resource,$F29,'Critical resources (hide)'!BS$6:BS$105)&gt;0,$E$1=2),0,1)</f>
        <v>1</v>
      </c>
      <c r="BG29" s="67">
        <f ca="1">IF(AND(SUMIF(Capacity_Resource,$D29,'Critical resources (hide)'!BT$6:BT$105)+SUMIF(Capacity_Resource,$E29,'Critical resources (hide)'!BT$6:BT$105)+SUMIF(Capacity_Resource,$F29,'Critical resources (hide)'!BT$6:BT$105)&gt;0,$E$1=2),0,1)</f>
        <v>1</v>
      </c>
      <c r="BH29" s="67">
        <f>IF(ROW(C25)&lt;=Capacity!$A$16,IF('Capacity summary'!$D$14="No",SUM(H29:BG29),'Capacity summary'!$E148),0)</f>
        <v>0</v>
      </c>
      <c r="BI29" s="5" t="str">
        <f>IF(BH29&gt;0,IF(BH29&lt;Capacity!E41,Capacity!F41,Capacity!H41/'Capacity calculation (hide)'!BH29),"")</f>
        <v/>
      </c>
      <c r="BK29" s="313">
        <f>IF($BI29&lt;&gt;"",IF('Capacity summary'!$D$14="Yes",IF(COUNTBLANK('Capacity summary'!$H148:$BG148)&lt;52,IF('Capacity summary'!H148&lt;&gt;"",IF(LOWER('Capacity summary'!H148)="x",$BI29*H29,VALUE('Capacity summary'!H148)),0),H29*$BI29),H29*$BI29),0)</f>
        <v>0</v>
      </c>
      <c r="BL29" s="313">
        <f>IF($BI29&lt;&gt;"",IF('Capacity summary'!$D$14="Yes",IF(COUNTBLANK('Capacity summary'!$H148:$BG148)&lt;52,IF('Capacity summary'!I148&lt;&gt;"",IF(LOWER('Capacity summary'!I148)="x",$BI29*I29,VALUE('Capacity summary'!I148)),0),I29*$BI29),I29*$BI29),0)</f>
        <v>0</v>
      </c>
      <c r="BM29" s="313">
        <f>IF($BI29&lt;&gt;"",IF('Capacity summary'!$D$14="Yes",IF(COUNTBLANK('Capacity summary'!$H148:$BG148)&lt;52,IF('Capacity summary'!J148&lt;&gt;"",IF(LOWER('Capacity summary'!J148)="x",$BI29*J29,VALUE('Capacity summary'!J148)),0),J29*$BI29),J29*$BI29),0)</f>
        <v>0</v>
      </c>
      <c r="BN29" s="313">
        <f>IF($BI29&lt;&gt;"",IF('Capacity summary'!$D$14="Yes",IF(COUNTBLANK('Capacity summary'!$H148:$BG148)&lt;52,IF('Capacity summary'!K148&lt;&gt;"",IF(LOWER('Capacity summary'!K148)="x",$BI29*K29,VALUE('Capacity summary'!K148)),0),K29*$BI29),K29*$BI29),0)</f>
        <v>0</v>
      </c>
      <c r="BO29" s="313">
        <f>IF($BI29&lt;&gt;"",IF('Capacity summary'!$D$14="Yes",IF(COUNTBLANK('Capacity summary'!$H148:$BG148)&lt;52,IF('Capacity summary'!L148&lt;&gt;"",IF(LOWER('Capacity summary'!L148)="x",$BI29*L29,VALUE('Capacity summary'!L148)),0),L29*$BI29),L29*$BI29),0)</f>
        <v>0</v>
      </c>
      <c r="BP29" s="313">
        <f>IF($BI29&lt;&gt;"",IF('Capacity summary'!$D$14="Yes",IF(COUNTBLANK('Capacity summary'!$H148:$BG148)&lt;52,IF('Capacity summary'!M148&lt;&gt;"",IF(LOWER('Capacity summary'!M148)="x",$BI29*M29,VALUE('Capacity summary'!M148)),0),M29*$BI29),M29*$BI29),0)</f>
        <v>0</v>
      </c>
      <c r="BQ29" s="313">
        <f>IF($BI29&lt;&gt;"",IF('Capacity summary'!$D$14="Yes",IF(COUNTBLANK('Capacity summary'!$H148:$BG148)&lt;52,IF('Capacity summary'!N148&lt;&gt;"",IF(LOWER('Capacity summary'!N148)="x",$BI29*N29,VALUE('Capacity summary'!N148)),0),N29*$BI29),N29*$BI29),0)</f>
        <v>0</v>
      </c>
      <c r="BR29" s="313">
        <f>IF($BI29&lt;&gt;"",IF('Capacity summary'!$D$14="Yes",IF(COUNTBLANK('Capacity summary'!$H148:$BG148)&lt;52,IF('Capacity summary'!O148&lt;&gt;"",IF(LOWER('Capacity summary'!O148)="x",$BI29*O29,VALUE('Capacity summary'!O148)),0),O29*$BI29),O29*$BI29),0)</f>
        <v>0</v>
      </c>
      <c r="BS29" s="313">
        <f>IF($BI29&lt;&gt;"",IF('Capacity summary'!$D$14="Yes",IF(COUNTBLANK('Capacity summary'!$H148:$BG148)&lt;52,IF('Capacity summary'!P148&lt;&gt;"",IF(LOWER('Capacity summary'!P148)="x",$BI29*P29,VALUE('Capacity summary'!P148)),0),P29*$BI29),P29*$BI29),0)</f>
        <v>0</v>
      </c>
      <c r="BT29" s="313">
        <f>IF($BI29&lt;&gt;"",IF('Capacity summary'!$D$14="Yes",IF(COUNTBLANK('Capacity summary'!$H148:$BG148)&lt;52,IF('Capacity summary'!Q148&lt;&gt;"",IF(LOWER('Capacity summary'!Q148)="x",$BI29*Q29,VALUE('Capacity summary'!Q148)),0),Q29*$BI29),Q29*$BI29),0)</f>
        <v>0</v>
      </c>
      <c r="BU29" s="313">
        <f>IF($BI29&lt;&gt;"",IF('Capacity summary'!$D$14="Yes",IF(COUNTBLANK('Capacity summary'!$H148:$BG148)&lt;52,IF('Capacity summary'!R148&lt;&gt;"",IF(LOWER('Capacity summary'!R148)="x",$BI29*R29,VALUE('Capacity summary'!R148)),0),R29*$BI29),R29*$BI29),0)</f>
        <v>0</v>
      </c>
      <c r="BV29" s="313">
        <f>IF($BI29&lt;&gt;"",IF('Capacity summary'!$D$14="Yes",IF(COUNTBLANK('Capacity summary'!$H148:$BG148)&lt;52,IF('Capacity summary'!S148&lt;&gt;"",IF(LOWER('Capacity summary'!S148)="x",$BI29*S29,VALUE('Capacity summary'!S148)),0),S29*$BI29),S29*$BI29),0)</f>
        <v>0</v>
      </c>
      <c r="BW29" s="313">
        <f>IF($BI29&lt;&gt;"",IF('Capacity summary'!$D$14="Yes",IF(COUNTBLANK('Capacity summary'!$H148:$BG148)&lt;52,IF('Capacity summary'!T148&lt;&gt;"",IF(LOWER('Capacity summary'!T148)="x",$BI29*T29,VALUE('Capacity summary'!T148)),0),T29*$BI29),T29*$BI29),0)</f>
        <v>0</v>
      </c>
      <c r="BX29" s="313">
        <f>IF($BI29&lt;&gt;"",IF('Capacity summary'!$D$14="Yes",IF(COUNTBLANK('Capacity summary'!$H148:$BG148)&lt;52,IF('Capacity summary'!U148&lt;&gt;"",IF(LOWER('Capacity summary'!U148)="x",$BI29*U29,VALUE('Capacity summary'!U148)),0),U29*$BI29),U29*$BI29),0)</f>
        <v>0</v>
      </c>
      <c r="BY29" s="313">
        <f>IF($BI29&lt;&gt;"",IF('Capacity summary'!$D$14="Yes",IF(COUNTBLANK('Capacity summary'!$H148:$BG148)&lt;52,IF('Capacity summary'!V148&lt;&gt;"",IF(LOWER('Capacity summary'!V148)="x",$BI29*V29,VALUE('Capacity summary'!V148)),0),V29*$BI29),V29*$BI29),0)</f>
        <v>0</v>
      </c>
      <c r="BZ29" s="313">
        <f>IF($BI29&lt;&gt;"",IF('Capacity summary'!$D$14="Yes",IF(COUNTBLANK('Capacity summary'!$H148:$BG148)&lt;52,IF('Capacity summary'!W148&lt;&gt;"",IF(LOWER('Capacity summary'!W148)="x",$BI29*W29,VALUE('Capacity summary'!W148)),0),W29*$BI29),W29*$BI29),0)</f>
        <v>0</v>
      </c>
      <c r="CA29" s="313">
        <f>IF($BI29&lt;&gt;"",IF('Capacity summary'!$D$14="Yes",IF(COUNTBLANK('Capacity summary'!$H148:$BG148)&lt;52,IF('Capacity summary'!X148&lt;&gt;"",IF(LOWER('Capacity summary'!X148)="x",$BI29*X29,VALUE('Capacity summary'!X148)),0),X29*$BI29),X29*$BI29),0)</f>
        <v>0</v>
      </c>
      <c r="CB29" s="313">
        <f>IF($BI29&lt;&gt;"",IF('Capacity summary'!$D$14="Yes",IF(COUNTBLANK('Capacity summary'!$H148:$BG148)&lt;52,IF('Capacity summary'!Y148&lt;&gt;"",IF(LOWER('Capacity summary'!Y148)="x",$BI29*Y29,VALUE('Capacity summary'!Y148)),0),Y29*$BI29),Y29*$BI29),0)</f>
        <v>0</v>
      </c>
      <c r="CC29" s="313">
        <f>IF($BI29&lt;&gt;"",IF('Capacity summary'!$D$14="Yes",IF(COUNTBLANK('Capacity summary'!$H148:$BG148)&lt;52,IF('Capacity summary'!Z148&lt;&gt;"",IF(LOWER('Capacity summary'!Z148)="x",$BI29*Z29,VALUE('Capacity summary'!Z148)),0),Z29*$BI29),Z29*$BI29),0)</f>
        <v>0</v>
      </c>
      <c r="CD29" s="313">
        <f>IF($BI29&lt;&gt;"",IF('Capacity summary'!$D$14="Yes",IF(COUNTBLANK('Capacity summary'!$H148:$BG148)&lt;52,IF('Capacity summary'!AA148&lt;&gt;"",IF(LOWER('Capacity summary'!AA148)="x",$BI29*AA29,VALUE('Capacity summary'!AA148)),0),AA29*$BI29),AA29*$BI29),0)</f>
        <v>0</v>
      </c>
      <c r="CE29" s="313">
        <f>IF($BI29&lt;&gt;"",IF('Capacity summary'!$D$14="Yes",IF(COUNTBLANK('Capacity summary'!$H148:$BG148)&lt;52,IF('Capacity summary'!AB148&lt;&gt;"",IF(LOWER('Capacity summary'!AB148)="x",$BI29*AB29,VALUE('Capacity summary'!AB148)),0),AB29*$BI29),AB29*$BI29),0)</f>
        <v>0</v>
      </c>
      <c r="CF29" s="313">
        <f>IF($BI29&lt;&gt;"",IF('Capacity summary'!$D$14="Yes",IF(COUNTBLANK('Capacity summary'!$H148:$BG148)&lt;52,IF('Capacity summary'!AC148&lt;&gt;"",IF(LOWER('Capacity summary'!AC148)="x",$BI29*AC29,VALUE('Capacity summary'!AC148)),0),AC29*$BI29),AC29*$BI29),0)</f>
        <v>0</v>
      </c>
      <c r="CG29" s="313">
        <f>IF($BI29&lt;&gt;"",IF('Capacity summary'!$D$14="Yes",IF(COUNTBLANK('Capacity summary'!$H148:$BG148)&lt;52,IF('Capacity summary'!AD148&lt;&gt;"",IF(LOWER('Capacity summary'!AD148)="x",$BI29*AD29,VALUE('Capacity summary'!AD148)),0),AD29*$BI29),AD29*$BI29),0)</f>
        <v>0</v>
      </c>
      <c r="CH29" s="313">
        <f>IF($BI29&lt;&gt;"",IF('Capacity summary'!$D$14="Yes",IF(COUNTBLANK('Capacity summary'!$H148:$BG148)&lt;52,IF('Capacity summary'!AE148&lt;&gt;"",IF(LOWER('Capacity summary'!AE148)="x",$BI29*AE29,VALUE('Capacity summary'!AE148)),0),AE29*$BI29),AE29*$BI29),0)</f>
        <v>0</v>
      </c>
      <c r="CI29" s="313">
        <f>IF($BI29&lt;&gt;"",IF('Capacity summary'!$D$14="Yes",IF(COUNTBLANK('Capacity summary'!$H148:$BG148)&lt;52,IF('Capacity summary'!AF148&lt;&gt;"",IF(LOWER('Capacity summary'!AF148)="x",$BI29*AF29,VALUE('Capacity summary'!AF148)),0),AF29*$BI29),AF29*$BI29),0)</f>
        <v>0</v>
      </c>
      <c r="CJ29" s="313">
        <f>IF($BI29&lt;&gt;"",IF('Capacity summary'!$D$14="Yes",IF(COUNTBLANK('Capacity summary'!$H148:$BG148)&lt;52,IF('Capacity summary'!AG148&lt;&gt;"",IF(LOWER('Capacity summary'!AG148)="x",$BI29*AG29,VALUE('Capacity summary'!AG148)),0),AG29*$BI29),AG29*$BI29),0)</f>
        <v>0</v>
      </c>
      <c r="CK29" s="313">
        <f>IF($BI29&lt;&gt;"",IF('Capacity summary'!$D$14="Yes",IF(COUNTBLANK('Capacity summary'!$H148:$BG148)&lt;52,IF('Capacity summary'!AH148&lt;&gt;"",IF(LOWER('Capacity summary'!AH148)="x",$BI29*AH29,VALUE('Capacity summary'!AH148)),0),AH29*$BI29),AH29*$BI29),0)</f>
        <v>0</v>
      </c>
      <c r="CL29" s="313">
        <f>IF($BI29&lt;&gt;"",IF('Capacity summary'!$D$14="Yes",IF(COUNTBLANK('Capacity summary'!$H148:$BG148)&lt;52,IF('Capacity summary'!AI148&lt;&gt;"",IF(LOWER('Capacity summary'!AI148)="x",$BI29*AI29,VALUE('Capacity summary'!AI148)),0),AI29*$BI29),AI29*$BI29),0)</f>
        <v>0</v>
      </c>
      <c r="CM29" s="313">
        <f>IF($BI29&lt;&gt;"",IF('Capacity summary'!$D$14="Yes",IF(COUNTBLANK('Capacity summary'!$H148:$BG148)&lt;52,IF('Capacity summary'!AJ148&lt;&gt;"",IF(LOWER('Capacity summary'!AJ148)="x",$BI29*AJ29,VALUE('Capacity summary'!AJ148)),0),AJ29*$BI29),AJ29*$BI29),0)</f>
        <v>0</v>
      </c>
      <c r="CN29" s="313">
        <f>IF($BI29&lt;&gt;"",IF('Capacity summary'!$D$14="Yes",IF(COUNTBLANK('Capacity summary'!$H148:$BG148)&lt;52,IF('Capacity summary'!AK148&lt;&gt;"",IF(LOWER('Capacity summary'!AK148)="x",$BI29*AK29,VALUE('Capacity summary'!AK148)),0),AK29*$BI29),AK29*$BI29),0)</f>
        <v>0</v>
      </c>
      <c r="CO29" s="313">
        <f>IF($BI29&lt;&gt;"",IF('Capacity summary'!$D$14="Yes",IF(COUNTBLANK('Capacity summary'!$H148:$BG148)&lt;52,IF('Capacity summary'!AL148&lt;&gt;"",IF(LOWER('Capacity summary'!AL148)="x",$BI29*AL29,VALUE('Capacity summary'!AL148)),0),AL29*$BI29),AL29*$BI29),0)</f>
        <v>0</v>
      </c>
      <c r="CP29" s="313">
        <f>IF($BI29&lt;&gt;"",IF('Capacity summary'!$D$14="Yes",IF(COUNTBLANK('Capacity summary'!$H148:$BG148)&lt;52,IF('Capacity summary'!AM148&lt;&gt;"",IF(LOWER('Capacity summary'!AM148)="x",$BI29*AM29,VALUE('Capacity summary'!AM148)),0),AM29*$BI29),AM29*$BI29),0)</f>
        <v>0</v>
      </c>
      <c r="CQ29" s="313">
        <f>IF($BI29&lt;&gt;"",IF('Capacity summary'!$D$14="Yes",IF(COUNTBLANK('Capacity summary'!$H148:$BG148)&lt;52,IF('Capacity summary'!AN148&lt;&gt;"",IF(LOWER('Capacity summary'!AN148)="x",$BI29*AN29,VALUE('Capacity summary'!AN148)),0),AN29*$BI29),AN29*$BI29),0)</f>
        <v>0</v>
      </c>
      <c r="CR29" s="313">
        <f>IF($BI29&lt;&gt;"",IF('Capacity summary'!$D$14="Yes",IF(COUNTBLANK('Capacity summary'!$H148:$BG148)&lt;52,IF('Capacity summary'!AO148&lt;&gt;"",IF(LOWER('Capacity summary'!AO148)="x",$BI29*AO29,VALUE('Capacity summary'!AO148)),0),AO29*$BI29),AO29*$BI29),0)</f>
        <v>0</v>
      </c>
      <c r="CS29" s="313">
        <f>IF($BI29&lt;&gt;"",IF('Capacity summary'!$D$14="Yes",IF(COUNTBLANK('Capacity summary'!$H148:$BG148)&lt;52,IF('Capacity summary'!AP148&lt;&gt;"",IF(LOWER('Capacity summary'!AP148)="x",$BI29*AP29,VALUE('Capacity summary'!AP148)),0),AP29*$BI29),AP29*$BI29),0)</f>
        <v>0</v>
      </c>
      <c r="CT29" s="313">
        <f>IF($BI29&lt;&gt;"",IF('Capacity summary'!$D$14="Yes",IF(COUNTBLANK('Capacity summary'!$H148:$BG148)&lt;52,IF('Capacity summary'!AQ148&lt;&gt;"",IF(LOWER('Capacity summary'!AQ148)="x",$BI29*AQ29,VALUE('Capacity summary'!AQ148)),0),AQ29*$BI29),AQ29*$BI29),0)</f>
        <v>0</v>
      </c>
      <c r="CU29" s="313">
        <f>IF($BI29&lt;&gt;"",IF('Capacity summary'!$D$14="Yes",IF(COUNTBLANK('Capacity summary'!$H148:$BG148)&lt;52,IF('Capacity summary'!AR148&lt;&gt;"",IF(LOWER('Capacity summary'!AR148)="x",$BI29*AR29,VALUE('Capacity summary'!AR148)),0),AR29*$BI29),AR29*$BI29),0)</f>
        <v>0</v>
      </c>
      <c r="CV29" s="313">
        <f>IF($BI29&lt;&gt;"",IF('Capacity summary'!$D$14="Yes",IF(COUNTBLANK('Capacity summary'!$H148:$BG148)&lt;52,IF('Capacity summary'!AS148&lt;&gt;"",IF(LOWER('Capacity summary'!AS148)="x",$BI29*AS29,VALUE('Capacity summary'!AS148)),0),AS29*$BI29),AS29*$BI29),0)</f>
        <v>0</v>
      </c>
      <c r="CW29" s="313">
        <f>IF($BI29&lt;&gt;"",IF('Capacity summary'!$D$14="Yes",IF(COUNTBLANK('Capacity summary'!$H148:$BG148)&lt;52,IF('Capacity summary'!AT148&lt;&gt;"",IF(LOWER('Capacity summary'!AT148)="x",$BI29*AT29,VALUE('Capacity summary'!AT148)),0),AT29*$BI29),AT29*$BI29),0)</f>
        <v>0</v>
      </c>
      <c r="CX29" s="313">
        <f>IF($BI29&lt;&gt;"",IF('Capacity summary'!$D$14="Yes",IF(COUNTBLANK('Capacity summary'!$H148:$BG148)&lt;52,IF('Capacity summary'!AU148&lt;&gt;"",IF(LOWER('Capacity summary'!AU148)="x",$BI29*AU29,VALUE('Capacity summary'!AU148)),0),AU29*$BI29),AU29*$BI29),0)</f>
        <v>0</v>
      </c>
      <c r="CY29" s="313">
        <f>IF($BI29&lt;&gt;"",IF('Capacity summary'!$D$14="Yes",IF(COUNTBLANK('Capacity summary'!$H148:$BG148)&lt;52,IF('Capacity summary'!AV148&lt;&gt;"",IF(LOWER('Capacity summary'!AV148)="x",$BI29*AV29,VALUE('Capacity summary'!AV148)),0),AV29*$BI29),AV29*$BI29),0)</f>
        <v>0</v>
      </c>
      <c r="CZ29" s="313">
        <f>IF($BI29&lt;&gt;"",IF('Capacity summary'!$D$14="Yes",IF(COUNTBLANK('Capacity summary'!$H148:$BG148)&lt;52,IF('Capacity summary'!AW148&lt;&gt;"",IF(LOWER('Capacity summary'!AW148)="x",$BI29*AW29,VALUE('Capacity summary'!AW148)),0),AW29*$BI29),AW29*$BI29),0)</f>
        <v>0</v>
      </c>
      <c r="DA29" s="313">
        <f>IF($BI29&lt;&gt;"",IF('Capacity summary'!$D$14="Yes",IF(COUNTBLANK('Capacity summary'!$H148:$BG148)&lt;52,IF('Capacity summary'!AX148&lt;&gt;"",IF(LOWER('Capacity summary'!AX148)="x",$BI29*AX29,VALUE('Capacity summary'!AX148)),0),AX29*$BI29),AX29*$BI29),0)</f>
        <v>0</v>
      </c>
      <c r="DB29" s="313">
        <f>IF($BI29&lt;&gt;"",IF('Capacity summary'!$D$14="Yes",IF(COUNTBLANK('Capacity summary'!$H148:$BG148)&lt;52,IF('Capacity summary'!AY148&lt;&gt;"",IF(LOWER('Capacity summary'!AY148)="x",$BI29*AY29,VALUE('Capacity summary'!AY148)),0),AY29*$BI29),AY29*$BI29),0)</f>
        <v>0</v>
      </c>
      <c r="DC29" s="313">
        <f>IF($BI29&lt;&gt;"",IF('Capacity summary'!$D$14="Yes",IF(COUNTBLANK('Capacity summary'!$H148:$BG148)&lt;52,IF('Capacity summary'!AZ148&lt;&gt;"",IF(LOWER('Capacity summary'!AZ148)="x",$BI29*AZ29,VALUE('Capacity summary'!AZ148)),0),AZ29*$BI29),AZ29*$BI29),0)</f>
        <v>0</v>
      </c>
      <c r="DD29" s="313">
        <f>IF($BI29&lt;&gt;"",IF('Capacity summary'!$D$14="Yes",IF(COUNTBLANK('Capacity summary'!$H148:$BG148)&lt;52,IF('Capacity summary'!BA148&lt;&gt;"",IF(LOWER('Capacity summary'!BA148)="x",$BI29*BA29,VALUE('Capacity summary'!BA148)),0),BA29*$BI29),BA29*$BI29),0)</f>
        <v>0</v>
      </c>
      <c r="DE29" s="313">
        <f>IF($BI29&lt;&gt;"",IF('Capacity summary'!$D$14="Yes",IF(COUNTBLANK('Capacity summary'!$H148:$BG148)&lt;52,IF('Capacity summary'!BB148&lt;&gt;"",IF(LOWER('Capacity summary'!BB148)="x",$BI29*BB29,VALUE('Capacity summary'!BB148)),0),BB29*$BI29),BB29*$BI29),0)</f>
        <v>0</v>
      </c>
      <c r="DF29" s="313">
        <f>IF($BI29&lt;&gt;"",IF('Capacity summary'!$D$14="Yes",IF(COUNTBLANK('Capacity summary'!$H148:$BG148)&lt;52,IF('Capacity summary'!BC148&lt;&gt;"",IF(LOWER('Capacity summary'!BC148)="x",$BI29*BC29,VALUE('Capacity summary'!BC148)),0),BC29*$BI29),BC29*$BI29),0)</f>
        <v>0</v>
      </c>
      <c r="DG29" s="313">
        <f>IF($BI29&lt;&gt;"",IF('Capacity summary'!$D$14="Yes",IF(COUNTBLANK('Capacity summary'!$H148:$BG148)&lt;52,IF('Capacity summary'!BD148&lt;&gt;"",IF(LOWER('Capacity summary'!BD148)="x",$BI29*BD29,VALUE('Capacity summary'!BD148)),0),BD29*$BI29),BD29*$BI29),0)</f>
        <v>0</v>
      </c>
      <c r="DH29" s="313">
        <f>IF($BI29&lt;&gt;"",IF('Capacity summary'!$D$14="Yes",IF(COUNTBLANK('Capacity summary'!$H148:$BG148)&lt;52,IF('Capacity summary'!BE148&lt;&gt;"",IF(LOWER('Capacity summary'!BE148)="x",$BI29*BE29,VALUE('Capacity summary'!BE148)),0),BE29*$BI29),BE29*$BI29),0)</f>
        <v>0</v>
      </c>
      <c r="DI29" s="313">
        <f>IF($BI29&lt;&gt;"",IF('Capacity summary'!$D$14="Yes",IF(COUNTBLANK('Capacity summary'!$H148:$BG148)&lt;52,IF('Capacity summary'!BF148&lt;&gt;"",IF(LOWER('Capacity summary'!BF148)="x",$BI29*BF29,VALUE('Capacity summary'!BF148)),0),BF29*$BI29),BF29*$BI29),0)</f>
        <v>0</v>
      </c>
      <c r="DJ29" s="313">
        <f>IF($BI29&lt;&gt;"",IF('Capacity summary'!$D$14="Yes",IF(COUNTBLANK('Capacity summary'!$H148:$BG148)&lt;52,IF('Capacity summary'!BG148&lt;&gt;"",IF(LOWER('Capacity summary'!BG148)="x",$BI29*BG29,VALUE('Capacity summary'!BG148)),0),BG29*$BI29),BG29*$BI29),0)</f>
        <v>0</v>
      </c>
      <c r="DK29" s="137">
        <f t="shared" si="2"/>
        <v>0</v>
      </c>
      <c r="DL29" s="313" t="str">
        <f>Capacity!H41</f>
        <v/>
      </c>
      <c r="DP29" s="5"/>
    </row>
    <row r="30" spans="2:120" x14ac:dyDescent="0.25">
      <c r="B30" s="67"/>
      <c r="C30" s="67" t="str">
        <f>ROW(A26)&amp;". "&amp;Capacity!B42</f>
        <v xml:space="preserve">26. </v>
      </c>
      <c r="D30" s="67">
        <f>'Capacity setup'!C37</f>
        <v>0</v>
      </c>
      <c r="E30" s="67">
        <f>'Capacity setup'!D37</f>
        <v>0</v>
      </c>
      <c r="F30" s="67">
        <f>'Capacity setup'!E37</f>
        <v>0</v>
      </c>
      <c r="H30" s="67">
        <f ca="1">IF(AND(SUMIF(Capacity_Resource,$D30,'Critical resources (hide)'!U$6:U$105)+SUMIF(Capacity_Resource,$E30,'Critical resources (hide)'!U$6:U$105)+SUMIF(Capacity_Resource,$F30,'Critical resources (hide)'!U$6:U$105)&gt;0,$E$1=2),0,1)</f>
        <v>1</v>
      </c>
      <c r="I30" s="67">
        <f ca="1">IF(AND(SUMIF(Capacity_Resource,$D30,'Critical resources (hide)'!V$6:V$105)+SUMIF(Capacity_Resource,$E30,'Critical resources (hide)'!V$6:V$105)+SUMIF(Capacity_Resource,$F30,'Critical resources (hide)'!V$6:V$105)&gt;0,$E$1=2),0,1)</f>
        <v>1</v>
      </c>
      <c r="J30" s="67">
        <f ca="1">IF(AND(SUMIF(Capacity_Resource,$D30,'Critical resources (hide)'!W$6:W$105)+SUMIF(Capacity_Resource,$E30,'Critical resources (hide)'!W$6:W$105)+SUMIF(Capacity_Resource,$F30,'Critical resources (hide)'!W$6:W$105)&gt;0,$E$1=2),0,1)</f>
        <v>1</v>
      </c>
      <c r="K30" s="67">
        <f ca="1">IF(AND(SUMIF(Capacity_Resource,$D30,'Critical resources (hide)'!X$6:X$105)+SUMIF(Capacity_Resource,$E30,'Critical resources (hide)'!X$6:X$105)+SUMIF(Capacity_Resource,$F30,'Critical resources (hide)'!X$6:X$105)&gt;0,$E$1=2),0,1)</f>
        <v>1</v>
      </c>
      <c r="L30" s="67">
        <f ca="1">IF(AND(SUMIF(Capacity_Resource,$D30,'Critical resources (hide)'!Y$6:Y$105)+SUMIF(Capacity_Resource,$E30,'Critical resources (hide)'!Y$6:Y$105)+SUMIF(Capacity_Resource,$F30,'Critical resources (hide)'!Y$6:Y$105)&gt;0,$E$1=2),0,1)</f>
        <v>1</v>
      </c>
      <c r="M30" s="67">
        <f ca="1">IF(AND(SUMIF(Capacity_Resource,$D30,'Critical resources (hide)'!Z$6:Z$105)+SUMIF(Capacity_Resource,$E30,'Critical resources (hide)'!Z$6:Z$105)+SUMIF(Capacity_Resource,$F30,'Critical resources (hide)'!Z$6:Z$105)&gt;0,$E$1=2),0,1)</f>
        <v>1</v>
      </c>
      <c r="N30" s="67">
        <f ca="1">IF(AND(SUMIF(Capacity_Resource,$D30,'Critical resources (hide)'!AA$6:AA$105)+SUMIF(Capacity_Resource,$E30,'Critical resources (hide)'!AA$6:AA$105)+SUMIF(Capacity_Resource,$F30,'Critical resources (hide)'!AA$6:AA$105)&gt;0,$E$1=2),0,1)</f>
        <v>1</v>
      </c>
      <c r="O30" s="67">
        <f ca="1">IF(AND(SUMIF(Capacity_Resource,$D30,'Critical resources (hide)'!AB$6:AB$105)+SUMIF(Capacity_Resource,$E30,'Critical resources (hide)'!AB$6:AB$105)+SUMIF(Capacity_Resource,$F30,'Critical resources (hide)'!AB$6:AB$105)&gt;0,$E$1=2),0,1)</f>
        <v>1</v>
      </c>
      <c r="P30" s="67">
        <f ca="1">IF(AND(SUMIF(Capacity_Resource,$D30,'Critical resources (hide)'!AC$6:AC$105)+SUMIF(Capacity_Resource,$E30,'Critical resources (hide)'!AC$6:AC$105)+SUMIF(Capacity_Resource,$F30,'Critical resources (hide)'!AC$6:AC$105)&gt;0,$E$1=2),0,1)</f>
        <v>1</v>
      </c>
      <c r="Q30" s="67">
        <f ca="1">IF(AND(SUMIF(Capacity_Resource,$D30,'Critical resources (hide)'!AD$6:AD$105)+SUMIF(Capacity_Resource,$E30,'Critical resources (hide)'!AD$6:AD$105)+SUMIF(Capacity_Resource,$F30,'Critical resources (hide)'!AD$6:AD$105)&gt;0,$E$1=2),0,1)</f>
        <v>1</v>
      </c>
      <c r="R30" s="67">
        <f ca="1">IF(AND(SUMIF(Capacity_Resource,$D30,'Critical resources (hide)'!AE$6:AE$105)+SUMIF(Capacity_Resource,$E30,'Critical resources (hide)'!AE$6:AE$105)+SUMIF(Capacity_Resource,$F30,'Critical resources (hide)'!AE$6:AE$105)&gt;0,$E$1=2),0,1)</f>
        <v>1</v>
      </c>
      <c r="S30" s="67">
        <f ca="1">IF(AND(SUMIF(Capacity_Resource,$D30,'Critical resources (hide)'!AF$6:AF$105)+SUMIF(Capacity_Resource,$E30,'Critical resources (hide)'!AF$6:AF$105)+SUMIF(Capacity_Resource,$F30,'Critical resources (hide)'!AF$6:AF$105)&gt;0,$E$1=2),0,1)</f>
        <v>1</v>
      </c>
      <c r="T30" s="67">
        <f ca="1">IF(AND(SUMIF(Capacity_Resource,$D30,'Critical resources (hide)'!AG$6:AG$105)+SUMIF(Capacity_Resource,$E30,'Critical resources (hide)'!AG$6:AG$105)+SUMIF(Capacity_Resource,$F30,'Critical resources (hide)'!AG$6:AG$105)&gt;0,$E$1=2),0,1)</f>
        <v>1</v>
      </c>
      <c r="U30" s="67">
        <f ca="1">IF(AND(SUMIF(Capacity_Resource,$D30,'Critical resources (hide)'!AH$6:AH$105)+SUMIF(Capacity_Resource,$E30,'Critical resources (hide)'!AH$6:AH$105)+SUMIF(Capacity_Resource,$F30,'Critical resources (hide)'!AH$6:AH$105)&gt;0,$E$1=2),0,1)</f>
        <v>1</v>
      </c>
      <c r="V30" s="67">
        <f ca="1">IF(AND(SUMIF(Capacity_Resource,$D30,'Critical resources (hide)'!AI$6:AI$105)+SUMIF(Capacity_Resource,$E30,'Critical resources (hide)'!AI$6:AI$105)+SUMIF(Capacity_Resource,$F30,'Critical resources (hide)'!AI$6:AI$105)&gt;0,$E$1=2),0,1)</f>
        <v>1</v>
      </c>
      <c r="W30" s="67">
        <f ca="1">IF(AND(SUMIF(Capacity_Resource,$D30,'Critical resources (hide)'!AJ$6:AJ$105)+SUMIF(Capacity_Resource,$E30,'Critical resources (hide)'!AJ$6:AJ$105)+SUMIF(Capacity_Resource,$F30,'Critical resources (hide)'!AJ$6:AJ$105)&gt;0,$E$1=2),0,1)</f>
        <v>1</v>
      </c>
      <c r="X30" s="67">
        <f ca="1">IF(AND(SUMIF(Capacity_Resource,$D30,'Critical resources (hide)'!AK$6:AK$105)+SUMIF(Capacity_Resource,$E30,'Critical resources (hide)'!AK$6:AK$105)+SUMIF(Capacity_Resource,$F30,'Critical resources (hide)'!AK$6:AK$105)&gt;0,$E$1=2),0,1)</f>
        <v>1</v>
      </c>
      <c r="Y30" s="67">
        <f ca="1">IF(AND(SUMIF(Capacity_Resource,$D30,'Critical resources (hide)'!AL$6:AL$105)+SUMIF(Capacity_Resource,$E30,'Critical resources (hide)'!AL$6:AL$105)+SUMIF(Capacity_Resource,$F30,'Critical resources (hide)'!AL$6:AL$105)&gt;0,$E$1=2),0,1)</f>
        <v>1</v>
      </c>
      <c r="Z30" s="67">
        <f ca="1">IF(AND(SUMIF(Capacity_Resource,$D30,'Critical resources (hide)'!AM$6:AM$105)+SUMIF(Capacity_Resource,$E30,'Critical resources (hide)'!AM$6:AM$105)+SUMIF(Capacity_Resource,$F30,'Critical resources (hide)'!AM$6:AM$105)&gt;0,$E$1=2),0,1)</f>
        <v>1</v>
      </c>
      <c r="AA30" s="67">
        <f ca="1">IF(AND(SUMIF(Capacity_Resource,$D30,'Critical resources (hide)'!AN$6:AN$105)+SUMIF(Capacity_Resource,$E30,'Critical resources (hide)'!AN$6:AN$105)+SUMIF(Capacity_Resource,$F30,'Critical resources (hide)'!AN$6:AN$105)&gt;0,$E$1=2),0,1)</f>
        <v>1</v>
      </c>
      <c r="AB30" s="67">
        <f ca="1">IF(AND(SUMIF(Capacity_Resource,$D30,'Critical resources (hide)'!AO$6:AO$105)+SUMIF(Capacity_Resource,$E30,'Critical resources (hide)'!AO$6:AO$105)+SUMIF(Capacity_Resource,$F30,'Critical resources (hide)'!AO$6:AO$105)&gt;0,$E$1=2),0,1)</f>
        <v>1</v>
      </c>
      <c r="AC30" s="67">
        <f ca="1">IF(AND(SUMIF(Capacity_Resource,$D30,'Critical resources (hide)'!AP$6:AP$105)+SUMIF(Capacity_Resource,$E30,'Critical resources (hide)'!AP$6:AP$105)+SUMIF(Capacity_Resource,$F30,'Critical resources (hide)'!AP$6:AP$105)&gt;0,$E$1=2),0,1)</f>
        <v>1</v>
      </c>
      <c r="AD30" s="67">
        <f ca="1">IF(AND(SUMIF(Capacity_Resource,$D30,'Critical resources (hide)'!AQ$6:AQ$105)+SUMIF(Capacity_Resource,$E30,'Critical resources (hide)'!AQ$6:AQ$105)+SUMIF(Capacity_Resource,$F30,'Critical resources (hide)'!AQ$6:AQ$105)&gt;0,$E$1=2),0,1)</f>
        <v>1</v>
      </c>
      <c r="AE30" s="67">
        <f ca="1">IF(AND(SUMIF(Capacity_Resource,$D30,'Critical resources (hide)'!AR$6:AR$105)+SUMIF(Capacity_Resource,$E30,'Critical resources (hide)'!AR$6:AR$105)+SUMIF(Capacity_Resource,$F30,'Critical resources (hide)'!AR$6:AR$105)&gt;0,$E$1=2),0,1)</f>
        <v>1</v>
      </c>
      <c r="AF30" s="67">
        <f ca="1">IF(AND(SUMIF(Capacity_Resource,$D30,'Critical resources (hide)'!AS$6:AS$105)+SUMIF(Capacity_Resource,$E30,'Critical resources (hide)'!AS$6:AS$105)+SUMIF(Capacity_Resource,$F30,'Critical resources (hide)'!AS$6:AS$105)&gt;0,$E$1=2),0,1)</f>
        <v>1</v>
      </c>
      <c r="AG30" s="67">
        <f ca="1">IF(AND(SUMIF(Capacity_Resource,$D30,'Critical resources (hide)'!AT$6:AT$105)+SUMIF(Capacity_Resource,$E30,'Critical resources (hide)'!AT$6:AT$105)+SUMIF(Capacity_Resource,$F30,'Critical resources (hide)'!AT$6:AT$105)&gt;0,$E$1=2),0,1)</f>
        <v>1</v>
      </c>
      <c r="AH30" s="67">
        <f ca="1">IF(AND(SUMIF(Capacity_Resource,$D30,'Critical resources (hide)'!AU$6:AU$105)+SUMIF(Capacity_Resource,$E30,'Critical resources (hide)'!AU$6:AU$105)+SUMIF(Capacity_Resource,$F30,'Critical resources (hide)'!AU$6:AU$105)&gt;0,$E$1=2),0,1)</f>
        <v>1</v>
      </c>
      <c r="AI30" s="67">
        <f ca="1">IF(AND(SUMIF(Capacity_Resource,$D30,'Critical resources (hide)'!AV$6:AV$105)+SUMIF(Capacity_Resource,$E30,'Critical resources (hide)'!AV$6:AV$105)+SUMIF(Capacity_Resource,$F30,'Critical resources (hide)'!AV$6:AV$105)&gt;0,$E$1=2),0,1)</f>
        <v>1</v>
      </c>
      <c r="AJ30" s="67">
        <f ca="1">IF(AND(SUMIF(Capacity_Resource,$D30,'Critical resources (hide)'!AW$6:AW$105)+SUMIF(Capacity_Resource,$E30,'Critical resources (hide)'!AW$6:AW$105)+SUMIF(Capacity_Resource,$F30,'Critical resources (hide)'!AW$6:AW$105)&gt;0,$E$1=2),0,1)</f>
        <v>1</v>
      </c>
      <c r="AK30" s="67">
        <f ca="1">IF(AND(SUMIF(Capacity_Resource,$D30,'Critical resources (hide)'!AX$6:AX$105)+SUMIF(Capacity_Resource,$E30,'Critical resources (hide)'!AX$6:AX$105)+SUMIF(Capacity_Resource,$F30,'Critical resources (hide)'!AX$6:AX$105)&gt;0,$E$1=2),0,1)</f>
        <v>1</v>
      </c>
      <c r="AL30" s="67">
        <f ca="1">IF(AND(SUMIF(Capacity_Resource,$D30,'Critical resources (hide)'!AY$6:AY$105)+SUMIF(Capacity_Resource,$E30,'Critical resources (hide)'!AY$6:AY$105)+SUMIF(Capacity_Resource,$F30,'Critical resources (hide)'!AY$6:AY$105)&gt;0,$E$1=2),0,1)</f>
        <v>1</v>
      </c>
      <c r="AM30" s="67">
        <f ca="1">IF(AND(SUMIF(Capacity_Resource,$D30,'Critical resources (hide)'!AZ$6:AZ$105)+SUMIF(Capacity_Resource,$E30,'Critical resources (hide)'!AZ$6:AZ$105)+SUMIF(Capacity_Resource,$F30,'Critical resources (hide)'!AZ$6:AZ$105)&gt;0,$E$1=2),0,1)</f>
        <v>1</v>
      </c>
      <c r="AN30" s="67">
        <f ca="1">IF(AND(SUMIF(Capacity_Resource,$D30,'Critical resources (hide)'!BA$6:BA$105)+SUMIF(Capacity_Resource,$E30,'Critical resources (hide)'!BA$6:BA$105)+SUMIF(Capacity_Resource,$F30,'Critical resources (hide)'!BA$6:BA$105)&gt;0,$E$1=2),0,1)</f>
        <v>1</v>
      </c>
      <c r="AO30" s="67">
        <f ca="1">IF(AND(SUMIF(Capacity_Resource,$D30,'Critical resources (hide)'!BB$6:BB$105)+SUMIF(Capacity_Resource,$E30,'Critical resources (hide)'!BB$6:BB$105)+SUMIF(Capacity_Resource,$F30,'Critical resources (hide)'!BB$6:BB$105)&gt;0,$E$1=2),0,1)</f>
        <v>1</v>
      </c>
      <c r="AP30" s="67">
        <f ca="1">IF(AND(SUMIF(Capacity_Resource,$D30,'Critical resources (hide)'!BC$6:BC$105)+SUMIF(Capacity_Resource,$E30,'Critical resources (hide)'!BC$6:BC$105)+SUMIF(Capacity_Resource,$F30,'Critical resources (hide)'!BC$6:BC$105)&gt;0,$E$1=2),0,1)</f>
        <v>1</v>
      </c>
      <c r="AQ30" s="67">
        <f ca="1">IF(AND(SUMIF(Capacity_Resource,$D30,'Critical resources (hide)'!BD$6:BD$105)+SUMIF(Capacity_Resource,$E30,'Critical resources (hide)'!BD$6:BD$105)+SUMIF(Capacity_Resource,$F30,'Critical resources (hide)'!BD$6:BD$105)&gt;0,$E$1=2),0,1)</f>
        <v>1</v>
      </c>
      <c r="AR30" s="67">
        <f ca="1">IF(AND(SUMIF(Capacity_Resource,$D30,'Critical resources (hide)'!BE$6:BE$105)+SUMIF(Capacity_Resource,$E30,'Critical resources (hide)'!BE$6:BE$105)+SUMIF(Capacity_Resource,$F30,'Critical resources (hide)'!BE$6:BE$105)&gt;0,$E$1=2),0,1)</f>
        <v>1</v>
      </c>
      <c r="AS30" s="67">
        <f ca="1">IF(AND(SUMIF(Capacity_Resource,$D30,'Critical resources (hide)'!BF$6:BF$105)+SUMIF(Capacity_Resource,$E30,'Critical resources (hide)'!BF$6:BF$105)+SUMIF(Capacity_Resource,$F30,'Critical resources (hide)'!BF$6:BF$105)&gt;0,$E$1=2),0,1)</f>
        <v>1</v>
      </c>
      <c r="AT30" s="67">
        <f ca="1">IF(AND(SUMIF(Capacity_Resource,$D30,'Critical resources (hide)'!BG$6:BG$105)+SUMIF(Capacity_Resource,$E30,'Critical resources (hide)'!BG$6:BG$105)+SUMIF(Capacity_Resource,$F30,'Critical resources (hide)'!BG$6:BG$105)&gt;0,$E$1=2),0,1)</f>
        <v>1</v>
      </c>
      <c r="AU30" s="67">
        <f ca="1">IF(AND(SUMIF(Capacity_Resource,$D30,'Critical resources (hide)'!BH$6:BH$105)+SUMIF(Capacity_Resource,$E30,'Critical resources (hide)'!BH$6:BH$105)+SUMIF(Capacity_Resource,$F30,'Critical resources (hide)'!BH$6:BH$105)&gt;0,$E$1=2),0,1)</f>
        <v>1</v>
      </c>
      <c r="AV30" s="67">
        <f ca="1">IF(AND(SUMIF(Capacity_Resource,$D30,'Critical resources (hide)'!BI$6:BI$105)+SUMIF(Capacity_Resource,$E30,'Critical resources (hide)'!BI$6:BI$105)+SUMIF(Capacity_Resource,$F30,'Critical resources (hide)'!BI$6:BI$105)&gt;0,$E$1=2),0,1)</f>
        <v>1</v>
      </c>
      <c r="AW30" s="67">
        <f ca="1">IF(AND(SUMIF(Capacity_Resource,$D30,'Critical resources (hide)'!BJ$6:BJ$105)+SUMIF(Capacity_Resource,$E30,'Critical resources (hide)'!BJ$6:BJ$105)+SUMIF(Capacity_Resource,$F30,'Critical resources (hide)'!BJ$6:BJ$105)&gt;0,$E$1=2),0,1)</f>
        <v>1</v>
      </c>
      <c r="AX30" s="67">
        <f ca="1">IF(AND(SUMIF(Capacity_Resource,$D30,'Critical resources (hide)'!BK$6:BK$105)+SUMIF(Capacity_Resource,$E30,'Critical resources (hide)'!BK$6:BK$105)+SUMIF(Capacity_Resource,$F30,'Critical resources (hide)'!BK$6:BK$105)&gt;0,$E$1=2),0,1)</f>
        <v>1</v>
      </c>
      <c r="AY30" s="67">
        <f ca="1">IF(AND(SUMIF(Capacity_Resource,$D30,'Critical resources (hide)'!BL$6:BL$105)+SUMIF(Capacity_Resource,$E30,'Critical resources (hide)'!BL$6:BL$105)+SUMIF(Capacity_Resource,$F30,'Critical resources (hide)'!BL$6:BL$105)&gt;0,$E$1=2),0,1)</f>
        <v>1</v>
      </c>
      <c r="AZ30" s="67">
        <f ca="1">IF(AND(SUMIF(Capacity_Resource,$D30,'Critical resources (hide)'!BM$6:BM$105)+SUMIF(Capacity_Resource,$E30,'Critical resources (hide)'!BM$6:BM$105)+SUMIF(Capacity_Resource,$F30,'Critical resources (hide)'!BM$6:BM$105)&gt;0,$E$1=2),0,1)</f>
        <v>1</v>
      </c>
      <c r="BA30" s="67">
        <f ca="1">IF(AND(SUMIF(Capacity_Resource,$D30,'Critical resources (hide)'!BN$6:BN$105)+SUMIF(Capacity_Resource,$E30,'Critical resources (hide)'!BN$6:BN$105)+SUMIF(Capacity_Resource,$F30,'Critical resources (hide)'!BN$6:BN$105)&gt;0,$E$1=2),0,1)</f>
        <v>1</v>
      </c>
      <c r="BB30" s="67">
        <f ca="1">IF(AND(SUMIF(Capacity_Resource,$D30,'Critical resources (hide)'!BO$6:BO$105)+SUMIF(Capacity_Resource,$E30,'Critical resources (hide)'!BO$6:BO$105)+SUMIF(Capacity_Resource,$F30,'Critical resources (hide)'!BO$6:BO$105)&gt;0,$E$1=2),0,1)</f>
        <v>1</v>
      </c>
      <c r="BC30" s="67">
        <f ca="1">IF(AND(SUMIF(Capacity_Resource,$D30,'Critical resources (hide)'!BP$6:BP$105)+SUMIF(Capacity_Resource,$E30,'Critical resources (hide)'!BP$6:BP$105)+SUMIF(Capacity_Resource,$F30,'Critical resources (hide)'!BP$6:BP$105)&gt;0,$E$1=2),0,1)</f>
        <v>1</v>
      </c>
      <c r="BD30" s="67">
        <f ca="1">IF(AND(SUMIF(Capacity_Resource,$D30,'Critical resources (hide)'!BQ$6:BQ$105)+SUMIF(Capacity_Resource,$E30,'Critical resources (hide)'!BQ$6:BQ$105)+SUMIF(Capacity_Resource,$F30,'Critical resources (hide)'!BQ$6:BQ$105)&gt;0,$E$1=2),0,1)</f>
        <v>1</v>
      </c>
      <c r="BE30" s="67">
        <f ca="1">IF(AND(SUMIF(Capacity_Resource,$D30,'Critical resources (hide)'!BR$6:BR$105)+SUMIF(Capacity_Resource,$E30,'Critical resources (hide)'!BR$6:BR$105)+SUMIF(Capacity_Resource,$F30,'Critical resources (hide)'!BR$6:BR$105)&gt;0,$E$1=2),0,1)</f>
        <v>1</v>
      </c>
      <c r="BF30" s="67">
        <f ca="1">IF(AND(SUMIF(Capacity_Resource,$D30,'Critical resources (hide)'!BS$6:BS$105)+SUMIF(Capacity_Resource,$E30,'Critical resources (hide)'!BS$6:BS$105)+SUMIF(Capacity_Resource,$F30,'Critical resources (hide)'!BS$6:BS$105)&gt;0,$E$1=2),0,1)</f>
        <v>1</v>
      </c>
      <c r="BG30" s="67">
        <f ca="1">IF(AND(SUMIF(Capacity_Resource,$D30,'Critical resources (hide)'!BT$6:BT$105)+SUMIF(Capacity_Resource,$E30,'Critical resources (hide)'!BT$6:BT$105)+SUMIF(Capacity_Resource,$F30,'Critical resources (hide)'!BT$6:BT$105)&gt;0,$E$1=2),0,1)</f>
        <v>1</v>
      </c>
      <c r="BH30" s="67">
        <f>IF(ROW(C26)&lt;=Capacity!$A$16,IF('Capacity summary'!$D$14="No",SUM(H30:BG30),'Capacity summary'!$E149),0)</f>
        <v>0</v>
      </c>
      <c r="BI30" s="5" t="str">
        <f>IF(BH30&gt;0,IF(BH30&lt;Capacity!E42,Capacity!F42,Capacity!H42/'Capacity calculation (hide)'!BH30),"")</f>
        <v/>
      </c>
      <c r="BK30" s="313">
        <f>IF($BI30&lt;&gt;"",IF('Capacity summary'!$D$14="Yes",IF(COUNTBLANK('Capacity summary'!$H149:$BG149)&lt;52,IF('Capacity summary'!H149&lt;&gt;"",IF(LOWER('Capacity summary'!H149)="x",$BI30*H30,VALUE('Capacity summary'!H149)),0),H30*$BI30),H30*$BI30),0)</f>
        <v>0</v>
      </c>
      <c r="BL30" s="313">
        <f>IF($BI30&lt;&gt;"",IF('Capacity summary'!$D$14="Yes",IF(COUNTBLANK('Capacity summary'!$H149:$BG149)&lt;52,IF('Capacity summary'!I149&lt;&gt;"",IF(LOWER('Capacity summary'!I149)="x",$BI30*I30,VALUE('Capacity summary'!I149)),0),I30*$BI30),I30*$BI30),0)</f>
        <v>0</v>
      </c>
      <c r="BM30" s="313">
        <f>IF($BI30&lt;&gt;"",IF('Capacity summary'!$D$14="Yes",IF(COUNTBLANK('Capacity summary'!$H149:$BG149)&lt;52,IF('Capacity summary'!J149&lt;&gt;"",IF(LOWER('Capacity summary'!J149)="x",$BI30*J30,VALUE('Capacity summary'!J149)),0),J30*$BI30),J30*$BI30),0)</f>
        <v>0</v>
      </c>
      <c r="BN30" s="313">
        <f>IF($BI30&lt;&gt;"",IF('Capacity summary'!$D$14="Yes",IF(COUNTBLANK('Capacity summary'!$H149:$BG149)&lt;52,IF('Capacity summary'!K149&lt;&gt;"",IF(LOWER('Capacity summary'!K149)="x",$BI30*K30,VALUE('Capacity summary'!K149)),0),K30*$BI30),K30*$BI30),0)</f>
        <v>0</v>
      </c>
      <c r="BO30" s="313">
        <f>IF($BI30&lt;&gt;"",IF('Capacity summary'!$D$14="Yes",IF(COUNTBLANK('Capacity summary'!$H149:$BG149)&lt;52,IF('Capacity summary'!L149&lt;&gt;"",IF(LOWER('Capacity summary'!L149)="x",$BI30*L30,VALUE('Capacity summary'!L149)),0),L30*$BI30),L30*$BI30),0)</f>
        <v>0</v>
      </c>
      <c r="BP30" s="313">
        <f>IF($BI30&lt;&gt;"",IF('Capacity summary'!$D$14="Yes",IF(COUNTBLANK('Capacity summary'!$H149:$BG149)&lt;52,IF('Capacity summary'!M149&lt;&gt;"",IF(LOWER('Capacity summary'!M149)="x",$BI30*M30,VALUE('Capacity summary'!M149)),0),M30*$BI30),M30*$BI30),0)</f>
        <v>0</v>
      </c>
      <c r="BQ30" s="313">
        <f>IF($BI30&lt;&gt;"",IF('Capacity summary'!$D$14="Yes",IF(COUNTBLANK('Capacity summary'!$H149:$BG149)&lt;52,IF('Capacity summary'!N149&lt;&gt;"",IF(LOWER('Capacity summary'!N149)="x",$BI30*N30,VALUE('Capacity summary'!N149)),0),N30*$BI30),N30*$BI30),0)</f>
        <v>0</v>
      </c>
      <c r="BR30" s="313">
        <f>IF($BI30&lt;&gt;"",IF('Capacity summary'!$D$14="Yes",IF(COUNTBLANK('Capacity summary'!$H149:$BG149)&lt;52,IF('Capacity summary'!O149&lt;&gt;"",IF(LOWER('Capacity summary'!O149)="x",$BI30*O30,VALUE('Capacity summary'!O149)),0),O30*$BI30),O30*$BI30),0)</f>
        <v>0</v>
      </c>
      <c r="BS30" s="313">
        <f>IF($BI30&lt;&gt;"",IF('Capacity summary'!$D$14="Yes",IF(COUNTBLANK('Capacity summary'!$H149:$BG149)&lt;52,IF('Capacity summary'!P149&lt;&gt;"",IF(LOWER('Capacity summary'!P149)="x",$BI30*P30,VALUE('Capacity summary'!P149)),0),P30*$BI30),P30*$BI30),0)</f>
        <v>0</v>
      </c>
      <c r="BT30" s="313">
        <f>IF($BI30&lt;&gt;"",IF('Capacity summary'!$D$14="Yes",IF(COUNTBLANK('Capacity summary'!$H149:$BG149)&lt;52,IF('Capacity summary'!Q149&lt;&gt;"",IF(LOWER('Capacity summary'!Q149)="x",$BI30*Q30,VALUE('Capacity summary'!Q149)),0),Q30*$BI30),Q30*$BI30),0)</f>
        <v>0</v>
      </c>
      <c r="BU30" s="313">
        <f>IF($BI30&lt;&gt;"",IF('Capacity summary'!$D$14="Yes",IF(COUNTBLANK('Capacity summary'!$H149:$BG149)&lt;52,IF('Capacity summary'!R149&lt;&gt;"",IF(LOWER('Capacity summary'!R149)="x",$BI30*R30,VALUE('Capacity summary'!R149)),0),R30*$BI30),R30*$BI30),0)</f>
        <v>0</v>
      </c>
      <c r="BV30" s="313">
        <f>IF($BI30&lt;&gt;"",IF('Capacity summary'!$D$14="Yes",IF(COUNTBLANK('Capacity summary'!$H149:$BG149)&lt;52,IF('Capacity summary'!S149&lt;&gt;"",IF(LOWER('Capacity summary'!S149)="x",$BI30*S30,VALUE('Capacity summary'!S149)),0),S30*$BI30),S30*$BI30),0)</f>
        <v>0</v>
      </c>
      <c r="BW30" s="313">
        <f>IF($BI30&lt;&gt;"",IF('Capacity summary'!$D$14="Yes",IF(COUNTBLANK('Capacity summary'!$H149:$BG149)&lt;52,IF('Capacity summary'!T149&lt;&gt;"",IF(LOWER('Capacity summary'!T149)="x",$BI30*T30,VALUE('Capacity summary'!T149)),0),T30*$BI30),T30*$BI30),0)</f>
        <v>0</v>
      </c>
      <c r="BX30" s="313">
        <f>IF($BI30&lt;&gt;"",IF('Capacity summary'!$D$14="Yes",IF(COUNTBLANK('Capacity summary'!$H149:$BG149)&lt;52,IF('Capacity summary'!U149&lt;&gt;"",IF(LOWER('Capacity summary'!U149)="x",$BI30*U30,VALUE('Capacity summary'!U149)),0),U30*$BI30),U30*$BI30),0)</f>
        <v>0</v>
      </c>
      <c r="BY30" s="313">
        <f>IF($BI30&lt;&gt;"",IF('Capacity summary'!$D$14="Yes",IF(COUNTBLANK('Capacity summary'!$H149:$BG149)&lt;52,IF('Capacity summary'!V149&lt;&gt;"",IF(LOWER('Capacity summary'!V149)="x",$BI30*V30,VALUE('Capacity summary'!V149)),0),V30*$BI30),V30*$BI30),0)</f>
        <v>0</v>
      </c>
      <c r="BZ30" s="313">
        <f>IF($BI30&lt;&gt;"",IF('Capacity summary'!$D$14="Yes",IF(COUNTBLANK('Capacity summary'!$H149:$BG149)&lt;52,IF('Capacity summary'!W149&lt;&gt;"",IF(LOWER('Capacity summary'!W149)="x",$BI30*W30,VALUE('Capacity summary'!W149)),0),W30*$BI30),W30*$BI30),0)</f>
        <v>0</v>
      </c>
      <c r="CA30" s="313">
        <f>IF($BI30&lt;&gt;"",IF('Capacity summary'!$D$14="Yes",IF(COUNTBLANK('Capacity summary'!$H149:$BG149)&lt;52,IF('Capacity summary'!X149&lt;&gt;"",IF(LOWER('Capacity summary'!X149)="x",$BI30*X30,VALUE('Capacity summary'!X149)),0),X30*$BI30),X30*$BI30),0)</f>
        <v>0</v>
      </c>
      <c r="CB30" s="313">
        <f>IF($BI30&lt;&gt;"",IF('Capacity summary'!$D$14="Yes",IF(COUNTBLANK('Capacity summary'!$H149:$BG149)&lt;52,IF('Capacity summary'!Y149&lt;&gt;"",IF(LOWER('Capacity summary'!Y149)="x",$BI30*Y30,VALUE('Capacity summary'!Y149)),0),Y30*$BI30),Y30*$BI30),0)</f>
        <v>0</v>
      </c>
      <c r="CC30" s="313">
        <f>IF($BI30&lt;&gt;"",IF('Capacity summary'!$D$14="Yes",IF(COUNTBLANK('Capacity summary'!$H149:$BG149)&lt;52,IF('Capacity summary'!Z149&lt;&gt;"",IF(LOWER('Capacity summary'!Z149)="x",$BI30*Z30,VALUE('Capacity summary'!Z149)),0),Z30*$BI30),Z30*$BI30),0)</f>
        <v>0</v>
      </c>
      <c r="CD30" s="313">
        <f>IF($BI30&lt;&gt;"",IF('Capacity summary'!$D$14="Yes",IF(COUNTBLANK('Capacity summary'!$H149:$BG149)&lt;52,IF('Capacity summary'!AA149&lt;&gt;"",IF(LOWER('Capacity summary'!AA149)="x",$BI30*AA30,VALUE('Capacity summary'!AA149)),0),AA30*$BI30),AA30*$BI30),0)</f>
        <v>0</v>
      </c>
      <c r="CE30" s="313">
        <f>IF($BI30&lt;&gt;"",IF('Capacity summary'!$D$14="Yes",IF(COUNTBLANK('Capacity summary'!$H149:$BG149)&lt;52,IF('Capacity summary'!AB149&lt;&gt;"",IF(LOWER('Capacity summary'!AB149)="x",$BI30*AB30,VALUE('Capacity summary'!AB149)),0),AB30*$BI30),AB30*$BI30),0)</f>
        <v>0</v>
      </c>
      <c r="CF30" s="313">
        <f>IF($BI30&lt;&gt;"",IF('Capacity summary'!$D$14="Yes",IF(COUNTBLANK('Capacity summary'!$H149:$BG149)&lt;52,IF('Capacity summary'!AC149&lt;&gt;"",IF(LOWER('Capacity summary'!AC149)="x",$BI30*AC30,VALUE('Capacity summary'!AC149)),0),AC30*$BI30),AC30*$BI30),0)</f>
        <v>0</v>
      </c>
      <c r="CG30" s="313">
        <f>IF($BI30&lt;&gt;"",IF('Capacity summary'!$D$14="Yes",IF(COUNTBLANK('Capacity summary'!$H149:$BG149)&lt;52,IF('Capacity summary'!AD149&lt;&gt;"",IF(LOWER('Capacity summary'!AD149)="x",$BI30*AD30,VALUE('Capacity summary'!AD149)),0),AD30*$BI30),AD30*$BI30),0)</f>
        <v>0</v>
      </c>
      <c r="CH30" s="313">
        <f>IF($BI30&lt;&gt;"",IF('Capacity summary'!$D$14="Yes",IF(COUNTBLANK('Capacity summary'!$H149:$BG149)&lt;52,IF('Capacity summary'!AE149&lt;&gt;"",IF(LOWER('Capacity summary'!AE149)="x",$BI30*AE30,VALUE('Capacity summary'!AE149)),0),AE30*$BI30),AE30*$BI30),0)</f>
        <v>0</v>
      </c>
      <c r="CI30" s="313">
        <f>IF($BI30&lt;&gt;"",IF('Capacity summary'!$D$14="Yes",IF(COUNTBLANK('Capacity summary'!$H149:$BG149)&lt;52,IF('Capacity summary'!AF149&lt;&gt;"",IF(LOWER('Capacity summary'!AF149)="x",$BI30*AF30,VALUE('Capacity summary'!AF149)),0),AF30*$BI30),AF30*$BI30),0)</f>
        <v>0</v>
      </c>
      <c r="CJ30" s="313">
        <f>IF($BI30&lt;&gt;"",IF('Capacity summary'!$D$14="Yes",IF(COUNTBLANK('Capacity summary'!$H149:$BG149)&lt;52,IF('Capacity summary'!AG149&lt;&gt;"",IF(LOWER('Capacity summary'!AG149)="x",$BI30*AG30,VALUE('Capacity summary'!AG149)),0),AG30*$BI30),AG30*$BI30),0)</f>
        <v>0</v>
      </c>
      <c r="CK30" s="313">
        <f>IF($BI30&lt;&gt;"",IF('Capacity summary'!$D$14="Yes",IF(COUNTBLANK('Capacity summary'!$H149:$BG149)&lt;52,IF('Capacity summary'!AH149&lt;&gt;"",IF(LOWER('Capacity summary'!AH149)="x",$BI30*AH30,VALUE('Capacity summary'!AH149)),0),AH30*$BI30),AH30*$BI30),0)</f>
        <v>0</v>
      </c>
      <c r="CL30" s="313">
        <f>IF($BI30&lt;&gt;"",IF('Capacity summary'!$D$14="Yes",IF(COUNTBLANK('Capacity summary'!$H149:$BG149)&lt;52,IF('Capacity summary'!AI149&lt;&gt;"",IF(LOWER('Capacity summary'!AI149)="x",$BI30*AI30,VALUE('Capacity summary'!AI149)),0),AI30*$BI30),AI30*$BI30),0)</f>
        <v>0</v>
      </c>
      <c r="CM30" s="313">
        <f>IF($BI30&lt;&gt;"",IF('Capacity summary'!$D$14="Yes",IF(COUNTBLANK('Capacity summary'!$H149:$BG149)&lt;52,IF('Capacity summary'!AJ149&lt;&gt;"",IF(LOWER('Capacity summary'!AJ149)="x",$BI30*AJ30,VALUE('Capacity summary'!AJ149)),0),AJ30*$BI30),AJ30*$BI30),0)</f>
        <v>0</v>
      </c>
      <c r="CN30" s="313">
        <f>IF($BI30&lt;&gt;"",IF('Capacity summary'!$D$14="Yes",IF(COUNTBLANK('Capacity summary'!$H149:$BG149)&lt;52,IF('Capacity summary'!AK149&lt;&gt;"",IF(LOWER('Capacity summary'!AK149)="x",$BI30*AK30,VALUE('Capacity summary'!AK149)),0),AK30*$BI30),AK30*$BI30),0)</f>
        <v>0</v>
      </c>
      <c r="CO30" s="313">
        <f>IF($BI30&lt;&gt;"",IF('Capacity summary'!$D$14="Yes",IF(COUNTBLANK('Capacity summary'!$H149:$BG149)&lt;52,IF('Capacity summary'!AL149&lt;&gt;"",IF(LOWER('Capacity summary'!AL149)="x",$BI30*AL30,VALUE('Capacity summary'!AL149)),0),AL30*$BI30),AL30*$BI30),0)</f>
        <v>0</v>
      </c>
      <c r="CP30" s="313">
        <f>IF($BI30&lt;&gt;"",IF('Capacity summary'!$D$14="Yes",IF(COUNTBLANK('Capacity summary'!$H149:$BG149)&lt;52,IF('Capacity summary'!AM149&lt;&gt;"",IF(LOWER('Capacity summary'!AM149)="x",$BI30*AM30,VALUE('Capacity summary'!AM149)),0),AM30*$BI30),AM30*$BI30),0)</f>
        <v>0</v>
      </c>
      <c r="CQ30" s="313">
        <f>IF($BI30&lt;&gt;"",IF('Capacity summary'!$D$14="Yes",IF(COUNTBLANK('Capacity summary'!$H149:$BG149)&lt;52,IF('Capacity summary'!AN149&lt;&gt;"",IF(LOWER('Capacity summary'!AN149)="x",$BI30*AN30,VALUE('Capacity summary'!AN149)),0),AN30*$BI30),AN30*$BI30),0)</f>
        <v>0</v>
      </c>
      <c r="CR30" s="313">
        <f>IF($BI30&lt;&gt;"",IF('Capacity summary'!$D$14="Yes",IF(COUNTBLANK('Capacity summary'!$H149:$BG149)&lt;52,IF('Capacity summary'!AO149&lt;&gt;"",IF(LOWER('Capacity summary'!AO149)="x",$BI30*AO30,VALUE('Capacity summary'!AO149)),0),AO30*$BI30),AO30*$BI30),0)</f>
        <v>0</v>
      </c>
      <c r="CS30" s="313">
        <f>IF($BI30&lt;&gt;"",IF('Capacity summary'!$D$14="Yes",IF(COUNTBLANK('Capacity summary'!$H149:$BG149)&lt;52,IF('Capacity summary'!AP149&lt;&gt;"",IF(LOWER('Capacity summary'!AP149)="x",$BI30*AP30,VALUE('Capacity summary'!AP149)),0),AP30*$BI30),AP30*$BI30),0)</f>
        <v>0</v>
      </c>
      <c r="CT30" s="313">
        <f>IF($BI30&lt;&gt;"",IF('Capacity summary'!$D$14="Yes",IF(COUNTBLANK('Capacity summary'!$H149:$BG149)&lt;52,IF('Capacity summary'!AQ149&lt;&gt;"",IF(LOWER('Capacity summary'!AQ149)="x",$BI30*AQ30,VALUE('Capacity summary'!AQ149)),0),AQ30*$BI30),AQ30*$BI30),0)</f>
        <v>0</v>
      </c>
      <c r="CU30" s="313">
        <f>IF($BI30&lt;&gt;"",IF('Capacity summary'!$D$14="Yes",IF(COUNTBLANK('Capacity summary'!$H149:$BG149)&lt;52,IF('Capacity summary'!AR149&lt;&gt;"",IF(LOWER('Capacity summary'!AR149)="x",$BI30*AR30,VALUE('Capacity summary'!AR149)),0),AR30*$BI30),AR30*$BI30),0)</f>
        <v>0</v>
      </c>
      <c r="CV30" s="313">
        <f>IF($BI30&lt;&gt;"",IF('Capacity summary'!$D$14="Yes",IF(COUNTBLANK('Capacity summary'!$H149:$BG149)&lt;52,IF('Capacity summary'!AS149&lt;&gt;"",IF(LOWER('Capacity summary'!AS149)="x",$BI30*AS30,VALUE('Capacity summary'!AS149)),0),AS30*$BI30),AS30*$BI30),0)</f>
        <v>0</v>
      </c>
      <c r="CW30" s="313">
        <f>IF($BI30&lt;&gt;"",IF('Capacity summary'!$D$14="Yes",IF(COUNTBLANK('Capacity summary'!$H149:$BG149)&lt;52,IF('Capacity summary'!AT149&lt;&gt;"",IF(LOWER('Capacity summary'!AT149)="x",$BI30*AT30,VALUE('Capacity summary'!AT149)),0),AT30*$BI30),AT30*$BI30),0)</f>
        <v>0</v>
      </c>
      <c r="CX30" s="313">
        <f>IF($BI30&lt;&gt;"",IF('Capacity summary'!$D$14="Yes",IF(COUNTBLANK('Capacity summary'!$H149:$BG149)&lt;52,IF('Capacity summary'!AU149&lt;&gt;"",IF(LOWER('Capacity summary'!AU149)="x",$BI30*AU30,VALUE('Capacity summary'!AU149)),0),AU30*$BI30),AU30*$BI30),0)</f>
        <v>0</v>
      </c>
      <c r="CY30" s="313">
        <f>IF($BI30&lt;&gt;"",IF('Capacity summary'!$D$14="Yes",IF(COUNTBLANK('Capacity summary'!$H149:$BG149)&lt;52,IF('Capacity summary'!AV149&lt;&gt;"",IF(LOWER('Capacity summary'!AV149)="x",$BI30*AV30,VALUE('Capacity summary'!AV149)),0),AV30*$BI30),AV30*$BI30),0)</f>
        <v>0</v>
      </c>
      <c r="CZ30" s="313">
        <f>IF($BI30&lt;&gt;"",IF('Capacity summary'!$D$14="Yes",IF(COUNTBLANK('Capacity summary'!$H149:$BG149)&lt;52,IF('Capacity summary'!AW149&lt;&gt;"",IF(LOWER('Capacity summary'!AW149)="x",$BI30*AW30,VALUE('Capacity summary'!AW149)),0),AW30*$BI30),AW30*$BI30),0)</f>
        <v>0</v>
      </c>
      <c r="DA30" s="313">
        <f>IF($BI30&lt;&gt;"",IF('Capacity summary'!$D$14="Yes",IF(COUNTBLANK('Capacity summary'!$H149:$BG149)&lt;52,IF('Capacity summary'!AX149&lt;&gt;"",IF(LOWER('Capacity summary'!AX149)="x",$BI30*AX30,VALUE('Capacity summary'!AX149)),0),AX30*$BI30),AX30*$BI30),0)</f>
        <v>0</v>
      </c>
      <c r="DB30" s="313">
        <f>IF($BI30&lt;&gt;"",IF('Capacity summary'!$D$14="Yes",IF(COUNTBLANK('Capacity summary'!$H149:$BG149)&lt;52,IF('Capacity summary'!AY149&lt;&gt;"",IF(LOWER('Capacity summary'!AY149)="x",$BI30*AY30,VALUE('Capacity summary'!AY149)),0),AY30*$BI30),AY30*$BI30),0)</f>
        <v>0</v>
      </c>
      <c r="DC30" s="313">
        <f>IF($BI30&lt;&gt;"",IF('Capacity summary'!$D$14="Yes",IF(COUNTBLANK('Capacity summary'!$H149:$BG149)&lt;52,IF('Capacity summary'!AZ149&lt;&gt;"",IF(LOWER('Capacity summary'!AZ149)="x",$BI30*AZ30,VALUE('Capacity summary'!AZ149)),0),AZ30*$BI30),AZ30*$BI30),0)</f>
        <v>0</v>
      </c>
      <c r="DD30" s="313">
        <f>IF($BI30&lt;&gt;"",IF('Capacity summary'!$D$14="Yes",IF(COUNTBLANK('Capacity summary'!$H149:$BG149)&lt;52,IF('Capacity summary'!BA149&lt;&gt;"",IF(LOWER('Capacity summary'!BA149)="x",$BI30*BA30,VALUE('Capacity summary'!BA149)),0),BA30*$BI30),BA30*$BI30),0)</f>
        <v>0</v>
      </c>
      <c r="DE30" s="313">
        <f>IF($BI30&lt;&gt;"",IF('Capacity summary'!$D$14="Yes",IF(COUNTBLANK('Capacity summary'!$H149:$BG149)&lt;52,IF('Capacity summary'!BB149&lt;&gt;"",IF(LOWER('Capacity summary'!BB149)="x",$BI30*BB30,VALUE('Capacity summary'!BB149)),0),BB30*$BI30),BB30*$BI30),0)</f>
        <v>0</v>
      </c>
      <c r="DF30" s="313">
        <f>IF($BI30&lt;&gt;"",IF('Capacity summary'!$D$14="Yes",IF(COUNTBLANK('Capacity summary'!$H149:$BG149)&lt;52,IF('Capacity summary'!BC149&lt;&gt;"",IF(LOWER('Capacity summary'!BC149)="x",$BI30*BC30,VALUE('Capacity summary'!BC149)),0),BC30*$BI30),BC30*$BI30),0)</f>
        <v>0</v>
      </c>
      <c r="DG30" s="313">
        <f>IF($BI30&lt;&gt;"",IF('Capacity summary'!$D$14="Yes",IF(COUNTBLANK('Capacity summary'!$H149:$BG149)&lt;52,IF('Capacity summary'!BD149&lt;&gt;"",IF(LOWER('Capacity summary'!BD149)="x",$BI30*BD30,VALUE('Capacity summary'!BD149)),0),BD30*$BI30),BD30*$BI30),0)</f>
        <v>0</v>
      </c>
      <c r="DH30" s="313">
        <f>IF($BI30&lt;&gt;"",IF('Capacity summary'!$D$14="Yes",IF(COUNTBLANK('Capacity summary'!$H149:$BG149)&lt;52,IF('Capacity summary'!BE149&lt;&gt;"",IF(LOWER('Capacity summary'!BE149)="x",$BI30*BE30,VALUE('Capacity summary'!BE149)),0),BE30*$BI30),BE30*$BI30),0)</f>
        <v>0</v>
      </c>
      <c r="DI30" s="313">
        <f>IF($BI30&lt;&gt;"",IF('Capacity summary'!$D$14="Yes",IF(COUNTBLANK('Capacity summary'!$H149:$BG149)&lt;52,IF('Capacity summary'!BF149&lt;&gt;"",IF(LOWER('Capacity summary'!BF149)="x",$BI30*BF30,VALUE('Capacity summary'!BF149)),0),BF30*$BI30),BF30*$BI30),0)</f>
        <v>0</v>
      </c>
      <c r="DJ30" s="313">
        <f>IF($BI30&lt;&gt;"",IF('Capacity summary'!$D$14="Yes",IF(COUNTBLANK('Capacity summary'!$H149:$BG149)&lt;52,IF('Capacity summary'!BG149&lt;&gt;"",IF(LOWER('Capacity summary'!BG149)="x",$BI30*BG30,VALUE('Capacity summary'!BG149)),0),BG30*$BI30),BG30*$BI30),0)</f>
        <v>0</v>
      </c>
      <c r="DK30" s="137">
        <f t="shared" si="2"/>
        <v>0</v>
      </c>
      <c r="DL30" s="313" t="str">
        <f>Capacity!H42</f>
        <v/>
      </c>
      <c r="DP30" s="5"/>
    </row>
    <row r="31" spans="2:120" x14ac:dyDescent="0.25">
      <c r="B31" s="67"/>
      <c r="C31" s="67" t="str">
        <f>ROW(A27)&amp;". "&amp;Capacity!B43</f>
        <v xml:space="preserve">27. </v>
      </c>
      <c r="D31" s="67">
        <f>'Capacity setup'!C38</f>
        <v>0</v>
      </c>
      <c r="E31" s="67">
        <f>'Capacity setup'!D38</f>
        <v>0</v>
      </c>
      <c r="F31" s="67">
        <f>'Capacity setup'!E38</f>
        <v>0</v>
      </c>
      <c r="H31" s="67">
        <f ca="1">IF(AND(SUMIF(Capacity_Resource,$D31,'Critical resources (hide)'!U$6:U$105)+SUMIF(Capacity_Resource,$E31,'Critical resources (hide)'!U$6:U$105)+SUMIF(Capacity_Resource,$F31,'Critical resources (hide)'!U$6:U$105)&gt;0,$E$1=2),0,1)</f>
        <v>1</v>
      </c>
      <c r="I31" s="67">
        <f ca="1">IF(AND(SUMIF(Capacity_Resource,$D31,'Critical resources (hide)'!V$6:V$105)+SUMIF(Capacity_Resource,$E31,'Critical resources (hide)'!V$6:V$105)+SUMIF(Capacity_Resource,$F31,'Critical resources (hide)'!V$6:V$105)&gt;0,$E$1=2),0,1)</f>
        <v>1</v>
      </c>
      <c r="J31" s="67">
        <f ca="1">IF(AND(SUMIF(Capacity_Resource,$D31,'Critical resources (hide)'!W$6:W$105)+SUMIF(Capacity_Resource,$E31,'Critical resources (hide)'!W$6:W$105)+SUMIF(Capacity_Resource,$F31,'Critical resources (hide)'!W$6:W$105)&gt;0,$E$1=2),0,1)</f>
        <v>1</v>
      </c>
      <c r="K31" s="67">
        <f ca="1">IF(AND(SUMIF(Capacity_Resource,$D31,'Critical resources (hide)'!X$6:X$105)+SUMIF(Capacity_Resource,$E31,'Critical resources (hide)'!X$6:X$105)+SUMIF(Capacity_Resource,$F31,'Critical resources (hide)'!X$6:X$105)&gt;0,$E$1=2),0,1)</f>
        <v>1</v>
      </c>
      <c r="L31" s="67">
        <f ca="1">IF(AND(SUMIF(Capacity_Resource,$D31,'Critical resources (hide)'!Y$6:Y$105)+SUMIF(Capacity_Resource,$E31,'Critical resources (hide)'!Y$6:Y$105)+SUMIF(Capacity_Resource,$F31,'Critical resources (hide)'!Y$6:Y$105)&gt;0,$E$1=2),0,1)</f>
        <v>1</v>
      </c>
      <c r="M31" s="67">
        <f ca="1">IF(AND(SUMIF(Capacity_Resource,$D31,'Critical resources (hide)'!Z$6:Z$105)+SUMIF(Capacity_Resource,$E31,'Critical resources (hide)'!Z$6:Z$105)+SUMIF(Capacity_Resource,$F31,'Critical resources (hide)'!Z$6:Z$105)&gt;0,$E$1=2),0,1)</f>
        <v>1</v>
      </c>
      <c r="N31" s="67">
        <f ca="1">IF(AND(SUMIF(Capacity_Resource,$D31,'Critical resources (hide)'!AA$6:AA$105)+SUMIF(Capacity_Resource,$E31,'Critical resources (hide)'!AA$6:AA$105)+SUMIF(Capacity_Resource,$F31,'Critical resources (hide)'!AA$6:AA$105)&gt;0,$E$1=2),0,1)</f>
        <v>1</v>
      </c>
      <c r="O31" s="67">
        <f ca="1">IF(AND(SUMIF(Capacity_Resource,$D31,'Critical resources (hide)'!AB$6:AB$105)+SUMIF(Capacity_Resource,$E31,'Critical resources (hide)'!AB$6:AB$105)+SUMIF(Capacity_Resource,$F31,'Critical resources (hide)'!AB$6:AB$105)&gt;0,$E$1=2),0,1)</f>
        <v>1</v>
      </c>
      <c r="P31" s="67">
        <f ca="1">IF(AND(SUMIF(Capacity_Resource,$D31,'Critical resources (hide)'!AC$6:AC$105)+SUMIF(Capacity_Resource,$E31,'Critical resources (hide)'!AC$6:AC$105)+SUMIF(Capacity_Resource,$F31,'Critical resources (hide)'!AC$6:AC$105)&gt;0,$E$1=2),0,1)</f>
        <v>1</v>
      </c>
      <c r="Q31" s="67">
        <f ca="1">IF(AND(SUMIF(Capacity_Resource,$D31,'Critical resources (hide)'!AD$6:AD$105)+SUMIF(Capacity_Resource,$E31,'Critical resources (hide)'!AD$6:AD$105)+SUMIF(Capacity_Resource,$F31,'Critical resources (hide)'!AD$6:AD$105)&gt;0,$E$1=2),0,1)</f>
        <v>1</v>
      </c>
      <c r="R31" s="67">
        <f ca="1">IF(AND(SUMIF(Capacity_Resource,$D31,'Critical resources (hide)'!AE$6:AE$105)+SUMIF(Capacity_Resource,$E31,'Critical resources (hide)'!AE$6:AE$105)+SUMIF(Capacity_Resource,$F31,'Critical resources (hide)'!AE$6:AE$105)&gt;0,$E$1=2),0,1)</f>
        <v>1</v>
      </c>
      <c r="S31" s="67">
        <f ca="1">IF(AND(SUMIF(Capacity_Resource,$D31,'Critical resources (hide)'!AF$6:AF$105)+SUMIF(Capacity_Resource,$E31,'Critical resources (hide)'!AF$6:AF$105)+SUMIF(Capacity_Resource,$F31,'Critical resources (hide)'!AF$6:AF$105)&gt;0,$E$1=2),0,1)</f>
        <v>1</v>
      </c>
      <c r="T31" s="67">
        <f ca="1">IF(AND(SUMIF(Capacity_Resource,$D31,'Critical resources (hide)'!AG$6:AG$105)+SUMIF(Capacity_Resource,$E31,'Critical resources (hide)'!AG$6:AG$105)+SUMIF(Capacity_Resource,$F31,'Critical resources (hide)'!AG$6:AG$105)&gt;0,$E$1=2),0,1)</f>
        <v>1</v>
      </c>
      <c r="U31" s="67">
        <f ca="1">IF(AND(SUMIF(Capacity_Resource,$D31,'Critical resources (hide)'!AH$6:AH$105)+SUMIF(Capacity_Resource,$E31,'Critical resources (hide)'!AH$6:AH$105)+SUMIF(Capacity_Resource,$F31,'Critical resources (hide)'!AH$6:AH$105)&gt;0,$E$1=2),0,1)</f>
        <v>1</v>
      </c>
      <c r="V31" s="67">
        <f ca="1">IF(AND(SUMIF(Capacity_Resource,$D31,'Critical resources (hide)'!AI$6:AI$105)+SUMIF(Capacity_Resource,$E31,'Critical resources (hide)'!AI$6:AI$105)+SUMIF(Capacity_Resource,$F31,'Critical resources (hide)'!AI$6:AI$105)&gt;0,$E$1=2),0,1)</f>
        <v>1</v>
      </c>
      <c r="W31" s="67">
        <f ca="1">IF(AND(SUMIF(Capacity_Resource,$D31,'Critical resources (hide)'!AJ$6:AJ$105)+SUMIF(Capacity_Resource,$E31,'Critical resources (hide)'!AJ$6:AJ$105)+SUMIF(Capacity_Resource,$F31,'Critical resources (hide)'!AJ$6:AJ$105)&gt;0,$E$1=2),0,1)</f>
        <v>1</v>
      </c>
      <c r="X31" s="67">
        <f ca="1">IF(AND(SUMIF(Capacity_Resource,$D31,'Critical resources (hide)'!AK$6:AK$105)+SUMIF(Capacity_Resource,$E31,'Critical resources (hide)'!AK$6:AK$105)+SUMIF(Capacity_Resource,$F31,'Critical resources (hide)'!AK$6:AK$105)&gt;0,$E$1=2),0,1)</f>
        <v>1</v>
      </c>
      <c r="Y31" s="67">
        <f ca="1">IF(AND(SUMIF(Capacity_Resource,$D31,'Critical resources (hide)'!AL$6:AL$105)+SUMIF(Capacity_Resource,$E31,'Critical resources (hide)'!AL$6:AL$105)+SUMIF(Capacity_Resource,$F31,'Critical resources (hide)'!AL$6:AL$105)&gt;0,$E$1=2),0,1)</f>
        <v>1</v>
      </c>
      <c r="Z31" s="67">
        <f ca="1">IF(AND(SUMIF(Capacity_Resource,$D31,'Critical resources (hide)'!AM$6:AM$105)+SUMIF(Capacity_Resource,$E31,'Critical resources (hide)'!AM$6:AM$105)+SUMIF(Capacity_Resource,$F31,'Critical resources (hide)'!AM$6:AM$105)&gt;0,$E$1=2),0,1)</f>
        <v>1</v>
      </c>
      <c r="AA31" s="67">
        <f ca="1">IF(AND(SUMIF(Capacity_Resource,$D31,'Critical resources (hide)'!AN$6:AN$105)+SUMIF(Capacity_Resource,$E31,'Critical resources (hide)'!AN$6:AN$105)+SUMIF(Capacity_Resource,$F31,'Critical resources (hide)'!AN$6:AN$105)&gt;0,$E$1=2),0,1)</f>
        <v>1</v>
      </c>
      <c r="AB31" s="67">
        <f ca="1">IF(AND(SUMIF(Capacity_Resource,$D31,'Critical resources (hide)'!AO$6:AO$105)+SUMIF(Capacity_Resource,$E31,'Critical resources (hide)'!AO$6:AO$105)+SUMIF(Capacity_Resource,$F31,'Critical resources (hide)'!AO$6:AO$105)&gt;0,$E$1=2),0,1)</f>
        <v>1</v>
      </c>
      <c r="AC31" s="67">
        <f ca="1">IF(AND(SUMIF(Capacity_Resource,$D31,'Critical resources (hide)'!AP$6:AP$105)+SUMIF(Capacity_Resource,$E31,'Critical resources (hide)'!AP$6:AP$105)+SUMIF(Capacity_Resource,$F31,'Critical resources (hide)'!AP$6:AP$105)&gt;0,$E$1=2),0,1)</f>
        <v>1</v>
      </c>
      <c r="AD31" s="67">
        <f ca="1">IF(AND(SUMIF(Capacity_Resource,$D31,'Critical resources (hide)'!AQ$6:AQ$105)+SUMIF(Capacity_Resource,$E31,'Critical resources (hide)'!AQ$6:AQ$105)+SUMIF(Capacity_Resource,$F31,'Critical resources (hide)'!AQ$6:AQ$105)&gt;0,$E$1=2),0,1)</f>
        <v>1</v>
      </c>
      <c r="AE31" s="67">
        <f ca="1">IF(AND(SUMIF(Capacity_Resource,$D31,'Critical resources (hide)'!AR$6:AR$105)+SUMIF(Capacity_Resource,$E31,'Critical resources (hide)'!AR$6:AR$105)+SUMIF(Capacity_Resource,$F31,'Critical resources (hide)'!AR$6:AR$105)&gt;0,$E$1=2),0,1)</f>
        <v>1</v>
      </c>
      <c r="AF31" s="67">
        <f ca="1">IF(AND(SUMIF(Capacity_Resource,$D31,'Critical resources (hide)'!AS$6:AS$105)+SUMIF(Capacity_Resource,$E31,'Critical resources (hide)'!AS$6:AS$105)+SUMIF(Capacity_Resource,$F31,'Critical resources (hide)'!AS$6:AS$105)&gt;0,$E$1=2),0,1)</f>
        <v>1</v>
      </c>
      <c r="AG31" s="67">
        <f ca="1">IF(AND(SUMIF(Capacity_Resource,$D31,'Critical resources (hide)'!AT$6:AT$105)+SUMIF(Capacity_Resource,$E31,'Critical resources (hide)'!AT$6:AT$105)+SUMIF(Capacity_Resource,$F31,'Critical resources (hide)'!AT$6:AT$105)&gt;0,$E$1=2),0,1)</f>
        <v>1</v>
      </c>
      <c r="AH31" s="67">
        <f ca="1">IF(AND(SUMIF(Capacity_Resource,$D31,'Critical resources (hide)'!AU$6:AU$105)+SUMIF(Capacity_Resource,$E31,'Critical resources (hide)'!AU$6:AU$105)+SUMIF(Capacity_Resource,$F31,'Critical resources (hide)'!AU$6:AU$105)&gt;0,$E$1=2),0,1)</f>
        <v>1</v>
      </c>
      <c r="AI31" s="67">
        <f ca="1">IF(AND(SUMIF(Capacity_Resource,$D31,'Critical resources (hide)'!AV$6:AV$105)+SUMIF(Capacity_Resource,$E31,'Critical resources (hide)'!AV$6:AV$105)+SUMIF(Capacity_Resource,$F31,'Critical resources (hide)'!AV$6:AV$105)&gt;0,$E$1=2),0,1)</f>
        <v>1</v>
      </c>
      <c r="AJ31" s="67">
        <f ca="1">IF(AND(SUMIF(Capacity_Resource,$D31,'Critical resources (hide)'!AW$6:AW$105)+SUMIF(Capacity_Resource,$E31,'Critical resources (hide)'!AW$6:AW$105)+SUMIF(Capacity_Resource,$F31,'Critical resources (hide)'!AW$6:AW$105)&gt;0,$E$1=2),0,1)</f>
        <v>1</v>
      </c>
      <c r="AK31" s="67">
        <f ca="1">IF(AND(SUMIF(Capacity_Resource,$D31,'Critical resources (hide)'!AX$6:AX$105)+SUMIF(Capacity_Resource,$E31,'Critical resources (hide)'!AX$6:AX$105)+SUMIF(Capacity_Resource,$F31,'Critical resources (hide)'!AX$6:AX$105)&gt;0,$E$1=2),0,1)</f>
        <v>1</v>
      </c>
      <c r="AL31" s="67">
        <f ca="1">IF(AND(SUMIF(Capacity_Resource,$D31,'Critical resources (hide)'!AY$6:AY$105)+SUMIF(Capacity_Resource,$E31,'Critical resources (hide)'!AY$6:AY$105)+SUMIF(Capacity_Resource,$F31,'Critical resources (hide)'!AY$6:AY$105)&gt;0,$E$1=2),0,1)</f>
        <v>1</v>
      </c>
      <c r="AM31" s="67">
        <f ca="1">IF(AND(SUMIF(Capacity_Resource,$D31,'Critical resources (hide)'!AZ$6:AZ$105)+SUMIF(Capacity_Resource,$E31,'Critical resources (hide)'!AZ$6:AZ$105)+SUMIF(Capacity_Resource,$F31,'Critical resources (hide)'!AZ$6:AZ$105)&gt;0,$E$1=2),0,1)</f>
        <v>1</v>
      </c>
      <c r="AN31" s="67">
        <f ca="1">IF(AND(SUMIF(Capacity_Resource,$D31,'Critical resources (hide)'!BA$6:BA$105)+SUMIF(Capacity_Resource,$E31,'Critical resources (hide)'!BA$6:BA$105)+SUMIF(Capacity_Resource,$F31,'Critical resources (hide)'!BA$6:BA$105)&gt;0,$E$1=2),0,1)</f>
        <v>1</v>
      </c>
      <c r="AO31" s="67">
        <f ca="1">IF(AND(SUMIF(Capacity_Resource,$D31,'Critical resources (hide)'!BB$6:BB$105)+SUMIF(Capacity_Resource,$E31,'Critical resources (hide)'!BB$6:BB$105)+SUMIF(Capacity_Resource,$F31,'Critical resources (hide)'!BB$6:BB$105)&gt;0,$E$1=2),0,1)</f>
        <v>1</v>
      </c>
      <c r="AP31" s="67">
        <f ca="1">IF(AND(SUMIF(Capacity_Resource,$D31,'Critical resources (hide)'!BC$6:BC$105)+SUMIF(Capacity_Resource,$E31,'Critical resources (hide)'!BC$6:BC$105)+SUMIF(Capacity_Resource,$F31,'Critical resources (hide)'!BC$6:BC$105)&gt;0,$E$1=2),0,1)</f>
        <v>1</v>
      </c>
      <c r="AQ31" s="67">
        <f ca="1">IF(AND(SUMIF(Capacity_Resource,$D31,'Critical resources (hide)'!BD$6:BD$105)+SUMIF(Capacity_Resource,$E31,'Critical resources (hide)'!BD$6:BD$105)+SUMIF(Capacity_Resource,$F31,'Critical resources (hide)'!BD$6:BD$105)&gt;0,$E$1=2),0,1)</f>
        <v>1</v>
      </c>
      <c r="AR31" s="67">
        <f ca="1">IF(AND(SUMIF(Capacity_Resource,$D31,'Critical resources (hide)'!BE$6:BE$105)+SUMIF(Capacity_Resource,$E31,'Critical resources (hide)'!BE$6:BE$105)+SUMIF(Capacity_Resource,$F31,'Critical resources (hide)'!BE$6:BE$105)&gt;0,$E$1=2),0,1)</f>
        <v>1</v>
      </c>
      <c r="AS31" s="67">
        <f ca="1">IF(AND(SUMIF(Capacity_Resource,$D31,'Critical resources (hide)'!BF$6:BF$105)+SUMIF(Capacity_Resource,$E31,'Critical resources (hide)'!BF$6:BF$105)+SUMIF(Capacity_Resource,$F31,'Critical resources (hide)'!BF$6:BF$105)&gt;0,$E$1=2),0,1)</f>
        <v>1</v>
      </c>
      <c r="AT31" s="67">
        <f ca="1">IF(AND(SUMIF(Capacity_Resource,$D31,'Critical resources (hide)'!BG$6:BG$105)+SUMIF(Capacity_Resource,$E31,'Critical resources (hide)'!BG$6:BG$105)+SUMIF(Capacity_Resource,$F31,'Critical resources (hide)'!BG$6:BG$105)&gt;0,$E$1=2),0,1)</f>
        <v>1</v>
      </c>
      <c r="AU31" s="67">
        <f ca="1">IF(AND(SUMIF(Capacity_Resource,$D31,'Critical resources (hide)'!BH$6:BH$105)+SUMIF(Capacity_Resource,$E31,'Critical resources (hide)'!BH$6:BH$105)+SUMIF(Capacity_Resource,$F31,'Critical resources (hide)'!BH$6:BH$105)&gt;0,$E$1=2),0,1)</f>
        <v>1</v>
      </c>
      <c r="AV31" s="67">
        <f ca="1">IF(AND(SUMIF(Capacity_Resource,$D31,'Critical resources (hide)'!BI$6:BI$105)+SUMIF(Capacity_Resource,$E31,'Critical resources (hide)'!BI$6:BI$105)+SUMIF(Capacity_Resource,$F31,'Critical resources (hide)'!BI$6:BI$105)&gt;0,$E$1=2),0,1)</f>
        <v>1</v>
      </c>
      <c r="AW31" s="67">
        <f ca="1">IF(AND(SUMIF(Capacity_Resource,$D31,'Critical resources (hide)'!BJ$6:BJ$105)+SUMIF(Capacity_Resource,$E31,'Critical resources (hide)'!BJ$6:BJ$105)+SUMIF(Capacity_Resource,$F31,'Critical resources (hide)'!BJ$6:BJ$105)&gt;0,$E$1=2),0,1)</f>
        <v>1</v>
      </c>
      <c r="AX31" s="67">
        <f ca="1">IF(AND(SUMIF(Capacity_Resource,$D31,'Critical resources (hide)'!BK$6:BK$105)+SUMIF(Capacity_Resource,$E31,'Critical resources (hide)'!BK$6:BK$105)+SUMIF(Capacity_Resource,$F31,'Critical resources (hide)'!BK$6:BK$105)&gt;0,$E$1=2),0,1)</f>
        <v>1</v>
      </c>
      <c r="AY31" s="67">
        <f ca="1">IF(AND(SUMIF(Capacity_Resource,$D31,'Critical resources (hide)'!BL$6:BL$105)+SUMIF(Capacity_Resource,$E31,'Critical resources (hide)'!BL$6:BL$105)+SUMIF(Capacity_Resource,$F31,'Critical resources (hide)'!BL$6:BL$105)&gt;0,$E$1=2),0,1)</f>
        <v>1</v>
      </c>
      <c r="AZ31" s="67">
        <f ca="1">IF(AND(SUMIF(Capacity_Resource,$D31,'Critical resources (hide)'!BM$6:BM$105)+SUMIF(Capacity_Resource,$E31,'Critical resources (hide)'!BM$6:BM$105)+SUMIF(Capacity_Resource,$F31,'Critical resources (hide)'!BM$6:BM$105)&gt;0,$E$1=2),0,1)</f>
        <v>1</v>
      </c>
      <c r="BA31" s="67">
        <f ca="1">IF(AND(SUMIF(Capacity_Resource,$D31,'Critical resources (hide)'!BN$6:BN$105)+SUMIF(Capacity_Resource,$E31,'Critical resources (hide)'!BN$6:BN$105)+SUMIF(Capacity_Resource,$F31,'Critical resources (hide)'!BN$6:BN$105)&gt;0,$E$1=2),0,1)</f>
        <v>1</v>
      </c>
      <c r="BB31" s="67">
        <f ca="1">IF(AND(SUMIF(Capacity_Resource,$D31,'Critical resources (hide)'!BO$6:BO$105)+SUMIF(Capacity_Resource,$E31,'Critical resources (hide)'!BO$6:BO$105)+SUMIF(Capacity_Resource,$F31,'Critical resources (hide)'!BO$6:BO$105)&gt;0,$E$1=2),0,1)</f>
        <v>1</v>
      </c>
      <c r="BC31" s="67">
        <f ca="1">IF(AND(SUMIF(Capacity_Resource,$D31,'Critical resources (hide)'!BP$6:BP$105)+SUMIF(Capacity_Resource,$E31,'Critical resources (hide)'!BP$6:BP$105)+SUMIF(Capacity_Resource,$F31,'Critical resources (hide)'!BP$6:BP$105)&gt;0,$E$1=2),0,1)</f>
        <v>1</v>
      </c>
      <c r="BD31" s="67">
        <f ca="1">IF(AND(SUMIF(Capacity_Resource,$D31,'Critical resources (hide)'!BQ$6:BQ$105)+SUMIF(Capacity_Resource,$E31,'Critical resources (hide)'!BQ$6:BQ$105)+SUMIF(Capacity_Resource,$F31,'Critical resources (hide)'!BQ$6:BQ$105)&gt;0,$E$1=2),0,1)</f>
        <v>1</v>
      </c>
      <c r="BE31" s="67">
        <f ca="1">IF(AND(SUMIF(Capacity_Resource,$D31,'Critical resources (hide)'!BR$6:BR$105)+SUMIF(Capacity_Resource,$E31,'Critical resources (hide)'!BR$6:BR$105)+SUMIF(Capacity_Resource,$F31,'Critical resources (hide)'!BR$6:BR$105)&gt;0,$E$1=2),0,1)</f>
        <v>1</v>
      </c>
      <c r="BF31" s="67">
        <f ca="1">IF(AND(SUMIF(Capacity_Resource,$D31,'Critical resources (hide)'!BS$6:BS$105)+SUMIF(Capacity_Resource,$E31,'Critical resources (hide)'!BS$6:BS$105)+SUMIF(Capacity_Resource,$F31,'Critical resources (hide)'!BS$6:BS$105)&gt;0,$E$1=2),0,1)</f>
        <v>1</v>
      </c>
      <c r="BG31" s="67">
        <f ca="1">IF(AND(SUMIF(Capacity_Resource,$D31,'Critical resources (hide)'!BT$6:BT$105)+SUMIF(Capacity_Resource,$E31,'Critical resources (hide)'!BT$6:BT$105)+SUMIF(Capacity_Resource,$F31,'Critical resources (hide)'!BT$6:BT$105)&gt;0,$E$1=2),0,1)</f>
        <v>1</v>
      </c>
      <c r="BH31" s="67">
        <f>IF(ROW(C27)&lt;=Capacity!$A$16,IF('Capacity summary'!$D$14="No",SUM(H31:BG31),'Capacity summary'!$E150),0)</f>
        <v>0</v>
      </c>
      <c r="BI31" s="5" t="str">
        <f>IF(BH31&gt;0,IF(BH31&lt;Capacity!E43,Capacity!F43,Capacity!H43/'Capacity calculation (hide)'!BH31),"")</f>
        <v/>
      </c>
      <c r="BK31" s="313">
        <f>IF($BI31&lt;&gt;"",IF('Capacity summary'!$D$14="Yes",IF(COUNTBLANK('Capacity summary'!$H150:$BG150)&lt;52,IF('Capacity summary'!H150&lt;&gt;"",IF(LOWER('Capacity summary'!H150)="x",$BI31*H31,VALUE('Capacity summary'!H150)),0),H31*$BI31),H31*$BI31),0)</f>
        <v>0</v>
      </c>
      <c r="BL31" s="313">
        <f>IF($BI31&lt;&gt;"",IF('Capacity summary'!$D$14="Yes",IF(COUNTBLANK('Capacity summary'!$H150:$BG150)&lt;52,IF('Capacity summary'!I150&lt;&gt;"",IF(LOWER('Capacity summary'!I150)="x",$BI31*I31,VALUE('Capacity summary'!I150)),0),I31*$BI31),I31*$BI31),0)</f>
        <v>0</v>
      </c>
      <c r="BM31" s="313">
        <f>IF($BI31&lt;&gt;"",IF('Capacity summary'!$D$14="Yes",IF(COUNTBLANK('Capacity summary'!$H150:$BG150)&lt;52,IF('Capacity summary'!J150&lt;&gt;"",IF(LOWER('Capacity summary'!J150)="x",$BI31*J31,VALUE('Capacity summary'!J150)),0),J31*$BI31),J31*$BI31),0)</f>
        <v>0</v>
      </c>
      <c r="BN31" s="313">
        <f>IF($BI31&lt;&gt;"",IF('Capacity summary'!$D$14="Yes",IF(COUNTBLANK('Capacity summary'!$H150:$BG150)&lt;52,IF('Capacity summary'!K150&lt;&gt;"",IF(LOWER('Capacity summary'!K150)="x",$BI31*K31,VALUE('Capacity summary'!K150)),0),K31*$BI31),K31*$BI31),0)</f>
        <v>0</v>
      </c>
      <c r="BO31" s="313">
        <f>IF($BI31&lt;&gt;"",IF('Capacity summary'!$D$14="Yes",IF(COUNTBLANK('Capacity summary'!$H150:$BG150)&lt;52,IF('Capacity summary'!L150&lt;&gt;"",IF(LOWER('Capacity summary'!L150)="x",$BI31*L31,VALUE('Capacity summary'!L150)),0),L31*$BI31),L31*$BI31),0)</f>
        <v>0</v>
      </c>
      <c r="BP31" s="313">
        <f>IF($BI31&lt;&gt;"",IF('Capacity summary'!$D$14="Yes",IF(COUNTBLANK('Capacity summary'!$H150:$BG150)&lt;52,IF('Capacity summary'!M150&lt;&gt;"",IF(LOWER('Capacity summary'!M150)="x",$BI31*M31,VALUE('Capacity summary'!M150)),0),M31*$BI31),M31*$BI31),0)</f>
        <v>0</v>
      </c>
      <c r="BQ31" s="313">
        <f>IF($BI31&lt;&gt;"",IF('Capacity summary'!$D$14="Yes",IF(COUNTBLANK('Capacity summary'!$H150:$BG150)&lt;52,IF('Capacity summary'!N150&lt;&gt;"",IF(LOWER('Capacity summary'!N150)="x",$BI31*N31,VALUE('Capacity summary'!N150)),0),N31*$BI31),N31*$BI31),0)</f>
        <v>0</v>
      </c>
      <c r="BR31" s="313">
        <f>IF($BI31&lt;&gt;"",IF('Capacity summary'!$D$14="Yes",IF(COUNTBLANK('Capacity summary'!$H150:$BG150)&lt;52,IF('Capacity summary'!O150&lt;&gt;"",IF(LOWER('Capacity summary'!O150)="x",$BI31*O31,VALUE('Capacity summary'!O150)),0),O31*$BI31),O31*$BI31),0)</f>
        <v>0</v>
      </c>
      <c r="BS31" s="313">
        <f>IF($BI31&lt;&gt;"",IF('Capacity summary'!$D$14="Yes",IF(COUNTBLANK('Capacity summary'!$H150:$BG150)&lt;52,IF('Capacity summary'!P150&lt;&gt;"",IF(LOWER('Capacity summary'!P150)="x",$BI31*P31,VALUE('Capacity summary'!P150)),0),P31*$BI31),P31*$BI31),0)</f>
        <v>0</v>
      </c>
      <c r="BT31" s="313">
        <f>IF($BI31&lt;&gt;"",IF('Capacity summary'!$D$14="Yes",IF(COUNTBLANK('Capacity summary'!$H150:$BG150)&lt;52,IF('Capacity summary'!Q150&lt;&gt;"",IF(LOWER('Capacity summary'!Q150)="x",$BI31*Q31,VALUE('Capacity summary'!Q150)),0),Q31*$BI31),Q31*$BI31),0)</f>
        <v>0</v>
      </c>
      <c r="BU31" s="313">
        <f>IF($BI31&lt;&gt;"",IF('Capacity summary'!$D$14="Yes",IF(COUNTBLANK('Capacity summary'!$H150:$BG150)&lt;52,IF('Capacity summary'!R150&lt;&gt;"",IF(LOWER('Capacity summary'!R150)="x",$BI31*R31,VALUE('Capacity summary'!R150)),0),R31*$BI31),R31*$BI31),0)</f>
        <v>0</v>
      </c>
      <c r="BV31" s="313">
        <f>IF($BI31&lt;&gt;"",IF('Capacity summary'!$D$14="Yes",IF(COUNTBLANK('Capacity summary'!$H150:$BG150)&lt;52,IF('Capacity summary'!S150&lt;&gt;"",IF(LOWER('Capacity summary'!S150)="x",$BI31*S31,VALUE('Capacity summary'!S150)),0),S31*$BI31),S31*$BI31),0)</f>
        <v>0</v>
      </c>
      <c r="BW31" s="313">
        <f>IF($BI31&lt;&gt;"",IF('Capacity summary'!$D$14="Yes",IF(COUNTBLANK('Capacity summary'!$H150:$BG150)&lt;52,IF('Capacity summary'!T150&lt;&gt;"",IF(LOWER('Capacity summary'!T150)="x",$BI31*T31,VALUE('Capacity summary'!T150)),0),T31*$BI31),T31*$BI31),0)</f>
        <v>0</v>
      </c>
      <c r="BX31" s="313">
        <f>IF($BI31&lt;&gt;"",IF('Capacity summary'!$D$14="Yes",IF(COUNTBLANK('Capacity summary'!$H150:$BG150)&lt;52,IF('Capacity summary'!U150&lt;&gt;"",IF(LOWER('Capacity summary'!U150)="x",$BI31*U31,VALUE('Capacity summary'!U150)),0),U31*$BI31),U31*$BI31),0)</f>
        <v>0</v>
      </c>
      <c r="BY31" s="313">
        <f>IF($BI31&lt;&gt;"",IF('Capacity summary'!$D$14="Yes",IF(COUNTBLANK('Capacity summary'!$H150:$BG150)&lt;52,IF('Capacity summary'!V150&lt;&gt;"",IF(LOWER('Capacity summary'!V150)="x",$BI31*V31,VALUE('Capacity summary'!V150)),0),V31*$BI31),V31*$BI31),0)</f>
        <v>0</v>
      </c>
      <c r="BZ31" s="313">
        <f>IF($BI31&lt;&gt;"",IF('Capacity summary'!$D$14="Yes",IF(COUNTBLANK('Capacity summary'!$H150:$BG150)&lt;52,IF('Capacity summary'!W150&lt;&gt;"",IF(LOWER('Capacity summary'!W150)="x",$BI31*W31,VALUE('Capacity summary'!W150)),0),W31*$BI31),W31*$BI31),0)</f>
        <v>0</v>
      </c>
      <c r="CA31" s="313">
        <f>IF($BI31&lt;&gt;"",IF('Capacity summary'!$D$14="Yes",IF(COUNTBLANK('Capacity summary'!$H150:$BG150)&lt;52,IF('Capacity summary'!X150&lt;&gt;"",IF(LOWER('Capacity summary'!X150)="x",$BI31*X31,VALUE('Capacity summary'!X150)),0),X31*$BI31),X31*$BI31),0)</f>
        <v>0</v>
      </c>
      <c r="CB31" s="313">
        <f>IF($BI31&lt;&gt;"",IF('Capacity summary'!$D$14="Yes",IF(COUNTBLANK('Capacity summary'!$H150:$BG150)&lt;52,IF('Capacity summary'!Y150&lt;&gt;"",IF(LOWER('Capacity summary'!Y150)="x",$BI31*Y31,VALUE('Capacity summary'!Y150)),0),Y31*$BI31),Y31*$BI31),0)</f>
        <v>0</v>
      </c>
      <c r="CC31" s="313">
        <f>IF($BI31&lt;&gt;"",IF('Capacity summary'!$D$14="Yes",IF(COUNTBLANK('Capacity summary'!$H150:$BG150)&lt;52,IF('Capacity summary'!Z150&lt;&gt;"",IF(LOWER('Capacity summary'!Z150)="x",$BI31*Z31,VALUE('Capacity summary'!Z150)),0),Z31*$BI31),Z31*$BI31),0)</f>
        <v>0</v>
      </c>
      <c r="CD31" s="313">
        <f>IF($BI31&lt;&gt;"",IF('Capacity summary'!$D$14="Yes",IF(COUNTBLANK('Capacity summary'!$H150:$BG150)&lt;52,IF('Capacity summary'!AA150&lt;&gt;"",IF(LOWER('Capacity summary'!AA150)="x",$BI31*AA31,VALUE('Capacity summary'!AA150)),0),AA31*$BI31),AA31*$BI31),0)</f>
        <v>0</v>
      </c>
      <c r="CE31" s="313">
        <f>IF($BI31&lt;&gt;"",IF('Capacity summary'!$D$14="Yes",IF(COUNTBLANK('Capacity summary'!$H150:$BG150)&lt;52,IF('Capacity summary'!AB150&lt;&gt;"",IF(LOWER('Capacity summary'!AB150)="x",$BI31*AB31,VALUE('Capacity summary'!AB150)),0),AB31*$BI31),AB31*$BI31),0)</f>
        <v>0</v>
      </c>
      <c r="CF31" s="313">
        <f>IF($BI31&lt;&gt;"",IF('Capacity summary'!$D$14="Yes",IF(COUNTBLANK('Capacity summary'!$H150:$BG150)&lt;52,IF('Capacity summary'!AC150&lt;&gt;"",IF(LOWER('Capacity summary'!AC150)="x",$BI31*AC31,VALUE('Capacity summary'!AC150)),0),AC31*$BI31),AC31*$BI31),0)</f>
        <v>0</v>
      </c>
      <c r="CG31" s="313">
        <f>IF($BI31&lt;&gt;"",IF('Capacity summary'!$D$14="Yes",IF(COUNTBLANK('Capacity summary'!$H150:$BG150)&lt;52,IF('Capacity summary'!AD150&lt;&gt;"",IF(LOWER('Capacity summary'!AD150)="x",$BI31*AD31,VALUE('Capacity summary'!AD150)),0),AD31*$BI31),AD31*$BI31),0)</f>
        <v>0</v>
      </c>
      <c r="CH31" s="313">
        <f>IF($BI31&lt;&gt;"",IF('Capacity summary'!$D$14="Yes",IF(COUNTBLANK('Capacity summary'!$H150:$BG150)&lt;52,IF('Capacity summary'!AE150&lt;&gt;"",IF(LOWER('Capacity summary'!AE150)="x",$BI31*AE31,VALUE('Capacity summary'!AE150)),0),AE31*$BI31),AE31*$BI31),0)</f>
        <v>0</v>
      </c>
      <c r="CI31" s="313">
        <f>IF($BI31&lt;&gt;"",IF('Capacity summary'!$D$14="Yes",IF(COUNTBLANK('Capacity summary'!$H150:$BG150)&lt;52,IF('Capacity summary'!AF150&lt;&gt;"",IF(LOWER('Capacity summary'!AF150)="x",$BI31*AF31,VALUE('Capacity summary'!AF150)),0),AF31*$BI31),AF31*$BI31),0)</f>
        <v>0</v>
      </c>
      <c r="CJ31" s="313">
        <f>IF($BI31&lt;&gt;"",IF('Capacity summary'!$D$14="Yes",IF(COUNTBLANK('Capacity summary'!$H150:$BG150)&lt;52,IF('Capacity summary'!AG150&lt;&gt;"",IF(LOWER('Capacity summary'!AG150)="x",$BI31*AG31,VALUE('Capacity summary'!AG150)),0),AG31*$BI31),AG31*$BI31),0)</f>
        <v>0</v>
      </c>
      <c r="CK31" s="313">
        <f>IF($BI31&lt;&gt;"",IF('Capacity summary'!$D$14="Yes",IF(COUNTBLANK('Capacity summary'!$H150:$BG150)&lt;52,IF('Capacity summary'!AH150&lt;&gt;"",IF(LOWER('Capacity summary'!AH150)="x",$BI31*AH31,VALUE('Capacity summary'!AH150)),0),AH31*$BI31),AH31*$BI31),0)</f>
        <v>0</v>
      </c>
      <c r="CL31" s="313">
        <f>IF($BI31&lt;&gt;"",IF('Capacity summary'!$D$14="Yes",IF(COUNTBLANK('Capacity summary'!$H150:$BG150)&lt;52,IF('Capacity summary'!AI150&lt;&gt;"",IF(LOWER('Capacity summary'!AI150)="x",$BI31*AI31,VALUE('Capacity summary'!AI150)),0),AI31*$BI31),AI31*$BI31),0)</f>
        <v>0</v>
      </c>
      <c r="CM31" s="313">
        <f>IF($BI31&lt;&gt;"",IF('Capacity summary'!$D$14="Yes",IF(COUNTBLANK('Capacity summary'!$H150:$BG150)&lt;52,IF('Capacity summary'!AJ150&lt;&gt;"",IF(LOWER('Capacity summary'!AJ150)="x",$BI31*AJ31,VALUE('Capacity summary'!AJ150)),0),AJ31*$BI31),AJ31*$BI31),0)</f>
        <v>0</v>
      </c>
      <c r="CN31" s="313">
        <f>IF($BI31&lt;&gt;"",IF('Capacity summary'!$D$14="Yes",IF(COUNTBLANK('Capacity summary'!$H150:$BG150)&lt;52,IF('Capacity summary'!AK150&lt;&gt;"",IF(LOWER('Capacity summary'!AK150)="x",$BI31*AK31,VALUE('Capacity summary'!AK150)),0),AK31*$BI31),AK31*$BI31),0)</f>
        <v>0</v>
      </c>
      <c r="CO31" s="313">
        <f>IF($BI31&lt;&gt;"",IF('Capacity summary'!$D$14="Yes",IF(COUNTBLANK('Capacity summary'!$H150:$BG150)&lt;52,IF('Capacity summary'!AL150&lt;&gt;"",IF(LOWER('Capacity summary'!AL150)="x",$BI31*AL31,VALUE('Capacity summary'!AL150)),0),AL31*$BI31),AL31*$BI31),0)</f>
        <v>0</v>
      </c>
      <c r="CP31" s="313">
        <f>IF($BI31&lt;&gt;"",IF('Capacity summary'!$D$14="Yes",IF(COUNTBLANK('Capacity summary'!$H150:$BG150)&lt;52,IF('Capacity summary'!AM150&lt;&gt;"",IF(LOWER('Capacity summary'!AM150)="x",$BI31*AM31,VALUE('Capacity summary'!AM150)),0),AM31*$BI31),AM31*$BI31),0)</f>
        <v>0</v>
      </c>
      <c r="CQ31" s="313">
        <f>IF($BI31&lt;&gt;"",IF('Capacity summary'!$D$14="Yes",IF(COUNTBLANK('Capacity summary'!$H150:$BG150)&lt;52,IF('Capacity summary'!AN150&lt;&gt;"",IF(LOWER('Capacity summary'!AN150)="x",$BI31*AN31,VALUE('Capacity summary'!AN150)),0),AN31*$BI31),AN31*$BI31),0)</f>
        <v>0</v>
      </c>
      <c r="CR31" s="313">
        <f>IF($BI31&lt;&gt;"",IF('Capacity summary'!$D$14="Yes",IF(COUNTBLANK('Capacity summary'!$H150:$BG150)&lt;52,IF('Capacity summary'!AO150&lt;&gt;"",IF(LOWER('Capacity summary'!AO150)="x",$BI31*AO31,VALUE('Capacity summary'!AO150)),0),AO31*$BI31),AO31*$BI31),0)</f>
        <v>0</v>
      </c>
      <c r="CS31" s="313">
        <f>IF($BI31&lt;&gt;"",IF('Capacity summary'!$D$14="Yes",IF(COUNTBLANK('Capacity summary'!$H150:$BG150)&lt;52,IF('Capacity summary'!AP150&lt;&gt;"",IF(LOWER('Capacity summary'!AP150)="x",$BI31*AP31,VALUE('Capacity summary'!AP150)),0),AP31*$BI31),AP31*$BI31),0)</f>
        <v>0</v>
      </c>
      <c r="CT31" s="313">
        <f>IF($BI31&lt;&gt;"",IF('Capacity summary'!$D$14="Yes",IF(COUNTBLANK('Capacity summary'!$H150:$BG150)&lt;52,IF('Capacity summary'!AQ150&lt;&gt;"",IF(LOWER('Capacity summary'!AQ150)="x",$BI31*AQ31,VALUE('Capacity summary'!AQ150)),0),AQ31*$BI31),AQ31*$BI31),0)</f>
        <v>0</v>
      </c>
      <c r="CU31" s="313">
        <f>IF($BI31&lt;&gt;"",IF('Capacity summary'!$D$14="Yes",IF(COUNTBLANK('Capacity summary'!$H150:$BG150)&lt;52,IF('Capacity summary'!AR150&lt;&gt;"",IF(LOWER('Capacity summary'!AR150)="x",$BI31*AR31,VALUE('Capacity summary'!AR150)),0),AR31*$BI31),AR31*$BI31),0)</f>
        <v>0</v>
      </c>
      <c r="CV31" s="313">
        <f>IF($BI31&lt;&gt;"",IF('Capacity summary'!$D$14="Yes",IF(COUNTBLANK('Capacity summary'!$H150:$BG150)&lt;52,IF('Capacity summary'!AS150&lt;&gt;"",IF(LOWER('Capacity summary'!AS150)="x",$BI31*AS31,VALUE('Capacity summary'!AS150)),0),AS31*$BI31),AS31*$BI31),0)</f>
        <v>0</v>
      </c>
      <c r="CW31" s="313">
        <f>IF($BI31&lt;&gt;"",IF('Capacity summary'!$D$14="Yes",IF(COUNTBLANK('Capacity summary'!$H150:$BG150)&lt;52,IF('Capacity summary'!AT150&lt;&gt;"",IF(LOWER('Capacity summary'!AT150)="x",$BI31*AT31,VALUE('Capacity summary'!AT150)),0),AT31*$BI31),AT31*$BI31),0)</f>
        <v>0</v>
      </c>
      <c r="CX31" s="313">
        <f>IF($BI31&lt;&gt;"",IF('Capacity summary'!$D$14="Yes",IF(COUNTBLANK('Capacity summary'!$H150:$BG150)&lt;52,IF('Capacity summary'!AU150&lt;&gt;"",IF(LOWER('Capacity summary'!AU150)="x",$BI31*AU31,VALUE('Capacity summary'!AU150)),0),AU31*$BI31),AU31*$BI31),0)</f>
        <v>0</v>
      </c>
      <c r="CY31" s="313">
        <f>IF($BI31&lt;&gt;"",IF('Capacity summary'!$D$14="Yes",IF(COUNTBLANK('Capacity summary'!$H150:$BG150)&lt;52,IF('Capacity summary'!AV150&lt;&gt;"",IF(LOWER('Capacity summary'!AV150)="x",$BI31*AV31,VALUE('Capacity summary'!AV150)),0),AV31*$BI31),AV31*$BI31),0)</f>
        <v>0</v>
      </c>
      <c r="CZ31" s="313">
        <f>IF($BI31&lt;&gt;"",IF('Capacity summary'!$D$14="Yes",IF(COUNTBLANK('Capacity summary'!$H150:$BG150)&lt;52,IF('Capacity summary'!AW150&lt;&gt;"",IF(LOWER('Capacity summary'!AW150)="x",$BI31*AW31,VALUE('Capacity summary'!AW150)),0),AW31*$BI31),AW31*$BI31),0)</f>
        <v>0</v>
      </c>
      <c r="DA31" s="313">
        <f>IF($BI31&lt;&gt;"",IF('Capacity summary'!$D$14="Yes",IF(COUNTBLANK('Capacity summary'!$H150:$BG150)&lt;52,IF('Capacity summary'!AX150&lt;&gt;"",IF(LOWER('Capacity summary'!AX150)="x",$BI31*AX31,VALUE('Capacity summary'!AX150)),0),AX31*$BI31),AX31*$BI31),0)</f>
        <v>0</v>
      </c>
      <c r="DB31" s="313">
        <f>IF($BI31&lt;&gt;"",IF('Capacity summary'!$D$14="Yes",IF(COUNTBLANK('Capacity summary'!$H150:$BG150)&lt;52,IF('Capacity summary'!AY150&lt;&gt;"",IF(LOWER('Capacity summary'!AY150)="x",$BI31*AY31,VALUE('Capacity summary'!AY150)),0),AY31*$BI31),AY31*$BI31),0)</f>
        <v>0</v>
      </c>
      <c r="DC31" s="313">
        <f>IF($BI31&lt;&gt;"",IF('Capacity summary'!$D$14="Yes",IF(COUNTBLANK('Capacity summary'!$H150:$BG150)&lt;52,IF('Capacity summary'!AZ150&lt;&gt;"",IF(LOWER('Capacity summary'!AZ150)="x",$BI31*AZ31,VALUE('Capacity summary'!AZ150)),0),AZ31*$BI31),AZ31*$BI31),0)</f>
        <v>0</v>
      </c>
      <c r="DD31" s="313">
        <f>IF($BI31&lt;&gt;"",IF('Capacity summary'!$D$14="Yes",IF(COUNTBLANK('Capacity summary'!$H150:$BG150)&lt;52,IF('Capacity summary'!BA150&lt;&gt;"",IF(LOWER('Capacity summary'!BA150)="x",$BI31*BA31,VALUE('Capacity summary'!BA150)),0),BA31*$BI31),BA31*$BI31),0)</f>
        <v>0</v>
      </c>
      <c r="DE31" s="313">
        <f>IF($BI31&lt;&gt;"",IF('Capacity summary'!$D$14="Yes",IF(COUNTBLANK('Capacity summary'!$H150:$BG150)&lt;52,IF('Capacity summary'!BB150&lt;&gt;"",IF(LOWER('Capacity summary'!BB150)="x",$BI31*BB31,VALUE('Capacity summary'!BB150)),0),BB31*$BI31),BB31*$BI31),0)</f>
        <v>0</v>
      </c>
      <c r="DF31" s="313">
        <f>IF($BI31&lt;&gt;"",IF('Capacity summary'!$D$14="Yes",IF(COUNTBLANK('Capacity summary'!$H150:$BG150)&lt;52,IF('Capacity summary'!BC150&lt;&gt;"",IF(LOWER('Capacity summary'!BC150)="x",$BI31*BC31,VALUE('Capacity summary'!BC150)),0),BC31*$BI31),BC31*$BI31),0)</f>
        <v>0</v>
      </c>
      <c r="DG31" s="313">
        <f>IF($BI31&lt;&gt;"",IF('Capacity summary'!$D$14="Yes",IF(COUNTBLANK('Capacity summary'!$H150:$BG150)&lt;52,IF('Capacity summary'!BD150&lt;&gt;"",IF(LOWER('Capacity summary'!BD150)="x",$BI31*BD31,VALUE('Capacity summary'!BD150)),0),BD31*$BI31),BD31*$BI31),0)</f>
        <v>0</v>
      </c>
      <c r="DH31" s="313">
        <f>IF($BI31&lt;&gt;"",IF('Capacity summary'!$D$14="Yes",IF(COUNTBLANK('Capacity summary'!$H150:$BG150)&lt;52,IF('Capacity summary'!BE150&lt;&gt;"",IF(LOWER('Capacity summary'!BE150)="x",$BI31*BE31,VALUE('Capacity summary'!BE150)),0),BE31*$BI31),BE31*$BI31),0)</f>
        <v>0</v>
      </c>
      <c r="DI31" s="313">
        <f>IF($BI31&lt;&gt;"",IF('Capacity summary'!$D$14="Yes",IF(COUNTBLANK('Capacity summary'!$H150:$BG150)&lt;52,IF('Capacity summary'!BF150&lt;&gt;"",IF(LOWER('Capacity summary'!BF150)="x",$BI31*BF31,VALUE('Capacity summary'!BF150)),0),BF31*$BI31),BF31*$BI31),0)</f>
        <v>0</v>
      </c>
      <c r="DJ31" s="313">
        <f>IF($BI31&lt;&gt;"",IF('Capacity summary'!$D$14="Yes",IF(COUNTBLANK('Capacity summary'!$H150:$BG150)&lt;52,IF('Capacity summary'!BG150&lt;&gt;"",IF(LOWER('Capacity summary'!BG150)="x",$BI31*BG31,VALUE('Capacity summary'!BG150)),0),BG31*$BI31),BG31*$BI31),0)</f>
        <v>0</v>
      </c>
      <c r="DK31" s="137">
        <f t="shared" si="2"/>
        <v>0</v>
      </c>
      <c r="DL31" s="313" t="str">
        <f>Capacity!H43</f>
        <v/>
      </c>
      <c r="DP31" s="5"/>
    </row>
    <row r="32" spans="2:120" x14ac:dyDescent="0.25">
      <c r="B32" s="67"/>
      <c r="C32" s="67" t="str">
        <f>ROW(A28)&amp;". "&amp;Capacity!B44</f>
        <v xml:space="preserve">28. </v>
      </c>
      <c r="D32" s="67">
        <f>'Capacity setup'!C39</f>
        <v>0</v>
      </c>
      <c r="E32" s="67">
        <f>'Capacity setup'!D39</f>
        <v>0</v>
      </c>
      <c r="F32" s="67">
        <f>'Capacity setup'!E39</f>
        <v>0</v>
      </c>
      <c r="H32" s="67">
        <f ca="1">IF(AND(SUMIF(Capacity_Resource,$D32,'Critical resources (hide)'!U$6:U$105)+SUMIF(Capacity_Resource,$E32,'Critical resources (hide)'!U$6:U$105)+SUMIF(Capacity_Resource,$F32,'Critical resources (hide)'!U$6:U$105)&gt;0,$E$1=2),0,1)</f>
        <v>1</v>
      </c>
      <c r="I32" s="67">
        <f ca="1">IF(AND(SUMIF(Capacity_Resource,$D32,'Critical resources (hide)'!V$6:V$105)+SUMIF(Capacity_Resource,$E32,'Critical resources (hide)'!V$6:V$105)+SUMIF(Capacity_Resource,$F32,'Critical resources (hide)'!V$6:V$105)&gt;0,$E$1=2),0,1)</f>
        <v>1</v>
      </c>
      <c r="J32" s="67">
        <f ca="1">IF(AND(SUMIF(Capacity_Resource,$D32,'Critical resources (hide)'!W$6:W$105)+SUMIF(Capacity_Resource,$E32,'Critical resources (hide)'!W$6:W$105)+SUMIF(Capacity_Resource,$F32,'Critical resources (hide)'!W$6:W$105)&gt;0,$E$1=2),0,1)</f>
        <v>1</v>
      </c>
      <c r="K32" s="67">
        <f ca="1">IF(AND(SUMIF(Capacity_Resource,$D32,'Critical resources (hide)'!X$6:X$105)+SUMIF(Capacity_Resource,$E32,'Critical resources (hide)'!X$6:X$105)+SUMIF(Capacity_Resource,$F32,'Critical resources (hide)'!X$6:X$105)&gt;0,$E$1=2),0,1)</f>
        <v>1</v>
      </c>
      <c r="L32" s="67">
        <f ca="1">IF(AND(SUMIF(Capacity_Resource,$D32,'Critical resources (hide)'!Y$6:Y$105)+SUMIF(Capacity_Resource,$E32,'Critical resources (hide)'!Y$6:Y$105)+SUMIF(Capacity_Resource,$F32,'Critical resources (hide)'!Y$6:Y$105)&gt;0,$E$1=2),0,1)</f>
        <v>1</v>
      </c>
      <c r="M32" s="67">
        <f ca="1">IF(AND(SUMIF(Capacity_Resource,$D32,'Critical resources (hide)'!Z$6:Z$105)+SUMIF(Capacity_Resource,$E32,'Critical resources (hide)'!Z$6:Z$105)+SUMIF(Capacity_Resource,$F32,'Critical resources (hide)'!Z$6:Z$105)&gt;0,$E$1=2),0,1)</f>
        <v>1</v>
      </c>
      <c r="N32" s="67">
        <f ca="1">IF(AND(SUMIF(Capacity_Resource,$D32,'Critical resources (hide)'!AA$6:AA$105)+SUMIF(Capacity_Resource,$E32,'Critical resources (hide)'!AA$6:AA$105)+SUMIF(Capacity_Resource,$F32,'Critical resources (hide)'!AA$6:AA$105)&gt;0,$E$1=2),0,1)</f>
        <v>1</v>
      </c>
      <c r="O32" s="67">
        <f ca="1">IF(AND(SUMIF(Capacity_Resource,$D32,'Critical resources (hide)'!AB$6:AB$105)+SUMIF(Capacity_Resource,$E32,'Critical resources (hide)'!AB$6:AB$105)+SUMIF(Capacity_Resource,$F32,'Critical resources (hide)'!AB$6:AB$105)&gt;0,$E$1=2),0,1)</f>
        <v>1</v>
      </c>
      <c r="P32" s="67">
        <f ca="1">IF(AND(SUMIF(Capacity_Resource,$D32,'Critical resources (hide)'!AC$6:AC$105)+SUMIF(Capacity_Resource,$E32,'Critical resources (hide)'!AC$6:AC$105)+SUMIF(Capacity_Resource,$F32,'Critical resources (hide)'!AC$6:AC$105)&gt;0,$E$1=2),0,1)</f>
        <v>1</v>
      </c>
      <c r="Q32" s="67">
        <f ca="1">IF(AND(SUMIF(Capacity_Resource,$D32,'Critical resources (hide)'!AD$6:AD$105)+SUMIF(Capacity_Resource,$E32,'Critical resources (hide)'!AD$6:AD$105)+SUMIF(Capacity_Resource,$F32,'Critical resources (hide)'!AD$6:AD$105)&gt;0,$E$1=2),0,1)</f>
        <v>1</v>
      </c>
      <c r="R32" s="67">
        <f ca="1">IF(AND(SUMIF(Capacity_Resource,$D32,'Critical resources (hide)'!AE$6:AE$105)+SUMIF(Capacity_Resource,$E32,'Critical resources (hide)'!AE$6:AE$105)+SUMIF(Capacity_Resource,$F32,'Critical resources (hide)'!AE$6:AE$105)&gt;0,$E$1=2),0,1)</f>
        <v>1</v>
      </c>
      <c r="S32" s="67">
        <f ca="1">IF(AND(SUMIF(Capacity_Resource,$D32,'Critical resources (hide)'!AF$6:AF$105)+SUMIF(Capacity_Resource,$E32,'Critical resources (hide)'!AF$6:AF$105)+SUMIF(Capacity_Resource,$F32,'Critical resources (hide)'!AF$6:AF$105)&gt;0,$E$1=2),0,1)</f>
        <v>1</v>
      </c>
      <c r="T32" s="67">
        <f ca="1">IF(AND(SUMIF(Capacity_Resource,$D32,'Critical resources (hide)'!AG$6:AG$105)+SUMIF(Capacity_Resource,$E32,'Critical resources (hide)'!AG$6:AG$105)+SUMIF(Capacity_Resource,$F32,'Critical resources (hide)'!AG$6:AG$105)&gt;0,$E$1=2),0,1)</f>
        <v>1</v>
      </c>
      <c r="U32" s="67">
        <f ca="1">IF(AND(SUMIF(Capacity_Resource,$D32,'Critical resources (hide)'!AH$6:AH$105)+SUMIF(Capacity_Resource,$E32,'Critical resources (hide)'!AH$6:AH$105)+SUMIF(Capacity_Resource,$F32,'Critical resources (hide)'!AH$6:AH$105)&gt;0,$E$1=2),0,1)</f>
        <v>1</v>
      </c>
      <c r="V32" s="67">
        <f ca="1">IF(AND(SUMIF(Capacity_Resource,$D32,'Critical resources (hide)'!AI$6:AI$105)+SUMIF(Capacity_Resource,$E32,'Critical resources (hide)'!AI$6:AI$105)+SUMIF(Capacity_Resource,$F32,'Critical resources (hide)'!AI$6:AI$105)&gt;0,$E$1=2),0,1)</f>
        <v>1</v>
      </c>
      <c r="W32" s="67">
        <f ca="1">IF(AND(SUMIF(Capacity_Resource,$D32,'Critical resources (hide)'!AJ$6:AJ$105)+SUMIF(Capacity_Resource,$E32,'Critical resources (hide)'!AJ$6:AJ$105)+SUMIF(Capacity_Resource,$F32,'Critical resources (hide)'!AJ$6:AJ$105)&gt;0,$E$1=2),0,1)</f>
        <v>1</v>
      </c>
      <c r="X32" s="67">
        <f ca="1">IF(AND(SUMIF(Capacity_Resource,$D32,'Critical resources (hide)'!AK$6:AK$105)+SUMIF(Capacity_Resource,$E32,'Critical resources (hide)'!AK$6:AK$105)+SUMIF(Capacity_Resource,$F32,'Critical resources (hide)'!AK$6:AK$105)&gt;0,$E$1=2),0,1)</f>
        <v>1</v>
      </c>
      <c r="Y32" s="67">
        <f ca="1">IF(AND(SUMIF(Capacity_Resource,$D32,'Critical resources (hide)'!AL$6:AL$105)+SUMIF(Capacity_Resource,$E32,'Critical resources (hide)'!AL$6:AL$105)+SUMIF(Capacity_Resource,$F32,'Critical resources (hide)'!AL$6:AL$105)&gt;0,$E$1=2),0,1)</f>
        <v>1</v>
      </c>
      <c r="Z32" s="67">
        <f ca="1">IF(AND(SUMIF(Capacity_Resource,$D32,'Critical resources (hide)'!AM$6:AM$105)+SUMIF(Capacity_Resource,$E32,'Critical resources (hide)'!AM$6:AM$105)+SUMIF(Capacity_Resource,$F32,'Critical resources (hide)'!AM$6:AM$105)&gt;0,$E$1=2),0,1)</f>
        <v>1</v>
      </c>
      <c r="AA32" s="67">
        <f ca="1">IF(AND(SUMIF(Capacity_Resource,$D32,'Critical resources (hide)'!AN$6:AN$105)+SUMIF(Capacity_Resource,$E32,'Critical resources (hide)'!AN$6:AN$105)+SUMIF(Capacity_Resource,$F32,'Critical resources (hide)'!AN$6:AN$105)&gt;0,$E$1=2),0,1)</f>
        <v>1</v>
      </c>
      <c r="AB32" s="67">
        <f ca="1">IF(AND(SUMIF(Capacity_Resource,$D32,'Critical resources (hide)'!AO$6:AO$105)+SUMIF(Capacity_Resource,$E32,'Critical resources (hide)'!AO$6:AO$105)+SUMIF(Capacity_Resource,$F32,'Critical resources (hide)'!AO$6:AO$105)&gt;0,$E$1=2),0,1)</f>
        <v>1</v>
      </c>
      <c r="AC32" s="67">
        <f ca="1">IF(AND(SUMIF(Capacity_Resource,$D32,'Critical resources (hide)'!AP$6:AP$105)+SUMIF(Capacity_Resource,$E32,'Critical resources (hide)'!AP$6:AP$105)+SUMIF(Capacity_Resource,$F32,'Critical resources (hide)'!AP$6:AP$105)&gt;0,$E$1=2),0,1)</f>
        <v>1</v>
      </c>
      <c r="AD32" s="67">
        <f ca="1">IF(AND(SUMIF(Capacity_Resource,$D32,'Critical resources (hide)'!AQ$6:AQ$105)+SUMIF(Capacity_Resource,$E32,'Critical resources (hide)'!AQ$6:AQ$105)+SUMIF(Capacity_Resource,$F32,'Critical resources (hide)'!AQ$6:AQ$105)&gt;0,$E$1=2),0,1)</f>
        <v>1</v>
      </c>
      <c r="AE32" s="67">
        <f ca="1">IF(AND(SUMIF(Capacity_Resource,$D32,'Critical resources (hide)'!AR$6:AR$105)+SUMIF(Capacity_Resource,$E32,'Critical resources (hide)'!AR$6:AR$105)+SUMIF(Capacity_Resource,$F32,'Critical resources (hide)'!AR$6:AR$105)&gt;0,$E$1=2),0,1)</f>
        <v>1</v>
      </c>
      <c r="AF32" s="67">
        <f ca="1">IF(AND(SUMIF(Capacity_Resource,$D32,'Critical resources (hide)'!AS$6:AS$105)+SUMIF(Capacity_Resource,$E32,'Critical resources (hide)'!AS$6:AS$105)+SUMIF(Capacity_Resource,$F32,'Critical resources (hide)'!AS$6:AS$105)&gt;0,$E$1=2),0,1)</f>
        <v>1</v>
      </c>
      <c r="AG32" s="67">
        <f ca="1">IF(AND(SUMIF(Capacity_Resource,$D32,'Critical resources (hide)'!AT$6:AT$105)+SUMIF(Capacity_Resource,$E32,'Critical resources (hide)'!AT$6:AT$105)+SUMIF(Capacity_Resource,$F32,'Critical resources (hide)'!AT$6:AT$105)&gt;0,$E$1=2),0,1)</f>
        <v>1</v>
      </c>
      <c r="AH32" s="67">
        <f ca="1">IF(AND(SUMIF(Capacity_Resource,$D32,'Critical resources (hide)'!AU$6:AU$105)+SUMIF(Capacity_Resource,$E32,'Critical resources (hide)'!AU$6:AU$105)+SUMIF(Capacity_Resource,$F32,'Critical resources (hide)'!AU$6:AU$105)&gt;0,$E$1=2),0,1)</f>
        <v>1</v>
      </c>
      <c r="AI32" s="67">
        <f ca="1">IF(AND(SUMIF(Capacity_Resource,$D32,'Critical resources (hide)'!AV$6:AV$105)+SUMIF(Capacity_Resource,$E32,'Critical resources (hide)'!AV$6:AV$105)+SUMIF(Capacity_Resource,$F32,'Critical resources (hide)'!AV$6:AV$105)&gt;0,$E$1=2),0,1)</f>
        <v>1</v>
      </c>
      <c r="AJ32" s="67">
        <f ca="1">IF(AND(SUMIF(Capacity_Resource,$D32,'Critical resources (hide)'!AW$6:AW$105)+SUMIF(Capacity_Resource,$E32,'Critical resources (hide)'!AW$6:AW$105)+SUMIF(Capacity_Resource,$F32,'Critical resources (hide)'!AW$6:AW$105)&gt;0,$E$1=2),0,1)</f>
        <v>1</v>
      </c>
      <c r="AK32" s="67">
        <f ca="1">IF(AND(SUMIF(Capacity_Resource,$D32,'Critical resources (hide)'!AX$6:AX$105)+SUMIF(Capacity_Resource,$E32,'Critical resources (hide)'!AX$6:AX$105)+SUMIF(Capacity_Resource,$F32,'Critical resources (hide)'!AX$6:AX$105)&gt;0,$E$1=2),0,1)</f>
        <v>1</v>
      </c>
      <c r="AL32" s="67">
        <f ca="1">IF(AND(SUMIF(Capacity_Resource,$D32,'Critical resources (hide)'!AY$6:AY$105)+SUMIF(Capacity_Resource,$E32,'Critical resources (hide)'!AY$6:AY$105)+SUMIF(Capacity_Resource,$F32,'Critical resources (hide)'!AY$6:AY$105)&gt;0,$E$1=2),0,1)</f>
        <v>1</v>
      </c>
      <c r="AM32" s="67">
        <f ca="1">IF(AND(SUMIF(Capacity_Resource,$D32,'Critical resources (hide)'!AZ$6:AZ$105)+SUMIF(Capacity_Resource,$E32,'Critical resources (hide)'!AZ$6:AZ$105)+SUMIF(Capacity_Resource,$F32,'Critical resources (hide)'!AZ$6:AZ$105)&gt;0,$E$1=2),0,1)</f>
        <v>1</v>
      </c>
      <c r="AN32" s="67">
        <f ca="1">IF(AND(SUMIF(Capacity_Resource,$D32,'Critical resources (hide)'!BA$6:BA$105)+SUMIF(Capacity_Resource,$E32,'Critical resources (hide)'!BA$6:BA$105)+SUMIF(Capacity_Resource,$F32,'Critical resources (hide)'!BA$6:BA$105)&gt;0,$E$1=2),0,1)</f>
        <v>1</v>
      </c>
      <c r="AO32" s="67">
        <f ca="1">IF(AND(SUMIF(Capacity_Resource,$D32,'Critical resources (hide)'!BB$6:BB$105)+SUMIF(Capacity_Resource,$E32,'Critical resources (hide)'!BB$6:BB$105)+SUMIF(Capacity_Resource,$F32,'Critical resources (hide)'!BB$6:BB$105)&gt;0,$E$1=2),0,1)</f>
        <v>1</v>
      </c>
      <c r="AP32" s="67">
        <f ca="1">IF(AND(SUMIF(Capacity_Resource,$D32,'Critical resources (hide)'!BC$6:BC$105)+SUMIF(Capacity_Resource,$E32,'Critical resources (hide)'!BC$6:BC$105)+SUMIF(Capacity_Resource,$F32,'Critical resources (hide)'!BC$6:BC$105)&gt;0,$E$1=2),0,1)</f>
        <v>1</v>
      </c>
      <c r="AQ32" s="67">
        <f ca="1">IF(AND(SUMIF(Capacity_Resource,$D32,'Critical resources (hide)'!BD$6:BD$105)+SUMIF(Capacity_Resource,$E32,'Critical resources (hide)'!BD$6:BD$105)+SUMIF(Capacity_Resource,$F32,'Critical resources (hide)'!BD$6:BD$105)&gt;0,$E$1=2),0,1)</f>
        <v>1</v>
      </c>
      <c r="AR32" s="67">
        <f ca="1">IF(AND(SUMIF(Capacity_Resource,$D32,'Critical resources (hide)'!BE$6:BE$105)+SUMIF(Capacity_Resource,$E32,'Critical resources (hide)'!BE$6:BE$105)+SUMIF(Capacity_Resource,$F32,'Critical resources (hide)'!BE$6:BE$105)&gt;0,$E$1=2),0,1)</f>
        <v>1</v>
      </c>
      <c r="AS32" s="67">
        <f ca="1">IF(AND(SUMIF(Capacity_Resource,$D32,'Critical resources (hide)'!BF$6:BF$105)+SUMIF(Capacity_Resource,$E32,'Critical resources (hide)'!BF$6:BF$105)+SUMIF(Capacity_Resource,$F32,'Critical resources (hide)'!BF$6:BF$105)&gt;0,$E$1=2),0,1)</f>
        <v>1</v>
      </c>
      <c r="AT32" s="67">
        <f ca="1">IF(AND(SUMIF(Capacity_Resource,$D32,'Critical resources (hide)'!BG$6:BG$105)+SUMIF(Capacity_Resource,$E32,'Critical resources (hide)'!BG$6:BG$105)+SUMIF(Capacity_Resource,$F32,'Critical resources (hide)'!BG$6:BG$105)&gt;0,$E$1=2),0,1)</f>
        <v>1</v>
      </c>
      <c r="AU32" s="67">
        <f ca="1">IF(AND(SUMIF(Capacity_Resource,$D32,'Critical resources (hide)'!BH$6:BH$105)+SUMIF(Capacity_Resource,$E32,'Critical resources (hide)'!BH$6:BH$105)+SUMIF(Capacity_Resource,$F32,'Critical resources (hide)'!BH$6:BH$105)&gt;0,$E$1=2),0,1)</f>
        <v>1</v>
      </c>
      <c r="AV32" s="67">
        <f ca="1">IF(AND(SUMIF(Capacity_Resource,$D32,'Critical resources (hide)'!BI$6:BI$105)+SUMIF(Capacity_Resource,$E32,'Critical resources (hide)'!BI$6:BI$105)+SUMIF(Capacity_Resource,$F32,'Critical resources (hide)'!BI$6:BI$105)&gt;0,$E$1=2),0,1)</f>
        <v>1</v>
      </c>
      <c r="AW32" s="67">
        <f ca="1">IF(AND(SUMIF(Capacity_Resource,$D32,'Critical resources (hide)'!BJ$6:BJ$105)+SUMIF(Capacity_Resource,$E32,'Critical resources (hide)'!BJ$6:BJ$105)+SUMIF(Capacity_Resource,$F32,'Critical resources (hide)'!BJ$6:BJ$105)&gt;0,$E$1=2),0,1)</f>
        <v>1</v>
      </c>
      <c r="AX32" s="67">
        <f ca="1">IF(AND(SUMIF(Capacity_Resource,$D32,'Critical resources (hide)'!BK$6:BK$105)+SUMIF(Capacity_Resource,$E32,'Critical resources (hide)'!BK$6:BK$105)+SUMIF(Capacity_Resource,$F32,'Critical resources (hide)'!BK$6:BK$105)&gt;0,$E$1=2),0,1)</f>
        <v>1</v>
      </c>
      <c r="AY32" s="67">
        <f ca="1">IF(AND(SUMIF(Capacity_Resource,$D32,'Critical resources (hide)'!BL$6:BL$105)+SUMIF(Capacity_Resource,$E32,'Critical resources (hide)'!BL$6:BL$105)+SUMIF(Capacity_Resource,$F32,'Critical resources (hide)'!BL$6:BL$105)&gt;0,$E$1=2),0,1)</f>
        <v>1</v>
      </c>
      <c r="AZ32" s="67">
        <f ca="1">IF(AND(SUMIF(Capacity_Resource,$D32,'Critical resources (hide)'!BM$6:BM$105)+SUMIF(Capacity_Resource,$E32,'Critical resources (hide)'!BM$6:BM$105)+SUMIF(Capacity_Resource,$F32,'Critical resources (hide)'!BM$6:BM$105)&gt;0,$E$1=2),0,1)</f>
        <v>1</v>
      </c>
      <c r="BA32" s="67">
        <f ca="1">IF(AND(SUMIF(Capacity_Resource,$D32,'Critical resources (hide)'!BN$6:BN$105)+SUMIF(Capacity_Resource,$E32,'Critical resources (hide)'!BN$6:BN$105)+SUMIF(Capacity_Resource,$F32,'Critical resources (hide)'!BN$6:BN$105)&gt;0,$E$1=2),0,1)</f>
        <v>1</v>
      </c>
      <c r="BB32" s="67">
        <f ca="1">IF(AND(SUMIF(Capacity_Resource,$D32,'Critical resources (hide)'!BO$6:BO$105)+SUMIF(Capacity_Resource,$E32,'Critical resources (hide)'!BO$6:BO$105)+SUMIF(Capacity_Resource,$F32,'Critical resources (hide)'!BO$6:BO$105)&gt;0,$E$1=2),0,1)</f>
        <v>1</v>
      </c>
      <c r="BC32" s="67">
        <f ca="1">IF(AND(SUMIF(Capacity_Resource,$D32,'Critical resources (hide)'!BP$6:BP$105)+SUMIF(Capacity_Resource,$E32,'Critical resources (hide)'!BP$6:BP$105)+SUMIF(Capacity_Resource,$F32,'Critical resources (hide)'!BP$6:BP$105)&gt;0,$E$1=2),0,1)</f>
        <v>1</v>
      </c>
      <c r="BD32" s="67">
        <f ca="1">IF(AND(SUMIF(Capacity_Resource,$D32,'Critical resources (hide)'!BQ$6:BQ$105)+SUMIF(Capacity_Resource,$E32,'Critical resources (hide)'!BQ$6:BQ$105)+SUMIF(Capacity_Resource,$F32,'Critical resources (hide)'!BQ$6:BQ$105)&gt;0,$E$1=2),0,1)</f>
        <v>1</v>
      </c>
      <c r="BE32" s="67">
        <f ca="1">IF(AND(SUMIF(Capacity_Resource,$D32,'Critical resources (hide)'!BR$6:BR$105)+SUMIF(Capacity_Resource,$E32,'Critical resources (hide)'!BR$6:BR$105)+SUMIF(Capacity_Resource,$F32,'Critical resources (hide)'!BR$6:BR$105)&gt;0,$E$1=2),0,1)</f>
        <v>1</v>
      </c>
      <c r="BF32" s="67">
        <f ca="1">IF(AND(SUMIF(Capacity_Resource,$D32,'Critical resources (hide)'!BS$6:BS$105)+SUMIF(Capacity_Resource,$E32,'Critical resources (hide)'!BS$6:BS$105)+SUMIF(Capacity_Resource,$F32,'Critical resources (hide)'!BS$6:BS$105)&gt;0,$E$1=2),0,1)</f>
        <v>1</v>
      </c>
      <c r="BG32" s="67">
        <f ca="1">IF(AND(SUMIF(Capacity_Resource,$D32,'Critical resources (hide)'!BT$6:BT$105)+SUMIF(Capacity_Resource,$E32,'Critical resources (hide)'!BT$6:BT$105)+SUMIF(Capacity_Resource,$F32,'Critical resources (hide)'!BT$6:BT$105)&gt;0,$E$1=2),0,1)</f>
        <v>1</v>
      </c>
      <c r="BH32" s="67">
        <f>IF(ROW(C28)&lt;=Capacity!$A$16,IF('Capacity summary'!$D$14="No",SUM(H32:BG32),'Capacity summary'!$E151),0)</f>
        <v>0</v>
      </c>
      <c r="BI32" s="5" t="str">
        <f>IF(BH32&gt;0,IF(BH32&lt;Capacity!E44,Capacity!F44,Capacity!H44/'Capacity calculation (hide)'!BH32),"")</f>
        <v/>
      </c>
      <c r="BK32" s="313">
        <f>IF($BI32&lt;&gt;"",IF('Capacity summary'!$D$14="Yes",IF(COUNTBLANK('Capacity summary'!$H151:$BG151)&lt;52,IF('Capacity summary'!H151&lt;&gt;"",IF(LOWER('Capacity summary'!H151)="x",$BI32*H32,VALUE('Capacity summary'!H151)),0),H32*$BI32),H32*$BI32),0)</f>
        <v>0</v>
      </c>
      <c r="BL32" s="313">
        <f>IF($BI32&lt;&gt;"",IF('Capacity summary'!$D$14="Yes",IF(COUNTBLANK('Capacity summary'!$H151:$BG151)&lt;52,IF('Capacity summary'!I151&lt;&gt;"",IF(LOWER('Capacity summary'!I151)="x",$BI32*I32,VALUE('Capacity summary'!I151)),0),I32*$BI32),I32*$BI32),0)</f>
        <v>0</v>
      </c>
      <c r="BM32" s="313">
        <f>IF($BI32&lt;&gt;"",IF('Capacity summary'!$D$14="Yes",IF(COUNTBLANK('Capacity summary'!$H151:$BG151)&lt;52,IF('Capacity summary'!J151&lt;&gt;"",IF(LOWER('Capacity summary'!J151)="x",$BI32*J32,VALUE('Capacity summary'!J151)),0),J32*$BI32),J32*$BI32),0)</f>
        <v>0</v>
      </c>
      <c r="BN32" s="313">
        <f>IF($BI32&lt;&gt;"",IF('Capacity summary'!$D$14="Yes",IF(COUNTBLANK('Capacity summary'!$H151:$BG151)&lt;52,IF('Capacity summary'!K151&lt;&gt;"",IF(LOWER('Capacity summary'!K151)="x",$BI32*K32,VALUE('Capacity summary'!K151)),0),K32*$BI32),K32*$BI32),0)</f>
        <v>0</v>
      </c>
      <c r="BO32" s="313">
        <f>IF($BI32&lt;&gt;"",IF('Capacity summary'!$D$14="Yes",IF(COUNTBLANK('Capacity summary'!$H151:$BG151)&lt;52,IF('Capacity summary'!L151&lt;&gt;"",IF(LOWER('Capacity summary'!L151)="x",$BI32*L32,VALUE('Capacity summary'!L151)),0),L32*$BI32),L32*$BI32),0)</f>
        <v>0</v>
      </c>
      <c r="BP32" s="313">
        <f>IF($BI32&lt;&gt;"",IF('Capacity summary'!$D$14="Yes",IF(COUNTBLANK('Capacity summary'!$H151:$BG151)&lt;52,IF('Capacity summary'!M151&lt;&gt;"",IF(LOWER('Capacity summary'!M151)="x",$BI32*M32,VALUE('Capacity summary'!M151)),0),M32*$BI32),M32*$BI32),0)</f>
        <v>0</v>
      </c>
      <c r="BQ32" s="313">
        <f>IF($BI32&lt;&gt;"",IF('Capacity summary'!$D$14="Yes",IF(COUNTBLANK('Capacity summary'!$H151:$BG151)&lt;52,IF('Capacity summary'!N151&lt;&gt;"",IF(LOWER('Capacity summary'!N151)="x",$BI32*N32,VALUE('Capacity summary'!N151)),0),N32*$BI32),N32*$BI32),0)</f>
        <v>0</v>
      </c>
      <c r="BR32" s="313">
        <f>IF($BI32&lt;&gt;"",IF('Capacity summary'!$D$14="Yes",IF(COUNTBLANK('Capacity summary'!$H151:$BG151)&lt;52,IF('Capacity summary'!O151&lt;&gt;"",IF(LOWER('Capacity summary'!O151)="x",$BI32*O32,VALUE('Capacity summary'!O151)),0),O32*$BI32),O32*$BI32),0)</f>
        <v>0</v>
      </c>
      <c r="BS32" s="313">
        <f>IF($BI32&lt;&gt;"",IF('Capacity summary'!$D$14="Yes",IF(COUNTBLANK('Capacity summary'!$H151:$BG151)&lt;52,IF('Capacity summary'!P151&lt;&gt;"",IF(LOWER('Capacity summary'!P151)="x",$BI32*P32,VALUE('Capacity summary'!P151)),0),P32*$BI32),P32*$BI32),0)</f>
        <v>0</v>
      </c>
      <c r="BT32" s="313">
        <f>IF($BI32&lt;&gt;"",IF('Capacity summary'!$D$14="Yes",IF(COUNTBLANK('Capacity summary'!$H151:$BG151)&lt;52,IF('Capacity summary'!Q151&lt;&gt;"",IF(LOWER('Capacity summary'!Q151)="x",$BI32*Q32,VALUE('Capacity summary'!Q151)),0),Q32*$BI32),Q32*$BI32),0)</f>
        <v>0</v>
      </c>
      <c r="BU32" s="313">
        <f>IF($BI32&lt;&gt;"",IF('Capacity summary'!$D$14="Yes",IF(COUNTBLANK('Capacity summary'!$H151:$BG151)&lt;52,IF('Capacity summary'!R151&lt;&gt;"",IF(LOWER('Capacity summary'!R151)="x",$BI32*R32,VALUE('Capacity summary'!R151)),0),R32*$BI32),R32*$BI32),0)</f>
        <v>0</v>
      </c>
      <c r="BV32" s="313">
        <f>IF($BI32&lt;&gt;"",IF('Capacity summary'!$D$14="Yes",IF(COUNTBLANK('Capacity summary'!$H151:$BG151)&lt;52,IF('Capacity summary'!S151&lt;&gt;"",IF(LOWER('Capacity summary'!S151)="x",$BI32*S32,VALUE('Capacity summary'!S151)),0),S32*$BI32),S32*$BI32),0)</f>
        <v>0</v>
      </c>
      <c r="BW32" s="313">
        <f>IF($BI32&lt;&gt;"",IF('Capacity summary'!$D$14="Yes",IF(COUNTBLANK('Capacity summary'!$H151:$BG151)&lt;52,IF('Capacity summary'!T151&lt;&gt;"",IF(LOWER('Capacity summary'!T151)="x",$BI32*T32,VALUE('Capacity summary'!T151)),0),T32*$BI32),T32*$BI32),0)</f>
        <v>0</v>
      </c>
      <c r="BX32" s="313">
        <f>IF($BI32&lt;&gt;"",IF('Capacity summary'!$D$14="Yes",IF(COUNTBLANK('Capacity summary'!$H151:$BG151)&lt;52,IF('Capacity summary'!U151&lt;&gt;"",IF(LOWER('Capacity summary'!U151)="x",$BI32*U32,VALUE('Capacity summary'!U151)),0),U32*$BI32),U32*$BI32),0)</f>
        <v>0</v>
      </c>
      <c r="BY32" s="313">
        <f>IF($BI32&lt;&gt;"",IF('Capacity summary'!$D$14="Yes",IF(COUNTBLANK('Capacity summary'!$H151:$BG151)&lt;52,IF('Capacity summary'!V151&lt;&gt;"",IF(LOWER('Capacity summary'!V151)="x",$BI32*V32,VALUE('Capacity summary'!V151)),0),V32*$BI32),V32*$BI32),0)</f>
        <v>0</v>
      </c>
      <c r="BZ32" s="313">
        <f>IF($BI32&lt;&gt;"",IF('Capacity summary'!$D$14="Yes",IF(COUNTBLANK('Capacity summary'!$H151:$BG151)&lt;52,IF('Capacity summary'!W151&lt;&gt;"",IF(LOWER('Capacity summary'!W151)="x",$BI32*W32,VALUE('Capacity summary'!W151)),0),W32*$BI32),W32*$BI32),0)</f>
        <v>0</v>
      </c>
      <c r="CA32" s="313">
        <f>IF($BI32&lt;&gt;"",IF('Capacity summary'!$D$14="Yes",IF(COUNTBLANK('Capacity summary'!$H151:$BG151)&lt;52,IF('Capacity summary'!X151&lt;&gt;"",IF(LOWER('Capacity summary'!X151)="x",$BI32*X32,VALUE('Capacity summary'!X151)),0),X32*$BI32),X32*$BI32),0)</f>
        <v>0</v>
      </c>
      <c r="CB32" s="313">
        <f>IF($BI32&lt;&gt;"",IF('Capacity summary'!$D$14="Yes",IF(COUNTBLANK('Capacity summary'!$H151:$BG151)&lt;52,IF('Capacity summary'!Y151&lt;&gt;"",IF(LOWER('Capacity summary'!Y151)="x",$BI32*Y32,VALUE('Capacity summary'!Y151)),0),Y32*$BI32),Y32*$BI32),0)</f>
        <v>0</v>
      </c>
      <c r="CC32" s="313">
        <f>IF($BI32&lt;&gt;"",IF('Capacity summary'!$D$14="Yes",IF(COUNTBLANK('Capacity summary'!$H151:$BG151)&lt;52,IF('Capacity summary'!Z151&lt;&gt;"",IF(LOWER('Capacity summary'!Z151)="x",$BI32*Z32,VALUE('Capacity summary'!Z151)),0),Z32*$BI32),Z32*$BI32),0)</f>
        <v>0</v>
      </c>
      <c r="CD32" s="313">
        <f>IF($BI32&lt;&gt;"",IF('Capacity summary'!$D$14="Yes",IF(COUNTBLANK('Capacity summary'!$H151:$BG151)&lt;52,IF('Capacity summary'!AA151&lt;&gt;"",IF(LOWER('Capacity summary'!AA151)="x",$BI32*AA32,VALUE('Capacity summary'!AA151)),0),AA32*$BI32),AA32*$BI32),0)</f>
        <v>0</v>
      </c>
      <c r="CE32" s="313">
        <f>IF($BI32&lt;&gt;"",IF('Capacity summary'!$D$14="Yes",IF(COUNTBLANK('Capacity summary'!$H151:$BG151)&lt;52,IF('Capacity summary'!AB151&lt;&gt;"",IF(LOWER('Capacity summary'!AB151)="x",$BI32*AB32,VALUE('Capacity summary'!AB151)),0),AB32*$BI32),AB32*$BI32),0)</f>
        <v>0</v>
      </c>
      <c r="CF32" s="313">
        <f>IF($BI32&lt;&gt;"",IF('Capacity summary'!$D$14="Yes",IF(COUNTBLANK('Capacity summary'!$H151:$BG151)&lt;52,IF('Capacity summary'!AC151&lt;&gt;"",IF(LOWER('Capacity summary'!AC151)="x",$BI32*AC32,VALUE('Capacity summary'!AC151)),0),AC32*$BI32),AC32*$BI32),0)</f>
        <v>0</v>
      </c>
      <c r="CG32" s="313">
        <f>IF($BI32&lt;&gt;"",IF('Capacity summary'!$D$14="Yes",IF(COUNTBLANK('Capacity summary'!$H151:$BG151)&lt;52,IF('Capacity summary'!AD151&lt;&gt;"",IF(LOWER('Capacity summary'!AD151)="x",$BI32*AD32,VALUE('Capacity summary'!AD151)),0),AD32*$BI32),AD32*$BI32),0)</f>
        <v>0</v>
      </c>
      <c r="CH32" s="313">
        <f>IF($BI32&lt;&gt;"",IF('Capacity summary'!$D$14="Yes",IF(COUNTBLANK('Capacity summary'!$H151:$BG151)&lt;52,IF('Capacity summary'!AE151&lt;&gt;"",IF(LOWER('Capacity summary'!AE151)="x",$BI32*AE32,VALUE('Capacity summary'!AE151)),0),AE32*$BI32),AE32*$BI32),0)</f>
        <v>0</v>
      </c>
      <c r="CI32" s="313">
        <f>IF($BI32&lt;&gt;"",IF('Capacity summary'!$D$14="Yes",IF(COUNTBLANK('Capacity summary'!$H151:$BG151)&lt;52,IF('Capacity summary'!AF151&lt;&gt;"",IF(LOWER('Capacity summary'!AF151)="x",$BI32*AF32,VALUE('Capacity summary'!AF151)),0),AF32*$BI32),AF32*$BI32),0)</f>
        <v>0</v>
      </c>
      <c r="CJ32" s="313">
        <f>IF($BI32&lt;&gt;"",IF('Capacity summary'!$D$14="Yes",IF(COUNTBLANK('Capacity summary'!$H151:$BG151)&lt;52,IF('Capacity summary'!AG151&lt;&gt;"",IF(LOWER('Capacity summary'!AG151)="x",$BI32*AG32,VALUE('Capacity summary'!AG151)),0),AG32*$BI32),AG32*$BI32),0)</f>
        <v>0</v>
      </c>
      <c r="CK32" s="313">
        <f>IF($BI32&lt;&gt;"",IF('Capacity summary'!$D$14="Yes",IF(COUNTBLANK('Capacity summary'!$H151:$BG151)&lt;52,IF('Capacity summary'!AH151&lt;&gt;"",IF(LOWER('Capacity summary'!AH151)="x",$BI32*AH32,VALUE('Capacity summary'!AH151)),0),AH32*$BI32),AH32*$BI32),0)</f>
        <v>0</v>
      </c>
      <c r="CL32" s="313">
        <f>IF($BI32&lt;&gt;"",IF('Capacity summary'!$D$14="Yes",IF(COUNTBLANK('Capacity summary'!$H151:$BG151)&lt;52,IF('Capacity summary'!AI151&lt;&gt;"",IF(LOWER('Capacity summary'!AI151)="x",$BI32*AI32,VALUE('Capacity summary'!AI151)),0),AI32*$BI32),AI32*$BI32),0)</f>
        <v>0</v>
      </c>
      <c r="CM32" s="313">
        <f>IF($BI32&lt;&gt;"",IF('Capacity summary'!$D$14="Yes",IF(COUNTBLANK('Capacity summary'!$H151:$BG151)&lt;52,IF('Capacity summary'!AJ151&lt;&gt;"",IF(LOWER('Capacity summary'!AJ151)="x",$BI32*AJ32,VALUE('Capacity summary'!AJ151)),0),AJ32*$BI32),AJ32*$BI32),0)</f>
        <v>0</v>
      </c>
      <c r="CN32" s="313">
        <f>IF($BI32&lt;&gt;"",IF('Capacity summary'!$D$14="Yes",IF(COUNTBLANK('Capacity summary'!$H151:$BG151)&lt;52,IF('Capacity summary'!AK151&lt;&gt;"",IF(LOWER('Capacity summary'!AK151)="x",$BI32*AK32,VALUE('Capacity summary'!AK151)),0),AK32*$BI32),AK32*$BI32),0)</f>
        <v>0</v>
      </c>
      <c r="CO32" s="313">
        <f>IF($BI32&lt;&gt;"",IF('Capacity summary'!$D$14="Yes",IF(COUNTBLANK('Capacity summary'!$H151:$BG151)&lt;52,IF('Capacity summary'!AL151&lt;&gt;"",IF(LOWER('Capacity summary'!AL151)="x",$BI32*AL32,VALUE('Capacity summary'!AL151)),0),AL32*$BI32),AL32*$BI32),0)</f>
        <v>0</v>
      </c>
      <c r="CP32" s="313">
        <f>IF($BI32&lt;&gt;"",IF('Capacity summary'!$D$14="Yes",IF(COUNTBLANK('Capacity summary'!$H151:$BG151)&lt;52,IF('Capacity summary'!AM151&lt;&gt;"",IF(LOWER('Capacity summary'!AM151)="x",$BI32*AM32,VALUE('Capacity summary'!AM151)),0),AM32*$BI32),AM32*$BI32),0)</f>
        <v>0</v>
      </c>
      <c r="CQ32" s="313">
        <f>IF($BI32&lt;&gt;"",IF('Capacity summary'!$D$14="Yes",IF(COUNTBLANK('Capacity summary'!$H151:$BG151)&lt;52,IF('Capacity summary'!AN151&lt;&gt;"",IF(LOWER('Capacity summary'!AN151)="x",$BI32*AN32,VALUE('Capacity summary'!AN151)),0),AN32*$BI32),AN32*$BI32),0)</f>
        <v>0</v>
      </c>
      <c r="CR32" s="313">
        <f>IF($BI32&lt;&gt;"",IF('Capacity summary'!$D$14="Yes",IF(COUNTBLANK('Capacity summary'!$H151:$BG151)&lt;52,IF('Capacity summary'!AO151&lt;&gt;"",IF(LOWER('Capacity summary'!AO151)="x",$BI32*AO32,VALUE('Capacity summary'!AO151)),0),AO32*$BI32),AO32*$BI32),0)</f>
        <v>0</v>
      </c>
      <c r="CS32" s="313">
        <f>IF($BI32&lt;&gt;"",IF('Capacity summary'!$D$14="Yes",IF(COUNTBLANK('Capacity summary'!$H151:$BG151)&lt;52,IF('Capacity summary'!AP151&lt;&gt;"",IF(LOWER('Capacity summary'!AP151)="x",$BI32*AP32,VALUE('Capacity summary'!AP151)),0),AP32*$BI32),AP32*$BI32),0)</f>
        <v>0</v>
      </c>
      <c r="CT32" s="313">
        <f>IF($BI32&lt;&gt;"",IF('Capacity summary'!$D$14="Yes",IF(COUNTBLANK('Capacity summary'!$H151:$BG151)&lt;52,IF('Capacity summary'!AQ151&lt;&gt;"",IF(LOWER('Capacity summary'!AQ151)="x",$BI32*AQ32,VALUE('Capacity summary'!AQ151)),0),AQ32*$BI32),AQ32*$BI32),0)</f>
        <v>0</v>
      </c>
      <c r="CU32" s="313">
        <f>IF($BI32&lt;&gt;"",IF('Capacity summary'!$D$14="Yes",IF(COUNTBLANK('Capacity summary'!$H151:$BG151)&lt;52,IF('Capacity summary'!AR151&lt;&gt;"",IF(LOWER('Capacity summary'!AR151)="x",$BI32*AR32,VALUE('Capacity summary'!AR151)),0),AR32*$BI32),AR32*$BI32),0)</f>
        <v>0</v>
      </c>
      <c r="CV32" s="313">
        <f>IF($BI32&lt;&gt;"",IF('Capacity summary'!$D$14="Yes",IF(COUNTBLANK('Capacity summary'!$H151:$BG151)&lt;52,IF('Capacity summary'!AS151&lt;&gt;"",IF(LOWER('Capacity summary'!AS151)="x",$BI32*AS32,VALUE('Capacity summary'!AS151)),0),AS32*$BI32),AS32*$BI32),0)</f>
        <v>0</v>
      </c>
      <c r="CW32" s="313">
        <f>IF($BI32&lt;&gt;"",IF('Capacity summary'!$D$14="Yes",IF(COUNTBLANK('Capacity summary'!$H151:$BG151)&lt;52,IF('Capacity summary'!AT151&lt;&gt;"",IF(LOWER('Capacity summary'!AT151)="x",$BI32*AT32,VALUE('Capacity summary'!AT151)),0),AT32*$BI32),AT32*$BI32),0)</f>
        <v>0</v>
      </c>
      <c r="CX32" s="313">
        <f>IF($BI32&lt;&gt;"",IF('Capacity summary'!$D$14="Yes",IF(COUNTBLANK('Capacity summary'!$H151:$BG151)&lt;52,IF('Capacity summary'!AU151&lt;&gt;"",IF(LOWER('Capacity summary'!AU151)="x",$BI32*AU32,VALUE('Capacity summary'!AU151)),0),AU32*$BI32),AU32*$BI32),0)</f>
        <v>0</v>
      </c>
      <c r="CY32" s="313">
        <f>IF($BI32&lt;&gt;"",IF('Capacity summary'!$D$14="Yes",IF(COUNTBLANK('Capacity summary'!$H151:$BG151)&lt;52,IF('Capacity summary'!AV151&lt;&gt;"",IF(LOWER('Capacity summary'!AV151)="x",$BI32*AV32,VALUE('Capacity summary'!AV151)),0),AV32*$BI32),AV32*$BI32),0)</f>
        <v>0</v>
      </c>
      <c r="CZ32" s="313">
        <f>IF($BI32&lt;&gt;"",IF('Capacity summary'!$D$14="Yes",IF(COUNTBLANK('Capacity summary'!$H151:$BG151)&lt;52,IF('Capacity summary'!AW151&lt;&gt;"",IF(LOWER('Capacity summary'!AW151)="x",$BI32*AW32,VALUE('Capacity summary'!AW151)),0),AW32*$BI32),AW32*$BI32),0)</f>
        <v>0</v>
      </c>
      <c r="DA32" s="313">
        <f>IF($BI32&lt;&gt;"",IF('Capacity summary'!$D$14="Yes",IF(COUNTBLANK('Capacity summary'!$H151:$BG151)&lt;52,IF('Capacity summary'!AX151&lt;&gt;"",IF(LOWER('Capacity summary'!AX151)="x",$BI32*AX32,VALUE('Capacity summary'!AX151)),0),AX32*$BI32),AX32*$BI32),0)</f>
        <v>0</v>
      </c>
      <c r="DB32" s="313">
        <f>IF($BI32&lt;&gt;"",IF('Capacity summary'!$D$14="Yes",IF(COUNTBLANK('Capacity summary'!$H151:$BG151)&lt;52,IF('Capacity summary'!AY151&lt;&gt;"",IF(LOWER('Capacity summary'!AY151)="x",$BI32*AY32,VALUE('Capacity summary'!AY151)),0),AY32*$BI32),AY32*$BI32),0)</f>
        <v>0</v>
      </c>
      <c r="DC32" s="313">
        <f>IF($BI32&lt;&gt;"",IF('Capacity summary'!$D$14="Yes",IF(COUNTBLANK('Capacity summary'!$H151:$BG151)&lt;52,IF('Capacity summary'!AZ151&lt;&gt;"",IF(LOWER('Capacity summary'!AZ151)="x",$BI32*AZ32,VALUE('Capacity summary'!AZ151)),0),AZ32*$BI32),AZ32*$BI32),0)</f>
        <v>0</v>
      </c>
      <c r="DD32" s="313">
        <f>IF($BI32&lt;&gt;"",IF('Capacity summary'!$D$14="Yes",IF(COUNTBLANK('Capacity summary'!$H151:$BG151)&lt;52,IF('Capacity summary'!BA151&lt;&gt;"",IF(LOWER('Capacity summary'!BA151)="x",$BI32*BA32,VALUE('Capacity summary'!BA151)),0),BA32*$BI32),BA32*$BI32),0)</f>
        <v>0</v>
      </c>
      <c r="DE32" s="313">
        <f>IF($BI32&lt;&gt;"",IF('Capacity summary'!$D$14="Yes",IF(COUNTBLANK('Capacity summary'!$H151:$BG151)&lt;52,IF('Capacity summary'!BB151&lt;&gt;"",IF(LOWER('Capacity summary'!BB151)="x",$BI32*BB32,VALUE('Capacity summary'!BB151)),0),BB32*$BI32),BB32*$BI32),0)</f>
        <v>0</v>
      </c>
      <c r="DF32" s="313">
        <f>IF($BI32&lt;&gt;"",IF('Capacity summary'!$D$14="Yes",IF(COUNTBLANK('Capacity summary'!$H151:$BG151)&lt;52,IF('Capacity summary'!BC151&lt;&gt;"",IF(LOWER('Capacity summary'!BC151)="x",$BI32*BC32,VALUE('Capacity summary'!BC151)),0),BC32*$BI32),BC32*$BI32),0)</f>
        <v>0</v>
      </c>
      <c r="DG32" s="313">
        <f>IF($BI32&lt;&gt;"",IF('Capacity summary'!$D$14="Yes",IF(COUNTBLANK('Capacity summary'!$H151:$BG151)&lt;52,IF('Capacity summary'!BD151&lt;&gt;"",IF(LOWER('Capacity summary'!BD151)="x",$BI32*BD32,VALUE('Capacity summary'!BD151)),0),BD32*$BI32),BD32*$BI32),0)</f>
        <v>0</v>
      </c>
      <c r="DH32" s="313">
        <f>IF($BI32&lt;&gt;"",IF('Capacity summary'!$D$14="Yes",IF(COUNTBLANK('Capacity summary'!$H151:$BG151)&lt;52,IF('Capacity summary'!BE151&lt;&gt;"",IF(LOWER('Capacity summary'!BE151)="x",$BI32*BE32,VALUE('Capacity summary'!BE151)),0),BE32*$BI32),BE32*$BI32),0)</f>
        <v>0</v>
      </c>
      <c r="DI32" s="313">
        <f>IF($BI32&lt;&gt;"",IF('Capacity summary'!$D$14="Yes",IF(COUNTBLANK('Capacity summary'!$H151:$BG151)&lt;52,IF('Capacity summary'!BF151&lt;&gt;"",IF(LOWER('Capacity summary'!BF151)="x",$BI32*BF32,VALUE('Capacity summary'!BF151)),0),BF32*$BI32),BF32*$BI32),0)</f>
        <v>0</v>
      </c>
      <c r="DJ32" s="313">
        <f>IF($BI32&lt;&gt;"",IF('Capacity summary'!$D$14="Yes",IF(COUNTBLANK('Capacity summary'!$H151:$BG151)&lt;52,IF('Capacity summary'!BG151&lt;&gt;"",IF(LOWER('Capacity summary'!BG151)="x",$BI32*BG32,VALUE('Capacity summary'!BG151)),0),BG32*$BI32),BG32*$BI32),0)</f>
        <v>0</v>
      </c>
      <c r="DK32" s="137">
        <f t="shared" si="2"/>
        <v>0</v>
      </c>
      <c r="DL32" s="313" t="str">
        <f>Capacity!H44</f>
        <v/>
      </c>
      <c r="DP32" s="5"/>
    </row>
    <row r="33" spans="2:120" x14ac:dyDescent="0.25">
      <c r="B33" s="67"/>
      <c r="C33" s="67" t="str">
        <f>ROW(A29)&amp;". "&amp;Capacity!B45</f>
        <v xml:space="preserve">29. </v>
      </c>
      <c r="D33" s="67">
        <f>'Capacity setup'!C40</f>
        <v>0</v>
      </c>
      <c r="E33" s="67">
        <f>'Capacity setup'!D40</f>
        <v>0</v>
      </c>
      <c r="F33" s="67">
        <f>'Capacity setup'!E40</f>
        <v>0</v>
      </c>
      <c r="H33" s="67">
        <f ca="1">IF(AND(SUMIF(Capacity_Resource,$D33,'Critical resources (hide)'!U$6:U$105)+SUMIF(Capacity_Resource,$E33,'Critical resources (hide)'!U$6:U$105)+SUMIF(Capacity_Resource,$F33,'Critical resources (hide)'!U$6:U$105)&gt;0,$E$1=2),0,1)</f>
        <v>1</v>
      </c>
      <c r="I33" s="67">
        <f ca="1">IF(AND(SUMIF(Capacity_Resource,$D33,'Critical resources (hide)'!V$6:V$105)+SUMIF(Capacity_Resource,$E33,'Critical resources (hide)'!V$6:V$105)+SUMIF(Capacity_Resource,$F33,'Critical resources (hide)'!V$6:V$105)&gt;0,$E$1=2),0,1)</f>
        <v>1</v>
      </c>
      <c r="J33" s="67">
        <f ca="1">IF(AND(SUMIF(Capacity_Resource,$D33,'Critical resources (hide)'!W$6:W$105)+SUMIF(Capacity_Resource,$E33,'Critical resources (hide)'!W$6:W$105)+SUMIF(Capacity_Resource,$F33,'Critical resources (hide)'!W$6:W$105)&gt;0,$E$1=2),0,1)</f>
        <v>1</v>
      </c>
      <c r="K33" s="67">
        <f ca="1">IF(AND(SUMIF(Capacity_Resource,$D33,'Critical resources (hide)'!X$6:X$105)+SUMIF(Capacity_Resource,$E33,'Critical resources (hide)'!X$6:X$105)+SUMIF(Capacity_Resource,$F33,'Critical resources (hide)'!X$6:X$105)&gt;0,$E$1=2),0,1)</f>
        <v>1</v>
      </c>
      <c r="L33" s="67">
        <f ca="1">IF(AND(SUMIF(Capacity_Resource,$D33,'Critical resources (hide)'!Y$6:Y$105)+SUMIF(Capacity_Resource,$E33,'Critical resources (hide)'!Y$6:Y$105)+SUMIF(Capacity_Resource,$F33,'Critical resources (hide)'!Y$6:Y$105)&gt;0,$E$1=2),0,1)</f>
        <v>1</v>
      </c>
      <c r="M33" s="67">
        <f ca="1">IF(AND(SUMIF(Capacity_Resource,$D33,'Critical resources (hide)'!Z$6:Z$105)+SUMIF(Capacity_Resource,$E33,'Critical resources (hide)'!Z$6:Z$105)+SUMIF(Capacity_Resource,$F33,'Critical resources (hide)'!Z$6:Z$105)&gt;0,$E$1=2),0,1)</f>
        <v>1</v>
      </c>
      <c r="N33" s="67">
        <f ca="1">IF(AND(SUMIF(Capacity_Resource,$D33,'Critical resources (hide)'!AA$6:AA$105)+SUMIF(Capacity_Resource,$E33,'Critical resources (hide)'!AA$6:AA$105)+SUMIF(Capacity_Resource,$F33,'Critical resources (hide)'!AA$6:AA$105)&gt;0,$E$1=2),0,1)</f>
        <v>1</v>
      </c>
      <c r="O33" s="67">
        <f ca="1">IF(AND(SUMIF(Capacity_Resource,$D33,'Critical resources (hide)'!AB$6:AB$105)+SUMIF(Capacity_Resource,$E33,'Critical resources (hide)'!AB$6:AB$105)+SUMIF(Capacity_Resource,$F33,'Critical resources (hide)'!AB$6:AB$105)&gt;0,$E$1=2),0,1)</f>
        <v>1</v>
      </c>
      <c r="P33" s="67">
        <f ca="1">IF(AND(SUMIF(Capacity_Resource,$D33,'Critical resources (hide)'!AC$6:AC$105)+SUMIF(Capacity_Resource,$E33,'Critical resources (hide)'!AC$6:AC$105)+SUMIF(Capacity_Resource,$F33,'Critical resources (hide)'!AC$6:AC$105)&gt;0,$E$1=2),0,1)</f>
        <v>1</v>
      </c>
      <c r="Q33" s="67">
        <f ca="1">IF(AND(SUMIF(Capacity_Resource,$D33,'Critical resources (hide)'!AD$6:AD$105)+SUMIF(Capacity_Resource,$E33,'Critical resources (hide)'!AD$6:AD$105)+SUMIF(Capacity_Resource,$F33,'Critical resources (hide)'!AD$6:AD$105)&gt;0,$E$1=2),0,1)</f>
        <v>1</v>
      </c>
      <c r="R33" s="67">
        <f ca="1">IF(AND(SUMIF(Capacity_Resource,$D33,'Critical resources (hide)'!AE$6:AE$105)+SUMIF(Capacity_Resource,$E33,'Critical resources (hide)'!AE$6:AE$105)+SUMIF(Capacity_Resource,$F33,'Critical resources (hide)'!AE$6:AE$105)&gt;0,$E$1=2),0,1)</f>
        <v>1</v>
      </c>
      <c r="S33" s="67">
        <f ca="1">IF(AND(SUMIF(Capacity_Resource,$D33,'Critical resources (hide)'!AF$6:AF$105)+SUMIF(Capacity_Resource,$E33,'Critical resources (hide)'!AF$6:AF$105)+SUMIF(Capacity_Resource,$F33,'Critical resources (hide)'!AF$6:AF$105)&gt;0,$E$1=2),0,1)</f>
        <v>1</v>
      </c>
      <c r="T33" s="67">
        <f ca="1">IF(AND(SUMIF(Capacity_Resource,$D33,'Critical resources (hide)'!AG$6:AG$105)+SUMIF(Capacity_Resource,$E33,'Critical resources (hide)'!AG$6:AG$105)+SUMIF(Capacity_Resource,$F33,'Critical resources (hide)'!AG$6:AG$105)&gt;0,$E$1=2),0,1)</f>
        <v>1</v>
      </c>
      <c r="U33" s="67">
        <f ca="1">IF(AND(SUMIF(Capacity_Resource,$D33,'Critical resources (hide)'!AH$6:AH$105)+SUMIF(Capacity_Resource,$E33,'Critical resources (hide)'!AH$6:AH$105)+SUMIF(Capacity_Resource,$F33,'Critical resources (hide)'!AH$6:AH$105)&gt;0,$E$1=2),0,1)</f>
        <v>1</v>
      </c>
      <c r="V33" s="67">
        <f ca="1">IF(AND(SUMIF(Capacity_Resource,$D33,'Critical resources (hide)'!AI$6:AI$105)+SUMIF(Capacity_Resource,$E33,'Critical resources (hide)'!AI$6:AI$105)+SUMIF(Capacity_Resource,$F33,'Critical resources (hide)'!AI$6:AI$105)&gt;0,$E$1=2),0,1)</f>
        <v>1</v>
      </c>
      <c r="W33" s="67">
        <f ca="1">IF(AND(SUMIF(Capacity_Resource,$D33,'Critical resources (hide)'!AJ$6:AJ$105)+SUMIF(Capacity_Resource,$E33,'Critical resources (hide)'!AJ$6:AJ$105)+SUMIF(Capacity_Resource,$F33,'Critical resources (hide)'!AJ$6:AJ$105)&gt;0,$E$1=2),0,1)</f>
        <v>1</v>
      </c>
      <c r="X33" s="67">
        <f ca="1">IF(AND(SUMIF(Capacity_Resource,$D33,'Critical resources (hide)'!AK$6:AK$105)+SUMIF(Capacity_Resource,$E33,'Critical resources (hide)'!AK$6:AK$105)+SUMIF(Capacity_Resource,$F33,'Critical resources (hide)'!AK$6:AK$105)&gt;0,$E$1=2),0,1)</f>
        <v>1</v>
      </c>
      <c r="Y33" s="67">
        <f ca="1">IF(AND(SUMIF(Capacity_Resource,$D33,'Critical resources (hide)'!AL$6:AL$105)+SUMIF(Capacity_Resource,$E33,'Critical resources (hide)'!AL$6:AL$105)+SUMIF(Capacity_Resource,$F33,'Critical resources (hide)'!AL$6:AL$105)&gt;0,$E$1=2),0,1)</f>
        <v>1</v>
      </c>
      <c r="Z33" s="67">
        <f ca="1">IF(AND(SUMIF(Capacity_Resource,$D33,'Critical resources (hide)'!AM$6:AM$105)+SUMIF(Capacity_Resource,$E33,'Critical resources (hide)'!AM$6:AM$105)+SUMIF(Capacity_Resource,$F33,'Critical resources (hide)'!AM$6:AM$105)&gt;0,$E$1=2),0,1)</f>
        <v>1</v>
      </c>
      <c r="AA33" s="67">
        <f ca="1">IF(AND(SUMIF(Capacity_Resource,$D33,'Critical resources (hide)'!AN$6:AN$105)+SUMIF(Capacity_Resource,$E33,'Critical resources (hide)'!AN$6:AN$105)+SUMIF(Capacity_Resource,$F33,'Critical resources (hide)'!AN$6:AN$105)&gt;0,$E$1=2),0,1)</f>
        <v>1</v>
      </c>
      <c r="AB33" s="67">
        <f ca="1">IF(AND(SUMIF(Capacity_Resource,$D33,'Critical resources (hide)'!AO$6:AO$105)+SUMIF(Capacity_Resource,$E33,'Critical resources (hide)'!AO$6:AO$105)+SUMIF(Capacity_Resource,$F33,'Critical resources (hide)'!AO$6:AO$105)&gt;0,$E$1=2),0,1)</f>
        <v>1</v>
      </c>
      <c r="AC33" s="67">
        <f ca="1">IF(AND(SUMIF(Capacity_Resource,$D33,'Critical resources (hide)'!AP$6:AP$105)+SUMIF(Capacity_Resource,$E33,'Critical resources (hide)'!AP$6:AP$105)+SUMIF(Capacity_Resource,$F33,'Critical resources (hide)'!AP$6:AP$105)&gt;0,$E$1=2),0,1)</f>
        <v>1</v>
      </c>
      <c r="AD33" s="67">
        <f ca="1">IF(AND(SUMIF(Capacity_Resource,$D33,'Critical resources (hide)'!AQ$6:AQ$105)+SUMIF(Capacity_Resource,$E33,'Critical resources (hide)'!AQ$6:AQ$105)+SUMIF(Capacity_Resource,$F33,'Critical resources (hide)'!AQ$6:AQ$105)&gt;0,$E$1=2),0,1)</f>
        <v>1</v>
      </c>
      <c r="AE33" s="67">
        <f ca="1">IF(AND(SUMIF(Capacity_Resource,$D33,'Critical resources (hide)'!AR$6:AR$105)+SUMIF(Capacity_Resource,$E33,'Critical resources (hide)'!AR$6:AR$105)+SUMIF(Capacity_Resource,$F33,'Critical resources (hide)'!AR$6:AR$105)&gt;0,$E$1=2),0,1)</f>
        <v>1</v>
      </c>
      <c r="AF33" s="67">
        <f ca="1">IF(AND(SUMIF(Capacity_Resource,$D33,'Critical resources (hide)'!AS$6:AS$105)+SUMIF(Capacity_Resource,$E33,'Critical resources (hide)'!AS$6:AS$105)+SUMIF(Capacity_Resource,$F33,'Critical resources (hide)'!AS$6:AS$105)&gt;0,$E$1=2),0,1)</f>
        <v>1</v>
      </c>
      <c r="AG33" s="67">
        <f ca="1">IF(AND(SUMIF(Capacity_Resource,$D33,'Critical resources (hide)'!AT$6:AT$105)+SUMIF(Capacity_Resource,$E33,'Critical resources (hide)'!AT$6:AT$105)+SUMIF(Capacity_Resource,$F33,'Critical resources (hide)'!AT$6:AT$105)&gt;0,$E$1=2),0,1)</f>
        <v>1</v>
      </c>
      <c r="AH33" s="67">
        <f ca="1">IF(AND(SUMIF(Capacity_Resource,$D33,'Critical resources (hide)'!AU$6:AU$105)+SUMIF(Capacity_Resource,$E33,'Critical resources (hide)'!AU$6:AU$105)+SUMIF(Capacity_Resource,$F33,'Critical resources (hide)'!AU$6:AU$105)&gt;0,$E$1=2),0,1)</f>
        <v>1</v>
      </c>
      <c r="AI33" s="67">
        <f ca="1">IF(AND(SUMIF(Capacity_Resource,$D33,'Critical resources (hide)'!AV$6:AV$105)+SUMIF(Capacity_Resource,$E33,'Critical resources (hide)'!AV$6:AV$105)+SUMIF(Capacity_Resource,$F33,'Critical resources (hide)'!AV$6:AV$105)&gt;0,$E$1=2),0,1)</f>
        <v>1</v>
      </c>
      <c r="AJ33" s="67">
        <f ca="1">IF(AND(SUMIF(Capacity_Resource,$D33,'Critical resources (hide)'!AW$6:AW$105)+SUMIF(Capacity_Resource,$E33,'Critical resources (hide)'!AW$6:AW$105)+SUMIF(Capacity_Resource,$F33,'Critical resources (hide)'!AW$6:AW$105)&gt;0,$E$1=2),0,1)</f>
        <v>1</v>
      </c>
      <c r="AK33" s="67">
        <f ca="1">IF(AND(SUMIF(Capacity_Resource,$D33,'Critical resources (hide)'!AX$6:AX$105)+SUMIF(Capacity_Resource,$E33,'Critical resources (hide)'!AX$6:AX$105)+SUMIF(Capacity_Resource,$F33,'Critical resources (hide)'!AX$6:AX$105)&gt;0,$E$1=2),0,1)</f>
        <v>1</v>
      </c>
      <c r="AL33" s="67">
        <f ca="1">IF(AND(SUMIF(Capacity_Resource,$D33,'Critical resources (hide)'!AY$6:AY$105)+SUMIF(Capacity_Resource,$E33,'Critical resources (hide)'!AY$6:AY$105)+SUMIF(Capacity_Resource,$F33,'Critical resources (hide)'!AY$6:AY$105)&gt;0,$E$1=2),0,1)</f>
        <v>1</v>
      </c>
      <c r="AM33" s="67">
        <f ca="1">IF(AND(SUMIF(Capacity_Resource,$D33,'Critical resources (hide)'!AZ$6:AZ$105)+SUMIF(Capacity_Resource,$E33,'Critical resources (hide)'!AZ$6:AZ$105)+SUMIF(Capacity_Resource,$F33,'Critical resources (hide)'!AZ$6:AZ$105)&gt;0,$E$1=2),0,1)</f>
        <v>1</v>
      </c>
      <c r="AN33" s="67">
        <f ca="1">IF(AND(SUMIF(Capacity_Resource,$D33,'Critical resources (hide)'!BA$6:BA$105)+SUMIF(Capacity_Resource,$E33,'Critical resources (hide)'!BA$6:BA$105)+SUMIF(Capacity_Resource,$F33,'Critical resources (hide)'!BA$6:BA$105)&gt;0,$E$1=2),0,1)</f>
        <v>1</v>
      </c>
      <c r="AO33" s="67">
        <f ca="1">IF(AND(SUMIF(Capacity_Resource,$D33,'Critical resources (hide)'!BB$6:BB$105)+SUMIF(Capacity_Resource,$E33,'Critical resources (hide)'!BB$6:BB$105)+SUMIF(Capacity_Resource,$F33,'Critical resources (hide)'!BB$6:BB$105)&gt;0,$E$1=2),0,1)</f>
        <v>1</v>
      </c>
      <c r="AP33" s="67">
        <f ca="1">IF(AND(SUMIF(Capacity_Resource,$D33,'Critical resources (hide)'!BC$6:BC$105)+SUMIF(Capacity_Resource,$E33,'Critical resources (hide)'!BC$6:BC$105)+SUMIF(Capacity_Resource,$F33,'Critical resources (hide)'!BC$6:BC$105)&gt;0,$E$1=2),0,1)</f>
        <v>1</v>
      </c>
      <c r="AQ33" s="67">
        <f ca="1">IF(AND(SUMIF(Capacity_Resource,$D33,'Critical resources (hide)'!BD$6:BD$105)+SUMIF(Capacity_Resource,$E33,'Critical resources (hide)'!BD$6:BD$105)+SUMIF(Capacity_Resource,$F33,'Critical resources (hide)'!BD$6:BD$105)&gt;0,$E$1=2),0,1)</f>
        <v>1</v>
      </c>
      <c r="AR33" s="67">
        <f ca="1">IF(AND(SUMIF(Capacity_Resource,$D33,'Critical resources (hide)'!BE$6:BE$105)+SUMIF(Capacity_Resource,$E33,'Critical resources (hide)'!BE$6:BE$105)+SUMIF(Capacity_Resource,$F33,'Critical resources (hide)'!BE$6:BE$105)&gt;0,$E$1=2),0,1)</f>
        <v>1</v>
      </c>
      <c r="AS33" s="67">
        <f ca="1">IF(AND(SUMIF(Capacity_Resource,$D33,'Critical resources (hide)'!BF$6:BF$105)+SUMIF(Capacity_Resource,$E33,'Critical resources (hide)'!BF$6:BF$105)+SUMIF(Capacity_Resource,$F33,'Critical resources (hide)'!BF$6:BF$105)&gt;0,$E$1=2),0,1)</f>
        <v>1</v>
      </c>
      <c r="AT33" s="67">
        <f ca="1">IF(AND(SUMIF(Capacity_Resource,$D33,'Critical resources (hide)'!BG$6:BG$105)+SUMIF(Capacity_Resource,$E33,'Critical resources (hide)'!BG$6:BG$105)+SUMIF(Capacity_Resource,$F33,'Critical resources (hide)'!BG$6:BG$105)&gt;0,$E$1=2),0,1)</f>
        <v>1</v>
      </c>
      <c r="AU33" s="67">
        <f ca="1">IF(AND(SUMIF(Capacity_Resource,$D33,'Critical resources (hide)'!BH$6:BH$105)+SUMIF(Capacity_Resource,$E33,'Critical resources (hide)'!BH$6:BH$105)+SUMIF(Capacity_Resource,$F33,'Critical resources (hide)'!BH$6:BH$105)&gt;0,$E$1=2),0,1)</f>
        <v>1</v>
      </c>
      <c r="AV33" s="67">
        <f ca="1">IF(AND(SUMIF(Capacity_Resource,$D33,'Critical resources (hide)'!BI$6:BI$105)+SUMIF(Capacity_Resource,$E33,'Critical resources (hide)'!BI$6:BI$105)+SUMIF(Capacity_Resource,$F33,'Critical resources (hide)'!BI$6:BI$105)&gt;0,$E$1=2),0,1)</f>
        <v>1</v>
      </c>
      <c r="AW33" s="67">
        <f ca="1">IF(AND(SUMIF(Capacity_Resource,$D33,'Critical resources (hide)'!BJ$6:BJ$105)+SUMIF(Capacity_Resource,$E33,'Critical resources (hide)'!BJ$6:BJ$105)+SUMIF(Capacity_Resource,$F33,'Critical resources (hide)'!BJ$6:BJ$105)&gt;0,$E$1=2),0,1)</f>
        <v>1</v>
      </c>
      <c r="AX33" s="67">
        <f ca="1">IF(AND(SUMIF(Capacity_Resource,$D33,'Critical resources (hide)'!BK$6:BK$105)+SUMIF(Capacity_Resource,$E33,'Critical resources (hide)'!BK$6:BK$105)+SUMIF(Capacity_Resource,$F33,'Critical resources (hide)'!BK$6:BK$105)&gt;0,$E$1=2),0,1)</f>
        <v>1</v>
      </c>
      <c r="AY33" s="67">
        <f ca="1">IF(AND(SUMIF(Capacity_Resource,$D33,'Critical resources (hide)'!BL$6:BL$105)+SUMIF(Capacity_Resource,$E33,'Critical resources (hide)'!BL$6:BL$105)+SUMIF(Capacity_Resource,$F33,'Critical resources (hide)'!BL$6:BL$105)&gt;0,$E$1=2),0,1)</f>
        <v>1</v>
      </c>
      <c r="AZ33" s="67">
        <f ca="1">IF(AND(SUMIF(Capacity_Resource,$D33,'Critical resources (hide)'!BM$6:BM$105)+SUMIF(Capacity_Resource,$E33,'Critical resources (hide)'!BM$6:BM$105)+SUMIF(Capacity_Resource,$F33,'Critical resources (hide)'!BM$6:BM$105)&gt;0,$E$1=2),0,1)</f>
        <v>1</v>
      </c>
      <c r="BA33" s="67">
        <f ca="1">IF(AND(SUMIF(Capacity_Resource,$D33,'Critical resources (hide)'!BN$6:BN$105)+SUMIF(Capacity_Resource,$E33,'Critical resources (hide)'!BN$6:BN$105)+SUMIF(Capacity_Resource,$F33,'Critical resources (hide)'!BN$6:BN$105)&gt;0,$E$1=2),0,1)</f>
        <v>1</v>
      </c>
      <c r="BB33" s="67">
        <f ca="1">IF(AND(SUMIF(Capacity_Resource,$D33,'Critical resources (hide)'!BO$6:BO$105)+SUMIF(Capacity_Resource,$E33,'Critical resources (hide)'!BO$6:BO$105)+SUMIF(Capacity_Resource,$F33,'Critical resources (hide)'!BO$6:BO$105)&gt;0,$E$1=2),0,1)</f>
        <v>1</v>
      </c>
      <c r="BC33" s="67">
        <f ca="1">IF(AND(SUMIF(Capacity_Resource,$D33,'Critical resources (hide)'!BP$6:BP$105)+SUMIF(Capacity_Resource,$E33,'Critical resources (hide)'!BP$6:BP$105)+SUMIF(Capacity_Resource,$F33,'Critical resources (hide)'!BP$6:BP$105)&gt;0,$E$1=2),0,1)</f>
        <v>1</v>
      </c>
      <c r="BD33" s="67">
        <f ca="1">IF(AND(SUMIF(Capacity_Resource,$D33,'Critical resources (hide)'!BQ$6:BQ$105)+SUMIF(Capacity_Resource,$E33,'Critical resources (hide)'!BQ$6:BQ$105)+SUMIF(Capacity_Resource,$F33,'Critical resources (hide)'!BQ$6:BQ$105)&gt;0,$E$1=2),0,1)</f>
        <v>1</v>
      </c>
      <c r="BE33" s="67">
        <f ca="1">IF(AND(SUMIF(Capacity_Resource,$D33,'Critical resources (hide)'!BR$6:BR$105)+SUMIF(Capacity_Resource,$E33,'Critical resources (hide)'!BR$6:BR$105)+SUMIF(Capacity_Resource,$F33,'Critical resources (hide)'!BR$6:BR$105)&gt;0,$E$1=2),0,1)</f>
        <v>1</v>
      </c>
      <c r="BF33" s="67">
        <f ca="1">IF(AND(SUMIF(Capacity_Resource,$D33,'Critical resources (hide)'!BS$6:BS$105)+SUMIF(Capacity_Resource,$E33,'Critical resources (hide)'!BS$6:BS$105)+SUMIF(Capacity_Resource,$F33,'Critical resources (hide)'!BS$6:BS$105)&gt;0,$E$1=2),0,1)</f>
        <v>1</v>
      </c>
      <c r="BG33" s="67">
        <f ca="1">IF(AND(SUMIF(Capacity_Resource,$D33,'Critical resources (hide)'!BT$6:BT$105)+SUMIF(Capacity_Resource,$E33,'Critical resources (hide)'!BT$6:BT$105)+SUMIF(Capacity_Resource,$F33,'Critical resources (hide)'!BT$6:BT$105)&gt;0,$E$1=2),0,1)</f>
        <v>1</v>
      </c>
      <c r="BH33" s="67">
        <f>IF(ROW(C29)&lt;=Capacity!$A$16,IF('Capacity summary'!$D$14="No",SUM(H33:BG33),'Capacity summary'!$E152),0)</f>
        <v>0</v>
      </c>
      <c r="BI33" s="5" t="str">
        <f>IF(BH33&gt;0,IF(BH33&lt;Capacity!E45,Capacity!F45,Capacity!H45/'Capacity calculation (hide)'!BH33),"")</f>
        <v/>
      </c>
      <c r="BK33" s="313">
        <f>IF($BI33&lt;&gt;"",IF('Capacity summary'!$D$14="Yes",IF(COUNTBLANK('Capacity summary'!$H152:$BG152)&lt;52,IF('Capacity summary'!H152&lt;&gt;"",IF(LOWER('Capacity summary'!H152)="x",$BI33*H33,VALUE('Capacity summary'!H152)),0),H33*$BI33),H33*$BI33),0)</f>
        <v>0</v>
      </c>
      <c r="BL33" s="313">
        <f>IF($BI33&lt;&gt;"",IF('Capacity summary'!$D$14="Yes",IF(COUNTBLANK('Capacity summary'!$H152:$BG152)&lt;52,IF('Capacity summary'!I152&lt;&gt;"",IF(LOWER('Capacity summary'!I152)="x",$BI33*I33,VALUE('Capacity summary'!I152)),0),I33*$BI33),I33*$BI33),0)</f>
        <v>0</v>
      </c>
      <c r="BM33" s="313">
        <f>IF($BI33&lt;&gt;"",IF('Capacity summary'!$D$14="Yes",IF(COUNTBLANK('Capacity summary'!$H152:$BG152)&lt;52,IF('Capacity summary'!J152&lt;&gt;"",IF(LOWER('Capacity summary'!J152)="x",$BI33*J33,VALUE('Capacity summary'!J152)),0),J33*$BI33),J33*$BI33),0)</f>
        <v>0</v>
      </c>
      <c r="BN33" s="313">
        <f>IF($BI33&lt;&gt;"",IF('Capacity summary'!$D$14="Yes",IF(COUNTBLANK('Capacity summary'!$H152:$BG152)&lt;52,IF('Capacity summary'!K152&lt;&gt;"",IF(LOWER('Capacity summary'!K152)="x",$BI33*K33,VALUE('Capacity summary'!K152)),0),K33*$BI33),K33*$BI33),0)</f>
        <v>0</v>
      </c>
      <c r="BO33" s="313">
        <f>IF($BI33&lt;&gt;"",IF('Capacity summary'!$D$14="Yes",IF(COUNTBLANK('Capacity summary'!$H152:$BG152)&lt;52,IF('Capacity summary'!L152&lt;&gt;"",IF(LOWER('Capacity summary'!L152)="x",$BI33*L33,VALUE('Capacity summary'!L152)),0),L33*$BI33),L33*$BI33),0)</f>
        <v>0</v>
      </c>
      <c r="BP33" s="313">
        <f>IF($BI33&lt;&gt;"",IF('Capacity summary'!$D$14="Yes",IF(COUNTBLANK('Capacity summary'!$H152:$BG152)&lt;52,IF('Capacity summary'!M152&lt;&gt;"",IF(LOWER('Capacity summary'!M152)="x",$BI33*M33,VALUE('Capacity summary'!M152)),0),M33*$BI33),M33*$BI33),0)</f>
        <v>0</v>
      </c>
      <c r="BQ33" s="313">
        <f>IF($BI33&lt;&gt;"",IF('Capacity summary'!$D$14="Yes",IF(COUNTBLANK('Capacity summary'!$H152:$BG152)&lt;52,IF('Capacity summary'!N152&lt;&gt;"",IF(LOWER('Capacity summary'!N152)="x",$BI33*N33,VALUE('Capacity summary'!N152)),0),N33*$BI33),N33*$BI33),0)</f>
        <v>0</v>
      </c>
      <c r="BR33" s="313">
        <f>IF($BI33&lt;&gt;"",IF('Capacity summary'!$D$14="Yes",IF(COUNTBLANK('Capacity summary'!$H152:$BG152)&lt;52,IF('Capacity summary'!O152&lt;&gt;"",IF(LOWER('Capacity summary'!O152)="x",$BI33*O33,VALUE('Capacity summary'!O152)),0),O33*$BI33),O33*$BI33),0)</f>
        <v>0</v>
      </c>
      <c r="BS33" s="313">
        <f>IF($BI33&lt;&gt;"",IF('Capacity summary'!$D$14="Yes",IF(COUNTBLANK('Capacity summary'!$H152:$BG152)&lt;52,IF('Capacity summary'!P152&lt;&gt;"",IF(LOWER('Capacity summary'!P152)="x",$BI33*P33,VALUE('Capacity summary'!P152)),0),P33*$BI33),P33*$BI33),0)</f>
        <v>0</v>
      </c>
      <c r="BT33" s="313">
        <f>IF($BI33&lt;&gt;"",IF('Capacity summary'!$D$14="Yes",IF(COUNTBLANK('Capacity summary'!$H152:$BG152)&lt;52,IF('Capacity summary'!Q152&lt;&gt;"",IF(LOWER('Capacity summary'!Q152)="x",$BI33*Q33,VALUE('Capacity summary'!Q152)),0),Q33*$BI33),Q33*$BI33),0)</f>
        <v>0</v>
      </c>
      <c r="BU33" s="313">
        <f>IF($BI33&lt;&gt;"",IF('Capacity summary'!$D$14="Yes",IF(COUNTBLANK('Capacity summary'!$H152:$BG152)&lt;52,IF('Capacity summary'!R152&lt;&gt;"",IF(LOWER('Capacity summary'!R152)="x",$BI33*R33,VALUE('Capacity summary'!R152)),0),R33*$BI33),R33*$BI33),0)</f>
        <v>0</v>
      </c>
      <c r="BV33" s="313">
        <f>IF($BI33&lt;&gt;"",IF('Capacity summary'!$D$14="Yes",IF(COUNTBLANK('Capacity summary'!$H152:$BG152)&lt;52,IF('Capacity summary'!S152&lt;&gt;"",IF(LOWER('Capacity summary'!S152)="x",$BI33*S33,VALUE('Capacity summary'!S152)),0),S33*$BI33),S33*$BI33),0)</f>
        <v>0</v>
      </c>
      <c r="BW33" s="313">
        <f>IF($BI33&lt;&gt;"",IF('Capacity summary'!$D$14="Yes",IF(COUNTBLANK('Capacity summary'!$H152:$BG152)&lt;52,IF('Capacity summary'!T152&lt;&gt;"",IF(LOWER('Capacity summary'!T152)="x",$BI33*T33,VALUE('Capacity summary'!T152)),0),T33*$BI33),T33*$BI33),0)</f>
        <v>0</v>
      </c>
      <c r="BX33" s="313">
        <f>IF($BI33&lt;&gt;"",IF('Capacity summary'!$D$14="Yes",IF(COUNTBLANK('Capacity summary'!$H152:$BG152)&lt;52,IF('Capacity summary'!U152&lt;&gt;"",IF(LOWER('Capacity summary'!U152)="x",$BI33*U33,VALUE('Capacity summary'!U152)),0),U33*$BI33),U33*$BI33),0)</f>
        <v>0</v>
      </c>
      <c r="BY33" s="313">
        <f>IF($BI33&lt;&gt;"",IF('Capacity summary'!$D$14="Yes",IF(COUNTBLANK('Capacity summary'!$H152:$BG152)&lt;52,IF('Capacity summary'!V152&lt;&gt;"",IF(LOWER('Capacity summary'!V152)="x",$BI33*V33,VALUE('Capacity summary'!V152)),0),V33*$BI33),V33*$BI33),0)</f>
        <v>0</v>
      </c>
      <c r="BZ33" s="313">
        <f>IF($BI33&lt;&gt;"",IF('Capacity summary'!$D$14="Yes",IF(COUNTBLANK('Capacity summary'!$H152:$BG152)&lt;52,IF('Capacity summary'!W152&lt;&gt;"",IF(LOWER('Capacity summary'!W152)="x",$BI33*W33,VALUE('Capacity summary'!W152)),0),W33*$BI33),W33*$BI33),0)</f>
        <v>0</v>
      </c>
      <c r="CA33" s="313">
        <f>IF($BI33&lt;&gt;"",IF('Capacity summary'!$D$14="Yes",IF(COUNTBLANK('Capacity summary'!$H152:$BG152)&lt;52,IF('Capacity summary'!X152&lt;&gt;"",IF(LOWER('Capacity summary'!X152)="x",$BI33*X33,VALUE('Capacity summary'!X152)),0),X33*$BI33),X33*$BI33),0)</f>
        <v>0</v>
      </c>
      <c r="CB33" s="313">
        <f>IF($BI33&lt;&gt;"",IF('Capacity summary'!$D$14="Yes",IF(COUNTBLANK('Capacity summary'!$H152:$BG152)&lt;52,IF('Capacity summary'!Y152&lt;&gt;"",IF(LOWER('Capacity summary'!Y152)="x",$BI33*Y33,VALUE('Capacity summary'!Y152)),0),Y33*$BI33),Y33*$BI33),0)</f>
        <v>0</v>
      </c>
      <c r="CC33" s="313">
        <f>IF($BI33&lt;&gt;"",IF('Capacity summary'!$D$14="Yes",IF(COUNTBLANK('Capacity summary'!$H152:$BG152)&lt;52,IF('Capacity summary'!Z152&lt;&gt;"",IF(LOWER('Capacity summary'!Z152)="x",$BI33*Z33,VALUE('Capacity summary'!Z152)),0),Z33*$BI33),Z33*$BI33),0)</f>
        <v>0</v>
      </c>
      <c r="CD33" s="313">
        <f>IF($BI33&lt;&gt;"",IF('Capacity summary'!$D$14="Yes",IF(COUNTBLANK('Capacity summary'!$H152:$BG152)&lt;52,IF('Capacity summary'!AA152&lt;&gt;"",IF(LOWER('Capacity summary'!AA152)="x",$BI33*AA33,VALUE('Capacity summary'!AA152)),0),AA33*$BI33),AA33*$BI33),0)</f>
        <v>0</v>
      </c>
      <c r="CE33" s="313">
        <f>IF($BI33&lt;&gt;"",IF('Capacity summary'!$D$14="Yes",IF(COUNTBLANK('Capacity summary'!$H152:$BG152)&lt;52,IF('Capacity summary'!AB152&lt;&gt;"",IF(LOWER('Capacity summary'!AB152)="x",$BI33*AB33,VALUE('Capacity summary'!AB152)),0),AB33*$BI33),AB33*$BI33),0)</f>
        <v>0</v>
      </c>
      <c r="CF33" s="313">
        <f>IF($BI33&lt;&gt;"",IF('Capacity summary'!$D$14="Yes",IF(COUNTBLANK('Capacity summary'!$H152:$BG152)&lt;52,IF('Capacity summary'!AC152&lt;&gt;"",IF(LOWER('Capacity summary'!AC152)="x",$BI33*AC33,VALUE('Capacity summary'!AC152)),0),AC33*$BI33),AC33*$BI33),0)</f>
        <v>0</v>
      </c>
      <c r="CG33" s="313">
        <f>IF($BI33&lt;&gt;"",IF('Capacity summary'!$D$14="Yes",IF(COUNTBLANK('Capacity summary'!$H152:$BG152)&lt;52,IF('Capacity summary'!AD152&lt;&gt;"",IF(LOWER('Capacity summary'!AD152)="x",$BI33*AD33,VALUE('Capacity summary'!AD152)),0),AD33*$BI33),AD33*$BI33),0)</f>
        <v>0</v>
      </c>
      <c r="CH33" s="313">
        <f>IF($BI33&lt;&gt;"",IF('Capacity summary'!$D$14="Yes",IF(COUNTBLANK('Capacity summary'!$H152:$BG152)&lt;52,IF('Capacity summary'!AE152&lt;&gt;"",IF(LOWER('Capacity summary'!AE152)="x",$BI33*AE33,VALUE('Capacity summary'!AE152)),0),AE33*$BI33),AE33*$BI33),0)</f>
        <v>0</v>
      </c>
      <c r="CI33" s="313">
        <f>IF($BI33&lt;&gt;"",IF('Capacity summary'!$D$14="Yes",IF(COUNTBLANK('Capacity summary'!$H152:$BG152)&lt;52,IF('Capacity summary'!AF152&lt;&gt;"",IF(LOWER('Capacity summary'!AF152)="x",$BI33*AF33,VALUE('Capacity summary'!AF152)),0),AF33*$BI33),AF33*$BI33),0)</f>
        <v>0</v>
      </c>
      <c r="CJ33" s="313">
        <f>IF($BI33&lt;&gt;"",IF('Capacity summary'!$D$14="Yes",IF(COUNTBLANK('Capacity summary'!$H152:$BG152)&lt;52,IF('Capacity summary'!AG152&lt;&gt;"",IF(LOWER('Capacity summary'!AG152)="x",$BI33*AG33,VALUE('Capacity summary'!AG152)),0),AG33*$BI33),AG33*$BI33),0)</f>
        <v>0</v>
      </c>
      <c r="CK33" s="313">
        <f>IF($BI33&lt;&gt;"",IF('Capacity summary'!$D$14="Yes",IF(COUNTBLANK('Capacity summary'!$H152:$BG152)&lt;52,IF('Capacity summary'!AH152&lt;&gt;"",IF(LOWER('Capacity summary'!AH152)="x",$BI33*AH33,VALUE('Capacity summary'!AH152)),0),AH33*$BI33),AH33*$BI33),0)</f>
        <v>0</v>
      </c>
      <c r="CL33" s="313">
        <f>IF($BI33&lt;&gt;"",IF('Capacity summary'!$D$14="Yes",IF(COUNTBLANK('Capacity summary'!$H152:$BG152)&lt;52,IF('Capacity summary'!AI152&lt;&gt;"",IF(LOWER('Capacity summary'!AI152)="x",$BI33*AI33,VALUE('Capacity summary'!AI152)),0),AI33*$BI33),AI33*$BI33),0)</f>
        <v>0</v>
      </c>
      <c r="CM33" s="313">
        <f>IF($BI33&lt;&gt;"",IF('Capacity summary'!$D$14="Yes",IF(COUNTBLANK('Capacity summary'!$H152:$BG152)&lt;52,IF('Capacity summary'!AJ152&lt;&gt;"",IF(LOWER('Capacity summary'!AJ152)="x",$BI33*AJ33,VALUE('Capacity summary'!AJ152)),0),AJ33*$BI33),AJ33*$BI33),0)</f>
        <v>0</v>
      </c>
      <c r="CN33" s="313">
        <f>IF($BI33&lt;&gt;"",IF('Capacity summary'!$D$14="Yes",IF(COUNTBLANK('Capacity summary'!$H152:$BG152)&lt;52,IF('Capacity summary'!AK152&lt;&gt;"",IF(LOWER('Capacity summary'!AK152)="x",$BI33*AK33,VALUE('Capacity summary'!AK152)),0),AK33*$BI33),AK33*$BI33),0)</f>
        <v>0</v>
      </c>
      <c r="CO33" s="313">
        <f>IF($BI33&lt;&gt;"",IF('Capacity summary'!$D$14="Yes",IF(COUNTBLANK('Capacity summary'!$H152:$BG152)&lt;52,IF('Capacity summary'!AL152&lt;&gt;"",IF(LOWER('Capacity summary'!AL152)="x",$BI33*AL33,VALUE('Capacity summary'!AL152)),0),AL33*$BI33),AL33*$BI33),0)</f>
        <v>0</v>
      </c>
      <c r="CP33" s="313">
        <f>IF($BI33&lt;&gt;"",IF('Capacity summary'!$D$14="Yes",IF(COUNTBLANK('Capacity summary'!$H152:$BG152)&lt;52,IF('Capacity summary'!AM152&lt;&gt;"",IF(LOWER('Capacity summary'!AM152)="x",$BI33*AM33,VALUE('Capacity summary'!AM152)),0),AM33*$BI33),AM33*$BI33),0)</f>
        <v>0</v>
      </c>
      <c r="CQ33" s="313">
        <f>IF($BI33&lt;&gt;"",IF('Capacity summary'!$D$14="Yes",IF(COUNTBLANK('Capacity summary'!$H152:$BG152)&lt;52,IF('Capacity summary'!AN152&lt;&gt;"",IF(LOWER('Capacity summary'!AN152)="x",$BI33*AN33,VALUE('Capacity summary'!AN152)),0),AN33*$BI33),AN33*$BI33),0)</f>
        <v>0</v>
      </c>
      <c r="CR33" s="313">
        <f>IF($BI33&lt;&gt;"",IF('Capacity summary'!$D$14="Yes",IF(COUNTBLANK('Capacity summary'!$H152:$BG152)&lt;52,IF('Capacity summary'!AO152&lt;&gt;"",IF(LOWER('Capacity summary'!AO152)="x",$BI33*AO33,VALUE('Capacity summary'!AO152)),0),AO33*$BI33),AO33*$BI33),0)</f>
        <v>0</v>
      </c>
      <c r="CS33" s="313">
        <f>IF($BI33&lt;&gt;"",IF('Capacity summary'!$D$14="Yes",IF(COUNTBLANK('Capacity summary'!$H152:$BG152)&lt;52,IF('Capacity summary'!AP152&lt;&gt;"",IF(LOWER('Capacity summary'!AP152)="x",$BI33*AP33,VALUE('Capacity summary'!AP152)),0),AP33*$BI33),AP33*$BI33),0)</f>
        <v>0</v>
      </c>
      <c r="CT33" s="313">
        <f>IF($BI33&lt;&gt;"",IF('Capacity summary'!$D$14="Yes",IF(COUNTBLANK('Capacity summary'!$H152:$BG152)&lt;52,IF('Capacity summary'!AQ152&lt;&gt;"",IF(LOWER('Capacity summary'!AQ152)="x",$BI33*AQ33,VALUE('Capacity summary'!AQ152)),0),AQ33*$BI33),AQ33*$BI33),0)</f>
        <v>0</v>
      </c>
      <c r="CU33" s="313">
        <f>IF($BI33&lt;&gt;"",IF('Capacity summary'!$D$14="Yes",IF(COUNTBLANK('Capacity summary'!$H152:$BG152)&lt;52,IF('Capacity summary'!AR152&lt;&gt;"",IF(LOWER('Capacity summary'!AR152)="x",$BI33*AR33,VALUE('Capacity summary'!AR152)),0),AR33*$BI33),AR33*$BI33),0)</f>
        <v>0</v>
      </c>
      <c r="CV33" s="313">
        <f>IF($BI33&lt;&gt;"",IF('Capacity summary'!$D$14="Yes",IF(COUNTBLANK('Capacity summary'!$H152:$BG152)&lt;52,IF('Capacity summary'!AS152&lt;&gt;"",IF(LOWER('Capacity summary'!AS152)="x",$BI33*AS33,VALUE('Capacity summary'!AS152)),0),AS33*$BI33),AS33*$BI33),0)</f>
        <v>0</v>
      </c>
      <c r="CW33" s="313">
        <f>IF($BI33&lt;&gt;"",IF('Capacity summary'!$D$14="Yes",IF(COUNTBLANK('Capacity summary'!$H152:$BG152)&lt;52,IF('Capacity summary'!AT152&lt;&gt;"",IF(LOWER('Capacity summary'!AT152)="x",$BI33*AT33,VALUE('Capacity summary'!AT152)),0),AT33*$BI33),AT33*$BI33),0)</f>
        <v>0</v>
      </c>
      <c r="CX33" s="313">
        <f>IF($BI33&lt;&gt;"",IF('Capacity summary'!$D$14="Yes",IF(COUNTBLANK('Capacity summary'!$H152:$BG152)&lt;52,IF('Capacity summary'!AU152&lt;&gt;"",IF(LOWER('Capacity summary'!AU152)="x",$BI33*AU33,VALUE('Capacity summary'!AU152)),0),AU33*$BI33),AU33*$BI33),0)</f>
        <v>0</v>
      </c>
      <c r="CY33" s="313">
        <f>IF($BI33&lt;&gt;"",IF('Capacity summary'!$D$14="Yes",IF(COUNTBLANK('Capacity summary'!$H152:$BG152)&lt;52,IF('Capacity summary'!AV152&lt;&gt;"",IF(LOWER('Capacity summary'!AV152)="x",$BI33*AV33,VALUE('Capacity summary'!AV152)),0),AV33*$BI33),AV33*$BI33),0)</f>
        <v>0</v>
      </c>
      <c r="CZ33" s="313">
        <f>IF($BI33&lt;&gt;"",IF('Capacity summary'!$D$14="Yes",IF(COUNTBLANK('Capacity summary'!$H152:$BG152)&lt;52,IF('Capacity summary'!AW152&lt;&gt;"",IF(LOWER('Capacity summary'!AW152)="x",$BI33*AW33,VALUE('Capacity summary'!AW152)),0),AW33*$BI33),AW33*$BI33),0)</f>
        <v>0</v>
      </c>
      <c r="DA33" s="313">
        <f>IF($BI33&lt;&gt;"",IF('Capacity summary'!$D$14="Yes",IF(COUNTBLANK('Capacity summary'!$H152:$BG152)&lt;52,IF('Capacity summary'!AX152&lt;&gt;"",IF(LOWER('Capacity summary'!AX152)="x",$BI33*AX33,VALUE('Capacity summary'!AX152)),0),AX33*$BI33),AX33*$BI33),0)</f>
        <v>0</v>
      </c>
      <c r="DB33" s="313">
        <f>IF($BI33&lt;&gt;"",IF('Capacity summary'!$D$14="Yes",IF(COUNTBLANK('Capacity summary'!$H152:$BG152)&lt;52,IF('Capacity summary'!AY152&lt;&gt;"",IF(LOWER('Capacity summary'!AY152)="x",$BI33*AY33,VALUE('Capacity summary'!AY152)),0),AY33*$BI33),AY33*$BI33),0)</f>
        <v>0</v>
      </c>
      <c r="DC33" s="313">
        <f>IF($BI33&lt;&gt;"",IF('Capacity summary'!$D$14="Yes",IF(COUNTBLANK('Capacity summary'!$H152:$BG152)&lt;52,IF('Capacity summary'!AZ152&lt;&gt;"",IF(LOWER('Capacity summary'!AZ152)="x",$BI33*AZ33,VALUE('Capacity summary'!AZ152)),0),AZ33*$BI33),AZ33*$BI33),0)</f>
        <v>0</v>
      </c>
      <c r="DD33" s="313">
        <f>IF($BI33&lt;&gt;"",IF('Capacity summary'!$D$14="Yes",IF(COUNTBLANK('Capacity summary'!$H152:$BG152)&lt;52,IF('Capacity summary'!BA152&lt;&gt;"",IF(LOWER('Capacity summary'!BA152)="x",$BI33*BA33,VALUE('Capacity summary'!BA152)),0),BA33*$BI33),BA33*$BI33),0)</f>
        <v>0</v>
      </c>
      <c r="DE33" s="313">
        <f>IF($BI33&lt;&gt;"",IF('Capacity summary'!$D$14="Yes",IF(COUNTBLANK('Capacity summary'!$H152:$BG152)&lt;52,IF('Capacity summary'!BB152&lt;&gt;"",IF(LOWER('Capacity summary'!BB152)="x",$BI33*BB33,VALUE('Capacity summary'!BB152)),0),BB33*$BI33),BB33*$BI33),0)</f>
        <v>0</v>
      </c>
      <c r="DF33" s="313">
        <f>IF($BI33&lt;&gt;"",IF('Capacity summary'!$D$14="Yes",IF(COUNTBLANK('Capacity summary'!$H152:$BG152)&lt;52,IF('Capacity summary'!BC152&lt;&gt;"",IF(LOWER('Capacity summary'!BC152)="x",$BI33*BC33,VALUE('Capacity summary'!BC152)),0),BC33*$BI33),BC33*$BI33),0)</f>
        <v>0</v>
      </c>
      <c r="DG33" s="313">
        <f>IF($BI33&lt;&gt;"",IF('Capacity summary'!$D$14="Yes",IF(COUNTBLANK('Capacity summary'!$H152:$BG152)&lt;52,IF('Capacity summary'!BD152&lt;&gt;"",IF(LOWER('Capacity summary'!BD152)="x",$BI33*BD33,VALUE('Capacity summary'!BD152)),0),BD33*$BI33),BD33*$BI33),0)</f>
        <v>0</v>
      </c>
      <c r="DH33" s="313">
        <f>IF($BI33&lt;&gt;"",IF('Capacity summary'!$D$14="Yes",IF(COUNTBLANK('Capacity summary'!$H152:$BG152)&lt;52,IF('Capacity summary'!BE152&lt;&gt;"",IF(LOWER('Capacity summary'!BE152)="x",$BI33*BE33,VALUE('Capacity summary'!BE152)),0),BE33*$BI33),BE33*$BI33),0)</f>
        <v>0</v>
      </c>
      <c r="DI33" s="313">
        <f>IF($BI33&lt;&gt;"",IF('Capacity summary'!$D$14="Yes",IF(COUNTBLANK('Capacity summary'!$H152:$BG152)&lt;52,IF('Capacity summary'!BF152&lt;&gt;"",IF(LOWER('Capacity summary'!BF152)="x",$BI33*BF33,VALUE('Capacity summary'!BF152)),0),BF33*$BI33),BF33*$BI33),0)</f>
        <v>0</v>
      </c>
      <c r="DJ33" s="313">
        <f>IF($BI33&lt;&gt;"",IF('Capacity summary'!$D$14="Yes",IF(COUNTBLANK('Capacity summary'!$H152:$BG152)&lt;52,IF('Capacity summary'!BG152&lt;&gt;"",IF(LOWER('Capacity summary'!BG152)="x",$BI33*BG33,VALUE('Capacity summary'!BG152)),0),BG33*$BI33),BG33*$BI33),0)</f>
        <v>0</v>
      </c>
      <c r="DK33" s="137">
        <f t="shared" si="2"/>
        <v>0</v>
      </c>
      <c r="DL33" s="313" t="str">
        <f>Capacity!H45</f>
        <v/>
      </c>
      <c r="DP33" s="5"/>
    </row>
    <row r="34" spans="2:120" x14ac:dyDescent="0.25">
      <c r="B34" s="67"/>
      <c r="C34" s="67" t="str">
        <f>ROW(A30)&amp;". "&amp;Capacity!B46</f>
        <v xml:space="preserve">30. </v>
      </c>
      <c r="D34" s="67">
        <f>'Capacity setup'!C41</f>
        <v>0</v>
      </c>
      <c r="E34" s="67">
        <f>'Capacity setup'!D41</f>
        <v>0</v>
      </c>
      <c r="F34" s="67">
        <f>'Capacity setup'!E41</f>
        <v>0</v>
      </c>
      <c r="H34" s="67">
        <f ca="1">IF(AND(SUMIF(Capacity_Resource,$D34,'Critical resources (hide)'!U$6:U$105)+SUMIF(Capacity_Resource,$E34,'Critical resources (hide)'!U$6:U$105)+SUMIF(Capacity_Resource,$F34,'Critical resources (hide)'!U$6:U$105)&gt;0,$E$1=2),0,1)</f>
        <v>1</v>
      </c>
      <c r="I34" s="67">
        <f ca="1">IF(AND(SUMIF(Capacity_Resource,$D34,'Critical resources (hide)'!V$6:V$105)+SUMIF(Capacity_Resource,$E34,'Critical resources (hide)'!V$6:V$105)+SUMIF(Capacity_Resource,$F34,'Critical resources (hide)'!V$6:V$105)&gt;0,$E$1=2),0,1)</f>
        <v>1</v>
      </c>
      <c r="J34" s="67">
        <f ca="1">IF(AND(SUMIF(Capacity_Resource,$D34,'Critical resources (hide)'!W$6:W$105)+SUMIF(Capacity_Resource,$E34,'Critical resources (hide)'!W$6:W$105)+SUMIF(Capacity_Resource,$F34,'Critical resources (hide)'!W$6:W$105)&gt;0,$E$1=2),0,1)</f>
        <v>1</v>
      </c>
      <c r="K34" s="67">
        <f ca="1">IF(AND(SUMIF(Capacity_Resource,$D34,'Critical resources (hide)'!X$6:X$105)+SUMIF(Capacity_Resource,$E34,'Critical resources (hide)'!X$6:X$105)+SUMIF(Capacity_Resource,$F34,'Critical resources (hide)'!X$6:X$105)&gt;0,$E$1=2),0,1)</f>
        <v>1</v>
      </c>
      <c r="L34" s="67">
        <f ca="1">IF(AND(SUMIF(Capacity_Resource,$D34,'Critical resources (hide)'!Y$6:Y$105)+SUMIF(Capacity_Resource,$E34,'Critical resources (hide)'!Y$6:Y$105)+SUMIF(Capacity_Resource,$F34,'Critical resources (hide)'!Y$6:Y$105)&gt;0,$E$1=2),0,1)</f>
        <v>1</v>
      </c>
      <c r="M34" s="67">
        <f ca="1">IF(AND(SUMIF(Capacity_Resource,$D34,'Critical resources (hide)'!Z$6:Z$105)+SUMIF(Capacity_Resource,$E34,'Critical resources (hide)'!Z$6:Z$105)+SUMIF(Capacity_Resource,$F34,'Critical resources (hide)'!Z$6:Z$105)&gt;0,$E$1=2),0,1)</f>
        <v>1</v>
      </c>
      <c r="N34" s="67">
        <f ca="1">IF(AND(SUMIF(Capacity_Resource,$D34,'Critical resources (hide)'!AA$6:AA$105)+SUMIF(Capacity_Resource,$E34,'Critical resources (hide)'!AA$6:AA$105)+SUMIF(Capacity_Resource,$F34,'Critical resources (hide)'!AA$6:AA$105)&gt;0,$E$1=2),0,1)</f>
        <v>1</v>
      </c>
      <c r="O34" s="67">
        <f ca="1">IF(AND(SUMIF(Capacity_Resource,$D34,'Critical resources (hide)'!AB$6:AB$105)+SUMIF(Capacity_Resource,$E34,'Critical resources (hide)'!AB$6:AB$105)+SUMIF(Capacity_Resource,$F34,'Critical resources (hide)'!AB$6:AB$105)&gt;0,$E$1=2),0,1)</f>
        <v>1</v>
      </c>
      <c r="P34" s="67">
        <f ca="1">IF(AND(SUMIF(Capacity_Resource,$D34,'Critical resources (hide)'!AC$6:AC$105)+SUMIF(Capacity_Resource,$E34,'Critical resources (hide)'!AC$6:AC$105)+SUMIF(Capacity_Resource,$F34,'Critical resources (hide)'!AC$6:AC$105)&gt;0,$E$1=2),0,1)</f>
        <v>1</v>
      </c>
      <c r="Q34" s="67">
        <f ca="1">IF(AND(SUMIF(Capacity_Resource,$D34,'Critical resources (hide)'!AD$6:AD$105)+SUMIF(Capacity_Resource,$E34,'Critical resources (hide)'!AD$6:AD$105)+SUMIF(Capacity_Resource,$F34,'Critical resources (hide)'!AD$6:AD$105)&gt;0,$E$1=2),0,1)</f>
        <v>1</v>
      </c>
      <c r="R34" s="67">
        <f ca="1">IF(AND(SUMIF(Capacity_Resource,$D34,'Critical resources (hide)'!AE$6:AE$105)+SUMIF(Capacity_Resource,$E34,'Critical resources (hide)'!AE$6:AE$105)+SUMIF(Capacity_Resource,$F34,'Critical resources (hide)'!AE$6:AE$105)&gt;0,$E$1=2),0,1)</f>
        <v>1</v>
      </c>
      <c r="S34" s="67">
        <f ca="1">IF(AND(SUMIF(Capacity_Resource,$D34,'Critical resources (hide)'!AF$6:AF$105)+SUMIF(Capacity_Resource,$E34,'Critical resources (hide)'!AF$6:AF$105)+SUMIF(Capacity_Resource,$F34,'Critical resources (hide)'!AF$6:AF$105)&gt;0,$E$1=2),0,1)</f>
        <v>1</v>
      </c>
      <c r="T34" s="67">
        <f ca="1">IF(AND(SUMIF(Capacity_Resource,$D34,'Critical resources (hide)'!AG$6:AG$105)+SUMIF(Capacity_Resource,$E34,'Critical resources (hide)'!AG$6:AG$105)+SUMIF(Capacity_Resource,$F34,'Critical resources (hide)'!AG$6:AG$105)&gt;0,$E$1=2),0,1)</f>
        <v>1</v>
      </c>
      <c r="U34" s="67">
        <f ca="1">IF(AND(SUMIF(Capacity_Resource,$D34,'Critical resources (hide)'!AH$6:AH$105)+SUMIF(Capacity_Resource,$E34,'Critical resources (hide)'!AH$6:AH$105)+SUMIF(Capacity_Resource,$F34,'Critical resources (hide)'!AH$6:AH$105)&gt;0,$E$1=2),0,1)</f>
        <v>1</v>
      </c>
      <c r="V34" s="67">
        <f ca="1">IF(AND(SUMIF(Capacity_Resource,$D34,'Critical resources (hide)'!AI$6:AI$105)+SUMIF(Capacity_Resource,$E34,'Critical resources (hide)'!AI$6:AI$105)+SUMIF(Capacity_Resource,$F34,'Critical resources (hide)'!AI$6:AI$105)&gt;0,$E$1=2),0,1)</f>
        <v>1</v>
      </c>
      <c r="W34" s="67">
        <f ca="1">IF(AND(SUMIF(Capacity_Resource,$D34,'Critical resources (hide)'!AJ$6:AJ$105)+SUMIF(Capacity_Resource,$E34,'Critical resources (hide)'!AJ$6:AJ$105)+SUMIF(Capacity_Resource,$F34,'Critical resources (hide)'!AJ$6:AJ$105)&gt;0,$E$1=2),0,1)</f>
        <v>1</v>
      </c>
      <c r="X34" s="67">
        <f ca="1">IF(AND(SUMIF(Capacity_Resource,$D34,'Critical resources (hide)'!AK$6:AK$105)+SUMIF(Capacity_Resource,$E34,'Critical resources (hide)'!AK$6:AK$105)+SUMIF(Capacity_Resource,$F34,'Critical resources (hide)'!AK$6:AK$105)&gt;0,$E$1=2),0,1)</f>
        <v>1</v>
      </c>
      <c r="Y34" s="67">
        <f ca="1">IF(AND(SUMIF(Capacity_Resource,$D34,'Critical resources (hide)'!AL$6:AL$105)+SUMIF(Capacity_Resource,$E34,'Critical resources (hide)'!AL$6:AL$105)+SUMIF(Capacity_Resource,$F34,'Critical resources (hide)'!AL$6:AL$105)&gt;0,$E$1=2),0,1)</f>
        <v>1</v>
      </c>
      <c r="Z34" s="67">
        <f ca="1">IF(AND(SUMIF(Capacity_Resource,$D34,'Critical resources (hide)'!AM$6:AM$105)+SUMIF(Capacity_Resource,$E34,'Critical resources (hide)'!AM$6:AM$105)+SUMIF(Capacity_Resource,$F34,'Critical resources (hide)'!AM$6:AM$105)&gt;0,$E$1=2),0,1)</f>
        <v>1</v>
      </c>
      <c r="AA34" s="67">
        <f ca="1">IF(AND(SUMIF(Capacity_Resource,$D34,'Critical resources (hide)'!AN$6:AN$105)+SUMIF(Capacity_Resource,$E34,'Critical resources (hide)'!AN$6:AN$105)+SUMIF(Capacity_Resource,$F34,'Critical resources (hide)'!AN$6:AN$105)&gt;0,$E$1=2),0,1)</f>
        <v>1</v>
      </c>
      <c r="AB34" s="67">
        <f ca="1">IF(AND(SUMIF(Capacity_Resource,$D34,'Critical resources (hide)'!AO$6:AO$105)+SUMIF(Capacity_Resource,$E34,'Critical resources (hide)'!AO$6:AO$105)+SUMIF(Capacity_Resource,$F34,'Critical resources (hide)'!AO$6:AO$105)&gt;0,$E$1=2),0,1)</f>
        <v>1</v>
      </c>
      <c r="AC34" s="67">
        <f ca="1">IF(AND(SUMIF(Capacity_Resource,$D34,'Critical resources (hide)'!AP$6:AP$105)+SUMIF(Capacity_Resource,$E34,'Critical resources (hide)'!AP$6:AP$105)+SUMIF(Capacity_Resource,$F34,'Critical resources (hide)'!AP$6:AP$105)&gt;0,$E$1=2),0,1)</f>
        <v>1</v>
      </c>
      <c r="AD34" s="67">
        <f ca="1">IF(AND(SUMIF(Capacity_Resource,$D34,'Critical resources (hide)'!AQ$6:AQ$105)+SUMIF(Capacity_Resource,$E34,'Critical resources (hide)'!AQ$6:AQ$105)+SUMIF(Capacity_Resource,$F34,'Critical resources (hide)'!AQ$6:AQ$105)&gt;0,$E$1=2),0,1)</f>
        <v>1</v>
      </c>
      <c r="AE34" s="67">
        <f ca="1">IF(AND(SUMIF(Capacity_Resource,$D34,'Critical resources (hide)'!AR$6:AR$105)+SUMIF(Capacity_Resource,$E34,'Critical resources (hide)'!AR$6:AR$105)+SUMIF(Capacity_Resource,$F34,'Critical resources (hide)'!AR$6:AR$105)&gt;0,$E$1=2),0,1)</f>
        <v>1</v>
      </c>
      <c r="AF34" s="67">
        <f ca="1">IF(AND(SUMIF(Capacity_Resource,$D34,'Critical resources (hide)'!AS$6:AS$105)+SUMIF(Capacity_Resource,$E34,'Critical resources (hide)'!AS$6:AS$105)+SUMIF(Capacity_Resource,$F34,'Critical resources (hide)'!AS$6:AS$105)&gt;0,$E$1=2),0,1)</f>
        <v>1</v>
      </c>
      <c r="AG34" s="67">
        <f ca="1">IF(AND(SUMIF(Capacity_Resource,$D34,'Critical resources (hide)'!AT$6:AT$105)+SUMIF(Capacity_Resource,$E34,'Critical resources (hide)'!AT$6:AT$105)+SUMIF(Capacity_Resource,$F34,'Critical resources (hide)'!AT$6:AT$105)&gt;0,$E$1=2),0,1)</f>
        <v>1</v>
      </c>
      <c r="AH34" s="67">
        <f ca="1">IF(AND(SUMIF(Capacity_Resource,$D34,'Critical resources (hide)'!AU$6:AU$105)+SUMIF(Capacity_Resource,$E34,'Critical resources (hide)'!AU$6:AU$105)+SUMIF(Capacity_Resource,$F34,'Critical resources (hide)'!AU$6:AU$105)&gt;0,$E$1=2),0,1)</f>
        <v>1</v>
      </c>
      <c r="AI34" s="67">
        <f ca="1">IF(AND(SUMIF(Capacity_Resource,$D34,'Critical resources (hide)'!AV$6:AV$105)+SUMIF(Capacity_Resource,$E34,'Critical resources (hide)'!AV$6:AV$105)+SUMIF(Capacity_Resource,$F34,'Critical resources (hide)'!AV$6:AV$105)&gt;0,$E$1=2),0,1)</f>
        <v>1</v>
      </c>
      <c r="AJ34" s="67">
        <f ca="1">IF(AND(SUMIF(Capacity_Resource,$D34,'Critical resources (hide)'!AW$6:AW$105)+SUMIF(Capacity_Resource,$E34,'Critical resources (hide)'!AW$6:AW$105)+SUMIF(Capacity_Resource,$F34,'Critical resources (hide)'!AW$6:AW$105)&gt;0,$E$1=2),0,1)</f>
        <v>1</v>
      </c>
      <c r="AK34" s="67">
        <f ca="1">IF(AND(SUMIF(Capacity_Resource,$D34,'Critical resources (hide)'!AX$6:AX$105)+SUMIF(Capacity_Resource,$E34,'Critical resources (hide)'!AX$6:AX$105)+SUMIF(Capacity_Resource,$F34,'Critical resources (hide)'!AX$6:AX$105)&gt;0,$E$1=2),0,1)</f>
        <v>1</v>
      </c>
      <c r="AL34" s="67">
        <f ca="1">IF(AND(SUMIF(Capacity_Resource,$D34,'Critical resources (hide)'!AY$6:AY$105)+SUMIF(Capacity_Resource,$E34,'Critical resources (hide)'!AY$6:AY$105)+SUMIF(Capacity_Resource,$F34,'Critical resources (hide)'!AY$6:AY$105)&gt;0,$E$1=2),0,1)</f>
        <v>1</v>
      </c>
      <c r="AM34" s="67">
        <f ca="1">IF(AND(SUMIF(Capacity_Resource,$D34,'Critical resources (hide)'!AZ$6:AZ$105)+SUMIF(Capacity_Resource,$E34,'Critical resources (hide)'!AZ$6:AZ$105)+SUMIF(Capacity_Resource,$F34,'Critical resources (hide)'!AZ$6:AZ$105)&gt;0,$E$1=2),0,1)</f>
        <v>1</v>
      </c>
      <c r="AN34" s="67">
        <f ca="1">IF(AND(SUMIF(Capacity_Resource,$D34,'Critical resources (hide)'!BA$6:BA$105)+SUMIF(Capacity_Resource,$E34,'Critical resources (hide)'!BA$6:BA$105)+SUMIF(Capacity_Resource,$F34,'Critical resources (hide)'!BA$6:BA$105)&gt;0,$E$1=2),0,1)</f>
        <v>1</v>
      </c>
      <c r="AO34" s="67">
        <f ca="1">IF(AND(SUMIF(Capacity_Resource,$D34,'Critical resources (hide)'!BB$6:BB$105)+SUMIF(Capacity_Resource,$E34,'Critical resources (hide)'!BB$6:BB$105)+SUMIF(Capacity_Resource,$F34,'Critical resources (hide)'!BB$6:BB$105)&gt;0,$E$1=2),0,1)</f>
        <v>1</v>
      </c>
      <c r="AP34" s="67">
        <f ca="1">IF(AND(SUMIF(Capacity_Resource,$D34,'Critical resources (hide)'!BC$6:BC$105)+SUMIF(Capacity_Resource,$E34,'Critical resources (hide)'!BC$6:BC$105)+SUMIF(Capacity_Resource,$F34,'Critical resources (hide)'!BC$6:BC$105)&gt;0,$E$1=2),0,1)</f>
        <v>1</v>
      </c>
      <c r="AQ34" s="67">
        <f ca="1">IF(AND(SUMIF(Capacity_Resource,$D34,'Critical resources (hide)'!BD$6:BD$105)+SUMIF(Capacity_Resource,$E34,'Critical resources (hide)'!BD$6:BD$105)+SUMIF(Capacity_Resource,$F34,'Critical resources (hide)'!BD$6:BD$105)&gt;0,$E$1=2),0,1)</f>
        <v>1</v>
      </c>
      <c r="AR34" s="67">
        <f ca="1">IF(AND(SUMIF(Capacity_Resource,$D34,'Critical resources (hide)'!BE$6:BE$105)+SUMIF(Capacity_Resource,$E34,'Critical resources (hide)'!BE$6:BE$105)+SUMIF(Capacity_Resource,$F34,'Critical resources (hide)'!BE$6:BE$105)&gt;0,$E$1=2),0,1)</f>
        <v>1</v>
      </c>
      <c r="AS34" s="67">
        <f ca="1">IF(AND(SUMIF(Capacity_Resource,$D34,'Critical resources (hide)'!BF$6:BF$105)+SUMIF(Capacity_Resource,$E34,'Critical resources (hide)'!BF$6:BF$105)+SUMIF(Capacity_Resource,$F34,'Critical resources (hide)'!BF$6:BF$105)&gt;0,$E$1=2),0,1)</f>
        <v>1</v>
      </c>
      <c r="AT34" s="67">
        <f ca="1">IF(AND(SUMIF(Capacity_Resource,$D34,'Critical resources (hide)'!BG$6:BG$105)+SUMIF(Capacity_Resource,$E34,'Critical resources (hide)'!BG$6:BG$105)+SUMIF(Capacity_Resource,$F34,'Critical resources (hide)'!BG$6:BG$105)&gt;0,$E$1=2),0,1)</f>
        <v>1</v>
      </c>
      <c r="AU34" s="67">
        <f ca="1">IF(AND(SUMIF(Capacity_Resource,$D34,'Critical resources (hide)'!BH$6:BH$105)+SUMIF(Capacity_Resource,$E34,'Critical resources (hide)'!BH$6:BH$105)+SUMIF(Capacity_Resource,$F34,'Critical resources (hide)'!BH$6:BH$105)&gt;0,$E$1=2),0,1)</f>
        <v>1</v>
      </c>
      <c r="AV34" s="67">
        <f ca="1">IF(AND(SUMIF(Capacity_Resource,$D34,'Critical resources (hide)'!BI$6:BI$105)+SUMIF(Capacity_Resource,$E34,'Critical resources (hide)'!BI$6:BI$105)+SUMIF(Capacity_Resource,$F34,'Critical resources (hide)'!BI$6:BI$105)&gt;0,$E$1=2),0,1)</f>
        <v>1</v>
      </c>
      <c r="AW34" s="67">
        <f ca="1">IF(AND(SUMIF(Capacity_Resource,$D34,'Critical resources (hide)'!BJ$6:BJ$105)+SUMIF(Capacity_Resource,$E34,'Critical resources (hide)'!BJ$6:BJ$105)+SUMIF(Capacity_Resource,$F34,'Critical resources (hide)'!BJ$6:BJ$105)&gt;0,$E$1=2),0,1)</f>
        <v>1</v>
      </c>
      <c r="AX34" s="67">
        <f ca="1">IF(AND(SUMIF(Capacity_Resource,$D34,'Critical resources (hide)'!BK$6:BK$105)+SUMIF(Capacity_Resource,$E34,'Critical resources (hide)'!BK$6:BK$105)+SUMIF(Capacity_Resource,$F34,'Critical resources (hide)'!BK$6:BK$105)&gt;0,$E$1=2),0,1)</f>
        <v>1</v>
      </c>
      <c r="AY34" s="67">
        <f ca="1">IF(AND(SUMIF(Capacity_Resource,$D34,'Critical resources (hide)'!BL$6:BL$105)+SUMIF(Capacity_Resource,$E34,'Critical resources (hide)'!BL$6:BL$105)+SUMIF(Capacity_Resource,$F34,'Critical resources (hide)'!BL$6:BL$105)&gt;0,$E$1=2),0,1)</f>
        <v>1</v>
      </c>
      <c r="AZ34" s="67">
        <f ca="1">IF(AND(SUMIF(Capacity_Resource,$D34,'Critical resources (hide)'!BM$6:BM$105)+SUMIF(Capacity_Resource,$E34,'Critical resources (hide)'!BM$6:BM$105)+SUMIF(Capacity_Resource,$F34,'Critical resources (hide)'!BM$6:BM$105)&gt;0,$E$1=2),0,1)</f>
        <v>1</v>
      </c>
      <c r="BA34" s="67">
        <f ca="1">IF(AND(SUMIF(Capacity_Resource,$D34,'Critical resources (hide)'!BN$6:BN$105)+SUMIF(Capacity_Resource,$E34,'Critical resources (hide)'!BN$6:BN$105)+SUMIF(Capacity_Resource,$F34,'Critical resources (hide)'!BN$6:BN$105)&gt;0,$E$1=2),0,1)</f>
        <v>1</v>
      </c>
      <c r="BB34" s="67">
        <f ca="1">IF(AND(SUMIF(Capacity_Resource,$D34,'Critical resources (hide)'!BO$6:BO$105)+SUMIF(Capacity_Resource,$E34,'Critical resources (hide)'!BO$6:BO$105)+SUMIF(Capacity_Resource,$F34,'Critical resources (hide)'!BO$6:BO$105)&gt;0,$E$1=2),0,1)</f>
        <v>1</v>
      </c>
      <c r="BC34" s="67">
        <f ca="1">IF(AND(SUMIF(Capacity_Resource,$D34,'Critical resources (hide)'!BP$6:BP$105)+SUMIF(Capacity_Resource,$E34,'Critical resources (hide)'!BP$6:BP$105)+SUMIF(Capacity_Resource,$F34,'Critical resources (hide)'!BP$6:BP$105)&gt;0,$E$1=2),0,1)</f>
        <v>1</v>
      </c>
      <c r="BD34" s="67">
        <f ca="1">IF(AND(SUMIF(Capacity_Resource,$D34,'Critical resources (hide)'!BQ$6:BQ$105)+SUMIF(Capacity_Resource,$E34,'Critical resources (hide)'!BQ$6:BQ$105)+SUMIF(Capacity_Resource,$F34,'Critical resources (hide)'!BQ$6:BQ$105)&gt;0,$E$1=2),0,1)</f>
        <v>1</v>
      </c>
      <c r="BE34" s="67">
        <f ca="1">IF(AND(SUMIF(Capacity_Resource,$D34,'Critical resources (hide)'!BR$6:BR$105)+SUMIF(Capacity_Resource,$E34,'Critical resources (hide)'!BR$6:BR$105)+SUMIF(Capacity_Resource,$F34,'Critical resources (hide)'!BR$6:BR$105)&gt;0,$E$1=2),0,1)</f>
        <v>1</v>
      </c>
      <c r="BF34" s="67">
        <f ca="1">IF(AND(SUMIF(Capacity_Resource,$D34,'Critical resources (hide)'!BS$6:BS$105)+SUMIF(Capacity_Resource,$E34,'Critical resources (hide)'!BS$6:BS$105)+SUMIF(Capacity_Resource,$F34,'Critical resources (hide)'!BS$6:BS$105)&gt;0,$E$1=2),0,1)</f>
        <v>1</v>
      </c>
      <c r="BG34" s="67">
        <f ca="1">IF(AND(SUMIF(Capacity_Resource,$D34,'Critical resources (hide)'!BT$6:BT$105)+SUMIF(Capacity_Resource,$E34,'Critical resources (hide)'!BT$6:BT$105)+SUMIF(Capacity_Resource,$F34,'Critical resources (hide)'!BT$6:BT$105)&gt;0,$E$1=2),0,1)</f>
        <v>1</v>
      </c>
      <c r="BH34" s="67">
        <f>IF(ROW(C30)&lt;=Capacity!$A$16,IF('Capacity summary'!$D$14="No",SUM(H34:BG34),'Capacity summary'!$E153),0)</f>
        <v>0</v>
      </c>
      <c r="BI34" s="5" t="str">
        <f>IF(BH34&gt;0,IF(BH34&lt;Capacity!E46,Capacity!F46,Capacity!H46/'Capacity calculation (hide)'!BH34),"")</f>
        <v/>
      </c>
      <c r="BK34" s="313">
        <f>IF($BI34&lt;&gt;"",IF('Capacity summary'!$D$14="Yes",IF(COUNTBLANK('Capacity summary'!$H153:$BG153)&lt;52,IF('Capacity summary'!H153&lt;&gt;"",IF(LOWER('Capacity summary'!H153)="x",$BI34*H34,VALUE('Capacity summary'!H153)),0),H34*$BI34),H34*$BI34),0)</f>
        <v>0</v>
      </c>
      <c r="BL34" s="313">
        <f>IF($BI34&lt;&gt;"",IF('Capacity summary'!$D$14="Yes",IF(COUNTBLANK('Capacity summary'!$H153:$BG153)&lt;52,IF('Capacity summary'!I153&lt;&gt;"",IF(LOWER('Capacity summary'!I153)="x",$BI34*I34,VALUE('Capacity summary'!I153)),0),I34*$BI34),I34*$BI34),0)</f>
        <v>0</v>
      </c>
      <c r="BM34" s="313">
        <f>IF($BI34&lt;&gt;"",IF('Capacity summary'!$D$14="Yes",IF(COUNTBLANK('Capacity summary'!$H153:$BG153)&lt;52,IF('Capacity summary'!J153&lt;&gt;"",IF(LOWER('Capacity summary'!J153)="x",$BI34*J34,VALUE('Capacity summary'!J153)),0),J34*$BI34),J34*$BI34),0)</f>
        <v>0</v>
      </c>
      <c r="BN34" s="313">
        <f>IF($BI34&lt;&gt;"",IF('Capacity summary'!$D$14="Yes",IF(COUNTBLANK('Capacity summary'!$H153:$BG153)&lt;52,IF('Capacity summary'!K153&lt;&gt;"",IF(LOWER('Capacity summary'!K153)="x",$BI34*K34,VALUE('Capacity summary'!K153)),0),K34*$BI34),K34*$BI34),0)</f>
        <v>0</v>
      </c>
      <c r="BO34" s="313">
        <f>IF($BI34&lt;&gt;"",IF('Capacity summary'!$D$14="Yes",IF(COUNTBLANK('Capacity summary'!$H153:$BG153)&lt;52,IF('Capacity summary'!L153&lt;&gt;"",IF(LOWER('Capacity summary'!L153)="x",$BI34*L34,VALUE('Capacity summary'!L153)),0),L34*$BI34),L34*$BI34),0)</f>
        <v>0</v>
      </c>
      <c r="BP34" s="313">
        <f>IF($BI34&lt;&gt;"",IF('Capacity summary'!$D$14="Yes",IF(COUNTBLANK('Capacity summary'!$H153:$BG153)&lt;52,IF('Capacity summary'!M153&lt;&gt;"",IF(LOWER('Capacity summary'!M153)="x",$BI34*M34,VALUE('Capacity summary'!M153)),0),M34*$BI34),M34*$BI34),0)</f>
        <v>0</v>
      </c>
      <c r="BQ34" s="313">
        <f>IF($BI34&lt;&gt;"",IF('Capacity summary'!$D$14="Yes",IF(COUNTBLANK('Capacity summary'!$H153:$BG153)&lt;52,IF('Capacity summary'!N153&lt;&gt;"",IF(LOWER('Capacity summary'!N153)="x",$BI34*N34,VALUE('Capacity summary'!N153)),0),N34*$BI34),N34*$BI34),0)</f>
        <v>0</v>
      </c>
      <c r="BR34" s="313">
        <f>IF($BI34&lt;&gt;"",IF('Capacity summary'!$D$14="Yes",IF(COUNTBLANK('Capacity summary'!$H153:$BG153)&lt;52,IF('Capacity summary'!O153&lt;&gt;"",IF(LOWER('Capacity summary'!O153)="x",$BI34*O34,VALUE('Capacity summary'!O153)),0),O34*$BI34),O34*$BI34),0)</f>
        <v>0</v>
      </c>
      <c r="BS34" s="313">
        <f>IF($BI34&lt;&gt;"",IF('Capacity summary'!$D$14="Yes",IF(COUNTBLANK('Capacity summary'!$H153:$BG153)&lt;52,IF('Capacity summary'!P153&lt;&gt;"",IF(LOWER('Capacity summary'!P153)="x",$BI34*P34,VALUE('Capacity summary'!P153)),0),P34*$BI34),P34*$BI34),0)</f>
        <v>0</v>
      </c>
      <c r="BT34" s="313">
        <f>IF($BI34&lt;&gt;"",IF('Capacity summary'!$D$14="Yes",IF(COUNTBLANK('Capacity summary'!$H153:$BG153)&lt;52,IF('Capacity summary'!Q153&lt;&gt;"",IF(LOWER('Capacity summary'!Q153)="x",$BI34*Q34,VALUE('Capacity summary'!Q153)),0),Q34*$BI34),Q34*$BI34),0)</f>
        <v>0</v>
      </c>
      <c r="BU34" s="313">
        <f>IF($BI34&lt;&gt;"",IF('Capacity summary'!$D$14="Yes",IF(COUNTBLANK('Capacity summary'!$H153:$BG153)&lt;52,IF('Capacity summary'!R153&lt;&gt;"",IF(LOWER('Capacity summary'!R153)="x",$BI34*R34,VALUE('Capacity summary'!R153)),0),R34*$BI34),R34*$BI34),0)</f>
        <v>0</v>
      </c>
      <c r="BV34" s="313">
        <f>IF($BI34&lt;&gt;"",IF('Capacity summary'!$D$14="Yes",IF(COUNTBLANK('Capacity summary'!$H153:$BG153)&lt;52,IF('Capacity summary'!S153&lt;&gt;"",IF(LOWER('Capacity summary'!S153)="x",$BI34*S34,VALUE('Capacity summary'!S153)),0),S34*$BI34),S34*$BI34),0)</f>
        <v>0</v>
      </c>
      <c r="BW34" s="313">
        <f>IF($BI34&lt;&gt;"",IF('Capacity summary'!$D$14="Yes",IF(COUNTBLANK('Capacity summary'!$H153:$BG153)&lt;52,IF('Capacity summary'!T153&lt;&gt;"",IF(LOWER('Capacity summary'!T153)="x",$BI34*T34,VALUE('Capacity summary'!T153)),0),T34*$BI34),T34*$BI34),0)</f>
        <v>0</v>
      </c>
      <c r="BX34" s="313">
        <f>IF($BI34&lt;&gt;"",IF('Capacity summary'!$D$14="Yes",IF(COUNTBLANK('Capacity summary'!$H153:$BG153)&lt;52,IF('Capacity summary'!U153&lt;&gt;"",IF(LOWER('Capacity summary'!U153)="x",$BI34*U34,VALUE('Capacity summary'!U153)),0),U34*$BI34),U34*$BI34),0)</f>
        <v>0</v>
      </c>
      <c r="BY34" s="313">
        <f>IF($BI34&lt;&gt;"",IF('Capacity summary'!$D$14="Yes",IF(COUNTBLANK('Capacity summary'!$H153:$BG153)&lt;52,IF('Capacity summary'!V153&lt;&gt;"",IF(LOWER('Capacity summary'!V153)="x",$BI34*V34,VALUE('Capacity summary'!V153)),0),V34*$BI34),V34*$BI34),0)</f>
        <v>0</v>
      </c>
      <c r="BZ34" s="313">
        <f>IF($BI34&lt;&gt;"",IF('Capacity summary'!$D$14="Yes",IF(COUNTBLANK('Capacity summary'!$H153:$BG153)&lt;52,IF('Capacity summary'!W153&lt;&gt;"",IF(LOWER('Capacity summary'!W153)="x",$BI34*W34,VALUE('Capacity summary'!W153)),0),W34*$BI34),W34*$BI34),0)</f>
        <v>0</v>
      </c>
      <c r="CA34" s="313">
        <f>IF($BI34&lt;&gt;"",IF('Capacity summary'!$D$14="Yes",IF(COUNTBLANK('Capacity summary'!$H153:$BG153)&lt;52,IF('Capacity summary'!X153&lt;&gt;"",IF(LOWER('Capacity summary'!X153)="x",$BI34*X34,VALUE('Capacity summary'!X153)),0),X34*$BI34),X34*$BI34),0)</f>
        <v>0</v>
      </c>
      <c r="CB34" s="313">
        <f>IF($BI34&lt;&gt;"",IF('Capacity summary'!$D$14="Yes",IF(COUNTBLANK('Capacity summary'!$H153:$BG153)&lt;52,IF('Capacity summary'!Y153&lt;&gt;"",IF(LOWER('Capacity summary'!Y153)="x",$BI34*Y34,VALUE('Capacity summary'!Y153)),0),Y34*$BI34),Y34*$BI34),0)</f>
        <v>0</v>
      </c>
      <c r="CC34" s="313">
        <f>IF($BI34&lt;&gt;"",IF('Capacity summary'!$D$14="Yes",IF(COUNTBLANK('Capacity summary'!$H153:$BG153)&lt;52,IF('Capacity summary'!Z153&lt;&gt;"",IF(LOWER('Capacity summary'!Z153)="x",$BI34*Z34,VALUE('Capacity summary'!Z153)),0),Z34*$BI34),Z34*$BI34),0)</f>
        <v>0</v>
      </c>
      <c r="CD34" s="313">
        <f>IF($BI34&lt;&gt;"",IF('Capacity summary'!$D$14="Yes",IF(COUNTBLANK('Capacity summary'!$H153:$BG153)&lt;52,IF('Capacity summary'!AA153&lt;&gt;"",IF(LOWER('Capacity summary'!AA153)="x",$BI34*AA34,VALUE('Capacity summary'!AA153)),0),AA34*$BI34),AA34*$BI34),0)</f>
        <v>0</v>
      </c>
      <c r="CE34" s="313">
        <f>IF($BI34&lt;&gt;"",IF('Capacity summary'!$D$14="Yes",IF(COUNTBLANK('Capacity summary'!$H153:$BG153)&lt;52,IF('Capacity summary'!AB153&lt;&gt;"",IF(LOWER('Capacity summary'!AB153)="x",$BI34*AB34,VALUE('Capacity summary'!AB153)),0),AB34*$BI34),AB34*$BI34),0)</f>
        <v>0</v>
      </c>
      <c r="CF34" s="313">
        <f>IF($BI34&lt;&gt;"",IF('Capacity summary'!$D$14="Yes",IF(COUNTBLANK('Capacity summary'!$H153:$BG153)&lt;52,IF('Capacity summary'!AC153&lt;&gt;"",IF(LOWER('Capacity summary'!AC153)="x",$BI34*AC34,VALUE('Capacity summary'!AC153)),0),AC34*$BI34),AC34*$BI34),0)</f>
        <v>0</v>
      </c>
      <c r="CG34" s="313">
        <f>IF($BI34&lt;&gt;"",IF('Capacity summary'!$D$14="Yes",IF(COUNTBLANK('Capacity summary'!$H153:$BG153)&lt;52,IF('Capacity summary'!AD153&lt;&gt;"",IF(LOWER('Capacity summary'!AD153)="x",$BI34*AD34,VALUE('Capacity summary'!AD153)),0),AD34*$BI34),AD34*$BI34),0)</f>
        <v>0</v>
      </c>
      <c r="CH34" s="313">
        <f>IF($BI34&lt;&gt;"",IF('Capacity summary'!$D$14="Yes",IF(COUNTBLANK('Capacity summary'!$H153:$BG153)&lt;52,IF('Capacity summary'!AE153&lt;&gt;"",IF(LOWER('Capacity summary'!AE153)="x",$BI34*AE34,VALUE('Capacity summary'!AE153)),0),AE34*$BI34),AE34*$BI34),0)</f>
        <v>0</v>
      </c>
      <c r="CI34" s="313">
        <f>IF($BI34&lt;&gt;"",IF('Capacity summary'!$D$14="Yes",IF(COUNTBLANK('Capacity summary'!$H153:$BG153)&lt;52,IF('Capacity summary'!AF153&lt;&gt;"",IF(LOWER('Capacity summary'!AF153)="x",$BI34*AF34,VALUE('Capacity summary'!AF153)),0),AF34*$BI34),AF34*$BI34),0)</f>
        <v>0</v>
      </c>
      <c r="CJ34" s="313">
        <f>IF($BI34&lt;&gt;"",IF('Capacity summary'!$D$14="Yes",IF(COUNTBLANK('Capacity summary'!$H153:$BG153)&lt;52,IF('Capacity summary'!AG153&lt;&gt;"",IF(LOWER('Capacity summary'!AG153)="x",$BI34*AG34,VALUE('Capacity summary'!AG153)),0),AG34*$BI34),AG34*$BI34),0)</f>
        <v>0</v>
      </c>
      <c r="CK34" s="313">
        <f>IF($BI34&lt;&gt;"",IF('Capacity summary'!$D$14="Yes",IF(COUNTBLANK('Capacity summary'!$H153:$BG153)&lt;52,IF('Capacity summary'!AH153&lt;&gt;"",IF(LOWER('Capacity summary'!AH153)="x",$BI34*AH34,VALUE('Capacity summary'!AH153)),0),AH34*$BI34),AH34*$BI34),0)</f>
        <v>0</v>
      </c>
      <c r="CL34" s="313">
        <f>IF($BI34&lt;&gt;"",IF('Capacity summary'!$D$14="Yes",IF(COUNTBLANK('Capacity summary'!$H153:$BG153)&lt;52,IF('Capacity summary'!AI153&lt;&gt;"",IF(LOWER('Capacity summary'!AI153)="x",$BI34*AI34,VALUE('Capacity summary'!AI153)),0),AI34*$BI34),AI34*$BI34),0)</f>
        <v>0</v>
      </c>
      <c r="CM34" s="313">
        <f>IF($BI34&lt;&gt;"",IF('Capacity summary'!$D$14="Yes",IF(COUNTBLANK('Capacity summary'!$H153:$BG153)&lt;52,IF('Capacity summary'!AJ153&lt;&gt;"",IF(LOWER('Capacity summary'!AJ153)="x",$BI34*AJ34,VALUE('Capacity summary'!AJ153)),0),AJ34*$BI34),AJ34*$BI34),0)</f>
        <v>0</v>
      </c>
      <c r="CN34" s="313">
        <f>IF($BI34&lt;&gt;"",IF('Capacity summary'!$D$14="Yes",IF(COUNTBLANK('Capacity summary'!$H153:$BG153)&lt;52,IF('Capacity summary'!AK153&lt;&gt;"",IF(LOWER('Capacity summary'!AK153)="x",$BI34*AK34,VALUE('Capacity summary'!AK153)),0),AK34*$BI34),AK34*$BI34),0)</f>
        <v>0</v>
      </c>
      <c r="CO34" s="313">
        <f>IF($BI34&lt;&gt;"",IF('Capacity summary'!$D$14="Yes",IF(COUNTBLANK('Capacity summary'!$H153:$BG153)&lt;52,IF('Capacity summary'!AL153&lt;&gt;"",IF(LOWER('Capacity summary'!AL153)="x",$BI34*AL34,VALUE('Capacity summary'!AL153)),0),AL34*$BI34),AL34*$BI34),0)</f>
        <v>0</v>
      </c>
      <c r="CP34" s="313">
        <f>IF($BI34&lt;&gt;"",IF('Capacity summary'!$D$14="Yes",IF(COUNTBLANK('Capacity summary'!$H153:$BG153)&lt;52,IF('Capacity summary'!AM153&lt;&gt;"",IF(LOWER('Capacity summary'!AM153)="x",$BI34*AM34,VALUE('Capacity summary'!AM153)),0),AM34*$BI34),AM34*$BI34),0)</f>
        <v>0</v>
      </c>
      <c r="CQ34" s="313">
        <f>IF($BI34&lt;&gt;"",IF('Capacity summary'!$D$14="Yes",IF(COUNTBLANK('Capacity summary'!$H153:$BG153)&lt;52,IF('Capacity summary'!AN153&lt;&gt;"",IF(LOWER('Capacity summary'!AN153)="x",$BI34*AN34,VALUE('Capacity summary'!AN153)),0),AN34*$BI34),AN34*$BI34),0)</f>
        <v>0</v>
      </c>
      <c r="CR34" s="313">
        <f>IF($BI34&lt;&gt;"",IF('Capacity summary'!$D$14="Yes",IF(COUNTBLANK('Capacity summary'!$H153:$BG153)&lt;52,IF('Capacity summary'!AO153&lt;&gt;"",IF(LOWER('Capacity summary'!AO153)="x",$BI34*AO34,VALUE('Capacity summary'!AO153)),0),AO34*$BI34),AO34*$BI34),0)</f>
        <v>0</v>
      </c>
      <c r="CS34" s="313">
        <f>IF($BI34&lt;&gt;"",IF('Capacity summary'!$D$14="Yes",IF(COUNTBLANK('Capacity summary'!$H153:$BG153)&lt;52,IF('Capacity summary'!AP153&lt;&gt;"",IF(LOWER('Capacity summary'!AP153)="x",$BI34*AP34,VALUE('Capacity summary'!AP153)),0),AP34*$BI34),AP34*$BI34),0)</f>
        <v>0</v>
      </c>
      <c r="CT34" s="313">
        <f>IF($BI34&lt;&gt;"",IF('Capacity summary'!$D$14="Yes",IF(COUNTBLANK('Capacity summary'!$H153:$BG153)&lt;52,IF('Capacity summary'!AQ153&lt;&gt;"",IF(LOWER('Capacity summary'!AQ153)="x",$BI34*AQ34,VALUE('Capacity summary'!AQ153)),0),AQ34*$BI34),AQ34*$BI34),0)</f>
        <v>0</v>
      </c>
      <c r="CU34" s="313">
        <f>IF($BI34&lt;&gt;"",IF('Capacity summary'!$D$14="Yes",IF(COUNTBLANK('Capacity summary'!$H153:$BG153)&lt;52,IF('Capacity summary'!AR153&lt;&gt;"",IF(LOWER('Capacity summary'!AR153)="x",$BI34*AR34,VALUE('Capacity summary'!AR153)),0),AR34*$BI34),AR34*$BI34),0)</f>
        <v>0</v>
      </c>
      <c r="CV34" s="313">
        <f>IF($BI34&lt;&gt;"",IF('Capacity summary'!$D$14="Yes",IF(COUNTBLANK('Capacity summary'!$H153:$BG153)&lt;52,IF('Capacity summary'!AS153&lt;&gt;"",IF(LOWER('Capacity summary'!AS153)="x",$BI34*AS34,VALUE('Capacity summary'!AS153)),0),AS34*$BI34),AS34*$BI34),0)</f>
        <v>0</v>
      </c>
      <c r="CW34" s="313">
        <f>IF($BI34&lt;&gt;"",IF('Capacity summary'!$D$14="Yes",IF(COUNTBLANK('Capacity summary'!$H153:$BG153)&lt;52,IF('Capacity summary'!AT153&lt;&gt;"",IF(LOWER('Capacity summary'!AT153)="x",$BI34*AT34,VALUE('Capacity summary'!AT153)),0),AT34*$BI34),AT34*$BI34),0)</f>
        <v>0</v>
      </c>
      <c r="CX34" s="313">
        <f>IF($BI34&lt;&gt;"",IF('Capacity summary'!$D$14="Yes",IF(COUNTBLANK('Capacity summary'!$H153:$BG153)&lt;52,IF('Capacity summary'!AU153&lt;&gt;"",IF(LOWER('Capacity summary'!AU153)="x",$BI34*AU34,VALUE('Capacity summary'!AU153)),0),AU34*$BI34),AU34*$BI34),0)</f>
        <v>0</v>
      </c>
      <c r="CY34" s="313">
        <f>IF($BI34&lt;&gt;"",IF('Capacity summary'!$D$14="Yes",IF(COUNTBLANK('Capacity summary'!$H153:$BG153)&lt;52,IF('Capacity summary'!AV153&lt;&gt;"",IF(LOWER('Capacity summary'!AV153)="x",$BI34*AV34,VALUE('Capacity summary'!AV153)),0),AV34*$BI34),AV34*$BI34),0)</f>
        <v>0</v>
      </c>
      <c r="CZ34" s="313">
        <f>IF($BI34&lt;&gt;"",IF('Capacity summary'!$D$14="Yes",IF(COUNTBLANK('Capacity summary'!$H153:$BG153)&lt;52,IF('Capacity summary'!AW153&lt;&gt;"",IF(LOWER('Capacity summary'!AW153)="x",$BI34*AW34,VALUE('Capacity summary'!AW153)),0),AW34*$BI34),AW34*$BI34),0)</f>
        <v>0</v>
      </c>
      <c r="DA34" s="313">
        <f>IF($BI34&lt;&gt;"",IF('Capacity summary'!$D$14="Yes",IF(COUNTBLANK('Capacity summary'!$H153:$BG153)&lt;52,IF('Capacity summary'!AX153&lt;&gt;"",IF(LOWER('Capacity summary'!AX153)="x",$BI34*AX34,VALUE('Capacity summary'!AX153)),0),AX34*$BI34),AX34*$BI34),0)</f>
        <v>0</v>
      </c>
      <c r="DB34" s="313">
        <f>IF($BI34&lt;&gt;"",IF('Capacity summary'!$D$14="Yes",IF(COUNTBLANK('Capacity summary'!$H153:$BG153)&lt;52,IF('Capacity summary'!AY153&lt;&gt;"",IF(LOWER('Capacity summary'!AY153)="x",$BI34*AY34,VALUE('Capacity summary'!AY153)),0),AY34*$BI34),AY34*$BI34),0)</f>
        <v>0</v>
      </c>
      <c r="DC34" s="313">
        <f>IF($BI34&lt;&gt;"",IF('Capacity summary'!$D$14="Yes",IF(COUNTBLANK('Capacity summary'!$H153:$BG153)&lt;52,IF('Capacity summary'!AZ153&lt;&gt;"",IF(LOWER('Capacity summary'!AZ153)="x",$BI34*AZ34,VALUE('Capacity summary'!AZ153)),0),AZ34*$BI34),AZ34*$BI34),0)</f>
        <v>0</v>
      </c>
      <c r="DD34" s="313">
        <f>IF($BI34&lt;&gt;"",IF('Capacity summary'!$D$14="Yes",IF(COUNTBLANK('Capacity summary'!$H153:$BG153)&lt;52,IF('Capacity summary'!BA153&lt;&gt;"",IF(LOWER('Capacity summary'!BA153)="x",$BI34*BA34,VALUE('Capacity summary'!BA153)),0),BA34*$BI34),BA34*$BI34),0)</f>
        <v>0</v>
      </c>
      <c r="DE34" s="313">
        <f>IF($BI34&lt;&gt;"",IF('Capacity summary'!$D$14="Yes",IF(COUNTBLANK('Capacity summary'!$H153:$BG153)&lt;52,IF('Capacity summary'!BB153&lt;&gt;"",IF(LOWER('Capacity summary'!BB153)="x",$BI34*BB34,VALUE('Capacity summary'!BB153)),0),BB34*$BI34),BB34*$BI34),0)</f>
        <v>0</v>
      </c>
      <c r="DF34" s="313">
        <f>IF($BI34&lt;&gt;"",IF('Capacity summary'!$D$14="Yes",IF(COUNTBLANK('Capacity summary'!$H153:$BG153)&lt;52,IF('Capacity summary'!BC153&lt;&gt;"",IF(LOWER('Capacity summary'!BC153)="x",$BI34*BC34,VALUE('Capacity summary'!BC153)),0),BC34*$BI34),BC34*$BI34),0)</f>
        <v>0</v>
      </c>
      <c r="DG34" s="313">
        <f>IF($BI34&lt;&gt;"",IF('Capacity summary'!$D$14="Yes",IF(COUNTBLANK('Capacity summary'!$H153:$BG153)&lt;52,IF('Capacity summary'!BD153&lt;&gt;"",IF(LOWER('Capacity summary'!BD153)="x",$BI34*BD34,VALUE('Capacity summary'!BD153)),0),BD34*$BI34),BD34*$BI34),0)</f>
        <v>0</v>
      </c>
      <c r="DH34" s="313">
        <f>IF($BI34&lt;&gt;"",IF('Capacity summary'!$D$14="Yes",IF(COUNTBLANK('Capacity summary'!$H153:$BG153)&lt;52,IF('Capacity summary'!BE153&lt;&gt;"",IF(LOWER('Capacity summary'!BE153)="x",$BI34*BE34,VALUE('Capacity summary'!BE153)),0),BE34*$BI34),BE34*$BI34),0)</f>
        <v>0</v>
      </c>
      <c r="DI34" s="313">
        <f>IF($BI34&lt;&gt;"",IF('Capacity summary'!$D$14="Yes",IF(COUNTBLANK('Capacity summary'!$H153:$BG153)&lt;52,IF('Capacity summary'!BF153&lt;&gt;"",IF(LOWER('Capacity summary'!BF153)="x",$BI34*BF34,VALUE('Capacity summary'!BF153)),0),BF34*$BI34),BF34*$BI34),0)</f>
        <v>0</v>
      </c>
      <c r="DJ34" s="313">
        <f>IF($BI34&lt;&gt;"",IF('Capacity summary'!$D$14="Yes",IF(COUNTBLANK('Capacity summary'!$H153:$BG153)&lt;52,IF('Capacity summary'!BG153&lt;&gt;"",IF(LOWER('Capacity summary'!BG153)="x",$BI34*BG34,VALUE('Capacity summary'!BG153)),0),BG34*$BI34),BG34*$BI34),0)</f>
        <v>0</v>
      </c>
      <c r="DK34" s="137">
        <f t="shared" si="2"/>
        <v>0</v>
      </c>
      <c r="DL34" s="313" t="str">
        <f>Capacity!H46</f>
        <v/>
      </c>
      <c r="DP34" s="5"/>
    </row>
    <row r="35" spans="2:120" x14ac:dyDescent="0.25">
      <c r="B35" s="67"/>
      <c r="C35" s="67" t="str">
        <f>ROW(A31)&amp;". "&amp;Capacity!B47</f>
        <v xml:space="preserve">31. </v>
      </c>
      <c r="D35" s="67">
        <f>'Capacity setup'!C42</f>
        <v>0</v>
      </c>
      <c r="E35" s="67">
        <f>'Capacity setup'!D42</f>
        <v>0</v>
      </c>
      <c r="F35" s="67">
        <f>'Capacity setup'!E42</f>
        <v>0</v>
      </c>
      <c r="H35" s="67">
        <f ca="1">IF(AND(SUMIF(Capacity_Resource,$D35,'Critical resources (hide)'!U$6:U$105)+SUMIF(Capacity_Resource,$E35,'Critical resources (hide)'!U$6:U$105)+SUMIF(Capacity_Resource,$F35,'Critical resources (hide)'!U$6:U$105)&gt;0,$E$1=2),0,1)</f>
        <v>1</v>
      </c>
      <c r="I35" s="67">
        <f ca="1">IF(AND(SUMIF(Capacity_Resource,$D35,'Critical resources (hide)'!V$6:V$105)+SUMIF(Capacity_Resource,$E35,'Critical resources (hide)'!V$6:V$105)+SUMIF(Capacity_Resource,$F35,'Critical resources (hide)'!V$6:V$105)&gt;0,$E$1=2),0,1)</f>
        <v>1</v>
      </c>
      <c r="J35" s="67">
        <f ca="1">IF(AND(SUMIF(Capacity_Resource,$D35,'Critical resources (hide)'!W$6:W$105)+SUMIF(Capacity_Resource,$E35,'Critical resources (hide)'!W$6:W$105)+SUMIF(Capacity_Resource,$F35,'Critical resources (hide)'!W$6:W$105)&gt;0,$E$1=2),0,1)</f>
        <v>1</v>
      </c>
      <c r="K35" s="67">
        <f ca="1">IF(AND(SUMIF(Capacity_Resource,$D35,'Critical resources (hide)'!X$6:X$105)+SUMIF(Capacity_Resource,$E35,'Critical resources (hide)'!X$6:X$105)+SUMIF(Capacity_Resource,$F35,'Critical resources (hide)'!X$6:X$105)&gt;0,$E$1=2),0,1)</f>
        <v>1</v>
      </c>
      <c r="L35" s="67">
        <f ca="1">IF(AND(SUMIF(Capacity_Resource,$D35,'Critical resources (hide)'!Y$6:Y$105)+SUMIF(Capacity_Resource,$E35,'Critical resources (hide)'!Y$6:Y$105)+SUMIF(Capacity_Resource,$F35,'Critical resources (hide)'!Y$6:Y$105)&gt;0,$E$1=2),0,1)</f>
        <v>1</v>
      </c>
      <c r="M35" s="67">
        <f ca="1">IF(AND(SUMIF(Capacity_Resource,$D35,'Critical resources (hide)'!Z$6:Z$105)+SUMIF(Capacity_Resource,$E35,'Critical resources (hide)'!Z$6:Z$105)+SUMIF(Capacity_Resource,$F35,'Critical resources (hide)'!Z$6:Z$105)&gt;0,$E$1=2),0,1)</f>
        <v>1</v>
      </c>
      <c r="N35" s="67">
        <f ca="1">IF(AND(SUMIF(Capacity_Resource,$D35,'Critical resources (hide)'!AA$6:AA$105)+SUMIF(Capacity_Resource,$E35,'Critical resources (hide)'!AA$6:AA$105)+SUMIF(Capacity_Resource,$F35,'Critical resources (hide)'!AA$6:AA$105)&gt;0,$E$1=2),0,1)</f>
        <v>1</v>
      </c>
      <c r="O35" s="67">
        <f ca="1">IF(AND(SUMIF(Capacity_Resource,$D35,'Critical resources (hide)'!AB$6:AB$105)+SUMIF(Capacity_Resource,$E35,'Critical resources (hide)'!AB$6:AB$105)+SUMIF(Capacity_Resource,$F35,'Critical resources (hide)'!AB$6:AB$105)&gt;0,$E$1=2),0,1)</f>
        <v>1</v>
      </c>
      <c r="P35" s="67">
        <f ca="1">IF(AND(SUMIF(Capacity_Resource,$D35,'Critical resources (hide)'!AC$6:AC$105)+SUMIF(Capacity_Resource,$E35,'Critical resources (hide)'!AC$6:AC$105)+SUMIF(Capacity_Resource,$F35,'Critical resources (hide)'!AC$6:AC$105)&gt;0,$E$1=2),0,1)</f>
        <v>1</v>
      </c>
      <c r="Q35" s="67">
        <f ca="1">IF(AND(SUMIF(Capacity_Resource,$D35,'Critical resources (hide)'!AD$6:AD$105)+SUMIF(Capacity_Resource,$E35,'Critical resources (hide)'!AD$6:AD$105)+SUMIF(Capacity_Resource,$F35,'Critical resources (hide)'!AD$6:AD$105)&gt;0,$E$1=2),0,1)</f>
        <v>1</v>
      </c>
      <c r="R35" s="67">
        <f ca="1">IF(AND(SUMIF(Capacity_Resource,$D35,'Critical resources (hide)'!AE$6:AE$105)+SUMIF(Capacity_Resource,$E35,'Critical resources (hide)'!AE$6:AE$105)+SUMIF(Capacity_Resource,$F35,'Critical resources (hide)'!AE$6:AE$105)&gt;0,$E$1=2),0,1)</f>
        <v>1</v>
      </c>
      <c r="S35" s="67">
        <f ca="1">IF(AND(SUMIF(Capacity_Resource,$D35,'Critical resources (hide)'!AF$6:AF$105)+SUMIF(Capacity_Resource,$E35,'Critical resources (hide)'!AF$6:AF$105)+SUMIF(Capacity_Resource,$F35,'Critical resources (hide)'!AF$6:AF$105)&gt;0,$E$1=2),0,1)</f>
        <v>1</v>
      </c>
      <c r="T35" s="67">
        <f ca="1">IF(AND(SUMIF(Capacity_Resource,$D35,'Critical resources (hide)'!AG$6:AG$105)+SUMIF(Capacity_Resource,$E35,'Critical resources (hide)'!AG$6:AG$105)+SUMIF(Capacity_Resource,$F35,'Critical resources (hide)'!AG$6:AG$105)&gt;0,$E$1=2),0,1)</f>
        <v>1</v>
      </c>
      <c r="U35" s="67">
        <f ca="1">IF(AND(SUMIF(Capacity_Resource,$D35,'Critical resources (hide)'!AH$6:AH$105)+SUMIF(Capacity_Resource,$E35,'Critical resources (hide)'!AH$6:AH$105)+SUMIF(Capacity_Resource,$F35,'Critical resources (hide)'!AH$6:AH$105)&gt;0,$E$1=2),0,1)</f>
        <v>1</v>
      </c>
      <c r="V35" s="67">
        <f ca="1">IF(AND(SUMIF(Capacity_Resource,$D35,'Critical resources (hide)'!AI$6:AI$105)+SUMIF(Capacity_Resource,$E35,'Critical resources (hide)'!AI$6:AI$105)+SUMIF(Capacity_Resource,$F35,'Critical resources (hide)'!AI$6:AI$105)&gt;0,$E$1=2),0,1)</f>
        <v>1</v>
      </c>
      <c r="W35" s="67">
        <f ca="1">IF(AND(SUMIF(Capacity_Resource,$D35,'Critical resources (hide)'!AJ$6:AJ$105)+SUMIF(Capacity_Resource,$E35,'Critical resources (hide)'!AJ$6:AJ$105)+SUMIF(Capacity_Resource,$F35,'Critical resources (hide)'!AJ$6:AJ$105)&gt;0,$E$1=2),0,1)</f>
        <v>1</v>
      </c>
      <c r="X35" s="67">
        <f ca="1">IF(AND(SUMIF(Capacity_Resource,$D35,'Critical resources (hide)'!AK$6:AK$105)+SUMIF(Capacity_Resource,$E35,'Critical resources (hide)'!AK$6:AK$105)+SUMIF(Capacity_Resource,$F35,'Critical resources (hide)'!AK$6:AK$105)&gt;0,$E$1=2),0,1)</f>
        <v>1</v>
      </c>
      <c r="Y35" s="67">
        <f ca="1">IF(AND(SUMIF(Capacity_Resource,$D35,'Critical resources (hide)'!AL$6:AL$105)+SUMIF(Capacity_Resource,$E35,'Critical resources (hide)'!AL$6:AL$105)+SUMIF(Capacity_Resource,$F35,'Critical resources (hide)'!AL$6:AL$105)&gt;0,$E$1=2),0,1)</f>
        <v>1</v>
      </c>
      <c r="Z35" s="67">
        <f ca="1">IF(AND(SUMIF(Capacity_Resource,$D35,'Critical resources (hide)'!AM$6:AM$105)+SUMIF(Capacity_Resource,$E35,'Critical resources (hide)'!AM$6:AM$105)+SUMIF(Capacity_Resource,$F35,'Critical resources (hide)'!AM$6:AM$105)&gt;0,$E$1=2),0,1)</f>
        <v>1</v>
      </c>
      <c r="AA35" s="67">
        <f ca="1">IF(AND(SUMIF(Capacity_Resource,$D35,'Critical resources (hide)'!AN$6:AN$105)+SUMIF(Capacity_Resource,$E35,'Critical resources (hide)'!AN$6:AN$105)+SUMIF(Capacity_Resource,$F35,'Critical resources (hide)'!AN$6:AN$105)&gt;0,$E$1=2),0,1)</f>
        <v>1</v>
      </c>
      <c r="AB35" s="67">
        <f ca="1">IF(AND(SUMIF(Capacity_Resource,$D35,'Critical resources (hide)'!AO$6:AO$105)+SUMIF(Capacity_Resource,$E35,'Critical resources (hide)'!AO$6:AO$105)+SUMIF(Capacity_Resource,$F35,'Critical resources (hide)'!AO$6:AO$105)&gt;0,$E$1=2),0,1)</f>
        <v>1</v>
      </c>
      <c r="AC35" s="67">
        <f ca="1">IF(AND(SUMIF(Capacity_Resource,$D35,'Critical resources (hide)'!AP$6:AP$105)+SUMIF(Capacity_Resource,$E35,'Critical resources (hide)'!AP$6:AP$105)+SUMIF(Capacity_Resource,$F35,'Critical resources (hide)'!AP$6:AP$105)&gt;0,$E$1=2),0,1)</f>
        <v>1</v>
      </c>
      <c r="AD35" s="67">
        <f ca="1">IF(AND(SUMIF(Capacity_Resource,$D35,'Critical resources (hide)'!AQ$6:AQ$105)+SUMIF(Capacity_Resource,$E35,'Critical resources (hide)'!AQ$6:AQ$105)+SUMIF(Capacity_Resource,$F35,'Critical resources (hide)'!AQ$6:AQ$105)&gt;0,$E$1=2),0,1)</f>
        <v>1</v>
      </c>
      <c r="AE35" s="67">
        <f ca="1">IF(AND(SUMIF(Capacity_Resource,$D35,'Critical resources (hide)'!AR$6:AR$105)+SUMIF(Capacity_Resource,$E35,'Critical resources (hide)'!AR$6:AR$105)+SUMIF(Capacity_Resource,$F35,'Critical resources (hide)'!AR$6:AR$105)&gt;0,$E$1=2),0,1)</f>
        <v>1</v>
      </c>
      <c r="AF35" s="67">
        <f ca="1">IF(AND(SUMIF(Capacity_Resource,$D35,'Critical resources (hide)'!AS$6:AS$105)+SUMIF(Capacity_Resource,$E35,'Critical resources (hide)'!AS$6:AS$105)+SUMIF(Capacity_Resource,$F35,'Critical resources (hide)'!AS$6:AS$105)&gt;0,$E$1=2),0,1)</f>
        <v>1</v>
      </c>
      <c r="AG35" s="67">
        <f ca="1">IF(AND(SUMIF(Capacity_Resource,$D35,'Critical resources (hide)'!AT$6:AT$105)+SUMIF(Capacity_Resource,$E35,'Critical resources (hide)'!AT$6:AT$105)+SUMIF(Capacity_Resource,$F35,'Critical resources (hide)'!AT$6:AT$105)&gt;0,$E$1=2),0,1)</f>
        <v>1</v>
      </c>
      <c r="AH35" s="67">
        <f ca="1">IF(AND(SUMIF(Capacity_Resource,$D35,'Critical resources (hide)'!AU$6:AU$105)+SUMIF(Capacity_Resource,$E35,'Critical resources (hide)'!AU$6:AU$105)+SUMIF(Capacity_Resource,$F35,'Critical resources (hide)'!AU$6:AU$105)&gt;0,$E$1=2),0,1)</f>
        <v>1</v>
      </c>
      <c r="AI35" s="67">
        <f ca="1">IF(AND(SUMIF(Capacity_Resource,$D35,'Critical resources (hide)'!AV$6:AV$105)+SUMIF(Capacity_Resource,$E35,'Critical resources (hide)'!AV$6:AV$105)+SUMIF(Capacity_Resource,$F35,'Critical resources (hide)'!AV$6:AV$105)&gt;0,$E$1=2),0,1)</f>
        <v>1</v>
      </c>
      <c r="AJ35" s="67">
        <f ca="1">IF(AND(SUMIF(Capacity_Resource,$D35,'Critical resources (hide)'!AW$6:AW$105)+SUMIF(Capacity_Resource,$E35,'Critical resources (hide)'!AW$6:AW$105)+SUMIF(Capacity_Resource,$F35,'Critical resources (hide)'!AW$6:AW$105)&gt;0,$E$1=2),0,1)</f>
        <v>1</v>
      </c>
      <c r="AK35" s="67">
        <f ca="1">IF(AND(SUMIF(Capacity_Resource,$D35,'Critical resources (hide)'!AX$6:AX$105)+SUMIF(Capacity_Resource,$E35,'Critical resources (hide)'!AX$6:AX$105)+SUMIF(Capacity_Resource,$F35,'Critical resources (hide)'!AX$6:AX$105)&gt;0,$E$1=2),0,1)</f>
        <v>1</v>
      </c>
      <c r="AL35" s="67">
        <f ca="1">IF(AND(SUMIF(Capacity_Resource,$D35,'Critical resources (hide)'!AY$6:AY$105)+SUMIF(Capacity_Resource,$E35,'Critical resources (hide)'!AY$6:AY$105)+SUMIF(Capacity_Resource,$F35,'Critical resources (hide)'!AY$6:AY$105)&gt;0,$E$1=2),0,1)</f>
        <v>1</v>
      </c>
      <c r="AM35" s="67">
        <f ca="1">IF(AND(SUMIF(Capacity_Resource,$D35,'Critical resources (hide)'!AZ$6:AZ$105)+SUMIF(Capacity_Resource,$E35,'Critical resources (hide)'!AZ$6:AZ$105)+SUMIF(Capacity_Resource,$F35,'Critical resources (hide)'!AZ$6:AZ$105)&gt;0,$E$1=2),0,1)</f>
        <v>1</v>
      </c>
      <c r="AN35" s="67">
        <f ca="1">IF(AND(SUMIF(Capacity_Resource,$D35,'Critical resources (hide)'!BA$6:BA$105)+SUMIF(Capacity_Resource,$E35,'Critical resources (hide)'!BA$6:BA$105)+SUMIF(Capacity_Resource,$F35,'Critical resources (hide)'!BA$6:BA$105)&gt;0,$E$1=2),0,1)</f>
        <v>1</v>
      </c>
      <c r="AO35" s="67">
        <f ca="1">IF(AND(SUMIF(Capacity_Resource,$D35,'Critical resources (hide)'!BB$6:BB$105)+SUMIF(Capacity_Resource,$E35,'Critical resources (hide)'!BB$6:BB$105)+SUMIF(Capacity_Resource,$F35,'Critical resources (hide)'!BB$6:BB$105)&gt;0,$E$1=2),0,1)</f>
        <v>1</v>
      </c>
      <c r="AP35" s="67">
        <f ca="1">IF(AND(SUMIF(Capacity_Resource,$D35,'Critical resources (hide)'!BC$6:BC$105)+SUMIF(Capacity_Resource,$E35,'Critical resources (hide)'!BC$6:BC$105)+SUMIF(Capacity_Resource,$F35,'Critical resources (hide)'!BC$6:BC$105)&gt;0,$E$1=2),0,1)</f>
        <v>1</v>
      </c>
      <c r="AQ35" s="67">
        <f ca="1">IF(AND(SUMIF(Capacity_Resource,$D35,'Critical resources (hide)'!BD$6:BD$105)+SUMIF(Capacity_Resource,$E35,'Critical resources (hide)'!BD$6:BD$105)+SUMIF(Capacity_Resource,$F35,'Critical resources (hide)'!BD$6:BD$105)&gt;0,$E$1=2),0,1)</f>
        <v>1</v>
      </c>
      <c r="AR35" s="67">
        <f ca="1">IF(AND(SUMIF(Capacity_Resource,$D35,'Critical resources (hide)'!BE$6:BE$105)+SUMIF(Capacity_Resource,$E35,'Critical resources (hide)'!BE$6:BE$105)+SUMIF(Capacity_Resource,$F35,'Critical resources (hide)'!BE$6:BE$105)&gt;0,$E$1=2),0,1)</f>
        <v>1</v>
      </c>
      <c r="AS35" s="67">
        <f ca="1">IF(AND(SUMIF(Capacity_Resource,$D35,'Critical resources (hide)'!BF$6:BF$105)+SUMIF(Capacity_Resource,$E35,'Critical resources (hide)'!BF$6:BF$105)+SUMIF(Capacity_Resource,$F35,'Critical resources (hide)'!BF$6:BF$105)&gt;0,$E$1=2),0,1)</f>
        <v>1</v>
      </c>
      <c r="AT35" s="67">
        <f ca="1">IF(AND(SUMIF(Capacity_Resource,$D35,'Critical resources (hide)'!BG$6:BG$105)+SUMIF(Capacity_Resource,$E35,'Critical resources (hide)'!BG$6:BG$105)+SUMIF(Capacity_Resource,$F35,'Critical resources (hide)'!BG$6:BG$105)&gt;0,$E$1=2),0,1)</f>
        <v>1</v>
      </c>
      <c r="AU35" s="67">
        <f ca="1">IF(AND(SUMIF(Capacity_Resource,$D35,'Critical resources (hide)'!BH$6:BH$105)+SUMIF(Capacity_Resource,$E35,'Critical resources (hide)'!BH$6:BH$105)+SUMIF(Capacity_Resource,$F35,'Critical resources (hide)'!BH$6:BH$105)&gt;0,$E$1=2),0,1)</f>
        <v>1</v>
      </c>
      <c r="AV35" s="67">
        <f ca="1">IF(AND(SUMIF(Capacity_Resource,$D35,'Critical resources (hide)'!BI$6:BI$105)+SUMIF(Capacity_Resource,$E35,'Critical resources (hide)'!BI$6:BI$105)+SUMIF(Capacity_Resource,$F35,'Critical resources (hide)'!BI$6:BI$105)&gt;0,$E$1=2),0,1)</f>
        <v>1</v>
      </c>
      <c r="AW35" s="67">
        <f ca="1">IF(AND(SUMIF(Capacity_Resource,$D35,'Critical resources (hide)'!BJ$6:BJ$105)+SUMIF(Capacity_Resource,$E35,'Critical resources (hide)'!BJ$6:BJ$105)+SUMIF(Capacity_Resource,$F35,'Critical resources (hide)'!BJ$6:BJ$105)&gt;0,$E$1=2),0,1)</f>
        <v>1</v>
      </c>
      <c r="AX35" s="67">
        <f ca="1">IF(AND(SUMIF(Capacity_Resource,$D35,'Critical resources (hide)'!BK$6:BK$105)+SUMIF(Capacity_Resource,$E35,'Critical resources (hide)'!BK$6:BK$105)+SUMIF(Capacity_Resource,$F35,'Critical resources (hide)'!BK$6:BK$105)&gt;0,$E$1=2),0,1)</f>
        <v>1</v>
      </c>
      <c r="AY35" s="67">
        <f ca="1">IF(AND(SUMIF(Capacity_Resource,$D35,'Critical resources (hide)'!BL$6:BL$105)+SUMIF(Capacity_Resource,$E35,'Critical resources (hide)'!BL$6:BL$105)+SUMIF(Capacity_Resource,$F35,'Critical resources (hide)'!BL$6:BL$105)&gt;0,$E$1=2),0,1)</f>
        <v>1</v>
      </c>
      <c r="AZ35" s="67">
        <f ca="1">IF(AND(SUMIF(Capacity_Resource,$D35,'Critical resources (hide)'!BM$6:BM$105)+SUMIF(Capacity_Resource,$E35,'Critical resources (hide)'!BM$6:BM$105)+SUMIF(Capacity_Resource,$F35,'Critical resources (hide)'!BM$6:BM$105)&gt;0,$E$1=2),0,1)</f>
        <v>1</v>
      </c>
      <c r="BA35" s="67">
        <f ca="1">IF(AND(SUMIF(Capacity_Resource,$D35,'Critical resources (hide)'!BN$6:BN$105)+SUMIF(Capacity_Resource,$E35,'Critical resources (hide)'!BN$6:BN$105)+SUMIF(Capacity_Resource,$F35,'Critical resources (hide)'!BN$6:BN$105)&gt;0,$E$1=2),0,1)</f>
        <v>1</v>
      </c>
      <c r="BB35" s="67">
        <f ca="1">IF(AND(SUMIF(Capacity_Resource,$D35,'Critical resources (hide)'!BO$6:BO$105)+SUMIF(Capacity_Resource,$E35,'Critical resources (hide)'!BO$6:BO$105)+SUMIF(Capacity_Resource,$F35,'Critical resources (hide)'!BO$6:BO$105)&gt;0,$E$1=2),0,1)</f>
        <v>1</v>
      </c>
      <c r="BC35" s="67">
        <f ca="1">IF(AND(SUMIF(Capacity_Resource,$D35,'Critical resources (hide)'!BP$6:BP$105)+SUMIF(Capacity_Resource,$E35,'Critical resources (hide)'!BP$6:BP$105)+SUMIF(Capacity_Resource,$F35,'Critical resources (hide)'!BP$6:BP$105)&gt;0,$E$1=2),0,1)</f>
        <v>1</v>
      </c>
      <c r="BD35" s="67">
        <f ca="1">IF(AND(SUMIF(Capacity_Resource,$D35,'Critical resources (hide)'!BQ$6:BQ$105)+SUMIF(Capacity_Resource,$E35,'Critical resources (hide)'!BQ$6:BQ$105)+SUMIF(Capacity_Resource,$F35,'Critical resources (hide)'!BQ$6:BQ$105)&gt;0,$E$1=2),0,1)</f>
        <v>1</v>
      </c>
      <c r="BE35" s="67">
        <f ca="1">IF(AND(SUMIF(Capacity_Resource,$D35,'Critical resources (hide)'!BR$6:BR$105)+SUMIF(Capacity_Resource,$E35,'Critical resources (hide)'!BR$6:BR$105)+SUMIF(Capacity_Resource,$F35,'Critical resources (hide)'!BR$6:BR$105)&gt;0,$E$1=2),0,1)</f>
        <v>1</v>
      </c>
      <c r="BF35" s="67">
        <f ca="1">IF(AND(SUMIF(Capacity_Resource,$D35,'Critical resources (hide)'!BS$6:BS$105)+SUMIF(Capacity_Resource,$E35,'Critical resources (hide)'!BS$6:BS$105)+SUMIF(Capacity_Resource,$F35,'Critical resources (hide)'!BS$6:BS$105)&gt;0,$E$1=2),0,1)</f>
        <v>1</v>
      </c>
      <c r="BG35" s="67">
        <f ca="1">IF(AND(SUMIF(Capacity_Resource,$D35,'Critical resources (hide)'!BT$6:BT$105)+SUMIF(Capacity_Resource,$E35,'Critical resources (hide)'!BT$6:BT$105)+SUMIF(Capacity_Resource,$F35,'Critical resources (hide)'!BT$6:BT$105)&gt;0,$E$1=2),0,1)</f>
        <v>1</v>
      </c>
      <c r="BH35" s="67">
        <f>IF(ROW(C31)&lt;=Capacity!$A$16,IF('Capacity summary'!$D$14="No",SUM(H35:BG35),'Capacity summary'!$E154),0)</f>
        <v>0</v>
      </c>
      <c r="BI35" s="5" t="str">
        <f>IF(BH35&gt;0,IF(BH35&lt;Capacity!E47,Capacity!F47,Capacity!H47/'Capacity calculation (hide)'!BH35),"")</f>
        <v/>
      </c>
      <c r="BK35" s="313">
        <f>IF($BI35&lt;&gt;"",IF('Capacity summary'!$D$14="Yes",IF(COUNTBLANK('Capacity summary'!$H154:$BG154)&lt;52,IF('Capacity summary'!H154&lt;&gt;"",IF(LOWER('Capacity summary'!H154)="x",$BI35*H35,VALUE('Capacity summary'!H154)),0),H35*$BI35),H35*$BI35),0)</f>
        <v>0</v>
      </c>
      <c r="BL35" s="313">
        <f>IF($BI35&lt;&gt;"",IF('Capacity summary'!$D$14="Yes",IF(COUNTBLANK('Capacity summary'!$H154:$BG154)&lt;52,IF('Capacity summary'!I154&lt;&gt;"",IF(LOWER('Capacity summary'!I154)="x",$BI35*I35,VALUE('Capacity summary'!I154)),0),I35*$BI35),I35*$BI35),0)</f>
        <v>0</v>
      </c>
      <c r="BM35" s="313">
        <f>IF($BI35&lt;&gt;"",IF('Capacity summary'!$D$14="Yes",IF(COUNTBLANK('Capacity summary'!$H154:$BG154)&lt;52,IF('Capacity summary'!J154&lt;&gt;"",IF(LOWER('Capacity summary'!J154)="x",$BI35*J35,VALUE('Capacity summary'!J154)),0),J35*$BI35),J35*$BI35),0)</f>
        <v>0</v>
      </c>
      <c r="BN35" s="313">
        <f>IF($BI35&lt;&gt;"",IF('Capacity summary'!$D$14="Yes",IF(COUNTBLANK('Capacity summary'!$H154:$BG154)&lt;52,IF('Capacity summary'!K154&lt;&gt;"",IF(LOWER('Capacity summary'!K154)="x",$BI35*K35,VALUE('Capacity summary'!K154)),0),K35*$BI35),K35*$BI35),0)</f>
        <v>0</v>
      </c>
      <c r="BO35" s="313">
        <f>IF($BI35&lt;&gt;"",IF('Capacity summary'!$D$14="Yes",IF(COUNTBLANK('Capacity summary'!$H154:$BG154)&lt;52,IF('Capacity summary'!L154&lt;&gt;"",IF(LOWER('Capacity summary'!L154)="x",$BI35*L35,VALUE('Capacity summary'!L154)),0),L35*$BI35),L35*$BI35),0)</f>
        <v>0</v>
      </c>
      <c r="BP35" s="313">
        <f>IF($BI35&lt;&gt;"",IF('Capacity summary'!$D$14="Yes",IF(COUNTBLANK('Capacity summary'!$H154:$BG154)&lt;52,IF('Capacity summary'!M154&lt;&gt;"",IF(LOWER('Capacity summary'!M154)="x",$BI35*M35,VALUE('Capacity summary'!M154)),0),M35*$BI35),M35*$BI35),0)</f>
        <v>0</v>
      </c>
      <c r="BQ35" s="313">
        <f>IF($BI35&lt;&gt;"",IF('Capacity summary'!$D$14="Yes",IF(COUNTBLANK('Capacity summary'!$H154:$BG154)&lt;52,IF('Capacity summary'!N154&lt;&gt;"",IF(LOWER('Capacity summary'!N154)="x",$BI35*N35,VALUE('Capacity summary'!N154)),0),N35*$BI35),N35*$BI35),0)</f>
        <v>0</v>
      </c>
      <c r="BR35" s="313">
        <f>IF($BI35&lt;&gt;"",IF('Capacity summary'!$D$14="Yes",IF(COUNTBLANK('Capacity summary'!$H154:$BG154)&lt;52,IF('Capacity summary'!O154&lt;&gt;"",IF(LOWER('Capacity summary'!O154)="x",$BI35*O35,VALUE('Capacity summary'!O154)),0),O35*$BI35),O35*$BI35),0)</f>
        <v>0</v>
      </c>
      <c r="BS35" s="313">
        <f>IF($BI35&lt;&gt;"",IF('Capacity summary'!$D$14="Yes",IF(COUNTBLANK('Capacity summary'!$H154:$BG154)&lt;52,IF('Capacity summary'!P154&lt;&gt;"",IF(LOWER('Capacity summary'!P154)="x",$BI35*P35,VALUE('Capacity summary'!P154)),0),P35*$BI35),P35*$BI35),0)</f>
        <v>0</v>
      </c>
      <c r="BT35" s="313">
        <f>IF($BI35&lt;&gt;"",IF('Capacity summary'!$D$14="Yes",IF(COUNTBLANK('Capacity summary'!$H154:$BG154)&lt;52,IF('Capacity summary'!Q154&lt;&gt;"",IF(LOWER('Capacity summary'!Q154)="x",$BI35*Q35,VALUE('Capacity summary'!Q154)),0),Q35*$BI35),Q35*$BI35),0)</f>
        <v>0</v>
      </c>
      <c r="BU35" s="313">
        <f>IF($BI35&lt;&gt;"",IF('Capacity summary'!$D$14="Yes",IF(COUNTBLANK('Capacity summary'!$H154:$BG154)&lt;52,IF('Capacity summary'!R154&lt;&gt;"",IF(LOWER('Capacity summary'!R154)="x",$BI35*R35,VALUE('Capacity summary'!R154)),0),R35*$BI35),R35*$BI35),0)</f>
        <v>0</v>
      </c>
      <c r="BV35" s="313">
        <f>IF($BI35&lt;&gt;"",IF('Capacity summary'!$D$14="Yes",IF(COUNTBLANK('Capacity summary'!$H154:$BG154)&lt;52,IF('Capacity summary'!S154&lt;&gt;"",IF(LOWER('Capacity summary'!S154)="x",$BI35*S35,VALUE('Capacity summary'!S154)),0),S35*$BI35),S35*$BI35),0)</f>
        <v>0</v>
      </c>
      <c r="BW35" s="313">
        <f>IF($BI35&lt;&gt;"",IF('Capacity summary'!$D$14="Yes",IF(COUNTBLANK('Capacity summary'!$H154:$BG154)&lt;52,IF('Capacity summary'!T154&lt;&gt;"",IF(LOWER('Capacity summary'!T154)="x",$BI35*T35,VALUE('Capacity summary'!T154)),0),T35*$BI35),T35*$BI35),0)</f>
        <v>0</v>
      </c>
      <c r="BX35" s="313">
        <f>IF($BI35&lt;&gt;"",IF('Capacity summary'!$D$14="Yes",IF(COUNTBLANK('Capacity summary'!$H154:$BG154)&lt;52,IF('Capacity summary'!U154&lt;&gt;"",IF(LOWER('Capacity summary'!U154)="x",$BI35*U35,VALUE('Capacity summary'!U154)),0),U35*$BI35),U35*$BI35),0)</f>
        <v>0</v>
      </c>
      <c r="BY35" s="313">
        <f>IF($BI35&lt;&gt;"",IF('Capacity summary'!$D$14="Yes",IF(COUNTBLANK('Capacity summary'!$H154:$BG154)&lt;52,IF('Capacity summary'!V154&lt;&gt;"",IF(LOWER('Capacity summary'!V154)="x",$BI35*V35,VALUE('Capacity summary'!V154)),0),V35*$BI35),V35*$BI35),0)</f>
        <v>0</v>
      </c>
      <c r="BZ35" s="313">
        <f>IF($BI35&lt;&gt;"",IF('Capacity summary'!$D$14="Yes",IF(COUNTBLANK('Capacity summary'!$H154:$BG154)&lt;52,IF('Capacity summary'!W154&lt;&gt;"",IF(LOWER('Capacity summary'!W154)="x",$BI35*W35,VALUE('Capacity summary'!W154)),0),W35*$BI35),W35*$BI35),0)</f>
        <v>0</v>
      </c>
      <c r="CA35" s="313">
        <f>IF($BI35&lt;&gt;"",IF('Capacity summary'!$D$14="Yes",IF(COUNTBLANK('Capacity summary'!$H154:$BG154)&lt;52,IF('Capacity summary'!X154&lt;&gt;"",IF(LOWER('Capacity summary'!X154)="x",$BI35*X35,VALUE('Capacity summary'!X154)),0),X35*$BI35),X35*$BI35),0)</f>
        <v>0</v>
      </c>
      <c r="CB35" s="313">
        <f>IF($BI35&lt;&gt;"",IF('Capacity summary'!$D$14="Yes",IF(COUNTBLANK('Capacity summary'!$H154:$BG154)&lt;52,IF('Capacity summary'!Y154&lt;&gt;"",IF(LOWER('Capacity summary'!Y154)="x",$BI35*Y35,VALUE('Capacity summary'!Y154)),0),Y35*$BI35),Y35*$BI35),0)</f>
        <v>0</v>
      </c>
      <c r="CC35" s="313">
        <f>IF($BI35&lt;&gt;"",IF('Capacity summary'!$D$14="Yes",IF(COUNTBLANK('Capacity summary'!$H154:$BG154)&lt;52,IF('Capacity summary'!Z154&lt;&gt;"",IF(LOWER('Capacity summary'!Z154)="x",$BI35*Z35,VALUE('Capacity summary'!Z154)),0),Z35*$BI35),Z35*$BI35),0)</f>
        <v>0</v>
      </c>
      <c r="CD35" s="313">
        <f>IF($BI35&lt;&gt;"",IF('Capacity summary'!$D$14="Yes",IF(COUNTBLANK('Capacity summary'!$H154:$BG154)&lt;52,IF('Capacity summary'!AA154&lt;&gt;"",IF(LOWER('Capacity summary'!AA154)="x",$BI35*AA35,VALUE('Capacity summary'!AA154)),0),AA35*$BI35),AA35*$BI35),0)</f>
        <v>0</v>
      </c>
      <c r="CE35" s="313">
        <f>IF($BI35&lt;&gt;"",IF('Capacity summary'!$D$14="Yes",IF(COUNTBLANK('Capacity summary'!$H154:$BG154)&lt;52,IF('Capacity summary'!AB154&lt;&gt;"",IF(LOWER('Capacity summary'!AB154)="x",$BI35*AB35,VALUE('Capacity summary'!AB154)),0),AB35*$BI35),AB35*$BI35),0)</f>
        <v>0</v>
      </c>
      <c r="CF35" s="313">
        <f>IF($BI35&lt;&gt;"",IF('Capacity summary'!$D$14="Yes",IF(COUNTBLANK('Capacity summary'!$H154:$BG154)&lt;52,IF('Capacity summary'!AC154&lt;&gt;"",IF(LOWER('Capacity summary'!AC154)="x",$BI35*AC35,VALUE('Capacity summary'!AC154)),0),AC35*$BI35),AC35*$BI35),0)</f>
        <v>0</v>
      </c>
      <c r="CG35" s="313">
        <f>IF($BI35&lt;&gt;"",IF('Capacity summary'!$D$14="Yes",IF(COUNTBLANK('Capacity summary'!$H154:$BG154)&lt;52,IF('Capacity summary'!AD154&lt;&gt;"",IF(LOWER('Capacity summary'!AD154)="x",$BI35*AD35,VALUE('Capacity summary'!AD154)),0),AD35*$BI35),AD35*$BI35),0)</f>
        <v>0</v>
      </c>
      <c r="CH35" s="313">
        <f>IF($BI35&lt;&gt;"",IF('Capacity summary'!$D$14="Yes",IF(COUNTBLANK('Capacity summary'!$H154:$BG154)&lt;52,IF('Capacity summary'!AE154&lt;&gt;"",IF(LOWER('Capacity summary'!AE154)="x",$BI35*AE35,VALUE('Capacity summary'!AE154)),0),AE35*$BI35),AE35*$BI35),0)</f>
        <v>0</v>
      </c>
      <c r="CI35" s="313">
        <f>IF($BI35&lt;&gt;"",IF('Capacity summary'!$D$14="Yes",IF(COUNTBLANK('Capacity summary'!$H154:$BG154)&lt;52,IF('Capacity summary'!AF154&lt;&gt;"",IF(LOWER('Capacity summary'!AF154)="x",$BI35*AF35,VALUE('Capacity summary'!AF154)),0),AF35*$BI35),AF35*$BI35),0)</f>
        <v>0</v>
      </c>
      <c r="CJ35" s="313">
        <f>IF($BI35&lt;&gt;"",IF('Capacity summary'!$D$14="Yes",IF(COUNTBLANK('Capacity summary'!$H154:$BG154)&lt;52,IF('Capacity summary'!AG154&lt;&gt;"",IF(LOWER('Capacity summary'!AG154)="x",$BI35*AG35,VALUE('Capacity summary'!AG154)),0),AG35*$BI35),AG35*$BI35),0)</f>
        <v>0</v>
      </c>
      <c r="CK35" s="313">
        <f>IF($BI35&lt;&gt;"",IF('Capacity summary'!$D$14="Yes",IF(COUNTBLANK('Capacity summary'!$H154:$BG154)&lt;52,IF('Capacity summary'!AH154&lt;&gt;"",IF(LOWER('Capacity summary'!AH154)="x",$BI35*AH35,VALUE('Capacity summary'!AH154)),0),AH35*$BI35),AH35*$BI35),0)</f>
        <v>0</v>
      </c>
      <c r="CL35" s="313">
        <f>IF($BI35&lt;&gt;"",IF('Capacity summary'!$D$14="Yes",IF(COUNTBLANK('Capacity summary'!$H154:$BG154)&lt;52,IF('Capacity summary'!AI154&lt;&gt;"",IF(LOWER('Capacity summary'!AI154)="x",$BI35*AI35,VALUE('Capacity summary'!AI154)),0),AI35*$BI35),AI35*$BI35),0)</f>
        <v>0</v>
      </c>
      <c r="CM35" s="313">
        <f>IF($BI35&lt;&gt;"",IF('Capacity summary'!$D$14="Yes",IF(COUNTBLANK('Capacity summary'!$H154:$BG154)&lt;52,IF('Capacity summary'!AJ154&lt;&gt;"",IF(LOWER('Capacity summary'!AJ154)="x",$BI35*AJ35,VALUE('Capacity summary'!AJ154)),0),AJ35*$BI35),AJ35*$BI35),0)</f>
        <v>0</v>
      </c>
      <c r="CN35" s="313">
        <f>IF($BI35&lt;&gt;"",IF('Capacity summary'!$D$14="Yes",IF(COUNTBLANK('Capacity summary'!$H154:$BG154)&lt;52,IF('Capacity summary'!AK154&lt;&gt;"",IF(LOWER('Capacity summary'!AK154)="x",$BI35*AK35,VALUE('Capacity summary'!AK154)),0),AK35*$BI35),AK35*$BI35),0)</f>
        <v>0</v>
      </c>
      <c r="CO35" s="313">
        <f>IF($BI35&lt;&gt;"",IF('Capacity summary'!$D$14="Yes",IF(COUNTBLANK('Capacity summary'!$H154:$BG154)&lt;52,IF('Capacity summary'!AL154&lt;&gt;"",IF(LOWER('Capacity summary'!AL154)="x",$BI35*AL35,VALUE('Capacity summary'!AL154)),0),AL35*$BI35),AL35*$BI35),0)</f>
        <v>0</v>
      </c>
      <c r="CP35" s="313">
        <f>IF($BI35&lt;&gt;"",IF('Capacity summary'!$D$14="Yes",IF(COUNTBLANK('Capacity summary'!$H154:$BG154)&lt;52,IF('Capacity summary'!AM154&lt;&gt;"",IF(LOWER('Capacity summary'!AM154)="x",$BI35*AM35,VALUE('Capacity summary'!AM154)),0),AM35*$BI35),AM35*$BI35),0)</f>
        <v>0</v>
      </c>
      <c r="CQ35" s="313">
        <f>IF($BI35&lt;&gt;"",IF('Capacity summary'!$D$14="Yes",IF(COUNTBLANK('Capacity summary'!$H154:$BG154)&lt;52,IF('Capacity summary'!AN154&lt;&gt;"",IF(LOWER('Capacity summary'!AN154)="x",$BI35*AN35,VALUE('Capacity summary'!AN154)),0),AN35*$BI35),AN35*$BI35),0)</f>
        <v>0</v>
      </c>
      <c r="CR35" s="313">
        <f>IF($BI35&lt;&gt;"",IF('Capacity summary'!$D$14="Yes",IF(COUNTBLANK('Capacity summary'!$H154:$BG154)&lt;52,IF('Capacity summary'!AO154&lt;&gt;"",IF(LOWER('Capacity summary'!AO154)="x",$BI35*AO35,VALUE('Capacity summary'!AO154)),0),AO35*$BI35),AO35*$BI35),0)</f>
        <v>0</v>
      </c>
      <c r="CS35" s="313">
        <f>IF($BI35&lt;&gt;"",IF('Capacity summary'!$D$14="Yes",IF(COUNTBLANK('Capacity summary'!$H154:$BG154)&lt;52,IF('Capacity summary'!AP154&lt;&gt;"",IF(LOWER('Capacity summary'!AP154)="x",$BI35*AP35,VALUE('Capacity summary'!AP154)),0),AP35*$BI35),AP35*$BI35),0)</f>
        <v>0</v>
      </c>
      <c r="CT35" s="313">
        <f>IF($BI35&lt;&gt;"",IF('Capacity summary'!$D$14="Yes",IF(COUNTBLANK('Capacity summary'!$H154:$BG154)&lt;52,IF('Capacity summary'!AQ154&lt;&gt;"",IF(LOWER('Capacity summary'!AQ154)="x",$BI35*AQ35,VALUE('Capacity summary'!AQ154)),0),AQ35*$BI35),AQ35*$BI35),0)</f>
        <v>0</v>
      </c>
      <c r="CU35" s="313">
        <f>IF($BI35&lt;&gt;"",IF('Capacity summary'!$D$14="Yes",IF(COUNTBLANK('Capacity summary'!$H154:$BG154)&lt;52,IF('Capacity summary'!AR154&lt;&gt;"",IF(LOWER('Capacity summary'!AR154)="x",$BI35*AR35,VALUE('Capacity summary'!AR154)),0),AR35*$BI35),AR35*$BI35),0)</f>
        <v>0</v>
      </c>
      <c r="CV35" s="313">
        <f>IF($BI35&lt;&gt;"",IF('Capacity summary'!$D$14="Yes",IF(COUNTBLANK('Capacity summary'!$H154:$BG154)&lt;52,IF('Capacity summary'!AS154&lt;&gt;"",IF(LOWER('Capacity summary'!AS154)="x",$BI35*AS35,VALUE('Capacity summary'!AS154)),0),AS35*$BI35),AS35*$BI35),0)</f>
        <v>0</v>
      </c>
      <c r="CW35" s="313">
        <f>IF($BI35&lt;&gt;"",IF('Capacity summary'!$D$14="Yes",IF(COUNTBLANK('Capacity summary'!$H154:$BG154)&lt;52,IF('Capacity summary'!AT154&lt;&gt;"",IF(LOWER('Capacity summary'!AT154)="x",$BI35*AT35,VALUE('Capacity summary'!AT154)),0),AT35*$BI35),AT35*$BI35),0)</f>
        <v>0</v>
      </c>
      <c r="CX35" s="313">
        <f>IF($BI35&lt;&gt;"",IF('Capacity summary'!$D$14="Yes",IF(COUNTBLANK('Capacity summary'!$H154:$BG154)&lt;52,IF('Capacity summary'!AU154&lt;&gt;"",IF(LOWER('Capacity summary'!AU154)="x",$BI35*AU35,VALUE('Capacity summary'!AU154)),0),AU35*$BI35),AU35*$BI35),0)</f>
        <v>0</v>
      </c>
      <c r="CY35" s="313">
        <f>IF($BI35&lt;&gt;"",IF('Capacity summary'!$D$14="Yes",IF(COUNTBLANK('Capacity summary'!$H154:$BG154)&lt;52,IF('Capacity summary'!AV154&lt;&gt;"",IF(LOWER('Capacity summary'!AV154)="x",$BI35*AV35,VALUE('Capacity summary'!AV154)),0),AV35*$BI35),AV35*$BI35),0)</f>
        <v>0</v>
      </c>
      <c r="CZ35" s="313">
        <f>IF($BI35&lt;&gt;"",IF('Capacity summary'!$D$14="Yes",IF(COUNTBLANK('Capacity summary'!$H154:$BG154)&lt;52,IF('Capacity summary'!AW154&lt;&gt;"",IF(LOWER('Capacity summary'!AW154)="x",$BI35*AW35,VALUE('Capacity summary'!AW154)),0),AW35*$BI35),AW35*$BI35),0)</f>
        <v>0</v>
      </c>
      <c r="DA35" s="313">
        <f>IF($BI35&lt;&gt;"",IF('Capacity summary'!$D$14="Yes",IF(COUNTBLANK('Capacity summary'!$H154:$BG154)&lt;52,IF('Capacity summary'!AX154&lt;&gt;"",IF(LOWER('Capacity summary'!AX154)="x",$BI35*AX35,VALUE('Capacity summary'!AX154)),0),AX35*$BI35),AX35*$BI35),0)</f>
        <v>0</v>
      </c>
      <c r="DB35" s="313">
        <f>IF($BI35&lt;&gt;"",IF('Capacity summary'!$D$14="Yes",IF(COUNTBLANK('Capacity summary'!$H154:$BG154)&lt;52,IF('Capacity summary'!AY154&lt;&gt;"",IF(LOWER('Capacity summary'!AY154)="x",$BI35*AY35,VALUE('Capacity summary'!AY154)),0),AY35*$BI35),AY35*$BI35),0)</f>
        <v>0</v>
      </c>
      <c r="DC35" s="313">
        <f>IF($BI35&lt;&gt;"",IF('Capacity summary'!$D$14="Yes",IF(COUNTBLANK('Capacity summary'!$H154:$BG154)&lt;52,IF('Capacity summary'!AZ154&lt;&gt;"",IF(LOWER('Capacity summary'!AZ154)="x",$BI35*AZ35,VALUE('Capacity summary'!AZ154)),0),AZ35*$BI35),AZ35*$BI35),0)</f>
        <v>0</v>
      </c>
      <c r="DD35" s="313">
        <f>IF($BI35&lt;&gt;"",IF('Capacity summary'!$D$14="Yes",IF(COUNTBLANK('Capacity summary'!$H154:$BG154)&lt;52,IF('Capacity summary'!BA154&lt;&gt;"",IF(LOWER('Capacity summary'!BA154)="x",$BI35*BA35,VALUE('Capacity summary'!BA154)),0),BA35*$BI35),BA35*$BI35),0)</f>
        <v>0</v>
      </c>
      <c r="DE35" s="313">
        <f>IF($BI35&lt;&gt;"",IF('Capacity summary'!$D$14="Yes",IF(COUNTBLANK('Capacity summary'!$H154:$BG154)&lt;52,IF('Capacity summary'!BB154&lt;&gt;"",IF(LOWER('Capacity summary'!BB154)="x",$BI35*BB35,VALUE('Capacity summary'!BB154)),0),BB35*$BI35),BB35*$BI35),0)</f>
        <v>0</v>
      </c>
      <c r="DF35" s="313">
        <f>IF($BI35&lt;&gt;"",IF('Capacity summary'!$D$14="Yes",IF(COUNTBLANK('Capacity summary'!$H154:$BG154)&lt;52,IF('Capacity summary'!BC154&lt;&gt;"",IF(LOWER('Capacity summary'!BC154)="x",$BI35*BC35,VALUE('Capacity summary'!BC154)),0),BC35*$BI35),BC35*$BI35),0)</f>
        <v>0</v>
      </c>
      <c r="DG35" s="313">
        <f>IF($BI35&lt;&gt;"",IF('Capacity summary'!$D$14="Yes",IF(COUNTBLANK('Capacity summary'!$H154:$BG154)&lt;52,IF('Capacity summary'!BD154&lt;&gt;"",IF(LOWER('Capacity summary'!BD154)="x",$BI35*BD35,VALUE('Capacity summary'!BD154)),0),BD35*$BI35),BD35*$BI35),0)</f>
        <v>0</v>
      </c>
      <c r="DH35" s="313">
        <f>IF($BI35&lt;&gt;"",IF('Capacity summary'!$D$14="Yes",IF(COUNTBLANK('Capacity summary'!$H154:$BG154)&lt;52,IF('Capacity summary'!BE154&lt;&gt;"",IF(LOWER('Capacity summary'!BE154)="x",$BI35*BE35,VALUE('Capacity summary'!BE154)),0),BE35*$BI35),BE35*$BI35),0)</f>
        <v>0</v>
      </c>
      <c r="DI35" s="313">
        <f>IF($BI35&lt;&gt;"",IF('Capacity summary'!$D$14="Yes",IF(COUNTBLANK('Capacity summary'!$H154:$BG154)&lt;52,IF('Capacity summary'!BF154&lt;&gt;"",IF(LOWER('Capacity summary'!BF154)="x",$BI35*BF35,VALUE('Capacity summary'!BF154)),0),BF35*$BI35),BF35*$BI35),0)</f>
        <v>0</v>
      </c>
      <c r="DJ35" s="313">
        <f>IF($BI35&lt;&gt;"",IF('Capacity summary'!$D$14="Yes",IF(COUNTBLANK('Capacity summary'!$H154:$BG154)&lt;52,IF('Capacity summary'!BG154&lt;&gt;"",IF(LOWER('Capacity summary'!BG154)="x",$BI35*BG35,VALUE('Capacity summary'!BG154)),0),BG35*$BI35),BG35*$BI35),0)</f>
        <v>0</v>
      </c>
      <c r="DK35" s="137">
        <f t="shared" si="2"/>
        <v>0</v>
      </c>
      <c r="DL35" s="313" t="str">
        <f>Capacity!H47</f>
        <v/>
      </c>
      <c r="DP35" s="5"/>
    </row>
    <row r="36" spans="2:120" x14ac:dyDescent="0.25">
      <c r="B36" s="67"/>
      <c r="C36" s="67" t="str">
        <f>ROW(A32)&amp;". "&amp;Capacity!B48</f>
        <v xml:space="preserve">32. </v>
      </c>
      <c r="D36" s="67">
        <f>'Capacity setup'!C43</f>
        <v>0</v>
      </c>
      <c r="E36" s="67">
        <f>'Capacity setup'!D43</f>
        <v>0</v>
      </c>
      <c r="F36" s="67">
        <f>'Capacity setup'!E43</f>
        <v>0</v>
      </c>
      <c r="H36" s="67">
        <f ca="1">IF(AND(SUMIF(Capacity_Resource,$D36,'Critical resources (hide)'!U$6:U$105)+SUMIF(Capacity_Resource,$E36,'Critical resources (hide)'!U$6:U$105)+SUMIF(Capacity_Resource,$F36,'Critical resources (hide)'!U$6:U$105)&gt;0,$E$1=2),0,1)</f>
        <v>1</v>
      </c>
      <c r="I36" s="67">
        <f ca="1">IF(AND(SUMIF(Capacity_Resource,$D36,'Critical resources (hide)'!V$6:V$105)+SUMIF(Capacity_Resource,$E36,'Critical resources (hide)'!V$6:V$105)+SUMIF(Capacity_Resource,$F36,'Critical resources (hide)'!V$6:V$105)&gt;0,$E$1=2),0,1)</f>
        <v>1</v>
      </c>
      <c r="J36" s="67">
        <f ca="1">IF(AND(SUMIF(Capacity_Resource,$D36,'Critical resources (hide)'!W$6:W$105)+SUMIF(Capacity_Resource,$E36,'Critical resources (hide)'!W$6:W$105)+SUMIF(Capacity_Resource,$F36,'Critical resources (hide)'!W$6:W$105)&gt;0,$E$1=2),0,1)</f>
        <v>1</v>
      </c>
      <c r="K36" s="67">
        <f ca="1">IF(AND(SUMIF(Capacity_Resource,$D36,'Critical resources (hide)'!X$6:X$105)+SUMIF(Capacity_Resource,$E36,'Critical resources (hide)'!X$6:X$105)+SUMIF(Capacity_Resource,$F36,'Critical resources (hide)'!X$6:X$105)&gt;0,$E$1=2),0,1)</f>
        <v>1</v>
      </c>
      <c r="L36" s="67">
        <f ca="1">IF(AND(SUMIF(Capacity_Resource,$D36,'Critical resources (hide)'!Y$6:Y$105)+SUMIF(Capacity_Resource,$E36,'Critical resources (hide)'!Y$6:Y$105)+SUMIF(Capacity_Resource,$F36,'Critical resources (hide)'!Y$6:Y$105)&gt;0,$E$1=2),0,1)</f>
        <v>1</v>
      </c>
      <c r="M36" s="67">
        <f ca="1">IF(AND(SUMIF(Capacity_Resource,$D36,'Critical resources (hide)'!Z$6:Z$105)+SUMIF(Capacity_Resource,$E36,'Critical resources (hide)'!Z$6:Z$105)+SUMIF(Capacity_Resource,$F36,'Critical resources (hide)'!Z$6:Z$105)&gt;0,$E$1=2),0,1)</f>
        <v>1</v>
      </c>
      <c r="N36" s="67">
        <f ca="1">IF(AND(SUMIF(Capacity_Resource,$D36,'Critical resources (hide)'!AA$6:AA$105)+SUMIF(Capacity_Resource,$E36,'Critical resources (hide)'!AA$6:AA$105)+SUMIF(Capacity_Resource,$F36,'Critical resources (hide)'!AA$6:AA$105)&gt;0,$E$1=2),0,1)</f>
        <v>1</v>
      </c>
      <c r="O36" s="67">
        <f ca="1">IF(AND(SUMIF(Capacity_Resource,$D36,'Critical resources (hide)'!AB$6:AB$105)+SUMIF(Capacity_Resource,$E36,'Critical resources (hide)'!AB$6:AB$105)+SUMIF(Capacity_Resource,$F36,'Critical resources (hide)'!AB$6:AB$105)&gt;0,$E$1=2),0,1)</f>
        <v>1</v>
      </c>
      <c r="P36" s="67">
        <f ca="1">IF(AND(SUMIF(Capacity_Resource,$D36,'Critical resources (hide)'!AC$6:AC$105)+SUMIF(Capacity_Resource,$E36,'Critical resources (hide)'!AC$6:AC$105)+SUMIF(Capacity_Resource,$F36,'Critical resources (hide)'!AC$6:AC$105)&gt;0,$E$1=2),0,1)</f>
        <v>1</v>
      </c>
      <c r="Q36" s="67">
        <f ca="1">IF(AND(SUMIF(Capacity_Resource,$D36,'Critical resources (hide)'!AD$6:AD$105)+SUMIF(Capacity_Resource,$E36,'Critical resources (hide)'!AD$6:AD$105)+SUMIF(Capacity_Resource,$F36,'Critical resources (hide)'!AD$6:AD$105)&gt;0,$E$1=2),0,1)</f>
        <v>1</v>
      </c>
      <c r="R36" s="67">
        <f ca="1">IF(AND(SUMIF(Capacity_Resource,$D36,'Critical resources (hide)'!AE$6:AE$105)+SUMIF(Capacity_Resource,$E36,'Critical resources (hide)'!AE$6:AE$105)+SUMIF(Capacity_Resource,$F36,'Critical resources (hide)'!AE$6:AE$105)&gt;0,$E$1=2),0,1)</f>
        <v>1</v>
      </c>
      <c r="S36" s="67">
        <f ca="1">IF(AND(SUMIF(Capacity_Resource,$D36,'Critical resources (hide)'!AF$6:AF$105)+SUMIF(Capacity_Resource,$E36,'Critical resources (hide)'!AF$6:AF$105)+SUMIF(Capacity_Resource,$F36,'Critical resources (hide)'!AF$6:AF$105)&gt;0,$E$1=2),0,1)</f>
        <v>1</v>
      </c>
      <c r="T36" s="67">
        <f ca="1">IF(AND(SUMIF(Capacity_Resource,$D36,'Critical resources (hide)'!AG$6:AG$105)+SUMIF(Capacity_Resource,$E36,'Critical resources (hide)'!AG$6:AG$105)+SUMIF(Capacity_Resource,$F36,'Critical resources (hide)'!AG$6:AG$105)&gt;0,$E$1=2),0,1)</f>
        <v>1</v>
      </c>
      <c r="U36" s="67">
        <f ca="1">IF(AND(SUMIF(Capacity_Resource,$D36,'Critical resources (hide)'!AH$6:AH$105)+SUMIF(Capacity_Resource,$E36,'Critical resources (hide)'!AH$6:AH$105)+SUMIF(Capacity_Resource,$F36,'Critical resources (hide)'!AH$6:AH$105)&gt;0,$E$1=2),0,1)</f>
        <v>1</v>
      </c>
      <c r="V36" s="67">
        <f ca="1">IF(AND(SUMIF(Capacity_Resource,$D36,'Critical resources (hide)'!AI$6:AI$105)+SUMIF(Capacity_Resource,$E36,'Critical resources (hide)'!AI$6:AI$105)+SUMIF(Capacity_Resource,$F36,'Critical resources (hide)'!AI$6:AI$105)&gt;0,$E$1=2),0,1)</f>
        <v>1</v>
      </c>
      <c r="W36" s="67">
        <f ca="1">IF(AND(SUMIF(Capacity_Resource,$D36,'Critical resources (hide)'!AJ$6:AJ$105)+SUMIF(Capacity_Resource,$E36,'Critical resources (hide)'!AJ$6:AJ$105)+SUMIF(Capacity_Resource,$F36,'Critical resources (hide)'!AJ$6:AJ$105)&gt;0,$E$1=2),0,1)</f>
        <v>1</v>
      </c>
      <c r="X36" s="67">
        <f ca="1">IF(AND(SUMIF(Capacity_Resource,$D36,'Critical resources (hide)'!AK$6:AK$105)+SUMIF(Capacity_Resource,$E36,'Critical resources (hide)'!AK$6:AK$105)+SUMIF(Capacity_Resource,$F36,'Critical resources (hide)'!AK$6:AK$105)&gt;0,$E$1=2),0,1)</f>
        <v>1</v>
      </c>
      <c r="Y36" s="67">
        <f ca="1">IF(AND(SUMIF(Capacity_Resource,$D36,'Critical resources (hide)'!AL$6:AL$105)+SUMIF(Capacity_Resource,$E36,'Critical resources (hide)'!AL$6:AL$105)+SUMIF(Capacity_Resource,$F36,'Critical resources (hide)'!AL$6:AL$105)&gt;0,$E$1=2),0,1)</f>
        <v>1</v>
      </c>
      <c r="Z36" s="67">
        <f ca="1">IF(AND(SUMIF(Capacity_Resource,$D36,'Critical resources (hide)'!AM$6:AM$105)+SUMIF(Capacity_Resource,$E36,'Critical resources (hide)'!AM$6:AM$105)+SUMIF(Capacity_Resource,$F36,'Critical resources (hide)'!AM$6:AM$105)&gt;0,$E$1=2),0,1)</f>
        <v>1</v>
      </c>
      <c r="AA36" s="67">
        <f ca="1">IF(AND(SUMIF(Capacity_Resource,$D36,'Critical resources (hide)'!AN$6:AN$105)+SUMIF(Capacity_Resource,$E36,'Critical resources (hide)'!AN$6:AN$105)+SUMIF(Capacity_Resource,$F36,'Critical resources (hide)'!AN$6:AN$105)&gt;0,$E$1=2),0,1)</f>
        <v>1</v>
      </c>
      <c r="AB36" s="67">
        <f ca="1">IF(AND(SUMIF(Capacity_Resource,$D36,'Critical resources (hide)'!AO$6:AO$105)+SUMIF(Capacity_Resource,$E36,'Critical resources (hide)'!AO$6:AO$105)+SUMIF(Capacity_Resource,$F36,'Critical resources (hide)'!AO$6:AO$105)&gt;0,$E$1=2),0,1)</f>
        <v>1</v>
      </c>
      <c r="AC36" s="67">
        <f ca="1">IF(AND(SUMIF(Capacity_Resource,$D36,'Critical resources (hide)'!AP$6:AP$105)+SUMIF(Capacity_Resource,$E36,'Critical resources (hide)'!AP$6:AP$105)+SUMIF(Capacity_Resource,$F36,'Critical resources (hide)'!AP$6:AP$105)&gt;0,$E$1=2),0,1)</f>
        <v>1</v>
      </c>
      <c r="AD36" s="67">
        <f ca="1">IF(AND(SUMIF(Capacity_Resource,$D36,'Critical resources (hide)'!AQ$6:AQ$105)+SUMIF(Capacity_Resource,$E36,'Critical resources (hide)'!AQ$6:AQ$105)+SUMIF(Capacity_Resource,$F36,'Critical resources (hide)'!AQ$6:AQ$105)&gt;0,$E$1=2),0,1)</f>
        <v>1</v>
      </c>
      <c r="AE36" s="67">
        <f ca="1">IF(AND(SUMIF(Capacity_Resource,$D36,'Critical resources (hide)'!AR$6:AR$105)+SUMIF(Capacity_Resource,$E36,'Critical resources (hide)'!AR$6:AR$105)+SUMIF(Capacity_Resource,$F36,'Critical resources (hide)'!AR$6:AR$105)&gt;0,$E$1=2),0,1)</f>
        <v>1</v>
      </c>
      <c r="AF36" s="67">
        <f ca="1">IF(AND(SUMIF(Capacity_Resource,$D36,'Critical resources (hide)'!AS$6:AS$105)+SUMIF(Capacity_Resource,$E36,'Critical resources (hide)'!AS$6:AS$105)+SUMIF(Capacity_Resource,$F36,'Critical resources (hide)'!AS$6:AS$105)&gt;0,$E$1=2),0,1)</f>
        <v>1</v>
      </c>
      <c r="AG36" s="67">
        <f ca="1">IF(AND(SUMIF(Capacity_Resource,$D36,'Critical resources (hide)'!AT$6:AT$105)+SUMIF(Capacity_Resource,$E36,'Critical resources (hide)'!AT$6:AT$105)+SUMIF(Capacity_Resource,$F36,'Critical resources (hide)'!AT$6:AT$105)&gt;0,$E$1=2),0,1)</f>
        <v>1</v>
      </c>
      <c r="AH36" s="67">
        <f ca="1">IF(AND(SUMIF(Capacity_Resource,$D36,'Critical resources (hide)'!AU$6:AU$105)+SUMIF(Capacity_Resource,$E36,'Critical resources (hide)'!AU$6:AU$105)+SUMIF(Capacity_Resource,$F36,'Critical resources (hide)'!AU$6:AU$105)&gt;0,$E$1=2),0,1)</f>
        <v>1</v>
      </c>
      <c r="AI36" s="67">
        <f ca="1">IF(AND(SUMIF(Capacity_Resource,$D36,'Critical resources (hide)'!AV$6:AV$105)+SUMIF(Capacity_Resource,$E36,'Critical resources (hide)'!AV$6:AV$105)+SUMIF(Capacity_Resource,$F36,'Critical resources (hide)'!AV$6:AV$105)&gt;0,$E$1=2),0,1)</f>
        <v>1</v>
      </c>
      <c r="AJ36" s="67">
        <f ca="1">IF(AND(SUMIF(Capacity_Resource,$D36,'Critical resources (hide)'!AW$6:AW$105)+SUMIF(Capacity_Resource,$E36,'Critical resources (hide)'!AW$6:AW$105)+SUMIF(Capacity_Resource,$F36,'Critical resources (hide)'!AW$6:AW$105)&gt;0,$E$1=2),0,1)</f>
        <v>1</v>
      </c>
      <c r="AK36" s="67">
        <f ca="1">IF(AND(SUMIF(Capacity_Resource,$D36,'Critical resources (hide)'!AX$6:AX$105)+SUMIF(Capacity_Resource,$E36,'Critical resources (hide)'!AX$6:AX$105)+SUMIF(Capacity_Resource,$F36,'Critical resources (hide)'!AX$6:AX$105)&gt;0,$E$1=2),0,1)</f>
        <v>1</v>
      </c>
      <c r="AL36" s="67">
        <f ca="1">IF(AND(SUMIF(Capacity_Resource,$D36,'Critical resources (hide)'!AY$6:AY$105)+SUMIF(Capacity_Resource,$E36,'Critical resources (hide)'!AY$6:AY$105)+SUMIF(Capacity_Resource,$F36,'Critical resources (hide)'!AY$6:AY$105)&gt;0,$E$1=2),0,1)</f>
        <v>1</v>
      </c>
      <c r="AM36" s="67">
        <f ca="1">IF(AND(SUMIF(Capacity_Resource,$D36,'Critical resources (hide)'!AZ$6:AZ$105)+SUMIF(Capacity_Resource,$E36,'Critical resources (hide)'!AZ$6:AZ$105)+SUMIF(Capacity_Resource,$F36,'Critical resources (hide)'!AZ$6:AZ$105)&gt;0,$E$1=2),0,1)</f>
        <v>1</v>
      </c>
      <c r="AN36" s="67">
        <f ca="1">IF(AND(SUMIF(Capacity_Resource,$D36,'Critical resources (hide)'!BA$6:BA$105)+SUMIF(Capacity_Resource,$E36,'Critical resources (hide)'!BA$6:BA$105)+SUMIF(Capacity_Resource,$F36,'Critical resources (hide)'!BA$6:BA$105)&gt;0,$E$1=2),0,1)</f>
        <v>1</v>
      </c>
      <c r="AO36" s="67">
        <f ca="1">IF(AND(SUMIF(Capacity_Resource,$D36,'Critical resources (hide)'!BB$6:BB$105)+SUMIF(Capacity_Resource,$E36,'Critical resources (hide)'!BB$6:BB$105)+SUMIF(Capacity_Resource,$F36,'Critical resources (hide)'!BB$6:BB$105)&gt;0,$E$1=2),0,1)</f>
        <v>1</v>
      </c>
      <c r="AP36" s="67">
        <f ca="1">IF(AND(SUMIF(Capacity_Resource,$D36,'Critical resources (hide)'!BC$6:BC$105)+SUMIF(Capacity_Resource,$E36,'Critical resources (hide)'!BC$6:BC$105)+SUMIF(Capacity_Resource,$F36,'Critical resources (hide)'!BC$6:BC$105)&gt;0,$E$1=2),0,1)</f>
        <v>1</v>
      </c>
      <c r="AQ36" s="67">
        <f ca="1">IF(AND(SUMIF(Capacity_Resource,$D36,'Critical resources (hide)'!BD$6:BD$105)+SUMIF(Capacity_Resource,$E36,'Critical resources (hide)'!BD$6:BD$105)+SUMIF(Capacity_Resource,$F36,'Critical resources (hide)'!BD$6:BD$105)&gt;0,$E$1=2),0,1)</f>
        <v>1</v>
      </c>
      <c r="AR36" s="67">
        <f ca="1">IF(AND(SUMIF(Capacity_Resource,$D36,'Critical resources (hide)'!BE$6:BE$105)+SUMIF(Capacity_Resource,$E36,'Critical resources (hide)'!BE$6:BE$105)+SUMIF(Capacity_Resource,$F36,'Critical resources (hide)'!BE$6:BE$105)&gt;0,$E$1=2),0,1)</f>
        <v>1</v>
      </c>
      <c r="AS36" s="67">
        <f ca="1">IF(AND(SUMIF(Capacity_Resource,$D36,'Critical resources (hide)'!BF$6:BF$105)+SUMIF(Capacity_Resource,$E36,'Critical resources (hide)'!BF$6:BF$105)+SUMIF(Capacity_Resource,$F36,'Critical resources (hide)'!BF$6:BF$105)&gt;0,$E$1=2),0,1)</f>
        <v>1</v>
      </c>
      <c r="AT36" s="67">
        <f ca="1">IF(AND(SUMIF(Capacity_Resource,$D36,'Critical resources (hide)'!BG$6:BG$105)+SUMIF(Capacity_Resource,$E36,'Critical resources (hide)'!BG$6:BG$105)+SUMIF(Capacity_Resource,$F36,'Critical resources (hide)'!BG$6:BG$105)&gt;0,$E$1=2),0,1)</f>
        <v>1</v>
      </c>
      <c r="AU36" s="67">
        <f ca="1">IF(AND(SUMIF(Capacity_Resource,$D36,'Critical resources (hide)'!BH$6:BH$105)+SUMIF(Capacity_Resource,$E36,'Critical resources (hide)'!BH$6:BH$105)+SUMIF(Capacity_Resource,$F36,'Critical resources (hide)'!BH$6:BH$105)&gt;0,$E$1=2),0,1)</f>
        <v>1</v>
      </c>
      <c r="AV36" s="67">
        <f ca="1">IF(AND(SUMIF(Capacity_Resource,$D36,'Critical resources (hide)'!BI$6:BI$105)+SUMIF(Capacity_Resource,$E36,'Critical resources (hide)'!BI$6:BI$105)+SUMIF(Capacity_Resource,$F36,'Critical resources (hide)'!BI$6:BI$105)&gt;0,$E$1=2),0,1)</f>
        <v>1</v>
      </c>
      <c r="AW36" s="67">
        <f ca="1">IF(AND(SUMIF(Capacity_Resource,$D36,'Critical resources (hide)'!BJ$6:BJ$105)+SUMIF(Capacity_Resource,$E36,'Critical resources (hide)'!BJ$6:BJ$105)+SUMIF(Capacity_Resource,$F36,'Critical resources (hide)'!BJ$6:BJ$105)&gt;0,$E$1=2),0,1)</f>
        <v>1</v>
      </c>
      <c r="AX36" s="67">
        <f ca="1">IF(AND(SUMIF(Capacity_Resource,$D36,'Critical resources (hide)'!BK$6:BK$105)+SUMIF(Capacity_Resource,$E36,'Critical resources (hide)'!BK$6:BK$105)+SUMIF(Capacity_Resource,$F36,'Critical resources (hide)'!BK$6:BK$105)&gt;0,$E$1=2),0,1)</f>
        <v>1</v>
      </c>
      <c r="AY36" s="67">
        <f ca="1">IF(AND(SUMIF(Capacity_Resource,$D36,'Critical resources (hide)'!BL$6:BL$105)+SUMIF(Capacity_Resource,$E36,'Critical resources (hide)'!BL$6:BL$105)+SUMIF(Capacity_Resource,$F36,'Critical resources (hide)'!BL$6:BL$105)&gt;0,$E$1=2),0,1)</f>
        <v>1</v>
      </c>
      <c r="AZ36" s="67">
        <f ca="1">IF(AND(SUMIF(Capacity_Resource,$D36,'Critical resources (hide)'!BM$6:BM$105)+SUMIF(Capacity_Resource,$E36,'Critical resources (hide)'!BM$6:BM$105)+SUMIF(Capacity_Resource,$F36,'Critical resources (hide)'!BM$6:BM$105)&gt;0,$E$1=2),0,1)</f>
        <v>1</v>
      </c>
      <c r="BA36" s="67">
        <f ca="1">IF(AND(SUMIF(Capacity_Resource,$D36,'Critical resources (hide)'!BN$6:BN$105)+SUMIF(Capacity_Resource,$E36,'Critical resources (hide)'!BN$6:BN$105)+SUMIF(Capacity_Resource,$F36,'Critical resources (hide)'!BN$6:BN$105)&gt;0,$E$1=2),0,1)</f>
        <v>1</v>
      </c>
      <c r="BB36" s="67">
        <f ca="1">IF(AND(SUMIF(Capacity_Resource,$D36,'Critical resources (hide)'!BO$6:BO$105)+SUMIF(Capacity_Resource,$E36,'Critical resources (hide)'!BO$6:BO$105)+SUMIF(Capacity_Resource,$F36,'Critical resources (hide)'!BO$6:BO$105)&gt;0,$E$1=2),0,1)</f>
        <v>1</v>
      </c>
      <c r="BC36" s="67">
        <f ca="1">IF(AND(SUMIF(Capacity_Resource,$D36,'Critical resources (hide)'!BP$6:BP$105)+SUMIF(Capacity_Resource,$E36,'Critical resources (hide)'!BP$6:BP$105)+SUMIF(Capacity_Resource,$F36,'Critical resources (hide)'!BP$6:BP$105)&gt;0,$E$1=2),0,1)</f>
        <v>1</v>
      </c>
      <c r="BD36" s="67">
        <f ca="1">IF(AND(SUMIF(Capacity_Resource,$D36,'Critical resources (hide)'!BQ$6:BQ$105)+SUMIF(Capacity_Resource,$E36,'Critical resources (hide)'!BQ$6:BQ$105)+SUMIF(Capacity_Resource,$F36,'Critical resources (hide)'!BQ$6:BQ$105)&gt;0,$E$1=2),0,1)</f>
        <v>1</v>
      </c>
      <c r="BE36" s="67">
        <f ca="1">IF(AND(SUMIF(Capacity_Resource,$D36,'Critical resources (hide)'!BR$6:BR$105)+SUMIF(Capacity_Resource,$E36,'Critical resources (hide)'!BR$6:BR$105)+SUMIF(Capacity_Resource,$F36,'Critical resources (hide)'!BR$6:BR$105)&gt;0,$E$1=2),0,1)</f>
        <v>1</v>
      </c>
      <c r="BF36" s="67">
        <f ca="1">IF(AND(SUMIF(Capacity_Resource,$D36,'Critical resources (hide)'!BS$6:BS$105)+SUMIF(Capacity_Resource,$E36,'Critical resources (hide)'!BS$6:BS$105)+SUMIF(Capacity_Resource,$F36,'Critical resources (hide)'!BS$6:BS$105)&gt;0,$E$1=2),0,1)</f>
        <v>1</v>
      </c>
      <c r="BG36" s="67">
        <f ca="1">IF(AND(SUMIF(Capacity_Resource,$D36,'Critical resources (hide)'!BT$6:BT$105)+SUMIF(Capacity_Resource,$E36,'Critical resources (hide)'!BT$6:BT$105)+SUMIF(Capacity_Resource,$F36,'Critical resources (hide)'!BT$6:BT$105)&gt;0,$E$1=2),0,1)</f>
        <v>1</v>
      </c>
      <c r="BH36" s="67">
        <f>IF(ROW(C32)&lt;=Capacity!$A$16,IF('Capacity summary'!$D$14="No",SUM(H36:BG36),'Capacity summary'!$E155),0)</f>
        <v>0</v>
      </c>
      <c r="BI36" s="5" t="str">
        <f>IF(BH36&gt;0,IF(BH36&lt;Capacity!E48,Capacity!F48,Capacity!H48/'Capacity calculation (hide)'!BH36),"")</f>
        <v/>
      </c>
      <c r="BK36" s="313">
        <f>IF($BI36&lt;&gt;"",IF('Capacity summary'!$D$14="Yes",IF(COUNTBLANK('Capacity summary'!$H155:$BG155)&lt;52,IF('Capacity summary'!H155&lt;&gt;"",IF(LOWER('Capacity summary'!H155)="x",$BI36*H36,VALUE('Capacity summary'!H155)),0),H36*$BI36),H36*$BI36),0)</f>
        <v>0</v>
      </c>
      <c r="BL36" s="313">
        <f>IF($BI36&lt;&gt;"",IF('Capacity summary'!$D$14="Yes",IF(COUNTBLANK('Capacity summary'!$H155:$BG155)&lt;52,IF('Capacity summary'!I155&lt;&gt;"",IF(LOWER('Capacity summary'!I155)="x",$BI36*I36,VALUE('Capacity summary'!I155)),0),I36*$BI36),I36*$BI36),0)</f>
        <v>0</v>
      </c>
      <c r="BM36" s="313">
        <f>IF($BI36&lt;&gt;"",IF('Capacity summary'!$D$14="Yes",IF(COUNTBLANK('Capacity summary'!$H155:$BG155)&lt;52,IF('Capacity summary'!J155&lt;&gt;"",IF(LOWER('Capacity summary'!J155)="x",$BI36*J36,VALUE('Capacity summary'!J155)),0),J36*$BI36),J36*$BI36),0)</f>
        <v>0</v>
      </c>
      <c r="BN36" s="313">
        <f>IF($BI36&lt;&gt;"",IF('Capacity summary'!$D$14="Yes",IF(COUNTBLANK('Capacity summary'!$H155:$BG155)&lt;52,IF('Capacity summary'!K155&lt;&gt;"",IF(LOWER('Capacity summary'!K155)="x",$BI36*K36,VALUE('Capacity summary'!K155)),0),K36*$BI36),K36*$BI36),0)</f>
        <v>0</v>
      </c>
      <c r="BO36" s="313">
        <f>IF($BI36&lt;&gt;"",IF('Capacity summary'!$D$14="Yes",IF(COUNTBLANK('Capacity summary'!$H155:$BG155)&lt;52,IF('Capacity summary'!L155&lt;&gt;"",IF(LOWER('Capacity summary'!L155)="x",$BI36*L36,VALUE('Capacity summary'!L155)),0),L36*$BI36),L36*$BI36),0)</f>
        <v>0</v>
      </c>
      <c r="BP36" s="313">
        <f>IF($BI36&lt;&gt;"",IF('Capacity summary'!$D$14="Yes",IF(COUNTBLANK('Capacity summary'!$H155:$BG155)&lt;52,IF('Capacity summary'!M155&lt;&gt;"",IF(LOWER('Capacity summary'!M155)="x",$BI36*M36,VALUE('Capacity summary'!M155)),0),M36*$BI36),M36*$BI36),0)</f>
        <v>0</v>
      </c>
      <c r="BQ36" s="313">
        <f>IF($BI36&lt;&gt;"",IF('Capacity summary'!$D$14="Yes",IF(COUNTBLANK('Capacity summary'!$H155:$BG155)&lt;52,IF('Capacity summary'!N155&lt;&gt;"",IF(LOWER('Capacity summary'!N155)="x",$BI36*N36,VALUE('Capacity summary'!N155)),0),N36*$BI36),N36*$BI36),0)</f>
        <v>0</v>
      </c>
      <c r="BR36" s="313">
        <f>IF($BI36&lt;&gt;"",IF('Capacity summary'!$D$14="Yes",IF(COUNTBLANK('Capacity summary'!$H155:$BG155)&lt;52,IF('Capacity summary'!O155&lt;&gt;"",IF(LOWER('Capacity summary'!O155)="x",$BI36*O36,VALUE('Capacity summary'!O155)),0),O36*$BI36),O36*$BI36),0)</f>
        <v>0</v>
      </c>
      <c r="BS36" s="313">
        <f>IF($BI36&lt;&gt;"",IF('Capacity summary'!$D$14="Yes",IF(COUNTBLANK('Capacity summary'!$H155:$BG155)&lt;52,IF('Capacity summary'!P155&lt;&gt;"",IF(LOWER('Capacity summary'!P155)="x",$BI36*P36,VALUE('Capacity summary'!P155)),0),P36*$BI36),P36*$BI36),0)</f>
        <v>0</v>
      </c>
      <c r="BT36" s="313">
        <f>IF($BI36&lt;&gt;"",IF('Capacity summary'!$D$14="Yes",IF(COUNTBLANK('Capacity summary'!$H155:$BG155)&lt;52,IF('Capacity summary'!Q155&lt;&gt;"",IF(LOWER('Capacity summary'!Q155)="x",$BI36*Q36,VALUE('Capacity summary'!Q155)),0),Q36*$BI36),Q36*$BI36),0)</f>
        <v>0</v>
      </c>
      <c r="BU36" s="313">
        <f>IF($BI36&lt;&gt;"",IF('Capacity summary'!$D$14="Yes",IF(COUNTBLANK('Capacity summary'!$H155:$BG155)&lt;52,IF('Capacity summary'!R155&lt;&gt;"",IF(LOWER('Capacity summary'!R155)="x",$BI36*R36,VALUE('Capacity summary'!R155)),0),R36*$BI36),R36*$BI36),0)</f>
        <v>0</v>
      </c>
      <c r="BV36" s="313">
        <f>IF($BI36&lt;&gt;"",IF('Capacity summary'!$D$14="Yes",IF(COUNTBLANK('Capacity summary'!$H155:$BG155)&lt;52,IF('Capacity summary'!S155&lt;&gt;"",IF(LOWER('Capacity summary'!S155)="x",$BI36*S36,VALUE('Capacity summary'!S155)),0),S36*$BI36),S36*$BI36),0)</f>
        <v>0</v>
      </c>
      <c r="BW36" s="313">
        <f>IF($BI36&lt;&gt;"",IF('Capacity summary'!$D$14="Yes",IF(COUNTBLANK('Capacity summary'!$H155:$BG155)&lt;52,IF('Capacity summary'!T155&lt;&gt;"",IF(LOWER('Capacity summary'!T155)="x",$BI36*T36,VALUE('Capacity summary'!T155)),0),T36*$BI36),T36*$BI36),0)</f>
        <v>0</v>
      </c>
      <c r="BX36" s="313">
        <f>IF($BI36&lt;&gt;"",IF('Capacity summary'!$D$14="Yes",IF(COUNTBLANK('Capacity summary'!$H155:$BG155)&lt;52,IF('Capacity summary'!U155&lt;&gt;"",IF(LOWER('Capacity summary'!U155)="x",$BI36*U36,VALUE('Capacity summary'!U155)),0),U36*$BI36),U36*$BI36),0)</f>
        <v>0</v>
      </c>
      <c r="BY36" s="313">
        <f>IF($BI36&lt;&gt;"",IF('Capacity summary'!$D$14="Yes",IF(COUNTBLANK('Capacity summary'!$H155:$BG155)&lt;52,IF('Capacity summary'!V155&lt;&gt;"",IF(LOWER('Capacity summary'!V155)="x",$BI36*V36,VALUE('Capacity summary'!V155)),0),V36*$BI36),V36*$BI36),0)</f>
        <v>0</v>
      </c>
      <c r="BZ36" s="313">
        <f>IF($BI36&lt;&gt;"",IF('Capacity summary'!$D$14="Yes",IF(COUNTBLANK('Capacity summary'!$H155:$BG155)&lt;52,IF('Capacity summary'!W155&lt;&gt;"",IF(LOWER('Capacity summary'!W155)="x",$BI36*W36,VALUE('Capacity summary'!W155)),0),W36*$BI36),W36*$BI36),0)</f>
        <v>0</v>
      </c>
      <c r="CA36" s="313">
        <f>IF($BI36&lt;&gt;"",IF('Capacity summary'!$D$14="Yes",IF(COUNTBLANK('Capacity summary'!$H155:$BG155)&lt;52,IF('Capacity summary'!X155&lt;&gt;"",IF(LOWER('Capacity summary'!X155)="x",$BI36*X36,VALUE('Capacity summary'!X155)),0),X36*$BI36),X36*$BI36),0)</f>
        <v>0</v>
      </c>
      <c r="CB36" s="313">
        <f>IF($BI36&lt;&gt;"",IF('Capacity summary'!$D$14="Yes",IF(COUNTBLANK('Capacity summary'!$H155:$BG155)&lt;52,IF('Capacity summary'!Y155&lt;&gt;"",IF(LOWER('Capacity summary'!Y155)="x",$BI36*Y36,VALUE('Capacity summary'!Y155)),0),Y36*$BI36),Y36*$BI36),0)</f>
        <v>0</v>
      </c>
      <c r="CC36" s="313">
        <f>IF($BI36&lt;&gt;"",IF('Capacity summary'!$D$14="Yes",IF(COUNTBLANK('Capacity summary'!$H155:$BG155)&lt;52,IF('Capacity summary'!Z155&lt;&gt;"",IF(LOWER('Capacity summary'!Z155)="x",$BI36*Z36,VALUE('Capacity summary'!Z155)),0),Z36*$BI36),Z36*$BI36),0)</f>
        <v>0</v>
      </c>
      <c r="CD36" s="313">
        <f>IF($BI36&lt;&gt;"",IF('Capacity summary'!$D$14="Yes",IF(COUNTBLANK('Capacity summary'!$H155:$BG155)&lt;52,IF('Capacity summary'!AA155&lt;&gt;"",IF(LOWER('Capacity summary'!AA155)="x",$BI36*AA36,VALUE('Capacity summary'!AA155)),0),AA36*$BI36),AA36*$BI36),0)</f>
        <v>0</v>
      </c>
      <c r="CE36" s="313">
        <f>IF($BI36&lt;&gt;"",IF('Capacity summary'!$D$14="Yes",IF(COUNTBLANK('Capacity summary'!$H155:$BG155)&lt;52,IF('Capacity summary'!AB155&lt;&gt;"",IF(LOWER('Capacity summary'!AB155)="x",$BI36*AB36,VALUE('Capacity summary'!AB155)),0),AB36*$BI36),AB36*$BI36),0)</f>
        <v>0</v>
      </c>
      <c r="CF36" s="313">
        <f>IF($BI36&lt;&gt;"",IF('Capacity summary'!$D$14="Yes",IF(COUNTBLANK('Capacity summary'!$H155:$BG155)&lt;52,IF('Capacity summary'!AC155&lt;&gt;"",IF(LOWER('Capacity summary'!AC155)="x",$BI36*AC36,VALUE('Capacity summary'!AC155)),0),AC36*$BI36),AC36*$BI36),0)</f>
        <v>0</v>
      </c>
      <c r="CG36" s="313">
        <f>IF($BI36&lt;&gt;"",IF('Capacity summary'!$D$14="Yes",IF(COUNTBLANK('Capacity summary'!$H155:$BG155)&lt;52,IF('Capacity summary'!AD155&lt;&gt;"",IF(LOWER('Capacity summary'!AD155)="x",$BI36*AD36,VALUE('Capacity summary'!AD155)),0),AD36*$BI36),AD36*$BI36),0)</f>
        <v>0</v>
      </c>
      <c r="CH36" s="313">
        <f>IF($BI36&lt;&gt;"",IF('Capacity summary'!$D$14="Yes",IF(COUNTBLANK('Capacity summary'!$H155:$BG155)&lt;52,IF('Capacity summary'!AE155&lt;&gt;"",IF(LOWER('Capacity summary'!AE155)="x",$BI36*AE36,VALUE('Capacity summary'!AE155)),0),AE36*$BI36),AE36*$BI36),0)</f>
        <v>0</v>
      </c>
      <c r="CI36" s="313">
        <f>IF($BI36&lt;&gt;"",IF('Capacity summary'!$D$14="Yes",IF(COUNTBLANK('Capacity summary'!$H155:$BG155)&lt;52,IF('Capacity summary'!AF155&lt;&gt;"",IF(LOWER('Capacity summary'!AF155)="x",$BI36*AF36,VALUE('Capacity summary'!AF155)),0),AF36*$BI36),AF36*$BI36),0)</f>
        <v>0</v>
      </c>
      <c r="CJ36" s="313">
        <f>IF($BI36&lt;&gt;"",IF('Capacity summary'!$D$14="Yes",IF(COUNTBLANK('Capacity summary'!$H155:$BG155)&lt;52,IF('Capacity summary'!AG155&lt;&gt;"",IF(LOWER('Capacity summary'!AG155)="x",$BI36*AG36,VALUE('Capacity summary'!AG155)),0),AG36*$BI36),AG36*$BI36),0)</f>
        <v>0</v>
      </c>
      <c r="CK36" s="313">
        <f>IF($BI36&lt;&gt;"",IF('Capacity summary'!$D$14="Yes",IF(COUNTBLANK('Capacity summary'!$H155:$BG155)&lt;52,IF('Capacity summary'!AH155&lt;&gt;"",IF(LOWER('Capacity summary'!AH155)="x",$BI36*AH36,VALUE('Capacity summary'!AH155)),0),AH36*$BI36),AH36*$BI36),0)</f>
        <v>0</v>
      </c>
      <c r="CL36" s="313">
        <f>IF($BI36&lt;&gt;"",IF('Capacity summary'!$D$14="Yes",IF(COUNTBLANK('Capacity summary'!$H155:$BG155)&lt;52,IF('Capacity summary'!AI155&lt;&gt;"",IF(LOWER('Capacity summary'!AI155)="x",$BI36*AI36,VALUE('Capacity summary'!AI155)),0),AI36*$BI36),AI36*$BI36),0)</f>
        <v>0</v>
      </c>
      <c r="CM36" s="313">
        <f>IF($BI36&lt;&gt;"",IF('Capacity summary'!$D$14="Yes",IF(COUNTBLANK('Capacity summary'!$H155:$BG155)&lt;52,IF('Capacity summary'!AJ155&lt;&gt;"",IF(LOWER('Capacity summary'!AJ155)="x",$BI36*AJ36,VALUE('Capacity summary'!AJ155)),0),AJ36*$BI36),AJ36*$BI36),0)</f>
        <v>0</v>
      </c>
      <c r="CN36" s="313">
        <f>IF($BI36&lt;&gt;"",IF('Capacity summary'!$D$14="Yes",IF(COUNTBLANK('Capacity summary'!$H155:$BG155)&lt;52,IF('Capacity summary'!AK155&lt;&gt;"",IF(LOWER('Capacity summary'!AK155)="x",$BI36*AK36,VALUE('Capacity summary'!AK155)),0),AK36*$BI36),AK36*$BI36),0)</f>
        <v>0</v>
      </c>
      <c r="CO36" s="313">
        <f>IF($BI36&lt;&gt;"",IF('Capacity summary'!$D$14="Yes",IF(COUNTBLANK('Capacity summary'!$H155:$BG155)&lt;52,IF('Capacity summary'!AL155&lt;&gt;"",IF(LOWER('Capacity summary'!AL155)="x",$BI36*AL36,VALUE('Capacity summary'!AL155)),0),AL36*$BI36),AL36*$BI36),0)</f>
        <v>0</v>
      </c>
      <c r="CP36" s="313">
        <f>IF($BI36&lt;&gt;"",IF('Capacity summary'!$D$14="Yes",IF(COUNTBLANK('Capacity summary'!$H155:$BG155)&lt;52,IF('Capacity summary'!AM155&lt;&gt;"",IF(LOWER('Capacity summary'!AM155)="x",$BI36*AM36,VALUE('Capacity summary'!AM155)),0),AM36*$BI36),AM36*$BI36),0)</f>
        <v>0</v>
      </c>
      <c r="CQ36" s="313">
        <f>IF($BI36&lt;&gt;"",IF('Capacity summary'!$D$14="Yes",IF(COUNTBLANK('Capacity summary'!$H155:$BG155)&lt;52,IF('Capacity summary'!AN155&lt;&gt;"",IF(LOWER('Capacity summary'!AN155)="x",$BI36*AN36,VALUE('Capacity summary'!AN155)),0),AN36*$BI36),AN36*$BI36),0)</f>
        <v>0</v>
      </c>
      <c r="CR36" s="313">
        <f>IF($BI36&lt;&gt;"",IF('Capacity summary'!$D$14="Yes",IF(COUNTBLANK('Capacity summary'!$H155:$BG155)&lt;52,IF('Capacity summary'!AO155&lt;&gt;"",IF(LOWER('Capacity summary'!AO155)="x",$BI36*AO36,VALUE('Capacity summary'!AO155)),0),AO36*$BI36),AO36*$BI36),0)</f>
        <v>0</v>
      </c>
      <c r="CS36" s="313">
        <f>IF($BI36&lt;&gt;"",IF('Capacity summary'!$D$14="Yes",IF(COUNTBLANK('Capacity summary'!$H155:$BG155)&lt;52,IF('Capacity summary'!AP155&lt;&gt;"",IF(LOWER('Capacity summary'!AP155)="x",$BI36*AP36,VALUE('Capacity summary'!AP155)),0),AP36*$BI36),AP36*$BI36),0)</f>
        <v>0</v>
      </c>
      <c r="CT36" s="313">
        <f>IF($BI36&lt;&gt;"",IF('Capacity summary'!$D$14="Yes",IF(COUNTBLANK('Capacity summary'!$H155:$BG155)&lt;52,IF('Capacity summary'!AQ155&lt;&gt;"",IF(LOWER('Capacity summary'!AQ155)="x",$BI36*AQ36,VALUE('Capacity summary'!AQ155)),0),AQ36*$BI36),AQ36*$BI36),0)</f>
        <v>0</v>
      </c>
      <c r="CU36" s="313">
        <f>IF($BI36&lt;&gt;"",IF('Capacity summary'!$D$14="Yes",IF(COUNTBLANK('Capacity summary'!$H155:$BG155)&lt;52,IF('Capacity summary'!AR155&lt;&gt;"",IF(LOWER('Capacity summary'!AR155)="x",$BI36*AR36,VALUE('Capacity summary'!AR155)),0),AR36*$BI36),AR36*$BI36),0)</f>
        <v>0</v>
      </c>
      <c r="CV36" s="313">
        <f>IF($BI36&lt;&gt;"",IF('Capacity summary'!$D$14="Yes",IF(COUNTBLANK('Capacity summary'!$H155:$BG155)&lt;52,IF('Capacity summary'!AS155&lt;&gt;"",IF(LOWER('Capacity summary'!AS155)="x",$BI36*AS36,VALUE('Capacity summary'!AS155)),0),AS36*$BI36),AS36*$BI36),0)</f>
        <v>0</v>
      </c>
      <c r="CW36" s="313">
        <f>IF($BI36&lt;&gt;"",IF('Capacity summary'!$D$14="Yes",IF(COUNTBLANK('Capacity summary'!$H155:$BG155)&lt;52,IF('Capacity summary'!AT155&lt;&gt;"",IF(LOWER('Capacity summary'!AT155)="x",$BI36*AT36,VALUE('Capacity summary'!AT155)),0),AT36*$BI36),AT36*$BI36),0)</f>
        <v>0</v>
      </c>
      <c r="CX36" s="313">
        <f>IF($BI36&lt;&gt;"",IF('Capacity summary'!$D$14="Yes",IF(COUNTBLANK('Capacity summary'!$H155:$BG155)&lt;52,IF('Capacity summary'!AU155&lt;&gt;"",IF(LOWER('Capacity summary'!AU155)="x",$BI36*AU36,VALUE('Capacity summary'!AU155)),0),AU36*$BI36),AU36*$BI36),0)</f>
        <v>0</v>
      </c>
      <c r="CY36" s="313">
        <f>IF($BI36&lt;&gt;"",IF('Capacity summary'!$D$14="Yes",IF(COUNTBLANK('Capacity summary'!$H155:$BG155)&lt;52,IF('Capacity summary'!AV155&lt;&gt;"",IF(LOWER('Capacity summary'!AV155)="x",$BI36*AV36,VALUE('Capacity summary'!AV155)),0),AV36*$BI36),AV36*$BI36),0)</f>
        <v>0</v>
      </c>
      <c r="CZ36" s="313">
        <f>IF($BI36&lt;&gt;"",IF('Capacity summary'!$D$14="Yes",IF(COUNTBLANK('Capacity summary'!$H155:$BG155)&lt;52,IF('Capacity summary'!AW155&lt;&gt;"",IF(LOWER('Capacity summary'!AW155)="x",$BI36*AW36,VALUE('Capacity summary'!AW155)),0),AW36*$BI36),AW36*$BI36),0)</f>
        <v>0</v>
      </c>
      <c r="DA36" s="313">
        <f>IF($BI36&lt;&gt;"",IF('Capacity summary'!$D$14="Yes",IF(COUNTBLANK('Capacity summary'!$H155:$BG155)&lt;52,IF('Capacity summary'!AX155&lt;&gt;"",IF(LOWER('Capacity summary'!AX155)="x",$BI36*AX36,VALUE('Capacity summary'!AX155)),0),AX36*$BI36),AX36*$BI36),0)</f>
        <v>0</v>
      </c>
      <c r="DB36" s="313">
        <f>IF($BI36&lt;&gt;"",IF('Capacity summary'!$D$14="Yes",IF(COUNTBLANK('Capacity summary'!$H155:$BG155)&lt;52,IF('Capacity summary'!AY155&lt;&gt;"",IF(LOWER('Capacity summary'!AY155)="x",$BI36*AY36,VALUE('Capacity summary'!AY155)),0),AY36*$BI36),AY36*$BI36),0)</f>
        <v>0</v>
      </c>
      <c r="DC36" s="313">
        <f>IF($BI36&lt;&gt;"",IF('Capacity summary'!$D$14="Yes",IF(COUNTBLANK('Capacity summary'!$H155:$BG155)&lt;52,IF('Capacity summary'!AZ155&lt;&gt;"",IF(LOWER('Capacity summary'!AZ155)="x",$BI36*AZ36,VALUE('Capacity summary'!AZ155)),0),AZ36*$BI36),AZ36*$BI36),0)</f>
        <v>0</v>
      </c>
      <c r="DD36" s="313">
        <f>IF($BI36&lt;&gt;"",IF('Capacity summary'!$D$14="Yes",IF(COUNTBLANK('Capacity summary'!$H155:$BG155)&lt;52,IF('Capacity summary'!BA155&lt;&gt;"",IF(LOWER('Capacity summary'!BA155)="x",$BI36*BA36,VALUE('Capacity summary'!BA155)),0),BA36*$BI36),BA36*$BI36),0)</f>
        <v>0</v>
      </c>
      <c r="DE36" s="313">
        <f>IF($BI36&lt;&gt;"",IF('Capacity summary'!$D$14="Yes",IF(COUNTBLANK('Capacity summary'!$H155:$BG155)&lt;52,IF('Capacity summary'!BB155&lt;&gt;"",IF(LOWER('Capacity summary'!BB155)="x",$BI36*BB36,VALUE('Capacity summary'!BB155)),0),BB36*$BI36),BB36*$BI36),0)</f>
        <v>0</v>
      </c>
      <c r="DF36" s="313">
        <f>IF($BI36&lt;&gt;"",IF('Capacity summary'!$D$14="Yes",IF(COUNTBLANK('Capacity summary'!$H155:$BG155)&lt;52,IF('Capacity summary'!BC155&lt;&gt;"",IF(LOWER('Capacity summary'!BC155)="x",$BI36*BC36,VALUE('Capacity summary'!BC155)),0),BC36*$BI36),BC36*$BI36),0)</f>
        <v>0</v>
      </c>
      <c r="DG36" s="313">
        <f>IF($BI36&lt;&gt;"",IF('Capacity summary'!$D$14="Yes",IF(COUNTBLANK('Capacity summary'!$H155:$BG155)&lt;52,IF('Capacity summary'!BD155&lt;&gt;"",IF(LOWER('Capacity summary'!BD155)="x",$BI36*BD36,VALUE('Capacity summary'!BD155)),0),BD36*$BI36),BD36*$BI36),0)</f>
        <v>0</v>
      </c>
      <c r="DH36" s="313">
        <f>IF($BI36&lt;&gt;"",IF('Capacity summary'!$D$14="Yes",IF(COUNTBLANK('Capacity summary'!$H155:$BG155)&lt;52,IF('Capacity summary'!BE155&lt;&gt;"",IF(LOWER('Capacity summary'!BE155)="x",$BI36*BE36,VALUE('Capacity summary'!BE155)),0),BE36*$BI36),BE36*$BI36),0)</f>
        <v>0</v>
      </c>
      <c r="DI36" s="313">
        <f>IF($BI36&lt;&gt;"",IF('Capacity summary'!$D$14="Yes",IF(COUNTBLANK('Capacity summary'!$H155:$BG155)&lt;52,IF('Capacity summary'!BF155&lt;&gt;"",IF(LOWER('Capacity summary'!BF155)="x",$BI36*BF36,VALUE('Capacity summary'!BF155)),0),BF36*$BI36),BF36*$BI36),0)</f>
        <v>0</v>
      </c>
      <c r="DJ36" s="313">
        <f>IF($BI36&lt;&gt;"",IF('Capacity summary'!$D$14="Yes",IF(COUNTBLANK('Capacity summary'!$H155:$BG155)&lt;52,IF('Capacity summary'!BG155&lt;&gt;"",IF(LOWER('Capacity summary'!BG155)="x",$BI36*BG36,VALUE('Capacity summary'!BG155)),0),BG36*$BI36),BG36*$BI36),0)</f>
        <v>0</v>
      </c>
      <c r="DK36" s="137">
        <f t="shared" si="2"/>
        <v>0</v>
      </c>
      <c r="DL36" s="313" t="str">
        <f>Capacity!H48</f>
        <v/>
      </c>
      <c r="DP36" s="5"/>
    </row>
    <row r="37" spans="2:120" x14ac:dyDescent="0.25">
      <c r="B37" s="67"/>
      <c r="C37" s="67" t="str">
        <f>ROW(A33)&amp;". "&amp;Capacity!B49</f>
        <v xml:space="preserve">33. </v>
      </c>
      <c r="D37" s="67">
        <f>'Capacity setup'!C44</f>
        <v>0</v>
      </c>
      <c r="E37" s="67">
        <f>'Capacity setup'!D44</f>
        <v>0</v>
      </c>
      <c r="F37" s="67">
        <f>'Capacity setup'!E44</f>
        <v>0</v>
      </c>
      <c r="H37" s="67">
        <f ca="1">IF(AND(SUMIF(Capacity_Resource,$D37,'Critical resources (hide)'!U$6:U$105)+SUMIF(Capacity_Resource,$E37,'Critical resources (hide)'!U$6:U$105)+SUMIF(Capacity_Resource,$F37,'Critical resources (hide)'!U$6:U$105)&gt;0,$E$1=2),0,1)</f>
        <v>1</v>
      </c>
      <c r="I37" s="67">
        <f ca="1">IF(AND(SUMIF(Capacity_Resource,$D37,'Critical resources (hide)'!V$6:V$105)+SUMIF(Capacity_Resource,$E37,'Critical resources (hide)'!V$6:V$105)+SUMIF(Capacity_Resource,$F37,'Critical resources (hide)'!V$6:V$105)&gt;0,$E$1=2),0,1)</f>
        <v>1</v>
      </c>
      <c r="J37" s="67">
        <f ca="1">IF(AND(SUMIF(Capacity_Resource,$D37,'Critical resources (hide)'!W$6:W$105)+SUMIF(Capacity_Resource,$E37,'Critical resources (hide)'!W$6:W$105)+SUMIF(Capacity_Resource,$F37,'Critical resources (hide)'!W$6:W$105)&gt;0,$E$1=2),0,1)</f>
        <v>1</v>
      </c>
      <c r="K37" s="67">
        <f ca="1">IF(AND(SUMIF(Capacity_Resource,$D37,'Critical resources (hide)'!X$6:X$105)+SUMIF(Capacity_Resource,$E37,'Critical resources (hide)'!X$6:X$105)+SUMIF(Capacity_Resource,$F37,'Critical resources (hide)'!X$6:X$105)&gt;0,$E$1=2),0,1)</f>
        <v>1</v>
      </c>
      <c r="L37" s="67">
        <f ca="1">IF(AND(SUMIF(Capacity_Resource,$D37,'Critical resources (hide)'!Y$6:Y$105)+SUMIF(Capacity_Resource,$E37,'Critical resources (hide)'!Y$6:Y$105)+SUMIF(Capacity_Resource,$F37,'Critical resources (hide)'!Y$6:Y$105)&gt;0,$E$1=2),0,1)</f>
        <v>1</v>
      </c>
      <c r="M37" s="67">
        <f ca="1">IF(AND(SUMIF(Capacity_Resource,$D37,'Critical resources (hide)'!Z$6:Z$105)+SUMIF(Capacity_Resource,$E37,'Critical resources (hide)'!Z$6:Z$105)+SUMIF(Capacity_Resource,$F37,'Critical resources (hide)'!Z$6:Z$105)&gt;0,$E$1=2),0,1)</f>
        <v>1</v>
      </c>
      <c r="N37" s="67">
        <f ca="1">IF(AND(SUMIF(Capacity_Resource,$D37,'Critical resources (hide)'!AA$6:AA$105)+SUMIF(Capacity_Resource,$E37,'Critical resources (hide)'!AA$6:AA$105)+SUMIF(Capacity_Resource,$F37,'Critical resources (hide)'!AA$6:AA$105)&gt;0,$E$1=2),0,1)</f>
        <v>1</v>
      </c>
      <c r="O37" s="67">
        <f ca="1">IF(AND(SUMIF(Capacity_Resource,$D37,'Critical resources (hide)'!AB$6:AB$105)+SUMIF(Capacity_Resource,$E37,'Critical resources (hide)'!AB$6:AB$105)+SUMIF(Capacity_Resource,$F37,'Critical resources (hide)'!AB$6:AB$105)&gt;0,$E$1=2),0,1)</f>
        <v>1</v>
      </c>
      <c r="P37" s="67">
        <f ca="1">IF(AND(SUMIF(Capacity_Resource,$D37,'Critical resources (hide)'!AC$6:AC$105)+SUMIF(Capacity_Resource,$E37,'Critical resources (hide)'!AC$6:AC$105)+SUMIF(Capacity_Resource,$F37,'Critical resources (hide)'!AC$6:AC$105)&gt;0,$E$1=2),0,1)</f>
        <v>1</v>
      </c>
      <c r="Q37" s="67">
        <f ca="1">IF(AND(SUMIF(Capacity_Resource,$D37,'Critical resources (hide)'!AD$6:AD$105)+SUMIF(Capacity_Resource,$E37,'Critical resources (hide)'!AD$6:AD$105)+SUMIF(Capacity_Resource,$F37,'Critical resources (hide)'!AD$6:AD$105)&gt;0,$E$1=2),0,1)</f>
        <v>1</v>
      </c>
      <c r="R37" s="67">
        <f ca="1">IF(AND(SUMIF(Capacity_Resource,$D37,'Critical resources (hide)'!AE$6:AE$105)+SUMIF(Capacity_Resource,$E37,'Critical resources (hide)'!AE$6:AE$105)+SUMIF(Capacity_Resource,$F37,'Critical resources (hide)'!AE$6:AE$105)&gt;0,$E$1=2),0,1)</f>
        <v>1</v>
      </c>
      <c r="S37" s="67">
        <f ca="1">IF(AND(SUMIF(Capacity_Resource,$D37,'Critical resources (hide)'!AF$6:AF$105)+SUMIF(Capacity_Resource,$E37,'Critical resources (hide)'!AF$6:AF$105)+SUMIF(Capacity_Resource,$F37,'Critical resources (hide)'!AF$6:AF$105)&gt;0,$E$1=2),0,1)</f>
        <v>1</v>
      </c>
      <c r="T37" s="67">
        <f ca="1">IF(AND(SUMIF(Capacity_Resource,$D37,'Critical resources (hide)'!AG$6:AG$105)+SUMIF(Capacity_Resource,$E37,'Critical resources (hide)'!AG$6:AG$105)+SUMIF(Capacity_Resource,$F37,'Critical resources (hide)'!AG$6:AG$105)&gt;0,$E$1=2),0,1)</f>
        <v>1</v>
      </c>
      <c r="U37" s="67">
        <f ca="1">IF(AND(SUMIF(Capacity_Resource,$D37,'Critical resources (hide)'!AH$6:AH$105)+SUMIF(Capacity_Resource,$E37,'Critical resources (hide)'!AH$6:AH$105)+SUMIF(Capacity_Resource,$F37,'Critical resources (hide)'!AH$6:AH$105)&gt;0,$E$1=2),0,1)</f>
        <v>1</v>
      </c>
      <c r="V37" s="67">
        <f ca="1">IF(AND(SUMIF(Capacity_Resource,$D37,'Critical resources (hide)'!AI$6:AI$105)+SUMIF(Capacity_Resource,$E37,'Critical resources (hide)'!AI$6:AI$105)+SUMIF(Capacity_Resource,$F37,'Critical resources (hide)'!AI$6:AI$105)&gt;0,$E$1=2),0,1)</f>
        <v>1</v>
      </c>
      <c r="W37" s="67">
        <f ca="1">IF(AND(SUMIF(Capacity_Resource,$D37,'Critical resources (hide)'!AJ$6:AJ$105)+SUMIF(Capacity_Resource,$E37,'Critical resources (hide)'!AJ$6:AJ$105)+SUMIF(Capacity_Resource,$F37,'Critical resources (hide)'!AJ$6:AJ$105)&gt;0,$E$1=2),0,1)</f>
        <v>1</v>
      </c>
      <c r="X37" s="67">
        <f ca="1">IF(AND(SUMIF(Capacity_Resource,$D37,'Critical resources (hide)'!AK$6:AK$105)+SUMIF(Capacity_Resource,$E37,'Critical resources (hide)'!AK$6:AK$105)+SUMIF(Capacity_Resource,$F37,'Critical resources (hide)'!AK$6:AK$105)&gt;0,$E$1=2),0,1)</f>
        <v>1</v>
      </c>
      <c r="Y37" s="67">
        <f ca="1">IF(AND(SUMIF(Capacity_Resource,$D37,'Critical resources (hide)'!AL$6:AL$105)+SUMIF(Capacity_Resource,$E37,'Critical resources (hide)'!AL$6:AL$105)+SUMIF(Capacity_Resource,$F37,'Critical resources (hide)'!AL$6:AL$105)&gt;0,$E$1=2),0,1)</f>
        <v>1</v>
      </c>
      <c r="Z37" s="67">
        <f ca="1">IF(AND(SUMIF(Capacity_Resource,$D37,'Critical resources (hide)'!AM$6:AM$105)+SUMIF(Capacity_Resource,$E37,'Critical resources (hide)'!AM$6:AM$105)+SUMIF(Capacity_Resource,$F37,'Critical resources (hide)'!AM$6:AM$105)&gt;0,$E$1=2),0,1)</f>
        <v>1</v>
      </c>
      <c r="AA37" s="67">
        <f ca="1">IF(AND(SUMIF(Capacity_Resource,$D37,'Critical resources (hide)'!AN$6:AN$105)+SUMIF(Capacity_Resource,$E37,'Critical resources (hide)'!AN$6:AN$105)+SUMIF(Capacity_Resource,$F37,'Critical resources (hide)'!AN$6:AN$105)&gt;0,$E$1=2),0,1)</f>
        <v>1</v>
      </c>
      <c r="AB37" s="67">
        <f ca="1">IF(AND(SUMIF(Capacity_Resource,$D37,'Critical resources (hide)'!AO$6:AO$105)+SUMIF(Capacity_Resource,$E37,'Critical resources (hide)'!AO$6:AO$105)+SUMIF(Capacity_Resource,$F37,'Critical resources (hide)'!AO$6:AO$105)&gt;0,$E$1=2),0,1)</f>
        <v>1</v>
      </c>
      <c r="AC37" s="67">
        <f ca="1">IF(AND(SUMIF(Capacity_Resource,$D37,'Critical resources (hide)'!AP$6:AP$105)+SUMIF(Capacity_Resource,$E37,'Critical resources (hide)'!AP$6:AP$105)+SUMIF(Capacity_Resource,$F37,'Critical resources (hide)'!AP$6:AP$105)&gt;0,$E$1=2),0,1)</f>
        <v>1</v>
      </c>
      <c r="AD37" s="67">
        <f ca="1">IF(AND(SUMIF(Capacity_Resource,$D37,'Critical resources (hide)'!AQ$6:AQ$105)+SUMIF(Capacity_Resource,$E37,'Critical resources (hide)'!AQ$6:AQ$105)+SUMIF(Capacity_Resource,$F37,'Critical resources (hide)'!AQ$6:AQ$105)&gt;0,$E$1=2),0,1)</f>
        <v>1</v>
      </c>
      <c r="AE37" s="67">
        <f ca="1">IF(AND(SUMIF(Capacity_Resource,$D37,'Critical resources (hide)'!AR$6:AR$105)+SUMIF(Capacity_Resource,$E37,'Critical resources (hide)'!AR$6:AR$105)+SUMIF(Capacity_Resource,$F37,'Critical resources (hide)'!AR$6:AR$105)&gt;0,$E$1=2),0,1)</f>
        <v>1</v>
      </c>
      <c r="AF37" s="67">
        <f ca="1">IF(AND(SUMIF(Capacity_Resource,$D37,'Critical resources (hide)'!AS$6:AS$105)+SUMIF(Capacity_Resource,$E37,'Critical resources (hide)'!AS$6:AS$105)+SUMIF(Capacity_Resource,$F37,'Critical resources (hide)'!AS$6:AS$105)&gt;0,$E$1=2),0,1)</f>
        <v>1</v>
      </c>
      <c r="AG37" s="67">
        <f ca="1">IF(AND(SUMIF(Capacity_Resource,$D37,'Critical resources (hide)'!AT$6:AT$105)+SUMIF(Capacity_Resource,$E37,'Critical resources (hide)'!AT$6:AT$105)+SUMIF(Capacity_Resource,$F37,'Critical resources (hide)'!AT$6:AT$105)&gt;0,$E$1=2),0,1)</f>
        <v>1</v>
      </c>
      <c r="AH37" s="67">
        <f ca="1">IF(AND(SUMIF(Capacity_Resource,$D37,'Critical resources (hide)'!AU$6:AU$105)+SUMIF(Capacity_Resource,$E37,'Critical resources (hide)'!AU$6:AU$105)+SUMIF(Capacity_Resource,$F37,'Critical resources (hide)'!AU$6:AU$105)&gt;0,$E$1=2),0,1)</f>
        <v>1</v>
      </c>
      <c r="AI37" s="67">
        <f ca="1">IF(AND(SUMIF(Capacity_Resource,$D37,'Critical resources (hide)'!AV$6:AV$105)+SUMIF(Capacity_Resource,$E37,'Critical resources (hide)'!AV$6:AV$105)+SUMIF(Capacity_Resource,$F37,'Critical resources (hide)'!AV$6:AV$105)&gt;0,$E$1=2),0,1)</f>
        <v>1</v>
      </c>
      <c r="AJ37" s="67">
        <f ca="1">IF(AND(SUMIF(Capacity_Resource,$D37,'Critical resources (hide)'!AW$6:AW$105)+SUMIF(Capacity_Resource,$E37,'Critical resources (hide)'!AW$6:AW$105)+SUMIF(Capacity_Resource,$F37,'Critical resources (hide)'!AW$6:AW$105)&gt;0,$E$1=2),0,1)</f>
        <v>1</v>
      </c>
      <c r="AK37" s="67">
        <f ca="1">IF(AND(SUMIF(Capacity_Resource,$D37,'Critical resources (hide)'!AX$6:AX$105)+SUMIF(Capacity_Resource,$E37,'Critical resources (hide)'!AX$6:AX$105)+SUMIF(Capacity_Resource,$F37,'Critical resources (hide)'!AX$6:AX$105)&gt;0,$E$1=2),0,1)</f>
        <v>1</v>
      </c>
      <c r="AL37" s="67">
        <f ca="1">IF(AND(SUMIF(Capacity_Resource,$D37,'Critical resources (hide)'!AY$6:AY$105)+SUMIF(Capacity_Resource,$E37,'Critical resources (hide)'!AY$6:AY$105)+SUMIF(Capacity_Resource,$F37,'Critical resources (hide)'!AY$6:AY$105)&gt;0,$E$1=2),0,1)</f>
        <v>1</v>
      </c>
      <c r="AM37" s="67">
        <f ca="1">IF(AND(SUMIF(Capacity_Resource,$D37,'Critical resources (hide)'!AZ$6:AZ$105)+SUMIF(Capacity_Resource,$E37,'Critical resources (hide)'!AZ$6:AZ$105)+SUMIF(Capacity_Resource,$F37,'Critical resources (hide)'!AZ$6:AZ$105)&gt;0,$E$1=2),0,1)</f>
        <v>1</v>
      </c>
      <c r="AN37" s="67">
        <f ca="1">IF(AND(SUMIF(Capacity_Resource,$D37,'Critical resources (hide)'!BA$6:BA$105)+SUMIF(Capacity_Resource,$E37,'Critical resources (hide)'!BA$6:BA$105)+SUMIF(Capacity_Resource,$F37,'Critical resources (hide)'!BA$6:BA$105)&gt;0,$E$1=2),0,1)</f>
        <v>1</v>
      </c>
      <c r="AO37" s="67">
        <f ca="1">IF(AND(SUMIF(Capacity_Resource,$D37,'Critical resources (hide)'!BB$6:BB$105)+SUMIF(Capacity_Resource,$E37,'Critical resources (hide)'!BB$6:BB$105)+SUMIF(Capacity_Resource,$F37,'Critical resources (hide)'!BB$6:BB$105)&gt;0,$E$1=2),0,1)</f>
        <v>1</v>
      </c>
      <c r="AP37" s="67">
        <f ca="1">IF(AND(SUMIF(Capacity_Resource,$D37,'Critical resources (hide)'!BC$6:BC$105)+SUMIF(Capacity_Resource,$E37,'Critical resources (hide)'!BC$6:BC$105)+SUMIF(Capacity_Resource,$F37,'Critical resources (hide)'!BC$6:BC$105)&gt;0,$E$1=2),0,1)</f>
        <v>1</v>
      </c>
      <c r="AQ37" s="67">
        <f ca="1">IF(AND(SUMIF(Capacity_Resource,$D37,'Critical resources (hide)'!BD$6:BD$105)+SUMIF(Capacity_Resource,$E37,'Critical resources (hide)'!BD$6:BD$105)+SUMIF(Capacity_Resource,$F37,'Critical resources (hide)'!BD$6:BD$105)&gt;0,$E$1=2),0,1)</f>
        <v>1</v>
      </c>
      <c r="AR37" s="67">
        <f ca="1">IF(AND(SUMIF(Capacity_Resource,$D37,'Critical resources (hide)'!BE$6:BE$105)+SUMIF(Capacity_Resource,$E37,'Critical resources (hide)'!BE$6:BE$105)+SUMIF(Capacity_Resource,$F37,'Critical resources (hide)'!BE$6:BE$105)&gt;0,$E$1=2),0,1)</f>
        <v>1</v>
      </c>
      <c r="AS37" s="67">
        <f ca="1">IF(AND(SUMIF(Capacity_Resource,$D37,'Critical resources (hide)'!BF$6:BF$105)+SUMIF(Capacity_Resource,$E37,'Critical resources (hide)'!BF$6:BF$105)+SUMIF(Capacity_Resource,$F37,'Critical resources (hide)'!BF$6:BF$105)&gt;0,$E$1=2),0,1)</f>
        <v>1</v>
      </c>
      <c r="AT37" s="67">
        <f ca="1">IF(AND(SUMIF(Capacity_Resource,$D37,'Critical resources (hide)'!BG$6:BG$105)+SUMIF(Capacity_Resource,$E37,'Critical resources (hide)'!BG$6:BG$105)+SUMIF(Capacity_Resource,$F37,'Critical resources (hide)'!BG$6:BG$105)&gt;0,$E$1=2),0,1)</f>
        <v>1</v>
      </c>
      <c r="AU37" s="67">
        <f ca="1">IF(AND(SUMIF(Capacity_Resource,$D37,'Critical resources (hide)'!BH$6:BH$105)+SUMIF(Capacity_Resource,$E37,'Critical resources (hide)'!BH$6:BH$105)+SUMIF(Capacity_Resource,$F37,'Critical resources (hide)'!BH$6:BH$105)&gt;0,$E$1=2),0,1)</f>
        <v>1</v>
      </c>
      <c r="AV37" s="67">
        <f ca="1">IF(AND(SUMIF(Capacity_Resource,$D37,'Critical resources (hide)'!BI$6:BI$105)+SUMIF(Capacity_Resource,$E37,'Critical resources (hide)'!BI$6:BI$105)+SUMIF(Capacity_Resource,$F37,'Critical resources (hide)'!BI$6:BI$105)&gt;0,$E$1=2),0,1)</f>
        <v>1</v>
      </c>
      <c r="AW37" s="67">
        <f ca="1">IF(AND(SUMIF(Capacity_Resource,$D37,'Critical resources (hide)'!BJ$6:BJ$105)+SUMIF(Capacity_Resource,$E37,'Critical resources (hide)'!BJ$6:BJ$105)+SUMIF(Capacity_Resource,$F37,'Critical resources (hide)'!BJ$6:BJ$105)&gt;0,$E$1=2),0,1)</f>
        <v>1</v>
      </c>
      <c r="AX37" s="67">
        <f ca="1">IF(AND(SUMIF(Capacity_Resource,$D37,'Critical resources (hide)'!BK$6:BK$105)+SUMIF(Capacity_Resource,$E37,'Critical resources (hide)'!BK$6:BK$105)+SUMIF(Capacity_Resource,$F37,'Critical resources (hide)'!BK$6:BK$105)&gt;0,$E$1=2),0,1)</f>
        <v>1</v>
      </c>
      <c r="AY37" s="67">
        <f ca="1">IF(AND(SUMIF(Capacity_Resource,$D37,'Critical resources (hide)'!BL$6:BL$105)+SUMIF(Capacity_Resource,$E37,'Critical resources (hide)'!BL$6:BL$105)+SUMIF(Capacity_Resource,$F37,'Critical resources (hide)'!BL$6:BL$105)&gt;0,$E$1=2),0,1)</f>
        <v>1</v>
      </c>
      <c r="AZ37" s="67">
        <f ca="1">IF(AND(SUMIF(Capacity_Resource,$D37,'Critical resources (hide)'!BM$6:BM$105)+SUMIF(Capacity_Resource,$E37,'Critical resources (hide)'!BM$6:BM$105)+SUMIF(Capacity_Resource,$F37,'Critical resources (hide)'!BM$6:BM$105)&gt;0,$E$1=2),0,1)</f>
        <v>1</v>
      </c>
      <c r="BA37" s="67">
        <f ca="1">IF(AND(SUMIF(Capacity_Resource,$D37,'Critical resources (hide)'!BN$6:BN$105)+SUMIF(Capacity_Resource,$E37,'Critical resources (hide)'!BN$6:BN$105)+SUMIF(Capacity_Resource,$F37,'Critical resources (hide)'!BN$6:BN$105)&gt;0,$E$1=2),0,1)</f>
        <v>1</v>
      </c>
      <c r="BB37" s="67">
        <f ca="1">IF(AND(SUMIF(Capacity_Resource,$D37,'Critical resources (hide)'!BO$6:BO$105)+SUMIF(Capacity_Resource,$E37,'Critical resources (hide)'!BO$6:BO$105)+SUMIF(Capacity_Resource,$F37,'Critical resources (hide)'!BO$6:BO$105)&gt;0,$E$1=2),0,1)</f>
        <v>1</v>
      </c>
      <c r="BC37" s="67">
        <f ca="1">IF(AND(SUMIF(Capacity_Resource,$D37,'Critical resources (hide)'!BP$6:BP$105)+SUMIF(Capacity_Resource,$E37,'Critical resources (hide)'!BP$6:BP$105)+SUMIF(Capacity_Resource,$F37,'Critical resources (hide)'!BP$6:BP$105)&gt;0,$E$1=2),0,1)</f>
        <v>1</v>
      </c>
      <c r="BD37" s="67">
        <f ca="1">IF(AND(SUMIF(Capacity_Resource,$D37,'Critical resources (hide)'!BQ$6:BQ$105)+SUMIF(Capacity_Resource,$E37,'Critical resources (hide)'!BQ$6:BQ$105)+SUMIF(Capacity_Resource,$F37,'Critical resources (hide)'!BQ$6:BQ$105)&gt;0,$E$1=2),0,1)</f>
        <v>1</v>
      </c>
      <c r="BE37" s="67">
        <f ca="1">IF(AND(SUMIF(Capacity_Resource,$D37,'Critical resources (hide)'!BR$6:BR$105)+SUMIF(Capacity_Resource,$E37,'Critical resources (hide)'!BR$6:BR$105)+SUMIF(Capacity_Resource,$F37,'Critical resources (hide)'!BR$6:BR$105)&gt;0,$E$1=2),0,1)</f>
        <v>1</v>
      </c>
      <c r="BF37" s="67">
        <f ca="1">IF(AND(SUMIF(Capacity_Resource,$D37,'Critical resources (hide)'!BS$6:BS$105)+SUMIF(Capacity_Resource,$E37,'Critical resources (hide)'!BS$6:BS$105)+SUMIF(Capacity_Resource,$F37,'Critical resources (hide)'!BS$6:BS$105)&gt;0,$E$1=2),0,1)</f>
        <v>1</v>
      </c>
      <c r="BG37" s="67">
        <f ca="1">IF(AND(SUMIF(Capacity_Resource,$D37,'Critical resources (hide)'!BT$6:BT$105)+SUMIF(Capacity_Resource,$E37,'Critical resources (hide)'!BT$6:BT$105)+SUMIF(Capacity_Resource,$F37,'Critical resources (hide)'!BT$6:BT$105)&gt;0,$E$1=2),0,1)</f>
        <v>1</v>
      </c>
      <c r="BH37" s="67">
        <f>IF(ROW(C33)&lt;=Capacity!$A$16,IF('Capacity summary'!$D$14="No",SUM(H37:BG37),'Capacity summary'!$E156),0)</f>
        <v>0</v>
      </c>
      <c r="BI37" s="5" t="str">
        <f>IF(BH37&gt;0,IF(BH37&lt;Capacity!E49,Capacity!F49,Capacity!H49/'Capacity calculation (hide)'!BH37),"")</f>
        <v/>
      </c>
      <c r="BK37" s="313">
        <f>IF($BI37&lt;&gt;"",IF('Capacity summary'!$D$14="Yes",IF(COUNTBLANK('Capacity summary'!$H156:$BG156)&lt;52,IF('Capacity summary'!H156&lt;&gt;"",IF(LOWER('Capacity summary'!H156)="x",$BI37*H37,VALUE('Capacity summary'!H156)),0),H37*$BI37),H37*$BI37),0)</f>
        <v>0</v>
      </c>
      <c r="BL37" s="313">
        <f>IF($BI37&lt;&gt;"",IF('Capacity summary'!$D$14="Yes",IF(COUNTBLANK('Capacity summary'!$H156:$BG156)&lt;52,IF('Capacity summary'!I156&lt;&gt;"",IF(LOWER('Capacity summary'!I156)="x",$BI37*I37,VALUE('Capacity summary'!I156)),0),I37*$BI37),I37*$BI37),0)</f>
        <v>0</v>
      </c>
      <c r="BM37" s="313">
        <f>IF($BI37&lt;&gt;"",IF('Capacity summary'!$D$14="Yes",IF(COUNTBLANK('Capacity summary'!$H156:$BG156)&lt;52,IF('Capacity summary'!J156&lt;&gt;"",IF(LOWER('Capacity summary'!J156)="x",$BI37*J37,VALUE('Capacity summary'!J156)),0),J37*$BI37),J37*$BI37),0)</f>
        <v>0</v>
      </c>
      <c r="BN37" s="313">
        <f>IF($BI37&lt;&gt;"",IF('Capacity summary'!$D$14="Yes",IF(COUNTBLANK('Capacity summary'!$H156:$BG156)&lt;52,IF('Capacity summary'!K156&lt;&gt;"",IF(LOWER('Capacity summary'!K156)="x",$BI37*K37,VALUE('Capacity summary'!K156)),0),K37*$BI37),K37*$BI37),0)</f>
        <v>0</v>
      </c>
      <c r="BO37" s="313">
        <f>IF($BI37&lt;&gt;"",IF('Capacity summary'!$D$14="Yes",IF(COUNTBLANK('Capacity summary'!$H156:$BG156)&lt;52,IF('Capacity summary'!L156&lt;&gt;"",IF(LOWER('Capacity summary'!L156)="x",$BI37*L37,VALUE('Capacity summary'!L156)),0),L37*$BI37),L37*$BI37),0)</f>
        <v>0</v>
      </c>
      <c r="BP37" s="313">
        <f>IF($BI37&lt;&gt;"",IF('Capacity summary'!$D$14="Yes",IF(COUNTBLANK('Capacity summary'!$H156:$BG156)&lt;52,IF('Capacity summary'!M156&lt;&gt;"",IF(LOWER('Capacity summary'!M156)="x",$BI37*M37,VALUE('Capacity summary'!M156)),0),M37*$BI37),M37*$BI37),0)</f>
        <v>0</v>
      </c>
      <c r="BQ37" s="313">
        <f>IF($BI37&lt;&gt;"",IF('Capacity summary'!$D$14="Yes",IF(COUNTBLANK('Capacity summary'!$H156:$BG156)&lt;52,IF('Capacity summary'!N156&lt;&gt;"",IF(LOWER('Capacity summary'!N156)="x",$BI37*N37,VALUE('Capacity summary'!N156)),0),N37*$BI37),N37*$BI37),0)</f>
        <v>0</v>
      </c>
      <c r="BR37" s="313">
        <f>IF($BI37&lt;&gt;"",IF('Capacity summary'!$D$14="Yes",IF(COUNTBLANK('Capacity summary'!$H156:$BG156)&lt;52,IF('Capacity summary'!O156&lt;&gt;"",IF(LOWER('Capacity summary'!O156)="x",$BI37*O37,VALUE('Capacity summary'!O156)),0),O37*$BI37),O37*$BI37),0)</f>
        <v>0</v>
      </c>
      <c r="BS37" s="313">
        <f>IF($BI37&lt;&gt;"",IF('Capacity summary'!$D$14="Yes",IF(COUNTBLANK('Capacity summary'!$H156:$BG156)&lt;52,IF('Capacity summary'!P156&lt;&gt;"",IF(LOWER('Capacity summary'!P156)="x",$BI37*P37,VALUE('Capacity summary'!P156)),0),P37*$BI37),P37*$BI37),0)</f>
        <v>0</v>
      </c>
      <c r="BT37" s="313">
        <f>IF($BI37&lt;&gt;"",IF('Capacity summary'!$D$14="Yes",IF(COUNTBLANK('Capacity summary'!$H156:$BG156)&lt;52,IF('Capacity summary'!Q156&lt;&gt;"",IF(LOWER('Capacity summary'!Q156)="x",$BI37*Q37,VALUE('Capacity summary'!Q156)),0),Q37*$BI37),Q37*$BI37),0)</f>
        <v>0</v>
      </c>
      <c r="BU37" s="313">
        <f>IF($BI37&lt;&gt;"",IF('Capacity summary'!$D$14="Yes",IF(COUNTBLANK('Capacity summary'!$H156:$BG156)&lt;52,IF('Capacity summary'!R156&lt;&gt;"",IF(LOWER('Capacity summary'!R156)="x",$BI37*R37,VALUE('Capacity summary'!R156)),0),R37*$BI37),R37*$BI37),0)</f>
        <v>0</v>
      </c>
      <c r="BV37" s="313">
        <f>IF($BI37&lt;&gt;"",IF('Capacity summary'!$D$14="Yes",IF(COUNTBLANK('Capacity summary'!$H156:$BG156)&lt;52,IF('Capacity summary'!S156&lt;&gt;"",IF(LOWER('Capacity summary'!S156)="x",$BI37*S37,VALUE('Capacity summary'!S156)),0),S37*$BI37),S37*$BI37),0)</f>
        <v>0</v>
      </c>
      <c r="BW37" s="313">
        <f>IF($BI37&lt;&gt;"",IF('Capacity summary'!$D$14="Yes",IF(COUNTBLANK('Capacity summary'!$H156:$BG156)&lt;52,IF('Capacity summary'!T156&lt;&gt;"",IF(LOWER('Capacity summary'!T156)="x",$BI37*T37,VALUE('Capacity summary'!T156)),0),T37*$BI37),T37*$BI37),0)</f>
        <v>0</v>
      </c>
      <c r="BX37" s="313">
        <f>IF($BI37&lt;&gt;"",IF('Capacity summary'!$D$14="Yes",IF(COUNTBLANK('Capacity summary'!$H156:$BG156)&lt;52,IF('Capacity summary'!U156&lt;&gt;"",IF(LOWER('Capacity summary'!U156)="x",$BI37*U37,VALUE('Capacity summary'!U156)),0),U37*$BI37),U37*$BI37),0)</f>
        <v>0</v>
      </c>
      <c r="BY37" s="313">
        <f>IF($BI37&lt;&gt;"",IF('Capacity summary'!$D$14="Yes",IF(COUNTBLANK('Capacity summary'!$H156:$BG156)&lt;52,IF('Capacity summary'!V156&lt;&gt;"",IF(LOWER('Capacity summary'!V156)="x",$BI37*V37,VALUE('Capacity summary'!V156)),0),V37*$BI37),V37*$BI37),0)</f>
        <v>0</v>
      </c>
      <c r="BZ37" s="313">
        <f>IF($BI37&lt;&gt;"",IF('Capacity summary'!$D$14="Yes",IF(COUNTBLANK('Capacity summary'!$H156:$BG156)&lt;52,IF('Capacity summary'!W156&lt;&gt;"",IF(LOWER('Capacity summary'!W156)="x",$BI37*W37,VALUE('Capacity summary'!W156)),0),W37*$BI37),W37*$BI37),0)</f>
        <v>0</v>
      </c>
      <c r="CA37" s="313">
        <f>IF($BI37&lt;&gt;"",IF('Capacity summary'!$D$14="Yes",IF(COUNTBLANK('Capacity summary'!$H156:$BG156)&lt;52,IF('Capacity summary'!X156&lt;&gt;"",IF(LOWER('Capacity summary'!X156)="x",$BI37*X37,VALUE('Capacity summary'!X156)),0),X37*$BI37),X37*$BI37),0)</f>
        <v>0</v>
      </c>
      <c r="CB37" s="313">
        <f>IF($BI37&lt;&gt;"",IF('Capacity summary'!$D$14="Yes",IF(COUNTBLANK('Capacity summary'!$H156:$BG156)&lt;52,IF('Capacity summary'!Y156&lt;&gt;"",IF(LOWER('Capacity summary'!Y156)="x",$BI37*Y37,VALUE('Capacity summary'!Y156)),0),Y37*$BI37),Y37*$BI37),0)</f>
        <v>0</v>
      </c>
      <c r="CC37" s="313">
        <f>IF($BI37&lt;&gt;"",IF('Capacity summary'!$D$14="Yes",IF(COUNTBLANK('Capacity summary'!$H156:$BG156)&lt;52,IF('Capacity summary'!Z156&lt;&gt;"",IF(LOWER('Capacity summary'!Z156)="x",$BI37*Z37,VALUE('Capacity summary'!Z156)),0),Z37*$BI37),Z37*$BI37),0)</f>
        <v>0</v>
      </c>
      <c r="CD37" s="313">
        <f>IF($BI37&lt;&gt;"",IF('Capacity summary'!$D$14="Yes",IF(COUNTBLANK('Capacity summary'!$H156:$BG156)&lt;52,IF('Capacity summary'!AA156&lt;&gt;"",IF(LOWER('Capacity summary'!AA156)="x",$BI37*AA37,VALUE('Capacity summary'!AA156)),0),AA37*$BI37),AA37*$BI37),0)</f>
        <v>0</v>
      </c>
      <c r="CE37" s="313">
        <f>IF($BI37&lt;&gt;"",IF('Capacity summary'!$D$14="Yes",IF(COUNTBLANK('Capacity summary'!$H156:$BG156)&lt;52,IF('Capacity summary'!AB156&lt;&gt;"",IF(LOWER('Capacity summary'!AB156)="x",$BI37*AB37,VALUE('Capacity summary'!AB156)),0),AB37*$BI37),AB37*$BI37),0)</f>
        <v>0</v>
      </c>
      <c r="CF37" s="313">
        <f>IF($BI37&lt;&gt;"",IF('Capacity summary'!$D$14="Yes",IF(COUNTBLANK('Capacity summary'!$H156:$BG156)&lt;52,IF('Capacity summary'!AC156&lt;&gt;"",IF(LOWER('Capacity summary'!AC156)="x",$BI37*AC37,VALUE('Capacity summary'!AC156)),0),AC37*$BI37),AC37*$BI37),0)</f>
        <v>0</v>
      </c>
      <c r="CG37" s="313">
        <f>IF($BI37&lt;&gt;"",IF('Capacity summary'!$D$14="Yes",IF(COUNTBLANK('Capacity summary'!$H156:$BG156)&lt;52,IF('Capacity summary'!AD156&lt;&gt;"",IF(LOWER('Capacity summary'!AD156)="x",$BI37*AD37,VALUE('Capacity summary'!AD156)),0),AD37*$BI37),AD37*$BI37),0)</f>
        <v>0</v>
      </c>
      <c r="CH37" s="313">
        <f>IF($BI37&lt;&gt;"",IF('Capacity summary'!$D$14="Yes",IF(COUNTBLANK('Capacity summary'!$H156:$BG156)&lt;52,IF('Capacity summary'!AE156&lt;&gt;"",IF(LOWER('Capacity summary'!AE156)="x",$BI37*AE37,VALUE('Capacity summary'!AE156)),0),AE37*$BI37),AE37*$BI37),0)</f>
        <v>0</v>
      </c>
      <c r="CI37" s="313">
        <f>IF($BI37&lt;&gt;"",IF('Capacity summary'!$D$14="Yes",IF(COUNTBLANK('Capacity summary'!$H156:$BG156)&lt;52,IF('Capacity summary'!AF156&lt;&gt;"",IF(LOWER('Capacity summary'!AF156)="x",$BI37*AF37,VALUE('Capacity summary'!AF156)),0),AF37*$BI37),AF37*$BI37),0)</f>
        <v>0</v>
      </c>
      <c r="CJ37" s="313">
        <f>IF($BI37&lt;&gt;"",IF('Capacity summary'!$D$14="Yes",IF(COUNTBLANK('Capacity summary'!$H156:$BG156)&lt;52,IF('Capacity summary'!AG156&lt;&gt;"",IF(LOWER('Capacity summary'!AG156)="x",$BI37*AG37,VALUE('Capacity summary'!AG156)),0),AG37*$BI37),AG37*$BI37),0)</f>
        <v>0</v>
      </c>
      <c r="CK37" s="313">
        <f>IF($BI37&lt;&gt;"",IF('Capacity summary'!$D$14="Yes",IF(COUNTBLANK('Capacity summary'!$H156:$BG156)&lt;52,IF('Capacity summary'!AH156&lt;&gt;"",IF(LOWER('Capacity summary'!AH156)="x",$BI37*AH37,VALUE('Capacity summary'!AH156)),0),AH37*$BI37),AH37*$BI37),0)</f>
        <v>0</v>
      </c>
      <c r="CL37" s="313">
        <f>IF($BI37&lt;&gt;"",IF('Capacity summary'!$D$14="Yes",IF(COUNTBLANK('Capacity summary'!$H156:$BG156)&lt;52,IF('Capacity summary'!AI156&lt;&gt;"",IF(LOWER('Capacity summary'!AI156)="x",$BI37*AI37,VALUE('Capacity summary'!AI156)),0),AI37*$BI37),AI37*$BI37),0)</f>
        <v>0</v>
      </c>
      <c r="CM37" s="313">
        <f>IF($BI37&lt;&gt;"",IF('Capacity summary'!$D$14="Yes",IF(COUNTBLANK('Capacity summary'!$H156:$BG156)&lt;52,IF('Capacity summary'!AJ156&lt;&gt;"",IF(LOWER('Capacity summary'!AJ156)="x",$BI37*AJ37,VALUE('Capacity summary'!AJ156)),0),AJ37*$BI37),AJ37*$BI37),0)</f>
        <v>0</v>
      </c>
      <c r="CN37" s="313">
        <f>IF($BI37&lt;&gt;"",IF('Capacity summary'!$D$14="Yes",IF(COUNTBLANK('Capacity summary'!$H156:$BG156)&lt;52,IF('Capacity summary'!AK156&lt;&gt;"",IF(LOWER('Capacity summary'!AK156)="x",$BI37*AK37,VALUE('Capacity summary'!AK156)),0),AK37*$BI37),AK37*$BI37),0)</f>
        <v>0</v>
      </c>
      <c r="CO37" s="313">
        <f>IF($BI37&lt;&gt;"",IF('Capacity summary'!$D$14="Yes",IF(COUNTBLANK('Capacity summary'!$H156:$BG156)&lt;52,IF('Capacity summary'!AL156&lt;&gt;"",IF(LOWER('Capacity summary'!AL156)="x",$BI37*AL37,VALUE('Capacity summary'!AL156)),0),AL37*$BI37),AL37*$BI37),0)</f>
        <v>0</v>
      </c>
      <c r="CP37" s="313">
        <f>IF($BI37&lt;&gt;"",IF('Capacity summary'!$D$14="Yes",IF(COUNTBLANK('Capacity summary'!$H156:$BG156)&lt;52,IF('Capacity summary'!AM156&lt;&gt;"",IF(LOWER('Capacity summary'!AM156)="x",$BI37*AM37,VALUE('Capacity summary'!AM156)),0),AM37*$BI37),AM37*$BI37),0)</f>
        <v>0</v>
      </c>
      <c r="CQ37" s="313">
        <f>IF($BI37&lt;&gt;"",IF('Capacity summary'!$D$14="Yes",IF(COUNTBLANK('Capacity summary'!$H156:$BG156)&lt;52,IF('Capacity summary'!AN156&lt;&gt;"",IF(LOWER('Capacity summary'!AN156)="x",$BI37*AN37,VALUE('Capacity summary'!AN156)),0),AN37*$BI37),AN37*$BI37),0)</f>
        <v>0</v>
      </c>
      <c r="CR37" s="313">
        <f>IF($BI37&lt;&gt;"",IF('Capacity summary'!$D$14="Yes",IF(COUNTBLANK('Capacity summary'!$H156:$BG156)&lt;52,IF('Capacity summary'!AO156&lt;&gt;"",IF(LOWER('Capacity summary'!AO156)="x",$BI37*AO37,VALUE('Capacity summary'!AO156)),0),AO37*$BI37),AO37*$BI37),0)</f>
        <v>0</v>
      </c>
      <c r="CS37" s="313">
        <f>IF($BI37&lt;&gt;"",IF('Capacity summary'!$D$14="Yes",IF(COUNTBLANK('Capacity summary'!$H156:$BG156)&lt;52,IF('Capacity summary'!AP156&lt;&gt;"",IF(LOWER('Capacity summary'!AP156)="x",$BI37*AP37,VALUE('Capacity summary'!AP156)),0),AP37*$BI37),AP37*$BI37),0)</f>
        <v>0</v>
      </c>
      <c r="CT37" s="313">
        <f>IF($BI37&lt;&gt;"",IF('Capacity summary'!$D$14="Yes",IF(COUNTBLANK('Capacity summary'!$H156:$BG156)&lt;52,IF('Capacity summary'!AQ156&lt;&gt;"",IF(LOWER('Capacity summary'!AQ156)="x",$BI37*AQ37,VALUE('Capacity summary'!AQ156)),0),AQ37*$BI37),AQ37*$BI37),0)</f>
        <v>0</v>
      </c>
      <c r="CU37" s="313">
        <f>IF($BI37&lt;&gt;"",IF('Capacity summary'!$D$14="Yes",IF(COUNTBLANK('Capacity summary'!$H156:$BG156)&lt;52,IF('Capacity summary'!AR156&lt;&gt;"",IF(LOWER('Capacity summary'!AR156)="x",$BI37*AR37,VALUE('Capacity summary'!AR156)),0),AR37*$BI37),AR37*$BI37),0)</f>
        <v>0</v>
      </c>
      <c r="CV37" s="313">
        <f>IF($BI37&lt;&gt;"",IF('Capacity summary'!$D$14="Yes",IF(COUNTBLANK('Capacity summary'!$H156:$BG156)&lt;52,IF('Capacity summary'!AS156&lt;&gt;"",IF(LOWER('Capacity summary'!AS156)="x",$BI37*AS37,VALUE('Capacity summary'!AS156)),0),AS37*$BI37),AS37*$BI37),0)</f>
        <v>0</v>
      </c>
      <c r="CW37" s="313">
        <f>IF($BI37&lt;&gt;"",IF('Capacity summary'!$D$14="Yes",IF(COUNTBLANK('Capacity summary'!$H156:$BG156)&lt;52,IF('Capacity summary'!AT156&lt;&gt;"",IF(LOWER('Capacity summary'!AT156)="x",$BI37*AT37,VALUE('Capacity summary'!AT156)),0),AT37*$BI37),AT37*$BI37),0)</f>
        <v>0</v>
      </c>
      <c r="CX37" s="313">
        <f>IF($BI37&lt;&gt;"",IF('Capacity summary'!$D$14="Yes",IF(COUNTBLANK('Capacity summary'!$H156:$BG156)&lt;52,IF('Capacity summary'!AU156&lt;&gt;"",IF(LOWER('Capacity summary'!AU156)="x",$BI37*AU37,VALUE('Capacity summary'!AU156)),0),AU37*$BI37),AU37*$BI37),0)</f>
        <v>0</v>
      </c>
      <c r="CY37" s="313">
        <f>IF($BI37&lt;&gt;"",IF('Capacity summary'!$D$14="Yes",IF(COUNTBLANK('Capacity summary'!$H156:$BG156)&lt;52,IF('Capacity summary'!AV156&lt;&gt;"",IF(LOWER('Capacity summary'!AV156)="x",$BI37*AV37,VALUE('Capacity summary'!AV156)),0),AV37*$BI37),AV37*$BI37),0)</f>
        <v>0</v>
      </c>
      <c r="CZ37" s="313">
        <f>IF($BI37&lt;&gt;"",IF('Capacity summary'!$D$14="Yes",IF(COUNTBLANK('Capacity summary'!$H156:$BG156)&lt;52,IF('Capacity summary'!AW156&lt;&gt;"",IF(LOWER('Capacity summary'!AW156)="x",$BI37*AW37,VALUE('Capacity summary'!AW156)),0),AW37*$BI37),AW37*$BI37),0)</f>
        <v>0</v>
      </c>
      <c r="DA37" s="313">
        <f>IF($BI37&lt;&gt;"",IF('Capacity summary'!$D$14="Yes",IF(COUNTBLANK('Capacity summary'!$H156:$BG156)&lt;52,IF('Capacity summary'!AX156&lt;&gt;"",IF(LOWER('Capacity summary'!AX156)="x",$BI37*AX37,VALUE('Capacity summary'!AX156)),0),AX37*$BI37),AX37*$BI37),0)</f>
        <v>0</v>
      </c>
      <c r="DB37" s="313">
        <f>IF($BI37&lt;&gt;"",IF('Capacity summary'!$D$14="Yes",IF(COUNTBLANK('Capacity summary'!$H156:$BG156)&lt;52,IF('Capacity summary'!AY156&lt;&gt;"",IF(LOWER('Capacity summary'!AY156)="x",$BI37*AY37,VALUE('Capacity summary'!AY156)),0),AY37*$BI37),AY37*$BI37),0)</f>
        <v>0</v>
      </c>
      <c r="DC37" s="313">
        <f>IF($BI37&lt;&gt;"",IF('Capacity summary'!$D$14="Yes",IF(COUNTBLANK('Capacity summary'!$H156:$BG156)&lt;52,IF('Capacity summary'!AZ156&lt;&gt;"",IF(LOWER('Capacity summary'!AZ156)="x",$BI37*AZ37,VALUE('Capacity summary'!AZ156)),0),AZ37*$BI37),AZ37*$BI37),0)</f>
        <v>0</v>
      </c>
      <c r="DD37" s="313">
        <f>IF($BI37&lt;&gt;"",IF('Capacity summary'!$D$14="Yes",IF(COUNTBLANK('Capacity summary'!$H156:$BG156)&lt;52,IF('Capacity summary'!BA156&lt;&gt;"",IF(LOWER('Capacity summary'!BA156)="x",$BI37*BA37,VALUE('Capacity summary'!BA156)),0),BA37*$BI37),BA37*$BI37),0)</f>
        <v>0</v>
      </c>
      <c r="DE37" s="313">
        <f>IF($BI37&lt;&gt;"",IF('Capacity summary'!$D$14="Yes",IF(COUNTBLANK('Capacity summary'!$H156:$BG156)&lt;52,IF('Capacity summary'!BB156&lt;&gt;"",IF(LOWER('Capacity summary'!BB156)="x",$BI37*BB37,VALUE('Capacity summary'!BB156)),0),BB37*$BI37),BB37*$BI37),0)</f>
        <v>0</v>
      </c>
      <c r="DF37" s="313">
        <f>IF($BI37&lt;&gt;"",IF('Capacity summary'!$D$14="Yes",IF(COUNTBLANK('Capacity summary'!$H156:$BG156)&lt;52,IF('Capacity summary'!BC156&lt;&gt;"",IF(LOWER('Capacity summary'!BC156)="x",$BI37*BC37,VALUE('Capacity summary'!BC156)),0),BC37*$BI37),BC37*$BI37),0)</f>
        <v>0</v>
      </c>
      <c r="DG37" s="313">
        <f>IF($BI37&lt;&gt;"",IF('Capacity summary'!$D$14="Yes",IF(COUNTBLANK('Capacity summary'!$H156:$BG156)&lt;52,IF('Capacity summary'!BD156&lt;&gt;"",IF(LOWER('Capacity summary'!BD156)="x",$BI37*BD37,VALUE('Capacity summary'!BD156)),0),BD37*$BI37),BD37*$BI37),0)</f>
        <v>0</v>
      </c>
      <c r="DH37" s="313">
        <f>IF($BI37&lt;&gt;"",IF('Capacity summary'!$D$14="Yes",IF(COUNTBLANK('Capacity summary'!$H156:$BG156)&lt;52,IF('Capacity summary'!BE156&lt;&gt;"",IF(LOWER('Capacity summary'!BE156)="x",$BI37*BE37,VALUE('Capacity summary'!BE156)),0),BE37*$BI37),BE37*$BI37),0)</f>
        <v>0</v>
      </c>
      <c r="DI37" s="313">
        <f>IF($BI37&lt;&gt;"",IF('Capacity summary'!$D$14="Yes",IF(COUNTBLANK('Capacity summary'!$H156:$BG156)&lt;52,IF('Capacity summary'!BF156&lt;&gt;"",IF(LOWER('Capacity summary'!BF156)="x",$BI37*BF37,VALUE('Capacity summary'!BF156)),0),BF37*$BI37),BF37*$BI37),0)</f>
        <v>0</v>
      </c>
      <c r="DJ37" s="313">
        <f>IF($BI37&lt;&gt;"",IF('Capacity summary'!$D$14="Yes",IF(COUNTBLANK('Capacity summary'!$H156:$BG156)&lt;52,IF('Capacity summary'!BG156&lt;&gt;"",IF(LOWER('Capacity summary'!BG156)="x",$BI37*BG37,VALUE('Capacity summary'!BG156)),0),BG37*$BI37),BG37*$BI37),0)</f>
        <v>0</v>
      </c>
      <c r="DK37" s="137">
        <f t="shared" si="2"/>
        <v>0</v>
      </c>
      <c r="DL37" s="313" t="str">
        <f>Capacity!H49</f>
        <v/>
      </c>
      <c r="DP37" s="5"/>
    </row>
    <row r="38" spans="2:120" x14ac:dyDescent="0.25">
      <c r="B38" s="67"/>
      <c r="C38" s="67" t="str">
        <f>ROW(A34)&amp;". "&amp;Capacity!B50</f>
        <v xml:space="preserve">34. </v>
      </c>
      <c r="D38" s="67">
        <f>'Capacity setup'!C45</f>
        <v>0</v>
      </c>
      <c r="E38" s="67">
        <f>'Capacity setup'!D45</f>
        <v>0</v>
      </c>
      <c r="F38" s="67">
        <f>'Capacity setup'!E45</f>
        <v>0</v>
      </c>
      <c r="H38" s="67">
        <f ca="1">IF(AND(SUMIF(Capacity_Resource,$D38,'Critical resources (hide)'!U$6:U$105)+SUMIF(Capacity_Resource,$E38,'Critical resources (hide)'!U$6:U$105)+SUMIF(Capacity_Resource,$F38,'Critical resources (hide)'!U$6:U$105)&gt;0,$E$1=2),0,1)</f>
        <v>1</v>
      </c>
      <c r="I38" s="67">
        <f ca="1">IF(AND(SUMIF(Capacity_Resource,$D38,'Critical resources (hide)'!V$6:V$105)+SUMIF(Capacity_Resource,$E38,'Critical resources (hide)'!V$6:V$105)+SUMIF(Capacity_Resource,$F38,'Critical resources (hide)'!V$6:V$105)&gt;0,$E$1=2),0,1)</f>
        <v>1</v>
      </c>
      <c r="J38" s="67">
        <f ca="1">IF(AND(SUMIF(Capacity_Resource,$D38,'Critical resources (hide)'!W$6:W$105)+SUMIF(Capacity_Resource,$E38,'Critical resources (hide)'!W$6:W$105)+SUMIF(Capacity_Resource,$F38,'Critical resources (hide)'!W$6:W$105)&gt;0,$E$1=2),0,1)</f>
        <v>1</v>
      </c>
      <c r="K38" s="67">
        <f ca="1">IF(AND(SUMIF(Capacity_Resource,$D38,'Critical resources (hide)'!X$6:X$105)+SUMIF(Capacity_Resource,$E38,'Critical resources (hide)'!X$6:X$105)+SUMIF(Capacity_Resource,$F38,'Critical resources (hide)'!X$6:X$105)&gt;0,$E$1=2),0,1)</f>
        <v>1</v>
      </c>
      <c r="L38" s="67">
        <f ca="1">IF(AND(SUMIF(Capacity_Resource,$D38,'Critical resources (hide)'!Y$6:Y$105)+SUMIF(Capacity_Resource,$E38,'Critical resources (hide)'!Y$6:Y$105)+SUMIF(Capacity_Resource,$F38,'Critical resources (hide)'!Y$6:Y$105)&gt;0,$E$1=2),0,1)</f>
        <v>1</v>
      </c>
      <c r="M38" s="67">
        <f ca="1">IF(AND(SUMIF(Capacity_Resource,$D38,'Critical resources (hide)'!Z$6:Z$105)+SUMIF(Capacity_Resource,$E38,'Critical resources (hide)'!Z$6:Z$105)+SUMIF(Capacity_Resource,$F38,'Critical resources (hide)'!Z$6:Z$105)&gt;0,$E$1=2),0,1)</f>
        <v>1</v>
      </c>
      <c r="N38" s="67">
        <f ca="1">IF(AND(SUMIF(Capacity_Resource,$D38,'Critical resources (hide)'!AA$6:AA$105)+SUMIF(Capacity_Resource,$E38,'Critical resources (hide)'!AA$6:AA$105)+SUMIF(Capacity_Resource,$F38,'Critical resources (hide)'!AA$6:AA$105)&gt;0,$E$1=2),0,1)</f>
        <v>1</v>
      </c>
      <c r="O38" s="67">
        <f ca="1">IF(AND(SUMIF(Capacity_Resource,$D38,'Critical resources (hide)'!AB$6:AB$105)+SUMIF(Capacity_Resource,$E38,'Critical resources (hide)'!AB$6:AB$105)+SUMIF(Capacity_Resource,$F38,'Critical resources (hide)'!AB$6:AB$105)&gt;0,$E$1=2),0,1)</f>
        <v>1</v>
      </c>
      <c r="P38" s="67">
        <f ca="1">IF(AND(SUMIF(Capacity_Resource,$D38,'Critical resources (hide)'!AC$6:AC$105)+SUMIF(Capacity_Resource,$E38,'Critical resources (hide)'!AC$6:AC$105)+SUMIF(Capacity_Resource,$F38,'Critical resources (hide)'!AC$6:AC$105)&gt;0,$E$1=2),0,1)</f>
        <v>1</v>
      </c>
      <c r="Q38" s="67">
        <f ca="1">IF(AND(SUMIF(Capacity_Resource,$D38,'Critical resources (hide)'!AD$6:AD$105)+SUMIF(Capacity_Resource,$E38,'Critical resources (hide)'!AD$6:AD$105)+SUMIF(Capacity_Resource,$F38,'Critical resources (hide)'!AD$6:AD$105)&gt;0,$E$1=2),0,1)</f>
        <v>1</v>
      </c>
      <c r="R38" s="67">
        <f ca="1">IF(AND(SUMIF(Capacity_Resource,$D38,'Critical resources (hide)'!AE$6:AE$105)+SUMIF(Capacity_Resource,$E38,'Critical resources (hide)'!AE$6:AE$105)+SUMIF(Capacity_Resource,$F38,'Critical resources (hide)'!AE$6:AE$105)&gt;0,$E$1=2),0,1)</f>
        <v>1</v>
      </c>
      <c r="S38" s="67">
        <f ca="1">IF(AND(SUMIF(Capacity_Resource,$D38,'Critical resources (hide)'!AF$6:AF$105)+SUMIF(Capacity_Resource,$E38,'Critical resources (hide)'!AF$6:AF$105)+SUMIF(Capacity_Resource,$F38,'Critical resources (hide)'!AF$6:AF$105)&gt;0,$E$1=2),0,1)</f>
        <v>1</v>
      </c>
      <c r="T38" s="67">
        <f ca="1">IF(AND(SUMIF(Capacity_Resource,$D38,'Critical resources (hide)'!AG$6:AG$105)+SUMIF(Capacity_Resource,$E38,'Critical resources (hide)'!AG$6:AG$105)+SUMIF(Capacity_Resource,$F38,'Critical resources (hide)'!AG$6:AG$105)&gt;0,$E$1=2),0,1)</f>
        <v>1</v>
      </c>
      <c r="U38" s="67">
        <f ca="1">IF(AND(SUMIF(Capacity_Resource,$D38,'Critical resources (hide)'!AH$6:AH$105)+SUMIF(Capacity_Resource,$E38,'Critical resources (hide)'!AH$6:AH$105)+SUMIF(Capacity_Resource,$F38,'Critical resources (hide)'!AH$6:AH$105)&gt;0,$E$1=2),0,1)</f>
        <v>1</v>
      </c>
      <c r="V38" s="67">
        <f ca="1">IF(AND(SUMIF(Capacity_Resource,$D38,'Critical resources (hide)'!AI$6:AI$105)+SUMIF(Capacity_Resource,$E38,'Critical resources (hide)'!AI$6:AI$105)+SUMIF(Capacity_Resource,$F38,'Critical resources (hide)'!AI$6:AI$105)&gt;0,$E$1=2),0,1)</f>
        <v>1</v>
      </c>
      <c r="W38" s="67">
        <f ca="1">IF(AND(SUMIF(Capacity_Resource,$D38,'Critical resources (hide)'!AJ$6:AJ$105)+SUMIF(Capacity_Resource,$E38,'Critical resources (hide)'!AJ$6:AJ$105)+SUMIF(Capacity_Resource,$F38,'Critical resources (hide)'!AJ$6:AJ$105)&gt;0,$E$1=2),0,1)</f>
        <v>1</v>
      </c>
      <c r="X38" s="67">
        <f ca="1">IF(AND(SUMIF(Capacity_Resource,$D38,'Critical resources (hide)'!AK$6:AK$105)+SUMIF(Capacity_Resource,$E38,'Critical resources (hide)'!AK$6:AK$105)+SUMIF(Capacity_Resource,$F38,'Critical resources (hide)'!AK$6:AK$105)&gt;0,$E$1=2),0,1)</f>
        <v>1</v>
      </c>
      <c r="Y38" s="67">
        <f ca="1">IF(AND(SUMIF(Capacity_Resource,$D38,'Critical resources (hide)'!AL$6:AL$105)+SUMIF(Capacity_Resource,$E38,'Critical resources (hide)'!AL$6:AL$105)+SUMIF(Capacity_Resource,$F38,'Critical resources (hide)'!AL$6:AL$105)&gt;0,$E$1=2),0,1)</f>
        <v>1</v>
      </c>
      <c r="Z38" s="67">
        <f ca="1">IF(AND(SUMIF(Capacity_Resource,$D38,'Critical resources (hide)'!AM$6:AM$105)+SUMIF(Capacity_Resource,$E38,'Critical resources (hide)'!AM$6:AM$105)+SUMIF(Capacity_Resource,$F38,'Critical resources (hide)'!AM$6:AM$105)&gt;0,$E$1=2),0,1)</f>
        <v>1</v>
      </c>
      <c r="AA38" s="67">
        <f ca="1">IF(AND(SUMIF(Capacity_Resource,$D38,'Critical resources (hide)'!AN$6:AN$105)+SUMIF(Capacity_Resource,$E38,'Critical resources (hide)'!AN$6:AN$105)+SUMIF(Capacity_Resource,$F38,'Critical resources (hide)'!AN$6:AN$105)&gt;0,$E$1=2),0,1)</f>
        <v>1</v>
      </c>
      <c r="AB38" s="67">
        <f ca="1">IF(AND(SUMIF(Capacity_Resource,$D38,'Critical resources (hide)'!AO$6:AO$105)+SUMIF(Capacity_Resource,$E38,'Critical resources (hide)'!AO$6:AO$105)+SUMIF(Capacity_Resource,$F38,'Critical resources (hide)'!AO$6:AO$105)&gt;0,$E$1=2),0,1)</f>
        <v>1</v>
      </c>
      <c r="AC38" s="67">
        <f ca="1">IF(AND(SUMIF(Capacity_Resource,$D38,'Critical resources (hide)'!AP$6:AP$105)+SUMIF(Capacity_Resource,$E38,'Critical resources (hide)'!AP$6:AP$105)+SUMIF(Capacity_Resource,$F38,'Critical resources (hide)'!AP$6:AP$105)&gt;0,$E$1=2),0,1)</f>
        <v>1</v>
      </c>
      <c r="AD38" s="67">
        <f ca="1">IF(AND(SUMIF(Capacity_Resource,$D38,'Critical resources (hide)'!AQ$6:AQ$105)+SUMIF(Capacity_Resource,$E38,'Critical resources (hide)'!AQ$6:AQ$105)+SUMIF(Capacity_Resource,$F38,'Critical resources (hide)'!AQ$6:AQ$105)&gt;0,$E$1=2),0,1)</f>
        <v>1</v>
      </c>
      <c r="AE38" s="67">
        <f ca="1">IF(AND(SUMIF(Capacity_Resource,$D38,'Critical resources (hide)'!AR$6:AR$105)+SUMIF(Capacity_Resource,$E38,'Critical resources (hide)'!AR$6:AR$105)+SUMIF(Capacity_Resource,$F38,'Critical resources (hide)'!AR$6:AR$105)&gt;0,$E$1=2),0,1)</f>
        <v>1</v>
      </c>
      <c r="AF38" s="67">
        <f ca="1">IF(AND(SUMIF(Capacity_Resource,$D38,'Critical resources (hide)'!AS$6:AS$105)+SUMIF(Capacity_Resource,$E38,'Critical resources (hide)'!AS$6:AS$105)+SUMIF(Capacity_Resource,$F38,'Critical resources (hide)'!AS$6:AS$105)&gt;0,$E$1=2),0,1)</f>
        <v>1</v>
      </c>
      <c r="AG38" s="67">
        <f ca="1">IF(AND(SUMIF(Capacity_Resource,$D38,'Critical resources (hide)'!AT$6:AT$105)+SUMIF(Capacity_Resource,$E38,'Critical resources (hide)'!AT$6:AT$105)+SUMIF(Capacity_Resource,$F38,'Critical resources (hide)'!AT$6:AT$105)&gt;0,$E$1=2),0,1)</f>
        <v>1</v>
      </c>
      <c r="AH38" s="67">
        <f ca="1">IF(AND(SUMIF(Capacity_Resource,$D38,'Critical resources (hide)'!AU$6:AU$105)+SUMIF(Capacity_Resource,$E38,'Critical resources (hide)'!AU$6:AU$105)+SUMIF(Capacity_Resource,$F38,'Critical resources (hide)'!AU$6:AU$105)&gt;0,$E$1=2),0,1)</f>
        <v>1</v>
      </c>
      <c r="AI38" s="67">
        <f ca="1">IF(AND(SUMIF(Capacity_Resource,$D38,'Critical resources (hide)'!AV$6:AV$105)+SUMIF(Capacity_Resource,$E38,'Critical resources (hide)'!AV$6:AV$105)+SUMIF(Capacity_Resource,$F38,'Critical resources (hide)'!AV$6:AV$105)&gt;0,$E$1=2),0,1)</f>
        <v>1</v>
      </c>
      <c r="AJ38" s="67">
        <f ca="1">IF(AND(SUMIF(Capacity_Resource,$D38,'Critical resources (hide)'!AW$6:AW$105)+SUMIF(Capacity_Resource,$E38,'Critical resources (hide)'!AW$6:AW$105)+SUMIF(Capacity_Resource,$F38,'Critical resources (hide)'!AW$6:AW$105)&gt;0,$E$1=2),0,1)</f>
        <v>1</v>
      </c>
      <c r="AK38" s="67">
        <f ca="1">IF(AND(SUMIF(Capacity_Resource,$D38,'Critical resources (hide)'!AX$6:AX$105)+SUMIF(Capacity_Resource,$E38,'Critical resources (hide)'!AX$6:AX$105)+SUMIF(Capacity_Resource,$F38,'Critical resources (hide)'!AX$6:AX$105)&gt;0,$E$1=2),0,1)</f>
        <v>1</v>
      </c>
      <c r="AL38" s="67">
        <f ca="1">IF(AND(SUMIF(Capacity_Resource,$D38,'Critical resources (hide)'!AY$6:AY$105)+SUMIF(Capacity_Resource,$E38,'Critical resources (hide)'!AY$6:AY$105)+SUMIF(Capacity_Resource,$F38,'Critical resources (hide)'!AY$6:AY$105)&gt;0,$E$1=2),0,1)</f>
        <v>1</v>
      </c>
      <c r="AM38" s="67">
        <f ca="1">IF(AND(SUMIF(Capacity_Resource,$D38,'Critical resources (hide)'!AZ$6:AZ$105)+SUMIF(Capacity_Resource,$E38,'Critical resources (hide)'!AZ$6:AZ$105)+SUMIF(Capacity_Resource,$F38,'Critical resources (hide)'!AZ$6:AZ$105)&gt;0,$E$1=2),0,1)</f>
        <v>1</v>
      </c>
      <c r="AN38" s="67">
        <f ca="1">IF(AND(SUMIF(Capacity_Resource,$D38,'Critical resources (hide)'!BA$6:BA$105)+SUMIF(Capacity_Resource,$E38,'Critical resources (hide)'!BA$6:BA$105)+SUMIF(Capacity_Resource,$F38,'Critical resources (hide)'!BA$6:BA$105)&gt;0,$E$1=2),0,1)</f>
        <v>1</v>
      </c>
      <c r="AO38" s="67">
        <f ca="1">IF(AND(SUMIF(Capacity_Resource,$D38,'Critical resources (hide)'!BB$6:BB$105)+SUMIF(Capacity_Resource,$E38,'Critical resources (hide)'!BB$6:BB$105)+SUMIF(Capacity_Resource,$F38,'Critical resources (hide)'!BB$6:BB$105)&gt;0,$E$1=2),0,1)</f>
        <v>1</v>
      </c>
      <c r="AP38" s="67">
        <f ca="1">IF(AND(SUMIF(Capacity_Resource,$D38,'Critical resources (hide)'!BC$6:BC$105)+SUMIF(Capacity_Resource,$E38,'Critical resources (hide)'!BC$6:BC$105)+SUMIF(Capacity_Resource,$F38,'Critical resources (hide)'!BC$6:BC$105)&gt;0,$E$1=2),0,1)</f>
        <v>1</v>
      </c>
      <c r="AQ38" s="67">
        <f ca="1">IF(AND(SUMIF(Capacity_Resource,$D38,'Critical resources (hide)'!BD$6:BD$105)+SUMIF(Capacity_Resource,$E38,'Critical resources (hide)'!BD$6:BD$105)+SUMIF(Capacity_Resource,$F38,'Critical resources (hide)'!BD$6:BD$105)&gt;0,$E$1=2),0,1)</f>
        <v>1</v>
      </c>
      <c r="AR38" s="67">
        <f ca="1">IF(AND(SUMIF(Capacity_Resource,$D38,'Critical resources (hide)'!BE$6:BE$105)+SUMIF(Capacity_Resource,$E38,'Critical resources (hide)'!BE$6:BE$105)+SUMIF(Capacity_Resource,$F38,'Critical resources (hide)'!BE$6:BE$105)&gt;0,$E$1=2),0,1)</f>
        <v>1</v>
      </c>
      <c r="AS38" s="67">
        <f ca="1">IF(AND(SUMIF(Capacity_Resource,$D38,'Critical resources (hide)'!BF$6:BF$105)+SUMIF(Capacity_Resource,$E38,'Critical resources (hide)'!BF$6:BF$105)+SUMIF(Capacity_Resource,$F38,'Critical resources (hide)'!BF$6:BF$105)&gt;0,$E$1=2),0,1)</f>
        <v>1</v>
      </c>
      <c r="AT38" s="67">
        <f ca="1">IF(AND(SUMIF(Capacity_Resource,$D38,'Critical resources (hide)'!BG$6:BG$105)+SUMIF(Capacity_Resource,$E38,'Critical resources (hide)'!BG$6:BG$105)+SUMIF(Capacity_Resource,$F38,'Critical resources (hide)'!BG$6:BG$105)&gt;0,$E$1=2),0,1)</f>
        <v>1</v>
      </c>
      <c r="AU38" s="67">
        <f ca="1">IF(AND(SUMIF(Capacity_Resource,$D38,'Critical resources (hide)'!BH$6:BH$105)+SUMIF(Capacity_Resource,$E38,'Critical resources (hide)'!BH$6:BH$105)+SUMIF(Capacity_Resource,$F38,'Critical resources (hide)'!BH$6:BH$105)&gt;0,$E$1=2),0,1)</f>
        <v>1</v>
      </c>
      <c r="AV38" s="67">
        <f ca="1">IF(AND(SUMIF(Capacity_Resource,$D38,'Critical resources (hide)'!BI$6:BI$105)+SUMIF(Capacity_Resource,$E38,'Critical resources (hide)'!BI$6:BI$105)+SUMIF(Capacity_Resource,$F38,'Critical resources (hide)'!BI$6:BI$105)&gt;0,$E$1=2),0,1)</f>
        <v>1</v>
      </c>
      <c r="AW38" s="67">
        <f ca="1">IF(AND(SUMIF(Capacity_Resource,$D38,'Critical resources (hide)'!BJ$6:BJ$105)+SUMIF(Capacity_Resource,$E38,'Critical resources (hide)'!BJ$6:BJ$105)+SUMIF(Capacity_Resource,$F38,'Critical resources (hide)'!BJ$6:BJ$105)&gt;0,$E$1=2),0,1)</f>
        <v>1</v>
      </c>
      <c r="AX38" s="67">
        <f ca="1">IF(AND(SUMIF(Capacity_Resource,$D38,'Critical resources (hide)'!BK$6:BK$105)+SUMIF(Capacity_Resource,$E38,'Critical resources (hide)'!BK$6:BK$105)+SUMIF(Capacity_Resource,$F38,'Critical resources (hide)'!BK$6:BK$105)&gt;0,$E$1=2),0,1)</f>
        <v>1</v>
      </c>
      <c r="AY38" s="67">
        <f ca="1">IF(AND(SUMIF(Capacity_Resource,$D38,'Critical resources (hide)'!BL$6:BL$105)+SUMIF(Capacity_Resource,$E38,'Critical resources (hide)'!BL$6:BL$105)+SUMIF(Capacity_Resource,$F38,'Critical resources (hide)'!BL$6:BL$105)&gt;0,$E$1=2),0,1)</f>
        <v>1</v>
      </c>
      <c r="AZ38" s="67">
        <f ca="1">IF(AND(SUMIF(Capacity_Resource,$D38,'Critical resources (hide)'!BM$6:BM$105)+SUMIF(Capacity_Resource,$E38,'Critical resources (hide)'!BM$6:BM$105)+SUMIF(Capacity_Resource,$F38,'Critical resources (hide)'!BM$6:BM$105)&gt;0,$E$1=2),0,1)</f>
        <v>1</v>
      </c>
      <c r="BA38" s="67">
        <f ca="1">IF(AND(SUMIF(Capacity_Resource,$D38,'Critical resources (hide)'!BN$6:BN$105)+SUMIF(Capacity_Resource,$E38,'Critical resources (hide)'!BN$6:BN$105)+SUMIF(Capacity_Resource,$F38,'Critical resources (hide)'!BN$6:BN$105)&gt;0,$E$1=2),0,1)</f>
        <v>1</v>
      </c>
      <c r="BB38" s="67">
        <f ca="1">IF(AND(SUMIF(Capacity_Resource,$D38,'Critical resources (hide)'!BO$6:BO$105)+SUMIF(Capacity_Resource,$E38,'Critical resources (hide)'!BO$6:BO$105)+SUMIF(Capacity_Resource,$F38,'Critical resources (hide)'!BO$6:BO$105)&gt;0,$E$1=2),0,1)</f>
        <v>1</v>
      </c>
      <c r="BC38" s="67">
        <f ca="1">IF(AND(SUMIF(Capacity_Resource,$D38,'Critical resources (hide)'!BP$6:BP$105)+SUMIF(Capacity_Resource,$E38,'Critical resources (hide)'!BP$6:BP$105)+SUMIF(Capacity_Resource,$F38,'Critical resources (hide)'!BP$6:BP$105)&gt;0,$E$1=2),0,1)</f>
        <v>1</v>
      </c>
      <c r="BD38" s="67">
        <f ca="1">IF(AND(SUMIF(Capacity_Resource,$D38,'Critical resources (hide)'!BQ$6:BQ$105)+SUMIF(Capacity_Resource,$E38,'Critical resources (hide)'!BQ$6:BQ$105)+SUMIF(Capacity_Resource,$F38,'Critical resources (hide)'!BQ$6:BQ$105)&gt;0,$E$1=2),0,1)</f>
        <v>1</v>
      </c>
      <c r="BE38" s="67">
        <f ca="1">IF(AND(SUMIF(Capacity_Resource,$D38,'Critical resources (hide)'!BR$6:BR$105)+SUMIF(Capacity_Resource,$E38,'Critical resources (hide)'!BR$6:BR$105)+SUMIF(Capacity_Resource,$F38,'Critical resources (hide)'!BR$6:BR$105)&gt;0,$E$1=2),0,1)</f>
        <v>1</v>
      </c>
      <c r="BF38" s="67">
        <f ca="1">IF(AND(SUMIF(Capacity_Resource,$D38,'Critical resources (hide)'!BS$6:BS$105)+SUMIF(Capacity_Resource,$E38,'Critical resources (hide)'!BS$6:BS$105)+SUMIF(Capacity_Resource,$F38,'Critical resources (hide)'!BS$6:BS$105)&gt;0,$E$1=2),0,1)</f>
        <v>1</v>
      </c>
      <c r="BG38" s="67">
        <f ca="1">IF(AND(SUMIF(Capacity_Resource,$D38,'Critical resources (hide)'!BT$6:BT$105)+SUMIF(Capacity_Resource,$E38,'Critical resources (hide)'!BT$6:BT$105)+SUMIF(Capacity_Resource,$F38,'Critical resources (hide)'!BT$6:BT$105)&gt;0,$E$1=2),0,1)</f>
        <v>1</v>
      </c>
      <c r="BH38" s="67">
        <f>IF(ROW(C34)&lt;=Capacity!$A$16,IF('Capacity summary'!$D$14="No",SUM(H38:BG38),'Capacity summary'!$E157),0)</f>
        <v>0</v>
      </c>
      <c r="BI38" s="5" t="str">
        <f>IF(BH38&gt;0,IF(BH38&lt;Capacity!E50,Capacity!F50,Capacity!H50/'Capacity calculation (hide)'!BH38),"")</f>
        <v/>
      </c>
      <c r="BK38" s="313">
        <f>IF($BI38&lt;&gt;"",IF('Capacity summary'!$D$14="Yes",IF(COUNTBLANK('Capacity summary'!$H157:$BG157)&lt;52,IF('Capacity summary'!H157&lt;&gt;"",IF(LOWER('Capacity summary'!H157)="x",$BI38*H38,VALUE('Capacity summary'!H157)),0),H38*$BI38),H38*$BI38),0)</f>
        <v>0</v>
      </c>
      <c r="BL38" s="313">
        <f>IF($BI38&lt;&gt;"",IF('Capacity summary'!$D$14="Yes",IF(COUNTBLANK('Capacity summary'!$H157:$BG157)&lt;52,IF('Capacity summary'!I157&lt;&gt;"",IF(LOWER('Capacity summary'!I157)="x",$BI38*I38,VALUE('Capacity summary'!I157)),0),I38*$BI38),I38*$BI38),0)</f>
        <v>0</v>
      </c>
      <c r="BM38" s="313">
        <f>IF($BI38&lt;&gt;"",IF('Capacity summary'!$D$14="Yes",IF(COUNTBLANK('Capacity summary'!$H157:$BG157)&lt;52,IF('Capacity summary'!J157&lt;&gt;"",IF(LOWER('Capacity summary'!J157)="x",$BI38*J38,VALUE('Capacity summary'!J157)),0),J38*$BI38),J38*$BI38),0)</f>
        <v>0</v>
      </c>
      <c r="BN38" s="313">
        <f>IF($BI38&lt;&gt;"",IF('Capacity summary'!$D$14="Yes",IF(COUNTBLANK('Capacity summary'!$H157:$BG157)&lt;52,IF('Capacity summary'!K157&lt;&gt;"",IF(LOWER('Capacity summary'!K157)="x",$BI38*K38,VALUE('Capacity summary'!K157)),0),K38*$BI38),K38*$BI38),0)</f>
        <v>0</v>
      </c>
      <c r="BO38" s="313">
        <f>IF($BI38&lt;&gt;"",IF('Capacity summary'!$D$14="Yes",IF(COUNTBLANK('Capacity summary'!$H157:$BG157)&lt;52,IF('Capacity summary'!L157&lt;&gt;"",IF(LOWER('Capacity summary'!L157)="x",$BI38*L38,VALUE('Capacity summary'!L157)),0),L38*$BI38),L38*$BI38),0)</f>
        <v>0</v>
      </c>
      <c r="BP38" s="313">
        <f>IF($BI38&lt;&gt;"",IF('Capacity summary'!$D$14="Yes",IF(COUNTBLANK('Capacity summary'!$H157:$BG157)&lt;52,IF('Capacity summary'!M157&lt;&gt;"",IF(LOWER('Capacity summary'!M157)="x",$BI38*M38,VALUE('Capacity summary'!M157)),0),M38*$BI38),M38*$BI38),0)</f>
        <v>0</v>
      </c>
      <c r="BQ38" s="313">
        <f>IF($BI38&lt;&gt;"",IF('Capacity summary'!$D$14="Yes",IF(COUNTBLANK('Capacity summary'!$H157:$BG157)&lt;52,IF('Capacity summary'!N157&lt;&gt;"",IF(LOWER('Capacity summary'!N157)="x",$BI38*N38,VALUE('Capacity summary'!N157)),0),N38*$BI38),N38*$BI38),0)</f>
        <v>0</v>
      </c>
      <c r="BR38" s="313">
        <f>IF($BI38&lt;&gt;"",IF('Capacity summary'!$D$14="Yes",IF(COUNTBLANK('Capacity summary'!$H157:$BG157)&lt;52,IF('Capacity summary'!O157&lt;&gt;"",IF(LOWER('Capacity summary'!O157)="x",$BI38*O38,VALUE('Capacity summary'!O157)),0),O38*$BI38),O38*$BI38),0)</f>
        <v>0</v>
      </c>
      <c r="BS38" s="313">
        <f>IF($BI38&lt;&gt;"",IF('Capacity summary'!$D$14="Yes",IF(COUNTBLANK('Capacity summary'!$H157:$BG157)&lt;52,IF('Capacity summary'!P157&lt;&gt;"",IF(LOWER('Capacity summary'!P157)="x",$BI38*P38,VALUE('Capacity summary'!P157)),0),P38*$BI38),P38*$BI38),0)</f>
        <v>0</v>
      </c>
      <c r="BT38" s="313">
        <f>IF($BI38&lt;&gt;"",IF('Capacity summary'!$D$14="Yes",IF(COUNTBLANK('Capacity summary'!$H157:$BG157)&lt;52,IF('Capacity summary'!Q157&lt;&gt;"",IF(LOWER('Capacity summary'!Q157)="x",$BI38*Q38,VALUE('Capacity summary'!Q157)),0),Q38*$BI38),Q38*$BI38),0)</f>
        <v>0</v>
      </c>
      <c r="BU38" s="313">
        <f>IF($BI38&lt;&gt;"",IF('Capacity summary'!$D$14="Yes",IF(COUNTBLANK('Capacity summary'!$H157:$BG157)&lt;52,IF('Capacity summary'!R157&lt;&gt;"",IF(LOWER('Capacity summary'!R157)="x",$BI38*R38,VALUE('Capacity summary'!R157)),0),R38*$BI38),R38*$BI38),0)</f>
        <v>0</v>
      </c>
      <c r="BV38" s="313">
        <f>IF($BI38&lt;&gt;"",IF('Capacity summary'!$D$14="Yes",IF(COUNTBLANK('Capacity summary'!$H157:$BG157)&lt;52,IF('Capacity summary'!S157&lt;&gt;"",IF(LOWER('Capacity summary'!S157)="x",$BI38*S38,VALUE('Capacity summary'!S157)),0),S38*$BI38),S38*$BI38),0)</f>
        <v>0</v>
      </c>
      <c r="BW38" s="313">
        <f>IF($BI38&lt;&gt;"",IF('Capacity summary'!$D$14="Yes",IF(COUNTBLANK('Capacity summary'!$H157:$BG157)&lt;52,IF('Capacity summary'!T157&lt;&gt;"",IF(LOWER('Capacity summary'!T157)="x",$BI38*T38,VALUE('Capacity summary'!T157)),0),T38*$BI38),T38*$BI38),0)</f>
        <v>0</v>
      </c>
      <c r="BX38" s="313">
        <f>IF($BI38&lt;&gt;"",IF('Capacity summary'!$D$14="Yes",IF(COUNTBLANK('Capacity summary'!$H157:$BG157)&lt;52,IF('Capacity summary'!U157&lt;&gt;"",IF(LOWER('Capacity summary'!U157)="x",$BI38*U38,VALUE('Capacity summary'!U157)),0),U38*$BI38),U38*$BI38),0)</f>
        <v>0</v>
      </c>
      <c r="BY38" s="313">
        <f>IF($BI38&lt;&gt;"",IF('Capacity summary'!$D$14="Yes",IF(COUNTBLANK('Capacity summary'!$H157:$BG157)&lt;52,IF('Capacity summary'!V157&lt;&gt;"",IF(LOWER('Capacity summary'!V157)="x",$BI38*V38,VALUE('Capacity summary'!V157)),0),V38*$BI38),V38*$BI38),0)</f>
        <v>0</v>
      </c>
      <c r="BZ38" s="313">
        <f>IF($BI38&lt;&gt;"",IF('Capacity summary'!$D$14="Yes",IF(COUNTBLANK('Capacity summary'!$H157:$BG157)&lt;52,IF('Capacity summary'!W157&lt;&gt;"",IF(LOWER('Capacity summary'!W157)="x",$BI38*W38,VALUE('Capacity summary'!W157)),0),W38*$BI38),W38*$BI38),0)</f>
        <v>0</v>
      </c>
      <c r="CA38" s="313">
        <f>IF($BI38&lt;&gt;"",IF('Capacity summary'!$D$14="Yes",IF(COUNTBLANK('Capacity summary'!$H157:$BG157)&lt;52,IF('Capacity summary'!X157&lt;&gt;"",IF(LOWER('Capacity summary'!X157)="x",$BI38*X38,VALUE('Capacity summary'!X157)),0),X38*$BI38),X38*$BI38),0)</f>
        <v>0</v>
      </c>
      <c r="CB38" s="313">
        <f>IF($BI38&lt;&gt;"",IF('Capacity summary'!$D$14="Yes",IF(COUNTBLANK('Capacity summary'!$H157:$BG157)&lt;52,IF('Capacity summary'!Y157&lt;&gt;"",IF(LOWER('Capacity summary'!Y157)="x",$BI38*Y38,VALUE('Capacity summary'!Y157)),0),Y38*$BI38),Y38*$BI38),0)</f>
        <v>0</v>
      </c>
      <c r="CC38" s="313">
        <f>IF($BI38&lt;&gt;"",IF('Capacity summary'!$D$14="Yes",IF(COUNTBLANK('Capacity summary'!$H157:$BG157)&lt;52,IF('Capacity summary'!Z157&lt;&gt;"",IF(LOWER('Capacity summary'!Z157)="x",$BI38*Z38,VALUE('Capacity summary'!Z157)),0),Z38*$BI38),Z38*$BI38),0)</f>
        <v>0</v>
      </c>
      <c r="CD38" s="313">
        <f>IF($BI38&lt;&gt;"",IF('Capacity summary'!$D$14="Yes",IF(COUNTBLANK('Capacity summary'!$H157:$BG157)&lt;52,IF('Capacity summary'!AA157&lt;&gt;"",IF(LOWER('Capacity summary'!AA157)="x",$BI38*AA38,VALUE('Capacity summary'!AA157)),0),AA38*$BI38),AA38*$BI38),0)</f>
        <v>0</v>
      </c>
      <c r="CE38" s="313">
        <f>IF($BI38&lt;&gt;"",IF('Capacity summary'!$D$14="Yes",IF(COUNTBLANK('Capacity summary'!$H157:$BG157)&lt;52,IF('Capacity summary'!AB157&lt;&gt;"",IF(LOWER('Capacity summary'!AB157)="x",$BI38*AB38,VALUE('Capacity summary'!AB157)),0),AB38*$BI38),AB38*$BI38),0)</f>
        <v>0</v>
      </c>
      <c r="CF38" s="313">
        <f>IF($BI38&lt;&gt;"",IF('Capacity summary'!$D$14="Yes",IF(COUNTBLANK('Capacity summary'!$H157:$BG157)&lt;52,IF('Capacity summary'!AC157&lt;&gt;"",IF(LOWER('Capacity summary'!AC157)="x",$BI38*AC38,VALUE('Capacity summary'!AC157)),0),AC38*$BI38),AC38*$BI38),0)</f>
        <v>0</v>
      </c>
      <c r="CG38" s="313">
        <f>IF($BI38&lt;&gt;"",IF('Capacity summary'!$D$14="Yes",IF(COUNTBLANK('Capacity summary'!$H157:$BG157)&lt;52,IF('Capacity summary'!AD157&lt;&gt;"",IF(LOWER('Capacity summary'!AD157)="x",$BI38*AD38,VALUE('Capacity summary'!AD157)),0),AD38*$BI38),AD38*$BI38),0)</f>
        <v>0</v>
      </c>
      <c r="CH38" s="313">
        <f>IF($BI38&lt;&gt;"",IF('Capacity summary'!$D$14="Yes",IF(COUNTBLANK('Capacity summary'!$H157:$BG157)&lt;52,IF('Capacity summary'!AE157&lt;&gt;"",IF(LOWER('Capacity summary'!AE157)="x",$BI38*AE38,VALUE('Capacity summary'!AE157)),0),AE38*$BI38),AE38*$BI38),0)</f>
        <v>0</v>
      </c>
      <c r="CI38" s="313">
        <f>IF($BI38&lt;&gt;"",IF('Capacity summary'!$D$14="Yes",IF(COUNTBLANK('Capacity summary'!$H157:$BG157)&lt;52,IF('Capacity summary'!AF157&lt;&gt;"",IF(LOWER('Capacity summary'!AF157)="x",$BI38*AF38,VALUE('Capacity summary'!AF157)),0),AF38*$BI38),AF38*$BI38),0)</f>
        <v>0</v>
      </c>
      <c r="CJ38" s="313">
        <f>IF($BI38&lt;&gt;"",IF('Capacity summary'!$D$14="Yes",IF(COUNTBLANK('Capacity summary'!$H157:$BG157)&lt;52,IF('Capacity summary'!AG157&lt;&gt;"",IF(LOWER('Capacity summary'!AG157)="x",$BI38*AG38,VALUE('Capacity summary'!AG157)),0),AG38*$BI38),AG38*$BI38),0)</f>
        <v>0</v>
      </c>
      <c r="CK38" s="313">
        <f>IF($BI38&lt;&gt;"",IF('Capacity summary'!$D$14="Yes",IF(COUNTBLANK('Capacity summary'!$H157:$BG157)&lt;52,IF('Capacity summary'!AH157&lt;&gt;"",IF(LOWER('Capacity summary'!AH157)="x",$BI38*AH38,VALUE('Capacity summary'!AH157)),0),AH38*$BI38),AH38*$BI38),0)</f>
        <v>0</v>
      </c>
      <c r="CL38" s="313">
        <f>IF($BI38&lt;&gt;"",IF('Capacity summary'!$D$14="Yes",IF(COUNTBLANK('Capacity summary'!$H157:$BG157)&lt;52,IF('Capacity summary'!AI157&lt;&gt;"",IF(LOWER('Capacity summary'!AI157)="x",$BI38*AI38,VALUE('Capacity summary'!AI157)),0),AI38*$BI38),AI38*$BI38),0)</f>
        <v>0</v>
      </c>
      <c r="CM38" s="313">
        <f>IF($BI38&lt;&gt;"",IF('Capacity summary'!$D$14="Yes",IF(COUNTBLANK('Capacity summary'!$H157:$BG157)&lt;52,IF('Capacity summary'!AJ157&lt;&gt;"",IF(LOWER('Capacity summary'!AJ157)="x",$BI38*AJ38,VALUE('Capacity summary'!AJ157)),0),AJ38*$BI38),AJ38*$BI38),0)</f>
        <v>0</v>
      </c>
      <c r="CN38" s="313">
        <f>IF($BI38&lt;&gt;"",IF('Capacity summary'!$D$14="Yes",IF(COUNTBLANK('Capacity summary'!$H157:$BG157)&lt;52,IF('Capacity summary'!AK157&lt;&gt;"",IF(LOWER('Capacity summary'!AK157)="x",$BI38*AK38,VALUE('Capacity summary'!AK157)),0),AK38*$BI38),AK38*$BI38),0)</f>
        <v>0</v>
      </c>
      <c r="CO38" s="313">
        <f>IF($BI38&lt;&gt;"",IF('Capacity summary'!$D$14="Yes",IF(COUNTBLANK('Capacity summary'!$H157:$BG157)&lt;52,IF('Capacity summary'!AL157&lt;&gt;"",IF(LOWER('Capacity summary'!AL157)="x",$BI38*AL38,VALUE('Capacity summary'!AL157)),0),AL38*$BI38),AL38*$BI38),0)</f>
        <v>0</v>
      </c>
      <c r="CP38" s="313">
        <f>IF($BI38&lt;&gt;"",IF('Capacity summary'!$D$14="Yes",IF(COUNTBLANK('Capacity summary'!$H157:$BG157)&lt;52,IF('Capacity summary'!AM157&lt;&gt;"",IF(LOWER('Capacity summary'!AM157)="x",$BI38*AM38,VALUE('Capacity summary'!AM157)),0),AM38*$BI38),AM38*$BI38),0)</f>
        <v>0</v>
      </c>
      <c r="CQ38" s="313">
        <f>IF($BI38&lt;&gt;"",IF('Capacity summary'!$D$14="Yes",IF(COUNTBLANK('Capacity summary'!$H157:$BG157)&lt;52,IF('Capacity summary'!AN157&lt;&gt;"",IF(LOWER('Capacity summary'!AN157)="x",$BI38*AN38,VALUE('Capacity summary'!AN157)),0),AN38*$BI38),AN38*$BI38),0)</f>
        <v>0</v>
      </c>
      <c r="CR38" s="313">
        <f>IF($BI38&lt;&gt;"",IF('Capacity summary'!$D$14="Yes",IF(COUNTBLANK('Capacity summary'!$H157:$BG157)&lt;52,IF('Capacity summary'!AO157&lt;&gt;"",IF(LOWER('Capacity summary'!AO157)="x",$BI38*AO38,VALUE('Capacity summary'!AO157)),0),AO38*$BI38),AO38*$BI38),0)</f>
        <v>0</v>
      </c>
      <c r="CS38" s="313">
        <f>IF($BI38&lt;&gt;"",IF('Capacity summary'!$D$14="Yes",IF(COUNTBLANK('Capacity summary'!$H157:$BG157)&lt;52,IF('Capacity summary'!AP157&lt;&gt;"",IF(LOWER('Capacity summary'!AP157)="x",$BI38*AP38,VALUE('Capacity summary'!AP157)),0),AP38*$BI38),AP38*$BI38),0)</f>
        <v>0</v>
      </c>
      <c r="CT38" s="313">
        <f>IF($BI38&lt;&gt;"",IF('Capacity summary'!$D$14="Yes",IF(COUNTBLANK('Capacity summary'!$H157:$BG157)&lt;52,IF('Capacity summary'!AQ157&lt;&gt;"",IF(LOWER('Capacity summary'!AQ157)="x",$BI38*AQ38,VALUE('Capacity summary'!AQ157)),0),AQ38*$BI38),AQ38*$BI38),0)</f>
        <v>0</v>
      </c>
      <c r="CU38" s="313">
        <f>IF($BI38&lt;&gt;"",IF('Capacity summary'!$D$14="Yes",IF(COUNTBLANK('Capacity summary'!$H157:$BG157)&lt;52,IF('Capacity summary'!AR157&lt;&gt;"",IF(LOWER('Capacity summary'!AR157)="x",$BI38*AR38,VALUE('Capacity summary'!AR157)),0),AR38*$BI38),AR38*$BI38),0)</f>
        <v>0</v>
      </c>
      <c r="CV38" s="313">
        <f>IF($BI38&lt;&gt;"",IF('Capacity summary'!$D$14="Yes",IF(COUNTBLANK('Capacity summary'!$H157:$BG157)&lt;52,IF('Capacity summary'!AS157&lt;&gt;"",IF(LOWER('Capacity summary'!AS157)="x",$BI38*AS38,VALUE('Capacity summary'!AS157)),0),AS38*$BI38),AS38*$BI38),0)</f>
        <v>0</v>
      </c>
      <c r="CW38" s="313">
        <f>IF($BI38&lt;&gt;"",IF('Capacity summary'!$D$14="Yes",IF(COUNTBLANK('Capacity summary'!$H157:$BG157)&lt;52,IF('Capacity summary'!AT157&lt;&gt;"",IF(LOWER('Capacity summary'!AT157)="x",$BI38*AT38,VALUE('Capacity summary'!AT157)),0),AT38*$BI38),AT38*$BI38),0)</f>
        <v>0</v>
      </c>
      <c r="CX38" s="313">
        <f>IF($BI38&lt;&gt;"",IF('Capacity summary'!$D$14="Yes",IF(COUNTBLANK('Capacity summary'!$H157:$BG157)&lt;52,IF('Capacity summary'!AU157&lt;&gt;"",IF(LOWER('Capacity summary'!AU157)="x",$BI38*AU38,VALUE('Capacity summary'!AU157)),0),AU38*$BI38),AU38*$BI38),0)</f>
        <v>0</v>
      </c>
      <c r="CY38" s="313">
        <f>IF($BI38&lt;&gt;"",IF('Capacity summary'!$D$14="Yes",IF(COUNTBLANK('Capacity summary'!$H157:$BG157)&lt;52,IF('Capacity summary'!AV157&lt;&gt;"",IF(LOWER('Capacity summary'!AV157)="x",$BI38*AV38,VALUE('Capacity summary'!AV157)),0),AV38*$BI38),AV38*$BI38),0)</f>
        <v>0</v>
      </c>
      <c r="CZ38" s="313">
        <f>IF($BI38&lt;&gt;"",IF('Capacity summary'!$D$14="Yes",IF(COUNTBLANK('Capacity summary'!$H157:$BG157)&lt;52,IF('Capacity summary'!AW157&lt;&gt;"",IF(LOWER('Capacity summary'!AW157)="x",$BI38*AW38,VALUE('Capacity summary'!AW157)),0),AW38*$BI38),AW38*$BI38),0)</f>
        <v>0</v>
      </c>
      <c r="DA38" s="313">
        <f>IF($BI38&lt;&gt;"",IF('Capacity summary'!$D$14="Yes",IF(COUNTBLANK('Capacity summary'!$H157:$BG157)&lt;52,IF('Capacity summary'!AX157&lt;&gt;"",IF(LOWER('Capacity summary'!AX157)="x",$BI38*AX38,VALUE('Capacity summary'!AX157)),0),AX38*$BI38),AX38*$BI38),0)</f>
        <v>0</v>
      </c>
      <c r="DB38" s="313">
        <f>IF($BI38&lt;&gt;"",IF('Capacity summary'!$D$14="Yes",IF(COUNTBLANK('Capacity summary'!$H157:$BG157)&lt;52,IF('Capacity summary'!AY157&lt;&gt;"",IF(LOWER('Capacity summary'!AY157)="x",$BI38*AY38,VALUE('Capacity summary'!AY157)),0),AY38*$BI38),AY38*$BI38),0)</f>
        <v>0</v>
      </c>
      <c r="DC38" s="313">
        <f>IF($BI38&lt;&gt;"",IF('Capacity summary'!$D$14="Yes",IF(COUNTBLANK('Capacity summary'!$H157:$BG157)&lt;52,IF('Capacity summary'!AZ157&lt;&gt;"",IF(LOWER('Capacity summary'!AZ157)="x",$BI38*AZ38,VALUE('Capacity summary'!AZ157)),0),AZ38*$BI38),AZ38*$BI38),0)</f>
        <v>0</v>
      </c>
      <c r="DD38" s="313">
        <f>IF($BI38&lt;&gt;"",IF('Capacity summary'!$D$14="Yes",IF(COUNTBLANK('Capacity summary'!$H157:$BG157)&lt;52,IF('Capacity summary'!BA157&lt;&gt;"",IF(LOWER('Capacity summary'!BA157)="x",$BI38*BA38,VALUE('Capacity summary'!BA157)),0),BA38*$BI38),BA38*$BI38),0)</f>
        <v>0</v>
      </c>
      <c r="DE38" s="313">
        <f>IF($BI38&lt;&gt;"",IF('Capacity summary'!$D$14="Yes",IF(COUNTBLANK('Capacity summary'!$H157:$BG157)&lt;52,IF('Capacity summary'!BB157&lt;&gt;"",IF(LOWER('Capacity summary'!BB157)="x",$BI38*BB38,VALUE('Capacity summary'!BB157)),0),BB38*$BI38),BB38*$BI38),0)</f>
        <v>0</v>
      </c>
      <c r="DF38" s="313">
        <f>IF($BI38&lt;&gt;"",IF('Capacity summary'!$D$14="Yes",IF(COUNTBLANK('Capacity summary'!$H157:$BG157)&lt;52,IF('Capacity summary'!BC157&lt;&gt;"",IF(LOWER('Capacity summary'!BC157)="x",$BI38*BC38,VALUE('Capacity summary'!BC157)),0),BC38*$BI38),BC38*$BI38),0)</f>
        <v>0</v>
      </c>
      <c r="DG38" s="313">
        <f>IF($BI38&lt;&gt;"",IF('Capacity summary'!$D$14="Yes",IF(COUNTBLANK('Capacity summary'!$H157:$BG157)&lt;52,IF('Capacity summary'!BD157&lt;&gt;"",IF(LOWER('Capacity summary'!BD157)="x",$BI38*BD38,VALUE('Capacity summary'!BD157)),0),BD38*$BI38),BD38*$BI38),0)</f>
        <v>0</v>
      </c>
      <c r="DH38" s="313">
        <f>IF($BI38&lt;&gt;"",IF('Capacity summary'!$D$14="Yes",IF(COUNTBLANK('Capacity summary'!$H157:$BG157)&lt;52,IF('Capacity summary'!BE157&lt;&gt;"",IF(LOWER('Capacity summary'!BE157)="x",$BI38*BE38,VALUE('Capacity summary'!BE157)),0),BE38*$BI38),BE38*$BI38),0)</f>
        <v>0</v>
      </c>
      <c r="DI38" s="313">
        <f>IF($BI38&lt;&gt;"",IF('Capacity summary'!$D$14="Yes",IF(COUNTBLANK('Capacity summary'!$H157:$BG157)&lt;52,IF('Capacity summary'!BF157&lt;&gt;"",IF(LOWER('Capacity summary'!BF157)="x",$BI38*BF38,VALUE('Capacity summary'!BF157)),0),BF38*$BI38),BF38*$BI38),0)</f>
        <v>0</v>
      </c>
      <c r="DJ38" s="313">
        <f>IF($BI38&lt;&gt;"",IF('Capacity summary'!$D$14="Yes",IF(COUNTBLANK('Capacity summary'!$H157:$BG157)&lt;52,IF('Capacity summary'!BG157&lt;&gt;"",IF(LOWER('Capacity summary'!BG157)="x",$BI38*BG38,VALUE('Capacity summary'!BG157)),0),BG38*$BI38),BG38*$BI38),0)</f>
        <v>0</v>
      </c>
      <c r="DK38" s="137">
        <f t="shared" si="2"/>
        <v>0</v>
      </c>
      <c r="DL38" s="313" t="str">
        <f>Capacity!H50</f>
        <v/>
      </c>
      <c r="DP38" s="5"/>
    </row>
    <row r="39" spans="2:120" x14ac:dyDescent="0.25">
      <c r="B39" s="67"/>
      <c r="C39" s="67" t="str">
        <f>ROW(A35)&amp;". "&amp;Capacity!B51</f>
        <v xml:space="preserve">35. </v>
      </c>
      <c r="D39" s="67">
        <f>'Capacity setup'!C46</f>
        <v>0</v>
      </c>
      <c r="E39" s="67">
        <f>'Capacity setup'!D46</f>
        <v>0</v>
      </c>
      <c r="F39" s="67">
        <f>'Capacity setup'!E46</f>
        <v>0</v>
      </c>
      <c r="H39" s="67">
        <f ca="1">IF(AND(SUMIF(Capacity_Resource,$D39,'Critical resources (hide)'!U$6:U$105)+SUMIF(Capacity_Resource,$E39,'Critical resources (hide)'!U$6:U$105)+SUMIF(Capacity_Resource,$F39,'Critical resources (hide)'!U$6:U$105)&gt;0,$E$1=2),0,1)</f>
        <v>1</v>
      </c>
      <c r="I39" s="67">
        <f ca="1">IF(AND(SUMIF(Capacity_Resource,$D39,'Critical resources (hide)'!V$6:V$105)+SUMIF(Capacity_Resource,$E39,'Critical resources (hide)'!V$6:V$105)+SUMIF(Capacity_Resource,$F39,'Critical resources (hide)'!V$6:V$105)&gt;0,$E$1=2),0,1)</f>
        <v>1</v>
      </c>
      <c r="J39" s="67">
        <f ca="1">IF(AND(SUMIF(Capacity_Resource,$D39,'Critical resources (hide)'!W$6:W$105)+SUMIF(Capacity_Resource,$E39,'Critical resources (hide)'!W$6:W$105)+SUMIF(Capacity_Resource,$F39,'Critical resources (hide)'!W$6:W$105)&gt;0,$E$1=2),0,1)</f>
        <v>1</v>
      </c>
      <c r="K39" s="67">
        <f ca="1">IF(AND(SUMIF(Capacity_Resource,$D39,'Critical resources (hide)'!X$6:X$105)+SUMIF(Capacity_Resource,$E39,'Critical resources (hide)'!X$6:X$105)+SUMIF(Capacity_Resource,$F39,'Critical resources (hide)'!X$6:X$105)&gt;0,$E$1=2),0,1)</f>
        <v>1</v>
      </c>
      <c r="L39" s="67">
        <f ca="1">IF(AND(SUMIF(Capacity_Resource,$D39,'Critical resources (hide)'!Y$6:Y$105)+SUMIF(Capacity_Resource,$E39,'Critical resources (hide)'!Y$6:Y$105)+SUMIF(Capacity_Resource,$F39,'Critical resources (hide)'!Y$6:Y$105)&gt;0,$E$1=2),0,1)</f>
        <v>1</v>
      </c>
      <c r="M39" s="67">
        <f ca="1">IF(AND(SUMIF(Capacity_Resource,$D39,'Critical resources (hide)'!Z$6:Z$105)+SUMIF(Capacity_Resource,$E39,'Critical resources (hide)'!Z$6:Z$105)+SUMIF(Capacity_Resource,$F39,'Critical resources (hide)'!Z$6:Z$105)&gt;0,$E$1=2),0,1)</f>
        <v>1</v>
      </c>
      <c r="N39" s="67">
        <f ca="1">IF(AND(SUMIF(Capacity_Resource,$D39,'Critical resources (hide)'!AA$6:AA$105)+SUMIF(Capacity_Resource,$E39,'Critical resources (hide)'!AA$6:AA$105)+SUMIF(Capacity_Resource,$F39,'Critical resources (hide)'!AA$6:AA$105)&gt;0,$E$1=2),0,1)</f>
        <v>1</v>
      </c>
      <c r="O39" s="67">
        <f ca="1">IF(AND(SUMIF(Capacity_Resource,$D39,'Critical resources (hide)'!AB$6:AB$105)+SUMIF(Capacity_Resource,$E39,'Critical resources (hide)'!AB$6:AB$105)+SUMIF(Capacity_Resource,$F39,'Critical resources (hide)'!AB$6:AB$105)&gt;0,$E$1=2),0,1)</f>
        <v>1</v>
      </c>
      <c r="P39" s="67">
        <f ca="1">IF(AND(SUMIF(Capacity_Resource,$D39,'Critical resources (hide)'!AC$6:AC$105)+SUMIF(Capacity_Resource,$E39,'Critical resources (hide)'!AC$6:AC$105)+SUMIF(Capacity_Resource,$F39,'Critical resources (hide)'!AC$6:AC$105)&gt;0,$E$1=2),0,1)</f>
        <v>1</v>
      </c>
      <c r="Q39" s="67">
        <f ca="1">IF(AND(SUMIF(Capacity_Resource,$D39,'Critical resources (hide)'!AD$6:AD$105)+SUMIF(Capacity_Resource,$E39,'Critical resources (hide)'!AD$6:AD$105)+SUMIF(Capacity_Resource,$F39,'Critical resources (hide)'!AD$6:AD$105)&gt;0,$E$1=2),0,1)</f>
        <v>1</v>
      </c>
      <c r="R39" s="67">
        <f ca="1">IF(AND(SUMIF(Capacity_Resource,$D39,'Critical resources (hide)'!AE$6:AE$105)+SUMIF(Capacity_Resource,$E39,'Critical resources (hide)'!AE$6:AE$105)+SUMIF(Capacity_Resource,$F39,'Critical resources (hide)'!AE$6:AE$105)&gt;0,$E$1=2),0,1)</f>
        <v>1</v>
      </c>
      <c r="S39" s="67">
        <f ca="1">IF(AND(SUMIF(Capacity_Resource,$D39,'Critical resources (hide)'!AF$6:AF$105)+SUMIF(Capacity_Resource,$E39,'Critical resources (hide)'!AF$6:AF$105)+SUMIF(Capacity_Resource,$F39,'Critical resources (hide)'!AF$6:AF$105)&gt;0,$E$1=2),0,1)</f>
        <v>1</v>
      </c>
      <c r="T39" s="67">
        <f ca="1">IF(AND(SUMIF(Capacity_Resource,$D39,'Critical resources (hide)'!AG$6:AG$105)+SUMIF(Capacity_Resource,$E39,'Critical resources (hide)'!AG$6:AG$105)+SUMIF(Capacity_Resource,$F39,'Critical resources (hide)'!AG$6:AG$105)&gt;0,$E$1=2),0,1)</f>
        <v>1</v>
      </c>
      <c r="U39" s="67">
        <f ca="1">IF(AND(SUMIF(Capacity_Resource,$D39,'Critical resources (hide)'!AH$6:AH$105)+SUMIF(Capacity_Resource,$E39,'Critical resources (hide)'!AH$6:AH$105)+SUMIF(Capacity_Resource,$F39,'Critical resources (hide)'!AH$6:AH$105)&gt;0,$E$1=2),0,1)</f>
        <v>1</v>
      </c>
      <c r="V39" s="67">
        <f ca="1">IF(AND(SUMIF(Capacity_Resource,$D39,'Critical resources (hide)'!AI$6:AI$105)+SUMIF(Capacity_Resource,$E39,'Critical resources (hide)'!AI$6:AI$105)+SUMIF(Capacity_Resource,$F39,'Critical resources (hide)'!AI$6:AI$105)&gt;0,$E$1=2),0,1)</f>
        <v>1</v>
      </c>
      <c r="W39" s="67">
        <f ca="1">IF(AND(SUMIF(Capacity_Resource,$D39,'Critical resources (hide)'!AJ$6:AJ$105)+SUMIF(Capacity_Resource,$E39,'Critical resources (hide)'!AJ$6:AJ$105)+SUMIF(Capacity_Resource,$F39,'Critical resources (hide)'!AJ$6:AJ$105)&gt;0,$E$1=2),0,1)</f>
        <v>1</v>
      </c>
      <c r="X39" s="67">
        <f ca="1">IF(AND(SUMIF(Capacity_Resource,$D39,'Critical resources (hide)'!AK$6:AK$105)+SUMIF(Capacity_Resource,$E39,'Critical resources (hide)'!AK$6:AK$105)+SUMIF(Capacity_Resource,$F39,'Critical resources (hide)'!AK$6:AK$105)&gt;0,$E$1=2),0,1)</f>
        <v>1</v>
      </c>
      <c r="Y39" s="67">
        <f ca="1">IF(AND(SUMIF(Capacity_Resource,$D39,'Critical resources (hide)'!AL$6:AL$105)+SUMIF(Capacity_Resource,$E39,'Critical resources (hide)'!AL$6:AL$105)+SUMIF(Capacity_Resource,$F39,'Critical resources (hide)'!AL$6:AL$105)&gt;0,$E$1=2),0,1)</f>
        <v>1</v>
      </c>
      <c r="Z39" s="67">
        <f ca="1">IF(AND(SUMIF(Capacity_Resource,$D39,'Critical resources (hide)'!AM$6:AM$105)+SUMIF(Capacity_Resource,$E39,'Critical resources (hide)'!AM$6:AM$105)+SUMIF(Capacity_Resource,$F39,'Critical resources (hide)'!AM$6:AM$105)&gt;0,$E$1=2),0,1)</f>
        <v>1</v>
      </c>
      <c r="AA39" s="67">
        <f ca="1">IF(AND(SUMIF(Capacity_Resource,$D39,'Critical resources (hide)'!AN$6:AN$105)+SUMIF(Capacity_Resource,$E39,'Critical resources (hide)'!AN$6:AN$105)+SUMIF(Capacity_Resource,$F39,'Critical resources (hide)'!AN$6:AN$105)&gt;0,$E$1=2),0,1)</f>
        <v>1</v>
      </c>
      <c r="AB39" s="67">
        <f ca="1">IF(AND(SUMIF(Capacity_Resource,$D39,'Critical resources (hide)'!AO$6:AO$105)+SUMIF(Capacity_Resource,$E39,'Critical resources (hide)'!AO$6:AO$105)+SUMIF(Capacity_Resource,$F39,'Critical resources (hide)'!AO$6:AO$105)&gt;0,$E$1=2),0,1)</f>
        <v>1</v>
      </c>
      <c r="AC39" s="67">
        <f ca="1">IF(AND(SUMIF(Capacity_Resource,$D39,'Critical resources (hide)'!AP$6:AP$105)+SUMIF(Capacity_Resource,$E39,'Critical resources (hide)'!AP$6:AP$105)+SUMIF(Capacity_Resource,$F39,'Critical resources (hide)'!AP$6:AP$105)&gt;0,$E$1=2),0,1)</f>
        <v>1</v>
      </c>
      <c r="AD39" s="67">
        <f ca="1">IF(AND(SUMIF(Capacity_Resource,$D39,'Critical resources (hide)'!AQ$6:AQ$105)+SUMIF(Capacity_Resource,$E39,'Critical resources (hide)'!AQ$6:AQ$105)+SUMIF(Capacity_Resource,$F39,'Critical resources (hide)'!AQ$6:AQ$105)&gt;0,$E$1=2),0,1)</f>
        <v>1</v>
      </c>
      <c r="AE39" s="67">
        <f ca="1">IF(AND(SUMIF(Capacity_Resource,$D39,'Critical resources (hide)'!AR$6:AR$105)+SUMIF(Capacity_Resource,$E39,'Critical resources (hide)'!AR$6:AR$105)+SUMIF(Capacity_Resource,$F39,'Critical resources (hide)'!AR$6:AR$105)&gt;0,$E$1=2),0,1)</f>
        <v>1</v>
      </c>
      <c r="AF39" s="67">
        <f ca="1">IF(AND(SUMIF(Capacity_Resource,$D39,'Critical resources (hide)'!AS$6:AS$105)+SUMIF(Capacity_Resource,$E39,'Critical resources (hide)'!AS$6:AS$105)+SUMIF(Capacity_Resource,$F39,'Critical resources (hide)'!AS$6:AS$105)&gt;0,$E$1=2),0,1)</f>
        <v>1</v>
      </c>
      <c r="AG39" s="67">
        <f ca="1">IF(AND(SUMIF(Capacity_Resource,$D39,'Critical resources (hide)'!AT$6:AT$105)+SUMIF(Capacity_Resource,$E39,'Critical resources (hide)'!AT$6:AT$105)+SUMIF(Capacity_Resource,$F39,'Critical resources (hide)'!AT$6:AT$105)&gt;0,$E$1=2),0,1)</f>
        <v>1</v>
      </c>
      <c r="AH39" s="67">
        <f ca="1">IF(AND(SUMIF(Capacity_Resource,$D39,'Critical resources (hide)'!AU$6:AU$105)+SUMIF(Capacity_Resource,$E39,'Critical resources (hide)'!AU$6:AU$105)+SUMIF(Capacity_Resource,$F39,'Critical resources (hide)'!AU$6:AU$105)&gt;0,$E$1=2),0,1)</f>
        <v>1</v>
      </c>
      <c r="AI39" s="67">
        <f ca="1">IF(AND(SUMIF(Capacity_Resource,$D39,'Critical resources (hide)'!AV$6:AV$105)+SUMIF(Capacity_Resource,$E39,'Critical resources (hide)'!AV$6:AV$105)+SUMIF(Capacity_Resource,$F39,'Critical resources (hide)'!AV$6:AV$105)&gt;0,$E$1=2),0,1)</f>
        <v>1</v>
      </c>
      <c r="AJ39" s="67">
        <f ca="1">IF(AND(SUMIF(Capacity_Resource,$D39,'Critical resources (hide)'!AW$6:AW$105)+SUMIF(Capacity_Resource,$E39,'Critical resources (hide)'!AW$6:AW$105)+SUMIF(Capacity_Resource,$F39,'Critical resources (hide)'!AW$6:AW$105)&gt;0,$E$1=2),0,1)</f>
        <v>1</v>
      </c>
      <c r="AK39" s="67">
        <f ca="1">IF(AND(SUMIF(Capacity_Resource,$D39,'Critical resources (hide)'!AX$6:AX$105)+SUMIF(Capacity_Resource,$E39,'Critical resources (hide)'!AX$6:AX$105)+SUMIF(Capacity_Resource,$F39,'Critical resources (hide)'!AX$6:AX$105)&gt;0,$E$1=2),0,1)</f>
        <v>1</v>
      </c>
      <c r="AL39" s="67">
        <f ca="1">IF(AND(SUMIF(Capacity_Resource,$D39,'Critical resources (hide)'!AY$6:AY$105)+SUMIF(Capacity_Resource,$E39,'Critical resources (hide)'!AY$6:AY$105)+SUMIF(Capacity_Resource,$F39,'Critical resources (hide)'!AY$6:AY$105)&gt;0,$E$1=2),0,1)</f>
        <v>1</v>
      </c>
      <c r="AM39" s="67">
        <f ca="1">IF(AND(SUMIF(Capacity_Resource,$D39,'Critical resources (hide)'!AZ$6:AZ$105)+SUMIF(Capacity_Resource,$E39,'Critical resources (hide)'!AZ$6:AZ$105)+SUMIF(Capacity_Resource,$F39,'Critical resources (hide)'!AZ$6:AZ$105)&gt;0,$E$1=2),0,1)</f>
        <v>1</v>
      </c>
      <c r="AN39" s="67">
        <f ca="1">IF(AND(SUMIF(Capacity_Resource,$D39,'Critical resources (hide)'!BA$6:BA$105)+SUMIF(Capacity_Resource,$E39,'Critical resources (hide)'!BA$6:BA$105)+SUMIF(Capacity_Resource,$F39,'Critical resources (hide)'!BA$6:BA$105)&gt;0,$E$1=2),0,1)</f>
        <v>1</v>
      </c>
      <c r="AO39" s="67">
        <f ca="1">IF(AND(SUMIF(Capacity_Resource,$D39,'Critical resources (hide)'!BB$6:BB$105)+SUMIF(Capacity_Resource,$E39,'Critical resources (hide)'!BB$6:BB$105)+SUMIF(Capacity_Resource,$F39,'Critical resources (hide)'!BB$6:BB$105)&gt;0,$E$1=2),0,1)</f>
        <v>1</v>
      </c>
      <c r="AP39" s="67">
        <f ca="1">IF(AND(SUMIF(Capacity_Resource,$D39,'Critical resources (hide)'!BC$6:BC$105)+SUMIF(Capacity_Resource,$E39,'Critical resources (hide)'!BC$6:BC$105)+SUMIF(Capacity_Resource,$F39,'Critical resources (hide)'!BC$6:BC$105)&gt;0,$E$1=2),0,1)</f>
        <v>1</v>
      </c>
      <c r="AQ39" s="67">
        <f ca="1">IF(AND(SUMIF(Capacity_Resource,$D39,'Critical resources (hide)'!BD$6:BD$105)+SUMIF(Capacity_Resource,$E39,'Critical resources (hide)'!BD$6:BD$105)+SUMIF(Capacity_Resource,$F39,'Critical resources (hide)'!BD$6:BD$105)&gt;0,$E$1=2),0,1)</f>
        <v>1</v>
      </c>
      <c r="AR39" s="67">
        <f ca="1">IF(AND(SUMIF(Capacity_Resource,$D39,'Critical resources (hide)'!BE$6:BE$105)+SUMIF(Capacity_Resource,$E39,'Critical resources (hide)'!BE$6:BE$105)+SUMIF(Capacity_Resource,$F39,'Critical resources (hide)'!BE$6:BE$105)&gt;0,$E$1=2),0,1)</f>
        <v>1</v>
      </c>
      <c r="AS39" s="67">
        <f ca="1">IF(AND(SUMIF(Capacity_Resource,$D39,'Critical resources (hide)'!BF$6:BF$105)+SUMIF(Capacity_Resource,$E39,'Critical resources (hide)'!BF$6:BF$105)+SUMIF(Capacity_Resource,$F39,'Critical resources (hide)'!BF$6:BF$105)&gt;0,$E$1=2),0,1)</f>
        <v>1</v>
      </c>
      <c r="AT39" s="67">
        <f ca="1">IF(AND(SUMIF(Capacity_Resource,$D39,'Critical resources (hide)'!BG$6:BG$105)+SUMIF(Capacity_Resource,$E39,'Critical resources (hide)'!BG$6:BG$105)+SUMIF(Capacity_Resource,$F39,'Critical resources (hide)'!BG$6:BG$105)&gt;0,$E$1=2),0,1)</f>
        <v>1</v>
      </c>
      <c r="AU39" s="67">
        <f ca="1">IF(AND(SUMIF(Capacity_Resource,$D39,'Critical resources (hide)'!BH$6:BH$105)+SUMIF(Capacity_Resource,$E39,'Critical resources (hide)'!BH$6:BH$105)+SUMIF(Capacity_Resource,$F39,'Critical resources (hide)'!BH$6:BH$105)&gt;0,$E$1=2),0,1)</f>
        <v>1</v>
      </c>
      <c r="AV39" s="67">
        <f ca="1">IF(AND(SUMIF(Capacity_Resource,$D39,'Critical resources (hide)'!BI$6:BI$105)+SUMIF(Capacity_Resource,$E39,'Critical resources (hide)'!BI$6:BI$105)+SUMIF(Capacity_Resource,$F39,'Critical resources (hide)'!BI$6:BI$105)&gt;0,$E$1=2),0,1)</f>
        <v>1</v>
      </c>
      <c r="AW39" s="67">
        <f ca="1">IF(AND(SUMIF(Capacity_Resource,$D39,'Critical resources (hide)'!BJ$6:BJ$105)+SUMIF(Capacity_Resource,$E39,'Critical resources (hide)'!BJ$6:BJ$105)+SUMIF(Capacity_Resource,$F39,'Critical resources (hide)'!BJ$6:BJ$105)&gt;0,$E$1=2),0,1)</f>
        <v>1</v>
      </c>
      <c r="AX39" s="67">
        <f ca="1">IF(AND(SUMIF(Capacity_Resource,$D39,'Critical resources (hide)'!BK$6:BK$105)+SUMIF(Capacity_Resource,$E39,'Critical resources (hide)'!BK$6:BK$105)+SUMIF(Capacity_Resource,$F39,'Critical resources (hide)'!BK$6:BK$105)&gt;0,$E$1=2),0,1)</f>
        <v>1</v>
      </c>
      <c r="AY39" s="67">
        <f ca="1">IF(AND(SUMIF(Capacity_Resource,$D39,'Critical resources (hide)'!BL$6:BL$105)+SUMIF(Capacity_Resource,$E39,'Critical resources (hide)'!BL$6:BL$105)+SUMIF(Capacity_Resource,$F39,'Critical resources (hide)'!BL$6:BL$105)&gt;0,$E$1=2),0,1)</f>
        <v>1</v>
      </c>
      <c r="AZ39" s="67">
        <f ca="1">IF(AND(SUMIF(Capacity_Resource,$D39,'Critical resources (hide)'!BM$6:BM$105)+SUMIF(Capacity_Resource,$E39,'Critical resources (hide)'!BM$6:BM$105)+SUMIF(Capacity_Resource,$F39,'Critical resources (hide)'!BM$6:BM$105)&gt;0,$E$1=2),0,1)</f>
        <v>1</v>
      </c>
      <c r="BA39" s="67">
        <f ca="1">IF(AND(SUMIF(Capacity_Resource,$D39,'Critical resources (hide)'!BN$6:BN$105)+SUMIF(Capacity_Resource,$E39,'Critical resources (hide)'!BN$6:BN$105)+SUMIF(Capacity_Resource,$F39,'Critical resources (hide)'!BN$6:BN$105)&gt;0,$E$1=2),0,1)</f>
        <v>1</v>
      </c>
      <c r="BB39" s="67">
        <f ca="1">IF(AND(SUMIF(Capacity_Resource,$D39,'Critical resources (hide)'!BO$6:BO$105)+SUMIF(Capacity_Resource,$E39,'Critical resources (hide)'!BO$6:BO$105)+SUMIF(Capacity_Resource,$F39,'Critical resources (hide)'!BO$6:BO$105)&gt;0,$E$1=2),0,1)</f>
        <v>1</v>
      </c>
      <c r="BC39" s="67">
        <f ca="1">IF(AND(SUMIF(Capacity_Resource,$D39,'Critical resources (hide)'!BP$6:BP$105)+SUMIF(Capacity_Resource,$E39,'Critical resources (hide)'!BP$6:BP$105)+SUMIF(Capacity_Resource,$F39,'Critical resources (hide)'!BP$6:BP$105)&gt;0,$E$1=2),0,1)</f>
        <v>1</v>
      </c>
      <c r="BD39" s="67">
        <f ca="1">IF(AND(SUMIF(Capacity_Resource,$D39,'Critical resources (hide)'!BQ$6:BQ$105)+SUMIF(Capacity_Resource,$E39,'Critical resources (hide)'!BQ$6:BQ$105)+SUMIF(Capacity_Resource,$F39,'Critical resources (hide)'!BQ$6:BQ$105)&gt;0,$E$1=2),0,1)</f>
        <v>1</v>
      </c>
      <c r="BE39" s="67">
        <f ca="1">IF(AND(SUMIF(Capacity_Resource,$D39,'Critical resources (hide)'!BR$6:BR$105)+SUMIF(Capacity_Resource,$E39,'Critical resources (hide)'!BR$6:BR$105)+SUMIF(Capacity_Resource,$F39,'Critical resources (hide)'!BR$6:BR$105)&gt;0,$E$1=2),0,1)</f>
        <v>1</v>
      </c>
      <c r="BF39" s="67">
        <f ca="1">IF(AND(SUMIF(Capacity_Resource,$D39,'Critical resources (hide)'!BS$6:BS$105)+SUMIF(Capacity_Resource,$E39,'Critical resources (hide)'!BS$6:BS$105)+SUMIF(Capacity_Resource,$F39,'Critical resources (hide)'!BS$6:BS$105)&gt;0,$E$1=2),0,1)</f>
        <v>1</v>
      </c>
      <c r="BG39" s="67">
        <f ca="1">IF(AND(SUMIF(Capacity_Resource,$D39,'Critical resources (hide)'!BT$6:BT$105)+SUMIF(Capacity_Resource,$E39,'Critical resources (hide)'!BT$6:BT$105)+SUMIF(Capacity_Resource,$F39,'Critical resources (hide)'!BT$6:BT$105)&gt;0,$E$1=2),0,1)</f>
        <v>1</v>
      </c>
      <c r="BH39" s="67">
        <f>IF(ROW(C35)&lt;=Capacity!$A$16,IF('Capacity summary'!$D$14="No",SUM(H39:BG39),'Capacity summary'!$E158),0)</f>
        <v>0</v>
      </c>
      <c r="BI39" s="5" t="str">
        <f>IF(BH39&gt;0,IF(BH39&lt;Capacity!E51,Capacity!F51,Capacity!H51/'Capacity calculation (hide)'!BH39),"")</f>
        <v/>
      </c>
      <c r="BK39" s="313">
        <f>IF($BI39&lt;&gt;"",IF('Capacity summary'!$D$14="Yes",IF(COUNTBLANK('Capacity summary'!$H158:$BG158)&lt;52,IF('Capacity summary'!H158&lt;&gt;"",IF(LOWER('Capacity summary'!H158)="x",$BI39*H39,VALUE('Capacity summary'!H158)),0),H39*$BI39),H39*$BI39),0)</f>
        <v>0</v>
      </c>
      <c r="BL39" s="313">
        <f>IF($BI39&lt;&gt;"",IF('Capacity summary'!$D$14="Yes",IF(COUNTBLANK('Capacity summary'!$H158:$BG158)&lt;52,IF('Capacity summary'!I158&lt;&gt;"",IF(LOWER('Capacity summary'!I158)="x",$BI39*I39,VALUE('Capacity summary'!I158)),0),I39*$BI39),I39*$BI39),0)</f>
        <v>0</v>
      </c>
      <c r="BM39" s="313">
        <f>IF($BI39&lt;&gt;"",IF('Capacity summary'!$D$14="Yes",IF(COUNTBLANK('Capacity summary'!$H158:$BG158)&lt;52,IF('Capacity summary'!J158&lt;&gt;"",IF(LOWER('Capacity summary'!J158)="x",$BI39*J39,VALUE('Capacity summary'!J158)),0),J39*$BI39),J39*$BI39),0)</f>
        <v>0</v>
      </c>
      <c r="BN39" s="313">
        <f>IF($BI39&lt;&gt;"",IF('Capacity summary'!$D$14="Yes",IF(COUNTBLANK('Capacity summary'!$H158:$BG158)&lt;52,IF('Capacity summary'!K158&lt;&gt;"",IF(LOWER('Capacity summary'!K158)="x",$BI39*K39,VALUE('Capacity summary'!K158)),0),K39*$BI39),K39*$BI39),0)</f>
        <v>0</v>
      </c>
      <c r="BO39" s="313">
        <f>IF($BI39&lt;&gt;"",IF('Capacity summary'!$D$14="Yes",IF(COUNTBLANK('Capacity summary'!$H158:$BG158)&lt;52,IF('Capacity summary'!L158&lt;&gt;"",IF(LOWER('Capacity summary'!L158)="x",$BI39*L39,VALUE('Capacity summary'!L158)),0),L39*$BI39),L39*$BI39),0)</f>
        <v>0</v>
      </c>
      <c r="BP39" s="313">
        <f>IF($BI39&lt;&gt;"",IF('Capacity summary'!$D$14="Yes",IF(COUNTBLANK('Capacity summary'!$H158:$BG158)&lt;52,IF('Capacity summary'!M158&lt;&gt;"",IF(LOWER('Capacity summary'!M158)="x",$BI39*M39,VALUE('Capacity summary'!M158)),0),M39*$BI39),M39*$BI39),0)</f>
        <v>0</v>
      </c>
      <c r="BQ39" s="313">
        <f>IF($BI39&lt;&gt;"",IF('Capacity summary'!$D$14="Yes",IF(COUNTBLANK('Capacity summary'!$H158:$BG158)&lt;52,IF('Capacity summary'!N158&lt;&gt;"",IF(LOWER('Capacity summary'!N158)="x",$BI39*N39,VALUE('Capacity summary'!N158)),0),N39*$BI39),N39*$BI39),0)</f>
        <v>0</v>
      </c>
      <c r="BR39" s="313">
        <f>IF($BI39&lt;&gt;"",IF('Capacity summary'!$D$14="Yes",IF(COUNTBLANK('Capacity summary'!$H158:$BG158)&lt;52,IF('Capacity summary'!O158&lt;&gt;"",IF(LOWER('Capacity summary'!O158)="x",$BI39*O39,VALUE('Capacity summary'!O158)),0),O39*$BI39),O39*$BI39),0)</f>
        <v>0</v>
      </c>
      <c r="BS39" s="313">
        <f>IF($BI39&lt;&gt;"",IF('Capacity summary'!$D$14="Yes",IF(COUNTBLANK('Capacity summary'!$H158:$BG158)&lt;52,IF('Capacity summary'!P158&lt;&gt;"",IF(LOWER('Capacity summary'!P158)="x",$BI39*P39,VALUE('Capacity summary'!P158)),0),P39*$BI39),P39*$BI39),0)</f>
        <v>0</v>
      </c>
      <c r="BT39" s="313">
        <f>IF($BI39&lt;&gt;"",IF('Capacity summary'!$D$14="Yes",IF(COUNTBLANK('Capacity summary'!$H158:$BG158)&lt;52,IF('Capacity summary'!Q158&lt;&gt;"",IF(LOWER('Capacity summary'!Q158)="x",$BI39*Q39,VALUE('Capacity summary'!Q158)),0),Q39*$BI39),Q39*$BI39),0)</f>
        <v>0</v>
      </c>
      <c r="BU39" s="313">
        <f>IF($BI39&lt;&gt;"",IF('Capacity summary'!$D$14="Yes",IF(COUNTBLANK('Capacity summary'!$H158:$BG158)&lt;52,IF('Capacity summary'!R158&lt;&gt;"",IF(LOWER('Capacity summary'!R158)="x",$BI39*R39,VALUE('Capacity summary'!R158)),0),R39*$BI39),R39*$BI39),0)</f>
        <v>0</v>
      </c>
      <c r="BV39" s="313">
        <f>IF($BI39&lt;&gt;"",IF('Capacity summary'!$D$14="Yes",IF(COUNTBLANK('Capacity summary'!$H158:$BG158)&lt;52,IF('Capacity summary'!S158&lt;&gt;"",IF(LOWER('Capacity summary'!S158)="x",$BI39*S39,VALUE('Capacity summary'!S158)),0),S39*$BI39),S39*$BI39),0)</f>
        <v>0</v>
      </c>
      <c r="BW39" s="313">
        <f>IF($BI39&lt;&gt;"",IF('Capacity summary'!$D$14="Yes",IF(COUNTBLANK('Capacity summary'!$H158:$BG158)&lt;52,IF('Capacity summary'!T158&lt;&gt;"",IF(LOWER('Capacity summary'!T158)="x",$BI39*T39,VALUE('Capacity summary'!T158)),0),T39*$BI39),T39*$BI39),0)</f>
        <v>0</v>
      </c>
      <c r="BX39" s="313">
        <f>IF($BI39&lt;&gt;"",IF('Capacity summary'!$D$14="Yes",IF(COUNTBLANK('Capacity summary'!$H158:$BG158)&lt;52,IF('Capacity summary'!U158&lt;&gt;"",IF(LOWER('Capacity summary'!U158)="x",$BI39*U39,VALUE('Capacity summary'!U158)),0),U39*$BI39),U39*$BI39),0)</f>
        <v>0</v>
      </c>
      <c r="BY39" s="313">
        <f>IF($BI39&lt;&gt;"",IF('Capacity summary'!$D$14="Yes",IF(COUNTBLANK('Capacity summary'!$H158:$BG158)&lt;52,IF('Capacity summary'!V158&lt;&gt;"",IF(LOWER('Capacity summary'!V158)="x",$BI39*V39,VALUE('Capacity summary'!V158)),0),V39*$BI39),V39*$BI39),0)</f>
        <v>0</v>
      </c>
      <c r="BZ39" s="313">
        <f>IF($BI39&lt;&gt;"",IF('Capacity summary'!$D$14="Yes",IF(COUNTBLANK('Capacity summary'!$H158:$BG158)&lt;52,IF('Capacity summary'!W158&lt;&gt;"",IF(LOWER('Capacity summary'!W158)="x",$BI39*W39,VALUE('Capacity summary'!W158)),0),W39*$BI39),W39*$BI39),0)</f>
        <v>0</v>
      </c>
      <c r="CA39" s="313">
        <f>IF($BI39&lt;&gt;"",IF('Capacity summary'!$D$14="Yes",IF(COUNTBLANK('Capacity summary'!$H158:$BG158)&lt;52,IF('Capacity summary'!X158&lt;&gt;"",IF(LOWER('Capacity summary'!X158)="x",$BI39*X39,VALUE('Capacity summary'!X158)),0),X39*$BI39),X39*$BI39),0)</f>
        <v>0</v>
      </c>
      <c r="CB39" s="313">
        <f>IF($BI39&lt;&gt;"",IF('Capacity summary'!$D$14="Yes",IF(COUNTBLANK('Capacity summary'!$H158:$BG158)&lt;52,IF('Capacity summary'!Y158&lt;&gt;"",IF(LOWER('Capacity summary'!Y158)="x",$BI39*Y39,VALUE('Capacity summary'!Y158)),0),Y39*$BI39),Y39*$BI39),0)</f>
        <v>0</v>
      </c>
      <c r="CC39" s="313">
        <f>IF($BI39&lt;&gt;"",IF('Capacity summary'!$D$14="Yes",IF(COUNTBLANK('Capacity summary'!$H158:$BG158)&lt;52,IF('Capacity summary'!Z158&lt;&gt;"",IF(LOWER('Capacity summary'!Z158)="x",$BI39*Z39,VALUE('Capacity summary'!Z158)),0),Z39*$BI39),Z39*$BI39),0)</f>
        <v>0</v>
      </c>
      <c r="CD39" s="313">
        <f>IF($BI39&lt;&gt;"",IF('Capacity summary'!$D$14="Yes",IF(COUNTBLANK('Capacity summary'!$H158:$BG158)&lt;52,IF('Capacity summary'!AA158&lt;&gt;"",IF(LOWER('Capacity summary'!AA158)="x",$BI39*AA39,VALUE('Capacity summary'!AA158)),0),AA39*$BI39),AA39*$BI39),0)</f>
        <v>0</v>
      </c>
      <c r="CE39" s="313">
        <f>IF($BI39&lt;&gt;"",IF('Capacity summary'!$D$14="Yes",IF(COUNTBLANK('Capacity summary'!$H158:$BG158)&lt;52,IF('Capacity summary'!AB158&lt;&gt;"",IF(LOWER('Capacity summary'!AB158)="x",$BI39*AB39,VALUE('Capacity summary'!AB158)),0),AB39*$BI39),AB39*$BI39),0)</f>
        <v>0</v>
      </c>
      <c r="CF39" s="313">
        <f>IF($BI39&lt;&gt;"",IF('Capacity summary'!$D$14="Yes",IF(COUNTBLANK('Capacity summary'!$H158:$BG158)&lt;52,IF('Capacity summary'!AC158&lt;&gt;"",IF(LOWER('Capacity summary'!AC158)="x",$BI39*AC39,VALUE('Capacity summary'!AC158)),0),AC39*$BI39),AC39*$BI39),0)</f>
        <v>0</v>
      </c>
      <c r="CG39" s="313">
        <f>IF($BI39&lt;&gt;"",IF('Capacity summary'!$D$14="Yes",IF(COUNTBLANK('Capacity summary'!$H158:$BG158)&lt;52,IF('Capacity summary'!AD158&lt;&gt;"",IF(LOWER('Capacity summary'!AD158)="x",$BI39*AD39,VALUE('Capacity summary'!AD158)),0),AD39*$BI39),AD39*$BI39),0)</f>
        <v>0</v>
      </c>
      <c r="CH39" s="313">
        <f>IF($BI39&lt;&gt;"",IF('Capacity summary'!$D$14="Yes",IF(COUNTBLANK('Capacity summary'!$H158:$BG158)&lt;52,IF('Capacity summary'!AE158&lt;&gt;"",IF(LOWER('Capacity summary'!AE158)="x",$BI39*AE39,VALUE('Capacity summary'!AE158)),0),AE39*$BI39),AE39*$BI39),0)</f>
        <v>0</v>
      </c>
      <c r="CI39" s="313">
        <f>IF($BI39&lt;&gt;"",IF('Capacity summary'!$D$14="Yes",IF(COUNTBLANK('Capacity summary'!$H158:$BG158)&lt;52,IF('Capacity summary'!AF158&lt;&gt;"",IF(LOWER('Capacity summary'!AF158)="x",$BI39*AF39,VALUE('Capacity summary'!AF158)),0),AF39*$BI39),AF39*$BI39),0)</f>
        <v>0</v>
      </c>
      <c r="CJ39" s="313">
        <f>IF($BI39&lt;&gt;"",IF('Capacity summary'!$D$14="Yes",IF(COUNTBLANK('Capacity summary'!$H158:$BG158)&lt;52,IF('Capacity summary'!AG158&lt;&gt;"",IF(LOWER('Capacity summary'!AG158)="x",$BI39*AG39,VALUE('Capacity summary'!AG158)),0),AG39*$BI39),AG39*$BI39),0)</f>
        <v>0</v>
      </c>
      <c r="CK39" s="313">
        <f>IF($BI39&lt;&gt;"",IF('Capacity summary'!$D$14="Yes",IF(COUNTBLANK('Capacity summary'!$H158:$BG158)&lt;52,IF('Capacity summary'!AH158&lt;&gt;"",IF(LOWER('Capacity summary'!AH158)="x",$BI39*AH39,VALUE('Capacity summary'!AH158)),0),AH39*$BI39),AH39*$BI39),0)</f>
        <v>0</v>
      </c>
      <c r="CL39" s="313">
        <f>IF($BI39&lt;&gt;"",IF('Capacity summary'!$D$14="Yes",IF(COUNTBLANK('Capacity summary'!$H158:$BG158)&lt;52,IF('Capacity summary'!AI158&lt;&gt;"",IF(LOWER('Capacity summary'!AI158)="x",$BI39*AI39,VALUE('Capacity summary'!AI158)),0),AI39*$BI39),AI39*$BI39),0)</f>
        <v>0</v>
      </c>
      <c r="CM39" s="313">
        <f>IF($BI39&lt;&gt;"",IF('Capacity summary'!$D$14="Yes",IF(COUNTBLANK('Capacity summary'!$H158:$BG158)&lt;52,IF('Capacity summary'!AJ158&lt;&gt;"",IF(LOWER('Capacity summary'!AJ158)="x",$BI39*AJ39,VALUE('Capacity summary'!AJ158)),0),AJ39*$BI39),AJ39*$BI39),0)</f>
        <v>0</v>
      </c>
      <c r="CN39" s="313">
        <f>IF($BI39&lt;&gt;"",IF('Capacity summary'!$D$14="Yes",IF(COUNTBLANK('Capacity summary'!$H158:$BG158)&lt;52,IF('Capacity summary'!AK158&lt;&gt;"",IF(LOWER('Capacity summary'!AK158)="x",$BI39*AK39,VALUE('Capacity summary'!AK158)),0),AK39*$BI39),AK39*$BI39),0)</f>
        <v>0</v>
      </c>
      <c r="CO39" s="313">
        <f>IF($BI39&lt;&gt;"",IF('Capacity summary'!$D$14="Yes",IF(COUNTBLANK('Capacity summary'!$H158:$BG158)&lt;52,IF('Capacity summary'!AL158&lt;&gt;"",IF(LOWER('Capacity summary'!AL158)="x",$BI39*AL39,VALUE('Capacity summary'!AL158)),0),AL39*$BI39),AL39*$BI39),0)</f>
        <v>0</v>
      </c>
      <c r="CP39" s="313">
        <f>IF($BI39&lt;&gt;"",IF('Capacity summary'!$D$14="Yes",IF(COUNTBLANK('Capacity summary'!$H158:$BG158)&lt;52,IF('Capacity summary'!AM158&lt;&gt;"",IF(LOWER('Capacity summary'!AM158)="x",$BI39*AM39,VALUE('Capacity summary'!AM158)),0),AM39*$BI39),AM39*$BI39),0)</f>
        <v>0</v>
      </c>
      <c r="CQ39" s="313">
        <f>IF($BI39&lt;&gt;"",IF('Capacity summary'!$D$14="Yes",IF(COUNTBLANK('Capacity summary'!$H158:$BG158)&lt;52,IF('Capacity summary'!AN158&lt;&gt;"",IF(LOWER('Capacity summary'!AN158)="x",$BI39*AN39,VALUE('Capacity summary'!AN158)),0),AN39*$BI39),AN39*$BI39),0)</f>
        <v>0</v>
      </c>
      <c r="CR39" s="313">
        <f>IF($BI39&lt;&gt;"",IF('Capacity summary'!$D$14="Yes",IF(COUNTBLANK('Capacity summary'!$H158:$BG158)&lt;52,IF('Capacity summary'!AO158&lt;&gt;"",IF(LOWER('Capacity summary'!AO158)="x",$BI39*AO39,VALUE('Capacity summary'!AO158)),0),AO39*$BI39),AO39*$BI39),0)</f>
        <v>0</v>
      </c>
      <c r="CS39" s="313">
        <f>IF($BI39&lt;&gt;"",IF('Capacity summary'!$D$14="Yes",IF(COUNTBLANK('Capacity summary'!$H158:$BG158)&lt;52,IF('Capacity summary'!AP158&lt;&gt;"",IF(LOWER('Capacity summary'!AP158)="x",$BI39*AP39,VALUE('Capacity summary'!AP158)),0),AP39*$BI39),AP39*$BI39),0)</f>
        <v>0</v>
      </c>
      <c r="CT39" s="313">
        <f>IF($BI39&lt;&gt;"",IF('Capacity summary'!$D$14="Yes",IF(COUNTBLANK('Capacity summary'!$H158:$BG158)&lt;52,IF('Capacity summary'!AQ158&lt;&gt;"",IF(LOWER('Capacity summary'!AQ158)="x",$BI39*AQ39,VALUE('Capacity summary'!AQ158)),0),AQ39*$BI39),AQ39*$BI39),0)</f>
        <v>0</v>
      </c>
      <c r="CU39" s="313">
        <f>IF($BI39&lt;&gt;"",IF('Capacity summary'!$D$14="Yes",IF(COUNTBLANK('Capacity summary'!$H158:$BG158)&lt;52,IF('Capacity summary'!AR158&lt;&gt;"",IF(LOWER('Capacity summary'!AR158)="x",$BI39*AR39,VALUE('Capacity summary'!AR158)),0),AR39*$BI39),AR39*$BI39),0)</f>
        <v>0</v>
      </c>
      <c r="CV39" s="313">
        <f>IF($BI39&lt;&gt;"",IF('Capacity summary'!$D$14="Yes",IF(COUNTBLANK('Capacity summary'!$H158:$BG158)&lt;52,IF('Capacity summary'!AS158&lt;&gt;"",IF(LOWER('Capacity summary'!AS158)="x",$BI39*AS39,VALUE('Capacity summary'!AS158)),0),AS39*$BI39),AS39*$BI39),0)</f>
        <v>0</v>
      </c>
      <c r="CW39" s="313">
        <f>IF($BI39&lt;&gt;"",IF('Capacity summary'!$D$14="Yes",IF(COUNTBLANK('Capacity summary'!$H158:$BG158)&lt;52,IF('Capacity summary'!AT158&lt;&gt;"",IF(LOWER('Capacity summary'!AT158)="x",$BI39*AT39,VALUE('Capacity summary'!AT158)),0),AT39*$BI39),AT39*$BI39),0)</f>
        <v>0</v>
      </c>
      <c r="CX39" s="313">
        <f>IF($BI39&lt;&gt;"",IF('Capacity summary'!$D$14="Yes",IF(COUNTBLANK('Capacity summary'!$H158:$BG158)&lt;52,IF('Capacity summary'!AU158&lt;&gt;"",IF(LOWER('Capacity summary'!AU158)="x",$BI39*AU39,VALUE('Capacity summary'!AU158)),0),AU39*$BI39),AU39*$BI39),0)</f>
        <v>0</v>
      </c>
      <c r="CY39" s="313">
        <f>IF($BI39&lt;&gt;"",IF('Capacity summary'!$D$14="Yes",IF(COUNTBLANK('Capacity summary'!$H158:$BG158)&lt;52,IF('Capacity summary'!AV158&lt;&gt;"",IF(LOWER('Capacity summary'!AV158)="x",$BI39*AV39,VALUE('Capacity summary'!AV158)),0),AV39*$BI39),AV39*$BI39),0)</f>
        <v>0</v>
      </c>
      <c r="CZ39" s="313">
        <f>IF($BI39&lt;&gt;"",IF('Capacity summary'!$D$14="Yes",IF(COUNTBLANK('Capacity summary'!$H158:$BG158)&lt;52,IF('Capacity summary'!AW158&lt;&gt;"",IF(LOWER('Capacity summary'!AW158)="x",$BI39*AW39,VALUE('Capacity summary'!AW158)),0),AW39*$BI39),AW39*$BI39),0)</f>
        <v>0</v>
      </c>
      <c r="DA39" s="313">
        <f>IF($BI39&lt;&gt;"",IF('Capacity summary'!$D$14="Yes",IF(COUNTBLANK('Capacity summary'!$H158:$BG158)&lt;52,IF('Capacity summary'!AX158&lt;&gt;"",IF(LOWER('Capacity summary'!AX158)="x",$BI39*AX39,VALUE('Capacity summary'!AX158)),0),AX39*$BI39),AX39*$BI39),0)</f>
        <v>0</v>
      </c>
      <c r="DB39" s="313">
        <f>IF($BI39&lt;&gt;"",IF('Capacity summary'!$D$14="Yes",IF(COUNTBLANK('Capacity summary'!$H158:$BG158)&lt;52,IF('Capacity summary'!AY158&lt;&gt;"",IF(LOWER('Capacity summary'!AY158)="x",$BI39*AY39,VALUE('Capacity summary'!AY158)),0),AY39*$BI39),AY39*$BI39),0)</f>
        <v>0</v>
      </c>
      <c r="DC39" s="313">
        <f>IF($BI39&lt;&gt;"",IF('Capacity summary'!$D$14="Yes",IF(COUNTBLANK('Capacity summary'!$H158:$BG158)&lt;52,IF('Capacity summary'!AZ158&lt;&gt;"",IF(LOWER('Capacity summary'!AZ158)="x",$BI39*AZ39,VALUE('Capacity summary'!AZ158)),0),AZ39*$BI39),AZ39*$BI39),0)</f>
        <v>0</v>
      </c>
      <c r="DD39" s="313">
        <f>IF($BI39&lt;&gt;"",IF('Capacity summary'!$D$14="Yes",IF(COUNTBLANK('Capacity summary'!$H158:$BG158)&lt;52,IF('Capacity summary'!BA158&lt;&gt;"",IF(LOWER('Capacity summary'!BA158)="x",$BI39*BA39,VALUE('Capacity summary'!BA158)),0),BA39*$BI39),BA39*$BI39),0)</f>
        <v>0</v>
      </c>
      <c r="DE39" s="313">
        <f>IF($BI39&lt;&gt;"",IF('Capacity summary'!$D$14="Yes",IF(COUNTBLANK('Capacity summary'!$H158:$BG158)&lt;52,IF('Capacity summary'!BB158&lt;&gt;"",IF(LOWER('Capacity summary'!BB158)="x",$BI39*BB39,VALUE('Capacity summary'!BB158)),0),BB39*$BI39),BB39*$BI39),0)</f>
        <v>0</v>
      </c>
      <c r="DF39" s="313">
        <f>IF($BI39&lt;&gt;"",IF('Capacity summary'!$D$14="Yes",IF(COUNTBLANK('Capacity summary'!$H158:$BG158)&lt;52,IF('Capacity summary'!BC158&lt;&gt;"",IF(LOWER('Capacity summary'!BC158)="x",$BI39*BC39,VALUE('Capacity summary'!BC158)),0),BC39*$BI39),BC39*$BI39),0)</f>
        <v>0</v>
      </c>
      <c r="DG39" s="313">
        <f>IF($BI39&lt;&gt;"",IF('Capacity summary'!$D$14="Yes",IF(COUNTBLANK('Capacity summary'!$H158:$BG158)&lt;52,IF('Capacity summary'!BD158&lt;&gt;"",IF(LOWER('Capacity summary'!BD158)="x",$BI39*BD39,VALUE('Capacity summary'!BD158)),0),BD39*$BI39),BD39*$BI39),0)</f>
        <v>0</v>
      </c>
      <c r="DH39" s="313">
        <f>IF($BI39&lt;&gt;"",IF('Capacity summary'!$D$14="Yes",IF(COUNTBLANK('Capacity summary'!$H158:$BG158)&lt;52,IF('Capacity summary'!BE158&lt;&gt;"",IF(LOWER('Capacity summary'!BE158)="x",$BI39*BE39,VALUE('Capacity summary'!BE158)),0),BE39*$BI39),BE39*$BI39),0)</f>
        <v>0</v>
      </c>
      <c r="DI39" s="313">
        <f>IF($BI39&lt;&gt;"",IF('Capacity summary'!$D$14="Yes",IF(COUNTBLANK('Capacity summary'!$H158:$BG158)&lt;52,IF('Capacity summary'!BF158&lt;&gt;"",IF(LOWER('Capacity summary'!BF158)="x",$BI39*BF39,VALUE('Capacity summary'!BF158)),0),BF39*$BI39),BF39*$BI39),0)</f>
        <v>0</v>
      </c>
      <c r="DJ39" s="313">
        <f>IF($BI39&lt;&gt;"",IF('Capacity summary'!$D$14="Yes",IF(COUNTBLANK('Capacity summary'!$H158:$BG158)&lt;52,IF('Capacity summary'!BG158&lt;&gt;"",IF(LOWER('Capacity summary'!BG158)="x",$BI39*BG39,VALUE('Capacity summary'!BG158)),0),BG39*$BI39),BG39*$BI39),0)</f>
        <v>0</v>
      </c>
      <c r="DK39" s="137">
        <f t="shared" si="2"/>
        <v>0</v>
      </c>
      <c r="DL39" s="313" t="str">
        <f>Capacity!H51</f>
        <v/>
      </c>
      <c r="DP39" s="5"/>
    </row>
    <row r="40" spans="2:120" x14ac:dyDescent="0.25">
      <c r="B40" s="67"/>
      <c r="C40" s="67" t="str">
        <f>ROW(A36)&amp;". "&amp;Capacity!B52</f>
        <v xml:space="preserve">36. </v>
      </c>
      <c r="D40" s="67">
        <f>'Capacity setup'!C47</f>
        <v>0</v>
      </c>
      <c r="E40" s="67">
        <f>'Capacity setup'!D47</f>
        <v>0</v>
      </c>
      <c r="F40" s="67">
        <f>'Capacity setup'!E47</f>
        <v>0</v>
      </c>
      <c r="H40" s="67">
        <f ca="1">IF(AND(SUMIF(Capacity_Resource,$D40,'Critical resources (hide)'!U$6:U$105)+SUMIF(Capacity_Resource,$E40,'Critical resources (hide)'!U$6:U$105)+SUMIF(Capacity_Resource,$F40,'Critical resources (hide)'!U$6:U$105)&gt;0,$E$1=2),0,1)</f>
        <v>1</v>
      </c>
      <c r="I40" s="67">
        <f ca="1">IF(AND(SUMIF(Capacity_Resource,$D40,'Critical resources (hide)'!V$6:V$105)+SUMIF(Capacity_Resource,$E40,'Critical resources (hide)'!V$6:V$105)+SUMIF(Capacity_Resource,$F40,'Critical resources (hide)'!V$6:V$105)&gt;0,$E$1=2),0,1)</f>
        <v>1</v>
      </c>
      <c r="J40" s="67">
        <f ca="1">IF(AND(SUMIF(Capacity_Resource,$D40,'Critical resources (hide)'!W$6:W$105)+SUMIF(Capacity_Resource,$E40,'Critical resources (hide)'!W$6:W$105)+SUMIF(Capacity_Resource,$F40,'Critical resources (hide)'!W$6:W$105)&gt;0,$E$1=2),0,1)</f>
        <v>1</v>
      </c>
      <c r="K40" s="67">
        <f ca="1">IF(AND(SUMIF(Capacity_Resource,$D40,'Critical resources (hide)'!X$6:X$105)+SUMIF(Capacity_Resource,$E40,'Critical resources (hide)'!X$6:X$105)+SUMIF(Capacity_Resource,$F40,'Critical resources (hide)'!X$6:X$105)&gt;0,$E$1=2),0,1)</f>
        <v>1</v>
      </c>
      <c r="L40" s="67">
        <f ca="1">IF(AND(SUMIF(Capacity_Resource,$D40,'Critical resources (hide)'!Y$6:Y$105)+SUMIF(Capacity_Resource,$E40,'Critical resources (hide)'!Y$6:Y$105)+SUMIF(Capacity_Resource,$F40,'Critical resources (hide)'!Y$6:Y$105)&gt;0,$E$1=2),0,1)</f>
        <v>1</v>
      </c>
      <c r="M40" s="67">
        <f ca="1">IF(AND(SUMIF(Capacity_Resource,$D40,'Critical resources (hide)'!Z$6:Z$105)+SUMIF(Capacity_Resource,$E40,'Critical resources (hide)'!Z$6:Z$105)+SUMIF(Capacity_Resource,$F40,'Critical resources (hide)'!Z$6:Z$105)&gt;0,$E$1=2),0,1)</f>
        <v>1</v>
      </c>
      <c r="N40" s="67">
        <f ca="1">IF(AND(SUMIF(Capacity_Resource,$D40,'Critical resources (hide)'!AA$6:AA$105)+SUMIF(Capacity_Resource,$E40,'Critical resources (hide)'!AA$6:AA$105)+SUMIF(Capacity_Resource,$F40,'Critical resources (hide)'!AA$6:AA$105)&gt;0,$E$1=2),0,1)</f>
        <v>1</v>
      </c>
      <c r="O40" s="67">
        <f ca="1">IF(AND(SUMIF(Capacity_Resource,$D40,'Critical resources (hide)'!AB$6:AB$105)+SUMIF(Capacity_Resource,$E40,'Critical resources (hide)'!AB$6:AB$105)+SUMIF(Capacity_Resource,$F40,'Critical resources (hide)'!AB$6:AB$105)&gt;0,$E$1=2),0,1)</f>
        <v>1</v>
      </c>
      <c r="P40" s="67">
        <f ca="1">IF(AND(SUMIF(Capacity_Resource,$D40,'Critical resources (hide)'!AC$6:AC$105)+SUMIF(Capacity_Resource,$E40,'Critical resources (hide)'!AC$6:AC$105)+SUMIF(Capacity_Resource,$F40,'Critical resources (hide)'!AC$6:AC$105)&gt;0,$E$1=2),0,1)</f>
        <v>1</v>
      </c>
      <c r="Q40" s="67">
        <f ca="1">IF(AND(SUMIF(Capacity_Resource,$D40,'Critical resources (hide)'!AD$6:AD$105)+SUMIF(Capacity_Resource,$E40,'Critical resources (hide)'!AD$6:AD$105)+SUMIF(Capacity_Resource,$F40,'Critical resources (hide)'!AD$6:AD$105)&gt;0,$E$1=2),0,1)</f>
        <v>1</v>
      </c>
      <c r="R40" s="67">
        <f ca="1">IF(AND(SUMIF(Capacity_Resource,$D40,'Critical resources (hide)'!AE$6:AE$105)+SUMIF(Capacity_Resource,$E40,'Critical resources (hide)'!AE$6:AE$105)+SUMIF(Capacity_Resource,$F40,'Critical resources (hide)'!AE$6:AE$105)&gt;0,$E$1=2),0,1)</f>
        <v>1</v>
      </c>
      <c r="S40" s="67">
        <f ca="1">IF(AND(SUMIF(Capacity_Resource,$D40,'Critical resources (hide)'!AF$6:AF$105)+SUMIF(Capacity_Resource,$E40,'Critical resources (hide)'!AF$6:AF$105)+SUMIF(Capacity_Resource,$F40,'Critical resources (hide)'!AF$6:AF$105)&gt;0,$E$1=2),0,1)</f>
        <v>1</v>
      </c>
      <c r="T40" s="67">
        <f ca="1">IF(AND(SUMIF(Capacity_Resource,$D40,'Critical resources (hide)'!AG$6:AG$105)+SUMIF(Capacity_Resource,$E40,'Critical resources (hide)'!AG$6:AG$105)+SUMIF(Capacity_Resource,$F40,'Critical resources (hide)'!AG$6:AG$105)&gt;0,$E$1=2),0,1)</f>
        <v>1</v>
      </c>
      <c r="U40" s="67">
        <f ca="1">IF(AND(SUMIF(Capacity_Resource,$D40,'Critical resources (hide)'!AH$6:AH$105)+SUMIF(Capacity_Resource,$E40,'Critical resources (hide)'!AH$6:AH$105)+SUMIF(Capacity_Resource,$F40,'Critical resources (hide)'!AH$6:AH$105)&gt;0,$E$1=2),0,1)</f>
        <v>1</v>
      </c>
      <c r="V40" s="67">
        <f ca="1">IF(AND(SUMIF(Capacity_Resource,$D40,'Critical resources (hide)'!AI$6:AI$105)+SUMIF(Capacity_Resource,$E40,'Critical resources (hide)'!AI$6:AI$105)+SUMIF(Capacity_Resource,$F40,'Critical resources (hide)'!AI$6:AI$105)&gt;0,$E$1=2),0,1)</f>
        <v>1</v>
      </c>
      <c r="W40" s="67">
        <f ca="1">IF(AND(SUMIF(Capacity_Resource,$D40,'Critical resources (hide)'!AJ$6:AJ$105)+SUMIF(Capacity_Resource,$E40,'Critical resources (hide)'!AJ$6:AJ$105)+SUMIF(Capacity_Resource,$F40,'Critical resources (hide)'!AJ$6:AJ$105)&gt;0,$E$1=2),0,1)</f>
        <v>1</v>
      </c>
      <c r="X40" s="67">
        <f ca="1">IF(AND(SUMIF(Capacity_Resource,$D40,'Critical resources (hide)'!AK$6:AK$105)+SUMIF(Capacity_Resource,$E40,'Critical resources (hide)'!AK$6:AK$105)+SUMIF(Capacity_Resource,$F40,'Critical resources (hide)'!AK$6:AK$105)&gt;0,$E$1=2),0,1)</f>
        <v>1</v>
      </c>
      <c r="Y40" s="67">
        <f ca="1">IF(AND(SUMIF(Capacity_Resource,$D40,'Critical resources (hide)'!AL$6:AL$105)+SUMIF(Capacity_Resource,$E40,'Critical resources (hide)'!AL$6:AL$105)+SUMIF(Capacity_Resource,$F40,'Critical resources (hide)'!AL$6:AL$105)&gt;0,$E$1=2),0,1)</f>
        <v>1</v>
      </c>
      <c r="Z40" s="67">
        <f ca="1">IF(AND(SUMIF(Capacity_Resource,$D40,'Critical resources (hide)'!AM$6:AM$105)+SUMIF(Capacity_Resource,$E40,'Critical resources (hide)'!AM$6:AM$105)+SUMIF(Capacity_Resource,$F40,'Critical resources (hide)'!AM$6:AM$105)&gt;0,$E$1=2),0,1)</f>
        <v>1</v>
      </c>
      <c r="AA40" s="67">
        <f ca="1">IF(AND(SUMIF(Capacity_Resource,$D40,'Critical resources (hide)'!AN$6:AN$105)+SUMIF(Capacity_Resource,$E40,'Critical resources (hide)'!AN$6:AN$105)+SUMIF(Capacity_Resource,$F40,'Critical resources (hide)'!AN$6:AN$105)&gt;0,$E$1=2),0,1)</f>
        <v>1</v>
      </c>
      <c r="AB40" s="67">
        <f ca="1">IF(AND(SUMIF(Capacity_Resource,$D40,'Critical resources (hide)'!AO$6:AO$105)+SUMIF(Capacity_Resource,$E40,'Critical resources (hide)'!AO$6:AO$105)+SUMIF(Capacity_Resource,$F40,'Critical resources (hide)'!AO$6:AO$105)&gt;0,$E$1=2),0,1)</f>
        <v>1</v>
      </c>
      <c r="AC40" s="67">
        <f ca="1">IF(AND(SUMIF(Capacity_Resource,$D40,'Critical resources (hide)'!AP$6:AP$105)+SUMIF(Capacity_Resource,$E40,'Critical resources (hide)'!AP$6:AP$105)+SUMIF(Capacity_Resource,$F40,'Critical resources (hide)'!AP$6:AP$105)&gt;0,$E$1=2),0,1)</f>
        <v>1</v>
      </c>
      <c r="AD40" s="67">
        <f ca="1">IF(AND(SUMIF(Capacity_Resource,$D40,'Critical resources (hide)'!AQ$6:AQ$105)+SUMIF(Capacity_Resource,$E40,'Critical resources (hide)'!AQ$6:AQ$105)+SUMIF(Capacity_Resource,$F40,'Critical resources (hide)'!AQ$6:AQ$105)&gt;0,$E$1=2),0,1)</f>
        <v>1</v>
      </c>
      <c r="AE40" s="67">
        <f ca="1">IF(AND(SUMIF(Capacity_Resource,$D40,'Critical resources (hide)'!AR$6:AR$105)+SUMIF(Capacity_Resource,$E40,'Critical resources (hide)'!AR$6:AR$105)+SUMIF(Capacity_Resource,$F40,'Critical resources (hide)'!AR$6:AR$105)&gt;0,$E$1=2),0,1)</f>
        <v>1</v>
      </c>
      <c r="AF40" s="67">
        <f ca="1">IF(AND(SUMIF(Capacity_Resource,$D40,'Critical resources (hide)'!AS$6:AS$105)+SUMIF(Capacity_Resource,$E40,'Critical resources (hide)'!AS$6:AS$105)+SUMIF(Capacity_Resource,$F40,'Critical resources (hide)'!AS$6:AS$105)&gt;0,$E$1=2),0,1)</f>
        <v>1</v>
      </c>
      <c r="AG40" s="67">
        <f ca="1">IF(AND(SUMIF(Capacity_Resource,$D40,'Critical resources (hide)'!AT$6:AT$105)+SUMIF(Capacity_Resource,$E40,'Critical resources (hide)'!AT$6:AT$105)+SUMIF(Capacity_Resource,$F40,'Critical resources (hide)'!AT$6:AT$105)&gt;0,$E$1=2),0,1)</f>
        <v>1</v>
      </c>
      <c r="AH40" s="67">
        <f ca="1">IF(AND(SUMIF(Capacity_Resource,$D40,'Critical resources (hide)'!AU$6:AU$105)+SUMIF(Capacity_Resource,$E40,'Critical resources (hide)'!AU$6:AU$105)+SUMIF(Capacity_Resource,$F40,'Critical resources (hide)'!AU$6:AU$105)&gt;0,$E$1=2),0,1)</f>
        <v>1</v>
      </c>
      <c r="AI40" s="67">
        <f ca="1">IF(AND(SUMIF(Capacity_Resource,$D40,'Critical resources (hide)'!AV$6:AV$105)+SUMIF(Capacity_Resource,$E40,'Critical resources (hide)'!AV$6:AV$105)+SUMIF(Capacity_Resource,$F40,'Critical resources (hide)'!AV$6:AV$105)&gt;0,$E$1=2),0,1)</f>
        <v>1</v>
      </c>
      <c r="AJ40" s="67">
        <f ca="1">IF(AND(SUMIF(Capacity_Resource,$D40,'Critical resources (hide)'!AW$6:AW$105)+SUMIF(Capacity_Resource,$E40,'Critical resources (hide)'!AW$6:AW$105)+SUMIF(Capacity_Resource,$F40,'Critical resources (hide)'!AW$6:AW$105)&gt;0,$E$1=2),0,1)</f>
        <v>1</v>
      </c>
      <c r="AK40" s="67">
        <f ca="1">IF(AND(SUMIF(Capacity_Resource,$D40,'Critical resources (hide)'!AX$6:AX$105)+SUMIF(Capacity_Resource,$E40,'Critical resources (hide)'!AX$6:AX$105)+SUMIF(Capacity_Resource,$F40,'Critical resources (hide)'!AX$6:AX$105)&gt;0,$E$1=2),0,1)</f>
        <v>1</v>
      </c>
      <c r="AL40" s="67">
        <f ca="1">IF(AND(SUMIF(Capacity_Resource,$D40,'Critical resources (hide)'!AY$6:AY$105)+SUMIF(Capacity_Resource,$E40,'Critical resources (hide)'!AY$6:AY$105)+SUMIF(Capacity_Resource,$F40,'Critical resources (hide)'!AY$6:AY$105)&gt;0,$E$1=2),0,1)</f>
        <v>1</v>
      </c>
      <c r="AM40" s="67">
        <f ca="1">IF(AND(SUMIF(Capacity_Resource,$D40,'Critical resources (hide)'!AZ$6:AZ$105)+SUMIF(Capacity_Resource,$E40,'Critical resources (hide)'!AZ$6:AZ$105)+SUMIF(Capacity_Resource,$F40,'Critical resources (hide)'!AZ$6:AZ$105)&gt;0,$E$1=2),0,1)</f>
        <v>1</v>
      </c>
      <c r="AN40" s="67">
        <f ca="1">IF(AND(SUMIF(Capacity_Resource,$D40,'Critical resources (hide)'!BA$6:BA$105)+SUMIF(Capacity_Resource,$E40,'Critical resources (hide)'!BA$6:BA$105)+SUMIF(Capacity_Resource,$F40,'Critical resources (hide)'!BA$6:BA$105)&gt;0,$E$1=2),0,1)</f>
        <v>1</v>
      </c>
      <c r="AO40" s="67">
        <f ca="1">IF(AND(SUMIF(Capacity_Resource,$D40,'Critical resources (hide)'!BB$6:BB$105)+SUMIF(Capacity_Resource,$E40,'Critical resources (hide)'!BB$6:BB$105)+SUMIF(Capacity_Resource,$F40,'Critical resources (hide)'!BB$6:BB$105)&gt;0,$E$1=2),0,1)</f>
        <v>1</v>
      </c>
      <c r="AP40" s="67">
        <f ca="1">IF(AND(SUMIF(Capacity_Resource,$D40,'Critical resources (hide)'!BC$6:BC$105)+SUMIF(Capacity_Resource,$E40,'Critical resources (hide)'!BC$6:BC$105)+SUMIF(Capacity_Resource,$F40,'Critical resources (hide)'!BC$6:BC$105)&gt;0,$E$1=2),0,1)</f>
        <v>1</v>
      </c>
      <c r="AQ40" s="67">
        <f ca="1">IF(AND(SUMIF(Capacity_Resource,$D40,'Critical resources (hide)'!BD$6:BD$105)+SUMIF(Capacity_Resource,$E40,'Critical resources (hide)'!BD$6:BD$105)+SUMIF(Capacity_Resource,$F40,'Critical resources (hide)'!BD$6:BD$105)&gt;0,$E$1=2),0,1)</f>
        <v>1</v>
      </c>
      <c r="AR40" s="67">
        <f ca="1">IF(AND(SUMIF(Capacity_Resource,$D40,'Critical resources (hide)'!BE$6:BE$105)+SUMIF(Capacity_Resource,$E40,'Critical resources (hide)'!BE$6:BE$105)+SUMIF(Capacity_Resource,$F40,'Critical resources (hide)'!BE$6:BE$105)&gt;0,$E$1=2),0,1)</f>
        <v>1</v>
      </c>
      <c r="AS40" s="67">
        <f ca="1">IF(AND(SUMIF(Capacity_Resource,$D40,'Critical resources (hide)'!BF$6:BF$105)+SUMIF(Capacity_Resource,$E40,'Critical resources (hide)'!BF$6:BF$105)+SUMIF(Capacity_Resource,$F40,'Critical resources (hide)'!BF$6:BF$105)&gt;0,$E$1=2),0,1)</f>
        <v>1</v>
      </c>
      <c r="AT40" s="67">
        <f ca="1">IF(AND(SUMIF(Capacity_Resource,$D40,'Critical resources (hide)'!BG$6:BG$105)+SUMIF(Capacity_Resource,$E40,'Critical resources (hide)'!BG$6:BG$105)+SUMIF(Capacity_Resource,$F40,'Critical resources (hide)'!BG$6:BG$105)&gt;0,$E$1=2),0,1)</f>
        <v>1</v>
      </c>
      <c r="AU40" s="67">
        <f ca="1">IF(AND(SUMIF(Capacity_Resource,$D40,'Critical resources (hide)'!BH$6:BH$105)+SUMIF(Capacity_Resource,$E40,'Critical resources (hide)'!BH$6:BH$105)+SUMIF(Capacity_Resource,$F40,'Critical resources (hide)'!BH$6:BH$105)&gt;0,$E$1=2),0,1)</f>
        <v>1</v>
      </c>
      <c r="AV40" s="67">
        <f ca="1">IF(AND(SUMIF(Capacity_Resource,$D40,'Critical resources (hide)'!BI$6:BI$105)+SUMIF(Capacity_Resource,$E40,'Critical resources (hide)'!BI$6:BI$105)+SUMIF(Capacity_Resource,$F40,'Critical resources (hide)'!BI$6:BI$105)&gt;0,$E$1=2),0,1)</f>
        <v>1</v>
      </c>
      <c r="AW40" s="67">
        <f ca="1">IF(AND(SUMIF(Capacity_Resource,$D40,'Critical resources (hide)'!BJ$6:BJ$105)+SUMIF(Capacity_Resource,$E40,'Critical resources (hide)'!BJ$6:BJ$105)+SUMIF(Capacity_Resource,$F40,'Critical resources (hide)'!BJ$6:BJ$105)&gt;0,$E$1=2),0,1)</f>
        <v>1</v>
      </c>
      <c r="AX40" s="67">
        <f ca="1">IF(AND(SUMIF(Capacity_Resource,$D40,'Critical resources (hide)'!BK$6:BK$105)+SUMIF(Capacity_Resource,$E40,'Critical resources (hide)'!BK$6:BK$105)+SUMIF(Capacity_Resource,$F40,'Critical resources (hide)'!BK$6:BK$105)&gt;0,$E$1=2),0,1)</f>
        <v>1</v>
      </c>
      <c r="AY40" s="67">
        <f ca="1">IF(AND(SUMIF(Capacity_Resource,$D40,'Critical resources (hide)'!BL$6:BL$105)+SUMIF(Capacity_Resource,$E40,'Critical resources (hide)'!BL$6:BL$105)+SUMIF(Capacity_Resource,$F40,'Critical resources (hide)'!BL$6:BL$105)&gt;0,$E$1=2),0,1)</f>
        <v>1</v>
      </c>
      <c r="AZ40" s="67">
        <f ca="1">IF(AND(SUMIF(Capacity_Resource,$D40,'Critical resources (hide)'!BM$6:BM$105)+SUMIF(Capacity_Resource,$E40,'Critical resources (hide)'!BM$6:BM$105)+SUMIF(Capacity_Resource,$F40,'Critical resources (hide)'!BM$6:BM$105)&gt;0,$E$1=2),0,1)</f>
        <v>1</v>
      </c>
      <c r="BA40" s="67">
        <f ca="1">IF(AND(SUMIF(Capacity_Resource,$D40,'Critical resources (hide)'!BN$6:BN$105)+SUMIF(Capacity_Resource,$E40,'Critical resources (hide)'!BN$6:BN$105)+SUMIF(Capacity_Resource,$F40,'Critical resources (hide)'!BN$6:BN$105)&gt;0,$E$1=2),0,1)</f>
        <v>1</v>
      </c>
      <c r="BB40" s="67">
        <f ca="1">IF(AND(SUMIF(Capacity_Resource,$D40,'Critical resources (hide)'!BO$6:BO$105)+SUMIF(Capacity_Resource,$E40,'Critical resources (hide)'!BO$6:BO$105)+SUMIF(Capacity_Resource,$F40,'Critical resources (hide)'!BO$6:BO$105)&gt;0,$E$1=2),0,1)</f>
        <v>1</v>
      </c>
      <c r="BC40" s="67">
        <f ca="1">IF(AND(SUMIF(Capacity_Resource,$D40,'Critical resources (hide)'!BP$6:BP$105)+SUMIF(Capacity_Resource,$E40,'Critical resources (hide)'!BP$6:BP$105)+SUMIF(Capacity_Resource,$F40,'Critical resources (hide)'!BP$6:BP$105)&gt;0,$E$1=2),0,1)</f>
        <v>1</v>
      </c>
      <c r="BD40" s="67">
        <f ca="1">IF(AND(SUMIF(Capacity_Resource,$D40,'Critical resources (hide)'!BQ$6:BQ$105)+SUMIF(Capacity_Resource,$E40,'Critical resources (hide)'!BQ$6:BQ$105)+SUMIF(Capacity_Resource,$F40,'Critical resources (hide)'!BQ$6:BQ$105)&gt;0,$E$1=2),0,1)</f>
        <v>1</v>
      </c>
      <c r="BE40" s="67">
        <f ca="1">IF(AND(SUMIF(Capacity_Resource,$D40,'Critical resources (hide)'!BR$6:BR$105)+SUMIF(Capacity_Resource,$E40,'Critical resources (hide)'!BR$6:BR$105)+SUMIF(Capacity_Resource,$F40,'Critical resources (hide)'!BR$6:BR$105)&gt;0,$E$1=2),0,1)</f>
        <v>1</v>
      </c>
      <c r="BF40" s="67">
        <f ca="1">IF(AND(SUMIF(Capacity_Resource,$D40,'Critical resources (hide)'!BS$6:BS$105)+SUMIF(Capacity_Resource,$E40,'Critical resources (hide)'!BS$6:BS$105)+SUMIF(Capacity_Resource,$F40,'Critical resources (hide)'!BS$6:BS$105)&gt;0,$E$1=2),0,1)</f>
        <v>1</v>
      </c>
      <c r="BG40" s="67">
        <f ca="1">IF(AND(SUMIF(Capacity_Resource,$D40,'Critical resources (hide)'!BT$6:BT$105)+SUMIF(Capacity_Resource,$E40,'Critical resources (hide)'!BT$6:BT$105)+SUMIF(Capacity_Resource,$F40,'Critical resources (hide)'!BT$6:BT$105)&gt;0,$E$1=2),0,1)</f>
        <v>1</v>
      </c>
      <c r="BH40" s="67">
        <f>IF(ROW(C36)&lt;=Capacity!$A$16,IF('Capacity summary'!$D$14="No",SUM(H40:BG40),'Capacity summary'!$E159),0)</f>
        <v>0</v>
      </c>
      <c r="BI40" s="5" t="str">
        <f>IF(BH40&gt;0,IF(BH40&lt;Capacity!E52,Capacity!F52,Capacity!H52/'Capacity calculation (hide)'!BH40),"")</f>
        <v/>
      </c>
      <c r="BK40" s="313">
        <f>IF($BI40&lt;&gt;"",IF('Capacity summary'!$D$14="Yes",IF(COUNTBLANK('Capacity summary'!$H159:$BG159)&lt;52,IF('Capacity summary'!H159&lt;&gt;"",IF(LOWER('Capacity summary'!H159)="x",$BI40*H40,VALUE('Capacity summary'!H159)),0),H40*$BI40),H40*$BI40),0)</f>
        <v>0</v>
      </c>
      <c r="BL40" s="313">
        <f>IF($BI40&lt;&gt;"",IF('Capacity summary'!$D$14="Yes",IF(COUNTBLANK('Capacity summary'!$H159:$BG159)&lt;52,IF('Capacity summary'!I159&lt;&gt;"",IF(LOWER('Capacity summary'!I159)="x",$BI40*I40,VALUE('Capacity summary'!I159)),0),I40*$BI40),I40*$BI40),0)</f>
        <v>0</v>
      </c>
      <c r="BM40" s="313">
        <f>IF($BI40&lt;&gt;"",IF('Capacity summary'!$D$14="Yes",IF(COUNTBLANK('Capacity summary'!$H159:$BG159)&lt;52,IF('Capacity summary'!J159&lt;&gt;"",IF(LOWER('Capacity summary'!J159)="x",$BI40*J40,VALUE('Capacity summary'!J159)),0),J40*$BI40),J40*$BI40),0)</f>
        <v>0</v>
      </c>
      <c r="BN40" s="313">
        <f>IF($BI40&lt;&gt;"",IF('Capacity summary'!$D$14="Yes",IF(COUNTBLANK('Capacity summary'!$H159:$BG159)&lt;52,IF('Capacity summary'!K159&lt;&gt;"",IF(LOWER('Capacity summary'!K159)="x",$BI40*K40,VALUE('Capacity summary'!K159)),0),K40*$BI40),K40*$BI40),0)</f>
        <v>0</v>
      </c>
      <c r="BO40" s="313">
        <f>IF($BI40&lt;&gt;"",IF('Capacity summary'!$D$14="Yes",IF(COUNTBLANK('Capacity summary'!$H159:$BG159)&lt;52,IF('Capacity summary'!L159&lt;&gt;"",IF(LOWER('Capacity summary'!L159)="x",$BI40*L40,VALUE('Capacity summary'!L159)),0),L40*$BI40),L40*$BI40),0)</f>
        <v>0</v>
      </c>
      <c r="BP40" s="313">
        <f>IF($BI40&lt;&gt;"",IF('Capacity summary'!$D$14="Yes",IF(COUNTBLANK('Capacity summary'!$H159:$BG159)&lt;52,IF('Capacity summary'!M159&lt;&gt;"",IF(LOWER('Capacity summary'!M159)="x",$BI40*M40,VALUE('Capacity summary'!M159)),0),M40*$BI40),M40*$BI40),0)</f>
        <v>0</v>
      </c>
      <c r="BQ40" s="313">
        <f>IF($BI40&lt;&gt;"",IF('Capacity summary'!$D$14="Yes",IF(COUNTBLANK('Capacity summary'!$H159:$BG159)&lt;52,IF('Capacity summary'!N159&lt;&gt;"",IF(LOWER('Capacity summary'!N159)="x",$BI40*N40,VALUE('Capacity summary'!N159)),0),N40*$BI40),N40*$BI40),0)</f>
        <v>0</v>
      </c>
      <c r="BR40" s="313">
        <f>IF($BI40&lt;&gt;"",IF('Capacity summary'!$D$14="Yes",IF(COUNTBLANK('Capacity summary'!$H159:$BG159)&lt;52,IF('Capacity summary'!O159&lt;&gt;"",IF(LOWER('Capacity summary'!O159)="x",$BI40*O40,VALUE('Capacity summary'!O159)),0),O40*$BI40),O40*$BI40),0)</f>
        <v>0</v>
      </c>
      <c r="BS40" s="313">
        <f>IF($BI40&lt;&gt;"",IF('Capacity summary'!$D$14="Yes",IF(COUNTBLANK('Capacity summary'!$H159:$BG159)&lt;52,IF('Capacity summary'!P159&lt;&gt;"",IF(LOWER('Capacity summary'!P159)="x",$BI40*P40,VALUE('Capacity summary'!P159)),0),P40*$BI40),P40*$BI40),0)</f>
        <v>0</v>
      </c>
      <c r="BT40" s="313">
        <f>IF($BI40&lt;&gt;"",IF('Capacity summary'!$D$14="Yes",IF(COUNTBLANK('Capacity summary'!$H159:$BG159)&lt;52,IF('Capacity summary'!Q159&lt;&gt;"",IF(LOWER('Capacity summary'!Q159)="x",$BI40*Q40,VALUE('Capacity summary'!Q159)),0),Q40*$BI40),Q40*$BI40),0)</f>
        <v>0</v>
      </c>
      <c r="BU40" s="313">
        <f>IF($BI40&lt;&gt;"",IF('Capacity summary'!$D$14="Yes",IF(COUNTBLANK('Capacity summary'!$H159:$BG159)&lt;52,IF('Capacity summary'!R159&lt;&gt;"",IF(LOWER('Capacity summary'!R159)="x",$BI40*R40,VALUE('Capacity summary'!R159)),0),R40*$BI40),R40*$BI40),0)</f>
        <v>0</v>
      </c>
      <c r="BV40" s="313">
        <f>IF($BI40&lt;&gt;"",IF('Capacity summary'!$D$14="Yes",IF(COUNTBLANK('Capacity summary'!$H159:$BG159)&lt;52,IF('Capacity summary'!S159&lt;&gt;"",IF(LOWER('Capacity summary'!S159)="x",$BI40*S40,VALUE('Capacity summary'!S159)),0),S40*$BI40),S40*$BI40),0)</f>
        <v>0</v>
      </c>
      <c r="BW40" s="313">
        <f>IF($BI40&lt;&gt;"",IF('Capacity summary'!$D$14="Yes",IF(COUNTBLANK('Capacity summary'!$H159:$BG159)&lt;52,IF('Capacity summary'!T159&lt;&gt;"",IF(LOWER('Capacity summary'!T159)="x",$BI40*T40,VALUE('Capacity summary'!T159)),0),T40*$BI40),T40*$BI40),0)</f>
        <v>0</v>
      </c>
      <c r="BX40" s="313">
        <f>IF($BI40&lt;&gt;"",IF('Capacity summary'!$D$14="Yes",IF(COUNTBLANK('Capacity summary'!$H159:$BG159)&lt;52,IF('Capacity summary'!U159&lt;&gt;"",IF(LOWER('Capacity summary'!U159)="x",$BI40*U40,VALUE('Capacity summary'!U159)),0),U40*$BI40),U40*$BI40),0)</f>
        <v>0</v>
      </c>
      <c r="BY40" s="313">
        <f>IF($BI40&lt;&gt;"",IF('Capacity summary'!$D$14="Yes",IF(COUNTBLANK('Capacity summary'!$H159:$BG159)&lt;52,IF('Capacity summary'!V159&lt;&gt;"",IF(LOWER('Capacity summary'!V159)="x",$BI40*V40,VALUE('Capacity summary'!V159)),0),V40*$BI40),V40*$BI40),0)</f>
        <v>0</v>
      </c>
      <c r="BZ40" s="313">
        <f>IF($BI40&lt;&gt;"",IF('Capacity summary'!$D$14="Yes",IF(COUNTBLANK('Capacity summary'!$H159:$BG159)&lt;52,IF('Capacity summary'!W159&lt;&gt;"",IF(LOWER('Capacity summary'!W159)="x",$BI40*W40,VALUE('Capacity summary'!W159)),0),W40*$BI40),W40*$BI40),0)</f>
        <v>0</v>
      </c>
      <c r="CA40" s="313">
        <f>IF($BI40&lt;&gt;"",IF('Capacity summary'!$D$14="Yes",IF(COUNTBLANK('Capacity summary'!$H159:$BG159)&lt;52,IF('Capacity summary'!X159&lt;&gt;"",IF(LOWER('Capacity summary'!X159)="x",$BI40*X40,VALUE('Capacity summary'!X159)),0),X40*$BI40),X40*$BI40),0)</f>
        <v>0</v>
      </c>
      <c r="CB40" s="313">
        <f>IF($BI40&lt;&gt;"",IF('Capacity summary'!$D$14="Yes",IF(COUNTBLANK('Capacity summary'!$H159:$BG159)&lt;52,IF('Capacity summary'!Y159&lt;&gt;"",IF(LOWER('Capacity summary'!Y159)="x",$BI40*Y40,VALUE('Capacity summary'!Y159)),0),Y40*$BI40),Y40*$BI40),0)</f>
        <v>0</v>
      </c>
      <c r="CC40" s="313">
        <f>IF($BI40&lt;&gt;"",IF('Capacity summary'!$D$14="Yes",IF(COUNTBLANK('Capacity summary'!$H159:$BG159)&lt;52,IF('Capacity summary'!Z159&lt;&gt;"",IF(LOWER('Capacity summary'!Z159)="x",$BI40*Z40,VALUE('Capacity summary'!Z159)),0),Z40*$BI40),Z40*$BI40),0)</f>
        <v>0</v>
      </c>
      <c r="CD40" s="313">
        <f>IF($BI40&lt;&gt;"",IF('Capacity summary'!$D$14="Yes",IF(COUNTBLANK('Capacity summary'!$H159:$BG159)&lt;52,IF('Capacity summary'!AA159&lt;&gt;"",IF(LOWER('Capacity summary'!AA159)="x",$BI40*AA40,VALUE('Capacity summary'!AA159)),0),AA40*$BI40),AA40*$BI40),0)</f>
        <v>0</v>
      </c>
      <c r="CE40" s="313">
        <f>IF($BI40&lt;&gt;"",IF('Capacity summary'!$D$14="Yes",IF(COUNTBLANK('Capacity summary'!$H159:$BG159)&lt;52,IF('Capacity summary'!AB159&lt;&gt;"",IF(LOWER('Capacity summary'!AB159)="x",$BI40*AB40,VALUE('Capacity summary'!AB159)),0),AB40*$BI40),AB40*$BI40),0)</f>
        <v>0</v>
      </c>
      <c r="CF40" s="313">
        <f>IF($BI40&lt;&gt;"",IF('Capacity summary'!$D$14="Yes",IF(COUNTBLANK('Capacity summary'!$H159:$BG159)&lt;52,IF('Capacity summary'!AC159&lt;&gt;"",IF(LOWER('Capacity summary'!AC159)="x",$BI40*AC40,VALUE('Capacity summary'!AC159)),0),AC40*$BI40),AC40*$BI40),0)</f>
        <v>0</v>
      </c>
      <c r="CG40" s="313">
        <f>IF($BI40&lt;&gt;"",IF('Capacity summary'!$D$14="Yes",IF(COUNTBLANK('Capacity summary'!$H159:$BG159)&lt;52,IF('Capacity summary'!AD159&lt;&gt;"",IF(LOWER('Capacity summary'!AD159)="x",$BI40*AD40,VALUE('Capacity summary'!AD159)),0),AD40*$BI40),AD40*$BI40),0)</f>
        <v>0</v>
      </c>
      <c r="CH40" s="313">
        <f>IF($BI40&lt;&gt;"",IF('Capacity summary'!$D$14="Yes",IF(COUNTBLANK('Capacity summary'!$H159:$BG159)&lt;52,IF('Capacity summary'!AE159&lt;&gt;"",IF(LOWER('Capacity summary'!AE159)="x",$BI40*AE40,VALUE('Capacity summary'!AE159)),0),AE40*$BI40),AE40*$BI40),0)</f>
        <v>0</v>
      </c>
      <c r="CI40" s="313">
        <f>IF($BI40&lt;&gt;"",IF('Capacity summary'!$D$14="Yes",IF(COUNTBLANK('Capacity summary'!$H159:$BG159)&lt;52,IF('Capacity summary'!AF159&lt;&gt;"",IF(LOWER('Capacity summary'!AF159)="x",$BI40*AF40,VALUE('Capacity summary'!AF159)),0),AF40*$BI40),AF40*$BI40),0)</f>
        <v>0</v>
      </c>
      <c r="CJ40" s="313">
        <f>IF($BI40&lt;&gt;"",IF('Capacity summary'!$D$14="Yes",IF(COUNTBLANK('Capacity summary'!$H159:$BG159)&lt;52,IF('Capacity summary'!AG159&lt;&gt;"",IF(LOWER('Capacity summary'!AG159)="x",$BI40*AG40,VALUE('Capacity summary'!AG159)),0),AG40*$BI40),AG40*$BI40),0)</f>
        <v>0</v>
      </c>
      <c r="CK40" s="313">
        <f>IF($BI40&lt;&gt;"",IF('Capacity summary'!$D$14="Yes",IF(COUNTBLANK('Capacity summary'!$H159:$BG159)&lt;52,IF('Capacity summary'!AH159&lt;&gt;"",IF(LOWER('Capacity summary'!AH159)="x",$BI40*AH40,VALUE('Capacity summary'!AH159)),0),AH40*$BI40),AH40*$BI40),0)</f>
        <v>0</v>
      </c>
      <c r="CL40" s="313">
        <f>IF($BI40&lt;&gt;"",IF('Capacity summary'!$D$14="Yes",IF(COUNTBLANK('Capacity summary'!$H159:$BG159)&lt;52,IF('Capacity summary'!AI159&lt;&gt;"",IF(LOWER('Capacity summary'!AI159)="x",$BI40*AI40,VALUE('Capacity summary'!AI159)),0),AI40*$BI40),AI40*$BI40),0)</f>
        <v>0</v>
      </c>
      <c r="CM40" s="313">
        <f>IF($BI40&lt;&gt;"",IF('Capacity summary'!$D$14="Yes",IF(COUNTBLANK('Capacity summary'!$H159:$BG159)&lt;52,IF('Capacity summary'!AJ159&lt;&gt;"",IF(LOWER('Capacity summary'!AJ159)="x",$BI40*AJ40,VALUE('Capacity summary'!AJ159)),0),AJ40*$BI40),AJ40*$BI40),0)</f>
        <v>0</v>
      </c>
      <c r="CN40" s="313">
        <f>IF($BI40&lt;&gt;"",IF('Capacity summary'!$D$14="Yes",IF(COUNTBLANK('Capacity summary'!$H159:$BG159)&lt;52,IF('Capacity summary'!AK159&lt;&gt;"",IF(LOWER('Capacity summary'!AK159)="x",$BI40*AK40,VALUE('Capacity summary'!AK159)),0),AK40*$BI40),AK40*$BI40),0)</f>
        <v>0</v>
      </c>
      <c r="CO40" s="313">
        <f>IF($BI40&lt;&gt;"",IF('Capacity summary'!$D$14="Yes",IF(COUNTBLANK('Capacity summary'!$H159:$BG159)&lt;52,IF('Capacity summary'!AL159&lt;&gt;"",IF(LOWER('Capacity summary'!AL159)="x",$BI40*AL40,VALUE('Capacity summary'!AL159)),0),AL40*$BI40),AL40*$BI40),0)</f>
        <v>0</v>
      </c>
      <c r="CP40" s="313">
        <f>IF($BI40&lt;&gt;"",IF('Capacity summary'!$D$14="Yes",IF(COUNTBLANK('Capacity summary'!$H159:$BG159)&lt;52,IF('Capacity summary'!AM159&lt;&gt;"",IF(LOWER('Capacity summary'!AM159)="x",$BI40*AM40,VALUE('Capacity summary'!AM159)),0),AM40*$BI40),AM40*$BI40),0)</f>
        <v>0</v>
      </c>
      <c r="CQ40" s="313">
        <f>IF($BI40&lt;&gt;"",IF('Capacity summary'!$D$14="Yes",IF(COUNTBLANK('Capacity summary'!$H159:$BG159)&lt;52,IF('Capacity summary'!AN159&lt;&gt;"",IF(LOWER('Capacity summary'!AN159)="x",$BI40*AN40,VALUE('Capacity summary'!AN159)),0),AN40*$BI40),AN40*$BI40),0)</f>
        <v>0</v>
      </c>
      <c r="CR40" s="313">
        <f>IF($BI40&lt;&gt;"",IF('Capacity summary'!$D$14="Yes",IF(COUNTBLANK('Capacity summary'!$H159:$BG159)&lt;52,IF('Capacity summary'!AO159&lt;&gt;"",IF(LOWER('Capacity summary'!AO159)="x",$BI40*AO40,VALUE('Capacity summary'!AO159)),0),AO40*$BI40),AO40*$BI40),0)</f>
        <v>0</v>
      </c>
      <c r="CS40" s="313">
        <f>IF($BI40&lt;&gt;"",IF('Capacity summary'!$D$14="Yes",IF(COUNTBLANK('Capacity summary'!$H159:$BG159)&lt;52,IF('Capacity summary'!AP159&lt;&gt;"",IF(LOWER('Capacity summary'!AP159)="x",$BI40*AP40,VALUE('Capacity summary'!AP159)),0),AP40*$BI40),AP40*$BI40),0)</f>
        <v>0</v>
      </c>
      <c r="CT40" s="313">
        <f>IF($BI40&lt;&gt;"",IF('Capacity summary'!$D$14="Yes",IF(COUNTBLANK('Capacity summary'!$H159:$BG159)&lt;52,IF('Capacity summary'!AQ159&lt;&gt;"",IF(LOWER('Capacity summary'!AQ159)="x",$BI40*AQ40,VALUE('Capacity summary'!AQ159)),0),AQ40*$BI40),AQ40*$BI40),0)</f>
        <v>0</v>
      </c>
      <c r="CU40" s="313">
        <f>IF($BI40&lt;&gt;"",IF('Capacity summary'!$D$14="Yes",IF(COUNTBLANK('Capacity summary'!$H159:$BG159)&lt;52,IF('Capacity summary'!AR159&lt;&gt;"",IF(LOWER('Capacity summary'!AR159)="x",$BI40*AR40,VALUE('Capacity summary'!AR159)),0),AR40*$BI40),AR40*$BI40),0)</f>
        <v>0</v>
      </c>
      <c r="CV40" s="313">
        <f>IF($BI40&lt;&gt;"",IF('Capacity summary'!$D$14="Yes",IF(COUNTBLANK('Capacity summary'!$H159:$BG159)&lt;52,IF('Capacity summary'!AS159&lt;&gt;"",IF(LOWER('Capacity summary'!AS159)="x",$BI40*AS40,VALUE('Capacity summary'!AS159)),0),AS40*$BI40),AS40*$BI40),0)</f>
        <v>0</v>
      </c>
      <c r="CW40" s="313">
        <f>IF($BI40&lt;&gt;"",IF('Capacity summary'!$D$14="Yes",IF(COUNTBLANK('Capacity summary'!$H159:$BG159)&lt;52,IF('Capacity summary'!AT159&lt;&gt;"",IF(LOWER('Capacity summary'!AT159)="x",$BI40*AT40,VALUE('Capacity summary'!AT159)),0),AT40*$BI40),AT40*$BI40),0)</f>
        <v>0</v>
      </c>
      <c r="CX40" s="313">
        <f>IF($BI40&lt;&gt;"",IF('Capacity summary'!$D$14="Yes",IF(COUNTBLANK('Capacity summary'!$H159:$BG159)&lt;52,IF('Capacity summary'!AU159&lt;&gt;"",IF(LOWER('Capacity summary'!AU159)="x",$BI40*AU40,VALUE('Capacity summary'!AU159)),0),AU40*$BI40),AU40*$BI40),0)</f>
        <v>0</v>
      </c>
      <c r="CY40" s="313">
        <f>IF($BI40&lt;&gt;"",IF('Capacity summary'!$D$14="Yes",IF(COUNTBLANK('Capacity summary'!$H159:$BG159)&lt;52,IF('Capacity summary'!AV159&lt;&gt;"",IF(LOWER('Capacity summary'!AV159)="x",$BI40*AV40,VALUE('Capacity summary'!AV159)),0),AV40*$BI40),AV40*$BI40),0)</f>
        <v>0</v>
      </c>
      <c r="CZ40" s="313">
        <f>IF($BI40&lt;&gt;"",IF('Capacity summary'!$D$14="Yes",IF(COUNTBLANK('Capacity summary'!$H159:$BG159)&lt;52,IF('Capacity summary'!AW159&lt;&gt;"",IF(LOWER('Capacity summary'!AW159)="x",$BI40*AW40,VALUE('Capacity summary'!AW159)),0),AW40*$BI40),AW40*$BI40),0)</f>
        <v>0</v>
      </c>
      <c r="DA40" s="313">
        <f>IF($BI40&lt;&gt;"",IF('Capacity summary'!$D$14="Yes",IF(COUNTBLANK('Capacity summary'!$H159:$BG159)&lt;52,IF('Capacity summary'!AX159&lt;&gt;"",IF(LOWER('Capacity summary'!AX159)="x",$BI40*AX40,VALUE('Capacity summary'!AX159)),0),AX40*$BI40),AX40*$BI40),0)</f>
        <v>0</v>
      </c>
      <c r="DB40" s="313">
        <f>IF($BI40&lt;&gt;"",IF('Capacity summary'!$D$14="Yes",IF(COUNTBLANK('Capacity summary'!$H159:$BG159)&lt;52,IF('Capacity summary'!AY159&lt;&gt;"",IF(LOWER('Capacity summary'!AY159)="x",$BI40*AY40,VALUE('Capacity summary'!AY159)),0),AY40*$BI40),AY40*$BI40),0)</f>
        <v>0</v>
      </c>
      <c r="DC40" s="313">
        <f>IF($BI40&lt;&gt;"",IF('Capacity summary'!$D$14="Yes",IF(COUNTBLANK('Capacity summary'!$H159:$BG159)&lt;52,IF('Capacity summary'!AZ159&lt;&gt;"",IF(LOWER('Capacity summary'!AZ159)="x",$BI40*AZ40,VALUE('Capacity summary'!AZ159)),0),AZ40*$BI40),AZ40*$BI40),0)</f>
        <v>0</v>
      </c>
      <c r="DD40" s="313">
        <f>IF($BI40&lt;&gt;"",IF('Capacity summary'!$D$14="Yes",IF(COUNTBLANK('Capacity summary'!$H159:$BG159)&lt;52,IF('Capacity summary'!BA159&lt;&gt;"",IF(LOWER('Capacity summary'!BA159)="x",$BI40*BA40,VALUE('Capacity summary'!BA159)),0),BA40*$BI40),BA40*$BI40),0)</f>
        <v>0</v>
      </c>
      <c r="DE40" s="313">
        <f>IF($BI40&lt;&gt;"",IF('Capacity summary'!$D$14="Yes",IF(COUNTBLANK('Capacity summary'!$H159:$BG159)&lt;52,IF('Capacity summary'!BB159&lt;&gt;"",IF(LOWER('Capacity summary'!BB159)="x",$BI40*BB40,VALUE('Capacity summary'!BB159)),0),BB40*$BI40),BB40*$BI40),0)</f>
        <v>0</v>
      </c>
      <c r="DF40" s="313">
        <f>IF($BI40&lt;&gt;"",IF('Capacity summary'!$D$14="Yes",IF(COUNTBLANK('Capacity summary'!$H159:$BG159)&lt;52,IF('Capacity summary'!BC159&lt;&gt;"",IF(LOWER('Capacity summary'!BC159)="x",$BI40*BC40,VALUE('Capacity summary'!BC159)),0),BC40*$BI40),BC40*$BI40),0)</f>
        <v>0</v>
      </c>
      <c r="DG40" s="313">
        <f>IF($BI40&lt;&gt;"",IF('Capacity summary'!$D$14="Yes",IF(COUNTBLANK('Capacity summary'!$H159:$BG159)&lt;52,IF('Capacity summary'!BD159&lt;&gt;"",IF(LOWER('Capacity summary'!BD159)="x",$BI40*BD40,VALUE('Capacity summary'!BD159)),0),BD40*$BI40),BD40*$BI40),0)</f>
        <v>0</v>
      </c>
      <c r="DH40" s="313">
        <f>IF($BI40&lt;&gt;"",IF('Capacity summary'!$D$14="Yes",IF(COUNTBLANK('Capacity summary'!$H159:$BG159)&lt;52,IF('Capacity summary'!BE159&lt;&gt;"",IF(LOWER('Capacity summary'!BE159)="x",$BI40*BE40,VALUE('Capacity summary'!BE159)),0),BE40*$BI40),BE40*$BI40),0)</f>
        <v>0</v>
      </c>
      <c r="DI40" s="313">
        <f>IF($BI40&lt;&gt;"",IF('Capacity summary'!$D$14="Yes",IF(COUNTBLANK('Capacity summary'!$H159:$BG159)&lt;52,IF('Capacity summary'!BF159&lt;&gt;"",IF(LOWER('Capacity summary'!BF159)="x",$BI40*BF40,VALUE('Capacity summary'!BF159)),0),BF40*$BI40),BF40*$BI40),0)</f>
        <v>0</v>
      </c>
      <c r="DJ40" s="313">
        <f>IF($BI40&lt;&gt;"",IF('Capacity summary'!$D$14="Yes",IF(COUNTBLANK('Capacity summary'!$H159:$BG159)&lt;52,IF('Capacity summary'!BG159&lt;&gt;"",IF(LOWER('Capacity summary'!BG159)="x",$BI40*BG40,VALUE('Capacity summary'!BG159)),0),BG40*$BI40),BG40*$BI40),0)</f>
        <v>0</v>
      </c>
      <c r="DK40" s="137">
        <f t="shared" si="2"/>
        <v>0</v>
      </c>
      <c r="DL40" s="313" t="str">
        <f>Capacity!H52</f>
        <v/>
      </c>
      <c r="DP40" s="5"/>
    </row>
    <row r="41" spans="2:120" x14ac:dyDescent="0.25">
      <c r="B41" s="67"/>
      <c r="C41" s="67" t="str">
        <f>ROW(A37)&amp;". "&amp;Capacity!B53</f>
        <v xml:space="preserve">37. </v>
      </c>
      <c r="D41" s="67">
        <f>'Capacity setup'!C48</f>
        <v>0</v>
      </c>
      <c r="E41" s="67">
        <f>'Capacity setup'!D48</f>
        <v>0</v>
      </c>
      <c r="F41" s="67">
        <f>'Capacity setup'!E48</f>
        <v>0</v>
      </c>
      <c r="H41" s="67">
        <f ca="1">IF(AND(SUMIF(Capacity_Resource,$D41,'Critical resources (hide)'!U$6:U$105)+SUMIF(Capacity_Resource,$E41,'Critical resources (hide)'!U$6:U$105)+SUMIF(Capacity_Resource,$F41,'Critical resources (hide)'!U$6:U$105)&gt;0,$E$1=2),0,1)</f>
        <v>1</v>
      </c>
      <c r="I41" s="67">
        <f ca="1">IF(AND(SUMIF(Capacity_Resource,$D41,'Critical resources (hide)'!V$6:V$105)+SUMIF(Capacity_Resource,$E41,'Critical resources (hide)'!V$6:V$105)+SUMIF(Capacity_Resource,$F41,'Critical resources (hide)'!V$6:V$105)&gt;0,$E$1=2),0,1)</f>
        <v>1</v>
      </c>
      <c r="J41" s="67">
        <f ca="1">IF(AND(SUMIF(Capacity_Resource,$D41,'Critical resources (hide)'!W$6:W$105)+SUMIF(Capacity_Resource,$E41,'Critical resources (hide)'!W$6:W$105)+SUMIF(Capacity_Resource,$F41,'Critical resources (hide)'!W$6:W$105)&gt;0,$E$1=2),0,1)</f>
        <v>1</v>
      </c>
      <c r="K41" s="67">
        <f ca="1">IF(AND(SUMIF(Capacity_Resource,$D41,'Critical resources (hide)'!X$6:X$105)+SUMIF(Capacity_Resource,$E41,'Critical resources (hide)'!X$6:X$105)+SUMIF(Capacity_Resource,$F41,'Critical resources (hide)'!X$6:X$105)&gt;0,$E$1=2),0,1)</f>
        <v>1</v>
      </c>
      <c r="L41" s="67">
        <f ca="1">IF(AND(SUMIF(Capacity_Resource,$D41,'Critical resources (hide)'!Y$6:Y$105)+SUMIF(Capacity_Resource,$E41,'Critical resources (hide)'!Y$6:Y$105)+SUMIF(Capacity_Resource,$F41,'Critical resources (hide)'!Y$6:Y$105)&gt;0,$E$1=2),0,1)</f>
        <v>1</v>
      </c>
      <c r="M41" s="67">
        <f ca="1">IF(AND(SUMIF(Capacity_Resource,$D41,'Critical resources (hide)'!Z$6:Z$105)+SUMIF(Capacity_Resource,$E41,'Critical resources (hide)'!Z$6:Z$105)+SUMIF(Capacity_Resource,$F41,'Critical resources (hide)'!Z$6:Z$105)&gt;0,$E$1=2),0,1)</f>
        <v>1</v>
      </c>
      <c r="N41" s="67">
        <f ca="1">IF(AND(SUMIF(Capacity_Resource,$D41,'Critical resources (hide)'!AA$6:AA$105)+SUMIF(Capacity_Resource,$E41,'Critical resources (hide)'!AA$6:AA$105)+SUMIF(Capacity_Resource,$F41,'Critical resources (hide)'!AA$6:AA$105)&gt;0,$E$1=2),0,1)</f>
        <v>1</v>
      </c>
      <c r="O41" s="67">
        <f ca="1">IF(AND(SUMIF(Capacity_Resource,$D41,'Critical resources (hide)'!AB$6:AB$105)+SUMIF(Capacity_Resource,$E41,'Critical resources (hide)'!AB$6:AB$105)+SUMIF(Capacity_Resource,$F41,'Critical resources (hide)'!AB$6:AB$105)&gt;0,$E$1=2),0,1)</f>
        <v>1</v>
      </c>
      <c r="P41" s="67">
        <f ca="1">IF(AND(SUMIF(Capacity_Resource,$D41,'Critical resources (hide)'!AC$6:AC$105)+SUMIF(Capacity_Resource,$E41,'Critical resources (hide)'!AC$6:AC$105)+SUMIF(Capacity_Resource,$F41,'Critical resources (hide)'!AC$6:AC$105)&gt;0,$E$1=2),0,1)</f>
        <v>1</v>
      </c>
      <c r="Q41" s="67">
        <f ca="1">IF(AND(SUMIF(Capacity_Resource,$D41,'Critical resources (hide)'!AD$6:AD$105)+SUMIF(Capacity_Resource,$E41,'Critical resources (hide)'!AD$6:AD$105)+SUMIF(Capacity_Resource,$F41,'Critical resources (hide)'!AD$6:AD$105)&gt;0,$E$1=2),0,1)</f>
        <v>1</v>
      </c>
      <c r="R41" s="67">
        <f ca="1">IF(AND(SUMIF(Capacity_Resource,$D41,'Critical resources (hide)'!AE$6:AE$105)+SUMIF(Capacity_Resource,$E41,'Critical resources (hide)'!AE$6:AE$105)+SUMIF(Capacity_Resource,$F41,'Critical resources (hide)'!AE$6:AE$105)&gt;0,$E$1=2),0,1)</f>
        <v>1</v>
      </c>
      <c r="S41" s="67">
        <f ca="1">IF(AND(SUMIF(Capacity_Resource,$D41,'Critical resources (hide)'!AF$6:AF$105)+SUMIF(Capacity_Resource,$E41,'Critical resources (hide)'!AF$6:AF$105)+SUMIF(Capacity_Resource,$F41,'Critical resources (hide)'!AF$6:AF$105)&gt;0,$E$1=2),0,1)</f>
        <v>1</v>
      </c>
      <c r="T41" s="67">
        <f ca="1">IF(AND(SUMIF(Capacity_Resource,$D41,'Critical resources (hide)'!AG$6:AG$105)+SUMIF(Capacity_Resource,$E41,'Critical resources (hide)'!AG$6:AG$105)+SUMIF(Capacity_Resource,$F41,'Critical resources (hide)'!AG$6:AG$105)&gt;0,$E$1=2),0,1)</f>
        <v>1</v>
      </c>
      <c r="U41" s="67">
        <f ca="1">IF(AND(SUMIF(Capacity_Resource,$D41,'Critical resources (hide)'!AH$6:AH$105)+SUMIF(Capacity_Resource,$E41,'Critical resources (hide)'!AH$6:AH$105)+SUMIF(Capacity_Resource,$F41,'Critical resources (hide)'!AH$6:AH$105)&gt;0,$E$1=2),0,1)</f>
        <v>1</v>
      </c>
      <c r="V41" s="67">
        <f ca="1">IF(AND(SUMIF(Capacity_Resource,$D41,'Critical resources (hide)'!AI$6:AI$105)+SUMIF(Capacity_Resource,$E41,'Critical resources (hide)'!AI$6:AI$105)+SUMIF(Capacity_Resource,$F41,'Critical resources (hide)'!AI$6:AI$105)&gt;0,$E$1=2),0,1)</f>
        <v>1</v>
      </c>
      <c r="W41" s="67">
        <f ca="1">IF(AND(SUMIF(Capacity_Resource,$D41,'Critical resources (hide)'!AJ$6:AJ$105)+SUMIF(Capacity_Resource,$E41,'Critical resources (hide)'!AJ$6:AJ$105)+SUMIF(Capacity_Resource,$F41,'Critical resources (hide)'!AJ$6:AJ$105)&gt;0,$E$1=2),0,1)</f>
        <v>1</v>
      </c>
      <c r="X41" s="67">
        <f ca="1">IF(AND(SUMIF(Capacity_Resource,$D41,'Critical resources (hide)'!AK$6:AK$105)+SUMIF(Capacity_Resource,$E41,'Critical resources (hide)'!AK$6:AK$105)+SUMIF(Capacity_Resource,$F41,'Critical resources (hide)'!AK$6:AK$105)&gt;0,$E$1=2),0,1)</f>
        <v>1</v>
      </c>
      <c r="Y41" s="67">
        <f ca="1">IF(AND(SUMIF(Capacity_Resource,$D41,'Critical resources (hide)'!AL$6:AL$105)+SUMIF(Capacity_Resource,$E41,'Critical resources (hide)'!AL$6:AL$105)+SUMIF(Capacity_Resource,$F41,'Critical resources (hide)'!AL$6:AL$105)&gt;0,$E$1=2),0,1)</f>
        <v>1</v>
      </c>
      <c r="Z41" s="67">
        <f ca="1">IF(AND(SUMIF(Capacity_Resource,$D41,'Critical resources (hide)'!AM$6:AM$105)+SUMIF(Capacity_Resource,$E41,'Critical resources (hide)'!AM$6:AM$105)+SUMIF(Capacity_Resource,$F41,'Critical resources (hide)'!AM$6:AM$105)&gt;0,$E$1=2),0,1)</f>
        <v>1</v>
      </c>
      <c r="AA41" s="67">
        <f ca="1">IF(AND(SUMIF(Capacity_Resource,$D41,'Critical resources (hide)'!AN$6:AN$105)+SUMIF(Capacity_Resource,$E41,'Critical resources (hide)'!AN$6:AN$105)+SUMIF(Capacity_Resource,$F41,'Critical resources (hide)'!AN$6:AN$105)&gt;0,$E$1=2),0,1)</f>
        <v>1</v>
      </c>
      <c r="AB41" s="67">
        <f ca="1">IF(AND(SUMIF(Capacity_Resource,$D41,'Critical resources (hide)'!AO$6:AO$105)+SUMIF(Capacity_Resource,$E41,'Critical resources (hide)'!AO$6:AO$105)+SUMIF(Capacity_Resource,$F41,'Critical resources (hide)'!AO$6:AO$105)&gt;0,$E$1=2),0,1)</f>
        <v>1</v>
      </c>
      <c r="AC41" s="67">
        <f ca="1">IF(AND(SUMIF(Capacity_Resource,$D41,'Critical resources (hide)'!AP$6:AP$105)+SUMIF(Capacity_Resource,$E41,'Critical resources (hide)'!AP$6:AP$105)+SUMIF(Capacity_Resource,$F41,'Critical resources (hide)'!AP$6:AP$105)&gt;0,$E$1=2),0,1)</f>
        <v>1</v>
      </c>
      <c r="AD41" s="67">
        <f ca="1">IF(AND(SUMIF(Capacity_Resource,$D41,'Critical resources (hide)'!AQ$6:AQ$105)+SUMIF(Capacity_Resource,$E41,'Critical resources (hide)'!AQ$6:AQ$105)+SUMIF(Capacity_Resource,$F41,'Critical resources (hide)'!AQ$6:AQ$105)&gt;0,$E$1=2),0,1)</f>
        <v>1</v>
      </c>
      <c r="AE41" s="67">
        <f ca="1">IF(AND(SUMIF(Capacity_Resource,$D41,'Critical resources (hide)'!AR$6:AR$105)+SUMIF(Capacity_Resource,$E41,'Critical resources (hide)'!AR$6:AR$105)+SUMIF(Capacity_Resource,$F41,'Critical resources (hide)'!AR$6:AR$105)&gt;0,$E$1=2),0,1)</f>
        <v>1</v>
      </c>
      <c r="AF41" s="67">
        <f ca="1">IF(AND(SUMIF(Capacity_Resource,$D41,'Critical resources (hide)'!AS$6:AS$105)+SUMIF(Capacity_Resource,$E41,'Critical resources (hide)'!AS$6:AS$105)+SUMIF(Capacity_Resource,$F41,'Critical resources (hide)'!AS$6:AS$105)&gt;0,$E$1=2),0,1)</f>
        <v>1</v>
      </c>
      <c r="AG41" s="67">
        <f ca="1">IF(AND(SUMIF(Capacity_Resource,$D41,'Critical resources (hide)'!AT$6:AT$105)+SUMIF(Capacity_Resource,$E41,'Critical resources (hide)'!AT$6:AT$105)+SUMIF(Capacity_Resource,$F41,'Critical resources (hide)'!AT$6:AT$105)&gt;0,$E$1=2),0,1)</f>
        <v>1</v>
      </c>
      <c r="AH41" s="67">
        <f ca="1">IF(AND(SUMIF(Capacity_Resource,$D41,'Critical resources (hide)'!AU$6:AU$105)+SUMIF(Capacity_Resource,$E41,'Critical resources (hide)'!AU$6:AU$105)+SUMIF(Capacity_Resource,$F41,'Critical resources (hide)'!AU$6:AU$105)&gt;0,$E$1=2),0,1)</f>
        <v>1</v>
      </c>
      <c r="AI41" s="67">
        <f ca="1">IF(AND(SUMIF(Capacity_Resource,$D41,'Critical resources (hide)'!AV$6:AV$105)+SUMIF(Capacity_Resource,$E41,'Critical resources (hide)'!AV$6:AV$105)+SUMIF(Capacity_Resource,$F41,'Critical resources (hide)'!AV$6:AV$105)&gt;0,$E$1=2),0,1)</f>
        <v>1</v>
      </c>
      <c r="AJ41" s="67">
        <f ca="1">IF(AND(SUMIF(Capacity_Resource,$D41,'Critical resources (hide)'!AW$6:AW$105)+SUMIF(Capacity_Resource,$E41,'Critical resources (hide)'!AW$6:AW$105)+SUMIF(Capacity_Resource,$F41,'Critical resources (hide)'!AW$6:AW$105)&gt;0,$E$1=2),0,1)</f>
        <v>1</v>
      </c>
      <c r="AK41" s="67">
        <f ca="1">IF(AND(SUMIF(Capacity_Resource,$D41,'Critical resources (hide)'!AX$6:AX$105)+SUMIF(Capacity_Resource,$E41,'Critical resources (hide)'!AX$6:AX$105)+SUMIF(Capacity_Resource,$F41,'Critical resources (hide)'!AX$6:AX$105)&gt;0,$E$1=2),0,1)</f>
        <v>1</v>
      </c>
      <c r="AL41" s="67">
        <f ca="1">IF(AND(SUMIF(Capacity_Resource,$D41,'Critical resources (hide)'!AY$6:AY$105)+SUMIF(Capacity_Resource,$E41,'Critical resources (hide)'!AY$6:AY$105)+SUMIF(Capacity_Resource,$F41,'Critical resources (hide)'!AY$6:AY$105)&gt;0,$E$1=2),0,1)</f>
        <v>1</v>
      </c>
      <c r="AM41" s="67">
        <f ca="1">IF(AND(SUMIF(Capacity_Resource,$D41,'Critical resources (hide)'!AZ$6:AZ$105)+SUMIF(Capacity_Resource,$E41,'Critical resources (hide)'!AZ$6:AZ$105)+SUMIF(Capacity_Resource,$F41,'Critical resources (hide)'!AZ$6:AZ$105)&gt;0,$E$1=2),0,1)</f>
        <v>1</v>
      </c>
      <c r="AN41" s="67">
        <f ca="1">IF(AND(SUMIF(Capacity_Resource,$D41,'Critical resources (hide)'!BA$6:BA$105)+SUMIF(Capacity_Resource,$E41,'Critical resources (hide)'!BA$6:BA$105)+SUMIF(Capacity_Resource,$F41,'Critical resources (hide)'!BA$6:BA$105)&gt;0,$E$1=2),0,1)</f>
        <v>1</v>
      </c>
      <c r="AO41" s="67">
        <f ca="1">IF(AND(SUMIF(Capacity_Resource,$D41,'Critical resources (hide)'!BB$6:BB$105)+SUMIF(Capacity_Resource,$E41,'Critical resources (hide)'!BB$6:BB$105)+SUMIF(Capacity_Resource,$F41,'Critical resources (hide)'!BB$6:BB$105)&gt;0,$E$1=2),0,1)</f>
        <v>1</v>
      </c>
      <c r="AP41" s="67">
        <f ca="1">IF(AND(SUMIF(Capacity_Resource,$D41,'Critical resources (hide)'!BC$6:BC$105)+SUMIF(Capacity_Resource,$E41,'Critical resources (hide)'!BC$6:BC$105)+SUMIF(Capacity_Resource,$F41,'Critical resources (hide)'!BC$6:BC$105)&gt;0,$E$1=2),0,1)</f>
        <v>1</v>
      </c>
      <c r="AQ41" s="67">
        <f ca="1">IF(AND(SUMIF(Capacity_Resource,$D41,'Critical resources (hide)'!BD$6:BD$105)+SUMIF(Capacity_Resource,$E41,'Critical resources (hide)'!BD$6:BD$105)+SUMIF(Capacity_Resource,$F41,'Critical resources (hide)'!BD$6:BD$105)&gt;0,$E$1=2),0,1)</f>
        <v>1</v>
      </c>
      <c r="AR41" s="67">
        <f ca="1">IF(AND(SUMIF(Capacity_Resource,$D41,'Critical resources (hide)'!BE$6:BE$105)+SUMIF(Capacity_Resource,$E41,'Critical resources (hide)'!BE$6:BE$105)+SUMIF(Capacity_Resource,$F41,'Critical resources (hide)'!BE$6:BE$105)&gt;0,$E$1=2),0,1)</f>
        <v>1</v>
      </c>
      <c r="AS41" s="67">
        <f ca="1">IF(AND(SUMIF(Capacity_Resource,$D41,'Critical resources (hide)'!BF$6:BF$105)+SUMIF(Capacity_Resource,$E41,'Critical resources (hide)'!BF$6:BF$105)+SUMIF(Capacity_Resource,$F41,'Critical resources (hide)'!BF$6:BF$105)&gt;0,$E$1=2),0,1)</f>
        <v>1</v>
      </c>
      <c r="AT41" s="67">
        <f ca="1">IF(AND(SUMIF(Capacity_Resource,$D41,'Critical resources (hide)'!BG$6:BG$105)+SUMIF(Capacity_Resource,$E41,'Critical resources (hide)'!BG$6:BG$105)+SUMIF(Capacity_Resource,$F41,'Critical resources (hide)'!BG$6:BG$105)&gt;0,$E$1=2),0,1)</f>
        <v>1</v>
      </c>
      <c r="AU41" s="67">
        <f ca="1">IF(AND(SUMIF(Capacity_Resource,$D41,'Critical resources (hide)'!BH$6:BH$105)+SUMIF(Capacity_Resource,$E41,'Critical resources (hide)'!BH$6:BH$105)+SUMIF(Capacity_Resource,$F41,'Critical resources (hide)'!BH$6:BH$105)&gt;0,$E$1=2),0,1)</f>
        <v>1</v>
      </c>
      <c r="AV41" s="67">
        <f ca="1">IF(AND(SUMIF(Capacity_Resource,$D41,'Critical resources (hide)'!BI$6:BI$105)+SUMIF(Capacity_Resource,$E41,'Critical resources (hide)'!BI$6:BI$105)+SUMIF(Capacity_Resource,$F41,'Critical resources (hide)'!BI$6:BI$105)&gt;0,$E$1=2),0,1)</f>
        <v>1</v>
      </c>
      <c r="AW41" s="67">
        <f ca="1">IF(AND(SUMIF(Capacity_Resource,$D41,'Critical resources (hide)'!BJ$6:BJ$105)+SUMIF(Capacity_Resource,$E41,'Critical resources (hide)'!BJ$6:BJ$105)+SUMIF(Capacity_Resource,$F41,'Critical resources (hide)'!BJ$6:BJ$105)&gt;0,$E$1=2),0,1)</f>
        <v>1</v>
      </c>
      <c r="AX41" s="67">
        <f ca="1">IF(AND(SUMIF(Capacity_Resource,$D41,'Critical resources (hide)'!BK$6:BK$105)+SUMIF(Capacity_Resource,$E41,'Critical resources (hide)'!BK$6:BK$105)+SUMIF(Capacity_Resource,$F41,'Critical resources (hide)'!BK$6:BK$105)&gt;0,$E$1=2),0,1)</f>
        <v>1</v>
      </c>
      <c r="AY41" s="67">
        <f ca="1">IF(AND(SUMIF(Capacity_Resource,$D41,'Critical resources (hide)'!BL$6:BL$105)+SUMIF(Capacity_Resource,$E41,'Critical resources (hide)'!BL$6:BL$105)+SUMIF(Capacity_Resource,$F41,'Critical resources (hide)'!BL$6:BL$105)&gt;0,$E$1=2),0,1)</f>
        <v>1</v>
      </c>
      <c r="AZ41" s="67">
        <f ca="1">IF(AND(SUMIF(Capacity_Resource,$D41,'Critical resources (hide)'!BM$6:BM$105)+SUMIF(Capacity_Resource,$E41,'Critical resources (hide)'!BM$6:BM$105)+SUMIF(Capacity_Resource,$F41,'Critical resources (hide)'!BM$6:BM$105)&gt;0,$E$1=2),0,1)</f>
        <v>1</v>
      </c>
      <c r="BA41" s="67">
        <f ca="1">IF(AND(SUMIF(Capacity_Resource,$D41,'Critical resources (hide)'!BN$6:BN$105)+SUMIF(Capacity_Resource,$E41,'Critical resources (hide)'!BN$6:BN$105)+SUMIF(Capacity_Resource,$F41,'Critical resources (hide)'!BN$6:BN$105)&gt;0,$E$1=2),0,1)</f>
        <v>1</v>
      </c>
      <c r="BB41" s="67">
        <f ca="1">IF(AND(SUMIF(Capacity_Resource,$D41,'Critical resources (hide)'!BO$6:BO$105)+SUMIF(Capacity_Resource,$E41,'Critical resources (hide)'!BO$6:BO$105)+SUMIF(Capacity_Resource,$F41,'Critical resources (hide)'!BO$6:BO$105)&gt;0,$E$1=2),0,1)</f>
        <v>1</v>
      </c>
      <c r="BC41" s="67">
        <f ca="1">IF(AND(SUMIF(Capacity_Resource,$D41,'Critical resources (hide)'!BP$6:BP$105)+SUMIF(Capacity_Resource,$E41,'Critical resources (hide)'!BP$6:BP$105)+SUMIF(Capacity_Resource,$F41,'Critical resources (hide)'!BP$6:BP$105)&gt;0,$E$1=2),0,1)</f>
        <v>1</v>
      </c>
      <c r="BD41" s="67">
        <f ca="1">IF(AND(SUMIF(Capacity_Resource,$D41,'Critical resources (hide)'!BQ$6:BQ$105)+SUMIF(Capacity_Resource,$E41,'Critical resources (hide)'!BQ$6:BQ$105)+SUMIF(Capacity_Resource,$F41,'Critical resources (hide)'!BQ$6:BQ$105)&gt;0,$E$1=2),0,1)</f>
        <v>1</v>
      </c>
      <c r="BE41" s="67">
        <f ca="1">IF(AND(SUMIF(Capacity_Resource,$D41,'Critical resources (hide)'!BR$6:BR$105)+SUMIF(Capacity_Resource,$E41,'Critical resources (hide)'!BR$6:BR$105)+SUMIF(Capacity_Resource,$F41,'Critical resources (hide)'!BR$6:BR$105)&gt;0,$E$1=2),0,1)</f>
        <v>1</v>
      </c>
      <c r="BF41" s="67">
        <f ca="1">IF(AND(SUMIF(Capacity_Resource,$D41,'Critical resources (hide)'!BS$6:BS$105)+SUMIF(Capacity_Resource,$E41,'Critical resources (hide)'!BS$6:BS$105)+SUMIF(Capacity_Resource,$F41,'Critical resources (hide)'!BS$6:BS$105)&gt;0,$E$1=2),0,1)</f>
        <v>1</v>
      </c>
      <c r="BG41" s="67">
        <f ca="1">IF(AND(SUMIF(Capacity_Resource,$D41,'Critical resources (hide)'!BT$6:BT$105)+SUMIF(Capacity_Resource,$E41,'Critical resources (hide)'!BT$6:BT$105)+SUMIF(Capacity_Resource,$F41,'Critical resources (hide)'!BT$6:BT$105)&gt;0,$E$1=2),0,1)</f>
        <v>1</v>
      </c>
      <c r="BH41" s="67">
        <f>IF(ROW(C37)&lt;=Capacity!$A$16,IF('Capacity summary'!$D$14="No",SUM(H41:BG41),'Capacity summary'!$E160),0)</f>
        <v>0</v>
      </c>
      <c r="BI41" s="5" t="str">
        <f>IF(BH41&gt;0,IF(BH41&lt;Capacity!E53,Capacity!F53,Capacity!H53/'Capacity calculation (hide)'!BH41),"")</f>
        <v/>
      </c>
      <c r="BK41" s="313">
        <f>IF($BI41&lt;&gt;"",IF('Capacity summary'!$D$14="Yes",IF(COUNTBLANK('Capacity summary'!$H160:$BG160)&lt;52,IF('Capacity summary'!H160&lt;&gt;"",IF(LOWER('Capacity summary'!H160)="x",$BI41*H41,VALUE('Capacity summary'!H160)),0),H41*$BI41),H41*$BI41),0)</f>
        <v>0</v>
      </c>
      <c r="BL41" s="313">
        <f>IF($BI41&lt;&gt;"",IF('Capacity summary'!$D$14="Yes",IF(COUNTBLANK('Capacity summary'!$H160:$BG160)&lt;52,IF('Capacity summary'!I160&lt;&gt;"",IF(LOWER('Capacity summary'!I160)="x",$BI41*I41,VALUE('Capacity summary'!I160)),0),I41*$BI41),I41*$BI41),0)</f>
        <v>0</v>
      </c>
      <c r="BM41" s="313">
        <f>IF($BI41&lt;&gt;"",IF('Capacity summary'!$D$14="Yes",IF(COUNTBLANK('Capacity summary'!$H160:$BG160)&lt;52,IF('Capacity summary'!J160&lt;&gt;"",IF(LOWER('Capacity summary'!J160)="x",$BI41*J41,VALUE('Capacity summary'!J160)),0),J41*$BI41),J41*$BI41),0)</f>
        <v>0</v>
      </c>
      <c r="BN41" s="313">
        <f>IF($BI41&lt;&gt;"",IF('Capacity summary'!$D$14="Yes",IF(COUNTBLANK('Capacity summary'!$H160:$BG160)&lt;52,IF('Capacity summary'!K160&lt;&gt;"",IF(LOWER('Capacity summary'!K160)="x",$BI41*K41,VALUE('Capacity summary'!K160)),0),K41*$BI41),K41*$BI41),0)</f>
        <v>0</v>
      </c>
      <c r="BO41" s="313">
        <f>IF($BI41&lt;&gt;"",IF('Capacity summary'!$D$14="Yes",IF(COUNTBLANK('Capacity summary'!$H160:$BG160)&lt;52,IF('Capacity summary'!L160&lt;&gt;"",IF(LOWER('Capacity summary'!L160)="x",$BI41*L41,VALUE('Capacity summary'!L160)),0),L41*$BI41),L41*$BI41),0)</f>
        <v>0</v>
      </c>
      <c r="BP41" s="313">
        <f>IF($BI41&lt;&gt;"",IF('Capacity summary'!$D$14="Yes",IF(COUNTBLANK('Capacity summary'!$H160:$BG160)&lt;52,IF('Capacity summary'!M160&lt;&gt;"",IF(LOWER('Capacity summary'!M160)="x",$BI41*M41,VALUE('Capacity summary'!M160)),0),M41*$BI41),M41*$BI41),0)</f>
        <v>0</v>
      </c>
      <c r="BQ41" s="313">
        <f>IF($BI41&lt;&gt;"",IF('Capacity summary'!$D$14="Yes",IF(COUNTBLANK('Capacity summary'!$H160:$BG160)&lt;52,IF('Capacity summary'!N160&lt;&gt;"",IF(LOWER('Capacity summary'!N160)="x",$BI41*N41,VALUE('Capacity summary'!N160)),0),N41*$BI41),N41*$BI41),0)</f>
        <v>0</v>
      </c>
      <c r="BR41" s="313">
        <f>IF($BI41&lt;&gt;"",IF('Capacity summary'!$D$14="Yes",IF(COUNTBLANK('Capacity summary'!$H160:$BG160)&lt;52,IF('Capacity summary'!O160&lt;&gt;"",IF(LOWER('Capacity summary'!O160)="x",$BI41*O41,VALUE('Capacity summary'!O160)),0),O41*$BI41),O41*$BI41),0)</f>
        <v>0</v>
      </c>
      <c r="BS41" s="313">
        <f>IF($BI41&lt;&gt;"",IF('Capacity summary'!$D$14="Yes",IF(COUNTBLANK('Capacity summary'!$H160:$BG160)&lt;52,IF('Capacity summary'!P160&lt;&gt;"",IF(LOWER('Capacity summary'!P160)="x",$BI41*P41,VALUE('Capacity summary'!P160)),0),P41*$BI41),P41*$BI41),0)</f>
        <v>0</v>
      </c>
      <c r="BT41" s="313">
        <f>IF($BI41&lt;&gt;"",IF('Capacity summary'!$D$14="Yes",IF(COUNTBLANK('Capacity summary'!$H160:$BG160)&lt;52,IF('Capacity summary'!Q160&lt;&gt;"",IF(LOWER('Capacity summary'!Q160)="x",$BI41*Q41,VALUE('Capacity summary'!Q160)),0),Q41*$BI41),Q41*$BI41),0)</f>
        <v>0</v>
      </c>
      <c r="BU41" s="313">
        <f>IF($BI41&lt;&gt;"",IF('Capacity summary'!$D$14="Yes",IF(COUNTBLANK('Capacity summary'!$H160:$BG160)&lt;52,IF('Capacity summary'!R160&lt;&gt;"",IF(LOWER('Capacity summary'!R160)="x",$BI41*R41,VALUE('Capacity summary'!R160)),0),R41*$BI41),R41*$BI41),0)</f>
        <v>0</v>
      </c>
      <c r="BV41" s="313">
        <f>IF($BI41&lt;&gt;"",IF('Capacity summary'!$D$14="Yes",IF(COUNTBLANK('Capacity summary'!$H160:$BG160)&lt;52,IF('Capacity summary'!S160&lt;&gt;"",IF(LOWER('Capacity summary'!S160)="x",$BI41*S41,VALUE('Capacity summary'!S160)),0),S41*$BI41),S41*$BI41),0)</f>
        <v>0</v>
      </c>
      <c r="BW41" s="313">
        <f>IF($BI41&lt;&gt;"",IF('Capacity summary'!$D$14="Yes",IF(COUNTBLANK('Capacity summary'!$H160:$BG160)&lt;52,IF('Capacity summary'!T160&lt;&gt;"",IF(LOWER('Capacity summary'!T160)="x",$BI41*T41,VALUE('Capacity summary'!T160)),0),T41*$BI41),T41*$BI41),0)</f>
        <v>0</v>
      </c>
      <c r="BX41" s="313">
        <f>IF($BI41&lt;&gt;"",IF('Capacity summary'!$D$14="Yes",IF(COUNTBLANK('Capacity summary'!$H160:$BG160)&lt;52,IF('Capacity summary'!U160&lt;&gt;"",IF(LOWER('Capacity summary'!U160)="x",$BI41*U41,VALUE('Capacity summary'!U160)),0),U41*$BI41),U41*$BI41),0)</f>
        <v>0</v>
      </c>
      <c r="BY41" s="313">
        <f>IF($BI41&lt;&gt;"",IF('Capacity summary'!$D$14="Yes",IF(COUNTBLANK('Capacity summary'!$H160:$BG160)&lt;52,IF('Capacity summary'!V160&lt;&gt;"",IF(LOWER('Capacity summary'!V160)="x",$BI41*V41,VALUE('Capacity summary'!V160)),0),V41*$BI41),V41*$BI41),0)</f>
        <v>0</v>
      </c>
      <c r="BZ41" s="313">
        <f>IF($BI41&lt;&gt;"",IF('Capacity summary'!$D$14="Yes",IF(COUNTBLANK('Capacity summary'!$H160:$BG160)&lt;52,IF('Capacity summary'!W160&lt;&gt;"",IF(LOWER('Capacity summary'!W160)="x",$BI41*W41,VALUE('Capacity summary'!W160)),0),W41*$BI41),W41*$BI41),0)</f>
        <v>0</v>
      </c>
      <c r="CA41" s="313">
        <f>IF($BI41&lt;&gt;"",IF('Capacity summary'!$D$14="Yes",IF(COUNTBLANK('Capacity summary'!$H160:$BG160)&lt;52,IF('Capacity summary'!X160&lt;&gt;"",IF(LOWER('Capacity summary'!X160)="x",$BI41*X41,VALUE('Capacity summary'!X160)),0),X41*$BI41),X41*$BI41),0)</f>
        <v>0</v>
      </c>
      <c r="CB41" s="313">
        <f>IF($BI41&lt;&gt;"",IF('Capacity summary'!$D$14="Yes",IF(COUNTBLANK('Capacity summary'!$H160:$BG160)&lt;52,IF('Capacity summary'!Y160&lt;&gt;"",IF(LOWER('Capacity summary'!Y160)="x",$BI41*Y41,VALUE('Capacity summary'!Y160)),0),Y41*$BI41),Y41*$BI41),0)</f>
        <v>0</v>
      </c>
      <c r="CC41" s="313">
        <f>IF($BI41&lt;&gt;"",IF('Capacity summary'!$D$14="Yes",IF(COUNTBLANK('Capacity summary'!$H160:$BG160)&lt;52,IF('Capacity summary'!Z160&lt;&gt;"",IF(LOWER('Capacity summary'!Z160)="x",$BI41*Z41,VALUE('Capacity summary'!Z160)),0),Z41*$BI41),Z41*$BI41),0)</f>
        <v>0</v>
      </c>
      <c r="CD41" s="313">
        <f>IF($BI41&lt;&gt;"",IF('Capacity summary'!$D$14="Yes",IF(COUNTBLANK('Capacity summary'!$H160:$BG160)&lt;52,IF('Capacity summary'!AA160&lt;&gt;"",IF(LOWER('Capacity summary'!AA160)="x",$BI41*AA41,VALUE('Capacity summary'!AA160)),0),AA41*$BI41),AA41*$BI41),0)</f>
        <v>0</v>
      </c>
      <c r="CE41" s="313">
        <f>IF($BI41&lt;&gt;"",IF('Capacity summary'!$D$14="Yes",IF(COUNTBLANK('Capacity summary'!$H160:$BG160)&lt;52,IF('Capacity summary'!AB160&lt;&gt;"",IF(LOWER('Capacity summary'!AB160)="x",$BI41*AB41,VALUE('Capacity summary'!AB160)),0),AB41*$BI41),AB41*$BI41),0)</f>
        <v>0</v>
      </c>
      <c r="CF41" s="313">
        <f>IF($BI41&lt;&gt;"",IF('Capacity summary'!$D$14="Yes",IF(COUNTBLANK('Capacity summary'!$H160:$BG160)&lt;52,IF('Capacity summary'!AC160&lt;&gt;"",IF(LOWER('Capacity summary'!AC160)="x",$BI41*AC41,VALUE('Capacity summary'!AC160)),0),AC41*$BI41),AC41*$BI41),0)</f>
        <v>0</v>
      </c>
      <c r="CG41" s="313">
        <f>IF($BI41&lt;&gt;"",IF('Capacity summary'!$D$14="Yes",IF(COUNTBLANK('Capacity summary'!$H160:$BG160)&lt;52,IF('Capacity summary'!AD160&lt;&gt;"",IF(LOWER('Capacity summary'!AD160)="x",$BI41*AD41,VALUE('Capacity summary'!AD160)),0),AD41*$BI41),AD41*$BI41),0)</f>
        <v>0</v>
      </c>
      <c r="CH41" s="313">
        <f>IF($BI41&lt;&gt;"",IF('Capacity summary'!$D$14="Yes",IF(COUNTBLANK('Capacity summary'!$H160:$BG160)&lt;52,IF('Capacity summary'!AE160&lt;&gt;"",IF(LOWER('Capacity summary'!AE160)="x",$BI41*AE41,VALUE('Capacity summary'!AE160)),0),AE41*$BI41),AE41*$BI41),0)</f>
        <v>0</v>
      </c>
      <c r="CI41" s="313">
        <f>IF($BI41&lt;&gt;"",IF('Capacity summary'!$D$14="Yes",IF(COUNTBLANK('Capacity summary'!$H160:$BG160)&lt;52,IF('Capacity summary'!AF160&lt;&gt;"",IF(LOWER('Capacity summary'!AF160)="x",$BI41*AF41,VALUE('Capacity summary'!AF160)),0),AF41*$BI41),AF41*$BI41),0)</f>
        <v>0</v>
      </c>
      <c r="CJ41" s="313">
        <f>IF($BI41&lt;&gt;"",IF('Capacity summary'!$D$14="Yes",IF(COUNTBLANK('Capacity summary'!$H160:$BG160)&lt;52,IF('Capacity summary'!AG160&lt;&gt;"",IF(LOWER('Capacity summary'!AG160)="x",$BI41*AG41,VALUE('Capacity summary'!AG160)),0),AG41*$BI41),AG41*$BI41),0)</f>
        <v>0</v>
      </c>
      <c r="CK41" s="313">
        <f>IF($BI41&lt;&gt;"",IF('Capacity summary'!$D$14="Yes",IF(COUNTBLANK('Capacity summary'!$H160:$BG160)&lt;52,IF('Capacity summary'!AH160&lt;&gt;"",IF(LOWER('Capacity summary'!AH160)="x",$BI41*AH41,VALUE('Capacity summary'!AH160)),0),AH41*$BI41),AH41*$BI41),0)</f>
        <v>0</v>
      </c>
      <c r="CL41" s="313">
        <f>IF($BI41&lt;&gt;"",IF('Capacity summary'!$D$14="Yes",IF(COUNTBLANK('Capacity summary'!$H160:$BG160)&lt;52,IF('Capacity summary'!AI160&lt;&gt;"",IF(LOWER('Capacity summary'!AI160)="x",$BI41*AI41,VALUE('Capacity summary'!AI160)),0),AI41*$BI41),AI41*$BI41),0)</f>
        <v>0</v>
      </c>
      <c r="CM41" s="313">
        <f>IF($BI41&lt;&gt;"",IF('Capacity summary'!$D$14="Yes",IF(COUNTBLANK('Capacity summary'!$H160:$BG160)&lt;52,IF('Capacity summary'!AJ160&lt;&gt;"",IF(LOWER('Capacity summary'!AJ160)="x",$BI41*AJ41,VALUE('Capacity summary'!AJ160)),0),AJ41*$BI41),AJ41*$BI41),0)</f>
        <v>0</v>
      </c>
      <c r="CN41" s="313">
        <f>IF($BI41&lt;&gt;"",IF('Capacity summary'!$D$14="Yes",IF(COUNTBLANK('Capacity summary'!$H160:$BG160)&lt;52,IF('Capacity summary'!AK160&lt;&gt;"",IF(LOWER('Capacity summary'!AK160)="x",$BI41*AK41,VALUE('Capacity summary'!AK160)),0),AK41*$BI41),AK41*$BI41),0)</f>
        <v>0</v>
      </c>
      <c r="CO41" s="313">
        <f>IF($BI41&lt;&gt;"",IF('Capacity summary'!$D$14="Yes",IF(COUNTBLANK('Capacity summary'!$H160:$BG160)&lt;52,IF('Capacity summary'!AL160&lt;&gt;"",IF(LOWER('Capacity summary'!AL160)="x",$BI41*AL41,VALUE('Capacity summary'!AL160)),0),AL41*$BI41),AL41*$BI41),0)</f>
        <v>0</v>
      </c>
      <c r="CP41" s="313">
        <f>IF($BI41&lt;&gt;"",IF('Capacity summary'!$D$14="Yes",IF(COUNTBLANK('Capacity summary'!$H160:$BG160)&lt;52,IF('Capacity summary'!AM160&lt;&gt;"",IF(LOWER('Capacity summary'!AM160)="x",$BI41*AM41,VALUE('Capacity summary'!AM160)),0),AM41*$BI41),AM41*$BI41),0)</f>
        <v>0</v>
      </c>
      <c r="CQ41" s="313">
        <f>IF($BI41&lt;&gt;"",IF('Capacity summary'!$D$14="Yes",IF(COUNTBLANK('Capacity summary'!$H160:$BG160)&lt;52,IF('Capacity summary'!AN160&lt;&gt;"",IF(LOWER('Capacity summary'!AN160)="x",$BI41*AN41,VALUE('Capacity summary'!AN160)),0),AN41*$BI41),AN41*$BI41),0)</f>
        <v>0</v>
      </c>
      <c r="CR41" s="313">
        <f>IF($BI41&lt;&gt;"",IF('Capacity summary'!$D$14="Yes",IF(COUNTBLANK('Capacity summary'!$H160:$BG160)&lt;52,IF('Capacity summary'!AO160&lt;&gt;"",IF(LOWER('Capacity summary'!AO160)="x",$BI41*AO41,VALUE('Capacity summary'!AO160)),0),AO41*$BI41),AO41*$BI41),0)</f>
        <v>0</v>
      </c>
      <c r="CS41" s="313">
        <f>IF($BI41&lt;&gt;"",IF('Capacity summary'!$D$14="Yes",IF(COUNTBLANK('Capacity summary'!$H160:$BG160)&lt;52,IF('Capacity summary'!AP160&lt;&gt;"",IF(LOWER('Capacity summary'!AP160)="x",$BI41*AP41,VALUE('Capacity summary'!AP160)),0),AP41*$BI41),AP41*$BI41),0)</f>
        <v>0</v>
      </c>
      <c r="CT41" s="313">
        <f>IF($BI41&lt;&gt;"",IF('Capacity summary'!$D$14="Yes",IF(COUNTBLANK('Capacity summary'!$H160:$BG160)&lt;52,IF('Capacity summary'!AQ160&lt;&gt;"",IF(LOWER('Capacity summary'!AQ160)="x",$BI41*AQ41,VALUE('Capacity summary'!AQ160)),0),AQ41*$BI41),AQ41*$BI41),0)</f>
        <v>0</v>
      </c>
      <c r="CU41" s="313">
        <f>IF($BI41&lt;&gt;"",IF('Capacity summary'!$D$14="Yes",IF(COUNTBLANK('Capacity summary'!$H160:$BG160)&lt;52,IF('Capacity summary'!AR160&lt;&gt;"",IF(LOWER('Capacity summary'!AR160)="x",$BI41*AR41,VALUE('Capacity summary'!AR160)),0),AR41*$BI41),AR41*$BI41),0)</f>
        <v>0</v>
      </c>
      <c r="CV41" s="313">
        <f>IF($BI41&lt;&gt;"",IF('Capacity summary'!$D$14="Yes",IF(COUNTBLANK('Capacity summary'!$H160:$BG160)&lt;52,IF('Capacity summary'!AS160&lt;&gt;"",IF(LOWER('Capacity summary'!AS160)="x",$BI41*AS41,VALUE('Capacity summary'!AS160)),0),AS41*$BI41),AS41*$BI41),0)</f>
        <v>0</v>
      </c>
      <c r="CW41" s="313">
        <f>IF($BI41&lt;&gt;"",IF('Capacity summary'!$D$14="Yes",IF(COUNTBLANK('Capacity summary'!$H160:$BG160)&lt;52,IF('Capacity summary'!AT160&lt;&gt;"",IF(LOWER('Capacity summary'!AT160)="x",$BI41*AT41,VALUE('Capacity summary'!AT160)),0),AT41*$BI41),AT41*$BI41),0)</f>
        <v>0</v>
      </c>
      <c r="CX41" s="313">
        <f>IF($BI41&lt;&gt;"",IF('Capacity summary'!$D$14="Yes",IF(COUNTBLANK('Capacity summary'!$H160:$BG160)&lt;52,IF('Capacity summary'!AU160&lt;&gt;"",IF(LOWER('Capacity summary'!AU160)="x",$BI41*AU41,VALUE('Capacity summary'!AU160)),0),AU41*$BI41),AU41*$BI41),0)</f>
        <v>0</v>
      </c>
      <c r="CY41" s="313">
        <f>IF($BI41&lt;&gt;"",IF('Capacity summary'!$D$14="Yes",IF(COUNTBLANK('Capacity summary'!$H160:$BG160)&lt;52,IF('Capacity summary'!AV160&lt;&gt;"",IF(LOWER('Capacity summary'!AV160)="x",$BI41*AV41,VALUE('Capacity summary'!AV160)),0),AV41*$BI41),AV41*$BI41),0)</f>
        <v>0</v>
      </c>
      <c r="CZ41" s="313">
        <f>IF($BI41&lt;&gt;"",IF('Capacity summary'!$D$14="Yes",IF(COUNTBLANK('Capacity summary'!$H160:$BG160)&lt;52,IF('Capacity summary'!AW160&lt;&gt;"",IF(LOWER('Capacity summary'!AW160)="x",$BI41*AW41,VALUE('Capacity summary'!AW160)),0),AW41*$BI41),AW41*$BI41),0)</f>
        <v>0</v>
      </c>
      <c r="DA41" s="313">
        <f>IF($BI41&lt;&gt;"",IF('Capacity summary'!$D$14="Yes",IF(COUNTBLANK('Capacity summary'!$H160:$BG160)&lt;52,IF('Capacity summary'!AX160&lt;&gt;"",IF(LOWER('Capacity summary'!AX160)="x",$BI41*AX41,VALUE('Capacity summary'!AX160)),0),AX41*$BI41),AX41*$BI41),0)</f>
        <v>0</v>
      </c>
      <c r="DB41" s="313">
        <f>IF($BI41&lt;&gt;"",IF('Capacity summary'!$D$14="Yes",IF(COUNTBLANK('Capacity summary'!$H160:$BG160)&lt;52,IF('Capacity summary'!AY160&lt;&gt;"",IF(LOWER('Capacity summary'!AY160)="x",$BI41*AY41,VALUE('Capacity summary'!AY160)),0),AY41*$BI41),AY41*$BI41),0)</f>
        <v>0</v>
      </c>
      <c r="DC41" s="313">
        <f>IF($BI41&lt;&gt;"",IF('Capacity summary'!$D$14="Yes",IF(COUNTBLANK('Capacity summary'!$H160:$BG160)&lt;52,IF('Capacity summary'!AZ160&lt;&gt;"",IF(LOWER('Capacity summary'!AZ160)="x",$BI41*AZ41,VALUE('Capacity summary'!AZ160)),0),AZ41*$BI41),AZ41*$BI41),0)</f>
        <v>0</v>
      </c>
      <c r="DD41" s="313">
        <f>IF($BI41&lt;&gt;"",IF('Capacity summary'!$D$14="Yes",IF(COUNTBLANK('Capacity summary'!$H160:$BG160)&lt;52,IF('Capacity summary'!BA160&lt;&gt;"",IF(LOWER('Capacity summary'!BA160)="x",$BI41*BA41,VALUE('Capacity summary'!BA160)),0),BA41*$BI41),BA41*$BI41),0)</f>
        <v>0</v>
      </c>
      <c r="DE41" s="313">
        <f>IF($BI41&lt;&gt;"",IF('Capacity summary'!$D$14="Yes",IF(COUNTBLANK('Capacity summary'!$H160:$BG160)&lt;52,IF('Capacity summary'!BB160&lt;&gt;"",IF(LOWER('Capacity summary'!BB160)="x",$BI41*BB41,VALUE('Capacity summary'!BB160)),0),BB41*$BI41),BB41*$BI41),0)</f>
        <v>0</v>
      </c>
      <c r="DF41" s="313">
        <f>IF($BI41&lt;&gt;"",IF('Capacity summary'!$D$14="Yes",IF(COUNTBLANK('Capacity summary'!$H160:$BG160)&lt;52,IF('Capacity summary'!BC160&lt;&gt;"",IF(LOWER('Capacity summary'!BC160)="x",$BI41*BC41,VALUE('Capacity summary'!BC160)),0),BC41*$BI41),BC41*$BI41),0)</f>
        <v>0</v>
      </c>
      <c r="DG41" s="313">
        <f>IF($BI41&lt;&gt;"",IF('Capacity summary'!$D$14="Yes",IF(COUNTBLANK('Capacity summary'!$H160:$BG160)&lt;52,IF('Capacity summary'!BD160&lt;&gt;"",IF(LOWER('Capacity summary'!BD160)="x",$BI41*BD41,VALUE('Capacity summary'!BD160)),0),BD41*$BI41),BD41*$BI41),0)</f>
        <v>0</v>
      </c>
      <c r="DH41" s="313">
        <f>IF($BI41&lt;&gt;"",IF('Capacity summary'!$D$14="Yes",IF(COUNTBLANK('Capacity summary'!$H160:$BG160)&lt;52,IF('Capacity summary'!BE160&lt;&gt;"",IF(LOWER('Capacity summary'!BE160)="x",$BI41*BE41,VALUE('Capacity summary'!BE160)),0),BE41*$BI41),BE41*$BI41),0)</f>
        <v>0</v>
      </c>
      <c r="DI41" s="313">
        <f>IF($BI41&lt;&gt;"",IF('Capacity summary'!$D$14="Yes",IF(COUNTBLANK('Capacity summary'!$H160:$BG160)&lt;52,IF('Capacity summary'!BF160&lt;&gt;"",IF(LOWER('Capacity summary'!BF160)="x",$BI41*BF41,VALUE('Capacity summary'!BF160)),0),BF41*$BI41),BF41*$BI41),0)</f>
        <v>0</v>
      </c>
      <c r="DJ41" s="313">
        <f>IF($BI41&lt;&gt;"",IF('Capacity summary'!$D$14="Yes",IF(COUNTBLANK('Capacity summary'!$H160:$BG160)&lt;52,IF('Capacity summary'!BG160&lt;&gt;"",IF(LOWER('Capacity summary'!BG160)="x",$BI41*BG41,VALUE('Capacity summary'!BG160)),0),BG41*$BI41),BG41*$BI41),0)</f>
        <v>0</v>
      </c>
      <c r="DK41" s="137">
        <f t="shared" si="2"/>
        <v>0</v>
      </c>
      <c r="DL41" s="313" t="str">
        <f>Capacity!H53</f>
        <v/>
      </c>
      <c r="DP41" s="5"/>
    </row>
    <row r="42" spans="2:120" x14ac:dyDescent="0.25">
      <c r="B42" s="67"/>
      <c r="C42" s="67" t="str">
        <f>ROW(A38)&amp;". "&amp;Capacity!B54</f>
        <v xml:space="preserve">38. </v>
      </c>
      <c r="D42" s="67">
        <f>'Capacity setup'!C49</f>
        <v>0</v>
      </c>
      <c r="E42" s="67">
        <f>'Capacity setup'!D49</f>
        <v>0</v>
      </c>
      <c r="F42" s="67">
        <f>'Capacity setup'!E49</f>
        <v>0</v>
      </c>
      <c r="H42" s="67">
        <f ca="1">IF(AND(SUMIF(Capacity_Resource,$D42,'Critical resources (hide)'!U$6:U$105)+SUMIF(Capacity_Resource,$E42,'Critical resources (hide)'!U$6:U$105)+SUMIF(Capacity_Resource,$F42,'Critical resources (hide)'!U$6:U$105)&gt;0,$E$1=2),0,1)</f>
        <v>1</v>
      </c>
      <c r="I42" s="67">
        <f ca="1">IF(AND(SUMIF(Capacity_Resource,$D42,'Critical resources (hide)'!V$6:V$105)+SUMIF(Capacity_Resource,$E42,'Critical resources (hide)'!V$6:V$105)+SUMIF(Capacity_Resource,$F42,'Critical resources (hide)'!V$6:V$105)&gt;0,$E$1=2),0,1)</f>
        <v>1</v>
      </c>
      <c r="J42" s="67">
        <f ca="1">IF(AND(SUMIF(Capacity_Resource,$D42,'Critical resources (hide)'!W$6:W$105)+SUMIF(Capacity_Resource,$E42,'Critical resources (hide)'!W$6:W$105)+SUMIF(Capacity_Resource,$F42,'Critical resources (hide)'!W$6:W$105)&gt;0,$E$1=2),0,1)</f>
        <v>1</v>
      </c>
      <c r="K42" s="67">
        <f ca="1">IF(AND(SUMIF(Capacity_Resource,$D42,'Critical resources (hide)'!X$6:X$105)+SUMIF(Capacity_Resource,$E42,'Critical resources (hide)'!X$6:X$105)+SUMIF(Capacity_Resource,$F42,'Critical resources (hide)'!X$6:X$105)&gt;0,$E$1=2),0,1)</f>
        <v>1</v>
      </c>
      <c r="L42" s="67">
        <f ca="1">IF(AND(SUMIF(Capacity_Resource,$D42,'Critical resources (hide)'!Y$6:Y$105)+SUMIF(Capacity_Resource,$E42,'Critical resources (hide)'!Y$6:Y$105)+SUMIF(Capacity_Resource,$F42,'Critical resources (hide)'!Y$6:Y$105)&gt;0,$E$1=2),0,1)</f>
        <v>1</v>
      </c>
      <c r="M42" s="67">
        <f ca="1">IF(AND(SUMIF(Capacity_Resource,$D42,'Critical resources (hide)'!Z$6:Z$105)+SUMIF(Capacity_Resource,$E42,'Critical resources (hide)'!Z$6:Z$105)+SUMIF(Capacity_Resource,$F42,'Critical resources (hide)'!Z$6:Z$105)&gt;0,$E$1=2),0,1)</f>
        <v>1</v>
      </c>
      <c r="N42" s="67">
        <f ca="1">IF(AND(SUMIF(Capacity_Resource,$D42,'Critical resources (hide)'!AA$6:AA$105)+SUMIF(Capacity_Resource,$E42,'Critical resources (hide)'!AA$6:AA$105)+SUMIF(Capacity_Resource,$F42,'Critical resources (hide)'!AA$6:AA$105)&gt;0,$E$1=2),0,1)</f>
        <v>1</v>
      </c>
      <c r="O42" s="67">
        <f ca="1">IF(AND(SUMIF(Capacity_Resource,$D42,'Critical resources (hide)'!AB$6:AB$105)+SUMIF(Capacity_Resource,$E42,'Critical resources (hide)'!AB$6:AB$105)+SUMIF(Capacity_Resource,$F42,'Critical resources (hide)'!AB$6:AB$105)&gt;0,$E$1=2),0,1)</f>
        <v>1</v>
      </c>
      <c r="P42" s="67">
        <f ca="1">IF(AND(SUMIF(Capacity_Resource,$D42,'Critical resources (hide)'!AC$6:AC$105)+SUMIF(Capacity_Resource,$E42,'Critical resources (hide)'!AC$6:AC$105)+SUMIF(Capacity_Resource,$F42,'Critical resources (hide)'!AC$6:AC$105)&gt;0,$E$1=2),0,1)</f>
        <v>1</v>
      </c>
      <c r="Q42" s="67">
        <f ca="1">IF(AND(SUMIF(Capacity_Resource,$D42,'Critical resources (hide)'!AD$6:AD$105)+SUMIF(Capacity_Resource,$E42,'Critical resources (hide)'!AD$6:AD$105)+SUMIF(Capacity_Resource,$F42,'Critical resources (hide)'!AD$6:AD$105)&gt;0,$E$1=2),0,1)</f>
        <v>1</v>
      </c>
      <c r="R42" s="67">
        <f ca="1">IF(AND(SUMIF(Capacity_Resource,$D42,'Critical resources (hide)'!AE$6:AE$105)+SUMIF(Capacity_Resource,$E42,'Critical resources (hide)'!AE$6:AE$105)+SUMIF(Capacity_Resource,$F42,'Critical resources (hide)'!AE$6:AE$105)&gt;0,$E$1=2),0,1)</f>
        <v>1</v>
      </c>
      <c r="S42" s="67">
        <f ca="1">IF(AND(SUMIF(Capacity_Resource,$D42,'Critical resources (hide)'!AF$6:AF$105)+SUMIF(Capacity_Resource,$E42,'Critical resources (hide)'!AF$6:AF$105)+SUMIF(Capacity_Resource,$F42,'Critical resources (hide)'!AF$6:AF$105)&gt;0,$E$1=2),0,1)</f>
        <v>1</v>
      </c>
      <c r="T42" s="67">
        <f ca="1">IF(AND(SUMIF(Capacity_Resource,$D42,'Critical resources (hide)'!AG$6:AG$105)+SUMIF(Capacity_Resource,$E42,'Critical resources (hide)'!AG$6:AG$105)+SUMIF(Capacity_Resource,$F42,'Critical resources (hide)'!AG$6:AG$105)&gt;0,$E$1=2),0,1)</f>
        <v>1</v>
      </c>
      <c r="U42" s="67">
        <f ca="1">IF(AND(SUMIF(Capacity_Resource,$D42,'Critical resources (hide)'!AH$6:AH$105)+SUMIF(Capacity_Resource,$E42,'Critical resources (hide)'!AH$6:AH$105)+SUMIF(Capacity_Resource,$F42,'Critical resources (hide)'!AH$6:AH$105)&gt;0,$E$1=2),0,1)</f>
        <v>1</v>
      </c>
      <c r="V42" s="67">
        <f ca="1">IF(AND(SUMIF(Capacity_Resource,$D42,'Critical resources (hide)'!AI$6:AI$105)+SUMIF(Capacity_Resource,$E42,'Critical resources (hide)'!AI$6:AI$105)+SUMIF(Capacity_Resource,$F42,'Critical resources (hide)'!AI$6:AI$105)&gt;0,$E$1=2),0,1)</f>
        <v>1</v>
      </c>
      <c r="W42" s="67">
        <f ca="1">IF(AND(SUMIF(Capacity_Resource,$D42,'Critical resources (hide)'!AJ$6:AJ$105)+SUMIF(Capacity_Resource,$E42,'Critical resources (hide)'!AJ$6:AJ$105)+SUMIF(Capacity_Resource,$F42,'Critical resources (hide)'!AJ$6:AJ$105)&gt;0,$E$1=2),0,1)</f>
        <v>1</v>
      </c>
      <c r="X42" s="67">
        <f ca="1">IF(AND(SUMIF(Capacity_Resource,$D42,'Critical resources (hide)'!AK$6:AK$105)+SUMIF(Capacity_Resource,$E42,'Critical resources (hide)'!AK$6:AK$105)+SUMIF(Capacity_Resource,$F42,'Critical resources (hide)'!AK$6:AK$105)&gt;0,$E$1=2),0,1)</f>
        <v>1</v>
      </c>
      <c r="Y42" s="67">
        <f ca="1">IF(AND(SUMIF(Capacity_Resource,$D42,'Critical resources (hide)'!AL$6:AL$105)+SUMIF(Capacity_Resource,$E42,'Critical resources (hide)'!AL$6:AL$105)+SUMIF(Capacity_Resource,$F42,'Critical resources (hide)'!AL$6:AL$105)&gt;0,$E$1=2),0,1)</f>
        <v>1</v>
      </c>
      <c r="Z42" s="67">
        <f ca="1">IF(AND(SUMIF(Capacity_Resource,$D42,'Critical resources (hide)'!AM$6:AM$105)+SUMIF(Capacity_Resource,$E42,'Critical resources (hide)'!AM$6:AM$105)+SUMIF(Capacity_Resource,$F42,'Critical resources (hide)'!AM$6:AM$105)&gt;0,$E$1=2),0,1)</f>
        <v>1</v>
      </c>
      <c r="AA42" s="67">
        <f ca="1">IF(AND(SUMIF(Capacity_Resource,$D42,'Critical resources (hide)'!AN$6:AN$105)+SUMIF(Capacity_Resource,$E42,'Critical resources (hide)'!AN$6:AN$105)+SUMIF(Capacity_Resource,$F42,'Critical resources (hide)'!AN$6:AN$105)&gt;0,$E$1=2),0,1)</f>
        <v>1</v>
      </c>
      <c r="AB42" s="67">
        <f ca="1">IF(AND(SUMIF(Capacity_Resource,$D42,'Critical resources (hide)'!AO$6:AO$105)+SUMIF(Capacity_Resource,$E42,'Critical resources (hide)'!AO$6:AO$105)+SUMIF(Capacity_Resource,$F42,'Critical resources (hide)'!AO$6:AO$105)&gt;0,$E$1=2),0,1)</f>
        <v>1</v>
      </c>
      <c r="AC42" s="67">
        <f ca="1">IF(AND(SUMIF(Capacity_Resource,$D42,'Critical resources (hide)'!AP$6:AP$105)+SUMIF(Capacity_Resource,$E42,'Critical resources (hide)'!AP$6:AP$105)+SUMIF(Capacity_Resource,$F42,'Critical resources (hide)'!AP$6:AP$105)&gt;0,$E$1=2),0,1)</f>
        <v>1</v>
      </c>
      <c r="AD42" s="67">
        <f ca="1">IF(AND(SUMIF(Capacity_Resource,$D42,'Critical resources (hide)'!AQ$6:AQ$105)+SUMIF(Capacity_Resource,$E42,'Critical resources (hide)'!AQ$6:AQ$105)+SUMIF(Capacity_Resource,$F42,'Critical resources (hide)'!AQ$6:AQ$105)&gt;0,$E$1=2),0,1)</f>
        <v>1</v>
      </c>
      <c r="AE42" s="67">
        <f ca="1">IF(AND(SUMIF(Capacity_Resource,$D42,'Critical resources (hide)'!AR$6:AR$105)+SUMIF(Capacity_Resource,$E42,'Critical resources (hide)'!AR$6:AR$105)+SUMIF(Capacity_Resource,$F42,'Critical resources (hide)'!AR$6:AR$105)&gt;0,$E$1=2),0,1)</f>
        <v>1</v>
      </c>
      <c r="AF42" s="67">
        <f ca="1">IF(AND(SUMIF(Capacity_Resource,$D42,'Critical resources (hide)'!AS$6:AS$105)+SUMIF(Capacity_Resource,$E42,'Critical resources (hide)'!AS$6:AS$105)+SUMIF(Capacity_Resource,$F42,'Critical resources (hide)'!AS$6:AS$105)&gt;0,$E$1=2),0,1)</f>
        <v>1</v>
      </c>
      <c r="AG42" s="67">
        <f ca="1">IF(AND(SUMIF(Capacity_Resource,$D42,'Critical resources (hide)'!AT$6:AT$105)+SUMIF(Capacity_Resource,$E42,'Critical resources (hide)'!AT$6:AT$105)+SUMIF(Capacity_Resource,$F42,'Critical resources (hide)'!AT$6:AT$105)&gt;0,$E$1=2),0,1)</f>
        <v>1</v>
      </c>
      <c r="AH42" s="67">
        <f ca="1">IF(AND(SUMIF(Capacity_Resource,$D42,'Critical resources (hide)'!AU$6:AU$105)+SUMIF(Capacity_Resource,$E42,'Critical resources (hide)'!AU$6:AU$105)+SUMIF(Capacity_Resource,$F42,'Critical resources (hide)'!AU$6:AU$105)&gt;0,$E$1=2),0,1)</f>
        <v>1</v>
      </c>
      <c r="AI42" s="67">
        <f ca="1">IF(AND(SUMIF(Capacity_Resource,$D42,'Critical resources (hide)'!AV$6:AV$105)+SUMIF(Capacity_Resource,$E42,'Critical resources (hide)'!AV$6:AV$105)+SUMIF(Capacity_Resource,$F42,'Critical resources (hide)'!AV$6:AV$105)&gt;0,$E$1=2),0,1)</f>
        <v>1</v>
      </c>
      <c r="AJ42" s="67">
        <f ca="1">IF(AND(SUMIF(Capacity_Resource,$D42,'Critical resources (hide)'!AW$6:AW$105)+SUMIF(Capacity_Resource,$E42,'Critical resources (hide)'!AW$6:AW$105)+SUMIF(Capacity_Resource,$F42,'Critical resources (hide)'!AW$6:AW$105)&gt;0,$E$1=2),0,1)</f>
        <v>1</v>
      </c>
      <c r="AK42" s="67">
        <f ca="1">IF(AND(SUMIF(Capacity_Resource,$D42,'Critical resources (hide)'!AX$6:AX$105)+SUMIF(Capacity_Resource,$E42,'Critical resources (hide)'!AX$6:AX$105)+SUMIF(Capacity_Resource,$F42,'Critical resources (hide)'!AX$6:AX$105)&gt;0,$E$1=2),0,1)</f>
        <v>1</v>
      </c>
      <c r="AL42" s="67">
        <f ca="1">IF(AND(SUMIF(Capacity_Resource,$D42,'Critical resources (hide)'!AY$6:AY$105)+SUMIF(Capacity_Resource,$E42,'Critical resources (hide)'!AY$6:AY$105)+SUMIF(Capacity_Resource,$F42,'Critical resources (hide)'!AY$6:AY$105)&gt;0,$E$1=2),0,1)</f>
        <v>1</v>
      </c>
      <c r="AM42" s="67">
        <f ca="1">IF(AND(SUMIF(Capacity_Resource,$D42,'Critical resources (hide)'!AZ$6:AZ$105)+SUMIF(Capacity_Resource,$E42,'Critical resources (hide)'!AZ$6:AZ$105)+SUMIF(Capacity_Resource,$F42,'Critical resources (hide)'!AZ$6:AZ$105)&gt;0,$E$1=2),0,1)</f>
        <v>1</v>
      </c>
      <c r="AN42" s="67">
        <f ca="1">IF(AND(SUMIF(Capacity_Resource,$D42,'Critical resources (hide)'!BA$6:BA$105)+SUMIF(Capacity_Resource,$E42,'Critical resources (hide)'!BA$6:BA$105)+SUMIF(Capacity_Resource,$F42,'Critical resources (hide)'!BA$6:BA$105)&gt;0,$E$1=2),0,1)</f>
        <v>1</v>
      </c>
      <c r="AO42" s="67">
        <f ca="1">IF(AND(SUMIF(Capacity_Resource,$D42,'Critical resources (hide)'!BB$6:BB$105)+SUMIF(Capacity_Resource,$E42,'Critical resources (hide)'!BB$6:BB$105)+SUMIF(Capacity_Resource,$F42,'Critical resources (hide)'!BB$6:BB$105)&gt;0,$E$1=2),0,1)</f>
        <v>1</v>
      </c>
      <c r="AP42" s="67">
        <f ca="1">IF(AND(SUMIF(Capacity_Resource,$D42,'Critical resources (hide)'!BC$6:BC$105)+SUMIF(Capacity_Resource,$E42,'Critical resources (hide)'!BC$6:BC$105)+SUMIF(Capacity_Resource,$F42,'Critical resources (hide)'!BC$6:BC$105)&gt;0,$E$1=2),0,1)</f>
        <v>1</v>
      </c>
      <c r="AQ42" s="67">
        <f ca="1">IF(AND(SUMIF(Capacity_Resource,$D42,'Critical resources (hide)'!BD$6:BD$105)+SUMIF(Capacity_Resource,$E42,'Critical resources (hide)'!BD$6:BD$105)+SUMIF(Capacity_Resource,$F42,'Critical resources (hide)'!BD$6:BD$105)&gt;0,$E$1=2),0,1)</f>
        <v>1</v>
      </c>
      <c r="AR42" s="67">
        <f ca="1">IF(AND(SUMIF(Capacity_Resource,$D42,'Critical resources (hide)'!BE$6:BE$105)+SUMIF(Capacity_Resource,$E42,'Critical resources (hide)'!BE$6:BE$105)+SUMIF(Capacity_Resource,$F42,'Critical resources (hide)'!BE$6:BE$105)&gt;0,$E$1=2),0,1)</f>
        <v>1</v>
      </c>
      <c r="AS42" s="67">
        <f ca="1">IF(AND(SUMIF(Capacity_Resource,$D42,'Critical resources (hide)'!BF$6:BF$105)+SUMIF(Capacity_Resource,$E42,'Critical resources (hide)'!BF$6:BF$105)+SUMIF(Capacity_Resource,$F42,'Critical resources (hide)'!BF$6:BF$105)&gt;0,$E$1=2),0,1)</f>
        <v>1</v>
      </c>
      <c r="AT42" s="67">
        <f ca="1">IF(AND(SUMIF(Capacity_Resource,$D42,'Critical resources (hide)'!BG$6:BG$105)+SUMIF(Capacity_Resource,$E42,'Critical resources (hide)'!BG$6:BG$105)+SUMIF(Capacity_Resource,$F42,'Critical resources (hide)'!BG$6:BG$105)&gt;0,$E$1=2),0,1)</f>
        <v>1</v>
      </c>
      <c r="AU42" s="67">
        <f ca="1">IF(AND(SUMIF(Capacity_Resource,$D42,'Critical resources (hide)'!BH$6:BH$105)+SUMIF(Capacity_Resource,$E42,'Critical resources (hide)'!BH$6:BH$105)+SUMIF(Capacity_Resource,$F42,'Critical resources (hide)'!BH$6:BH$105)&gt;0,$E$1=2),0,1)</f>
        <v>1</v>
      </c>
      <c r="AV42" s="67">
        <f ca="1">IF(AND(SUMIF(Capacity_Resource,$D42,'Critical resources (hide)'!BI$6:BI$105)+SUMIF(Capacity_Resource,$E42,'Critical resources (hide)'!BI$6:BI$105)+SUMIF(Capacity_Resource,$F42,'Critical resources (hide)'!BI$6:BI$105)&gt;0,$E$1=2),0,1)</f>
        <v>1</v>
      </c>
      <c r="AW42" s="67">
        <f ca="1">IF(AND(SUMIF(Capacity_Resource,$D42,'Critical resources (hide)'!BJ$6:BJ$105)+SUMIF(Capacity_Resource,$E42,'Critical resources (hide)'!BJ$6:BJ$105)+SUMIF(Capacity_Resource,$F42,'Critical resources (hide)'!BJ$6:BJ$105)&gt;0,$E$1=2),0,1)</f>
        <v>1</v>
      </c>
      <c r="AX42" s="67">
        <f ca="1">IF(AND(SUMIF(Capacity_Resource,$D42,'Critical resources (hide)'!BK$6:BK$105)+SUMIF(Capacity_Resource,$E42,'Critical resources (hide)'!BK$6:BK$105)+SUMIF(Capacity_Resource,$F42,'Critical resources (hide)'!BK$6:BK$105)&gt;0,$E$1=2),0,1)</f>
        <v>1</v>
      </c>
      <c r="AY42" s="67">
        <f ca="1">IF(AND(SUMIF(Capacity_Resource,$D42,'Critical resources (hide)'!BL$6:BL$105)+SUMIF(Capacity_Resource,$E42,'Critical resources (hide)'!BL$6:BL$105)+SUMIF(Capacity_Resource,$F42,'Critical resources (hide)'!BL$6:BL$105)&gt;0,$E$1=2),0,1)</f>
        <v>1</v>
      </c>
      <c r="AZ42" s="67">
        <f ca="1">IF(AND(SUMIF(Capacity_Resource,$D42,'Critical resources (hide)'!BM$6:BM$105)+SUMIF(Capacity_Resource,$E42,'Critical resources (hide)'!BM$6:BM$105)+SUMIF(Capacity_Resource,$F42,'Critical resources (hide)'!BM$6:BM$105)&gt;0,$E$1=2),0,1)</f>
        <v>1</v>
      </c>
      <c r="BA42" s="67">
        <f ca="1">IF(AND(SUMIF(Capacity_Resource,$D42,'Critical resources (hide)'!BN$6:BN$105)+SUMIF(Capacity_Resource,$E42,'Critical resources (hide)'!BN$6:BN$105)+SUMIF(Capacity_Resource,$F42,'Critical resources (hide)'!BN$6:BN$105)&gt;0,$E$1=2),0,1)</f>
        <v>1</v>
      </c>
      <c r="BB42" s="67">
        <f ca="1">IF(AND(SUMIF(Capacity_Resource,$D42,'Critical resources (hide)'!BO$6:BO$105)+SUMIF(Capacity_Resource,$E42,'Critical resources (hide)'!BO$6:BO$105)+SUMIF(Capacity_Resource,$F42,'Critical resources (hide)'!BO$6:BO$105)&gt;0,$E$1=2),0,1)</f>
        <v>1</v>
      </c>
      <c r="BC42" s="67">
        <f ca="1">IF(AND(SUMIF(Capacity_Resource,$D42,'Critical resources (hide)'!BP$6:BP$105)+SUMIF(Capacity_Resource,$E42,'Critical resources (hide)'!BP$6:BP$105)+SUMIF(Capacity_Resource,$F42,'Critical resources (hide)'!BP$6:BP$105)&gt;0,$E$1=2),0,1)</f>
        <v>1</v>
      </c>
      <c r="BD42" s="67">
        <f ca="1">IF(AND(SUMIF(Capacity_Resource,$D42,'Critical resources (hide)'!BQ$6:BQ$105)+SUMIF(Capacity_Resource,$E42,'Critical resources (hide)'!BQ$6:BQ$105)+SUMIF(Capacity_Resource,$F42,'Critical resources (hide)'!BQ$6:BQ$105)&gt;0,$E$1=2),0,1)</f>
        <v>1</v>
      </c>
      <c r="BE42" s="67">
        <f ca="1">IF(AND(SUMIF(Capacity_Resource,$D42,'Critical resources (hide)'!BR$6:BR$105)+SUMIF(Capacity_Resource,$E42,'Critical resources (hide)'!BR$6:BR$105)+SUMIF(Capacity_Resource,$F42,'Critical resources (hide)'!BR$6:BR$105)&gt;0,$E$1=2),0,1)</f>
        <v>1</v>
      </c>
      <c r="BF42" s="67">
        <f ca="1">IF(AND(SUMIF(Capacity_Resource,$D42,'Critical resources (hide)'!BS$6:BS$105)+SUMIF(Capacity_Resource,$E42,'Critical resources (hide)'!BS$6:BS$105)+SUMIF(Capacity_Resource,$F42,'Critical resources (hide)'!BS$6:BS$105)&gt;0,$E$1=2),0,1)</f>
        <v>1</v>
      </c>
      <c r="BG42" s="67">
        <f ca="1">IF(AND(SUMIF(Capacity_Resource,$D42,'Critical resources (hide)'!BT$6:BT$105)+SUMIF(Capacity_Resource,$E42,'Critical resources (hide)'!BT$6:BT$105)+SUMIF(Capacity_Resource,$F42,'Critical resources (hide)'!BT$6:BT$105)&gt;0,$E$1=2),0,1)</f>
        <v>1</v>
      </c>
      <c r="BH42" s="67">
        <f>IF(ROW(C38)&lt;=Capacity!$A$16,IF('Capacity summary'!$D$14="No",SUM(H42:BG42),'Capacity summary'!$E161),0)</f>
        <v>0</v>
      </c>
      <c r="BI42" s="5" t="str">
        <f>IF(BH42&gt;0,IF(BH42&lt;Capacity!E54,Capacity!F54,Capacity!H54/'Capacity calculation (hide)'!BH42),"")</f>
        <v/>
      </c>
      <c r="BK42" s="313">
        <f>IF($BI42&lt;&gt;"",IF('Capacity summary'!$D$14="Yes",IF(COUNTBLANK('Capacity summary'!$H161:$BG161)&lt;52,IF('Capacity summary'!H161&lt;&gt;"",IF(LOWER('Capacity summary'!H161)="x",$BI42*H42,VALUE('Capacity summary'!H161)),0),H42*$BI42),H42*$BI42),0)</f>
        <v>0</v>
      </c>
      <c r="BL42" s="313">
        <f>IF($BI42&lt;&gt;"",IF('Capacity summary'!$D$14="Yes",IF(COUNTBLANK('Capacity summary'!$H161:$BG161)&lt;52,IF('Capacity summary'!I161&lt;&gt;"",IF(LOWER('Capacity summary'!I161)="x",$BI42*I42,VALUE('Capacity summary'!I161)),0),I42*$BI42),I42*$BI42),0)</f>
        <v>0</v>
      </c>
      <c r="BM42" s="313">
        <f>IF($BI42&lt;&gt;"",IF('Capacity summary'!$D$14="Yes",IF(COUNTBLANK('Capacity summary'!$H161:$BG161)&lt;52,IF('Capacity summary'!J161&lt;&gt;"",IF(LOWER('Capacity summary'!J161)="x",$BI42*J42,VALUE('Capacity summary'!J161)),0),J42*$BI42),J42*$BI42),0)</f>
        <v>0</v>
      </c>
      <c r="BN42" s="313">
        <f>IF($BI42&lt;&gt;"",IF('Capacity summary'!$D$14="Yes",IF(COUNTBLANK('Capacity summary'!$H161:$BG161)&lt;52,IF('Capacity summary'!K161&lt;&gt;"",IF(LOWER('Capacity summary'!K161)="x",$BI42*K42,VALUE('Capacity summary'!K161)),0),K42*$BI42),K42*$BI42),0)</f>
        <v>0</v>
      </c>
      <c r="BO42" s="313">
        <f>IF($BI42&lt;&gt;"",IF('Capacity summary'!$D$14="Yes",IF(COUNTBLANK('Capacity summary'!$H161:$BG161)&lt;52,IF('Capacity summary'!L161&lt;&gt;"",IF(LOWER('Capacity summary'!L161)="x",$BI42*L42,VALUE('Capacity summary'!L161)),0),L42*$BI42),L42*$BI42),0)</f>
        <v>0</v>
      </c>
      <c r="BP42" s="313">
        <f>IF($BI42&lt;&gt;"",IF('Capacity summary'!$D$14="Yes",IF(COUNTBLANK('Capacity summary'!$H161:$BG161)&lt;52,IF('Capacity summary'!M161&lt;&gt;"",IF(LOWER('Capacity summary'!M161)="x",$BI42*M42,VALUE('Capacity summary'!M161)),0),M42*$BI42),M42*$BI42),0)</f>
        <v>0</v>
      </c>
      <c r="BQ42" s="313">
        <f>IF($BI42&lt;&gt;"",IF('Capacity summary'!$D$14="Yes",IF(COUNTBLANK('Capacity summary'!$H161:$BG161)&lt;52,IF('Capacity summary'!N161&lt;&gt;"",IF(LOWER('Capacity summary'!N161)="x",$BI42*N42,VALUE('Capacity summary'!N161)),0),N42*$BI42),N42*$BI42),0)</f>
        <v>0</v>
      </c>
      <c r="BR42" s="313">
        <f>IF($BI42&lt;&gt;"",IF('Capacity summary'!$D$14="Yes",IF(COUNTBLANK('Capacity summary'!$H161:$BG161)&lt;52,IF('Capacity summary'!O161&lt;&gt;"",IF(LOWER('Capacity summary'!O161)="x",$BI42*O42,VALUE('Capacity summary'!O161)),0),O42*$BI42),O42*$BI42),0)</f>
        <v>0</v>
      </c>
      <c r="BS42" s="313">
        <f>IF($BI42&lt;&gt;"",IF('Capacity summary'!$D$14="Yes",IF(COUNTBLANK('Capacity summary'!$H161:$BG161)&lt;52,IF('Capacity summary'!P161&lt;&gt;"",IF(LOWER('Capacity summary'!P161)="x",$BI42*P42,VALUE('Capacity summary'!P161)),0),P42*$BI42),P42*$BI42),0)</f>
        <v>0</v>
      </c>
      <c r="BT42" s="313">
        <f>IF($BI42&lt;&gt;"",IF('Capacity summary'!$D$14="Yes",IF(COUNTBLANK('Capacity summary'!$H161:$BG161)&lt;52,IF('Capacity summary'!Q161&lt;&gt;"",IF(LOWER('Capacity summary'!Q161)="x",$BI42*Q42,VALUE('Capacity summary'!Q161)),0),Q42*$BI42),Q42*$BI42),0)</f>
        <v>0</v>
      </c>
      <c r="BU42" s="313">
        <f>IF($BI42&lt;&gt;"",IF('Capacity summary'!$D$14="Yes",IF(COUNTBLANK('Capacity summary'!$H161:$BG161)&lt;52,IF('Capacity summary'!R161&lt;&gt;"",IF(LOWER('Capacity summary'!R161)="x",$BI42*R42,VALUE('Capacity summary'!R161)),0),R42*$BI42),R42*$BI42),0)</f>
        <v>0</v>
      </c>
      <c r="BV42" s="313">
        <f>IF($BI42&lt;&gt;"",IF('Capacity summary'!$D$14="Yes",IF(COUNTBLANK('Capacity summary'!$H161:$BG161)&lt;52,IF('Capacity summary'!S161&lt;&gt;"",IF(LOWER('Capacity summary'!S161)="x",$BI42*S42,VALUE('Capacity summary'!S161)),0),S42*$BI42),S42*$BI42),0)</f>
        <v>0</v>
      </c>
      <c r="BW42" s="313">
        <f>IF($BI42&lt;&gt;"",IF('Capacity summary'!$D$14="Yes",IF(COUNTBLANK('Capacity summary'!$H161:$BG161)&lt;52,IF('Capacity summary'!T161&lt;&gt;"",IF(LOWER('Capacity summary'!T161)="x",$BI42*T42,VALUE('Capacity summary'!T161)),0),T42*$BI42),T42*$BI42),0)</f>
        <v>0</v>
      </c>
      <c r="BX42" s="313">
        <f>IF($BI42&lt;&gt;"",IF('Capacity summary'!$D$14="Yes",IF(COUNTBLANK('Capacity summary'!$H161:$BG161)&lt;52,IF('Capacity summary'!U161&lt;&gt;"",IF(LOWER('Capacity summary'!U161)="x",$BI42*U42,VALUE('Capacity summary'!U161)),0),U42*$BI42),U42*$BI42),0)</f>
        <v>0</v>
      </c>
      <c r="BY42" s="313">
        <f>IF($BI42&lt;&gt;"",IF('Capacity summary'!$D$14="Yes",IF(COUNTBLANK('Capacity summary'!$H161:$BG161)&lt;52,IF('Capacity summary'!V161&lt;&gt;"",IF(LOWER('Capacity summary'!V161)="x",$BI42*V42,VALUE('Capacity summary'!V161)),0),V42*$BI42),V42*$BI42),0)</f>
        <v>0</v>
      </c>
      <c r="BZ42" s="313">
        <f>IF($BI42&lt;&gt;"",IF('Capacity summary'!$D$14="Yes",IF(COUNTBLANK('Capacity summary'!$H161:$BG161)&lt;52,IF('Capacity summary'!W161&lt;&gt;"",IF(LOWER('Capacity summary'!W161)="x",$BI42*W42,VALUE('Capacity summary'!W161)),0),W42*$BI42),W42*$BI42),0)</f>
        <v>0</v>
      </c>
      <c r="CA42" s="313">
        <f>IF($BI42&lt;&gt;"",IF('Capacity summary'!$D$14="Yes",IF(COUNTBLANK('Capacity summary'!$H161:$BG161)&lt;52,IF('Capacity summary'!X161&lt;&gt;"",IF(LOWER('Capacity summary'!X161)="x",$BI42*X42,VALUE('Capacity summary'!X161)),0),X42*$BI42),X42*$BI42),0)</f>
        <v>0</v>
      </c>
      <c r="CB42" s="313">
        <f>IF($BI42&lt;&gt;"",IF('Capacity summary'!$D$14="Yes",IF(COUNTBLANK('Capacity summary'!$H161:$BG161)&lt;52,IF('Capacity summary'!Y161&lt;&gt;"",IF(LOWER('Capacity summary'!Y161)="x",$BI42*Y42,VALUE('Capacity summary'!Y161)),0),Y42*$BI42),Y42*$BI42),0)</f>
        <v>0</v>
      </c>
      <c r="CC42" s="313">
        <f>IF($BI42&lt;&gt;"",IF('Capacity summary'!$D$14="Yes",IF(COUNTBLANK('Capacity summary'!$H161:$BG161)&lt;52,IF('Capacity summary'!Z161&lt;&gt;"",IF(LOWER('Capacity summary'!Z161)="x",$BI42*Z42,VALUE('Capacity summary'!Z161)),0),Z42*$BI42),Z42*$BI42),0)</f>
        <v>0</v>
      </c>
      <c r="CD42" s="313">
        <f>IF($BI42&lt;&gt;"",IF('Capacity summary'!$D$14="Yes",IF(COUNTBLANK('Capacity summary'!$H161:$BG161)&lt;52,IF('Capacity summary'!AA161&lt;&gt;"",IF(LOWER('Capacity summary'!AA161)="x",$BI42*AA42,VALUE('Capacity summary'!AA161)),0),AA42*$BI42),AA42*$BI42),0)</f>
        <v>0</v>
      </c>
      <c r="CE42" s="313">
        <f>IF($BI42&lt;&gt;"",IF('Capacity summary'!$D$14="Yes",IF(COUNTBLANK('Capacity summary'!$H161:$BG161)&lt;52,IF('Capacity summary'!AB161&lt;&gt;"",IF(LOWER('Capacity summary'!AB161)="x",$BI42*AB42,VALUE('Capacity summary'!AB161)),0),AB42*$BI42),AB42*$BI42),0)</f>
        <v>0</v>
      </c>
      <c r="CF42" s="313">
        <f>IF($BI42&lt;&gt;"",IF('Capacity summary'!$D$14="Yes",IF(COUNTBLANK('Capacity summary'!$H161:$BG161)&lt;52,IF('Capacity summary'!AC161&lt;&gt;"",IF(LOWER('Capacity summary'!AC161)="x",$BI42*AC42,VALUE('Capacity summary'!AC161)),0),AC42*$BI42),AC42*$BI42),0)</f>
        <v>0</v>
      </c>
      <c r="CG42" s="313">
        <f>IF($BI42&lt;&gt;"",IF('Capacity summary'!$D$14="Yes",IF(COUNTBLANK('Capacity summary'!$H161:$BG161)&lt;52,IF('Capacity summary'!AD161&lt;&gt;"",IF(LOWER('Capacity summary'!AD161)="x",$BI42*AD42,VALUE('Capacity summary'!AD161)),0),AD42*$BI42),AD42*$BI42),0)</f>
        <v>0</v>
      </c>
      <c r="CH42" s="313">
        <f>IF($BI42&lt;&gt;"",IF('Capacity summary'!$D$14="Yes",IF(COUNTBLANK('Capacity summary'!$H161:$BG161)&lt;52,IF('Capacity summary'!AE161&lt;&gt;"",IF(LOWER('Capacity summary'!AE161)="x",$BI42*AE42,VALUE('Capacity summary'!AE161)),0),AE42*$BI42),AE42*$BI42),0)</f>
        <v>0</v>
      </c>
      <c r="CI42" s="313">
        <f>IF($BI42&lt;&gt;"",IF('Capacity summary'!$D$14="Yes",IF(COUNTBLANK('Capacity summary'!$H161:$BG161)&lt;52,IF('Capacity summary'!AF161&lt;&gt;"",IF(LOWER('Capacity summary'!AF161)="x",$BI42*AF42,VALUE('Capacity summary'!AF161)),0),AF42*$BI42),AF42*$BI42),0)</f>
        <v>0</v>
      </c>
      <c r="CJ42" s="313">
        <f>IF($BI42&lt;&gt;"",IF('Capacity summary'!$D$14="Yes",IF(COUNTBLANK('Capacity summary'!$H161:$BG161)&lt;52,IF('Capacity summary'!AG161&lt;&gt;"",IF(LOWER('Capacity summary'!AG161)="x",$BI42*AG42,VALUE('Capacity summary'!AG161)),0),AG42*$BI42),AG42*$BI42),0)</f>
        <v>0</v>
      </c>
      <c r="CK42" s="313">
        <f>IF($BI42&lt;&gt;"",IF('Capacity summary'!$D$14="Yes",IF(COUNTBLANK('Capacity summary'!$H161:$BG161)&lt;52,IF('Capacity summary'!AH161&lt;&gt;"",IF(LOWER('Capacity summary'!AH161)="x",$BI42*AH42,VALUE('Capacity summary'!AH161)),0),AH42*$BI42),AH42*$BI42),0)</f>
        <v>0</v>
      </c>
      <c r="CL42" s="313">
        <f>IF($BI42&lt;&gt;"",IF('Capacity summary'!$D$14="Yes",IF(COUNTBLANK('Capacity summary'!$H161:$BG161)&lt;52,IF('Capacity summary'!AI161&lt;&gt;"",IF(LOWER('Capacity summary'!AI161)="x",$BI42*AI42,VALUE('Capacity summary'!AI161)),0),AI42*$BI42),AI42*$BI42),0)</f>
        <v>0</v>
      </c>
      <c r="CM42" s="313">
        <f>IF($BI42&lt;&gt;"",IF('Capacity summary'!$D$14="Yes",IF(COUNTBLANK('Capacity summary'!$H161:$BG161)&lt;52,IF('Capacity summary'!AJ161&lt;&gt;"",IF(LOWER('Capacity summary'!AJ161)="x",$BI42*AJ42,VALUE('Capacity summary'!AJ161)),0),AJ42*$BI42),AJ42*$BI42),0)</f>
        <v>0</v>
      </c>
      <c r="CN42" s="313">
        <f>IF($BI42&lt;&gt;"",IF('Capacity summary'!$D$14="Yes",IF(COUNTBLANK('Capacity summary'!$H161:$BG161)&lt;52,IF('Capacity summary'!AK161&lt;&gt;"",IF(LOWER('Capacity summary'!AK161)="x",$BI42*AK42,VALUE('Capacity summary'!AK161)),0),AK42*$BI42),AK42*$BI42),0)</f>
        <v>0</v>
      </c>
      <c r="CO42" s="313">
        <f>IF($BI42&lt;&gt;"",IF('Capacity summary'!$D$14="Yes",IF(COUNTBLANK('Capacity summary'!$H161:$BG161)&lt;52,IF('Capacity summary'!AL161&lt;&gt;"",IF(LOWER('Capacity summary'!AL161)="x",$BI42*AL42,VALUE('Capacity summary'!AL161)),0),AL42*$BI42),AL42*$BI42),0)</f>
        <v>0</v>
      </c>
      <c r="CP42" s="313">
        <f>IF($BI42&lt;&gt;"",IF('Capacity summary'!$D$14="Yes",IF(COUNTBLANK('Capacity summary'!$H161:$BG161)&lt;52,IF('Capacity summary'!AM161&lt;&gt;"",IF(LOWER('Capacity summary'!AM161)="x",$BI42*AM42,VALUE('Capacity summary'!AM161)),0),AM42*$BI42),AM42*$BI42),0)</f>
        <v>0</v>
      </c>
      <c r="CQ42" s="313">
        <f>IF($BI42&lt;&gt;"",IF('Capacity summary'!$D$14="Yes",IF(COUNTBLANK('Capacity summary'!$H161:$BG161)&lt;52,IF('Capacity summary'!AN161&lt;&gt;"",IF(LOWER('Capacity summary'!AN161)="x",$BI42*AN42,VALUE('Capacity summary'!AN161)),0),AN42*$BI42),AN42*$BI42),0)</f>
        <v>0</v>
      </c>
      <c r="CR42" s="313">
        <f>IF($BI42&lt;&gt;"",IF('Capacity summary'!$D$14="Yes",IF(COUNTBLANK('Capacity summary'!$H161:$BG161)&lt;52,IF('Capacity summary'!AO161&lt;&gt;"",IF(LOWER('Capacity summary'!AO161)="x",$BI42*AO42,VALUE('Capacity summary'!AO161)),0),AO42*$BI42),AO42*$BI42),0)</f>
        <v>0</v>
      </c>
      <c r="CS42" s="313">
        <f>IF($BI42&lt;&gt;"",IF('Capacity summary'!$D$14="Yes",IF(COUNTBLANK('Capacity summary'!$H161:$BG161)&lt;52,IF('Capacity summary'!AP161&lt;&gt;"",IF(LOWER('Capacity summary'!AP161)="x",$BI42*AP42,VALUE('Capacity summary'!AP161)),0),AP42*$BI42),AP42*$BI42),0)</f>
        <v>0</v>
      </c>
      <c r="CT42" s="313">
        <f>IF($BI42&lt;&gt;"",IF('Capacity summary'!$D$14="Yes",IF(COUNTBLANK('Capacity summary'!$H161:$BG161)&lt;52,IF('Capacity summary'!AQ161&lt;&gt;"",IF(LOWER('Capacity summary'!AQ161)="x",$BI42*AQ42,VALUE('Capacity summary'!AQ161)),0),AQ42*$BI42),AQ42*$BI42),0)</f>
        <v>0</v>
      </c>
      <c r="CU42" s="313">
        <f>IF($BI42&lt;&gt;"",IF('Capacity summary'!$D$14="Yes",IF(COUNTBLANK('Capacity summary'!$H161:$BG161)&lt;52,IF('Capacity summary'!AR161&lt;&gt;"",IF(LOWER('Capacity summary'!AR161)="x",$BI42*AR42,VALUE('Capacity summary'!AR161)),0),AR42*$BI42),AR42*$BI42),0)</f>
        <v>0</v>
      </c>
      <c r="CV42" s="313">
        <f>IF($BI42&lt;&gt;"",IF('Capacity summary'!$D$14="Yes",IF(COUNTBLANK('Capacity summary'!$H161:$BG161)&lt;52,IF('Capacity summary'!AS161&lt;&gt;"",IF(LOWER('Capacity summary'!AS161)="x",$BI42*AS42,VALUE('Capacity summary'!AS161)),0),AS42*$BI42),AS42*$BI42),0)</f>
        <v>0</v>
      </c>
      <c r="CW42" s="313">
        <f>IF($BI42&lt;&gt;"",IF('Capacity summary'!$D$14="Yes",IF(COUNTBLANK('Capacity summary'!$H161:$BG161)&lt;52,IF('Capacity summary'!AT161&lt;&gt;"",IF(LOWER('Capacity summary'!AT161)="x",$BI42*AT42,VALUE('Capacity summary'!AT161)),0),AT42*$BI42),AT42*$BI42),0)</f>
        <v>0</v>
      </c>
      <c r="CX42" s="313">
        <f>IF($BI42&lt;&gt;"",IF('Capacity summary'!$D$14="Yes",IF(COUNTBLANK('Capacity summary'!$H161:$BG161)&lt;52,IF('Capacity summary'!AU161&lt;&gt;"",IF(LOWER('Capacity summary'!AU161)="x",$BI42*AU42,VALUE('Capacity summary'!AU161)),0),AU42*$BI42),AU42*$BI42),0)</f>
        <v>0</v>
      </c>
      <c r="CY42" s="313">
        <f>IF($BI42&lt;&gt;"",IF('Capacity summary'!$D$14="Yes",IF(COUNTBLANK('Capacity summary'!$H161:$BG161)&lt;52,IF('Capacity summary'!AV161&lt;&gt;"",IF(LOWER('Capacity summary'!AV161)="x",$BI42*AV42,VALUE('Capacity summary'!AV161)),0),AV42*$BI42),AV42*$BI42),0)</f>
        <v>0</v>
      </c>
      <c r="CZ42" s="313">
        <f>IF($BI42&lt;&gt;"",IF('Capacity summary'!$D$14="Yes",IF(COUNTBLANK('Capacity summary'!$H161:$BG161)&lt;52,IF('Capacity summary'!AW161&lt;&gt;"",IF(LOWER('Capacity summary'!AW161)="x",$BI42*AW42,VALUE('Capacity summary'!AW161)),0),AW42*$BI42),AW42*$BI42),0)</f>
        <v>0</v>
      </c>
      <c r="DA42" s="313">
        <f>IF($BI42&lt;&gt;"",IF('Capacity summary'!$D$14="Yes",IF(COUNTBLANK('Capacity summary'!$H161:$BG161)&lt;52,IF('Capacity summary'!AX161&lt;&gt;"",IF(LOWER('Capacity summary'!AX161)="x",$BI42*AX42,VALUE('Capacity summary'!AX161)),0),AX42*$BI42),AX42*$BI42),0)</f>
        <v>0</v>
      </c>
      <c r="DB42" s="313">
        <f>IF($BI42&lt;&gt;"",IF('Capacity summary'!$D$14="Yes",IF(COUNTBLANK('Capacity summary'!$H161:$BG161)&lt;52,IF('Capacity summary'!AY161&lt;&gt;"",IF(LOWER('Capacity summary'!AY161)="x",$BI42*AY42,VALUE('Capacity summary'!AY161)),0),AY42*$BI42),AY42*$BI42),0)</f>
        <v>0</v>
      </c>
      <c r="DC42" s="313">
        <f>IF($BI42&lt;&gt;"",IF('Capacity summary'!$D$14="Yes",IF(COUNTBLANK('Capacity summary'!$H161:$BG161)&lt;52,IF('Capacity summary'!AZ161&lt;&gt;"",IF(LOWER('Capacity summary'!AZ161)="x",$BI42*AZ42,VALUE('Capacity summary'!AZ161)),0),AZ42*$BI42),AZ42*$BI42),0)</f>
        <v>0</v>
      </c>
      <c r="DD42" s="313">
        <f>IF($BI42&lt;&gt;"",IF('Capacity summary'!$D$14="Yes",IF(COUNTBLANK('Capacity summary'!$H161:$BG161)&lt;52,IF('Capacity summary'!BA161&lt;&gt;"",IF(LOWER('Capacity summary'!BA161)="x",$BI42*BA42,VALUE('Capacity summary'!BA161)),0),BA42*$BI42),BA42*$BI42),0)</f>
        <v>0</v>
      </c>
      <c r="DE42" s="313">
        <f>IF($BI42&lt;&gt;"",IF('Capacity summary'!$D$14="Yes",IF(COUNTBLANK('Capacity summary'!$H161:$BG161)&lt;52,IF('Capacity summary'!BB161&lt;&gt;"",IF(LOWER('Capacity summary'!BB161)="x",$BI42*BB42,VALUE('Capacity summary'!BB161)),0),BB42*$BI42),BB42*$BI42),0)</f>
        <v>0</v>
      </c>
      <c r="DF42" s="313">
        <f>IF($BI42&lt;&gt;"",IF('Capacity summary'!$D$14="Yes",IF(COUNTBLANK('Capacity summary'!$H161:$BG161)&lt;52,IF('Capacity summary'!BC161&lt;&gt;"",IF(LOWER('Capacity summary'!BC161)="x",$BI42*BC42,VALUE('Capacity summary'!BC161)),0),BC42*$BI42),BC42*$BI42),0)</f>
        <v>0</v>
      </c>
      <c r="DG42" s="313">
        <f>IF($BI42&lt;&gt;"",IF('Capacity summary'!$D$14="Yes",IF(COUNTBLANK('Capacity summary'!$H161:$BG161)&lt;52,IF('Capacity summary'!BD161&lt;&gt;"",IF(LOWER('Capacity summary'!BD161)="x",$BI42*BD42,VALUE('Capacity summary'!BD161)),0),BD42*$BI42),BD42*$BI42),0)</f>
        <v>0</v>
      </c>
      <c r="DH42" s="313">
        <f>IF($BI42&lt;&gt;"",IF('Capacity summary'!$D$14="Yes",IF(COUNTBLANK('Capacity summary'!$H161:$BG161)&lt;52,IF('Capacity summary'!BE161&lt;&gt;"",IF(LOWER('Capacity summary'!BE161)="x",$BI42*BE42,VALUE('Capacity summary'!BE161)),0),BE42*$BI42),BE42*$BI42),0)</f>
        <v>0</v>
      </c>
      <c r="DI42" s="313">
        <f>IF($BI42&lt;&gt;"",IF('Capacity summary'!$D$14="Yes",IF(COUNTBLANK('Capacity summary'!$H161:$BG161)&lt;52,IF('Capacity summary'!BF161&lt;&gt;"",IF(LOWER('Capacity summary'!BF161)="x",$BI42*BF42,VALUE('Capacity summary'!BF161)),0),BF42*$BI42),BF42*$BI42),0)</f>
        <v>0</v>
      </c>
      <c r="DJ42" s="313">
        <f>IF($BI42&lt;&gt;"",IF('Capacity summary'!$D$14="Yes",IF(COUNTBLANK('Capacity summary'!$H161:$BG161)&lt;52,IF('Capacity summary'!BG161&lt;&gt;"",IF(LOWER('Capacity summary'!BG161)="x",$BI42*BG42,VALUE('Capacity summary'!BG161)),0),BG42*$BI42),BG42*$BI42),0)</f>
        <v>0</v>
      </c>
      <c r="DK42" s="137">
        <f t="shared" si="2"/>
        <v>0</v>
      </c>
      <c r="DL42" s="313" t="str">
        <f>Capacity!H54</f>
        <v/>
      </c>
      <c r="DP42" s="5"/>
    </row>
    <row r="43" spans="2:120" x14ac:dyDescent="0.25">
      <c r="B43" s="67"/>
      <c r="C43" s="67" t="str">
        <f>ROW(A39)&amp;". "&amp;Capacity!B55</f>
        <v xml:space="preserve">39. </v>
      </c>
      <c r="D43" s="67">
        <f>'Capacity setup'!C50</f>
        <v>0</v>
      </c>
      <c r="E43" s="67">
        <f>'Capacity setup'!D50</f>
        <v>0</v>
      </c>
      <c r="F43" s="67">
        <f>'Capacity setup'!E50</f>
        <v>0</v>
      </c>
      <c r="H43" s="67">
        <f ca="1">IF(AND(SUMIF(Capacity_Resource,$D43,'Critical resources (hide)'!U$6:U$105)+SUMIF(Capacity_Resource,$E43,'Critical resources (hide)'!U$6:U$105)+SUMIF(Capacity_Resource,$F43,'Critical resources (hide)'!U$6:U$105)&gt;0,$E$1=2),0,1)</f>
        <v>1</v>
      </c>
      <c r="I43" s="67">
        <f ca="1">IF(AND(SUMIF(Capacity_Resource,$D43,'Critical resources (hide)'!V$6:V$105)+SUMIF(Capacity_Resource,$E43,'Critical resources (hide)'!V$6:V$105)+SUMIF(Capacity_Resource,$F43,'Critical resources (hide)'!V$6:V$105)&gt;0,$E$1=2),0,1)</f>
        <v>1</v>
      </c>
      <c r="J43" s="67">
        <f ca="1">IF(AND(SUMIF(Capacity_Resource,$D43,'Critical resources (hide)'!W$6:W$105)+SUMIF(Capacity_Resource,$E43,'Critical resources (hide)'!W$6:W$105)+SUMIF(Capacity_Resource,$F43,'Critical resources (hide)'!W$6:W$105)&gt;0,$E$1=2),0,1)</f>
        <v>1</v>
      </c>
      <c r="K43" s="67">
        <f ca="1">IF(AND(SUMIF(Capacity_Resource,$D43,'Critical resources (hide)'!X$6:X$105)+SUMIF(Capacity_Resource,$E43,'Critical resources (hide)'!X$6:X$105)+SUMIF(Capacity_Resource,$F43,'Critical resources (hide)'!X$6:X$105)&gt;0,$E$1=2),0,1)</f>
        <v>1</v>
      </c>
      <c r="L43" s="67">
        <f ca="1">IF(AND(SUMIF(Capacity_Resource,$D43,'Critical resources (hide)'!Y$6:Y$105)+SUMIF(Capacity_Resource,$E43,'Critical resources (hide)'!Y$6:Y$105)+SUMIF(Capacity_Resource,$F43,'Critical resources (hide)'!Y$6:Y$105)&gt;0,$E$1=2),0,1)</f>
        <v>1</v>
      </c>
      <c r="M43" s="67">
        <f ca="1">IF(AND(SUMIF(Capacity_Resource,$D43,'Critical resources (hide)'!Z$6:Z$105)+SUMIF(Capacity_Resource,$E43,'Critical resources (hide)'!Z$6:Z$105)+SUMIF(Capacity_Resource,$F43,'Critical resources (hide)'!Z$6:Z$105)&gt;0,$E$1=2),0,1)</f>
        <v>1</v>
      </c>
      <c r="N43" s="67">
        <f ca="1">IF(AND(SUMIF(Capacity_Resource,$D43,'Critical resources (hide)'!AA$6:AA$105)+SUMIF(Capacity_Resource,$E43,'Critical resources (hide)'!AA$6:AA$105)+SUMIF(Capacity_Resource,$F43,'Critical resources (hide)'!AA$6:AA$105)&gt;0,$E$1=2),0,1)</f>
        <v>1</v>
      </c>
      <c r="O43" s="67">
        <f ca="1">IF(AND(SUMIF(Capacity_Resource,$D43,'Critical resources (hide)'!AB$6:AB$105)+SUMIF(Capacity_Resource,$E43,'Critical resources (hide)'!AB$6:AB$105)+SUMIF(Capacity_Resource,$F43,'Critical resources (hide)'!AB$6:AB$105)&gt;0,$E$1=2),0,1)</f>
        <v>1</v>
      </c>
      <c r="P43" s="67">
        <f ca="1">IF(AND(SUMIF(Capacity_Resource,$D43,'Critical resources (hide)'!AC$6:AC$105)+SUMIF(Capacity_Resource,$E43,'Critical resources (hide)'!AC$6:AC$105)+SUMIF(Capacity_Resource,$F43,'Critical resources (hide)'!AC$6:AC$105)&gt;0,$E$1=2),0,1)</f>
        <v>1</v>
      </c>
      <c r="Q43" s="67">
        <f ca="1">IF(AND(SUMIF(Capacity_Resource,$D43,'Critical resources (hide)'!AD$6:AD$105)+SUMIF(Capacity_Resource,$E43,'Critical resources (hide)'!AD$6:AD$105)+SUMIF(Capacity_Resource,$F43,'Critical resources (hide)'!AD$6:AD$105)&gt;0,$E$1=2),0,1)</f>
        <v>1</v>
      </c>
      <c r="R43" s="67">
        <f ca="1">IF(AND(SUMIF(Capacity_Resource,$D43,'Critical resources (hide)'!AE$6:AE$105)+SUMIF(Capacity_Resource,$E43,'Critical resources (hide)'!AE$6:AE$105)+SUMIF(Capacity_Resource,$F43,'Critical resources (hide)'!AE$6:AE$105)&gt;0,$E$1=2),0,1)</f>
        <v>1</v>
      </c>
      <c r="S43" s="67">
        <f ca="1">IF(AND(SUMIF(Capacity_Resource,$D43,'Critical resources (hide)'!AF$6:AF$105)+SUMIF(Capacity_Resource,$E43,'Critical resources (hide)'!AF$6:AF$105)+SUMIF(Capacity_Resource,$F43,'Critical resources (hide)'!AF$6:AF$105)&gt;0,$E$1=2),0,1)</f>
        <v>1</v>
      </c>
      <c r="T43" s="67">
        <f ca="1">IF(AND(SUMIF(Capacity_Resource,$D43,'Critical resources (hide)'!AG$6:AG$105)+SUMIF(Capacity_Resource,$E43,'Critical resources (hide)'!AG$6:AG$105)+SUMIF(Capacity_Resource,$F43,'Critical resources (hide)'!AG$6:AG$105)&gt;0,$E$1=2),0,1)</f>
        <v>1</v>
      </c>
      <c r="U43" s="67">
        <f ca="1">IF(AND(SUMIF(Capacity_Resource,$D43,'Critical resources (hide)'!AH$6:AH$105)+SUMIF(Capacity_Resource,$E43,'Critical resources (hide)'!AH$6:AH$105)+SUMIF(Capacity_Resource,$F43,'Critical resources (hide)'!AH$6:AH$105)&gt;0,$E$1=2),0,1)</f>
        <v>1</v>
      </c>
      <c r="V43" s="67">
        <f ca="1">IF(AND(SUMIF(Capacity_Resource,$D43,'Critical resources (hide)'!AI$6:AI$105)+SUMIF(Capacity_Resource,$E43,'Critical resources (hide)'!AI$6:AI$105)+SUMIF(Capacity_Resource,$F43,'Critical resources (hide)'!AI$6:AI$105)&gt;0,$E$1=2),0,1)</f>
        <v>1</v>
      </c>
      <c r="W43" s="67">
        <f ca="1">IF(AND(SUMIF(Capacity_Resource,$D43,'Critical resources (hide)'!AJ$6:AJ$105)+SUMIF(Capacity_Resource,$E43,'Critical resources (hide)'!AJ$6:AJ$105)+SUMIF(Capacity_Resource,$F43,'Critical resources (hide)'!AJ$6:AJ$105)&gt;0,$E$1=2),0,1)</f>
        <v>1</v>
      </c>
      <c r="X43" s="67">
        <f ca="1">IF(AND(SUMIF(Capacity_Resource,$D43,'Critical resources (hide)'!AK$6:AK$105)+SUMIF(Capacity_Resource,$E43,'Critical resources (hide)'!AK$6:AK$105)+SUMIF(Capacity_Resource,$F43,'Critical resources (hide)'!AK$6:AK$105)&gt;0,$E$1=2),0,1)</f>
        <v>1</v>
      </c>
      <c r="Y43" s="67">
        <f ca="1">IF(AND(SUMIF(Capacity_Resource,$D43,'Critical resources (hide)'!AL$6:AL$105)+SUMIF(Capacity_Resource,$E43,'Critical resources (hide)'!AL$6:AL$105)+SUMIF(Capacity_Resource,$F43,'Critical resources (hide)'!AL$6:AL$105)&gt;0,$E$1=2),0,1)</f>
        <v>1</v>
      </c>
      <c r="Z43" s="67">
        <f ca="1">IF(AND(SUMIF(Capacity_Resource,$D43,'Critical resources (hide)'!AM$6:AM$105)+SUMIF(Capacity_Resource,$E43,'Critical resources (hide)'!AM$6:AM$105)+SUMIF(Capacity_Resource,$F43,'Critical resources (hide)'!AM$6:AM$105)&gt;0,$E$1=2),0,1)</f>
        <v>1</v>
      </c>
      <c r="AA43" s="67">
        <f ca="1">IF(AND(SUMIF(Capacity_Resource,$D43,'Critical resources (hide)'!AN$6:AN$105)+SUMIF(Capacity_Resource,$E43,'Critical resources (hide)'!AN$6:AN$105)+SUMIF(Capacity_Resource,$F43,'Critical resources (hide)'!AN$6:AN$105)&gt;0,$E$1=2),0,1)</f>
        <v>1</v>
      </c>
      <c r="AB43" s="67">
        <f ca="1">IF(AND(SUMIF(Capacity_Resource,$D43,'Critical resources (hide)'!AO$6:AO$105)+SUMIF(Capacity_Resource,$E43,'Critical resources (hide)'!AO$6:AO$105)+SUMIF(Capacity_Resource,$F43,'Critical resources (hide)'!AO$6:AO$105)&gt;0,$E$1=2),0,1)</f>
        <v>1</v>
      </c>
      <c r="AC43" s="67">
        <f ca="1">IF(AND(SUMIF(Capacity_Resource,$D43,'Critical resources (hide)'!AP$6:AP$105)+SUMIF(Capacity_Resource,$E43,'Critical resources (hide)'!AP$6:AP$105)+SUMIF(Capacity_Resource,$F43,'Critical resources (hide)'!AP$6:AP$105)&gt;0,$E$1=2),0,1)</f>
        <v>1</v>
      </c>
      <c r="AD43" s="67">
        <f ca="1">IF(AND(SUMIF(Capacity_Resource,$D43,'Critical resources (hide)'!AQ$6:AQ$105)+SUMIF(Capacity_Resource,$E43,'Critical resources (hide)'!AQ$6:AQ$105)+SUMIF(Capacity_Resource,$F43,'Critical resources (hide)'!AQ$6:AQ$105)&gt;0,$E$1=2),0,1)</f>
        <v>1</v>
      </c>
      <c r="AE43" s="67">
        <f ca="1">IF(AND(SUMIF(Capacity_Resource,$D43,'Critical resources (hide)'!AR$6:AR$105)+SUMIF(Capacity_Resource,$E43,'Critical resources (hide)'!AR$6:AR$105)+SUMIF(Capacity_Resource,$F43,'Critical resources (hide)'!AR$6:AR$105)&gt;0,$E$1=2),0,1)</f>
        <v>1</v>
      </c>
      <c r="AF43" s="67">
        <f ca="1">IF(AND(SUMIF(Capacity_Resource,$D43,'Critical resources (hide)'!AS$6:AS$105)+SUMIF(Capacity_Resource,$E43,'Critical resources (hide)'!AS$6:AS$105)+SUMIF(Capacity_Resource,$F43,'Critical resources (hide)'!AS$6:AS$105)&gt;0,$E$1=2),0,1)</f>
        <v>1</v>
      </c>
      <c r="AG43" s="67">
        <f ca="1">IF(AND(SUMIF(Capacity_Resource,$D43,'Critical resources (hide)'!AT$6:AT$105)+SUMIF(Capacity_Resource,$E43,'Critical resources (hide)'!AT$6:AT$105)+SUMIF(Capacity_Resource,$F43,'Critical resources (hide)'!AT$6:AT$105)&gt;0,$E$1=2),0,1)</f>
        <v>1</v>
      </c>
      <c r="AH43" s="67">
        <f ca="1">IF(AND(SUMIF(Capacity_Resource,$D43,'Critical resources (hide)'!AU$6:AU$105)+SUMIF(Capacity_Resource,$E43,'Critical resources (hide)'!AU$6:AU$105)+SUMIF(Capacity_Resource,$F43,'Critical resources (hide)'!AU$6:AU$105)&gt;0,$E$1=2),0,1)</f>
        <v>1</v>
      </c>
      <c r="AI43" s="67">
        <f ca="1">IF(AND(SUMIF(Capacity_Resource,$D43,'Critical resources (hide)'!AV$6:AV$105)+SUMIF(Capacity_Resource,$E43,'Critical resources (hide)'!AV$6:AV$105)+SUMIF(Capacity_Resource,$F43,'Critical resources (hide)'!AV$6:AV$105)&gt;0,$E$1=2),0,1)</f>
        <v>1</v>
      </c>
      <c r="AJ43" s="67">
        <f ca="1">IF(AND(SUMIF(Capacity_Resource,$D43,'Critical resources (hide)'!AW$6:AW$105)+SUMIF(Capacity_Resource,$E43,'Critical resources (hide)'!AW$6:AW$105)+SUMIF(Capacity_Resource,$F43,'Critical resources (hide)'!AW$6:AW$105)&gt;0,$E$1=2),0,1)</f>
        <v>1</v>
      </c>
      <c r="AK43" s="67">
        <f ca="1">IF(AND(SUMIF(Capacity_Resource,$D43,'Critical resources (hide)'!AX$6:AX$105)+SUMIF(Capacity_Resource,$E43,'Critical resources (hide)'!AX$6:AX$105)+SUMIF(Capacity_Resource,$F43,'Critical resources (hide)'!AX$6:AX$105)&gt;0,$E$1=2),0,1)</f>
        <v>1</v>
      </c>
      <c r="AL43" s="67">
        <f ca="1">IF(AND(SUMIF(Capacity_Resource,$D43,'Critical resources (hide)'!AY$6:AY$105)+SUMIF(Capacity_Resource,$E43,'Critical resources (hide)'!AY$6:AY$105)+SUMIF(Capacity_Resource,$F43,'Critical resources (hide)'!AY$6:AY$105)&gt;0,$E$1=2),0,1)</f>
        <v>1</v>
      </c>
      <c r="AM43" s="67">
        <f ca="1">IF(AND(SUMIF(Capacity_Resource,$D43,'Critical resources (hide)'!AZ$6:AZ$105)+SUMIF(Capacity_Resource,$E43,'Critical resources (hide)'!AZ$6:AZ$105)+SUMIF(Capacity_Resource,$F43,'Critical resources (hide)'!AZ$6:AZ$105)&gt;0,$E$1=2),0,1)</f>
        <v>1</v>
      </c>
      <c r="AN43" s="67">
        <f ca="1">IF(AND(SUMIF(Capacity_Resource,$D43,'Critical resources (hide)'!BA$6:BA$105)+SUMIF(Capacity_Resource,$E43,'Critical resources (hide)'!BA$6:BA$105)+SUMIF(Capacity_Resource,$F43,'Critical resources (hide)'!BA$6:BA$105)&gt;0,$E$1=2),0,1)</f>
        <v>1</v>
      </c>
      <c r="AO43" s="67">
        <f ca="1">IF(AND(SUMIF(Capacity_Resource,$D43,'Critical resources (hide)'!BB$6:BB$105)+SUMIF(Capacity_Resource,$E43,'Critical resources (hide)'!BB$6:BB$105)+SUMIF(Capacity_Resource,$F43,'Critical resources (hide)'!BB$6:BB$105)&gt;0,$E$1=2),0,1)</f>
        <v>1</v>
      </c>
      <c r="AP43" s="67">
        <f ca="1">IF(AND(SUMIF(Capacity_Resource,$D43,'Critical resources (hide)'!BC$6:BC$105)+SUMIF(Capacity_Resource,$E43,'Critical resources (hide)'!BC$6:BC$105)+SUMIF(Capacity_Resource,$F43,'Critical resources (hide)'!BC$6:BC$105)&gt;0,$E$1=2),0,1)</f>
        <v>1</v>
      </c>
      <c r="AQ43" s="67">
        <f ca="1">IF(AND(SUMIF(Capacity_Resource,$D43,'Critical resources (hide)'!BD$6:BD$105)+SUMIF(Capacity_Resource,$E43,'Critical resources (hide)'!BD$6:BD$105)+SUMIF(Capacity_Resource,$F43,'Critical resources (hide)'!BD$6:BD$105)&gt;0,$E$1=2),0,1)</f>
        <v>1</v>
      </c>
      <c r="AR43" s="67">
        <f ca="1">IF(AND(SUMIF(Capacity_Resource,$D43,'Critical resources (hide)'!BE$6:BE$105)+SUMIF(Capacity_Resource,$E43,'Critical resources (hide)'!BE$6:BE$105)+SUMIF(Capacity_Resource,$F43,'Critical resources (hide)'!BE$6:BE$105)&gt;0,$E$1=2),0,1)</f>
        <v>1</v>
      </c>
      <c r="AS43" s="67">
        <f ca="1">IF(AND(SUMIF(Capacity_Resource,$D43,'Critical resources (hide)'!BF$6:BF$105)+SUMIF(Capacity_Resource,$E43,'Critical resources (hide)'!BF$6:BF$105)+SUMIF(Capacity_Resource,$F43,'Critical resources (hide)'!BF$6:BF$105)&gt;0,$E$1=2),0,1)</f>
        <v>1</v>
      </c>
      <c r="AT43" s="67">
        <f ca="1">IF(AND(SUMIF(Capacity_Resource,$D43,'Critical resources (hide)'!BG$6:BG$105)+SUMIF(Capacity_Resource,$E43,'Critical resources (hide)'!BG$6:BG$105)+SUMIF(Capacity_Resource,$F43,'Critical resources (hide)'!BG$6:BG$105)&gt;0,$E$1=2),0,1)</f>
        <v>1</v>
      </c>
      <c r="AU43" s="67">
        <f ca="1">IF(AND(SUMIF(Capacity_Resource,$D43,'Critical resources (hide)'!BH$6:BH$105)+SUMIF(Capacity_Resource,$E43,'Critical resources (hide)'!BH$6:BH$105)+SUMIF(Capacity_Resource,$F43,'Critical resources (hide)'!BH$6:BH$105)&gt;0,$E$1=2),0,1)</f>
        <v>1</v>
      </c>
      <c r="AV43" s="67">
        <f ca="1">IF(AND(SUMIF(Capacity_Resource,$D43,'Critical resources (hide)'!BI$6:BI$105)+SUMIF(Capacity_Resource,$E43,'Critical resources (hide)'!BI$6:BI$105)+SUMIF(Capacity_Resource,$F43,'Critical resources (hide)'!BI$6:BI$105)&gt;0,$E$1=2),0,1)</f>
        <v>1</v>
      </c>
      <c r="AW43" s="67">
        <f ca="1">IF(AND(SUMIF(Capacity_Resource,$D43,'Critical resources (hide)'!BJ$6:BJ$105)+SUMIF(Capacity_Resource,$E43,'Critical resources (hide)'!BJ$6:BJ$105)+SUMIF(Capacity_Resource,$F43,'Critical resources (hide)'!BJ$6:BJ$105)&gt;0,$E$1=2),0,1)</f>
        <v>1</v>
      </c>
      <c r="AX43" s="67">
        <f ca="1">IF(AND(SUMIF(Capacity_Resource,$D43,'Critical resources (hide)'!BK$6:BK$105)+SUMIF(Capacity_Resource,$E43,'Critical resources (hide)'!BK$6:BK$105)+SUMIF(Capacity_Resource,$F43,'Critical resources (hide)'!BK$6:BK$105)&gt;0,$E$1=2),0,1)</f>
        <v>1</v>
      </c>
      <c r="AY43" s="67">
        <f ca="1">IF(AND(SUMIF(Capacity_Resource,$D43,'Critical resources (hide)'!BL$6:BL$105)+SUMIF(Capacity_Resource,$E43,'Critical resources (hide)'!BL$6:BL$105)+SUMIF(Capacity_Resource,$F43,'Critical resources (hide)'!BL$6:BL$105)&gt;0,$E$1=2),0,1)</f>
        <v>1</v>
      </c>
      <c r="AZ43" s="67">
        <f ca="1">IF(AND(SUMIF(Capacity_Resource,$D43,'Critical resources (hide)'!BM$6:BM$105)+SUMIF(Capacity_Resource,$E43,'Critical resources (hide)'!BM$6:BM$105)+SUMIF(Capacity_Resource,$F43,'Critical resources (hide)'!BM$6:BM$105)&gt;0,$E$1=2),0,1)</f>
        <v>1</v>
      </c>
      <c r="BA43" s="67">
        <f ca="1">IF(AND(SUMIF(Capacity_Resource,$D43,'Critical resources (hide)'!BN$6:BN$105)+SUMIF(Capacity_Resource,$E43,'Critical resources (hide)'!BN$6:BN$105)+SUMIF(Capacity_Resource,$F43,'Critical resources (hide)'!BN$6:BN$105)&gt;0,$E$1=2),0,1)</f>
        <v>1</v>
      </c>
      <c r="BB43" s="67">
        <f ca="1">IF(AND(SUMIF(Capacity_Resource,$D43,'Critical resources (hide)'!BO$6:BO$105)+SUMIF(Capacity_Resource,$E43,'Critical resources (hide)'!BO$6:BO$105)+SUMIF(Capacity_Resource,$F43,'Critical resources (hide)'!BO$6:BO$105)&gt;0,$E$1=2),0,1)</f>
        <v>1</v>
      </c>
      <c r="BC43" s="67">
        <f ca="1">IF(AND(SUMIF(Capacity_Resource,$D43,'Critical resources (hide)'!BP$6:BP$105)+SUMIF(Capacity_Resource,$E43,'Critical resources (hide)'!BP$6:BP$105)+SUMIF(Capacity_Resource,$F43,'Critical resources (hide)'!BP$6:BP$105)&gt;0,$E$1=2),0,1)</f>
        <v>1</v>
      </c>
      <c r="BD43" s="67">
        <f ca="1">IF(AND(SUMIF(Capacity_Resource,$D43,'Critical resources (hide)'!BQ$6:BQ$105)+SUMIF(Capacity_Resource,$E43,'Critical resources (hide)'!BQ$6:BQ$105)+SUMIF(Capacity_Resource,$F43,'Critical resources (hide)'!BQ$6:BQ$105)&gt;0,$E$1=2),0,1)</f>
        <v>1</v>
      </c>
      <c r="BE43" s="67">
        <f ca="1">IF(AND(SUMIF(Capacity_Resource,$D43,'Critical resources (hide)'!BR$6:BR$105)+SUMIF(Capacity_Resource,$E43,'Critical resources (hide)'!BR$6:BR$105)+SUMIF(Capacity_Resource,$F43,'Critical resources (hide)'!BR$6:BR$105)&gt;0,$E$1=2),0,1)</f>
        <v>1</v>
      </c>
      <c r="BF43" s="67">
        <f ca="1">IF(AND(SUMIF(Capacity_Resource,$D43,'Critical resources (hide)'!BS$6:BS$105)+SUMIF(Capacity_Resource,$E43,'Critical resources (hide)'!BS$6:BS$105)+SUMIF(Capacity_Resource,$F43,'Critical resources (hide)'!BS$6:BS$105)&gt;0,$E$1=2),0,1)</f>
        <v>1</v>
      </c>
      <c r="BG43" s="67">
        <f ca="1">IF(AND(SUMIF(Capacity_Resource,$D43,'Critical resources (hide)'!BT$6:BT$105)+SUMIF(Capacity_Resource,$E43,'Critical resources (hide)'!BT$6:BT$105)+SUMIF(Capacity_Resource,$F43,'Critical resources (hide)'!BT$6:BT$105)&gt;0,$E$1=2),0,1)</f>
        <v>1</v>
      </c>
      <c r="BH43" s="67">
        <f>IF(ROW(C39)&lt;=Capacity!$A$16,IF('Capacity summary'!$D$14="No",SUM(H43:BG43),'Capacity summary'!$E162),0)</f>
        <v>0</v>
      </c>
      <c r="BI43" s="5" t="str">
        <f>IF(BH43&gt;0,IF(BH43&lt;Capacity!E55,Capacity!F55,Capacity!H55/'Capacity calculation (hide)'!BH43),"")</f>
        <v/>
      </c>
      <c r="BK43" s="313">
        <f>IF($BI43&lt;&gt;"",IF('Capacity summary'!$D$14="Yes",IF(COUNTBLANK('Capacity summary'!$H162:$BG162)&lt;52,IF('Capacity summary'!H162&lt;&gt;"",IF(LOWER('Capacity summary'!H162)="x",$BI43*H43,VALUE('Capacity summary'!H162)),0),H43*$BI43),H43*$BI43),0)</f>
        <v>0</v>
      </c>
      <c r="BL43" s="313">
        <f>IF($BI43&lt;&gt;"",IF('Capacity summary'!$D$14="Yes",IF(COUNTBLANK('Capacity summary'!$H162:$BG162)&lt;52,IF('Capacity summary'!I162&lt;&gt;"",IF(LOWER('Capacity summary'!I162)="x",$BI43*I43,VALUE('Capacity summary'!I162)),0),I43*$BI43),I43*$BI43),0)</f>
        <v>0</v>
      </c>
      <c r="BM43" s="313">
        <f>IF($BI43&lt;&gt;"",IF('Capacity summary'!$D$14="Yes",IF(COUNTBLANK('Capacity summary'!$H162:$BG162)&lt;52,IF('Capacity summary'!J162&lt;&gt;"",IF(LOWER('Capacity summary'!J162)="x",$BI43*J43,VALUE('Capacity summary'!J162)),0),J43*$BI43),J43*$BI43),0)</f>
        <v>0</v>
      </c>
      <c r="BN43" s="313">
        <f>IF($BI43&lt;&gt;"",IF('Capacity summary'!$D$14="Yes",IF(COUNTBLANK('Capacity summary'!$H162:$BG162)&lt;52,IF('Capacity summary'!K162&lt;&gt;"",IF(LOWER('Capacity summary'!K162)="x",$BI43*K43,VALUE('Capacity summary'!K162)),0),K43*$BI43),K43*$BI43),0)</f>
        <v>0</v>
      </c>
      <c r="BO43" s="313">
        <f>IF($BI43&lt;&gt;"",IF('Capacity summary'!$D$14="Yes",IF(COUNTBLANK('Capacity summary'!$H162:$BG162)&lt;52,IF('Capacity summary'!L162&lt;&gt;"",IF(LOWER('Capacity summary'!L162)="x",$BI43*L43,VALUE('Capacity summary'!L162)),0),L43*$BI43),L43*$BI43),0)</f>
        <v>0</v>
      </c>
      <c r="BP43" s="313">
        <f>IF($BI43&lt;&gt;"",IF('Capacity summary'!$D$14="Yes",IF(COUNTBLANK('Capacity summary'!$H162:$BG162)&lt;52,IF('Capacity summary'!M162&lt;&gt;"",IF(LOWER('Capacity summary'!M162)="x",$BI43*M43,VALUE('Capacity summary'!M162)),0),M43*$BI43),M43*$BI43),0)</f>
        <v>0</v>
      </c>
      <c r="BQ43" s="313">
        <f>IF($BI43&lt;&gt;"",IF('Capacity summary'!$D$14="Yes",IF(COUNTBLANK('Capacity summary'!$H162:$BG162)&lt;52,IF('Capacity summary'!N162&lt;&gt;"",IF(LOWER('Capacity summary'!N162)="x",$BI43*N43,VALUE('Capacity summary'!N162)),0),N43*$BI43),N43*$BI43),0)</f>
        <v>0</v>
      </c>
      <c r="BR43" s="313">
        <f>IF($BI43&lt;&gt;"",IF('Capacity summary'!$D$14="Yes",IF(COUNTBLANK('Capacity summary'!$H162:$BG162)&lt;52,IF('Capacity summary'!O162&lt;&gt;"",IF(LOWER('Capacity summary'!O162)="x",$BI43*O43,VALUE('Capacity summary'!O162)),0),O43*$BI43),O43*$BI43),0)</f>
        <v>0</v>
      </c>
      <c r="BS43" s="313">
        <f>IF($BI43&lt;&gt;"",IF('Capacity summary'!$D$14="Yes",IF(COUNTBLANK('Capacity summary'!$H162:$BG162)&lt;52,IF('Capacity summary'!P162&lt;&gt;"",IF(LOWER('Capacity summary'!P162)="x",$BI43*P43,VALUE('Capacity summary'!P162)),0),P43*$BI43),P43*$BI43),0)</f>
        <v>0</v>
      </c>
      <c r="BT43" s="313">
        <f>IF($BI43&lt;&gt;"",IF('Capacity summary'!$D$14="Yes",IF(COUNTBLANK('Capacity summary'!$H162:$BG162)&lt;52,IF('Capacity summary'!Q162&lt;&gt;"",IF(LOWER('Capacity summary'!Q162)="x",$BI43*Q43,VALUE('Capacity summary'!Q162)),0),Q43*$BI43),Q43*$BI43),0)</f>
        <v>0</v>
      </c>
      <c r="BU43" s="313">
        <f>IF($BI43&lt;&gt;"",IF('Capacity summary'!$D$14="Yes",IF(COUNTBLANK('Capacity summary'!$H162:$BG162)&lt;52,IF('Capacity summary'!R162&lt;&gt;"",IF(LOWER('Capacity summary'!R162)="x",$BI43*R43,VALUE('Capacity summary'!R162)),0),R43*$BI43),R43*$BI43),0)</f>
        <v>0</v>
      </c>
      <c r="BV43" s="313">
        <f>IF($BI43&lt;&gt;"",IF('Capacity summary'!$D$14="Yes",IF(COUNTBLANK('Capacity summary'!$H162:$BG162)&lt;52,IF('Capacity summary'!S162&lt;&gt;"",IF(LOWER('Capacity summary'!S162)="x",$BI43*S43,VALUE('Capacity summary'!S162)),0),S43*$BI43),S43*$BI43),0)</f>
        <v>0</v>
      </c>
      <c r="BW43" s="313">
        <f>IF($BI43&lt;&gt;"",IF('Capacity summary'!$D$14="Yes",IF(COUNTBLANK('Capacity summary'!$H162:$BG162)&lt;52,IF('Capacity summary'!T162&lt;&gt;"",IF(LOWER('Capacity summary'!T162)="x",$BI43*T43,VALUE('Capacity summary'!T162)),0),T43*$BI43),T43*$BI43),0)</f>
        <v>0</v>
      </c>
      <c r="BX43" s="313">
        <f>IF($BI43&lt;&gt;"",IF('Capacity summary'!$D$14="Yes",IF(COUNTBLANK('Capacity summary'!$H162:$BG162)&lt;52,IF('Capacity summary'!U162&lt;&gt;"",IF(LOWER('Capacity summary'!U162)="x",$BI43*U43,VALUE('Capacity summary'!U162)),0),U43*$BI43),U43*$BI43),0)</f>
        <v>0</v>
      </c>
      <c r="BY43" s="313">
        <f>IF($BI43&lt;&gt;"",IF('Capacity summary'!$D$14="Yes",IF(COUNTBLANK('Capacity summary'!$H162:$BG162)&lt;52,IF('Capacity summary'!V162&lt;&gt;"",IF(LOWER('Capacity summary'!V162)="x",$BI43*V43,VALUE('Capacity summary'!V162)),0),V43*$BI43),V43*$BI43),0)</f>
        <v>0</v>
      </c>
      <c r="BZ43" s="313">
        <f>IF($BI43&lt;&gt;"",IF('Capacity summary'!$D$14="Yes",IF(COUNTBLANK('Capacity summary'!$H162:$BG162)&lt;52,IF('Capacity summary'!W162&lt;&gt;"",IF(LOWER('Capacity summary'!W162)="x",$BI43*W43,VALUE('Capacity summary'!W162)),0),W43*$BI43),W43*$BI43),0)</f>
        <v>0</v>
      </c>
      <c r="CA43" s="313">
        <f>IF($BI43&lt;&gt;"",IF('Capacity summary'!$D$14="Yes",IF(COUNTBLANK('Capacity summary'!$H162:$BG162)&lt;52,IF('Capacity summary'!X162&lt;&gt;"",IF(LOWER('Capacity summary'!X162)="x",$BI43*X43,VALUE('Capacity summary'!X162)),0),X43*$BI43),X43*$BI43),0)</f>
        <v>0</v>
      </c>
      <c r="CB43" s="313">
        <f>IF($BI43&lt;&gt;"",IF('Capacity summary'!$D$14="Yes",IF(COUNTBLANK('Capacity summary'!$H162:$BG162)&lt;52,IF('Capacity summary'!Y162&lt;&gt;"",IF(LOWER('Capacity summary'!Y162)="x",$BI43*Y43,VALUE('Capacity summary'!Y162)),0),Y43*$BI43),Y43*$BI43),0)</f>
        <v>0</v>
      </c>
      <c r="CC43" s="313">
        <f>IF($BI43&lt;&gt;"",IF('Capacity summary'!$D$14="Yes",IF(COUNTBLANK('Capacity summary'!$H162:$BG162)&lt;52,IF('Capacity summary'!Z162&lt;&gt;"",IF(LOWER('Capacity summary'!Z162)="x",$BI43*Z43,VALUE('Capacity summary'!Z162)),0),Z43*$BI43),Z43*$BI43),0)</f>
        <v>0</v>
      </c>
      <c r="CD43" s="313">
        <f>IF($BI43&lt;&gt;"",IF('Capacity summary'!$D$14="Yes",IF(COUNTBLANK('Capacity summary'!$H162:$BG162)&lt;52,IF('Capacity summary'!AA162&lt;&gt;"",IF(LOWER('Capacity summary'!AA162)="x",$BI43*AA43,VALUE('Capacity summary'!AA162)),0),AA43*$BI43),AA43*$BI43),0)</f>
        <v>0</v>
      </c>
      <c r="CE43" s="313">
        <f>IF($BI43&lt;&gt;"",IF('Capacity summary'!$D$14="Yes",IF(COUNTBLANK('Capacity summary'!$H162:$BG162)&lt;52,IF('Capacity summary'!AB162&lt;&gt;"",IF(LOWER('Capacity summary'!AB162)="x",$BI43*AB43,VALUE('Capacity summary'!AB162)),0),AB43*$BI43),AB43*$BI43),0)</f>
        <v>0</v>
      </c>
      <c r="CF43" s="313">
        <f>IF($BI43&lt;&gt;"",IF('Capacity summary'!$D$14="Yes",IF(COUNTBLANK('Capacity summary'!$H162:$BG162)&lt;52,IF('Capacity summary'!AC162&lt;&gt;"",IF(LOWER('Capacity summary'!AC162)="x",$BI43*AC43,VALUE('Capacity summary'!AC162)),0),AC43*$BI43),AC43*$BI43),0)</f>
        <v>0</v>
      </c>
      <c r="CG43" s="313">
        <f>IF($BI43&lt;&gt;"",IF('Capacity summary'!$D$14="Yes",IF(COUNTBLANK('Capacity summary'!$H162:$BG162)&lt;52,IF('Capacity summary'!AD162&lt;&gt;"",IF(LOWER('Capacity summary'!AD162)="x",$BI43*AD43,VALUE('Capacity summary'!AD162)),0),AD43*$BI43),AD43*$BI43),0)</f>
        <v>0</v>
      </c>
      <c r="CH43" s="313">
        <f>IF($BI43&lt;&gt;"",IF('Capacity summary'!$D$14="Yes",IF(COUNTBLANK('Capacity summary'!$H162:$BG162)&lt;52,IF('Capacity summary'!AE162&lt;&gt;"",IF(LOWER('Capacity summary'!AE162)="x",$BI43*AE43,VALUE('Capacity summary'!AE162)),0),AE43*$BI43),AE43*$BI43),0)</f>
        <v>0</v>
      </c>
      <c r="CI43" s="313">
        <f>IF($BI43&lt;&gt;"",IF('Capacity summary'!$D$14="Yes",IF(COUNTBLANK('Capacity summary'!$H162:$BG162)&lt;52,IF('Capacity summary'!AF162&lt;&gt;"",IF(LOWER('Capacity summary'!AF162)="x",$BI43*AF43,VALUE('Capacity summary'!AF162)),0),AF43*$BI43),AF43*$BI43),0)</f>
        <v>0</v>
      </c>
      <c r="CJ43" s="313">
        <f>IF($BI43&lt;&gt;"",IF('Capacity summary'!$D$14="Yes",IF(COUNTBLANK('Capacity summary'!$H162:$BG162)&lt;52,IF('Capacity summary'!AG162&lt;&gt;"",IF(LOWER('Capacity summary'!AG162)="x",$BI43*AG43,VALUE('Capacity summary'!AG162)),0),AG43*$BI43),AG43*$BI43),0)</f>
        <v>0</v>
      </c>
      <c r="CK43" s="313">
        <f>IF($BI43&lt;&gt;"",IF('Capacity summary'!$D$14="Yes",IF(COUNTBLANK('Capacity summary'!$H162:$BG162)&lt;52,IF('Capacity summary'!AH162&lt;&gt;"",IF(LOWER('Capacity summary'!AH162)="x",$BI43*AH43,VALUE('Capacity summary'!AH162)),0),AH43*$BI43),AH43*$BI43),0)</f>
        <v>0</v>
      </c>
      <c r="CL43" s="313">
        <f>IF($BI43&lt;&gt;"",IF('Capacity summary'!$D$14="Yes",IF(COUNTBLANK('Capacity summary'!$H162:$BG162)&lt;52,IF('Capacity summary'!AI162&lt;&gt;"",IF(LOWER('Capacity summary'!AI162)="x",$BI43*AI43,VALUE('Capacity summary'!AI162)),0),AI43*$BI43),AI43*$BI43),0)</f>
        <v>0</v>
      </c>
      <c r="CM43" s="313">
        <f>IF($BI43&lt;&gt;"",IF('Capacity summary'!$D$14="Yes",IF(COUNTBLANK('Capacity summary'!$H162:$BG162)&lt;52,IF('Capacity summary'!AJ162&lt;&gt;"",IF(LOWER('Capacity summary'!AJ162)="x",$BI43*AJ43,VALUE('Capacity summary'!AJ162)),0),AJ43*$BI43),AJ43*$BI43),0)</f>
        <v>0</v>
      </c>
      <c r="CN43" s="313">
        <f>IF($BI43&lt;&gt;"",IF('Capacity summary'!$D$14="Yes",IF(COUNTBLANK('Capacity summary'!$H162:$BG162)&lt;52,IF('Capacity summary'!AK162&lt;&gt;"",IF(LOWER('Capacity summary'!AK162)="x",$BI43*AK43,VALUE('Capacity summary'!AK162)),0),AK43*$BI43),AK43*$BI43),0)</f>
        <v>0</v>
      </c>
      <c r="CO43" s="313">
        <f>IF($BI43&lt;&gt;"",IF('Capacity summary'!$D$14="Yes",IF(COUNTBLANK('Capacity summary'!$H162:$BG162)&lt;52,IF('Capacity summary'!AL162&lt;&gt;"",IF(LOWER('Capacity summary'!AL162)="x",$BI43*AL43,VALUE('Capacity summary'!AL162)),0),AL43*$BI43),AL43*$BI43),0)</f>
        <v>0</v>
      </c>
      <c r="CP43" s="313">
        <f>IF($BI43&lt;&gt;"",IF('Capacity summary'!$D$14="Yes",IF(COUNTBLANK('Capacity summary'!$H162:$BG162)&lt;52,IF('Capacity summary'!AM162&lt;&gt;"",IF(LOWER('Capacity summary'!AM162)="x",$BI43*AM43,VALUE('Capacity summary'!AM162)),0),AM43*$BI43),AM43*$BI43),0)</f>
        <v>0</v>
      </c>
      <c r="CQ43" s="313">
        <f>IF($BI43&lt;&gt;"",IF('Capacity summary'!$D$14="Yes",IF(COUNTBLANK('Capacity summary'!$H162:$BG162)&lt;52,IF('Capacity summary'!AN162&lt;&gt;"",IF(LOWER('Capacity summary'!AN162)="x",$BI43*AN43,VALUE('Capacity summary'!AN162)),0),AN43*$BI43),AN43*$BI43),0)</f>
        <v>0</v>
      </c>
      <c r="CR43" s="313">
        <f>IF($BI43&lt;&gt;"",IF('Capacity summary'!$D$14="Yes",IF(COUNTBLANK('Capacity summary'!$H162:$BG162)&lt;52,IF('Capacity summary'!AO162&lt;&gt;"",IF(LOWER('Capacity summary'!AO162)="x",$BI43*AO43,VALUE('Capacity summary'!AO162)),0),AO43*$BI43),AO43*$BI43),0)</f>
        <v>0</v>
      </c>
      <c r="CS43" s="313">
        <f>IF($BI43&lt;&gt;"",IF('Capacity summary'!$D$14="Yes",IF(COUNTBLANK('Capacity summary'!$H162:$BG162)&lt;52,IF('Capacity summary'!AP162&lt;&gt;"",IF(LOWER('Capacity summary'!AP162)="x",$BI43*AP43,VALUE('Capacity summary'!AP162)),0),AP43*$BI43),AP43*$BI43),0)</f>
        <v>0</v>
      </c>
      <c r="CT43" s="313">
        <f>IF($BI43&lt;&gt;"",IF('Capacity summary'!$D$14="Yes",IF(COUNTBLANK('Capacity summary'!$H162:$BG162)&lt;52,IF('Capacity summary'!AQ162&lt;&gt;"",IF(LOWER('Capacity summary'!AQ162)="x",$BI43*AQ43,VALUE('Capacity summary'!AQ162)),0),AQ43*$BI43),AQ43*$BI43),0)</f>
        <v>0</v>
      </c>
      <c r="CU43" s="313">
        <f>IF($BI43&lt;&gt;"",IF('Capacity summary'!$D$14="Yes",IF(COUNTBLANK('Capacity summary'!$H162:$BG162)&lt;52,IF('Capacity summary'!AR162&lt;&gt;"",IF(LOWER('Capacity summary'!AR162)="x",$BI43*AR43,VALUE('Capacity summary'!AR162)),0),AR43*$BI43),AR43*$BI43),0)</f>
        <v>0</v>
      </c>
      <c r="CV43" s="313">
        <f>IF($BI43&lt;&gt;"",IF('Capacity summary'!$D$14="Yes",IF(COUNTBLANK('Capacity summary'!$H162:$BG162)&lt;52,IF('Capacity summary'!AS162&lt;&gt;"",IF(LOWER('Capacity summary'!AS162)="x",$BI43*AS43,VALUE('Capacity summary'!AS162)),0),AS43*$BI43),AS43*$BI43),0)</f>
        <v>0</v>
      </c>
      <c r="CW43" s="313">
        <f>IF($BI43&lt;&gt;"",IF('Capacity summary'!$D$14="Yes",IF(COUNTBLANK('Capacity summary'!$H162:$BG162)&lt;52,IF('Capacity summary'!AT162&lt;&gt;"",IF(LOWER('Capacity summary'!AT162)="x",$BI43*AT43,VALUE('Capacity summary'!AT162)),0),AT43*$BI43),AT43*$BI43),0)</f>
        <v>0</v>
      </c>
      <c r="CX43" s="313">
        <f>IF($BI43&lt;&gt;"",IF('Capacity summary'!$D$14="Yes",IF(COUNTBLANK('Capacity summary'!$H162:$BG162)&lt;52,IF('Capacity summary'!AU162&lt;&gt;"",IF(LOWER('Capacity summary'!AU162)="x",$BI43*AU43,VALUE('Capacity summary'!AU162)),0),AU43*$BI43),AU43*$BI43),0)</f>
        <v>0</v>
      </c>
      <c r="CY43" s="313">
        <f>IF($BI43&lt;&gt;"",IF('Capacity summary'!$D$14="Yes",IF(COUNTBLANK('Capacity summary'!$H162:$BG162)&lt;52,IF('Capacity summary'!AV162&lt;&gt;"",IF(LOWER('Capacity summary'!AV162)="x",$BI43*AV43,VALUE('Capacity summary'!AV162)),0),AV43*$BI43),AV43*$BI43),0)</f>
        <v>0</v>
      </c>
      <c r="CZ43" s="313">
        <f>IF($BI43&lt;&gt;"",IF('Capacity summary'!$D$14="Yes",IF(COUNTBLANK('Capacity summary'!$H162:$BG162)&lt;52,IF('Capacity summary'!AW162&lt;&gt;"",IF(LOWER('Capacity summary'!AW162)="x",$BI43*AW43,VALUE('Capacity summary'!AW162)),0),AW43*$BI43),AW43*$BI43),0)</f>
        <v>0</v>
      </c>
      <c r="DA43" s="313">
        <f>IF($BI43&lt;&gt;"",IF('Capacity summary'!$D$14="Yes",IF(COUNTBLANK('Capacity summary'!$H162:$BG162)&lt;52,IF('Capacity summary'!AX162&lt;&gt;"",IF(LOWER('Capacity summary'!AX162)="x",$BI43*AX43,VALUE('Capacity summary'!AX162)),0),AX43*$BI43),AX43*$BI43),0)</f>
        <v>0</v>
      </c>
      <c r="DB43" s="313">
        <f>IF($BI43&lt;&gt;"",IF('Capacity summary'!$D$14="Yes",IF(COUNTBLANK('Capacity summary'!$H162:$BG162)&lt;52,IF('Capacity summary'!AY162&lt;&gt;"",IF(LOWER('Capacity summary'!AY162)="x",$BI43*AY43,VALUE('Capacity summary'!AY162)),0),AY43*$BI43),AY43*$BI43),0)</f>
        <v>0</v>
      </c>
      <c r="DC43" s="313">
        <f>IF($BI43&lt;&gt;"",IF('Capacity summary'!$D$14="Yes",IF(COUNTBLANK('Capacity summary'!$H162:$BG162)&lt;52,IF('Capacity summary'!AZ162&lt;&gt;"",IF(LOWER('Capacity summary'!AZ162)="x",$BI43*AZ43,VALUE('Capacity summary'!AZ162)),0),AZ43*$BI43),AZ43*$BI43),0)</f>
        <v>0</v>
      </c>
      <c r="DD43" s="313">
        <f>IF($BI43&lt;&gt;"",IF('Capacity summary'!$D$14="Yes",IF(COUNTBLANK('Capacity summary'!$H162:$BG162)&lt;52,IF('Capacity summary'!BA162&lt;&gt;"",IF(LOWER('Capacity summary'!BA162)="x",$BI43*BA43,VALUE('Capacity summary'!BA162)),0),BA43*$BI43),BA43*$BI43),0)</f>
        <v>0</v>
      </c>
      <c r="DE43" s="313">
        <f>IF($BI43&lt;&gt;"",IF('Capacity summary'!$D$14="Yes",IF(COUNTBLANK('Capacity summary'!$H162:$BG162)&lt;52,IF('Capacity summary'!BB162&lt;&gt;"",IF(LOWER('Capacity summary'!BB162)="x",$BI43*BB43,VALUE('Capacity summary'!BB162)),0),BB43*$BI43),BB43*$BI43),0)</f>
        <v>0</v>
      </c>
      <c r="DF43" s="313">
        <f>IF($BI43&lt;&gt;"",IF('Capacity summary'!$D$14="Yes",IF(COUNTBLANK('Capacity summary'!$H162:$BG162)&lt;52,IF('Capacity summary'!BC162&lt;&gt;"",IF(LOWER('Capacity summary'!BC162)="x",$BI43*BC43,VALUE('Capacity summary'!BC162)),0),BC43*$BI43),BC43*$BI43),0)</f>
        <v>0</v>
      </c>
      <c r="DG43" s="313">
        <f>IF($BI43&lt;&gt;"",IF('Capacity summary'!$D$14="Yes",IF(COUNTBLANK('Capacity summary'!$H162:$BG162)&lt;52,IF('Capacity summary'!BD162&lt;&gt;"",IF(LOWER('Capacity summary'!BD162)="x",$BI43*BD43,VALUE('Capacity summary'!BD162)),0),BD43*$BI43),BD43*$BI43),0)</f>
        <v>0</v>
      </c>
      <c r="DH43" s="313">
        <f>IF($BI43&lt;&gt;"",IF('Capacity summary'!$D$14="Yes",IF(COUNTBLANK('Capacity summary'!$H162:$BG162)&lt;52,IF('Capacity summary'!BE162&lt;&gt;"",IF(LOWER('Capacity summary'!BE162)="x",$BI43*BE43,VALUE('Capacity summary'!BE162)),0),BE43*$BI43),BE43*$BI43),0)</f>
        <v>0</v>
      </c>
      <c r="DI43" s="313">
        <f>IF($BI43&lt;&gt;"",IF('Capacity summary'!$D$14="Yes",IF(COUNTBLANK('Capacity summary'!$H162:$BG162)&lt;52,IF('Capacity summary'!BF162&lt;&gt;"",IF(LOWER('Capacity summary'!BF162)="x",$BI43*BF43,VALUE('Capacity summary'!BF162)),0),BF43*$BI43),BF43*$BI43),0)</f>
        <v>0</v>
      </c>
      <c r="DJ43" s="313">
        <f>IF($BI43&lt;&gt;"",IF('Capacity summary'!$D$14="Yes",IF(COUNTBLANK('Capacity summary'!$H162:$BG162)&lt;52,IF('Capacity summary'!BG162&lt;&gt;"",IF(LOWER('Capacity summary'!BG162)="x",$BI43*BG43,VALUE('Capacity summary'!BG162)),0),BG43*$BI43),BG43*$BI43),0)</f>
        <v>0</v>
      </c>
      <c r="DK43" s="137">
        <f t="shared" si="2"/>
        <v>0</v>
      </c>
      <c r="DL43" s="313" t="str">
        <f>Capacity!H55</f>
        <v/>
      </c>
      <c r="DP43" s="5"/>
    </row>
    <row r="44" spans="2:120" x14ac:dyDescent="0.25">
      <c r="B44" s="67"/>
      <c r="C44" s="67" t="str">
        <f>ROW(A40)&amp;". "&amp;Capacity!B56</f>
        <v xml:space="preserve">40. </v>
      </c>
      <c r="D44" s="67">
        <f>'Capacity setup'!C51</f>
        <v>0</v>
      </c>
      <c r="E44" s="67">
        <f>'Capacity setup'!D51</f>
        <v>0</v>
      </c>
      <c r="F44" s="67">
        <f>'Capacity setup'!E51</f>
        <v>0</v>
      </c>
      <c r="H44" s="67">
        <f ca="1">IF(AND(SUMIF(Capacity_Resource,$D44,'Critical resources (hide)'!U$6:U$105)+SUMIF(Capacity_Resource,$E44,'Critical resources (hide)'!U$6:U$105)+SUMIF(Capacity_Resource,$F44,'Critical resources (hide)'!U$6:U$105)&gt;0,$E$1=2),0,1)</f>
        <v>1</v>
      </c>
      <c r="I44" s="67">
        <f ca="1">IF(AND(SUMIF(Capacity_Resource,$D44,'Critical resources (hide)'!V$6:V$105)+SUMIF(Capacity_Resource,$E44,'Critical resources (hide)'!V$6:V$105)+SUMIF(Capacity_Resource,$F44,'Critical resources (hide)'!V$6:V$105)&gt;0,$E$1=2),0,1)</f>
        <v>1</v>
      </c>
      <c r="J44" s="67">
        <f ca="1">IF(AND(SUMIF(Capacity_Resource,$D44,'Critical resources (hide)'!W$6:W$105)+SUMIF(Capacity_Resource,$E44,'Critical resources (hide)'!W$6:W$105)+SUMIF(Capacity_Resource,$F44,'Critical resources (hide)'!W$6:W$105)&gt;0,$E$1=2),0,1)</f>
        <v>1</v>
      </c>
      <c r="K44" s="67">
        <f ca="1">IF(AND(SUMIF(Capacity_Resource,$D44,'Critical resources (hide)'!X$6:X$105)+SUMIF(Capacity_Resource,$E44,'Critical resources (hide)'!X$6:X$105)+SUMIF(Capacity_Resource,$F44,'Critical resources (hide)'!X$6:X$105)&gt;0,$E$1=2),0,1)</f>
        <v>1</v>
      </c>
      <c r="L44" s="67">
        <f ca="1">IF(AND(SUMIF(Capacity_Resource,$D44,'Critical resources (hide)'!Y$6:Y$105)+SUMIF(Capacity_Resource,$E44,'Critical resources (hide)'!Y$6:Y$105)+SUMIF(Capacity_Resource,$F44,'Critical resources (hide)'!Y$6:Y$105)&gt;0,$E$1=2),0,1)</f>
        <v>1</v>
      </c>
      <c r="M44" s="67">
        <f ca="1">IF(AND(SUMIF(Capacity_Resource,$D44,'Critical resources (hide)'!Z$6:Z$105)+SUMIF(Capacity_Resource,$E44,'Critical resources (hide)'!Z$6:Z$105)+SUMIF(Capacity_Resource,$F44,'Critical resources (hide)'!Z$6:Z$105)&gt;0,$E$1=2),0,1)</f>
        <v>1</v>
      </c>
      <c r="N44" s="67">
        <f ca="1">IF(AND(SUMIF(Capacity_Resource,$D44,'Critical resources (hide)'!AA$6:AA$105)+SUMIF(Capacity_Resource,$E44,'Critical resources (hide)'!AA$6:AA$105)+SUMIF(Capacity_Resource,$F44,'Critical resources (hide)'!AA$6:AA$105)&gt;0,$E$1=2),0,1)</f>
        <v>1</v>
      </c>
      <c r="O44" s="67">
        <f ca="1">IF(AND(SUMIF(Capacity_Resource,$D44,'Critical resources (hide)'!AB$6:AB$105)+SUMIF(Capacity_Resource,$E44,'Critical resources (hide)'!AB$6:AB$105)+SUMIF(Capacity_Resource,$F44,'Critical resources (hide)'!AB$6:AB$105)&gt;0,$E$1=2),0,1)</f>
        <v>1</v>
      </c>
      <c r="P44" s="67">
        <f ca="1">IF(AND(SUMIF(Capacity_Resource,$D44,'Critical resources (hide)'!AC$6:AC$105)+SUMIF(Capacity_Resource,$E44,'Critical resources (hide)'!AC$6:AC$105)+SUMIF(Capacity_Resource,$F44,'Critical resources (hide)'!AC$6:AC$105)&gt;0,$E$1=2),0,1)</f>
        <v>1</v>
      </c>
      <c r="Q44" s="67">
        <f ca="1">IF(AND(SUMIF(Capacity_Resource,$D44,'Critical resources (hide)'!AD$6:AD$105)+SUMIF(Capacity_Resource,$E44,'Critical resources (hide)'!AD$6:AD$105)+SUMIF(Capacity_Resource,$F44,'Critical resources (hide)'!AD$6:AD$105)&gt;0,$E$1=2),0,1)</f>
        <v>1</v>
      </c>
      <c r="R44" s="67">
        <f ca="1">IF(AND(SUMIF(Capacity_Resource,$D44,'Critical resources (hide)'!AE$6:AE$105)+SUMIF(Capacity_Resource,$E44,'Critical resources (hide)'!AE$6:AE$105)+SUMIF(Capacity_Resource,$F44,'Critical resources (hide)'!AE$6:AE$105)&gt;0,$E$1=2),0,1)</f>
        <v>1</v>
      </c>
      <c r="S44" s="67">
        <f ca="1">IF(AND(SUMIF(Capacity_Resource,$D44,'Critical resources (hide)'!AF$6:AF$105)+SUMIF(Capacity_Resource,$E44,'Critical resources (hide)'!AF$6:AF$105)+SUMIF(Capacity_Resource,$F44,'Critical resources (hide)'!AF$6:AF$105)&gt;0,$E$1=2),0,1)</f>
        <v>1</v>
      </c>
      <c r="T44" s="67">
        <f ca="1">IF(AND(SUMIF(Capacity_Resource,$D44,'Critical resources (hide)'!AG$6:AG$105)+SUMIF(Capacity_Resource,$E44,'Critical resources (hide)'!AG$6:AG$105)+SUMIF(Capacity_Resource,$F44,'Critical resources (hide)'!AG$6:AG$105)&gt;0,$E$1=2),0,1)</f>
        <v>1</v>
      </c>
      <c r="U44" s="67">
        <f ca="1">IF(AND(SUMIF(Capacity_Resource,$D44,'Critical resources (hide)'!AH$6:AH$105)+SUMIF(Capacity_Resource,$E44,'Critical resources (hide)'!AH$6:AH$105)+SUMIF(Capacity_Resource,$F44,'Critical resources (hide)'!AH$6:AH$105)&gt;0,$E$1=2),0,1)</f>
        <v>1</v>
      </c>
      <c r="V44" s="67">
        <f ca="1">IF(AND(SUMIF(Capacity_Resource,$D44,'Critical resources (hide)'!AI$6:AI$105)+SUMIF(Capacity_Resource,$E44,'Critical resources (hide)'!AI$6:AI$105)+SUMIF(Capacity_Resource,$F44,'Critical resources (hide)'!AI$6:AI$105)&gt;0,$E$1=2),0,1)</f>
        <v>1</v>
      </c>
      <c r="W44" s="67">
        <f ca="1">IF(AND(SUMIF(Capacity_Resource,$D44,'Critical resources (hide)'!AJ$6:AJ$105)+SUMIF(Capacity_Resource,$E44,'Critical resources (hide)'!AJ$6:AJ$105)+SUMIF(Capacity_Resource,$F44,'Critical resources (hide)'!AJ$6:AJ$105)&gt;0,$E$1=2),0,1)</f>
        <v>1</v>
      </c>
      <c r="X44" s="67">
        <f ca="1">IF(AND(SUMIF(Capacity_Resource,$D44,'Critical resources (hide)'!AK$6:AK$105)+SUMIF(Capacity_Resource,$E44,'Critical resources (hide)'!AK$6:AK$105)+SUMIF(Capacity_Resource,$F44,'Critical resources (hide)'!AK$6:AK$105)&gt;0,$E$1=2),0,1)</f>
        <v>1</v>
      </c>
      <c r="Y44" s="67">
        <f ca="1">IF(AND(SUMIF(Capacity_Resource,$D44,'Critical resources (hide)'!AL$6:AL$105)+SUMIF(Capacity_Resource,$E44,'Critical resources (hide)'!AL$6:AL$105)+SUMIF(Capacity_Resource,$F44,'Critical resources (hide)'!AL$6:AL$105)&gt;0,$E$1=2),0,1)</f>
        <v>1</v>
      </c>
      <c r="Z44" s="67">
        <f ca="1">IF(AND(SUMIF(Capacity_Resource,$D44,'Critical resources (hide)'!AM$6:AM$105)+SUMIF(Capacity_Resource,$E44,'Critical resources (hide)'!AM$6:AM$105)+SUMIF(Capacity_Resource,$F44,'Critical resources (hide)'!AM$6:AM$105)&gt;0,$E$1=2),0,1)</f>
        <v>1</v>
      </c>
      <c r="AA44" s="67">
        <f ca="1">IF(AND(SUMIF(Capacity_Resource,$D44,'Critical resources (hide)'!AN$6:AN$105)+SUMIF(Capacity_Resource,$E44,'Critical resources (hide)'!AN$6:AN$105)+SUMIF(Capacity_Resource,$F44,'Critical resources (hide)'!AN$6:AN$105)&gt;0,$E$1=2),0,1)</f>
        <v>1</v>
      </c>
      <c r="AB44" s="67">
        <f ca="1">IF(AND(SUMIF(Capacity_Resource,$D44,'Critical resources (hide)'!AO$6:AO$105)+SUMIF(Capacity_Resource,$E44,'Critical resources (hide)'!AO$6:AO$105)+SUMIF(Capacity_Resource,$F44,'Critical resources (hide)'!AO$6:AO$105)&gt;0,$E$1=2),0,1)</f>
        <v>1</v>
      </c>
      <c r="AC44" s="67">
        <f ca="1">IF(AND(SUMIF(Capacity_Resource,$D44,'Critical resources (hide)'!AP$6:AP$105)+SUMIF(Capacity_Resource,$E44,'Critical resources (hide)'!AP$6:AP$105)+SUMIF(Capacity_Resource,$F44,'Critical resources (hide)'!AP$6:AP$105)&gt;0,$E$1=2),0,1)</f>
        <v>1</v>
      </c>
      <c r="AD44" s="67">
        <f ca="1">IF(AND(SUMIF(Capacity_Resource,$D44,'Critical resources (hide)'!AQ$6:AQ$105)+SUMIF(Capacity_Resource,$E44,'Critical resources (hide)'!AQ$6:AQ$105)+SUMIF(Capacity_Resource,$F44,'Critical resources (hide)'!AQ$6:AQ$105)&gt;0,$E$1=2),0,1)</f>
        <v>1</v>
      </c>
      <c r="AE44" s="67">
        <f ca="1">IF(AND(SUMIF(Capacity_Resource,$D44,'Critical resources (hide)'!AR$6:AR$105)+SUMIF(Capacity_Resource,$E44,'Critical resources (hide)'!AR$6:AR$105)+SUMIF(Capacity_Resource,$F44,'Critical resources (hide)'!AR$6:AR$105)&gt;0,$E$1=2),0,1)</f>
        <v>1</v>
      </c>
      <c r="AF44" s="67">
        <f ca="1">IF(AND(SUMIF(Capacity_Resource,$D44,'Critical resources (hide)'!AS$6:AS$105)+SUMIF(Capacity_Resource,$E44,'Critical resources (hide)'!AS$6:AS$105)+SUMIF(Capacity_Resource,$F44,'Critical resources (hide)'!AS$6:AS$105)&gt;0,$E$1=2),0,1)</f>
        <v>1</v>
      </c>
      <c r="AG44" s="67">
        <f ca="1">IF(AND(SUMIF(Capacity_Resource,$D44,'Critical resources (hide)'!AT$6:AT$105)+SUMIF(Capacity_Resource,$E44,'Critical resources (hide)'!AT$6:AT$105)+SUMIF(Capacity_Resource,$F44,'Critical resources (hide)'!AT$6:AT$105)&gt;0,$E$1=2),0,1)</f>
        <v>1</v>
      </c>
      <c r="AH44" s="67">
        <f ca="1">IF(AND(SUMIF(Capacity_Resource,$D44,'Critical resources (hide)'!AU$6:AU$105)+SUMIF(Capacity_Resource,$E44,'Critical resources (hide)'!AU$6:AU$105)+SUMIF(Capacity_Resource,$F44,'Critical resources (hide)'!AU$6:AU$105)&gt;0,$E$1=2),0,1)</f>
        <v>1</v>
      </c>
      <c r="AI44" s="67">
        <f ca="1">IF(AND(SUMIF(Capacity_Resource,$D44,'Critical resources (hide)'!AV$6:AV$105)+SUMIF(Capacity_Resource,$E44,'Critical resources (hide)'!AV$6:AV$105)+SUMIF(Capacity_Resource,$F44,'Critical resources (hide)'!AV$6:AV$105)&gt;0,$E$1=2),0,1)</f>
        <v>1</v>
      </c>
      <c r="AJ44" s="67">
        <f ca="1">IF(AND(SUMIF(Capacity_Resource,$D44,'Critical resources (hide)'!AW$6:AW$105)+SUMIF(Capacity_Resource,$E44,'Critical resources (hide)'!AW$6:AW$105)+SUMIF(Capacity_Resource,$F44,'Critical resources (hide)'!AW$6:AW$105)&gt;0,$E$1=2),0,1)</f>
        <v>1</v>
      </c>
      <c r="AK44" s="67">
        <f ca="1">IF(AND(SUMIF(Capacity_Resource,$D44,'Critical resources (hide)'!AX$6:AX$105)+SUMIF(Capacity_Resource,$E44,'Critical resources (hide)'!AX$6:AX$105)+SUMIF(Capacity_Resource,$F44,'Critical resources (hide)'!AX$6:AX$105)&gt;0,$E$1=2),0,1)</f>
        <v>1</v>
      </c>
      <c r="AL44" s="67">
        <f ca="1">IF(AND(SUMIF(Capacity_Resource,$D44,'Critical resources (hide)'!AY$6:AY$105)+SUMIF(Capacity_Resource,$E44,'Critical resources (hide)'!AY$6:AY$105)+SUMIF(Capacity_Resource,$F44,'Critical resources (hide)'!AY$6:AY$105)&gt;0,$E$1=2),0,1)</f>
        <v>1</v>
      </c>
      <c r="AM44" s="67">
        <f ca="1">IF(AND(SUMIF(Capacity_Resource,$D44,'Critical resources (hide)'!AZ$6:AZ$105)+SUMIF(Capacity_Resource,$E44,'Critical resources (hide)'!AZ$6:AZ$105)+SUMIF(Capacity_Resource,$F44,'Critical resources (hide)'!AZ$6:AZ$105)&gt;0,$E$1=2),0,1)</f>
        <v>1</v>
      </c>
      <c r="AN44" s="67">
        <f ca="1">IF(AND(SUMIF(Capacity_Resource,$D44,'Critical resources (hide)'!BA$6:BA$105)+SUMIF(Capacity_Resource,$E44,'Critical resources (hide)'!BA$6:BA$105)+SUMIF(Capacity_Resource,$F44,'Critical resources (hide)'!BA$6:BA$105)&gt;0,$E$1=2),0,1)</f>
        <v>1</v>
      </c>
      <c r="AO44" s="67">
        <f ca="1">IF(AND(SUMIF(Capacity_Resource,$D44,'Critical resources (hide)'!BB$6:BB$105)+SUMIF(Capacity_Resource,$E44,'Critical resources (hide)'!BB$6:BB$105)+SUMIF(Capacity_Resource,$F44,'Critical resources (hide)'!BB$6:BB$105)&gt;0,$E$1=2),0,1)</f>
        <v>1</v>
      </c>
      <c r="AP44" s="67">
        <f ca="1">IF(AND(SUMIF(Capacity_Resource,$D44,'Critical resources (hide)'!BC$6:BC$105)+SUMIF(Capacity_Resource,$E44,'Critical resources (hide)'!BC$6:BC$105)+SUMIF(Capacity_Resource,$F44,'Critical resources (hide)'!BC$6:BC$105)&gt;0,$E$1=2),0,1)</f>
        <v>1</v>
      </c>
      <c r="AQ44" s="67">
        <f ca="1">IF(AND(SUMIF(Capacity_Resource,$D44,'Critical resources (hide)'!BD$6:BD$105)+SUMIF(Capacity_Resource,$E44,'Critical resources (hide)'!BD$6:BD$105)+SUMIF(Capacity_Resource,$F44,'Critical resources (hide)'!BD$6:BD$105)&gt;0,$E$1=2),0,1)</f>
        <v>1</v>
      </c>
      <c r="AR44" s="67">
        <f ca="1">IF(AND(SUMIF(Capacity_Resource,$D44,'Critical resources (hide)'!BE$6:BE$105)+SUMIF(Capacity_Resource,$E44,'Critical resources (hide)'!BE$6:BE$105)+SUMIF(Capacity_Resource,$F44,'Critical resources (hide)'!BE$6:BE$105)&gt;0,$E$1=2),0,1)</f>
        <v>1</v>
      </c>
      <c r="AS44" s="67">
        <f ca="1">IF(AND(SUMIF(Capacity_Resource,$D44,'Critical resources (hide)'!BF$6:BF$105)+SUMIF(Capacity_Resource,$E44,'Critical resources (hide)'!BF$6:BF$105)+SUMIF(Capacity_Resource,$F44,'Critical resources (hide)'!BF$6:BF$105)&gt;0,$E$1=2),0,1)</f>
        <v>1</v>
      </c>
      <c r="AT44" s="67">
        <f ca="1">IF(AND(SUMIF(Capacity_Resource,$D44,'Critical resources (hide)'!BG$6:BG$105)+SUMIF(Capacity_Resource,$E44,'Critical resources (hide)'!BG$6:BG$105)+SUMIF(Capacity_Resource,$F44,'Critical resources (hide)'!BG$6:BG$105)&gt;0,$E$1=2),0,1)</f>
        <v>1</v>
      </c>
      <c r="AU44" s="67">
        <f ca="1">IF(AND(SUMIF(Capacity_Resource,$D44,'Critical resources (hide)'!BH$6:BH$105)+SUMIF(Capacity_Resource,$E44,'Critical resources (hide)'!BH$6:BH$105)+SUMIF(Capacity_Resource,$F44,'Critical resources (hide)'!BH$6:BH$105)&gt;0,$E$1=2),0,1)</f>
        <v>1</v>
      </c>
      <c r="AV44" s="67">
        <f ca="1">IF(AND(SUMIF(Capacity_Resource,$D44,'Critical resources (hide)'!BI$6:BI$105)+SUMIF(Capacity_Resource,$E44,'Critical resources (hide)'!BI$6:BI$105)+SUMIF(Capacity_Resource,$F44,'Critical resources (hide)'!BI$6:BI$105)&gt;0,$E$1=2),0,1)</f>
        <v>1</v>
      </c>
      <c r="AW44" s="67">
        <f ca="1">IF(AND(SUMIF(Capacity_Resource,$D44,'Critical resources (hide)'!BJ$6:BJ$105)+SUMIF(Capacity_Resource,$E44,'Critical resources (hide)'!BJ$6:BJ$105)+SUMIF(Capacity_Resource,$F44,'Critical resources (hide)'!BJ$6:BJ$105)&gt;0,$E$1=2),0,1)</f>
        <v>1</v>
      </c>
      <c r="AX44" s="67">
        <f ca="1">IF(AND(SUMIF(Capacity_Resource,$D44,'Critical resources (hide)'!BK$6:BK$105)+SUMIF(Capacity_Resource,$E44,'Critical resources (hide)'!BK$6:BK$105)+SUMIF(Capacity_Resource,$F44,'Critical resources (hide)'!BK$6:BK$105)&gt;0,$E$1=2),0,1)</f>
        <v>1</v>
      </c>
      <c r="AY44" s="67">
        <f ca="1">IF(AND(SUMIF(Capacity_Resource,$D44,'Critical resources (hide)'!BL$6:BL$105)+SUMIF(Capacity_Resource,$E44,'Critical resources (hide)'!BL$6:BL$105)+SUMIF(Capacity_Resource,$F44,'Critical resources (hide)'!BL$6:BL$105)&gt;0,$E$1=2),0,1)</f>
        <v>1</v>
      </c>
      <c r="AZ44" s="67">
        <f ca="1">IF(AND(SUMIF(Capacity_Resource,$D44,'Critical resources (hide)'!BM$6:BM$105)+SUMIF(Capacity_Resource,$E44,'Critical resources (hide)'!BM$6:BM$105)+SUMIF(Capacity_Resource,$F44,'Critical resources (hide)'!BM$6:BM$105)&gt;0,$E$1=2),0,1)</f>
        <v>1</v>
      </c>
      <c r="BA44" s="67">
        <f ca="1">IF(AND(SUMIF(Capacity_Resource,$D44,'Critical resources (hide)'!BN$6:BN$105)+SUMIF(Capacity_Resource,$E44,'Critical resources (hide)'!BN$6:BN$105)+SUMIF(Capacity_Resource,$F44,'Critical resources (hide)'!BN$6:BN$105)&gt;0,$E$1=2),0,1)</f>
        <v>1</v>
      </c>
      <c r="BB44" s="67">
        <f ca="1">IF(AND(SUMIF(Capacity_Resource,$D44,'Critical resources (hide)'!BO$6:BO$105)+SUMIF(Capacity_Resource,$E44,'Critical resources (hide)'!BO$6:BO$105)+SUMIF(Capacity_Resource,$F44,'Critical resources (hide)'!BO$6:BO$105)&gt;0,$E$1=2),0,1)</f>
        <v>1</v>
      </c>
      <c r="BC44" s="67">
        <f ca="1">IF(AND(SUMIF(Capacity_Resource,$D44,'Critical resources (hide)'!BP$6:BP$105)+SUMIF(Capacity_Resource,$E44,'Critical resources (hide)'!BP$6:BP$105)+SUMIF(Capacity_Resource,$F44,'Critical resources (hide)'!BP$6:BP$105)&gt;0,$E$1=2),0,1)</f>
        <v>1</v>
      </c>
      <c r="BD44" s="67">
        <f ca="1">IF(AND(SUMIF(Capacity_Resource,$D44,'Critical resources (hide)'!BQ$6:BQ$105)+SUMIF(Capacity_Resource,$E44,'Critical resources (hide)'!BQ$6:BQ$105)+SUMIF(Capacity_Resource,$F44,'Critical resources (hide)'!BQ$6:BQ$105)&gt;0,$E$1=2),0,1)</f>
        <v>1</v>
      </c>
      <c r="BE44" s="67">
        <f ca="1">IF(AND(SUMIF(Capacity_Resource,$D44,'Critical resources (hide)'!BR$6:BR$105)+SUMIF(Capacity_Resource,$E44,'Critical resources (hide)'!BR$6:BR$105)+SUMIF(Capacity_Resource,$F44,'Critical resources (hide)'!BR$6:BR$105)&gt;0,$E$1=2),0,1)</f>
        <v>1</v>
      </c>
      <c r="BF44" s="67">
        <f ca="1">IF(AND(SUMIF(Capacity_Resource,$D44,'Critical resources (hide)'!BS$6:BS$105)+SUMIF(Capacity_Resource,$E44,'Critical resources (hide)'!BS$6:BS$105)+SUMIF(Capacity_Resource,$F44,'Critical resources (hide)'!BS$6:BS$105)&gt;0,$E$1=2),0,1)</f>
        <v>1</v>
      </c>
      <c r="BG44" s="67">
        <f ca="1">IF(AND(SUMIF(Capacity_Resource,$D44,'Critical resources (hide)'!BT$6:BT$105)+SUMIF(Capacity_Resource,$E44,'Critical resources (hide)'!BT$6:BT$105)+SUMIF(Capacity_Resource,$F44,'Critical resources (hide)'!BT$6:BT$105)&gt;0,$E$1=2),0,1)</f>
        <v>1</v>
      </c>
      <c r="BH44" s="67">
        <f>IF(ROW(C40)&lt;=Capacity!$A$16,IF('Capacity summary'!$D$14="No",SUM(H44:BG44),'Capacity summary'!$E163),0)</f>
        <v>0</v>
      </c>
      <c r="BI44" s="5" t="str">
        <f>IF(BH44&gt;0,IF(BH44&lt;Capacity!E56,Capacity!F56,Capacity!H56/'Capacity calculation (hide)'!BH44),"")</f>
        <v/>
      </c>
      <c r="BK44" s="313">
        <f>IF($BI44&lt;&gt;"",IF('Capacity summary'!$D$14="Yes",IF(COUNTBLANK('Capacity summary'!$H163:$BG163)&lt;52,IF('Capacity summary'!H163&lt;&gt;"",IF(LOWER('Capacity summary'!H163)="x",$BI44*H44,VALUE('Capacity summary'!H163)),0),H44*$BI44),H44*$BI44),0)</f>
        <v>0</v>
      </c>
      <c r="BL44" s="313">
        <f>IF($BI44&lt;&gt;"",IF('Capacity summary'!$D$14="Yes",IF(COUNTBLANK('Capacity summary'!$H163:$BG163)&lt;52,IF('Capacity summary'!I163&lt;&gt;"",IF(LOWER('Capacity summary'!I163)="x",$BI44*I44,VALUE('Capacity summary'!I163)),0),I44*$BI44),I44*$BI44),0)</f>
        <v>0</v>
      </c>
      <c r="BM44" s="313">
        <f>IF($BI44&lt;&gt;"",IF('Capacity summary'!$D$14="Yes",IF(COUNTBLANK('Capacity summary'!$H163:$BG163)&lt;52,IF('Capacity summary'!J163&lt;&gt;"",IF(LOWER('Capacity summary'!J163)="x",$BI44*J44,VALUE('Capacity summary'!J163)),0),J44*$BI44),J44*$BI44),0)</f>
        <v>0</v>
      </c>
      <c r="BN44" s="313">
        <f>IF($BI44&lt;&gt;"",IF('Capacity summary'!$D$14="Yes",IF(COUNTBLANK('Capacity summary'!$H163:$BG163)&lt;52,IF('Capacity summary'!K163&lt;&gt;"",IF(LOWER('Capacity summary'!K163)="x",$BI44*K44,VALUE('Capacity summary'!K163)),0),K44*$BI44),K44*$BI44),0)</f>
        <v>0</v>
      </c>
      <c r="BO44" s="313">
        <f>IF($BI44&lt;&gt;"",IF('Capacity summary'!$D$14="Yes",IF(COUNTBLANK('Capacity summary'!$H163:$BG163)&lt;52,IF('Capacity summary'!L163&lt;&gt;"",IF(LOWER('Capacity summary'!L163)="x",$BI44*L44,VALUE('Capacity summary'!L163)),0),L44*$BI44),L44*$BI44),0)</f>
        <v>0</v>
      </c>
      <c r="BP44" s="313">
        <f>IF($BI44&lt;&gt;"",IF('Capacity summary'!$D$14="Yes",IF(COUNTBLANK('Capacity summary'!$H163:$BG163)&lt;52,IF('Capacity summary'!M163&lt;&gt;"",IF(LOWER('Capacity summary'!M163)="x",$BI44*M44,VALUE('Capacity summary'!M163)),0),M44*$BI44),M44*$BI44),0)</f>
        <v>0</v>
      </c>
      <c r="BQ44" s="313">
        <f>IF($BI44&lt;&gt;"",IF('Capacity summary'!$D$14="Yes",IF(COUNTBLANK('Capacity summary'!$H163:$BG163)&lt;52,IF('Capacity summary'!N163&lt;&gt;"",IF(LOWER('Capacity summary'!N163)="x",$BI44*N44,VALUE('Capacity summary'!N163)),0),N44*$BI44),N44*$BI44),0)</f>
        <v>0</v>
      </c>
      <c r="BR44" s="313">
        <f>IF($BI44&lt;&gt;"",IF('Capacity summary'!$D$14="Yes",IF(COUNTBLANK('Capacity summary'!$H163:$BG163)&lt;52,IF('Capacity summary'!O163&lt;&gt;"",IF(LOWER('Capacity summary'!O163)="x",$BI44*O44,VALUE('Capacity summary'!O163)),0),O44*$BI44),O44*$BI44),0)</f>
        <v>0</v>
      </c>
      <c r="BS44" s="313">
        <f>IF($BI44&lt;&gt;"",IF('Capacity summary'!$D$14="Yes",IF(COUNTBLANK('Capacity summary'!$H163:$BG163)&lt;52,IF('Capacity summary'!P163&lt;&gt;"",IF(LOWER('Capacity summary'!P163)="x",$BI44*P44,VALUE('Capacity summary'!P163)),0),P44*$BI44),P44*$BI44),0)</f>
        <v>0</v>
      </c>
      <c r="BT44" s="313">
        <f>IF($BI44&lt;&gt;"",IF('Capacity summary'!$D$14="Yes",IF(COUNTBLANK('Capacity summary'!$H163:$BG163)&lt;52,IF('Capacity summary'!Q163&lt;&gt;"",IF(LOWER('Capacity summary'!Q163)="x",$BI44*Q44,VALUE('Capacity summary'!Q163)),0),Q44*$BI44),Q44*$BI44),0)</f>
        <v>0</v>
      </c>
      <c r="BU44" s="313">
        <f>IF($BI44&lt;&gt;"",IF('Capacity summary'!$D$14="Yes",IF(COUNTBLANK('Capacity summary'!$H163:$BG163)&lt;52,IF('Capacity summary'!R163&lt;&gt;"",IF(LOWER('Capacity summary'!R163)="x",$BI44*R44,VALUE('Capacity summary'!R163)),0),R44*$BI44),R44*$BI44),0)</f>
        <v>0</v>
      </c>
      <c r="BV44" s="313">
        <f>IF($BI44&lt;&gt;"",IF('Capacity summary'!$D$14="Yes",IF(COUNTBLANK('Capacity summary'!$H163:$BG163)&lt;52,IF('Capacity summary'!S163&lt;&gt;"",IF(LOWER('Capacity summary'!S163)="x",$BI44*S44,VALUE('Capacity summary'!S163)),0),S44*$BI44),S44*$BI44),0)</f>
        <v>0</v>
      </c>
      <c r="BW44" s="313">
        <f>IF($BI44&lt;&gt;"",IF('Capacity summary'!$D$14="Yes",IF(COUNTBLANK('Capacity summary'!$H163:$BG163)&lt;52,IF('Capacity summary'!T163&lt;&gt;"",IF(LOWER('Capacity summary'!T163)="x",$BI44*T44,VALUE('Capacity summary'!T163)),0),T44*$BI44),T44*$BI44),0)</f>
        <v>0</v>
      </c>
      <c r="BX44" s="313">
        <f>IF($BI44&lt;&gt;"",IF('Capacity summary'!$D$14="Yes",IF(COUNTBLANK('Capacity summary'!$H163:$BG163)&lt;52,IF('Capacity summary'!U163&lt;&gt;"",IF(LOWER('Capacity summary'!U163)="x",$BI44*U44,VALUE('Capacity summary'!U163)),0),U44*$BI44),U44*$BI44),0)</f>
        <v>0</v>
      </c>
      <c r="BY44" s="313">
        <f>IF($BI44&lt;&gt;"",IF('Capacity summary'!$D$14="Yes",IF(COUNTBLANK('Capacity summary'!$H163:$BG163)&lt;52,IF('Capacity summary'!V163&lt;&gt;"",IF(LOWER('Capacity summary'!V163)="x",$BI44*V44,VALUE('Capacity summary'!V163)),0),V44*$BI44),V44*$BI44),0)</f>
        <v>0</v>
      </c>
      <c r="BZ44" s="313">
        <f>IF($BI44&lt;&gt;"",IF('Capacity summary'!$D$14="Yes",IF(COUNTBLANK('Capacity summary'!$H163:$BG163)&lt;52,IF('Capacity summary'!W163&lt;&gt;"",IF(LOWER('Capacity summary'!W163)="x",$BI44*W44,VALUE('Capacity summary'!W163)),0),W44*$BI44),W44*$BI44),0)</f>
        <v>0</v>
      </c>
      <c r="CA44" s="313">
        <f>IF($BI44&lt;&gt;"",IF('Capacity summary'!$D$14="Yes",IF(COUNTBLANK('Capacity summary'!$H163:$BG163)&lt;52,IF('Capacity summary'!X163&lt;&gt;"",IF(LOWER('Capacity summary'!X163)="x",$BI44*X44,VALUE('Capacity summary'!X163)),0),X44*$BI44),X44*$BI44),0)</f>
        <v>0</v>
      </c>
      <c r="CB44" s="313">
        <f>IF($BI44&lt;&gt;"",IF('Capacity summary'!$D$14="Yes",IF(COUNTBLANK('Capacity summary'!$H163:$BG163)&lt;52,IF('Capacity summary'!Y163&lt;&gt;"",IF(LOWER('Capacity summary'!Y163)="x",$BI44*Y44,VALUE('Capacity summary'!Y163)),0),Y44*$BI44),Y44*$BI44),0)</f>
        <v>0</v>
      </c>
      <c r="CC44" s="313">
        <f>IF($BI44&lt;&gt;"",IF('Capacity summary'!$D$14="Yes",IF(COUNTBLANK('Capacity summary'!$H163:$BG163)&lt;52,IF('Capacity summary'!Z163&lt;&gt;"",IF(LOWER('Capacity summary'!Z163)="x",$BI44*Z44,VALUE('Capacity summary'!Z163)),0),Z44*$BI44),Z44*$BI44),0)</f>
        <v>0</v>
      </c>
      <c r="CD44" s="313">
        <f>IF($BI44&lt;&gt;"",IF('Capacity summary'!$D$14="Yes",IF(COUNTBLANK('Capacity summary'!$H163:$BG163)&lt;52,IF('Capacity summary'!AA163&lt;&gt;"",IF(LOWER('Capacity summary'!AA163)="x",$BI44*AA44,VALUE('Capacity summary'!AA163)),0),AA44*$BI44),AA44*$BI44),0)</f>
        <v>0</v>
      </c>
      <c r="CE44" s="313">
        <f>IF($BI44&lt;&gt;"",IF('Capacity summary'!$D$14="Yes",IF(COUNTBLANK('Capacity summary'!$H163:$BG163)&lt;52,IF('Capacity summary'!AB163&lt;&gt;"",IF(LOWER('Capacity summary'!AB163)="x",$BI44*AB44,VALUE('Capacity summary'!AB163)),0),AB44*$BI44),AB44*$BI44),0)</f>
        <v>0</v>
      </c>
      <c r="CF44" s="313">
        <f>IF($BI44&lt;&gt;"",IF('Capacity summary'!$D$14="Yes",IF(COUNTBLANK('Capacity summary'!$H163:$BG163)&lt;52,IF('Capacity summary'!AC163&lt;&gt;"",IF(LOWER('Capacity summary'!AC163)="x",$BI44*AC44,VALUE('Capacity summary'!AC163)),0),AC44*$BI44),AC44*$BI44),0)</f>
        <v>0</v>
      </c>
      <c r="CG44" s="313">
        <f>IF($BI44&lt;&gt;"",IF('Capacity summary'!$D$14="Yes",IF(COUNTBLANK('Capacity summary'!$H163:$BG163)&lt;52,IF('Capacity summary'!AD163&lt;&gt;"",IF(LOWER('Capacity summary'!AD163)="x",$BI44*AD44,VALUE('Capacity summary'!AD163)),0),AD44*$BI44),AD44*$BI44),0)</f>
        <v>0</v>
      </c>
      <c r="CH44" s="313">
        <f>IF($BI44&lt;&gt;"",IF('Capacity summary'!$D$14="Yes",IF(COUNTBLANK('Capacity summary'!$H163:$BG163)&lt;52,IF('Capacity summary'!AE163&lt;&gt;"",IF(LOWER('Capacity summary'!AE163)="x",$BI44*AE44,VALUE('Capacity summary'!AE163)),0),AE44*$BI44),AE44*$BI44),0)</f>
        <v>0</v>
      </c>
      <c r="CI44" s="313">
        <f>IF($BI44&lt;&gt;"",IF('Capacity summary'!$D$14="Yes",IF(COUNTBLANK('Capacity summary'!$H163:$BG163)&lt;52,IF('Capacity summary'!AF163&lt;&gt;"",IF(LOWER('Capacity summary'!AF163)="x",$BI44*AF44,VALUE('Capacity summary'!AF163)),0),AF44*$BI44),AF44*$BI44),0)</f>
        <v>0</v>
      </c>
      <c r="CJ44" s="313">
        <f>IF($BI44&lt;&gt;"",IF('Capacity summary'!$D$14="Yes",IF(COUNTBLANK('Capacity summary'!$H163:$BG163)&lt;52,IF('Capacity summary'!AG163&lt;&gt;"",IF(LOWER('Capacity summary'!AG163)="x",$BI44*AG44,VALUE('Capacity summary'!AG163)),0),AG44*$BI44),AG44*$BI44),0)</f>
        <v>0</v>
      </c>
      <c r="CK44" s="313">
        <f>IF($BI44&lt;&gt;"",IF('Capacity summary'!$D$14="Yes",IF(COUNTBLANK('Capacity summary'!$H163:$BG163)&lt;52,IF('Capacity summary'!AH163&lt;&gt;"",IF(LOWER('Capacity summary'!AH163)="x",$BI44*AH44,VALUE('Capacity summary'!AH163)),0),AH44*$BI44),AH44*$BI44),0)</f>
        <v>0</v>
      </c>
      <c r="CL44" s="313">
        <f>IF($BI44&lt;&gt;"",IF('Capacity summary'!$D$14="Yes",IF(COUNTBLANK('Capacity summary'!$H163:$BG163)&lt;52,IF('Capacity summary'!AI163&lt;&gt;"",IF(LOWER('Capacity summary'!AI163)="x",$BI44*AI44,VALUE('Capacity summary'!AI163)),0),AI44*$BI44),AI44*$BI44),0)</f>
        <v>0</v>
      </c>
      <c r="CM44" s="313">
        <f>IF($BI44&lt;&gt;"",IF('Capacity summary'!$D$14="Yes",IF(COUNTBLANK('Capacity summary'!$H163:$BG163)&lt;52,IF('Capacity summary'!AJ163&lt;&gt;"",IF(LOWER('Capacity summary'!AJ163)="x",$BI44*AJ44,VALUE('Capacity summary'!AJ163)),0),AJ44*$BI44),AJ44*$BI44),0)</f>
        <v>0</v>
      </c>
      <c r="CN44" s="313">
        <f>IF($BI44&lt;&gt;"",IF('Capacity summary'!$D$14="Yes",IF(COUNTBLANK('Capacity summary'!$H163:$BG163)&lt;52,IF('Capacity summary'!AK163&lt;&gt;"",IF(LOWER('Capacity summary'!AK163)="x",$BI44*AK44,VALUE('Capacity summary'!AK163)),0),AK44*$BI44),AK44*$BI44),0)</f>
        <v>0</v>
      </c>
      <c r="CO44" s="313">
        <f>IF($BI44&lt;&gt;"",IF('Capacity summary'!$D$14="Yes",IF(COUNTBLANK('Capacity summary'!$H163:$BG163)&lt;52,IF('Capacity summary'!AL163&lt;&gt;"",IF(LOWER('Capacity summary'!AL163)="x",$BI44*AL44,VALUE('Capacity summary'!AL163)),0),AL44*$BI44),AL44*$BI44),0)</f>
        <v>0</v>
      </c>
      <c r="CP44" s="313">
        <f>IF($BI44&lt;&gt;"",IF('Capacity summary'!$D$14="Yes",IF(COUNTBLANK('Capacity summary'!$H163:$BG163)&lt;52,IF('Capacity summary'!AM163&lt;&gt;"",IF(LOWER('Capacity summary'!AM163)="x",$BI44*AM44,VALUE('Capacity summary'!AM163)),0),AM44*$BI44),AM44*$BI44),0)</f>
        <v>0</v>
      </c>
      <c r="CQ44" s="313">
        <f>IF($BI44&lt;&gt;"",IF('Capacity summary'!$D$14="Yes",IF(COUNTBLANK('Capacity summary'!$H163:$BG163)&lt;52,IF('Capacity summary'!AN163&lt;&gt;"",IF(LOWER('Capacity summary'!AN163)="x",$BI44*AN44,VALUE('Capacity summary'!AN163)),0),AN44*$BI44),AN44*$BI44),0)</f>
        <v>0</v>
      </c>
      <c r="CR44" s="313">
        <f>IF($BI44&lt;&gt;"",IF('Capacity summary'!$D$14="Yes",IF(COUNTBLANK('Capacity summary'!$H163:$BG163)&lt;52,IF('Capacity summary'!AO163&lt;&gt;"",IF(LOWER('Capacity summary'!AO163)="x",$BI44*AO44,VALUE('Capacity summary'!AO163)),0),AO44*$BI44),AO44*$BI44),0)</f>
        <v>0</v>
      </c>
      <c r="CS44" s="313">
        <f>IF($BI44&lt;&gt;"",IF('Capacity summary'!$D$14="Yes",IF(COUNTBLANK('Capacity summary'!$H163:$BG163)&lt;52,IF('Capacity summary'!AP163&lt;&gt;"",IF(LOWER('Capacity summary'!AP163)="x",$BI44*AP44,VALUE('Capacity summary'!AP163)),0),AP44*$BI44),AP44*$BI44),0)</f>
        <v>0</v>
      </c>
      <c r="CT44" s="313">
        <f>IF($BI44&lt;&gt;"",IF('Capacity summary'!$D$14="Yes",IF(COUNTBLANK('Capacity summary'!$H163:$BG163)&lt;52,IF('Capacity summary'!AQ163&lt;&gt;"",IF(LOWER('Capacity summary'!AQ163)="x",$BI44*AQ44,VALUE('Capacity summary'!AQ163)),0),AQ44*$BI44),AQ44*$BI44),0)</f>
        <v>0</v>
      </c>
      <c r="CU44" s="313">
        <f>IF($BI44&lt;&gt;"",IF('Capacity summary'!$D$14="Yes",IF(COUNTBLANK('Capacity summary'!$H163:$BG163)&lt;52,IF('Capacity summary'!AR163&lt;&gt;"",IF(LOWER('Capacity summary'!AR163)="x",$BI44*AR44,VALUE('Capacity summary'!AR163)),0),AR44*$BI44),AR44*$BI44),0)</f>
        <v>0</v>
      </c>
      <c r="CV44" s="313">
        <f>IF($BI44&lt;&gt;"",IF('Capacity summary'!$D$14="Yes",IF(COUNTBLANK('Capacity summary'!$H163:$BG163)&lt;52,IF('Capacity summary'!AS163&lt;&gt;"",IF(LOWER('Capacity summary'!AS163)="x",$BI44*AS44,VALUE('Capacity summary'!AS163)),0),AS44*$BI44),AS44*$BI44),0)</f>
        <v>0</v>
      </c>
      <c r="CW44" s="313">
        <f>IF($BI44&lt;&gt;"",IF('Capacity summary'!$D$14="Yes",IF(COUNTBLANK('Capacity summary'!$H163:$BG163)&lt;52,IF('Capacity summary'!AT163&lt;&gt;"",IF(LOWER('Capacity summary'!AT163)="x",$BI44*AT44,VALUE('Capacity summary'!AT163)),0),AT44*$BI44),AT44*$BI44),0)</f>
        <v>0</v>
      </c>
      <c r="CX44" s="313">
        <f>IF($BI44&lt;&gt;"",IF('Capacity summary'!$D$14="Yes",IF(COUNTBLANK('Capacity summary'!$H163:$BG163)&lt;52,IF('Capacity summary'!AU163&lt;&gt;"",IF(LOWER('Capacity summary'!AU163)="x",$BI44*AU44,VALUE('Capacity summary'!AU163)),0),AU44*$BI44),AU44*$BI44),0)</f>
        <v>0</v>
      </c>
      <c r="CY44" s="313">
        <f>IF($BI44&lt;&gt;"",IF('Capacity summary'!$D$14="Yes",IF(COUNTBLANK('Capacity summary'!$H163:$BG163)&lt;52,IF('Capacity summary'!AV163&lt;&gt;"",IF(LOWER('Capacity summary'!AV163)="x",$BI44*AV44,VALUE('Capacity summary'!AV163)),0),AV44*$BI44),AV44*$BI44),0)</f>
        <v>0</v>
      </c>
      <c r="CZ44" s="313">
        <f>IF($BI44&lt;&gt;"",IF('Capacity summary'!$D$14="Yes",IF(COUNTBLANK('Capacity summary'!$H163:$BG163)&lt;52,IF('Capacity summary'!AW163&lt;&gt;"",IF(LOWER('Capacity summary'!AW163)="x",$BI44*AW44,VALUE('Capacity summary'!AW163)),0),AW44*$BI44),AW44*$BI44),0)</f>
        <v>0</v>
      </c>
      <c r="DA44" s="313">
        <f>IF($BI44&lt;&gt;"",IF('Capacity summary'!$D$14="Yes",IF(COUNTBLANK('Capacity summary'!$H163:$BG163)&lt;52,IF('Capacity summary'!AX163&lt;&gt;"",IF(LOWER('Capacity summary'!AX163)="x",$BI44*AX44,VALUE('Capacity summary'!AX163)),0),AX44*$BI44),AX44*$BI44),0)</f>
        <v>0</v>
      </c>
      <c r="DB44" s="313">
        <f>IF($BI44&lt;&gt;"",IF('Capacity summary'!$D$14="Yes",IF(COUNTBLANK('Capacity summary'!$H163:$BG163)&lt;52,IF('Capacity summary'!AY163&lt;&gt;"",IF(LOWER('Capacity summary'!AY163)="x",$BI44*AY44,VALUE('Capacity summary'!AY163)),0),AY44*$BI44),AY44*$BI44),0)</f>
        <v>0</v>
      </c>
      <c r="DC44" s="313">
        <f>IF($BI44&lt;&gt;"",IF('Capacity summary'!$D$14="Yes",IF(COUNTBLANK('Capacity summary'!$H163:$BG163)&lt;52,IF('Capacity summary'!AZ163&lt;&gt;"",IF(LOWER('Capacity summary'!AZ163)="x",$BI44*AZ44,VALUE('Capacity summary'!AZ163)),0),AZ44*$BI44),AZ44*$BI44),0)</f>
        <v>0</v>
      </c>
      <c r="DD44" s="313">
        <f>IF($BI44&lt;&gt;"",IF('Capacity summary'!$D$14="Yes",IF(COUNTBLANK('Capacity summary'!$H163:$BG163)&lt;52,IF('Capacity summary'!BA163&lt;&gt;"",IF(LOWER('Capacity summary'!BA163)="x",$BI44*BA44,VALUE('Capacity summary'!BA163)),0),BA44*$BI44),BA44*$BI44),0)</f>
        <v>0</v>
      </c>
      <c r="DE44" s="313">
        <f>IF($BI44&lt;&gt;"",IF('Capacity summary'!$D$14="Yes",IF(COUNTBLANK('Capacity summary'!$H163:$BG163)&lt;52,IF('Capacity summary'!BB163&lt;&gt;"",IF(LOWER('Capacity summary'!BB163)="x",$BI44*BB44,VALUE('Capacity summary'!BB163)),0),BB44*$BI44),BB44*$BI44),0)</f>
        <v>0</v>
      </c>
      <c r="DF44" s="313">
        <f>IF($BI44&lt;&gt;"",IF('Capacity summary'!$D$14="Yes",IF(COUNTBLANK('Capacity summary'!$H163:$BG163)&lt;52,IF('Capacity summary'!BC163&lt;&gt;"",IF(LOWER('Capacity summary'!BC163)="x",$BI44*BC44,VALUE('Capacity summary'!BC163)),0),BC44*$BI44),BC44*$BI44),0)</f>
        <v>0</v>
      </c>
      <c r="DG44" s="313">
        <f>IF($BI44&lt;&gt;"",IF('Capacity summary'!$D$14="Yes",IF(COUNTBLANK('Capacity summary'!$H163:$BG163)&lt;52,IF('Capacity summary'!BD163&lt;&gt;"",IF(LOWER('Capacity summary'!BD163)="x",$BI44*BD44,VALUE('Capacity summary'!BD163)),0),BD44*$BI44),BD44*$BI44),0)</f>
        <v>0</v>
      </c>
      <c r="DH44" s="313">
        <f>IF($BI44&lt;&gt;"",IF('Capacity summary'!$D$14="Yes",IF(COUNTBLANK('Capacity summary'!$H163:$BG163)&lt;52,IF('Capacity summary'!BE163&lt;&gt;"",IF(LOWER('Capacity summary'!BE163)="x",$BI44*BE44,VALUE('Capacity summary'!BE163)),0),BE44*$BI44),BE44*$BI44),0)</f>
        <v>0</v>
      </c>
      <c r="DI44" s="313">
        <f>IF($BI44&lt;&gt;"",IF('Capacity summary'!$D$14="Yes",IF(COUNTBLANK('Capacity summary'!$H163:$BG163)&lt;52,IF('Capacity summary'!BF163&lt;&gt;"",IF(LOWER('Capacity summary'!BF163)="x",$BI44*BF44,VALUE('Capacity summary'!BF163)),0),BF44*$BI44),BF44*$BI44),0)</f>
        <v>0</v>
      </c>
      <c r="DJ44" s="313">
        <f>IF($BI44&lt;&gt;"",IF('Capacity summary'!$D$14="Yes",IF(COUNTBLANK('Capacity summary'!$H163:$BG163)&lt;52,IF('Capacity summary'!BG163&lt;&gt;"",IF(LOWER('Capacity summary'!BG163)="x",$BI44*BG44,VALUE('Capacity summary'!BG163)),0),BG44*$BI44),BG44*$BI44),0)</f>
        <v>0</v>
      </c>
      <c r="DK44" s="137">
        <f t="shared" si="2"/>
        <v>0</v>
      </c>
      <c r="DL44" s="313" t="str">
        <f>Capacity!H56</f>
        <v/>
      </c>
      <c r="DP44" s="5"/>
    </row>
    <row r="45" spans="2:120" x14ac:dyDescent="0.25">
      <c r="B45" s="67"/>
      <c r="C45" s="67" t="str">
        <f>ROW(A41)&amp;". "&amp;Capacity!B57</f>
        <v xml:space="preserve">41. </v>
      </c>
      <c r="D45" s="67">
        <f>'Capacity setup'!C52</f>
        <v>0</v>
      </c>
      <c r="E45" s="67">
        <f>'Capacity setup'!D52</f>
        <v>0</v>
      </c>
      <c r="F45" s="67">
        <f>'Capacity setup'!E52</f>
        <v>0</v>
      </c>
      <c r="H45" s="67">
        <f ca="1">IF(AND(SUMIF(Capacity_Resource,$D45,'Critical resources (hide)'!U$6:U$105)+SUMIF(Capacity_Resource,$E45,'Critical resources (hide)'!U$6:U$105)+SUMIF(Capacity_Resource,$F45,'Critical resources (hide)'!U$6:U$105)&gt;0,$E$1=2),0,1)</f>
        <v>1</v>
      </c>
      <c r="I45" s="67">
        <f ca="1">IF(AND(SUMIF(Capacity_Resource,$D45,'Critical resources (hide)'!V$6:V$105)+SUMIF(Capacity_Resource,$E45,'Critical resources (hide)'!V$6:V$105)+SUMIF(Capacity_Resource,$F45,'Critical resources (hide)'!V$6:V$105)&gt;0,$E$1=2),0,1)</f>
        <v>1</v>
      </c>
      <c r="J45" s="67">
        <f ca="1">IF(AND(SUMIF(Capacity_Resource,$D45,'Critical resources (hide)'!W$6:W$105)+SUMIF(Capacity_Resource,$E45,'Critical resources (hide)'!W$6:W$105)+SUMIF(Capacity_Resource,$F45,'Critical resources (hide)'!W$6:W$105)&gt;0,$E$1=2),0,1)</f>
        <v>1</v>
      </c>
      <c r="K45" s="67">
        <f ca="1">IF(AND(SUMIF(Capacity_Resource,$D45,'Critical resources (hide)'!X$6:X$105)+SUMIF(Capacity_Resource,$E45,'Critical resources (hide)'!X$6:X$105)+SUMIF(Capacity_Resource,$F45,'Critical resources (hide)'!X$6:X$105)&gt;0,$E$1=2),0,1)</f>
        <v>1</v>
      </c>
      <c r="L45" s="67">
        <f ca="1">IF(AND(SUMIF(Capacity_Resource,$D45,'Critical resources (hide)'!Y$6:Y$105)+SUMIF(Capacity_Resource,$E45,'Critical resources (hide)'!Y$6:Y$105)+SUMIF(Capacity_Resource,$F45,'Critical resources (hide)'!Y$6:Y$105)&gt;0,$E$1=2),0,1)</f>
        <v>1</v>
      </c>
      <c r="M45" s="67">
        <f ca="1">IF(AND(SUMIF(Capacity_Resource,$D45,'Critical resources (hide)'!Z$6:Z$105)+SUMIF(Capacity_Resource,$E45,'Critical resources (hide)'!Z$6:Z$105)+SUMIF(Capacity_Resource,$F45,'Critical resources (hide)'!Z$6:Z$105)&gt;0,$E$1=2),0,1)</f>
        <v>1</v>
      </c>
      <c r="N45" s="67">
        <f ca="1">IF(AND(SUMIF(Capacity_Resource,$D45,'Critical resources (hide)'!AA$6:AA$105)+SUMIF(Capacity_Resource,$E45,'Critical resources (hide)'!AA$6:AA$105)+SUMIF(Capacity_Resource,$F45,'Critical resources (hide)'!AA$6:AA$105)&gt;0,$E$1=2),0,1)</f>
        <v>1</v>
      </c>
      <c r="O45" s="67">
        <f ca="1">IF(AND(SUMIF(Capacity_Resource,$D45,'Critical resources (hide)'!AB$6:AB$105)+SUMIF(Capacity_Resource,$E45,'Critical resources (hide)'!AB$6:AB$105)+SUMIF(Capacity_Resource,$F45,'Critical resources (hide)'!AB$6:AB$105)&gt;0,$E$1=2),0,1)</f>
        <v>1</v>
      </c>
      <c r="P45" s="67">
        <f ca="1">IF(AND(SUMIF(Capacity_Resource,$D45,'Critical resources (hide)'!AC$6:AC$105)+SUMIF(Capacity_Resource,$E45,'Critical resources (hide)'!AC$6:AC$105)+SUMIF(Capacity_Resource,$F45,'Critical resources (hide)'!AC$6:AC$105)&gt;0,$E$1=2),0,1)</f>
        <v>1</v>
      </c>
      <c r="Q45" s="67">
        <f ca="1">IF(AND(SUMIF(Capacity_Resource,$D45,'Critical resources (hide)'!AD$6:AD$105)+SUMIF(Capacity_Resource,$E45,'Critical resources (hide)'!AD$6:AD$105)+SUMIF(Capacity_Resource,$F45,'Critical resources (hide)'!AD$6:AD$105)&gt;0,$E$1=2),0,1)</f>
        <v>1</v>
      </c>
      <c r="R45" s="67">
        <f ca="1">IF(AND(SUMIF(Capacity_Resource,$D45,'Critical resources (hide)'!AE$6:AE$105)+SUMIF(Capacity_Resource,$E45,'Critical resources (hide)'!AE$6:AE$105)+SUMIF(Capacity_Resource,$F45,'Critical resources (hide)'!AE$6:AE$105)&gt;0,$E$1=2),0,1)</f>
        <v>1</v>
      </c>
      <c r="S45" s="67">
        <f ca="1">IF(AND(SUMIF(Capacity_Resource,$D45,'Critical resources (hide)'!AF$6:AF$105)+SUMIF(Capacity_Resource,$E45,'Critical resources (hide)'!AF$6:AF$105)+SUMIF(Capacity_Resource,$F45,'Critical resources (hide)'!AF$6:AF$105)&gt;0,$E$1=2),0,1)</f>
        <v>1</v>
      </c>
      <c r="T45" s="67">
        <f ca="1">IF(AND(SUMIF(Capacity_Resource,$D45,'Critical resources (hide)'!AG$6:AG$105)+SUMIF(Capacity_Resource,$E45,'Critical resources (hide)'!AG$6:AG$105)+SUMIF(Capacity_Resource,$F45,'Critical resources (hide)'!AG$6:AG$105)&gt;0,$E$1=2),0,1)</f>
        <v>1</v>
      </c>
      <c r="U45" s="67">
        <f ca="1">IF(AND(SUMIF(Capacity_Resource,$D45,'Critical resources (hide)'!AH$6:AH$105)+SUMIF(Capacity_Resource,$E45,'Critical resources (hide)'!AH$6:AH$105)+SUMIF(Capacity_Resource,$F45,'Critical resources (hide)'!AH$6:AH$105)&gt;0,$E$1=2),0,1)</f>
        <v>1</v>
      </c>
      <c r="V45" s="67">
        <f ca="1">IF(AND(SUMIF(Capacity_Resource,$D45,'Critical resources (hide)'!AI$6:AI$105)+SUMIF(Capacity_Resource,$E45,'Critical resources (hide)'!AI$6:AI$105)+SUMIF(Capacity_Resource,$F45,'Critical resources (hide)'!AI$6:AI$105)&gt;0,$E$1=2),0,1)</f>
        <v>1</v>
      </c>
      <c r="W45" s="67">
        <f ca="1">IF(AND(SUMIF(Capacity_Resource,$D45,'Critical resources (hide)'!AJ$6:AJ$105)+SUMIF(Capacity_Resource,$E45,'Critical resources (hide)'!AJ$6:AJ$105)+SUMIF(Capacity_Resource,$F45,'Critical resources (hide)'!AJ$6:AJ$105)&gt;0,$E$1=2),0,1)</f>
        <v>1</v>
      </c>
      <c r="X45" s="67">
        <f ca="1">IF(AND(SUMIF(Capacity_Resource,$D45,'Critical resources (hide)'!AK$6:AK$105)+SUMIF(Capacity_Resource,$E45,'Critical resources (hide)'!AK$6:AK$105)+SUMIF(Capacity_Resource,$F45,'Critical resources (hide)'!AK$6:AK$105)&gt;0,$E$1=2),0,1)</f>
        <v>1</v>
      </c>
      <c r="Y45" s="67">
        <f ca="1">IF(AND(SUMIF(Capacity_Resource,$D45,'Critical resources (hide)'!AL$6:AL$105)+SUMIF(Capacity_Resource,$E45,'Critical resources (hide)'!AL$6:AL$105)+SUMIF(Capacity_Resource,$F45,'Critical resources (hide)'!AL$6:AL$105)&gt;0,$E$1=2),0,1)</f>
        <v>1</v>
      </c>
      <c r="Z45" s="67">
        <f ca="1">IF(AND(SUMIF(Capacity_Resource,$D45,'Critical resources (hide)'!AM$6:AM$105)+SUMIF(Capacity_Resource,$E45,'Critical resources (hide)'!AM$6:AM$105)+SUMIF(Capacity_Resource,$F45,'Critical resources (hide)'!AM$6:AM$105)&gt;0,$E$1=2),0,1)</f>
        <v>1</v>
      </c>
      <c r="AA45" s="67">
        <f ca="1">IF(AND(SUMIF(Capacity_Resource,$D45,'Critical resources (hide)'!AN$6:AN$105)+SUMIF(Capacity_Resource,$E45,'Critical resources (hide)'!AN$6:AN$105)+SUMIF(Capacity_Resource,$F45,'Critical resources (hide)'!AN$6:AN$105)&gt;0,$E$1=2),0,1)</f>
        <v>1</v>
      </c>
      <c r="AB45" s="67">
        <f ca="1">IF(AND(SUMIF(Capacity_Resource,$D45,'Critical resources (hide)'!AO$6:AO$105)+SUMIF(Capacity_Resource,$E45,'Critical resources (hide)'!AO$6:AO$105)+SUMIF(Capacity_Resource,$F45,'Critical resources (hide)'!AO$6:AO$105)&gt;0,$E$1=2),0,1)</f>
        <v>1</v>
      </c>
      <c r="AC45" s="67">
        <f ca="1">IF(AND(SUMIF(Capacity_Resource,$D45,'Critical resources (hide)'!AP$6:AP$105)+SUMIF(Capacity_Resource,$E45,'Critical resources (hide)'!AP$6:AP$105)+SUMIF(Capacity_Resource,$F45,'Critical resources (hide)'!AP$6:AP$105)&gt;0,$E$1=2),0,1)</f>
        <v>1</v>
      </c>
      <c r="AD45" s="67">
        <f ca="1">IF(AND(SUMIF(Capacity_Resource,$D45,'Critical resources (hide)'!AQ$6:AQ$105)+SUMIF(Capacity_Resource,$E45,'Critical resources (hide)'!AQ$6:AQ$105)+SUMIF(Capacity_Resource,$F45,'Critical resources (hide)'!AQ$6:AQ$105)&gt;0,$E$1=2),0,1)</f>
        <v>1</v>
      </c>
      <c r="AE45" s="67">
        <f ca="1">IF(AND(SUMIF(Capacity_Resource,$D45,'Critical resources (hide)'!AR$6:AR$105)+SUMIF(Capacity_Resource,$E45,'Critical resources (hide)'!AR$6:AR$105)+SUMIF(Capacity_Resource,$F45,'Critical resources (hide)'!AR$6:AR$105)&gt;0,$E$1=2),0,1)</f>
        <v>1</v>
      </c>
      <c r="AF45" s="67">
        <f ca="1">IF(AND(SUMIF(Capacity_Resource,$D45,'Critical resources (hide)'!AS$6:AS$105)+SUMIF(Capacity_Resource,$E45,'Critical resources (hide)'!AS$6:AS$105)+SUMIF(Capacity_Resource,$F45,'Critical resources (hide)'!AS$6:AS$105)&gt;0,$E$1=2),0,1)</f>
        <v>1</v>
      </c>
      <c r="AG45" s="67">
        <f ca="1">IF(AND(SUMIF(Capacity_Resource,$D45,'Critical resources (hide)'!AT$6:AT$105)+SUMIF(Capacity_Resource,$E45,'Critical resources (hide)'!AT$6:AT$105)+SUMIF(Capacity_Resource,$F45,'Critical resources (hide)'!AT$6:AT$105)&gt;0,$E$1=2),0,1)</f>
        <v>1</v>
      </c>
      <c r="AH45" s="67">
        <f ca="1">IF(AND(SUMIF(Capacity_Resource,$D45,'Critical resources (hide)'!AU$6:AU$105)+SUMIF(Capacity_Resource,$E45,'Critical resources (hide)'!AU$6:AU$105)+SUMIF(Capacity_Resource,$F45,'Critical resources (hide)'!AU$6:AU$105)&gt;0,$E$1=2),0,1)</f>
        <v>1</v>
      </c>
      <c r="AI45" s="67">
        <f ca="1">IF(AND(SUMIF(Capacity_Resource,$D45,'Critical resources (hide)'!AV$6:AV$105)+SUMIF(Capacity_Resource,$E45,'Critical resources (hide)'!AV$6:AV$105)+SUMIF(Capacity_Resource,$F45,'Critical resources (hide)'!AV$6:AV$105)&gt;0,$E$1=2),0,1)</f>
        <v>1</v>
      </c>
      <c r="AJ45" s="67">
        <f ca="1">IF(AND(SUMIF(Capacity_Resource,$D45,'Critical resources (hide)'!AW$6:AW$105)+SUMIF(Capacity_Resource,$E45,'Critical resources (hide)'!AW$6:AW$105)+SUMIF(Capacity_Resource,$F45,'Critical resources (hide)'!AW$6:AW$105)&gt;0,$E$1=2),0,1)</f>
        <v>1</v>
      </c>
      <c r="AK45" s="67">
        <f ca="1">IF(AND(SUMIF(Capacity_Resource,$D45,'Critical resources (hide)'!AX$6:AX$105)+SUMIF(Capacity_Resource,$E45,'Critical resources (hide)'!AX$6:AX$105)+SUMIF(Capacity_Resource,$F45,'Critical resources (hide)'!AX$6:AX$105)&gt;0,$E$1=2),0,1)</f>
        <v>1</v>
      </c>
      <c r="AL45" s="67">
        <f ca="1">IF(AND(SUMIF(Capacity_Resource,$D45,'Critical resources (hide)'!AY$6:AY$105)+SUMIF(Capacity_Resource,$E45,'Critical resources (hide)'!AY$6:AY$105)+SUMIF(Capacity_Resource,$F45,'Critical resources (hide)'!AY$6:AY$105)&gt;0,$E$1=2),0,1)</f>
        <v>1</v>
      </c>
      <c r="AM45" s="67">
        <f ca="1">IF(AND(SUMIF(Capacity_Resource,$D45,'Critical resources (hide)'!AZ$6:AZ$105)+SUMIF(Capacity_Resource,$E45,'Critical resources (hide)'!AZ$6:AZ$105)+SUMIF(Capacity_Resource,$F45,'Critical resources (hide)'!AZ$6:AZ$105)&gt;0,$E$1=2),0,1)</f>
        <v>1</v>
      </c>
      <c r="AN45" s="67">
        <f ca="1">IF(AND(SUMIF(Capacity_Resource,$D45,'Critical resources (hide)'!BA$6:BA$105)+SUMIF(Capacity_Resource,$E45,'Critical resources (hide)'!BA$6:BA$105)+SUMIF(Capacity_Resource,$F45,'Critical resources (hide)'!BA$6:BA$105)&gt;0,$E$1=2),0,1)</f>
        <v>1</v>
      </c>
      <c r="AO45" s="67">
        <f ca="1">IF(AND(SUMIF(Capacity_Resource,$D45,'Critical resources (hide)'!BB$6:BB$105)+SUMIF(Capacity_Resource,$E45,'Critical resources (hide)'!BB$6:BB$105)+SUMIF(Capacity_Resource,$F45,'Critical resources (hide)'!BB$6:BB$105)&gt;0,$E$1=2),0,1)</f>
        <v>1</v>
      </c>
      <c r="AP45" s="67">
        <f ca="1">IF(AND(SUMIF(Capacity_Resource,$D45,'Critical resources (hide)'!BC$6:BC$105)+SUMIF(Capacity_Resource,$E45,'Critical resources (hide)'!BC$6:BC$105)+SUMIF(Capacity_Resource,$F45,'Critical resources (hide)'!BC$6:BC$105)&gt;0,$E$1=2),0,1)</f>
        <v>1</v>
      </c>
      <c r="AQ45" s="67">
        <f ca="1">IF(AND(SUMIF(Capacity_Resource,$D45,'Critical resources (hide)'!BD$6:BD$105)+SUMIF(Capacity_Resource,$E45,'Critical resources (hide)'!BD$6:BD$105)+SUMIF(Capacity_Resource,$F45,'Critical resources (hide)'!BD$6:BD$105)&gt;0,$E$1=2),0,1)</f>
        <v>1</v>
      </c>
      <c r="AR45" s="67">
        <f ca="1">IF(AND(SUMIF(Capacity_Resource,$D45,'Critical resources (hide)'!BE$6:BE$105)+SUMIF(Capacity_Resource,$E45,'Critical resources (hide)'!BE$6:BE$105)+SUMIF(Capacity_Resource,$F45,'Critical resources (hide)'!BE$6:BE$105)&gt;0,$E$1=2),0,1)</f>
        <v>1</v>
      </c>
      <c r="AS45" s="67">
        <f ca="1">IF(AND(SUMIF(Capacity_Resource,$D45,'Critical resources (hide)'!BF$6:BF$105)+SUMIF(Capacity_Resource,$E45,'Critical resources (hide)'!BF$6:BF$105)+SUMIF(Capacity_Resource,$F45,'Critical resources (hide)'!BF$6:BF$105)&gt;0,$E$1=2),0,1)</f>
        <v>1</v>
      </c>
      <c r="AT45" s="67">
        <f ca="1">IF(AND(SUMIF(Capacity_Resource,$D45,'Critical resources (hide)'!BG$6:BG$105)+SUMIF(Capacity_Resource,$E45,'Critical resources (hide)'!BG$6:BG$105)+SUMIF(Capacity_Resource,$F45,'Critical resources (hide)'!BG$6:BG$105)&gt;0,$E$1=2),0,1)</f>
        <v>1</v>
      </c>
      <c r="AU45" s="67">
        <f ca="1">IF(AND(SUMIF(Capacity_Resource,$D45,'Critical resources (hide)'!BH$6:BH$105)+SUMIF(Capacity_Resource,$E45,'Critical resources (hide)'!BH$6:BH$105)+SUMIF(Capacity_Resource,$F45,'Critical resources (hide)'!BH$6:BH$105)&gt;0,$E$1=2),0,1)</f>
        <v>1</v>
      </c>
      <c r="AV45" s="67">
        <f ca="1">IF(AND(SUMIF(Capacity_Resource,$D45,'Critical resources (hide)'!BI$6:BI$105)+SUMIF(Capacity_Resource,$E45,'Critical resources (hide)'!BI$6:BI$105)+SUMIF(Capacity_Resource,$F45,'Critical resources (hide)'!BI$6:BI$105)&gt;0,$E$1=2),0,1)</f>
        <v>1</v>
      </c>
      <c r="AW45" s="67">
        <f ca="1">IF(AND(SUMIF(Capacity_Resource,$D45,'Critical resources (hide)'!BJ$6:BJ$105)+SUMIF(Capacity_Resource,$E45,'Critical resources (hide)'!BJ$6:BJ$105)+SUMIF(Capacity_Resource,$F45,'Critical resources (hide)'!BJ$6:BJ$105)&gt;0,$E$1=2),0,1)</f>
        <v>1</v>
      </c>
      <c r="AX45" s="67">
        <f ca="1">IF(AND(SUMIF(Capacity_Resource,$D45,'Critical resources (hide)'!BK$6:BK$105)+SUMIF(Capacity_Resource,$E45,'Critical resources (hide)'!BK$6:BK$105)+SUMIF(Capacity_Resource,$F45,'Critical resources (hide)'!BK$6:BK$105)&gt;0,$E$1=2),0,1)</f>
        <v>1</v>
      </c>
      <c r="AY45" s="67">
        <f ca="1">IF(AND(SUMIF(Capacity_Resource,$D45,'Critical resources (hide)'!BL$6:BL$105)+SUMIF(Capacity_Resource,$E45,'Critical resources (hide)'!BL$6:BL$105)+SUMIF(Capacity_Resource,$F45,'Critical resources (hide)'!BL$6:BL$105)&gt;0,$E$1=2),0,1)</f>
        <v>1</v>
      </c>
      <c r="AZ45" s="67">
        <f ca="1">IF(AND(SUMIF(Capacity_Resource,$D45,'Critical resources (hide)'!BM$6:BM$105)+SUMIF(Capacity_Resource,$E45,'Critical resources (hide)'!BM$6:BM$105)+SUMIF(Capacity_Resource,$F45,'Critical resources (hide)'!BM$6:BM$105)&gt;0,$E$1=2),0,1)</f>
        <v>1</v>
      </c>
      <c r="BA45" s="67">
        <f ca="1">IF(AND(SUMIF(Capacity_Resource,$D45,'Critical resources (hide)'!BN$6:BN$105)+SUMIF(Capacity_Resource,$E45,'Critical resources (hide)'!BN$6:BN$105)+SUMIF(Capacity_Resource,$F45,'Critical resources (hide)'!BN$6:BN$105)&gt;0,$E$1=2),0,1)</f>
        <v>1</v>
      </c>
      <c r="BB45" s="67">
        <f ca="1">IF(AND(SUMIF(Capacity_Resource,$D45,'Critical resources (hide)'!BO$6:BO$105)+SUMIF(Capacity_Resource,$E45,'Critical resources (hide)'!BO$6:BO$105)+SUMIF(Capacity_Resource,$F45,'Critical resources (hide)'!BO$6:BO$105)&gt;0,$E$1=2),0,1)</f>
        <v>1</v>
      </c>
      <c r="BC45" s="67">
        <f ca="1">IF(AND(SUMIF(Capacity_Resource,$D45,'Critical resources (hide)'!BP$6:BP$105)+SUMIF(Capacity_Resource,$E45,'Critical resources (hide)'!BP$6:BP$105)+SUMIF(Capacity_Resource,$F45,'Critical resources (hide)'!BP$6:BP$105)&gt;0,$E$1=2),0,1)</f>
        <v>1</v>
      </c>
      <c r="BD45" s="67">
        <f ca="1">IF(AND(SUMIF(Capacity_Resource,$D45,'Critical resources (hide)'!BQ$6:BQ$105)+SUMIF(Capacity_Resource,$E45,'Critical resources (hide)'!BQ$6:BQ$105)+SUMIF(Capacity_Resource,$F45,'Critical resources (hide)'!BQ$6:BQ$105)&gt;0,$E$1=2),0,1)</f>
        <v>1</v>
      </c>
      <c r="BE45" s="67">
        <f ca="1">IF(AND(SUMIF(Capacity_Resource,$D45,'Critical resources (hide)'!BR$6:BR$105)+SUMIF(Capacity_Resource,$E45,'Critical resources (hide)'!BR$6:BR$105)+SUMIF(Capacity_Resource,$F45,'Critical resources (hide)'!BR$6:BR$105)&gt;0,$E$1=2),0,1)</f>
        <v>1</v>
      </c>
      <c r="BF45" s="67">
        <f ca="1">IF(AND(SUMIF(Capacity_Resource,$D45,'Critical resources (hide)'!BS$6:BS$105)+SUMIF(Capacity_Resource,$E45,'Critical resources (hide)'!BS$6:BS$105)+SUMIF(Capacity_Resource,$F45,'Critical resources (hide)'!BS$6:BS$105)&gt;0,$E$1=2),0,1)</f>
        <v>1</v>
      </c>
      <c r="BG45" s="67">
        <f ca="1">IF(AND(SUMIF(Capacity_Resource,$D45,'Critical resources (hide)'!BT$6:BT$105)+SUMIF(Capacity_Resource,$E45,'Critical resources (hide)'!BT$6:BT$105)+SUMIF(Capacity_Resource,$F45,'Critical resources (hide)'!BT$6:BT$105)&gt;0,$E$1=2),0,1)</f>
        <v>1</v>
      </c>
      <c r="BH45" s="67">
        <f>IF(ROW(C41)&lt;=Capacity!$A$16,IF('Capacity summary'!$D$14="No",SUM(H45:BG45),'Capacity summary'!$E164),0)</f>
        <v>0</v>
      </c>
      <c r="BI45" s="5" t="str">
        <f>IF(BH45&gt;0,IF(BH45&lt;Capacity!E57,Capacity!F57,Capacity!H57/'Capacity calculation (hide)'!BH45),"")</f>
        <v/>
      </c>
      <c r="BK45" s="313">
        <f>IF($BI45&lt;&gt;"",IF('Capacity summary'!$D$14="Yes",IF(COUNTBLANK('Capacity summary'!$H164:$BG164)&lt;52,IF('Capacity summary'!H164&lt;&gt;"",IF(LOWER('Capacity summary'!H164)="x",$BI45*H45,VALUE('Capacity summary'!H164)),0),H45*$BI45),H45*$BI45),0)</f>
        <v>0</v>
      </c>
      <c r="BL45" s="313">
        <f>IF($BI45&lt;&gt;"",IF('Capacity summary'!$D$14="Yes",IF(COUNTBLANK('Capacity summary'!$H164:$BG164)&lt;52,IF('Capacity summary'!I164&lt;&gt;"",IF(LOWER('Capacity summary'!I164)="x",$BI45*I45,VALUE('Capacity summary'!I164)),0),I45*$BI45),I45*$BI45),0)</f>
        <v>0</v>
      </c>
      <c r="BM45" s="313">
        <f>IF($BI45&lt;&gt;"",IF('Capacity summary'!$D$14="Yes",IF(COUNTBLANK('Capacity summary'!$H164:$BG164)&lt;52,IF('Capacity summary'!J164&lt;&gt;"",IF(LOWER('Capacity summary'!J164)="x",$BI45*J45,VALUE('Capacity summary'!J164)),0),J45*$BI45),J45*$BI45),0)</f>
        <v>0</v>
      </c>
      <c r="BN45" s="313">
        <f>IF($BI45&lt;&gt;"",IF('Capacity summary'!$D$14="Yes",IF(COUNTBLANK('Capacity summary'!$H164:$BG164)&lt;52,IF('Capacity summary'!K164&lt;&gt;"",IF(LOWER('Capacity summary'!K164)="x",$BI45*K45,VALUE('Capacity summary'!K164)),0),K45*$BI45),K45*$BI45),0)</f>
        <v>0</v>
      </c>
      <c r="BO45" s="313">
        <f>IF($BI45&lt;&gt;"",IF('Capacity summary'!$D$14="Yes",IF(COUNTBLANK('Capacity summary'!$H164:$BG164)&lt;52,IF('Capacity summary'!L164&lt;&gt;"",IF(LOWER('Capacity summary'!L164)="x",$BI45*L45,VALUE('Capacity summary'!L164)),0),L45*$BI45),L45*$BI45),0)</f>
        <v>0</v>
      </c>
      <c r="BP45" s="313">
        <f>IF($BI45&lt;&gt;"",IF('Capacity summary'!$D$14="Yes",IF(COUNTBLANK('Capacity summary'!$H164:$BG164)&lt;52,IF('Capacity summary'!M164&lt;&gt;"",IF(LOWER('Capacity summary'!M164)="x",$BI45*M45,VALUE('Capacity summary'!M164)),0),M45*$BI45),M45*$BI45),0)</f>
        <v>0</v>
      </c>
      <c r="BQ45" s="313">
        <f>IF($BI45&lt;&gt;"",IF('Capacity summary'!$D$14="Yes",IF(COUNTBLANK('Capacity summary'!$H164:$BG164)&lt;52,IF('Capacity summary'!N164&lt;&gt;"",IF(LOWER('Capacity summary'!N164)="x",$BI45*N45,VALUE('Capacity summary'!N164)),0),N45*$BI45),N45*$BI45),0)</f>
        <v>0</v>
      </c>
      <c r="BR45" s="313">
        <f>IF($BI45&lt;&gt;"",IF('Capacity summary'!$D$14="Yes",IF(COUNTBLANK('Capacity summary'!$H164:$BG164)&lt;52,IF('Capacity summary'!O164&lt;&gt;"",IF(LOWER('Capacity summary'!O164)="x",$BI45*O45,VALUE('Capacity summary'!O164)),0),O45*$BI45),O45*$BI45),0)</f>
        <v>0</v>
      </c>
      <c r="BS45" s="313">
        <f>IF($BI45&lt;&gt;"",IF('Capacity summary'!$D$14="Yes",IF(COUNTBLANK('Capacity summary'!$H164:$BG164)&lt;52,IF('Capacity summary'!P164&lt;&gt;"",IF(LOWER('Capacity summary'!P164)="x",$BI45*P45,VALUE('Capacity summary'!P164)),0),P45*$BI45),P45*$BI45),0)</f>
        <v>0</v>
      </c>
      <c r="BT45" s="313">
        <f>IF($BI45&lt;&gt;"",IF('Capacity summary'!$D$14="Yes",IF(COUNTBLANK('Capacity summary'!$H164:$BG164)&lt;52,IF('Capacity summary'!Q164&lt;&gt;"",IF(LOWER('Capacity summary'!Q164)="x",$BI45*Q45,VALUE('Capacity summary'!Q164)),0),Q45*$BI45),Q45*$BI45),0)</f>
        <v>0</v>
      </c>
      <c r="BU45" s="313">
        <f>IF($BI45&lt;&gt;"",IF('Capacity summary'!$D$14="Yes",IF(COUNTBLANK('Capacity summary'!$H164:$BG164)&lt;52,IF('Capacity summary'!R164&lt;&gt;"",IF(LOWER('Capacity summary'!R164)="x",$BI45*R45,VALUE('Capacity summary'!R164)),0),R45*$BI45),R45*$BI45),0)</f>
        <v>0</v>
      </c>
      <c r="BV45" s="313">
        <f>IF($BI45&lt;&gt;"",IF('Capacity summary'!$D$14="Yes",IF(COUNTBLANK('Capacity summary'!$H164:$BG164)&lt;52,IF('Capacity summary'!S164&lt;&gt;"",IF(LOWER('Capacity summary'!S164)="x",$BI45*S45,VALUE('Capacity summary'!S164)),0),S45*$BI45),S45*$BI45),0)</f>
        <v>0</v>
      </c>
      <c r="BW45" s="313">
        <f>IF($BI45&lt;&gt;"",IF('Capacity summary'!$D$14="Yes",IF(COUNTBLANK('Capacity summary'!$H164:$BG164)&lt;52,IF('Capacity summary'!T164&lt;&gt;"",IF(LOWER('Capacity summary'!T164)="x",$BI45*T45,VALUE('Capacity summary'!T164)),0),T45*$BI45),T45*$BI45),0)</f>
        <v>0</v>
      </c>
      <c r="BX45" s="313">
        <f>IF($BI45&lt;&gt;"",IF('Capacity summary'!$D$14="Yes",IF(COUNTBLANK('Capacity summary'!$H164:$BG164)&lt;52,IF('Capacity summary'!U164&lt;&gt;"",IF(LOWER('Capacity summary'!U164)="x",$BI45*U45,VALUE('Capacity summary'!U164)),0),U45*$BI45),U45*$BI45),0)</f>
        <v>0</v>
      </c>
      <c r="BY45" s="313">
        <f>IF($BI45&lt;&gt;"",IF('Capacity summary'!$D$14="Yes",IF(COUNTBLANK('Capacity summary'!$H164:$BG164)&lt;52,IF('Capacity summary'!V164&lt;&gt;"",IF(LOWER('Capacity summary'!V164)="x",$BI45*V45,VALUE('Capacity summary'!V164)),0),V45*$BI45),V45*$BI45),0)</f>
        <v>0</v>
      </c>
      <c r="BZ45" s="313">
        <f>IF($BI45&lt;&gt;"",IF('Capacity summary'!$D$14="Yes",IF(COUNTBLANK('Capacity summary'!$H164:$BG164)&lt;52,IF('Capacity summary'!W164&lt;&gt;"",IF(LOWER('Capacity summary'!W164)="x",$BI45*W45,VALUE('Capacity summary'!W164)),0),W45*$BI45),W45*$BI45),0)</f>
        <v>0</v>
      </c>
      <c r="CA45" s="313">
        <f>IF($BI45&lt;&gt;"",IF('Capacity summary'!$D$14="Yes",IF(COUNTBLANK('Capacity summary'!$H164:$BG164)&lt;52,IF('Capacity summary'!X164&lt;&gt;"",IF(LOWER('Capacity summary'!X164)="x",$BI45*X45,VALUE('Capacity summary'!X164)),0),X45*$BI45),X45*$BI45),0)</f>
        <v>0</v>
      </c>
      <c r="CB45" s="313">
        <f>IF($BI45&lt;&gt;"",IF('Capacity summary'!$D$14="Yes",IF(COUNTBLANK('Capacity summary'!$H164:$BG164)&lt;52,IF('Capacity summary'!Y164&lt;&gt;"",IF(LOWER('Capacity summary'!Y164)="x",$BI45*Y45,VALUE('Capacity summary'!Y164)),0),Y45*$BI45),Y45*$BI45),0)</f>
        <v>0</v>
      </c>
      <c r="CC45" s="313">
        <f>IF($BI45&lt;&gt;"",IF('Capacity summary'!$D$14="Yes",IF(COUNTBLANK('Capacity summary'!$H164:$BG164)&lt;52,IF('Capacity summary'!Z164&lt;&gt;"",IF(LOWER('Capacity summary'!Z164)="x",$BI45*Z45,VALUE('Capacity summary'!Z164)),0),Z45*$BI45),Z45*$BI45),0)</f>
        <v>0</v>
      </c>
      <c r="CD45" s="313">
        <f>IF($BI45&lt;&gt;"",IF('Capacity summary'!$D$14="Yes",IF(COUNTBLANK('Capacity summary'!$H164:$BG164)&lt;52,IF('Capacity summary'!AA164&lt;&gt;"",IF(LOWER('Capacity summary'!AA164)="x",$BI45*AA45,VALUE('Capacity summary'!AA164)),0),AA45*$BI45),AA45*$BI45),0)</f>
        <v>0</v>
      </c>
      <c r="CE45" s="313">
        <f>IF($BI45&lt;&gt;"",IF('Capacity summary'!$D$14="Yes",IF(COUNTBLANK('Capacity summary'!$H164:$BG164)&lt;52,IF('Capacity summary'!AB164&lt;&gt;"",IF(LOWER('Capacity summary'!AB164)="x",$BI45*AB45,VALUE('Capacity summary'!AB164)),0),AB45*$BI45),AB45*$BI45),0)</f>
        <v>0</v>
      </c>
      <c r="CF45" s="313">
        <f>IF($BI45&lt;&gt;"",IF('Capacity summary'!$D$14="Yes",IF(COUNTBLANK('Capacity summary'!$H164:$BG164)&lt;52,IF('Capacity summary'!AC164&lt;&gt;"",IF(LOWER('Capacity summary'!AC164)="x",$BI45*AC45,VALUE('Capacity summary'!AC164)),0),AC45*$BI45),AC45*$BI45),0)</f>
        <v>0</v>
      </c>
      <c r="CG45" s="313">
        <f>IF($BI45&lt;&gt;"",IF('Capacity summary'!$D$14="Yes",IF(COUNTBLANK('Capacity summary'!$H164:$BG164)&lt;52,IF('Capacity summary'!AD164&lt;&gt;"",IF(LOWER('Capacity summary'!AD164)="x",$BI45*AD45,VALUE('Capacity summary'!AD164)),0),AD45*$BI45),AD45*$BI45),0)</f>
        <v>0</v>
      </c>
      <c r="CH45" s="313">
        <f>IF($BI45&lt;&gt;"",IF('Capacity summary'!$D$14="Yes",IF(COUNTBLANK('Capacity summary'!$H164:$BG164)&lt;52,IF('Capacity summary'!AE164&lt;&gt;"",IF(LOWER('Capacity summary'!AE164)="x",$BI45*AE45,VALUE('Capacity summary'!AE164)),0),AE45*$BI45),AE45*$BI45),0)</f>
        <v>0</v>
      </c>
      <c r="CI45" s="313">
        <f>IF($BI45&lt;&gt;"",IF('Capacity summary'!$D$14="Yes",IF(COUNTBLANK('Capacity summary'!$H164:$BG164)&lt;52,IF('Capacity summary'!AF164&lt;&gt;"",IF(LOWER('Capacity summary'!AF164)="x",$BI45*AF45,VALUE('Capacity summary'!AF164)),0),AF45*$BI45),AF45*$BI45),0)</f>
        <v>0</v>
      </c>
      <c r="CJ45" s="313">
        <f>IF($BI45&lt;&gt;"",IF('Capacity summary'!$D$14="Yes",IF(COUNTBLANK('Capacity summary'!$H164:$BG164)&lt;52,IF('Capacity summary'!AG164&lt;&gt;"",IF(LOWER('Capacity summary'!AG164)="x",$BI45*AG45,VALUE('Capacity summary'!AG164)),0),AG45*$BI45),AG45*$BI45),0)</f>
        <v>0</v>
      </c>
      <c r="CK45" s="313">
        <f>IF($BI45&lt;&gt;"",IF('Capacity summary'!$D$14="Yes",IF(COUNTBLANK('Capacity summary'!$H164:$BG164)&lt;52,IF('Capacity summary'!AH164&lt;&gt;"",IF(LOWER('Capacity summary'!AH164)="x",$BI45*AH45,VALUE('Capacity summary'!AH164)),0),AH45*$BI45),AH45*$BI45),0)</f>
        <v>0</v>
      </c>
      <c r="CL45" s="313">
        <f>IF($BI45&lt;&gt;"",IF('Capacity summary'!$D$14="Yes",IF(COUNTBLANK('Capacity summary'!$H164:$BG164)&lt;52,IF('Capacity summary'!AI164&lt;&gt;"",IF(LOWER('Capacity summary'!AI164)="x",$BI45*AI45,VALUE('Capacity summary'!AI164)),0),AI45*$BI45),AI45*$BI45),0)</f>
        <v>0</v>
      </c>
      <c r="CM45" s="313">
        <f>IF($BI45&lt;&gt;"",IF('Capacity summary'!$D$14="Yes",IF(COUNTBLANK('Capacity summary'!$H164:$BG164)&lt;52,IF('Capacity summary'!AJ164&lt;&gt;"",IF(LOWER('Capacity summary'!AJ164)="x",$BI45*AJ45,VALUE('Capacity summary'!AJ164)),0),AJ45*$BI45),AJ45*$BI45),0)</f>
        <v>0</v>
      </c>
      <c r="CN45" s="313">
        <f>IF($BI45&lt;&gt;"",IF('Capacity summary'!$D$14="Yes",IF(COUNTBLANK('Capacity summary'!$H164:$BG164)&lt;52,IF('Capacity summary'!AK164&lt;&gt;"",IF(LOWER('Capacity summary'!AK164)="x",$BI45*AK45,VALUE('Capacity summary'!AK164)),0),AK45*$BI45),AK45*$BI45),0)</f>
        <v>0</v>
      </c>
      <c r="CO45" s="313">
        <f>IF($BI45&lt;&gt;"",IF('Capacity summary'!$D$14="Yes",IF(COUNTBLANK('Capacity summary'!$H164:$BG164)&lt;52,IF('Capacity summary'!AL164&lt;&gt;"",IF(LOWER('Capacity summary'!AL164)="x",$BI45*AL45,VALUE('Capacity summary'!AL164)),0),AL45*$BI45),AL45*$BI45),0)</f>
        <v>0</v>
      </c>
      <c r="CP45" s="313">
        <f>IF($BI45&lt;&gt;"",IF('Capacity summary'!$D$14="Yes",IF(COUNTBLANK('Capacity summary'!$H164:$BG164)&lt;52,IF('Capacity summary'!AM164&lt;&gt;"",IF(LOWER('Capacity summary'!AM164)="x",$BI45*AM45,VALUE('Capacity summary'!AM164)),0),AM45*$BI45),AM45*$BI45),0)</f>
        <v>0</v>
      </c>
      <c r="CQ45" s="313">
        <f>IF($BI45&lt;&gt;"",IF('Capacity summary'!$D$14="Yes",IF(COUNTBLANK('Capacity summary'!$H164:$BG164)&lt;52,IF('Capacity summary'!AN164&lt;&gt;"",IF(LOWER('Capacity summary'!AN164)="x",$BI45*AN45,VALUE('Capacity summary'!AN164)),0),AN45*$BI45),AN45*$BI45),0)</f>
        <v>0</v>
      </c>
      <c r="CR45" s="313">
        <f>IF($BI45&lt;&gt;"",IF('Capacity summary'!$D$14="Yes",IF(COUNTBLANK('Capacity summary'!$H164:$BG164)&lt;52,IF('Capacity summary'!AO164&lt;&gt;"",IF(LOWER('Capacity summary'!AO164)="x",$BI45*AO45,VALUE('Capacity summary'!AO164)),0),AO45*$BI45),AO45*$BI45),0)</f>
        <v>0</v>
      </c>
      <c r="CS45" s="313">
        <f>IF($BI45&lt;&gt;"",IF('Capacity summary'!$D$14="Yes",IF(COUNTBLANK('Capacity summary'!$H164:$BG164)&lt;52,IF('Capacity summary'!AP164&lt;&gt;"",IF(LOWER('Capacity summary'!AP164)="x",$BI45*AP45,VALUE('Capacity summary'!AP164)),0),AP45*$BI45),AP45*$BI45),0)</f>
        <v>0</v>
      </c>
      <c r="CT45" s="313">
        <f>IF($BI45&lt;&gt;"",IF('Capacity summary'!$D$14="Yes",IF(COUNTBLANK('Capacity summary'!$H164:$BG164)&lt;52,IF('Capacity summary'!AQ164&lt;&gt;"",IF(LOWER('Capacity summary'!AQ164)="x",$BI45*AQ45,VALUE('Capacity summary'!AQ164)),0),AQ45*$BI45),AQ45*$BI45),0)</f>
        <v>0</v>
      </c>
      <c r="CU45" s="313">
        <f>IF($BI45&lt;&gt;"",IF('Capacity summary'!$D$14="Yes",IF(COUNTBLANK('Capacity summary'!$H164:$BG164)&lt;52,IF('Capacity summary'!AR164&lt;&gt;"",IF(LOWER('Capacity summary'!AR164)="x",$BI45*AR45,VALUE('Capacity summary'!AR164)),0),AR45*$BI45),AR45*$BI45),0)</f>
        <v>0</v>
      </c>
      <c r="CV45" s="313">
        <f>IF($BI45&lt;&gt;"",IF('Capacity summary'!$D$14="Yes",IF(COUNTBLANK('Capacity summary'!$H164:$BG164)&lt;52,IF('Capacity summary'!AS164&lt;&gt;"",IF(LOWER('Capacity summary'!AS164)="x",$BI45*AS45,VALUE('Capacity summary'!AS164)),0),AS45*$BI45),AS45*$BI45),0)</f>
        <v>0</v>
      </c>
      <c r="CW45" s="313">
        <f>IF($BI45&lt;&gt;"",IF('Capacity summary'!$D$14="Yes",IF(COUNTBLANK('Capacity summary'!$H164:$BG164)&lt;52,IF('Capacity summary'!AT164&lt;&gt;"",IF(LOWER('Capacity summary'!AT164)="x",$BI45*AT45,VALUE('Capacity summary'!AT164)),0),AT45*$BI45),AT45*$BI45),0)</f>
        <v>0</v>
      </c>
      <c r="CX45" s="313">
        <f>IF($BI45&lt;&gt;"",IF('Capacity summary'!$D$14="Yes",IF(COUNTBLANK('Capacity summary'!$H164:$BG164)&lt;52,IF('Capacity summary'!AU164&lt;&gt;"",IF(LOWER('Capacity summary'!AU164)="x",$BI45*AU45,VALUE('Capacity summary'!AU164)),0),AU45*$BI45),AU45*$BI45),0)</f>
        <v>0</v>
      </c>
      <c r="CY45" s="313">
        <f>IF($BI45&lt;&gt;"",IF('Capacity summary'!$D$14="Yes",IF(COUNTBLANK('Capacity summary'!$H164:$BG164)&lt;52,IF('Capacity summary'!AV164&lt;&gt;"",IF(LOWER('Capacity summary'!AV164)="x",$BI45*AV45,VALUE('Capacity summary'!AV164)),0),AV45*$BI45),AV45*$BI45),0)</f>
        <v>0</v>
      </c>
      <c r="CZ45" s="313">
        <f>IF($BI45&lt;&gt;"",IF('Capacity summary'!$D$14="Yes",IF(COUNTBLANK('Capacity summary'!$H164:$BG164)&lt;52,IF('Capacity summary'!AW164&lt;&gt;"",IF(LOWER('Capacity summary'!AW164)="x",$BI45*AW45,VALUE('Capacity summary'!AW164)),0),AW45*$BI45),AW45*$BI45),0)</f>
        <v>0</v>
      </c>
      <c r="DA45" s="313">
        <f>IF($BI45&lt;&gt;"",IF('Capacity summary'!$D$14="Yes",IF(COUNTBLANK('Capacity summary'!$H164:$BG164)&lt;52,IF('Capacity summary'!AX164&lt;&gt;"",IF(LOWER('Capacity summary'!AX164)="x",$BI45*AX45,VALUE('Capacity summary'!AX164)),0),AX45*$BI45),AX45*$BI45),0)</f>
        <v>0</v>
      </c>
      <c r="DB45" s="313">
        <f>IF($BI45&lt;&gt;"",IF('Capacity summary'!$D$14="Yes",IF(COUNTBLANK('Capacity summary'!$H164:$BG164)&lt;52,IF('Capacity summary'!AY164&lt;&gt;"",IF(LOWER('Capacity summary'!AY164)="x",$BI45*AY45,VALUE('Capacity summary'!AY164)),0),AY45*$BI45),AY45*$BI45),0)</f>
        <v>0</v>
      </c>
      <c r="DC45" s="313">
        <f>IF($BI45&lt;&gt;"",IF('Capacity summary'!$D$14="Yes",IF(COUNTBLANK('Capacity summary'!$H164:$BG164)&lt;52,IF('Capacity summary'!AZ164&lt;&gt;"",IF(LOWER('Capacity summary'!AZ164)="x",$BI45*AZ45,VALUE('Capacity summary'!AZ164)),0),AZ45*$BI45),AZ45*$BI45),0)</f>
        <v>0</v>
      </c>
      <c r="DD45" s="313">
        <f>IF($BI45&lt;&gt;"",IF('Capacity summary'!$D$14="Yes",IF(COUNTBLANK('Capacity summary'!$H164:$BG164)&lt;52,IF('Capacity summary'!BA164&lt;&gt;"",IF(LOWER('Capacity summary'!BA164)="x",$BI45*BA45,VALUE('Capacity summary'!BA164)),0),BA45*$BI45),BA45*$BI45),0)</f>
        <v>0</v>
      </c>
      <c r="DE45" s="313">
        <f>IF($BI45&lt;&gt;"",IF('Capacity summary'!$D$14="Yes",IF(COUNTBLANK('Capacity summary'!$H164:$BG164)&lt;52,IF('Capacity summary'!BB164&lt;&gt;"",IF(LOWER('Capacity summary'!BB164)="x",$BI45*BB45,VALUE('Capacity summary'!BB164)),0),BB45*$BI45),BB45*$BI45),0)</f>
        <v>0</v>
      </c>
      <c r="DF45" s="313">
        <f>IF($BI45&lt;&gt;"",IF('Capacity summary'!$D$14="Yes",IF(COUNTBLANK('Capacity summary'!$H164:$BG164)&lt;52,IF('Capacity summary'!BC164&lt;&gt;"",IF(LOWER('Capacity summary'!BC164)="x",$BI45*BC45,VALUE('Capacity summary'!BC164)),0),BC45*$BI45),BC45*$BI45),0)</f>
        <v>0</v>
      </c>
      <c r="DG45" s="313">
        <f>IF($BI45&lt;&gt;"",IF('Capacity summary'!$D$14="Yes",IF(COUNTBLANK('Capacity summary'!$H164:$BG164)&lt;52,IF('Capacity summary'!BD164&lt;&gt;"",IF(LOWER('Capacity summary'!BD164)="x",$BI45*BD45,VALUE('Capacity summary'!BD164)),0),BD45*$BI45),BD45*$BI45),0)</f>
        <v>0</v>
      </c>
      <c r="DH45" s="313">
        <f>IF($BI45&lt;&gt;"",IF('Capacity summary'!$D$14="Yes",IF(COUNTBLANK('Capacity summary'!$H164:$BG164)&lt;52,IF('Capacity summary'!BE164&lt;&gt;"",IF(LOWER('Capacity summary'!BE164)="x",$BI45*BE45,VALUE('Capacity summary'!BE164)),0),BE45*$BI45),BE45*$BI45),0)</f>
        <v>0</v>
      </c>
      <c r="DI45" s="313">
        <f>IF($BI45&lt;&gt;"",IF('Capacity summary'!$D$14="Yes",IF(COUNTBLANK('Capacity summary'!$H164:$BG164)&lt;52,IF('Capacity summary'!BF164&lt;&gt;"",IF(LOWER('Capacity summary'!BF164)="x",$BI45*BF45,VALUE('Capacity summary'!BF164)),0),BF45*$BI45),BF45*$BI45),0)</f>
        <v>0</v>
      </c>
      <c r="DJ45" s="313">
        <f>IF($BI45&lt;&gt;"",IF('Capacity summary'!$D$14="Yes",IF(COUNTBLANK('Capacity summary'!$H164:$BG164)&lt;52,IF('Capacity summary'!BG164&lt;&gt;"",IF(LOWER('Capacity summary'!BG164)="x",$BI45*BG45,VALUE('Capacity summary'!BG164)),0),BG45*$BI45),BG45*$BI45),0)</f>
        <v>0</v>
      </c>
      <c r="DK45" s="137">
        <f t="shared" si="2"/>
        <v>0</v>
      </c>
      <c r="DL45" s="313" t="str">
        <f>Capacity!H57</f>
        <v/>
      </c>
      <c r="DP45" s="5"/>
    </row>
    <row r="46" spans="2:120" x14ac:dyDescent="0.25">
      <c r="B46" s="67"/>
      <c r="C46" s="67" t="str">
        <f>ROW(A42)&amp;". "&amp;Capacity!B58</f>
        <v xml:space="preserve">42. </v>
      </c>
      <c r="D46" s="67">
        <f>'Capacity setup'!C53</f>
        <v>0</v>
      </c>
      <c r="E46" s="67">
        <f>'Capacity setup'!D53</f>
        <v>0</v>
      </c>
      <c r="F46" s="67">
        <f>'Capacity setup'!E53</f>
        <v>0</v>
      </c>
      <c r="H46" s="67">
        <f ca="1">IF(AND(SUMIF(Capacity_Resource,$D46,'Critical resources (hide)'!U$6:U$105)+SUMIF(Capacity_Resource,$E46,'Critical resources (hide)'!U$6:U$105)+SUMIF(Capacity_Resource,$F46,'Critical resources (hide)'!U$6:U$105)&gt;0,$E$1=2),0,1)</f>
        <v>1</v>
      </c>
      <c r="I46" s="67">
        <f ca="1">IF(AND(SUMIF(Capacity_Resource,$D46,'Critical resources (hide)'!V$6:V$105)+SUMIF(Capacity_Resource,$E46,'Critical resources (hide)'!V$6:V$105)+SUMIF(Capacity_Resource,$F46,'Critical resources (hide)'!V$6:V$105)&gt;0,$E$1=2),0,1)</f>
        <v>1</v>
      </c>
      <c r="J46" s="67">
        <f ca="1">IF(AND(SUMIF(Capacity_Resource,$D46,'Critical resources (hide)'!W$6:W$105)+SUMIF(Capacity_Resource,$E46,'Critical resources (hide)'!W$6:W$105)+SUMIF(Capacity_Resource,$F46,'Critical resources (hide)'!W$6:W$105)&gt;0,$E$1=2),0,1)</f>
        <v>1</v>
      </c>
      <c r="K46" s="67">
        <f ca="1">IF(AND(SUMIF(Capacity_Resource,$D46,'Critical resources (hide)'!X$6:X$105)+SUMIF(Capacity_Resource,$E46,'Critical resources (hide)'!X$6:X$105)+SUMIF(Capacity_Resource,$F46,'Critical resources (hide)'!X$6:X$105)&gt;0,$E$1=2),0,1)</f>
        <v>1</v>
      </c>
      <c r="L46" s="67">
        <f ca="1">IF(AND(SUMIF(Capacity_Resource,$D46,'Critical resources (hide)'!Y$6:Y$105)+SUMIF(Capacity_Resource,$E46,'Critical resources (hide)'!Y$6:Y$105)+SUMIF(Capacity_Resource,$F46,'Critical resources (hide)'!Y$6:Y$105)&gt;0,$E$1=2),0,1)</f>
        <v>1</v>
      </c>
      <c r="M46" s="67">
        <f ca="1">IF(AND(SUMIF(Capacity_Resource,$D46,'Critical resources (hide)'!Z$6:Z$105)+SUMIF(Capacity_Resource,$E46,'Critical resources (hide)'!Z$6:Z$105)+SUMIF(Capacity_Resource,$F46,'Critical resources (hide)'!Z$6:Z$105)&gt;0,$E$1=2),0,1)</f>
        <v>1</v>
      </c>
      <c r="N46" s="67">
        <f ca="1">IF(AND(SUMIF(Capacity_Resource,$D46,'Critical resources (hide)'!AA$6:AA$105)+SUMIF(Capacity_Resource,$E46,'Critical resources (hide)'!AA$6:AA$105)+SUMIF(Capacity_Resource,$F46,'Critical resources (hide)'!AA$6:AA$105)&gt;0,$E$1=2),0,1)</f>
        <v>1</v>
      </c>
      <c r="O46" s="67">
        <f ca="1">IF(AND(SUMIF(Capacity_Resource,$D46,'Critical resources (hide)'!AB$6:AB$105)+SUMIF(Capacity_Resource,$E46,'Critical resources (hide)'!AB$6:AB$105)+SUMIF(Capacity_Resource,$F46,'Critical resources (hide)'!AB$6:AB$105)&gt;0,$E$1=2),0,1)</f>
        <v>1</v>
      </c>
      <c r="P46" s="67">
        <f ca="1">IF(AND(SUMIF(Capacity_Resource,$D46,'Critical resources (hide)'!AC$6:AC$105)+SUMIF(Capacity_Resource,$E46,'Critical resources (hide)'!AC$6:AC$105)+SUMIF(Capacity_Resource,$F46,'Critical resources (hide)'!AC$6:AC$105)&gt;0,$E$1=2),0,1)</f>
        <v>1</v>
      </c>
      <c r="Q46" s="67">
        <f ca="1">IF(AND(SUMIF(Capacity_Resource,$D46,'Critical resources (hide)'!AD$6:AD$105)+SUMIF(Capacity_Resource,$E46,'Critical resources (hide)'!AD$6:AD$105)+SUMIF(Capacity_Resource,$F46,'Critical resources (hide)'!AD$6:AD$105)&gt;0,$E$1=2),0,1)</f>
        <v>1</v>
      </c>
      <c r="R46" s="67">
        <f ca="1">IF(AND(SUMIF(Capacity_Resource,$D46,'Critical resources (hide)'!AE$6:AE$105)+SUMIF(Capacity_Resource,$E46,'Critical resources (hide)'!AE$6:AE$105)+SUMIF(Capacity_Resource,$F46,'Critical resources (hide)'!AE$6:AE$105)&gt;0,$E$1=2),0,1)</f>
        <v>1</v>
      </c>
      <c r="S46" s="67">
        <f ca="1">IF(AND(SUMIF(Capacity_Resource,$D46,'Critical resources (hide)'!AF$6:AF$105)+SUMIF(Capacity_Resource,$E46,'Critical resources (hide)'!AF$6:AF$105)+SUMIF(Capacity_Resource,$F46,'Critical resources (hide)'!AF$6:AF$105)&gt;0,$E$1=2),0,1)</f>
        <v>1</v>
      </c>
      <c r="T46" s="67">
        <f ca="1">IF(AND(SUMIF(Capacity_Resource,$D46,'Critical resources (hide)'!AG$6:AG$105)+SUMIF(Capacity_Resource,$E46,'Critical resources (hide)'!AG$6:AG$105)+SUMIF(Capacity_Resource,$F46,'Critical resources (hide)'!AG$6:AG$105)&gt;0,$E$1=2),0,1)</f>
        <v>1</v>
      </c>
      <c r="U46" s="67">
        <f ca="1">IF(AND(SUMIF(Capacity_Resource,$D46,'Critical resources (hide)'!AH$6:AH$105)+SUMIF(Capacity_Resource,$E46,'Critical resources (hide)'!AH$6:AH$105)+SUMIF(Capacity_Resource,$F46,'Critical resources (hide)'!AH$6:AH$105)&gt;0,$E$1=2),0,1)</f>
        <v>1</v>
      </c>
      <c r="V46" s="67">
        <f ca="1">IF(AND(SUMIF(Capacity_Resource,$D46,'Critical resources (hide)'!AI$6:AI$105)+SUMIF(Capacity_Resource,$E46,'Critical resources (hide)'!AI$6:AI$105)+SUMIF(Capacity_Resource,$F46,'Critical resources (hide)'!AI$6:AI$105)&gt;0,$E$1=2),0,1)</f>
        <v>1</v>
      </c>
      <c r="W46" s="67">
        <f ca="1">IF(AND(SUMIF(Capacity_Resource,$D46,'Critical resources (hide)'!AJ$6:AJ$105)+SUMIF(Capacity_Resource,$E46,'Critical resources (hide)'!AJ$6:AJ$105)+SUMIF(Capacity_Resource,$F46,'Critical resources (hide)'!AJ$6:AJ$105)&gt;0,$E$1=2),0,1)</f>
        <v>1</v>
      </c>
      <c r="X46" s="67">
        <f ca="1">IF(AND(SUMIF(Capacity_Resource,$D46,'Critical resources (hide)'!AK$6:AK$105)+SUMIF(Capacity_Resource,$E46,'Critical resources (hide)'!AK$6:AK$105)+SUMIF(Capacity_Resource,$F46,'Critical resources (hide)'!AK$6:AK$105)&gt;0,$E$1=2),0,1)</f>
        <v>1</v>
      </c>
      <c r="Y46" s="67">
        <f ca="1">IF(AND(SUMIF(Capacity_Resource,$D46,'Critical resources (hide)'!AL$6:AL$105)+SUMIF(Capacity_Resource,$E46,'Critical resources (hide)'!AL$6:AL$105)+SUMIF(Capacity_Resource,$F46,'Critical resources (hide)'!AL$6:AL$105)&gt;0,$E$1=2),0,1)</f>
        <v>1</v>
      </c>
      <c r="Z46" s="67">
        <f ca="1">IF(AND(SUMIF(Capacity_Resource,$D46,'Critical resources (hide)'!AM$6:AM$105)+SUMIF(Capacity_Resource,$E46,'Critical resources (hide)'!AM$6:AM$105)+SUMIF(Capacity_Resource,$F46,'Critical resources (hide)'!AM$6:AM$105)&gt;0,$E$1=2),0,1)</f>
        <v>1</v>
      </c>
      <c r="AA46" s="67">
        <f ca="1">IF(AND(SUMIF(Capacity_Resource,$D46,'Critical resources (hide)'!AN$6:AN$105)+SUMIF(Capacity_Resource,$E46,'Critical resources (hide)'!AN$6:AN$105)+SUMIF(Capacity_Resource,$F46,'Critical resources (hide)'!AN$6:AN$105)&gt;0,$E$1=2),0,1)</f>
        <v>1</v>
      </c>
      <c r="AB46" s="67">
        <f ca="1">IF(AND(SUMIF(Capacity_Resource,$D46,'Critical resources (hide)'!AO$6:AO$105)+SUMIF(Capacity_Resource,$E46,'Critical resources (hide)'!AO$6:AO$105)+SUMIF(Capacity_Resource,$F46,'Critical resources (hide)'!AO$6:AO$105)&gt;0,$E$1=2),0,1)</f>
        <v>1</v>
      </c>
      <c r="AC46" s="67">
        <f ca="1">IF(AND(SUMIF(Capacity_Resource,$D46,'Critical resources (hide)'!AP$6:AP$105)+SUMIF(Capacity_Resource,$E46,'Critical resources (hide)'!AP$6:AP$105)+SUMIF(Capacity_Resource,$F46,'Critical resources (hide)'!AP$6:AP$105)&gt;0,$E$1=2),0,1)</f>
        <v>1</v>
      </c>
      <c r="AD46" s="67">
        <f ca="1">IF(AND(SUMIF(Capacity_Resource,$D46,'Critical resources (hide)'!AQ$6:AQ$105)+SUMIF(Capacity_Resource,$E46,'Critical resources (hide)'!AQ$6:AQ$105)+SUMIF(Capacity_Resource,$F46,'Critical resources (hide)'!AQ$6:AQ$105)&gt;0,$E$1=2),0,1)</f>
        <v>1</v>
      </c>
      <c r="AE46" s="67">
        <f ca="1">IF(AND(SUMIF(Capacity_Resource,$D46,'Critical resources (hide)'!AR$6:AR$105)+SUMIF(Capacity_Resource,$E46,'Critical resources (hide)'!AR$6:AR$105)+SUMIF(Capacity_Resource,$F46,'Critical resources (hide)'!AR$6:AR$105)&gt;0,$E$1=2),0,1)</f>
        <v>1</v>
      </c>
      <c r="AF46" s="67">
        <f ca="1">IF(AND(SUMIF(Capacity_Resource,$D46,'Critical resources (hide)'!AS$6:AS$105)+SUMIF(Capacity_Resource,$E46,'Critical resources (hide)'!AS$6:AS$105)+SUMIF(Capacity_Resource,$F46,'Critical resources (hide)'!AS$6:AS$105)&gt;0,$E$1=2),0,1)</f>
        <v>1</v>
      </c>
      <c r="AG46" s="67">
        <f ca="1">IF(AND(SUMIF(Capacity_Resource,$D46,'Critical resources (hide)'!AT$6:AT$105)+SUMIF(Capacity_Resource,$E46,'Critical resources (hide)'!AT$6:AT$105)+SUMIF(Capacity_Resource,$F46,'Critical resources (hide)'!AT$6:AT$105)&gt;0,$E$1=2),0,1)</f>
        <v>1</v>
      </c>
      <c r="AH46" s="67">
        <f ca="1">IF(AND(SUMIF(Capacity_Resource,$D46,'Critical resources (hide)'!AU$6:AU$105)+SUMIF(Capacity_Resource,$E46,'Critical resources (hide)'!AU$6:AU$105)+SUMIF(Capacity_Resource,$F46,'Critical resources (hide)'!AU$6:AU$105)&gt;0,$E$1=2),0,1)</f>
        <v>1</v>
      </c>
      <c r="AI46" s="67">
        <f ca="1">IF(AND(SUMIF(Capacity_Resource,$D46,'Critical resources (hide)'!AV$6:AV$105)+SUMIF(Capacity_Resource,$E46,'Critical resources (hide)'!AV$6:AV$105)+SUMIF(Capacity_Resource,$F46,'Critical resources (hide)'!AV$6:AV$105)&gt;0,$E$1=2),0,1)</f>
        <v>1</v>
      </c>
      <c r="AJ46" s="67">
        <f ca="1">IF(AND(SUMIF(Capacity_Resource,$D46,'Critical resources (hide)'!AW$6:AW$105)+SUMIF(Capacity_Resource,$E46,'Critical resources (hide)'!AW$6:AW$105)+SUMIF(Capacity_Resource,$F46,'Critical resources (hide)'!AW$6:AW$105)&gt;0,$E$1=2),0,1)</f>
        <v>1</v>
      </c>
      <c r="AK46" s="67">
        <f ca="1">IF(AND(SUMIF(Capacity_Resource,$D46,'Critical resources (hide)'!AX$6:AX$105)+SUMIF(Capacity_Resource,$E46,'Critical resources (hide)'!AX$6:AX$105)+SUMIF(Capacity_Resource,$F46,'Critical resources (hide)'!AX$6:AX$105)&gt;0,$E$1=2),0,1)</f>
        <v>1</v>
      </c>
      <c r="AL46" s="67">
        <f ca="1">IF(AND(SUMIF(Capacity_Resource,$D46,'Critical resources (hide)'!AY$6:AY$105)+SUMIF(Capacity_Resource,$E46,'Critical resources (hide)'!AY$6:AY$105)+SUMIF(Capacity_Resource,$F46,'Critical resources (hide)'!AY$6:AY$105)&gt;0,$E$1=2),0,1)</f>
        <v>1</v>
      </c>
      <c r="AM46" s="67">
        <f ca="1">IF(AND(SUMIF(Capacity_Resource,$D46,'Critical resources (hide)'!AZ$6:AZ$105)+SUMIF(Capacity_Resource,$E46,'Critical resources (hide)'!AZ$6:AZ$105)+SUMIF(Capacity_Resource,$F46,'Critical resources (hide)'!AZ$6:AZ$105)&gt;0,$E$1=2),0,1)</f>
        <v>1</v>
      </c>
      <c r="AN46" s="67">
        <f ca="1">IF(AND(SUMIF(Capacity_Resource,$D46,'Critical resources (hide)'!BA$6:BA$105)+SUMIF(Capacity_Resource,$E46,'Critical resources (hide)'!BA$6:BA$105)+SUMIF(Capacity_Resource,$F46,'Critical resources (hide)'!BA$6:BA$105)&gt;0,$E$1=2),0,1)</f>
        <v>1</v>
      </c>
      <c r="AO46" s="67">
        <f ca="1">IF(AND(SUMIF(Capacity_Resource,$D46,'Critical resources (hide)'!BB$6:BB$105)+SUMIF(Capacity_Resource,$E46,'Critical resources (hide)'!BB$6:BB$105)+SUMIF(Capacity_Resource,$F46,'Critical resources (hide)'!BB$6:BB$105)&gt;0,$E$1=2),0,1)</f>
        <v>1</v>
      </c>
      <c r="AP46" s="67">
        <f ca="1">IF(AND(SUMIF(Capacity_Resource,$D46,'Critical resources (hide)'!BC$6:BC$105)+SUMIF(Capacity_Resource,$E46,'Critical resources (hide)'!BC$6:BC$105)+SUMIF(Capacity_Resource,$F46,'Critical resources (hide)'!BC$6:BC$105)&gt;0,$E$1=2),0,1)</f>
        <v>1</v>
      </c>
      <c r="AQ46" s="67">
        <f ca="1">IF(AND(SUMIF(Capacity_Resource,$D46,'Critical resources (hide)'!BD$6:BD$105)+SUMIF(Capacity_Resource,$E46,'Critical resources (hide)'!BD$6:BD$105)+SUMIF(Capacity_Resource,$F46,'Critical resources (hide)'!BD$6:BD$105)&gt;0,$E$1=2),0,1)</f>
        <v>1</v>
      </c>
      <c r="AR46" s="67">
        <f ca="1">IF(AND(SUMIF(Capacity_Resource,$D46,'Critical resources (hide)'!BE$6:BE$105)+SUMIF(Capacity_Resource,$E46,'Critical resources (hide)'!BE$6:BE$105)+SUMIF(Capacity_Resource,$F46,'Critical resources (hide)'!BE$6:BE$105)&gt;0,$E$1=2),0,1)</f>
        <v>1</v>
      </c>
      <c r="AS46" s="67">
        <f ca="1">IF(AND(SUMIF(Capacity_Resource,$D46,'Critical resources (hide)'!BF$6:BF$105)+SUMIF(Capacity_Resource,$E46,'Critical resources (hide)'!BF$6:BF$105)+SUMIF(Capacity_Resource,$F46,'Critical resources (hide)'!BF$6:BF$105)&gt;0,$E$1=2),0,1)</f>
        <v>1</v>
      </c>
      <c r="AT46" s="67">
        <f ca="1">IF(AND(SUMIF(Capacity_Resource,$D46,'Critical resources (hide)'!BG$6:BG$105)+SUMIF(Capacity_Resource,$E46,'Critical resources (hide)'!BG$6:BG$105)+SUMIF(Capacity_Resource,$F46,'Critical resources (hide)'!BG$6:BG$105)&gt;0,$E$1=2),0,1)</f>
        <v>1</v>
      </c>
      <c r="AU46" s="67">
        <f ca="1">IF(AND(SUMIF(Capacity_Resource,$D46,'Critical resources (hide)'!BH$6:BH$105)+SUMIF(Capacity_Resource,$E46,'Critical resources (hide)'!BH$6:BH$105)+SUMIF(Capacity_Resource,$F46,'Critical resources (hide)'!BH$6:BH$105)&gt;0,$E$1=2),0,1)</f>
        <v>1</v>
      </c>
      <c r="AV46" s="67">
        <f ca="1">IF(AND(SUMIF(Capacity_Resource,$D46,'Critical resources (hide)'!BI$6:BI$105)+SUMIF(Capacity_Resource,$E46,'Critical resources (hide)'!BI$6:BI$105)+SUMIF(Capacity_Resource,$F46,'Critical resources (hide)'!BI$6:BI$105)&gt;0,$E$1=2),0,1)</f>
        <v>1</v>
      </c>
      <c r="AW46" s="67">
        <f ca="1">IF(AND(SUMIF(Capacity_Resource,$D46,'Critical resources (hide)'!BJ$6:BJ$105)+SUMIF(Capacity_Resource,$E46,'Critical resources (hide)'!BJ$6:BJ$105)+SUMIF(Capacity_Resource,$F46,'Critical resources (hide)'!BJ$6:BJ$105)&gt;0,$E$1=2),0,1)</f>
        <v>1</v>
      </c>
      <c r="AX46" s="67">
        <f ca="1">IF(AND(SUMIF(Capacity_Resource,$D46,'Critical resources (hide)'!BK$6:BK$105)+SUMIF(Capacity_Resource,$E46,'Critical resources (hide)'!BK$6:BK$105)+SUMIF(Capacity_Resource,$F46,'Critical resources (hide)'!BK$6:BK$105)&gt;0,$E$1=2),0,1)</f>
        <v>1</v>
      </c>
      <c r="AY46" s="67">
        <f ca="1">IF(AND(SUMIF(Capacity_Resource,$D46,'Critical resources (hide)'!BL$6:BL$105)+SUMIF(Capacity_Resource,$E46,'Critical resources (hide)'!BL$6:BL$105)+SUMIF(Capacity_Resource,$F46,'Critical resources (hide)'!BL$6:BL$105)&gt;0,$E$1=2),0,1)</f>
        <v>1</v>
      </c>
      <c r="AZ46" s="67">
        <f ca="1">IF(AND(SUMIF(Capacity_Resource,$D46,'Critical resources (hide)'!BM$6:BM$105)+SUMIF(Capacity_Resource,$E46,'Critical resources (hide)'!BM$6:BM$105)+SUMIF(Capacity_Resource,$F46,'Critical resources (hide)'!BM$6:BM$105)&gt;0,$E$1=2),0,1)</f>
        <v>1</v>
      </c>
      <c r="BA46" s="67">
        <f ca="1">IF(AND(SUMIF(Capacity_Resource,$D46,'Critical resources (hide)'!BN$6:BN$105)+SUMIF(Capacity_Resource,$E46,'Critical resources (hide)'!BN$6:BN$105)+SUMIF(Capacity_Resource,$F46,'Critical resources (hide)'!BN$6:BN$105)&gt;0,$E$1=2),0,1)</f>
        <v>1</v>
      </c>
      <c r="BB46" s="67">
        <f ca="1">IF(AND(SUMIF(Capacity_Resource,$D46,'Critical resources (hide)'!BO$6:BO$105)+SUMIF(Capacity_Resource,$E46,'Critical resources (hide)'!BO$6:BO$105)+SUMIF(Capacity_Resource,$F46,'Critical resources (hide)'!BO$6:BO$105)&gt;0,$E$1=2),0,1)</f>
        <v>1</v>
      </c>
      <c r="BC46" s="67">
        <f ca="1">IF(AND(SUMIF(Capacity_Resource,$D46,'Critical resources (hide)'!BP$6:BP$105)+SUMIF(Capacity_Resource,$E46,'Critical resources (hide)'!BP$6:BP$105)+SUMIF(Capacity_Resource,$F46,'Critical resources (hide)'!BP$6:BP$105)&gt;0,$E$1=2),0,1)</f>
        <v>1</v>
      </c>
      <c r="BD46" s="67">
        <f ca="1">IF(AND(SUMIF(Capacity_Resource,$D46,'Critical resources (hide)'!BQ$6:BQ$105)+SUMIF(Capacity_Resource,$E46,'Critical resources (hide)'!BQ$6:BQ$105)+SUMIF(Capacity_Resource,$F46,'Critical resources (hide)'!BQ$6:BQ$105)&gt;0,$E$1=2),0,1)</f>
        <v>1</v>
      </c>
      <c r="BE46" s="67">
        <f ca="1">IF(AND(SUMIF(Capacity_Resource,$D46,'Critical resources (hide)'!BR$6:BR$105)+SUMIF(Capacity_Resource,$E46,'Critical resources (hide)'!BR$6:BR$105)+SUMIF(Capacity_Resource,$F46,'Critical resources (hide)'!BR$6:BR$105)&gt;0,$E$1=2),0,1)</f>
        <v>1</v>
      </c>
      <c r="BF46" s="67">
        <f ca="1">IF(AND(SUMIF(Capacity_Resource,$D46,'Critical resources (hide)'!BS$6:BS$105)+SUMIF(Capacity_Resource,$E46,'Critical resources (hide)'!BS$6:BS$105)+SUMIF(Capacity_Resource,$F46,'Critical resources (hide)'!BS$6:BS$105)&gt;0,$E$1=2),0,1)</f>
        <v>1</v>
      </c>
      <c r="BG46" s="67">
        <f ca="1">IF(AND(SUMIF(Capacity_Resource,$D46,'Critical resources (hide)'!BT$6:BT$105)+SUMIF(Capacity_Resource,$E46,'Critical resources (hide)'!BT$6:BT$105)+SUMIF(Capacity_Resource,$F46,'Critical resources (hide)'!BT$6:BT$105)&gt;0,$E$1=2),0,1)</f>
        <v>1</v>
      </c>
      <c r="BH46" s="67">
        <f>IF(ROW(C42)&lt;=Capacity!$A$16,IF('Capacity summary'!$D$14="No",SUM(H46:BG46),'Capacity summary'!$E165),0)</f>
        <v>0</v>
      </c>
      <c r="BI46" s="5" t="str">
        <f>IF(BH46&gt;0,IF(BH46&lt;Capacity!E58,Capacity!F58,Capacity!H58/'Capacity calculation (hide)'!BH46),"")</f>
        <v/>
      </c>
      <c r="BK46" s="313">
        <f>IF($BI46&lt;&gt;"",IF('Capacity summary'!$D$14="Yes",IF(COUNTBLANK('Capacity summary'!$H165:$BG165)&lt;52,IF('Capacity summary'!H165&lt;&gt;"",IF(LOWER('Capacity summary'!H165)="x",$BI46*H46,VALUE('Capacity summary'!H165)),0),H46*$BI46),H46*$BI46),0)</f>
        <v>0</v>
      </c>
      <c r="BL46" s="313">
        <f>IF($BI46&lt;&gt;"",IF('Capacity summary'!$D$14="Yes",IF(COUNTBLANK('Capacity summary'!$H165:$BG165)&lt;52,IF('Capacity summary'!I165&lt;&gt;"",IF(LOWER('Capacity summary'!I165)="x",$BI46*I46,VALUE('Capacity summary'!I165)),0),I46*$BI46),I46*$BI46),0)</f>
        <v>0</v>
      </c>
      <c r="BM46" s="313">
        <f>IF($BI46&lt;&gt;"",IF('Capacity summary'!$D$14="Yes",IF(COUNTBLANK('Capacity summary'!$H165:$BG165)&lt;52,IF('Capacity summary'!J165&lt;&gt;"",IF(LOWER('Capacity summary'!J165)="x",$BI46*J46,VALUE('Capacity summary'!J165)),0),J46*$BI46),J46*$BI46),0)</f>
        <v>0</v>
      </c>
      <c r="BN46" s="313">
        <f>IF($BI46&lt;&gt;"",IF('Capacity summary'!$D$14="Yes",IF(COUNTBLANK('Capacity summary'!$H165:$BG165)&lt;52,IF('Capacity summary'!K165&lt;&gt;"",IF(LOWER('Capacity summary'!K165)="x",$BI46*K46,VALUE('Capacity summary'!K165)),0),K46*$BI46),K46*$BI46),0)</f>
        <v>0</v>
      </c>
      <c r="BO46" s="313">
        <f>IF($BI46&lt;&gt;"",IF('Capacity summary'!$D$14="Yes",IF(COUNTBLANK('Capacity summary'!$H165:$BG165)&lt;52,IF('Capacity summary'!L165&lt;&gt;"",IF(LOWER('Capacity summary'!L165)="x",$BI46*L46,VALUE('Capacity summary'!L165)),0),L46*$BI46),L46*$BI46),0)</f>
        <v>0</v>
      </c>
      <c r="BP46" s="313">
        <f>IF($BI46&lt;&gt;"",IF('Capacity summary'!$D$14="Yes",IF(COUNTBLANK('Capacity summary'!$H165:$BG165)&lt;52,IF('Capacity summary'!M165&lt;&gt;"",IF(LOWER('Capacity summary'!M165)="x",$BI46*M46,VALUE('Capacity summary'!M165)),0),M46*$BI46),M46*$BI46),0)</f>
        <v>0</v>
      </c>
      <c r="BQ46" s="313">
        <f>IF($BI46&lt;&gt;"",IF('Capacity summary'!$D$14="Yes",IF(COUNTBLANK('Capacity summary'!$H165:$BG165)&lt;52,IF('Capacity summary'!N165&lt;&gt;"",IF(LOWER('Capacity summary'!N165)="x",$BI46*N46,VALUE('Capacity summary'!N165)),0),N46*$BI46),N46*$BI46),0)</f>
        <v>0</v>
      </c>
      <c r="BR46" s="313">
        <f>IF($BI46&lt;&gt;"",IF('Capacity summary'!$D$14="Yes",IF(COUNTBLANK('Capacity summary'!$H165:$BG165)&lt;52,IF('Capacity summary'!O165&lt;&gt;"",IF(LOWER('Capacity summary'!O165)="x",$BI46*O46,VALUE('Capacity summary'!O165)),0),O46*$BI46),O46*$BI46),0)</f>
        <v>0</v>
      </c>
      <c r="BS46" s="313">
        <f>IF($BI46&lt;&gt;"",IF('Capacity summary'!$D$14="Yes",IF(COUNTBLANK('Capacity summary'!$H165:$BG165)&lt;52,IF('Capacity summary'!P165&lt;&gt;"",IF(LOWER('Capacity summary'!P165)="x",$BI46*P46,VALUE('Capacity summary'!P165)),0),P46*$BI46),P46*$BI46),0)</f>
        <v>0</v>
      </c>
      <c r="BT46" s="313">
        <f>IF($BI46&lt;&gt;"",IF('Capacity summary'!$D$14="Yes",IF(COUNTBLANK('Capacity summary'!$H165:$BG165)&lt;52,IF('Capacity summary'!Q165&lt;&gt;"",IF(LOWER('Capacity summary'!Q165)="x",$BI46*Q46,VALUE('Capacity summary'!Q165)),0),Q46*$BI46),Q46*$BI46),0)</f>
        <v>0</v>
      </c>
      <c r="BU46" s="313">
        <f>IF($BI46&lt;&gt;"",IF('Capacity summary'!$D$14="Yes",IF(COUNTBLANK('Capacity summary'!$H165:$BG165)&lt;52,IF('Capacity summary'!R165&lt;&gt;"",IF(LOWER('Capacity summary'!R165)="x",$BI46*R46,VALUE('Capacity summary'!R165)),0),R46*$BI46),R46*$BI46),0)</f>
        <v>0</v>
      </c>
      <c r="BV46" s="313">
        <f>IF($BI46&lt;&gt;"",IF('Capacity summary'!$D$14="Yes",IF(COUNTBLANK('Capacity summary'!$H165:$BG165)&lt;52,IF('Capacity summary'!S165&lt;&gt;"",IF(LOWER('Capacity summary'!S165)="x",$BI46*S46,VALUE('Capacity summary'!S165)),0),S46*$BI46),S46*$BI46),0)</f>
        <v>0</v>
      </c>
      <c r="BW46" s="313">
        <f>IF($BI46&lt;&gt;"",IF('Capacity summary'!$D$14="Yes",IF(COUNTBLANK('Capacity summary'!$H165:$BG165)&lt;52,IF('Capacity summary'!T165&lt;&gt;"",IF(LOWER('Capacity summary'!T165)="x",$BI46*T46,VALUE('Capacity summary'!T165)),0),T46*$BI46),T46*$BI46),0)</f>
        <v>0</v>
      </c>
      <c r="BX46" s="313">
        <f>IF($BI46&lt;&gt;"",IF('Capacity summary'!$D$14="Yes",IF(COUNTBLANK('Capacity summary'!$H165:$BG165)&lt;52,IF('Capacity summary'!U165&lt;&gt;"",IF(LOWER('Capacity summary'!U165)="x",$BI46*U46,VALUE('Capacity summary'!U165)),0),U46*$BI46),U46*$BI46),0)</f>
        <v>0</v>
      </c>
      <c r="BY46" s="313">
        <f>IF($BI46&lt;&gt;"",IF('Capacity summary'!$D$14="Yes",IF(COUNTBLANK('Capacity summary'!$H165:$BG165)&lt;52,IF('Capacity summary'!V165&lt;&gt;"",IF(LOWER('Capacity summary'!V165)="x",$BI46*V46,VALUE('Capacity summary'!V165)),0),V46*$BI46),V46*$BI46),0)</f>
        <v>0</v>
      </c>
      <c r="BZ46" s="313">
        <f>IF($BI46&lt;&gt;"",IF('Capacity summary'!$D$14="Yes",IF(COUNTBLANK('Capacity summary'!$H165:$BG165)&lt;52,IF('Capacity summary'!W165&lt;&gt;"",IF(LOWER('Capacity summary'!W165)="x",$BI46*W46,VALUE('Capacity summary'!W165)),0),W46*$BI46),W46*$BI46),0)</f>
        <v>0</v>
      </c>
      <c r="CA46" s="313">
        <f>IF($BI46&lt;&gt;"",IF('Capacity summary'!$D$14="Yes",IF(COUNTBLANK('Capacity summary'!$H165:$BG165)&lt;52,IF('Capacity summary'!X165&lt;&gt;"",IF(LOWER('Capacity summary'!X165)="x",$BI46*X46,VALUE('Capacity summary'!X165)),0),X46*$BI46),X46*$BI46),0)</f>
        <v>0</v>
      </c>
      <c r="CB46" s="313">
        <f>IF($BI46&lt;&gt;"",IF('Capacity summary'!$D$14="Yes",IF(COUNTBLANK('Capacity summary'!$H165:$BG165)&lt;52,IF('Capacity summary'!Y165&lt;&gt;"",IF(LOWER('Capacity summary'!Y165)="x",$BI46*Y46,VALUE('Capacity summary'!Y165)),0),Y46*$BI46),Y46*$BI46),0)</f>
        <v>0</v>
      </c>
      <c r="CC46" s="313">
        <f>IF($BI46&lt;&gt;"",IF('Capacity summary'!$D$14="Yes",IF(COUNTBLANK('Capacity summary'!$H165:$BG165)&lt;52,IF('Capacity summary'!Z165&lt;&gt;"",IF(LOWER('Capacity summary'!Z165)="x",$BI46*Z46,VALUE('Capacity summary'!Z165)),0),Z46*$BI46),Z46*$BI46),0)</f>
        <v>0</v>
      </c>
      <c r="CD46" s="313">
        <f>IF($BI46&lt;&gt;"",IF('Capacity summary'!$D$14="Yes",IF(COUNTBLANK('Capacity summary'!$H165:$BG165)&lt;52,IF('Capacity summary'!AA165&lt;&gt;"",IF(LOWER('Capacity summary'!AA165)="x",$BI46*AA46,VALUE('Capacity summary'!AA165)),0),AA46*$BI46),AA46*$BI46),0)</f>
        <v>0</v>
      </c>
      <c r="CE46" s="313">
        <f>IF($BI46&lt;&gt;"",IF('Capacity summary'!$D$14="Yes",IF(COUNTBLANK('Capacity summary'!$H165:$BG165)&lt;52,IF('Capacity summary'!AB165&lt;&gt;"",IF(LOWER('Capacity summary'!AB165)="x",$BI46*AB46,VALUE('Capacity summary'!AB165)),0),AB46*$BI46),AB46*$BI46),0)</f>
        <v>0</v>
      </c>
      <c r="CF46" s="313">
        <f>IF($BI46&lt;&gt;"",IF('Capacity summary'!$D$14="Yes",IF(COUNTBLANK('Capacity summary'!$H165:$BG165)&lt;52,IF('Capacity summary'!AC165&lt;&gt;"",IF(LOWER('Capacity summary'!AC165)="x",$BI46*AC46,VALUE('Capacity summary'!AC165)),0),AC46*$BI46),AC46*$BI46),0)</f>
        <v>0</v>
      </c>
      <c r="CG46" s="313">
        <f>IF($BI46&lt;&gt;"",IF('Capacity summary'!$D$14="Yes",IF(COUNTBLANK('Capacity summary'!$H165:$BG165)&lt;52,IF('Capacity summary'!AD165&lt;&gt;"",IF(LOWER('Capacity summary'!AD165)="x",$BI46*AD46,VALUE('Capacity summary'!AD165)),0),AD46*$BI46),AD46*$BI46),0)</f>
        <v>0</v>
      </c>
      <c r="CH46" s="313">
        <f>IF($BI46&lt;&gt;"",IF('Capacity summary'!$D$14="Yes",IF(COUNTBLANK('Capacity summary'!$H165:$BG165)&lt;52,IF('Capacity summary'!AE165&lt;&gt;"",IF(LOWER('Capacity summary'!AE165)="x",$BI46*AE46,VALUE('Capacity summary'!AE165)),0),AE46*$BI46),AE46*$BI46),0)</f>
        <v>0</v>
      </c>
      <c r="CI46" s="313">
        <f>IF($BI46&lt;&gt;"",IF('Capacity summary'!$D$14="Yes",IF(COUNTBLANK('Capacity summary'!$H165:$BG165)&lt;52,IF('Capacity summary'!AF165&lt;&gt;"",IF(LOWER('Capacity summary'!AF165)="x",$BI46*AF46,VALUE('Capacity summary'!AF165)),0),AF46*$BI46),AF46*$BI46),0)</f>
        <v>0</v>
      </c>
      <c r="CJ46" s="313">
        <f>IF($BI46&lt;&gt;"",IF('Capacity summary'!$D$14="Yes",IF(COUNTBLANK('Capacity summary'!$H165:$BG165)&lt;52,IF('Capacity summary'!AG165&lt;&gt;"",IF(LOWER('Capacity summary'!AG165)="x",$BI46*AG46,VALUE('Capacity summary'!AG165)),0),AG46*$BI46),AG46*$BI46),0)</f>
        <v>0</v>
      </c>
      <c r="CK46" s="313">
        <f>IF($BI46&lt;&gt;"",IF('Capacity summary'!$D$14="Yes",IF(COUNTBLANK('Capacity summary'!$H165:$BG165)&lt;52,IF('Capacity summary'!AH165&lt;&gt;"",IF(LOWER('Capacity summary'!AH165)="x",$BI46*AH46,VALUE('Capacity summary'!AH165)),0),AH46*$BI46),AH46*$BI46),0)</f>
        <v>0</v>
      </c>
      <c r="CL46" s="313">
        <f>IF($BI46&lt;&gt;"",IF('Capacity summary'!$D$14="Yes",IF(COUNTBLANK('Capacity summary'!$H165:$BG165)&lt;52,IF('Capacity summary'!AI165&lt;&gt;"",IF(LOWER('Capacity summary'!AI165)="x",$BI46*AI46,VALUE('Capacity summary'!AI165)),0),AI46*$BI46),AI46*$BI46),0)</f>
        <v>0</v>
      </c>
      <c r="CM46" s="313">
        <f>IF($BI46&lt;&gt;"",IF('Capacity summary'!$D$14="Yes",IF(COUNTBLANK('Capacity summary'!$H165:$BG165)&lt;52,IF('Capacity summary'!AJ165&lt;&gt;"",IF(LOWER('Capacity summary'!AJ165)="x",$BI46*AJ46,VALUE('Capacity summary'!AJ165)),0),AJ46*$BI46),AJ46*$BI46),0)</f>
        <v>0</v>
      </c>
      <c r="CN46" s="313">
        <f>IF($BI46&lt;&gt;"",IF('Capacity summary'!$D$14="Yes",IF(COUNTBLANK('Capacity summary'!$H165:$BG165)&lt;52,IF('Capacity summary'!AK165&lt;&gt;"",IF(LOWER('Capacity summary'!AK165)="x",$BI46*AK46,VALUE('Capacity summary'!AK165)),0),AK46*$BI46),AK46*$BI46),0)</f>
        <v>0</v>
      </c>
      <c r="CO46" s="313">
        <f>IF($BI46&lt;&gt;"",IF('Capacity summary'!$D$14="Yes",IF(COUNTBLANK('Capacity summary'!$H165:$BG165)&lt;52,IF('Capacity summary'!AL165&lt;&gt;"",IF(LOWER('Capacity summary'!AL165)="x",$BI46*AL46,VALUE('Capacity summary'!AL165)),0),AL46*$BI46),AL46*$BI46),0)</f>
        <v>0</v>
      </c>
      <c r="CP46" s="313">
        <f>IF($BI46&lt;&gt;"",IF('Capacity summary'!$D$14="Yes",IF(COUNTBLANK('Capacity summary'!$H165:$BG165)&lt;52,IF('Capacity summary'!AM165&lt;&gt;"",IF(LOWER('Capacity summary'!AM165)="x",$BI46*AM46,VALUE('Capacity summary'!AM165)),0),AM46*$BI46),AM46*$BI46),0)</f>
        <v>0</v>
      </c>
      <c r="CQ46" s="313">
        <f>IF($BI46&lt;&gt;"",IF('Capacity summary'!$D$14="Yes",IF(COUNTBLANK('Capacity summary'!$H165:$BG165)&lt;52,IF('Capacity summary'!AN165&lt;&gt;"",IF(LOWER('Capacity summary'!AN165)="x",$BI46*AN46,VALUE('Capacity summary'!AN165)),0),AN46*$BI46),AN46*$BI46),0)</f>
        <v>0</v>
      </c>
      <c r="CR46" s="313">
        <f>IF($BI46&lt;&gt;"",IF('Capacity summary'!$D$14="Yes",IF(COUNTBLANK('Capacity summary'!$H165:$BG165)&lt;52,IF('Capacity summary'!AO165&lt;&gt;"",IF(LOWER('Capacity summary'!AO165)="x",$BI46*AO46,VALUE('Capacity summary'!AO165)),0),AO46*$BI46),AO46*$BI46),0)</f>
        <v>0</v>
      </c>
      <c r="CS46" s="313">
        <f>IF($BI46&lt;&gt;"",IF('Capacity summary'!$D$14="Yes",IF(COUNTBLANK('Capacity summary'!$H165:$BG165)&lt;52,IF('Capacity summary'!AP165&lt;&gt;"",IF(LOWER('Capacity summary'!AP165)="x",$BI46*AP46,VALUE('Capacity summary'!AP165)),0),AP46*$BI46),AP46*$BI46),0)</f>
        <v>0</v>
      </c>
      <c r="CT46" s="313">
        <f>IF($BI46&lt;&gt;"",IF('Capacity summary'!$D$14="Yes",IF(COUNTBLANK('Capacity summary'!$H165:$BG165)&lt;52,IF('Capacity summary'!AQ165&lt;&gt;"",IF(LOWER('Capacity summary'!AQ165)="x",$BI46*AQ46,VALUE('Capacity summary'!AQ165)),0),AQ46*$BI46),AQ46*$BI46),0)</f>
        <v>0</v>
      </c>
      <c r="CU46" s="313">
        <f>IF($BI46&lt;&gt;"",IF('Capacity summary'!$D$14="Yes",IF(COUNTBLANK('Capacity summary'!$H165:$BG165)&lt;52,IF('Capacity summary'!AR165&lt;&gt;"",IF(LOWER('Capacity summary'!AR165)="x",$BI46*AR46,VALUE('Capacity summary'!AR165)),0),AR46*$BI46),AR46*$BI46),0)</f>
        <v>0</v>
      </c>
      <c r="CV46" s="313">
        <f>IF($BI46&lt;&gt;"",IF('Capacity summary'!$D$14="Yes",IF(COUNTBLANK('Capacity summary'!$H165:$BG165)&lt;52,IF('Capacity summary'!AS165&lt;&gt;"",IF(LOWER('Capacity summary'!AS165)="x",$BI46*AS46,VALUE('Capacity summary'!AS165)),0),AS46*$BI46),AS46*$BI46),0)</f>
        <v>0</v>
      </c>
      <c r="CW46" s="313">
        <f>IF($BI46&lt;&gt;"",IF('Capacity summary'!$D$14="Yes",IF(COUNTBLANK('Capacity summary'!$H165:$BG165)&lt;52,IF('Capacity summary'!AT165&lt;&gt;"",IF(LOWER('Capacity summary'!AT165)="x",$BI46*AT46,VALUE('Capacity summary'!AT165)),0),AT46*$BI46),AT46*$BI46),0)</f>
        <v>0</v>
      </c>
      <c r="CX46" s="313">
        <f>IF($BI46&lt;&gt;"",IF('Capacity summary'!$D$14="Yes",IF(COUNTBLANK('Capacity summary'!$H165:$BG165)&lt;52,IF('Capacity summary'!AU165&lt;&gt;"",IF(LOWER('Capacity summary'!AU165)="x",$BI46*AU46,VALUE('Capacity summary'!AU165)),0),AU46*$BI46),AU46*$BI46),0)</f>
        <v>0</v>
      </c>
      <c r="CY46" s="313">
        <f>IF($BI46&lt;&gt;"",IF('Capacity summary'!$D$14="Yes",IF(COUNTBLANK('Capacity summary'!$H165:$BG165)&lt;52,IF('Capacity summary'!AV165&lt;&gt;"",IF(LOWER('Capacity summary'!AV165)="x",$BI46*AV46,VALUE('Capacity summary'!AV165)),0),AV46*$BI46),AV46*$BI46),0)</f>
        <v>0</v>
      </c>
      <c r="CZ46" s="313">
        <f>IF($BI46&lt;&gt;"",IF('Capacity summary'!$D$14="Yes",IF(COUNTBLANK('Capacity summary'!$H165:$BG165)&lt;52,IF('Capacity summary'!AW165&lt;&gt;"",IF(LOWER('Capacity summary'!AW165)="x",$BI46*AW46,VALUE('Capacity summary'!AW165)),0),AW46*$BI46),AW46*$BI46),0)</f>
        <v>0</v>
      </c>
      <c r="DA46" s="313">
        <f>IF($BI46&lt;&gt;"",IF('Capacity summary'!$D$14="Yes",IF(COUNTBLANK('Capacity summary'!$H165:$BG165)&lt;52,IF('Capacity summary'!AX165&lt;&gt;"",IF(LOWER('Capacity summary'!AX165)="x",$BI46*AX46,VALUE('Capacity summary'!AX165)),0),AX46*$BI46),AX46*$BI46),0)</f>
        <v>0</v>
      </c>
      <c r="DB46" s="313">
        <f>IF($BI46&lt;&gt;"",IF('Capacity summary'!$D$14="Yes",IF(COUNTBLANK('Capacity summary'!$H165:$BG165)&lt;52,IF('Capacity summary'!AY165&lt;&gt;"",IF(LOWER('Capacity summary'!AY165)="x",$BI46*AY46,VALUE('Capacity summary'!AY165)),0),AY46*$BI46),AY46*$BI46),0)</f>
        <v>0</v>
      </c>
      <c r="DC46" s="313">
        <f>IF($BI46&lt;&gt;"",IF('Capacity summary'!$D$14="Yes",IF(COUNTBLANK('Capacity summary'!$H165:$BG165)&lt;52,IF('Capacity summary'!AZ165&lt;&gt;"",IF(LOWER('Capacity summary'!AZ165)="x",$BI46*AZ46,VALUE('Capacity summary'!AZ165)),0),AZ46*$BI46),AZ46*$BI46),0)</f>
        <v>0</v>
      </c>
      <c r="DD46" s="313">
        <f>IF($BI46&lt;&gt;"",IF('Capacity summary'!$D$14="Yes",IF(COUNTBLANK('Capacity summary'!$H165:$BG165)&lt;52,IF('Capacity summary'!BA165&lt;&gt;"",IF(LOWER('Capacity summary'!BA165)="x",$BI46*BA46,VALUE('Capacity summary'!BA165)),0),BA46*$BI46),BA46*$BI46),0)</f>
        <v>0</v>
      </c>
      <c r="DE46" s="313">
        <f>IF($BI46&lt;&gt;"",IF('Capacity summary'!$D$14="Yes",IF(COUNTBLANK('Capacity summary'!$H165:$BG165)&lt;52,IF('Capacity summary'!BB165&lt;&gt;"",IF(LOWER('Capacity summary'!BB165)="x",$BI46*BB46,VALUE('Capacity summary'!BB165)),0),BB46*$BI46),BB46*$BI46),0)</f>
        <v>0</v>
      </c>
      <c r="DF46" s="313">
        <f>IF($BI46&lt;&gt;"",IF('Capacity summary'!$D$14="Yes",IF(COUNTBLANK('Capacity summary'!$H165:$BG165)&lt;52,IF('Capacity summary'!BC165&lt;&gt;"",IF(LOWER('Capacity summary'!BC165)="x",$BI46*BC46,VALUE('Capacity summary'!BC165)),0),BC46*$BI46),BC46*$BI46),0)</f>
        <v>0</v>
      </c>
      <c r="DG46" s="313">
        <f>IF($BI46&lt;&gt;"",IF('Capacity summary'!$D$14="Yes",IF(COUNTBLANK('Capacity summary'!$H165:$BG165)&lt;52,IF('Capacity summary'!BD165&lt;&gt;"",IF(LOWER('Capacity summary'!BD165)="x",$BI46*BD46,VALUE('Capacity summary'!BD165)),0),BD46*$BI46),BD46*$BI46),0)</f>
        <v>0</v>
      </c>
      <c r="DH46" s="313">
        <f>IF($BI46&lt;&gt;"",IF('Capacity summary'!$D$14="Yes",IF(COUNTBLANK('Capacity summary'!$H165:$BG165)&lt;52,IF('Capacity summary'!BE165&lt;&gt;"",IF(LOWER('Capacity summary'!BE165)="x",$BI46*BE46,VALUE('Capacity summary'!BE165)),0),BE46*$BI46),BE46*$BI46),0)</f>
        <v>0</v>
      </c>
      <c r="DI46" s="313">
        <f>IF($BI46&lt;&gt;"",IF('Capacity summary'!$D$14="Yes",IF(COUNTBLANK('Capacity summary'!$H165:$BG165)&lt;52,IF('Capacity summary'!BF165&lt;&gt;"",IF(LOWER('Capacity summary'!BF165)="x",$BI46*BF46,VALUE('Capacity summary'!BF165)),0),BF46*$BI46),BF46*$BI46),0)</f>
        <v>0</v>
      </c>
      <c r="DJ46" s="313">
        <f>IF($BI46&lt;&gt;"",IF('Capacity summary'!$D$14="Yes",IF(COUNTBLANK('Capacity summary'!$H165:$BG165)&lt;52,IF('Capacity summary'!BG165&lt;&gt;"",IF(LOWER('Capacity summary'!BG165)="x",$BI46*BG46,VALUE('Capacity summary'!BG165)),0),BG46*$BI46),BG46*$BI46),0)</f>
        <v>0</v>
      </c>
      <c r="DK46" s="137">
        <f t="shared" si="2"/>
        <v>0</v>
      </c>
      <c r="DL46" s="313" t="str">
        <f>Capacity!H58</f>
        <v/>
      </c>
      <c r="DP46" s="5"/>
    </row>
    <row r="47" spans="2:120" x14ac:dyDescent="0.25">
      <c r="B47" s="67"/>
      <c r="C47" s="67" t="str">
        <f>ROW(A43)&amp;". "&amp;Capacity!B59</f>
        <v xml:space="preserve">43. </v>
      </c>
      <c r="D47" s="67">
        <f>'Capacity setup'!C54</f>
        <v>0</v>
      </c>
      <c r="E47" s="67">
        <f>'Capacity setup'!D54</f>
        <v>0</v>
      </c>
      <c r="F47" s="67">
        <f>'Capacity setup'!E54</f>
        <v>0</v>
      </c>
      <c r="H47" s="67">
        <f ca="1">IF(AND(SUMIF(Capacity_Resource,$D47,'Critical resources (hide)'!U$6:U$105)+SUMIF(Capacity_Resource,$E47,'Critical resources (hide)'!U$6:U$105)+SUMIF(Capacity_Resource,$F47,'Critical resources (hide)'!U$6:U$105)&gt;0,$E$1=2),0,1)</f>
        <v>1</v>
      </c>
      <c r="I47" s="67">
        <f ca="1">IF(AND(SUMIF(Capacity_Resource,$D47,'Critical resources (hide)'!V$6:V$105)+SUMIF(Capacity_Resource,$E47,'Critical resources (hide)'!V$6:V$105)+SUMIF(Capacity_Resource,$F47,'Critical resources (hide)'!V$6:V$105)&gt;0,$E$1=2),0,1)</f>
        <v>1</v>
      </c>
      <c r="J47" s="67">
        <f ca="1">IF(AND(SUMIF(Capacity_Resource,$D47,'Critical resources (hide)'!W$6:W$105)+SUMIF(Capacity_Resource,$E47,'Critical resources (hide)'!W$6:W$105)+SUMIF(Capacity_Resource,$F47,'Critical resources (hide)'!W$6:W$105)&gt;0,$E$1=2),0,1)</f>
        <v>1</v>
      </c>
      <c r="K47" s="67">
        <f ca="1">IF(AND(SUMIF(Capacity_Resource,$D47,'Critical resources (hide)'!X$6:X$105)+SUMIF(Capacity_Resource,$E47,'Critical resources (hide)'!X$6:X$105)+SUMIF(Capacity_Resource,$F47,'Critical resources (hide)'!X$6:X$105)&gt;0,$E$1=2),0,1)</f>
        <v>1</v>
      </c>
      <c r="L47" s="67">
        <f ca="1">IF(AND(SUMIF(Capacity_Resource,$D47,'Critical resources (hide)'!Y$6:Y$105)+SUMIF(Capacity_Resource,$E47,'Critical resources (hide)'!Y$6:Y$105)+SUMIF(Capacity_Resource,$F47,'Critical resources (hide)'!Y$6:Y$105)&gt;0,$E$1=2),0,1)</f>
        <v>1</v>
      </c>
      <c r="M47" s="67">
        <f ca="1">IF(AND(SUMIF(Capacity_Resource,$D47,'Critical resources (hide)'!Z$6:Z$105)+SUMIF(Capacity_Resource,$E47,'Critical resources (hide)'!Z$6:Z$105)+SUMIF(Capacity_Resource,$F47,'Critical resources (hide)'!Z$6:Z$105)&gt;0,$E$1=2),0,1)</f>
        <v>1</v>
      </c>
      <c r="N47" s="67">
        <f ca="1">IF(AND(SUMIF(Capacity_Resource,$D47,'Critical resources (hide)'!AA$6:AA$105)+SUMIF(Capacity_Resource,$E47,'Critical resources (hide)'!AA$6:AA$105)+SUMIF(Capacity_Resource,$F47,'Critical resources (hide)'!AA$6:AA$105)&gt;0,$E$1=2),0,1)</f>
        <v>1</v>
      </c>
      <c r="O47" s="67">
        <f ca="1">IF(AND(SUMIF(Capacity_Resource,$D47,'Critical resources (hide)'!AB$6:AB$105)+SUMIF(Capacity_Resource,$E47,'Critical resources (hide)'!AB$6:AB$105)+SUMIF(Capacity_Resource,$F47,'Critical resources (hide)'!AB$6:AB$105)&gt;0,$E$1=2),0,1)</f>
        <v>1</v>
      </c>
      <c r="P47" s="67">
        <f ca="1">IF(AND(SUMIF(Capacity_Resource,$D47,'Critical resources (hide)'!AC$6:AC$105)+SUMIF(Capacity_Resource,$E47,'Critical resources (hide)'!AC$6:AC$105)+SUMIF(Capacity_Resource,$F47,'Critical resources (hide)'!AC$6:AC$105)&gt;0,$E$1=2),0,1)</f>
        <v>1</v>
      </c>
      <c r="Q47" s="67">
        <f ca="1">IF(AND(SUMIF(Capacity_Resource,$D47,'Critical resources (hide)'!AD$6:AD$105)+SUMIF(Capacity_Resource,$E47,'Critical resources (hide)'!AD$6:AD$105)+SUMIF(Capacity_Resource,$F47,'Critical resources (hide)'!AD$6:AD$105)&gt;0,$E$1=2),0,1)</f>
        <v>1</v>
      </c>
      <c r="R47" s="67">
        <f ca="1">IF(AND(SUMIF(Capacity_Resource,$D47,'Critical resources (hide)'!AE$6:AE$105)+SUMIF(Capacity_Resource,$E47,'Critical resources (hide)'!AE$6:AE$105)+SUMIF(Capacity_Resource,$F47,'Critical resources (hide)'!AE$6:AE$105)&gt;0,$E$1=2),0,1)</f>
        <v>1</v>
      </c>
      <c r="S47" s="67">
        <f ca="1">IF(AND(SUMIF(Capacity_Resource,$D47,'Critical resources (hide)'!AF$6:AF$105)+SUMIF(Capacity_Resource,$E47,'Critical resources (hide)'!AF$6:AF$105)+SUMIF(Capacity_Resource,$F47,'Critical resources (hide)'!AF$6:AF$105)&gt;0,$E$1=2),0,1)</f>
        <v>1</v>
      </c>
      <c r="T47" s="67">
        <f ca="1">IF(AND(SUMIF(Capacity_Resource,$D47,'Critical resources (hide)'!AG$6:AG$105)+SUMIF(Capacity_Resource,$E47,'Critical resources (hide)'!AG$6:AG$105)+SUMIF(Capacity_Resource,$F47,'Critical resources (hide)'!AG$6:AG$105)&gt;0,$E$1=2),0,1)</f>
        <v>1</v>
      </c>
      <c r="U47" s="67">
        <f ca="1">IF(AND(SUMIF(Capacity_Resource,$D47,'Critical resources (hide)'!AH$6:AH$105)+SUMIF(Capacity_Resource,$E47,'Critical resources (hide)'!AH$6:AH$105)+SUMIF(Capacity_Resource,$F47,'Critical resources (hide)'!AH$6:AH$105)&gt;0,$E$1=2),0,1)</f>
        <v>1</v>
      </c>
      <c r="V47" s="67">
        <f ca="1">IF(AND(SUMIF(Capacity_Resource,$D47,'Critical resources (hide)'!AI$6:AI$105)+SUMIF(Capacity_Resource,$E47,'Critical resources (hide)'!AI$6:AI$105)+SUMIF(Capacity_Resource,$F47,'Critical resources (hide)'!AI$6:AI$105)&gt;0,$E$1=2),0,1)</f>
        <v>1</v>
      </c>
      <c r="W47" s="67">
        <f ca="1">IF(AND(SUMIF(Capacity_Resource,$D47,'Critical resources (hide)'!AJ$6:AJ$105)+SUMIF(Capacity_Resource,$E47,'Critical resources (hide)'!AJ$6:AJ$105)+SUMIF(Capacity_Resource,$F47,'Critical resources (hide)'!AJ$6:AJ$105)&gt;0,$E$1=2),0,1)</f>
        <v>1</v>
      </c>
      <c r="X47" s="67">
        <f ca="1">IF(AND(SUMIF(Capacity_Resource,$D47,'Critical resources (hide)'!AK$6:AK$105)+SUMIF(Capacity_Resource,$E47,'Critical resources (hide)'!AK$6:AK$105)+SUMIF(Capacity_Resource,$F47,'Critical resources (hide)'!AK$6:AK$105)&gt;0,$E$1=2),0,1)</f>
        <v>1</v>
      </c>
      <c r="Y47" s="67">
        <f ca="1">IF(AND(SUMIF(Capacity_Resource,$D47,'Critical resources (hide)'!AL$6:AL$105)+SUMIF(Capacity_Resource,$E47,'Critical resources (hide)'!AL$6:AL$105)+SUMIF(Capacity_Resource,$F47,'Critical resources (hide)'!AL$6:AL$105)&gt;0,$E$1=2),0,1)</f>
        <v>1</v>
      </c>
      <c r="Z47" s="67">
        <f ca="1">IF(AND(SUMIF(Capacity_Resource,$D47,'Critical resources (hide)'!AM$6:AM$105)+SUMIF(Capacity_Resource,$E47,'Critical resources (hide)'!AM$6:AM$105)+SUMIF(Capacity_Resource,$F47,'Critical resources (hide)'!AM$6:AM$105)&gt;0,$E$1=2),0,1)</f>
        <v>1</v>
      </c>
      <c r="AA47" s="67">
        <f ca="1">IF(AND(SUMIF(Capacity_Resource,$D47,'Critical resources (hide)'!AN$6:AN$105)+SUMIF(Capacity_Resource,$E47,'Critical resources (hide)'!AN$6:AN$105)+SUMIF(Capacity_Resource,$F47,'Critical resources (hide)'!AN$6:AN$105)&gt;0,$E$1=2),0,1)</f>
        <v>1</v>
      </c>
      <c r="AB47" s="67">
        <f ca="1">IF(AND(SUMIF(Capacity_Resource,$D47,'Critical resources (hide)'!AO$6:AO$105)+SUMIF(Capacity_Resource,$E47,'Critical resources (hide)'!AO$6:AO$105)+SUMIF(Capacity_Resource,$F47,'Critical resources (hide)'!AO$6:AO$105)&gt;0,$E$1=2),0,1)</f>
        <v>1</v>
      </c>
      <c r="AC47" s="67">
        <f ca="1">IF(AND(SUMIF(Capacity_Resource,$D47,'Critical resources (hide)'!AP$6:AP$105)+SUMIF(Capacity_Resource,$E47,'Critical resources (hide)'!AP$6:AP$105)+SUMIF(Capacity_Resource,$F47,'Critical resources (hide)'!AP$6:AP$105)&gt;0,$E$1=2),0,1)</f>
        <v>1</v>
      </c>
      <c r="AD47" s="67">
        <f ca="1">IF(AND(SUMIF(Capacity_Resource,$D47,'Critical resources (hide)'!AQ$6:AQ$105)+SUMIF(Capacity_Resource,$E47,'Critical resources (hide)'!AQ$6:AQ$105)+SUMIF(Capacity_Resource,$F47,'Critical resources (hide)'!AQ$6:AQ$105)&gt;0,$E$1=2),0,1)</f>
        <v>1</v>
      </c>
      <c r="AE47" s="67">
        <f ca="1">IF(AND(SUMIF(Capacity_Resource,$D47,'Critical resources (hide)'!AR$6:AR$105)+SUMIF(Capacity_Resource,$E47,'Critical resources (hide)'!AR$6:AR$105)+SUMIF(Capacity_Resource,$F47,'Critical resources (hide)'!AR$6:AR$105)&gt;0,$E$1=2),0,1)</f>
        <v>1</v>
      </c>
      <c r="AF47" s="67">
        <f ca="1">IF(AND(SUMIF(Capacity_Resource,$D47,'Critical resources (hide)'!AS$6:AS$105)+SUMIF(Capacity_Resource,$E47,'Critical resources (hide)'!AS$6:AS$105)+SUMIF(Capacity_Resource,$F47,'Critical resources (hide)'!AS$6:AS$105)&gt;0,$E$1=2),0,1)</f>
        <v>1</v>
      </c>
      <c r="AG47" s="67">
        <f ca="1">IF(AND(SUMIF(Capacity_Resource,$D47,'Critical resources (hide)'!AT$6:AT$105)+SUMIF(Capacity_Resource,$E47,'Critical resources (hide)'!AT$6:AT$105)+SUMIF(Capacity_Resource,$F47,'Critical resources (hide)'!AT$6:AT$105)&gt;0,$E$1=2),0,1)</f>
        <v>1</v>
      </c>
      <c r="AH47" s="67">
        <f ca="1">IF(AND(SUMIF(Capacity_Resource,$D47,'Critical resources (hide)'!AU$6:AU$105)+SUMIF(Capacity_Resource,$E47,'Critical resources (hide)'!AU$6:AU$105)+SUMIF(Capacity_Resource,$F47,'Critical resources (hide)'!AU$6:AU$105)&gt;0,$E$1=2),0,1)</f>
        <v>1</v>
      </c>
      <c r="AI47" s="67">
        <f ca="1">IF(AND(SUMIF(Capacity_Resource,$D47,'Critical resources (hide)'!AV$6:AV$105)+SUMIF(Capacity_Resource,$E47,'Critical resources (hide)'!AV$6:AV$105)+SUMIF(Capacity_Resource,$F47,'Critical resources (hide)'!AV$6:AV$105)&gt;0,$E$1=2),0,1)</f>
        <v>1</v>
      </c>
      <c r="AJ47" s="67">
        <f ca="1">IF(AND(SUMIF(Capacity_Resource,$D47,'Critical resources (hide)'!AW$6:AW$105)+SUMIF(Capacity_Resource,$E47,'Critical resources (hide)'!AW$6:AW$105)+SUMIF(Capacity_Resource,$F47,'Critical resources (hide)'!AW$6:AW$105)&gt;0,$E$1=2),0,1)</f>
        <v>1</v>
      </c>
      <c r="AK47" s="67">
        <f ca="1">IF(AND(SUMIF(Capacity_Resource,$D47,'Critical resources (hide)'!AX$6:AX$105)+SUMIF(Capacity_Resource,$E47,'Critical resources (hide)'!AX$6:AX$105)+SUMIF(Capacity_Resource,$F47,'Critical resources (hide)'!AX$6:AX$105)&gt;0,$E$1=2),0,1)</f>
        <v>1</v>
      </c>
      <c r="AL47" s="67">
        <f ca="1">IF(AND(SUMIF(Capacity_Resource,$D47,'Critical resources (hide)'!AY$6:AY$105)+SUMIF(Capacity_Resource,$E47,'Critical resources (hide)'!AY$6:AY$105)+SUMIF(Capacity_Resource,$F47,'Critical resources (hide)'!AY$6:AY$105)&gt;0,$E$1=2),0,1)</f>
        <v>1</v>
      </c>
      <c r="AM47" s="67">
        <f ca="1">IF(AND(SUMIF(Capacity_Resource,$D47,'Critical resources (hide)'!AZ$6:AZ$105)+SUMIF(Capacity_Resource,$E47,'Critical resources (hide)'!AZ$6:AZ$105)+SUMIF(Capacity_Resource,$F47,'Critical resources (hide)'!AZ$6:AZ$105)&gt;0,$E$1=2),0,1)</f>
        <v>1</v>
      </c>
      <c r="AN47" s="67">
        <f ca="1">IF(AND(SUMIF(Capacity_Resource,$D47,'Critical resources (hide)'!BA$6:BA$105)+SUMIF(Capacity_Resource,$E47,'Critical resources (hide)'!BA$6:BA$105)+SUMIF(Capacity_Resource,$F47,'Critical resources (hide)'!BA$6:BA$105)&gt;0,$E$1=2),0,1)</f>
        <v>1</v>
      </c>
      <c r="AO47" s="67">
        <f ca="1">IF(AND(SUMIF(Capacity_Resource,$D47,'Critical resources (hide)'!BB$6:BB$105)+SUMIF(Capacity_Resource,$E47,'Critical resources (hide)'!BB$6:BB$105)+SUMIF(Capacity_Resource,$F47,'Critical resources (hide)'!BB$6:BB$105)&gt;0,$E$1=2),0,1)</f>
        <v>1</v>
      </c>
      <c r="AP47" s="67">
        <f ca="1">IF(AND(SUMIF(Capacity_Resource,$D47,'Critical resources (hide)'!BC$6:BC$105)+SUMIF(Capacity_Resource,$E47,'Critical resources (hide)'!BC$6:BC$105)+SUMIF(Capacity_Resource,$F47,'Critical resources (hide)'!BC$6:BC$105)&gt;0,$E$1=2),0,1)</f>
        <v>1</v>
      </c>
      <c r="AQ47" s="67">
        <f ca="1">IF(AND(SUMIF(Capacity_Resource,$D47,'Critical resources (hide)'!BD$6:BD$105)+SUMIF(Capacity_Resource,$E47,'Critical resources (hide)'!BD$6:BD$105)+SUMIF(Capacity_Resource,$F47,'Critical resources (hide)'!BD$6:BD$105)&gt;0,$E$1=2),0,1)</f>
        <v>1</v>
      </c>
      <c r="AR47" s="67">
        <f ca="1">IF(AND(SUMIF(Capacity_Resource,$D47,'Critical resources (hide)'!BE$6:BE$105)+SUMIF(Capacity_Resource,$E47,'Critical resources (hide)'!BE$6:BE$105)+SUMIF(Capacity_Resource,$F47,'Critical resources (hide)'!BE$6:BE$105)&gt;0,$E$1=2),0,1)</f>
        <v>1</v>
      </c>
      <c r="AS47" s="67">
        <f ca="1">IF(AND(SUMIF(Capacity_Resource,$D47,'Critical resources (hide)'!BF$6:BF$105)+SUMIF(Capacity_Resource,$E47,'Critical resources (hide)'!BF$6:BF$105)+SUMIF(Capacity_Resource,$F47,'Critical resources (hide)'!BF$6:BF$105)&gt;0,$E$1=2),0,1)</f>
        <v>1</v>
      </c>
      <c r="AT47" s="67">
        <f ca="1">IF(AND(SUMIF(Capacity_Resource,$D47,'Critical resources (hide)'!BG$6:BG$105)+SUMIF(Capacity_Resource,$E47,'Critical resources (hide)'!BG$6:BG$105)+SUMIF(Capacity_Resource,$F47,'Critical resources (hide)'!BG$6:BG$105)&gt;0,$E$1=2),0,1)</f>
        <v>1</v>
      </c>
      <c r="AU47" s="67">
        <f ca="1">IF(AND(SUMIF(Capacity_Resource,$D47,'Critical resources (hide)'!BH$6:BH$105)+SUMIF(Capacity_Resource,$E47,'Critical resources (hide)'!BH$6:BH$105)+SUMIF(Capacity_Resource,$F47,'Critical resources (hide)'!BH$6:BH$105)&gt;0,$E$1=2),0,1)</f>
        <v>1</v>
      </c>
      <c r="AV47" s="67">
        <f ca="1">IF(AND(SUMIF(Capacity_Resource,$D47,'Critical resources (hide)'!BI$6:BI$105)+SUMIF(Capacity_Resource,$E47,'Critical resources (hide)'!BI$6:BI$105)+SUMIF(Capacity_Resource,$F47,'Critical resources (hide)'!BI$6:BI$105)&gt;0,$E$1=2),0,1)</f>
        <v>1</v>
      </c>
      <c r="AW47" s="67">
        <f ca="1">IF(AND(SUMIF(Capacity_Resource,$D47,'Critical resources (hide)'!BJ$6:BJ$105)+SUMIF(Capacity_Resource,$E47,'Critical resources (hide)'!BJ$6:BJ$105)+SUMIF(Capacity_Resource,$F47,'Critical resources (hide)'!BJ$6:BJ$105)&gt;0,$E$1=2),0,1)</f>
        <v>1</v>
      </c>
      <c r="AX47" s="67">
        <f ca="1">IF(AND(SUMIF(Capacity_Resource,$D47,'Critical resources (hide)'!BK$6:BK$105)+SUMIF(Capacity_Resource,$E47,'Critical resources (hide)'!BK$6:BK$105)+SUMIF(Capacity_Resource,$F47,'Critical resources (hide)'!BK$6:BK$105)&gt;0,$E$1=2),0,1)</f>
        <v>1</v>
      </c>
      <c r="AY47" s="67">
        <f ca="1">IF(AND(SUMIF(Capacity_Resource,$D47,'Critical resources (hide)'!BL$6:BL$105)+SUMIF(Capacity_Resource,$E47,'Critical resources (hide)'!BL$6:BL$105)+SUMIF(Capacity_Resource,$F47,'Critical resources (hide)'!BL$6:BL$105)&gt;0,$E$1=2),0,1)</f>
        <v>1</v>
      </c>
      <c r="AZ47" s="67">
        <f ca="1">IF(AND(SUMIF(Capacity_Resource,$D47,'Critical resources (hide)'!BM$6:BM$105)+SUMIF(Capacity_Resource,$E47,'Critical resources (hide)'!BM$6:BM$105)+SUMIF(Capacity_Resource,$F47,'Critical resources (hide)'!BM$6:BM$105)&gt;0,$E$1=2),0,1)</f>
        <v>1</v>
      </c>
      <c r="BA47" s="67">
        <f ca="1">IF(AND(SUMIF(Capacity_Resource,$D47,'Critical resources (hide)'!BN$6:BN$105)+SUMIF(Capacity_Resource,$E47,'Critical resources (hide)'!BN$6:BN$105)+SUMIF(Capacity_Resource,$F47,'Critical resources (hide)'!BN$6:BN$105)&gt;0,$E$1=2),0,1)</f>
        <v>1</v>
      </c>
      <c r="BB47" s="67">
        <f ca="1">IF(AND(SUMIF(Capacity_Resource,$D47,'Critical resources (hide)'!BO$6:BO$105)+SUMIF(Capacity_Resource,$E47,'Critical resources (hide)'!BO$6:BO$105)+SUMIF(Capacity_Resource,$F47,'Critical resources (hide)'!BO$6:BO$105)&gt;0,$E$1=2),0,1)</f>
        <v>1</v>
      </c>
      <c r="BC47" s="67">
        <f ca="1">IF(AND(SUMIF(Capacity_Resource,$D47,'Critical resources (hide)'!BP$6:BP$105)+SUMIF(Capacity_Resource,$E47,'Critical resources (hide)'!BP$6:BP$105)+SUMIF(Capacity_Resource,$F47,'Critical resources (hide)'!BP$6:BP$105)&gt;0,$E$1=2),0,1)</f>
        <v>1</v>
      </c>
      <c r="BD47" s="67">
        <f ca="1">IF(AND(SUMIF(Capacity_Resource,$D47,'Critical resources (hide)'!BQ$6:BQ$105)+SUMIF(Capacity_Resource,$E47,'Critical resources (hide)'!BQ$6:BQ$105)+SUMIF(Capacity_Resource,$F47,'Critical resources (hide)'!BQ$6:BQ$105)&gt;0,$E$1=2),0,1)</f>
        <v>1</v>
      </c>
      <c r="BE47" s="67">
        <f ca="1">IF(AND(SUMIF(Capacity_Resource,$D47,'Critical resources (hide)'!BR$6:BR$105)+SUMIF(Capacity_Resource,$E47,'Critical resources (hide)'!BR$6:BR$105)+SUMIF(Capacity_Resource,$F47,'Critical resources (hide)'!BR$6:BR$105)&gt;0,$E$1=2),0,1)</f>
        <v>1</v>
      </c>
      <c r="BF47" s="67">
        <f ca="1">IF(AND(SUMIF(Capacity_Resource,$D47,'Critical resources (hide)'!BS$6:BS$105)+SUMIF(Capacity_Resource,$E47,'Critical resources (hide)'!BS$6:BS$105)+SUMIF(Capacity_Resource,$F47,'Critical resources (hide)'!BS$6:BS$105)&gt;0,$E$1=2),0,1)</f>
        <v>1</v>
      </c>
      <c r="BG47" s="67">
        <f ca="1">IF(AND(SUMIF(Capacity_Resource,$D47,'Critical resources (hide)'!BT$6:BT$105)+SUMIF(Capacity_Resource,$E47,'Critical resources (hide)'!BT$6:BT$105)+SUMIF(Capacity_Resource,$F47,'Critical resources (hide)'!BT$6:BT$105)&gt;0,$E$1=2),0,1)</f>
        <v>1</v>
      </c>
      <c r="BH47" s="67">
        <f>IF(ROW(C43)&lt;=Capacity!$A$16,IF('Capacity summary'!$D$14="No",SUM(H47:BG47),'Capacity summary'!$E166),0)</f>
        <v>0</v>
      </c>
      <c r="BI47" s="5" t="str">
        <f>IF(BH47&gt;0,IF(BH47&lt;Capacity!E59,Capacity!F59,Capacity!H59/'Capacity calculation (hide)'!BH47),"")</f>
        <v/>
      </c>
      <c r="BK47" s="313">
        <f>IF($BI47&lt;&gt;"",IF('Capacity summary'!$D$14="Yes",IF(COUNTBLANK('Capacity summary'!$H166:$BG166)&lt;52,IF('Capacity summary'!H166&lt;&gt;"",IF(LOWER('Capacity summary'!H166)="x",$BI47*H47,VALUE('Capacity summary'!H166)),0),H47*$BI47),H47*$BI47),0)</f>
        <v>0</v>
      </c>
      <c r="BL47" s="313">
        <f>IF($BI47&lt;&gt;"",IF('Capacity summary'!$D$14="Yes",IF(COUNTBLANK('Capacity summary'!$H166:$BG166)&lt;52,IF('Capacity summary'!I166&lt;&gt;"",IF(LOWER('Capacity summary'!I166)="x",$BI47*I47,VALUE('Capacity summary'!I166)),0),I47*$BI47),I47*$BI47),0)</f>
        <v>0</v>
      </c>
      <c r="BM47" s="313">
        <f>IF($BI47&lt;&gt;"",IF('Capacity summary'!$D$14="Yes",IF(COUNTBLANK('Capacity summary'!$H166:$BG166)&lt;52,IF('Capacity summary'!J166&lt;&gt;"",IF(LOWER('Capacity summary'!J166)="x",$BI47*J47,VALUE('Capacity summary'!J166)),0),J47*$BI47),J47*$BI47),0)</f>
        <v>0</v>
      </c>
      <c r="BN47" s="313">
        <f>IF($BI47&lt;&gt;"",IF('Capacity summary'!$D$14="Yes",IF(COUNTBLANK('Capacity summary'!$H166:$BG166)&lt;52,IF('Capacity summary'!K166&lt;&gt;"",IF(LOWER('Capacity summary'!K166)="x",$BI47*K47,VALUE('Capacity summary'!K166)),0),K47*$BI47),K47*$BI47),0)</f>
        <v>0</v>
      </c>
      <c r="BO47" s="313">
        <f>IF($BI47&lt;&gt;"",IF('Capacity summary'!$D$14="Yes",IF(COUNTBLANK('Capacity summary'!$H166:$BG166)&lt;52,IF('Capacity summary'!L166&lt;&gt;"",IF(LOWER('Capacity summary'!L166)="x",$BI47*L47,VALUE('Capacity summary'!L166)),0),L47*$BI47),L47*$BI47),0)</f>
        <v>0</v>
      </c>
      <c r="BP47" s="313">
        <f>IF($BI47&lt;&gt;"",IF('Capacity summary'!$D$14="Yes",IF(COUNTBLANK('Capacity summary'!$H166:$BG166)&lt;52,IF('Capacity summary'!M166&lt;&gt;"",IF(LOWER('Capacity summary'!M166)="x",$BI47*M47,VALUE('Capacity summary'!M166)),0),M47*$BI47),M47*$BI47),0)</f>
        <v>0</v>
      </c>
      <c r="BQ47" s="313">
        <f>IF($BI47&lt;&gt;"",IF('Capacity summary'!$D$14="Yes",IF(COUNTBLANK('Capacity summary'!$H166:$BG166)&lt;52,IF('Capacity summary'!N166&lt;&gt;"",IF(LOWER('Capacity summary'!N166)="x",$BI47*N47,VALUE('Capacity summary'!N166)),0),N47*$BI47),N47*$BI47),0)</f>
        <v>0</v>
      </c>
      <c r="BR47" s="313">
        <f>IF($BI47&lt;&gt;"",IF('Capacity summary'!$D$14="Yes",IF(COUNTBLANK('Capacity summary'!$H166:$BG166)&lt;52,IF('Capacity summary'!O166&lt;&gt;"",IF(LOWER('Capacity summary'!O166)="x",$BI47*O47,VALUE('Capacity summary'!O166)),0),O47*$BI47),O47*$BI47),0)</f>
        <v>0</v>
      </c>
      <c r="BS47" s="313">
        <f>IF($BI47&lt;&gt;"",IF('Capacity summary'!$D$14="Yes",IF(COUNTBLANK('Capacity summary'!$H166:$BG166)&lt;52,IF('Capacity summary'!P166&lt;&gt;"",IF(LOWER('Capacity summary'!P166)="x",$BI47*P47,VALUE('Capacity summary'!P166)),0),P47*$BI47),P47*$BI47),0)</f>
        <v>0</v>
      </c>
      <c r="BT47" s="313">
        <f>IF($BI47&lt;&gt;"",IF('Capacity summary'!$D$14="Yes",IF(COUNTBLANK('Capacity summary'!$H166:$BG166)&lt;52,IF('Capacity summary'!Q166&lt;&gt;"",IF(LOWER('Capacity summary'!Q166)="x",$BI47*Q47,VALUE('Capacity summary'!Q166)),0),Q47*$BI47),Q47*$BI47),0)</f>
        <v>0</v>
      </c>
      <c r="BU47" s="313">
        <f>IF($BI47&lt;&gt;"",IF('Capacity summary'!$D$14="Yes",IF(COUNTBLANK('Capacity summary'!$H166:$BG166)&lt;52,IF('Capacity summary'!R166&lt;&gt;"",IF(LOWER('Capacity summary'!R166)="x",$BI47*R47,VALUE('Capacity summary'!R166)),0),R47*$BI47),R47*$BI47),0)</f>
        <v>0</v>
      </c>
      <c r="BV47" s="313">
        <f>IF($BI47&lt;&gt;"",IF('Capacity summary'!$D$14="Yes",IF(COUNTBLANK('Capacity summary'!$H166:$BG166)&lt;52,IF('Capacity summary'!S166&lt;&gt;"",IF(LOWER('Capacity summary'!S166)="x",$BI47*S47,VALUE('Capacity summary'!S166)),0),S47*$BI47),S47*$BI47),0)</f>
        <v>0</v>
      </c>
      <c r="BW47" s="313">
        <f>IF($BI47&lt;&gt;"",IF('Capacity summary'!$D$14="Yes",IF(COUNTBLANK('Capacity summary'!$H166:$BG166)&lt;52,IF('Capacity summary'!T166&lt;&gt;"",IF(LOWER('Capacity summary'!T166)="x",$BI47*T47,VALUE('Capacity summary'!T166)),0),T47*$BI47),T47*$BI47),0)</f>
        <v>0</v>
      </c>
      <c r="BX47" s="313">
        <f>IF($BI47&lt;&gt;"",IF('Capacity summary'!$D$14="Yes",IF(COUNTBLANK('Capacity summary'!$H166:$BG166)&lt;52,IF('Capacity summary'!U166&lt;&gt;"",IF(LOWER('Capacity summary'!U166)="x",$BI47*U47,VALUE('Capacity summary'!U166)),0),U47*$BI47),U47*$BI47),0)</f>
        <v>0</v>
      </c>
      <c r="BY47" s="313">
        <f>IF($BI47&lt;&gt;"",IF('Capacity summary'!$D$14="Yes",IF(COUNTBLANK('Capacity summary'!$H166:$BG166)&lt;52,IF('Capacity summary'!V166&lt;&gt;"",IF(LOWER('Capacity summary'!V166)="x",$BI47*V47,VALUE('Capacity summary'!V166)),0),V47*$BI47),V47*$BI47),0)</f>
        <v>0</v>
      </c>
      <c r="BZ47" s="313">
        <f>IF($BI47&lt;&gt;"",IF('Capacity summary'!$D$14="Yes",IF(COUNTBLANK('Capacity summary'!$H166:$BG166)&lt;52,IF('Capacity summary'!W166&lt;&gt;"",IF(LOWER('Capacity summary'!W166)="x",$BI47*W47,VALUE('Capacity summary'!W166)),0),W47*$BI47),W47*$BI47),0)</f>
        <v>0</v>
      </c>
      <c r="CA47" s="313">
        <f>IF($BI47&lt;&gt;"",IF('Capacity summary'!$D$14="Yes",IF(COUNTBLANK('Capacity summary'!$H166:$BG166)&lt;52,IF('Capacity summary'!X166&lt;&gt;"",IF(LOWER('Capacity summary'!X166)="x",$BI47*X47,VALUE('Capacity summary'!X166)),0),X47*$BI47),X47*$BI47),0)</f>
        <v>0</v>
      </c>
      <c r="CB47" s="313">
        <f>IF($BI47&lt;&gt;"",IF('Capacity summary'!$D$14="Yes",IF(COUNTBLANK('Capacity summary'!$H166:$BG166)&lt;52,IF('Capacity summary'!Y166&lt;&gt;"",IF(LOWER('Capacity summary'!Y166)="x",$BI47*Y47,VALUE('Capacity summary'!Y166)),0),Y47*$BI47),Y47*$BI47),0)</f>
        <v>0</v>
      </c>
      <c r="CC47" s="313">
        <f>IF($BI47&lt;&gt;"",IF('Capacity summary'!$D$14="Yes",IF(COUNTBLANK('Capacity summary'!$H166:$BG166)&lt;52,IF('Capacity summary'!Z166&lt;&gt;"",IF(LOWER('Capacity summary'!Z166)="x",$BI47*Z47,VALUE('Capacity summary'!Z166)),0),Z47*$BI47),Z47*$BI47),0)</f>
        <v>0</v>
      </c>
      <c r="CD47" s="313">
        <f>IF($BI47&lt;&gt;"",IF('Capacity summary'!$D$14="Yes",IF(COUNTBLANK('Capacity summary'!$H166:$BG166)&lt;52,IF('Capacity summary'!AA166&lt;&gt;"",IF(LOWER('Capacity summary'!AA166)="x",$BI47*AA47,VALUE('Capacity summary'!AA166)),0),AA47*$BI47),AA47*$BI47),0)</f>
        <v>0</v>
      </c>
      <c r="CE47" s="313">
        <f>IF($BI47&lt;&gt;"",IF('Capacity summary'!$D$14="Yes",IF(COUNTBLANK('Capacity summary'!$H166:$BG166)&lt;52,IF('Capacity summary'!AB166&lt;&gt;"",IF(LOWER('Capacity summary'!AB166)="x",$BI47*AB47,VALUE('Capacity summary'!AB166)),0),AB47*$BI47),AB47*$BI47),0)</f>
        <v>0</v>
      </c>
      <c r="CF47" s="313">
        <f>IF($BI47&lt;&gt;"",IF('Capacity summary'!$D$14="Yes",IF(COUNTBLANK('Capacity summary'!$H166:$BG166)&lt;52,IF('Capacity summary'!AC166&lt;&gt;"",IF(LOWER('Capacity summary'!AC166)="x",$BI47*AC47,VALUE('Capacity summary'!AC166)),0),AC47*$BI47),AC47*$BI47),0)</f>
        <v>0</v>
      </c>
      <c r="CG47" s="313">
        <f>IF($BI47&lt;&gt;"",IF('Capacity summary'!$D$14="Yes",IF(COUNTBLANK('Capacity summary'!$H166:$BG166)&lt;52,IF('Capacity summary'!AD166&lt;&gt;"",IF(LOWER('Capacity summary'!AD166)="x",$BI47*AD47,VALUE('Capacity summary'!AD166)),0),AD47*$BI47),AD47*$BI47),0)</f>
        <v>0</v>
      </c>
      <c r="CH47" s="313">
        <f>IF($BI47&lt;&gt;"",IF('Capacity summary'!$D$14="Yes",IF(COUNTBLANK('Capacity summary'!$H166:$BG166)&lt;52,IF('Capacity summary'!AE166&lt;&gt;"",IF(LOWER('Capacity summary'!AE166)="x",$BI47*AE47,VALUE('Capacity summary'!AE166)),0),AE47*$BI47),AE47*$BI47),0)</f>
        <v>0</v>
      </c>
      <c r="CI47" s="313">
        <f>IF($BI47&lt;&gt;"",IF('Capacity summary'!$D$14="Yes",IF(COUNTBLANK('Capacity summary'!$H166:$BG166)&lt;52,IF('Capacity summary'!AF166&lt;&gt;"",IF(LOWER('Capacity summary'!AF166)="x",$BI47*AF47,VALUE('Capacity summary'!AF166)),0),AF47*$BI47),AF47*$BI47),0)</f>
        <v>0</v>
      </c>
      <c r="CJ47" s="313">
        <f>IF($BI47&lt;&gt;"",IF('Capacity summary'!$D$14="Yes",IF(COUNTBLANK('Capacity summary'!$H166:$BG166)&lt;52,IF('Capacity summary'!AG166&lt;&gt;"",IF(LOWER('Capacity summary'!AG166)="x",$BI47*AG47,VALUE('Capacity summary'!AG166)),0),AG47*$BI47),AG47*$BI47),0)</f>
        <v>0</v>
      </c>
      <c r="CK47" s="313">
        <f>IF($BI47&lt;&gt;"",IF('Capacity summary'!$D$14="Yes",IF(COUNTBLANK('Capacity summary'!$H166:$BG166)&lt;52,IF('Capacity summary'!AH166&lt;&gt;"",IF(LOWER('Capacity summary'!AH166)="x",$BI47*AH47,VALUE('Capacity summary'!AH166)),0),AH47*$BI47),AH47*$BI47),0)</f>
        <v>0</v>
      </c>
      <c r="CL47" s="313">
        <f>IF($BI47&lt;&gt;"",IF('Capacity summary'!$D$14="Yes",IF(COUNTBLANK('Capacity summary'!$H166:$BG166)&lt;52,IF('Capacity summary'!AI166&lt;&gt;"",IF(LOWER('Capacity summary'!AI166)="x",$BI47*AI47,VALUE('Capacity summary'!AI166)),0),AI47*$BI47),AI47*$BI47),0)</f>
        <v>0</v>
      </c>
      <c r="CM47" s="313">
        <f>IF($BI47&lt;&gt;"",IF('Capacity summary'!$D$14="Yes",IF(COUNTBLANK('Capacity summary'!$H166:$BG166)&lt;52,IF('Capacity summary'!AJ166&lt;&gt;"",IF(LOWER('Capacity summary'!AJ166)="x",$BI47*AJ47,VALUE('Capacity summary'!AJ166)),0),AJ47*$BI47),AJ47*$BI47),0)</f>
        <v>0</v>
      </c>
      <c r="CN47" s="313">
        <f>IF($BI47&lt;&gt;"",IF('Capacity summary'!$D$14="Yes",IF(COUNTBLANK('Capacity summary'!$H166:$BG166)&lt;52,IF('Capacity summary'!AK166&lt;&gt;"",IF(LOWER('Capacity summary'!AK166)="x",$BI47*AK47,VALUE('Capacity summary'!AK166)),0),AK47*$BI47),AK47*$BI47),0)</f>
        <v>0</v>
      </c>
      <c r="CO47" s="313">
        <f>IF($BI47&lt;&gt;"",IF('Capacity summary'!$D$14="Yes",IF(COUNTBLANK('Capacity summary'!$H166:$BG166)&lt;52,IF('Capacity summary'!AL166&lt;&gt;"",IF(LOWER('Capacity summary'!AL166)="x",$BI47*AL47,VALUE('Capacity summary'!AL166)),0),AL47*$BI47),AL47*$BI47),0)</f>
        <v>0</v>
      </c>
      <c r="CP47" s="313">
        <f>IF($BI47&lt;&gt;"",IF('Capacity summary'!$D$14="Yes",IF(COUNTBLANK('Capacity summary'!$H166:$BG166)&lt;52,IF('Capacity summary'!AM166&lt;&gt;"",IF(LOWER('Capacity summary'!AM166)="x",$BI47*AM47,VALUE('Capacity summary'!AM166)),0),AM47*$BI47),AM47*$BI47),0)</f>
        <v>0</v>
      </c>
      <c r="CQ47" s="313">
        <f>IF($BI47&lt;&gt;"",IF('Capacity summary'!$D$14="Yes",IF(COUNTBLANK('Capacity summary'!$H166:$BG166)&lt;52,IF('Capacity summary'!AN166&lt;&gt;"",IF(LOWER('Capacity summary'!AN166)="x",$BI47*AN47,VALUE('Capacity summary'!AN166)),0),AN47*$BI47),AN47*$BI47),0)</f>
        <v>0</v>
      </c>
      <c r="CR47" s="313">
        <f>IF($BI47&lt;&gt;"",IF('Capacity summary'!$D$14="Yes",IF(COUNTBLANK('Capacity summary'!$H166:$BG166)&lt;52,IF('Capacity summary'!AO166&lt;&gt;"",IF(LOWER('Capacity summary'!AO166)="x",$BI47*AO47,VALUE('Capacity summary'!AO166)),0),AO47*$BI47),AO47*$BI47),0)</f>
        <v>0</v>
      </c>
      <c r="CS47" s="313">
        <f>IF($BI47&lt;&gt;"",IF('Capacity summary'!$D$14="Yes",IF(COUNTBLANK('Capacity summary'!$H166:$BG166)&lt;52,IF('Capacity summary'!AP166&lt;&gt;"",IF(LOWER('Capacity summary'!AP166)="x",$BI47*AP47,VALUE('Capacity summary'!AP166)),0),AP47*$BI47),AP47*$BI47),0)</f>
        <v>0</v>
      </c>
      <c r="CT47" s="313">
        <f>IF($BI47&lt;&gt;"",IF('Capacity summary'!$D$14="Yes",IF(COUNTBLANK('Capacity summary'!$H166:$BG166)&lt;52,IF('Capacity summary'!AQ166&lt;&gt;"",IF(LOWER('Capacity summary'!AQ166)="x",$BI47*AQ47,VALUE('Capacity summary'!AQ166)),0),AQ47*$BI47),AQ47*$BI47),0)</f>
        <v>0</v>
      </c>
      <c r="CU47" s="313">
        <f>IF($BI47&lt;&gt;"",IF('Capacity summary'!$D$14="Yes",IF(COUNTBLANK('Capacity summary'!$H166:$BG166)&lt;52,IF('Capacity summary'!AR166&lt;&gt;"",IF(LOWER('Capacity summary'!AR166)="x",$BI47*AR47,VALUE('Capacity summary'!AR166)),0),AR47*$BI47),AR47*$BI47),0)</f>
        <v>0</v>
      </c>
      <c r="CV47" s="313">
        <f>IF($BI47&lt;&gt;"",IF('Capacity summary'!$D$14="Yes",IF(COUNTBLANK('Capacity summary'!$H166:$BG166)&lt;52,IF('Capacity summary'!AS166&lt;&gt;"",IF(LOWER('Capacity summary'!AS166)="x",$BI47*AS47,VALUE('Capacity summary'!AS166)),0),AS47*$BI47),AS47*$BI47),0)</f>
        <v>0</v>
      </c>
      <c r="CW47" s="313">
        <f>IF($BI47&lt;&gt;"",IF('Capacity summary'!$D$14="Yes",IF(COUNTBLANK('Capacity summary'!$H166:$BG166)&lt;52,IF('Capacity summary'!AT166&lt;&gt;"",IF(LOWER('Capacity summary'!AT166)="x",$BI47*AT47,VALUE('Capacity summary'!AT166)),0),AT47*$BI47),AT47*$BI47),0)</f>
        <v>0</v>
      </c>
      <c r="CX47" s="313">
        <f>IF($BI47&lt;&gt;"",IF('Capacity summary'!$D$14="Yes",IF(COUNTBLANK('Capacity summary'!$H166:$BG166)&lt;52,IF('Capacity summary'!AU166&lt;&gt;"",IF(LOWER('Capacity summary'!AU166)="x",$BI47*AU47,VALUE('Capacity summary'!AU166)),0),AU47*$BI47),AU47*$BI47),0)</f>
        <v>0</v>
      </c>
      <c r="CY47" s="313">
        <f>IF($BI47&lt;&gt;"",IF('Capacity summary'!$D$14="Yes",IF(COUNTBLANK('Capacity summary'!$H166:$BG166)&lt;52,IF('Capacity summary'!AV166&lt;&gt;"",IF(LOWER('Capacity summary'!AV166)="x",$BI47*AV47,VALUE('Capacity summary'!AV166)),0),AV47*$BI47),AV47*$BI47),0)</f>
        <v>0</v>
      </c>
      <c r="CZ47" s="313">
        <f>IF($BI47&lt;&gt;"",IF('Capacity summary'!$D$14="Yes",IF(COUNTBLANK('Capacity summary'!$H166:$BG166)&lt;52,IF('Capacity summary'!AW166&lt;&gt;"",IF(LOWER('Capacity summary'!AW166)="x",$BI47*AW47,VALUE('Capacity summary'!AW166)),0),AW47*$BI47),AW47*$BI47),0)</f>
        <v>0</v>
      </c>
      <c r="DA47" s="313">
        <f>IF($BI47&lt;&gt;"",IF('Capacity summary'!$D$14="Yes",IF(COUNTBLANK('Capacity summary'!$H166:$BG166)&lt;52,IF('Capacity summary'!AX166&lt;&gt;"",IF(LOWER('Capacity summary'!AX166)="x",$BI47*AX47,VALUE('Capacity summary'!AX166)),0),AX47*$BI47),AX47*$BI47),0)</f>
        <v>0</v>
      </c>
      <c r="DB47" s="313">
        <f>IF($BI47&lt;&gt;"",IF('Capacity summary'!$D$14="Yes",IF(COUNTBLANK('Capacity summary'!$H166:$BG166)&lt;52,IF('Capacity summary'!AY166&lt;&gt;"",IF(LOWER('Capacity summary'!AY166)="x",$BI47*AY47,VALUE('Capacity summary'!AY166)),0),AY47*$BI47),AY47*$BI47),0)</f>
        <v>0</v>
      </c>
      <c r="DC47" s="313">
        <f>IF($BI47&lt;&gt;"",IF('Capacity summary'!$D$14="Yes",IF(COUNTBLANK('Capacity summary'!$H166:$BG166)&lt;52,IF('Capacity summary'!AZ166&lt;&gt;"",IF(LOWER('Capacity summary'!AZ166)="x",$BI47*AZ47,VALUE('Capacity summary'!AZ166)),0),AZ47*$BI47),AZ47*$BI47),0)</f>
        <v>0</v>
      </c>
      <c r="DD47" s="313">
        <f>IF($BI47&lt;&gt;"",IF('Capacity summary'!$D$14="Yes",IF(COUNTBLANK('Capacity summary'!$H166:$BG166)&lt;52,IF('Capacity summary'!BA166&lt;&gt;"",IF(LOWER('Capacity summary'!BA166)="x",$BI47*BA47,VALUE('Capacity summary'!BA166)),0),BA47*$BI47),BA47*$BI47),0)</f>
        <v>0</v>
      </c>
      <c r="DE47" s="313">
        <f>IF($BI47&lt;&gt;"",IF('Capacity summary'!$D$14="Yes",IF(COUNTBLANK('Capacity summary'!$H166:$BG166)&lt;52,IF('Capacity summary'!BB166&lt;&gt;"",IF(LOWER('Capacity summary'!BB166)="x",$BI47*BB47,VALUE('Capacity summary'!BB166)),0),BB47*$BI47),BB47*$BI47),0)</f>
        <v>0</v>
      </c>
      <c r="DF47" s="313">
        <f>IF($BI47&lt;&gt;"",IF('Capacity summary'!$D$14="Yes",IF(COUNTBLANK('Capacity summary'!$H166:$BG166)&lt;52,IF('Capacity summary'!BC166&lt;&gt;"",IF(LOWER('Capacity summary'!BC166)="x",$BI47*BC47,VALUE('Capacity summary'!BC166)),0),BC47*$BI47),BC47*$BI47),0)</f>
        <v>0</v>
      </c>
      <c r="DG47" s="313">
        <f>IF($BI47&lt;&gt;"",IF('Capacity summary'!$D$14="Yes",IF(COUNTBLANK('Capacity summary'!$H166:$BG166)&lt;52,IF('Capacity summary'!BD166&lt;&gt;"",IF(LOWER('Capacity summary'!BD166)="x",$BI47*BD47,VALUE('Capacity summary'!BD166)),0),BD47*$BI47),BD47*$BI47),0)</f>
        <v>0</v>
      </c>
      <c r="DH47" s="313">
        <f>IF($BI47&lt;&gt;"",IF('Capacity summary'!$D$14="Yes",IF(COUNTBLANK('Capacity summary'!$H166:$BG166)&lt;52,IF('Capacity summary'!BE166&lt;&gt;"",IF(LOWER('Capacity summary'!BE166)="x",$BI47*BE47,VALUE('Capacity summary'!BE166)),0),BE47*$BI47),BE47*$BI47),0)</f>
        <v>0</v>
      </c>
      <c r="DI47" s="313">
        <f>IF($BI47&lt;&gt;"",IF('Capacity summary'!$D$14="Yes",IF(COUNTBLANK('Capacity summary'!$H166:$BG166)&lt;52,IF('Capacity summary'!BF166&lt;&gt;"",IF(LOWER('Capacity summary'!BF166)="x",$BI47*BF47,VALUE('Capacity summary'!BF166)),0),BF47*$BI47),BF47*$BI47),0)</f>
        <v>0</v>
      </c>
      <c r="DJ47" s="313">
        <f>IF($BI47&lt;&gt;"",IF('Capacity summary'!$D$14="Yes",IF(COUNTBLANK('Capacity summary'!$H166:$BG166)&lt;52,IF('Capacity summary'!BG166&lt;&gt;"",IF(LOWER('Capacity summary'!BG166)="x",$BI47*BG47,VALUE('Capacity summary'!BG166)),0),BG47*$BI47),BG47*$BI47),0)</f>
        <v>0</v>
      </c>
      <c r="DK47" s="137">
        <f t="shared" si="2"/>
        <v>0</v>
      </c>
      <c r="DL47" s="313" t="str">
        <f>Capacity!H59</f>
        <v/>
      </c>
      <c r="DP47" s="5"/>
    </row>
    <row r="48" spans="2:120" x14ac:dyDescent="0.25">
      <c r="B48" s="67"/>
      <c r="C48" s="67" t="str">
        <f>ROW(A44)&amp;". "&amp;Capacity!B60</f>
        <v xml:space="preserve">44. </v>
      </c>
      <c r="D48" s="67">
        <f>'Capacity setup'!C55</f>
        <v>0</v>
      </c>
      <c r="E48" s="67">
        <f>'Capacity setup'!D55</f>
        <v>0</v>
      </c>
      <c r="F48" s="67">
        <f>'Capacity setup'!E55</f>
        <v>0</v>
      </c>
      <c r="H48" s="67">
        <f ca="1">IF(AND(SUMIF(Capacity_Resource,$D48,'Critical resources (hide)'!U$6:U$105)+SUMIF(Capacity_Resource,$E48,'Critical resources (hide)'!U$6:U$105)+SUMIF(Capacity_Resource,$F48,'Critical resources (hide)'!U$6:U$105)&gt;0,$E$1=2),0,1)</f>
        <v>1</v>
      </c>
      <c r="I48" s="67">
        <f ca="1">IF(AND(SUMIF(Capacity_Resource,$D48,'Critical resources (hide)'!V$6:V$105)+SUMIF(Capacity_Resource,$E48,'Critical resources (hide)'!V$6:V$105)+SUMIF(Capacity_Resource,$F48,'Critical resources (hide)'!V$6:V$105)&gt;0,$E$1=2),0,1)</f>
        <v>1</v>
      </c>
      <c r="J48" s="67">
        <f ca="1">IF(AND(SUMIF(Capacity_Resource,$D48,'Critical resources (hide)'!W$6:W$105)+SUMIF(Capacity_Resource,$E48,'Critical resources (hide)'!W$6:W$105)+SUMIF(Capacity_Resource,$F48,'Critical resources (hide)'!W$6:W$105)&gt;0,$E$1=2),0,1)</f>
        <v>1</v>
      </c>
      <c r="K48" s="67">
        <f ca="1">IF(AND(SUMIF(Capacity_Resource,$D48,'Critical resources (hide)'!X$6:X$105)+SUMIF(Capacity_Resource,$E48,'Critical resources (hide)'!X$6:X$105)+SUMIF(Capacity_Resource,$F48,'Critical resources (hide)'!X$6:X$105)&gt;0,$E$1=2),0,1)</f>
        <v>1</v>
      </c>
      <c r="L48" s="67">
        <f ca="1">IF(AND(SUMIF(Capacity_Resource,$D48,'Critical resources (hide)'!Y$6:Y$105)+SUMIF(Capacity_Resource,$E48,'Critical resources (hide)'!Y$6:Y$105)+SUMIF(Capacity_Resource,$F48,'Critical resources (hide)'!Y$6:Y$105)&gt;0,$E$1=2),0,1)</f>
        <v>1</v>
      </c>
      <c r="M48" s="67">
        <f ca="1">IF(AND(SUMIF(Capacity_Resource,$D48,'Critical resources (hide)'!Z$6:Z$105)+SUMIF(Capacity_Resource,$E48,'Critical resources (hide)'!Z$6:Z$105)+SUMIF(Capacity_Resource,$F48,'Critical resources (hide)'!Z$6:Z$105)&gt;0,$E$1=2),0,1)</f>
        <v>1</v>
      </c>
      <c r="N48" s="67">
        <f ca="1">IF(AND(SUMIF(Capacity_Resource,$D48,'Critical resources (hide)'!AA$6:AA$105)+SUMIF(Capacity_Resource,$E48,'Critical resources (hide)'!AA$6:AA$105)+SUMIF(Capacity_Resource,$F48,'Critical resources (hide)'!AA$6:AA$105)&gt;0,$E$1=2),0,1)</f>
        <v>1</v>
      </c>
      <c r="O48" s="67">
        <f ca="1">IF(AND(SUMIF(Capacity_Resource,$D48,'Critical resources (hide)'!AB$6:AB$105)+SUMIF(Capacity_Resource,$E48,'Critical resources (hide)'!AB$6:AB$105)+SUMIF(Capacity_Resource,$F48,'Critical resources (hide)'!AB$6:AB$105)&gt;0,$E$1=2),0,1)</f>
        <v>1</v>
      </c>
      <c r="P48" s="67">
        <f ca="1">IF(AND(SUMIF(Capacity_Resource,$D48,'Critical resources (hide)'!AC$6:AC$105)+SUMIF(Capacity_Resource,$E48,'Critical resources (hide)'!AC$6:AC$105)+SUMIF(Capacity_Resource,$F48,'Critical resources (hide)'!AC$6:AC$105)&gt;0,$E$1=2),0,1)</f>
        <v>1</v>
      </c>
      <c r="Q48" s="67">
        <f ca="1">IF(AND(SUMIF(Capacity_Resource,$D48,'Critical resources (hide)'!AD$6:AD$105)+SUMIF(Capacity_Resource,$E48,'Critical resources (hide)'!AD$6:AD$105)+SUMIF(Capacity_Resource,$F48,'Critical resources (hide)'!AD$6:AD$105)&gt;0,$E$1=2),0,1)</f>
        <v>1</v>
      </c>
      <c r="R48" s="67">
        <f ca="1">IF(AND(SUMIF(Capacity_Resource,$D48,'Critical resources (hide)'!AE$6:AE$105)+SUMIF(Capacity_Resource,$E48,'Critical resources (hide)'!AE$6:AE$105)+SUMIF(Capacity_Resource,$F48,'Critical resources (hide)'!AE$6:AE$105)&gt;0,$E$1=2),0,1)</f>
        <v>1</v>
      </c>
      <c r="S48" s="67">
        <f ca="1">IF(AND(SUMIF(Capacity_Resource,$D48,'Critical resources (hide)'!AF$6:AF$105)+SUMIF(Capacity_Resource,$E48,'Critical resources (hide)'!AF$6:AF$105)+SUMIF(Capacity_Resource,$F48,'Critical resources (hide)'!AF$6:AF$105)&gt;0,$E$1=2),0,1)</f>
        <v>1</v>
      </c>
      <c r="T48" s="67">
        <f ca="1">IF(AND(SUMIF(Capacity_Resource,$D48,'Critical resources (hide)'!AG$6:AG$105)+SUMIF(Capacity_Resource,$E48,'Critical resources (hide)'!AG$6:AG$105)+SUMIF(Capacity_Resource,$F48,'Critical resources (hide)'!AG$6:AG$105)&gt;0,$E$1=2),0,1)</f>
        <v>1</v>
      </c>
      <c r="U48" s="67">
        <f ca="1">IF(AND(SUMIF(Capacity_Resource,$D48,'Critical resources (hide)'!AH$6:AH$105)+SUMIF(Capacity_Resource,$E48,'Critical resources (hide)'!AH$6:AH$105)+SUMIF(Capacity_Resource,$F48,'Critical resources (hide)'!AH$6:AH$105)&gt;0,$E$1=2),0,1)</f>
        <v>1</v>
      </c>
      <c r="V48" s="67">
        <f ca="1">IF(AND(SUMIF(Capacity_Resource,$D48,'Critical resources (hide)'!AI$6:AI$105)+SUMIF(Capacity_Resource,$E48,'Critical resources (hide)'!AI$6:AI$105)+SUMIF(Capacity_Resource,$F48,'Critical resources (hide)'!AI$6:AI$105)&gt;0,$E$1=2),0,1)</f>
        <v>1</v>
      </c>
      <c r="W48" s="67">
        <f ca="1">IF(AND(SUMIF(Capacity_Resource,$D48,'Critical resources (hide)'!AJ$6:AJ$105)+SUMIF(Capacity_Resource,$E48,'Critical resources (hide)'!AJ$6:AJ$105)+SUMIF(Capacity_Resource,$F48,'Critical resources (hide)'!AJ$6:AJ$105)&gt;0,$E$1=2),0,1)</f>
        <v>1</v>
      </c>
      <c r="X48" s="67">
        <f ca="1">IF(AND(SUMIF(Capacity_Resource,$D48,'Critical resources (hide)'!AK$6:AK$105)+SUMIF(Capacity_Resource,$E48,'Critical resources (hide)'!AK$6:AK$105)+SUMIF(Capacity_Resource,$F48,'Critical resources (hide)'!AK$6:AK$105)&gt;0,$E$1=2),0,1)</f>
        <v>1</v>
      </c>
      <c r="Y48" s="67">
        <f ca="1">IF(AND(SUMIF(Capacity_Resource,$D48,'Critical resources (hide)'!AL$6:AL$105)+SUMIF(Capacity_Resource,$E48,'Critical resources (hide)'!AL$6:AL$105)+SUMIF(Capacity_Resource,$F48,'Critical resources (hide)'!AL$6:AL$105)&gt;0,$E$1=2),0,1)</f>
        <v>1</v>
      </c>
      <c r="Z48" s="67">
        <f ca="1">IF(AND(SUMIF(Capacity_Resource,$D48,'Critical resources (hide)'!AM$6:AM$105)+SUMIF(Capacity_Resource,$E48,'Critical resources (hide)'!AM$6:AM$105)+SUMIF(Capacity_Resource,$F48,'Critical resources (hide)'!AM$6:AM$105)&gt;0,$E$1=2),0,1)</f>
        <v>1</v>
      </c>
      <c r="AA48" s="67">
        <f ca="1">IF(AND(SUMIF(Capacity_Resource,$D48,'Critical resources (hide)'!AN$6:AN$105)+SUMIF(Capacity_Resource,$E48,'Critical resources (hide)'!AN$6:AN$105)+SUMIF(Capacity_Resource,$F48,'Critical resources (hide)'!AN$6:AN$105)&gt;0,$E$1=2),0,1)</f>
        <v>1</v>
      </c>
      <c r="AB48" s="67">
        <f ca="1">IF(AND(SUMIF(Capacity_Resource,$D48,'Critical resources (hide)'!AO$6:AO$105)+SUMIF(Capacity_Resource,$E48,'Critical resources (hide)'!AO$6:AO$105)+SUMIF(Capacity_Resource,$F48,'Critical resources (hide)'!AO$6:AO$105)&gt;0,$E$1=2),0,1)</f>
        <v>1</v>
      </c>
      <c r="AC48" s="67">
        <f ca="1">IF(AND(SUMIF(Capacity_Resource,$D48,'Critical resources (hide)'!AP$6:AP$105)+SUMIF(Capacity_Resource,$E48,'Critical resources (hide)'!AP$6:AP$105)+SUMIF(Capacity_Resource,$F48,'Critical resources (hide)'!AP$6:AP$105)&gt;0,$E$1=2),0,1)</f>
        <v>1</v>
      </c>
      <c r="AD48" s="67">
        <f ca="1">IF(AND(SUMIF(Capacity_Resource,$D48,'Critical resources (hide)'!AQ$6:AQ$105)+SUMIF(Capacity_Resource,$E48,'Critical resources (hide)'!AQ$6:AQ$105)+SUMIF(Capacity_Resource,$F48,'Critical resources (hide)'!AQ$6:AQ$105)&gt;0,$E$1=2),0,1)</f>
        <v>1</v>
      </c>
      <c r="AE48" s="67">
        <f ca="1">IF(AND(SUMIF(Capacity_Resource,$D48,'Critical resources (hide)'!AR$6:AR$105)+SUMIF(Capacity_Resource,$E48,'Critical resources (hide)'!AR$6:AR$105)+SUMIF(Capacity_Resource,$F48,'Critical resources (hide)'!AR$6:AR$105)&gt;0,$E$1=2),0,1)</f>
        <v>1</v>
      </c>
      <c r="AF48" s="67">
        <f ca="1">IF(AND(SUMIF(Capacity_Resource,$D48,'Critical resources (hide)'!AS$6:AS$105)+SUMIF(Capacity_Resource,$E48,'Critical resources (hide)'!AS$6:AS$105)+SUMIF(Capacity_Resource,$F48,'Critical resources (hide)'!AS$6:AS$105)&gt;0,$E$1=2),0,1)</f>
        <v>1</v>
      </c>
      <c r="AG48" s="67">
        <f ca="1">IF(AND(SUMIF(Capacity_Resource,$D48,'Critical resources (hide)'!AT$6:AT$105)+SUMIF(Capacity_Resource,$E48,'Critical resources (hide)'!AT$6:AT$105)+SUMIF(Capacity_Resource,$F48,'Critical resources (hide)'!AT$6:AT$105)&gt;0,$E$1=2),0,1)</f>
        <v>1</v>
      </c>
      <c r="AH48" s="67">
        <f ca="1">IF(AND(SUMIF(Capacity_Resource,$D48,'Critical resources (hide)'!AU$6:AU$105)+SUMIF(Capacity_Resource,$E48,'Critical resources (hide)'!AU$6:AU$105)+SUMIF(Capacity_Resource,$F48,'Critical resources (hide)'!AU$6:AU$105)&gt;0,$E$1=2),0,1)</f>
        <v>1</v>
      </c>
      <c r="AI48" s="67">
        <f ca="1">IF(AND(SUMIF(Capacity_Resource,$D48,'Critical resources (hide)'!AV$6:AV$105)+SUMIF(Capacity_Resource,$E48,'Critical resources (hide)'!AV$6:AV$105)+SUMIF(Capacity_Resource,$F48,'Critical resources (hide)'!AV$6:AV$105)&gt;0,$E$1=2),0,1)</f>
        <v>1</v>
      </c>
      <c r="AJ48" s="67">
        <f ca="1">IF(AND(SUMIF(Capacity_Resource,$D48,'Critical resources (hide)'!AW$6:AW$105)+SUMIF(Capacity_Resource,$E48,'Critical resources (hide)'!AW$6:AW$105)+SUMIF(Capacity_Resource,$F48,'Critical resources (hide)'!AW$6:AW$105)&gt;0,$E$1=2),0,1)</f>
        <v>1</v>
      </c>
      <c r="AK48" s="67">
        <f ca="1">IF(AND(SUMIF(Capacity_Resource,$D48,'Critical resources (hide)'!AX$6:AX$105)+SUMIF(Capacity_Resource,$E48,'Critical resources (hide)'!AX$6:AX$105)+SUMIF(Capacity_Resource,$F48,'Critical resources (hide)'!AX$6:AX$105)&gt;0,$E$1=2),0,1)</f>
        <v>1</v>
      </c>
      <c r="AL48" s="67">
        <f ca="1">IF(AND(SUMIF(Capacity_Resource,$D48,'Critical resources (hide)'!AY$6:AY$105)+SUMIF(Capacity_Resource,$E48,'Critical resources (hide)'!AY$6:AY$105)+SUMIF(Capacity_Resource,$F48,'Critical resources (hide)'!AY$6:AY$105)&gt;0,$E$1=2),0,1)</f>
        <v>1</v>
      </c>
      <c r="AM48" s="67">
        <f ca="1">IF(AND(SUMIF(Capacity_Resource,$D48,'Critical resources (hide)'!AZ$6:AZ$105)+SUMIF(Capacity_Resource,$E48,'Critical resources (hide)'!AZ$6:AZ$105)+SUMIF(Capacity_Resource,$F48,'Critical resources (hide)'!AZ$6:AZ$105)&gt;0,$E$1=2),0,1)</f>
        <v>1</v>
      </c>
      <c r="AN48" s="67">
        <f ca="1">IF(AND(SUMIF(Capacity_Resource,$D48,'Critical resources (hide)'!BA$6:BA$105)+SUMIF(Capacity_Resource,$E48,'Critical resources (hide)'!BA$6:BA$105)+SUMIF(Capacity_Resource,$F48,'Critical resources (hide)'!BA$6:BA$105)&gt;0,$E$1=2),0,1)</f>
        <v>1</v>
      </c>
      <c r="AO48" s="67">
        <f ca="1">IF(AND(SUMIF(Capacity_Resource,$D48,'Critical resources (hide)'!BB$6:BB$105)+SUMIF(Capacity_Resource,$E48,'Critical resources (hide)'!BB$6:BB$105)+SUMIF(Capacity_Resource,$F48,'Critical resources (hide)'!BB$6:BB$105)&gt;0,$E$1=2),0,1)</f>
        <v>1</v>
      </c>
      <c r="AP48" s="67">
        <f ca="1">IF(AND(SUMIF(Capacity_Resource,$D48,'Critical resources (hide)'!BC$6:BC$105)+SUMIF(Capacity_Resource,$E48,'Critical resources (hide)'!BC$6:BC$105)+SUMIF(Capacity_Resource,$F48,'Critical resources (hide)'!BC$6:BC$105)&gt;0,$E$1=2),0,1)</f>
        <v>1</v>
      </c>
      <c r="AQ48" s="67">
        <f ca="1">IF(AND(SUMIF(Capacity_Resource,$D48,'Critical resources (hide)'!BD$6:BD$105)+SUMIF(Capacity_Resource,$E48,'Critical resources (hide)'!BD$6:BD$105)+SUMIF(Capacity_Resource,$F48,'Critical resources (hide)'!BD$6:BD$105)&gt;0,$E$1=2),0,1)</f>
        <v>1</v>
      </c>
      <c r="AR48" s="67">
        <f ca="1">IF(AND(SUMIF(Capacity_Resource,$D48,'Critical resources (hide)'!BE$6:BE$105)+SUMIF(Capacity_Resource,$E48,'Critical resources (hide)'!BE$6:BE$105)+SUMIF(Capacity_Resource,$F48,'Critical resources (hide)'!BE$6:BE$105)&gt;0,$E$1=2),0,1)</f>
        <v>1</v>
      </c>
      <c r="AS48" s="67">
        <f ca="1">IF(AND(SUMIF(Capacity_Resource,$D48,'Critical resources (hide)'!BF$6:BF$105)+SUMIF(Capacity_Resource,$E48,'Critical resources (hide)'!BF$6:BF$105)+SUMIF(Capacity_Resource,$F48,'Critical resources (hide)'!BF$6:BF$105)&gt;0,$E$1=2),0,1)</f>
        <v>1</v>
      </c>
      <c r="AT48" s="67">
        <f ca="1">IF(AND(SUMIF(Capacity_Resource,$D48,'Critical resources (hide)'!BG$6:BG$105)+SUMIF(Capacity_Resource,$E48,'Critical resources (hide)'!BG$6:BG$105)+SUMIF(Capacity_Resource,$F48,'Critical resources (hide)'!BG$6:BG$105)&gt;0,$E$1=2),0,1)</f>
        <v>1</v>
      </c>
      <c r="AU48" s="67">
        <f ca="1">IF(AND(SUMIF(Capacity_Resource,$D48,'Critical resources (hide)'!BH$6:BH$105)+SUMIF(Capacity_Resource,$E48,'Critical resources (hide)'!BH$6:BH$105)+SUMIF(Capacity_Resource,$F48,'Critical resources (hide)'!BH$6:BH$105)&gt;0,$E$1=2),0,1)</f>
        <v>1</v>
      </c>
      <c r="AV48" s="67">
        <f ca="1">IF(AND(SUMIF(Capacity_Resource,$D48,'Critical resources (hide)'!BI$6:BI$105)+SUMIF(Capacity_Resource,$E48,'Critical resources (hide)'!BI$6:BI$105)+SUMIF(Capacity_Resource,$F48,'Critical resources (hide)'!BI$6:BI$105)&gt;0,$E$1=2),0,1)</f>
        <v>1</v>
      </c>
      <c r="AW48" s="67">
        <f ca="1">IF(AND(SUMIF(Capacity_Resource,$D48,'Critical resources (hide)'!BJ$6:BJ$105)+SUMIF(Capacity_Resource,$E48,'Critical resources (hide)'!BJ$6:BJ$105)+SUMIF(Capacity_Resource,$F48,'Critical resources (hide)'!BJ$6:BJ$105)&gt;0,$E$1=2),0,1)</f>
        <v>1</v>
      </c>
      <c r="AX48" s="67">
        <f ca="1">IF(AND(SUMIF(Capacity_Resource,$D48,'Critical resources (hide)'!BK$6:BK$105)+SUMIF(Capacity_Resource,$E48,'Critical resources (hide)'!BK$6:BK$105)+SUMIF(Capacity_Resource,$F48,'Critical resources (hide)'!BK$6:BK$105)&gt;0,$E$1=2),0,1)</f>
        <v>1</v>
      </c>
      <c r="AY48" s="67">
        <f ca="1">IF(AND(SUMIF(Capacity_Resource,$D48,'Critical resources (hide)'!BL$6:BL$105)+SUMIF(Capacity_Resource,$E48,'Critical resources (hide)'!BL$6:BL$105)+SUMIF(Capacity_Resource,$F48,'Critical resources (hide)'!BL$6:BL$105)&gt;0,$E$1=2),0,1)</f>
        <v>1</v>
      </c>
      <c r="AZ48" s="67">
        <f ca="1">IF(AND(SUMIF(Capacity_Resource,$D48,'Critical resources (hide)'!BM$6:BM$105)+SUMIF(Capacity_Resource,$E48,'Critical resources (hide)'!BM$6:BM$105)+SUMIF(Capacity_Resource,$F48,'Critical resources (hide)'!BM$6:BM$105)&gt;0,$E$1=2),0,1)</f>
        <v>1</v>
      </c>
      <c r="BA48" s="67">
        <f ca="1">IF(AND(SUMIF(Capacity_Resource,$D48,'Critical resources (hide)'!BN$6:BN$105)+SUMIF(Capacity_Resource,$E48,'Critical resources (hide)'!BN$6:BN$105)+SUMIF(Capacity_Resource,$F48,'Critical resources (hide)'!BN$6:BN$105)&gt;0,$E$1=2),0,1)</f>
        <v>1</v>
      </c>
      <c r="BB48" s="67">
        <f ca="1">IF(AND(SUMIF(Capacity_Resource,$D48,'Critical resources (hide)'!BO$6:BO$105)+SUMIF(Capacity_Resource,$E48,'Critical resources (hide)'!BO$6:BO$105)+SUMIF(Capacity_Resource,$F48,'Critical resources (hide)'!BO$6:BO$105)&gt;0,$E$1=2),0,1)</f>
        <v>1</v>
      </c>
      <c r="BC48" s="67">
        <f ca="1">IF(AND(SUMIF(Capacity_Resource,$D48,'Critical resources (hide)'!BP$6:BP$105)+SUMIF(Capacity_Resource,$E48,'Critical resources (hide)'!BP$6:BP$105)+SUMIF(Capacity_Resource,$F48,'Critical resources (hide)'!BP$6:BP$105)&gt;0,$E$1=2),0,1)</f>
        <v>1</v>
      </c>
      <c r="BD48" s="67">
        <f ca="1">IF(AND(SUMIF(Capacity_Resource,$D48,'Critical resources (hide)'!BQ$6:BQ$105)+SUMIF(Capacity_Resource,$E48,'Critical resources (hide)'!BQ$6:BQ$105)+SUMIF(Capacity_Resource,$F48,'Critical resources (hide)'!BQ$6:BQ$105)&gt;0,$E$1=2),0,1)</f>
        <v>1</v>
      </c>
      <c r="BE48" s="67">
        <f ca="1">IF(AND(SUMIF(Capacity_Resource,$D48,'Critical resources (hide)'!BR$6:BR$105)+SUMIF(Capacity_Resource,$E48,'Critical resources (hide)'!BR$6:BR$105)+SUMIF(Capacity_Resource,$F48,'Critical resources (hide)'!BR$6:BR$105)&gt;0,$E$1=2),0,1)</f>
        <v>1</v>
      </c>
      <c r="BF48" s="67">
        <f ca="1">IF(AND(SUMIF(Capacity_Resource,$D48,'Critical resources (hide)'!BS$6:BS$105)+SUMIF(Capacity_Resource,$E48,'Critical resources (hide)'!BS$6:BS$105)+SUMIF(Capacity_Resource,$F48,'Critical resources (hide)'!BS$6:BS$105)&gt;0,$E$1=2),0,1)</f>
        <v>1</v>
      </c>
      <c r="BG48" s="67">
        <f ca="1">IF(AND(SUMIF(Capacity_Resource,$D48,'Critical resources (hide)'!BT$6:BT$105)+SUMIF(Capacity_Resource,$E48,'Critical resources (hide)'!BT$6:BT$105)+SUMIF(Capacity_Resource,$F48,'Critical resources (hide)'!BT$6:BT$105)&gt;0,$E$1=2),0,1)</f>
        <v>1</v>
      </c>
      <c r="BH48" s="67">
        <f>IF(ROW(C44)&lt;=Capacity!$A$16,IF('Capacity summary'!$D$14="No",SUM(H48:BG48),'Capacity summary'!$E167),0)</f>
        <v>0</v>
      </c>
      <c r="BI48" s="5" t="str">
        <f>IF(BH48&gt;0,IF(BH48&lt;Capacity!E60,Capacity!F60,Capacity!H60/'Capacity calculation (hide)'!BH48),"")</f>
        <v/>
      </c>
      <c r="BK48" s="313">
        <f>IF($BI48&lt;&gt;"",IF('Capacity summary'!$D$14="Yes",IF(COUNTBLANK('Capacity summary'!$H167:$BG167)&lt;52,IF('Capacity summary'!H167&lt;&gt;"",IF(LOWER('Capacity summary'!H167)="x",$BI48*H48,VALUE('Capacity summary'!H167)),0),H48*$BI48),H48*$BI48),0)</f>
        <v>0</v>
      </c>
      <c r="BL48" s="313">
        <f>IF($BI48&lt;&gt;"",IF('Capacity summary'!$D$14="Yes",IF(COUNTBLANK('Capacity summary'!$H167:$BG167)&lt;52,IF('Capacity summary'!I167&lt;&gt;"",IF(LOWER('Capacity summary'!I167)="x",$BI48*I48,VALUE('Capacity summary'!I167)),0),I48*$BI48),I48*$BI48),0)</f>
        <v>0</v>
      </c>
      <c r="BM48" s="313">
        <f>IF($BI48&lt;&gt;"",IF('Capacity summary'!$D$14="Yes",IF(COUNTBLANK('Capacity summary'!$H167:$BG167)&lt;52,IF('Capacity summary'!J167&lt;&gt;"",IF(LOWER('Capacity summary'!J167)="x",$BI48*J48,VALUE('Capacity summary'!J167)),0),J48*$BI48),J48*$BI48),0)</f>
        <v>0</v>
      </c>
      <c r="BN48" s="313">
        <f>IF($BI48&lt;&gt;"",IF('Capacity summary'!$D$14="Yes",IF(COUNTBLANK('Capacity summary'!$H167:$BG167)&lt;52,IF('Capacity summary'!K167&lt;&gt;"",IF(LOWER('Capacity summary'!K167)="x",$BI48*K48,VALUE('Capacity summary'!K167)),0),K48*$BI48),K48*$BI48),0)</f>
        <v>0</v>
      </c>
      <c r="BO48" s="313">
        <f>IF($BI48&lt;&gt;"",IF('Capacity summary'!$D$14="Yes",IF(COUNTBLANK('Capacity summary'!$H167:$BG167)&lt;52,IF('Capacity summary'!L167&lt;&gt;"",IF(LOWER('Capacity summary'!L167)="x",$BI48*L48,VALUE('Capacity summary'!L167)),0),L48*$BI48),L48*$BI48),0)</f>
        <v>0</v>
      </c>
      <c r="BP48" s="313">
        <f>IF($BI48&lt;&gt;"",IF('Capacity summary'!$D$14="Yes",IF(COUNTBLANK('Capacity summary'!$H167:$BG167)&lt;52,IF('Capacity summary'!M167&lt;&gt;"",IF(LOWER('Capacity summary'!M167)="x",$BI48*M48,VALUE('Capacity summary'!M167)),0),M48*$BI48),M48*$BI48),0)</f>
        <v>0</v>
      </c>
      <c r="BQ48" s="313">
        <f>IF($BI48&lt;&gt;"",IF('Capacity summary'!$D$14="Yes",IF(COUNTBLANK('Capacity summary'!$H167:$BG167)&lt;52,IF('Capacity summary'!N167&lt;&gt;"",IF(LOWER('Capacity summary'!N167)="x",$BI48*N48,VALUE('Capacity summary'!N167)),0),N48*$BI48),N48*$BI48),0)</f>
        <v>0</v>
      </c>
      <c r="BR48" s="313">
        <f>IF($BI48&lt;&gt;"",IF('Capacity summary'!$D$14="Yes",IF(COUNTBLANK('Capacity summary'!$H167:$BG167)&lt;52,IF('Capacity summary'!O167&lt;&gt;"",IF(LOWER('Capacity summary'!O167)="x",$BI48*O48,VALUE('Capacity summary'!O167)),0),O48*$BI48),O48*$BI48),0)</f>
        <v>0</v>
      </c>
      <c r="BS48" s="313">
        <f>IF($BI48&lt;&gt;"",IF('Capacity summary'!$D$14="Yes",IF(COUNTBLANK('Capacity summary'!$H167:$BG167)&lt;52,IF('Capacity summary'!P167&lt;&gt;"",IF(LOWER('Capacity summary'!P167)="x",$BI48*P48,VALUE('Capacity summary'!P167)),0),P48*$BI48),P48*$BI48),0)</f>
        <v>0</v>
      </c>
      <c r="BT48" s="313">
        <f>IF($BI48&lt;&gt;"",IF('Capacity summary'!$D$14="Yes",IF(COUNTBLANK('Capacity summary'!$H167:$BG167)&lt;52,IF('Capacity summary'!Q167&lt;&gt;"",IF(LOWER('Capacity summary'!Q167)="x",$BI48*Q48,VALUE('Capacity summary'!Q167)),0),Q48*$BI48),Q48*$BI48),0)</f>
        <v>0</v>
      </c>
      <c r="BU48" s="313">
        <f>IF($BI48&lt;&gt;"",IF('Capacity summary'!$D$14="Yes",IF(COUNTBLANK('Capacity summary'!$H167:$BG167)&lt;52,IF('Capacity summary'!R167&lt;&gt;"",IF(LOWER('Capacity summary'!R167)="x",$BI48*R48,VALUE('Capacity summary'!R167)),0),R48*$BI48),R48*$BI48),0)</f>
        <v>0</v>
      </c>
      <c r="BV48" s="313">
        <f>IF($BI48&lt;&gt;"",IF('Capacity summary'!$D$14="Yes",IF(COUNTBLANK('Capacity summary'!$H167:$BG167)&lt;52,IF('Capacity summary'!S167&lt;&gt;"",IF(LOWER('Capacity summary'!S167)="x",$BI48*S48,VALUE('Capacity summary'!S167)),0),S48*$BI48),S48*$BI48),0)</f>
        <v>0</v>
      </c>
      <c r="BW48" s="313">
        <f>IF($BI48&lt;&gt;"",IF('Capacity summary'!$D$14="Yes",IF(COUNTBLANK('Capacity summary'!$H167:$BG167)&lt;52,IF('Capacity summary'!T167&lt;&gt;"",IF(LOWER('Capacity summary'!T167)="x",$BI48*T48,VALUE('Capacity summary'!T167)),0),T48*$BI48),T48*$BI48),0)</f>
        <v>0</v>
      </c>
      <c r="BX48" s="313">
        <f>IF($BI48&lt;&gt;"",IF('Capacity summary'!$D$14="Yes",IF(COUNTBLANK('Capacity summary'!$H167:$BG167)&lt;52,IF('Capacity summary'!U167&lt;&gt;"",IF(LOWER('Capacity summary'!U167)="x",$BI48*U48,VALUE('Capacity summary'!U167)),0),U48*$BI48),U48*$BI48),0)</f>
        <v>0</v>
      </c>
      <c r="BY48" s="313">
        <f>IF($BI48&lt;&gt;"",IF('Capacity summary'!$D$14="Yes",IF(COUNTBLANK('Capacity summary'!$H167:$BG167)&lt;52,IF('Capacity summary'!V167&lt;&gt;"",IF(LOWER('Capacity summary'!V167)="x",$BI48*V48,VALUE('Capacity summary'!V167)),0),V48*$BI48),V48*$BI48),0)</f>
        <v>0</v>
      </c>
      <c r="BZ48" s="313">
        <f>IF($BI48&lt;&gt;"",IF('Capacity summary'!$D$14="Yes",IF(COUNTBLANK('Capacity summary'!$H167:$BG167)&lt;52,IF('Capacity summary'!W167&lt;&gt;"",IF(LOWER('Capacity summary'!W167)="x",$BI48*W48,VALUE('Capacity summary'!W167)),0),W48*$BI48),W48*$BI48),0)</f>
        <v>0</v>
      </c>
      <c r="CA48" s="313">
        <f>IF($BI48&lt;&gt;"",IF('Capacity summary'!$D$14="Yes",IF(COUNTBLANK('Capacity summary'!$H167:$BG167)&lt;52,IF('Capacity summary'!X167&lt;&gt;"",IF(LOWER('Capacity summary'!X167)="x",$BI48*X48,VALUE('Capacity summary'!X167)),0),X48*$BI48),X48*$BI48),0)</f>
        <v>0</v>
      </c>
      <c r="CB48" s="313">
        <f>IF($BI48&lt;&gt;"",IF('Capacity summary'!$D$14="Yes",IF(COUNTBLANK('Capacity summary'!$H167:$BG167)&lt;52,IF('Capacity summary'!Y167&lt;&gt;"",IF(LOWER('Capacity summary'!Y167)="x",$BI48*Y48,VALUE('Capacity summary'!Y167)),0),Y48*$BI48),Y48*$BI48),0)</f>
        <v>0</v>
      </c>
      <c r="CC48" s="313">
        <f>IF($BI48&lt;&gt;"",IF('Capacity summary'!$D$14="Yes",IF(COUNTBLANK('Capacity summary'!$H167:$BG167)&lt;52,IF('Capacity summary'!Z167&lt;&gt;"",IF(LOWER('Capacity summary'!Z167)="x",$BI48*Z48,VALUE('Capacity summary'!Z167)),0),Z48*$BI48),Z48*$BI48),0)</f>
        <v>0</v>
      </c>
      <c r="CD48" s="313">
        <f>IF($BI48&lt;&gt;"",IF('Capacity summary'!$D$14="Yes",IF(COUNTBLANK('Capacity summary'!$H167:$BG167)&lt;52,IF('Capacity summary'!AA167&lt;&gt;"",IF(LOWER('Capacity summary'!AA167)="x",$BI48*AA48,VALUE('Capacity summary'!AA167)),0),AA48*$BI48),AA48*$BI48),0)</f>
        <v>0</v>
      </c>
      <c r="CE48" s="313">
        <f>IF($BI48&lt;&gt;"",IF('Capacity summary'!$D$14="Yes",IF(COUNTBLANK('Capacity summary'!$H167:$BG167)&lt;52,IF('Capacity summary'!AB167&lt;&gt;"",IF(LOWER('Capacity summary'!AB167)="x",$BI48*AB48,VALUE('Capacity summary'!AB167)),0),AB48*$BI48),AB48*$BI48),0)</f>
        <v>0</v>
      </c>
      <c r="CF48" s="313">
        <f>IF($BI48&lt;&gt;"",IF('Capacity summary'!$D$14="Yes",IF(COUNTBLANK('Capacity summary'!$H167:$BG167)&lt;52,IF('Capacity summary'!AC167&lt;&gt;"",IF(LOWER('Capacity summary'!AC167)="x",$BI48*AC48,VALUE('Capacity summary'!AC167)),0),AC48*$BI48),AC48*$BI48),0)</f>
        <v>0</v>
      </c>
      <c r="CG48" s="313">
        <f>IF($BI48&lt;&gt;"",IF('Capacity summary'!$D$14="Yes",IF(COUNTBLANK('Capacity summary'!$H167:$BG167)&lt;52,IF('Capacity summary'!AD167&lt;&gt;"",IF(LOWER('Capacity summary'!AD167)="x",$BI48*AD48,VALUE('Capacity summary'!AD167)),0),AD48*$BI48),AD48*$BI48),0)</f>
        <v>0</v>
      </c>
      <c r="CH48" s="313">
        <f>IF($BI48&lt;&gt;"",IF('Capacity summary'!$D$14="Yes",IF(COUNTBLANK('Capacity summary'!$H167:$BG167)&lt;52,IF('Capacity summary'!AE167&lt;&gt;"",IF(LOWER('Capacity summary'!AE167)="x",$BI48*AE48,VALUE('Capacity summary'!AE167)),0),AE48*$BI48),AE48*$BI48),0)</f>
        <v>0</v>
      </c>
      <c r="CI48" s="313">
        <f>IF($BI48&lt;&gt;"",IF('Capacity summary'!$D$14="Yes",IF(COUNTBLANK('Capacity summary'!$H167:$BG167)&lt;52,IF('Capacity summary'!AF167&lt;&gt;"",IF(LOWER('Capacity summary'!AF167)="x",$BI48*AF48,VALUE('Capacity summary'!AF167)),0),AF48*$BI48),AF48*$BI48),0)</f>
        <v>0</v>
      </c>
      <c r="CJ48" s="313">
        <f>IF($BI48&lt;&gt;"",IF('Capacity summary'!$D$14="Yes",IF(COUNTBLANK('Capacity summary'!$H167:$BG167)&lt;52,IF('Capacity summary'!AG167&lt;&gt;"",IF(LOWER('Capacity summary'!AG167)="x",$BI48*AG48,VALUE('Capacity summary'!AG167)),0),AG48*$BI48),AG48*$BI48),0)</f>
        <v>0</v>
      </c>
      <c r="CK48" s="313">
        <f>IF($BI48&lt;&gt;"",IF('Capacity summary'!$D$14="Yes",IF(COUNTBLANK('Capacity summary'!$H167:$BG167)&lt;52,IF('Capacity summary'!AH167&lt;&gt;"",IF(LOWER('Capacity summary'!AH167)="x",$BI48*AH48,VALUE('Capacity summary'!AH167)),0),AH48*$BI48),AH48*$BI48),0)</f>
        <v>0</v>
      </c>
      <c r="CL48" s="313">
        <f>IF($BI48&lt;&gt;"",IF('Capacity summary'!$D$14="Yes",IF(COUNTBLANK('Capacity summary'!$H167:$BG167)&lt;52,IF('Capacity summary'!AI167&lt;&gt;"",IF(LOWER('Capacity summary'!AI167)="x",$BI48*AI48,VALUE('Capacity summary'!AI167)),0),AI48*$BI48),AI48*$BI48),0)</f>
        <v>0</v>
      </c>
      <c r="CM48" s="313">
        <f>IF($BI48&lt;&gt;"",IF('Capacity summary'!$D$14="Yes",IF(COUNTBLANK('Capacity summary'!$H167:$BG167)&lt;52,IF('Capacity summary'!AJ167&lt;&gt;"",IF(LOWER('Capacity summary'!AJ167)="x",$BI48*AJ48,VALUE('Capacity summary'!AJ167)),0),AJ48*$BI48),AJ48*$BI48),0)</f>
        <v>0</v>
      </c>
      <c r="CN48" s="313">
        <f>IF($BI48&lt;&gt;"",IF('Capacity summary'!$D$14="Yes",IF(COUNTBLANK('Capacity summary'!$H167:$BG167)&lt;52,IF('Capacity summary'!AK167&lt;&gt;"",IF(LOWER('Capacity summary'!AK167)="x",$BI48*AK48,VALUE('Capacity summary'!AK167)),0),AK48*$BI48),AK48*$BI48),0)</f>
        <v>0</v>
      </c>
      <c r="CO48" s="313">
        <f>IF($BI48&lt;&gt;"",IF('Capacity summary'!$D$14="Yes",IF(COUNTBLANK('Capacity summary'!$H167:$BG167)&lt;52,IF('Capacity summary'!AL167&lt;&gt;"",IF(LOWER('Capacity summary'!AL167)="x",$BI48*AL48,VALUE('Capacity summary'!AL167)),0),AL48*$BI48),AL48*$BI48),0)</f>
        <v>0</v>
      </c>
      <c r="CP48" s="313">
        <f>IF($BI48&lt;&gt;"",IF('Capacity summary'!$D$14="Yes",IF(COUNTBLANK('Capacity summary'!$H167:$BG167)&lt;52,IF('Capacity summary'!AM167&lt;&gt;"",IF(LOWER('Capacity summary'!AM167)="x",$BI48*AM48,VALUE('Capacity summary'!AM167)),0),AM48*$BI48),AM48*$BI48),0)</f>
        <v>0</v>
      </c>
      <c r="CQ48" s="313">
        <f>IF($BI48&lt;&gt;"",IF('Capacity summary'!$D$14="Yes",IF(COUNTBLANK('Capacity summary'!$H167:$BG167)&lt;52,IF('Capacity summary'!AN167&lt;&gt;"",IF(LOWER('Capacity summary'!AN167)="x",$BI48*AN48,VALUE('Capacity summary'!AN167)),0),AN48*$BI48),AN48*$BI48),0)</f>
        <v>0</v>
      </c>
      <c r="CR48" s="313">
        <f>IF($BI48&lt;&gt;"",IF('Capacity summary'!$D$14="Yes",IF(COUNTBLANK('Capacity summary'!$H167:$BG167)&lt;52,IF('Capacity summary'!AO167&lt;&gt;"",IF(LOWER('Capacity summary'!AO167)="x",$BI48*AO48,VALUE('Capacity summary'!AO167)),0),AO48*$BI48),AO48*$BI48),0)</f>
        <v>0</v>
      </c>
      <c r="CS48" s="313">
        <f>IF($BI48&lt;&gt;"",IF('Capacity summary'!$D$14="Yes",IF(COUNTBLANK('Capacity summary'!$H167:$BG167)&lt;52,IF('Capacity summary'!AP167&lt;&gt;"",IF(LOWER('Capacity summary'!AP167)="x",$BI48*AP48,VALUE('Capacity summary'!AP167)),0),AP48*$BI48),AP48*$BI48),0)</f>
        <v>0</v>
      </c>
      <c r="CT48" s="313">
        <f>IF($BI48&lt;&gt;"",IF('Capacity summary'!$D$14="Yes",IF(COUNTBLANK('Capacity summary'!$H167:$BG167)&lt;52,IF('Capacity summary'!AQ167&lt;&gt;"",IF(LOWER('Capacity summary'!AQ167)="x",$BI48*AQ48,VALUE('Capacity summary'!AQ167)),0),AQ48*$BI48),AQ48*$BI48),0)</f>
        <v>0</v>
      </c>
      <c r="CU48" s="313">
        <f>IF($BI48&lt;&gt;"",IF('Capacity summary'!$D$14="Yes",IF(COUNTBLANK('Capacity summary'!$H167:$BG167)&lt;52,IF('Capacity summary'!AR167&lt;&gt;"",IF(LOWER('Capacity summary'!AR167)="x",$BI48*AR48,VALUE('Capacity summary'!AR167)),0),AR48*$BI48),AR48*$BI48),0)</f>
        <v>0</v>
      </c>
      <c r="CV48" s="313">
        <f>IF($BI48&lt;&gt;"",IF('Capacity summary'!$D$14="Yes",IF(COUNTBLANK('Capacity summary'!$H167:$BG167)&lt;52,IF('Capacity summary'!AS167&lt;&gt;"",IF(LOWER('Capacity summary'!AS167)="x",$BI48*AS48,VALUE('Capacity summary'!AS167)),0),AS48*$BI48),AS48*$BI48),0)</f>
        <v>0</v>
      </c>
      <c r="CW48" s="313">
        <f>IF($BI48&lt;&gt;"",IF('Capacity summary'!$D$14="Yes",IF(COUNTBLANK('Capacity summary'!$H167:$BG167)&lt;52,IF('Capacity summary'!AT167&lt;&gt;"",IF(LOWER('Capacity summary'!AT167)="x",$BI48*AT48,VALUE('Capacity summary'!AT167)),0),AT48*$BI48),AT48*$BI48),0)</f>
        <v>0</v>
      </c>
      <c r="CX48" s="313">
        <f>IF($BI48&lt;&gt;"",IF('Capacity summary'!$D$14="Yes",IF(COUNTBLANK('Capacity summary'!$H167:$BG167)&lt;52,IF('Capacity summary'!AU167&lt;&gt;"",IF(LOWER('Capacity summary'!AU167)="x",$BI48*AU48,VALUE('Capacity summary'!AU167)),0),AU48*$BI48),AU48*$BI48),0)</f>
        <v>0</v>
      </c>
      <c r="CY48" s="313">
        <f>IF($BI48&lt;&gt;"",IF('Capacity summary'!$D$14="Yes",IF(COUNTBLANK('Capacity summary'!$H167:$BG167)&lt;52,IF('Capacity summary'!AV167&lt;&gt;"",IF(LOWER('Capacity summary'!AV167)="x",$BI48*AV48,VALUE('Capacity summary'!AV167)),0),AV48*$BI48),AV48*$BI48),0)</f>
        <v>0</v>
      </c>
      <c r="CZ48" s="313">
        <f>IF($BI48&lt;&gt;"",IF('Capacity summary'!$D$14="Yes",IF(COUNTBLANK('Capacity summary'!$H167:$BG167)&lt;52,IF('Capacity summary'!AW167&lt;&gt;"",IF(LOWER('Capacity summary'!AW167)="x",$BI48*AW48,VALUE('Capacity summary'!AW167)),0),AW48*$BI48),AW48*$BI48),0)</f>
        <v>0</v>
      </c>
      <c r="DA48" s="313">
        <f>IF($BI48&lt;&gt;"",IF('Capacity summary'!$D$14="Yes",IF(COUNTBLANK('Capacity summary'!$H167:$BG167)&lt;52,IF('Capacity summary'!AX167&lt;&gt;"",IF(LOWER('Capacity summary'!AX167)="x",$BI48*AX48,VALUE('Capacity summary'!AX167)),0),AX48*$BI48),AX48*$BI48),0)</f>
        <v>0</v>
      </c>
      <c r="DB48" s="313">
        <f>IF($BI48&lt;&gt;"",IF('Capacity summary'!$D$14="Yes",IF(COUNTBLANK('Capacity summary'!$H167:$BG167)&lt;52,IF('Capacity summary'!AY167&lt;&gt;"",IF(LOWER('Capacity summary'!AY167)="x",$BI48*AY48,VALUE('Capacity summary'!AY167)),0),AY48*$BI48),AY48*$BI48),0)</f>
        <v>0</v>
      </c>
      <c r="DC48" s="313">
        <f>IF($BI48&lt;&gt;"",IF('Capacity summary'!$D$14="Yes",IF(COUNTBLANK('Capacity summary'!$H167:$BG167)&lt;52,IF('Capacity summary'!AZ167&lt;&gt;"",IF(LOWER('Capacity summary'!AZ167)="x",$BI48*AZ48,VALUE('Capacity summary'!AZ167)),0),AZ48*$BI48),AZ48*$BI48),0)</f>
        <v>0</v>
      </c>
      <c r="DD48" s="313">
        <f>IF($BI48&lt;&gt;"",IF('Capacity summary'!$D$14="Yes",IF(COUNTBLANK('Capacity summary'!$H167:$BG167)&lt;52,IF('Capacity summary'!BA167&lt;&gt;"",IF(LOWER('Capacity summary'!BA167)="x",$BI48*BA48,VALUE('Capacity summary'!BA167)),0),BA48*$BI48),BA48*$BI48),0)</f>
        <v>0</v>
      </c>
      <c r="DE48" s="313">
        <f>IF($BI48&lt;&gt;"",IF('Capacity summary'!$D$14="Yes",IF(COUNTBLANK('Capacity summary'!$H167:$BG167)&lt;52,IF('Capacity summary'!BB167&lt;&gt;"",IF(LOWER('Capacity summary'!BB167)="x",$BI48*BB48,VALUE('Capacity summary'!BB167)),0),BB48*$BI48),BB48*$BI48),0)</f>
        <v>0</v>
      </c>
      <c r="DF48" s="313">
        <f>IF($BI48&lt;&gt;"",IF('Capacity summary'!$D$14="Yes",IF(COUNTBLANK('Capacity summary'!$H167:$BG167)&lt;52,IF('Capacity summary'!BC167&lt;&gt;"",IF(LOWER('Capacity summary'!BC167)="x",$BI48*BC48,VALUE('Capacity summary'!BC167)),0),BC48*$BI48),BC48*$BI48),0)</f>
        <v>0</v>
      </c>
      <c r="DG48" s="313">
        <f>IF($BI48&lt;&gt;"",IF('Capacity summary'!$D$14="Yes",IF(COUNTBLANK('Capacity summary'!$H167:$BG167)&lt;52,IF('Capacity summary'!BD167&lt;&gt;"",IF(LOWER('Capacity summary'!BD167)="x",$BI48*BD48,VALUE('Capacity summary'!BD167)),0),BD48*$BI48),BD48*$BI48),0)</f>
        <v>0</v>
      </c>
      <c r="DH48" s="313">
        <f>IF($BI48&lt;&gt;"",IF('Capacity summary'!$D$14="Yes",IF(COUNTBLANK('Capacity summary'!$H167:$BG167)&lt;52,IF('Capacity summary'!BE167&lt;&gt;"",IF(LOWER('Capacity summary'!BE167)="x",$BI48*BE48,VALUE('Capacity summary'!BE167)),0),BE48*$BI48),BE48*$BI48),0)</f>
        <v>0</v>
      </c>
      <c r="DI48" s="313">
        <f>IF($BI48&lt;&gt;"",IF('Capacity summary'!$D$14="Yes",IF(COUNTBLANK('Capacity summary'!$H167:$BG167)&lt;52,IF('Capacity summary'!BF167&lt;&gt;"",IF(LOWER('Capacity summary'!BF167)="x",$BI48*BF48,VALUE('Capacity summary'!BF167)),0),BF48*$BI48),BF48*$BI48),0)</f>
        <v>0</v>
      </c>
      <c r="DJ48" s="313">
        <f>IF($BI48&lt;&gt;"",IF('Capacity summary'!$D$14="Yes",IF(COUNTBLANK('Capacity summary'!$H167:$BG167)&lt;52,IF('Capacity summary'!BG167&lt;&gt;"",IF(LOWER('Capacity summary'!BG167)="x",$BI48*BG48,VALUE('Capacity summary'!BG167)),0),BG48*$BI48),BG48*$BI48),0)</f>
        <v>0</v>
      </c>
      <c r="DK48" s="137">
        <f t="shared" si="2"/>
        <v>0</v>
      </c>
      <c r="DL48" s="313" t="str">
        <f>Capacity!H60</f>
        <v/>
      </c>
      <c r="DP48" s="5"/>
    </row>
    <row r="49" spans="2:120" x14ac:dyDescent="0.25">
      <c r="B49" s="67"/>
      <c r="C49" s="67" t="str">
        <f>ROW(A45)&amp;". "&amp;Capacity!B61</f>
        <v xml:space="preserve">45. </v>
      </c>
      <c r="D49" s="67">
        <f>'Capacity setup'!C56</f>
        <v>0</v>
      </c>
      <c r="E49" s="67">
        <f>'Capacity setup'!D56</f>
        <v>0</v>
      </c>
      <c r="F49" s="67">
        <f>'Capacity setup'!E56</f>
        <v>0</v>
      </c>
      <c r="H49" s="67">
        <f ca="1">IF(AND(SUMIF(Capacity_Resource,$D49,'Critical resources (hide)'!U$6:U$105)+SUMIF(Capacity_Resource,$E49,'Critical resources (hide)'!U$6:U$105)+SUMIF(Capacity_Resource,$F49,'Critical resources (hide)'!U$6:U$105)&gt;0,$E$1=2),0,1)</f>
        <v>1</v>
      </c>
      <c r="I49" s="67">
        <f ca="1">IF(AND(SUMIF(Capacity_Resource,$D49,'Critical resources (hide)'!V$6:V$105)+SUMIF(Capacity_Resource,$E49,'Critical resources (hide)'!V$6:V$105)+SUMIF(Capacity_Resource,$F49,'Critical resources (hide)'!V$6:V$105)&gt;0,$E$1=2),0,1)</f>
        <v>1</v>
      </c>
      <c r="J49" s="67">
        <f ca="1">IF(AND(SUMIF(Capacity_Resource,$D49,'Critical resources (hide)'!W$6:W$105)+SUMIF(Capacity_Resource,$E49,'Critical resources (hide)'!W$6:W$105)+SUMIF(Capacity_Resource,$F49,'Critical resources (hide)'!W$6:W$105)&gt;0,$E$1=2),0,1)</f>
        <v>1</v>
      </c>
      <c r="K49" s="67">
        <f ca="1">IF(AND(SUMIF(Capacity_Resource,$D49,'Critical resources (hide)'!X$6:X$105)+SUMIF(Capacity_Resource,$E49,'Critical resources (hide)'!X$6:X$105)+SUMIF(Capacity_Resource,$F49,'Critical resources (hide)'!X$6:X$105)&gt;0,$E$1=2),0,1)</f>
        <v>1</v>
      </c>
      <c r="L49" s="67">
        <f ca="1">IF(AND(SUMIF(Capacity_Resource,$D49,'Critical resources (hide)'!Y$6:Y$105)+SUMIF(Capacity_Resource,$E49,'Critical resources (hide)'!Y$6:Y$105)+SUMIF(Capacity_Resource,$F49,'Critical resources (hide)'!Y$6:Y$105)&gt;0,$E$1=2),0,1)</f>
        <v>1</v>
      </c>
      <c r="M49" s="67">
        <f ca="1">IF(AND(SUMIF(Capacity_Resource,$D49,'Critical resources (hide)'!Z$6:Z$105)+SUMIF(Capacity_Resource,$E49,'Critical resources (hide)'!Z$6:Z$105)+SUMIF(Capacity_Resource,$F49,'Critical resources (hide)'!Z$6:Z$105)&gt;0,$E$1=2),0,1)</f>
        <v>1</v>
      </c>
      <c r="N49" s="67">
        <f ca="1">IF(AND(SUMIF(Capacity_Resource,$D49,'Critical resources (hide)'!AA$6:AA$105)+SUMIF(Capacity_Resource,$E49,'Critical resources (hide)'!AA$6:AA$105)+SUMIF(Capacity_Resource,$F49,'Critical resources (hide)'!AA$6:AA$105)&gt;0,$E$1=2),0,1)</f>
        <v>1</v>
      </c>
      <c r="O49" s="67">
        <f ca="1">IF(AND(SUMIF(Capacity_Resource,$D49,'Critical resources (hide)'!AB$6:AB$105)+SUMIF(Capacity_Resource,$E49,'Critical resources (hide)'!AB$6:AB$105)+SUMIF(Capacity_Resource,$F49,'Critical resources (hide)'!AB$6:AB$105)&gt;0,$E$1=2),0,1)</f>
        <v>1</v>
      </c>
      <c r="P49" s="67">
        <f ca="1">IF(AND(SUMIF(Capacity_Resource,$D49,'Critical resources (hide)'!AC$6:AC$105)+SUMIF(Capacity_Resource,$E49,'Critical resources (hide)'!AC$6:AC$105)+SUMIF(Capacity_Resource,$F49,'Critical resources (hide)'!AC$6:AC$105)&gt;0,$E$1=2),0,1)</f>
        <v>1</v>
      </c>
      <c r="Q49" s="67">
        <f ca="1">IF(AND(SUMIF(Capacity_Resource,$D49,'Critical resources (hide)'!AD$6:AD$105)+SUMIF(Capacity_Resource,$E49,'Critical resources (hide)'!AD$6:AD$105)+SUMIF(Capacity_Resource,$F49,'Critical resources (hide)'!AD$6:AD$105)&gt;0,$E$1=2),0,1)</f>
        <v>1</v>
      </c>
      <c r="R49" s="67">
        <f ca="1">IF(AND(SUMIF(Capacity_Resource,$D49,'Critical resources (hide)'!AE$6:AE$105)+SUMIF(Capacity_Resource,$E49,'Critical resources (hide)'!AE$6:AE$105)+SUMIF(Capacity_Resource,$F49,'Critical resources (hide)'!AE$6:AE$105)&gt;0,$E$1=2),0,1)</f>
        <v>1</v>
      </c>
      <c r="S49" s="67">
        <f ca="1">IF(AND(SUMIF(Capacity_Resource,$D49,'Critical resources (hide)'!AF$6:AF$105)+SUMIF(Capacity_Resource,$E49,'Critical resources (hide)'!AF$6:AF$105)+SUMIF(Capacity_Resource,$F49,'Critical resources (hide)'!AF$6:AF$105)&gt;0,$E$1=2),0,1)</f>
        <v>1</v>
      </c>
      <c r="T49" s="67">
        <f ca="1">IF(AND(SUMIF(Capacity_Resource,$D49,'Critical resources (hide)'!AG$6:AG$105)+SUMIF(Capacity_Resource,$E49,'Critical resources (hide)'!AG$6:AG$105)+SUMIF(Capacity_Resource,$F49,'Critical resources (hide)'!AG$6:AG$105)&gt;0,$E$1=2),0,1)</f>
        <v>1</v>
      </c>
      <c r="U49" s="67">
        <f ca="1">IF(AND(SUMIF(Capacity_Resource,$D49,'Critical resources (hide)'!AH$6:AH$105)+SUMIF(Capacity_Resource,$E49,'Critical resources (hide)'!AH$6:AH$105)+SUMIF(Capacity_Resource,$F49,'Critical resources (hide)'!AH$6:AH$105)&gt;0,$E$1=2),0,1)</f>
        <v>1</v>
      </c>
      <c r="V49" s="67">
        <f ca="1">IF(AND(SUMIF(Capacity_Resource,$D49,'Critical resources (hide)'!AI$6:AI$105)+SUMIF(Capacity_Resource,$E49,'Critical resources (hide)'!AI$6:AI$105)+SUMIF(Capacity_Resource,$F49,'Critical resources (hide)'!AI$6:AI$105)&gt;0,$E$1=2),0,1)</f>
        <v>1</v>
      </c>
      <c r="W49" s="67">
        <f ca="1">IF(AND(SUMIF(Capacity_Resource,$D49,'Critical resources (hide)'!AJ$6:AJ$105)+SUMIF(Capacity_Resource,$E49,'Critical resources (hide)'!AJ$6:AJ$105)+SUMIF(Capacity_Resource,$F49,'Critical resources (hide)'!AJ$6:AJ$105)&gt;0,$E$1=2),0,1)</f>
        <v>1</v>
      </c>
      <c r="X49" s="67">
        <f ca="1">IF(AND(SUMIF(Capacity_Resource,$D49,'Critical resources (hide)'!AK$6:AK$105)+SUMIF(Capacity_Resource,$E49,'Critical resources (hide)'!AK$6:AK$105)+SUMIF(Capacity_Resource,$F49,'Critical resources (hide)'!AK$6:AK$105)&gt;0,$E$1=2),0,1)</f>
        <v>1</v>
      </c>
      <c r="Y49" s="67">
        <f ca="1">IF(AND(SUMIF(Capacity_Resource,$D49,'Critical resources (hide)'!AL$6:AL$105)+SUMIF(Capacity_Resource,$E49,'Critical resources (hide)'!AL$6:AL$105)+SUMIF(Capacity_Resource,$F49,'Critical resources (hide)'!AL$6:AL$105)&gt;0,$E$1=2),0,1)</f>
        <v>1</v>
      </c>
      <c r="Z49" s="67">
        <f ca="1">IF(AND(SUMIF(Capacity_Resource,$D49,'Critical resources (hide)'!AM$6:AM$105)+SUMIF(Capacity_Resource,$E49,'Critical resources (hide)'!AM$6:AM$105)+SUMIF(Capacity_Resource,$F49,'Critical resources (hide)'!AM$6:AM$105)&gt;0,$E$1=2),0,1)</f>
        <v>1</v>
      </c>
      <c r="AA49" s="67">
        <f ca="1">IF(AND(SUMIF(Capacity_Resource,$D49,'Critical resources (hide)'!AN$6:AN$105)+SUMIF(Capacity_Resource,$E49,'Critical resources (hide)'!AN$6:AN$105)+SUMIF(Capacity_Resource,$F49,'Critical resources (hide)'!AN$6:AN$105)&gt;0,$E$1=2),0,1)</f>
        <v>1</v>
      </c>
      <c r="AB49" s="67">
        <f ca="1">IF(AND(SUMIF(Capacity_Resource,$D49,'Critical resources (hide)'!AO$6:AO$105)+SUMIF(Capacity_Resource,$E49,'Critical resources (hide)'!AO$6:AO$105)+SUMIF(Capacity_Resource,$F49,'Critical resources (hide)'!AO$6:AO$105)&gt;0,$E$1=2),0,1)</f>
        <v>1</v>
      </c>
      <c r="AC49" s="67">
        <f ca="1">IF(AND(SUMIF(Capacity_Resource,$D49,'Critical resources (hide)'!AP$6:AP$105)+SUMIF(Capacity_Resource,$E49,'Critical resources (hide)'!AP$6:AP$105)+SUMIF(Capacity_Resource,$F49,'Critical resources (hide)'!AP$6:AP$105)&gt;0,$E$1=2),0,1)</f>
        <v>1</v>
      </c>
      <c r="AD49" s="67">
        <f ca="1">IF(AND(SUMIF(Capacity_Resource,$D49,'Critical resources (hide)'!AQ$6:AQ$105)+SUMIF(Capacity_Resource,$E49,'Critical resources (hide)'!AQ$6:AQ$105)+SUMIF(Capacity_Resource,$F49,'Critical resources (hide)'!AQ$6:AQ$105)&gt;0,$E$1=2),0,1)</f>
        <v>1</v>
      </c>
      <c r="AE49" s="67">
        <f ca="1">IF(AND(SUMIF(Capacity_Resource,$D49,'Critical resources (hide)'!AR$6:AR$105)+SUMIF(Capacity_Resource,$E49,'Critical resources (hide)'!AR$6:AR$105)+SUMIF(Capacity_Resource,$F49,'Critical resources (hide)'!AR$6:AR$105)&gt;0,$E$1=2),0,1)</f>
        <v>1</v>
      </c>
      <c r="AF49" s="67">
        <f ca="1">IF(AND(SUMIF(Capacity_Resource,$D49,'Critical resources (hide)'!AS$6:AS$105)+SUMIF(Capacity_Resource,$E49,'Critical resources (hide)'!AS$6:AS$105)+SUMIF(Capacity_Resource,$F49,'Critical resources (hide)'!AS$6:AS$105)&gt;0,$E$1=2),0,1)</f>
        <v>1</v>
      </c>
      <c r="AG49" s="67">
        <f ca="1">IF(AND(SUMIF(Capacity_Resource,$D49,'Critical resources (hide)'!AT$6:AT$105)+SUMIF(Capacity_Resource,$E49,'Critical resources (hide)'!AT$6:AT$105)+SUMIF(Capacity_Resource,$F49,'Critical resources (hide)'!AT$6:AT$105)&gt;0,$E$1=2),0,1)</f>
        <v>1</v>
      </c>
      <c r="AH49" s="67">
        <f ca="1">IF(AND(SUMIF(Capacity_Resource,$D49,'Critical resources (hide)'!AU$6:AU$105)+SUMIF(Capacity_Resource,$E49,'Critical resources (hide)'!AU$6:AU$105)+SUMIF(Capacity_Resource,$F49,'Critical resources (hide)'!AU$6:AU$105)&gt;0,$E$1=2),0,1)</f>
        <v>1</v>
      </c>
      <c r="AI49" s="67">
        <f ca="1">IF(AND(SUMIF(Capacity_Resource,$D49,'Critical resources (hide)'!AV$6:AV$105)+SUMIF(Capacity_Resource,$E49,'Critical resources (hide)'!AV$6:AV$105)+SUMIF(Capacity_Resource,$F49,'Critical resources (hide)'!AV$6:AV$105)&gt;0,$E$1=2),0,1)</f>
        <v>1</v>
      </c>
      <c r="AJ49" s="67">
        <f ca="1">IF(AND(SUMIF(Capacity_Resource,$D49,'Critical resources (hide)'!AW$6:AW$105)+SUMIF(Capacity_Resource,$E49,'Critical resources (hide)'!AW$6:AW$105)+SUMIF(Capacity_Resource,$F49,'Critical resources (hide)'!AW$6:AW$105)&gt;0,$E$1=2),0,1)</f>
        <v>1</v>
      </c>
      <c r="AK49" s="67">
        <f ca="1">IF(AND(SUMIF(Capacity_Resource,$D49,'Critical resources (hide)'!AX$6:AX$105)+SUMIF(Capacity_Resource,$E49,'Critical resources (hide)'!AX$6:AX$105)+SUMIF(Capacity_Resource,$F49,'Critical resources (hide)'!AX$6:AX$105)&gt;0,$E$1=2),0,1)</f>
        <v>1</v>
      </c>
      <c r="AL49" s="67">
        <f ca="1">IF(AND(SUMIF(Capacity_Resource,$D49,'Critical resources (hide)'!AY$6:AY$105)+SUMIF(Capacity_Resource,$E49,'Critical resources (hide)'!AY$6:AY$105)+SUMIF(Capacity_Resource,$F49,'Critical resources (hide)'!AY$6:AY$105)&gt;0,$E$1=2),0,1)</f>
        <v>1</v>
      </c>
      <c r="AM49" s="67">
        <f ca="1">IF(AND(SUMIF(Capacity_Resource,$D49,'Critical resources (hide)'!AZ$6:AZ$105)+SUMIF(Capacity_Resource,$E49,'Critical resources (hide)'!AZ$6:AZ$105)+SUMIF(Capacity_Resource,$F49,'Critical resources (hide)'!AZ$6:AZ$105)&gt;0,$E$1=2),0,1)</f>
        <v>1</v>
      </c>
      <c r="AN49" s="67">
        <f ca="1">IF(AND(SUMIF(Capacity_Resource,$D49,'Critical resources (hide)'!BA$6:BA$105)+SUMIF(Capacity_Resource,$E49,'Critical resources (hide)'!BA$6:BA$105)+SUMIF(Capacity_Resource,$F49,'Critical resources (hide)'!BA$6:BA$105)&gt;0,$E$1=2),0,1)</f>
        <v>1</v>
      </c>
      <c r="AO49" s="67">
        <f ca="1">IF(AND(SUMIF(Capacity_Resource,$D49,'Critical resources (hide)'!BB$6:BB$105)+SUMIF(Capacity_Resource,$E49,'Critical resources (hide)'!BB$6:BB$105)+SUMIF(Capacity_Resource,$F49,'Critical resources (hide)'!BB$6:BB$105)&gt;0,$E$1=2),0,1)</f>
        <v>1</v>
      </c>
      <c r="AP49" s="67">
        <f ca="1">IF(AND(SUMIF(Capacity_Resource,$D49,'Critical resources (hide)'!BC$6:BC$105)+SUMIF(Capacity_Resource,$E49,'Critical resources (hide)'!BC$6:BC$105)+SUMIF(Capacity_Resource,$F49,'Critical resources (hide)'!BC$6:BC$105)&gt;0,$E$1=2),0,1)</f>
        <v>1</v>
      </c>
      <c r="AQ49" s="67">
        <f ca="1">IF(AND(SUMIF(Capacity_Resource,$D49,'Critical resources (hide)'!BD$6:BD$105)+SUMIF(Capacity_Resource,$E49,'Critical resources (hide)'!BD$6:BD$105)+SUMIF(Capacity_Resource,$F49,'Critical resources (hide)'!BD$6:BD$105)&gt;0,$E$1=2),0,1)</f>
        <v>1</v>
      </c>
      <c r="AR49" s="67">
        <f ca="1">IF(AND(SUMIF(Capacity_Resource,$D49,'Critical resources (hide)'!BE$6:BE$105)+SUMIF(Capacity_Resource,$E49,'Critical resources (hide)'!BE$6:BE$105)+SUMIF(Capacity_Resource,$F49,'Critical resources (hide)'!BE$6:BE$105)&gt;0,$E$1=2),0,1)</f>
        <v>1</v>
      </c>
      <c r="AS49" s="67">
        <f ca="1">IF(AND(SUMIF(Capacity_Resource,$D49,'Critical resources (hide)'!BF$6:BF$105)+SUMIF(Capacity_Resource,$E49,'Critical resources (hide)'!BF$6:BF$105)+SUMIF(Capacity_Resource,$F49,'Critical resources (hide)'!BF$6:BF$105)&gt;0,$E$1=2),0,1)</f>
        <v>1</v>
      </c>
      <c r="AT49" s="67">
        <f ca="1">IF(AND(SUMIF(Capacity_Resource,$D49,'Critical resources (hide)'!BG$6:BG$105)+SUMIF(Capacity_Resource,$E49,'Critical resources (hide)'!BG$6:BG$105)+SUMIF(Capacity_Resource,$F49,'Critical resources (hide)'!BG$6:BG$105)&gt;0,$E$1=2),0,1)</f>
        <v>1</v>
      </c>
      <c r="AU49" s="67">
        <f ca="1">IF(AND(SUMIF(Capacity_Resource,$D49,'Critical resources (hide)'!BH$6:BH$105)+SUMIF(Capacity_Resource,$E49,'Critical resources (hide)'!BH$6:BH$105)+SUMIF(Capacity_Resource,$F49,'Critical resources (hide)'!BH$6:BH$105)&gt;0,$E$1=2),0,1)</f>
        <v>1</v>
      </c>
      <c r="AV49" s="67">
        <f ca="1">IF(AND(SUMIF(Capacity_Resource,$D49,'Critical resources (hide)'!BI$6:BI$105)+SUMIF(Capacity_Resource,$E49,'Critical resources (hide)'!BI$6:BI$105)+SUMIF(Capacity_Resource,$F49,'Critical resources (hide)'!BI$6:BI$105)&gt;0,$E$1=2),0,1)</f>
        <v>1</v>
      </c>
      <c r="AW49" s="67">
        <f ca="1">IF(AND(SUMIF(Capacity_Resource,$D49,'Critical resources (hide)'!BJ$6:BJ$105)+SUMIF(Capacity_Resource,$E49,'Critical resources (hide)'!BJ$6:BJ$105)+SUMIF(Capacity_Resource,$F49,'Critical resources (hide)'!BJ$6:BJ$105)&gt;0,$E$1=2),0,1)</f>
        <v>1</v>
      </c>
      <c r="AX49" s="67">
        <f ca="1">IF(AND(SUMIF(Capacity_Resource,$D49,'Critical resources (hide)'!BK$6:BK$105)+SUMIF(Capacity_Resource,$E49,'Critical resources (hide)'!BK$6:BK$105)+SUMIF(Capacity_Resource,$F49,'Critical resources (hide)'!BK$6:BK$105)&gt;0,$E$1=2),0,1)</f>
        <v>1</v>
      </c>
      <c r="AY49" s="67">
        <f ca="1">IF(AND(SUMIF(Capacity_Resource,$D49,'Critical resources (hide)'!BL$6:BL$105)+SUMIF(Capacity_Resource,$E49,'Critical resources (hide)'!BL$6:BL$105)+SUMIF(Capacity_Resource,$F49,'Critical resources (hide)'!BL$6:BL$105)&gt;0,$E$1=2),0,1)</f>
        <v>1</v>
      </c>
      <c r="AZ49" s="67">
        <f ca="1">IF(AND(SUMIF(Capacity_Resource,$D49,'Critical resources (hide)'!BM$6:BM$105)+SUMIF(Capacity_Resource,$E49,'Critical resources (hide)'!BM$6:BM$105)+SUMIF(Capacity_Resource,$F49,'Critical resources (hide)'!BM$6:BM$105)&gt;0,$E$1=2),0,1)</f>
        <v>1</v>
      </c>
      <c r="BA49" s="67">
        <f ca="1">IF(AND(SUMIF(Capacity_Resource,$D49,'Critical resources (hide)'!BN$6:BN$105)+SUMIF(Capacity_Resource,$E49,'Critical resources (hide)'!BN$6:BN$105)+SUMIF(Capacity_Resource,$F49,'Critical resources (hide)'!BN$6:BN$105)&gt;0,$E$1=2),0,1)</f>
        <v>1</v>
      </c>
      <c r="BB49" s="67">
        <f ca="1">IF(AND(SUMIF(Capacity_Resource,$D49,'Critical resources (hide)'!BO$6:BO$105)+SUMIF(Capacity_Resource,$E49,'Critical resources (hide)'!BO$6:BO$105)+SUMIF(Capacity_Resource,$F49,'Critical resources (hide)'!BO$6:BO$105)&gt;0,$E$1=2),0,1)</f>
        <v>1</v>
      </c>
      <c r="BC49" s="67">
        <f ca="1">IF(AND(SUMIF(Capacity_Resource,$D49,'Critical resources (hide)'!BP$6:BP$105)+SUMIF(Capacity_Resource,$E49,'Critical resources (hide)'!BP$6:BP$105)+SUMIF(Capacity_Resource,$F49,'Critical resources (hide)'!BP$6:BP$105)&gt;0,$E$1=2),0,1)</f>
        <v>1</v>
      </c>
      <c r="BD49" s="67">
        <f ca="1">IF(AND(SUMIF(Capacity_Resource,$D49,'Critical resources (hide)'!BQ$6:BQ$105)+SUMIF(Capacity_Resource,$E49,'Critical resources (hide)'!BQ$6:BQ$105)+SUMIF(Capacity_Resource,$F49,'Critical resources (hide)'!BQ$6:BQ$105)&gt;0,$E$1=2),0,1)</f>
        <v>1</v>
      </c>
      <c r="BE49" s="67">
        <f ca="1">IF(AND(SUMIF(Capacity_Resource,$D49,'Critical resources (hide)'!BR$6:BR$105)+SUMIF(Capacity_Resource,$E49,'Critical resources (hide)'!BR$6:BR$105)+SUMIF(Capacity_Resource,$F49,'Critical resources (hide)'!BR$6:BR$105)&gt;0,$E$1=2),0,1)</f>
        <v>1</v>
      </c>
      <c r="BF49" s="67">
        <f ca="1">IF(AND(SUMIF(Capacity_Resource,$D49,'Critical resources (hide)'!BS$6:BS$105)+SUMIF(Capacity_Resource,$E49,'Critical resources (hide)'!BS$6:BS$105)+SUMIF(Capacity_Resource,$F49,'Critical resources (hide)'!BS$6:BS$105)&gt;0,$E$1=2),0,1)</f>
        <v>1</v>
      </c>
      <c r="BG49" s="67">
        <f ca="1">IF(AND(SUMIF(Capacity_Resource,$D49,'Critical resources (hide)'!BT$6:BT$105)+SUMIF(Capacity_Resource,$E49,'Critical resources (hide)'!BT$6:BT$105)+SUMIF(Capacity_Resource,$F49,'Critical resources (hide)'!BT$6:BT$105)&gt;0,$E$1=2),0,1)</f>
        <v>1</v>
      </c>
      <c r="BH49" s="67">
        <f>IF(ROW(C45)&lt;=Capacity!$A$16,IF('Capacity summary'!$D$14="No",SUM(H49:BG49),'Capacity summary'!$E168),0)</f>
        <v>0</v>
      </c>
      <c r="BI49" s="5" t="str">
        <f>IF(BH49&gt;0,IF(BH49&lt;Capacity!E61,Capacity!F61,Capacity!H61/'Capacity calculation (hide)'!BH49),"")</f>
        <v/>
      </c>
      <c r="BK49" s="313">
        <f>IF($BI49&lt;&gt;"",IF('Capacity summary'!$D$14="Yes",IF(COUNTBLANK('Capacity summary'!$H168:$BG168)&lt;52,IF('Capacity summary'!H168&lt;&gt;"",IF(LOWER('Capacity summary'!H168)="x",$BI49*H49,VALUE('Capacity summary'!H168)),0),H49*$BI49),H49*$BI49),0)</f>
        <v>0</v>
      </c>
      <c r="BL49" s="313">
        <f>IF($BI49&lt;&gt;"",IF('Capacity summary'!$D$14="Yes",IF(COUNTBLANK('Capacity summary'!$H168:$BG168)&lt;52,IF('Capacity summary'!I168&lt;&gt;"",IF(LOWER('Capacity summary'!I168)="x",$BI49*I49,VALUE('Capacity summary'!I168)),0),I49*$BI49),I49*$BI49),0)</f>
        <v>0</v>
      </c>
      <c r="BM49" s="313">
        <f>IF($BI49&lt;&gt;"",IF('Capacity summary'!$D$14="Yes",IF(COUNTBLANK('Capacity summary'!$H168:$BG168)&lt;52,IF('Capacity summary'!J168&lt;&gt;"",IF(LOWER('Capacity summary'!J168)="x",$BI49*J49,VALUE('Capacity summary'!J168)),0),J49*$BI49),J49*$BI49),0)</f>
        <v>0</v>
      </c>
      <c r="BN49" s="313">
        <f>IF($BI49&lt;&gt;"",IF('Capacity summary'!$D$14="Yes",IF(COUNTBLANK('Capacity summary'!$H168:$BG168)&lt;52,IF('Capacity summary'!K168&lt;&gt;"",IF(LOWER('Capacity summary'!K168)="x",$BI49*K49,VALUE('Capacity summary'!K168)),0),K49*$BI49),K49*$BI49),0)</f>
        <v>0</v>
      </c>
      <c r="BO49" s="313">
        <f>IF($BI49&lt;&gt;"",IF('Capacity summary'!$D$14="Yes",IF(COUNTBLANK('Capacity summary'!$H168:$BG168)&lt;52,IF('Capacity summary'!L168&lt;&gt;"",IF(LOWER('Capacity summary'!L168)="x",$BI49*L49,VALUE('Capacity summary'!L168)),0),L49*$BI49),L49*$BI49),0)</f>
        <v>0</v>
      </c>
      <c r="BP49" s="313">
        <f>IF($BI49&lt;&gt;"",IF('Capacity summary'!$D$14="Yes",IF(COUNTBLANK('Capacity summary'!$H168:$BG168)&lt;52,IF('Capacity summary'!M168&lt;&gt;"",IF(LOWER('Capacity summary'!M168)="x",$BI49*M49,VALUE('Capacity summary'!M168)),0),M49*$BI49),M49*$BI49),0)</f>
        <v>0</v>
      </c>
      <c r="BQ49" s="313">
        <f>IF($BI49&lt;&gt;"",IF('Capacity summary'!$D$14="Yes",IF(COUNTBLANK('Capacity summary'!$H168:$BG168)&lt;52,IF('Capacity summary'!N168&lt;&gt;"",IF(LOWER('Capacity summary'!N168)="x",$BI49*N49,VALUE('Capacity summary'!N168)),0),N49*$BI49),N49*$BI49),0)</f>
        <v>0</v>
      </c>
      <c r="BR49" s="313">
        <f>IF($BI49&lt;&gt;"",IF('Capacity summary'!$D$14="Yes",IF(COUNTBLANK('Capacity summary'!$H168:$BG168)&lt;52,IF('Capacity summary'!O168&lt;&gt;"",IF(LOWER('Capacity summary'!O168)="x",$BI49*O49,VALUE('Capacity summary'!O168)),0),O49*$BI49),O49*$BI49),0)</f>
        <v>0</v>
      </c>
      <c r="BS49" s="313">
        <f>IF($BI49&lt;&gt;"",IF('Capacity summary'!$D$14="Yes",IF(COUNTBLANK('Capacity summary'!$H168:$BG168)&lt;52,IF('Capacity summary'!P168&lt;&gt;"",IF(LOWER('Capacity summary'!P168)="x",$BI49*P49,VALUE('Capacity summary'!P168)),0),P49*$BI49),P49*$BI49),0)</f>
        <v>0</v>
      </c>
      <c r="BT49" s="313">
        <f>IF($BI49&lt;&gt;"",IF('Capacity summary'!$D$14="Yes",IF(COUNTBLANK('Capacity summary'!$H168:$BG168)&lt;52,IF('Capacity summary'!Q168&lt;&gt;"",IF(LOWER('Capacity summary'!Q168)="x",$BI49*Q49,VALUE('Capacity summary'!Q168)),0),Q49*$BI49),Q49*$BI49),0)</f>
        <v>0</v>
      </c>
      <c r="BU49" s="313">
        <f>IF($BI49&lt;&gt;"",IF('Capacity summary'!$D$14="Yes",IF(COUNTBLANK('Capacity summary'!$H168:$BG168)&lt;52,IF('Capacity summary'!R168&lt;&gt;"",IF(LOWER('Capacity summary'!R168)="x",$BI49*R49,VALUE('Capacity summary'!R168)),0),R49*$BI49),R49*$BI49),0)</f>
        <v>0</v>
      </c>
      <c r="BV49" s="313">
        <f>IF($BI49&lt;&gt;"",IF('Capacity summary'!$D$14="Yes",IF(COUNTBLANK('Capacity summary'!$H168:$BG168)&lt;52,IF('Capacity summary'!S168&lt;&gt;"",IF(LOWER('Capacity summary'!S168)="x",$BI49*S49,VALUE('Capacity summary'!S168)),0),S49*$BI49),S49*$BI49),0)</f>
        <v>0</v>
      </c>
      <c r="BW49" s="313">
        <f>IF($BI49&lt;&gt;"",IF('Capacity summary'!$D$14="Yes",IF(COUNTBLANK('Capacity summary'!$H168:$BG168)&lt;52,IF('Capacity summary'!T168&lt;&gt;"",IF(LOWER('Capacity summary'!T168)="x",$BI49*T49,VALUE('Capacity summary'!T168)),0),T49*$BI49),T49*$BI49),0)</f>
        <v>0</v>
      </c>
      <c r="BX49" s="313">
        <f>IF($BI49&lt;&gt;"",IF('Capacity summary'!$D$14="Yes",IF(COUNTBLANK('Capacity summary'!$H168:$BG168)&lt;52,IF('Capacity summary'!U168&lt;&gt;"",IF(LOWER('Capacity summary'!U168)="x",$BI49*U49,VALUE('Capacity summary'!U168)),0),U49*$BI49),U49*$BI49),0)</f>
        <v>0</v>
      </c>
      <c r="BY49" s="313">
        <f>IF($BI49&lt;&gt;"",IF('Capacity summary'!$D$14="Yes",IF(COUNTBLANK('Capacity summary'!$H168:$BG168)&lt;52,IF('Capacity summary'!V168&lt;&gt;"",IF(LOWER('Capacity summary'!V168)="x",$BI49*V49,VALUE('Capacity summary'!V168)),0),V49*$BI49),V49*$BI49),0)</f>
        <v>0</v>
      </c>
      <c r="BZ49" s="313">
        <f>IF($BI49&lt;&gt;"",IF('Capacity summary'!$D$14="Yes",IF(COUNTBLANK('Capacity summary'!$H168:$BG168)&lt;52,IF('Capacity summary'!W168&lt;&gt;"",IF(LOWER('Capacity summary'!W168)="x",$BI49*W49,VALUE('Capacity summary'!W168)),0),W49*$BI49),W49*$BI49),0)</f>
        <v>0</v>
      </c>
      <c r="CA49" s="313">
        <f>IF($BI49&lt;&gt;"",IF('Capacity summary'!$D$14="Yes",IF(COUNTBLANK('Capacity summary'!$H168:$BG168)&lt;52,IF('Capacity summary'!X168&lt;&gt;"",IF(LOWER('Capacity summary'!X168)="x",$BI49*X49,VALUE('Capacity summary'!X168)),0),X49*$BI49),X49*$BI49),0)</f>
        <v>0</v>
      </c>
      <c r="CB49" s="313">
        <f>IF($BI49&lt;&gt;"",IF('Capacity summary'!$D$14="Yes",IF(COUNTBLANK('Capacity summary'!$H168:$BG168)&lt;52,IF('Capacity summary'!Y168&lt;&gt;"",IF(LOWER('Capacity summary'!Y168)="x",$BI49*Y49,VALUE('Capacity summary'!Y168)),0),Y49*$BI49),Y49*$BI49),0)</f>
        <v>0</v>
      </c>
      <c r="CC49" s="313">
        <f>IF($BI49&lt;&gt;"",IF('Capacity summary'!$D$14="Yes",IF(COUNTBLANK('Capacity summary'!$H168:$BG168)&lt;52,IF('Capacity summary'!Z168&lt;&gt;"",IF(LOWER('Capacity summary'!Z168)="x",$BI49*Z49,VALUE('Capacity summary'!Z168)),0),Z49*$BI49),Z49*$BI49),0)</f>
        <v>0</v>
      </c>
      <c r="CD49" s="313">
        <f>IF($BI49&lt;&gt;"",IF('Capacity summary'!$D$14="Yes",IF(COUNTBLANK('Capacity summary'!$H168:$BG168)&lt;52,IF('Capacity summary'!AA168&lt;&gt;"",IF(LOWER('Capacity summary'!AA168)="x",$BI49*AA49,VALUE('Capacity summary'!AA168)),0),AA49*$BI49),AA49*$BI49),0)</f>
        <v>0</v>
      </c>
      <c r="CE49" s="313">
        <f>IF($BI49&lt;&gt;"",IF('Capacity summary'!$D$14="Yes",IF(COUNTBLANK('Capacity summary'!$H168:$BG168)&lt;52,IF('Capacity summary'!AB168&lt;&gt;"",IF(LOWER('Capacity summary'!AB168)="x",$BI49*AB49,VALUE('Capacity summary'!AB168)),0),AB49*$BI49),AB49*$BI49),0)</f>
        <v>0</v>
      </c>
      <c r="CF49" s="313">
        <f>IF($BI49&lt;&gt;"",IF('Capacity summary'!$D$14="Yes",IF(COUNTBLANK('Capacity summary'!$H168:$BG168)&lt;52,IF('Capacity summary'!AC168&lt;&gt;"",IF(LOWER('Capacity summary'!AC168)="x",$BI49*AC49,VALUE('Capacity summary'!AC168)),0),AC49*$BI49),AC49*$BI49),0)</f>
        <v>0</v>
      </c>
      <c r="CG49" s="313">
        <f>IF($BI49&lt;&gt;"",IF('Capacity summary'!$D$14="Yes",IF(COUNTBLANK('Capacity summary'!$H168:$BG168)&lt;52,IF('Capacity summary'!AD168&lt;&gt;"",IF(LOWER('Capacity summary'!AD168)="x",$BI49*AD49,VALUE('Capacity summary'!AD168)),0),AD49*$BI49),AD49*$BI49),0)</f>
        <v>0</v>
      </c>
      <c r="CH49" s="313">
        <f>IF($BI49&lt;&gt;"",IF('Capacity summary'!$D$14="Yes",IF(COUNTBLANK('Capacity summary'!$H168:$BG168)&lt;52,IF('Capacity summary'!AE168&lt;&gt;"",IF(LOWER('Capacity summary'!AE168)="x",$BI49*AE49,VALUE('Capacity summary'!AE168)),0),AE49*$BI49),AE49*$BI49),0)</f>
        <v>0</v>
      </c>
      <c r="CI49" s="313">
        <f>IF($BI49&lt;&gt;"",IF('Capacity summary'!$D$14="Yes",IF(COUNTBLANK('Capacity summary'!$H168:$BG168)&lt;52,IF('Capacity summary'!AF168&lt;&gt;"",IF(LOWER('Capacity summary'!AF168)="x",$BI49*AF49,VALUE('Capacity summary'!AF168)),0),AF49*$BI49),AF49*$BI49),0)</f>
        <v>0</v>
      </c>
      <c r="CJ49" s="313">
        <f>IF($BI49&lt;&gt;"",IF('Capacity summary'!$D$14="Yes",IF(COUNTBLANK('Capacity summary'!$H168:$BG168)&lt;52,IF('Capacity summary'!AG168&lt;&gt;"",IF(LOWER('Capacity summary'!AG168)="x",$BI49*AG49,VALUE('Capacity summary'!AG168)),0),AG49*$BI49),AG49*$BI49),0)</f>
        <v>0</v>
      </c>
      <c r="CK49" s="313">
        <f>IF($BI49&lt;&gt;"",IF('Capacity summary'!$D$14="Yes",IF(COUNTBLANK('Capacity summary'!$H168:$BG168)&lt;52,IF('Capacity summary'!AH168&lt;&gt;"",IF(LOWER('Capacity summary'!AH168)="x",$BI49*AH49,VALUE('Capacity summary'!AH168)),0),AH49*$BI49),AH49*$BI49),0)</f>
        <v>0</v>
      </c>
      <c r="CL49" s="313">
        <f>IF($BI49&lt;&gt;"",IF('Capacity summary'!$D$14="Yes",IF(COUNTBLANK('Capacity summary'!$H168:$BG168)&lt;52,IF('Capacity summary'!AI168&lt;&gt;"",IF(LOWER('Capacity summary'!AI168)="x",$BI49*AI49,VALUE('Capacity summary'!AI168)),0),AI49*$BI49),AI49*$BI49),0)</f>
        <v>0</v>
      </c>
      <c r="CM49" s="313">
        <f>IF($BI49&lt;&gt;"",IF('Capacity summary'!$D$14="Yes",IF(COUNTBLANK('Capacity summary'!$H168:$BG168)&lt;52,IF('Capacity summary'!AJ168&lt;&gt;"",IF(LOWER('Capacity summary'!AJ168)="x",$BI49*AJ49,VALUE('Capacity summary'!AJ168)),0),AJ49*$BI49),AJ49*$BI49),0)</f>
        <v>0</v>
      </c>
      <c r="CN49" s="313">
        <f>IF($BI49&lt;&gt;"",IF('Capacity summary'!$D$14="Yes",IF(COUNTBLANK('Capacity summary'!$H168:$BG168)&lt;52,IF('Capacity summary'!AK168&lt;&gt;"",IF(LOWER('Capacity summary'!AK168)="x",$BI49*AK49,VALUE('Capacity summary'!AK168)),0),AK49*$BI49),AK49*$BI49),0)</f>
        <v>0</v>
      </c>
      <c r="CO49" s="313">
        <f>IF($BI49&lt;&gt;"",IF('Capacity summary'!$D$14="Yes",IF(COUNTBLANK('Capacity summary'!$H168:$BG168)&lt;52,IF('Capacity summary'!AL168&lt;&gt;"",IF(LOWER('Capacity summary'!AL168)="x",$BI49*AL49,VALUE('Capacity summary'!AL168)),0),AL49*$BI49),AL49*$BI49),0)</f>
        <v>0</v>
      </c>
      <c r="CP49" s="313">
        <f>IF($BI49&lt;&gt;"",IF('Capacity summary'!$D$14="Yes",IF(COUNTBLANK('Capacity summary'!$H168:$BG168)&lt;52,IF('Capacity summary'!AM168&lt;&gt;"",IF(LOWER('Capacity summary'!AM168)="x",$BI49*AM49,VALUE('Capacity summary'!AM168)),0),AM49*$BI49),AM49*$BI49),0)</f>
        <v>0</v>
      </c>
      <c r="CQ49" s="313">
        <f>IF($BI49&lt;&gt;"",IF('Capacity summary'!$D$14="Yes",IF(COUNTBLANK('Capacity summary'!$H168:$BG168)&lt;52,IF('Capacity summary'!AN168&lt;&gt;"",IF(LOWER('Capacity summary'!AN168)="x",$BI49*AN49,VALUE('Capacity summary'!AN168)),0),AN49*$BI49),AN49*$BI49),0)</f>
        <v>0</v>
      </c>
      <c r="CR49" s="313">
        <f>IF($BI49&lt;&gt;"",IF('Capacity summary'!$D$14="Yes",IF(COUNTBLANK('Capacity summary'!$H168:$BG168)&lt;52,IF('Capacity summary'!AO168&lt;&gt;"",IF(LOWER('Capacity summary'!AO168)="x",$BI49*AO49,VALUE('Capacity summary'!AO168)),0),AO49*$BI49),AO49*$BI49),0)</f>
        <v>0</v>
      </c>
      <c r="CS49" s="313">
        <f>IF($BI49&lt;&gt;"",IF('Capacity summary'!$D$14="Yes",IF(COUNTBLANK('Capacity summary'!$H168:$BG168)&lt;52,IF('Capacity summary'!AP168&lt;&gt;"",IF(LOWER('Capacity summary'!AP168)="x",$BI49*AP49,VALUE('Capacity summary'!AP168)),0),AP49*$BI49),AP49*$BI49),0)</f>
        <v>0</v>
      </c>
      <c r="CT49" s="313">
        <f>IF($BI49&lt;&gt;"",IF('Capacity summary'!$D$14="Yes",IF(COUNTBLANK('Capacity summary'!$H168:$BG168)&lt;52,IF('Capacity summary'!AQ168&lt;&gt;"",IF(LOWER('Capacity summary'!AQ168)="x",$BI49*AQ49,VALUE('Capacity summary'!AQ168)),0),AQ49*$BI49),AQ49*$BI49),0)</f>
        <v>0</v>
      </c>
      <c r="CU49" s="313">
        <f>IF($BI49&lt;&gt;"",IF('Capacity summary'!$D$14="Yes",IF(COUNTBLANK('Capacity summary'!$H168:$BG168)&lt;52,IF('Capacity summary'!AR168&lt;&gt;"",IF(LOWER('Capacity summary'!AR168)="x",$BI49*AR49,VALUE('Capacity summary'!AR168)),0),AR49*$BI49),AR49*$BI49),0)</f>
        <v>0</v>
      </c>
      <c r="CV49" s="313">
        <f>IF($BI49&lt;&gt;"",IF('Capacity summary'!$D$14="Yes",IF(COUNTBLANK('Capacity summary'!$H168:$BG168)&lt;52,IF('Capacity summary'!AS168&lt;&gt;"",IF(LOWER('Capacity summary'!AS168)="x",$BI49*AS49,VALUE('Capacity summary'!AS168)),0),AS49*$BI49),AS49*$BI49),0)</f>
        <v>0</v>
      </c>
      <c r="CW49" s="313">
        <f>IF($BI49&lt;&gt;"",IF('Capacity summary'!$D$14="Yes",IF(COUNTBLANK('Capacity summary'!$H168:$BG168)&lt;52,IF('Capacity summary'!AT168&lt;&gt;"",IF(LOWER('Capacity summary'!AT168)="x",$BI49*AT49,VALUE('Capacity summary'!AT168)),0),AT49*$BI49),AT49*$BI49),0)</f>
        <v>0</v>
      </c>
      <c r="CX49" s="313">
        <f>IF($BI49&lt;&gt;"",IF('Capacity summary'!$D$14="Yes",IF(COUNTBLANK('Capacity summary'!$H168:$BG168)&lt;52,IF('Capacity summary'!AU168&lt;&gt;"",IF(LOWER('Capacity summary'!AU168)="x",$BI49*AU49,VALUE('Capacity summary'!AU168)),0),AU49*$BI49),AU49*$BI49),0)</f>
        <v>0</v>
      </c>
      <c r="CY49" s="313">
        <f>IF($BI49&lt;&gt;"",IF('Capacity summary'!$D$14="Yes",IF(COUNTBLANK('Capacity summary'!$H168:$BG168)&lt;52,IF('Capacity summary'!AV168&lt;&gt;"",IF(LOWER('Capacity summary'!AV168)="x",$BI49*AV49,VALUE('Capacity summary'!AV168)),0),AV49*$BI49),AV49*$BI49),0)</f>
        <v>0</v>
      </c>
      <c r="CZ49" s="313">
        <f>IF($BI49&lt;&gt;"",IF('Capacity summary'!$D$14="Yes",IF(COUNTBLANK('Capacity summary'!$H168:$BG168)&lt;52,IF('Capacity summary'!AW168&lt;&gt;"",IF(LOWER('Capacity summary'!AW168)="x",$BI49*AW49,VALUE('Capacity summary'!AW168)),0),AW49*$BI49),AW49*$BI49),0)</f>
        <v>0</v>
      </c>
      <c r="DA49" s="313">
        <f>IF($BI49&lt;&gt;"",IF('Capacity summary'!$D$14="Yes",IF(COUNTBLANK('Capacity summary'!$H168:$BG168)&lt;52,IF('Capacity summary'!AX168&lt;&gt;"",IF(LOWER('Capacity summary'!AX168)="x",$BI49*AX49,VALUE('Capacity summary'!AX168)),0),AX49*$BI49),AX49*$BI49),0)</f>
        <v>0</v>
      </c>
      <c r="DB49" s="313">
        <f>IF($BI49&lt;&gt;"",IF('Capacity summary'!$D$14="Yes",IF(COUNTBLANK('Capacity summary'!$H168:$BG168)&lt;52,IF('Capacity summary'!AY168&lt;&gt;"",IF(LOWER('Capacity summary'!AY168)="x",$BI49*AY49,VALUE('Capacity summary'!AY168)),0),AY49*$BI49),AY49*$BI49),0)</f>
        <v>0</v>
      </c>
      <c r="DC49" s="313">
        <f>IF($BI49&lt;&gt;"",IF('Capacity summary'!$D$14="Yes",IF(COUNTBLANK('Capacity summary'!$H168:$BG168)&lt;52,IF('Capacity summary'!AZ168&lt;&gt;"",IF(LOWER('Capacity summary'!AZ168)="x",$BI49*AZ49,VALUE('Capacity summary'!AZ168)),0),AZ49*$BI49),AZ49*$BI49),0)</f>
        <v>0</v>
      </c>
      <c r="DD49" s="313">
        <f>IF($BI49&lt;&gt;"",IF('Capacity summary'!$D$14="Yes",IF(COUNTBLANK('Capacity summary'!$H168:$BG168)&lt;52,IF('Capacity summary'!BA168&lt;&gt;"",IF(LOWER('Capacity summary'!BA168)="x",$BI49*BA49,VALUE('Capacity summary'!BA168)),0),BA49*$BI49),BA49*$BI49),0)</f>
        <v>0</v>
      </c>
      <c r="DE49" s="313">
        <f>IF($BI49&lt;&gt;"",IF('Capacity summary'!$D$14="Yes",IF(COUNTBLANK('Capacity summary'!$H168:$BG168)&lt;52,IF('Capacity summary'!BB168&lt;&gt;"",IF(LOWER('Capacity summary'!BB168)="x",$BI49*BB49,VALUE('Capacity summary'!BB168)),0),BB49*$BI49),BB49*$BI49),0)</f>
        <v>0</v>
      </c>
      <c r="DF49" s="313">
        <f>IF($BI49&lt;&gt;"",IF('Capacity summary'!$D$14="Yes",IF(COUNTBLANK('Capacity summary'!$H168:$BG168)&lt;52,IF('Capacity summary'!BC168&lt;&gt;"",IF(LOWER('Capacity summary'!BC168)="x",$BI49*BC49,VALUE('Capacity summary'!BC168)),0),BC49*$BI49),BC49*$BI49),0)</f>
        <v>0</v>
      </c>
      <c r="DG49" s="313">
        <f>IF($BI49&lt;&gt;"",IF('Capacity summary'!$D$14="Yes",IF(COUNTBLANK('Capacity summary'!$H168:$BG168)&lt;52,IF('Capacity summary'!BD168&lt;&gt;"",IF(LOWER('Capacity summary'!BD168)="x",$BI49*BD49,VALUE('Capacity summary'!BD168)),0),BD49*$BI49),BD49*$BI49),0)</f>
        <v>0</v>
      </c>
      <c r="DH49" s="313">
        <f>IF($BI49&lt;&gt;"",IF('Capacity summary'!$D$14="Yes",IF(COUNTBLANK('Capacity summary'!$H168:$BG168)&lt;52,IF('Capacity summary'!BE168&lt;&gt;"",IF(LOWER('Capacity summary'!BE168)="x",$BI49*BE49,VALUE('Capacity summary'!BE168)),0),BE49*$BI49),BE49*$BI49),0)</f>
        <v>0</v>
      </c>
      <c r="DI49" s="313">
        <f>IF($BI49&lt;&gt;"",IF('Capacity summary'!$D$14="Yes",IF(COUNTBLANK('Capacity summary'!$H168:$BG168)&lt;52,IF('Capacity summary'!BF168&lt;&gt;"",IF(LOWER('Capacity summary'!BF168)="x",$BI49*BF49,VALUE('Capacity summary'!BF168)),0),BF49*$BI49),BF49*$BI49),0)</f>
        <v>0</v>
      </c>
      <c r="DJ49" s="313">
        <f>IF($BI49&lt;&gt;"",IF('Capacity summary'!$D$14="Yes",IF(COUNTBLANK('Capacity summary'!$H168:$BG168)&lt;52,IF('Capacity summary'!BG168&lt;&gt;"",IF(LOWER('Capacity summary'!BG168)="x",$BI49*BG49,VALUE('Capacity summary'!BG168)),0),BG49*$BI49),BG49*$BI49),0)</f>
        <v>0</v>
      </c>
      <c r="DK49" s="137">
        <f t="shared" si="2"/>
        <v>0</v>
      </c>
      <c r="DL49" s="313" t="str">
        <f>Capacity!H61</f>
        <v/>
      </c>
      <c r="DP49" s="5"/>
    </row>
    <row r="50" spans="2:120" x14ac:dyDescent="0.25">
      <c r="B50" s="67"/>
      <c r="C50" s="67" t="str">
        <f>ROW(A46)&amp;". "&amp;Capacity!B62</f>
        <v xml:space="preserve">46. </v>
      </c>
      <c r="D50" s="67">
        <f>'Capacity setup'!C57</f>
        <v>0</v>
      </c>
      <c r="E50" s="67">
        <f>'Capacity setup'!D57</f>
        <v>0</v>
      </c>
      <c r="F50" s="67">
        <f>'Capacity setup'!E57</f>
        <v>0</v>
      </c>
      <c r="H50" s="67">
        <f ca="1">IF(AND(SUMIF(Capacity_Resource,$D50,'Critical resources (hide)'!U$6:U$105)+SUMIF(Capacity_Resource,$E50,'Critical resources (hide)'!U$6:U$105)+SUMIF(Capacity_Resource,$F50,'Critical resources (hide)'!U$6:U$105)&gt;0,$E$1=2),0,1)</f>
        <v>1</v>
      </c>
      <c r="I50" s="67">
        <f ca="1">IF(AND(SUMIF(Capacity_Resource,$D50,'Critical resources (hide)'!V$6:V$105)+SUMIF(Capacity_Resource,$E50,'Critical resources (hide)'!V$6:V$105)+SUMIF(Capacity_Resource,$F50,'Critical resources (hide)'!V$6:V$105)&gt;0,$E$1=2),0,1)</f>
        <v>1</v>
      </c>
      <c r="J50" s="67">
        <f ca="1">IF(AND(SUMIF(Capacity_Resource,$D50,'Critical resources (hide)'!W$6:W$105)+SUMIF(Capacity_Resource,$E50,'Critical resources (hide)'!W$6:W$105)+SUMIF(Capacity_Resource,$F50,'Critical resources (hide)'!W$6:W$105)&gt;0,$E$1=2),0,1)</f>
        <v>1</v>
      </c>
      <c r="K50" s="67">
        <f ca="1">IF(AND(SUMIF(Capacity_Resource,$D50,'Critical resources (hide)'!X$6:X$105)+SUMIF(Capacity_Resource,$E50,'Critical resources (hide)'!X$6:X$105)+SUMIF(Capacity_Resource,$F50,'Critical resources (hide)'!X$6:X$105)&gt;0,$E$1=2),0,1)</f>
        <v>1</v>
      </c>
      <c r="L50" s="67">
        <f ca="1">IF(AND(SUMIF(Capacity_Resource,$D50,'Critical resources (hide)'!Y$6:Y$105)+SUMIF(Capacity_Resource,$E50,'Critical resources (hide)'!Y$6:Y$105)+SUMIF(Capacity_Resource,$F50,'Critical resources (hide)'!Y$6:Y$105)&gt;0,$E$1=2),0,1)</f>
        <v>1</v>
      </c>
      <c r="M50" s="67">
        <f ca="1">IF(AND(SUMIF(Capacity_Resource,$D50,'Critical resources (hide)'!Z$6:Z$105)+SUMIF(Capacity_Resource,$E50,'Critical resources (hide)'!Z$6:Z$105)+SUMIF(Capacity_Resource,$F50,'Critical resources (hide)'!Z$6:Z$105)&gt;0,$E$1=2),0,1)</f>
        <v>1</v>
      </c>
      <c r="N50" s="67">
        <f ca="1">IF(AND(SUMIF(Capacity_Resource,$D50,'Critical resources (hide)'!AA$6:AA$105)+SUMIF(Capacity_Resource,$E50,'Critical resources (hide)'!AA$6:AA$105)+SUMIF(Capacity_Resource,$F50,'Critical resources (hide)'!AA$6:AA$105)&gt;0,$E$1=2),0,1)</f>
        <v>1</v>
      </c>
      <c r="O50" s="67">
        <f ca="1">IF(AND(SUMIF(Capacity_Resource,$D50,'Critical resources (hide)'!AB$6:AB$105)+SUMIF(Capacity_Resource,$E50,'Critical resources (hide)'!AB$6:AB$105)+SUMIF(Capacity_Resource,$F50,'Critical resources (hide)'!AB$6:AB$105)&gt;0,$E$1=2),0,1)</f>
        <v>1</v>
      </c>
      <c r="P50" s="67">
        <f ca="1">IF(AND(SUMIF(Capacity_Resource,$D50,'Critical resources (hide)'!AC$6:AC$105)+SUMIF(Capacity_Resource,$E50,'Critical resources (hide)'!AC$6:AC$105)+SUMIF(Capacity_Resource,$F50,'Critical resources (hide)'!AC$6:AC$105)&gt;0,$E$1=2),0,1)</f>
        <v>1</v>
      </c>
      <c r="Q50" s="67">
        <f ca="1">IF(AND(SUMIF(Capacity_Resource,$D50,'Critical resources (hide)'!AD$6:AD$105)+SUMIF(Capacity_Resource,$E50,'Critical resources (hide)'!AD$6:AD$105)+SUMIF(Capacity_Resource,$F50,'Critical resources (hide)'!AD$6:AD$105)&gt;0,$E$1=2),0,1)</f>
        <v>1</v>
      </c>
      <c r="R50" s="67">
        <f ca="1">IF(AND(SUMIF(Capacity_Resource,$D50,'Critical resources (hide)'!AE$6:AE$105)+SUMIF(Capacity_Resource,$E50,'Critical resources (hide)'!AE$6:AE$105)+SUMIF(Capacity_Resource,$F50,'Critical resources (hide)'!AE$6:AE$105)&gt;0,$E$1=2),0,1)</f>
        <v>1</v>
      </c>
      <c r="S50" s="67">
        <f ca="1">IF(AND(SUMIF(Capacity_Resource,$D50,'Critical resources (hide)'!AF$6:AF$105)+SUMIF(Capacity_Resource,$E50,'Critical resources (hide)'!AF$6:AF$105)+SUMIF(Capacity_Resource,$F50,'Critical resources (hide)'!AF$6:AF$105)&gt;0,$E$1=2),0,1)</f>
        <v>1</v>
      </c>
      <c r="T50" s="67">
        <f ca="1">IF(AND(SUMIF(Capacity_Resource,$D50,'Critical resources (hide)'!AG$6:AG$105)+SUMIF(Capacity_Resource,$E50,'Critical resources (hide)'!AG$6:AG$105)+SUMIF(Capacity_Resource,$F50,'Critical resources (hide)'!AG$6:AG$105)&gt;0,$E$1=2),0,1)</f>
        <v>1</v>
      </c>
      <c r="U50" s="67">
        <f ca="1">IF(AND(SUMIF(Capacity_Resource,$D50,'Critical resources (hide)'!AH$6:AH$105)+SUMIF(Capacity_Resource,$E50,'Critical resources (hide)'!AH$6:AH$105)+SUMIF(Capacity_Resource,$F50,'Critical resources (hide)'!AH$6:AH$105)&gt;0,$E$1=2),0,1)</f>
        <v>1</v>
      </c>
      <c r="V50" s="67">
        <f ca="1">IF(AND(SUMIF(Capacity_Resource,$D50,'Critical resources (hide)'!AI$6:AI$105)+SUMIF(Capacity_Resource,$E50,'Critical resources (hide)'!AI$6:AI$105)+SUMIF(Capacity_Resource,$F50,'Critical resources (hide)'!AI$6:AI$105)&gt;0,$E$1=2),0,1)</f>
        <v>1</v>
      </c>
      <c r="W50" s="67">
        <f ca="1">IF(AND(SUMIF(Capacity_Resource,$D50,'Critical resources (hide)'!AJ$6:AJ$105)+SUMIF(Capacity_Resource,$E50,'Critical resources (hide)'!AJ$6:AJ$105)+SUMIF(Capacity_Resource,$F50,'Critical resources (hide)'!AJ$6:AJ$105)&gt;0,$E$1=2),0,1)</f>
        <v>1</v>
      </c>
      <c r="X50" s="67">
        <f ca="1">IF(AND(SUMIF(Capacity_Resource,$D50,'Critical resources (hide)'!AK$6:AK$105)+SUMIF(Capacity_Resource,$E50,'Critical resources (hide)'!AK$6:AK$105)+SUMIF(Capacity_Resource,$F50,'Critical resources (hide)'!AK$6:AK$105)&gt;0,$E$1=2),0,1)</f>
        <v>1</v>
      </c>
      <c r="Y50" s="67">
        <f ca="1">IF(AND(SUMIF(Capacity_Resource,$D50,'Critical resources (hide)'!AL$6:AL$105)+SUMIF(Capacity_Resource,$E50,'Critical resources (hide)'!AL$6:AL$105)+SUMIF(Capacity_Resource,$F50,'Critical resources (hide)'!AL$6:AL$105)&gt;0,$E$1=2),0,1)</f>
        <v>1</v>
      </c>
      <c r="Z50" s="67">
        <f ca="1">IF(AND(SUMIF(Capacity_Resource,$D50,'Critical resources (hide)'!AM$6:AM$105)+SUMIF(Capacity_Resource,$E50,'Critical resources (hide)'!AM$6:AM$105)+SUMIF(Capacity_Resource,$F50,'Critical resources (hide)'!AM$6:AM$105)&gt;0,$E$1=2),0,1)</f>
        <v>1</v>
      </c>
      <c r="AA50" s="67">
        <f ca="1">IF(AND(SUMIF(Capacity_Resource,$D50,'Critical resources (hide)'!AN$6:AN$105)+SUMIF(Capacity_Resource,$E50,'Critical resources (hide)'!AN$6:AN$105)+SUMIF(Capacity_Resource,$F50,'Critical resources (hide)'!AN$6:AN$105)&gt;0,$E$1=2),0,1)</f>
        <v>1</v>
      </c>
      <c r="AB50" s="67">
        <f ca="1">IF(AND(SUMIF(Capacity_Resource,$D50,'Critical resources (hide)'!AO$6:AO$105)+SUMIF(Capacity_Resource,$E50,'Critical resources (hide)'!AO$6:AO$105)+SUMIF(Capacity_Resource,$F50,'Critical resources (hide)'!AO$6:AO$105)&gt;0,$E$1=2),0,1)</f>
        <v>1</v>
      </c>
      <c r="AC50" s="67">
        <f ca="1">IF(AND(SUMIF(Capacity_Resource,$D50,'Critical resources (hide)'!AP$6:AP$105)+SUMIF(Capacity_Resource,$E50,'Critical resources (hide)'!AP$6:AP$105)+SUMIF(Capacity_Resource,$F50,'Critical resources (hide)'!AP$6:AP$105)&gt;0,$E$1=2),0,1)</f>
        <v>1</v>
      </c>
      <c r="AD50" s="67">
        <f ca="1">IF(AND(SUMIF(Capacity_Resource,$D50,'Critical resources (hide)'!AQ$6:AQ$105)+SUMIF(Capacity_Resource,$E50,'Critical resources (hide)'!AQ$6:AQ$105)+SUMIF(Capacity_Resource,$F50,'Critical resources (hide)'!AQ$6:AQ$105)&gt;0,$E$1=2),0,1)</f>
        <v>1</v>
      </c>
      <c r="AE50" s="67">
        <f ca="1">IF(AND(SUMIF(Capacity_Resource,$D50,'Critical resources (hide)'!AR$6:AR$105)+SUMIF(Capacity_Resource,$E50,'Critical resources (hide)'!AR$6:AR$105)+SUMIF(Capacity_Resource,$F50,'Critical resources (hide)'!AR$6:AR$105)&gt;0,$E$1=2),0,1)</f>
        <v>1</v>
      </c>
      <c r="AF50" s="67">
        <f ca="1">IF(AND(SUMIF(Capacity_Resource,$D50,'Critical resources (hide)'!AS$6:AS$105)+SUMIF(Capacity_Resource,$E50,'Critical resources (hide)'!AS$6:AS$105)+SUMIF(Capacity_Resource,$F50,'Critical resources (hide)'!AS$6:AS$105)&gt;0,$E$1=2),0,1)</f>
        <v>1</v>
      </c>
      <c r="AG50" s="67">
        <f ca="1">IF(AND(SUMIF(Capacity_Resource,$D50,'Critical resources (hide)'!AT$6:AT$105)+SUMIF(Capacity_Resource,$E50,'Critical resources (hide)'!AT$6:AT$105)+SUMIF(Capacity_Resource,$F50,'Critical resources (hide)'!AT$6:AT$105)&gt;0,$E$1=2),0,1)</f>
        <v>1</v>
      </c>
      <c r="AH50" s="67">
        <f ca="1">IF(AND(SUMIF(Capacity_Resource,$D50,'Critical resources (hide)'!AU$6:AU$105)+SUMIF(Capacity_Resource,$E50,'Critical resources (hide)'!AU$6:AU$105)+SUMIF(Capacity_Resource,$F50,'Critical resources (hide)'!AU$6:AU$105)&gt;0,$E$1=2),0,1)</f>
        <v>1</v>
      </c>
      <c r="AI50" s="67">
        <f ca="1">IF(AND(SUMIF(Capacity_Resource,$D50,'Critical resources (hide)'!AV$6:AV$105)+SUMIF(Capacity_Resource,$E50,'Critical resources (hide)'!AV$6:AV$105)+SUMIF(Capacity_Resource,$F50,'Critical resources (hide)'!AV$6:AV$105)&gt;0,$E$1=2),0,1)</f>
        <v>1</v>
      </c>
      <c r="AJ50" s="67">
        <f ca="1">IF(AND(SUMIF(Capacity_Resource,$D50,'Critical resources (hide)'!AW$6:AW$105)+SUMIF(Capacity_Resource,$E50,'Critical resources (hide)'!AW$6:AW$105)+SUMIF(Capacity_Resource,$F50,'Critical resources (hide)'!AW$6:AW$105)&gt;0,$E$1=2),0,1)</f>
        <v>1</v>
      </c>
      <c r="AK50" s="67">
        <f ca="1">IF(AND(SUMIF(Capacity_Resource,$D50,'Critical resources (hide)'!AX$6:AX$105)+SUMIF(Capacity_Resource,$E50,'Critical resources (hide)'!AX$6:AX$105)+SUMIF(Capacity_Resource,$F50,'Critical resources (hide)'!AX$6:AX$105)&gt;0,$E$1=2),0,1)</f>
        <v>1</v>
      </c>
      <c r="AL50" s="67">
        <f ca="1">IF(AND(SUMIF(Capacity_Resource,$D50,'Critical resources (hide)'!AY$6:AY$105)+SUMIF(Capacity_Resource,$E50,'Critical resources (hide)'!AY$6:AY$105)+SUMIF(Capacity_Resource,$F50,'Critical resources (hide)'!AY$6:AY$105)&gt;0,$E$1=2),0,1)</f>
        <v>1</v>
      </c>
      <c r="AM50" s="67">
        <f ca="1">IF(AND(SUMIF(Capacity_Resource,$D50,'Critical resources (hide)'!AZ$6:AZ$105)+SUMIF(Capacity_Resource,$E50,'Critical resources (hide)'!AZ$6:AZ$105)+SUMIF(Capacity_Resource,$F50,'Critical resources (hide)'!AZ$6:AZ$105)&gt;0,$E$1=2),0,1)</f>
        <v>1</v>
      </c>
      <c r="AN50" s="67">
        <f ca="1">IF(AND(SUMIF(Capacity_Resource,$D50,'Critical resources (hide)'!BA$6:BA$105)+SUMIF(Capacity_Resource,$E50,'Critical resources (hide)'!BA$6:BA$105)+SUMIF(Capacity_Resource,$F50,'Critical resources (hide)'!BA$6:BA$105)&gt;0,$E$1=2),0,1)</f>
        <v>1</v>
      </c>
      <c r="AO50" s="67">
        <f ca="1">IF(AND(SUMIF(Capacity_Resource,$D50,'Critical resources (hide)'!BB$6:BB$105)+SUMIF(Capacity_Resource,$E50,'Critical resources (hide)'!BB$6:BB$105)+SUMIF(Capacity_Resource,$F50,'Critical resources (hide)'!BB$6:BB$105)&gt;0,$E$1=2),0,1)</f>
        <v>1</v>
      </c>
      <c r="AP50" s="67">
        <f ca="1">IF(AND(SUMIF(Capacity_Resource,$D50,'Critical resources (hide)'!BC$6:BC$105)+SUMIF(Capacity_Resource,$E50,'Critical resources (hide)'!BC$6:BC$105)+SUMIF(Capacity_Resource,$F50,'Critical resources (hide)'!BC$6:BC$105)&gt;0,$E$1=2),0,1)</f>
        <v>1</v>
      </c>
      <c r="AQ50" s="67">
        <f ca="1">IF(AND(SUMIF(Capacity_Resource,$D50,'Critical resources (hide)'!BD$6:BD$105)+SUMIF(Capacity_Resource,$E50,'Critical resources (hide)'!BD$6:BD$105)+SUMIF(Capacity_Resource,$F50,'Critical resources (hide)'!BD$6:BD$105)&gt;0,$E$1=2),0,1)</f>
        <v>1</v>
      </c>
      <c r="AR50" s="67">
        <f ca="1">IF(AND(SUMIF(Capacity_Resource,$D50,'Critical resources (hide)'!BE$6:BE$105)+SUMIF(Capacity_Resource,$E50,'Critical resources (hide)'!BE$6:BE$105)+SUMIF(Capacity_Resource,$F50,'Critical resources (hide)'!BE$6:BE$105)&gt;0,$E$1=2),0,1)</f>
        <v>1</v>
      </c>
      <c r="AS50" s="67">
        <f ca="1">IF(AND(SUMIF(Capacity_Resource,$D50,'Critical resources (hide)'!BF$6:BF$105)+SUMIF(Capacity_Resource,$E50,'Critical resources (hide)'!BF$6:BF$105)+SUMIF(Capacity_Resource,$F50,'Critical resources (hide)'!BF$6:BF$105)&gt;0,$E$1=2),0,1)</f>
        <v>1</v>
      </c>
      <c r="AT50" s="67">
        <f ca="1">IF(AND(SUMIF(Capacity_Resource,$D50,'Critical resources (hide)'!BG$6:BG$105)+SUMIF(Capacity_Resource,$E50,'Critical resources (hide)'!BG$6:BG$105)+SUMIF(Capacity_Resource,$F50,'Critical resources (hide)'!BG$6:BG$105)&gt;0,$E$1=2),0,1)</f>
        <v>1</v>
      </c>
      <c r="AU50" s="67">
        <f ca="1">IF(AND(SUMIF(Capacity_Resource,$D50,'Critical resources (hide)'!BH$6:BH$105)+SUMIF(Capacity_Resource,$E50,'Critical resources (hide)'!BH$6:BH$105)+SUMIF(Capacity_Resource,$F50,'Critical resources (hide)'!BH$6:BH$105)&gt;0,$E$1=2),0,1)</f>
        <v>1</v>
      </c>
      <c r="AV50" s="67">
        <f ca="1">IF(AND(SUMIF(Capacity_Resource,$D50,'Critical resources (hide)'!BI$6:BI$105)+SUMIF(Capacity_Resource,$E50,'Critical resources (hide)'!BI$6:BI$105)+SUMIF(Capacity_Resource,$F50,'Critical resources (hide)'!BI$6:BI$105)&gt;0,$E$1=2),0,1)</f>
        <v>1</v>
      </c>
      <c r="AW50" s="67">
        <f ca="1">IF(AND(SUMIF(Capacity_Resource,$D50,'Critical resources (hide)'!BJ$6:BJ$105)+SUMIF(Capacity_Resource,$E50,'Critical resources (hide)'!BJ$6:BJ$105)+SUMIF(Capacity_Resource,$F50,'Critical resources (hide)'!BJ$6:BJ$105)&gt;0,$E$1=2),0,1)</f>
        <v>1</v>
      </c>
      <c r="AX50" s="67">
        <f ca="1">IF(AND(SUMIF(Capacity_Resource,$D50,'Critical resources (hide)'!BK$6:BK$105)+SUMIF(Capacity_Resource,$E50,'Critical resources (hide)'!BK$6:BK$105)+SUMIF(Capacity_Resource,$F50,'Critical resources (hide)'!BK$6:BK$105)&gt;0,$E$1=2),0,1)</f>
        <v>1</v>
      </c>
      <c r="AY50" s="67">
        <f ca="1">IF(AND(SUMIF(Capacity_Resource,$D50,'Critical resources (hide)'!BL$6:BL$105)+SUMIF(Capacity_Resource,$E50,'Critical resources (hide)'!BL$6:BL$105)+SUMIF(Capacity_Resource,$F50,'Critical resources (hide)'!BL$6:BL$105)&gt;0,$E$1=2),0,1)</f>
        <v>1</v>
      </c>
      <c r="AZ50" s="67">
        <f ca="1">IF(AND(SUMIF(Capacity_Resource,$D50,'Critical resources (hide)'!BM$6:BM$105)+SUMIF(Capacity_Resource,$E50,'Critical resources (hide)'!BM$6:BM$105)+SUMIF(Capacity_Resource,$F50,'Critical resources (hide)'!BM$6:BM$105)&gt;0,$E$1=2),0,1)</f>
        <v>1</v>
      </c>
      <c r="BA50" s="67">
        <f ca="1">IF(AND(SUMIF(Capacity_Resource,$D50,'Critical resources (hide)'!BN$6:BN$105)+SUMIF(Capacity_Resource,$E50,'Critical resources (hide)'!BN$6:BN$105)+SUMIF(Capacity_Resource,$F50,'Critical resources (hide)'!BN$6:BN$105)&gt;0,$E$1=2),0,1)</f>
        <v>1</v>
      </c>
      <c r="BB50" s="67">
        <f ca="1">IF(AND(SUMIF(Capacity_Resource,$D50,'Critical resources (hide)'!BO$6:BO$105)+SUMIF(Capacity_Resource,$E50,'Critical resources (hide)'!BO$6:BO$105)+SUMIF(Capacity_Resource,$F50,'Critical resources (hide)'!BO$6:BO$105)&gt;0,$E$1=2),0,1)</f>
        <v>1</v>
      </c>
      <c r="BC50" s="67">
        <f ca="1">IF(AND(SUMIF(Capacity_Resource,$D50,'Critical resources (hide)'!BP$6:BP$105)+SUMIF(Capacity_Resource,$E50,'Critical resources (hide)'!BP$6:BP$105)+SUMIF(Capacity_Resource,$F50,'Critical resources (hide)'!BP$6:BP$105)&gt;0,$E$1=2),0,1)</f>
        <v>1</v>
      </c>
      <c r="BD50" s="67">
        <f ca="1">IF(AND(SUMIF(Capacity_Resource,$D50,'Critical resources (hide)'!BQ$6:BQ$105)+SUMIF(Capacity_Resource,$E50,'Critical resources (hide)'!BQ$6:BQ$105)+SUMIF(Capacity_Resource,$F50,'Critical resources (hide)'!BQ$6:BQ$105)&gt;0,$E$1=2),0,1)</f>
        <v>1</v>
      </c>
      <c r="BE50" s="67">
        <f ca="1">IF(AND(SUMIF(Capacity_Resource,$D50,'Critical resources (hide)'!BR$6:BR$105)+SUMIF(Capacity_Resource,$E50,'Critical resources (hide)'!BR$6:BR$105)+SUMIF(Capacity_Resource,$F50,'Critical resources (hide)'!BR$6:BR$105)&gt;0,$E$1=2),0,1)</f>
        <v>1</v>
      </c>
      <c r="BF50" s="67">
        <f ca="1">IF(AND(SUMIF(Capacity_Resource,$D50,'Critical resources (hide)'!BS$6:BS$105)+SUMIF(Capacity_Resource,$E50,'Critical resources (hide)'!BS$6:BS$105)+SUMIF(Capacity_Resource,$F50,'Critical resources (hide)'!BS$6:BS$105)&gt;0,$E$1=2),0,1)</f>
        <v>1</v>
      </c>
      <c r="BG50" s="67">
        <f ca="1">IF(AND(SUMIF(Capacity_Resource,$D50,'Critical resources (hide)'!BT$6:BT$105)+SUMIF(Capacity_Resource,$E50,'Critical resources (hide)'!BT$6:BT$105)+SUMIF(Capacity_Resource,$F50,'Critical resources (hide)'!BT$6:BT$105)&gt;0,$E$1=2),0,1)</f>
        <v>1</v>
      </c>
      <c r="BH50" s="67">
        <f>IF(ROW(C46)&lt;=Capacity!$A$16,IF('Capacity summary'!$D$14="No",SUM(H50:BG50),'Capacity summary'!$E169),0)</f>
        <v>0</v>
      </c>
      <c r="BI50" s="5" t="str">
        <f>IF(BH50&gt;0,IF(BH50&lt;Capacity!E62,Capacity!F62,Capacity!H62/'Capacity calculation (hide)'!BH50),"")</f>
        <v/>
      </c>
      <c r="BK50" s="313">
        <f>IF($BI50&lt;&gt;"",IF('Capacity summary'!$D$14="Yes",IF(COUNTBLANK('Capacity summary'!$H169:$BG169)&lt;52,IF('Capacity summary'!H169&lt;&gt;"",IF(LOWER('Capacity summary'!H169)="x",$BI50*H50,VALUE('Capacity summary'!H169)),0),H50*$BI50),H50*$BI50),0)</f>
        <v>0</v>
      </c>
      <c r="BL50" s="313">
        <f>IF($BI50&lt;&gt;"",IF('Capacity summary'!$D$14="Yes",IF(COUNTBLANK('Capacity summary'!$H169:$BG169)&lt;52,IF('Capacity summary'!I169&lt;&gt;"",IF(LOWER('Capacity summary'!I169)="x",$BI50*I50,VALUE('Capacity summary'!I169)),0),I50*$BI50),I50*$BI50),0)</f>
        <v>0</v>
      </c>
      <c r="BM50" s="313">
        <f>IF($BI50&lt;&gt;"",IF('Capacity summary'!$D$14="Yes",IF(COUNTBLANK('Capacity summary'!$H169:$BG169)&lt;52,IF('Capacity summary'!J169&lt;&gt;"",IF(LOWER('Capacity summary'!J169)="x",$BI50*J50,VALUE('Capacity summary'!J169)),0),J50*$BI50),J50*$BI50),0)</f>
        <v>0</v>
      </c>
      <c r="BN50" s="313">
        <f>IF($BI50&lt;&gt;"",IF('Capacity summary'!$D$14="Yes",IF(COUNTBLANK('Capacity summary'!$H169:$BG169)&lt;52,IF('Capacity summary'!K169&lt;&gt;"",IF(LOWER('Capacity summary'!K169)="x",$BI50*K50,VALUE('Capacity summary'!K169)),0),K50*$BI50),K50*$BI50),0)</f>
        <v>0</v>
      </c>
      <c r="BO50" s="313">
        <f>IF($BI50&lt;&gt;"",IF('Capacity summary'!$D$14="Yes",IF(COUNTBLANK('Capacity summary'!$H169:$BG169)&lt;52,IF('Capacity summary'!L169&lt;&gt;"",IF(LOWER('Capacity summary'!L169)="x",$BI50*L50,VALUE('Capacity summary'!L169)),0),L50*$BI50),L50*$BI50),0)</f>
        <v>0</v>
      </c>
      <c r="BP50" s="313">
        <f>IF($BI50&lt;&gt;"",IF('Capacity summary'!$D$14="Yes",IF(COUNTBLANK('Capacity summary'!$H169:$BG169)&lt;52,IF('Capacity summary'!M169&lt;&gt;"",IF(LOWER('Capacity summary'!M169)="x",$BI50*M50,VALUE('Capacity summary'!M169)),0),M50*$BI50),M50*$BI50),0)</f>
        <v>0</v>
      </c>
      <c r="BQ50" s="313">
        <f>IF($BI50&lt;&gt;"",IF('Capacity summary'!$D$14="Yes",IF(COUNTBLANK('Capacity summary'!$H169:$BG169)&lt;52,IF('Capacity summary'!N169&lt;&gt;"",IF(LOWER('Capacity summary'!N169)="x",$BI50*N50,VALUE('Capacity summary'!N169)),0),N50*$BI50),N50*$BI50),0)</f>
        <v>0</v>
      </c>
      <c r="BR50" s="313">
        <f>IF($BI50&lt;&gt;"",IF('Capacity summary'!$D$14="Yes",IF(COUNTBLANK('Capacity summary'!$H169:$BG169)&lt;52,IF('Capacity summary'!O169&lt;&gt;"",IF(LOWER('Capacity summary'!O169)="x",$BI50*O50,VALUE('Capacity summary'!O169)),0),O50*$BI50),O50*$BI50),0)</f>
        <v>0</v>
      </c>
      <c r="BS50" s="313">
        <f>IF($BI50&lt;&gt;"",IF('Capacity summary'!$D$14="Yes",IF(COUNTBLANK('Capacity summary'!$H169:$BG169)&lt;52,IF('Capacity summary'!P169&lt;&gt;"",IF(LOWER('Capacity summary'!P169)="x",$BI50*P50,VALUE('Capacity summary'!P169)),0),P50*$BI50),P50*$BI50),0)</f>
        <v>0</v>
      </c>
      <c r="BT50" s="313">
        <f>IF($BI50&lt;&gt;"",IF('Capacity summary'!$D$14="Yes",IF(COUNTBLANK('Capacity summary'!$H169:$BG169)&lt;52,IF('Capacity summary'!Q169&lt;&gt;"",IF(LOWER('Capacity summary'!Q169)="x",$BI50*Q50,VALUE('Capacity summary'!Q169)),0),Q50*$BI50),Q50*$BI50),0)</f>
        <v>0</v>
      </c>
      <c r="BU50" s="313">
        <f>IF($BI50&lt;&gt;"",IF('Capacity summary'!$D$14="Yes",IF(COUNTBLANK('Capacity summary'!$H169:$BG169)&lt;52,IF('Capacity summary'!R169&lt;&gt;"",IF(LOWER('Capacity summary'!R169)="x",$BI50*R50,VALUE('Capacity summary'!R169)),0),R50*$BI50),R50*$BI50),0)</f>
        <v>0</v>
      </c>
      <c r="BV50" s="313">
        <f>IF($BI50&lt;&gt;"",IF('Capacity summary'!$D$14="Yes",IF(COUNTBLANK('Capacity summary'!$H169:$BG169)&lt;52,IF('Capacity summary'!S169&lt;&gt;"",IF(LOWER('Capacity summary'!S169)="x",$BI50*S50,VALUE('Capacity summary'!S169)),0),S50*$BI50),S50*$BI50),0)</f>
        <v>0</v>
      </c>
      <c r="BW50" s="313">
        <f>IF($BI50&lt;&gt;"",IF('Capacity summary'!$D$14="Yes",IF(COUNTBLANK('Capacity summary'!$H169:$BG169)&lt;52,IF('Capacity summary'!T169&lt;&gt;"",IF(LOWER('Capacity summary'!T169)="x",$BI50*T50,VALUE('Capacity summary'!T169)),0),T50*$BI50),T50*$BI50),0)</f>
        <v>0</v>
      </c>
      <c r="BX50" s="313">
        <f>IF($BI50&lt;&gt;"",IF('Capacity summary'!$D$14="Yes",IF(COUNTBLANK('Capacity summary'!$H169:$BG169)&lt;52,IF('Capacity summary'!U169&lt;&gt;"",IF(LOWER('Capacity summary'!U169)="x",$BI50*U50,VALUE('Capacity summary'!U169)),0),U50*$BI50),U50*$BI50),0)</f>
        <v>0</v>
      </c>
      <c r="BY50" s="313">
        <f>IF($BI50&lt;&gt;"",IF('Capacity summary'!$D$14="Yes",IF(COUNTBLANK('Capacity summary'!$H169:$BG169)&lt;52,IF('Capacity summary'!V169&lt;&gt;"",IF(LOWER('Capacity summary'!V169)="x",$BI50*V50,VALUE('Capacity summary'!V169)),0),V50*$BI50),V50*$BI50),0)</f>
        <v>0</v>
      </c>
      <c r="BZ50" s="313">
        <f>IF($BI50&lt;&gt;"",IF('Capacity summary'!$D$14="Yes",IF(COUNTBLANK('Capacity summary'!$H169:$BG169)&lt;52,IF('Capacity summary'!W169&lt;&gt;"",IF(LOWER('Capacity summary'!W169)="x",$BI50*W50,VALUE('Capacity summary'!W169)),0),W50*$BI50),W50*$BI50),0)</f>
        <v>0</v>
      </c>
      <c r="CA50" s="313">
        <f>IF($BI50&lt;&gt;"",IF('Capacity summary'!$D$14="Yes",IF(COUNTBLANK('Capacity summary'!$H169:$BG169)&lt;52,IF('Capacity summary'!X169&lt;&gt;"",IF(LOWER('Capacity summary'!X169)="x",$BI50*X50,VALUE('Capacity summary'!X169)),0),X50*$BI50),X50*$BI50),0)</f>
        <v>0</v>
      </c>
      <c r="CB50" s="313">
        <f>IF($BI50&lt;&gt;"",IF('Capacity summary'!$D$14="Yes",IF(COUNTBLANK('Capacity summary'!$H169:$BG169)&lt;52,IF('Capacity summary'!Y169&lt;&gt;"",IF(LOWER('Capacity summary'!Y169)="x",$BI50*Y50,VALUE('Capacity summary'!Y169)),0),Y50*$BI50),Y50*$BI50),0)</f>
        <v>0</v>
      </c>
      <c r="CC50" s="313">
        <f>IF($BI50&lt;&gt;"",IF('Capacity summary'!$D$14="Yes",IF(COUNTBLANK('Capacity summary'!$H169:$BG169)&lt;52,IF('Capacity summary'!Z169&lt;&gt;"",IF(LOWER('Capacity summary'!Z169)="x",$BI50*Z50,VALUE('Capacity summary'!Z169)),0),Z50*$BI50),Z50*$BI50),0)</f>
        <v>0</v>
      </c>
      <c r="CD50" s="313">
        <f>IF($BI50&lt;&gt;"",IF('Capacity summary'!$D$14="Yes",IF(COUNTBLANK('Capacity summary'!$H169:$BG169)&lt;52,IF('Capacity summary'!AA169&lt;&gt;"",IF(LOWER('Capacity summary'!AA169)="x",$BI50*AA50,VALUE('Capacity summary'!AA169)),0),AA50*$BI50),AA50*$BI50),0)</f>
        <v>0</v>
      </c>
      <c r="CE50" s="313">
        <f>IF($BI50&lt;&gt;"",IF('Capacity summary'!$D$14="Yes",IF(COUNTBLANK('Capacity summary'!$H169:$BG169)&lt;52,IF('Capacity summary'!AB169&lt;&gt;"",IF(LOWER('Capacity summary'!AB169)="x",$BI50*AB50,VALUE('Capacity summary'!AB169)),0),AB50*$BI50),AB50*$BI50),0)</f>
        <v>0</v>
      </c>
      <c r="CF50" s="313">
        <f>IF($BI50&lt;&gt;"",IF('Capacity summary'!$D$14="Yes",IF(COUNTBLANK('Capacity summary'!$H169:$BG169)&lt;52,IF('Capacity summary'!AC169&lt;&gt;"",IF(LOWER('Capacity summary'!AC169)="x",$BI50*AC50,VALUE('Capacity summary'!AC169)),0),AC50*$BI50),AC50*$BI50),0)</f>
        <v>0</v>
      </c>
      <c r="CG50" s="313">
        <f>IF($BI50&lt;&gt;"",IF('Capacity summary'!$D$14="Yes",IF(COUNTBLANK('Capacity summary'!$H169:$BG169)&lt;52,IF('Capacity summary'!AD169&lt;&gt;"",IF(LOWER('Capacity summary'!AD169)="x",$BI50*AD50,VALUE('Capacity summary'!AD169)),0),AD50*$BI50),AD50*$BI50),0)</f>
        <v>0</v>
      </c>
      <c r="CH50" s="313">
        <f>IF($BI50&lt;&gt;"",IF('Capacity summary'!$D$14="Yes",IF(COUNTBLANK('Capacity summary'!$H169:$BG169)&lt;52,IF('Capacity summary'!AE169&lt;&gt;"",IF(LOWER('Capacity summary'!AE169)="x",$BI50*AE50,VALUE('Capacity summary'!AE169)),0),AE50*$BI50),AE50*$BI50),0)</f>
        <v>0</v>
      </c>
      <c r="CI50" s="313">
        <f>IF($BI50&lt;&gt;"",IF('Capacity summary'!$D$14="Yes",IF(COUNTBLANK('Capacity summary'!$H169:$BG169)&lt;52,IF('Capacity summary'!AF169&lt;&gt;"",IF(LOWER('Capacity summary'!AF169)="x",$BI50*AF50,VALUE('Capacity summary'!AF169)),0),AF50*$BI50),AF50*$BI50),0)</f>
        <v>0</v>
      </c>
      <c r="CJ50" s="313">
        <f>IF($BI50&lt;&gt;"",IF('Capacity summary'!$D$14="Yes",IF(COUNTBLANK('Capacity summary'!$H169:$BG169)&lt;52,IF('Capacity summary'!AG169&lt;&gt;"",IF(LOWER('Capacity summary'!AG169)="x",$BI50*AG50,VALUE('Capacity summary'!AG169)),0),AG50*$BI50),AG50*$BI50),0)</f>
        <v>0</v>
      </c>
      <c r="CK50" s="313">
        <f>IF($BI50&lt;&gt;"",IF('Capacity summary'!$D$14="Yes",IF(COUNTBLANK('Capacity summary'!$H169:$BG169)&lt;52,IF('Capacity summary'!AH169&lt;&gt;"",IF(LOWER('Capacity summary'!AH169)="x",$BI50*AH50,VALUE('Capacity summary'!AH169)),0),AH50*$BI50),AH50*$BI50),0)</f>
        <v>0</v>
      </c>
      <c r="CL50" s="313">
        <f>IF($BI50&lt;&gt;"",IF('Capacity summary'!$D$14="Yes",IF(COUNTBLANK('Capacity summary'!$H169:$BG169)&lt;52,IF('Capacity summary'!AI169&lt;&gt;"",IF(LOWER('Capacity summary'!AI169)="x",$BI50*AI50,VALUE('Capacity summary'!AI169)),0),AI50*$BI50),AI50*$BI50),0)</f>
        <v>0</v>
      </c>
      <c r="CM50" s="313">
        <f>IF($BI50&lt;&gt;"",IF('Capacity summary'!$D$14="Yes",IF(COUNTBLANK('Capacity summary'!$H169:$BG169)&lt;52,IF('Capacity summary'!AJ169&lt;&gt;"",IF(LOWER('Capacity summary'!AJ169)="x",$BI50*AJ50,VALUE('Capacity summary'!AJ169)),0),AJ50*$BI50),AJ50*$BI50),0)</f>
        <v>0</v>
      </c>
      <c r="CN50" s="313">
        <f>IF($BI50&lt;&gt;"",IF('Capacity summary'!$D$14="Yes",IF(COUNTBLANK('Capacity summary'!$H169:$BG169)&lt;52,IF('Capacity summary'!AK169&lt;&gt;"",IF(LOWER('Capacity summary'!AK169)="x",$BI50*AK50,VALUE('Capacity summary'!AK169)),0),AK50*$BI50),AK50*$BI50),0)</f>
        <v>0</v>
      </c>
      <c r="CO50" s="313">
        <f>IF($BI50&lt;&gt;"",IF('Capacity summary'!$D$14="Yes",IF(COUNTBLANK('Capacity summary'!$H169:$BG169)&lt;52,IF('Capacity summary'!AL169&lt;&gt;"",IF(LOWER('Capacity summary'!AL169)="x",$BI50*AL50,VALUE('Capacity summary'!AL169)),0),AL50*$BI50),AL50*$BI50),0)</f>
        <v>0</v>
      </c>
      <c r="CP50" s="313">
        <f>IF($BI50&lt;&gt;"",IF('Capacity summary'!$D$14="Yes",IF(COUNTBLANK('Capacity summary'!$H169:$BG169)&lt;52,IF('Capacity summary'!AM169&lt;&gt;"",IF(LOWER('Capacity summary'!AM169)="x",$BI50*AM50,VALUE('Capacity summary'!AM169)),0),AM50*$BI50),AM50*$BI50),0)</f>
        <v>0</v>
      </c>
      <c r="CQ50" s="313">
        <f>IF($BI50&lt;&gt;"",IF('Capacity summary'!$D$14="Yes",IF(COUNTBLANK('Capacity summary'!$H169:$BG169)&lt;52,IF('Capacity summary'!AN169&lt;&gt;"",IF(LOWER('Capacity summary'!AN169)="x",$BI50*AN50,VALUE('Capacity summary'!AN169)),0),AN50*$BI50),AN50*$BI50),0)</f>
        <v>0</v>
      </c>
      <c r="CR50" s="313">
        <f>IF($BI50&lt;&gt;"",IF('Capacity summary'!$D$14="Yes",IF(COUNTBLANK('Capacity summary'!$H169:$BG169)&lt;52,IF('Capacity summary'!AO169&lt;&gt;"",IF(LOWER('Capacity summary'!AO169)="x",$BI50*AO50,VALUE('Capacity summary'!AO169)),0),AO50*$BI50),AO50*$BI50),0)</f>
        <v>0</v>
      </c>
      <c r="CS50" s="313">
        <f>IF($BI50&lt;&gt;"",IF('Capacity summary'!$D$14="Yes",IF(COUNTBLANK('Capacity summary'!$H169:$BG169)&lt;52,IF('Capacity summary'!AP169&lt;&gt;"",IF(LOWER('Capacity summary'!AP169)="x",$BI50*AP50,VALUE('Capacity summary'!AP169)),0),AP50*$BI50),AP50*$BI50),0)</f>
        <v>0</v>
      </c>
      <c r="CT50" s="313">
        <f>IF($BI50&lt;&gt;"",IF('Capacity summary'!$D$14="Yes",IF(COUNTBLANK('Capacity summary'!$H169:$BG169)&lt;52,IF('Capacity summary'!AQ169&lt;&gt;"",IF(LOWER('Capacity summary'!AQ169)="x",$BI50*AQ50,VALUE('Capacity summary'!AQ169)),0),AQ50*$BI50),AQ50*$BI50),0)</f>
        <v>0</v>
      </c>
      <c r="CU50" s="313">
        <f>IF($BI50&lt;&gt;"",IF('Capacity summary'!$D$14="Yes",IF(COUNTBLANK('Capacity summary'!$H169:$BG169)&lt;52,IF('Capacity summary'!AR169&lt;&gt;"",IF(LOWER('Capacity summary'!AR169)="x",$BI50*AR50,VALUE('Capacity summary'!AR169)),0),AR50*$BI50),AR50*$BI50),0)</f>
        <v>0</v>
      </c>
      <c r="CV50" s="313">
        <f>IF($BI50&lt;&gt;"",IF('Capacity summary'!$D$14="Yes",IF(COUNTBLANK('Capacity summary'!$H169:$BG169)&lt;52,IF('Capacity summary'!AS169&lt;&gt;"",IF(LOWER('Capacity summary'!AS169)="x",$BI50*AS50,VALUE('Capacity summary'!AS169)),0),AS50*$BI50),AS50*$BI50),0)</f>
        <v>0</v>
      </c>
      <c r="CW50" s="313">
        <f>IF($BI50&lt;&gt;"",IF('Capacity summary'!$D$14="Yes",IF(COUNTBLANK('Capacity summary'!$H169:$BG169)&lt;52,IF('Capacity summary'!AT169&lt;&gt;"",IF(LOWER('Capacity summary'!AT169)="x",$BI50*AT50,VALUE('Capacity summary'!AT169)),0),AT50*$BI50),AT50*$BI50),0)</f>
        <v>0</v>
      </c>
      <c r="CX50" s="313">
        <f>IF($BI50&lt;&gt;"",IF('Capacity summary'!$D$14="Yes",IF(COUNTBLANK('Capacity summary'!$H169:$BG169)&lt;52,IF('Capacity summary'!AU169&lt;&gt;"",IF(LOWER('Capacity summary'!AU169)="x",$BI50*AU50,VALUE('Capacity summary'!AU169)),0),AU50*$BI50),AU50*$BI50),0)</f>
        <v>0</v>
      </c>
      <c r="CY50" s="313">
        <f>IF($BI50&lt;&gt;"",IF('Capacity summary'!$D$14="Yes",IF(COUNTBLANK('Capacity summary'!$H169:$BG169)&lt;52,IF('Capacity summary'!AV169&lt;&gt;"",IF(LOWER('Capacity summary'!AV169)="x",$BI50*AV50,VALUE('Capacity summary'!AV169)),0),AV50*$BI50),AV50*$BI50),0)</f>
        <v>0</v>
      </c>
      <c r="CZ50" s="313">
        <f>IF($BI50&lt;&gt;"",IF('Capacity summary'!$D$14="Yes",IF(COUNTBLANK('Capacity summary'!$H169:$BG169)&lt;52,IF('Capacity summary'!AW169&lt;&gt;"",IF(LOWER('Capacity summary'!AW169)="x",$BI50*AW50,VALUE('Capacity summary'!AW169)),0),AW50*$BI50),AW50*$BI50),0)</f>
        <v>0</v>
      </c>
      <c r="DA50" s="313">
        <f>IF($BI50&lt;&gt;"",IF('Capacity summary'!$D$14="Yes",IF(COUNTBLANK('Capacity summary'!$H169:$BG169)&lt;52,IF('Capacity summary'!AX169&lt;&gt;"",IF(LOWER('Capacity summary'!AX169)="x",$BI50*AX50,VALUE('Capacity summary'!AX169)),0),AX50*$BI50),AX50*$BI50),0)</f>
        <v>0</v>
      </c>
      <c r="DB50" s="313">
        <f>IF($BI50&lt;&gt;"",IF('Capacity summary'!$D$14="Yes",IF(COUNTBLANK('Capacity summary'!$H169:$BG169)&lt;52,IF('Capacity summary'!AY169&lt;&gt;"",IF(LOWER('Capacity summary'!AY169)="x",$BI50*AY50,VALUE('Capacity summary'!AY169)),0),AY50*$BI50),AY50*$BI50),0)</f>
        <v>0</v>
      </c>
      <c r="DC50" s="313">
        <f>IF($BI50&lt;&gt;"",IF('Capacity summary'!$D$14="Yes",IF(COUNTBLANK('Capacity summary'!$H169:$BG169)&lt;52,IF('Capacity summary'!AZ169&lt;&gt;"",IF(LOWER('Capacity summary'!AZ169)="x",$BI50*AZ50,VALUE('Capacity summary'!AZ169)),0),AZ50*$BI50),AZ50*$BI50),0)</f>
        <v>0</v>
      </c>
      <c r="DD50" s="313">
        <f>IF($BI50&lt;&gt;"",IF('Capacity summary'!$D$14="Yes",IF(COUNTBLANK('Capacity summary'!$H169:$BG169)&lt;52,IF('Capacity summary'!BA169&lt;&gt;"",IF(LOWER('Capacity summary'!BA169)="x",$BI50*BA50,VALUE('Capacity summary'!BA169)),0),BA50*$BI50),BA50*$BI50),0)</f>
        <v>0</v>
      </c>
      <c r="DE50" s="313">
        <f>IF($BI50&lt;&gt;"",IF('Capacity summary'!$D$14="Yes",IF(COUNTBLANK('Capacity summary'!$H169:$BG169)&lt;52,IF('Capacity summary'!BB169&lt;&gt;"",IF(LOWER('Capacity summary'!BB169)="x",$BI50*BB50,VALUE('Capacity summary'!BB169)),0),BB50*$BI50),BB50*$BI50),0)</f>
        <v>0</v>
      </c>
      <c r="DF50" s="313">
        <f>IF($BI50&lt;&gt;"",IF('Capacity summary'!$D$14="Yes",IF(COUNTBLANK('Capacity summary'!$H169:$BG169)&lt;52,IF('Capacity summary'!BC169&lt;&gt;"",IF(LOWER('Capacity summary'!BC169)="x",$BI50*BC50,VALUE('Capacity summary'!BC169)),0),BC50*$BI50),BC50*$BI50),0)</f>
        <v>0</v>
      </c>
      <c r="DG50" s="313">
        <f>IF($BI50&lt;&gt;"",IF('Capacity summary'!$D$14="Yes",IF(COUNTBLANK('Capacity summary'!$H169:$BG169)&lt;52,IF('Capacity summary'!BD169&lt;&gt;"",IF(LOWER('Capacity summary'!BD169)="x",$BI50*BD50,VALUE('Capacity summary'!BD169)),0),BD50*$BI50),BD50*$BI50),0)</f>
        <v>0</v>
      </c>
      <c r="DH50" s="313">
        <f>IF($BI50&lt;&gt;"",IF('Capacity summary'!$D$14="Yes",IF(COUNTBLANK('Capacity summary'!$H169:$BG169)&lt;52,IF('Capacity summary'!BE169&lt;&gt;"",IF(LOWER('Capacity summary'!BE169)="x",$BI50*BE50,VALUE('Capacity summary'!BE169)),0),BE50*$BI50),BE50*$BI50),0)</f>
        <v>0</v>
      </c>
      <c r="DI50" s="313">
        <f>IF($BI50&lt;&gt;"",IF('Capacity summary'!$D$14="Yes",IF(COUNTBLANK('Capacity summary'!$H169:$BG169)&lt;52,IF('Capacity summary'!BF169&lt;&gt;"",IF(LOWER('Capacity summary'!BF169)="x",$BI50*BF50,VALUE('Capacity summary'!BF169)),0),BF50*$BI50),BF50*$BI50),0)</f>
        <v>0</v>
      </c>
      <c r="DJ50" s="313">
        <f>IF($BI50&lt;&gt;"",IF('Capacity summary'!$D$14="Yes",IF(COUNTBLANK('Capacity summary'!$H169:$BG169)&lt;52,IF('Capacity summary'!BG169&lt;&gt;"",IF(LOWER('Capacity summary'!BG169)="x",$BI50*BG50,VALUE('Capacity summary'!BG169)),0),BG50*$BI50),BG50*$BI50),0)</f>
        <v>0</v>
      </c>
      <c r="DK50" s="137">
        <f t="shared" si="2"/>
        <v>0</v>
      </c>
      <c r="DL50" s="313" t="str">
        <f>Capacity!H62</f>
        <v/>
      </c>
      <c r="DP50" s="5"/>
    </row>
    <row r="51" spans="2:120" x14ac:dyDescent="0.25">
      <c r="B51" s="67"/>
      <c r="C51" s="67" t="str">
        <f>ROW(A47)&amp;". "&amp;Capacity!B63</f>
        <v xml:space="preserve">47. </v>
      </c>
      <c r="D51" s="67">
        <f>'Capacity setup'!C58</f>
        <v>0</v>
      </c>
      <c r="E51" s="67">
        <f>'Capacity setup'!D58</f>
        <v>0</v>
      </c>
      <c r="F51" s="67">
        <f>'Capacity setup'!E58</f>
        <v>0</v>
      </c>
      <c r="H51" s="67">
        <f ca="1">IF(AND(SUMIF(Capacity_Resource,$D51,'Critical resources (hide)'!U$6:U$105)+SUMIF(Capacity_Resource,$E51,'Critical resources (hide)'!U$6:U$105)+SUMIF(Capacity_Resource,$F51,'Critical resources (hide)'!U$6:U$105)&gt;0,$E$1=2),0,1)</f>
        <v>1</v>
      </c>
      <c r="I51" s="67">
        <f ca="1">IF(AND(SUMIF(Capacity_Resource,$D51,'Critical resources (hide)'!V$6:V$105)+SUMIF(Capacity_Resource,$E51,'Critical resources (hide)'!V$6:V$105)+SUMIF(Capacity_Resource,$F51,'Critical resources (hide)'!V$6:V$105)&gt;0,$E$1=2),0,1)</f>
        <v>1</v>
      </c>
      <c r="J51" s="67">
        <f ca="1">IF(AND(SUMIF(Capacity_Resource,$D51,'Critical resources (hide)'!W$6:W$105)+SUMIF(Capacity_Resource,$E51,'Critical resources (hide)'!W$6:W$105)+SUMIF(Capacity_Resource,$F51,'Critical resources (hide)'!W$6:W$105)&gt;0,$E$1=2),0,1)</f>
        <v>1</v>
      </c>
      <c r="K51" s="67">
        <f ca="1">IF(AND(SUMIF(Capacity_Resource,$D51,'Critical resources (hide)'!X$6:X$105)+SUMIF(Capacity_Resource,$E51,'Critical resources (hide)'!X$6:X$105)+SUMIF(Capacity_Resource,$F51,'Critical resources (hide)'!X$6:X$105)&gt;0,$E$1=2),0,1)</f>
        <v>1</v>
      </c>
      <c r="L51" s="67">
        <f ca="1">IF(AND(SUMIF(Capacity_Resource,$D51,'Critical resources (hide)'!Y$6:Y$105)+SUMIF(Capacity_Resource,$E51,'Critical resources (hide)'!Y$6:Y$105)+SUMIF(Capacity_Resource,$F51,'Critical resources (hide)'!Y$6:Y$105)&gt;0,$E$1=2),0,1)</f>
        <v>1</v>
      </c>
      <c r="M51" s="67">
        <f ca="1">IF(AND(SUMIF(Capacity_Resource,$D51,'Critical resources (hide)'!Z$6:Z$105)+SUMIF(Capacity_Resource,$E51,'Critical resources (hide)'!Z$6:Z$105)+SUMIF(Capacity_Resource,$F51,'Critical resources (hide)'!Z$6:Z$105)&gt;0,$E$1=2),0,1)</f>
        <v>1</v>
      </c>
      <c r="N51" s="67">
        <f ca="1">IF(AND(SUMIF(Capacity_Resource,$D51,'Critical resources (hide)'!AA$6:AA$105)+SUMIF(Capacity_Resource,$E51,'Critical resources (hide)'!AA$6:AA$105)+SUMIF(Capacity_Resource,$F51,'Critical resources (hide)'!AA$6:AA$105)&gt;0,$E$1=2),0,1)</f>
        <v>1</v>
      </c>
      <c r="O51" s="67">
        <f ca="1">IF(AND(SUMIF(Capacity_Resource,$D51,'Critical resources (hide)'!AB$6:AB$105)+SUMIF(Capacity_Resource,$E51,'Critical resources (hide)'!AB$6:AB$105)+SUMIF(Capacity_Resource,$F51,'Critical resources (hide)'!AB$6:AB$105)&gt;0,$E$1=2),0,1)</f>
        <v>1</v>
      </c>
      <c r="P51" s="67">
        <f ca="1">IF(AND(SUMIF(Capacity_Resource,$D51,'Critical resources (hide)'!AC$6:AC$105)+SUMIF(Capacity_Resource,$E51,'Critical resources (hide)'!AC$6:AC$105)+SUMIF(Capacity_Resource,$F51,'Critical resources (hide)'!AC$6:AC$105)&gt;0,$E$1=2),0,1)</f>
        <v>1</v>
      </c>
      <c r="Q51" s="67">
        <f ca="1">IF(AND(SUMIF(Capacity_Resource,$D51,'Critical resources (hide)'!AD$6:AD$105)+SUMIF(Capacity_Resource,$E51,'Critical resources (hide)'!AD$6:AD$105)+SUMIF(Capacity_Resource,$F51,'Critical resources (hide)'!AD$6:AD$105)&gt;0,$E$1=2),0,1)</f>
        <v>1</v>
      </c>
      <c r="R51" s="67">
        <f ca="1">IF(AND(SUMIF(Capacity_Resource,$D51,'Critical resources (hide)'!AE$6:AE$105)+SUMIF(Capacity_Resource,$E51,'Critical resources (hide)'!AE$6:AE$105)+SUMIF(Capacity_Resource,$F51,'Critical resources (hide)'!AE$6:AE$105)&gt;0,$E$1=2),0,1)</f>
        <v>1</v>
      </c>
      <c r="S51" s="67">
        <f ca="1">IF(AND(SUMIF(Capacity_Resource,$D51,'Critical resources (hide)'!AF$6:AF$105)+SUMIF(Capacity_Resource,$E51,'Critical resources (hide)'!AF$6:AF$105)+SUMIF(Capacity_Resource,$F51,'Critical resources (hide)'!AF$6:AF$105)&gt;0,$E$1=2),0,1)</f>
        <v>1</v>
      </c>
      <c r="T51" s="67">
        <f ca="1">IF(AND(SUMIF(Capacity_Resource,$D51,'Critical resources (hide)'!AG$6:AG$105)+SUMIF(Capacity_Resource,$E51,'Critical resources (hide)'!AG$6:AG$105)+SUMIF(Capacity_Resource,$F51,'Critical resources (hide)'!AG$6:AG$105)&gt;0,$E$1=2),0,1)</f>
        <v>1</v>
      </c>
      <c r="U51" s="67">
        <f ca="1">IF(AND(SUMIF(Capacity_Resource,$D51,'Critical resources (hide)'!AH$6:AH$105)+SUMIF(Capacity_Resource,$E51,'Critical resources (hide)'!AH$6:AH$105)+SUMIF(Capacity_Resource,$F51,'Critical resources (hide)'!AH$6:AH$105)&gt;0,$E$1=2),0,1)</f>
        <v>1</v>
      </c>
      <c r="V51" s="67">
        <f ca="1">IF(AND(SUMIF(Capacity_Resource,$D51,'Critical resources (hide)'!AI$6:AI$105)+SUMIF(Capacity_Resource,$E51,'Critical resources (hide)'!AI$6:AI$105)+SUMIF(Capacity_Resource,$F51,'Critical resources (hide)'!AI$6:AI$105)&gt;0,$E$1=2),0,1)</f>
        <v>1</v>
      </c>
      <c r="W51" s="67">
        <f ca="1">IF(AND(SUMIF(Capacity_Resource,$D51,'Critical resources (hide)'!AJ$6:AJ$105)+SUMIF(Capacity_Resource,$E51,'Critical resources (hide)'!AJ$6:AJ$105)+SUMIF(Capacity_Resource,$F51,'Critical resources (hide)'!AJ$6:AJ$105)&gt;0,$E$1=2),0,1)</f>
        <v>1</v>
      </c>
      <c r="X51" s="67">
        <f ca="1">IF(AND(SUMIF(Capacity_Resource,$D51,'Critical resources (hide)'!AK$6:AK$105)+SUMIF(Capacity_Resource,$E51,'Critical resources (hide)'!AK$6:AK$105)+SUMIF(Capacity_Resource,$F51,'Critical resources (hide)'!AK$6:AK$105)&gt;0,$E$1=2),0,1)</f>
        <v>1</v>
      </c>
      <c r="Y51" s="67">
        <f ca="1">IF(AND(SUMIF(Capacity_Resource,$D51,'Critical resources (hide)'!AL$6:AL$105)+SUMIF(Capacity_Resource,$E51,'Critical resources (hide)'!AL$6:AL$105)+SUMIF(Capacity_Resource,$F51,'Critical resources (hide)'!AL$6:AL$105)&gt;0,$E$1=2),0,1)</f>
        <v>1</v>
      </c>
      <c r="Z51" s="67">
        <f ca="1">IF(AND(SUMIF(Capacity_Resource,$D51,'Critical resources (hide)'!AM$6:AM$105)+SUMIF(Capacity_Resource,$E51,'Critical resources (hide)'!AM$6:AM$105)+SUMIF(Capacity_Resource,$F51,'Critical resources (hide)'!AM$6:AM$105)&gt;0,$E$1=2),0,1)</f>
        <v>1</v>
      </c>
      <c r="AA51" s="67">
        <f ca="1">IF(AND(SUMIF(Capacity_Resource,$D51,'Critical resources (hide)'!AN$6:AN$105)+SUMIF(Capacity_Resource,$E51,'Critical resources (hide)'!AN$6:AN$105)+SUMIF(Capacity_Resource,$F51,'Critical resources (hide)'!AN$6:AN$105)&gt;0,$E$1=2),0,1)</f>
        <v>1</v>
      </c>
      <c r="AB51" s="67">
        <f ca="1">IF(AND(SUMIF(Capacity_Resource,$D51,'Critical resources (hide)'!AO$6:AO$105)+SUMIF(Capacity_Resource,$E51,'Critical resources (hide)'!AO$6:AO$105)+SUMIF(Capacity_Resource,$F51,'Critical resources (hide)'!AO$6:AO$105)&gt;0,$E$1=2),0,1)</f>
        <v>1</v>
      </c>
      <c r="AC51" s="67">
        <f ca="1">IF(AND(SUMIF(Capacity_Resource,$D51,'Critical resources (hide)'!AP$6:AP$105)+SUMIF(Capacity_Resource,$E51,'Critical resources (hide)'!AP$6:AP$105)+SUMIF(Capacity_Resource,$F51,'Critical resources (hide)'!AP$6:AP$105)&gt;0,$E$1=2),0,1)</f>
        <v>1</v>
      </c>
      <c r="AD51" s="67">
        <f ca="1">IF(AND(SUMIF(Capacity_Resource,$D51,'Critical resources (hide)'!AQ$6:AQ$105)+SUMIF(Capacity_Resource,$E51,'Critical resources (hide)'!AQ$6:AQ$105)+SUMIF(Capacity_Resource,$F51,'Critical resources (hide)'!AQ$6:AQ$105)&gt;0,$E$1=2),0,1)</f>
        <v>1</v>
      </c>
      <c r="AE51" s="67">
        <f ca="1">IF(AND(SUMIF(Capacity_Resource,$D51,'Critical resources (hide)'!AR$6:AR$105)+SUMIF(Capacity_Resource,$E51,'Critical resources (hide)'!AR$6:AR$105)+SUMIF(Capacity_Resource,$F51,'Critical resources (hide)'!AR$6:AR$105)&gt;0,$E$1=2),0,1)</f>
        <v>1</v>
      </c>
      <c r="AF51" s="67">
        <f ca="1">IF(AND(SUMIF(Capacity_Resource,$D51,'Critical resources (hide)'!AS$6:AS$105)+SUMIF(Capacity_Resource,$E51,'Critical resources (hide)'!AS$6:AS$105)+SUMIF(Capacity_Resource,$F51,'Critical resources (hide)'!AS$6:AS$105)&gt;0,$E$1=2),0,1)</f>
        <v>1</v>
      </c>
      <c r="AG51" s="67">
        <f ca="1">IF(AND(SUMIF(Capacity_Resource,$D51,'Critical resources (hide)'!AT$6:AT$105)+SUMIF(Capacity_Resource,$E51,'Critical resources (hide)'!AT$6:AT$105)+SUMIF(Capacity_Resource,$F51,'Critical resources (hide)'!AT$6:AT$105)&gt;0,$E$1=2),0,1)</f>
        <v>1</v>
      </c>
      <c r="AH51" s="67">
        <f ca="1">IF(AND(SUMIF(Capacity_Resource,$D51,'Critical resources (hide)'!AU$6:AU$105)+SUMIF(Capacity_Resource,$E51,'Critical resources (hide)'!AU$6:AU$105)+SUMIF(Capacity_Resource,$F51,'Critical resources (hide)'!AU$6:AU$105)&gt;0,$E$1=2),0,1)</f>
        <v>1</v>
      </c>
      <c r="AI51" s="67">
        <f ca="1">IF(AND(SUMIF(Capacity_Resource,$D51,'Critical resources (hide)'!AV$6:AV$105)+SUMIF(Capacity_Resource,$E51,'Critical resources (hide)'!AV$6:AV$105)+SUMIF(Capacity_Resource,$F51,'Critical resources (hide)'!AV$6:AV$105)&gt;0,$E$1=2),0,1)</f>
        <v>1</v>
      </c>
      <c r="AJ51" s="67">
        <f ca="1">IF(AND(SUMIF(Capacity_Resource,$D51,'Critical resources (hide)'!AW$6:AW$105)+SUMIF(Capacity_Resource,$E51,'Critical resources (hide)'!AW$6:AW$105)+SUMIF(Capacity_Resource,$F51,'Critical resources (hide)'!AW$6:AW$105)&gt;0,$E$1=2),0,1)</f>
        <v>1</v>
      </c>
      <c r="AK51" s="67">
        <f ca="1">IF(AND(SUMIF(Capacity_Resource,$D51,'Critical resources (hide)'!AX$6:AX$105)+SUMIF(Capacity_Resource,$E51,'Critical resources (hide)'!AX$6:AX$105)+SUMIF(Capacity_Resource,$F51,'Critical resources (hide)'!AX$6:AX$105)&gt;0,$E$1=2),0,1)</f>
        <v>1</v>
      </c>
      <c r="AL51" s="67">
        <f ca="1">IF(AND(SUMIF(Capacity_Resource,$D51,'Critical resources (hide)'!AY$6:AY$105)+SUMIF(Capacity_Resource,$E51,'Critical resources (hide)'!AY$6:AY$105)+SUMIF(Capacity_Resource,$F51,'Critical resources (hide)'!AY$6:AY$105)&gt;0,$E$1=2),0,1)</f>
        <v>1</v>
      </c>
      <c r="AM51" s="67">
        <f ca="1">IF(AND(SUMIF(Capacity_Resource,$D51,'Critical resources (hide)'!AZ$6:AZ$105)+SUMIF(Capacity_Resource,$E51,'Critical resources (hide)'!AZ$6:AZ$105)+SUMIF(Capacity_Resource,$F51,'Critical resources (hide)'!AZ$6:AZ$105)&gt;0,$E$1=2),0,1)</f>
        <v>1</v>
      </c>
      <c r="AN51" s="67">
        <f ca="1">IF(AND(SUMIF(Capacity_Resource,$D51,'Critical resources (hide)'!BA$6:BA$105)+SUMIF(Capacity_Resource,$E51,'Critical resources (hide)'!BA$6:BA$105)+SUMIF(Capacity_Resource,$F51,'Critical resources (hide)'!BA$6:BA$105)&gt;0,$E$1=2),0,1)</f>
        <v>1</v>
      </c>
      <c r="AO51" s="67">
        <f ca="1">IF(AND(SUMIF(Capacity_Resource,$D51,'Critical resources (hide)'!BB$6:BB$105)+SUMIF(Capacity_Resource,$E51,'Critical resources (hide)'!BB$6:BB$105)+SUMIF(Capacity_Resource,$F51,'Critical resources (hide)'!BB$6:BB$105)&gt;0,$E$1=2),0,1)</f>
        <v>1</v>
      </c>
      <c r="AP51" s="67">
        <f ca="1">IF(AND(SUMIF(Capacity_Resource,$D51,'Critical resources (hide)'!BC$6:BC$105)+SUMIF(Capacity_Resource,$E51,'Critical resources (hide)'!BC$6:BC$105)+SUMIF(Capacity_Resource,$F51,'Critical resources (hide)'!BC$6:BC$105)&gt;0,$E$1=2),0,1)</f>
        <v>1</v>
      </c>
      <c r="AQ51" s="67">
        <f ca="1">IF(AND(SUMIF(Capacity_Resource,$D51,'Critical resources (hide)'!BD$6:BD$105)+SUMIF(Capacity_Resource,$E51,'Critical resources (hide)'!BD$6:BD$105)+SUMIF(Capacity_Resource,$F51,'Critical resources (hide)'!BD$6:BD$105)&gt;0,$E$1=2),0,1)</f>
        <v>1</v>
      </c>
      <c r="AR51" s="67">
        <f ca="1">IF(AND(SUMIF(Capacity_Resource,$D51,'Critical resources (hide)'!BE$6:BE$105)+SUMIF(Capacity_Resource,$E51,'Critical resources (hide)'!BE$6:BE$105)+SUMIF(Capacity_Resource,$F51,'Critical resources (hide)'!BE$6:BE$105)&gt;0,$E$1=2),0,1)</f>
        <v>1</v>
      </c>
      <c r="AS51" s="67">
        <f ca="1">IF(AND(SUMIF(Capacity_Resource,$D51,'Critical resources (hide)'!BF$6:BF$105)+SUMIF(Capacity_Resource,$E51,'Critical resources (hide)'!BF$6:BF$105)+SUMIF(Capacity_Resource,$F51,'Critical resources (hide)'!BF$6:BF$105)&gt;0,$E$1=2),0,1)</f>
        <v>1</v>
      </c>
      <c r="AT51" s="67">
        <f ca="1">IF(AND(SUMIF(Capacity_Resource,$D51,'Critical resources (hide)'!BG$6:BG$105)+SUMIF(Capacity_Resource,$E51,'Critical resources (hide)'!BG$6:BG$105)+SUMIF(Capacity_Resource,$F51,'Critical resources (hide)'!BG$6:BG$105)&gt;0,$E$1=2),0,1)</f>
        <v>1</v>
      </c>
      <c r="AU51" s="67">
        <f ca="1">IF(AND(SUMIF(Capacity_Resource,$D51,'Critical resources (hide)'!BH$6:BH$105)+SUMIF(Capacity_Resource,$E51,'Critical resources (hide)'!BH$6:BH$105)+SUMIF(Capacity_Resource,$F51,'Critical resources (hide)'!BH$6:BH$105)&gt;0,$E$1=2),0,1)</f>
        <v>1</v>
      </c>
      <c r="AV51" s="67">
        <f ca="1">IF(AND(SUMIF(Capacity_Resource,$D51,'Critical resources (hide)'!BI$6:BI$105)+SUMIF(Capacity_Resource,$E51,'Critical resources (hide)'!BI$6:BI$105)+SUMIF(Capacity_Resource,$F51,'Critical resources (hide)'!BI$6:BI$105)&gt;0,$E$1=2),0,1)</f>
        <v>1</v>
      </c>
      <c r="AW51" s="67">
        <f ca="1">IF(AND(SUMIF(Capacity_Resource,$D51,'Critical resources (hide)'!BJ$6:BJ$105)+SUMIF(Capacity_Resource,$E51,'Critical resources (hide)'!BJ$6:BJ$105)+SUMIF(Capacity_Resource,$F51,'Critical resources (hide)'!BJ$6:BJ$105)&gt;0,$E$1=2),0,1)</f>
        <v>1</v>
      </c>
      <c r="AX51" s="67">
        <f ca="1">IF(AND(SUMIF(Capacity_Resource,$D51,'Critical resources (hide)'!BK$6:BK$105)+SUMIF(Capacity_Resource,$E51,'Critical resources (hide)'!BK$6:BK$105)+SUMIF(Capacity_Resource,$F51,'Critical resources (hide)'!BK$6:BK$105)&gt;0,$E$1=2),0,1)</f>
        <v>1</v>
      </c>
      <c r="AY51" s="67">
        <f ca="1">IF(AND(SUMIF(Capacity_Resource,$D51,'Critical resources (hide)'!BL$6:BL$105)+SUMIF(Capacity_Resource,$E51,'Critical resources (hide)'!BL$6:BL$105)+SUMIF(Capacity_Resource,$F51,'Critical resources (hide)'!BL$6:BL$105)&gt;0,$E$1=2),0,1)</f>
        <v>1</v>
      </c>
      <c r="AZ51" s="67">
        <f ca="1">IF(AND(SUMIF(Capacity_Resource,$D51,'Critical resources (hide)'!BM$6:BM$105)+SUMIF(Capacity_Resource,$E51,'Critical resources (hide)'!BM$6:BM$105)+SUMIF(Capacity_Resource,$F51,'Critical resources (hide)'!BM$6:BM$105)&gt;0,$E$1=2),0,1)</f>
        <v>1</v>
      </c>
      <c r="BA51" s="67">
        <f ca="1">IF(AND(SUMIF(Capacity_Resource,$D51,'Critical resources (hide)'!BN$6:BN$105)+SUMIF(Capacity_Resource,$E51,'Critical resources (hide)'!BN$6:BN$105)+SUMIF(Capacity_Resource,$F51,'Critical resources (hide)'!BN$6:BN$105)&gt;0,$E$1=2),0,1)</f>
        <v>1</v>
      </c>
      <c r="BB51" s="67">
        <f ca="1">IF(AND(SUMIF(Capacity_Resource,$D51,'Critical resources (hide)'!BO$6:BO$105)+SUMIF(Capacity_Resource,$E51,'Critical resources (hide)'!BO$6:BO$105)+SUMIF(Capacity_Resource,$F51,'Critical resources (hide)'!BO$6:BO$105)&gt;0,$E$1=2),0,1)</f>
        <v>1</v>
      </c>
      <c r="BC51" s="67">
        <f ca="1">IF(AND(SUMIF(Capacity_Resource,$D51,'Critical resources (hide)'!BP$6:BP$105)+SUMIF(Capacity_Resource,$E51,'Critical resources (hide)'!BP$6:BP$105)+SUMIF(Capacity_Resource,$F51,'Critical resources (hide)'!BP$6:BP$105)&gt;0,$E$1=2),0,1)</f>
        <v>1</v>
      </c>
      <c r="BD51" s="67">
        <f ca="1">IF(AND(SUMIF(Capacity_Resource,$D51,'Critical resources (hide)'!BQ$6:BQ$105)+SUMIF(Capacity_Resource,$E51,'Critical resources (hide)'!BQ$6:BQ$105)+SUMIF(Capacity_Resource,$F51,'Critical resources (hide)'!BQ$6:BQ$105)&gt;0,$E$1=2),0,1)</f>
        <v>1</v>
      </c>
      <c r="BE51" s="67">
        <f ca="1">IF(AND(SUMIF(Capacity_Resource,$D51,'Critical resources (hide)'!BR$6:BR$105)+SUMIF(Capacity_Resource,$E51,'Critical resources (hide)'!BR$6:BR$105)+SUMIF(Capacity_Resource,$F51,'Critical resources (hide)'!BR$6:BR$105)&gt;0,$E$1=2),0,1)</f>
        <v>1</v>
      </c>
      <c r="BF51" s="67">
        <f ca="1">IF(AND(SUMIF(Capacity_Resource,$D51,'Critical resources (hide)'!BS$6:BS$105)+SUMIF(Capacity_Resource,$E51,'Critical resources (hide)'!BS$6:BS$105)+SUMIF(Capacity_Resource,$F51,'Critical resources (hide)'!BS$6:BS$105)&gt;0,$E$1=2),0,1)</f>
        <v>1</v>
      </c>
      <c r="BG51" s="67">
        <f ca="1">IF(AND(SUMIF(Capacity_Resource,$D51,'Critical resources (hide)'!BT$6:BT$105)+SUMIF(Capacity_Resource,$E51,'Critical resources (hide)'!BT$6:BT$105)+SUMIF(Capacity_Resource,$F51,'Critical resources (hide)'!BT$6:BT$105)&gt;0,$E$1=2),0,1)</f>
        <v>1</v>
      </c>
      <c r="BH51" s="67">
        <f>IF(ROW(C47)&lt;=Capacity!$A$16,IF('Capacity summary'!$D$14="No",SUM(H51:BG51),'Capacity summary'!$E170),0)</f>
        <v>0</v>
      </c>
      <c r="BI51" s="5" t="str">
        <f>IF(BH51&gt;0,IF(BH51&lt;Capacity!E63,Capacity!F63,Capacity!H63/'Capacity calculation (hide)'!BH51),"")</f>
        <v/>
      </c>
      <c r="BK51" s="313">
        <f>IF($BI51&lt;&gt;"",IF('Capacity summary'!$D$14="Yes",IF(COUNTBLANK('Capacity summary'!$H170:$BG170)&lt;52,IF('Capacity summary'!H170&lt;&gt;"",IF(LOWER('Capacity summary'!H170)="x",$BI51*H51,VALUE('Capacity summary'!H170)),0),H51*$BI51),H51*$BI51),0)</f>
        <v>0</v>
      </c>
      <c r="BL51" s="313">
        <f>IF($BI51&lt;&gt;"",IF('Capacity summary'!$D$14="Yes",IF(COUNTBLANK('Capacity summary'!$H170:$BG170)&lt;52,IF('Capacity summary'!I170&lt;&gt;"",IF(LOWER('Capacity summary'!I170)="x",$BI51*I51,VALUE('Capacity summary'!I170)),0),I51*$BI51),I51*$BI51),0)</f>
        <v>0</v>
      </c>
      <c r="BM51" s="313">
        <f>IF($BI51&lt;&gt;"",IF('Capacity summary'!$D$14="Yes",IF(COUNTBLANK('Capacity summary'!$H170:$BG170)&lt;52,IF('Capacity summary'!J170&lt;&gt;"",IF(LOWER('Capacity summary'!J170)="x",$BI51*J51,VALUE('Capacity summary'!J170)),0),J51*$BI51),J51*$BI51),0)</f>
        <v>0</v>
      </c>
      <c r="BN51" s="313">
        <f>IF($BI51&lt;&gt;"",IF('Capacity summary'!$D$14="Yes",IF(COUNTBLANK('Capacity summary'!$H170:$BG170)&lt;52,IF('Capacity summary'!K170&lt;&gt;"",IF(LOWER('Capacity summary'!K170)="x",$BI51*K51,VALUE('Capacity summary'!K170)),0),K51*$BI51),K51*$BI51),0)</f>
        <v>0</v>
      </c>
      <c r="BO51" s="313">
        <f>IF($BI51&lt;&gt;"",IF('Capacity summary'!$D$14="Yes",IF(COUNTBLANK('Capacity summary'!$H170:$BG170)&lt;52,IF('Capacity summary'!L170&lt;&gt;"",IF(LOWER('Capacity summary'!L170)="x",$BI51*L51,VALUE('Capacity summary'!L170)),0),L51*$BI51),L51*$BI51),0)</f>
        <v>0</v>
      </c>
      <c r="BP51" s="313">
        <f>IF($BI51&lt;&gt;"",IF('Capacity summary'!$D$14="Yes",IF(COUNTBLANK('Capacity summary'!$H170:$BG170)&lt;52,IF('Capacity summary'!M170&lt;&gt;"",IF(LOWER('Capacity summary'!M170)="x",$BI51*M51,VALUE('Capacity summary'!M170)),0),M51*$BI51),M51*$BI51),0)</f>
        <v>0</v>
      </c>
      <c r="BQ51" s="313">
        <f>IF($BI51&lt;&gt;"",IF('Capacity summary'!$D$14="Yes",IF(COUNTBLANK('Capacity summary'!$H170:$BG170)&lt;52,IF('Capacity summary'!N170&lt;&gt;"",IF(LOWER('Capacity summary'!N170)="x",$BI51*N51,VALUE('Capacity summary'!N170)),0),N51*$BI51),N51*$BI51),0)</f>
        <v>0</v>
      </c>
      <c r="BR51" s="313">
        <f>IF($BI51&lt;&gt;"",IF('Capacity summary'!$D$14="Yes",IF(COUNTBLANK('Capacity summary'!$H170:$BG170)&lt;52,IF('Capacity summary'!O170&lt;&gt;"",IF(LOWER('Capacity summary'!O170)="x",$BI51*O51,VALUE('Capacity summary'!O170)),0),O51*$BI51),O51*$BI51),0)</f>
        <v>0</v>
      </c>
      <c r="BS51" s="313">
        <f>IF($BI51&lt;&gt;"",IF('Capacity summary'!$D$14="Yes",IF(COUNTBLANK('Capacity summary'!$H170:$BG170)&lt;52,IF('Capacity summary'!P170&lt;&gt;"",IF(LOWER('Capacity summary'!P170)="x",$BI51*P51,VALUE('Capacity summary'!P170)),0),P51*$BI51),P51*$BI51),0)</f>
        <v>0</v>
      </c>
      <c r="BT51" s="313">
        <f>IF($BI51&lt;&gt;"",IF('Capacity summary'!$D$14="Yes",IF(COUNTBLANK('Capacity summary'!$H170:$BG170)&lt;52,IF('Capacity summary'!Q170&lt;&gt;"",IF(LOWER('Capacity summary'!Q170)="x",$BI51*Q51,VALUE('Capacity summary'!Q170)),0),Q51*$BI51),Q51*$BI51),0)</f>
        <v>0</v>
      </c>
      <c r="BU51" s="313">
        <f>IF($BI51&lt;&gt;"",IF('Capacity summary'!$D$14="Yes",IF(COUNTBLANK('Capacity summary'!$H170:$BG170)&lt;52,IF('Capacity summary'!R170&lt;&gt;"",IF(LOWER('Capacity summary'!R170)="x",$BI51*R51,VALUE('Capacity summary'!R170)),0),R51*$BI51),R51*$BI51),0)</f>
        <v>0</v>
      </c>
      <c r="BV51" s="313">
        <f>IF($BI51&lt;&gt;"",IF('Capacity summary'!$D$14="Yes",IF(COUNTBLANK('Capacity summary'!$H170:$BG170)&lt;52,IF('Capacity summary'!S170&lt;&gt;"",IF(LOWER('Capacity summary'!S170)="x",$BI51*S51,VALUE('Capacity summary'!S170)),0),S51*$BI51),S51*$BI51),0)</f>
        <v>0</v>
      </c>
      <c r="BW51" s="313">
        <f>IF($BI51&lt;&gt;"",IF('Capacity summary'!$D$14="Yes",IF(COUNTBLANK('Capacity summary'!$H170:$BG170)&lt;52,IF('Capacity summary'!T170&lt;&gt;"",IF(LOWER('Capacity summary'!T170)="x",$BI51*T51,VALUE('Capacity summary'!T170)),0),T51*$BI51),T51*$BI51),0)</f>
        <v>0</v>
      </c>
      <c r="BX51" s="313">
        <f>IF($BI51&lt;&gt;"",IF('Capacity summary'!$D$14="Yes",IF(COUNTBLANK('Capacity summary'!$H170:$BG170)&lt;52,IF('Capacity summary'!U170&lt;&gt;"",IF(LOWER('Capacity summary'!U170)="x",$BI51*U51,VALUE('Capacity summary'!U170)),0),U51*$BI51),U51*$BI51),0)</f>
        <v>0</v>
      </c>
      <c r="BY51" s="313">
        <f>IF($BI51&lt;&gt;"",IF('Capacity summary'!$D$14="Yes",IF(COUNTBLANK('Capacity summary'!$H170:$BG170)&lt;52,IF('Capacity summary'!V170&lt;&gt;"",IF(LOWER('Capacity summary'!V170)="x",$BI51*V51,VALUE('Capacity summary'!V170)),0),V51*$BI51),V51*$BI51),0)</f>
        <v>0</v>
      </c>
      <c r="BZ51" s="313">
        <f>IF($BI51&lt;&gt;"",IF('Capacity summary'!$D$14="Yes",IF(COUNTBLANK('Capacity summary'!$H170:$BG170)&lt;52,IF('Capacity summary'!W170&lt;&gt;"",IF(LOWER('Capacity summary'!W170)="x",$BI51*W51,VALUE('Capacity summary'!W170)),0),W51*$BI51),W51*$BI51),0)</f>
        <v>0</v>
      </c>
      <c r="CA51" s="313">
        <f>IF($BI51&lt;&gt;"",IF('Capacity summary'!$D$14="Yes",IF(COUNTBLANK('Capacity summary'!$H170:$BG170)&lt;52,IF('Capacity summary'!X170&lt;&gt;"",IF(LOWER('Capacity summary'!X170)="x",$BI51*X51,VALUE('Capacity summary'!X170)),0),X51*$BI51),X51*$BI51),0)</f>
        <v>0</v>
      </c>
      <c r="CB51" s="313">
        <f>IF($BI51&lt;&gt;"",IF('Capacity summary'!$D$14="Yes",IF(COUNTBLANK('Capacity summary'!$H170:$BG170)&lt;52,IF('Capacity summary'!Y170&lt;&gt;"",IF(LOWER('Capacity summary'!Y170)="x",$BI51*Y51,VALUE('Capacity summary'!Y170)),0),Y51*$BI51),Y51*$BI51),0)</f>
        <v>0</v>
      </c>
      <c r="CC51" s="313">
        <f>IF($BI51&lt;&gt;"",IF('Capacity summary'!$D$14="Yes",IF(COUNTBLANK('Capacity summary'!$H170:$BG170)&lt;52,IF('Capacity summary'!Z170&lt;&gt;"",IF(LOWER('Capacity summary'!Z170)="x",$BI51*Z51,VALUE('Capacity summary'!Z170)),0),Z51*$BI51),Z51*$BI51),0)</f>
        <v>0</v>
      </c>
      <c r="CD51" s="313">
        <f>IF($BI51&lt;&gt;"",IF('Capacity summary'!$D$14="Yes",IF(COUNTBLANK('Capacity summary'!$H170:$BG170)&lt;52,IF('Capacity summary'!AA170&lt;&gt;"",IF(LOWER('Capacity summary'!AA170)="x",$BI51*AA51,VALUE('Capacity summary'!AA170)),0),AA51*$BI51),AA51*$BI51),0)</f>
        <v>0</v>
      </c>
      <c r="CE51" s="313">
        <f>IF($BI51&lt;&gt;"",IF('Capacity summary'!$D$14="Yes",IF(COUNTBLANK('Capacity summary'!$H170:$BG170)&lt;52,IF('Capacity summary'!AB170&lt;&gt;"",IF(LOWER('Capacity summary'!AB170)="x",$BI51*AB51,VALUE('Capacity summary'!AB170)),0),AB51*$BI51),AB51*$BI51),0)</f>
        <v>0</v>
      </c>
      <c r="CF51" s="313">
        <f>IF($BI51&lt;&gt;"",IF('Capacity summary'!$D$14="Yes",IF(COUNTBLANK('Capacity summary'!$H170:$BG170)&lt;52,IF('Capacity summary'!AC170&lt;&gt;"",IF(LOWER('Capacity summary'!AC170)="x",$BI51*AC51,VALUE('Capacity summary'!AC170)),0),AC51*$BI51),AC51*$BI51),0)</f>
        <v>0</v>
      </c>
      <c r="CG51" s="313">
        <f>IF($BI51&lt;&gt;"",IF('Capacity summary'!$D$14="Yes",IF(COUNTBLANK('Capacity summary'!$H170:$BG170)&lt;52,IF('Capacity summary'!AD170&lt;&gt;"",IF(LOWER('Capacity summary'!AD170)="x",$BI51*AD51,VALUE('Capacity summary'!AD170)),0),AD51*$BI51),AD51*$BI51),0)</f>
        <v>0</v>
      </c>
      <c r="CH51" s="313">
        <f>IF($BI51&lt;&gt;"",IF('Capacity summary'!$D$14="Yes",IF(COUNTBLANK('Capacity summary'!$H170:$BG170)&lt;52,IF('Capacity summary'!AE170&lt;&gt;"",IF(LOWER('Capacity summary'!AE170)="x",$BI51*AE51,VALUE('Capacity summary'!AE170)),0),AE51*$BI51),AE51*$BI51),0)</f>
        <v>0</v>
      </c>
      <c r="CI51" s="313">
        <f>IF($BI51&lt;&gt;"",IF('Capacity summary'!$D$14="Yes",IF(COUNTBLANK('Capacity summary'!$H170:$BG170)&lt;52,IF('Capacity summary'!AF170&lt;&gt;"",IF(LOWER('Capacity summary'!AF170)="x",$BI51*AF51,VALUE('Capacity summary'!AF170)),0),AF51*$BI51),AF51*$BI51),0)</f>
        <v>0</v>
      </c>
      <c r="CJ51" s="313">
        <f>IF($BI51&lt;&gt;"",IF('Capacity summary'!$D$14="Yes",IF(COUNTBLANK('Capacity summary'!$H170:$BG170)&lt;52,IF('Capacity summary'!AG170&lt;&gt;"",IF(LOWER('Capacity summary'!AG170)="x",$BI51*AG51,VALUE('Capacity summary'!AG170)),0),AG51*$BI51),AG51*$BI51),0)</f>
        <v>0</v>
      </c>
      <c r="CK51" s="313">
        <f>IF($BI51&lt;&gt;"",IF('Capacity summary'!$D$14="Yes",IF(COUNTBLANK('Capacity summary'!$H170:$BG170)&lt;52,IF('Capacity summary'!AH170&lt;&gt;"",IF(LOWER('Capacity summary'!AH170)="x",$BI51*AH51,VALUE('Capacity summary'!AH170)),0),AH51*$BI51),AH51*$BI51),0)</f>
        <v>0</v>
      </c>
      <c r="CL51" s="313">
        <f>IF($BI51&lt;&gt;"",IF('Capacity summary'!$D$14="Yes",IF(COUNTBLANK('Capacity summary'!$H170:$BG170)&lt;52,IF('Capacity summary'!AI170&lt;&gt;"",IF(LOWER('Capacity summary'!AI170)="x",$BI51*AI51,VALUE('Capacity summary'!AI170)),0),AI51*$BI51),AI51*$BI51),0)</f>
        <v>0</v>
      </c>
      <c r="CM51" s="313">
        <f>IF($BI51&lt;&gt;"",IF('Capacity summary'!$D$14="Yes",IF(COUNTBLANK('Capacity summary'!$H170:$BG170)&lt;52,IF('Capacity summary'!AJ170&lt;&gt;"",IF(LOWER('Capacity summary'!AJ170)="x",$BI51*AJ51,VALUE('Capacity summary'!AJ170)),0),AJ51*$BI51),AJ51*$BI51),0)</f>
        <v>0</v>
      </c>
      <c r="CN51" s="313">
        <f>IF($BI51&lt;&gt;"",IF('Capacity summary'!$D$14="Yes",IF(COUNTBLANK('Capacity summary'!$H170:$BG170)&lt;52,IF('Capacity summary'!AK170&lt;&gt;"",IF(LOWER('Capacity summary'!AK170)="x",$BI51*AK51,VALUE('Capacity summary'!AK170)),0),AK51*$BI51),AK51*$BI51),0)</f>
        <v>0</v>
      </c>
      <c r="CO51" s="313">
        <f>IF($BI51&lt;&gt;"",IF('Capacity summary'!$D$14="Yes",IF(COUNTBLANK('Capacity summary'!$H170:$BG170)&lt;52,IF('Capacity summary'!AL170&lt;&gt;"",IF(LOWER('Capacity summary'!AL170)="x",$BI51*AL51,VALUE('Capacity summary'!AL170)),0),AL51*$BI51),AL51*$BI51),0)</f>
        <v>0</v>
      </c>
      <c r="CP51" s="313">
        <f>IF($BI51&lt;&gt;"",IF('Capacity summary'!$D$14="Yes",IF(COUNTBLANK('Capacity summary'!$H170:$BG170)&lt;52,IF('Capacity summary'!AM170&lt;&gt;"",IF(LOWER('Capacity summary'!AM170)="x",$BI51*AM51,VALUE('Capacity summary'!AM170)),0),AM51*$BI51),AM51*$BI51),0)</f>
        <v>0</v>
      </c>
      <c r="CQ51" s="313">
        <f>IF($BI51&lt;&gt;"",IF('Capacity summary'!$D$14="Yes",IF(COUNTBLANK('Capacity summary'!$H170:$BG170)&lt;52,IF('Capacity summary'!AN170&lt;&gt;"",IF(LOWER('Capacity summary'!AN170)="x",$BI51*AN51,VALUE('Capacity summary'!AN170)),0),AN51*$BI51),AN51*$BI51),0)</f>
        <v>0</v>
      </c>
      <c r="CR51" s="313">
        <f>IF($BI51&lt;&gt;"",IF('Capacity summary'!$D$14="Yes",IF(COUNTBLANK('Capacity summary'!$H170:$BG170)&lt;52,IF('Capacity summary'!AO170&lt;&gt;"",IF(LOWER('Capacity summary'!AO170)="x",$BI51*AO51,VALUE('Capacity summary'!AO170)),0),AO51*$BI51),AO51*$BI51),0)</f>
        <v>0</v>
      </c>
      <c r="CS51" s="313">
        <f>IF($BI51&lt;&gt;"",IF('Capacity summary'!$D$14="Yes",IF(COUNTBLANK('Capacity summary'!$H170:$BG170)&lt;52,IF('Capacity summary'!AP170&lt;&gt;"",IF(LOWER('Capacity summary'!AP170)="x",$BI51*AP51,VALUE('Capacity summary'!AP170)),0),AP51*$BI51),AP51*$BI51),0)</f>
        <v>0</v>
      </c>
      <c r="CT51" s="313">
        <f>IF($BI51&lt;&gt;"",IF('Capacity summary'!$D$14="Yes",IF(COUNTBLANK('Capacity summary'!$H170:$BG170)&lt;52,IF('Capacity summary'!AQ170&lt;&gt;"",IF(LOWER('Capacity summary'!AQ170)="x",$BI51*AQ51,VALUE('Capacity summary'!AQ170)),0),AQ51*$BI51),AQ51*$BI51),0)</f>
        <v>0</v>
      </c>
      <c r="CU51" s="313">
        <f>IF($BI51&lt;&gt;"",IF('Capacity summary'!$D$14="Yes",IF(COUNTBLANK('Capacity summary'!$H170:$BG170)&lt;52,IF('Capacity summary'!AR170&lt;&gt;"",IF(LOWER('Capacity summary'!AR170)="x",$BI51*AR51,VALUE('Capacity summary'!AR170)),0),AR51*$BI51),AR51*$BI51),0)</f>
        <v>0</v>
      </c>
      <c r="CV51" s="313">
        <f>IF($BI51&lt;&gt;"",IF('Capacity summary'!$D$14="Yes",IF(COUNTBLANK('Capacity summary'!$H170:$BG170)&lt;52,IF('Capacity summary'!AS170&lt;&gt;"",IF(LOWER('Capacity summary'!AS170)="x",$BI51*AS51,VALUE('Capacity summary'!AS170)),0),AS51*$BI51),AS51*$BI51),0)</f>
        <v>0</v>
      </c>
      <c r="CW51" s="313">
        <f>IF($BI51&lt;&gt;"",IF('Capacity summary'!$D$14="Yes",IF(COUNTBLANK('Capacity summary'!$H170:$BG170)&lt;52,IF('Capacity summary'!AT170&lt;&gt;"",IF(LOWER('Capacity summary'!AT170)="x",$BI51*AT51,VALUE('Capacity summary'!AT170)),0),AT51*$BI51),AT51*$BI51),0)</f>
        <v>0</v>
      </c>
      <c r="CX51" s="313">
        <f>IF($BI51&lt;&gt;"",IF('Capacity summary'!$D$14="Yes",IF(COUNTBLANK('Capacity summary'!$H170:$BG170)&lt;52,IF('Capacity summary'!AU170&lt;&gt;"",IF(LOWER('Capacity summary'!AU170)="x",$BI51*AU51,VALUE('Capacity summary'!AU170)),0),AU51*$BI51),AU51*$BI51),0)</f>
        <v>0</v>
      </c>
      <c r="CY51" s="313">
        <f>IF($BI51&lt;&gt;"",IF('Capacity summary'!$D$14="Yes",IF(COUNTBLANK('Capacity summary'!$H170:$BG170)&lt;52,IF('Capacity summary'!AV170&lt;&gt;"",IF(LOWER('Capacity summary'!AV170)="x",$BI51*AV51,VALUE('Capacity summary'!AV170)),0),AV51*$BI51),AV51*$BI51),0)</f>
        <v>0</v>
      </c>
      <c r="CZ51" s="313">
        <f>IF($BI51&lt;&gt;"",IF('Capacity summary'!$D$14="Yes",IF(COUNTBLANK('Capacity summary'!$H170:$BG170)&lt;52,IF('Capacity summary'!AW170&lt;&gt;"",IF(LOWER('Capacity summary'!AW170)="x",$BI51*AW51,VALUE('Capacity summary'!AW170)),0),AW51*$BI51),AW51*$BI51),0)</f>
        <v>0</v>
      </c>
      <c r="DA51" s="313">
        <f>IF($BI51&lt;&gt;"",IF('Capacity summary'!$D$14="Yes",IF(COUNTBLANK('Capacity summary'!$H170:$BG170)&lt;52,IF('Capacity summary'!AX170&lt;&gt;"",IF(LOWER('Capacity summary'!AX170)="x",$BI51*AX51,VALUE('Capacity summary'!AX170)),0),AX51*$BI51),AX51*$BI51),0)</f>
        <v>0</v>
      </c>
      <c r="DB51" s="313">
        <f>IF($BI51&lt;&gt;"",IF('Capacity summary'!$D$14="Yes",IF(COUNTBLANK('Capacity summary'!$H170:$BG170)&lt;52,IF('Capacity summary'!AY170&lt;&gt;"",IF(LOWER('Capacity summary'!AY170)="x",$BI51*AY51,VALUE('Capacity summary'!AY170)),0),AY51*$BI51),AY51*$BI51),0)</f>
        <v>0</v>
      </c>
      <c r="DC51" s="313">
        <f>IF($BI51&lt;&gt;"",IF('Capacity summary'!$D$14="Yes",IF(COUNTBLANK('Capacity summary'!$H170:$BG170)&lt;52,IF('Capacity summary'!AZ170&lt;&gt;"",IF(LOWER('Capacity summary'!AZ170)="x",$BI51*AZ51,VALUE('Capacity summary'!AZ170)),0),AZ51*$BI51),AZ51*$BI51),0)</f>
        <v>0</v>
      </c>
      <c r="DD51" s="313">
        <f>IF($BI51&lt;&gt;"",IF('Capacity summary'!$D$14="Yes",IF(COUNTBLANK('Capacity summary'!$H170:$BG170)&lt;52,IF('Capacity summary'!BA170&lt;&gt;"",IF(LOWER('Capacity summary'!BA170)="x",$BI51*BA51,VALUE('Capacity summary'!BA170)),0),BA51*$BI51),BA51*$BI51),0)</f>
        <v>0</v>
      </c>
      <c r="DE51" s="313">
        <f>IF($BI51&lt;&gt;"",IF('Capacity summary'!$D$14="Yes",IF(COUNTBLANK('Capacity summary'!$H170:$BG170)&lt;52,IF('Capacity summary'!BB170&lt;&gt;"",IF(LOWER('Capacity summary'!BB170)="x",$BI51*BB51,VALUE('Capacity summary'!BB170)),0),BB51*$BI51),BB51*$BI51),0)</f>
        <v>0</v>
      </c>
      <c r="DF51" s="313">
        <f>IF($BI51&lt;&gt;"",IF('Capacity summary'!$D$14="Yes",IF(COUNTBLANK('Capacity summary'!$H170:$BG170)&lt;52,IF('Capacity summary'!BC170&lt;&gt;"",IF(LOWER('Capacity summary'!BC170)="x",$BI51*BC51,VALUE('Capacity summary'!BC170)),0),BC51*$BI51),BC51*$BI51),0)</f>
        <v>0</v>
      </c>
      <c r="DG51" s="313">
        <f>IF($BI51&lt;&gt;"",IF('Capacity summary'!$D$14="Yes",IF(COUNTBLANK('Capacity summary'!$H170:$BG170)&lt;52,IF('Capacity summary'!BD170&lt;&gt;"",IF(LOWER('Capacity summary'!BD170)="x",$BI51*BD51,VALUE('Capacity summary'!BD170)),0),BD51*$BI51),BD51*$BI51),0)</f>
        <v>0</v>
      </c>
      <c r="DH51" s="313">
        <f>IF($BI51&lt;&gt;"",IF('Capacity summary'!$D$14="Yes",IF(COUNTBLANK('Capacity summary'!$H170:$BG170)&lt;52,IF('Capacity summary'!BE170&lt;&gt;"",IF(LOWER('Capacity summary'!BE170)="x",$BI51*BE51,VALUE('Capacity summary'!BE170)),0),BE51*$BI51),BE51*$BI51),0)</f>
        <v>0</v>
      </c>
      <c r="DI51" s="313">
        <f>IF($BI51&lt;&gt;"",IF('Capacity summary'!$D$14="Yes",IF(COUNTBLANK('Capacity summary'!$H170:$BG170)&lt;52,IF('Capacity summary'!BF170&lt;&gt;"",IF(LOWER('Capacity summary'!BF170)="x",$BI51*BF51,VALUE('Capacity summary'!BF170)),0),BF51*$BI51),BF51*$BI51),0)</f>
        <v>0</v>
      </c>
      <c r="DJ51" s="313">
        <f>IF($BI51&lt;&gt;"",IF('Capacity summary'!$D$14="Yes",IF(COUNTBLANK('Capacity summary'!$H170:$BG170)&lt;52,IF('Capacity summary'!BG170&lt;&gt;"",IF(LOWER('Capacity summary'!BG170)="x",$BI51*BG51,VALUE('Capacity summary'!BG170)),0),BG51*$BI51),BG51*$BI51),0)</f>
        <v>0</v>
      </c>
      <c r="DK51" s="137">
        <f t="shared" si="2"/>
        <v>0</v>
      </c>
      <c r="DL51" s="313" t="str">
        <f>Capacity!H63</f>
        <v/>
      </c>
      <c r="DP51" s="5"/>
    </row>
    <row r="52" spans="2:120" x14ac:dyDescent="0.25">
      <c r="B52" s="67"/>
      <c r="C52" s="67" t="str">
        <f>ROW(A48)&amp;". "&amp;Capacity!B64</f>
        <v xml:space="preserve">48. </v>
      </c>
      <c r="D52" s="67">
        <f>'Capacity setup'!C59</f>
        <v>0</v>
      </c>
      <c r="E52" s="67">
        <f>'Capacity setup'!D59</f>
        <v>0</v>
      </c>
      <c r="F52" s="67">
        <f>'Capacity setup'!E59</f>
        <v>0</v>
      </c>
      <c r="H52" s="67">
        <f ca="1">IF(AND(SUMIF(Capacity_Resource,$D52,'Critical resources (hide)'!U$6:U$105)+SUMIF(Capacity_Resource,$E52,'Critical resources (hide)'!U$6:U$105)+SUMIF(Capacity_Resource,$F52,'Critical resources (hide)'!U$6:U$105)&gt;0,$E$1=2),0,1)</f>
        <v>1</v>
      </c>
      <c r="I52" s="67">
        <f ca="1">IF(AND(SUMIF(Capacity_Resource,$D52,'Critical resources (hide)'!V$6:V$105)+SUMIF(Capacity_Resource,$E52,'Critical resources (hide)'!V$6:V$105)+SUMIF(Capacity_Resource,$F52,'Critical resources (hide)'!V$6:V$105)&gt;0,$E$1=2),0,1)</f>
        <v>1</v>
      </c>
      <c r="J52" s="67">
        <f ca="1">IF(AND(SUMIF(Capacity_Resource,$D52,'Critical resources (hide)'!W$6:W$105)+SUMIF(Capacity_Resource,$E52,'Critical resources (hide)'!W$6:W$105)+SUMIF(Capacity_Resource,$F52,'Critical resources (hide)'!W$6:W$105)&gt;0,$E$1=2),0,1)</f>
        <v>1</v>
      </c>
      <c r="K52" s="67">
        <f ca="1">IF(AND(SUMIF(Capacity_Resource,$D52,'Critical resources (hide)'!X$6:X$105)+SUMIF(Capacity_Resource,$E52,'Critical resources (hide)'!X$6:X$105)+SUMIF(Capacity_Resource,$F52,'Critical resources (hide)'!X$6:X$105)&gt;0,$E$1=2),0,1)</f>
        <v>1</v>
      </c>
      <c r="L52" s="67">
        <f ca="1">IF(AND(SUMIF(Capacity_Resource,$D52,'Critical resources (hide)'!Y$6:Y$105)+SUMIF(Capacity_Resource,$E52,'Critical resources (hide)'!Y$6:Y$105)+SUMIF(Capacity_Resource,$F52,'Critical resources (hide)'!Y$6:Y$105)&gt;0,$E$1=2),0,1)</f>
        <v>1</v>
      </c>
      <c r="M52" s="67">
        <f ca="1">IF(AND(SUMIF(Capacity_Resource,$D52,'Critical resources (hide)'!Z$6:Z$105)+SUMIF(Capacity_Resource,$E52,'Critical resources (hide)'!Z$6:Z$105)+SUMIF(Capacity_Resource,$F52,'Critical resources (hide)'!Z$6:Z$105)&gt;0,$E$1=2),0,1)</f>
        <v>1</v>
      </c>
      <c r="N52" s="67">
        <f ca="1">IF(AND(SUMIF(Capacity_Resource,$D52,'Critical resources (hide)'!AA$6:AA$105)+SUMIF(Capacity_Resource,$E52,'Critical resources (hide)'!AA$6:AA$105)+SUMIF(Capacity_Resource,$F52,'Critical resources (hide)'!AA$6:AA$105)&gt;0,$E$1=2),0,1)</f>
        <v>1</v>
      </c>
      <c r="O52" s="67">
        <f ca="1">IF(AND(SUMIF(Capacity_Resource,$D52,'Critical resources (hide)'!AB$6:AB$105)+SUMIF(Capacity_Resource,$E52,'Critical resources (hide)'!AB$6:AB$105)+SUMIF(Capacity_Resource,$F52,'Critical resources (hide)'!AB$6:AB$105)&gt;0,$E$1=2),0,1)</f>
        <v>1</v>
      </c>
      <c r="P52" s="67">
        <f ca="1">IF(AND(SUMIF(Capacity_Resource,$D52,'Critical resources (hide)'!AC$6:AC$105)+SUMIF(Capacity_Resource,$E52,'Critical resources (hide)'!AC$6:AC$105)+SUMIF(Capacity_Resource,$F52,'Critical resources (hide)'!AC$6:AC$105)&gt;0,$E$1=2),0,1)</f>
        <v>1</v>
      </c>
      <c r="Q52" s="67">
        <f ca="1">IF(AND(SUMIF(Capacity_Resource,$D52,'Critical resources (hide)'!AD$6:AD$105)+SUMIF(Capacity_Resource,$E52,'Critical resources (hide)'!AD$6:AD$105)+SUMIF(Capacity_Resource,$F52,'Critical resources (hide)'!AD$6:AD$105)&gt;0,$E$1=2),0,1)</f>
        <v>1</v>
      </c>
      <c r="R52" s="67">
        <f ca="1">IF(AND(SUMIF(Capacity_Resource,$D52,'Critical resources (hide)'!AE$6:AE$105)+SUMIF(Capacity_Resource,$E52,'Critical resources (hide)'!AE$6:AE$105)+SUMIF(Capacity_Resource,$F52,'Critical resources (hide)'!AE$6:AE$105)&gt;0,$E$1=2),0,1)</f>
        <v>1</v>
      </c>
      <c r="S52" s="67">
        <f ca="1">IF(AND(SUMIF(Capacity_Resource,$D52,'Critical resources (hide)'!AF$6:AF$105)+SUMIF(Capacity_Resource,$E52,'Critical resources (hide)'!AF$6:AF$105)+SUMIF(Capacity_Resource,$F52,'Critical resources (hide)'!AF$6:AF$105)&gt;0,$E$1=2),0,1)</f>
        <v>1</v>
      </c>
      <c r="T52" s="67">
        <f ca="1">IF(AND(SUMIF(Capacity_Resource,$D52,'Critical resources (hide)'!AG$6:AG$105)+SUMIF(Capacity_Resource,$E52,'Critical resources (hide)'!AG$6:AG$105)+SUMIF(Capacity_Resource,$F52,'Critical resources (hide)'!AG$6:AG$105)&gt;0,$E$1=2),0,1)</f>
        <v>1</v>
      </c>
      <c r="U52" s="67">
        <f ca="1">IF(AND(SUMIF(Capacity_Resource,$D52,'Critical resources (hide)'!AH$6:AH$105)+SUMIF(Capacity_Resource,$E52,'Critical resources (hide)'!AH$6:AH$105)+SUMIF(Capacity_Resource,$F52,'Critical resources (hide)'!AH$6:AH$105)&gt;0,$E$1=2),0,1)</f>
        <v>1</v>
      </c>
      <c r="V52" s="67">
        <f ca="1">IF(AND(SUMIF(Capacity_Resource,$D52,'Critical resources (hide)'!AI$6:AI$105)+SUMIF(Capacity_Resource,$E52,'Critical resources (hide)'!AI$6:AI$105)+SUMIF(Capacity_Resource,$F52,'Critical resources (hide)'!AI$6:AI$105)&gt;0,$E$1=2),0,1)</f>
        <v>1</v>
      </c>
      <c r="W52" s="67">
        <f ca="1">IF(AND(SUMIF(Capacity_Resource,$D52,'Critical resources (hide)'!AJ$6:AJ$105)+SUMIF(Capacity_Resource,$E52,'Critical resources (hide)'!AJ$6:AJ$105)+SUMIF(Capacity_Resource,$F52,'Critical resources (hide)'!AJ$6:AJ$105)&gt;0,$E$1=2),0,1)</f>
        <v>1</v>
      </c>
      <c r="X52" s="67">
        <f ca="1">IF(AND(SUMIF(Capacity_Resource,$D52,'Critical resources (hide)'!AK$6:AK$105)+SUMIF(Capacity_Resource,$E52,'Critical resources (hide)'!AK$6:AK$105)+SUMIF(Capacity_Resource,$F52,'Critical resources (hide)'!AK$6:AK$105)&gt;0,$E$1=2),0,1)</f>
        <v>1</v>
      </c>
      <c r="Y52" s="67">
        <f ca="1">IF(AND(SUMIF(Capacity_Resource,$D52,'Critical resources (hide)'!AL$6:AL$105)+SUMIF(Capacity_Resource,$E52,'Critical resources (hide)'!AL$6:AL$105)+SUMIF(Capacity_Resource,$F52,'Critical resources (hide)'!AL$6:AL$105)&gt;0,$E$1=2),0,1)</f>
        <v>1</v>
      </c>
      <c r="Z52" s="67">
        <f ca="1">IF(AND(SUMIF(Capacity_Resource,$D52,'Critical resources (hide)'!AM$6:AM$105)+SUMIF(Capacity_Resource,$E52,'Critical resources (hide)'!AM$6:AM$105)+SUMIF(Capacity_Resource,$F52,'Critical resources (hide)'!AM$6:AM$105)&gt;0,$E$1=2),0,1)</f>
        <v>1</v>
      </c>
      <c r="AA52" s="67">
        <f ca="1">IF(AND(SUMIF(Capacity_Resource,$D52,'Critical resources (hide)'!AN$6:AN$105)+SUMIF(Capacity_Resource,$E52,'Critical resources (hide)'!AN$6:AN$105)+SUMIF(Capacity_Resource,$F52,'Critical resources (hide)'!AN$6:AN$105)&gt;0,$E$1=2),0,1)</f>
        <v>1</v>
      </c>
      <c r="AB52" s="67">
        <f ca="1">IF(AND(SUMIF(Capacity_Resource,$D52,'Critical resources (hide)'!AO$6:AO$105)+SUMIF(Capacity_Resource,$E52,'Critical resources (hide)'!AO$6:AO$105)+SUMIF(Capacity_Resource,$F52,'Critical resources (hide)'!AO$6:AO$105)&gt;0,$E$1=2),0,1)</f>
        <v>1</v>
      </c>
      <c r="AC52" s="67">
        <f ca="1">IF(AND(SUMIF(Capacity_Resource,$D52,'Critical resources (hide)'!AP$6:AP$105)+SUMIF(Capacity_Resource,$E52,'Critical resources (hide)'!AP$6:AP$105)+SUMIF(Capacity_Resource,$F52,'Critical resources (hide)'!AP$6:AP$105)&gt;0,$E$1=2),0,1)</f>
        <v>1</v>
      </c>
      <c r="AD52" s="67">
        <f ca="1">IF(AND(SUMIF(Capacity_Resource,$D52,'Critical resources (hide)'!AQ$6:AQ$105)+SUMIF(Capacity_Resource,$E52,'Critical resources (hide)'!AQ$6:AQ$105)+SUMIF(Capacity_Resource,$F52,'Critical resources (hide)'!AQ$6:AQ$105)&gt;0,$E$1=2),0,1)</f>
        <v>1</v>
      </c>
      <c r="AE52" s="67">
        <f ca="1">IF(AND(SUMIF(Capacity_Resource,$D52,'Critical resources (hide)'!AR$6:AR$105)+SUMIF(Capacity_Resource,$E52,'Critical resources (hide)'!AR$6:AR$105)+SUMIF(Capacity_Resource,$F52,'Critical resources (hide)'!AR$6:AR$105)&gt;0,$E$1=2),0,1)</f>
        <v>1</v>
      </c>
      <c r="AF52" s="67">
        <f ca="1">IF(AND(SUMIF(Capacity_Resource,$D52,'Critical resources (hide)'!AS$6:AS$105)+SUMIF(Capacity_Resource,$E52,'Critical resources (hide)'!AS$6:AS$105)+SUMIF(Capacity_Resource,$F52,'Critical resources (hide)'!AS$6:AS$105)&gt;0,$E$1=2),0,1)</f>
        <v>1</v>
      </c>
      <c r="AG52" s="67">
        <f ca="1">IF(AND(SUMIF(Capacity_Resource,$D52,'Critical resources (hide)'!AT$6:AT$105)+SUMIF(Capacity_Resource,$E52,'Critical resources (hide)'!AT$6:AT$105)+SUMIF(Capacity_Resource,$F52,'Critical resources (hide)'!AT$6:AT$105)&gt;0,$E$1=2),0,1)</f>
        <v>1</v>
      </c>
      <c r="AH52" s="67">
        <f ca="1">IF(AND(SUMIF(Capacity_Resource,$D52,'Critical resources (hide)'!AU$6:AU$105)+SUMIF(Capacity_Resource,$E52,'Critical resources (hide)'!AU$6:AU$105)+SUMIF(Capacity_Resource,$F52,'Critical resources (hide)'!AU$6:AU$105)&gt;0,$E$1=2),0,1)</f>
        <v>1</v>
      </c>
      <c r="AI52" s="67">
        <f ca="1">IF(AND(SUMIF(Capacity_Resource,$D52,'Critical resources (hide)'!AV$6:AV$105)+SUMIF(Capacity_Resource,$E52,'Critical resources (hide)'!AV$6:AV$105)+SUMIF(Capacity_Resource,$F52,'Critical resources (hide)'!AV$6:AV$105)&gt;0,$E$1=2),0,1)</f>
        <v>1</v>
      </c>
      <c r="AJ52" s="67">
        <f ca="1">IF(AND(SUMIF(Capacity_Resource,$D52,'Critical resources (hide)'!AW$6:AW$105)+SUMIF(Capacity_Resource,$E52,'Critical resources (hide)'!AW$6:AW$105)+SUMIF(Capacity_Resource,$F52,'Critical resources (hide)'!AW$6:AW$105)&gt;0,$E$1=2),0,1)</f>
        <v>1</v>
      </c>
      <c r="AK52" s="67">
        <f ca="1">IF(AND(SUMIF(Capacity_Resource,$D52,'Critical resources (hide)'!AX$6:AX$105)+SUMIF(Capacity_Resource,$E52,'Critical resources (hide)'!AX$6:AX$105)+SUMIF(Capacity_Resource,$F52,'Critical resources (hide)'!AX$6:AX$105)&gt;0,$E$1=2),0,1)</f>
        <v>1</v>
      </c>
      <c r="AL52" s="67">
        <f ca="1">IF(AND(SUMIF(Capacity_Resource,$D52,'Critical resources (hide)'!AY$6:AY$105)+SUMIF(Capacity_Resource,$E52,'Critical resources (hide)'!AY$6:AY$105)+SUMIF(Capacity_Resource,$F52,'Critical resources (hide)'!AY$6:AY$105)&gt;0,$E$1=2),0,1)</f>
        <v>1</v>
      </c>
      <c r="AM52" s="67">
        <f ca="1">IF(AND(SUMIF(Capacity_Resource,$D52,'Critical resources (hide)'!AZ$6:AZ$105)+SUMIF(Capacity_Resource,$E52,'Critical resources (hide)'!AZ$6:AZ$105)+SUMIF(Capacity_Resource,$F52,'Critical resources (hide)'!AZ$6:AZ$105)&gt;0,$E$1=2),0,1)</f>
        <v>1</v>
      </c>
      <c r="AN52" s="67">
        <f ca="1">IF(AND(SUMIF(Capacity_Resource,$D52,'Critical resources (hide)'!BA$6:BA$105)+SUMIF(Capacity_Resource,$E52,'Critical resources (hide)'!BA$6:BA$105)+SUMIF(Capacity_Resource,$F52,'Critical resources (hide)'!BA$6:BA$105)&gt;0,$E$1=2),0,1)</f>
        <v>1</v>
      </c>
      <c r="AO52" s="67">
        <f ca="1">IF(AND(SUMIF(Capacity_Resource,$D52,'Critical resources (hide)'!BB$6:BB$105)+SUMIF(Capacity_Resource,$E52,'Critical resources (hide)'!BB$6:BB$105)+SUMIF(Capacity_Resource,$F52,'Critical resources (hide)'!BB$6:BB$105)&gt;0,$E$1=2),0,1)</f>
        <v>1</v>
      </c>
      <c r="AP52" s="67">
        <f ca="1">IF(AND(SUMIF(Capacity_Resource,$D52,'Critical resources (hide)'!BC$6:BC$105)+SUMIF(Capacity_Resource,$E52,'Critical resources (hide)'!BC$6:BC$105)+SUMIF(Capacity_Resource,$F52,'Critical resources (hide)'!BC$6:BC$105)&gt;0,$E$1=2),0,1)</f>
        <v>1</v>
      </c>
      <c r="AQ52" s="67">
        <f ca="1">IF(AND(SUMIF(Capacity_Resource,$D52,'Critical resources (hide)'!BD$6:BD$105)+SUMIF(Capacity_Resource,$E52,'Critical resources (hide)'!BD$6:BD$105)+SUMIF(Capacity_Resource,$F52,'Critical resources (hide)'!BD$6:BD$105)&gt;0,$E$1=2),0,1)</f>
        <v>1</v>
      </c>
      <c r="AR52" s="67">
        <f ca="1">IF(AND(SUMIF(Capacity_Resource,$D52,'Critical resources (hide)'!BE$6:BE$105)+SUMIF(Capacity_Resource,$E52,'Critical resources (hide)'!BE$6:BE$105)+SUMIF(Capacity_Resource,$F52,'Critical resources (hide)'!BE$6:BE$105)&gt;0,$E$1=2),0,1)</f>
        <v>1</v>
      </c>
      <c r="AS52" s="67">
        <f ca="1">IF(AND(SUMIF(Capacity_Resource,$D52,'Critical resources (hide)'!BF$6:BF$105)+SUMIF(Capacity_Resource,$E52,'Critical resources (hide)'!BF$6:BF$105)+SUMIF(Capacity_Resource,$F52,'Critical resources (hide)'!BF$6:BF$105)&gt;0,$E$1=2),0,1)</f>
        <v>1</v>
      </c>
      <c r="AT52" s="67">
        <f ca="1">IF(AND(SUMIF(Capacity_Resource,$D52,'Critical resources (hide)'!BG$6:BG$105)+SUMIF(Capacity_Resource,$E52,'Critical resources (hide)'!BG$6:BG$105)+SUMIF(Capacity_Resource,$F52,'Critical resources (hide)'!BG$6:BG$105)&gt;0,$E$1=2),0,1)</f>
        <v>1</v>
      </c>
      <c r="AU52" s="67">
        <f ca="1">IF(AND(SUMIF(Capacity_Resource,$D52,'Critical resources (hide)'!BH$6:BH$105)+SUMIF(Capacity_Resource,$E52,'Critical resources (hide)'!BH$6:BH$105)+SUMIF(Capacity_Resource,$F52,'Critical resources (hide)'!BH$6:BH$105)&gt;0,$E$1=2),0,1)</f>
        <v>1</v>
      </c>
      <c r="AV52" s="67">
        <f ca="1">IF(AND(SUMIF(Capacity_Resource,$D52,'Critical resources (hide)'!BI$6:BI$105)+SUMIF(Capacity_Resource,$E52,'Critical resources (hide)'!BI$6:BI$105)+SUMIF(Capacity_Resource,$F52,'Critical resources (hide)'!BI$6:BI$105)&gt;0,$E$1=2),0,1)</f>
        <v>1</v>
      </c>
      <c r="AW52" s="67">
        <f ca="1">IF(AND(SUMIF(Capacity_Resource,$D52,'Critical resources (hide)'!BJ$6:BJ$105)+SUMIF(Capacity_Resource,$E52,'Critical resources (hide)'!BJ$6:BJ$105)+SUMIF(Capacity_Resource,$F52,'Critical resources (hide)'!BJ$6:BJ$105)&gt;0,$E$1=2),0,1)</f>
        <v>1</v>
      </c>
      <c r="AX52" s="67">
        <f ca="1">IF(AND(SUMIF(Capacity_Resource,$D52,'Critical resources (hide)'!BK$6:BK$105)+SUMIF(Capacity_Resource,$E52,'Critical resources (hide)'!BK$6:BK$105)+SUMIF(Capacity_Resource,$F52,'Critical resources (hide)'!BK$6:BK$105)&gt;0,$E$1=2),0,1)</f>
        <v>1</v>
      </c>
      <c r="AY52" s="67">
        <f ca="1">IF(AND(SUMIF(Capacity_Resource,$D52,'Critical resources (hide)'!BL$6:BL$105)+SUMIF(Capacity_Resource,$E52,'Critical resources (hide)'!BL$6:BL$105)+SUMIF(Capacity_Resource,$F52,'Critical resources (hide)'!BL$6:BL$105)&gt;0,$E$1=2),0,1)</f>
        <v>1</v>
      </c>
      <c r="AZ52" s="67">
        <f ca="1">IF(AND(SUMIF(Capacity_Resource,$D52,'Critical resources (hide)'!BM$6:BM$105)+SUMIF(Capacity_Resource,$E52,'Critical resources (hide)'!BM$6:BM$105)+SUMIF(Capacity_Resource,$F52,'Critical resources (hide)'!BM$6:BM$105)&gt;0,$E$1=2),0,1)</f>
        <v>1</v>
      </c>
      <c r="BA52" s="67">
        <f ca="1">IF(AND(SUMIF(Capacity_Resource,$D52,'Critical resources (hide)'!BN$6:BN$105)+SUMIF(Capacity_Resource,$E52,'Critical resources (hide)'!BN$6:BN$105)+SUMIF(Capacity_Resource,$F52,'Critical resources (hide)'!BN$6:BN$105)&gt;0,$E$1=2),0,1)</f>
        <v>1</v>
      </c>
      <c r="BB52" s="67">
        <f ca="1">IF(AND(SUMIF(Capacity_Resource,$D52,'Critical resources (hide)'!BO$6:BO$105)+SUMIF(Capacity_Resource,$E52,'Critical resources (hide)'!BO$6:BO$105)+SUMIF(Capacity_Resource,$F52,'Critical resources (hide)'!BO$6:BO$105)&gt;0,$E$1=2),0,1)</f>
        <v>1</v>
      </c>
      <c r="BC52" s="67">
        <f ca="1">IF(AND(SUMIF(Capacity_Resource,$D52,'Critical resources (hide)'!BP$6:BP$105)+SUMIF(Capacity_Resource,$E52,'Critical resources (hide)'!BP$6:BP$105)+SUMIF(Capacity_Resource,$F52,'Critical resources (hide)'!BP$6:BP$105)&gt;0,$E$1=2),0,1)</f>
        <v>1</v>
      </c>
      <c r="BD52" s="67">
        <f ca="1">IF(AND(SUMIF(Capacity_Resource,$D52,'Critical resources (hide)'!BQ$6:BQ$105)+SUMIF(Capacity_Resource,$E52,'Critical resources (hide)'!BQ$6:BQ$105)+SUMIF(Capacity_Resource,$F52,'Critical resources (hide)'!BQ$6:BQ$105)&gt;0,$E$1=2),0,1)</f>
        <v>1</v>
      </c>
      <c r="BE52" s="67">
        <f ca="1">IF(AND(SUMIF(Capacity_Resource,$D52,'Critical resources (hide)'!BR$6:BR$105)+SUMIF(Capacity_Resource,$E52,'Critical resources (hide)'!BR$6:BR$105)+SUMIF(Capacity_Resource,$F52,'Critical resources (hide)'!BR$6:BR$105)&gt;0,$E$1=2),0,1)</f>
        <v>1</v>
      </c>
      <c r="BF52" s="67">
        <f ca="1">IF(AND(SUMIF(Capacity_Resource,$D52,'Critical resources (hide)'!BS$6:BS$105)+SUMIF(Capacity_Resource,$E52,'Critical resources (hide)'!BS$6:BS$105)+SUMIF(Capacity_Resource,$F52,'Critical resources (hide)'!BS$6:BS$105)&gt;0,$E$1=2),0,1)</f>
        <v>1</v>
      </c>
      <c r="BG52" s="67">
        <f ca="1">IF(AND(SUMIF(Capacity_Resource,$D52,'Critical resources (hide)'!BT$6:BT$105)+SUMIF(Capacity_Resource,$E52,'Critical resources (hide)'!BT$6:BT$105)+SUMIF(Capacity_Resource,$F52,'Critical resources (hide)'!BT$6:BT$105)&gt;0,$E$1=2),0,1)</f>
        <v>1</v>
      </c>
      <c r="BH52" s="67">
        <f>IF(ROW(C48)&lt;=Capacity!$A$16,IF('Capacity summary'!$D$14="No",SUM(H52:BG52),'Capacity summary'!$E171),0)</f>
        <v>0</v>
      </c>
      <c r="BI52" s="5" t="str">
        <f>IF(BH52&gt;0,IF(BH52&lt;Capacity!E64,Capacity!F64,Capacity!H64/'Capacity calculation (hide)'!BH52),"")</f>
        <v/>
      </c>
      <c r="BK52" s="313">
        <f>IF($BI52&lt;&gt;"",IF('Capacity summary'!$D$14="Yes",IF(COUNTBLANK('Capacity summary'!$H171:$BG171)&lt;52,IF('Capacity summary'!H171&lt;&gt;"",IF(LOWER('Capacity summary'!H171)="x",$BI52*H52,VALUE('Capacity summary'!H171)),0),H52*$BI52),H52*$BI52),0)</f>
        <v>0</v>
      </c>
      <c r="BL52" s="313">
        <f>IF($BI52&lt;&gt;"",IF('Capacity summary'!$D$14="Yes",IF(COUNTBLANK('Capacity summary'!$H171:$BG171)&lt;52,IF('Capacity summary'!I171&lt;&gt;"",IF(LOWER('Capacity summary'!I171)="x",$BI52*I52,VALUE('Capacity summary'!I171)),0),I52*$BI52),I52*$BI52),0)</f>
        <v>0</v>
      </c>
      <c r="BM52" s="313">
        <f>IF($BI52&lt;&gt;"",IF('Capacity summary'!$D$14="Yes",IF(COUNTBLANK('Capacity summary'!$H171:$BG171)&lt;52,IF('Capacity summary'!J171&lt;&gt;"",IF(LOWER('Capacity summary'!J171)="x",$BI52*J52,VALUE('Capacity summary'!J171)),0),J52*$BI52),J52*$BI52),0)</f>
        <v>0</v>
      </c>
      <c r="BN52" s="313">
        <f>IF($BI52&lt;&gt;"",IF('Capacity summary'!$D$14="Yes",IF(COUNTBLANK('Capacity summary'!$H171:$BG171)&lt;52,IF('Capacity summary'!K171&lt;&gt;"",IF(LOWER('Capacity summary'!K171)="x",$BI52*K52,VALUE('Capacity summary'!K171)),0),K52*$BI52),K52*$BI52),0)</f>
        <v>0</v>
      </c>
      <c r="BO52" s="313">
        <f>IF($BI52&lt;&gt;"",IF('Capacity summary'!$D$14="Yes",IF(COUNTBLANK('Capacity summary'!$H171:$BG171)&lt;52,IF('Capacity summary'!L171&lt;&gt;"",IF(LOWER('Capacity summary'!L171)="x",$BI52*L52,VALUE('Capacity summary'!L171)),0),L52*$BI52),L52*$BI52),0)</f>
        <v>0</v>
      </c>
      <c r="BP52" s="313">
        <f>IF($BI52&lt;&gt;"",IF('Capacity summary'!$D$14="Yes",IF(COUNTBLANK('Capacity summary'!$H171:$BG171)&lt;52,IF('Capacity summary'!M171&lt;&gt;"",IF(LOWER('Capacity summary'!M171)="x",$BI52*M52,VALUE('Capacity summary'!M171)),0),M52*$BI52),M52*$BI52),0)</f>
        <v>0</v>
      </c>
      <c r="BQ52" s="313">
        <f>IF($BI52&lt;&gt;"",IF('Capacity summary'!$D$14="Yes",IF(COUNTBLANK('Capacity summary'!$H171:$BG171)&lt;52,IF('Capacity summary'!N171&lt;&gt;"",IF(LOWER('Capacity summary'!N171)="x",$BI52*N52,VALUE('Capacity summary'!N171)),0),N52*$BI52),N52*$BI52),0)</f>
        <v>0</v>
      </c>
      <c r="BR52" s="313">
        <f>IF($BI52&lt;&gt;"",IF('Capacity summary'!$D$14="Yes",IF(COUNTBLANK('Capacity summary'!$H171:$BG171)&lt;52,IF('Capacity summary'!O171&lt;&gt;"",IF(LOWER('Capacity summary'!O171)="x",$BI52*O52,VALUE('Capacity summary'!O171)),0),O52*$BI52),O52*$BI52),0)</f>
        <v>0</v>
      </c>
      <c r="BS52" s="313">
        <f>IF($BI52&lt;&gt;"",IF('Capacity summary'!$D$14="Yes",IF(COUNTBLANK('Capacity summary'!$H171:$BG171)&lt;52,IF('Capacity summary'!P171&lt;&gt;"",IF(LOWER('Capacity summary'!P171)="x",$BI52*P52,VALUE('Capacity summary'!P171)),0),P52*$BI52),P52*$BI52),0)</f>
        <v>0</v>
      </c>
      <c r="BT52" s="313">
        <f>IF($BI52&lt;&gt;"",IF('Capacity summary'!$D$14="Yes",IF(COUNTBLANK('Capacity summary'!$H171:$BG171)&lt;52,IF('Capacity summary'!Q171&lt;&gt;"",IF(LOWER('Capacity summary'!Q171)="x",$BI52*Q52,VALUE('Capacity summary'!Q171)),0),Q52*$BI52),Q52*$BI52),0)</f>
        <v>0</v>
      </c>
      <c r="BU52" s="313">
        <f>IF($BI52&lt;&gt;"",IF('Capacity summary'!$D$14="Yes",IF(COUNTBLANK('Capacity summary'!$H171:$BG171)&lt;52,IF('Capacity summary'!R171&lt;&gt;"",IF(LOWER('Capacity summary'!R171)="x",$BI52*R52,VALUE('Capacity summary'!R171)),0),R52*$BI52),R52*$BI52),0)</f>
        <v>0</v>
      </c>
      <c r="BV52" s="313">
        <f>IF($BI52&lt;&gt;"",IF('Capacity summary'!$D$14="Yes",IF(COUNTBLANK('Capacity summary'!$H171:$BG171)&lt;52,IF('Capacity summary'!S171&lt;&gt;"",IF(LOWER('Capacity summary'!S171)="x",$BI52*S52,VALUE('Capacity summary'!S171)),0),S52*$BI52),S52*$BI52),0)</f>
        <v>0</v>
      </c>
      <c r="BW52" s="313">
        <f>IF($BI52&lt;&gt;"",IF('Capacity summary'!$D$14="Yes",IF(COUNTBLANK('Capacity summary'!$H171:$BG171)&lt;52,IF('Capacity summary'!T171&lt;&gt;"",IF(LOWER('Capacity summary'!T171)="x",$BI52*T52,VALUE('Capacity summary'!T171)),0),T52*$BI52),T52*$BI52),0)</f>
        <v>0</v>
      </c>
      <c r="BX52" s="313">
        <f>IF($BI52&lt;&gt;"",IF('Capacity summary'!$D$14="Yes",IF(COUNTBLANK('Capacity summary'!$H171:$BG171)&lt;52,IF('Capacity summary'!U171&lt;&gt;"",IF(LOWER('Capacity summary'!U171)="x",$BI52*U52,VALUE('Capacity summary'!U171)),0),U52*$BI52),U52*$BI52),0)</f>
        <v>0</v>
      </c>
      <c r="BY52" s="313">
        <f>IF($BI52&lt;&gt;"",IF('Capacity summary'!$D$14="Yes",IF(COUNTBLANK('Capacity summary'!$H171:$BG171)&lt;52,IF('Capacity summary'!V171&lt;&gt;"",IF(LOWER('Capacity summary'!V171)="x",$BI52*V52,VALUE('Capacity summary'!V171)),0),V52*$BI52),V52*$BI52),0)</f>
        <v>0</v>
      </c>
      <c r="BZ52" s="313">
        <f>IF($BI52&lt;&gt;"",IF('Capacity summary'!$D$14="Yes",IF(COUNTBLANK('Capacity summary'!$H171:$BG171)&lt;52,IF('Capacity summary'!W171&lt;&gt;"",IF(LOWER('Capacity summary'!W171)="x",$BI52*W52,VALUE('Capacity summary'!W171)),0),W52*$BI52),W52*$BI52),0)</f>
        <v>0</v>
      </c>
      <c r="CA52" s="313">
        <f>IF($BI52&lt;&gt;"",IF('Capacity summary'!$D$14="Yes",IF(COUNTBLANK('Capacity summary'!$H171:$BG171)&lt;52,IF('Capacity summary'!X171&lt;&gt;"",IF(LOWER('Capacity summary'!X171)="x",$BI52*X52,VALUE('Capacity summary'!X171)),0),X52*$BI52),X52*$BI52),0)</f>
        <v>0</v>
      </c>
      <c r="CB52" s="313">
        <f>IF($BI52&lt;&gt;"",IF('Capacity summary'!$D$14="Yes",IF(COUNTBLANK('Capacity summary'!$H171:$BG171)&lt;52,IF('Capacity summary'!Y171&lt;&gt;"",IF(LOWER('Capacity summary'!Y171)="x",$BI52*Y52,VALUE('Capacity summary'!Y171)),0),Y52*$BI52),Y52*$BI52),0)</f>
        <v>0</v>
      </c>
      <c r="CC52" s="313">
        <f>IF($BI52&lt;&gt;"",IF('Capacity summary'!$D$14="Yes",IF(COUNTBLANK('Capacity summary'!$H171:$BG171)&lt;52,IF('Capacity summary'!Z171&lt;&gt;"",IF(LOWER('Capacity summary'!Z171)="x",$BI52*Z52,VALUE('Capacity summary'!Z171)),0),Z52*$BI52),Z52*$BI52),0)</f>
        <v>0</v>
      </c>
      <c r="CD52" s="313">
        <f>IF($BI52&lt;&gt;"",IF('Capacity summary'!$D$14="Yes",IF(COUNTBLANK('Capacity summary'!$H171:$BG171)&lt;52,IF('Capacity summary'!AA171&lt;&gt;"",IF(LOWER('Capacity summary'!AA171)="x",$BI52*AA52,VALUE('Capacity summary'!AA171)),0),AA52*$BI52),AA52*$BI52),0)</f>
        <v>0</v>
      </c>
      <c r="CE52" s="313">
        <f>IF($BI52&lt;&gt;"",IF('Capacity summary'!$D$14="Yes",IF(COUNTBLANK('Capacity summary'!$H171:$BG171)&lt;52,IF('Capacity summary'!AB171&lt;&gt;"",IF(LOWER('Capacity summary'!AB171)="x",$BI52*AB52,VALUE('Capacity summary'!AB171)),0),AB52*$BI52),AB52*$BI52),0)</f>
        <v>0</v>
      </c>
      <c r="CF52" s="313">
        <f>IF($BI52&lt;&gt;"",IF('Capacity summary'!$D$14="Yes",IF(COUNTBLANK('Capacity summary'!$H171:$BG171)&lt;52,IF('Capacity summary'!AC171&lt;&gt;"",IF(LOWER('Capacity summary'!AC171)="x",$BI52*AC52,VALUE('Capacity summary'!AC171)),0),AC52*$BI52),AC52*$BI52),0)</f>
        <v>0</v>
      </c>
      <c r="CG52" s="313">
        <f>IF($BI52&lt;&gt;"",IF('Capacity summary'!$D$14="Yes",IF(COUNTBLANK('Capacity summary'!$H171:$BG171)&lt;52,IF('Capacity summary'!AD171&lt;&gt;"",IF(LOWER('Capacity summary'!AD171)="x",$BI52*AD52,VALUE('Capacity summary'!AD171)),0),AD52*$BI52),AD52*$BI52),0)</f>
        <v>0</v>
      </c>
      <c r="CH52" s="313">
        <f>IF($BI52&lt;&gt;"",IF('Capacity summary'!$D$14="Yes",IF(COUNTBLANK('Capacity summary'!$H171:$BG171)&lt;52,IF('Capacity summary'!AE171&lt;&gt;"",IF(LOWER('Capacity summary'!AE171)="x",$BI52*AE52,VALUE('Capacity summary'!AE171)),0),AE52*$BI52),AE52*$BI52),0)</f>
        <v>0</v>
      </c>
      <c r="CI52" s="313">
        <f>IF($BI52&lt;&gt;"",IF('Capacity summary'!$D$14="Yes",IF(COUNTBLANK('Capacity summary'!$H171:$BG171)&lt;52,IF('Capacity summary'!AF171&lt;&gt;"",IF(LOWER('Capacity summary'!AF171)="x",$BI52*AF52,VALUE('Capacity summary'!AF171)),0),AF52*$BI52),AF52*$BI52),0)</f>
        <v>0</v>
      </c>
      <c r="CJ52" s="313">
        <f>IF($BI52&lt;&gt;"",IF('Capacity summary'!$D$14="Yes",IF(COUNTBLANK('Capacity summary'!$H171:$BG171)&lt;52,IF('Capacity summary'!AG171&lt;&gt;"",IF(LOWER('Capacity summary'!AG171)="x",$BI52*AG52,VALUE('Capacity summary'!AG171)),0),AG52*$BI52),AG52*$BI52),0)</f>
        <v>0</v>
      </c>
      <c r="CK52" s="313">
        <f>IF($BI52&lt;&gt;"",IF('Capacity summary'!$D$14="Yes",IF(COUNTBLANK('Capacity summary'!$H171:$BG171)&lt;52,IF('Capacity summary'!AH171&lt;&gt;"",IF(LOWER('Capacity summary'!AH171)="x",$BI52*AH52,VALUE('Capacity summary'!AH171)),0),AH52*$BI52),AH52*$BI52),0)</f>
        <v>0</v>
      </c>
      <c r="CL52" s="313">
        <f>IF($BI52&lt;&gt;"",IF('Capacity summary'!$D$14="Yes",IF(COUNTBLANK('Capacity summary'!$H171:$BG171)&lt;52,IF('Capacity summary'!AI171&lt;&gt;"",IF(LOWER('Capacity summary'!AI171)="x",$BI52*AI52,VALUE('Capacity summary'!AI171)),0),AI52*$BI52),AI52*$BI52),0)</f>
        <v>0</v>
      </c>
      <c r="CM52" s="313">
        <f>IF($BI52&lt;&gt;"",IF('Capacity summary'!$D$14="Yes",IF(COUNTBLANK('Capacity summary'!$H171:$BG171)&lt;52,IF('Capacity summary'!AJ171&lt;&gt;"",IF(LOWER('Capacity summary'!AJ171)="x",$BI52*AJ52,VALUE('Capacity summary'!AJ171)),0),AJ52*$BI52),AJ52*$BI52),0)</f>
        <v>0</v>
      </c>
      <c r="CN52" s="313">
        <f>IF($BI52&lt;&gt;"",IF('Capacity summary'!$D$14="Yes",IF(COUNTBLANK('Capacity summary'!$H171:$BG171)&lt;52,IF('Capacity summary'!AK171&lt;&gt;"",IF(LOWER('Capacity summary'!AK171)="x",$BI52*AK52,VALUE('Capacity summary'!AK171)),0),AK52*$BI52),AK52*$BI52),0)</f>
        <v>0</v>
      </c>
      <c r="CO52" s="313">
        <f>IF($BI52&lt;&gt;"",IF('Capacity summary'!$D$14="Yes",IF(COUNTBLANK('Capacity summary'!$H171:$BG171)&lt;52,IF('Capacity summary'!AL171&lt;&gt;"",IF(LOWER('Capacity summary'!AL171)="x",$BI52*AL52,VALUE('Capacity summary'!AL171)),0),AL52*$BI52),AL52*$BI52),0)</f>
        <v>0</v>
      </c>
      <c r="CP52" s="313">
        <f>IF($BI52&lt;&gt;"",IF('Capacity summary'!$D$14="Yes",IF(COUNTBLANK('Capacity summary'!$H171:$BG171)&lt;52,IF('Capacity summary'!AM171&lt;&gt;"",IF(LOWER('Capacity summary'!AM171)="x",$BI52*AM52,VALUE('Capacity summary'!AM171)),0),AM52*$BI52),AM52*$BI52),0)</f>
        <v>0</v>
      </c>
      <c r="CQ52" s="313">
        <f>IF($BI52&lt;&gt;"",IF('Capacity summary'!$D$14="Yes",IF(COUNTBLANK('Capacity summary'!$H171:$BG171)&lt;52,IF('Capacity summary'!AN171&lt;&gt;"",IF(LOWER('Capacity summary'!AN171)="x",$BI52*AN52,VALUE('Capacity summary'!AN171)),0),AN52*$BI52),AN52*$BI52),0)</f>
        <v>0</v>
      </c>
      <c r="CR52" s="313">
        <f>IF($BI52&lt;&gt;"",IF('Capacity summary'!$D$14="Yes",IF(COUNTBLANK('Capacity summary'!$H171:$BG171)&lt;52,IF('Capacity summary'!AO171&lt;&gt;"",IF(LOWER('Capacity summary'!AO171)="x",$BI52*AO52,VALUE('Capacity summary'!AO171)),0),AO52*$BI52),AO52*$BI52),0)</f>
        <v>0</v>
      </c>
      <c r="CS52" s="313">
        <f>IF($BI52&lt;&gt;"",IF('Capacity summary'!$D$14="Yes",IF(COUNTBLANK('Capacity summary'!$H171:$BG171)&lt;52,IF('Capacity summary'!AP171&lt;&gt;"",IF(LOWER('Capacity summary'!AP171)="x",$BI52*AP52,VALUE('Capacity summary'!AP171)),0),AP52*$BI52),AP52*$BI52),0)</f>
        <v>0</v>
      </c>
      <c r="CT52" s="313">
        <f>IF($BI52&lt;&gt;"",IF('Capacity summary'!$D$14="Yes",IF(COUNTBLANK('Capacity summary'!$H171:$BG171)&lt;52,IF('Capacity summary'!AQ171&lt;&gt;"",IF(LOWER('Capacity summary'!AQ171)="x",$BI52*AQ52,VALUE('Capacity summary'!AQ171)),0),AQ52*$BI52),AQ52*$BI52),0)</f>
        <v>0</v>
      </c>
      <c r="CU52" s="313">
        <f>IF($BI52&lt;&gt;"",IF('Capacity summary'!$D$14="Yes",IF(COUNTBLANK('Capacity summary'!$H171:$BG171)&lt;52,IF('Capacity summary'!AR171&lt;&gt;"",IF(LOWER('Capacity summary'!AR171)="x",$BI52*AR52,VALUE('Capacity summary'!AR171)),0),AR52*$BI52),AR52*$BI52),0)</f>
        <v>0</v>
      </c>
      <c r="CV52" s="313">
        <f>IF($BI52&lt;&gt;"",IF('Capacity summary'!$D$14="Yes",IF(COUNTBLANK('Capacity summary'!$H171:$BG171)&lt;52,IF('Capacity summary'!AS171&lt;&gt;"",IF(LOWER('Capacity summary'!AS171)="x",$BI52*AS52,VALUE('Capacity summary'!AS171)),0),AS52*$BI52),AS52*$BI52),0)</f>
        <v>0</v>
      </c>
      <c r="CW52" s="313">
        <f>IF($BI52&lt;&gt;"",IF('Capacity summary'!$D$14="Yes",IF(COUNTBLANK('Capacity summary'!$H171:$BG171)&lt;52,IF('Capacity summary'!AT171&lt;&gt;"",IF(LOWER('Capacity summary'!AT171)="x",$BI52*AT52,VALUE('Capacity summary'!AT171)),0),AT52*$BI52),AT52*$BI52),0)</f>
        <v>0</v>
      </c>
      <c r="CX52" s="313">
        <f>IF($BI52&lt;&gt;"",IF('Capacity summary'!$D$14="Yes",IF(COUNTBLANK('Capacity summary'!$H171:$BG171)&lt;52,IF('Capacity summary'!AU171&lt;&gt;"",IF(LOWER('Capacity summary'!AU171)="x",$BI52*AU52,VALUE('Capacity summary'!AU171)),0),AU52*$BI52),AU52*$BI52),0)</f>
        <v>0</v>
      </c>
      <c r="CY52" s="313">
        <f>IF($BI52&lt;&gt;"",IF('Capacity summary'!$D$14="Yes",IF(COUNTBLANK('Capacity summary'!$H171:$BG171)&lt;52,IF('Capacity summary'!AV171&lt;&gt;"",IF(LOWER('Capacity summary'!AV171)="x",$BI52*AV52,VALUE('Capacity summary'!AV171)),0),AV52*$BI52),AV52*$BI52),0)</f>
        <v>0</v>
      </c>
      <c r="CZ52" s="313">
        <f>IF($BI52&lt;&gt;"",IF('Capacity summary'!$D$14="Yes",IF(COUNTBLANK('Capacity summary'!$H171:$BG171)&lt;52,IF('Capacity summary'!AW171&lt;&gt;"",IF(LOWER('Capacity summary'!AW171)="x",$BI52*AW52,VALUE('Capacity summary'!AW171)),0),AW52*$BI52),AW52*$BI52),0)</f>
        <v>0</v>
      </c>
      <c r="DA52" s="313">
        <f>IF($BI52&lt;&gt;"",IF('Capacity summary'!$D$14="Yes",IF(COUNTBLANK('Capacity summary'!$H171:$BG171)&lt;52,IF('Capacity summary'!AX171&lt;&gt;"",IF(LOWER('Capacity summary'!AX171)="x",$BI52*AX52,VALUE('Capacity summary'!AX171)),0),AX52*$BI52),AX52*$BI52),0)</f>
        <v>0</v>
      </c>
      <c r="DB52" s="313">
        <f>IF($BI52&lt;&gt;"",IF('Capacity summary'!$D$14="Yes",IF(COUNTBLANK('Capacity summary'!$H171:$BG171)&lt;52,IF('Capacity summary'!AY171&lt;&gt;"",IF(LOWER('Capacity summary'!AY171)="x",$BI52*AY52,VALUE('Capacity summary'!AY171)),0),AY52*$BI52),AY52*$BI52),0)</f>
        <v>0</v>
      </c>
      <c r="DC52" s="313">
        <f>IF($BI52&lt;&gt;"",IF('Capacity summary'!$D$14="Yes",IF(COUNTBLANK('Capacity summary'!$H171:$BG171)&lt;52,IF('Capacity summary'!AZ171&lt;&gt;"",IF(LOWER('Capacity summary'!AZ171)="x",$BI52*AZ52,VALUE('Capacity summary'!AZ171)),0),AZ52*$BI52),AZ52*$BI52),0)</f>
        <v>0</v>
      </c>
      <c r="DD52" s="313">
        <f>IF($BI52&lt;&gt;"",IF('Capacity summary'!$D$14="Yes",IF(COUNTBLANK('Capacity summary'!$H171:$BG171)&lt;52,IF('Capacity summary'!BA171&lt;&gt;"",IF(LOWER('Capacity summary'!BA171)="x",$BI52*BA52,VALUE('Capacity summary'!BA171)),0),BA52*$BI52),BA52*$BI52),0)</f>
        <v>0</v>
      </c>
      <c r="DE52" s="313">
        <f>IF($BI52&lt;&gt;"",IF('Capacity summary'!$D$14="Yes",IF(COUNTBLANK('Capacity summary'!$H171:$BG171)&lt;52,IF('Capacity summary'!BB171&lt;&gt;"",IF(LOWER('Capacity summary'!BB171)="x",$BI52*BB52,VALUE('Capacity summary'!BB171)),0),BB52*$BI52),BB52*$BI52),0)</f>
        <v>0</v>
      </c>
      <c r="DF52" s="313">
        <f>IF($BI52&lt;&gt;"",IF('Capacity summary'!$D$14="Yes",IF(COUNTBLANK('Capacity summary'!$H171:$BG171)&lt;52,IF('Capacity summary'!BC171&lt;&gt;"",IF(LOWER('Capacity summary'!BC171)="x",$BI52*BC52,VALUE('Capacity summary'!BC171)),0),BC52*$BI52),BC52*$BI52),0)</f>
        <v>0</v>
      </c>
      <c r="DG52" s="313">
        <f>IF($BI52&lt;&gt;"",IF('Capacity summary'!$D$14="Yes",IF(COUNTBLANK('Capacity summary'!$H171:$BG171)&lt;52,IF('Capacity summary'!BD171&lt;&gt;"",IF(LOWER('Capacity summary'!BD171)="x",$BI52*BD52,VALUE('Capacity summary'!BD171)),0),BD52*$BI52),BD52*$BI52),0)</f>
        <v>0</v>
      </c>
      <c r="DH52" s="313">
        <f>IF($BI52&lt;&gt;"",IF('Capacity summary'!$D$14="Yes",IF(COUNTBLANK('Capacity summary'!$H171:$BG171)&lt;52,IF('Capacity summary'!BE171&lt;&gt;"",IF(LOWER('Capacity summary'!BE171)="x",$BI52*BE52,VALUE('Capacity summary'!BE171)),0),BE52*$BI52),BE52*$BI52),0)</f>
        <v>0</v>
      </c>
      <c r="DI52" s="313">
        <f>IF($BI52&lt;&gt;"",IF('Capacity summary'!$D$14="Yes",IF(COUNTBLANK('Capacity summary'!$H171:$BG171)&lt;52,IF('Capacity summary'!BF171&lt;&gt;"",IF(LOWER('Capacity summary'!BF171)="x",$BI52*BF52,VALUE('Capacity summary'!BF171)),0),BF52*$BI52),BF52*$BI52),0)</f>
        <v>0</v>
      </c>
      <c r="DJ52" s="313">
        <f>IF($BI52&lt;&gt;"",IF('Capacity summary'!$D$14="Yes",IF(COUNTBLANK('Capacity summary'!$H171:$BG171)&lt;52,IF('Capacity summary'!BG171&lt;&gt;"",IF(LOWER('Capacity summary'!BG171)="x",$BI52*BG52,VALUE('Capacity summary'!BG171)),0),BG52*$BI52),BG52*$BI52),0)</f>
        <v>0</v>
      </c>
      <c r="DK52" s="137">
        <f t="shared" si="2"/>
        <v>0</v>
      </c>
      <c r="DL52" s="313" t="str">
        <f>Capacity!H64</f>
        <v/>
      </c>
      <c r="DP52" s="5"/>
    </row>
    <row r="53" spans="2:120" x14ac:dyDescent="0.25">
      <c r="B53" s="67"/>
      <c r="C53" s="67" t="str">
        <f>ROW(A49)&amp;". "&amp;Capacity!B65</f>
        <v xml:space="preserve">49. </v>
      </c>
      <c r="D53" s="67">
        <f>'Capacity setup'!C60</f>
        <v>0</v>
      </c>
      <c r="E53" s="67">
        <f>'Capacity setup'!D60</f>
        <v>0</v>
      </c>
      <c r="F53" s="67">
        <f>'Capacity setup'!E60</f>
        <v>0</v>
      </c>
      <c r="H53" s="67">
        <f ca="1">IF(AND(SUMIF(Capacity_Resource,$D53,'Critical resources (hide)'!U$6:U$105)+SUMIF(Capacity_Resource,$E53,'Critical resources (hide)'!U$6:U$105)+SUMIF(Capacity_Resource,$F53,'Critical resources (hide)'!U$6:U$105)&gt;0,$E$1=2),0,1)</f>
        <v>1</v>
      </c>
      <c r="I53" s="67">
        <f ca="1">IF(AND(SUMIF(Capacity_Resource,$D53,'Critical resources (hide)'!V$6:V$105)+SUMIF(Capacity_Resource,$E53,'Critical resources (hide)'!V$6:V$105)+SUMIF(Capacity_Resource,$F53,'Critical resources (hide)'!V$6:V$105)&gt;0,$E$1=2),0,1)</f>
        <v>1</v>
      </c>
      <c r="J53" s="67">
        <f ca="1">IF(AND(SUMIF(Capacity_Resource,$D53,'Critical resources (hide)'!W$6:W$105)+SUMIF(Capacity_Resource,$E53,'Critical resources (hide)'!W$6:W$105)+SUMIF(Capacity_Resource,$F53,'Critical resources (hide)'!W$6:W$105)&gt;0,$E$1=2),0,1)</f>
        <v>1</v>
      </c>
      <c r="K53" s="67">
        <f ca="1">IF(AND(SUMIF(Capacity_Resource,$D53,'Critical resources (hide)'!X$6:X$105)+SUMIF(Capacity_Resource,$E53,'Critical resources (hide)'!X$6:X$105)+SUMIF(Capacity_Resource,$F53,'Critical resources (hide)'!X$6:X$105)&gt;0,$E$1=2),0,1)</f>
        <v>1</v>
      </c>
      <c r="L53" s="67">
        <f ca="1">IF(AND(SUMIF(Capacity_Resource,$D53,'Critical resources (hide)'!Y$6:Y$105)+SUMIF(Capacity_Resource,$E53,'Critical resources (hide)'!Y$6:Y$105)+SUMIF(Capacity_Resource,$F53,'Critical resources (hide)'!Y$6:Y$105)&gt;0,$E$1=2),0,1)</f>
        <v>1</v>
      </c>
      <c r="M53" s="67">
        <f ca="1">IF(AND(SUMIF(Capacity_Resource,$D53,'Critical resources (hide)'!Z$6:Z$105)+SUMIF(Capacity_Resource,$E53,'Critical resources (hide)'!Z$6:Z$105)+SUMIF(Capacity_Resource,$F53,'Critical resources (hide)'!Z$6:Z$105)&gt;0,$E$1=2),0,1)</f>
        <v>1</v>
      </c>
      <c r="N53" s="67">
        <f ca="1">IF(AND(SUMIF(Capacity_Resource,$D53,'Critical resources (hide)'!AA$6:AA$105)+SUMIF(Capacity_Resource,$E53,'Critical resources (hide)'!AA$6:AA$105)+SUMIF(Capacity_Resource,$F53,'Critical resources (hide)'!AA$6:AA$105)&gt;0,$E$1=2),0,1)</f>
        <v>1</v>
      </c>
      <c r="O53" s="67">
        <f ca="1">IF(AND(SUMIF(Capacity_Resource,$D53,'Critical resources (hide)'!AB$6:AB$105)+SUMIF(Capacity_Resource,$E53,'Critical resources (hide)'!AB$6:AB$105)+SUMIF(Capacity_Resource,$F53,'Critical resources (hide)'!AB$6:AB$105)&gt;0,$E$1=2),0,1)</f>
        <v>1</v>
      </c>
      <c r="P53" s="67">
        <f ca="1">IF(AND(SUMIF(Capacity_Resource,$D53,'Critical resources (hide)'!AC$6:AC$105)+SUMIF(Capacity_Resource,$E53,'Critical resources (hide)'!AC$6:AC$105)+SUMIF(Capacity_Resource,$F53,'Critical resources (hide)'!AC$6:AC$105)&gt;0,$E$1=2),0,1)</f>
        <v>1</v>
      </c>
      <c r="Q53" s="67">
        <f ca="1">IF(AND(SUMIF(Capacity_Resource,$D53,'Critical resources (hide)'!AD$6:AD$105)+SUMIF(Capacity_Resource,$E53,'Critical resources (hide)'!AD$6:AD$105)+SUMIF(Capacity_Resource,$F53,'Critical resources (hide)'!AD$6:AD$105)&gt;0,$E$1=2),0,1)</f>
        <v>1</v>
      </c>
      <c r="R53" s="67">
        <f ca="1">IF(AND(SUMIF(Capacity_Resource,$D53,'Critical resources (hide)'!AE$6:AE$105)+SUMIF(Capacity_Resource,$E53,'Critical resources (hide)'!AE$6:AE$105)+SUMIF(Capacity_Resource,$F53,'Critical resources (hide)'!AE$6:AE$105)&gt;0,$E$1=2),0,1)</f>
        <v>1</v>
      </c>
      <c r="S53" s="67">
        <f ca="1">IF(AND(SUMIF(Capacity_Resource,$D53,'Critical resources (hide)'!AF$6:AF$105)+SUMIF(Capacity_Resource,$E53,'Critical resources (hide)'!AF$6:AF$105)+SUMIF(Capacity_Resource,$F53,'Critical resources (hide)'!AF$6:AF$105)&gt;0,$E$1=2),0,1)</f>
        <v>1</v>
      </c>
      <c r="T53" s="67">
        <f ca="1">IF(AND(SUMIF(Capacity_Resource,$D53,'Critical resources (hide)'!AG$6:AG$105)+SUMIF(Capacity_Resource,$E53,'Critical resources (hide)'!AG$6:AG$105)+SUMIF(Capacity_Resource,$F53,'Critical resources (hide)'!AG$6:AG$105)&gt;0,$E$1=2),0,1)</f>
        <v>1</v>
      </c>
      <c r="U53" s="67">
        <f ca="1">IF(AND(SUMIF(Capacity_Resource,$D53,'Critical resources (hide)'!AH$6:AH$105)+SUMIF(Capacity_Resource,$E53,'Critical resources (hide)'!AH$6:AH$105)+SUMIF(Capacity_Resource,$F53,'Critical resources (hide)'!AH$6:AH$105)&gt;0,$E$1=2),0,1)</f>
        <v>1</v>
      </c>
      <c r="V53" s="67">
        <f ca="1">IF(AND(SUMIF(Capacity_Resource,$D53,'Critical resources (hide)'!AI$6:AI$105)+SUMIF(Capacity_Resource,$E53,'Critical resources (hide)'!AI$6:AI$105)+SUMIF(Capacity_Resource,$F53,'Critical resources (hide)'!AI$6:AI$105)&gt;0,$E$1=2),0,1)</f>
        <v>1</v>
      </c>
      <c r="W53" s="67">
        <f ca="1">IF(AND(SUMIF(Capacity_Resource,$D53,'Critical resources (hide)'!AJ$6:AJ$105)+SUMIF(Capacity_Resource,$E53,'Critical resources (hide)'!AJ$6:AJ$105)+SUMIF(Capacity_Resource,$F53,'Critical resources (hide)'!AJ$6:AJ$105)&gt;0,$E$1=2),0,1)</f>
        <v>1</v>
      </c>
      <c r="X53" s="67">
        <f ca="1">IF(AND(SUMIF(Capacity_Resource,$D53,'Critical resources (hide)'!AK$6:AK$105)+SUMIF(Capacity_Resource,$E53,'Critical resources (hide)'!AK$6:AK$105)+SUMIF(Capacity_Resource,$F53,'Critical resources (hide)'!AK$6:AK$105)&gt;0,$E$1=2),0,1)</f>
        <v>1</v>
      </c>
      <c r="Y53" s="67">
        <f ca="1">IF(AND(SUMIF(Capacity_Resource,$D53,'Critical resources (hide)'!AL$6:AL$105)+SUMIF(Capacity_Resource,$E53,'Critical resources (hide)'!AL$6:AL$105)+SUMIF(Capacity_Resource,$F53,'Critical resources (hide)'!AL$6:AL$105)&gt;0,$E$1=2),0,1)</f>
        <v>1</v>
      </c>
      <c r="Z53" s="67">
        <f ca="1">IF(AND(SUMIF(Capacity_Resource,$D53,'Critical resources (hide)'!AM$6:AM$105)+SUMIF(Capacity_Resource,$E53,'Critical resources (hide)'!AM$6:AM$105)+SUMIF(Capacity_Resource,$F53,'Critical resources (hide)'!AM$6:AM$105)&gt;0,$E$1=2),0,1)</f>
        <v>1</v>
      </c>
      <c r="AA53" s="67">
        <f ca="1">IF(AND(SUMIF(Capacity_Resource,$D53,'Critical resources (hide)'!AN$6:AN$105)+SUMIF(Capacity_Resource,$E53,'Critical resources (hide)'!AN$6:AN$105)+SUMIF(Capacity_Resource,$F53,'Critical resources (hide)'!AN$6:AN$105)&gt;0,$E$1=2),0,1)</f>
        <v>1</v>
      </c>
      <c r="AB53" s="67">
        <f ca="1">IF(AND(SUMIF(Capacity_Resource,$D53,'Critical resources (hide)'!AO$6:AO$105)+SUMIF(Capacity_Resource,$E53,'Critical resources (hide)'!AO$6:AO$105)+SUMIF(Capacity_Resource,$F53,'Critical resources (hide)'!AO$6:AO$105)&gt;0,$E$1=2),0,1)</f>
        <v>1</v>
      </c>
      <c r="AC53" s="67">
        <f ca="1">IF(AND(SUMIF(Capacity_Resource,$D53,'Critical resources (hide)'!AP$6:AP$105)+SUMIF(Capacity_Resource,$E53,'Critical resources (hide)'!AP$6:AP$105)+SUMIF(Capacity_Resource,$F53,'Critical resources (hide)'!AP$6:AP$105)&gt;0,$E$1=2),0,1)</f>
        <v>1</v>
      </c>
      <c r="AD53" s="67">
        <f ca="1">IF(AND(SUMIF(Capacity_Resource,$D53,'Critical resources (hide)'!AQ$6:AQ$105)+SUMIF(Capacity_Resource,$E53,'Critical resources (hide)'!AQ$6:AQ$105)+SUMIF(Capacity_Resource,$F53,'Critical resources (hide)'!AQ$6:AQ$105)&gt;0,$E$1=2),0,1)</f>
        <v>1</v>
      </c>
      <c r="AE53" s="67">
        <f ca="1">IF(AND(SUMIF(Capacity_Resource,$D53,'Critical resources (hide)'!AR$6:AR$105)+SUMIF(Capacity_Resource,$E53,'Critical resources (hide)'!AR$6:AR$105)+SUMIF(Capacity_Resource,$F53,'Critical resources (hide)'!AR$6:AR$105)&gt;0,$E$1=2),0,1)</f>
        <v>1</v>
      </c>
      <c r="AF53" s="67">
        <f ca="1">IF(AND(SUMIF(Capacity_Resource,$D53,'Critical resources (hide)'!AS$6:AS$105)+SUMIF(Capacity_Resource,$E53,'Critical resources (hide)'!AS$6:AS$105)+SUMIF(Capacity_Resource,$F53,'Critical resources (hide)'!AS$6:AS$105)&gt;0,$E$1=2),0,1)</f>
        <v>1</v>
      </c>
      <c r="AG53" s="67">
        <f ca="1">IF(AND(SUMIF(Capacity_Resource,$D53,'Critical resources (hide)'!AT$6:AT$105)+SUMIF(Capacity_Resource,$E53,'Critical resources (hide)'!AT$6:AT$105)+SUMIF(Capacity_Resource,$F53,'Critical resources (hide)'!AT$6:AT$105)&gt;0,$E$1=2),0,1)</f>
        <v>1</v>
      </c>
      <c r="AH53" s="67">
        <f ca="1">IF(AND(SUMIF(Capacity_Resource,$D53,'Critical resources (hide)'!AU$6:AU$105)+SUMIF(Capacity_Resource,$E53,'Critical resources (hide)'!AU$6:AU$105)+SUMIF(Capacity_Resource,$F53,'Critical resources (hide)'!AU$6:AU$105)&gt;0,$E$1=2),0,1)</f>
        <v>1</v>
      </c>
      <c r="AI53" s="67">
        <f ca="1">IF(AND(SUMIF(Capacity_Resource,$D53,'Critical resources (hide)'!AV$6:AV$105)+SUMIF(Capacity_Resource,$E53,'Critical resources (hide)'!AV$6:AV$105)+SUMIF(Capacity_Resource,$F53,'Critical resources (hide)'!AV$6:AV$105)&gt;0,$E$1=2),0,1)</f>
        <v>1</v>
      </c>
      <c r="AJ53" s="67">
        <f ca="1">IF(AND(SUMIF(Capacity_Resource,$D53,'Critical resources (hide)'!AW$6:AW$105)+SUMIF(Capacity_Resource,$E53,'Critical resources (hide)'!AW$6:AW$105)+SUMIF(Capacity_Resource,$F53,'Critical resources (hide)'!AW$6:AW$105)&gt;0,$E$1=2),0,1)</f>
        <v>1</v>
      </c>
      <c r="AK53" s="67">
        <f ca="1">IF(AND(SUMIF(Capacity_Resource,$D53,'Critical resources (hide)'!AX$6:AX$105)+SUMIF(Capacity_Resource,$E53,'Critical resources (hide)'!AX$6:AX$105)+SUMIF(Capacity_Resource,$F53,'Critical resources (hide)'!AX$6:AX$105)&gt;0,$E$1=2),0,1)</f>
        <v>1</v>
      </c>
      <c r="AL53" s="67">
        <f ca="1">IF(AND(SUMIF(Capacity_Resource,$D53,'Critical resources (hide)'!AY$6:AY$105)+SUMIF(Capacity_Resource,$E53,'Critical resources (hide)'!AY$6:AY$105)+SUMIF(Capacity_Resource,$F53,'Critical resources (hide)'!AY$6:AY$105)&gt;0,$E$1=2),0,1)</f>
        <v>1</v>
      </c>
      <c r="AM53" s="67">
        <f ca="1">IF(AND(SUMIF(Capacity_Resource,$D53,'Critical resources (hide)'!AZ$6:AZ$105)+SUMIF(Capacity_Resource,$E53,'Critical resources (hide)'!AZ$6:AZ$105)+SUMIF(Capacity_Resource,$F53,'Critical resources (hide)'!AZ$6:AZ$105)&gt;0,$E$1=2),0,1)</f>
        <v>1</v>
      </c>
      <c r="AN53" s="67">
        <f ca="1">IF(AND(SUMIF(Capacity_Resource,$D53,'Critical resources (hide)'!BA$6:BA$105)+SUMIF(Capacity_Resource,$E53,'Critical resources (hide)'!BA$6:BA$105)+SUMIF(Capacity_Resource,$F53,'Critical resources (hide)'!BA$6:BA$105)&gt;0,$E$1=2),0,1)</f>
        <v>1</v>
      </c>
      <c r="AO53" s="67">
        <f ca="1">IF(AND(SUMIF(Capacity_Resource,$D53,'Critical resources (hide)'!BB$6:BB$105)+SUMIF(Capacity_Resource,$E53,'Critical resources (hide)'!BB$6:BB$105)+SUMIF(Capacity_Resource,$F53,'Critical resources (hide)'!BB$6:BB$105)&gt;0,$E$1=2),0,1)</f>
        <v>1</v>
      </c>
      <c r="AP53" s="67">
        <f ca="1">IF(AND(SUMIF(Capacity_Resource,$D53,'Critical resources (hide)'!BC$6:BC$105)+SUMIF(Capacity_Resource,$E53,'Critical resources (hide)'!BC$6:BC$105)+SUMIF(Capacity_Resource,$F53,'Critical resources (hide)'!BC$6:BC$105)&gt;0,$E$1=2),0,1)</f>
        <v>1</v>
      </c>
      <c r="AQ53" s="67">
        <f ca="1">IF(AND(SUMIF(Capacity_Resource,$D53,'Critical resources (hide)'!BD$6:BD$105)+SUMIF(Capacity_Resource,$E53,'Critical resources (hide)'!BD$6:BD$105)+SUMIF(Capacity_Resource,$F53,'Critical resources (hide)'!BD$6:BD$105)&gt;0,$E$1=2),0,1)</f>
        <v>1</v>
      </c>
      <c r="AR53" s="67">
        <f ca="1">IF(AND(SUMIF(Capacity_Resource,$D53,'Critical resources (hide)'!BE$6:BE$105)+SUMIF(Capacity_Resource,$E53,'Critical resources (hide)'!BE$6:BE$105)+SUMIF(Capacity_Resource,$F53,'Critical resources (hide)'!BE$6:BE$105)&gt;0,$E$1=2),0,1)</f>
        <v>1</v>
      </c>
      <c r="AS53" s="67">
        <f ca="1">IF(AND(SUMIF(Capacity_Resource,$D53,'Critical resources (hide)'!BF$6:BF$105)+SUMIF(Capacity_Resource,$E53,'Critical resources (hide)'!BF$6:BF$105)+SUMIF(Capacity_Resource,$F53,'Critical resources (hide)'!BF$6:BF$105)&gt;0,$E$1=2),0,1)</f>
        <v>1</v>
      </c>
      <c r="AT53" s="67">
        <f ca="1">IF(AND(SUMIF(Capacity_Resource,$D53,'Critical resources (hide)'!BG$6:BG$105)+SUMIF(Capacity_Resource,$E53,'Critical resources (hide)'!BG$6:BG$105)+SUMIF(Capacity_Resource,$F53,'Critical resources (hide)'!BG$6:BG$105)&gt;0,$E$1=2),0,1)</f>
        <v>1</v>
      </c>
      <c r="AU53" s="67">
        <f ca="1">IF(AND(SUMIF(Capacity_Resource,$D53,'Critical resources (hide)'!BH$6:BH$105)+SUMIF(Capacity_Resource,$E53,'Critical resources (hide)'!BH$6:BH$105)+SUMIF(Capacity_Resource,$F53,'Critical resources (hide)'!BH$6:BH$105)&gt;0,$E$1=2),0,1)</f>
        <v>1</v>
      </c>
      <c r="AV53" s="67">
        <f ca="1">IF(AND(SUMIF(Capacity_Resource,$D53,'Critical resources (hide)'!BI$6:BI$105)+SUMIF(Capacity_Resource,$E53,'Critical resources (hide)'!BI$6:BI$105)+SUMIF(Capacity_Resource,$F53,'Critical resources (hide)'!BI$6:BI$105)&gt;0,$E$1=2),0,1)</f>
        <v>1</v>
      </c>
      <c r="AW53" s="67">
        <f ca="1">IF(AND(SUMIF(Capacity_Resource,$D53,'Critical resources (hide)'!BJ$6:BJ$105)+SUMIF(Capacity_Resource,$E53,'Critical resources (hide)'!BJ$6:BJ$105)+SUMIF(Capacity_Resource,$F53,'Critical resources (hide)'!BJ$6:BJ$105)&gt;0,$E$1=2),0,1)</f>
        <v>1</v>
      </c>
      <c r="AX53" s="67">
        <f ca="1">IF(AND(SUMIF(Capacity_Resource,$D53,'Critical resources (hide)'!BK$6:BK$105)+SUMIF(Capacity_Resource,$E53,'Critical resources (hide)'!BK$6:BK$105)+SUMIF(Capacity_Resource,$F53,'Critical resources (hide)'!BK$6:BK$105)&gt;0,$E$1=2),0,1)</f>
        <v>1</v>
      </c>
      <c r="AY53" s="67">
        <f ca="1">IF(AND(SUMIF(Capacity_Resource,$D53,'Critical resources (hide)'!BL$6:BL$105)+SUMIF(Capacity_Resource,$E53,'Critical resources (hide)'!BL$6:BL$105)+SUMIF(Capacity_Resource,$F53,'Critical resources (hide)'!BL$6:BL$105)&gt;0,$E$1=2),0,1)</f>
        <v>1</v>
      </c>
      <c r="AZ53" s="67">
        <f ca="1">IF(AND(SUMIF(Capacity_Resource,$D53,'Critical resources (hide)'!BM$6:BM$105)+SUMIF(Capacity_Resource,$E53,'Critical resources (hide)'!BM$6:BM$105)+SUMIF(Capacity_Resource,$F53,'Critical resources (hide)'!BM$6:BM$105)&gt;0,$E$1=2),0,1)</f>
        <v>1</v>
      </c>
      <c r="BA53" s="67">
        <f ca="1">IF(AND(SUMIF(Capacity_Resource,$D53,'Critical resources (hide)'!BN$6:BN$105)+SUMIF(Capacity_Resource,$E53,'Critical resources (hide)'!BN$6:BN$105)+SUMIF(Capacity_Resource,$F53,'Critical resources (hide)'!BN$6:BN$105)&gt;0,$E$1=2),0,1)</f>
        <v>1</v>
      </c>
      <c r="BB53" s="67">
        <f ca="1">IF(AND(SUMIF(Capacity_Resource,$D53,'Critical resources (hide)'!BO$6:BO$105)+SUMIF(Capacity_Resource,$E53,'Critical resources (hide)'!BO$6:BO$105)+SUMIF(Capacity_Resource,$F53,'Critical resources (hide)'!BO$6:BO$105)&gt;0,$E$1=2),0,1)</f>
        <v>1</v>
      </c>
      <c r="BC53" s="67">
        <f ca="1">IF(AND(SUMIF(Capacity_Resource,$D53,'Critical resources (hide)'!BP$6:BP$105)+SUMIF(Capacity_Resource,$E53,'Critical resources (hide)'!BP$6:BP$105)+SUMIF(Capacity_Resource,$F53,'Critical resources (hide)'!BP$6:BP$105)&gt;0,$E$1=2),0,1)</f>
        <v>1</v>
      </c>
      <c r="BD53" s="67">
        <f ca="1">IF(AND(SUMIF(Capacity_Resource,$D53,'Critical resources (hide)'!BQ$6:BQ$105)+SUMIF(Capacity_Resource,$E53,'Critical resources (hide)'!BQ$6:BQ$105)+SUMIF(Capacity_Resource,$F53,'Critical resources (hide)'!BQ$6:BQ$105)&gt;0,$E$1=2),0,1)</f>
        <v>1</v>
      </c>
      <c r="BE53" s="67">
        <f ca="1">IF(AND(SUMIF(Capacity_Resource,$D53,'Critical resources (hide)'!BR$6:BR$105)+SUMIF(Capacity_Resource,$E53,'Critical resources (hide)'!BR$6:BR$105)+SUMIF(Capacity_Resource,$F53,'Critical resources (hide)'!BR$6:BR$105)&gt;0,$E$1=2),0,1)</f>
        <v>1</v>
      </c>
      <c r="BF53" s="67">
        <f ca="1">IF(AND(SUMIF(Capacity_Resource,$D53,'Critical resources (hide)'!BS$6:BS$105)+SUMIF(Capacity_Resource,$E53,'Critical resources (hide)'!BS$6:BS$105)+SUMIF(Capacity_Resource,$F53,'Critical resources (hide)'!BS$6:BS$105)&gt;0,$E$1=2),0,1)</f>
        <v>1</v>
      </c>
      <c r="BG53" s="67">
        <f ca="1">IF(AND(SUMIF(Capacity_Resource,$D53,'Critical resources (hide)'!BT$6:BT$105)+SUMIF(Capacity_Resource,$E53,'Critical resources (hide)'!BT$6:BT$105)+SUMIF(Capacity_Resource,$F53,'Critical resources (hide)'!BT$6:BT$105)&gt;0,$E$1=2),0,1)</f>
        <v>1</v>
      </c>
      <c r="BH53" s="67">
        <f>IF(ROW(C49)&lt;=Capacity!$A$16,IF('Capacity summary'!$D$14="No",SUM(H53:BG53),'Capacity summary'!$E172),0)</f>
        <v>0</v>
      </c>
      <c r="BI53" s="5" t="str">
        <f>IF(BH53&gt;0,IF(BH53&lt;Capacity!E65,Capacity!F65,Capacity!H65/'Capacity calculation (hide)'!BH53),"")</f>
        <v/>
      </c>
      <c r="BK53" s="313">
        <f>IF($BI53&lt;&gt;"",IF('Capacity summary'!$D$14="Yes",IF(COUNTBLANK('Capacity summary'!$H172:$BG172)&lt;52,IF('Capacity summary'!H172&lt;&gt;"",IF(LOWER('Capacity summary'!H172)="x",$BI53*H53,VALUE('Capacity summary'!H172)),0),H53*$BI53),H53*$BI53),0)</f>
        <v>0</v>
      </c>
      <c r="BL53" s="313">
        <f>IF($BI53&lt;&gt;"",IF('Capacity summary'!$D$14="Yes",IF(COUNTBLANK('Capacity summary'!$H172:$BG172)&lt;52,IF('Capacity summary'!I172&lt;&gt;"",IF(LOWER('Capacity summary'!I172)="x",$BI53*I53,VALUE('Capacity summary'!I172)),0),I53*$BI53),I53*$BI53),0)</f>
        <v>0</v>
      </c>
      <c r="BM53" s="313">
        <f>IF($BI53&lt;&gt;"",IF('Capacity summary'!$D$14="Yes",IF(COUNTBLANK('Capacity summary'!$H172:$BG172)&lt;52,IF('Capacity summary'!J172&lt;&gt;"",IF(LOWER('Capacity summary'!J172)="x",$BI53*J53,VALUE('Capacity summary'!J172)),0),J53*$BI53),J53*$BI53),0)</f>
        <v>0</v>
      </c>
      <c r="BN53" s="313">
        <f>IF($BI53&lt;&gt;"",IF('Capacity summary'!$D$14="Yes",IF(COUNTBLANK('Capacity summary'!$H172:$BG172)&lt;52,IF('Capacity summary'!K172&lt;&gt;"",IF(LOWER('Capacity summary'!K172)="x",$BI53*K53,VALUE('Capacity summary'!K172)),0),K53*$BI53),K53*$BI53),0)</f>
        <v>0</v>
      </c>
      <c r="BO53" s="313">
        <f>IF($BI53&lt;&gt;"",IF('Capacity summary'!$D$14="Yes",IF(COUNTBLANK('Capacity summary'!$H172:$BG172)&lt;52,IF('Capacity summary'!L172&lt;&gt;"",IF(LOWER('Capacity summary'!L172)="x",$BI53*L53,VALUE('Capacity summary'!L172)),0),L53*$BI53),L53*$BI53),0)</f>
        <v>0</v>
      </c>
      <c r="BP53" s="313">
        <f>IF($BI53&lt;&gt;"",IF('Capacity summary'!$D$14="Yes",IF(COUNTBLANK('Capacity summary'!$H172:$BG172)&lt;52,IF('Capacity summary'!M172&lt;&gt;"",IF(LOWER('Capacity summary'!M172)="x",$BI53*M53,VALUE('Capacity summary'!M172)),0),M53*$BI53),M53*$BI53),0)</f>
        <v>0</v>
      </c>
      <c r="BQ53" s="313">
        <f>IF($BI53&lt;&gt;"",IF('Capacity summary'!$D$14="Yes",IF(COUNTBLANK('Capacity summary'!$H172:$BG172)&lt;52,IF('Capacity summary'!N172&lt;&gt;"",IF(LOWER('Capacity summary'!N172)="x",$BI53*N53,VALUE('Capacity summary'!N172)),0),N53*$BI53),N53*$BI53),0)</f>
        <v>0</v>
      </c>
      <c r="BR53" s="313">
        <f>IF($BI53&lt;&gt;"",IF('Capacity summary'!$D$14="Yes",IF(COUNTBLANK('Capacity summary'!$H172:$BG172)&lt;52,IF('Capacity summary'!O172&lt;&gt;"",IF(LOWER('Capacity summary'!O172)="x",$BI53*O53,VALUE('Capacity summary'!O172)),0),O53*$BI53),O53*$BI53),0)</f>
        <v>0</v>
      </c>
      <c r="BS53" s="313">
        <f>IF($BI53&lt;&gt;"",IF('Capacity summary'!$D$14="Yes",IF(COUNTBLANK('Capacity summary'!$H172:$BG172)&lt;52,IF('Capacity summary'!P172&lt;&gt;"",IF(LOWER('Capacity summary'!P172)="x",$BI53*P53,VALUE('Capacity summary'!P172)),0),P53*$BI53),P53*$BI53),0)</f>
        <v>0</v>
      </c>
      <c r="BT53" s="313">
        <f>IF($BI53&lt;&gt;"",IF('Capacity summary'!$D$14="Yes",IF(COUNTBLANK('Capacity summary'!$H172:$BG172)&lt;52,IF('Capacity summary'!Q172&lt;&gt;"",IF(LOWER('Capacity summary'!Q172)="x",$BI53*Q53,VALUE('Capacity summary'!Q172)),0),Q53*$BI53),Q53*$BI53),0)</f>
        <v>0</v>
      </c>
      <c r="BU53" s="313">
        <f>IF($BI53&lt;&gt;"",IF('Capacity summary'!$D$14="Yes",IF(COUNTBLANK('Capacity summary'!$H172:$BG172)&lt;52,IF('Capacity summary'!R172&lt;&gt;"",IF(LOWER('Capacity summary'!R172)="x",$BI53*R53,VALUE('Capacity summary'!R172)),0),R53*$BI53),R53*$BI53),0)</f>
        <v>0</v>
      </c>
      <c r="BV53" s="313">
        <f>IF($BI53&lt;&gt;"",IF('Capacity summary'!$D$14="Yes",IF(COUNTBLANK('Capacity summary'!$H172:$BG172)&lt;52,IF('Capacity summary'!S172&lt;&gt;"",IF(LOWER('Capacity summary'!S172)="x",$BI53*S53,VALUE('Capacity summary'!S172)),0),S53*$BI53),S53*$BI53),0)</f>
        <v>0</v>
      </c>
      <c r="BW53" s="313">
        <f>IF($BI53&lt;&gt;"",IF('Capacity summary'!$D$14="Yes",IF(COUNTBLANK('Capacity summary'!$H172:$BG172)&lt;52,IF('Capacity summary'!T172&lt;&gt;"",IF(LOWER('Capacity summary'!T172)="x",$BI53*T53,VALUE('Capacity summary'!T172)),0),T53*$BI53),T53*$BI53),0)</f>
        <v>0</v>
      </c>
      <c r="BX53" s="313">
        <f>IF($BI53&lt;&gt;"",IF('Capacity summary'!$D$14="Yes",IF(COUNTBLANK('Capacity summary'!$H172:$BG172)&lt;52,IF('Capacity summary'!U172&lt;&gt;"",IF(LOWER('Capacity summary'!U172)="x",$BI53*U53,VALUE('Capacity summary'!U172)),0),U53*$BI53),U53*$BI53),0)</f>
        <v>0</v>
      </c>
      <c r="BY53" s="313">
        <f>IF($BI53&lt;&gt;"",IF('Capacity summary'!$D$14="Yes",IF(COUNTBLANK('Capacity summary'!$H172:$BG172)&lt;52,IF('Capacity summary'!V172&lt;&gt;"",IF(LOWER('Capacity summary'!V172)="x",$BI53*V53,VALUE('Capacity summary'!V172)),0),V53*$BI53),V53*$BI53),0)</f>
        <v>0</v>
      </c>
      <c r="BZ53" s="313">
        <f>IF($BI53&lt;&gt;"",IF('Capacity summary'!$D$14="Yes",IF(COUNTBLANK('Capacity summary'!$H172:$BG172)&lt;52,IF('Capacity summary'!W172&lt;&gt;"",IF(LOWER('Capacity summary'!W172)="x",$BI53*W53,VALUE('Capacity summary'!W172)),0),W53*$BI53),W53*$BI53),0)</f>
        <v>0</v>
      </c>
      <c r="CA53" s="313">
        <f>IF($BI53&lt;&gt;"",IF('Capacity summary'!$D$14="Yes",IF(COUNTBLANK('Capacity summary'!$H172:$BG172)&lt;52,IF('Capacity summary'!X172&lt;&gt;"",IF(LOWER('Capacity summary'!X172)="x",$BI53*X53,VALUE('Capacity summary'!X172)),0),X53*$BI53),X53*$BI53),0)</f>
        <v>0</v>
      </c>
      <c r="CB53" s="313">
        <f>IF($BI53&lt;&gt;"",IF('Capacity summary'!$D$14="Yes",IF(COUNTBLANK('Capacity summary'!$H172:$BG172)&lt;52,IF('Capacity summary'!Y172&lt;&gt;"",IF(LOWER('Capacity summary'!Y172)="x",$BI53*Y53,VALUE('Capacity summary'!Y172)),0),Y53*$BI53),Y53*$BI53),0)</f>
        <v>0</v>
      </c>
      <c r="CC53" s="313">
        <f>IF($BI53&lt;&gt;"",IF('Capacity summary'!$D$14="Yes",IF(COUNTBLANK('Capacity summary'!$H172:$BG172)&lt;52,IF('Capacity summary'!Z172&lt;&gt;"",IF(LOWER('Capacity summary'!Z172)="x",$BI53*Z53,VALUE('Capacity summary'!Z172)),0),Z53*$BI53),Z53*$BI53),0)</f>
        <v>0</v>
      </c>
      <c r="CD53" s="313">
        <f>IF($BI53&lt;&gt;"",IF('Capacity summary'!$D$14="Yes",IF(COUNTBLANK('Capacity summary'!$H172:$BG172)&lt;52,IF('Capacity summary'!AA172&lt;&gt;"",IF(LOWER('Capacity summary'!AA172)="x",$BI53*AA53,VALUE('Capacity summary'!AA172)),0),AA53*$BI53),AA53*$BI53),0)</f>
        <v>0</v>
      </c>
      <c r="CE53" s="313">
        <f>IF($BI53&lt;&gt;"",IF('Capacity summary'!$D$14="Yes",IF(COUNTBLANK('Capacity summary'!$H172:$BG172)&lt;52,IF('Capacity summary'!AB172&lt;&gt;"",IF(LOWER('Capacity summary'!AB172)="x",$BI53*AB53,VALUE('Capacity summary'!AB172)),0),AB53*$BI53),AB53*$BI53),0)</f>
        <v>0</v>
      </c>
      <c r="CF53" s="313">
        <f>IF($BI53&lt;&gt;"",IF('Capacity summary'!$D$14="Yes",IF(COUNTBLANK('Capacity summary'!$H172:$BG172)&lt;52,IF('Capacity summary'!AC172&lt;&gt;"",IF(LOWER('Capacity summary'!AC172)="x",$BI53*AC53,VALUE('Capacity summary'!AC172)),0),AC53*$BI53),AC53*$BI53),0)</f>
        <v>0</v>
      </c>
      <c r="CG53" s="313">
        <f>IF($BI53&lt;&gt;"",IF('Capacity summary'!$D$14="Yes",IF(COUNTBLANK('Capacity summary'!$H172:$BG172)&lt;52,IF('Capacity summary'!AD172&lt;&gt;"",IF(LOWER('Capacity summary'!AD172)="x",$BI53*AD53,VALUE('Capacity summary'!AD172)),0),AD53*$BI53),AD53*$BI53),0)</f>
        <v>0</v>
      </c>
      <c r="CH53" s="313">
        <f>IF($BI53&lt;&gt;"",IF('Capacity summary'!$D$14="Yes",IF(COUNTBLANK('Capacity summary'!$H172:$BG172)&lt;52,IF('Capacity summary'!AE172&lt;&gt;"",IF(LOWER('Capacity summary'!AE172)="x",$BI53*AE53,VALUE('Capacity summary'!AE172)),0),AE53*$BI53),AE53*$BI53),0)</f>
        <v>0</v>
      </c>
      <c r="CI53" s="313">
        <f>IF($BI53&lt;&gt;"",IF('Capacity summary'!$D$14="Yes",IF(COUNTBLANK('Capacity summary'!$H172:$BG172)&lt;52,IF('Capacity summary'!AF172&lt;&gt;"",IF(LOWER('Capacity summary'!AF172)="x",$BI53*AF53,VALUE('Capacity summary'!AF172)),0),AF53*$BI53),AF53*$BI53),0)</f>
        <v>0</v>
      </c>
      <c r="CJ53" s="313">
        <f>IF($BI53&lt;&gt;"",IF('Capacity summary'!$D$14="Yes",IF(COUNTBLANK('Capacity summary'!$H172:$BG172)&lt;52,IF('Capacity summary'!AG172&lt;&gt;"",IF(LOWER('Capacity summary'!AG172)="x",$BI53*AG53,VALUE('Capacity summary'!AG172)),0),AG53*$BI53),AG53*$BI53),0)</f>
        <v>0</v>
      </c>
      <c r="CK53" s="313">
        <f>IF($BI53&lt;&gt;"",IF('Capacity summary'!$D$14="Yes",IF(COUNTBLANK('Capacity summary'!$H172:$BG172)&lt;52,IF('Capacity summary'!AH172&lt;&gt;"",IF(LOWER('Capacity summary'!AH172)="x",$BI53*AH53,VALUE('Capacity summary'!AH172)),0),AH53*$BI53),AH53*$BI53),0)</f>
        <v>0</v>
      </c>
      <c r="CL53" s="313">
        <f>IF($BI53&lt;&gt;"",IF('Capacity summary'!$D$14="Yes",IF(COUNTBLANK('Capacity summary'!$H172:$BG172)&lt;52,IF('Capacity summary'!AI172&lt;&gt;"",IF(LOWER('Capacity summary'!AI172)="x",$BI53*AI53,VALUE('Capacity summary'!AI172)),0),AI53*$BI53),AI53*$BI53),0)</f>
        <v>0</v>
      </c>
      <c r="CM53" s="313">
        <f>IF($BI53&lt;&gt;"",IF('Capacity summary'!$D$14="Yes",IF(COUNTBLANK('Capacity summary'!$H172:$BG172)&lt;52,IF('Capacity summary'!AJ172&lt;&gt;"",IF(LOWER('Capacity summary'!AJ172)="x",$BI53*AJ53,VALUE('Capacity summary'!AJ172)),0),AJ53*$BI53),AJ53*$BI53),0)</f>
        <v>0</v>
      </c>
      <c r="CN53" s="313">
        <f>IF($BI53&lt;&gt;"",IF('Capacity summary'!$D$14="Yes",IF(COUNTBLANK('Capacity summary'!$H172:$BG172)&lt;52,IF('Capacity summary'!AK172&lt;&gt;"",IF(LOWER('Capacity summary'!AK172)="x",$BI53*AK53,VALUE('Capacity summary'!AK172)),0),AK53*$BI53),AK53*$BI53),0)</f>
        <v>0</v>
      </c>
      <c r="CO53" s="313">
        <f>IF($BI53&lt;&gt;"",IF('Capacity summary'!$D$14="Yes",IF(COUNTBLANK('Capacity summary'!$H172:$BG172)&lt;52,IF('Capacity summary'!AL172&lt;&gt;"",IF(LOWER('Capacity summary'!AL172)="x",$BI53*AL53,VALUE('Capacity summary'!AL172)),0),AL53*$BI53),AL53*$BI53),0)</f>
        <v>0</v>
      </c>
      <c r="CP53" s="313">
        <f>IF($BI53&lt;&gt;"",IF('Capacity summary'!$D$14="Yes",IF(COUNTBLANK('Capacity summary'!$H172:$BG172)&lt;52,IF('Capacity summary'!AM172&lt;&gt;"",IF(LOWER('Capacity summary'!AM172)="x",$BI53*AM53,VALUE('Capacity summary'!AM172)),0),AM53*$BI53),AM53*$BI53),0)</f>
        <v>0</v>
      </c>
      <c r="CQ53" s="313">
        <f>IF($BI53&lt;&gt;"",IF('Capacity summary'!$D$14="Yes",IF(COUNTBLANK('Capacity summary'!$H172:$BG172)&lt;52,IF('Capacity summary'!AN172&lt;&gt;"",IF(LOWER('Capacity summary'!AN172)="x",$BI53*AN53,VALUE('Capacity summary'!AN172)),0),AN53*$BI53),AN53*$BI53),0)</f>
        <v>0</v>
      </c>
      <c r="CR53" s="313">
        <f>IF($BI53&lt;&gt;"",IF('Capacity summary'!$D$14="Yes",IF(COUNTBLANK('Capacity summary'!$H172:$BG172)&lt;52,IF('Capacity summary'!AO172&lt;&gt;"",IF(LOWER('Capacity summary'!AO172)="x",$BI53*AO53,VALUE('Capacity summary'!AO172)),0),AO53*$BI53),AO53*$BI53),0)</f>
        <v>0</v>
      </c>
      <c r="CS53" s="313">
        <f>IF($BI53&lt;&gt;"",IF('Capacity summary'!$D$14="Yes",IF(COUNTBLANK('Capacity summary'!$H172:$BG172)&lt;52,IF('Capacity summary'!AP172&lt;&gt;"",IF(LOWER('Capacity summary'!AP172)="x",$BI53*AP53,VALUE('Capacity summary'!AP172)),0),AP53*$BI53),AP53*$BI53),0)</f>
        <v>0</v>
      </c>
      <c r="CT53" s="313">
        <f>IF($BI53&lt;&gt;"",IF('Capacity summary'!$D$14="Yes",IF(COUNTBLANK('Capacity summary'!$H172:$BG172)&lt;52,IF('Capacity summary'!AQ172&lt;&gt;"",IF(LOWER('Capacity summary'!AQ172)="x",$BI53*AQ53,VALUE('Capacity summary'!AQ172)),0),AQ53*$BI53),AQ53*$BI53),0)</f>
        <v>0</v>
      </c>
      <c r="CU53" s="313">
        <f>IF($BI53&lt;&gt;"",IF('Capacity summary'!$D$14="Yes",IF(COUNTBLANK('Capacity summary'!$H172:$BG172)&lt;52,IF('Capacity summary'!AR172&lt;&gt;"",IF(LOWER('Capacity summary'!AR172)="x",$BI53*AR53,VALUE('Capacity summary'!AR172)),0),AR53*$BI53),AR53*$BI53),0)</f>
        <v>0</v>
      </c>
      <c r="CV53" s="313">
        <f>IF($BI53&lt;&gt;"",IF('Capacity summary'!$D$14="Yes",IF(COUNTBLANK('Capacity summary'!$H172:$BG172)&lt;52,IF('Capacity summary'!AS172&lt;&gt;"",IF(LOWER('Capacity summary'!AS172)="x",$BI53*AS53,VALUE('Capacity summary'!AS172)),0),AS53*$BI53),AS53*$BI53),0)</f>
        <v>0</v>
      </c>
      <c r="CW53" s="313">
        <f>IF($BI53&lt;&gt;"",IF('Capacity summary'!$D$14="Yes",IF(COUNTBLANK('Capacity summary'!$H172:$BG172)&lt;52,IF('Capacity summary'!AT172&lt;&gt;"",IF(LOWER('Capacity summary'!AT172)="x",$BI53*AT53,VALUE('Capacity summary'!AT172)),0),AT53*$BI53),AT53*$BI53),0)</f>
        <v>0</v>
      </c>
      <c r="CX53" s="313">
        <f>IF($BI53&lt;&gt;"",IF('Capacity summary'!$D$14="Yes",IF(COUNTBLANK('Capacity summary'!$H172:$BG172)&lt;52,IF('Capacity summary'!AU172&lt;&gt;"",IF(LOWER('Capacity summary'!AU172)="x",$BI53*AU53,VALUE('Capacity summary'!AU172)),0),AU53*$BI53),AU53*$BI53),0)</f>
        <v>0</v>
      </c>
      <c r="CY53" s="313">
        <f>IF($BI53&lt;&gt;"",IF('Capacity summary'!$D$14="Yes",IF(COUNTBLANK('Capacity summary'!$H172:$BG172)&lt;52,IF('Capacity summary'!AV172&lt;&gt;"",IF(LOWER('Capacity summary'!AV172)="x",$BI53*AV53,VALUE('Capacity summary'!AV172)),0),AV53*$BI53),AV53*$BI53),0)</f>
        <v>0</v>
      </c>
      <c r="CZ53" s="313">
        <f>IF($BI53&lt;&gt;"",IF('Capacity summary'!$D$14="Yes",IF(COUNTBLANK('Capacity summary'!$H172:$BG172)&lt;52,IF('Capacity summary'!AW172&lt;&gt;"",IF(LOWER('Capacity summary'!AW172)="x",$BI53*AW53,VALUE('Capacity summary'!AW172)),0),AW53*$BI53),AW53*$BI53),0)</f>
        <v>0</v>
      </c>
      <c r="DA53" s="313">
        <f>IF($BI53&lt;&gt;"",IF('Capacity summary'!$D$14="Yes",IF(COUNTBLANK('Capacity summary'!$H172:$BG172)&lt;52,IF('Capacity summary'!AX172&lt;&gt;"",IF(LOWER('Capacity summary'!AX172)="x",$BI53*AX53,VALUE('Capacity summary'!AX172)),0),AX53*$BI53),AX53*$BI53),0)</f>
        <v>0</v>
      </c>
      <c r="DB53" s="313">
        <f>IF($BI53&lt;&gt;"",IF('Capacity summary'!$D$14="Yes",IF(COUNTBLANK('Capacity summary'!$H172:$BG172)&lt;52,IF('Capacity summary'!AY172&lt;&gt;"",IF(LOWER('Capacity summary'!AY172)="x",$BI53*AY53,VALUE('Capacity summary'!AY172)),0),AY53*$BI53),AY53*$BI53),0)</f>
        <v>0</v>
      </c>
      <c r="DC53" s="313">
        <f>IF($BI53&lt;&gt;"",IF('Capacity summary'!$D$14="Yes",IF(COUNTBLANK('Capacity summary'!$H172:$BG172)&lt;52,IF('Capacity summary'!AZ172&lt;&gt;"",IF(LOWER('Capacity summary'!AZ172)="x",$BI53*AZ53,VALUE('Capacity summary'!AZ172)),0),AZ53*$BI53),AZ53*$BI53),0)</f>
        <v>0</v>
      </c>
      <c r="DD53" s="313">
        <f>IF($BI53&lt;&gt;"",IF('Capacity summary'!$D$14="Yes",IF(COUNTBLANK('Capacity summary'!$H172:$BG172)&lt;52,IF('Capacity summary'!BA172&lt;&gt;"",IF(LOWER('Capacity summary'!BA172)="x",$BI53*BA53,VALUE('Capacity summary'!BA172)),0),BA53*$BI53),BA53*$BI53),0)</f>
        <v>0</v>
      </c>
      <c r="DE53" s="313">
        <f>IF($BI53&lt;&gt;"",IF('Capacity summary'!$D$14="Yes",IF(COUNTBLANK('Capacity summary'!$H172:$BG172)&lt;52,IF('Capacity summary'!BB172&lt;&gt;"",IF(LOWER('Capacity summary'!BB172)="x",$BI53*BB53,VALUE('Capacity summary'!BB172)),0),BB53*$BI53),BB53*$BI53),0)</f>
        <v>0</v>
      </c>
      <c r="DF53" s="313">
        <f>IF($BI53&lt;&gt;"",IF('Capacity summary'!$D$14="Yes",IF(COUNTBLANK('Capacity summary'!$H172:$BG172)&lt;52,IF('Capacity summary'!BC172&lt;&gt;"",IF(LOWER('Capacity summary'!BC172)="x",$BI53*BC53,VALUE('Capacity summary'!BC172)),0),BC53*$BI53),BC53*$BI53),0)</f>
        <v>0</v>
      </c>
      <c r="DG53" s="313">
        <f>IF($BI53&lt;&gt;"",IF('Capacity summary'!$D$14="Yes",IF(COUNTBLANK('Capacity summary'!$H172:$BG172)&lt;52,IF('Capacity summary'!BD172&lt;&gt;"",IF(LOWER('Capacity summary'!BD172)="x",$BI53*BD53,VALUE('Capacity summary'!BD172)),0),BD53*$BI53),BD53*$BI53),0)</f>
        <v>0</v>
      </c>
      <c r="DH53" s="313">
        <f>IF($BI53&lt;&gt;"",IF('Capacity summary'!$D$14="Yes",IF(COUNTBLANK('Capacity summary'!$H172:$BG172)&lt;52,IF('Capacity summary'!BE172&lt;&gt;"",IF(LOWER('Capacity summary'!BE172)="x",$BI53*BE53,VALUE('Capacity summary'!BE172)),0),BE53*$BI53),BE53*$BI53),0)</f>
        <v>0</v>
      </c>
      <c r="DI53" s="313">
        <f>IF($BI53&lt;&gt;"",IF('Capacity summary'!$D$14="Yes",IF(COUNTBLANK('Capacity summary'!$H172:$BG172)&lt;52,IF('Capacity summary'!BF172&lt;&gt;"",IF(LOWER('Capacity summary'!BF172)="x",$BI53*BF53,VALUE('Capacity summary'!BF172)),0),BF53*$BI53),BF53*$BI53),0)</f>
        <v>0</v>
      </c>
      <c r="DJ53" s="313">
        <f>IF($BI53&lt;&gt;"",IF('Capacity summary'!$D$14="Yes",IF(COUNTBLANK('Capacity summary'!$H172:$BG172)&lt;52,IF('Capacity summary'!BG172&lt;&gt;"",IF(LOWER('Capacity summary'!BG172)="x",$BI53*BG53,VALUE('Capacity summary'!BG172)),0),BG53*$BI53),BG53*$BI53),0)</f>
        <v>0</v>
      </c>
      <c r="DK53" s="137">
        <f t="shared" si="2"/>
        <v>0</v>
      </c>
      <c r="DL53" s="313" t="str">
        <f>Capacity!H65</f>
        <v/>
      </c>
      <c r="DP53" s="5"/>
    </row>
    <row r="54" spans="2:120" x14ac:dyDescent="0.25">
      <c r="B54" s="67"/>
      <c r="C54" s="67" t="str">
        <f>ROW(A50)&amp;". "&amp;Capacity!B66</f>
        <v xml:space="preserve">50. </v>
      </c>
      <c r="D54" s="67">
        <f>'Capacity setup'!C61</f>
        <v>0</v>
      </c>
      <c r="E54" s="67">
        <f>'Capacity setup'!D61</f>
        <v>0</v>
      </c>
      <c r="F54" s="67">
        <f>'Capacity setup'!E61</f>
        <v>0</v>
      </c>
      <c r="H54" s="67">
        <f ca="1">IF(AND(SUMIF(Capacity_Resource,$D54,'Critical resources (hide)'!U$6:U$105)+SUMIF(Capacity_Resource,$E54,'Critical resources (hide)'!U$6:U$105)+SUMIF(Capacity_Resource,$F54,'Critical resources (hide)'!U$6:U$105)&gt;0,$E$1=2),0,1)</f>
        <v>1</v>
      </c>
      <c r="I54" s="67">
        <f ca="1">IF(AND(SUMIF(Capacity_Resource,$D54,'Critical resources (hide)'!V$6:V$105)+SUMIF(Capacity_Resource,$E54,'Critical resources (hide)'!V$6:V$105)+SUMIF(Capacity_Resource,$F54,'Critical resources (hide)'!V$6:V$105)&gt;0,$E$1=2),0,1)</f>
        <v>1</v>
      </c>
      <c r="J54" s="67">
        <f ca="1">IF(AND(SUMIF(Capacity_Resource,$D54,'Critical resources (hide)'!W$6:W$105)+SUMIF(Capacity_Resource,$E54,'Critical resources (hide)'!W$6:W$105)+SUMIF(Capacity_Resource,$F54,'Critical resources (hide)'!W$6:W$105)&gt;0,$E$1=2),0,1)</f>
        <v>1</v>
      </c>
      <c r="K54" s="67">
        <f ca="1">IF(AND(SUMIF(Capacity_Resource,$D54,'Critical resources (hide)'!X$6:X$105)+SUMIF(Capacity_Resource,$E54,'Critical resources (hide)'!X$6:X$105)+SUMIF(Capacity_Resource,$F54,'Critical resources (hide)'!X$6:X$105)&gt;0,$E$1=2),0,1)</f>
        <v>1</v>
      </c>
      <c r="L54" s="67">
        <f ca="1">IF(AND(SUMIF(Capacity_Resource,$D54,'Critical resources (hide)'!Y$6:Y$105)+SUMIF(Capacity_Resource,$E54,'Critical resources (hide)'!Y$6:Y$105)+SUMIF(Capacity_Resource,$F54,'Critical resources (hide)'!Y$6:Y$105)&gt;0,$E$1=2),0,1)</f>
        <v>1</v>
      </c>
      <c r="M54" s="67">
        <f ca="1">IF(AND(SUMIF(Capacity_Resource,$D54,'Critical resources (hide)'!Z$6:Z$105)+SUMIF(Capacity_Resource,$E54,'Critical resources (hide)'!Z$6:Z$105)+SUMIF(Capacity_Resource,$F54,'Critical resources (hide)'!Z$6:Z$105)&gt;0,$E$1=2),0,1)</f>
        <v>1</v>
      </c>
      <c r="N54" s="67">
        <f ca="1">IF(AND(SUMIF(Capacity_Resource,$D54,'Critical resources (hide)'!AA$6:AA$105)+SUMIF(Capacity_Resource,$E54,'Critical resources (hide)'!AA$6:AA$105)+SUMIF(Capacity_Resource,$F54,'Critical resources (hide)'!AA$6:AA$105)&gt;0,$E$1=2),0,1)</f>
        <v>1</v>
      </c>
      <c r="O54" s="67">
        <f ca="1">IF(AND(SUMIF(Capacity_Resource,$D54,'Critical resources (hide)'!AB$6:AB$105)+SUMIF(Capacity_Resource,$E54,'Critical resources (hide)'!AB$6:AB$105)+SUMIF(Capacity_Resource,$F54,'Critical resources (hide)'!AB$6:AB$105)&gt;0,$E$1=2),0,1)</f>
        <v>1</v>
      </c>
      <c r="P54" s="67">
        <f ca="1">IF(AND(SUMIF(Capacity_Resource,$D54,'Critical resources (hide)'!AC$6:AC$105)+SUMIF(Capacity_Resource,$E54,'Critical resources (hide)'!AC$6:AC$105)+SUMIF(Capacity_Resource,$F54,'Critical resources (hide)'!AC$6:AC$105)&gt;0,$E$1=2),0,1)</f>
        <v>1</v>
      </c>
      <c r="Q54" s="67">
        <f ca="1">IF(AND(SUMIF(Capacity_Resource,$D54,'Critical resources (hide)'!AD$6:AD$105)+SUMIF(Capacity_Resource,$E54,'Critical resources (hide)'!AD$6:AD$105)+SUMIF(Capacity_Resource,$F54,'Critical resources (hide)'!AD$6:AD$105)&gt;0,$E$1=2),0,1)</f>
        <v>1</v>
      </c>
      <c r="R54" s="67">
        <f ca="1">IF(AND(SUMIF(Capacity_Resource,$D54,'Critical resources (hide)'!AE$6:AE$105)+SUMIF(Capacity_Resource,$E54,'Critical resources (hide)'!AE$6:AE$105)+SUMIF(Capacity_Resource,$F54,'Critical resources (hide)'!AE$6:AE$105)&gt;0,$E$1=2),0,1)</f>
        <v>1</v>
      </c>
      <c r="S54" s="67">
        <f ca="1">IF(AND(SUMIF(Capacity_Resource,$D54,'Critical resources (hide)'!AF$6:AF$105)+SUMIF(Capacity_Resource,$E54,'Critical resources (hide)'!AF$6:AF$105)+SUMIF(Capacity_Resource,$F54,'Critical resources (hide)'!AF$6:AF$105)&gt;0,$E$1=2),0,1)</f>
        <v>1</v>
      </c>
      <c r="T54" s="67">
        <f ca="1">IF(AND(SUMIF(Capacity_Resource,$D54,'Critical resources (hide)'!AG$6:AG$105)+SUMIF(Capacity_Resource,$E54,'Critical resources (hide)'!AG$6:AG$105)+SUMIF(Capacity_Resource,$F54,'Critical resources (hide)'!AG$6:AG$105)&gt;0,$E$1=2),0,1)</f>
        <v>1</v>
      </c>
      <c r="U54" s="67">
        <f ca="1">IF(AND(SUMIF(Capacity_Resource,$D54,'Critical resources (hide)'!AH$6:AH$105)+SUMIF(Capacity_Resource,$E54,'Critical resources (hide)'!AH$6:AH$105)+SUMIF(Capacity_Resource,$F54,'Critical resources (hide)'!AH$6:AH$105)&gt;0,$E$1=2),0,1)</f>
        <v>1</v>
      </c>
      <c r="V54" s="67">
        <f ca="1">IF(AND(SUMIF(Capacity_Resource,$D54,'Critical resources (hide)'!AI$6:AI$105)+SUMIF(Capacity_Resource,$E54,'Critical resources (hide)'!AI$6:AI$105)+SUMIF(Capacity_Resource,$F54,'Critical resources (hide)'!AI$6:AI$105)&gt;0,$E$1=2),0,1)</f>
        <v>1</v>
      </c>
      <c r="W54" s="67">
        <f ca="1">IF(AND(SUMIF(Capacity_Resource,$D54,'Critical resources (hide)'!AJ$6:AJ$105)+SUMIF(Capacity_Resource,$E54,'Critical resources (hide)'!AJ$6:AJ$105)+SUMIF(Capacity_Resource,$F54,'Critical resources (hide)'!AJ$6:AJ$105)&gt;0,$E$1=2),0,1)</f>
        <v>1</v>
      </c>
      <c r="X54" s="67">
        <f ca="1">IF(AND(SUMIF(Capacity_Resource,$D54,'Critical resources (hide)'!AK$6:AK$105)+SUMIF(Capacity_Resource,$E54,'Critical resources (hide)'!AK$6:AK$105)+SUMIF(Capacity_Resource,$F54,'Critical resources (hide)'!AK$6:AK$105)&gt;0,$E$1=2),0,1)</f>
        <v>1</v>
      </c>
      <c r="Y54" s="67">
        <f ca="1">IF(AND(SUMIF(Capacity_Resource,$D54,'Critical resources (hide)'!AL$6:AL$105)+SUMIF(Capacity_Resource,$E54,'Critical resources (hide)'!AL$6:AL$105)+SUMIF(Capacity_Resource,$F54,'Critical resources (hide)'!AL$6:AL$105)&gt;0,$E$1=2),0,1)</f>
        <v>1</v>
      </c>
      <c r="Z54" s="67">
        <f ca="1">IF(AND(SUMIF(Capacity_Resource,$D54,'Critical resources (hide)'!AM$6:AM$105)+SUMIF(Capacity_Resource,$E54,'Critical resources (hide)'!AM$6:AM$105)+SUMIF(Capacity_Resource,$F54,'Critical resources (hide)'!AM$6:AM$105)&gt;0,$E$1=2),0,1)</f>
        <v>1</v>
      </c>
      <c r="AA54" s="67">
        <f ca="1">IF(AND(SUMIF(Capacity_Resource,$D54,'Critical resources (hide)'!AN$6:AN$105)+SUMIF(Capacity_Resource,$E54,'Critical resources (hide)'!AN$6:AN$105)+SUMIF(Capacity_Resource,$F54,'Critical resources (hide)'!AN$6:AN$105)&gt;0,$E$1=2),0,1)</f>
        <v>1</v>
      </c>
      <c r="AB54" s="67">
        <f ca="1">IF(AND(SUMIF(Capacity_Resource,$D54,'Critical resources (hide)'!AO$6:AO$105)+SUMIF(Capacity_Resource,$E54,'Critical resources (hide)'!AO$6:AO$105)+SUMIF(Capacity_Resource,$F54,'Critical resources (hide)'!AO$6:AO$105)&gt;0,$E$1=2),0,1)</f>
        <v>1</v>
      </c>
      <c r="AC54" s="67">
        <f ca="1">IF(AND(SUMIF(Capacity_Resource,$D54,'Critical resources (hide)'!AP$6:AP$105)+SUMIF(Capacity_Resource,$E54,'Critical resources (hide)'!AP$6:AP$105)+SUMIF(Capacity_Resource,$F54,'Critical resources (hide)'!AP$6:AP$105)&gt;0,$E$1=2),0,1)</f>
        <v>1</v>
      </c>
      <c r="AD54" s="67">
        <f ca="1">IF(AND(SUMIF(Capacity_Resource,$D54,'Critical resources (hide)'!AQ$6:AQ$105)+SUMIF(Capacity_Resource,$E54,'Critical resources (hide)'!AQ$6:AQ$105)+SUMIF(Capacity_Resource,$F54,'Critical resources (hide)'!AQ$6:AQ$105)&gt;0,$E$1=2),0,1)</f>
        <v>1</v>
      </c>
      <c r="AE54" s="67">
        <f ca="1">IF(AND(SUMIF(Capacity_Resource,$D54,'Critical resources (hide)'!AR$6:AR$105)+SUMIF(Capacity_Resource,$E54,'Critical resources (hide)'!AR$6:AR$105)+SUMIF(Capacity_Resource,$F54,'Critical resources (hide)'!AR$6:AR$105)&gt;0,$E$1=2),0,1)</f>
        <v>1</v>
      </c>
      <c r="AF54" s="67">
        <f ca="1">IF(AND(SUMIF(Capacity_Resource,$D54,'Critical resources (hide)'!AS$6:AS$105)+SUMIF(Capacity_Resource,$E54,'Critical resources (hide)'!AS$6:AS$105)+SUMIF(Capacity_Resource,$F54,'Critical resources (hide)'!AS$6:AS$105)&gt;0,$E$1=2),0,1)</f>
        <v>1</v>
      </c>
      <c r="AG54" s="67">
        <f ca="1">IF(AND(SUMIF(Capacity_Resource,$D54,'Critical resources (hide)'!AT$6:AT$105)+SUMIF(Capacity_Resource,$E54,'Critical resources (hide)'!AT$6:AT$105)+SUMIF(Capacity_Resource,$F54,'Critical resources (hide)'!AT$6:AT$105)&gt;0,$E$1=2),0,1)</f>
        <v>1</v>
      </c>
      <c r="AH54" s="67">
        <f ca="1">IF(AND(SUMIF(Capacity_Resource,$D54,'Critical resources (hide)'!AU$6:AU$105)+SUMIF(Capacity_Resource,$E54,'Critical resources (hide)'!AU$6:AU$105)+SUMIF(Capacity_Resource,$F54,'Critical resources (hide)'!AU$6:AU$105)&gt;0,$E$1=2),0,1)</f>
        <v>1</v>
      </c>
      <c r="AI54" s="67">
        <f ca="1">IF(AND(SUMIF(Capacity_Resource,$D54,'Critical resources (hide)'!AV$6:AV$105)+SUMIF(Capacity_Resource,$E54,'Critical resources (hide)'!AV$6:AV$105)+SUMIF(Capacity_Resource,$F54,'Critical resources (hide)'!AV$6:AV$105)&gt;0,$E$1=2),0,1)</f>
        <v>1</v>
      </c>
      <c r="AJ54" s="67">
        <f ca="1">IF(AND(SUMIF(Capacity_Resource,$D54,'Critical resources (hide)'!AW$6:AW$105)+SUMIF(Capacity_Resource,$E54,'Critical resources (hide)'!AW$6:AW$105)+SUMIF(Capacity_Resource,$F54,'Critical resources (hide)'!AW$6:AW$105)&gt;0,$E$1=2),0,1)</f>
        <v>1</v>
      </c>
      <c r="AK54" s="67">
        <f ca="1">IF(AND(SUMIF(Capacity_Resource,$D54,'Critical resources (hide)'!AX$6:AX$105)+SUMIF(Capacity_Resource,$E54,'Critical resources (hide)'!AX$6:AX$105)+SUMIF(Capacity_Resource,$F54,'Critical resources (hide)'!AX$6:AX$105)&gt;0,$E$1=2),0,1)</f>
        <v>1</v>
      </c>
      <c r="AL54" s="67">
        <f ca="1">IF(AND(SUMIF(Capacity_Resource,$D54,'Critical resources (hide)'!AY$6:AY$105)+SUMIF(Capacity_Resource,$E54,'Critical resources (hide)'!AY$6:AY$105)+SUMIF(Capacity_Resource,$F54,'Critical resources (hide)'!AY$6:AY$105)&gt;0,$E$1=2),0,1)</f>
        <v>1</v>
      </c>
      <c r="AM54" s="67">
        <f ca="1">IF(AND(SUMIF(Capacity_Resource,$D54,'Critical resources (hide)'!AZ$6:AZ$105)+SUMIF(Capacity_Resource,$E54,'Critical resources (hide)'!AZ$6:AZ$105)+SUMIF(Capacity_Resource,$F54,'Critical resources (hide)'!AZ$6:AZ$105)&gt;0,$E$1=2),0,1)</f>
        <v>1</v>
      </c>
      <c r="AN54" s="67">
        <f ca="1">IF(AND(SUMIF(Capacity_Resource,$D54,'Critical resources (hide)'!BA$6:BA$105)+SUMIF(Capacity_Resource,$E54,'Critical resources (hide)'!BA$6:BA$105)+SUMIF(Capacity_Resource,$F54,'Critical resources (hide)'!BA$6:BA$105)&gt;0,$E$1=2),0,1)</f>
        <v>1</v>
      </c>
      <c r="AO54" s="67">
        <f ca="1">IF(AND(SUMIF(Capacity_Resource,$D54,'Critical resources (hide)'!BB$6:BB$105)+SUMIF(Capacity_Resource,$E54,'Critical resources (hide)'!BB$6:BB$105)+SUMIF(Capacity_Resource,$F54,'Critical resources (hide)'!BB$6:BB$105)&gt;0,$E$1=2),0,1)</f>
        <v>1</v>
      </c>
      <c r="AP54" s="67">
        <f ca="1">IF(AND(SUMIF(Capacity_Resource,$D54,'Critical resources (hide)'!BC$6:BC$105)+SUMIF(Capacity_Resource,$E54,'Critical resources (hide)'!BC$6:BC$105)+SUMIF(Capacity_Resource,$F54,'Critical resources (hide)'!BC$6:BC$105)&gt;0,$E$1=2),0,1)</f>
        <v>1</v>
      </c>
      <c r="AQ54" s="67">
        <f ca="1">IF(AND(SUMIF(Capacity_Resource,$D54,'Critical resources (hide)'!BD$6:BD$105)+SUMIF(Capacity_Resource,$E54,'Critical resources (hide)'!BD$6:BD$105)+SUMIF(Capacity_Resource,$F54,'Critical resources (hide)'!BD$6:BD$105)&gt;0,$E$1=2),0,1)</f>
        <v>1</v>
      </c>
      <c r="AR54" s="67">
        <f ca="1">IF(AND(SUMIF(Capacity_Resource,$D54,'Critical resources (hide)'!BE$6:BE$105)+SUMIF(Capacity_Resource,$E54,'Critical resources (hide)'!BE$6:BE$105)+SUMIF(Capacity_Resource,$F54,'Critical resources (hide)'!BE$6:BE$105)&gt;0,$E$1=2),0,1)</f>
        <v>1</v>
      </c>
      <c r="AS54" s="67">
        <f ca="1">IF(AND(SUMIF(Capacity_Resource,$D54,'Critical resources (hide)'!BF$6:BF$105)+SUMIF(Capacity_Resource,$E54,'Critical resources (hide)'!BF$6:BF$105)+SUMIF(Capacity_Resource,$F54,'Critical resources (hide)'!BF$6:BF$105)&gt;0,$E$1=2),0,1)</f>
        <v>1</v>
      </c>
      <c r="AT54" s="67">
        <f ca="1">IF(AND(SUMIF(Capacity_Resource,$D54,'Critical resources (hide)'!BG$6:BG$105)+SUMIF(Capacity_Resource,$E54,'Critical resources (hide)'!BG$6:BG$105)+SUMIF(Capacity_Resource,$F54,'Critical resources (hide)'!BG$6:BG$105)&gt;0,$E$1=2),0,1)</f>
        <v>1</v>
      </c>
      <c r="AU54" s="67">
        <f ca="1">IF(AND(SUMIF(Capacity_Resource,$D54,'Critical resources (hide)'!BH$6:BH$105)+SUMIF(Capacity_Resource,$E54,'Critical resources (hide)'!BH$6:BH$105)+SUMIF(Capacity_Resource,$F54,'Critical resources (hide)'!BH$6:BH$105)&gt;0,$E$1=2),0,1)</f>
        <v>1</v>
      </c>
      <c r="AV54" s="67">
        <f ca="1">IF(AND(SUMIF(Capacity_Resource,$D54,'Critical resources (hide)'!BI$6:BI$105)+SUMIF(Capacity_Resource,$E54,'Critical resources (hide)'!BI$6:BI$105)+SUMIF(Capacity_Resource,$F54,'Critical resources (hide)'!BI$6:BI$105)&gt;0,$E$1=2),0,1)</f>
        <v>1</v>
      </c>
      <c r="AW54" s="67">
        <f ca="1">IF(AND(SUMIF(Capacity_Resource,$D54,'Critical resources (hide)'!BJ$6:BJ$105)+SUMIF(Capacity_Resource,$E54,'Critical resources (hide)'!BJ$6:BJ$105)+SUMIF(Capacity_Resource,$F54,'Critical resources (hide)'!BJ$6:BJ$105)&gt;0,$E$1=2),0,1)</f>
        <v>1</v>
      </c>
      <c r="AX54" s="67">
        <f ca="1">IF(AND(SUMIF(Capacity_Resource,$D54,'Critical resources (hide)'!BK$6:BK$105)+SUMIF(Capacity_Resource,$E54,'Critical resources (hide)'!BK$6:BK$105)+SUMIF(Capacity_Resource,$F54,'Critical resources (hide)'!BK$6:BK$105)&gt;0,$E$1=2),0,1)</f>
        <v>1</v>
      </c>
      <c r="AY54" s="67">
        <f ca="1">IF(AND(SUMIF(Capacity_Resource,$D54,'Critical resources (hide)'!BL$6:BL$105)+SUMIF(Capacity_Resource,$E54,'Critical resources (hide)'!BL$6:BL$105)+SUMIF(Capacity_Resource,$F54,'Critical resources (hide)'!BL$6:BL$105)&gt;0,$E$1=2),0,1)</f>
        <v>1</v>
      </c>
      <c r="AZ54" s="67">
        <f ca="1">IF(AND(SUMIF(Capacity_Resource,$D54,'Critical resources (hide)'!BM$6:BM$105)+SUMIF(Capacity_Resource,$E54,'Critical resources (hide)'!BM$6:BM$105)+SUMIF(Capacity_Resource,$F54,'Critical resources (hide)'!BM$6:BM$105)&gt;0,$E$1=2),0,1)</f>
        <v>1</v>
      </c>
      <c r="BA54" s="67">
        <f ca="1">IF(AND(SUMIF(Capacity_Resource,$D54,'Critical resources (hide)'!BN$6:BN$105)+SUMIF(Capacity_Resource,$E54,'Critical resources (hide)'!BN$6:BN$105)+SUMIF(Capacity_Resource,$F54,'Critical resources (hide)'!BN$6:BN$105)&gt;0,$E$1=2),0,1)</f>
        <v>1</v>
      </c>
      <c r="BB54" s="67">
        <f ca="1">IF(AND(SUMIF(Capacity_Resource,$D54,'Critical resources (hide)'!BO$6:BO$105)+SUMIF(Capacity_Resource,$E54,'Critical resources (hide)'!BO$6:BO$105)+SUMIF(Capacity_Resource,$F54,'Critical resources (hide)'!BO$6:BO$105)&gt;0,$E$1=2),0,1)</f>
        <v>1</v>
      </c>
      <c r="BC54" s="67">
        <f ca="1">IF(AND(SUMIF(Capacity_Resource,$D54,'Critical resources (hide)'!BP$6:BP$105)+SUMIF(Capacity_Resource,$E54,'Critical resources (hide)'!BP$6:BP$105)+SUMIF(Capacity_Resource,$F54,'Critical resources (hide)'!BP$6:BP$105)&gt;0,$E$1=2),0,1)</f>
        <v>1</v>
      </c>
      <c r="BD54" s="67">
        <f ca="1">IF(AND(SUMIF(Capacity_Resource,$D54,'Critical resources (hide)'!BQ$6:BQ$105)+SUMIF(Capacity_Resource,$E54,'Critical resources (hide)'!BQ$6:BQ$105)+SUMIF(Capacity_Resource,$F54,'Critical resources (hide)'!BQ$6:BQ$105)&gt;0,$E$1=2),0,1)</f>
        <v>1</v>
      </c>
      <c r="BE54" s="67">
        <f ca="1">IF(AND(SUMIF(Capacity_Resource,$D54,'Critical resources (hide)'!BR$6:BR$105)+SUMIF(Capacity_Resource,$E54,'Critical resources (hide)'!BR$6:BR$105)+SUMIF(Capacity_Resource,$F54,'Critical resources (hide)'!BR$6:BR$105)&gt;0,$E$1=2),0,1)</f>
        <v>1</v>
      </c>
      <c r="BF54" s="67">
        <f ca="1">IF(AND(SUMIF(Capacity_Resource,$D54,'Critical resources (hide)'!BS$6:BS$105)+SUMIF(Capacity_Resource,$E54,'Critical resources (hide)'!BS$6:BS$105)+SUMIF(Capacity_Resource,$F54,'Critical resources (hide)'!BS$6:BS$105)&gt;0,$E$1=2),0,1)</f>
        <v>1</v>
      </c>
      <c r="BG54" s="67">
        <f ca="1">IF(AND(SUMIF(Capacity_Resource,$D54,'Critical resources (hide)'!BT$6:BT$105)+SUMIF(Capacity_Resource,$E54,'Critical resources (hide)'!BT$6:BT$105)+SUMIF(Capacity_Resource,$F54,'Critical resources (hide)'!BT$6:BT$105)&gt;0,$E$1=2),0,1)</f>
        <v>1</v>
      </c>
      <c r="BH54" s="67">
        <f>IF(ROW(C50)&lt;=Capacity!$A$16,IF('Capacity summary'!$D$14="No",SUM(H54:BG54),'Capacity summary'!$E173),0)</f>
        <v>0</v>
      </c>
      <c r="BI54" s="5" t="str">
        <f>IF(BH54&gt;0,IF(BH54&lt;Capacity!E66,Capacity!F66,Capacity!H66/'Capacity calculation (hide)'!BH54),"")</f>
        <v/>
      </c>
      <c r="BK54" s="313">
        <f>IF($BI54&lt;&gt;"",IF('Capacity summary'!$D$14="Yes",IF(COUNTBLANK('Capacity summary'!$H173:$BG173)&lt;52,IF('Capacity summary'!H173&lt;&gt;"",IF(LOWER('Capacity summary'!H173)="x",$BI54*H54,VALUE('Capacity summary'!H173)),0),H54*$BI54),H54*$BI54),0)</f>
        <v>0</v>
      </c>
      <c r="BL54" s="313">
        <f>IF($BI54&lt;&gt;"",IF('Capacity summary'!$D$14="Yes",IF(COUNTBLANK('Capacity summary'!$H173:$BG173)&lt;52,IF('Capacity summary'!I173&lt;&gt;"",IF(LOWER('Capacity summary'!I173)="x",$BI54*I54,VALUE('Capacity summary'!I173)),0),I54*$BI54),I54*$BI54),0)</f>
        <v>0</v>
      </c>
      <c r="BM54" s="313">
        <f>IF($BI54&lt;&gt;"",IF('Capacity summary'!$D$14="Yes",IF(COUNTBLANK('Capacity summary'!$H173:$BG173)&lt;52,IF('Capacity summary'!J173&lt;&gt;"",IF(LOWER('Capacity summary'!J173)="x",$BI54*J54,VALUE('Capacity summary'!J173)),0),J54*$BI54),J54*$BI54),0)</f>
        <v>0</v>
      </c>
      <c r="BN54" s="313">
        <f>IF($BI54&lt;&gt;"",IF('Capacity summary'!$D$14="Yes",IF(COUNTBLANK('Capacity summary'!$H173:$BG173)&lt;52,IF('Capacity summary'!K173&lt;&gt;"",IF(LOWER('Capacity summary'!K173)="x",$BI54*K54,VALUE('Capacity summary'!K173)),0),K54*$BI54),K54*$BI54),0)</f>
        <v>0</v>
      </c>
      <c r="BO54" s="313">
        <f>IF($BI54&lt;&gt;"",IF('Capacity summary'!$D$14="Yes",IF(COUNTBLANK('Capacity summary'!$H173:$BG173)&lt;52,IF('Capacity summary'!L173&lt;&gt;"",IF(LOWER('Capacity summary'!L173)="x",$BI54*L54,VALUE('Capacity summary'!L173)),0),L54*$BI54),L54*$BI54),0)</f>
        <v>0</v>
      </c>
      <c r="BP54" s="313">
        <f>IF($BI54&lt;&gt;"",IF('Capacity summary'!$D$14="Yes",IF(COUNTBLANK('Capacity summary'!$H173:$BG173)&lt;52,IF('Capacity summary'!M173&lt;&gt;"",IF(LOWER('Capacity summary'!M173)="x",$BI54*M54,VALUE('Capacity summary'!M173)),0),M54*$BI54),M54*$BI54),0)</f>
        <v>0</v>
      </c>
      <c r="BQ54" s="313">
        <f>IF($BI54&lt;&gt;"",IF('Capacity summary'!$D$14="Yes",IF(COUNTBLANK('Capacity summary'!$H173:$BG173)&lt;52,IF('Capacity summary'!N173&lt;&gt;"",IF(LOWER('Capacity summary'!N173)="x",$BI54*N54,VALUE('Capacity summary'!N173)),0),N54*$BI54),N54*$BI54),0)</f>
        <v>0</v>
      </c>
      <c r="BR54" s="313">
        <f>IF($BI54&lt;&gt;"",IF('Capacity summary'!$D$14="Yes",IF(COUNTBLANK('Capacity summary'!$H173:$BG173)&lt;52,IF('Capacity summary'!O173&lt;&gt;"",IF(LOWER('Capacity summary'!O173)="x",$BI54*O54,VALUE('Capacity summary'!O173)),0),O54*$BI54),O54*$BI54),0)</f>
        <v>0</v>
      </c>
      <c r="BS54" s="313">
        <f>IF($BI54&lt;&gt;"",IF('Capacity summary'!$D$14="Yes",IF(COUNTBLANK('Capacity summary'!$H173:$BG173)&lt;52,IF('Capacity summary'!P173&lt;&gt;"",IF(LOWER('Capacity summary'!P173)="x",$BI54*P54,VALUE('Capacity summary'!P173)),0),P54*$BI54),P54*$BI54),0)</f>
        <v>0</v>
      </c>
      <c r="BT54" s="313">
        <f>IF($BI54&lt;&gt;"",IF('Capacity summary'!$D$14="Yes",IF(COUNTBLANK('Capacity summary'!$H173:$BG173)&lt;52,IF('Capacity summary'!Q173&lt;&gt;"",IF(LOWER('Capacity summary'!Q173)="x",$BI54*Q54,VALUE('Capacity summary'!Q173)),0),Q54*$BI54),Q54*$BI54),0)</f>
        <v>0</v>
      </c>
      <c r="BU54" s="313">
        <f>IF($BI54&lt;&gt;"",IF('Capacity summary'!$D$14="Yes",IF(COUNTBLANK('Capacity summary'!$H173:$BG173)&lt;52,IF('Capacity summary'!R173&lt;&gt;"",IF(LOWER('Capacity summary'!R173)="x",$BI54*R54,VALUE('Capacity summary'!R173)),0),R54*$BI54),R54*$BI54),0)</f>
        <v>0</v>
      </c>
      <c r="BV54" s="313">
        <f>IF($BI54&lt;&gt;"",IF('Capacity summary'!$D$14="Yes",IF(COUNTBLANK('Capacity summary'!$H173:$BG173)&lt;52,IF('Capacity summary'!S173&lt;&gt;"",IF(LOWER('Capacity summary'!S173)="x",$BI54*S54,VALUE('Capacity summary'!S173)),0),S54*$BI54),S54*$BI54),0)</f>
        <v>0</v>
      </c>
      <c r="BW54" s="313">
        <f>IF($BI54&lt;&gt;"",IF('Capacity summary'!$D$14="Yes",IF(COUNTBLANK('Capacity summary'!$H173:$BG173)&lt;52,IF('Capacity summary'!T173&lt;&gt;"",IF(LOWER('Capacity summary'!T173)="x",$BI54*T54,VALUE('Capacity summary'!T173)),0),T54*$BI54),T54*$BI54),0)</f>
        <v>0</v>
      </c>
      <c r="BX54" s="313">
        <f>IF($BI54&lt;&gt;"",IF('Capacity summary'!$D$14="Yes",IF(COUNTBLANK('Capacity summary'!$H173:$BG173)&lt;52,IF('Capacity summary'!U173&lt;&gt;"",IF(LOWER('Capacity summary'!U173)="x",$BI54*U54,VALUE('Capacity summary'!U173)),0),U54*$BI54),U54*$BI54),0)</f>
        <v>0</v>
      </c>
      <c r="BY54" s="313">
        <f>IF($BI54&lt;&gt;"",IF('Capacity summary'!$D$14="Yes",IF(COUNTBLANK('Capacity summary'!$H173:$BG173)&lt;52,IF('Capacity summary'!V173&lt;&gt;"",IF(LOWER('Capacity summary'!V173)="x",$BI54*V54,VALUE('Capacity summary'!V173)),0),V54*$BI54),V54*$BI54),0)</f>
        <v>0</v>
      </c>
      <c r="BZ54" s="313">
        <f>IF($BI54&lt;&gt;"",IF('Capacity summary'!$D$14="Yes",IF(COUNTBLANK('Capacity summary'!$H173:$BG173)&lt;52,IF('Capacity summary'!W173&lt;&gt;"",IF(LOWER('Capacity summary'!W173)="x",$BI54*W54,VALUE('Capacity summary'!W173)),0),W54*$BI54),W54*$BI54),0)</f>
        <v>0</v>
      </c>
      <c r="CA54" s="313">
        <f>IF($BI54&lt;&gt;"",IF('Capacity summary'!$D$14="Yes",IF(COUNTBLANK('Capacity summary'!$H173:$BG173)&lt;52,IF('Capacity summary'!X173&lt;&gt;"",IF(LOWER('Capacity summary'!X173)="x",$BI54*X54,VALUE('Capacity summary'!X173)),0),X54*$BI54),X54*$BI54),0)</f>
        <v>0</v>
      </c>
      <c r="CB54" s="313">
        <f>IF($BI54&lt;&gt;"",IF('Capacity summary'!$D$14="Yes",IF(COUNTBLANK('Capacity summary'!$H173:$BG173)&lt;52,IF('Capacity summary'!Y173&lt;&gt;"",IF(LOWER('Capacity summary'!Y173)="x",$BI54*Y54,VALUE('Capacity summary'!Y173)),0),Y54*$BI54),Y54*$BI54),0)</f>
        <v>0</v>
      </c>
      <c r="CC54" s="313">
        <f>IF($BI54&lt;&gt;"",IF('Capacity summary'!$D$14="Yes",IF(COUNTBLANK('Capacity summary'!$H173:$BG173)&lt;52,IF('Capacity summary'!Z173&lt;&gt;"",IF(LOWER('Capacity summary'!Z173)="x",$BI54*Z54,VALUE('Capacity summary'!Z173)),0),Z54*$BI54),Z54*$BI54),0)</f>
        <v>0</v>
      </c>
      <c r="CD54" s="313">
        <f>IF($BI54&lt;&gt;"",IF('Capacity summary'!$D$14="Yes",IF(COUNTBLANK('Capacity summary'!$H173:$BG173)&lt;52,IF('Capacity summary'!AA173&lt;&gt;"",IF(LOWER('Capacity summary'!AA173)="x",$BI54*AA54,VALUE('Capacity summary'!AA173)),0),AA54*$BI54),AA54*$BI54),0)</f>
        <v>0</v>
      </c>
      <c r="CE54" s="313">
        <f>IF($BI54&lt;&gt;"",IF('Capacity summary'!$D$14="Yes",IF(COUNTBLANK('Capacity summary'!$H173:$BG173)&lt;52,IF('Capacity summary'!AB173&lt;&gt;"",IF(LOWER('Capacity summary'!AB173)="x",$BI54*AB54,VALUE('Capacity summary'!AB173)),0),AB54*$BI54),AB54*$BI54),0)</f>
        <v>0</v>
      </c>
      <c r="CF54" s="313">
        <f>IF($BI54&lt;&gt;"",IF('Capacity summary'!$D$14="Yes",IF(COUNTBLANK('Capacity summary'!$H173:$BG173)&lt;52,IF('Capacity summary'!AC173&lt;&gt;"",IF(LOWER('Capacity summary'!AC173)="x",$BI54*AC54,VALUE('Capacity summary'!AC173)),0),AC54*$BI54),AC54*$BI54),0)</f>
        <v>0</v>
      </c>
      <c r="CG54" s="313">
        <f>IF($BI54&lt;&gt;"",IF('Capacity summary'!$D$14="Yes",IF(COUNTBLANK('Capacity summary'!$H173:$BG173)&lt;52,IF('Capacity summary'!AD173&lt;&gt;"",IF(LOWER('Capacity summary'!AD173)="x",$BI54*AD54,VALUE('Capacity summary'!AD173)),0),AD54*$BI54),AD54*$BI54),0)</f>
        <v>0</v>
      </c>
      <c r="CH54" s="313">
        <f>IF($BI54&lt;&gt;"",IF('Capacity summary'!$D$14="Yes",IF(COUNTBLANK('Capacity summary'!$H173:$BG173)&lt;52,IF('Capacity summary'!AE173&lt;&gt;"",IF(LOWER('Capacity summary'!AE173)="x",$BI54*AE54,VALUE('Capacity summary'!AE173)),0),AE54*$BI54),AE54*$BI54),0)</f>
        <v>0</v>
      </c>
      <c r="CI54" s="313">
        <f>IF($BI54&lt;&gt;"",IF('Capacity summary'!$D$14="Yes",IF(COUNTBLANK('Capacity summary'!$H173:$BG173)&lt;52,IF('Capacity summary'!AF173&lt;&gt;"",IF(LOWER('Capacity summary'!AF173)="x",$BI54*AF54,VALUE('Capacity summary'!AF173)),0),AF54*$BI54),AF54*$BI54),0)</f>
        <v>0</v>
      </c>
      <c r="CJ54" s="313">
        <f>IF($BI54&lt;&gt;"",IF('Capacity summary'!$D$14="Yes",IF(COUNTBLANK('Capacity summary'!$H173:$BG173)&lt;52,IF('Capacity summary'!AG173&lt;&gt;"",IF(LOWER('Capacity summary'!AG173)="x",$BI54*AG54,VALUE('Capacity summary'!AG173)),0),AG54*$BI54),AG54*$BI54),0)</f>
        <v>0</v>
      </c>
      <c r="CK54" s="313">
        <f>IF($BI54&lt;&gt;"",IF('Capacity summary'!$D$14="Yes",IF(COUNTBLANK('Capacity summary'!$H173:$BG173)&lt;52,IF('Capacity summary'!AH173&lt;&gt;"",IF(LOWER('Capacity summary'!AH173)="x",$BI54*AH54,VALUE('Capacity summary'!AH173)),0),AH54*$BI54),AH54*$BI54),0)</f>
        <v>0</v>
      </c>
      <c r="CL54" s="313">
        <f>IF($BI54&lt;&gt;"",IF('Capacity summary'!$D$14="Yes",IF(COUNTBLANK('Capacity summary'!$H173:$BG173)&lt;52,IF('Capacity summary'!AI173&lt;&gt;"",IF(LOWER('Capacity summary'!AI173)="x",$BI54*AI54,VALUE('Capacity summary'!AI173)),0),AI54*$BI54),AI54*$BI54),0)</f>
        <v>0</v>
      </c>
      <c r="CM54" s="313">
        <f>IF($BI54&lt;&gt;"",IF('Capacity summary'!$D$14="Yes",IF(COUNTBLANK('Capacity summary'!$H173:$BG173)&lt;52,IF('Capacity summary'!AJ173&lt;&gt;"",IF(LOWER('Capacity summary'!AJ173)="x",$BI54*AJ54,VALUE('Capacity summary'!AJ173)),0),AJ54*$BI54),AJ54*$BI54),0)</f>
        <v>0</v>
      </c>
      <c r="CN54" s="313">
        <f>IF($BI54&lt;&gt;"",IF('Capacity summary'!$D$14="Yes",IF(COUNTBLANK('Capacity summary'!$H173:$BG173)&lt;52,IF('Capacity summary'!AK173&lt;&gt;"",IF(LOWER('Capacity summary'!AK173)="x",$BI54*AK54,VALUE('Capacity summary'!AK173)),0),AK54*$BI54),AK54*$BI54),0)</f>
        <v>0</v>
      </c>
      <c r="CO54" s="313">
        <f>IF($BI54&lt;&gt;"",IF('Capacity summary'!$D$14="Yes",IF(COUNTBLANK('Capacity summary'!$H173:$BG173)&lt;52,IF('Capacity summary'!AL173&lt;&gt;"",IF(LOWER('Capacity summary'!AL173)="x",$BI54*AL54,VALUE('Capacity summary'!AL173)),0),AL54*$BI54),AL54*$BI54),0)</f>
        <v>0</v>
      </c>
      <c r="CP54" s="313">
        <f>IF($BI54&lt;&gt;"",IF('Capacity summary'!$D$14="Yes",IF(COUNTBLANK('Capacity summary'!$H173:$BG173)&lt;52,IF('Capacity summary'!AM173&lt;&gt;"",IF(LOWER('Capacity summary'!AM173)="x",$BI54*AM54,VALUE('Capacity summary'!AM173)),0),AM54*$BI54),AM54*$BI54),0)</f>
        <v>0</v>
      </c>
      <c r="CQ54" s="313">
        <f>IF($BI54&lt;&gt;"",IF('Capacity summary'!$D$14="Yes",IF(COUNTBLANK('Capacity summary'!$H173:$BG173)&lt;52,IF('Capacity summary'!AN173&lt;&gt;"",IF(LOWER('Capacity summary'!AN173)="x",$BI54*AN54,VALUE('Capacity summary'!AN173)),0),AN54*$BI54),AN54*$BI54),0)</f>
        <v>0</v>
      </c>
      <c r="CR54" s="313">
        <f>IF($BI54&lt;&gt;"",IF('Capacity summary'!$D$14="Yes",IF(COUNTBLANK('Capacity summary'!$H173:$BG173)&lt;52,IF('Capacity summary'!AO173&lt;&gt;"",IF(LOWER('Capacity summary'!AO173)="x",$BI54*AO54,VALUE('Capacity summary'!AO173)),0),AO54*$BI54),AO54*$BI54),0)</f>
        <v>0</v>
      </c>
      <c r="CS54" s="313">
        <f>IF($BI54&lt;&gt;"",IF('Capacity summary'!$D$14="Yes",IF(COUNTBLANK('Capacity summary'!$H173:$BG173)&lt;52,IF('Capacity summary'!AP173&lt;&gt;"",IF(LOWER('Capacity summary'!AP173)="x",$BI54*AP54,VALUE('Capacity summary'!AP173)),0),AP54*$BI54),AP54*$BI54),0)</f>
        <v>0</v>
      </c>
      <c r="CT54" s="313">
        <f>IF($BI54&lt;&gt;"",IF('Capacity summary'!$D$14="Yes",IF(COUNTBLANK('Capacity summary'!$H173:$BG173)&lt;52,IF('Capacity summary'!AQ173&lt;&gt;"",IF(LOWER('Capacity summary'!AQ173)="x",$BI54*AQ54,VALUE('Capacity summary'!AQ173)),0),AQ54*$BI54),AQ54*$BI54),0)</f>
        <v>0</v>
      </c>
      <c r="CU54" s="313">
        <f>IF($BI54&lt;&gt;"",IF('Capacity summary'!$D$14="Yes",IF(COUNTBLANK('Capacity summary'!$H173:$BG173)&lt;52,IF('Capacity summary'!AR173&lt;&gt;"",IF(LOWER('Capacity summary'!AR173)="x",$BI54*AR54,VALUE('Capacity summary'!AR173)),0),AR54*$BI54),AR54*$BI54),0)</f>
        <v>0</v>
      </c>
      <c r="CV54" s="313">
        <f>IF($BI54&lt;&gt;"",IF('Capacity summary'!$D$14="Yes",IF(COUNTBLANK('Capacity summary'!$H173:$BG173)&lt;52,IF('Capacity summary'!AS173&lt;&gt;"",IF(LOWER('Capacity summary'!AS173)="x",$BI54*AS54,VALUE('Capacity summary'!AS173)),0),AS54*$BI54),AS54*$BI54),0)</f>
        <v>0</v>
      </c>
      <c r="CW54" s="313">
        <f>IF($BI54&lt;&gt;"",IF('Capacity summary'!$D$14="Yes",IF(COUNTBLANK('Capacity summary'!$H173:$BG173)&lt;52,IF('Capacity summary'!AT173&lt;&gt;"",IF(LOWER('Capacity summary'!AT173)="x",$BI54*AT54,VALUE('Capacity summary'!AT173)),0),AT54*$BI54),AT54*$BI54),0)</f>
        <v>0</v>
      </c>
      <c r="CX54" s="313">
        <f>IF($BI54&lt;&gt;"",IF('Capacity summary'!$D$14="Yes",IF(COUNTBLANK('Capacity summary'!$H173:$BG173)&lt;52,IF('Capacity summary'!AU173&lt;&gt;"",IF(LOWER('Capacity summary'!AU173)="x",$BI54*AU54,VALUE('Capacity summary'!AU173)),0),AU54*$BI54),AU54*$BI54),0)</f>
        <v>0</v>
      </c>
      <c r="CY54" s="313">
        <f>IF($BI54&lt;&gt;"",IF('Capacity summary'!$D$14="Yes",IF(COUNTBLANK('Capacity summary'!$H173:$BG173)&lt;52,IF('Capacity summary'!AV173&lt;&gt;"",IF(LOWER('Capacity summary'!AV173)="x",$BI54*AV54,VALUE('Capacity summary'!AV173)),0),AV54*$BI54),AV54*$BI54),0)</f>
        <v>0</v>
      </c>
      <c r="CZ54" s="313">
        <f>IF($BI54&lt;&gt;"",IF('Capacity summary'!$D$14="Yes",IF(COUNTBLANK('Capacity summary'!$H173:$BG173)&lt;52,IF('Capacity summary'!AW173&lt;&gt;"",IF(LOWER('Capacity summary'!AW173)="x",$BI54*AW54,VALUE('Capacity summary'!AW173)),0),AW54*$BI54),AW54*$BI54),0)</f>
        <v>0</v>
      </c>
      <c r="DA54" s="313">
        <f>IF($BI54&lt;&gt;"",IF('Capacity summary'!$D$14="Yes",IF(COUNTBLANK('Capacity summary'!$H173:$BG173)&lt;52,IF('Capacity summary'!AX173&lt;&gt;"",IF(LOWER('Capacity summary'!AX173)="x",$BI54*AX54,VALUE('Capacity summary'!AX173)),0),AX54*$BI54),AX54*$BI54),0)</f>
        <v>0</v>
      </c>
      <c r="DB54" s="313">
        <f>IF($BI54&lt;&gt;"",IF('Capacity summary'!$D$14="Yes",IF(COUNTBLANK('Capacity summary'!$H173:$BG173)&lt;52,IF('Capacity summary'!AY173&lt;&gt;"",IF(LOWER('Capacity summary'!AY173)="x",$BI54*AY54,VALUE('Capacity summary'!AY173)),0),AY54*$BI54),AY54*$BI54),0)</f>
        <v>0</v>
      </c>
      <c r="DC54" s="313">
        <f>IF($BI54&lt;&gt;"",IF('Capacity summary'!$D$14="Yes",IF(COUNTBLANK('Capacity summary'!$H173:$BG173)&lt;52,IF('Capacity summary'!AZ173&lt;&gt;"",IF(LOWER('Capacity summary'!AZ173)="x",$BI54*AZ54,VALUE('Capacity summary'!AZ173)),0),AZ54*$BI54),AZ54*$BI54),0)</f>
        <v>0</v>
      </c>
      <c r="DD54" s="313">
        <f>IF($BI54&lt;&gt;"",IF('Capacity summary'!$D$14="Yes",IF(COUNTBLANK('Capacity summary'!$H173:$BG173)&lt;52,IF('Capacity summary'!BA173&lt;&gt;"",IF(LOWER('Capacity summary'!BA173)="x",$BI54*BA54,VALUE('Capacity summary'!BA173)),0),BA54*$BI54),BA54*$BI54),0)</f>
        <v>0</v>
      </c>
      <c r="DE54" s="313">
        <f>IF($BI54&lt;&gt;"",IF('Capacity summary'!$D$14="Yes",IF(COUNTBLANK('Capacity summary'!$H173:$BG173)&lt;52,IF('Capacity summary'!BB173&lt;&gt;"",IF(LOWER('Capacity summary'!BB173)="x",$BI54*BB54,VALUE('Capacity summary'!BB173)),0),BB54*$BI54),BB54*$BI54),0)</f>
        <v>0</v>
      </c>
      <c r="DF54" s="313">
        <f>IF($BI54&lt;&gt;"",IF('Capacity summary'!$D$14="Yes",IF(COUNTBLANK('Capacity summary'!$H173:$BG173)&lt;52,IF('Capacity summary'!BC173&lt;&gt;"",IF(LOWER('Capacity summary'!BC173)="x",$BI54*BC54,VALUE('Capacity summary'!BC173)),0),BC54*$BI54),BC54*$BI54),0)</f>
        <v>0</v>
      </c>
      <c r="DG54" s="313">
        <f>IF($BI54&lt;&gt;"",IF('Capacity summary'!$D$14="Yes",IF(COUNTBLANK('Capacity summary'!$H173:$BG173)&lt;52,IF('Capacity summary'!BD173&lt;&gt;"",IF(LOWER('Capacity summary'!BD173)="x",$BI54*BD54,VALUE('Capacity summary'!BD173)),0),BD54*$BI54),BD54*$BI54),0)</f>
        <v>0</v>
      </c>
      <c r="DH54" s="313">
        <f>IF($BI54&lt;&gt;"",IF('Capacity summary'!$D$14="Yes",IF(COUNTBLANK('Capacity summary'!$H173:$BG173)&lt;52,IF('Capacity summary'!BE173&lt;&gt;"",IF(LOWER('Capacity summary'!BE173)="x",$BI54*BE54,VALUE('Capacity summary'!BE173)),0),BE54*$BI54),BE54*$BI54),0)</f>
        <v>0</v>
      </c>
      <c r="DI54" s="313">
        <f>IF($BI54&lt;&gt;"",IF('Capacity summary'!$D$14="Yes",IF(COUNTBLANK('Capacity summary'!$H173:$BG173)&lt;52,IF('Capacity summary'!BF173&lt;&gt;"",IF(LOWER('Capacity summary'!BF173)="x",$BI54*BF54,VALUE('Capacity summary'!BF173)),0),BF54*$BI54),BF54*$BI54),0)</f>
        <v>0</v>
      </c>
      <c r="DJ54" s="313">
        <f>IF($BI54&lt;&gt;"",IF('Capacity summary'!$D$14="Yes",IF(COUNTBLANK('Capacity summary'!$H173:$BG173)&lt;52,IF('Capacity summary'!BG173&lt;&gt;"",IF(LOWER('Capacity summary'!BG173)="x",$BI54*BG54,VALUE('Capacity summary'!BG173)),0),BG54*$BI54),BG54*$BI54),0)</f>
        <v>0</v>
      </c>
      <c r="DK54" s="137">
        <f t="shared" si="2"/>
        <v>0</v>
      </c>
      <c r="DL54" s="313" t="str">
        <f>Capacity!H66</f>
        <v/>
      </c>
      <c r="DP54" s="5"/>
    </row>
    <row r="55" spans="2:120" x14ac:dyDescent="0.25">
      <c r="B55" s="67"/>
      <c r="C55" s="67" t="str">
        <f>ROW(A51)&amp;". "&amp;Capacity!B67</f>
        <v xml:space="preserve">51. </v>
      </c>
      <c r="D55" s="67">
        <f>'Capacity setup'!C62</f>
        <v>0</v>
      </c>
      <c r="E55" s="67">
        <f>'Capacity setup'!D62</f>
        <v>0</v>
      </c>
      <c r="F55" s="67">
        <f>'Capacity setup'!E62</f>
        <v>0</v>
      </c>
      <c r="H55" s="67">
        <f ca="1">IF(AND(SUMIF(Capacity_Resource,$D55,'Critical resources (hide)'!U$6:U$105)+SUMIF(Capacity_Resource,$E55,'Critical resources (hide)'!U$6:U$105)+SUMIF(Capacity_Resource,$F55,'Critical resources (hide)'!U$6:U$105)&gt;0,$E$1=2),0,1)</f>
        <v>1</v>
      </c>
      <c r="I55" s="67">
        <f ca="1">IF(AND(SUMIF(Capacity_Resource,$D55,'Critical resources (hide)'!V$6:V$105)+SUMIF(Capacity_Resource,$E55,'Critical resources (hide)'!V$6:V$105)+SUMIF(Capacity_Resource,$F55,'Critical resources (hide)'!V$6:V$105)&gt;0,$E$1=2),0,1)</f>
        <v>1</v>
      </c>
      <c r="J55" s="67">
        <f ca="1">IF(AND(SUMIF(Capacity_Resource,$D55,'Critical resources (hide)'!W$6:W$105)+SUMIF(Capacity_Resource,$E55,'Critical resources (hide)'!W$6:W$105)+SUMIF(Capacity_Resource,$F55,'Critical resources (hide)'!W$6:W$105)&gt;0,$E$1=2),0,1)</f>
        <v>1</v>
      </c>
      <c r="K55" s="67">
        <f ca="1">IF(AND(SUMIF(Capacity_Resource,$D55,'Critical resources (hide)'!X$6:X$105)+SUMIF(Capacity_Resource,$E55,'Critical resources (hide)'!X$6:X$105)+SUMIF(Capacity_Resource,$F55,'Critical resources (hide)'!X$6:X$105)&gt;0,$E$1=2),0,1)</f>
        <v>1</v>
      </c>
      <c r="L55" s="67">
        <f ca="1">IF(AND(SUMIF(Capacity_Resource,$D55,'Critical resources (hide)'!Y$6:Y$105)+SUMIF(Capacity_Resource,$E55,'Critical resources (hide)'!Y$6:Y$105)+SUMIF(Capacity_Resource,$F55,'Critical resources (hide)'!Y$6:Y$105)&gt;0,$E$1=2),0,1)</f>
        <v>1</v>
      </c>
      <c r="M55" s="67">
        <f ca="1">IF(AND(SUMIF(Capacity_Resource,$D55,'Critical resources (hide)'!Z$6:Z$105)+SUMIF(Capacity_Resource,$E55,'Critical resources (hide)'!Z$6:Z$105)+SUMIF(Capacity_Resource,$F55,'Critical resources (hide)'!Z$6:Z$105)&gt;0,$E$1=2),0,1)</f>
        <v>1</v>
      </c>
      <c r="N55" s="67">
        <f ca="1">IF(AND(SUMIF(Capacity_Resource,$D55,'Critical resources (hide)'!AA$6:AA$105)+SUMIF(Capacity_Resource,$E55,'Critical resources (hide)'!AA$6:AA$105)+SUMIF(Capacity_Resource,$F55,'Critical resources (hide)'!AA$6:AA$105)&gt;0,$E$1=2),0,1)</f>
        <v>1</v>
      </c>
      <c r="O55" s="67">
        <f ca="1">IF(AND(SUMIF(Capacity_Resource,$D55,'Critical resources (hide)'!AB$6:AB$105)+SUMIF(Capacity_Resource,$E55,'Critical resources (hide)'!AB$6:AB$105)+SUMIF(Capacity_Resource,$F55,'Critical resources (hide)'!AB$6:AB$105)&gt;0,$E$1=2),0,1)</f>
        <v>1</v>
      </c>
      <c r="P55" s="67">
        <f ca="1">IF(AND(SUMIF(Capacity_Resource,$D55,'Critical resources (hide)'!AC$6:AC$105)+SUMIF(Capacity_Resource,$E55,'Critical resources (hide)'!AC$6:AC$105)+SUMIF(Capacity_Resource,$F55,'Critical resources (hide)'!AC$6:AC$105)&gt;0,$E$1=2),0,1)</f>
        <v>1</v>
      </c>
      <c r="Q55" s="67">
        <f ca="1">IF(AND(SUMIF(Capacity_Resource,$D55,'Critical resources (hide)'!AD$6:AD$105)+SUMIF(Capacity_Resource,$E55,'Critical resources (hide)'!AD$6:AD$105)+SUMIF(Capacity_Resource,$F55,'Critical resources (hide)'!AD$6:AD$105)&gt;0,$E$1=2),0,1)</f>
        <v>1</v>
      </c>
      <c r="R55" s="67">
        <f ca="1">IF(AND(SUMIF(Capacity_Resource,$D55,'Critical resources (hide)'!AE$6:AE$105)+SUMIF(Capacity_Resource,$E55,'Critical resources (hide)'!AE$6:AE$105)+SUMIF(Capacity_Resource,$F55,'Critical resources (hide)'!AE$6:AE$105)&gt;0,$E$1=2),0,1)</f>
        <v>1</v>
      </c>
      <c r="S55" s="67">
        <f ca="1">IF(AND(SUMIF(Capacity_Resource,$D55,'Critical resources (hide)'!AF$6:AF$105)+SUMIF(Capacity_Resource,$E55,'Critical resources (hide)'!AF$6:AF$105)+SUMIF(Capacity_Resource,$F55,'Critical resources (hide)'!AF$6:AF$105)&gt;0,$E$1=2),0,1)</f>
        <v>1</v>
      </c>
      <c r="T55" s="67">
        <f ca="1">IF(AND(SUMIF(Capacity_Resource,$D55,'Critical resources (hide)'!AG$6:AG$105)+SUMIF(Capacity_Resource,$E55,'Critical resources (hide)'!AG$6:AG$105)+SUMIF(Capacity_Resource,$F55,'Critical resources (hide)'!AG$6:AG$105)&gt;0,$E$1=2),0,1)</f>
        <v>1</v>
      </c>
      <c r="U55" s="67">
        <f ca="1">IF(AND(SUMIF(Capacity_Resource,$D55,'Critical resources (hide)'!AH$6:AH$105)+SUMIF(Capacity_Resource,$E55,'Critical resources (hide)'!AH$6:AH$105)+SUMIF(Capacity_Resource,$F55,'Critical resources (hide)'!AH$6:AH$105)&gt;0,$E$1=2),0,1)</f>
        <v>1</v>
      </c>
      <c r="V55" s="67">
        <f ca="1">IF(AND(SUMIF(Capacity_Resource,$D55,'Critical resources (hide)'!AI$6:AI$105)+SUMIF(Capacity_Resource,$E55,'Critical resources (hide)'!AI$6:AI$105)+SUMIF(Capacity_Resource,$F55,'Critical resources (hide)'!AI$6:AI$105)&gt;0,$E$1=2),0,1)</f>
        <v>1</v>
      </c>
      <c r="W55" s="67">
        <f ca="1">IF(AND(SUMIF(Capacity_Resource,$D55,'Critical resources (hide)'!AJ$6:AJ$105)+SUMIF(Capacity_Resource,$E55,'Critical resources (hide)'!AJ$6:AJ$105)+SUMIF(Capacity_Resource,$F55,'Critical resources (hide)'!AJ$6:AJ$105)&gt;0,$E$1=2),0,1)</f>
        <v>1</v>
      </c>
      <c r="X55" s="67">
        <f ca="1">IF(AND(SUMIF(Capacity_Resource,$D55,'Critical resources (hide)'!AK$6:AK$105)+SUMIF(Capacity_Resource,$E55,'Critical resources (hide)'!AK$6:AK$105)+SUMIF(Capacity_Resource,$F55,'Critical resources (hide)'!AK$6:AK$105)&gt;0,$E$1=2),0,1)</f>
        <v>1</v>
      </c>
      <c r="Y55" s="67">
        <f ca="1">IF(AND(SUMIF(Capacity_Resource,$D55,'Critical resources (hide)'!AL$6:AL$105)+SUMIF(Capacity_Resource,$E55,'Critical resources (hide)'!AL$6:AL$105)+SUMIF(Capacity_Resource,$F55,'Critical resources (hide)'!AL$6:AL$105)&gt;0,$E$1=2),0,1)</f>
        <v>1</v>
      </c>
      <c r="Z55" s="67">
        <f ca="1">IF(AND(SUMIF(Capacity_Resource,$D55,'Critical resources (hide)'!AM$6:AM$105)+SUMIF(Capacity_Resource,$E55,'Critical resources (hide)'!AM$6:AM$105)+SUMIF(Capacity_Resource,$F55,'Critical resources (hide)'!AM$6:AM$105)&gt;0,$E$1=2),0,1)</f>
        <v>1</v>
      </c>
      <c r="AA55" s="67">
        <f ca="1">IF(AND(SUMIF(Capacity_Resource,$D55,'Critical resources (hide)'!AN$6:AN$105)+SUMIF(Capacity_Resource,$E55,'Critical resources (hide)'!AN$6:AN$105)+SUMIF(Capacity_Resource,$F55,'Critical resources (hide)'!AN$6:AN$105)&gt;0,$E$1=2),0,1)</f>
        <v>1</v>
      </c>
      <c r="AB55" s="67">
        <f ca="1">IF(AND(SUMIF(Capacity_Resource,$D55,'Critical resources (hide)'!AO$6:AO$105)+SUMIF(Capacity_Resource,$E55,'Critical resources (hide)'!AO$6:AO$105)+SUMIF(Capacity_Resource,$F55,'Critical resources (hide)'!AO$6:AO$105)&gt;0,$E$1=2),0,1)</f>
        <v>1</v>
      </c>
      <c r="AC55" s="67">
        <f ca="1">IF(AND(SUMIF(Capacity_Resource,$D55,'Critical resources (hide)'!AP$6:AP$105)+SUMIF(Capacity_Resource,$E55,'Critical resources (hide)'!AP$6:AP$105)+SUMIF(Capacity_Resource,$F55,'Critical resources (hide)'!AP$6:AP$105)&gt;0,$E$1=2),0,1)</f>
        <v>1</v>
      </c>
      <c r="AD55" s="67">
        <f ca="1">IF(AND(SUMIF(Capacity_Resource,$D55,'Critical resources (hide)'!AQ$6:AQ$105)+SUMIF(Capacity_Resource,$E55,'Critical resources (hide)'!AQ$6:AQ$105)+SUMIF(Capacity_Resource,$F55,'Critical resources (hide)'!AQ$6:AQ$105)&gt;0,$E$1=2),0,1)</f>
        <v>1</v>
      </c>
      <c r="AE55" s="67">
        <f ca="1">IF(AND(SUMIF(Capacity_Resource,$D55,'Critical resources (hide)'!AR$6:AR$105)+SUMIF(Capacity_Resource,$E55,'Critical resources (hide)'!AR$6:AR$105)+SUMIF(Capacity_Resource,$F55,'Critical resources (hide)'!AR$6:AR$105)&gt;0,$E$1=2),0,1)</f>
        <v>1</v>
      </c>
      <c r="AF55" s="67">
        <f ca="1">IF(AND(SUMIF(Capacity_Resource,$D55,'Critical resources (hide)'!AS$6:AS$105)+SUMIF(Capacity_Resource,$E55,'Critical resources (hide)'!AS$6:AS$105)+SUMIF(Capacity_Resource,$F55,'Critical resources (hide)'!AS$6:AS$105)&gt;0,$E$1=2),0,1)</f>
        <v>1</v>
      </c>
      <c r="AG55" s="67">
        <f ca="1">IF(AND(SUMIF(Capacity_Resource,$D55,'Critical resources (hide)'!AT$6:AT$105)+SUMIF(Capacity_Resource,$E55,'Critical resources (hide)'!AT$6:AT$105)+SUMIF(Capacity_Resource,$F55,'Critical resources (hide)'!AT$6:AT$105)&gt;0,$E$1=2),0,1)</f>
        <v>1</v>
      </c>
      <c r="AH55" s="67">
        <f ca="1">IF(AND(SUMIF(Capacity_Resource,$D55,'Critical resources (hide)'!AU$6:AU$105)+SUMIF(Capacity_Resource,$E55,'Critical resources (hide)'!AU$6:AU$105)+SUMIF(Capacity_Resource,$F55,'Critical resources (hide)'!AU$6:AU$105)&gt;0,$E$1=2),0,1)</f>
        <v>1</v>
      </c>
      <c r="AI55" s="67">
        <f ca="1">IF(AND(SUMIF(Capacity_Resource,$D55,'Critical resources (hide)'!AV$6:AV$105)+SUMIF(Capacity_Resource,$E55,'Critical resources (hide)'!AV$6:AV$105)+SUMIF(Capacity_Resource,$F55,'Critical resources (hide)'!AV$6:AV$105)&gt;0,$E$1=2),0,1)</f>
        <v>1</v>
      </c>
      <c r="AJ55" s="67">
        <f ca="1">IF(AND(SUMIF(Capacity_Resource,$D55,'Critical resources (hide)'!AW$6:AW$105)+SUMIF(Capacity_Resource,$E55,'Critical resources (hide)'!AW$6:AW$105)+SUMIF(Capacity_Resource,$F55,'Critical resources (hide)'!AW$6:AW$105)&gt;0,$E$1=2),0,1)</f>
        <v>1</v>
      </c>
      <c r="AK55" s="67">
        <f ca="1">IF(AND(SUMIF(Capacity_Resource,$D55,'Critical resources (hide)'!AX$6:AX$105)+SUMIF(Capacity_Resource,$E55,'Critical resources (hide)'!AX$6:AX$105)+SUMIF(Capacity_Resource,$F55,'Critical resources (hide)'!AX$6:AX$105)&gt;0,$E$1=2),0,1)</f>
        <v>1</v>
      </c>
      <c r="AL55" s="67">
        <f ca="1">IF(AND(SUMIF(Capacity_Resource,$D55,'Critical resources (hide)'!AY$6:AY$105)+SUMIF(Capacity_Resource,$E55,'Critical resources (hide)'!AY$6:AY$105)+SUMIF(Capacity_Resource,$F55,'Critical resources (hide)'!AY$6:AY$105)&gt;0,$E$1=2),0,1)</f>
        <v>1</v>
      </c>
      <c r="AM55" s="67">
        <f ca="1">IF(AND(SUMIF(Capacity_Resource,$D55,'Critical resources (hide)'!AZ$6:AZ$105)+SUMIF(Capacity_Resource,$E55,'Critical resources (hide)'!AZ$6:AZ$105)+SUMIF(Capacity_Resource,$F55,'Critical resources (hide)'!AZ$6:AZ$105)&gt;0,$E$1=2),0,1)</f>
        <v>1</v>
      </c>
      <c r="AN55" s="67">
        <f ca="1">IF(AND(SUMIF(Capacity_Resource,$D55,'Critical resources (hide)'!BA$6:BA$105)+SUMIF(Capacity_Resource,$E55,'Critical resources (hide)'!BA$6:BA$105)+SUMIF(Capacity_Resource,$F55,'Critical resources (hide)'!BA$6:BA$105)&gt;0,$E$1=2),0,1)</f>
        <v>1</v>
      </c>
      <c r="AO55" s="67">
        <f ca="1">IF(AND(SUMIF(Capacity_Resource,$D55,'Critical resources (hide)'!BB$6:BB$105)+SUMIF(Capacity_Resource,$E55,'Critical resources (hide)'!BB$6:BB$105)+SUMIF(Capacity_Resource,$F55,'Critical resources (hide)'!BB$6:BB$105)&gt;0,$E$1=2),0,1)</f>
        <v>1</v>
      </c>
      <c r="AP55" s="67">
        <f ca="1">IF(AND(SUMIF(Capacity_Resource,$D55,'Critical resources (hide)'!BC$6:BC$105)+SUMIF(Capacity_Resource,$E55,'Critical resources (hide)'!BC$6:BC$105)+SUMIF(Capacity_Resource,$F55,'Critical resources (hide)'!BC$6:BC$105)&gt;0,$E$1=2),0,1)</f>
        <v>1</v>
      </c>
      <c r="AQ55" s="67">
        <f ca="1">IF(AND(SUMIF(Capacity_Resource,$D55,'Critical resources (hide)'!BD$6:BD$105)+SUMIF(Capacity_Resource,$E55,'Critical resources (hide)'!BD$6:BD$105)+SUMIF(Capacity_Resource,$F55,'Critical resources (hide)'!BD$6:BD$105)&gt;0,$E$1=2),0,1)</f>
        <v>1</v>
      </c>
      <c r="AR55" s="67">
        <f ca="1">IF(AND(SUMIF(Capacity_Resource,$D55,'Critical resources (hide)'!BE$6:BE$105)+SUMIF(Capacity_Resource,$E55,'Critical resources (hide)'!BE$6:BE$105)+SUMIF(Capacity_Resource,$F55,'Critical resources (hide)'!BE$6:BE$105)&gt;0,$E$1=2),0,1)</f>
        <v>1</v>
      </c>
      <c r="AS55" s="67">
        <f ca="1">IF(AND(SUMIF(Capacity_Resource,$D55,'Critical resources (hide)'!BF$6:BF$105)+SUMIF(Capacity_Resource,$E55,'Critical resources (hide)'!BF$6:BF$105)+SUMIF(Capacity_Resource,$F55,'Critical resources (hide)'!BF$6:BF$105)&gt;0,$E$1=2),0,1)</f>
        <v>1</v>
      </c>
      <c r="AT55" s="67">
        <f ca="1">IF(AND(SUMIF(Capacity_Resource,$D55,'Critical resources (hide)'!BG$6:BG$105)+SUMIF(Capacity_Resource,$E55,'Critical resources (hide)'!BG$6:BG$105)+SUMIF(Capacity_Resource,$F55,'Critical resources (hide)'!BG$6:BG$105)&gt;0,$E$1=2),0,1)</f>
        <v>1</v>
      </c>
      <c r="AU55" s="67">
        <f ca="1">IF(AND(SUMIF(Capacity_Resource,$D55,'Critical resources (hide)'!BH$6:BH$105)+SUMIF(Capacity_Resource,$E55,'Critical resources (hide)'!BH$6:BH$105)+SUMIF(Capacity_Resource,$F55,'Critical resources (hide)'!BH$6:BH$105)&gt;0,$E$1=2),0,1)</f>
        <v>1</v>
      </c>
      <c r="AV55" s="67">
        <f ca="1">IF(AND(SUMIF(Capacity_Resource,$D55,'Critical resources (hide)'!BI$6:BI$105)+SUMIF(Capacity_Resource,$E55,'Critical resources (hide)'!BI$6:BI$105)+SUMIF(Capacity_Resource,$F55,'Critical resources (hide)'!BI$6:BI$105)&gt;0,$E$1=2),0,1)</f>
        <v>1</v>
      </c>
      <c r="AW55" s="67">
        <f ca="1">IF(AND(SUMIF(Capacity_Resource,$D55,'Critical resources (hide)'!BJ$6:BJ$105)+SUMIF(Capacity_Resource,$E55,'Critical resources (hide)'!BJ$6:BJ$105)+SUMIF(Capacity_Resource,$F55,'Critical resources (hide)'!BJ$6:BJ$105)&gt;0,$E$1=2),0,1)</f>
        <v>1</v>
      </c>
      <c r="AX55" s="67">
        <f ca="1">IF(AND(SUMIF(Capacity_Resource,$D55,'Critical resources (hide)'!BK$6:BK$105)+SUMIF(Capacity_Resource,$E55,'Critical resources (hide)'!BK$6:BK$105)+SUMIF(Capacity_Resource,$F55,'Critical resources (hide)'!BK$6:BK$105)&gt;0,$E$1=2),0,1)</f>
        <v>1</v>
      </c>
      <c r="AY55" s="67">
        <f ca="1">IF(AND(SUMIF(Capacity_Resource,$D55,'Critical resources (hide)'!BL$6:BL$105)+SUMIF(Capacity_Resource,$E55,'Critical resources (hide)'!BL$6:BL$105)+SUMIF(Capacity_Resource,$F55,'Critical resources (hide)'!BL$6:BL$105)&gt;0,$E$1=2),0,1)</f>
        <v>1</v>
      </c>
      <c r="AZ55" s="67">
        <f ca="1">IF(AND(SUMIF(Capacity_Resource,$D55,'Critical resources (hide)'!BM$6:BM$105)+SUMIF(Capacity_Resource,$E55,'Critical resources (hide)'!BM$6:BM$105)+SUMIF(Capacity_Resource,$F55,'Critical resources (hide)'!BM$6:BM$105)&gt;0,$E$1=2),0,1)</f>
        <v>1</v>
      </c>
      <c r="BA55" s="67">
        <f ca="1">IF(AND(SUMIF(Capacity_Resource,$D55,'Critical resources (hide)'!BN$6:BN$105)+SUMIF(Capacity_Resource,$E55,'Critical resources (hide)'!BN$6:BN$105)+SUMIF(Capacity_Resource,$F55,'Critical resources (hide)'!BN$6:BN$105)&gt;0,$E$1=2),0,1)</f>
        <v>1</v>
      </c>
      <c r="BB55" s="67">
        <f ca="1">IF(AND(SUMIF(Capacity_Resource,$D55,'Critical resources (hide)'!BO$6:BO$105)+SUMIF(Capacity_Resource,$E55,'Critical resources (hide)'!BO$6:BO$105)+SUMIF(Capacity_Resource,$F55,'Critical resources (hide)'!BO$6:BO$105)&gt;0,$E$1=2),0,1)</f>
        <v>1</v>
      </c>
      <c r="BC55" s="67">
        <f ca="1">IF(AND(SUMIF(Capacity_Resource,$D55,'Critical resources (hide)'!BP$6:BP$105)+SUMIF(Capacity_Resource,$E55,'Critical resources (hide)'!BP$6:BP$105)+SUMIF(Capacity_Resource,$F55,'Critical resources (hide)'!BP$6:BP$105)&gt;0,$E$1=2),0,1)</f>
        <v>1</v>
      </c>
      <c r="BD55" s="67">
        <f ca="1">IF(AND(SUMIF(Capacity_Resource,$D55,'Critical resources (hide)'!BQ$6:BQ$105)+SUMIF(Capacity_Resource,$E55,'Critical resources (hide)'!BQ$6:BQ$105)+SUMIF(Capacity_Resource,$F55,'Critical resources (hide)'!BQ$6:BQ$105)&gt;0,$E$1=2),0,1)</f>
        <v>1</v>
      </c>
      <c r="BE55" s="67">
        <f ca="1">IF(AND(SUMIF(Capacity_Resource,$D55,'Critical resources (hide)'!BR$6:BR$105)+SUMIF(Capacity_Resource,$E55,'Critical resources (hide)'!BR$6:BR$105)+SUMIF(Capacity_Resource,$F55,'Critical resources (hide)'!BR$6:BR$105)&gt;0,$E$1=2),0,1)</f>
        <v>1</v>
      </c>
      <c r="BF55" s="67">
        <f ca="1">IF(AND(SUMIF(Capacity_Resource,$D55,'Critical resources (hide)'!BS$6:BS$105)+SUMIF(Capacity_Resource,$E55,'Critical resources (hide)'!BS$6:BS$105)+SUMIF(Capacity_Resource,$F55,'Critical resources (hide)'!BS$6:BS$105)&gt;0,$E$1=2),0,1)</f>
        <v>1</v>
      </c>
      <c r="BG55" s="67">
        <f ca="1">IF(AND(SUMIF(Capacity_Resource,$D55,'Critical resources (hide)'!BT$6:BT$105)+SUMIF(Capacity_Resource,$E55,'Critical resources (hide)'!BT$6:BT$105)+SUMIF(Capacity_Resource,$F55,'Critical resources (hide)'!BT$6:BT$105)&gt;0,$E$1=2),0,1)</f>
        <v>1</v>
      </c>
      <c r="BH55" s="67">
        <f>IF(ROW(C51)&lt;=Capacity!$A$16,IF('Capacity summary'!$D$14="No",SUM(H55:BG55),'Capacity summary'!$E174),0)</f>
        <v>0</v>
      </c>
      <c r="BI55" s="5" t="str">
        <f>IF(BH55&gt;0,IF(BH55&lt;Capacity!E67,Capacity!F67,Capacity!H67/'Capacity calculation (hide)'!BH55),"")</f>
        <v/>
      </c>
      <c r="BK55" s="313">
        <f>IF($BI55&lt;&gt;"",IF('Capacity summary'!$D$14="Yes",IF(COUNTBLANK('Capacity summary'!$H174:$BG174)&lt;52,IF('Capacity summary'!H174&lt;&gt;"",IF(LOWER('Capacity summary'!H174)="x",$BI55*H55,VALUE('Capacity summary'!H174)),0),H55*$BI55),H55*$BI55),0)</f>
        <v>0</v>
      </c>
      <c r="BL55" s="313">
        <f>IF($BI55&lt;&gt;"",IF('Capacity summary'!$D$14="Yes",IF(COUNTBLANK('Capacity summary'!$H174:$BG174)&lt;52,IF('Capacity summary'!I174&lt;&gt;"",IF(LOWER('Capacity summary'!I174)="x",$BI55*I55,VALUE('Capacity summary'!I174)),0),I55*$BI55),I55*$BI55),0)</f>
        <v>0</v>
      </c>
      <c r="BM55" s="313">
        <f>IF($BI55&lt;&gt;"",IF('Capacity summary'!$D$14="Yes",IF(COUNTBLANK('Capacity summary'!$H174:$BG174)&lt;52,IF('Capacity summary'!J174&lt;&gt;"",IF(LOWER('Capacity summary'!J174)="x",$BI55*J55,VALUE('Capacity summary'!J174)),0),J55*$BI55),J55*$BI55),0)</f>
        <v>0</v>
      </c>
      <c r="BN55" s="313">
        <f>IF($BI55&lt;&gt;"",IF('Capacity summary'!$D$14="Yes",IF(COUNTBLANK('Capacity summary'!$H174:$BG174)&lt;52,IF('Capacity summary'!K174&lt;&gt;"",IF(LOWER('Capacity summary'!K174)="x",$BI55*K55,VALUE('Capacity summary'!K174)),0),K55*$BI55),K55*$BI55),0)</f>
        <v>0</v>
      </c>
      <c r="BO55" s="313">
        <f>IF($BI55&lt;&gt;"",IF('Capacity summary'!$D$14="Yes",IF(COUNTBLANK('Capacity summary'!$H174:$BG174)&lt;52,IF('Capacity summary'!L174&lt;&gt;"",IF(LOWER('Capacity summary'!L174)="x",$BI55*L55,VALUE('Capacity summary'!L174)),0),L55*$BI55),L55*$BI55),0)</f>
        <v>0</v>
      </c>
      <c r="BP55" s="313">
        <f>IF($BI55&lt;&gt;"",IF('Capacity summary'!$D$14="Yes",IF(COUNTBLANK('Capacity summary'!$H174:$BG174)&lt;52,IF('Capacity summary'!M174&lt;&gt;"",IF(LOWER('Capacity summary'!M174)="x",$BI55*M55,VALUE('Capacity summary'!M174)),0),M55*$BI55),M55*$BI55),0)</f>
        <v>0</v>
      </c>
      <c r="BQ55" s="313">
        <f>IF($BI55&lt;&gt;"",IF('Capacity summary'!$D$14="Yes",IF(COUNTBLANK('Capacity summary'!$H174:$BG174)&lt;52,IF('Capacity summary'!N174&lt;&gt;"",IF(LOWER('Capacity summary'!N174)="x",$BI55*N55,VALUE('Capacity summary'!N174)),0),N55*$BI55),N55*$BI55),0)</f>
        <v>0</v>
      </c>
      <c r="BR55" s="313">
        <f>IF($BI55&lt;&gt;"",IF('Capacity summary'!$D$14="Yes",IF(COUNTBLANK('Capacity summary'!$H174:$BG174)&lt;52,IF('Capacity summary'!O174&lt;&gt;"",IF(LOWER('Capacity summary'!O174)="x",$BI55*O55,VALUE('Capacity summary'!O174)),0),O55*$BI55),O55*$BI55),0)</f>
        <v>0</v>
      </c>
      <c r="BS55" s="313">
        <f>IF($BI55&lt;&gt;"",IF('Capacity summary'!$D$14="Yes",IF(COUNTBLANK('Capacity summary'!$H174:$BG174)&lt;52,IF('Capacity summary'!P174&lt;&gt;"",IF(LOWER('Capacity summary'!P174)="x",$BI55*P55,VALUE('Capacity summary'!P174)),0),P55*$BI55),P55*$BI55),0)</f>
        <v>0</v>
      </c>
      <c r="BT55" s="313">
        <f>IF($BI55&lt;&gt;"",IF('Capacity summary'!$D$14="Yes",IF(COUNTBLANK('Capacity summary'!$H174:$BG174)&lt;52,IF('Capacity summary'!Q174&lt;&gt;"",IF(LOWER('Capacity summary'!Q174)="x",$BI55*Q55,VALUE('Capacity summary'!Q174)),0),Q55*$BI55),Q55*$BI55),0)</f>
        <v>0</v>
      </c>
      <c r="BU55" s="313">
        <f>IF($BI55&lt;&gt;"",IF('Capacity summary'!$D$14="Yes",IF(COUNTBLANK('Capacity summary'!$H174:$BG174)&lt;52,IF('Capacity summary'!R174&lt;&gt;"",IF(LOWER('Capacity summary'!R174)="x",$BI55*R55,VALUE('Capacity summary'!R174)),0),R55*$BI55),R55*$BI55),0)</f>
        <v>0</v>
      </c>
      <c r="BV55" s="313">
        <f>IF($BI55&lt;&gt;"",IF('Capacity summary'!$D$14="Yes",IF(COUNTBLANK('Capacity summary'!$H174:$BG174)&lt;52,IF('Capacity summary'!S174&lt;&gt;"",IF(LOWER('Capacity summary'!S174)="x",$BI55*S55,VALUE('Capacity summary'!S174)),0),S55*$BI55),S55*$BI55),0)</f>
        <v>0</v>
      </c>
      <c r="BW55" s="313">
        <f>IF($BI55&lt;&gt;"",IF('Capacity summary'!$D$14="Yes",IF(COUNTBLANK('Capacity summary'!$H174:$BG174)&lt;52,IF('Capacity summary'!T174&lt;&gt;"",IF(LOWER('Capacity summary'!T174)="x",$BI55*T55,VALUE('Capacity summary'!T174)),0),T55*$BI55),T55*$BI55),0)</f>
        <v>0</v>
      </c>
      <c r="BX55" s="313">
        <f>IF($BI55&lt;&gt;"",IF('Capacity summary'!$D$14="Yes",IF(COUNTBLANK('Capacity summary'!$H174:$BG174)&lt;52,IF('Capacity summary'!U174&lt;&gt;"",IF(LOWER('Capacity summary'!U174)="x",$BI55*U55,VALUE('Capacity summary'!U174)),0),U55*$BI55),U55*$BI55),0)</f>
        <v>0</v>
      </c>
      <c r="BY55" s="313">
        <f>IF($BI55&lt;&gt;"",IF('Capacity summary'!$D$14="Yes",IF(COUNTBLANK('Capacity summary'!$H174:$BG174)&lt;52,IF('Capacity summary'!V174&lt;&gt;"",IF(LOWER('Capacity summary'!V174)="x",$BI55*V55,VALUE('Capacity summary'!V174)),0),V55*$BI55),V55*$BI55),0)</f>
        <v>0</v>
      </c>
      <c r="BZ55" s="313">
        <f>IF($BI55&lt;&gt;"",IF('Capacity summary'!$D$14="Yes",IF(COUNTBLANK('Capacity summary'!$H174:$BG174)&lt;52,IF('Capacity summary'!W174&lt;&gt;"",IF(LOWER('Capacity summary'!W174)="x",$BI55*W55,VALUE('Capacity summary'!W174)),0),W55*$BI55),W55*$BI55),0)</f>
        <v>0</v>
      </c>
      <c r="CA55" s="313">
        <f>IF($BI55&lt;&gt;"",IF('Capacity summary'!$D$14="Yes",IF(COUNTBLANK('Capacity summary'!$H174:$BG174)&lt;52,IF('Capacity summary'!X174&lt;&gt;"",IF(LOWER('Capacity summary'!X174)="x",$BI55*X55,VALUE('Capacity summary'!X174)),0),X55*$BI55),X55*$BI55),0)</f>
        <v>0</v>
      </c>
      <c r="CB55" s="313">
        <f>IF($BI55&lt;&gt;"",IF('Capacity summary'!$D$14="Yes",IF(COUNTBLANK('Capacity summary'!$H174:$BG174)&lt;52,IF('Capacity summary'!Y174&lt;&gt;"",IF(LOWER('Capacity summary'!Y174)="x",$BI55*Y55,VALUE('Capacity summary'!Y174)),0),Y55*$BI55),Y55*$BI55),0)</f>
        <v>0</v>
      </c>
      <c r="CC55" s="313">
        <f>IF($BI55&lt;&gt;"",IF('Capacity summary'!$D$14="Yes",IF(COUNTBLANK('Capacity summary'!$H174:$BG174)&lt;52,IF('Capacity summary'!Z174&lt;&gt;"",IF(LOWER('Capacity summary'!Z174)="x",$BI55*Z55,VALUE('Capacity summary'!Z174)),0),Z55*$BI55),Z55*$BI55),0)</f>
        <v>0</v>
      </c>
      <c r="CD55" s="313">
        <f>IF($BI55&lt;&gt;"",IF('Capacity summary'!$D$14="Yes",IF(COUNTBLANK('Capacity summary'!$H174:$BG174)&lt;52,IF('Capacity summary'!AA174&lt;&gt;"",IF(LOWER('Capacity summary'!AA174)="x",$BI55*AA55,VALUE('Capacity summary'!AA174)),0),AA55*$BI55),AA55*$BI55),0)</f>
        <v>0</v>
      </c>
      <c r="CE55" s="313">
        <f>IF($BI55&lt;&gt;"",IF('Capacity summary'!$D$14="Yes",IF(COUNTBLANK('Capacity summary'!$H174:$BG174)&lt;52,IF('Capacity summary'!AB174&lt;&gt;"",IF(LOWER('Capacity summary'!AB174)="x",$BI55*AB55,VALUE('Capacity summary'!AB174)),0),AB55*$BI55),AB55*$BI55),0)</f>
        <v>0</v>
      </c>
      <c r="CF55" s="313">
        <f>IF($BI55&lt;&gt;"",IF('Capacity summary'!$D$14="Yes",IF(COUNTBLANK('Capacity summary'!$H174:$BG174)&lt;52,IF('Capacity summary'!AC174&lt;&gt;"",IF(LOWER('Capacity summary'!AC174)="x",$BI55*AC55,VALUE('Capacity summary'!AC174)),0),AC55*$BI55),AC55*$BI55),0)</f>
        <v>0</v>
      </c>
      <c r="CG55" s="313">
        <f>IF($BI55&lt;&gt;"",IF('Capacity summary'!$D$14="Yes",IF(COUNTBLANK('Capacity summary'!$H174:$BG174)&lt;52,IF('Capacity summary'!AD174&lt;&gt;"",IF(LOWER('Capacity summary'!AD174)="x",$BI55*AD55,VALUE('Capacity summary'!AD174)),0),AD55*$BI55),AD55*$BI55),0)</f>
        <v>0</v>
      </c>
      <c r="CH55" s="313">
        <f>IF($BI55&lt;&gt;"",IF('Capacity summary'!$D$14="Yes",IF(COUNTBLANK('Capacity summary'!$H174:$BG174)&lt;52,IF('Capacity summary'!AE174&lt;&gt;"",IF(LOWER('Capacity summary'!AE174)="x",$BI55*AE55,VALUE('Capacity summary'!AE174)),0),AE55*$BI55),AE55*$BI55),0)</f>
        <v>0</v>
      </c>
      <c r="CI55" s="313">
        <f>IF($BI55&lt;&gt;"",IF('Capacity summary'!$D$14="Yes",IF(COUNTBLANK('Capacity summary'!$H174:$BG174)&lt;52,IF('Capacity summary'!AF174&lt;&gt;"",IF(LOWER('Capacity summary'!AF174)="x",$BI55*AF55,VALUE('Capacity summary'!AF174)),0),AF55*$BI55),AF55*$BI55),0)</f>
        <v>0</v>
      </c>
      <c r="CJ55" s="313">
        <f>IF($BI55&lt;&gt;"",IF('Capacity summary'!$D$14="Yes",IF(COUNTBLANK('Capacity summary'!$H174:$BG174)&lt;52,IF('Capacity summary'!AG174&lt;&gt;"",IF(LOWER('Capacity summary'!AG174)="x",$BI55*AG55,VALUE('Capacity summary'!AG174)),0),AG55*$BI55),AG55*$BI55),0)</f>
        <v>0</v>
      </c>
      <c r="CK55" s="313">
        <f>IF($BI55&lt;&gt;"",IF('Capacity summary'!$D$14="Yes",IF(COUNTBLANK('Capacity summary'!$H174:$BG174)&lt;52,IF('Capacity summary'!AH174&lt;&gt;"",IF(LOWER('Capacity summary'!AH174)="x",$BI55*AH55,VALUE('Capacity summary'!AH174)),0),AH55*$BI55),AH55*$BI55),0)</f>
        <v>0</v>
      </c>
      <c r="CL55" s="313">
        <f>IF($BI55&lt;&gt;"",IF('Capacity summary'!$D$14="Yes",IF(COUNTBLANK('Capacity summary'!$H174:$BG174)&lt;52,IF('Capacity summary'!AI174&lt;&gt;"",IF(LOWER('Capacity summary'!AI174)="x",$BI55*AI55,VALUE('Capacity summary'!AI174)),0),AI55*$BI55),AI55*$BI55),0)</f>
        <v>0</v>
      </c>
      <c r="CM55" s="313">
        <f>IF($BI55&lt;&gt;"",IF('Capacity summary'!$D$14="Yes",IF(COUNTBLANK('Capacity summary'!$H174:$BG174)&lt;52,IF('Capacity summary'!AJ174&lt;&gt;"",IF(LOWER('Capacity summary'!AJ174)="x",$BI55*AJ55,VALUE('Capacity summary'!AJ174)),0),AJ55*$BI55),AJ55*$BI55),0)</f>
        <v>0</v>
      </c>
      <c r="CN55" s="313">
        <f>IF($BI55&lt;&gt;"",IF('Capacity summary'!$D$14="Yes",IF(COUNTBLANK('Capacity summary'!$H174:$BG174)&lt;52,IF('Capacity summary'!AK174&lt;&gt;"",IF(LOWER('Capacity summary'!AK174)="x",$BI55*AK55,VALUE('Capacity summary'!AK174)),0),AK55*$BI55),AK55*$BI55),0)</f>
        <v>0</v>
      </c>
      <c r="CO55" s="313">
        <f>IF($BI55&lt;&gt;"",IF('Capacity summary'!$D$14="Yes",IF(COUNTBLANK('Capacity summary'!$H174:$BG174)&lt;52,IF('Capacity summary'!AL174&lt;&gt;"",IF(LOWER('Capacity summary'!AL174)="x",$BI55*AL55,VALUE('Capacity summary'!AL174)),0),AL55*$BI55),AL55*$BI55),0)</f>
        <v>0</v>
      </c>
      <c r="CP55" s="313">
        <f>IF($BI55&lt;&gt;"",IF('Capacity summary'!$D$14="Yes",IF(COUNTBLANK('Capacity summary'!$H174:$BG174)&lt;52,IF('Capacity summary'!AM174&lt;&gt;"",IF(LOWER('Capacity summary'!AM174)="x",$BI55*AM55,VALUE('Capacity summary'!AM174)),0),AM55*$BI55),AM55*$BI55),0)</f>
        <v>0</v>
      </c>
      <c r="CQ55" s="313">
        <f>IF($BI55&lt;&gt;"",IF('Capacity summary'!$D$14="Yes",IF(COUNTBLANK('Capacity summary'!$H174:$BG174)&lt;52,IF('Capacity summary'!AN174&lt;&gt;"",IF(LOWER('Capacity summary'!AN174)="x",$BI55*AN55,VALUE('Capacity summary'!AN174)),0),AN55*$BI55),AN55*$BI55),0)</f>
        <v>0</v>
      </c>
      <c r="CR55" s="313">
        <f>IF($BI55&lt;&gt;"",IF('Capacity summary'!$D$14="Yes",IF(COUNTBLANK('Capacity summary'!$H174:$BG174)&lt;52,IF('Capacity summary'!AO174&lt;&gt;"",IF(LOWER('Capacity summary'!AO174)="x",$BI55*AO55,VALUE('Capacity summary'!AO174)),0),AO55*$BI55),AO55*$BI55),0)</f>
        <v>0</v>
      </c>
      <c r="CS55" s="313">
        <f>IF($BI55&lt;&gt;"",IF('Capacity summary'!$D$14="Yes",IF(COUNTBLANK('Capacity summary'!$H174:$BG174)&lt;52,IF('Capacity summary'!AP174&lt;&gt;"",IF(LOWER('Capacity summary'!AP174)="x",$BI55*AP55,VALUE('Capacity summary'!AP174)),0),AP55*$BI55),AP55*$BI55),0)</f>
        <v>0</v>
      </c>
      <c r="CT55" s="313">
        <f>IF($BI55&lt;&gt;"",IF('Capacity summary'!$D$14="Yes",IF(COUNTBLANK('Capacity summary'!$H174:$BG174)&lt;52,IF('Capacity summary'!AQ174&lt;&gt;"",IF(LOWER('Capacity summary'!AQ174)="x",$BI55*AQ55,VALUE('Capacity summary'!AQ174)),0),AQ55*$BI55),AQ55*$BI55),0)</f>
        <v>0</v>
      </c>
      <c r="CU55" s="313">
        <f>IF($BI55&lt;&gt;"",IF('Capacity summary'!$D$14="Yes",IF(COUNTBLANK('Capacity summary'!$H174:$BG174)&lt;52,IF('Capacity summary'!AR174&lt;&gt;"",IF(LOWER('Capacity summary'!AR174)="x",$BI55*AR55,VALUE('Capacity summary'!AR174)),0),AR55*$BI55),AR55*$BI55),0)</f>
        <v>0</v>
      </c>
      <c r="CV55" s="313">
        <f>IF($BI55&lt;&gt;"",IF('Capacity summary'!$D$14="Yes",IF(COUNTBLANK('Capacity summary'!$H174:$BG174)&lt;52,IF('Capacity summary'!AS174&lt;&gt;"",IF(LOWER('Capacity summary'!AS174)="x",$BI55*AS55,VALUE('Capacity summary'!AS174)),0),AS55*$BI55),AS55*$BI55),0)</f>
        <v>0</v>
      </c>
      <c r="CW55" s="313">
        <f>IF($BI55&lt;&gt;"",IF('Capacity summary'!$D$14="Yes",IF(COUNTBLANK('Capacity summary'!$H174:$BG174)&lt;52,IF('Capacity summary'!AT174&lt;&gt;"",IF(LOWER('Capacity summary'!AT174)="x",$BI55*AT55,VALUE('Capacity summary'!AT174)),0),AT55*$BI55),AT55*$BI55),0)</f>
        <v>0</v>
      </c>
      <c r="CX55" s="313">
        <f>IF($BI55&lt;&gt;"",IF('Capacity summary'!$D$14="Yes",IF(COUNTBLANK('Capacity summary'!$H174:$BG174)&lt;52,IF('Capacity summary'!AU174&lt;&gt;"",IF(LOWER('Capacity summary'!AU174)="x",$BI55*AU55,VALUE('Capacity summary'!AU174)),0),AU55*$BI55),AU55*$BI55),0)</f>
        <v>0</v>
      </c>
      <c r="CY55" s="313">
        <f>IF($BI55&lt;&gt;"",IF('Capacity summary'!$D$14="Yes",IF(COUNTBLANK('Capacity summary'!$H174:$BG174)&lt;52,IF('Capacity summary'!AV174&lt;&gt;"",IF(LOWER('Capacity summary'!AV174)="x",$BI55*AV55,VALUE('Capacity summary'!AV174)),0),AV55*$BI55),AV55*$BI55),0)</f>
        <v>0</v>
      </c>
      <c r="CZ55" s="313">
        <f>IF($BI55&lt;&gt;"",IF('Capacity summary'!$D$14="Yes",IF(COUNTBLANK('Capacity summary'!$H174:$BG174)&lt;52,IF('Capacity summary'!AW174&lt;&gt;"",IF(LOWER('Capacity summary'!AW174)="x",$BI55*AW55,VALUE('Capacity summary'!AW174)),0),AW55*$BI55),AW55*$BI55),0)</f>
        <v>0</v>
      </c>
      <c r="DA55" s="313">
        <f>IF($BI55&lt;&gt;"",IF('Capacity summary'!$D$14="Yes",IF(COUNTBLANK('Capacity summary'!$H174:$BG174)&lt;52,IF('Capacity summary'!AX174&lt;&gt;"",IF(LOWER('Capacity summary'!AX174)="x",$BI55*AX55,VALUE('Capacity summary'!AX174)),0),AX55*$BI55),AX55*$BI55),0)</f>
        <v>0</v>
      </c>
      <c r="DB55" s="313">
        <f>IF($BI55&lt;&gt;"",IF('Capacity summary'!$D$14="Yes",IF(COUNTBLANK('Capacity summary'!$H174:$BG174)&lt;52,IF('Capacity summary'!AY174&lt;&gt;"",IF(LOWER('Capacity summary'!AY174)="x",$BI55*AY55,VALUE('Capacity summary'!AY174)),0),AY55*$BI55),AY55*$BI55),0)</f>
        <v>0</v>
      </c>
      <c r="DC55" s="313">
        <f>IF($BI55&lt;&gt;"",IF('Capacity summary'!$D$14="Yes",IF(COUNTBLANK('Capacity summary'!$H174:$BG174)&lt;52,IF('Capacity summary'!AZ174&lt;&gt;"",IF(LOWER('Capacity summary'!AZ174)="x",$BI55*AZ55,VALUE('Capacity summary'!AZ174)),0),AZ55*$BI55),AZ55*$BI55),0)</f>
        <v>0</v>
      </c>
      <c r="DD55" s="313">
        <f>IF($BI55&lt;&gt;"",IF('Capacity summary'!$D$14="Yes",IF(COUNTBLANK('Capacity summary'!$H174:$BG174)&lt;52,IF('Capacity summary'!BA174&lt;&gt;"",IF(LOWER('Capacity summary'!BA174)="x",$BI55*BA55,VALUE('Capacity summary'!BA174)),0),BA55*$BI55),BA55*$BI55),0)</f>
        <v>0</v>
      </c>
      <c r="DE55" s="313">
        <f>IF($BI55&lt;&gt;"",IF('Capacity summary'!$D$14="Yes",IF(COUNTBLANK('Capacity summary'!$H174:$BG174)&lt;52,IF('Capacity summary'!BB174&lt;&gt;"",IF(LOWER('Capacity summary'!BB174)="x",$BI55*BB55,VALUE('Capacity summary'!BB174)),0),BB55*$BI55),BB55*$BI55),0)</f>
        <v>0</v>
      </c>
      <c r="DF55" s="313">
        <f>IF($BI55&lt;&gt;"",IF('Capacity summary'!$D$14="Yes",IF(COUNTBLANK('Capacity summary'!$H174:$BG174)&lt;52,IF('Capacity summary'!BC174&lt;&gt;"",IF(LOWER('Capacity summary'!BC174)="x",$BI55*BC55,VALUE('Capacity summary'!BC174)),0),BC55*$BI55),BC55*$BI55),0)</f>
        <v>0</v>
      </c>
      <c r="DG55" s="313">
        <f>IF($BI55&lt;&gt;"",IF('Capacity summary'!$D$14="Yes",IF(COUNTBLANK('Capacity summary'!$H174:$BG174)&lt;52,IF('Capacity summary'!BD174&lt;&gt;"",IF(LOWER('Capacity summary'!BD174)="x",$BI55*BD55,VALUE('Capacity summary'!BD174)),0),BD55*$BI55),BD55*$BI55),0)</f>
        <v>0</v>
      </c>
      <c r="DH55" s="313">
        <f>IF($BI55&lt;&gt;"",IF('Capacity summary'!$D$14="Yes",IF(COUNTBLANK('Capacity summary'!$H174:$BG174)&lt;52,IF('Capacity summary'!BE174&lt;&gt;"",IF(LOWER('Capacity summary'!BE174)="x",$BI55*BE55,VALUE('Capacity summary'!BE174)),0),BE55*$BI55),BE55*$BI55),0)</f>
        <v>0</v>
      </c>
      <c r="DI55" s="313">
        <f>IF($BI55&lt;&gt;"",IF('Capacity summary'!$D$14="Yes",IF(COUNTBLANK('Capacity summary'!$H174:$BG174)&lt;52,IF('Capacity summary'!BF174&lt;&gt;"",IF(LOWER('Capacity summary'!BF174)="x",$BI55*BF55,VALUE('Capacity summary'!BF174)),0),BF55*$BI55),BF55*$BI55),0)</f>
        <v>0</v>
      </c>
      <c r="DJ55" s="313">
        <f>IF($BI55&lt;&gt;"",IF('Capacity summary'!$D$14="Yes",IF(COUNTBLANK('Capacity summary'!$H174:$BG174)&lt;52,IF('Capacity summary'!BG174&lt;&gt;"",IF(LOWER('Capacity summary'!BG174)="x",$BI55*BG55,VALUE('Capacity summary'!BG174)),0),BG55*$BI55),BG55*$BI55),0)</f>
        <v>0</v>
      </c>
      <c r="DK55" s="137">
        <f t="shared" si="2"/>
        <v>0</v>
      </c>
      <c r="DL55" s="313" t="str">
        <f>Capacity!H67</f>
        <v/>
      </c>
      <c r="DP55" s="5"/>
    </row>
    <row r="56" spans="2:120" x14ac:dyDescent="0.25">
      <c r="B56" s="67"/>
      <c r="C56" s="67" t="str">
        <f>ROW(A52)&amp;". "&amp;Capacity!B68</f>
        <v xml:space="preserve">52. </v>
      </c>
      <c r="D56" s="67">
        <f>'Capacity setup'!C63</f>
        <v>0</v>
      </c>
      <c r="E56" s="67">
        <f>'Capacity setup'!D63</f>
        <v>0</v>
      </c>
      <c r="F56" s="67">
        <f>'Capacity setup'!E63</f>
        <v>0</v>
      </c>
      <c r="H56" s="67">
        <f ca="1">IF(AND(SUMIF(Capacity_Resource,$D56,'Critical resources (hide)'!U$6:U$105)+SUMIF(Capacity_Resource,$E56,'Critical resources (hide)'!U$6:U$105)+SUMIF(Capacity_Resource,$F56,'Critical resources (hide)'!U$6:U$105)&gt;0,$E$1=2),0,1)</f>
        <v>1</v>
      </c>
      <c r="I56" s="67">
        <f ca="1">IF(AND(SUMIF(Capacity_Resource,$D56,'Critical resources (hide)'!V$6:V$105)+SUMIF(Capacity_Resource,$E56,'Critical resources (hide)'!V$6:V$105)+SUMIF(Capacity_Resource,$F56,'Critical resources (hide)'!V$6:V$105)&gt;0,$E$1=2),0,1)</f>
        <v>1</v>
      </c>
      <c r="J56" s="67">
        <f ca="1">IF(AND(SUMIF(Capacity_Resource,$D56,'Critical resources (hide)'!W$6:W$105)+SUMIF(Capacity_Resource,$E56,'Critical resources (hide)'!W$6:W$105)+SUMIF(Capacity_Resource,$F56,'Critical resources (hide)'!W$6:W$105)&gt;0,$E$1=2),0,1)</f>
        <v>1</v>
      </c>
      <c r="K56" s="67">
        <f ca="1">IF(AND(SUMIF(Capacity_Resource,$D56,'Critical resources (hide)'!X$6:X$105)+SUMIF(Capacity_Resource,$E56,'Critical resources (hide)'!X$6:X$105)+SUMIF(Capacity_Resource,$F56,'Critical resources (hide)'!X$6:X$105)&gt;0,$E$1=2),0,1)</f>
        <v>1</v>
      </c>
      <c r="L56" s="67">
        <f ca="1">IF(AND(SUMIF(Capacity_Resource,$D56,'Critical resources (hide)'!Y$6:Y$105)+SUMIF(Capacity_Resource,$E56,'Critical resources (hide)'!Y$6:Y$105)+SUMIF(Capacity_Resource,$F56,'Critical resources (hide)'!Y$6:Y$105)&gt;0,$E$1=2),0,1)</f>
        <v>1</v>
      </c>
      <c r="M56" s="67">
        <f ca="1">IF(AND(SUMIF(Capacity_Resource,$D56,'Critical resources (hide)'!Z$6:Z$105)+SUMIF(Capacity_Resource,$E56,'Critical resources (hide)'!Z$6:Z$105)+SUMIF(Capacity_Resource,$F56,'Critical resources (hide)'!Z$6:Z$105)&gt;0,$E$1=2),0,1)</f>
        <v>1</v>
      </c>
      <c r="N56" s="67">
        <f ca="1">IF(AND(SUMIF(Capacity_Resource,$D56,'Critical resources (hide)'!AA$6:AA$105)+SUMIF(Capacity_Resource,$E56,'Critical resources (hide)'!AA$6:AA$105)+SUMIF(Capacity_Resource,$F56,'Critical resources (hide)'!AA$6:AA$105)&gt;0,$E$1=2),0,1)</f>
        <v>1</v>
      </c>
      <c r="O56" s="67">
        <f ca="1">IF(AND(SUMIF(Capacity_Resource,$D56,'Critical resources (hide)'!AB$6:AB$105)+SUMIF(Capacity_Resource,$E56,'Critical resources (hide)'!AB$6:AB$105)+SUMIF(Capacity_Resource,$F56,'Critical resources (hide)'!AB$6:AB$105)&gt;0,$E$1=2),0,1)</f>
        <v>1</v>
      </c>
      <c r="P56" s="67">
        <f ca="1">IF(AND(SUMIF(Capacity_Resource,$D56,'Critical resources (hide)'!AC$6:AC$105)+SUMIF(Capacity_Resource,$E56,'Critical resources (hide)'!AC$6:AC$105)+SUMIF(Capacity_Resource,$F56,'Critical resources (hide)'!AC$6:AC$105)&gt;0,$E$1=2),0,1)</f>
        <v>1</v>
      </c>
      <c r="Q56" s="67">
        <f ca="1">IF(AND(SUMIF(Capacity_Resource,$D56,'Critical resources (hide)'!AD$6:AD$105)+SUMIF(Capacity_Resource,$E56,'Critical resources (hide)'!AD$6:AD$105)+SUMIF(Capacity_Resource,$F56,'Critical resources (hide)'!AD$6:AD$105)&gt;0,$E$1=2),0,1)</f>
        <v>1</v>
      </c>
      <c r="R56" s="67">
        <f ca="1">IF(AND(SUMIF(Capacity_Resource,$D56,'Critical resources (hide)'!AE$6:AE$105)+SUMIF(Capacity_Resource,$E56,'Critical resources (hide)'!AE$6:AE$105)+SUMIF(Capacity_Resource,$F56,'Critical resources (hide)'!AE$6:AE$105)&gt;0,$E$1=2),0,1)</f>
        <v>1</v>
      </c>
      <c r="S56" s="67">
        <f ca="1">IF(AND(SUMIF(Capacity_Resource,$D56,'Critical resources (hide)'!AF$6:AF$105)+SUMIF(Capacity_Resource,$E56,'Critical resources (hide)'!AF$6:AF$105)+SUMIF(Capacity_Resource,$F56,'Critical resources (hide)'!AF$6:AF$105)&gt;0,$E$1=2),0,1)</f>
        <v>1</v>
      </c>
      <c r="T56" s="67">
        <f ca="1">IF(AND(SUMIF(Capacity_Resource,$D56,'Critical resources (hide)'!AG$6:AG$105)+SUMIF(Capacity_Resource,$E56,'Critical resources (hide)'!AG$6:AG$105)+SUMIF(Capacity_Resource,$F56,'Critical resources (hide)'!AG$6:AG$105)&gt;0,$E$1=2),0,1)</f>
        <v>1</v>
      </c>
      <c r="U56" s="67">
        <f ca="1">IF(AND(SUMIF(Capacity_Resource,$D56,'Critical resources (hide)'!AH$6:AH$105)+SUMIF(Capacity_Resource,$E56,'Critical resources (hide)'!AH$6:AH$105)+SUMIF(Capacity_Resource,$F56,'Critical resources (hide)'!AH$6:AH$105)&gt;0,$E$1=2),0,1)</f>
        <v>1</v>
      </c>
      <c r="V56" s="67">
        <f ca="1">IF(AND(SUMIF(Capacity_Resource,$D56,'Critical resources (hide)'!AI$6:AI$105)+SUMIF(Capacity_Resource,$E56,'Critical resources (hide)'!AI$6:AI$105)+SUMIF(Capacity_Resource,$F56,'Critical resources (hide)'!AI$6:AI$105)&gt;0,$E$1=2),0,1)</f>
        <v>1</v>
      </c>
      <c r="W56" s="67">
        <f ca="1">IF(AND(SUMIF(Capacity_Resource,$D56,'Critical resources (hide)'!AJ$6:AJ$105)+SUMIF(Capacity_Resource,$E56,'Critical resources (hide)'!AJ$6:AJ$105)+SUMIF(Capacity_Resource,$F56,'Critical resources (hide)'!AJ$6:AJ$105)&gt;0,$E$1=2),0,1)</f>
        <v>1</v>
      </c>
      <c r="X56" s="67">
        <f ca="1">IF(AND(SUMIF(Capacity_Resource,$D56,'Critical resources (hide)'!AK$6:AK$105)+SUMIF(Capacity_Resource,$E56,'Critical resources (hide)'!AK$6:AK$105)+SUMIF(Capacity_Resource,$F56,'Critical resources (hide)'!AK$6:AK$105)&gt;0,$E$1=2),0,1)</f>
        <v>1</v>
      </c>
      <c r="Y56" s="67">
        <f ca="1">IF(AND(SUMIF(Capacity_Resource,$D56,'Critical resources (hide)'!AL$6:AL$105)+SUMIF(Capacity_Resource,$E56,'Critical resources (hide)'!AL$6:AL$105)+SUMIF(Capacity_Resource,$F56,'Critical resources (hide)'!AL$6:AL$105)&gt;0,$E$1=2),0,1)</f>
        <v>1</v>
      </c>
      <c r="Z56" s="67">
        <f ca="1">IF(AND(SUMIF(Capacity_Resource,$D56,'Critical resources (hide)'!AM$6:AM$105)+SUMIF(Capacity_Resource,$E56,'Critical resources (hide)'!AM$6:AM$105)+SUMIF(Capacity_Resource,$F56,'Critical resources (hide)'!AM$6:AM$105)&gt;0,$E$1=2),0,1)</f>
        <v>1</v>
      </c>
      <c r="AA56" s="67">
        <f ca="1">IF(AND(SUMIF(Capacity_Resource,$D56,'Critical resources (hide)'!AN$6:AN$105)+SUMIF(Capacity_Resource,$E56,'Critical resources (hide)'!AN$6:AN$105)+SUMIF(Capacity_Resource,$F56,'Critical resources (hide)'!AN$6:AN$105)&gt;0,$E$1=2),0,1)</f>
        <v>1</v>
      </c>
      <c r="AB56" s="67">
        <f ca="1">IF(AND(SUMIF(Capacity_Resource,$D56,'Critical resources (hide)'!AO$6:AO$105)+SUMIF(Capacity_Resource,$E56,'Critical resources (hide)'!AO$6:AO$105)+SUMIF(Capacity_Resource,$F56,'Critical resources (hide)'!AO$6:AO$105)&gt;0,$E$1=2),0,1)</f>
        <v>1</v>
      </c>
      <c r="AC56" s="67">
        <f ca="1">IF(AND(SUMIF(Capacity_Resource,$D56,'Critical resources (hide)'!AP$6:AP$105)+SUMIF(Capacity_Resource,$E56,'Critical resources (hide)'!AP$6:AP$105)+SUMIF(Capacity_Resource,$F56,'Critical resources (hide)'!AP$6:AP$105)&gt;0,$E$1=2),0,1)</f>
        <v>1</v>
      </c>
      <c r="AD56" s="67">
        <f ca="1">IF(AND(SUMIF(Capacity_Resource,$D56,'Critical resources (hide)'!AQ$6:AQ$105)+SUMIF(Capacity_Resource,$E56,'Critical resources (hide)'!AQ$6:AQ$105)+SUMIF(Capacity_Resource,$F56,'Critical resources (hide)'!AQ$6:AQ$105)&gt;0,$E$1=2),0,1)</f>
        <v>1</v>
      </c>
      <c r="AE56" s="67">
        <f ca="1">IF(AND(SUMIF(Capacity_Resource,$D56,'Critical resources (hide)'!AR$6:AR$105)+SUMIF(Capacity_Resource,$E56,'Critical resources (hide)'!AR$6:AR$105)+SUMIF(Capacity_Resource,$F56,'Critical resources (hide)'!AR$6:AR$105)&gt;0,$E$1=2),0,1)</f>
        <v>1</v>
      </c>
      <c r="AF56" s="67">
        <f ca="1">IF(AND(SUMIF(Capacity_Resource,$D56,'Critical resources (hide)'!AS$6:AS$105)+SUMIF(Capacity_Resource,$E56,'Critical resources (hide)'!AS$6:AS$105)+SUMIF(Capacity_Resource,$F56,'Critical resources (hide)'!AS$6:AS$105)&gt;0,$E$1=2),0,1)</f>
        <v>1</v>
      </c>
      <c r="AG56" s="67">
        <f ca="1">IF(AND(SUMIF(Capacity_Resource,$D56,'Critical resources (hide)'!AT$6:AT$105)+SUMIF(Capacity_Resource,$E56,'Critical resources (hide)'!AT$6:AT$105)+SUMIF(Capacity_Resource,$F56,'Critical resources (hide)'!AT$6:AT$105)&gt;0,$E$1=2),0,1)</f>
        <v>1</v>
      </c>
      <c r="AH56" s="67">
        <f ca="1">IF(AND(SUMIF(Capacity_Resource,$D56,'Critical resources (hide)'!AU$6:AU$105)+SUMIF(Capacity_Resource,$E56,'Critical resources (hide)'!AU$6:AU$105)+SUMIF(Capacity_Resource,$F56,'Critical resources (hide)'!AU$6:AU$105)&gt;0,$E$1=2),0,1)</f>
        <v>1</v>
      </c>
      <c r="AI56" s="67">
        <f ca="1">IF(AND(SUMIF(Capacity_Resource,$D56,'Critical resources (hide)'!AV$6:AV$105)+SUMIF(Capacity_Resource,$E56,'Critical resources (hide)'!AV$6:AV$105)+SUMIF(Capacity_Resource,$F56,'Critical resources (hide)'!AV$6:AV$105)&gt;0,$E$1=2),0,1)</f>
        <v>1</v>
      </c>
      <c r="AJ56" s="67">
        <f ca="1">IF(AND(SUMIF(Capacity_Resource,$D56,'Critical resources (hide)'!AW$6:AW$105)+SUMIF(Capacity_Resource,$E56,'Critical resources (hide)'!AW$6:AW$105)+SUMIF(Capacity_Resource,$F56,'Critical resources (hide)'!AW$6:AW$105)&gt;0,$E$1=2),0,1)</f>
        <v>1</v>
      </c>
      <c r="AK56" s="67">
        <f ca="1">IF(AND(SUMIF(Capacity_Resource,$D56,'Critical resources (hide)'!AX$6:AX$105)+SUMIF(Capacity_Resource,$E56,'Critical resources (hide)'!AX$6:AX$105)+SUMIF(Capacity_Resource,$F56,'Critical resources (hide)'!AX$6:AX$105)&gt;0,$E$1=2),0,1)</f>
        <v>1</v>
      </c>
      <c r="AL56" s="67">
        <f ca="1">IF(AND(SUMIF(Capacity_Resource,$D56,'Critical resources (hide)'!AY$6:AY$105)+SUMIF(Capacity_Resource,$E56,'Critical resources (hide)'!AY$6:AY$105)+SUMIF(Capacity_Resource,$F56,'Critical resources (hide)'!AY$6:AY$105)&gt;0,$E$1=2),0,1)</f>
        <v>1</v>
      </c>
      <c r="AM56" s="67">
        <f ca="1">IF(AND(SUMIF(Capacity_Resource,$D56,'Critical resources (hide)'!AZ$6:AZ$105)+SUMIF(Capacity_Resource,$E56,'Critical resources (hide)'!AZ$6:AZ$105)+SUMIF(Capacity_Resource,$F56,'Critical resources (hide)'!AZ$6:AZ$105)&gt;0,$E$1=2),0,1)</f>
        <v>1</v>
      </c>
      <c r="AN56" s="67">
        <f ca="1">IF(AND(SUMIF(Capacity_Resource,$D56,'Critical resources (hide)'!BA$6:BA$105)+SUMIF(Capacity_Resource,$E56,'Critical resources (hide)'!BA$6:BA$105)+SUMIF(Capacity_Resource,$F56,'Critical resources (hide)'!BA$6:BA$105)&gt;0,$E$1=2),0,1)</f>
        <v>1</v>
      </c>
      <c r="AO56" s="67">
        <f ca="1">IF(AND(SUMIF(Capacity_Resource,$D56,'Critical resources (hide)'!BB$6:BB$105)+SUMIF(Capacity_Resource,$E56,'Critical resources (hide)'!BB$6:BB$105)+SUMIF(Capacity_Resource,$F56,'Critical resources (hide)'!BB$6:BB$105)&gt;0,$E$1=2),0,1)</f>
        <v>1</v>
      </c>
      <c r="AP56" s="67">
        <f ca="1">IF(AND(SUMIF(Capacity_Resource,$D56,'Critical resources (hide)'!BC$6:BC$105)+SUMIF(Capacity_Resource,$E56,'Critical resources (hide)'!BC$6:BC$105)+SUMIF(Capacity_Resource,$F56,'Critical resources (hide)'!BC$6:BC$105)&gt;0,$E$1=2),0,1)</f>
        <v>1</v>
      </c>
      <c r="AQ56" s="67">
        <f ca="1">IF(AND(SUMIF(Capacity_Resource,$D56,'Critical resources (hide)'!BD$6:BD$105)+SUMIF(Capacity_Resource,$E56,'Critical resources (hide)'!BD$6:BD$105)+SUMIF(Capacity_Resource,$F56,'Critical resources (hide)'!BD$6:BD$105)&gt;0,$E$1=2),0,1)</f>
        <v>1</v>
      </c>
      <c r="AR56" s="67">
        <f ca="1">IF(AND(SUMIF(Capacity_Resource,$D56,'Critical resources (hide)'!BE$6:BE$105)+SUMIF(Capacity_Resource,$E56,'Critical resources (hide)'!BE$6:BE$105)+SUMIF(Capacity_Resource,$F56,'Critical resources (hide)'!BE$6:BE$105)&gt;0,$E$1=2),0,1)</f>
        <v>1</v>
      </c>
      <c r="AS56" s="67">
        <f ca="1">IF(AND(SUMIF(Capacity_Resource,$D56,'Critical resources (hide)'!BF$6:BF$105)+SUMIF(Capacity_Resource,$E56,'Critical resources (hide)'!BF$6:BF$105)+SUMIF(Capacity_Resource,$F56,'Critical resources (hide)'!BF$6:BF$105)&gt;0,$E$1=2),0,1)</f>
        <v>1</v>
      </c>
      <c r="AT56" s="67">
        <f ca="1">IF(AND(SUMIF(Capacity_Resource,$D56,'Critical resources (hide)'!BG$6:BG$105)+SUMIF(Capacity_Resource,$E56,'Critical resources (hide)'!BG$6:BG$105)+SUMIF(Capacity_Resource,$F56,'Critical resources (hide)'!BG$6:BG$105)&gt;0,$E$1=2),0,1)</f>
        <v>1</v>
      </c>
      <c r="AU56" s="67">
        <f ca="1">IF(AND(SUMIF(Capacity_Resource,$D56,'Critical resources (hide)'!BH$6:BH$105)+SUMIF(Capacity_Resource,$E56,'Critical resources (hide)'!BH$6:BH$105)+SUMIF(Capacity_Resource,$F56,'Critical resources (hide)'!BH$6:BH$105)&gt;0,$E$1=2),0,1)</f>
        <v>1</v>
      </c>
      <c r="AV56" s="67">
        <f ca="1">IF(AND(SUMIF(Capacity_Resource,$D56,'Critical resources (hide)'!BI$6:BI$105)+SUMIF(Capacity_Resource,$E56,'Critical resources (hide)'!BI$6:BI$105)+SUMIF(Capacity_Resource,$F56,'Critical resources (hide)'!BI$6:BI$105)&gt;0,$E$1=2),0,1)</f>
        <v>1</v>
      </c>
      <c r="AW56" s="67">
        <f ca="1">IF(AND(SUMIF(Capacity_Resource,$D56,'Critical resources (hide)'!BJ$6:BJ$105)+SUMIF(Capacity_Resource,$E56,'Critical resources (hide)'!BJ$6:BJ$105)+SUMIF(Capacity_Resource,$F56,'Critical resources (hide)'!BJ$6:BJ$105)&gt;0,$E$1=2),0,1)</f>
        <v>1</v>
      </c>
      <c r="AX56" s="67">
        <f ca="1">IF(AND(SUMIF(Capacity_Resource,$D56,'Critical resources (hide)'!BK$6:BK$105)+SUMIF(Capacity_Resource,$E56,'Critical resources (hide)'!BK$6:BK$105)+SUMIF(Capacity_Resource,$F56,'Critical resources (hide)'!BK$6:BK$105)&gt;0,$E$1=2),0,1)</f>
        <v>1</v>
      </c>
      <c r="AY56" s="67">
        <f ca="1">IF(AND(SUMIF(Capacity_Resource,$D56,'Critical resources (hide)'!BL$6:BL$105)+SUMIF(Capacity_Resource,$E56,'Critical resources (hide)'!BL$6:BL$105)+SUMIF(Capacity_Resource,$F56,'Critical resources (hide)'!BL$6:BL$105)&gt;0,$E$1=2),0,1)</f>
        <v>1</v>
      </c>
      <c r="AZ56" s="67">
        <f ca="1">IF(AND(SUMIF(Capacity_Resource,$D56,'Critical resources (hide)'!BM$6:BM$105)+SUMIF(Capacity_Resource,$E56,'Critical resources (hide)'!BM$6:BM$105)+SUMIF(Capacity_Resource,$F56,'Critical resources (hide)'!BM$6:BM$105)&gt;0,$E$1=2),0,1)</f>
        <v>1</v>
      </c>
      <c r="BA56" s="67">
        <f ca="1">IF(AND(SUMIF(Capacity_Resource,$D56,'Critical resources (hide)'!BN$6:BN$105)+SUMIF(Capacity_Resource,$E56,'Critical resources (hide)'!BN$6:BN$105)+SUMIF(Capacity_Resource,$F56,'Critical resources (hide)'!BN$6:BN$105)&gt;0,$E$1=2),0,1)</f>
        <v>1</v>
      </c>
      <c r="BB56" s="67">
        <f ca="1">IF(AND(SUMIF(Capacity_Resource,$D56,'Critical resources (hide)'!BO$6:BO$105)+SUMIF(Capacity_Resource,$E56,'Critical resources (hide)'!BO$6:BO$105)+SUMIF(Capacity_Resource,$F56,'Critical resources (hide)'!BO$6:BO$105)&gt;0,$E$1=2),0,1)</f>
        <v>1</v>
      </c>
      <c r="BC56" s="67">
        <f ca="1">IF(AND(SUMIF(Capacity_Resource,$D56,'Critical resources (hide)'!BP$6:BP$105)+SUMIF(Capacity_Resource,$E56,'Critical resources (hide)'!BP$6:BP$105)+SUMIF(Capacity_Resource,$F56,'Critical resources (hide)'!BP$6:BP$105)&gt;0,$E$1=2),0,1)</f>
        <v>1</v>
      </c>
      <c r="BD56" s="67">
        <f ca="1">IF(AND(SUMIF(Capacity_Resource,$D56,'Critical resources (hide)'!BQ$6:BQ$105)+SUMIF(Capacity_Resource,$E56,'Critical resources (hide)'!BQ$6:BQ$105)+SUMIF(Capacity_Resource,$F56,'Critical resources (hide)'!BQ$6:BQ$105)&gt;0,$E$1=2),0,1)</f>
        <v>1</v>
      </c>
      <c r="BE56" s="67">
        <f ca="1">IF(AND(SUMIF(Capacity_Resource,$D56,'Critical resources (hide)'!BR$6:BR$105)+SUMIF(Capacity_Resource,$E56,'Critical resources (hide)'!BR$6:BR$105)+SUMIF(Capacity_Resource,$F56,'Critical resources (hide)'!BR$6:BR$105)&gt;0,$E$1=2),0,1)</f>
        <v>1</v>
      </c>
      <c r="BF56" s="67">
        <f ca="1">IF(AND(SUMIF(Capacity_Resource,$D56,'Critical resources (hide)'!BS$6:BS$105)+SUMIF(Capacity_Resource,$E56,'Critical resources (hide)'!BS$6:BS$105)+SUMIF(Capacity_Resource,$F56,'Critical resources (hide)'!BS$6:BS$105)&gt;0,$E$1=2),0,1)</f>
        <v>1</v>
      </c>
      <c r="BG56" s="67">
        <f ca="1">IF(AND(SUMIF(Capacity_Resource,$D56,'Critical resources (hide)'!BT$6:BT$105)+SUMIF(Capacity_Resource,$E56,'Critical resources (hide)'!BT$6:BT$105)+SUMIF(Capacity_Resource,$F56,'Critical resources (hide)'!BT$6:BT$105)&gt;0,$E$1=2),0,1)</f>
        <v>1</v>
      </c>
      <c r="BH56" s="67">
        <f>IF(ROW(C52)&lt;=Capacity!$A$16,IF('Capacity summary'!$D$14="No",SUM(H56:BG56),'Capacity summary'!$E175),0)</f>
        <v>0</v>
      </c>
      <c r="BI56" s="5" t="str">
        <f>IF(BH56&gt;0,IF(BH56&lt;Capacity!E68,Capacity!F68,Capacity!H68/'Capacity calculation (hide)'!BH56),"")</f>
        <v/>
      </c>
      <c r="BK56" s="313">
        <f>IF($BI56&lt;&gt;"",IF('Capacity summary'!$D$14="Yes",IF(COUNTBLANK('Capacity summary'!$H175:$BG175)&lt;52,IF('Capacity summary'!H175&lt;&gt;"",IF(LOWER('Capacity summary'!H175)="x",$BI56*H56,VALUE('Capacity summary'!H175)),0),H56*$BI56),H56*$BI56),0)</f>
        <v>0</v>
      </c>
      <c r="BL56" s="313">
        <f>IF($BI56&lt;&gt;"",IF('Capacity summary'!$D$14="Yes",IF(COUNTBLANK('Capacity summary'!$H175:$BG175)&lt;52,IF('Capacity summary'!I175&lt;&gt;"",IF(LOWER('Capacity summary'!I175)="x",$BI56*I56,VALUE('Capacity summary'!I175)),0),I56*$BI56),I56*$BI56),0)</f>
        <v>0</v>
      </c>
      <c r="BM56" s="313">
        <f>IF($BI56&lt;&gt;"",IF('Capacity summary'!$D$14="Yes",IF(COUNTBLANK('Capacity summary'!$H175:$BG175)&lt;52,IF('Capacity summary'!J175&lt;&gt;"",IF(LOWER('Capacity summary'!J175)="x",$BI56*J56,VALUE('Capacity summary'!J175)),0),J56*$BI56),J56*$BI56),0)</f>
        <v>0</v>
      </c>
      <c r="BN56" s="313">
        <f>IF($BI56&lt;&gt;"",IF('Capacity summary'!$D$14="Yes",IF(COUNTBLANK('Capacity summary'!$H175:$BG175)&lt;52,IF('Capacity summary'!K175&lt;&gt;"",IF(LOWER('Capacity summary'!K175)="x",$BI56*K56,VALUE('Capacity summary'!K175)),0),K56*$BI56),K56*$BI56),0)</f>
        <v>0</v>
      </c>
      <c r="BO56" s="313">
        <f>IF($BI56&lt;&gt;"",IF('Capacity summary'!$D$14="Yes",IF(COUNTBLANK('Capacity summary'!$H175:$BG175)&lt;52,IF('Capacity summary'!L175&lt;&gt;"",IF(LOWER('Capacity summary'!L175)="x",$BI56*L56,VALUE('Capacity summary'!L175)),0),L56*$BI56),L56*$BI56),0)</f>
        <v>0</v>
      </c>
      <c r="BP56" s="313">
        <f>IF($BI56&lt;&gt;"",IF('Capacity summary'!$D$14="Yes",IF(COUNTBLANK('Capacity summary'!$H175:$BG175)&lt;52,IF('Capacity summary'!M175&lt;&gt;"",IF(LOWER('Capacity summary'!M175)="x",$BI56*M56,VALUE('Capacity summary'!M175)),0),M56*$BI56),M56*$BI56),0)</f>
        <v>0</v>
      </c>
      <c r="BQ56" s="313">
        <f>IF($BI56&lt;&gt;"",IF('Capacity summary'!$D$14="Yes",IF(COUNTBLANK('Capacity summary'!$H175:$BG175)&lt;52,IF('Capacity summary'!N175&lt;&gt;"",IF(LOWER('Capacity summary'!N175)="x",$BI56*N56,VALUE('Capacity summary'!N175)),0),N56*$BI56),N56*$BI56),0)</f>
        <v>0</v>
      </c>
      <c r="BR56" s="313">
        <f>IF($BI56&lt;&gt;"",IF('Capacity summary'!$D$14="Yes",IF(COUNTBLANK('Capacity summary'!$H175:$BG175)&lt;52,IF('Capacity summary'!O175&lt;&gt;"",IF(LOWER('Capacity summary'!O175)="x",$BI56*O56,VALUE('Capacity summary'!O175)),0),O56*$BI56),O56*$BI56),0)</f>
        <v>0</v>
      </c>
      <c r="BS56" s="313">
        <f>IF($BI56&lt;&gt;"",IF('Capacity summary'!$D$14="Yes",IF(COUNTBLANK('Capacity summary'!$H175:$BG175)&lt;52,IF('Capacity summary'!P175&lt;&gt;"",IF(LOWER('Capacity summary'!P175)="x",$BI56*P56,VALUE('Capacity summary'!P175)),0),P56*$BI56),P56*$BI56),0)</f>
        <v>0</v>
      </c>
      <c r="BT56" s="313">
        <f>IF($BI56&lt;&gt;"",IF('Capacity summary'!$D$14="Yes",IF(COUNTBLANK('Capacity summary'!$H175:$BG175)&lt;52,IF('Capacity summary'!Q175&lt;&gt;"",IF(LOWER('Capacity summary'!Q175)="x",$BI56*Q56,VALUE('Capacity summary'!Q175)),0),Q56*$BI56),Q56*$BI56),0)</f>
        <v>0</v>
      </c>
      <c r="BU56" s="313">
        <f>IF($BI56&lt;&gt;"",IF('Capacity summary'!$D$14="Yes",IF(COUNTBLANK('Capacity summary'!$H175:$BG175)&lt;52,IF('Capacity summary'!R175&lt;&gt;"",IF(LOWER('Capacity summary'!R175)="x",$BI56*R56,VALUE('Capacity summary'!R175)),0),R56*$BI56),R56*$BI56),0)</f>
        <v>0</v>
      </c>
      <c r="BV56" s="313">
        <f>IF($BI56&lt;&gt;"",IF('Capacity summary'!$D$14="Yes",IF(COUNTBLANK('Capacity summary'!$H175:$BG175)&lt;52,IF('Capacity summary'!S175&lt;&gt;"",IF(LOWER('Capacity summary'!S175)="x",$BI56*S56,VALUE('Capacity summary'!S175)),0),S56*$BI56),S56*$BI56),0)</f>
        <v>0</v>
      </c>
      <c r="BW56" s="313">
        <f>IF($BI56&lt;&gt;"",IF('Capacity summary'!$D$14="Yes",IF(COUNTBLANK('Capacity summary'!$H175:$BG175)&lt;52,IF('Capacity summary'!T175&lt;&gt;"",IF(LOWER('Capacity summary'!T175)="x",$BI56*T56,VALUE('Capacity summary'!T175)),0),T56*$BI56),T56*$BI56),0)</f>
        <v>0</v>
      </c>
      <c r="BX56" s="313">
        <f>IF($BI56&lt;&gt;"",IF('Capacity summary'!$D$14="Yes",IF(COUNTBLANK('Capacity summary'!$H175:$BG175)&lt;52,IF('Capacity summary'!U175&lt;&gt;"",IF(LOWER('Capacity summary'!U175)="x",$BI56*U56,VALUE('Capacity summary'!U175)),0),U56*$BI56),U56*$BI56),0)</f>
        <v>0</v>
      </c>
      <c r="BY56" s="313">
        <f>IF($BI56&lt;&gt;"",IF('Capacity summary'!$D$14="Yes",IF(COUNTBLANK('Capacity summary'!$H175:$BG175)&lt;52,IF('Capacity summary'!V175&lt;&gt;"",IF(LOWER('Capacity summary'!V175)="x",$BI56*V56,VALUE('Capacity summary'!V175)),0),V56*$BI56),V56*$BI56),0)</f>
        <v>0</v>
      </c>
      <c r="BZ56" s="313">
        <f>IF($BI56&lt;&gt;"",IF('Capacity summary'!$D$14="Yes",IF(COUNTBLANK('Capacity summary'!$H175:$BG175)&lt;52,IF('Capacity summary'!W175&lt;&gt;"",IF(LOWER('Capacity summary'!W175)="x",$BI56*W56,VALUE('Capacity summary'!W175)),0),W56*$BI56),W56*$BI56),0)</f>
        <v>0</v>
      </c>
      <c r="CA56" s="313">
        <f>IF($BI56&lt;&gt;"",IF('Capacity summary'!$D$14="Yes",IF(COUNTBLANK('Capacity summary'!$H175:$BG175)&lt;52,IF('Capacity summary'!X175&lt;&gt;"",IF(LOWER('Capacity summary'!X175)="x",$BI56*X56,VALUE('Capacity summary'!X175)),0),X56*$BI56),X56*$BI56),0)</f>
        <v>0</v>
      </c>
      <c r="CB56" s="313">
        <f>IF($BI56&lt;&gt;"",IF('Capacity summary'!$D$14="Yes",IF(COUNTBLANK('Capacity summary'!$H175:$BG175)&lt;52,IF('Capacity summary'!Y175&lt;&gt;"",IF(LOWER('Capacity summary'!Y175)="x",$BI56*Y56,VALUE('Capacity summary'!Y175)),0),Y56*$BI56),Y56*$BI56),0)</f>
        <v>0</v>
      </c>
      <c r="CC56" s="313">
        <f>IF($BI56&lt;&gt;"",IF('Capacity summary'!$D$14="Yes",IF(COUNTBLANK('Capacity summary'!$H175:$BG175)&lt;52,IF('Capacity summary'!Z175&lt;&gt;"",IF(LOWER('Capacity summary'!Z175)="x",$BI56*Z56,VALUE('Capacity summary'!Z175)),0),Z56*$BI56),Z56*$BI56),0)</f>
        <v>0</v>
      </c>
      <c r="CD56" s="313">
        <f>IF($BI56&lt;&gt;"",IF('Capacity summary'!$D$14="Yes",IF(COUNTBLANK('Capacity summary'!$H175:$BG175)&lt;52,IF('Capacity summary'!AA175&lt;&gt;"",IF(LOWER('Capacity summary'!AA175)="x",$BI56*AA56,VALUE('Capacity summary'!AA175)),0),AA56*$BI56),AA56*$BI56),0)</f>
        <v>0</v>
      </c>
      <c r="CE56" s="313">
        <f>IF($BI56&lt;&gt;"",IF('Capacity summary'!$D$14="Yes",IF(COUNTBLANK('Capacity summary'!$H175:$BG175)&lt;52,IF('Capacity summary'!AB175&lt;&gt;"",IF(LOWER('Capacity summary'!AB175)="x",$BI56*AB56,VALUE('Capacity summary'!AB175)),0),AB56*$BI56),AB56*$BI56),0)</f>
        <v>0</v>
      </c>
      <c r="CF56" s="313">
        <f>IF($BI56&lt;&gt;"",IF('Capacity summary'!$D$14="Yes",IF(COUNTBLANK('Capacity summary'!$H175:$BG175)&lt;52,IF('Capacity summary'!AC175&lt;&gt;"",IF(LOWER('Capacity summary'!AC175)="x",$BI56*AC56,VALUE('Capacity summary'!AC175)),0),AC56*$BI56),AC56*$BI56),0)</f>
        <v>0</v>
      </c>
      <c r="CG56" s="313">
        <f>IF($BI56&lt;&gt;"",IF('Capacity summary'!$D$14="Yes",IF(COUNTBLANK('Capacity summary'!$H175:$BG175)&lt;52,IF('Capacity summary'!AD175&lt;&gt;"",IF(LOWER('Capacity summary'!AD175)="x",$BI56*AD56,VALUE('Capacity summary'!AD175)),0),AD56*$BI56),AD56*$BI56),0)</f>
        <v>0</v>
      </c>
      <c r="CH56" s="313">
        <f>IF($BI56&lt;&gt;"",IF('Capacity summary'!$D$14="Yes",IF(COUNTBLANK('Capacity summary'!$H175:$BG175)&lt;52,IF('Capacity summary'!AE175&lt;&gt;"",IF(LOWER('Capacity summary'!AE175)="x",$BI56*AE56,VALUE('Capacity summary'!AE175)),0),AE56*$BI56),AE56*$BI56),0)</f>
        <v>0</v>
      </c>
      <c r="CI56" s="313">
        <f>IF($BI56&lt;&gt;"",IF('Capacity summary'!$D$14="Yes",IF(COUNTBLANK('Capacity summary'!$H175:$BG175)&lt;52,IF('Capacity summary'!AF175&lt;&gt;"",IF(LOWER('Capacity summary'!AF175)="x",$BI56*AF56,VALUE('Capacity summary'!AF175)),0),AF56*$BI56),AF56*$BI56),0)</f>
        <v>0</v>
      </c>
      <c r="CJ56" s="313">
        <f>IF($BI56&lt;&gt;"",IF('Capacity summary'!$D$14="Yes",IF(COUNTBLANK('Capacity summary'!$H175:$BG175)&lt;52,IF('Capacity summary'!AG175&lt;&gt;"",IF(LOWER('Capacity summary'!AG175)="x",$BI56*AG56,VALUE('Capacity summary'!AG175)),0),AG56*$BI56),AG56*$BI56),0)</f>
        <v>0</v>
      </c>
      <c r="CK56" s="313">
        <f>IF($BI56&lt;&gt;"",IF('Capacity summary'!$D$14="Yes",IF(COUNTBLANK('Capacity summary'!$H175:$BG175)&lt;52,IF('Capacity summary'!AH175&lt;&gt;"",IF(LOWER('Capacity summary'!AH175)="x",$BI56*AH56,VALUE('Capacity summary'!AH175)),0),AH56*$BI56),AH56*$BI56),0)</f>
        <v>0</v>
      </c>
      <c r="CL56" s="313">
        <f>IF($BI56&lt;&gt;"",IF('Capacity summary'!$D$14="Yes",IF(COUNTBLANK('Capacity summary'!$H175:$BG175)&lt;52,IF('Capacity summary'!AI175&lt;&gt;"",IF(LOWER('Capacity summary'!AI175)="x",$BI56*AI56,VALUE('Capacity summary'!AI175)),0),AI56*$BI56),AI56*$BI56),0)</f>
        <v>0</v>
      </c>
      <c r="CM56" s="313">
        <f>IF($BI56&lt;&gt;"",IF('Capacity summary'!$D$14="Yes",IF(COUNTBLANK('Capacity summary'!$H175:$BG175)&lt;52,IF('Capacity summary'!AJ175&lt;&gt;"",IF(LOWER('Capacity summary'!AJ175)="x",$BI56*AJ56,VALUE('Capacity summary'!AJ175)),0),AJ56*$BI56),AJ56*$BI56),0)</f>
        <v>0</v>
      </c>
      <c r="CN56" s="313">
        <f>IF($BI56&lt;&gt;"",IF('Capacity summary'!$D$14="Yes",IF(COUNTBLANK('Capacity summary'!$H175:$BG175)&lt;52,IF('Capacity summary'!AK175&lt;&gt;"",IF(LOWER('Capacity summary'!AK175)="x",$BI56*AK56,VALUE('Capacity summary'!AK175)),0),AK56*$BI56),AK56*$BI56),0)</f>
        <v>0</v>
      </c>
      <c r="CO56" s="313">
        <f>IF($BI56&lt;&gt;"",IF('Capacity summary'!$D$14="Yes",IF(COUNTBLANK('Capacity summary'!$H175:$BG175)&lt;52,IF('Capacity summary'!AL175&lt;&gt;"",IF(LOWER('Capacity summary'!AL175)="x",$BI56*AL56,VALUE('Capacity summary'!AL175)),0),AL56*$BI56),AL56*$BI56),0)</f>
        <v>0</v>
      </c>
      <c r="CP56" s="313">
        <f>IF($BI56&lt;&gt;"",IF('Capacity summary'!$D$14="Yes",IF(COUNTBLANK('Capacity summary'!$H175:$BG175)&lt;52,IF('Capacity summary'!AM175&lt;&gt;"",IF(LOWER('Capacity summary'!AM175)="x",$BI56*AM56,VALUE('Capacity summary'!AM175)),0),AM56*$BI56),AM56*$BI56),0)</f>
        <v>0</v>
      </c>
      <c r="CQ56" s="313">
        <f>IF($BI56&lt;&gt;"",IF('Capacity summary'!$D$14="Yes",IF(COUNTBLANK('Capacity summary'!$H175:$BG175)&lt;52,IF('Capacity summary'!AN175&lt;&gt;"",IF(LOWER('Capacity summary'!AN175)="x",$BI56*AN56,VALUE('Capacity summary'!AN175)),0),AN56*$BI56),AN56*$BI56),0)</f>
        <v>0</v>
      </c>
      <c r="CR56" s="313">
        <f>IF($BI56&lt;&gt;"",IF('Capacity summary'!$D$14="Yes",IF(COUNTBLANK('Capacity summary'!$H175:$BG175)&lt;52,IF('Capacity summary'!AO175&lt;&gt;"",IF(LOWER('Capacity summary'!AO175)="x",$BI56*AO56,VALUE('Capacity summary'!AO175)),0),AO56*$BI56),AO56*$BI56),0)</f>
        <v>0</v>
      </c>
      <c r="CS56" s="313">
        <f>IF($BI56&lt;&gt;"",IF('Capacity summary'!$D$14="Yes",IF(COUNTBLANK('Capacity summary'!$H175:$BG175)&lt;52,IF('Capacity summary'!AP175&lt;&gt;"",IF(LOWER('Capacity summary'!AP175)="x",$BI56*AP56,VALUE('Capacity summary'!AP175)),0),AP56*$BI56),AP56*$BI56),0)</f>
        <v>0</v>
      </c>
      <c r="CT56" s="313">
        <f>IF($BI56&lt;&gt;"",IF('Capacity summary'!$D$14="Yes",IF(COUNTBLANK('Capacity summary'!$H175:$BG175)&lt;52,IF('Capacity summary'!AQ175&lt;&gt;"",IF(LOWER('Capacity summary'!AQ175)="x",$BI56*AQ56,VALUE('Capacity summary'!AQ175)),0),AQ56*$BI56),AQ56*$BI56),0)</f>
        <v>0</v>
      </c>
      <c r="CU56" s="313">
        <f>IF($BI56&lt;&gt;"",IF('Capacity summary'!$D$14="Yes",IF(COUNTBLANK('Capacity summary'!$H175:$BG175)&lt;52,IF('Capacity summary'!AR175&lt;&gt;"",IF(LOWER('Capacity summary'!AR175)="x",$BI56*AR56,VALUE('Capacity summary'!AR175)),0),AR56*$BI56),AR56*$BI56),0)</f>
        <v>0</v>
      </c>
      <c r="CV56" s="313">
        <f>IF($BI56&lt;&gt;"",IF('Capacity summary'!$D$14="Yes",IF(COUNTBLANK('Capacity summary'!$H175:$BG175)&lt;52,IF('Capacity summary'!AS175&lt;&gt;"",IF(LOWER('Capacity summary'!AS175)="x",$BI56*AS56,VALUE('Capacity summary'!AS175)),0),AS56*$BI56),AS56*$BI56),0)</f>
        <v>0</v>
      </c>
      <c r="CW56" s="313">
        <f>IF($BI56&lt;&gt;"",IF('Capacity summary'!$D$14="Yes",IF(COUNTBLANK('Capacity summary'!$H175:$BG175)&lt;52,IF('Capacity summary'!AT175&lt;&gt;"",IF(LOWER('Capacity summary'!AT175)="x",$BI56*AT56,VALUE('Capacity summary'!AT175)),0),AT56*$BI56),AT56*$BI56),0)</f>
        <v>0</v>
      </c>
      <c r="CX56" s="313">
        <f>IF($BI56&lt;&gt;"",IF('Capacity summary'!$D$14="Yes",IF(COUNTBLANK('Capacity summary'!$H175:$BG175)&lt;52,IF('Capacity summary'!AU175&lt;&gt;"",IF(LOWER('Capacity summary'!AU175)="x",$BI56*AU56,VALUE('Capacity summary'!AU175)),0),AU56*$BI56),AU56*$BI56),0)</f>
        <v>0</v>
      </c>
      <c r="CY56" s="313">
        <f>IF($BI56&lt;&gt;"",IF('Capacity summary'!$D$14="Yes",IF(COUNTBLANK('Capacity summary'!$H175:$BG175)&lt;52,IF('Capacity summary'!AV175&lt;&gt;"",IF(LOWER('Capacity summary'!AV175)="x",$BI56*AV56,VALUE('Capacity summary'!AV175)),0),AV56*$BI56),AV56*$BI56),0)</f>
        <v>0</v>
      </c>
      <c r="CZ56" s="313">
        <f>IF($BI56&lt;&gt;"",IF('Capacity summary'!$D$14="Yes",IF(COUNTBLANK('Capacity summary'!$H175:$BG175)&lt;52,IF('Capacity summary'!AW175&lt;&gt;"",IF(LOWER('Capacity summary'!AW175)="x",$BI56*AW56,VALUE('Capacity summary'!AW175)),0),AW56*$BI56),AW56*$BI56),0)</f>
        <v>0</v>
      </c>
      <c r="DA56" s="313">
        <f>IF($BI56&lt;&gt;"",IF('Capacity summary'!$D$14="Yes",IF(COUNTBLANK('Capacity summary'!$H175:$BG175)&lt;52,IF('Capacity summary'!AX175&lt;&gt;"",IF(LOWER('Capacity summary'!AX175)="x",$BI56*AX56,VALUE('Capacity summary'!AX175)),0),AX56*$BI56),AX56*$BI56),0)</f>
        <v>0</v>
      </c>
      <c r="DB56" s="313">
        <f>IF($BI56&lt;&gt;"",IF('Capacity summary'!$D$14="Yes",IF(COUNTBLANK('Capacity summary'!$H175:$BG175)&lt;52,IF('Capacity summary'!AY175&lt;&gt;"",IF(LOWER('Capacity summary'!AY175)="x",$BI56*AY56,VALUE('Capacity summary'!AY175)),0),AY56*$BI56),AY56*$BI56),0)</f>
        <v>0</v>
      </c>
      <c r="DC56" s="313">
        <f>IF($BI56&lt;&gt;"",IF('Capacity summary'!$D$14="Yes",IF(COUNTBLANK('Capacity summary'!$H175:$BG175)&lt;52,IF('Capacity summary'!AZ175&lt;&gt;"",IF(LOWER('Capacity summary'!AZ175)="x",$BI56*AZ56,VALUE('Capacity summary'!AZ175)),0),AZ56*$BI56),AZ56*$BI56),0)</f>
        <v>0</v>
      </c>
      <c r="DD56" s="313">
        <f>IF($BI56&lt;&gt;"",IF('Capacity summary'!$D$14="Yes",IF(COUNTBLANK('Capacity summary'!$H175:$BG175)&lt;52,IF('Capacity summary'!BA175&lt;&gt;"",IF(LOWER('Capacity summary'!BA175)="x",$BI56*BA56,VALUE('Capacity summary'!BA175)),0),BA56*$BI56),BA56*$BI56),0)</f>
        <v>0</v>
      </c>
      <c r="DE56" s="313">
        <f>IF($BI56&lt;&gt;"",IF('Capacity summary'!$D$14="Yes",IF(COUNTBLANK('Capacity summary'!$H175:$BG175)&lt;52,IF('Capacity summary'!BB175&lt;&gt;"",IF(LOWER('Capacity summary'!BB175)="x",$BI56*BB56,VALUE('Capacity summary'!BB175)),0),BB56*$BI56),BB56*$BI56),0)</f>
        <v>0</v>
      </c>
      <c r="DF56" s="313">
        <f>IF($BI56&lt;&gt;"",IF('Capacity summary'!$D$14="Yes",IF(COUNTBLANK('Capacity summary'!$H175:$BG175)&lt;52,IF('Capacity summary'!BC175&lt;&gt;"",IF(LOWER('Capacity summary'!BC175)="x",$BI56*BC56,VALUE('Capacity summary'!BC175)),0),BC56*$BI56),BC56*$BI56),0)</f>
        <v>0</v>
      </c>
      <c r="DG56" s="313">
        <f>IF($BI56&lt;&gt;"",IF('Capacity summary'!$D$14="Yes",IF(COUNTBLANK('Capacity summary'!$H175:$BG175)&lt;52,IF('Capacity summary'!BD175&lt;&gt;"",IF(LOWER('Capacity summary'!BD175)="x",$BI56*BD56,VALUE('Capacity summary'!BD175)),0),BD56*$BI56),BD56*$BI56),0)</f>
        <v>0</v>
      </c>
      <c r="DH56" s="313">
        <f>IF($BI56&lt;&gt;"",IF('Capacity summary'!$D$14="Yes",IF(COUNTBLANK('Capacity summary'!$H175:$BG175)&lt;52,IF('Capacity summary'!BE175&lt;&gt;"",IF(LOWER('Capacity summary'!BE175)="x",$BI56*BE56,VALUE('Capacity summary'!BE175)),0),BE56*$BI56),BE56*$BI56),0)</f>
        <v>0</v>
      </c>
      <c r="DI56" s="313">
        <f>IF($BI56&lt;&gt;"",IF('Capacity summary'!$D$14="Yes",IF(COUNTBLANK('Capacity summary'!$H175:$BG175)&lt;52,IF('Capacity summary'!BF175&lt;&gt;"",IF(LOWER('Capacity summary'!BF175)="x",$BI56*BF56,VALUE('Capacity summary'!BF175)),0),BF56*$BI56),BF56*$BI56),0)</f>
        <v>0</v>
      </c>
      <c r="DJ56" s="313">
        <f>IF($BI56&lt;&gt;"",IF('Capacity summary'!$D$14="Yes",IF(COUNTBLANK('Capacity summary'!$H175:$BG175)&lt;52,IF('Capacity summary'!BG175&lt;&gt;"",IF(LOWER('Capacity summary'!BG175)="x",$BI56*BG56,VALUE('Capacity summary'!BG175)),0),BG56*$BI56),BG56*$BI56),0)</f>
        <v>0</v>
      </c>
      <c r="DK56" s="137">
        <f t="shared" si="2"/>
        <v>0</v>
      </c>
      <c r="DL56" s="313" t="str">
        <f>Capacity!H68</f>
        <v/>
      </c>
      <c r="DP56" s="5"/>
    </row>
    <row r="57" spans="2:120" x14ac:dyDescent="0.25">
      <c r="B57" s="67"/>
      <c r="C57" s="67" t="str">
        <f>ROW(A53)&amp;". "&amp;Capacity!B69</f>
        <v xml:space="preserve">53. </v>
      </c>
      <c r="D57" s="67">
        <f>'Capacity setup'!C64</f>
        <v>0</v>
      </c>
      <c r="E57" s="67">
        <f>'Capacity setup'!D64</f>
        <v>0</v>
      </c>
      <c r="F57" s="67">
        <f>'Capacity setup'!E64</f>
        <v>0</v>
      </c>
      <c r="H57" s="67">
        <f ca="1">IF(AND(SUMIF(Capacity_Resource,$D57,'Critical resources (hide)'!U$6:U$105)+SUMIF(Capacity_Resource,$E57,'Critical resources (hide)'!U$6:U$105)+SUMIF(Capacity_Resource,$F57,'Critical resources (hide)'!U$6:U$105)&gt;0,$E$1=2),0,1)</f>
        <v>1</v>
      </c>
      <c r="I57" s="67">
        <f ca="1">IF(AND(SUMIF(Capacity_Resource,$D57,'Critical resources (hide)'!V$6:V$105)+SUMIF(Capacity_Resource,$E57,'Critical resources (hide)'!V$6:V$105)+SUMIF(Capacity_Resource,$F57,'Critical resources (hide)'!V$6:V$105)&gt;0,$E$1=2),0,1)</f>
        <v>1</v>
      </c>
      <c r="J57" s="67">
        <f ca="1">IF(AND(SUMIF(Capacity_Resource,$D57,'Critical resources (hide)'!W$6:W$105)+SUMIF(Capacity_Resource,$E57,'Critical resources (hide)'!W$6:W$105)+SUMIF(Capacity_Resource,$F57,'Critical resources (hide)'!W$6:W$105)&gt;0,$E$1=2),0,1)</f>
        <v>1</v>
      </c>
      <c r="K57" s="67">
        <f ca="1">IF(AND(SUMIF(Capacity_Resource,$D57,'Critical resources (hide)'!X$6:X$105)+SUMIF(Capacity_Resource,$E57,'Critical resources (hide)'!X$6:X$105)+SUMIF(Capacity_Resource,$F57,'Critical resources (hide)'!X$6:X$105)&gt;0,$E$1=2),0,1)</f>
        <v>1</v>
      </c>
      <c r="L57" s="67">
        <f ca="1">IF(AND(SUMIF(Capacity_Resource,$D57,'Critical resources (hide)'!Y$6:Y$105)+SUMIF(Capacity_Resource,$E57,'Critical resources (hide)'!Y$6:Y$105)+SUMIF(Capacity_Resource,$F57,'Critical resources (hide)'!Y$6:Y$105)&gt;0,$E$1=2),0,1)</f>
        <v>1</v>
      </c>
      <c r="M57" s="67">
        <f ca="1">IF(AND(SUMIF(Capacity_Resource,$D57,'Critical resources (hide)'!Z$6:Z$105)+SUMIF(Capacity_Resource,$E57,'Critical resources (hide)'!Z$6:Z$105)+SUMIF(Capacity_Resource,$F57,'Critical resources (hide)'!Z$6:Z$105)&gt;0,$E$1=2),0,1)</f>
        <v>1</v>
      </c>
      <c r="N57" s="67">
        <f ca="1">IF(AND(SUMIF(Capacity_Resource,$D57,'Critical resources (hide)'!AA$6:AA$105)+SUMIF(Capacity_Resource,$E57,'Critical resources (hide)'!AA$6:AA$105)+SUMIF(Capacity_Resource,$F57,'Critical resources (hide)'!AA$6:AA$105)&gt;0,$E$1=2),0,1)</f>
        <v>1</v>
      </c>
      <c r="O57" s="67">
        <f ca="1">IF(AND(SUMIF(Capacity_Resource,$D57,'Critical resources (hide)'!AB$6:AB$105)+SUMIF(Capacity_Resource,$E57,'Critical resources (hide)'!AB$6:AB$105)+SUMIF(Capacity_Resource,$F57,'Critical resources (hide)'!AB$6:AB$105)&gt;0,$E$1=2),0,1)</f>
        <v>1</v>
      </c>
      <c r="P57" s="67">
        <f ca="1">IF(AND(SUMIF(Capacity_Resource,$D57,'Critical resources (hide)'!AC$6:AC$105)+SUMIF(Capacity_Resource,$E57,'Critical resources (hide)'!AC$6:AC$105)+SUMIF(Capacity_Resource,$F57,'Critical resources (hide)'!AC$6:AC$105)&gt;0,$E$1=2),0,1)</f>
        <v>1</v>
      </c>
      <c r="Q57" s="67">
        <f ca="1">IF(AND(SUMIF(Capacity_Resource,$D57,'Critical resources (hide)'!AD$6:AD$105)+SUMIF(Capacity_Resource,$E57,'Critical resources (hide)'!AD$6:AD$105)+SUMIF(Capacity_Resource,$F57,'Critical resources (hide)'!AD$6:AD$105)&gt;0,$E$1=2),0,1)</f>
        <v>1</v>
      </c>
      <c r="R57" s="67">
        <f ca="1">IF(AND(SUMIF(Capacity_Resource,$D57,'Critical resources (hide)'!AE$6:AE$105)+SUMIF(Capacity_Resource,$E57,'Critical resources (hide)'!AE$6:AE$105)+SUMIF(Capacity_Resource,$F57,'Critical resources (hide)'!AE$6:AE$105)&gt;0,$E$1=2),0,1)</f>
        <v>1</v>
      </c>
      <c r="S57" s="67">
        <f ca="1">IF(AND(SUMIF(Capacity_Resource,$D57,'Critical resources (hide)'!AF$6:AF$105)+SUMIF(Capacity_Resource,$E57,'Critical resources (hide)'!AF$6:AF$105)+SUMIF(Capacity_Resource,$F57,'Critical resources (hide)'!AF$6:AF$105)&gt;0,$E$1=2),0,1)</f>
        <v>1</v>
      </c>
      <c r="T57" s="67">
        <f ca="1">IF(AND(SUMIF(Capacity_Resource,$D57,'Critical resources (hide)'!AG$6:AG$105)+SUMIF(Capacity_Resource,$E57,'Critical resources (hide)'!AG$6:AG$105)+SUMIF(Capacity_Resource,$F57,'Critical resources (hide)'!AG$6:AG$105)&gt;0,$E$1=2),0,1)</f>
        <v>1</v>
      </c>
      <c r="U57" s="67">
        <f ca="1">IF(AND(SUMIF(Capacity_Resource,$D57,'Critical resources (hide)'!AH$6:AH$105)+SUMIF(Capacity_Resource,$E57,'Critical resources (hide)'!AH$6:AH$105)+SUMIF(Capacity_Resource,$F57,'Critical resources (hide)'!AH$6:AH$105)&gt;0,$E$1=2),0,1)</f>
        <v>1</v>
      </c>
      <c r="V57" s="67">
        <f ca="1">IF(AND(SUMIF(Capacity_Resource,$D57,'Critical resources (hide)'!AI$6:AI$105)+SUMIF(Capacity_Resource,$E57,'Critical resources (hide)'!AI$6:AI$105)+SUMIF(Capacity_Resource,$F57,'Critical resources (hide)'!AI$6:AI$105)&gt;0,$E$1=2),0,1)</f>
        <v>1</v>
      </c>
      <c r="W57" s="67">
        <f ca="1">IF(AND(SUMIF(Capacity_Resource,$D57,'Critical resources (hide)'!AJ$6:AJ$105)+SUMIF(Capacity_Resource,$E57,'Critical resources (hide)'!AJ$6:AJ$105)+SUMIF(Capacity_Resource,$F57,'Critical resources (hide)'!AJ$6:AJ$105)&gt;0,$E$1=2),0,1)</f>
        <v>1</v>
      </c>
      <c r="X57" s="67">
        <f ca="1">IF(AND(SUMIF(Capacity_Resource,$D57,'Critical resources (hide)'!AK$6:AK$105)+SUMIF(Capacity_Resource,$E57,'Critical resources (hide)'!AK$6:AK$105)+SUMIF(Capacity_Resource,$F57,'Critical resources (hide)'!AK$6:AK$105)&gt;0,$E$1=2),0,1)</f>
        <v>1</v>
      </c>
      <c r="Y57" s="67">
        <f ca="1">IF(AND(SUMIF(Capacity_Resource,$D57,'Critical resources (hide)'!AL$6:AL$105)+SUMIF(Capacity_Resource,$E57,'Critical resources (hide)'!AL$6:AL$105)+SUMIF(Capacity_Resource,$F57,'Critical resources (hide)'!AL$6:AL$105)&gt;0,$E$1=2),0,1)</f>
        <v>1</v>
      </c>
      <c r="Z57" s="67">
        <f ca="1">IF(AND(SUMIF(Capacity_Resource,$D57,'Critical resources (hide)'!AM$6:AM$105)+SUMIF(Capacity_Resource,$E57,'Critical resources (hide)'!AM$6:AM$105)+SUMIF(Capacity_Resource,$F57,'Critical resources (hide)'!AM$6:AM$105)&gt;0,$E$1=2),0,1)</f>
        <v>1</v>
      </c>
      <c r="AA57" s="67">
        <f ca="1">IF(AND(SUMIF(Capacity_Resource,$D57,'Critical resources (hide)'!AN$6:AN$105)+SUMIF(Capacity_Resource,$E57,'Critical resources (hide)'!AN$6:AN$105)+SUMIF(Capacity_Resource,$F57,'Critical resources (hide)'!AN$6:AN$105)&gt;0,$E$1=2),0,1)</f>
        <v>1</v>
      </c>
      <c r="AB57" s="67">
        <f ca="1">IF(AND(SUMIF(Capacity_Resource,$D57,'Critical resources (hide)'!AO$6:AO$105)+SUMIF(Capacity_Resource,$E57,'Critical resources (hide)'!AO$6:AO$105)+SUMIF(Capacity_Resource,$F57,'Critical resources (hide)'!AO$6:AO$105)&gt;0,$E$1=2),0,1)</f>
        <v>1</v>
      </c>
      <c r="AC57" s="67">
        <f ca="1">IF(AND(SUMIF(Capacity_Resource,$D57,'Critical resources (hide)'!AP$6:AP$105)+SUMIF(Capacity_Resource,$E57,'Critical resources (hide)'!AP$6:AP$105)+SUMIF(Capacity_Resource,$F57,'Critical resources (hide)'!AP$6:AP$105)&gt;0,$E$1=2),0,1)</f>
        <v>1</v>
      </c>
      <c r="AD57" s="67">
        <f ca="1">IF(AND(SUMIF(Capacity_Resource,$D57,'Critical resources (hide)'!AQ$6:AQ$105)+SUMIF(Capacity_Resource,$E57,'Critical resources (hide)'!AQ$6:AQ$105)+SUMIF(Capacity_Resource,$F57,'Critical resources (hide)'!AQ$6:AQ$105)&gt;0,$E$1=2),0,1)</f>
        <v>1</v>
      </c>
      <c r="AE57" s="67">
        <f ca="1">IF(AND(SUMIF(Capacity_Resource,$D57,'Critical resources (hide)'!AR$6:AR$105)+SUMIF(Capacity_Resource,$E57,'Critical resources (hide)'!AR$6:AR$105)+SUMIF(Capacity_Resource,$F57,'Critical resources (hide)'!AR$6:AR$105)&gt;0,$E$1=2),0,1)</f>
        <v>1</v>
      </c>
      <c r="AF57" s="67">
        <f ca="1">IF(AND(SUMIF(Capacity_Resource,$D57,'Critical resources (hide)'!AS$6:AS$105)+SUMIF(Capacity_Resource,$E57,'Critical resources (hide)'!AS$6:AS$105)+SUMIF(Capacity_Resource,$F57,'Critical resources (hide)'!AS$6:AS$105)&gt;0,$E$1=2),0,1)</f>
        <v>1</v>
      </c>
      <c r="AG57" s="67">
        <f ca="1">IF(AND(SUMIF(Capacity_Resource,$D57,'Critical resources (hide)'!AT$6:AT$105)+SUMIF(Capacity_Resource,$E57,'Critical resources (hide)'!AT$6:AT$105)+SUMIF(Capacity_Resource,$F57,'Critical resources (hide)'!AT$6:AT$105)&gt;0,$E$1=2),0,1)</f>
        <v>1</v>
      </c>
      <c r="AH57" s="67">
        <f ca="1">IF(AND(SUMIF(Capacity_Resource,$D57,'Critical resources (hide)'!AU$6:AU$105)+SUMIF(Capacity_Resource,$E57,'Critical resources (hide)'!AU$6:AU$105)+SUMIF(Capacity_Resource,$F57,'Critical resources (hide)'!AU$6:AU$105)&gt;0,$E$1=2),0,1)</f>
        <v>1</v>
      </c>
      <c r="AI57" s="67">
        <f ca="1">IF(AND(SUMIF(Capacity_Resource,$D57,'Critical resources (hide)'!AV$6:AV$105)+SUMIF(Capacity_Resource,$E57,'Critical resources (hide)'!AV$6:AV$105)+SUMIF(Capacity_Resource,$F57,'Critical resources (hide)'!AV$6:AV$105)&gt;0,$E$1=2),0,1)</f>
        <v>1</v>
      </c>
      <c r="AJ57" s="67">
        <f ca="1">IF(AND(SUMIF(Capacity_Resource,$D57,'Critical resources (hide)'!AW$6:AW$105)+SUMIF(Capacity_Resource,$E57,'Critical resources (hide)'!AW$6:AW$105)+SUMIF(Capacity_Resource,$F57,'Critical resources (hide)'!AW$6:AW$105)&gt;0,$E$1=2),0,1)</f>
        <v>1</v>
      </c>
      <c r="AK57" s="67">
        <f ca="1">IF(AND(SUMIF(Capacity_Resource,$D57,'Critical resources (hide)'!AX$6:AX$105)+SUMIF(Capacity_Resource,$E57,'Critical resources (hide)'!AX$6:AX$105)+SUMIF(Capacity_Resource,$F57,'Critical resources (hide)'!AX$6:AX$105)&gt;0,$E$1=2),0,1)</f>
        <v>1</v>
      </c>
      <c r="AL57" s="67">
        <f ca="1">IF(AND(SUMIF(Capacity_Resource,$D57,'Critical resources (hide)'!AY$6:AY$105)+SUMIF(Capacity_Resource,$E57,'Critical resources (hide)'!AY$6:AY$105)+SUMIF(Capacity_Resource,$F57,'Critical resources (hide)'!AY$6:AY$105)&gt;0,$E$1=2),0,1)</f>
        <v>1</v>
      </c>
      <c r="AM57" s="67">
        <f ca="1">IF(AND(SUMIF(Capacity_Resource,$D57,'Critical resources (hide)'!AZ$6:AZ$105)+SUMIF(Capacity_Resource,$E57,'Critical resources (hide)'!AZ$6:AZ$105)+SUMIF(Capacity_Resource,$F57,'Critical resources (hide)'!AZ$6:AZ$105)&gt;0,$E$1=2),0,1)</f>
        <v>1</v>
      </c>
      <c r="AN57" s="67">
        <f ca="1">IF(AND(SUMIF(Capacity_Resource,$D57,'Critical resources (hide)'!BA$6:BA$105)+SUMIF(Capacity_Resource,$E57,'Critical resources (hide)'!BA$6:BA$105)+SUMIF(Capacity_Resource,$F57,'Critical resources (hide)'!BA$6:BA$105)&gt;0,$E$1=2),0,1)</f>
        <v>1</v>
      </c>
      <c r="AO57" s="67">
        <f ca="1">IF(AND(SUMIF(Capacity_Resource,$D57,'Critical resources (hide)'!BB$6:BB$105)+SUMIF(Capacity_Resource,$E57,'Critical resources (hide)'!BB$6:BB$105)+SUMIF(Capacity_Resource,$F57,'Critical resources (hide)'!BB$6:BB$105)&gt;0,$E$1=2),0,1)</f>
        <v>1</v>
      </c>
      <c r="AP57" s="67">
        <f ca="1">IF(AND(SUMIF(Capacity_Resource,$D57,'Critical resources (hide)'!BC$6:BC$105)+SUMIF(Capacity_Resource,$E57,'Critical resources (hide)'!BC$6:BC$105)+SUMIF(Capacity_Resource,$F57,'Critical resources (hide)'!BC$6:BC$105)&gt;0,$E$1=2),0,1)</f>
        <v>1</v>
      </c>
      <c r="AQ57" s="67">
        <f ca="1">IF(AND(SUMIF(Capacity_Resource,$D57,'Critical resources (hide)'!BD$6:BD$105)+SUMIF(Capacity_Resource,$E57,'Critical resources (hide)'!BD$6:BD$105)+SUMIF(Capacity_Resource,$F57,'Critical resources (hide)'!BD$6:BD$105)&gt;0,$E$1=2),0,1)</f>
        <v>1</v>
      </c>
      <c r="AR57" s="67">
        <f ca="1">IF(AND(SUMIF(Capacity_Resource,$D57,'Critical resources (hide)'!BE$6:BE$105)+SUMIF(Capacity_Resource,$E57,'Critical resources (hide)'!BE$6:BE$105)+SUMIF(Capacity_Resource,$F57,'Critical resources (hide)'!BE$6:BE$105)&gt;0,$E$1=2),0,1)</f>
        <v>1</v>
      </c>
      <c r="AS57" s="67">
        <f ca="1">IF(AND(SUMIF(Capacity_Resource,$D57,'Critical resources (hide)'!BF$6:BF$105)+SUMIF(Capacity_Resource,$E57,'Critical resources (hide)'!BF$6:BF$105)+SUMIF(Capacity_Resource,$F57,'Critical resources (hide)'!BF$6:BF$105)&gt;0,$E$1=2),0,1)</f>
        <v>1</v>
      </c>
      <c r="AT57" s="67">
        <f ca="1">IF(AND(SUMIF(Capacity_Resource,$D57,'Critical resources (hide)'!BG$6:BG$105)+SUMIF(Capacity_Resource,$E57,'Critical resources (hide)'!BG$6:BG$105)+SUMIF(Capacity_Resource,$F57,'Critical resources (hide)'!BG$6:BG$105)&gt;0,$E$1=2),0,1)</f>
        <v>1</v>
      </c>
      <c r="AU57" s="67">
        <f ca="1">IF(AND(SUMIF(Capacity_Resource,$D57,'Critical resources (hide)'!BH$6:BH$105)+SUMIF(Capacity_Resource,$E57,'Critical resources (hide)'!BH$6:BH$105)+SUMIF(Capacity_Resource,$F57,'Critical resources (hide)'!BH$6:BH$105)&gt;0,$E$1=2),0,1)</f>
        <v>1</v>
      </c>
      <c r="AV57" s="67">
        <f ca="1">IF(AND(SUMIF(Capacity_Resource,$D57,'Critical resources (hide)'!BI$6:BI$105)+SUMIF(Capacity_Resource,$E57,'Critical resources (hide)'!BI$6:BI$105)+SUMIF(Capacity_Resource,$F57,'Critical resources (hide)'!BI$6:BI$105)&gt;0,$E$1=2),0,1)</f>
        <v>1</v>
      </c>
      <c r="AW57" s="67">
        <f ca="1">IF(AND(SUMIF(Capacity_Resource,$D57,'Critical resources (hide)'!BJ$6:BJ$105)+SUMIF(Capacity_Resource,$E57,'Critical resources (hide)'!BJ$6:BJ$105)+SUMIF(Capacity_Resource,$F57,'Critical resources (hide)'!BJ$6:BJ$105)&gt;0,$E$1=2),0,1)</f>
        <v>1</v>
      </c>
      <c r="AX57" s="67">
        <f ca="1">IF(AND(SUMIF(Capacity_Resource,$D57,'Critical resources (hide)'!BK$6:BK$105)+SUMIF(Capacity_Resource,$E57,'Critical resources (hide)'!BK$6:BK$105)+SUMIF(Capacity_Resource,$F57,'Critical resources (hide)'!BK$6:BK$105)&gt;0,$E$1=2),0,1)</f>
        <v>1</v>
      </c>
      <c r="AY57" s="67">
        <f ca="1">IF(AND(SUMIF(Capacity_Resource,$D57,'Critical resources (hide)'!BL$6:BL$105)+SUMIF(Capacity_Resource,$E57,'Critical resources (hide)'!BL$6:BL$105)+SUMIF(Capacity_Resource,$F57,'Critical resources (hide)'!BL$6:BL$105)&gt;0,$E$1=2),0,1)</f>
        <v>1</v>
      </c>
      <c r="AZ57" s="67">
        <f ca="1">IF(AND(SUMIF(Capacity_Resource,$D57,'Critical resources (hide)'!BM$6:BM$105)+SUMIF(Capacity_Resource,$E57,'Critical resources (hide)'!BM$6:BM$105)+SUMIF(Capacity_Resource,$F57,'Critical resources (hide)'!BM$6:BM$105)&gt;0,$E$1=2),0,1)</f>
        <v>1</v>
      </c>
      <c r="BA57" s="67">
        <f ca="1">IF(AND(SUMIF(Capacity_Resource,$D57,'Critical resources (hide)'!BN$6:BN$105)+SUMIF(Capacity_Resource,$E57,'Critical resources (hide)'!BN$6:BN$105)+SUMIF(Capacity_Resource,$F57,'Critical resources (hide)'!BN$6:BN$105)&gt;0,$E$1=2),0,1)</f>
        <v>1</v>
      </c>
      <c r="BB57" s="67">
        <f ca="1">IF(AND(SUMIF(Capacity_Resource,$D57,'Critical resources (hide)'!BO$6:BO$105)+SUMIF(Capacity_Resource,$E57,'Critical resources (hide)'!BO$6:BO$105)+SUMIF(Capacity_Resource,$F57,'Critical resources (hide)'!BO$6:BO$105)&gt;0,$E$1=2),0,1)</f>
        <v>1</v>
      </c>
      <c r="BC57" s="67">
        <f ca="1">IF(AND(SUMIF(Capacity_Resource,$D57,'Critical resources (hide)'!BP$6:BP$105)+SUMIF(Capacity_Resource,$E57,'Critical resources (hide)'!BP$6:BP$105)+SUMIF(Capacity_Resource,$F57,'Critical resources (hide)'!BP$6:BP$105)&gt;0,$E$1=2),0,1)</f>
        <v>1</v>
      </c>
      <c r="BD57" s="67">
        <f ca="1">IF(AND(SUMIF(Capacity_Resource,$D57,'Critical resources (hide)'!BQ$6:BQ$105)+SUMIF(Capacity_Resource,$E57,'Critical resources (hide)'!BQ$6:BQ$105)+SUMIF(Capacity_Resource,$F57,'Critical resources (hide)'!BQ$6:BQ$105)&gt;0,$E$1=2),0,1)</f>
        <v>1</v>
      </c>
      <c r="BE57" s="67">
        <f ca="1">IF(AND(SUMIF(Capacity_Resource,$D57,'Critical resources (hide)'!BR$6:BR$105)+SUMIF(Capacity_Resource,$E57,'Critical resources (hide)'!BR$6:BR$105)+SUMIF(Capacity_Resource,$F57,'Critical resources (hide)'!BR$6:BR$105)&gt;0,$E$1=2),0,1)</f>
        <v>1</v>
      </c>
      <c r="BF57" s="67">
        <f ca="1">IF(AND(SUMIF(Capacity_Resource,$D57,'Critical resources (hide)'!BS$6:BS$105)+SUMIF(Capacity_Resource,$E57,'Critical resources (hide)'!BS$6:BS$105)+SUMIF(Capacity_Resource,$F57,'Critical resources (hide)'!BS$6:BS$105)&gt;0,$E$1=2),0,1)</f>
        <v>1</v>
      </c>
      <c r="BG57" s="67">
        <f ca="1">IF(AND(SUMIF(Capacity_Resource,$D57,'Critical resources (hide)'!BT$6:BT$105)+SUMIF(Capacity_Resource,$E57,'Critical resources (hide)'!BT$6:BT$105)+SUMIF(Capacity_Resource,$F57,'Critical resources (hide)'!BT$6:BT$105)&gt;0,$E$1=2),0,1)</f>
        <v>1</v>
      </c>
      <c r="BH57" s="67">
        <f>IF(ROW(C53)&lt;=Capacity!$A$16,IF('Capacity summary'!$D$14="No",SUM(H57:BG57),'Capacity summary'!$E176),0)</f>
        <v>0</v>
      </c>
      <c r="BI57" s="5" t="str">
        <f>IF(BH57&gt;0,IF(BH57&lt;Capacity!E69,Capacity!F69,Capacity!H69/'Capacity calculation (hide)'!BH57),"")</f>
        <v/>
      </c>
      <c r="BK57" s="313">
        <f>IF($BI57&lt;&gt;"",IF('Capacity summary'!$D$14="Yes",IF(COUNTBLANK('Capacity summary'!$H176:$BG176)&lt;52,IF('Capacity summary'!H176&lt;&gt;"",IF(LOWER('Capacity summary'!H176)="x",$BI57*H57,VALUE('Capacity summary'!H176)),0),H57*$BI57),H57*$BI57),0)</f>
        <v>0</v>
      </c>
      <c r="BL57" s="313">
        <f>IF($BI57&lt;&gt;"",IF('Capacity summary'!$D$14="Yes",IF(COUNTBLANK('Capacity summary'!$H176:$BG176)&lt;52,IF('Capacity summary'!I176&lt;&gt;"",IF(LOWER('Capacity summary'!I176)="x",$BI57*I57,VALUE('Capacity summary'!I176)),0),I57*$BI57),I57*$BI57),0)</f>
        <v>0</v>
      </c>
      <c r="BM57" s="313">
        <f>IF($BI57&lt;&gt;"",IF('Capacity summary'!$D$14="Yes",IF(COUNTBLANK('Capacity summary'!$H176:$BG176)&lt;52,IF('Capacity summary'!J176&lt;&gt;"",IF(LOWER('Capacity summary'!J176)="x",$BI57*J57,VALUE('Capacity summary'!J176)),0),J57*$BI57),J57*$BI57),0)</f>
        <v>0</v>
      </c>
      <c r="BN57" s="313">
        <f>IF($BI57&lt;&gt;"",IF('Capacity summary'!$D$14="Yes",IF(COUNTBLANK('Capacity summary'!$H176:$BG176)&lt;52,IF('Capacity summary'!K176&lt;&gt;"",IF(LOWER('Capacity summary'!K176)="x",$BI57*K57,VALUE('Capacity summary'!K176)),0),K57*$BI57),K57*$BI57),0)</f>
        <v>0</v>
      </c>
      <c r="BO57" s="313">
        <f>IF($BI57&lt;&gt;"",IF('Capacity summary'!$D$14="Yes",IF(COUNTBLANK('Capacity summary'!$H176:$BG176)&lt;52,IF('Capacity summary'!L176&lt;&gt;"",IF(LOWER('Capacity summary'!L176)="x",$BI57*L57,VALUE('Capacity summary'!L176)),0),L57*$BI57),L57*$BI57),0)</f>
        <v>0</v>
      </c>
      <c r="BP57" s="313">
        <f>IF($BI57&lt;&gt;"",IF('Capacity summary'!$D$14="Yes",IF(COUNTBLANK('Capacity summary'!$H176:$BG176)&lt;52,IF('Capacity summary'!M176&lt;&gt;"",IF(LOWER('Capacity summary'!M176)="x",$BI57*M57,VALUE('Capacity summary'!M176)),0),M57*$BI57),M57*$BI57),0)</f>
        <v>0</v>
      </c>
      <c r="BQ57" s="313">
        <f>IF($BI57&lt;&gt;"",IF('Capacity summary'!$D$14="Yes",IF(COUNTBLANK('Capacity summary'!$H176:$BG176)&lt;52,IF('Capacity summary'!N176&lt;&gt;"",IF(LOWER('Capacity summary'!N176)="x",$BI57*N57,VALUE('Capacity summary'!N176)),0),N57*$BI57),N57*$BI57),0)</f>
        <v>0</v>
      </c>
      <c r="BR57" s="313">
        <f>IF($BI57&lt;&gt;"",IF('Capacity summary'!$D$14="Yes",IF(COUNTBLANK('Capacity summary'!$H176:$BG176)&lt;52,IF('Capacity summary'!O176&lt;&gt;"",IF(LOWER('Capacity summary'!O176)="x",$BI57*O57,VALUE('Capacity summary'!O176)),0),O57*$BI57),O57*$BI57),0)</f>
        <v>0</v>
      </c>
      <c r="BS57" s="313">
        <f>IF($BI57&lt;&gt;"",IF('Capacity summary'!$D$14="Yes",IF(COUNTBLANK('Capacity summary'!$H176:$BG176)&lt;52,IF('Capacity summary'!P176&lt;&gt;"",IF(LOWER('Capacity summary'!P176)="x",$BI57*P57,VALUE('Capacity summary'!P176)),0),P57*$BI57),P57*$BI57),0)</f>
        <v>0</v>
      </c>
      <c r="BT57" s="313">
        <f>IF($BI57&lt;&gt;"",IF('Capacity summary'!$D$14="Yes",IF(COUNTBLANK('Capacity summary'!$H176:$BG176)&lt;52,IF('Capacity summary'!Q176&lt;&gt;"",IF(LOWER('Capacity summary'!Q176)="x",$BI57*Q57,VALUE('Capacity summary'!Q176)),0),Q57*$BI57),Q57*$BI57),0)</f>
        <v>0</v>
      </c>
      <c r="BU57" s="313">
        <f>IF($BI57&lt;&gt;"",IF('Capacity summary'!$D$14="Yes",IF(COUNTBLANK('Capacity summary'!$H176:$BG176)&lt;52,IF('Capacity summary'!R176&lt;&gt;"",IF(LOWER('Capacity summary'!R176)="x",$BI57*R57,VALUE('Capacity summary'!R176)),0),R57*$BI57),R57*$BI57),0)</f>
        <v>0</v>
      </c>
      <c r="BV57" s="313">
        <f>IF($BI57&lt;&gt;"",IF('Capacity summary'!$D$14="Yes",IF(COUNTBLANK('Capacity summary'!$H176:$BG176)&lt;52,IF('Capacity summary'!S176&lt;&gt;"",IF(LOWER('Capacity summary'!S176)="x",$BI57*S57,VALUE('Capacity summary'!S176)),0),S57*$BI57),S57*$BI57),0)</f>
        <v>0</v>
      </c>
      <c r="BW57" s="313">
        <f>IF($BI57&lt;&gt;"",IF('Capacity summary'!$D$14="Yes",IF(COUNTBLANK('Capacity summary'!$H176:$BG176)&lt;52,IF('Capacity summary'!T176&lt;&gt;"",IF(LOWER('Capacity summary'!T176)="x",$BI57*T57,VALUE('Capacity summary'!T176)),0),T57*$BI57),T57*$BI57),0)</f>
        <v>0</v>
      </c>
      <c r="BX57" s="313">
        <f>IF($BI57&lt;&gt;"",IF('Capacity summary'!$D$14="Yes",IF(COUNTBLANK('Capacity summary'!$H176:$BG176)&lt;52,IF('Capacity summary'!U176&lt;&gt;"",IF(LOWER('Capacity summary'!U176)="x",$BI57*U57,VALUE('Capacity summary'!U176)),0),U57*$BI57),U57*$BI57),0)</f>
        <v>0</v>
      </c>
      <c r="BY57" s="313">
        <f>IF($BI57&lt;&gt;"",IF('Capacity summary'!$D$14="Yes",IF(COUNTBLANK('Capacity summary'!$H176:$BG176)&lt;52,IF('Capacity summary'!V176&lt;&gt;"",IF(LOWER('Capacity summary'!V176)="x",$BI57*V57,VALUE('Capacity summary'!V176)),0),V57*$BI57),V57*$BI57),0)</f>
        <v>0</v>
      </c>
      <c r="BZ57" s="313">
        <f>IF($BI57&lt;&gt;"",IF('Capacity summary'!$D$14="Yes",IF(COUNTBLANK('Capacity summary'!$H176:$BG176)&lt;52,IF('Capacity summary'!W176&lt;&gt;"",IF(LOWER('Capacity summary'!W176)="x",$BI57*W57,VALUE('Capacity summary'!W176)),0),W57*$BI57),W57*$BI57),0)</f>
        <v>0</v>
      </c>
      <c r="CA57" s="313">
        <f>IF($BI57&lt;&gt;"",IF('Capacity summary'!$D$14="Yes",IF(COUNTBLANK('Capacity summary'!$H176:$BG176)&lt;52,IF('Capacity summary'!X176&lt;&gt;"",IF(LOWER('Capacity summary'!X176)="x",$BI57*X57,VALUE('Capacity summary'!X176)),0),X57*$BI57),X57*$BI57),0)</f>
        <v>0</v>
      </c>
      <c r="CB57" s="313">
        <f>IF($BI57&lt;&gt;"",IF('Capacity summary'!$D$14="Yes",IF(COUNTBLANK('Capacity summary'!$H176:$BG176)&lt;52,IF('Capacity summary'!Y176&lt;&gt;"",IF(LOWER('Capacity summary'!Y176)="x",$BI57*Y57,VALUE('Capacity summary'!Y176)),0),Y57*$BI57),Y57*$BI57),0)</f>
        <v>0</v>
      </c>
      <c r="CC57" s="313">
        <f>IF($BI57&lt;&gt;"",IF('Capacity summary'!$D$14="Yes",IF(COUNTBLANK('Capacity summary'!$H176:$BG176)&lt;52,IF('Capacity summary'!Z176&lt;&gt;"",IF(LOWER('Capacity summary'!Z176)="x",$BI57*Z57,VALUE('Capacity summary'!Z176)),0),Z57*$BI57),Z57*$BI57),0)</f>
        <v>0</v>
      </c>
      <c r="CD57" s="313">
        <f>IF($BI57&lt;&gt;"",IF('Capacity summary'!$D$14="Yes",IF(COUNTBLANK('Capacity summary'!$H176:$BG176)&lt;52,IF('Capacity summary'!AA176&lt;&gt;"",IF(LOWER('Capacity summary'!AA176)="x",$BI57*AA57,VALUE('Capacity summary'!AA176)),0),AA57*$BI57),AA57*$BI57),0)</f>
        <v>0</v>
      </c>
      <c r="CE57" s="313">
        <f>IF($BI57&lt;&gt;"",IF('Capacity summary'!$D$14="Yes",IF(COUNTBLANK('Capacity summary'!$H176:$BG176)&lt;52,IF('Capacity summary'!AB176&lt;&gt;"",IF(LOWER('Capacity summary'!AB176)="x",$BI57*AB57,VALUE('Capacity summary'!AB176)),0),AB57*$BI57),AB57*$BI57),0)</f>
        <v>0</v>
      </c>
      <c r="CF57" s="313">
        <f>IF($BI57&lt;&gt;"",IF('Capacity summary'!$D$14="Yes",IF(COUNTBLANK('Capacity summary'!$H176:$BG176)&lt;52,IF('Capacity summary'!AC176&lt;&gt;"",IF(LOWER('Capacity summary'!AC176)="x",$BI57*AC57,VALUE('Capacity summary'!AC176)),0),AC57*$BI57),AC57*$BI57),0)</f>
        <v>0</v>
      </c>
      <c r="CG57" s="313">
        <f>IF($BI57&lt;&gt;"",IF('Capacity summary'!$D$14="Yes",IF(COUNTBLANK('Capacity summary'!$H176:$BG176)&lt;52,IF('Capacity summary'!AD176&lt;&gt;"",IF(LOWER('Capacity summary'!AD176)="x",$BI57*AD57,VALUE('Capacity summary'!AD176)),0),AD57*$BI57),AD57*$BI57),0)</f>
        <v>0</v>
      </c>
      <c r="CH57" s="313">
        <f>IF($BI57&lt;&gt;"",IF('Capacity summary'!$D$14="Yes",IF(COUNTBLANK('Capacity summary'!$H176:$BG176)&lt;52,IF('Capacity summary'!AE176&lt;&gt;"",IF(LOWER('Capacity summary'!AE176)="x",$BI57*AE57,VALUE('Capacity summary'!AE176)),0),AE57*$BI57),AE57*$BI57),0)</f>
        <v>0</v>
      </c>
      <c r="CI57" s="313">
        <f>IF($BI57&lt;&gt;"",IF('Capacity summary'!$D$14="Yes",IF(COUNTBLANK('Capacity summary'!$H176:$BG176)&lt;52,IF('Capacity summary'!AF176&lt;&gt;"",IF(LOWER('Capacity summary'!AF176)="x",$BI57*AF57,VALUE('Capacity summary'!AF176)),0),AF57*$BI57),AF57*$BI57),0)</f>
        <v>0</v>
      </c>
      <c r="CJ57" s="313">
        <f>IF($BI57&lt;&gt;"",IF('Capacity summary'!$D$14="Yes",IF(COUNTBLANK('Capacity summary'!$H176:$BG176)&lt;52,IF('Capacity summary'!AG176&lt;&gt;"",IF(LOWER('Capacity summary'!AG176)="x",$BI57*AG57,VALUE('Capacity summary'!AG176)),0),AG57*$BI57),AG57*$BI57),0)</f>
        <v>0</v>
      </c>
      <c r="CK57" s="313">
        <f>IF($BI57&lt;&gt;"",IF('Capacity summary'!$D$14="Yes",IF(COUNTBLANK('Capacity summary'!$H176:$BG176)&lt;52,IF('Capacity summary'!AH176&lt;&gt;"",IF(LOWER('Capacity summary'!AH176)="x",$BI57*AH57,VALUE('Capacity summary'!AH176)),0),AH57*$BI57),AH57*$BI57),0)</f>
        <v>0</v>
      </c>
      <c r="CL57" s="313">
        <f>IF($BI57&lt;&gt;"",IF('Capacity summary'!$D$14="Yes",IF(COUNTBLANK('Capacity summary'!$H176:$BG176)&lt;52,IF('Capacity summary'!AI176&lt;&gt;"",IF(LOWER('Capacity summary'!AI176)="x",$BI57*AI57,VALUE('Capacity summary'!AI176)),0),AI57*$BI57),AI57*$BI57),0)</f>
        <v>0</v>
      </c>
      <c r="CM57" s="313">
        <f>IF($BI57&lt;&gt;"",IF('Capacity summary'!$D$14="Yes",IF(COUNTBLANK('Capacity summary'!$H176:$BG176)&lt;52,IF('Capacity summary'!AJ176&lt;&gt;"",IF(LOWER('Capacity summary'!AJ176)="x",$BI57*AJ57,VALUE('Capacity summary'!AJ176)),0),AJ57*$BI57),AJ57*$BI57),0)</f>
        <v>0</v>
      </c>
      <c r="CN57" s="313">
        <f>IF($BI57&lt;&gt;"",IF('Capacity summary'!$D$14="Yes",IF(COUNTBLANK('Capacity summary'!$H176:$BG176)&lt;52,IF('Capacity summary'!AK176&lt;&gt;"",IF(LOWER('Capacity summary'!AK176)="x",$BI57*AK57,VALUE('Capacity summary'!AK176)),0),AK57*$BI57),AK57*$BI57),0)</f>
        <v>0</v>
      </c>
      <c r="CO57" s="313">
        <f>IF($BI57&lt;&gt;"",IF('Capacity summary'!$D$14="Yes",IF(COUNTBLANK('Capacity summary'!$H176:$BG176)&lt;52,IF('Capacity summary'!AL176&lt;&gt;"",IF(LOWER('Capacity summary'!AL176)="x",$BI57*AL57,VALUE('Capacity summary'!AL176)),0),AL57*$BI57),AL57*$BI57),0)</f>
        <v>0</v>
      </c>
      <c r="CP57" s="313">
        <f>IF($BI57&lt;&gt;"",IF('Capacity summary'!$D$14="Yes",IF(COUNTBLANK('Capacity summary'!$H176:$BG176)&lt;52,IF('Capacity summary'!AM176&lt;&gt;"",IF(LOWER('Capacity summary'!AM176)="x",$BI57*AM57,VALUE('Capacity summary'!AM176)),0),AM57*$BI57),AM57*$BI57),0)</f>
        <v>0</v>
      </c>
      <c r="CQ57" s="313">
        <f>IF($BI57&lt;&gt;"",IF('Capacity summary'!$D$14="Yes",IF(COUNTBLANK('Capacity summary'!$H176:$BG176)&lt;52,IF('Capacity summary'!AN176&lt;&gt;"",IF(LOWER('Capacity summary'!AN176)="x",$BI57*AN57,VALUE('Capacity summary'!AN176)),0),AN57*$BI57),AN57*$BI57),0)</f>
        <v>0</v>
      </c>
      <c r="CR57" s="313">
        <f>IF($BI57&lt;&gt;"",IF('Capacity summary'!$D$14="Yes",IF(COUNTBLANK('Capacity summary'!$H176:$BG176)&lt;52,IF('Capacity summary'!AO176&lt;&gt;"",IF(LOWER('Capacity summary'!AO176)="x",$BI57*AO57,VALUE('Capacity summary'!AO176)),0),AO57*$BI57),AO57*$BI57),0)</f>
        <v>0</v>
      </c>
      <c r="CS57" s="313">
        <f>IF($BI57&lt;&gt;"",IF('Capacity summary'!$D$14="Yes",IF(COUNTBLANK('Capacity summary'!$H176:$BG176)&lt;52,IF('Capacity summary'!AP176&lt;&gt;"",IF(LOWER('Capacity summary'!AP176)="x",$BI57*AP57,VALUE('Capacity summary'!AP176)),0),AP57*$BI57),AP57*$BI57),0)</f>
        <v>0</v>
      </c>
      <c r="CT57" s="313">
        <f>IF($BI57&lt;&gt;"",IF('Capacity summary'!$D$14="Yes",IF(COUNTBLANK('Capacity summary'!$H176:$BG176)&lt;52,IF('Capacity summary'!AQ176&lt;&gt;"",IF(LOWER('Capacity summary'!AQ176)="x",$BI57*AQ57,VALUE('Capacity summary'!AQ176)),0),AQ57*$BI57),AQ57*$BI57),0)</f>
        <v>0</v>
      </c>
      <c r="CU57" s="313">
        <f>IF($BI57&lt;&gt;"",IF('Capacity summary'!$D$14="Yes",IF(COUNTBLANK('Capacity summary'!$H176:$BG176)&lt;52,IF('Capacity summary'!AR176&lt;&gt;"",IF(LOWER('Capacity summary'!AR176)="x",$BI57*AR57,VALUE('Capacity summary'!AR176)),0),AR57*$BI57),AR57*$BI57),0)</f>
        <v>0</v>
      </c>
      <c r="CV57" s="313">
        <f>IF($BI57&lt;&gt;"",IF('Capacity summary'!$D$14="Yes",IF(COUNTBLANK('Capacity summary'!$H176:$BG176)&lt;52,IF('Capacity summary'!AS176&lt;&gt;"",IF(LOWER('Capacity summary'!AS176)="x",$BI57*AS57,VALUE('Capacity summary'!AS176)),0),AS57*$BI57),AS57*$BI57),0)</f>
        <v>0</v>
      </c>
      <c r="CW57" s="313">
        <f>IF($BI57&lt;&gt;"",IF('Capacity summary'!$D$14="Yes",IF(COUNTBLANK('Capacity summary'!$H176:$BG176)&lt;52,IF('Capacity summary'!AT176&lt;&gt;"",IF(LOWER('Capacity summary'!AT176)="x",$BI57*AT57,VALUE('Capacity summary'!AT176)),0),AT57*$BI57),AT57*$BI57),0)</f>
        <v>0</v>
      </c>
      <c r="CX57" s="313">
        <f>IF($BI57&lt;&gt;"",IF('Capacity summary'!$D$14="Yes",IF(COUNTBLANK('Capacity summary'!$H176:$BG176)&lt;52,IF('Capacity summary'!AU176&lt;&gt;"",IF(LOWER('Capacity summary'!AU176)="x",$BI57*AU57,VALUE('Capacity summary'!AU176)),0),AU57*$BI57),AU57*$BI57),0)</f>
        <v>0</v>
      </c>
      <c r="CY57" s="313">
        <f>IF($BI57&lt;&gt;"",IF('Capacity summary'!$D$14="Yes",IF(COUNTBLANK('Capacity summary'!$H176:$BG176)&lt;52,IF('Capacity summary'!AV176&lt;&gt;"",IF(LOWER('Capacity summary'!AV176)="x",$BI57*AV57,VALUE('Capacity summary'!AV176)),0),AV57*$BI57),AV57*$BI57),0)</f>
        <v>0</v>
      </c>
      <c r="CZ57" s="313">
        <f>IF($BI57&lt;&gt;"",IF('Capacity summary'!$D$14="Yes",IF(COUNTBLANK('Capacity summary'!$H176:$BG176)&lt;52,IF('Capacity summary'!AW176&lt;&gt;"",IF(LOWER('Capacity summary'!AW176)="x",$BI57*AW57,VALUE('Capacity summary'!AW176)),0),AW57*$BI57),AW57*$BI57),0)</f>
        <v>0</v>
      </c>
      <c r="DA57" s="313">
        <f>IF($BI57&lt;&gt;"",IF('Capacity summary'!$D$14="Yes",IF(COUNTBLANK('Capacity summary'!$H176:$BG176)&lt;52,IF('Capacity summary'!AX176&lt;&gt;"",IF(LOWER('Capacity summary'!AX176)="x",$BI57*AX57,VALUE('Capacity summary'!AX176)),0),AX57*$BI57),AX57*$BI57),0)</f>
        <v>0</v>
      </c>
      <c r="DB57" s="313">
        <f>IF($BI57&lt;&gt;"",IF('Capacity summary'!$D$14="Yes",IF(COUNTBLANK('Capacity summary'!$H176:$BG176)&lt;52,IF('Capacity summary'!AY176&lt;&gt;"",IF(LOWER('Capacity summary'!AY176)="x",$BI57*AY57,VALUE('Capacity summary'!AY176)),0),AY57*$BI57),AY57*$BI57),0)</f>
        <v>0</v>
      </c>
      <c r="DC57" s="313">
        <f>IF($BI57&lt;&gt;"",IF('Capacity summary'!$D$14="Yes",IF(COUNTBLANK('Capacity summary'!$H176:$BG176)&lt;52,IF('Capacity summary'!AZ176&lt;&gt;"",IF(LOWER('Capacity summary'!AZ176)="x",$BI57*AZ57,VALUE('Capacity summary'!AZ176)),0),AZ57*$BI57),AZ57*$BI57),0)</f>
        <v>0</v>
      </c>
      <c r="DD57" s="313">
        <f>IF($BI57&lt;&gt;"",IF('Capacity summary'!$D$14="Yes",IF(COUNTBLANK('Capacity summary'!$H176:$BG176)&lt;52,IF('Capacity summary'!BA176&lt;&gt;"",IF(LOWER('Capacity summary'!BA176)="x",$BI57*BA57,VALUE('Capacity summary'!BA176)),0),BA57*$BI57),BA57*$BI57),0)</f>
        <v>0</v>
      </c>
      <c r="DE57" s="313">
        <f>IF($BI57&lt;&gt;"",IF('Capacity summary'!$D$14="Yes",IF(COUNTBLANK('Capacity summary'!$H176:$BG176)&lt;52,IF('Capacity summary'!BB176&lt;&gt;"",IF(LOWER('Capacity summary'!BB176)="x",$BI57*BB57,VALUE('Capacity summary'!BB176)),0),BB57*$BI57),BB57*$BI57),0)</f>
        <v>0</v>
      </c>
      <c r="DF57" s="313">
        <f>IF($BI57&lt;&gt;"",IF('Capacity summary'!$D$14="Yes",IF(COUNTBLANK('Capacity summary'!$H176:$BG176)&lt;52,IF('Capacity summary'!BC176&lt;&gt;"",IF(LOWER('Capacity summary'!BC176)="x",$BI57*BC57,VALUE('Capacity summary'!BC176)),0),BC57*$BI57),BC57*$BI57),0)</f>
        <v>0</v>
      </c>
      <c r="DG57" s="313">
        <f>IF($BI57&lt;&gt;"",IF('Capacity summary'!$D$14="Yes",IF(COUNTBLANK('Capacity summary'!$H176:$BG176)&lt;52,IF('Capacity summary'!BD176&lt;&gt;"",IF(LOWER('Capacity summary'!BD176)="x",$BI57*BD57,VALUE('Capacity summary'!BD176)),0),BD57*$BI57),BD57*$BI57),0)</f>
        <v>0</v>
      </c>
      <c r="DH57" s="313">
        <f>IF($BI57&lt;&gt;"",IF('Capacity summary'!$D$14="Yes",IF(COUNTBLANK('Capacity summary'!$H176:$BG176)&lt;52,IF('Capacity summary'!BE176&lt;&gt;"",IF(LOWER('Capacity summary'!BE176)="x",$BI57*BE57,VALUE('Capacity summary'!BE176)),0),BE57*$BI57),BE57*$BI57),0)</f>
        <v>0</v>
      </c>
      <c r="DI57" s="313">
        <f>IF($BI57&lt;&gt;"",IF('Capacity summary'!$D$14="Yes",IF(COUNTBLANK('Capacity summary'!$H176:$BG176)&lt;52,IF('Capacity summary'!BF176&lt;&gt;"",IF(LOWER('Capacity summary'!BF176)="x",$BI57*BF57,VALUE('Capacity summary'!BF176)),0),BF57*$BI57),BF57*$BI57),0)</f>
        <v>0</v>
      </c>
      <c r="DJ57" s="313">
        <f>IF($BI57&lt;&gt;"",IF('Capacity summary'!$D$14="Yes",IF(COUNTBLANK('Capacity summary'!$H176:$BG176)&lt;52,IF('Capacity summary'!BG176&lt;&gt;"",IF(LOWER('Capacity summary'!BG176)="x",$BI57*BG57,VALUE('Capacity summary'!BG176)),0),BG57*$BI57),BG57*$BI57),0)</f>
        <v>0</v>
      </c>
      <c r="DK57" s="137">
        <f t="shared" si="2"/>
        <v>0</v>
      </c>
      <c r="DL57" s="313" t="str">
        <f>Capacity!H69</f>
        <v/>
      </c>
    </row>
    <row r="58" spans="2:120" x14ac:dyDescent="0.25">
      <c r="B58" s="67"/>
      <c r="C58" s="67" t="str">
        <f>ROW(A54)&amp;". "&amp;Capacity!B70</f>
        <v xml:space="preserve">54. </v>
      </c>
      <c r="D58" s="67">
        <f>'Capacity setup'!C65</f>
        <v>0</v>
      </c>
      <c r="E58" s="67">
        <f>'Capacity setup'!D65</f>
        <v>0</v>
      </c>
      <c r="F58" s="67">
        <f>'Capacity setup'!E65</f>
        <v>0</v>
      </c>
      <c r="H58" s="67">
        <f ca="1">IF(AND(SUMIF(Capacity_Resource,$D58,'Critical resources (hide)'!U$6:U$105)+SUMIF(Capacity_Resource,$E58,'Critical resources (hide)'!U$6:U$105)+SUMIF(Capacity_Resource,$F58,'Critical resources (hide)'!U$6:U$105)&gt;0,$E$1=2),0,1)</f>
        <v>1</v>
      </c>
      <c r="I58" s="67">
        <f ca="1">IF(AND(SUMIF(Capacity_Resource,$D58,'Critical resources (hide)'!V$6:V$105)+SUMIF(Capacity_Resource,$E58,'Critical resources (hide)'!V$6:V$105)+SUMIF(Capacity_Resource,$F58,'Critical resources (hide)'!V$6:V$105)&gt;0,$E$1=2),0,1)</f>
        <v>1</v>
      </c>
      <c r="J58" s="67">
        <f ca="1">IF(AND(SUMIF(Capacity_Resource,$D58,'Critical resources (hide)'!W$6:W$105)+SUMIF(Capacity_Resource,$E58,'Critical resources (hide)'!W$6:W$105)+SUMIF(Capacity_Resource,$F58,'Critical resources (hide)'!W$6:W$105)&gt;0,$E$1=2),0,1)</f>
        <v>1</v>
      </c>
      <c r="K58" s="67">
        <f ca="1">IF(AND(SUMIF(Capacity_Resource,$D58,'Critical resources (hide)'!X$6:X$105)+SUMIF(Capacity_Resource,$E58,'Critical resources (hide)'!X$6:X$105)+SUMIF(Capacity_Resource,$F58,'Critical resources (hide)'!X$6:X$105)&gt;0,$E$1=2),0,1)</f>
        <v>1</v>
      </c>
      <c r="L58" s="67">
        <f ca="1">IF(AND(SUMIF(Capacity_Resource,$D58,'Critical resources (hide)'!Y$6:Y$105)+SUMIF(Capacity_Resource,$E58,'Critical resources (hide)'!Y$6:Y$105)+SUMIF(Capacity_Resource,$F58,'Critical resources (hide)'!Y$6:Y$105)&gt;0,$E$1=2),0,1)</f>
        <v>1</v>
      </c>
      <c r="M58" s="67">
        <f ca="1">IF(AND(SUMIF(Capacity_Resource,$D58,'Critical resources (hide)'!Z$6:Z$105)+SUMIF(Capacity_Resource,$E58,'Critical resources (hide)'!Z$6:Z$105)+SUMIF(Capacity_Resource,$F58,'Critical resources (hide)'!Z$6:Z$105)&gt;0,$E$1=2),0,1)</f>
        <v>1</v>
      </c>
      <c r="N58" s="67">
        <f ca="1">IF(AND(SUMIF(Capacity_Resource,$D58,'Critical resources (hide)'!AA$6:AA$105)+SUMIF(Capacity_Resource,$E58,'Critical resources (hide)'!AA$6:AA$105)+SUMIF(Capacity_Resource,$F58,'Critical resources (hide)'!AA$6:AA$105)&gt;0,$E$1=2),0,1)</f>
        <v>1</v>
      </c>
      <c r="O58" s="67">
        <f ca="1">IF(AND(SUMIF(Capacity_Resource,$D58,'Critical resources (hide)'!AB$6:AB$105)+SUMIF(Capacity_Resource,$E58,'Critical resources (hide)'!AB$6:AB$105)+SUMIF(Capacity_Resource,$F58,'Critical resources (hide)'!AB$6:AB$105)&gt;0,$E$1=2),0,1)</f>
        <v>1</v>
      </c>
      <c r="P58" s="67">
        <f ca="1">IF(AND(SUMIF(Capacity_Resource,$D58,'Critical resources (hide)'!AC$6:AC$105)+SUMIF(Capacity_Resource,$E58,'Critical resources (hide)'!AC$6:AC$105)+SUMIF(Capacity_Resource,$F58,'Critical resources (hide)'!AC$6:AC$105)&gt;0,$E$1=2),0,1)</f>
        <v>1</v>
      </c>
      <c r="Q58" s="67">
        <f ca="1">IF(AND(SUMIF(Capacity_Resource,$D58,'Critical resources (hide)'!AD$6:AD$105)+SUMIF(Capacity_Resource,$E58,'Critical resources (hide)'!AD$6:AD$105)+SUMIF(Capacity_Resource,$F58,'Critical resources (hide)'!AD$6:AD$105)&gt;0,$E$1=2),0,1)</f>
        <v>1</v>
      </c>
      <c r="R58" s="67">
        <f ca="1">IF(AND(SUMIF(Capacity_Resource,$D58,'Critical resources (hide)'!AE$6:AE$105)+SUMIF(Capacity_Resource,$E58,'Critical resources (hide)'!AE$6:AE$105)+SUMIF(Capacity_Resource,$F58,'Critical resources (hide)'!AE$6:AE$105)&gt;0,$E$1=2),0,1)</f>
        <v>1</v>
      </c>
      <c r="S58" s="67">
        <f ca="1">IF(AND(SUMIF(Capacity_Resource,$D58,'Critical resources (hide)'!AF$6:AF$105)+SUMIF(Capacity_Resource,$E58,'Critical resources (hide)'!AF$6:AF$105)+SUMIF(Capacity_Resource,$F58,'Critical resources (hide)'!AF$6:AF$105)&gt;0,$E$1=2),0,1)</f>
        <v>1</v>
      </c>
      <c r="T58" s="67">
        <f ca="1">IF(AND(SUMIF(Capacity_Resource,$D58,'Critical resources (hide)'!AG$6:AG$105)+SUMIF(Capacity_Resource,$E58,'Critical resources (hide)'!AG$6:AG$105)+SUMIF(Capacity_Resource,$F58,'Critical resources (hide)'!AG$6:AG$105)&gt;0,$E$1=2),0,1)</f>
        <v>1</v>
      </c>
      <c r="U58" s="67">
        <f ca="1">IF(AND(SUMIF(Capacity_Resource,$D58,'Critical resources (hide)'!AH$6:AH$105)+SUMIF(Capacity_Resource,$E58,'Critical resources (hide)'!AH$6:AH$105)+SUMIF(Capacity_Resource,$F58,'Critical resources (hide)'!AH$6:AH$105)&gt;0,$E$1=2),0,1)</f>
        <v>1</v>
      </c>
      <c r="V58" s="67">
        <f ca="1">IF(AND(SUMIF(Capacity_Resource,$D58,'Critical resources (hide)'!AI$6:AI$105)+SUMIF(Capacity_Resource,$E58,'Critical resources (hide)'!AI$6:AI$105)+SUMIF(Capacity_Resource,$F58,'Critical resources (hide)'!AI$6:AI$105)&gt;0,$E$1=2),0,1)</f>
        <v>1</v>
      </c>
      <c r="W58" s="67">
        <f ca="1">IF(AND(SUMIF(Capacity_Resource,$D58,'Critical resources (hide)'!AJ$6:AJ$105)+SUMIF(Capacity_Resource,$E58,'Critical resources (hide)'!AJ$6:AJ$105)+SUMIF(Capacity_Resource,$F58,'Critical resources (hide)'!AJ$6:AJ$105)&gt;0,$E$1=2),0,1)</f>
        <v>1</v>
      </c>
      <c r="X58" s="67">
        <f ca="1">IF(AND(SUMIF(Capacity_Resource,$D58,'Critical resources (hide)'!AK$6:AK$105)+SUMIF(Capacity_Resource,$E58,'Critical resources (hide)'!AK$6:AK$105)+SUMIF(Capacity_Resource,$F58,'Critical resources (hide)'!AK$6:AK$105)&gt;0,$E$1=2),0,1)</f>
        <v>1</v>
      </c>
      <c r="Y58" s="67">
        <f ca="1">IF(AND(SUMIF(Capacity_Resource,$D58,'Critical resources (hide)'!AL$6:AL$105)+SUMIF(Capacity_Resource,$E58,'Critical resources (hide)'!AL$6:AL$105)+SUMIF(Capacity_Resource,$F58,'Critical resources (hide)'!AL$6:AL$105)&gt;0,$E$1=2),0,1)</f>
        <v>1</v>
      </c>
      <c r="Z58" s="67">
        <f ca="1">IF(AND(SUMIF(Capacity_Resource,$D58,'Critical resources (hide)'!AM$6:AM$105)+SUMIF(Capacity_Resource,$E58,'Critical resources (hide)'!AM$6:AM$105)+SUMIF(Capacity_Resource,$F58,'Critical resources (hide)'!AM$6:AM$105)&gt;0,$E$1=2),0,1)</f>
        <v>1</v>
      </c>
      <c r="AA58" s="67">
        <f ca="1">IF(AND(SUMIF(Capacity_Resource,$D58,'Critical resources (hide)'!AN$6:AN$105)+SUMIF(Capacity_Resource,$E58,'Critical resources (hide)'!AN$6:AN$105)+SUMIF(Capacity_Resource,$F58,'Critical resources (hide)'!AN$6:AN$105)&gt;0,$E$1=2),0,1)</f>
        <v>1</v>
      </c>
      <c r="AB58" s="67">
        <f ca="1">IF(AND(SUMIF(Capacity_Resource,$D58,'Critical resources (hide)'!AO$6:AO$105)+SUMIF(Capacity_Resource,$E58,'Critical resources (hide)'!AO$6:AO$105)+SUMIF(Capacity_Resource,$F58,'Critical resources (hide)'!AO$6:AO$105)&gt;0,$E$1=2),0,1)</f>
        <v>1</v>
      </c>
      <c r="AC58" s="67">
        <f ca="1">IF(AND(SUMIF(Capacity_Resource,$D58,'Critical resources (hide)'!AP$6:AP$105)+SUMIF(Capacity_Resource,$E58,'Critical resources (hide)'!AP$6:AP$105)+SUMIF(Capacity_Resource,$F58,'Critical resources (hide)'!AP$6:AP$105)&gt;0,$E$1=2),0,1)</f>
        <v>1</v>
      </c>
      <c r="AD58" s="67">
        <f ca="1">IF(AND(SUMIF(Capacity_Resource,$D58,'Critical resources (hide)'!AQ$6:AQ$105)+SUMIF(Capacity_Resource,$E58,'Critical resources (hide)'!AQ$6:AQ$105)+SUMIF(Capacity_Resource,$F58,'Critical resources (hide)'!AQ$6:AQ$105)&gt;0,$E$1=2),0,1)</f>
        <v>1</v>
      </c>
      <c r="AE58" s="67">
        <f ca="1">IF(AND(SUMIF(Capacity_Resource,$D58,'Critical resources (hide)'!AR$6:AR$105)+SUMIF(Capacity_Resource,$E58,'Critical resources (hide)'!AR$6:AR$105)+SUMIF(Capacity_Resource,$F58,'Critical resources (hide)'!AR$6:AR$105)&gt;0,$E$1=2),0,1)</f>
        <v>1</v>
      </c>
      <c r="AF58" s="67">
        <f ca="1">IF(AND(SUMIF(Capacity_Resource,$D58,'Critical resources (hide)'!AS$6:AS$105)+SUMIF(Capacity_Resource,$E58,'Critical resources (hide)'!AS$6:AS$105)+SUMIF(Capacity_Resource,$F58,'Critical resources (hide)'!AS$6:AS$105)&gt;0,$E$1=2),0,1)</f>
        <v>1</v>
      </c>
      <c r="AG58" s="67">
        <f ca="1">IF(AND(SUMIF(Capacity_Resource,$D58,'Critical resources (hide)'!AT$6:AT$105)+SUMIF(Capacity_Resource,$E58,'Critical resources (hide)'!AT$6:AT$105)+SUMIF(Capacity_Resource,$F58,'Critical resources (hide)'!AT$6:AT$105)&gt;0,$E$1=2),0,1)</f>
        <v>1</v>
      </c>
      <c r="AH58" s="67">
        <f ca="1">IF(AND(SUMIF(Capacity_Resource,$D58,'Critical resources (hide)'!AU$6:AU$105)+SUMIF(Capacity_Resource,$E58,'Critical resources (hide)'!AU$6:AU$105)+SUMIF(Capacity_Resource,$F58,'Critical resources (hide)'!AU$6:AU$105)&gt;0,$E$1=2),0,1)</f>
        <v>1</v>
      </c>
      <c r="AI58" s="67">
        <f ca="1">IF(AND(SUMIF(Capacity_Resource,$D58,'Critical resources (hide)'!AV$6:AV$105)+SUMIF(Capacity_Resource,$E58,'Critical resources (hide)'!AV$6:AV$105)+SUMIF(Capacity_Resource,$F58,'Critical resources (hide)'!AV$6:AV$105)&gt;0,$E$1=2),0,1)</f>
        <v>1</v>
      </c>
      <c r="AJ58" s="67">
        <f ca="1">IF(AND(SUMIF(Capacity_Resource,$D58,'Critical resources (hide)'!AW$6:AW$105)+SUMIF(Capacity_Resource,$E58,'Critical resources (hide)'!AW$6:AW$105)+SUMIF(Capacity_Resource,$F58,'Critical resources (hide)'!AW$6:AW$105)&gt;0,$E$1=2),0,1)</f>
        <v>1</v>
      </c>
      <c r="AK58" s="67">
        <f ca="1">IF(AND(SUMIF(Capacity_Resource,$D58,'Critical resources (hide)'!AX$6:AX$105)+SUMIF(Capacity_Resource,$E58,'Critical resources (hide)'!AX$6:AX$105)+SUMIF(Capacity_Resource,$F58,'Critical resources (hide)'!AX$6:AX$105)&gt;0,$E$1=2),0,1)</f>
        <v>1</v>
      </c>
      <c r="AL58" s="67">
        <f ca="1">IF(AND(SUMIF(Capacity_Resource,$D58,'Critical resources (hide)'!AY$6:AY$105)+SUMIF(Capacity_Resource,$E58,'Critical resources (hide)'!AY$6:AY$105)+SUMIF(Capacity_Resource,$F58,'Critical resources (hide)'!AY$6:AY$105)&gt;0,$E$1=2),0,1)</f>
        <v>1</v>
      </c>
      <c r="AM58" s="67">
        <f ca="1">IF(AND(SUMIF(Capacity_Resource,$D58,'Critical resources (hide)'!AZ$6:AZ$105)+SUMIF(Capacity_Resource,$E58,'Critical resources (hide)'!AZ$6:AZ$105)+SUMIF(Capacity_Resource,$F58,'Critical resources (hide)'!AZ$6:AZ$105)&gt;0,$E$1=2),0,1)</f>
        <v>1</v>
      </c>
      <c r="AN58" s="67">
        <f ca="1">IF(AND(SUMIF(Capacity_Resource,$D58,'Critical resources (hide)'!BA$6:BA$105)+SUMIF(Capacity_Resource,$E58,'Critical resources (hide)'!BA$6:BA$105)+SUMIF(Capacity_Resource,$F58,'Critical resources (hide)'!BA$6:BA$105)&gt;0,$E$1=2),0,1)</f>
        <v>1</v>
      </c>
      <c r="AO58" s="67">
        <f ca="1">IF(AND(SUMIF(Capacity_Resource,$D58,'Critical resources (hide)'!BB$6:BB$105)+SUMIF(Capacity_Resource,$E58,'Critical resources (hide)'!BB$6:BB$105)+SUMIF(Capacity_Resource,$F58,'Critical resources (hide)'!BB$6:BB$105)&gt;0,$E$1=2),0,1)</f>
        <v>1</v>
      </c>
      <c r="AP58" s="67">
        <f ca="1">IF(AND(SUMIF(Capacity_Resource,$D58,'Critical resources (hide)'!BC$6:BC$105)+SUMIF(Capacity_Resource,$E58,'Critical resources (hide)'!BC$6:BC$105)+SUMIF(Capacity_Resource,$F58,'Critical resources (hide)'!BC$6:BC$105)&gt;0,$E$1=2),0,1)</f>
        <v>1</v>
      </c>
      <c r="AQ58" s="67">
        <f ca="1">IF(AND(SUMIF(Capacity_Resource,$D58,'Critical resources (hide)'!BD$6:BD$105)+SUMIF(Capacity_Resource,$E58,'Critical resources (hide)'!BD$6:BD$105)+SUMIF(Capacity_Resource,$F58,'Critical resources (hide)'!BD$6:BD$105)&gt;0,$E$1=2),0,1)</f>
        <v>1</v>
      </c>
      <c r="AR58" s="67">
        <f ca="1">IF(AND(SUMIF(Capacity_Resource,$D58,'Critical resources (hide)'!BE$6:BE$105)+SUMIF(Capacity_Resource,$E58,'Critical resources (hide)'!BE$6:BE$105)+SUMIF(Capacity_Resource,$F58,'Critical resources (hide)'!BE$6:BE$105)&gt;0,$E$1=2),0,1)</f>
        <v>1</v>
      </c>
      <c r="AS58" s="67">
        <f ca="1">IF(AND(SUMIF(Capacity_Resource,$D58,'Critical resources (hide)'!BF$6:BF$105)+SUMIF(Capacity_Resource,$E58,'Critical resources (hide)'!BF$6:BF$105)+SUMIF(Capacity_Resource,$F58,'Critical resources (hide)'!BF$6:BF$105)&gt;0,$E$1=2),0,1)</f>
        <v>1</v>
      </c>
      <c r="AT58" s="67">
        <f ca="1">IF(AND(SUMIF(Capacity_Resource,$D58,'Critical resources (hide)'!BG$6:BG$105)+SUMIF(Capacity_Resource,$E58,'Critical resources (hide)'!BG$6:BG$105)+SUMIF(Capacity_Resource,$F58,'Critical resources (hide)'!BG$6:BG$105)&gt;0,$E$1=2),0,1)</f>
        <v>1</v>
      </c>
      <c r="AU58" s="67">
        <f ca="1">IF(AND(SUMIF(Capacity_Resource,$D58,'Critical resources (hide)'!BH$6:BH$105)+SUMIF(Capacity_Resource,$E58,'Critical resources (hide)'!BH$6:BH$105)+SUMIF(Capacity_Resource,$F58,'Critical resources (hide)'!BH$6:BH$105)&gt;0,$E$1=2),0,1)</f>
        <v>1</v>
      </c>
      <c r="AV58" s="67">
        <f ca="1">IF(AND(SUMIF(Capacity_Resource,$D58,'Critical resources (hide)'!BI$6:BI$105)+SUMIF(Capacity_Resource,$E58,'Critical resources (hide)'!BI$6:BI$105)+SUMIF(Capacity_Resource,$F58,'Critical resources (hide)'!BI$6:BI$105)&gt;0,$E$1=2),0,1)</f>
        <v>1</v>
      </c>
      <c r="AW58" s="67">
        <f ca="1">IF(AND(SUMIF(Capacity_Resource,$D58,'Critical resources (hide)'!BJ$6:BJ$105)+SUMIF(Capacity_Resource,$E58,'Critical resources (hide)'!BJ$6:BJ$105)+SUMIF(Capacity_Resource,$F58,'Critical resources (hide)'!BJ$6:BJ$105)&gt;0,$E$1=2),0,1)</f>
        <v>1</v>
      </c>
      <c r="AX58" s="67">
        <f ca="1">IF(AND(SUMIF(Capacity_Resource,$D58,'Critical resources (hide)'!BK$6:BK$105)+SUMIF(Capacity_Resource,$E58,'Critical resources (hide)'!BK$6:BK$105)+SUMIF(Capacity_Resource,$F58,'Critical resources (hide)'!BK$6:BK$105)&gt;0,$E$1=2),0,1)</f>
        <v>1</v>
      </c>
      <c r="AY58" s="67">
        <f ca="1">IF(AND(SUMIF(Capacity_Resource,$D58,'Critical resources (hide)'!BL$6:BL$105)+SUMIF(Capacity_Resource,$E58,'Critical resources (hide)'!BL$6:BL$105)+SUMIF(Capacity_Resource,$F58,'Critical resources (hide)'!BL$6:BL$105)&gt;0,$E$1=2),0,1)</f>
        <v>1</v>
      </c>
      <c r="AZ58" s="67">
        <f ca="1">IF(AND(SUMIF(Capacity_Resource,$D58,'Critical resources (hide)'!BM$6:BM$105)+SUMIF(Capacity_Resource,$E58,'Critical resources (hide)'!BM$6:BM$105)+SUMIF(Capacity_Resource,$F58,'Critical resources (hide)'!BM$6:BM$105)&gt;0,$E$1=2),0,1)</f>
        <v>1</v>
      </c>
      <c r="BA58" s="67">
        <f ca="1">IF(AND(SUMIF(Capacity_Resource,$D58,'Critical resources (hide)'!BN$6:BN$105)+SUMIF(Capacity_Resource,$E58,'Critical resources (hide)'!BN$6:BN$105)+SUMIF(Capacity_Resource,$F58,'Critical resources (hide)'!BN$6:BN$105)&gt;0,$E$1=2),0,1)</f>
        <v>1</v>
      </c>
      <c r="BB58" s="67">
        <f ca="1">IF(AND(SUMIF(Capacity_Resource,$D58,'Critical resources (hide)'!BO$6:BO$105)+SUMIF(Capacity_Resource,$E58,'Critical resources (hide)'!BO$6:BO$105)+SUMIF(Capacity_Resource,$F58,'Critical resources (hide)'!BO$6:BO$105)&gt;0,$E$1=2),0,1)</f>
        <v>1</v>
      </c>
      <c r="BC58" s="67">
        <f ca="1">IF(AND(SUMIF(Capacity_Resource,$D58,'Critical resources (hide)'!BP$6:BP$105)+SUMIF(Capacity_Resource,$E58,'Critical resources (hide)'!BP$6:BP$105)+SUMIF(Capacity_Resource,$F58,'Critical resources (hide)'!BP$6:BP$105)&gt;0,$E$1=2),0,1)</f>
        <v>1</v>
      </c>
      <c r="BD58" s="67">
        <f ca="1">IF(AND(SUMIF(Capacity_Resource,$D58,'Critical resources (hide)'!BQ$6:BQ$105)+SUMIF(Capacity_Resource,$E58,'Critical resources (hide)'!BQ$6:BQ$105)+SUMIF(Capacity_Resource,$F58,'Critical resources (hide)'!BQ$6:BQ$105)&gt;0,$E$1=2),0,1)</f>
        <v>1</v>
      </c>
      <c r="BE58" s="67">
        <f ca="1">IF(AND(SUMIF(Capacity_Resource,$D58,'Critical resources (hide)'!BR$6:BR$105)+SUMIF(Capacity_Resource,$E58,'Critical resources (hide)'!BR$6:BR$105)+SUMIF(Capacity_Resource,$F58,'Critical resources (hide)'!BR$6:BR$105)&gt;0,$E$1=2),0,1)</f>
        <v>1</v>
      </c>
      <c r="BF58" s="67">
        <f ca="1">IF(AND(SUMIF(Capacity_Resource,$D58,'Critical resources (hide)'!BS$6:BS$105)+SUMIF(Capacity_Resource,$E58,'Critical resources (hide)'!BS$6:BS$105)+SUMIF(Capacity_Resource,$F58,'Critical resources (hide)'!BS$6:BS$105)&gt;0,$E$1=2),0,1)</f>
        <v>1</v>
      </c>
      <c r="BG58" s="67">
        <f ca="1">IF(AND(SUMIF(Capacity_Resource,$D58,'Critical resources (hide)'!BT$6:BT$105)+SUMIF(Capacity_Resource,$E58,'Critical resources (hide)'!BT$6:BT$105)+SUMIF(Capacity_Resource,$F58,'Critical resources (hide)'!BT$6:BT$105)&gt;0,$E$1=2),0,1)</f>
        <v>1</v>
      </c>
      <c r="BH58" s="67">
        <f>IF(ROW(C54)&lt;=Capacity!$A$16,IF('Capacity summary'!$D$14="No",SUM(H58:BG58),'Capacity summary'!$E177),0)</f>
        <v>0</v>
      </c>
      <c r="BI58" s="5" t="str">
        <f>IF(BH58&gt;0,IF(BH58&lt;Capacity!E70,Capacity!F70,Capacity!H70/'Capacity calculation (hide)'!BH58),"")</f>
        <v/>
      </c>
      <c r="BK58" s="313">
        <f>IF($BI58&lt;&gt;"",IF('Capacity summary'!$D$14="Yes",IF(COUNTBLANK('Capacity summary'!$H177:$BG177)&lt;52,IF('Capacity summary'!H177&lt;&gt;"",IF(LOWER('Capacity summary'!H177)="x",$BI58*H58,VALUE('Capacity summary'!H177)),0),H58*$BI58),H58*$BI58),0)</f>
        <v>0</v>
      </c>
      <c r="BL58" s="313">
        <f>IF($BI58&lt;&gt;"",IF('Capacity summary'!$D$14="Yes",IF(COUNTBLANK('Capacity summary'!$H177:$BG177)&lt;52,IF('Capacity summary'!I177&lt;&gt;"",IF(LOWER('Capacity summary'!I177)="x",$BI58*I58,VALUE('Capacity summary'!I177)),0),I58*$BI58),I58*$BI58),0)</f>
        <v>0</v>
      </c>
      <c r="BM58" s="313">
        <f>IF($BI58&lt;&gt;"",IF('Capacity summary'!$D$14="Yes",IF(COUNTBLANK('Capacity summary'!$H177:$BG177)&lt;52,IF('Capacity summary'!J177&lt;&gt;"",IF(LOWER('Capacity summary'!J177)="x",$BI58*J58,VALUE('Capacity summary'!J177)),0),J58*$BI58),J58*$BI58),0)</f>
        <v>0</v>
      </c>
      <c r="BN58" s="313">
        <f>IF($BI58&lt;&gt;"",IF('Capacity summary'!$D$14="Yes",IF(COUNTBLANK('Capacity summary'!$H177:$BG177)&lt;52,IF('Capacity summary'!K177&lt;&gt;"",IF(LOWER('Capacity summary'!K177)="x",$BI58*K58,VALUE('Capacity summary'!K177)),0),K58*$BI58),K58*$BI58),0)</f>
        <v>0</v>
      </c>
      <c r="BO58" s="313">
        <f>IF($BI58&lt;&gt;"",IF('Capacity summary'!$D$14="Yes",IF(COUNTBLANK('Capacity summary'!$H177:$BG177)&lt;52,IF('Capacity summary'!L177&lt;&gt;"",IF(LOWER('Capacity summary'!L177)="x",$BI58*L58,VALUE('Capacity summary'!L177)),0),L58*$BI58),L58*$BI58),0)</f>
        <v>0</v>
      </c>
      <c r="BP58" s="313">
        <f>IF($BI58&lt;&gt;"",IF('Capacity summary'!$D$14="Yes",IF(COUNTBLANK('Capacity summary'!$H177:$BG177)&lt;52,IF('Capacity summary'!M177&lt;&gt;"",IF(LOWER('Capacity summary'!M177)="x",$BI58*M58,VALUE('Capacity summary'!M177)),0),M58*$BI58),M58*$BI58),0)</f>
        <v>0</v>
      </c>
      <c r="BQ58" s="313">
        <f>IF($BI58&lt;&gt;"",IF('Capacity summary'!$D$14="Yes",IF(COUNTBLANK('Capacity summary'!$H177:$BG177)&lt;52,IF('Capacity summary'!N177&lt;&gt;"",IF(LOWER('Capacity summary'!N177)="x",$BI58*N58,VALUE('Capacity summary'!N177)),0),N58*$BI58),N58*$BI58),0)</f>
        <v>0</v>
      </c>
      <c r="BR58" s="313">
        <f>IF($BI58&lt;&gt;"",IF('Capacity summary'!$D$14="Yes",IF(COUNTBLANK('Capacity summary'!$H177:$BG177)&lt;52,IF('Capacity summary'!O177&lt;&gt;"",IF(LOWER('Capacity summary'!O177)="x",$BI58*O58,VALUE('Capacity summary'!O177)),0),O58*$BI58),O58*$BI58),0)</f>
        <v>0</v>
      </c>
      <c r="BS58" s="313">
        <f>IF($BI58&lt;&gt;"",IF('Capacity summary'!$D$14="Yes",IF(COUNTBLANK('Capacity summary'!$H177:$BG177)&lt;52,IF('Capacity summary'!P177&lt;&gt;"",IF(LOWER('Capacity summary'!P177)="x",$BI58*P58,VALUE('Capacity summary'!P177)),0),P58*$BI58),P58*$BI58),0)</f>
        <v>0</v>
      </c>
      <c r="BT58" s="313">
        <f>IF($BI58&lt;&gt;"",IF('Capacity summary'!$D$14="Yes",IF(COUNTBLANK('Capacity summary'!$H177:$BG177)&lt;52,IF('Capacity summary'!Q177&lt;&gt;"",IF(LOWER('Capacity summary'!Q177)="x",$BI58*Q58,VALUE('Capacity summary'!Q177)),0),Q58*$BI58),Q58*$BI58),0)</f>
        <v>0</v>
      </c>
      <c r="BU58" s="313">
        <f>IF($BI58&lt;&gt;"",IF('Capacity summary'!$D$14="Yes",IF(COUNTBLANK('Capacity summary'!$H177:$BG177)&lt;52,IF('Capacity summary'!R177&lt;&gt;"",IF(LOWER('Capacity summary'!R177)="x",$BI58*R58,VALUE('Capacity summary'!R177)),0),R58*$BI58),R58*$BI58),0)</f>
        <v>0</v>
      </c>
      <c r="BV58" s="313">
        <f>IF($BI58&lt;&gt;"",IF('Capacity summary'!$D$14="Yes",IF(COUNTBLANK('Capacity summary'!$H177:$BG177)&lt;52,IF('Capacity summary'!S177&lt;&gt;"",IF(LOWER('Capacity summary'!S177)="x",$BI58*S58,VALUE('Capacity summary'!S177)),0),S58*$BI58),S58*$BI58),0)</f>
        <v>0</v>
      </c>
      <c r="BW58" s="313">
        <f>IF($BI58&lt;&gt;"",IF('Capacity summary'!$D$14="Yes",IF(COUNTBLANK('Capacity summary'!$H177:$BG177)&lt;52,IF('Capacity summary'!T177&lt;&gt;"",IF(LOWER('Capacity summary'!T177)="x",$BI58*T58,VALUE('Capacity summary'!T177)),0),T58*$BI58),T58*$BI58),0)</f>
        <v>0</v>
      </c>
      <c r="BX58" s="313">
        <f>IF($BI58&lt;&gt;"",IF('Capacity summary'!$D$14="Yes",IF(COUNTBLANK('Capacity summary'!$H177:$BG177)&lt;52,IF('Capacity summary'!U177&lt;&gt;"",IF(LOWER('Capacity summary'!U177)="x",$BI58*U58,VALUE('Capacity summary'!U177)),0),U58*$BI58),U58*$BI58),0)</f>
        <v>0</v>
      </c>
      <c r="BY58" s="313">
        <f>IF($BI58&lt;&gt;"",IF('Capacity summary'!$D$14="Yes",IF(COUNTBLANK('Capacity summary'!$H177:$BG177)&lt;52,IF('Capacity summary'!V177&lt;&gt;"",IF(LOWER('Capacity summary'!V177)="x",$BI58*V58,VALUE('Capacity summary'!V177)),0),V58*$BI58),V58*$BI58),0)</f>
        <v>0</v>
      </c>
      <c r="BZ58" s="313">
        <f>IF($BI58&lt;&gt;"",IF('Capacity summary'!$D$14="Yes",IF(COUNTBLANK('Capacity summary'!$H177:$BG177)&lt;52,IF('Capacity summary'!W177&lt;&gt;"",IF(LOWER('Capacity summary'!W177)="x",$BI58*W58,VALUE('Capacity summary'!W177)),0),W58*$BI58),W58*$BI58),0)</f>
        <v>0</v>
      </c>
      <c r="CA58" s="313">
        <f>IF($BI58&lt;&gt;"",IF('Capacity summary'!$D$14="Yes",IF(COUNTBLANK('Capacity summary'!$H177:$BG177)&lt;52,IF('Capacity summary'!X177&lt;&gt;"",IF(LOWER('Capacity summary'!X177)="x",$BI58*X58,VALUE('Capacity summary'!X177)),0),X58*$BI58),X58*$BI58),0)</f>
        <v>0</v>
      </c>
      <c r="CB58" s="313">
        <f>IF($BI58&lt;&gt;"",IF('Capacity summary'!$D$14="Yes",IF(COUNTBLANK('Capacity summary'!$H177:$BG177)&lt;52,IF('Capacity summary'!Y177&lt;&gt;"",IF(LOWER('Capacity summary'!Y177)="x",$BI58*Y58,VALUE('Capacity summary'!Y177)),0),Y58*$BI58),Y58*$BI58),0)</f>
        <v>0</v>
      </c>
      <c r="CC58" s="313">
        <f>IF($BI58&lt;&gt;"",IF('Capacity summary'!$D$14="Yes",IF(COUNTBLANK('Capacity summary'!$H177:$BG177)&lt;52,IF('Capacity summary'!Z177&lt;&gt;"",IF(LOWER('Capacity summary'!Z177)="x",$BI58*Z58,VALUE('Capacity summary'!Z177)),0),Z58*$BI58),Z58*$BI58),0)</f>
        <v>0</v>
      </c>
      <c r="CD58" s="313">
        <f>IF($BI58&lt;&gt;"",IF('Capacity summary'!$D$14="Yes",IF(COUNTBLANK('Capacity summary'!$H177:$BG177)&lt;52,IF('Capacity summary'!AA177&lt;&gt;"",IF(LOWER('Capacity summary'!AA177)="x",$BI58*AA58,VALUE('Capacity summary'!AA177)),0),AA58*$BI58),AA58*$BI58),0)</f>
        <v>0</v>
      </c>
      <c r="CE58" s="313">
        <f>IF($BI58&lt;&gt;"",IF('Capacity summary'!$D$14="Yes",IF(COUNTBLANK('Capacity summary'!$H177:$BG177)&lt;52,IF('Capacity summary'!AB177&lt;&gt;"",IF(LOWER('Capacity summary'!AB177)="x",$BI58*AB58,VALUE('Capacity summary'!AB177)),0),AB58*$BI58),AB58*$BI58),0)</f>
        <v>0</v>
      </c>
      <c r="CF58" s="313">
        <f>IF($BI58&lt;&gt;"",IF('Capacity summary'!$D$14="Yes",IF(COUNTBLANK('Capacity summary'!$H177:$BG177)&lt;52,IF('Capacity summary'!AC177&lt;&gt;"",IF(LOWER('Capacity summary'!AC177)="x",$BI58*AC58,VALUE('Capacity summary'!AC177)),0),AC58*$BI58),AC58*$BI58),0)</f>
        <v>0</v>
      </c>
      <c r="CG58" s="313">
        <f>IF($BI58&lt;&gt;"",IF('Capacity summary'!$D$14="Yes",IF(COUNTBLANK('Capacity summary'!$H177:$BG177)&lt;52,IF('Capacity summary'!AD177&lt;&gt;"",IF(LOWER('Capacity summary'!AD177)="x",$BI58*AD58,VALUE('Capacity summary'!AD177)),0),AD58*$BI58),AD58*$BI58),0)</f>
        <v>0</v>
      </c>
      <c r="CH58" s="313">
        <f>IF($BI58&lt;&gt;"",IF('Capacity summary'!$D$14="Yes",IF(COUNTBLANK('Capacity summary'!$H177:$BG177)&lt;52,IF('Capacity summary'!AE177&lt;&gt;"",IF(LOWER('Capacity summary'!AE177)="x",$BI58*AE58,VALUE('Capacity summary'!AE177)),0),AE58*$BI58),AE58*$BI58),0)</f>
        <v>0</v>
      </c>
      <c r="CI58" s="313">
        <f>IF($BI58&lt;&gt;"",IF('Capacity summary'!$D$14="Yes",IF(COUNTBLANK('Capacity summary'!$H177:$BG177)&lt;52,IF('Capacity summary'!AF177&lt;&gt;"",IF(LOWER('Capacity summary'!AF177)="x",$BI58*AF58,VALUE('Capacity summary'!AF177)),0),AF58*$BI58),AF58*$BI58),0)</f>
        <v>0</v>
      </c>
      <c r="CJ58" s="313">
        <f>IF($BI58&lt;&gt;"",IF('Capacity summary'!$D$14="Yes",IF(COUNTBLANK('Capacity summary'!$H177:$BG177)&lt;52,IF('Capacity summary'!AG177&lt;&gt;"",IF(LOWER('Capacity summary'!AG177)="x",$BI58*AG58,VALUE('Capacity summary'!AG177)),0),AG58*$BI58),AG58*$BI58),0)</f>
        <v>0</v>
      </c>
      <c r="CK58" s="313">
        <f>IF($BI58&lt;&gt;"",IF('Capacity summary'!$D$14="Yes",IF(COUNTBLANK('Capacity summary'!$H177:$BG177)&lt;52,IF('Capacity summary'!AH177&lt;&gt;"",IF(LOWER('Capacity summary'!AH177)="x",$BI58*AH58,VALUE('Capacity summary'!AH177)),0),AH58*$BI58),AH58*$BI58),0)</f>
        <v>0</v>
      </c>
      <c r="CL58" s="313">
        <f>IF($BI58&lt;&gt;"",IF('Capacity summary'!$D$14="Yes",IF(COUNTBLANK('Capacity summary'!$H177:$BG177)&lt;52,IF('Capacity summary'!AI177&lt;&gt;"",IF(LOWER('Capacity summary'!AI177)="x",$BI58*AI58,VALUE('Capacity summary'!AI177)),0),AI58*$BI58),AI58*$BI58),0)</f>
        <v>0</v>
      </c>
      <c r="CM58" s="313">
        <f>IF($BI58&lt;&gt;"",IF('Capacity summary'!$D$14="Yes",IF(COUNTBLANK('Capacity summary'!$H177:$BG177)&lt;52,IF('Capacity summary'!AJ177&lt;&gt;"",IF(LOWER('Capacity summary'!AJ177)="x",$BI58*AJ58,VALUE('Capacity summary'!AJ177)),0),AJ58*$BI58),AJ58*$BI58),0)</f>
        <v>0</v>
      </c>
      <c r="CN58" s="313">
        <f>IF($BI58&lt;&gt;"",IF('Capacity summary'!$D$14="Yes",IF(COUNTBLANK('Capacity summary'!$H177:$BG177)&lt;52,IF('Capacity summary'!AK177&lt;&gt;"",IF(LOWER('Capacity summary'!AK177)="x",$BI58*AK58,VALUE('Capacity summary'!AK177)),0),AK58*$BI58),AK58*$BI58),0)</f>
        <v>0</v>
      </c>
      <c r="CO58" s="313">
        <f>IF($BI58&lt;&gt;"",IF('Capacity summary'!$D$14="Yes",IF(COUNTBLANK('Capacity summary'!$H177:$BG177)&lt;52,IF('Capacity summary'!AL177&lt;&gt;"",IF(LOWER('Capacity summary'!AL177)="x",$BI58*AL58,VALUE('Capacity summary'!AL177)),0),AL58*$BI58),AL58*$BI58),0)</f>
        <v>0</v>
      </c>
      <c r="CP58" s="313">
        <f>IF($BI58&lt;&gt;"",IF('Capacity summary'!$D$14="Yes",IF(COUNTBLANK('Capacity summary'!$H177:$BG177)&lt;52,IF('Capacity summary'!AM177&lt;&gt;"",IF(LOWER('Capacity summary'!AM177)="x",$BI58*AM58,VALUE('Capacity summary'!AM177)),0),AM58*$BI58),AM58*$BI58),0)</f>
        <v>0</v>
      </c>
      <c r="CQ58" s="313">
        <f>IF($BI58&lt;&gt;"",IF('Capacity summary'!$D$14="Yes",IF(COUNTBLANK('Capacity summary'!$H177:$BG177)&lt;52,IF('Capacity summary'!AN177&lt;&gt;"",IF(LOWER('Capacity summary'!AN177)="x",$BI58*AN58,VALUE('Capacity summary'!AN177)),0),AN58*$BI58),AN58*$BI58),0)</f>
        <v>0</v>
      </c>
      <c r="CR58" s="313">
        <f>IF($BI58&lt;&gt;"",IF('Capacity summary'!$D$14="Yes",IF(COUNTBLANK('Capacity summary'!$H177:$BG177)&lt;52,IF('Capacity summary'!AO177&lt;&gt;"",IF(LOWER('Capacity summary'!AO177)="x",$BI58*AO58,VALUE('Capacity summary'!AO177)),0),AO58*$BI58),AO58*$BI58),0)</f>
        <v>0</v>
      </c>
      <c r="CS58" s="313">
        <f>IF($BI58&lt;&gt;"",IF('Capacity summary'!$D$14="Yes",IF(COUNTBLANK('Capacity summary'!$H177:$BG177)&lt;52,IF('Capacity summary'!AP177&lt;&gt;"",IF(LOWER('Capacity summary'!AP177)="x",$BI58*AP58,VALUE('Capacity summary'!AP177)),0),AP58*$BI58),AP58*$BI58),0)</f>
        <v>0</v>
      </c>
      <c r="CT58" s="313">
        <f>IF($BI58&lt;&gt;"",IF('Capacity summary'!$D$14="Yes",IF(COUNTBLANK('Capacity summary'!$H177:$BG177)&lt;52,IF('Capacity summary'!AQ177&lt;&gt;"",IF(LOWER('Capacity summary'!AQ177)="x",$BI58*AQ58,VALUE('Capacity summary'!AQ177)),0),AQ58*$BI58),AQ58*$BI58),0)</f>
        <v>0</v>
      </c>
      <c r="CU58" s="313">
        <f>IF($BI58&lt;&gt;"",IF('Capacity summary'!$D$14="Yes",IF(COUNTBLANK('Capacity summary'!$H177:$BG177)&lt;52,IF('Capacity summary'!AR177&lt;&gt;"",IF(LOWER('Capacity summary'!AR177)="x",$BI58*AR58,VALUE('Capacity summary'!AR177)),0),AR58*$BI58),AR58*$BI58),0)</f>
        <v>0</v>
      </c>
      <c r="CV58" s="313">
        <f>IF($BI58&lt;&gt;"",IF('Capacity summary'!$D$14="Yes",IF(COUNTBLANK('Capacity summary'!$H177:$BG177)&lt;52,IF('Capacity summary'!AS177&lt;&gt;"",IF(LOWER('Capacity summary'!AS177)="x",$BI58*AS58,VALUE('Capacity summary'!AS177)),0),AS58*$BI58),AS58*$BI58),0)</f>
        <v>0</v>
      </c>
      <c r="CW58" s="313">
        <f>IF($BI58&lt;&gt;"",IF('Capacity summary'!$D$14="Yes",IF(COUNTBLANK('Capacity summary'!$H177:$BG177)&lt;52,IF('Capacity summary'!AT177&lt;&gt;"",IF(LOWER('Capacity summary'!AT177)="x",$BI58*AT58,VALUE('Capacity summary'!AT177)),0),AT58*$BI58),AT58*$BI58),0)</f>
        <v>0</v>
      </c>
      <c r="CX58" s="313">
        <f>IF($BI58&lt;&gt;"",IF('Capacity summary'!$D$14="Yes",IF(COUNTBLANK('Capacity summary'!$H177:$BG177)&lt;52,IF('Capacity summary'!AU177&lt;&gt;"",IF(LOWER('Capacity summary'!AU177)="x",$BI58*AU58,VALUE('Capacity summary'!AU177)),0),AU58*$BI58),AU58*$BI58),0)</f>
        <v>0</v>
      </c>
      <c r="CY58" s="313">
        <f>IF($BI58&lt;&gt;"",IF('Capacity summary'!$D$14="Yes",IF(COUNTBLANK('Capacity summary'!$H177:$BG177)&lt;52,IF('Capacity summary'!AV177&lt;&gt;"",IF(LOWER('Capacity summary'!AV177)="x",$BI58*AV58,VALUE('Capacity summary'!AV177)),0),AV58*$BI58),AV58*$BI58),0)</f>
        <v>0</v>
      </c>
      <c r="CZ58" s="313">
        <f>IF($BI58&lt;&gt;"",IF('Capacity summary'!$D$14="Yes",IF(COUNTBLANK('Capacity summary'!$H177:$BG177)&lt;52,IF('Capacity summary'!AW177&lt;&gt;"",IF(LOWER('Capacity summary'!AW177)="x",$BI58*AW58,VALUE('Capacity summary'!AW177)),0),AW58*$BI58),AW58*$BI58),0)</f>
        <v>0</v>
      </c>
      <c r="DA58" s="313">
        <f>IF($BI58&lt;&gt;"",IF('Capacity summary'!$D$14="Yes",IF(COUNTBLANK('Capacity summary'!$H177:$BG177)&lt;52,IF('Capacity summary'!AX177&lt;&gt;"",IF(LOWER('Capacity summary'!AX177)="x",$BI58*AX58,VALUE('Capacity summary'!AX177)),0),AX58*$BI58),AX58*$BI58),0)</f>
        <v>0</v>
      </c>
      <c r="DB58" s="313">
        <f>IF($BI58&lt;&gt;"",IF('Capacity summary'!$D$14="Yes",IF(COUNTBLANK('Capacity summary'!$H177:$BG177)&lt;52,IF('Capacity summary'!AY177&lt;&gt;"",IF(LOWER('Capacity summary'!AY177)="x",$BI58*AY58,VALUE('Capacity summary'!AY177)),0),AY58*$BI58),AY58*$BI58),0)</f>
        <v>0</v>
      </c>
      <c r="DC58" s="313">
        <f>IF($BI58&lt;&gt;"",IF('Capacity summary'!$D$14="Yes",IF(COUNTBLANK('Capacity summary'!$H177:$BG177)&lt;52,IF('Capacity summary'!AZ177&lt;&gt;"",IF(LOWER('Capacity summary'!AZ177)="x",$BI58*AZ58,VALUE('Capacity summary'!AZ177)),0),AZ58*$BI58),AZ58*$BI58),0)</f>
        <v>0</v>
      </c>
      <c r="DD58" s="313">
        <f>IF($BI58&lt;&gt;"",IF('Capacity summary'!$D$14="Yes",IF(COUNTBLANK('Capacity summary'!$H177:$BG177)&lt;52,IF('Capacity summary'!BA177&lt;&gt;"",IF(LOWER('Capacity summary'!BA177)="x",$BI58*BA58,VALUE('Capacity summary'!BA177)),0),BA58*$BI58),BA58*$BI58),0)</f>
        <v>0</v>
      </c>
      <c r="DE58" s="313">
        <f>IF($BI58&lt;&gt;"",IF('Capacity summary'!$D$14="Yes",IF(COUNTBLANK('Capacity summary'!$H177:$BG177)&lt;52,IF('Capacity summary'!BB177&lt;&gt;"",IF(LOWER('Capacity summary'!BB177)="x",$BI58*BB58,VALUE('Capacity summary'!BB177)),0),BB58*$BI58),BB58*$BI58),0)</f>
        <v>0</v>
      </c>
      <c r="DF58" s="313">
        <f>IF($BI58&lt;&gt;"",IF('Capacity summary'!$D$14="Yes",IF(COUNTBLANK('Capacity summary'!$H177:$BG177)&lt;52,IF('Capacity summary'!BC177&lt;&gt;"",IF(LOWER('Capacity summary'!BC177)="x",$BI58*BC58,VALUE('Capacity summary'!BC177)),0),BC58*$BI58),BC58*$BI58),0)</f>
        <v>0</v>
      </c>
      <c r="DG58" s="313">
        <f>IF($BI58&lt;&gt;"",IF('Capacity summary'!$D$14="Yes",IF(COUNTBLANK('Capacity summary'!$H177:$BG177)&lt;52,IF('Capacity summary'!BD177&lt;&gt;"",IF(LOWER('Capacity summary'!BD177)="x",$BI58*BD58,VALUE('Capacity summary'!BD177)),0),BD58*$BI58),BD58*$BI58),0)</f>
        <v>0</v>
      </c>
      <c r="DH58" s="313">
        <f>IF($BI58&lt;&gt;"",IF('Capacity summary'!$D$14="Yes",IF(COUNTBLANK('Capacity summary'!$H177:$BG177)&lt;52,IF('Capacity summary'!BE177&lt;&gt;"",IF(LOWER('Capacity summary'!BE177)="x",$BI58*BE58,VALUE('Capacity summary'!BE177)),0),BE58*$BI58),BE58*$BI58),0)</f>
        <v>0</v>
      </c>
      <c r="DI58" s="313">
        <f>IF($BI58&lt;&gt;"",IF('Capacity summary'!$D$14="Yes",IF(COUNTBLANK('Capacity summary'!$H177:$BG177)&lt;52,IF('Capacity summary'!BF177&lt;&gt;"",IF(LOWER('Capacity summary'!BF177)="x",$BI58*BF58,VALUE('Capacity summary'!BF177)),0),BF58*$BI58),BF58*$BI58),0)</f>
        <v>0</v>
      </c>
      <c r="DJ58" s="313">
        <f>IF($BI58&lt;&gt;"",IF('Capacity summary'!$D$14="Yes",IF(COUNTBLANK('Capacity summary'!$H177:$BG177)&lt;52,IF('Capacity summary'!BG177&lt;&gt;"",IF(LOWER('Capacity summary'!BG177)="x",$BI58*BG58,VALUE('Capacity summary'!BG177)),0),BG58*$BI58),BG58*$BI58),0)</f>
        <v>0</v>
      </c>
      <c r="DK58" s="137">
        <f t="shared" si="2"/>
        <v>0</v>
      </c>
      <c r="DL58" s="313" t="str">
        <f>Capacity!H70</f>
        <v/>
      </c>
    </row>
    <row r="59" spans="2:120" x14ac:dyDescent="0.25">
      <c r="B59" s="67"/>
      <c r="C59" s="67" t="str">
        <f>ROW(A55)&amp;". "&amp;Capacity!B71</f>
        <v xml:space="preserve">55. </v>
      </c>
      <c r="D59" s="67">
        <f>'Capacity setup'!C66</f>
        <v>0</v>
      </c>
      <c r="E59" s="67">
        <f>'Capacity setup'!D66</f>
        <v>0</v>
      </c>
      <c r="F59" s="67">
        <f>'Capacity setup'!E66</f>
        <v>0</v>
      </c>
      <c r="H59" s="67">
        <f ca="1">IF(AND(SUMIF(Capacity_Resource,$D59,'Critical resources (hide)'!U$6:U$105)+SUMIF(Capacity_Resource,$E59,'Critical resources (hide)'!U$6:U$105)+SUMIF(Capacity_Resource,$F59,'Critical resources (hide)'!U$6:U$105)&gt;0,$E$1=2),0,1)</f>
        <v>1</v>
      </c>
      <c r="I59" s="67">
        <f ca="1">IF(AND(SUMIF(Capacity_Resource,$D59,'Critical resources (hide)'!V$6:V$105)+SUMIF(Capacity_Resource,$E59,'Critical resources (hide)'!V$6:V$105)+SUMIF(Capacity_Resource,$F59,'Critical resources (hide)'!V$6:V$105)&gt;0,$E$1=2),0,1)</f>
        <v>1</v>
      </c>
      <c r="J59" s="67">
        <f ca="1">IF(AND(SUMIF(Capacity_Resource,$D59,'Critical resources (hide)'!W$6:W$105)+SUMIF(Capacity_Resource,$E59,'Critical resources (hide)'!W$6:W$105)+SUMIF(Capacity_Resource,$F59,'Critical resources (hide)'!W$6:W$105)&gt;0,$E$1=2),0,1)</f>
        <v>1</v>
      </c>
      <c r="K59" s="67">
        <f ca="1">IF(AND(SUMIF(Capacity_Resource,$D59,'Critical resources (hide)'!X$6:X$105)+SUMIF(Capacity_Resource,$E59,'Critical resources (hide)'!X$6:X$105)+SUMIF(Capacity_Resource,$F59,'Critical resources (hide)'!X$6:X$105)&gt;0,$E$1=2),0,1)</f>
        <v>1</v>
      </c>
      <c r="L59" s="67">
        <f ca="1">IF(AND(SUMIF(Capacity_Resource,$D59,'Critical resources (hide)'!Y$6:Y$105)+SUMIF(Capacity_Resource,$E59,'Critical resources (hide)'!Y$6:Y$105)+SUMIF(Capacity_Resource,$F59,'Critical resources (hide)'!Y$6:Y$105)&gt;0,$E$1=2),0,1)</f>
        <v>1</v>
      </c>
      <c r="M59" s="67">
        <f ca="1">IF(AND(SUMIF(Capacity_Resource,$D59,'Critical resources (hide)'!Z$6:Z$105)+SUMIF(Capacity_Resource,$E59,'Critical resources (hide)'!Z$6:Z$105)+SUMIF(Capacity_Resource,$F59,'Critical resources (hide)'!Z$6:Z$105)&gt;0,$E$1=2),0,1)</f>
        <v>1</v>
      </c>
      <c r="N59" s="67">
        <f ca="1">IF(AND(SUMIF(Capacity_Resource,$D59,'Critical resources (hide)'!AA$6:AA$105)+SUMIF(Capacity_Resource,$E59,'Critical resources (hide)'!AA$6:AA$105)+SUMIF(Capacity_Resource,$F59,'Critical resources (hide)'!AA$6:AA$105)&gt;0,$E$1=2),0,1)</f>
        <v>1</v>
      </c>
      <c r="O59" s="67">
        <f ca="1">IF(AND(SUMIF(Capacity_Resource,$D59,'Critical resources (hide)'!AB$6:AB$105)+SUMIF(Capacity_Resource,$E59,'Critical resources (hide)'!AB$6:AB$105)+SUMIF(Capacity_Resource,$F59,'Critical resources (hide)'!AB$6:AB$105)&gt;0,$E$1=2),0,1)</f>
        <v>1</v>
      </c>
      <c r="P59" s="67">
        <f ca="1">IF(AND(SUMIF(Capacity_Resource,$D59,'Critical resources (hide)'!AC$6:AC$105)+SUMIF(Capacity_Resource,$E59,'Critical resources (hide)'!AC$6:AC$105)+SUMIF(Capacity_Resource,$F59,'Critical resources (hide)'!AC$6:AC$105)&gt;0,$E$1=2),0,1)</f>
        <v>1</v>
      </c>
      <c r="Q59" s="67">
        <f ca="1">IF(AND(SUMIF(Capacity_Resource,$D59,'Critical resources (hide)'!AD$6:AD$105)+SUMIF(Capacity_Resource,$E59,'Critical resources (hide)'!AD$6:AD$105)+SUMIF(Capacity_Resource,$F59,'Critical resources (hide)'!AD$6:AD$105)&gt;0,$E$1=2),0,1)</f>
        <v>1</v>
      </c>
      <c r="R59" s="67">
        <f ca="1">IF(AND(SUMIF(Capacity_Resource,$D59,'Critical resources (hide)'!AE$6:AE$105)+SUMIF(Capacity_Resource,$E59,'Critical resources (hide)'!AE$6:AE$105)+SUMIF(Capacity_Resource,$F59,'Critical resources (hide)'!AE$6:AE$105)&gt;0,$E$1=2),0,1)</f>
        <v>1</v>
      </c>
      <c r="S59" s="67">
        <f ca="1">IF(AND(SUMIF(Capacity_Resource,$D59,'Critical resources (hide)'!AF$6:AF$105)+SUMIF(Capacity_Resource,$E59,'Critical resources (hide)'!AF$6:AF$105)+SUMIF(Capacity_Resource,$F59,'Critical resources (hide)'!AF$6:AF$105)&gt;0,$E$1=2),0,1)</f>
        <v>1</v>
      </c>
      <c r="T59" s="67">
        <f ca="1">IF(AND(SUMIF(Capacity_Resource,$D59,'Critical resources (hide)'!AG$6:AG$105)+SUMIF(Capacity_Resource,$E59,'Critical resources (hide)'!AG$6:AG$105)+SUMIF(Capacity_Resource,$F59,'Critical resources (hide)'!AG$6:AG$105)&gt;0,$E$1=2),0,1)</f>
        <v>1</v>
      </c>
      <c r="U59" s="67">
        <f ca="1">IF(AND(SUMIF(Capacity_Resource,$D59,'Critical resources (hide)'!AH$6:AH$105)+SUMIF(Capacity_Resource,$E59,'Critical resources (hide)'!AH$6:AH$105)+SUMIF(Capacity_Resource,$F59,'Critical resources (hide)'!AH$6:AH$105)&gt;0,$E$1=2),0,1)</f>
        <v>1</v>
      </c>
      <c r="V59" s="67">
        <f ca="1">IF(AND(SUMIF(Capacity_Resource,$D59,'Critical resources (hide)'!AI$6:AI$105)+SUMIF(Capacity_Resource,$E59,'Critical resources (hide)'!AI$6:AI$105)+SUMIF(Capacity_Resource,$F59,'Critical resources (hide)'!AI$6:AI$105)&gt;0,$E$1=2),0,1)</f>
        <v>1</v>
      </c>
      <c r="W59" s="67">
        <f ca="1">IF(AND(SUMIF(Capacity_Resource,$D59,'Critical resources (hide)'!AJ$6:AJ$105)+SUMIF(Capacity_Resource,$E59,'Critical resources (hide)'!AJ$6:AJ$105)+SUMIF(Capacity_Resource,$F59,'Critical resources (hide)'!AJ$6:AJ$105)&gt;0,$E$1=2),0,1)</f>
        <v>1</v>
      </c>
      <c r="X59" s="67">
        <f ca="1">IF(AND(SUMIF(Capacity_Resource,$D59,'Critical resources (hide)'!AK$6:AK$105)+SUMIF(Capacity_Resource,$E59,'Critical resources (hide)'!AK$6:AK$105)+SUMIF(Capacity_Resource,$F59,'Critical resources (hide)'!AK$6:AK$105)&gt;0,$E$1=2),0,1)</f>
        <v>1</v>
      </c>
      <c r="Y59" s="67">
        <f ca="1">IF(AND(SUMIF(Capacity_Resource,$D59,'Critical resources (hide)'!AL$6:AL$105)+SUMIF(Capacity_Resource,$E59,'Critical resources (hide)'!AL$6:AL$105)+SUMIF(Capacity_Resource,$F59,'Critical resources (hide)'!AL$6:AL$105)&gt;0,$E$1=2),0,1)</f>
        <v>1</v>
      </c>
      <c r="Z59" s="67">
        <f ca="1">IF(AND(SUMIF(Capacity_Resource,$D59,'Critical resources (hide)'!AM$6:AM$105)+SUMIF(Capacity_Resource,$E59,'Critical resources (hide)'!AM$6:AM$105)+SUMIF(Capacity_Resource,$F59,'Critical resources (hide)'!AM$6:AM$105)&gt;0,$E$1=2),0,1)</f>
        <v>1</v>
      </c>
      <c r="AA59" s="67">
        <f ca="1">IF(AND(SUMIF(Capacity_Resource,$D59,'Critical resources (hide)'!AN$6:AN$105)+SUMIF(Capacity_Resource,$E59,'Critical resources (hide)'!AN$6:AN$105)+SUMIF(Capacity_Resource,$F59,'Critical resources (hide)'!AN$6:AN$105)&gt;0,$E$1=2),0,1)</f>
        <v>1</v>
      </c>
      <c r="AB59" s="67">
        <f ca="1">IF(AND(SUMIF(Capacity_Resource,$D59,'Critical resources (hide)'!AO$6:AO$105)+SUMIF(Capacity_Resource,$E59,'Critical resources (hide)'!AO$6:AO$105)+SUMIF(Capacity_Resource,$F59,'Critical resources (hide)'!AO$6:AO$105)&gt;0,$E$1=2),0,1)</f>
        <v>1</v>
      </c>
      <c r="AC59" s="67">
        <f ca="1">IF(AND(SUMIF(Capacity_Resource,$D59,'Critical resources (hide)'!AP$6:AP$105)+SUMIF(Capacity_Resource,$E59,'Critical resources (hide)'!AP$6:AP$105)+SUMIF(Capacity_Resource,$F59,'Critical resources (hide)'!AP$6:AP$105)&gt;0,$E$1=2),0,1)</f>
        <v>1</v>
      </c>
      <c r="AD59" s="67">
        <f ca="1">IF(AND(SUMIF(Capacity_Resource,$D59,'Critical resources (hide)'!AQ$6:AQ$105)+SUMIF(Capacity_Resource,$E59,'Critical resources (hide)'!AQ$6:AQ$105)+SUMIF(Capacity_Resource,$F59,'Critical resources (hide)'!AQ$6:AQ$105)&gt;0,$E$1=2),0,1)</f>
        <v>1</v>
      </c>
      <c r="AE59" s="67">
        <f ca="1">IF(AND(SUMIF(Capacity_Resource,$D59,'Critical resources (hide)'!AR$6:AR$105)+SUMIF(Capacity_Resource,$E59,'Critical resources (hide)'!AR$6:AR$105)+SUMIF(Capacity_Resource,$F59,'Critical resources (hide)'!AR$6:AR$105)&gt;0,$E$1=2),0,1)</f>
        <v>1</v>
      </c>
      <c r="AF59" s="67">
        <f ca="1">IF(AND(SUMIF(Capacity_Resource,$D59,'Critical resources (hide)'!AS$6:AS$105)+SUMIF(Capacity_Resource,$E59,'Critical resources (hide)'!AS$6:AS$105)+SUMIF(Capacity_Resource,$F59,'Critical resources (hide)'!AS$6:AS$105)&gt;0,$E$1=2),0,1)</f>
        <v>1</v>
      </c>
      <c r="AG59" s="67">
        <f ca="1">IF(AND(SUMIF(Capacity_Resource,$D59,'Critical resources (hide)'!AT$6:AT$105)+SUMIF(Capacity_Resource,$E59,'Critical resources (hide)'!AT$6:AT$105)+SUMIF(Capacity_Resource,$F59,'Critical resources (hide)'!AT$6:AT$105)&gt;0,$E$1=2),0,1)</f>
        <v>1</v>
      </c>
      <c r="AH59" s="67">
        <f ca="1">IF(AND(SUMIF(Capacity_Resource,$D59,'Critical resources (hide)'!AU$6:AU$105)+SUMIF(Capacity_Resource,$E59,'Critical resources (hide)'!AU$6:AU$105)+SUMIF(Capacity_Resource,$F59,'Critical resources (hide)'!AU$6:AU$105)&gt;0,$E$1=2),0,1)</f>
        <v>1</v>
      </c>
      <c r="AI59" s="67">
        <f ca="1">IF(AND(SUMIF(Capacity_Resource,$D59,'Critical resources (hide)'!AV$6:AV$105)+SUMIF(Capacity_Resource,$E59,'Critical resources (hide)'!AV$6:AV$105)+SUMIF(Capacity_Resource,$F59,'Critical resources (hide)'!AV$6:AV$105)&gt;0,$E$1=2),0,1)</f>
        <v>1</v>
      </c>
      <c r="AJ59" s="67">
        <f ca="1">IF(AND(SUMIF(Capacity_Resource,$D59,'Critical resources (hide)'!AW$6:AW$105)+SUMIF(Capacity_Resource,$E59,'Critical resources (hide)'!AW$6:AW$105)+SUMIF(Capacity_Resource,$F59,'Critical resources (hide)'!AW$6:AW$105)&gt;0,$E$1=2),0,1)</f>
        <v>1</v>
      </c>
      <c r="AK59" s="67">
        <f ca="1">IF(AND(SUMIF(Capacity_Resource,$D59,'Critical resources (hide)'!AX$6:AX$105)+SUMIF(Capacity_Resource,$E59,'Critical resources (hide)'!AX$6:AX$105)+SUMIF(Capacity_Resource,$F59,'Critical resources (hide)'!AX$6:AX$105)&gt;0,$E$1=2),0,1)</f>
        <v>1</v>
      </c>
      <c r="AL59" s="67">
        <f ca="1">IF(AND(SUMIF(Capacity_Resource,$D59,'Critical resources (hide)'!AY$6:AY$105)+SUMIF(Capacity_Resource,$E59,'Critical resources (hide)'!AY$6:AY$105)+SUMIF(Capacity_Resource,$F59,'Critical resources (hide)'!AY$6:AY$105)&gt;0,$E$1=2),0,1)</f>
        <v>1</v>
      </c>
      <c r="AM59" s="67">
        <f ca="1">IF(AND(SUMIF(Capacity_Resource,$D59,'Critical resources (hide)'!AZ$6:AZ$105)+SUMIF(Capacity_Resource,$E59,'Critical resources (hide)'!AZ$6:AZ$105)+SUMIF(Capacity_Resource,$F59,'Critical resources (hide)'!AZ$6:AZ$105)&gt;0,$E$1=2),0,1)</f>
        <v>1</v>
      </c>
      <c r="AN59" s="67">
        <f ca="1">IF(AND(SUMIF(Capacity_Resource,$D59,'Critical resources (hide)'!BA$6:BA$105)+SUMIF(Capacity_Resource,$E59,'Critical resources (hide)'!BA$6:BA$105)+SUMIF(Capacity_Resource,$F59,'Critical resources (hide)'!BA$6:BA$105)&gt;0,$E$1=2),0,1)</f>
        <v>1</v>
      </c>
      <c r="AO59" s="67">
        <f ca="1">IF(AND(SUMIF(Capacity_Resource,$D59,'Critical resources (hide)'!BB$6:BB$105)+SUMIF(Capacity_Resource,$E59,'Critical resources (hide)'!BB$6:BB$105)+SUMIF(Capacity_Resource,$F59,'Critical resources (hide)'!BB$6:BB$105)&gt;0,$E$1=2),0,1)</f>
        <v>1</v>
      </c>
      <c r="AP59" s="67">
        <f ca="1">IF(AND(SUMIF(Capacity_Resource,$D59,'Critical resources (hide)'!BC$6:BC$105)+SUMIF(Capacity_Resource,$E59,'Critical resources (hide)'!BC$6:BC$105)+SUMIF(Capacity_Resource,$F59,'Critical resources (hide)'!BC$6:BC$105)&gt;0,$E$1=2),0,1)</f>
        <v>1</v>
      </c>
      <c r="AQ59" s="67">
        <f ca="1">IF(AND(SUMIF(Capacity_Resource,$D59,'Critical resources (hide)'!BD$6:BD$105)+SUMIF(Capacity_Resource,$E59,'Critical resources (hide)'!BD$6:BD$105)+SUMIF(Capacity_Resource,$F59,'Critical resources (hide)'!BD$6:BD$105)&gt;0,$E$1=2),0,1)</f>
        <v>1</v>
      </c>
      <c r="AR59" s="67">
        <f ca="1">IF(AND(SUMIF(Capacity_Resource,$D59,'Critical resources (hide)'!BE$6:BE$105)+SUMIF(Capacity_Resource,$E59,'Critical resources (hide)'!BE$6:BE$105)+SUMIF(Capacity_Resource,$F59,'Critical resources (hide)'!BE$6:BE$105)&gt;0,$E$1=2),0,1)</f>
        <v>1</v>
      </c>
      <c r="AS59" s="67">
        <f ca="1">IF(AND(SUMIF(Capacity_Resource,$D59,'Critical resources (hide)'!BF$6:BF$105)+SUMIF(Capacity_Resource,$E59,'Critical resources (hide)'!BF$6:BF$105)+SUMIF(Capacity_Resource,$F59,'Critical resources (hide)'!BF$6:BF$105)&gt;0,$E$1=2),0,1)</f>
        <v>1</v>
      </c>
      <c r="AT59" s="67">
        <f ca="1">IF(AND(SUMIF(Capacity_Resource,$D59,'Critical resources (hide)'!BG$6:BG$105)+SUMIF(Capacity_Resource,$E59,'Critical resources (hide)'!BG$6:BG$105)+SUMIF(Capacity_Resource,$F59,'Critical resources (hide)'!BG$6:BG$105)&gt;0,$E$1=2),0,1)</f>
        <v>1</v>
      </c>
      <c r="AU59" s="67">
        <f ca="1">IF(AND(SUMIF(Capacity_Resource,$D59,'Critical resources (hide)'!BH$6:BH$105)+SUMIF(Capacity_Resource,$E59,'Critical resources (hide)'!BH$6:BH$105)+SUMIF(Capacity_Resource,$F59,'Critical resources (hide)'!BH$6:BH$105)&gt;0,$E$1=2),0,1)</f>
        <v>1</v>
      </c>
      <c r="AV59" s="67">
        <f ca="1">IF(AND(SUMIF(Capacity_Resource,$D59,'Critical resources (hide)'!BI$6:BI$105)+SUMIF(Capacity_Resource,$E59,'Critical resources (hide)'!BI$6:BI$105)+SUMIF(Capacity_Resource,$F59,'Critical resources (hide)'!BI$6:BI$105)&gt;0,$E$1=2),0,1)</f>
        <v>1</v>
      </c>
      <c r="AW59" s="67">
        <f ca="1">IF(AND(SUMIF(Capacity_Resource,$D59,'Critical resources (hide)'!BJ$6:BJ$105)+SUMIF(Capacity_Resource,$E59,'Critical resources (hide)'!BJ$6:BJ$105)+SUMIF(Capacity_Resource,$F59,'Critical resources (hide)'!BJ$6:BJ$105)&gt;0,$E$1=2),0,1)</f>
        <v>1</v>
      </c>
      <c r="AX59" s="67">
        <f ca="1">IF(AND(SUMIF(Capacity_Resource,$D59,'Critical resources (hide)'!BK$6:BK$105)+SUMIF(Capacity_Resource,$E59,'Critical resources (hide)'!BK$6:BK$105)+SUMIF(Capacity_Resource,$F59,'Critical resources (hide)'!BK$6:BK$105)&gt;0,$E$1=2),0,1)</f>
        <v>1</v>
      </c>
      <c r="AY59" s="67">
        <f ca="1">IF(AND(SUMIF(Capacity_Resource,$D59,'Critical resources (hide)'!BL$6:BL$105)+SUMIF(Capacity_Resource,$E59,'Critical resources (hide)'!BL$6:BL$105)+SUMIF(Capacity_Resource,$F59,'Critical resources (hide)'!BL$6:BL$105)&gt;0,$E$1=2),0,1)</f>
        <v>1</v>
      </c>
      <c r="AZ59" s="67">
        <f ca="1">IF(AND(SUMIF(Capacity_Resource,$D59,'Critical resources (hide)'!BM$6:BM$105)+SUMIF(Capacity_Resource,$E59,'Critical resources (hide)'!BM$6:BM$105)+SUMIF(Capacity_Resource,$F59,'Critical resources (hide)'!BM$6:BM$105)&gt;0,$E$1=2),0,1)</f>
        <v>1</v>
      </c>
      <c r="BA59" s="67">
        <f ca="1">IF(AND(SUMIF(Capacity_Resource,$D59,'Critical resources (hide)'!BN$6:BN$105)+SUMIF(Capacity_Resource,$E59,'Critical resources (hide)'!BN$6:BN$105)+SUMIF(Capacity_Resource,$F59,'Critical resources (hide)'!BN$6:BN$105)&gt;0,$E$1=2),0,1)</f>
        <v>1</v>
      </c>
      <c r="BB59" s="67">
        <f ca="1">IF(AND(SUMIF(Capacity_Resource,$D59,'Critical resources (hide)'!BO$6:BO$105)+SUMIF(Capacity_Resource,$E59,'Critical resources (hide)'!BO$6:BO$105)+SUMIF(Capacity_Resource,$F59,'Critical resources (hide)'!BO$6:BO$105)&gt;0,$E$1=2),0,1)</f>
        <v>1</v>
      </c>
      <c r="BC59" s="67">
        <f ca="1">IF(AND(SUMIF(Capacity_Resource,$D59,'Critical resources (hide)'!BP$6:BP$105)+SUMIF(Capacity_Resource,$E59,'Critical resources (hide)'!BP$6:BP$105)+SUMIF(Capacity_Resource,$F59,'Critical resources (hide)'!BP$6:BP$105)&gt;0,$E$1=2),0,1)</f>
        <v>1</v>
      </c>
      <c r="BD59" s="67">
        <f ca="1">IF(AND(SUMIF(Capacity_Resource,$D59,'Critical resources (hide)'!BQ$6:BQ$105)+SUMIF(Capacity_Resource,$E59,'Critical resources (hide)'!BQ$6:BQ$105)+SUMIF(Capacity_Resource,$F59,'Critical resources (hide)'!BQ$6:BQ$105)&gt;0,$E$1=2),0,1)</f>
        <v>1</v>
      </c>
      <c r="BE59" s="67">
        <f ca="1">IF(AND(SUMIF(Capacity_Resource,$D59,'Critical resources (hide)'!BR$6:BR$105)+SUMIF(Capacity_Resource,$E59,'Critical resources (hide)'!BR$6:BR$105)+SUMIF(Capacity_Resource,$F59,'Critical resources (hide)'!BR$6:BR$105)&gt;0,$E$1=2),0,1)</f>
        <v>1</v>
      </c>
      <c r="BF59" s="67">
        <f ca="1">IF(AND(SUMIF(Capacity_Resource,$D59,'Critical resources (hide)'!BS$6:BS$105)+SUMIF(Capacity_Resource,$E59,'Critical resources (hide)'!BS$6:BS$105)+SUMIF(Capacity_Resource,$F59,'Critical resources (hide)'!BS$6:BS$105)&gt;0,$E$1=2),0,1)</f>
        <v>1</v>
      </c>
      <c r="BG59" s="67">
        <f ca="1">IF(AND(SUMIF(Capacity_Resource,$D59,'Critical resources (hide)'!BT$6:BT$105)+SUMIF(Capacity_Resource,$E59,'Critical resources (hide)'!BT$6:BT$105)+SUMIF(Capacity_Resource,$F59,'Critical resources (hide)'!BT$6:BT$105)&gt;0,$E$1=2),0,1)</f>
        <v>1</v>
      </c>
      <c r="BH59" s="67">
        <f>IF(ROW(C55)&lt;=Capacity!$A$16,IF('Capacity summary'!$D$14="No",SUM(H59:BG59),'Capacity summary'!$E178),0)</f>
        <v>0</v>
      </c>
      <c r="BI59" s="5" t="str">
        <f>IF(BH59&gt;0,IF(BH59&lt;Capacity!E71,Capacity!F71,Capacity!H71/'Capacity calculation (hide)'!BH59),"")</f>
        <v/>
      </c>
      <c r="BK59" s="313">
        <f>IF($BI59&lt;&gt;"",IF('Capacity summary'!$D$14="Yes",IF(COUNTBLANK('Capacity summary'!$H178:$BG178)&lt;52,IF('Capacity summary'!H178&lt;&gt;"",IF(LOWER('Capacity summary'!H178)="x",$BI59*H59,VALUE('Capacity summary'!H178)),0),H59*$BI59),H59*$BI59),0)</f>
        <v>0</v>
      </c>
      <c r="BL59" s="313">
        <f>IF($BI59&lt;&gt;"",IF('Capacity summary'!$D$14="Yes",IF(COUNTBLANK('Capacity summary'!$H178:$BG178)&lt;52,IF('Capacity summary'!I178&lt;&gt;"",IF(LOWER('Capacity summary'!I178)="x",$BI59*I59,VALUE('Capacity summary'!I178)),0),I59*$BI59),I59*$BI59),0)</f>
        <v>0</v>
      </c>
      <c r="BM59" s="313">
        <f>IF($BI59&lt;&gt;"",IF('Capacity summary'!$D$14="Yes",IF(COUNTBLANK('Capacity summary'!$H178:$BG178)&lt;52,IF('Capacity summary'!J178&lt;&gt;"",IF(LOWER('Capacity summary'!J178)="x",$BI59*J59,VALUE('Capacity summary'!J178)),0),J59*$BI59),J59*$BI59),0)</f>
        <v>0</v>
      </c>
      <c r="BN59" s="313">
        <f>IF($BI59&lt;&gt;"",IF('Capacity summary'!$D$14="Yes",IF(COUNTBLANK('Capacity summary'!$H178:$BG178)&lt;52,IF('Capacity summary'!K178&lt;&gt;"",IF(LOWER('Capacity summary'!K178)="x",$BI59*K59,VALUE('Capacity summary'!K178)),0),K59*$BI59),K59*$BI59),0)</f>
        <v>0</v>
      </c>
      <c r="BO59" s="313">
        <f>IF($BI59&lt;&gt;"",IF('Capacity summary'!$D$14="Yes",IF(COUNTBLANK('Capacity summary'!$H178:$BG178)&lt;52,IF('Capacity summary'!L178&lt;&gt;"",IF(LOWER('Capacity summary'!L178)="x",$BI59*L59,VALUE('Capacity summary'!L178)),0),L59*$BI59),L59*$BI59),0)</f>
        <v>0</v>
      </c>
      <c r="BP59" s="313">
        <f>IF($BI59&lt;&gt;"",IF('Capacity summary'!$D$14="Yes",IF(COUNTBLANK('Capacity summary'!$H178:$BG178)&lt;52,IF('Capacity summary'!M178&lt;&gt;"",IF(LOWER('Capacity summary'!M178)="x",$BI59*M59,VALUE('Capacity summary'!M178)),0),M59*$BI59),M59*$BI59),0)</f>
        <v>0</v>
      </c>
      <c r="BQ59" s="313">
        <f>IF($BI59&lt;&gt;"",IF('Capacity summary'!$D$14="Yes",IF(COUNTBLANK('Capacity summary'!$H178:$BG178)&lt;52,IF('Capacity summary'!N178&lt;&gt;"",IF(LOWER('Capacity summary'!N178)="x",$BI59*N59,VALUE('Capacity summary'!N178)),0),N59*$BI59),N59*$BI59),0)</f>
        <v>0</v>
      </c>
      <c r="BR59" s="313">
        <f>IF($BI59&lt;&gt;"",IF('Capacity summary'!$D$14="Yes",IF(COUNTBLANK('Capacity summary'!$H178:$BG178)&lt;52,IF('Capacity summary'!O178&lt;&gt;"",IF(LOWER('Capacity summary'!O178)="x",$BI59*O59,VALUE('Capacity summary'!O178)),0),O59*$BI59),O59*$BI59),0)</f>
        <v>0</v>
      </c>
      <c r="BS59" s="313">
        <f>IF($BI59&lt;&gt;"",IF('Capacity summary'!$D$14="Yes",IF(COUNTBLANK('Capacity summary'!$H178:$BG178)&lt;52,IF('Capacity summary'!P178&lt;&gt;"",IF(LOWER('Capacity summary'!P178)="x",$BI59*P59,VALUE('Capacity summary'!P178)),0),P59*$BI59),P59*$BI59),0)</f>
        <v>0</v>
      </c>
      <c r="BT59" s="313">
        <f>IF($BI59&lt;&gt;"",IF('Capacity summary'!$D$14="Yes",IF(COUNTBLANK('Capacity summary'!$H178:$BG178)&lt;52,IF('Capacity summary'!Q178&lt;&gt;"",IF(LOWER('Capacity summary'!Q178)="x",$BI59*Q59,VALUE('Capacity summary'!Q178)),0),Q59*$BI59),Q59*$BI59),0)</f>
        <v>0</v>
      </c>
      <c r="BU59" s="313">
        <f>IF($BI59&lt;&gt;"",IF('Capacity summary'!$D$14="Yes",IF(COUNTBLANK('Capacity summary'!$H178:$BG178)&lt;52,IF('Capacity summary'!R178&lt;&gt;"",IF(LOWER('Capacity summary'!R178)="x",$BI59*R59,VALUE('Capacity summary'!R178)),0),R59*$BI59),R59*$BI59),0)</f>
        <v>0</v>
      </c>
      <c r="BV59" s="313">
        <f>IF($BI59&lt;&gt;"",IF('Capacity summary'!$D$14="Yes",IF(COUNTBLANK('Capacity summary'!$H178:$BG178)&lt;52,IF('Capacity summary'!S178&lt;&gt;"",IF(LOWER('Capacity summary'!S178)="x",$BI59*S59,VALUE('Capacity summary'!S178)),0),S59*$BI59),S59*$BI59),0)</f>
        <v>0</v>
      </c>
      <c r="BW59" s="313">
        <f>IF($BI59&lt;&gt;"",IF('Capacity summary'!$D$14="Yes",IF(COUNTBLANK('Capacity summary'!$H178:$BG178)&lt;52,IF('Capacity summary'!T178&lt;&gt;"",IF(LOWER('Capacity summary'!T178)="x",$BI59*T59,VALUE('Capacity summary'!T178)),0),T59*$BI59),T59*$BI59),0)</f>
        <v>0</v>
      </c>
      <c r="BX59" s="313">
        <f>IF($BI59&lt;&gt;"",IF('Capacity summary'!$D$14="Yes",IF(COUNTBLANK('Capacity summary'!$H178:$BG178)&lt;52,IF('Capacity summary'!U178&lt;&gt;"",IF(LOWER('Capacity summary'!U178)="x",$BI59*U59,VALUE('Capacity summary'!U178)),0),U59*$BI59),U59*$BI59),0)</f>
        <v>0</v>
      </c>
      <c r="BY59" s="313">
        <f>IF($BI59&lt;&gt;"",IF('Capacity summary'!$D$14="Yes",IF(COUNTBLANK('Capacity summary'!$H178:$BG178)&lt;52,IF('Capacity summary'!V178&lt;&gt;"",IF(LOWER('Capacity summary'!V178)="x",$BI59*V59,VALUE('Capacity summary'!V178)),0),V59*$BI59),V59*$BI59),0)</f>
        <v>0</v>
      </c>
      <c r="BZ59" s="313">
        <f>IF($BI59&lt;&gt;"",IF('Capacity summary'!$D$14="Yes",IF(COUNTBLANK('Capacity summary'!$H178:$BG178)&lt;52,IF('Capacity summary'!W178&lt;&gt;"",IF(LOWER('Capacity summary'!W178)="x",$BI59*W59,VALUE('Capacity summary'!W178)),0),W59*$BI59),W59*$BI59),0)</f>
        <v>0</v>
      </c>
      <c r="CA59" s="313">
        <f>IF($BI59&lt;&gt;"",IF('Capacity summary'!$D$14="Yes",IF(COUNTBLANK('Capacity summary'!$H178:$BG178)&lt;52,IF('Capacity summary'!X178&lt;&gt;"",IF(LOWER('Capacity summary'!X178)="x",$BI59*X59,VALUE('Capacity summary'!X178)),0),X59*$BI59),X59*$BI59),0)</f>
        <v>0</v>
      </c>
      <c r="CB59" s="313">
        <f>IF($BI59&lt;&gt;"",IF('Capacity summary'!$D$14="Yes",IF(COUNTBLANK('Capacity summary'!$H178:$BG178)&lt;52,IF('Capacity summary'!Y178&lt;&gt;"",IF(LOWER('Capacity summary'!Y178)="x",$BI59*Y59,VALUE('Capacity summary'!Y178)),0),Y59*$BI59),Y59*$BI59),0)</f>
        <v>0</v>
      </c>
      <c r="CC59" s="313">
        <f>IF($BI59&lt;&gt;"",IF('Capacity summary'!$D$14="Yes",IF(COUNTBLANK('Capacity summary'!$H178:$BG178)&lt;52,IF('Capacity summary'!Z178&lt;&gt;"",IF(LOWER('Capacity summary'!Z178)="x",$BI59*Z59,VALUE('Capacity summary'!Z178)),0),Z59*$BI59),Z59*$BI59),0)</f>
        <v>0</v>
      </c>
      <c r="CD59" s="313">
        <f>IF($BI59&lt;&gt;"",IF('Capacity summary'!$D$14="Yes",IF(COUNTBLANK('Capacity summary'!$H178:$BG178)&lt;52,IF('Capacity summary'!AA178&lt;&gt;"",IF(LOWER('Capacity summary'!AA178)="x",$BI59*AA59,VALUE('Capacity summary'!AA178)),0),AA59*$BI59),AA59*$BI59),0)</f>
        <v>0</v>
      </c>
      <c r="CE59" s="313">
        <f>IF($BI59&lt;&gt;"",IF('Capacity summary'!$D$14="Yes",IF(COUNTBLANK('Capacity summary'!$H178:$BG178)&lt;52,IF('Capacity summary'!AB178&lt;&gt;"",IF(LOWER('Capacity summary'!AB178)="x",$BI59*AB59,VALUE('Capacity summary'!AB178)),0),AB59*$BI59),AB59*$BI59),0)</f>
        <v>0</v>
      </c>
      <c r="CF59" s="313">
        <f>IF($BI59&lt;&gt;"",IF('Capacity summary'!$D$14="Yes",IF(COUNTBLANK('Capacity summary'!$H178:$BG178)&lt;52,IF('Capacity summary'!AC178&lt;&gt;"",IF(LOWER('Capacity summary'!AC178)="x",$BI59*AC59,VALUE('Capacity summary'!AC178)),0),AC59*$BI59),AC59*$BI59),0)</f>
        <v>0</v>
      </c>
      <c r="CG59" s="313">
        <f>IF($BI59&lt;&gt;"",IF('Capacity summary'!$D$14="Yes",IF(COUNTBLANK('Capacity summary'!$H178:$BG178)&lt;52,IF('Capacity summary'!AD178&lt;&gt;"",IF(LOWER('Capacity summary'!AD178)="x",$BI59*AD59,VALUE('Capacity summary'!AD178)),0),AD59*$BI59),AD59*$BI59),0)</f>
        <v>0</v>
      </c>
      <c r="CH59" s="313">
        <f>IF($BI59&lt;&gt;"",IF('Capacity summary'!$D$14="Yes",IF(COUNTBLANK('Capacity summary'!$H178:$BG178)&lt;52,IF('Capacity summary'!AE178&lt;&gt;"",IF(LOWER('Capacity summary'!AE178)="x",$BI59*AE59,VALUE('Capacity summary'!AE178)),0),AE59*$BI59),AE59*$BI59),0)</f>
        <v>0</v>
      </c>
      <c r="CI59" s="313">
        <f>IF($BI59&lt;&gt;"",IF('Capacity summary'!$D$14="Yes",IF(COUNTBLANK('Capacity summary'!$H178:$BG178)&lt;52,IF('Capacity summary'!AF178&lt;&gt;"",IF(LOWER('Capacity summary'!AF178)="x",$BI59*AF59,VALUE('Capacity summary'!AF178)),0),AF59*$BI59),AF59*$BI59),0)</f>
        <v>0</v>
      </c>
      <c r="CJ59" s="313">
        <f>IF($BI59&lt;&gt;"",IF('Capacity summary'!$D$14="Yes",IF(COUNTBLANK('Capacity summary'!$H178:$BG178)&lt;52,IF('Capacity summary'!AG178&lt;&gt;"",IF(LOWER('Capacity summary'!AG178)="x",$BI59*AG59,VALUE('Capacity summary'!AG178)),0),AG59*$BI59),AG59*$BI59),0)</f>
        <v>0</v>
      </c>
      <c r="CK59" s="313">
        <f>IF($BI59&lt;&gt;"",IF('Capacity summary'!$D$14="Yes",IF(COUNTBLANK('Capacity summary'!$H178:$BG178)&lt;52,IF('Capacity summary'!AH178&lt;&gt;"",IF(LOWER('Capacity summary'!AH178)="x",$BI59*AH59,VALUE('Capacity summary'!AH178)),0),AH59*$BI59),AH59*$BI59),0)</f>
        <v>0</v>
      </c>
      <c r="CL59" s="313">
        <f>IF($BI59&lt;&gt;"",IF('Capacity summary'!$D$14="Yes",IF(COUNTBLANK('Capacity summary'!$H178:$BG178)&lt;52,IF('Capacity summary'!AI178&lt;&gt;"",IF(LOWER('Capacity summary'!AI178)="x",$BI59*AI59,VALUE('Capacity summary'!AI178)),0),AI59*$BI59),AI59*$BI59),0)</f>
        <v>0</v>
      </c>
      <c r="CM59" s="313">
        <f>IF($BI59&lt;&gt;"",IF('Capacity summary'!$D$14="Yes",IF(COUNTBLANK('Capacity summary'!$H178:$BG178)&lt;52,IF('Capacity summary'!AJ178&lt;&gt;"",IF(LOWER('Capacity summary'!AJ178)="x",$BI59*AJ59,VALUE('Capacity summary'!AJ178)),0),AJ59*$BI59),AJ59*$BI59),0)</f>
        <v>0</v>
      </c>
      <c r="CN59" s="313">
        <f>IF($BI59&lt;&gt;"",IF('Capacity summary'!$D$14="Yes",IF(COUNTBLANK('Capacity summary'!$H178:$BG178)&lt;52,IF('Capacity summary'!AK178&lt;&gt;"",IF(LOWER('Capacity summary'!AK178)="x",$BI59*AK59,VALUE('Capacity summary'!AK178)),0),AK59*$BI59),AK59*$BI59),0)</f>
        <v>0</v>
      </c>
      <c r="CO59" s="313">
        <f>IF($BI59&lt;&gt;"",IF('Capacity summary'!$D$14="Yes",IF(COUNTBLANK('Capacity summary'!$H178:$BG178)&lt;52,IF('Capacity summary'!AL178&lt;&gt;"",IF(LOWER('Capacity summary'!AL178)="x",$BI59*AL59,VALUE('Capacity summary'!AL178)),0),AL59*$BI59),AL59*$BI59),0)</f>
        <v>0</v>
      </c>
      <c r="CP59" s="313">
        <f>IF($BI59&lt;&gt;"",IF('Capacity summary'!$D$14="Yes",IF(COUNTBLANK('Capacity summary'!$H178:$BG178)&lt;52,IF('Capacity summary'!AM178&lt;&gt;"",IF(LOWER('Capacity summary'!AM178)="x",$BI59*AM59,VALUE('Capacity summary'!AM178)),0),AM59*$BI59),AM59*$BI59),0)</f>
        <v>0</v>
      </c>
      <c r="CQ59" s="313">
        <f>IF($BI59&lt;&gt;"",IF('Capacity summary'!$D$14="Yes",IF(COUNTBLANK('Capacity summary'!$H178:$BG178)&lt;52,IF('Capacity summary'!AN178&lt;&gt;"",IF(LOWER('Capacity summary'!AN178)="x",$BI59*AN59,VALUE('Capacity summary'!AN178)),0),AN59*$BI59),AN59*$BI59),0)</f>
        <v>0</v>
      </c>
      <c r="CR59" s="313">
        <f>IF($BI59&lt;&gt;"",IF('Capacity summary'!$D$14="Yes",IF(COUNTBLANK('Capacity summary'!$H178:$BG178)&lt;52,IF('Capacity summary'!AO178&lt;&gt;"",IF(LOWER('Capacity summary'!AO178)="x",$BI59*AO59,VALUE('Capacity summary'!AO178)),0),AO59*$BI59),AO59*$BI59),0)</f>
        <v>0</v>
      </c>
      <c r="CS59" s="313">
        <f>IF($BI59&lt;&gt;"",IF('Capacity summary'!$D$14="Yes",IF(COUNTBLANK('Capacity summary'!$H178:$BG178)&lt;52,IF('Capacity summary'!AP178&lt;&gt;"",IF(LOWER('Capacity summary'!AP178)="x",$BI59*AP59,VALUE('Capacity summary'!AP178)),0),AP59*$BI59),AP59*$BI59),0)</f>
        <v>0</v>
      </c>
      <c r="CT59" s="313">
        <f>IF($BI59&lt;&gt;"",IF('Capacity summary'!$D$14="Yes",IF(COUNTBLANK('Capacity summary'!$H178:$BG178)&lt;52,IF('Capacity summary'!AQ178&lt;&gt;"",IF(LOWER('Capacity summary'!AQ178)="x",$BI59*AQ59,VALUE('Capacity summary'!AQ178)),0),AQ59*$BI59),AQ59*$BI59),0)</f>
        <v>0</v>
      </c>
      <c r="CU59" s="313">
        <f>IF($BI59&lt;&gt;"",IF('Capacity summary'!$D$14="Yes",IF(COUNTBLANK('Capacity summary'!$H178:$BG178)&lt;52,IF('Capacity summary'!AR178&lt;&gt;"",IF(LOWER('Capacity summary'!AR178)="x",$BI59*AR59,VALUE('Capacity summary'!AR178)),0),AR59*$BI59),AR59*$BI59),0)</f>
        <v>0</v>
      </c>
      <c r="CV59" s="313">
        <f>IF($BI59&lt;&gt;"",IF('Capacity summary'!$D$14="Yes",IF(COUNTBLANK('Capacity summary'!$H178:$BG178)&lt;52,IF('Capacity summary'!AS178&lt;&gt;"",IF(LOWER('Capacity summary'!AS178)="x",$BI59*AS59,VALUE('Capacity summary'!AS178)),0),AS59*$BI59),AS59*$BI59),0)</f>
        <v>0</v>
      </c>
      <c r="CW59" s="313">
        <f>IF($BI59&lt;&gt;"",IF('Capacity summary'!$D$14="Yes",IF(COUNTBLANK('Capacity summary'!$H178:$BG178)&lt;52,IF('Capacity summary'!AT178&lt;&gt;"",IF(LOWER('Capacity summary'!AT178)="x",$BI59*AT59,VALUE('Capacity summary'!AT178)),0),AT59*$BI59),AT59*$BI59),0)</f>
        <v>0</v>
      </c>
      <c r="CX59" s="313">
        <f>IF($BI59&lt;&gt;"",IF('Capacity summary'!$D$14="Yes",IF(COUNTBLANK('Capacity summary'!$H178:$BG178)&lt;52,IF('Capacity summary'!AU178&lt;&gt;"",IF(LOWER('Capacity summary'!AU178)="x",$BI59*AU59,VALUE('Capacity summary'!AU178)),0),AU59*$BI59),AU59*$BI59),0)</f>
        <v>0</v>
      </c>
      <c r="CY59" s="313">
        <f>IF($BI59&lt;&gt;"",IF('Capacity summary'!$D$14="Yes",IF(COUNTBLANK('Capacity summary'!$H178:$BG178)&lt;52,IF('Capacity summary'!AV178&lt;&gt;"",IF(LOWER('Capacity summary'!AV178)="x",$BI59*AV59,VALUE('Capacity summary'!AV178)),0),AV59*$BI59),AV59*$BI59),0)</f>
        <v>0</v>
      </c>
      <c r="CZ59" s="313">
        <f>IF($BI59&lt;&gt;"",IF('Capacity summary'!$D$14="Yes",IF(COUNTBLANK('Capacity summary'!$H178:$BG178)&lt;52,IF('Capacity summary'!AW178&lt;&gt;"",IF(LOWER('Capacity summary'!AW178)="x",$BI59*AW59,VALUE('Capacity summary'!AW178)),0),AW59*$BI59),AW59*$BI59),0)</f>
        <v>0</v>
      </c>
      <c r="DA59" s="313">
        <f>IF($BI59&lt;&gt;"",IF('Capacity summary'!$D$14="Yes",IF(COUNTBLANK('Capacity summary'!$H178:$BG178)&lt;52,IF('Capacity summary'!AX178&lt;&gt;"",IF(LOWER('Capacity summary'!AX178)="x",$BI59*AX59,VALUE('Capacity summary'!AX178)),0),AX59*$BI59),AX59*$BI59),0)</f>
        <v>0</v>
      </c>
      <c r="DB59" s="313">
        <f>IF($BI59&lt;&gt;"",IF('Capacity summary'!$D$14="Yes",IF(COUNTBLANK('Capacity summary'!$H178:$BG178)&lt;52,IF('Capacity summary'!AY178&lt;&gt;"",IF(LOWER('Capacity summary'!AY178)="x",$BI59*AY59,VALUE('Capacity summary'!AY178)),0),AY59*$BI59),AY59*$BI59),0)</f>
        <v>0</v>
      </c>
      <c r="DC59" s="313">
        <f>IF($BI59&lt;&gt;"",IF('Capacity summary'!$D$14="Yes",IF(COUNTBLANK('Capacity summary'!$H178:$BG178)&lt;52,IF('Capacity summary'!AZ178&lt;&gt;"",IF(LOWER('Capacity summary'!AZ178)="x",$BI59*AZ59,VALUE('Capacity summary'!AZ178)),0),AZ59*$BI59),AZ59*$BI59),0)</f>
        <v>0</v>
      </c>
      <c r="DD59" s="313">
        <f>IF($BI59&lt;&gt;"",IF('Capacity summary'!$D$14="Yes",IF(COUNTBLANK('Capacity summary'!$H178:$BG178)&lt;52,IF('Capacity summary'!BA178&lt;&gt;"",IF(LOWER('Capacity summary'!BA178)="x",$BI59*BA59,VALUE('Capacity summary'!BA178)),0),BA59*$BI59),BA59*$BI59),0)</f>
        <v>0</v>
      </c>
      <c r="DE59" s="313">
        <f>IF($BI59&lt;&gt;"",IF('Capacity summary'!$D$14="Yes",IF(COUNTBLANK('Capacity summary'!$H178:$BG178)&lt;52,IF('Capacity summary'!BB178&lt;&gt;"",IF(LOWER('Capacity summary'!BB178)="x",$BI59*BB59,VALUE('Capacity summary'!BB178)),0),BB59*$BI59),BB59*$BI59),0)</f>
        <v>0</v>
      </c>
      <c r="DF59" s="313">
        <f>IF($BI59&lt;&gt;"",IF('Capacity summary'!$D$14="Yes",IF(COUNTBLANK('Capacity summary'!$H178:$BG178)&lt;52,IF('Capacity summary'!BC178&lt;&gt;"",IF(LOWER('Capacity summary'!BC178)="x",$BI59*BC59,VALUE('Capacity summary'!BC178)),0),BC59*$BI59),BC59*$BI59),0)</f>
        <v>0</v>
      </c>
      <c r="DG59" s="313">
        <f>IF($BI59&lt;&gt;"",IF('Capacity summary'!$D$14="Yes",IF(COUNTBLANK('Capacity summary'!$H178:$BG178)&lt;52,IF('Capacity summary'!BD178&lt;&gt;"",IF(LOWER('Capacity summary'!BD178)="x",$BI59*BD59,VALUE('Capacity summary'!BD178)),0),BD59*$BI59),BD59*$BI59),0)</f>
        <v>0</v>
      </c>
      <c r="DH59" s="313">
        <f>IF($BI59&lt;&gt;"",IF('Capacity summary'!$D$14="Yes",IF(COUNTBLANK('Capacity summary'!$H178:$BG178)&lt;52,IF('Capacity summary'!BE178&lt;&gt;"",IF(LOWER('Capacity summary'!BE178)="x",$BI59*BE59,VALUE('Capacity summary'!BE178)),0),BE59*$BI59),BE59*$BI59),0)</f>
        <v>0</v>
      </c>
      <c r="DI59" s="313">
        <f>IF($BI59&lt;&gt;"",IF('Capacity summary'!$D$14="Yes",IF(COUNTBLANK('Capacity summary'!$H178:$BG178)&lt;52,IF('Capacity summary'!BF178&lt;&gt;"",IF(LOWER('Capacity summary'!BF178)="x",$BI59*BF59,VALUE('Capacity summary'!BF178)),0),BF59*$BI59),BF59*$BI59),0)</f>
        <v>0</v>
      </c>
      <c r="DJ59" s="313">
        <f>IF($BI59&lt;&gt;"",IF('Capacity summary'!$D$14="Yes",IF(COUNTBLANK('Capacity summary'!$H178:$BG178)&lt;52,IF('Capacity summary'!BG178&lt;&gt;"",IF(LOWER('Capacity summary'!BG178)="x",$BI59*BG59,VALUE('Capacity summary'!BG178)),0),BG59*$BI59),BG59*$BI59),0)</f>
        <v>0</v>
      </c>
      <c r="DK59" s="137">
        <f t="shared" si="2"/>
        <v>0</v>
      </c>
      <c r="DL59" s="313" t="str">
        <f>Capacity!H71</f>
        <v/>
      </c>
    </row>
    <row r="60" spans="2:120" x14ac:dyDescent="0.25">
      <c r="B60" s="67"/>
      <c r="C60" s="67" t="str">
        <f>ROW(A56)&amp;". "&amp;Capacity!B72</f>
        <v xml:space="preserve">56. </v>
      </c>
      <c r="D60" s="67">
        <f>'Capacity setup'!C67</f>
        <v>0</v>
      </c>
      <c r="E60" s="67">
        <f>'Capacity setup'!D67</f>
        <v>0</v>
      </c>
      <c r="F60" s="67">
        <f>'Capacity setup'!E67</f>
        <v>0</v>
      </c>
      <c r="H60" s="67">
        <f ca="1">IF(AND(SUMIF(Capacity_Resource,$D60,'Critical resources (hide)'!U$6:U$105)+SUMIF(Capacity_Resource,$E60,'Critical resources (hide)'!U$6:U$105)+SUMIF(Capacity_Resource,$F60,'Critical resources (hide)'!U$6:U$105)&gt;0,$E$1=2),0,1)</f>
        <v>1</v>
      </c>
      <c r="I60" s="67">
        <f ca="1">IF(AND(SUMIF(Capacity_Resource,$D60,'Critical resources (hide)'!V$6:V$105)+SUMIF(Capacity_Resource,$E60,'Critical resources (hide)'!V$6:V$105)+SUMIF(Capacity_Resource,$F60,'Critical resources (hide)'!V$6:V$105)&gt;0,$E$1=2),0,1)</f>
        <v>1</v>
      </c>
      <c r="J60" s="67">
        <f ca="1">IF(AND(SUMIF(Capacity_Resource,$D60,'Critical resources (hide)'!W$6:W$105)+SUMIF(Capacity_Resource,$E60,'Critical resources (hide)'!W$6:W$105)+SUMIF(Capacity_Resource,$F60,'Critical resources (hide)'!W$6:W$105)&gt;0,$E$1=2),0,1)</f>
        <v>1</v>
      </c>
      <c r="K60" s="67">
        <f ca="1">IF(AND(SUMIF(Capacity_Resource,$D60,'Critical resources (hide)'!X$6:X$105)+SUMIF(Capacity_Resource,$E60,'Critical resources (hide)'!X$6:X$105)+SUMIF(Capacity_Resource,$F60,'Critical resources (hide)'!X$6:X$105)&gt;0,$E$1=2),0,1)</f>
        <v>1</v>
      </c>
      <c r="L60" s="67">
        <f ca="1">IF(AND(SUMIF(Capacity_Resource,$D60,'Critical resources (hide)'!Y$6:Y$105)+SUMIF(Capacity_Resource,$E60,'Critical resources (hide)'!Y$6:Y$105)+SUMIF(Capacity_Resource,$F60,'Critical resources (hide)'!Y$6:Y$105)&gt;0,$E$1=2),0,1)</f>
        <v>1</v>
      </c>
      <c r="M60" s="67">
        <f ca="1">IF(AND(SUMIF(Capacity_Resource,$D60,'Critical resources (hide)'!Z$6:Z$105)+SUMIF(Capacity_Resource,$E60,'Critical resources (hide)'!Z$6:Z$105)+SUMIF(Capacity_Resource,$F60,'Critical resources (hide)'!Z$6:Z$105)&gt;0,$E$1=2),0,1)</f>
        <v>1</v>
      </c>
      <c r="N60" s="67">
        <f ca="1">IF(AND(SUMIF(Capacity_Resource,$D60,'Critical resources (hide)'!AA$6:AA$105)+SUMIF(Capacity_Resource,$E60,'Critical resources (hide)'!AA$6:AA$105)+SUMIF(Capacity_Resource,$F60,'Critical resources (hide)'!AA$6:AA$105)&gt;0,$E$1=2),0,1)</f>
        <v>1</v>
      </c>
      <c r="O60" s="67">
        <f ca="1">IF(AND(SUMIF(Capacity_Resource,$D60,'Critical resources (hide)'!AB$6:AB$105)+SUMIF(Capacity_Resource,$E60,'Critical resources (hide)'!AB$6:AB$105)+SUMIF(Capacity_Resource,$F60,'Critical resources (hide)'!AB$6:AB$105)&gt;0,$E$1=2),0,1)</f>
        <v>1</v>
      </c>
      <c r="P60" s="67">
        <f ca="1">IF(AND(SUMIF(Capacity_Resource,$D60,'Critical resources (hide)'!AC$6:AC$105)+SUMIF(Capacity_Resource,$E60,'Critical resources (hide)'!AC$6:AC$105)+SUMIF(Capacity_Resource,$F60,'Critical resources (hide)'!AC$6:AC$105)&gt;0,$E$1=2),0,1)</f>
        <v>1</v>
      </c>
      <c r="Q60" s="67">
        <f ca="1">IF(AND(SUMIF(Capacity_Resource,$D60,'Critical resources (hide)'!AD$6:AD$105)+SUMIF(Capacity_Resource,$E60,'Critical resources (hide)'!AD$6:AD$105)+SUMIF(Capacity_Resource,$F60,'Critical resources (hide)'!AD$6:AD$105)&gt;0,$E$1=2),0,1)</f>
        <v>1</v>
      </c>
      <c r="R60" s="67">
        <f ca="1">IF(AND(SUMIF(Capacity_Resource,$D60,'Critical resources (hide)'!AE$6:AE$105)+SUMIF(Capacity_Resource,$E60,'Critical resources (hide)'!AE$6:AE$105)+SUMIF(Capacity_Resource,$F60,'Critical resources (hide)'!AE$6:AE$105)&gt;0,$E$1=2),0,1)</f>
        <v>1</v>
      </c>
      <c r="S60" s="67">
        <f ca="1">IF(AND(SUMIF(Capacity_Resource,$D60,'Critical resources (hide)'!AF$6:AF$105)+SUMIF(Capacity_Resource,$E60,'Critical resources (hide)'!AF$6:AF$105)+SUMIF(Capacity_Resource,$F60,'Critical resources (hide)'!AF$6:AF$105)&gt;0,$E$1=2),0,1)</f>
        <v>1</v>
      </c>
      <c r="T60" s="67">
        <f ca="1">IF(AND(SUMIF(Capacity_Resource,$D60,'Critical resources (hide)'!AG$6:AG$105)+SUMIF(Capacity_Resource,$E60,'Critical resources (hide)'!AG$6:AG$105)+SUMIF(Capacity_Resource,$F60,'Critical resources (hide)'!AG$6:AG$105)&gt;0,$E$1=2),0,1)</f>
        <v>1</v>
      </c>
      <c r="U60" s="67">
        <f ca="1">IF(AND(SUMIF(Capacity_Resource,$D60,'Critical resources (hide)'!AH$6:AH$105)+SUMIF(Capacity_Resource,$E60,'Critical resources (hide)'!AH$6:AH$105)+SUMIF(Capacity_Resource,$F60,'Critical resources (hide)'!AH$6:AH$105)&gt;0,$E$1=2),0,1)</f>
        <v>1</v>
      </c>
      <c r="V60" s="67">
        <f ca="1">IF(AND(SUMIF(Capacity_Resource,$D60,'Critical resources (hide)'!AI$6:AI$105)+SUMIF(Capacity_Resource,$E60,'Critical resources (hide)'!AI$6:AI$105)+SUMIF(Capacity_Resource,$F60,'Critical resources (hide)'!AI$6:AI$105)&gt;0,$E$1=2),0,1)</f>
        <v>1</v>
      </c>
      <c r="W60" s="67">
        <f ca="1">IF(AND(SUMIF(Capacity_Resource,$D60,'Critical resources (hide)'!AJ$6:AJ$105)+SUMIF(Capacity_Resource,$E60,'Critical resources (hide)'!AJ$6:AJ$105)+SUMIF(Capacity_Resource,$F60,'Critical resources (hide)'!AJ$6:AJ$105)&gt;0,$E$1=2),0,1)</f>
        <v>1</v>
      </c>
      <c r="X60" s="67">
        <f ca="1">IF(AND(SUMIF(Capacity_Resource,$D60,'Critical resources (hide)'!AK$6:AK$105)+SUMIF(Capacity_Resource,$E60,'Critical resources (hide)'!AK$6:AK$105)+SUMIF(Capacity_Resource,$F60,'Critical resources (hide)'!AK$6:AK$105)&gt;0,$E$1=2),0,1)</f>
        <v>1</v>
      </c>
      <c r="Y60" s="67">
        <f ca="1">IF(AND(SUMIF(Capacity_Resource,$D60,'Critical resources (hide)'!AL$6:AL$105)+SUMIF(Capacity_Resource,$E60,'Critical resources (hide)'!AL$6:AL$105)+SUMIF(Capacity_Resource,$F60,'Critical resources (hide)'!AL$6:AL$105)&gt;0,$E$1=2),0,1)</f>
        <v>1</v>
      </c>
      <c r="Z60" s="67">
        <f ca="1">IF(AND(SUMIF(Capacity_Resource,$D60,'Critical resources (hide)'!AM$6:AM$105)+SUMIF(Capacity_Resource,$E60,'Critical resources (hide)'!AM$6:AM$105)+SUMIF(Capacity_Resource,$F60,'Critical resources (hide)'!AM$6:AM$105)&gt;0,$E$1=2),0,1)</f>
        <v>1</v>
      </c>
      <c r="AA60" s="67">
        <f ca="1">IF(AND(SUMIF(Capacity_Resource,$D60,'Critical resources (hide)'!AN$6:AN$105)+SUMIF(Capacity_Resource,$E60,'Critical resources (hide)'!AN$6:AN$105)+SUMIF(Capacity_Resource,$F60,'Critical resources (hide)'!AN$6:AN$105)&gt;0,$E$1=2),0,1)</f>
        <v>1</v>
      </c>
      <c r="AB60" s="67">
        <f ca="1">IF(AND(SUMIF(Capacity_Resource,$D60,'Critical resources (hide)'!AO$6:AO$105)+SUMIF(Capacity_Resource,$E60,'Critical resources (hide)'!AO$6:AO$105)+SUMIF(Capacity_Resource,$F60,'Critical resources (hide)'!AO$6:AO$105)&gt;0,$E$1=2),0,1)</f>
        <v>1</v>
      </c>
      <c r="AC60" s="67">
        <f ca="1">IF(AND(SUMIF(Capacity_Resource,$D60,'Critical resources (hide)'!AP$6:AP$105)+SUMIF(Capacity_Resource,$E60,'Critical resources (hide)'!AP$6:AP$105)+SUMIF(Capacity_Resource,$F60,'Critical resources (hide)'!AP$6:AP$105)&gt;0,$E$1=2),0,1)</f>
        <v>1</v>
      </c>
      <c r="AD60" s="67">
        <f ca="1">IF(AND(SUMIF(Capacity_Resource,$D60,'Critical resources (hide)'!AQ$6:AQ$105)+SUMIF(Capacity_Resource,$E60,'Critical resources (hide)'!AQ$6:AQ$105)+SUMIF(Capacity_Resource,$F60,'Critical resources (hide)'!AQ$6:AQ$105)&gt;0,$E$1=2),0,1)</f>
        <v>1</v>
      </c>
      <c r="AE60" s="67">
        <f ca="1">IF(AND(SUMIF(Capacity_Resource,$D60,'Critical resources (hide)'!AR$6:AR$105)+SUMIF(Capacity_Resource,$E60,'Critical resources (hide)'!AR$6:AR$105)+SUMIF(Capacity_Resource,$F60,'Critical resources (hide)'!AR$6:AR$105)&gt;0,$E$1=2),0,1)</f>
        <v>1</v>
      </c>
      <c r="AF60" s="67">
        <f ca="1">IF(AND(SUMIF(Capacity_Resource,$D60,'Critical resources (hide)'!AS$6:AS$105)+SUMIF(Capacity_Resource,$E60,'Critical resources (hide)'!AS$6:AS$105)+SUMIF(Capacity_Resource,$F60,'Critical resources (hide)'!AS$6:AS$105)&gt;0,$E$1=2),0,1)</f>
        <v>1</v>
      </c>
      <c r="AG60" s="67">
        <f ca="1">IF(AND(SUMIF(Capacity_Resource,$D60,'Critical resources (hide)'!AT$6:AT$105)+SUMIF(Capacity_Resource,$E60,'Critical resources (hide)'!AT$6:AT$105)+SUMIF(Capacity_Resource,$F60,'Critical resources (hide)'!AT$6:AT$105)&gt;0,$E$1=2),0,1)</f>
        <v>1</v>
      </c>
      <c r="AH60" s="67">
        <f ca="1">IF(AND(SUMIF(Capacity_Resource,$D60,'Critical resources (hide)'!AU$6:AU$105)+SUMIF(Capacity_Resource,$E60,'Critical resources (hide)'!AU$6:AU$105)+SUMIF(Capacity_Resource,$F60,'Critical resources (hide)'!AU$6:AU$105)&gt;0,$E$1=2),0,1)</f>
        <v>1</v>
      </c>
      <c r="AI60" s="67">
        <f ca="1">IF(AND(SUMIF(Capacity_Resource,$D60,'Critical resources (hide)'!AV$6:AV$105)+SUMIF(Capacity_Resource,$E60,'Critical resources (hide)'!AV$6:AV$105)+SUMIF(Capacity_Resource,$F60,'Critical resources (hide)'!AV$6:AV$105)&gt;0,$E$1=2),0,1)</f>
        <v>1</v>
      </c>
      <c r="AJ60" s="67">
        <f ca="1">IF(AND(SUMIF(Capacity_Resource,$D60,'Critical resources (hide)'!AW$6:AW$105)+SUMIF(Capacity_Resource,$E60,'Critical resources (hide)'!AW$6:AW$105)+SUMIF(Capacity_Resource,$F60,'Critical resources (hide)'!AW$6:AW$105)&gt;0,$E$1=2),0,1)</f>
        <v>1</v>
      </c>
      <c r="AK60" s="67">
        <f ca="1">IF(AND(SUMIF(Capacity_Resource,$D60,'Critical resources (hide)'!AX$6:AX$105)+SUMIF(Capacity_Resource,$E60,'Critical resources (hide)'!AX$6:AX$105)+SUMIF(Capacity_Resource,$F60,'Critical resources (hide)'!AX$6:AX$105)&gt;0,$E$1=2),0,1)</f>
        <v>1</v>
      </c>
      <c r="AL60" s="67">
        <f ca="1">IF(AND(SUMIF(Capacity_Resource,$D60,'Critical resources (hide)'!AY$6:AY$105)+SUMIF(Capacity_Resource,$E60,'Critical resources (hide)'!AY$6:AY$105)+SUMIF(Capacity_Resource,$F60,'Critical resources (hide)'!AY$6:AY$105)&gt;0,$E$1=2),0,1)</f>
        <v>1</v>
      </c>
      <c r="AM60" s="67">
        <f ca="1">IF(AND(SUMIF(Capacity_Resource,$D60,'Critical resources (hide)'!AZ$6:AZ$105)+SUMIF(Capacity_Resource,$E60,'Critical resources (hide)'!AZ$6:AZ$105)+SUMIF(Capacity_Resource,$F60,'Critical resources (hide)'!AZ$6:AZ$105)&gt;0,$E$1=2),0,1)</f>
        <v>1</v>
      </c>
      <c r="AN60" s="67">
        <f ca="1">IF(AND(SUMIF(Capacity_Resource,$D60,'Critical resources (hide)'!BA$6:BA$105)+SUMIF(Capacity_Resource,$E60,'Critical resources (hide)'!BA$6:BA$105)+SUMIF(Capacity_Resource,$F60,'Critical resources (hide)'!BA$6:BA$105)&gt;0,$E$1=2),0,1)</f>
        <v>1</v>
      </c>
      <c r="AO60" s="67">
        <f ca="1">IF(AND(SUMIF(Capacity_Resource,$D60,'Critical resources (hide)'!BB$6:BB$105)+SUMIF(Capacity_Resource,$E60,'Critical resources (hide)'!BB$6:BB$105)+SUMIF(Capacity_Resource,$F60,'Critical resources (hide)'!BB$6:BB$105)&gt;0,$E$1=2),0,1)</f>
        <v>1</v>
      </c>
      <c r="AP60" s="67">
        <f ca="1">IF(AND(SUMIF(Capacity_Resource,$D60,'Critical resources (hide)'!BC$6:BC$105)+SUMIF(Capacity_Resource,$E60,'Critical resources (hide)'!BC$6:BC$105)+SUMIF(Capacity_Resource,$F60,'Critical resources (hide)'!BC$6:BC$105)&gt;0,$E$1=2),0,1)</f>
        <v>1</v>
      </c>
      <c r="AQ60" s="67">
        <f ca="1">IF(AND(SUMIF(Capacity_Resource,$D60,'Critical resources (hide)'!BD$6:BD$105)+SUMIF(Capacity_Resource,$E60,'Critical resources (hide)'!BD$6:BD$105)+SUMIF(Capacity_Resource,$F60,'Critical resources (hide)'!BD$6:BD$105)&gt;0,$E$1=2),0,1)</f>
        <v>1</v>
      </c>
      <c r="AR60" s="67">
        <f ca="1">IF(AND(SUMIF(Capacity_Resource,$D60,'Critical resources (hide)'!BE$6:BE$105)+SUMIF(Capacity_Resource,$E60,'Critical resources (hide)'!BE$6:BE$105)+SUMIF(Capacity_Resource,$F60,'Critical resources (hide)'!BE$6:BE$105)&gt;0,$E$1=2),0,1)</f>
        <v>1</v>
      </c>
      <c r="AS60" s="67">
        <f ca="1">IF(AND(SUMIF(Capacity_Resource,$D60,'Critical resources (hide)'!BF$6:BF$105)+SUMIF(Capacity_Resource,$E60,'Critical resources (hide)'!BF$6:BF$105)+SUMIF(Capacity_Resource,$F60,'Critical resources (hide)'!BF$6:BF$105)&gt;0,$E$1=2),0,1)</f>
        <v>1</v>
      </c>
      <c r="AT60" s="67">
        <f ca="1">IF(AND(SUMIF(Capacity_Resource,$D60,'Critical resources (hide)'!BG$6:BG$105)+SUMIF(Capacity_Resource,$E60,'Critical resources (hide)'!BG$6:BG$105)+SUMIF(Capacity_Resource,$F60,'Critical resources (hide)'!BG$6:BG$105)&gt;0,$E$1=2),0,1)</f>
        <v>1</v>
      </c>
      <c r="AU60" s="67">
        <f ca="1">IF(AND(SUMIF(Capacity_Resource,$D60,'Critical resources (hide)'!BH$6:BH$105)+SUMIF(Capacity_Resource,$E60,'Critical resources (hide)'!BH$6:BH$105)+SUMIF(Capacity_Resource,$F60,'Critical resources (hide)'!BH$6:BH$105)&gt;0,$E$1=2),0,1)</f>
        <v>1</v>
      </c>
      <c r="AV60" s="67">
        <f ca="1">IF(AND(SUMIF(Capacity_Resource,$D60,'Critical resources (hide)'!BI$6:BI$105)+SUMIF(Capacity_Resource,$E60,'Critical resources (hide)'!BI$6:BI$105)+SUMIF(Capacity_Resource,$F60,'Critical resources (hide)'!BI$6:BI$105)&gt;0,$E$1=2),0,1)</f>
        <v>1</v>
      </c>
      <c r="AW60" s="67">
        <f ca="1">IF(AND(SUMIF(Capacity_Resource,$D60,'Critical resources (hide)'!BJ$6:BJ$105)+SUMIF(Capacity_Resource,$E60,'Critical resources (hide)'!BJ$6:BJ$105)+SUMIF(Capacity_Resource,$F60,'Critical resources (hide)'!BJ$6:BJ$105)&gt;0,$E$1=2),0,1)</f>
        <v>1</v>
      </c>
      <c r="AX60" s="67">
        <f ca="1">IF(AND(SUMIF(Capacity_Resource,$D60,'Critical resources (hide)'!BK$6:BK$105)+SUMIF(Capacity_Resource,$E60,'Critical resources (hide)'!BK$6:BK$105)+SUMIF(Capacity_Resource,$F60,'Critical resources (hide)'!BK$6:BK$105)&gt;0,$E$1=2),0,1)</f>
        <v>1</v>
      </c>
      <c r="AY60" s="67">
        <f ca="1">IF(AND(SUMIF(Capacity_Resource,$D60,'Critical resources (hide)'!BL$6:BL$105)+SUMIF(Capacity_Resource,$E60,'Critical resources (hide)'!BL$6:BL$105)+SUMIF(Capacity_Resource,$F60,'Critical resources (hide)'!BL$6:BL$105)&gt;0,$E$1=2),0,1)</f>
        <v>1</v>
      </c>
      <c r="AZ60" s="67">
        <f ca="1">IF(AND(SUMIF(Capacity_Resource,$D60,'Critical resources (hide)'!BM$6:BM$105)+SUMIF(Capacity_Resource,$E60,'Critical resources (hide)'!BM$6:BM$105)+SUMIF(Capacity_Resource,$F60,'Critical resources (hide)'!BM$6:BM$105)&gt;0,$E$1=2),0,1)</f>
        <v>1</v>
      </c>
      <c r="BA60" s="67">
        <f ca="1">IF(AND(SUMIF(Capacity_Resource,$D60,'Critical resources (hide)'!BN$6:BN$105)+SUMIF(Capacity_Resource,$E60,'Critical resources (hide)'!BN$6:BN$105)+SUMIF(Capacity_Resource,$F60,'Critical resources (hide)'!BN$6:BN$105)&gt;0,$E$1=2),0,1)</f>
        <v>1</v>
      </c>
      <c r="BB60" s="67">
        <f ca="1">IF(AND(SUMIF(Capacity_Resource,$D60,'Critical resources (hide)'!BO$6:BO$105)+SUMIF(Capacity_Resource,$E60,'Critical resources (hide)'!BO$6:BO$105)+SUMIF(Capacity_Resource,$F60,'Critical resources (hide)'!BO$6:BO$105)&gt;0,$E$1=2),0,1)</f>
        <v>1</v>
      </c>
      <c r="BC60" s="67">
        <f ca="1">IF(AND(SUMIF(Capacity_Resource,$D60,'Critical resources (hide)'!BP$6:BP$105)+SUMIF(Capacity_Resource,$E60,'Critical resources (hide)'!BP$6:BP$105)+SUMIF(Capacity_Resource,$F60,'Critical resources (hide)'!BP$6:BP$105)&gt;0,$E$1=2),0,1)</f>
        <v>1</v>
      </c>
      <c r="BD60" s="67">
        <f ca="1">IF(AND(SUMIF(Capacity_Resource,$D60,'Critical resources (hide)'!BQ$6:BQ$105)+SUMIF(Capacity_Resource,$E60,'Critical resources (hide)'!BQ$6:BQ$105)+SUMIF(Capacity_Resource,$F60,'Critical resources (hide)'!BQ$6:BQ$105)&gt;0,$E$1=2),0,1)</f>
        <v>1</v>
      </c>
      <c r="BE60" s="67">
        <f ca="1">IF(AND(SUMIF(Capacity_Resource,$D60,'Critical resources (hide)'!BR$6:BR$105)+SUMIF(Capacity_Resource,$E60,'Critical resources (hide)'!BR$6:BR$105)+SUMIF(Capacity_Resource,$F60,'Critical resources (hide)'!BR$6:BR$105)&gt;0,$E$1=2),0,1)</f>
        <v>1</v>
      </c>
      <c r="BF60" s="67">
        <f ca="1">IF(AND(SUMIF(Capacity_Resource,$D60,'Critical resources (hide)'!BS$6:BS$105)+SUMIF(Capacity_Resource,$E60,'Critical resources (hide)'!BS$6:BS$105)+SUMIF(Capacity_Resource,$F60,'Critical resources (hide)'!BS$6:BS$105)&gt;0,$E$1=2),0,1)</f>
        <v>1</v>
      </c>
      <c r="BG60" s="67">
        <f ca="1">IF(AND(SUMIF(Capacity_Resource,$D60,'Critical resources (hide)'!BT$6:BT$105)+SUMIF(Capacity_Resource,$E60,'Critical resources (hide)'!BT$6:BT$105)+SUMIF(Capacity_Resource,$F60,'Critical resources (hide)'!BT$6:BT$105)&gt;0,$E$1=2),0,1)</f>
        <v>1</v>
      </c>
      <c r="BH60" s="67">
        <f>IF(ROW(C56)&lt;=Capacity!$A$16,IF('Capacity summary'!$D$14="No",SUM(H60:BG60),'Capacity summary'!$E179),0)</f>
        <v>0</v>
      </c>
      <c r="BI60" s="5" t="str">
        <f>IF(BH60&gt;0,IF(BH60&lt;Capacity!E72,Capacity!F72,Capacity!H72/'Capacity calculation (hide)'!BH60),"")</f>
        <v/>
      </c>
      <c r="BK60" s="313">
        <f>IF($BI60&lt;&gt;"",IF('Capacity summary'!$D$14="Yes",IF(COUNTBLANK('Capacity summary'!$H179:$BG179)&lt;52,IF('Capacity summary'!H179&lt;&gt;"",IF(LOWER('Capacity summary'!H179)="x",$BI60*H60,VALUE('Capacity summary'!H179)),0),H60*$BI60),H60*$BI60),0)</f>
        <v>0</v>
      </c>
      <c r="BL60" s="313">
        <f>IF($BI60&lt;&gt;"",IF('Capacity summary'!$D$14="Yes",IF(COUNTBLANK('Capacity summary'!$H179:$BG179)&lt;52,IF('Capacity summary'!I179&lt;&gt;"",IF(LOWER('Capacity summary'!I179)="x",$BI60*I60,VALUE('Capacity summary'!I179)),0),I60*$BI60),I60*$BI60),0)</f>
        <v>0</v>
      </c>
      <c r="BM60" s="313">
        <f>IF($BI60&lt;&gt;"",IF('Capacity summary'!$D$14="Yes",IF(COUNTBLANK('Capacity summary'!$H179:$BG179)&lt;52,IF('Capacity summary'!J179&lt;&gt;"",IF(LOWER('Capacity summary'!J179)="x",$BI60*J60,VALUE('Capacity summary'!J179)),0),J60*$BI60),J60*$BI60),0)</f>
        <v>0</v>
      </c>
      <c r="BN60" s="313">
        <f>IF($BI60&lt;&gt;"",IF('Capacity summary'!$D$14="Yes",IF(COUNTBLANK('Capacity summary'!$H179:$BG179)&lt;52,IF('Capacity summary'!K179&lt;&gt;"",IF(LOWER('Capacity summary'!K179)="x",$BI60*K60,VALUE('Capacity summary'!K179)),0),K60*$BI60),K60*$BI60),0)</f>
        <v>0</v>
      </c>
      <c r="BO60" s="313">
        <f>IF($BI60&lt;&gt;"",IF('Capacity summary'!$D$14="Yes",IF(COUNTBLANK('Capacity summary'!$H179:$BG179)&lt;52,IF('Capacity summary'!L179&lt;&gt;"",IF(LOWER('Capacity summary'!L179)="x",$BI60*L60,VALUE('Capacity summary'!L179)),0),L60*$BI60),L60*$BI60),0)</f>
        <v>0</v>
      </c>
      <c r="BP60" s="313">
        <f>IF($BI60&lt;&gt;"",IF('Capacity summary'!$D$14="Yes",IF(COUNTBLANK('Capacity summary'!$H179:$BG179)&lt;52,IF('Capacity summary'!M179&lt;&gt;"",IF(LOWER('Capacity summary'!M179)="x",$BI60*M60,VALUE('Capacity summary'!M179)),0),M60*$BI60),M60*$BI60),0)</f>
        <v>0</v>
      </c>
      <c r="BQ60" s="313">
        <f>IF($BI60&lt;&gt;"",IF('Capacity summary'!$D$14="Yes",IF(COUNTBLANK('Capacity summary'!$H179:$BG179)&lt;52,IF('Capacity summary'!N179&lt;&gt;"",IF(LOWER('Capacity summary'!N179)="x",$BI60*N60,VALUE('Capacity summary'!N179)),0),N60*$BI60),N60*$BI60),0)</f>
        <v>0</v>
      </c>
      <c r="BR60" s="313">
        <f>IF($BI60&lt;&gt;"",IF('Capacity summary'!$D$14="Yes",IF(COUNTBLANK('Capacity summary'!$H179:$BG179)&lt;52,IF('Capacity summary'!O179&lt;&gt;"",IF(LOWER('Capacity summary'!O179)="x",$BI60*O60,VALUE('Capacity summary'!O179)),0),O60*$BI60),O60*$BI60),0)</f>
        <v>0</v>
      </c>
      <c r="BS60" s="313">
        <f>IF($BI60&lt;&gt;"",IF('Capacity summary'!$D$14="Yes",IF(COUNTBLANK('Capacity summary'!$H179:$BG179)&lt;52,IF('Capacity summary'!P179&lt;&gt;"",IF(LOWER('Capacity summary'!P179)="x",$BI60*P60,VALUE('Capacity summary'!P179)),0),P60*$BI60),P60*$BI60),0)</f>
        <v>0</v>
      </c>
      <c r="BT60" s="313">
        <f>IF($BI60&lt;&gt;"",IF('Capacity summary'!$D$14="Yes",IF(COUNTBLANK('Capacity summary'!$H179:$BG179)&lt;52,IF('Capacity summary'!Q179&lt;&gt;"",IF(LOWER('Capacity summary'!Q179)="x",$BI60*Q60,VALUE('Capacity summary'!Q179)),0),Q60*$BI60),Q60*$BI60),0)</f>
        <v>0</v>
      </c>
      <c r="BU60" s="313">
        <f>IF($BI60&lt;&gt;"",IF('Capacity summary'!$D$14="Yes",IF(COUNTBLANK('Capacity summary'!$H179:$BG179)&lt;52,IF('Capacity summary'!R179&lt;&gt;"",IF(LOWER('Capacity summary'!R179)="x",$BI60*R60,VALUE('Capacity summary'!R179)),0),R60*$BI60),R60*$BI60),0)</f>
        <v>0</v>
      </c>
      <c r="BV60" s="313">
        <f>IF($BI60&lt;&gt;"",IF('Capacity summary'!$D$14="Yes",IF(COUNTBLANK('Capacity summary'!$H179:$BG179)&lt;52,IF('Capacity summary'!S179&lt;&gt;"",IF(LOWER('Capacity summary'!S179)="x",$BI60*S60,VALUE('Capacity summary'!S179)),0),S60*$BI60),S60*$BI60),0)</f>
        <v>0</v>
      </c>
      <c r="BW60" s="313">
        <f>IF($BI60&lt;&gt;"",IF('Capacity summary'!$D$14="Yes",IF(COUNTBLANK('Capacity summary'!$H179:$BG179)&lt;52,IF('Capacity summary'!T179&lt;&gt;"",IF(LOWER('Capacity summary'!T179)="x",$BI60*T60,VALUE('Capacity summary'!T179)),0),T60*$BI60),T60*$BI60),0)</f>
        <v>0</v>
      </c>
      <c r="BX60" s="313">
        <f>IF($BI60&lt;&gt;"",IF('Capacity summary'!$D$14="Yes",IF(COUNTBLANK('Capacity summary'!$H179:$BG179)&lt;52,IF('Capacity summary'!U179&lt;&gt;"",IF(LOWER('Capacity summary'!U179)="x",$BI60*U60,VALUE('Capacity summary'!U179)),0),U60*$BI60),U60*$BI60),0)</f>
        <v>0</v>
      </c>
      <c r="BY60" s="313">
        <f>IF($BI60&lt;&gt;"",IF('Capacity summary'!$D$14="Yes",IF(COUNTBLANK('Capacity summary'!$H179:$BG179)&lt;52,IF('Capacity summary'!V179&lt;&gt;"",IF(LOWER('Capacity summary'!V179)="x",$BI60*V60,VALUE('Capacity summary'!V179)),0),V60*$BI60),V60*$BI60),0)</f>
        <v>0</v>
      </c>
      <c r="BZ60" s="313">
        <f>IF($BI60&lt;&gt;"",IF('Capacity summary'!$D$14="Yes",IF(COUNTBLANK('Capacity summary'!$H179:$BG179)&lt;52,IF('Capacity summary'!W179&lt;&gt;"",IF(LOWER('Capacity summary'!W179)="x",$BI60*W60,VALUE('Capacity summary'!W179)),0),W60*$BI60),W60*$BI60),0)</f>
        <v>0</v>
      </c>
      <c r="CA60" s="313">
        <f>IF($BI60&lt;&gt;"",IF('Capacity summary'!$D$14="Yes",IF(COUNTBLANK('Capacity summary'!$H179:$BG179)&lt;52,IF('Capacity summary'!X179&lt;&gt;"",IF(LOWER('Capacity summary'!X179)="x",$BI60*X60,VALUE('Capacity summary'!X179)),0),X60*$BI60),X60*$BI60),0)</f>
        <v>0</v>
      </c>
      <c r="CB60" s="313">
        <f>IF($BI60&lt;&gt;"",IF('Capacity summary'!$D$14="Yes",IF(COUNTBLANK('Capacity summary'!$H179:$BG179)&lt;52,IF('Capacity summary'!Y179&lt;&gt;"",IF(LOWER('Capacity summary'!Y179)="x",$BI60*Y60,VALUE('Capacity summary'!Y179)),0),Y60*$BI60),Y60*$BI60),0)</f>
        <v>0</v>
      </c>
      <c r="CC60" s="313">
        <f>IF($BI60&lt;&gt;"",IF('Capacity summary'!$D$14="Yes",IF(COUNTBLANK('Capacity summary'!$H179:$BG179)&lt;52,IF('Capacity summary'!Z179&lt;&gt;"",IF(LOWER('Capacity summary'!Z179)="x",$BI60*Z60,VALUE('Capacity summary'!Z179)),0),Z60*$BI60),Z60*$BI60),0)</f>
        <v>0</v>
      </c>
      <c r="CD60" s="313">
        <f>IF($BI60&lt;&gt;"",IF('Capacity summary'!$D$14="Yes",IF(COUNTBLANK('Capacity summary'!$H179:$BG179)&lt;52,IF('Capacity summary'!AA179&lt;&gt;"",IF(LOWER('Capacity summary'!AA179)="x",$BI60*AA60,VALUE('Capacity summary'!AA179)),0),AA60*$BI60),AA60*$BI60),0)</f>
        <v>0</v>
      </c>
      <c r="CE60" s="313">
        <f>IF($BI60&lt;&gt;"",IF('Capacity summary'!$D$14="Yes",IF(COUNTBLANK('Capacity summary'!$H179:$BG179)&lt;52,IF('Capacity summary'!AB179&lt;&gt;"",IF(LOWER('Capacity summary'!AB179)="x",$BI60*AB60,VALUE('Capacity summary'!AB179)),0),AB60*$BI60),AB60*$BI60),0)</f>
        <v>0</v>
      </c>
      <c r="CF60" s="313">
        <f>IF($BI60&lt;&gt;"",IF('Capacity summary'!$D$14="Yes",IF(COUNTBLANK('Capacity summary'!$H179:$BG179)&lt;52,IF('Capacity summary'!AC179&lt;&gt;"",IF(LOWER('Capacity summary'!AC179)="x",$BI60*AC60,VALUE('Capacity summary'!AC179)),0),AC60*$BI60),AC60*$BI60),0)</f>
        <v>0</v>
      </c>
      <c r="CG60" s="313">
        <f>IF($BI60&lt;&gt;"",IF('Capacity summary'!$D$14="Yes",IF(COUNTBLANK('Capacity summary'!$H179:$BG179)&lt;52,IF('Capacity summary'!AD179&lt;&gt;"",IF(LOWER('Capacity summary'!AD179)="x",$BI60*AD60,VALUE('Capacity summary'!AD179)),0),AD60*$BI60),AD60*$BI60),0)</f>
        <v>0</v>
      </c>
      <c r="CH60" s="313">
        <f>IF($BI60&lt;&gt;"",IF('Capacity summary'!$D$14="Yes",IF(COUNTBLANK('Capacity summary'!$H179:$BG179)&lt;52,IF('Capacity summary'!AE179&lt;&gt;"",IF(LOWER('Capacity summary'!AE179)="x",$BI60*AE60,VALUE('Capacity summary'!AE179)),0),AE60*$BI60),AE60*$BI60),0)</f>
        <v>0</v>
      </c>
      <c r="CI60" s="313">
        <f>IF($BI60&lt;&gt;"",IF('Capacity summary'!$D$14="Yes",IF(COUNTBLANK('Capacity summary'!$H179:$BG179)&lt;52,IF('Capacity summary'!AF179&lt;&gt;"",IF(LOWER('Capacity summary'!AF179)="x",$BI60*AF60,VALUE('Capacity summary'!AF179)),0),AF60*$BI60),AF60*$BI60),0)</f>
        <v>0</v>
      </c>
      <c r="CJ60" s="313">
        <f>IF($BI60&lt;&gt;"",IF('Capacity summary'!$D$14="Yes",IF(COUNTBLANK('Capacity summary'!$H179:$BG179)&lt;52,IF('Capacity summary'!AG179&lt;&gt;"",IF(LOWER('Capacity summary'!AG179)="x",$BI60*AG60,VALUE('Capacity summary'!AG179)),0),AG60*$BI60),AG60*$BI60),0)</f>
        <v>0</v>
      </c>
      <c r="CK60" s="313">
        <f>IF($BI60&lt;&gt;"",IF('Capacity summary'!$D$14="Yes",IF(COUNTBLANK('Capacity summary'!$H179:$BG179)&lt;52,IF('Capacity summary'!AH179&lt;&gt;"",IF(LOWER('Capacity summary'!AH179)="x",$BI60*AH60,VALUE('Capacity summary'!AH179)),0),AH60*$BI60),AH60*$BI60),0)</f>
        <v>0</v>
      </c>
      <c r="CL60" s="313">
        <f>IF($BI60&lt;&gt;"",IF('Capacity summary'!$D$14="Yes",IF(COUNTBLANK('Capacity summary'!$H179:$BG179)&lt;52,IF('Capacity summary'!AI179&lt;&gt;"",IF(LOWER('Capacity summary'!AI179)="x",$BI60*AI60,VALUE('Capacity summary'!AI179)),0),AI60*$BI60),AI60*$BI60),0)</f>
        <v>0</v>
      </c>
      <c r="CM60" s="313">
        <f>IF($BI60&lt;&gt;"",IF('Capacity summary'!$D$14="Yes",IF(COUNTBLANK('Capacity summary'!$H179:$BG179)&lt;52,IF('Capacity summary'!AJ179&lt;&gt;"",IF(LOWER('Capacity summary'!AJ179)="x",$BI60*AJ60,VALUE('Capacity summary'!AJ179)),0),AJ60*$BI60),AJ60*$BI60),0)</f>
        <v>0</v>
      </c>
      <c r="CN60" s="313">
        <f>IF($BI60&lt;&gt;"",IF('Capacity summary'!$D$14="Yes",IF(COUNTBLANK('Capacity summary'!$H179:$BG179)&lt;52,IF('Capacity summary'!AK179&lt;&gt;"",IF(LOWER('Capacity summary'!AK179)="x",$BI60*AK60,VALUE('Capacity summary'!AK179)),0),AK60*$BI60),AK60*$BI60),0)</f>
        <v>0</v>
      </c>
      <c r="CO60" s="313">
        <f>IF($BI60&lt;&gt;"",IF('Capacity summary'!$D$14="Yes",IF(COUNTBLANK('Capacity summary'!$H179:$BG179)&lt;52,IF('Capacity summary'!AL179&lt;&gt;"",IF(LOWER('Capacity summary'!AL179)="x",$BI60*AL60,VALUE('Capacity summary'!AL179)),0),AL60*$BI60),AL60*$BI60),0)</f>
        <v>0</v>
      </c>
      <c r="CP60" s="313">
        <f>IF($BI60&lt;&gt;"",IF('Capacity summary'!$D$14="Yes",IF(COUNTBLANK('Capacity summary'!$H179:$BG179)&lt;52,IF('Capacity summary'!AM179&lt;&gt;"",IF(LOWER('Capacity summary'!AM179)="x",$BI60*AM60,VALUE('Capacity summary'!AM179)),0),AM60*$BI60),AM60*$BI60),0)</f>
        <v>0</v>
      </c>
      <c r="CQ60" s="313">
        <f>IF($BI60&lt;&gt;"",IF('Capacity summary'!$D$14="Yes",IF(COUNTBLANK('Capacity summary'!$H179:$BG179)&lt;52,IF('Capacity summary'!AN179&lt;&gt;"",IF(LOWER('Capacity summary'!AN179)="x",$BI60*AN60,VALUE('Capacity summary'!AN179)),0),AN60*$BI60),AN60*$BI60),0)</f>
        <v>0</v>
      </c>
      <c r="CR60" s="313">
        <f>IF($BI60&lt;&gt;"",IF('Capacity summary'!$D$14="Yes",IF(COUNTBLANK('Capacity summary'!$H179:$BG179)&lt;52,IF('Capacity summary'!AO179&lt;&gt;"",IF(LOWER('Capacity summary'!AO179)="x",$BI60*AO60,VALUE('Capacity summary'!AO179)),0),AO60*$BI60),AO60*$BI60),0)</f>
        <v>0</v>
      </c>
      <c r="CS60" s="313">
        <f>IF($BI60&lt;&gt;"",IF('Capacity summary'!$D$14="Yes",IF(COUNTBLANK('Capacity summary'!$H179:$BG179)&lt;52,IF('Capacity summary'!AP179&lt;&gt;"",IF(LOWER('Capacity summary'!AP179)="x",$BI60*AP60,VALUE('Capacity summary'!AP179)),0),AP60*$BI60),AP60*$BI60),0)</f>
        <v>0</v>
      </c>
      <c r="CT60" s="313">
        <f>IF($BI60&lt;&gt;"",IF('Capacity summary'!$D$14="Yes",IF(COUNTBLANK('Capacity summary'!$H179:$BG179)&lt;52,IF('Capacity summary'!AQ179&lt;&gt;"",IF(LOWER('Capacity summary'!AQ179)="x",$BI60*AQ60,VALUE('Capacity summary'!AQ179)),0),AQ60*$BI60),AQ60*$BI60),0)</f>
        <v>0</v>
      </c>
      <c r="CU60" s="313">
        <f>IF($BI60&lt;&gt;"",IF('Capacity summary'!$D$14="Yes",IF(COUNTBLANK('Capacity summary'!$H179:$BG179)&lt;52,IF('Capacity summary'!AR179&lt;&gt;"",IF(LOWER('Capacity summary'!AR179)="x",$BI60*AR60,VALUE('Capacity summary'!AR179)),0),AR60*$BI60),AR60*$BI60),0)</f>
        <v>0</v>
      </c>
      <c r="CV60" s="313">
        <f>IF($BI60&lt;&gt;"",IF('Capacity summary'!$D$14="Yes",IF(COUNTBLANK('Capacity summary'!$H179:$BG179)&lt;52,IF('Capacity summary'!AS179&lt;&gt;"",IF(LOWER('Capacity summary'!AS179)="x",$BI60*AS60,VALUE('Capacity summary'!AS179)),0),AS60*$BI60),AS60*$BI60),0)</f>
        <v>0</v>
      </c>
      <c r="CW60" s="313">
        <f>IF($BI60&lt;&gt;"",IF('Capacity summary'!$D$14="Yes",IF(COUNTBLANK('Capacity summary'!$H179:$BG179)&lt;52,IF('Capacity summary'!AT179&lt;&gt;"",IF(LOWER('Capacity summary'!AT179)="x",$BI60*AT60,VALUE('Capacity summary'!AT179)),0),AT60*$BI60),AT60*$BI60),0)</f>
        <v>0</v>
      </c>
      <c r="CX60" s="313">
        <f>IF($BI60&lt;&gt;"",IF('Capacity summary'!$D$14="Yes",IF(COUNTBLANK('Capacity summary'!$H179:$BG179)&lt;52,IF('Capacity summary'!AU179&lt;&gt;"",IF(LOWER('Capacity summary'!AU179)="x",$BI60*AU60,VALUE('Capacity summary'!AU179)),0),AU60*$BI60),AU60*$BI60),0)</f>
        <v>0</v>
      </c>
      <c r="CY60" s="313">
        <f>IF($BI60&lt;&gt;"",IF('Capacity summary'!$D$14="Yes",IF(COUNTBLANK('Capacity summary'!$H179:$BG179)&lt;52,IF('Capacity summary'!AV179&lt;&gt;"",IF(LOWER('Capacity summary'!AV179)="x",$BI60*AV60,VALUE('Capacity summary'!AV179)),0),AV60*$BI60),AV60*$BI60),0)</f>
        <v>0</v>
      </c>
      <c r="CZ60" s="313">
        <f>IF($BI60&lt;&gt;"",IF('Capacity summary'!$D$14="Yes",IF(COUNTBLANK('Capacity summary'!$H179:$BG179)&lt;52,IF('Capacity summary'!AW179&lt;&gt;"",IF(LOWER('Capacity summary'!AW179)="x",$BI60*AW60,VALUE('Capacity summary'!AW179)),0),AW60*$BI60),AW60*$BI60),0)</f>
        <v>0</v>
      </c>
      <c r="DA60" s="313">
        <f>IF($BI60&lt;&gt;"",IF('Capacity summary'!$D$14="Yes",IF(COUNTBLANK('Capacity summary'!$H179:$BG179)&lt;52,IF('Capacity summary'!AX179&lt;&gt;"",IF(LOWER('Capacity summary'!AX179)="x",$BI60*AX60,VALUE('Capacity summary'!AX179)),0),AX60*$BI60),AX60*$BI60),0)</f>
        <v>0</v>
      </c>
      <c r="DB60" s="313">
        <f>IF($BI60&lt;&gt;"",IF('Capacity summary'!$D$14="Yes",IF(COUNTBLANK('Capacity summary'!$H179:$BG179)&lt;52,IF('Capacity summary'!AY179&lt;&gt;"",IF(LOWER('Capacity summary'!AY179)="x",$BI60*AY60,VALUE('Capacity summary'!AY179)),0),AY60*$BI60),AY60*$BI60),0)</f>
        <v>0</v>
      </c>
      <c r="DC60" s="313">
        <f>IF($BI60&lt;&gt;"",IF('Capacity summary'!$D$14="Yes",IF(COUNTBLANK('Capacity summary'!$H179:$BG179)&lt;52,IF('Capacity summary'!AZ179&lt;&gt;"",IF(LOWER('Capacity summary'!AZ179)="x",$BI60*AZ60,VALUE('Capacity summary'!AZ179)),0),AZ60*$BI60),AZ60*$BI60),0)</f>
        <v>0</v>
      </c>
      <c r="DD60" s="313">
        <f>IF($BI60&lt;&gt;"",IF('Capacity summary'!$D$14="Yes",IF(COUNTBLANK('Capacity summary'!$H179:$BG179)&lt;52,IF('Capacity summary'!BA179&lt;&gt;"",IF(LOWER('Capacity summary'!BA179)="x",$BI60*BA60,VALUE('Capacity summary'!BA179)),0),BA60*$BI60),BA60*$BI60),0)</f>
        <v>0</v>
      </c>
      <c r="DE60" s="313">
        <f>IF($BI60&lt;&gt;"",IF('Capacity summary'!$D$14="Yes",IF(COUNTBLANK('Capacity summary'!$H179:$BG179)&lt;52,IF('Capacity summary'!BB179&lt;&gt;"",IF(LOWER('Capacity summary'!BB179)="x",$BI60*BB60,VALUE('Capacity summary'!BB179)),0),BB60*$BI60),BB60*$BI60),0)</f>
        <v>0</v>
      </c>
      <c r="DF60" s="313">
        <f>IF($BI60&lt;&gt;"",IF('Capacity summary'!$D$14="Yes",IF(COUNTBLANK('Capacity summary'!$H179:$BG179)&lt;52,IF('Capacity summary'!BC179&lt;&gt;"",IF(LOWER('Capacity summary'!BC179)="x",$BI60*BC60,VALUE('Capacity summary'!BC179)),0),BC60*$BI60),BC60*$BI60),0)</f>
        <v>0</v>
      </c>
      <c r="DG60" s="313">
        <f>IF($BI60&lt;&gt;"",IF('Capacity summary'!$D$14="Yes",IF(COUNTBLANK('Capacity summary'!$H179:$BG179)&lt;52,IF('Capacity summary'!BD179&lt;&gt;"",IF(LOWER('Capacity summary'!BD179)="x",$BI60*BD60,VALUE('Capacity summary'!BD179)),0),BD60*$BI60),BD60*$BI60),0)</f>
        <v>0</v>
      </c>
      <c r="DH60" s="313">
        <f>IF($BI60&lt;&gt;"",IF('Capacity summary'!$D$14="Yes",IF(COUNTBLANK('Capacity summary'!$H179:$BG179)&lt;52,IF('Capacity summary'!BE179&lt;&gt;"",IF(LOWER('Capacity summary'!BE179)="x",$BI60*BE60,VALUE('Capacity summary'!BE179)),0),BE60*$BI60),BE60*$BI60),0)</f>
        <v>0</v>
      </c>
      <c r="DI60" s="313">
        <f>IF($BI60&lt;&gt;"",IF('Capacity summary'!$D$14="Yes",IF(COUNTBLANK('Capacity summary'!$H179:$BG179)&lt;52,IF('Capacity summary'!BF179&lt;&gt;"",IF(LOWER('Capacity summary'!BF179)="x",$BI60*BF60,VALUE('Capacity summary'!BF179)),0),BF60*$BI60),BF60*$BI60),0)</f>
        <v>0</v>
      </c>
      <c r="DJ60" s="313">
        <f>IF($BI60&lt;&gt;"",IF('Capacity summary'!$D$14="Yes",IF(COUNTBLANK('Capacity summary'!$H179:$BG179)&lt;52,IF('Capacity summary'!BG179&lt;&gt;"",IF(LOWER('Capacity summary'!BG179)="x",$BI60*BG60,VALUE('Capacity summary'!BG179)),0),BG60*$BI60),BG60*$BI60),0)</f>
        <v>0</v>
      </c>
      <c r="DK60" s="137">
        <f t="shared" si="2"/>
        <v>0</v>
      </c>
      <c r="DL60" s="313" t="str">
        <f>Capacity!H72</f>
        <v/>
      </c>
    </row>
    <row r="61" spans="2:120" x14ac:dyDescent="0.25">
      <c r="B61" s="67"/>
      <c r="C61" s="67" t="str">
        <f>ROW(A57)&amp;". "&amp;Capacity!B73</f>
        <v xml:space="preserve">57. </v>
      </c>
      <c r="D61" s="67">
        <f>'Capacity setup'!C68</f>
        <v>0</v>
      </c>
      <c r="E61" s="67">
        <f>'Capacity setup'!D68</f>
        <v>0</v>
      </c>
      <c r="F61" s="67">
        <f>'Capacity setup'!E68</f>
        <v>0</v>
      </c>
      <c r="H61" s="67">
        <f ca="1">IF(AND(SUMIF(Capacity_Resource,$D61,'Critical resources (hide)'!U$6:U$105)+SUMIF(Capacity_Resource,$E61,'Critical resources (hide)'!U$6:U$105)+SUMIF(Capacity_Resource,$F61,'Critical resources (hide)'!U$6:U$105)&gt;0,$E$1=2),0,1)</f>
        <v>1</v>
      </c>
      <c r="I61" s="67">
        <f ca="1">IF(AND(SUMIF(Capacity_Resource,$D61,'Critical resources (hide)'!V$6:V$105)+SUMIF(Capacity_Resource,$E61,'Critical resources (hide)'!V$6:V$105)+SUMIF(Capacity_Resource,$F61,'Critical resources (hide)'!V$6:V$105)&gt;0,$E$1=2),0,1)</f>
        <v>1</v>
      </c>
      <c r="J61" s="67">
        <f ca="1">IF(AND(SUMIF(Capacity_Resource,$D61,'Critical resources (hide)'!W$6:W$105)+SUMIF(Capacity_Resource,$E61,'Critical resources (hide)'!W$6:W$105)+SUMIF(Capacity_Resource,$F61,'Critical resources (hide)'!W$6:W$105)&gt;0,$E$1=2),0,1)</f>
        <v>1</v>
      </c>
      <c r="K61" s="67">
        <f ca="1">IF(AND(SUMIF(Capacity_Resource,$D61,'Critical resources (hide)'!X$6:X$105)+SUMIF(Capacity_Resource,$E61,'Critical resources (hide)'!X$6:X$105)+SUMIF(Capacity_Resource,$F61,'Critical resources (hide)'!X$6:X$105)&gt;0,$E$1=2),0,1)</f>
        <v>1</v>
      </c>
      <c r="L61" s="67">
        <f ca="1">IF(AND(SUMIF(Capacity_Resource,$D61,'Critical resources (hide)'!Y$6:Y$105)+SUMIF(Capacity_Resource,$E61,'Critical resources (hide)'!Y$6:Y$105)+SUMIF(Capacity_Resource,$F61,'Critical resources (hide)'!Y$6:Y$105)&gt;0,$E$1=2),0,1)</f>
        <v>1</v>
      </c>
      <c r="M61" s="67">
        <f ca="1">IF(AND(SUMIF(Capacity_Resource,$D61,'Critical resources (hide)'!Z$6:Z$105)+SUMIF(Capacity_Resource,$E61,'Critical resources (hide)'!Z$6:Z$105)+SUMIF(Capacity_Resource,$F61,'Critical resources (hide)'!Z$6:Z$105)&gt;0,$E$1=2),0,1)</f>
        <v>1</v>
      </c>
      <c r="N61" s="67">
        <f ca="1">IF(AND(SUMIF(Capacity_Resource,$D61,'Critical resources (hide)'!AA$6:AA$105)+SUMIF(Capacity_Resource,$E61,'Critical resources (hide)'!AA$6:AA$105)+SUMIF(Capacity_Resource,$F61,'Critical resources (hide)'!AA$6:AA$105)&gt;0,$E$1=2),0,1)</f>
        <v>1</v>
      </c>
      <c r="O61" s="67">
        <f ca="1">IF(AND(SUMIF(Capacity_Resource,$D61,'Critical resources (hide)'!AB$6:AB$105)+SUMIF(Capacity_Resource,$E61,'Critical resources (hide)'!AB$6:AB$105)+SUMIF(Capacity_Resource,$F61,'Critical resources (hide)'!AB$6:AB$105)&gt;0,$E$1=2),0,1)</f>
        <v>1</v>
      </c>
      <c r="P61" s="67">
        <f ca="1">IF(AND(SUMIF(Capacity_Resource,$D61,'Critical resources (hide)'!AC$6:AC$105)+SUMIF(Capacity_Resource,$E61,'Critical resources (hide)'!AC$6:AC$105)+SUMIF(Capacity_Resource,$F61,'Critical resources (hide)'!AC$6:AC$105)&gt;0,$E$1=2),0,1)</f>
        <v>1</v>
      </c>
      <c r="Q61" s="67">
        <f ca="1">IF(AND(SUMIF(Capacity_Resource,$D61,'Critical resources (hide)'!AD$6:AD$105)+SUMIF(Capacity_Resource,$E61,'Critical resources (hide)'!AD$6:AD$105)+SUMIF(Capacity_Resource,$F61,'Critical resources (hide)'!AD$6:AD$105)&gt;0,$E$1=2),0,1)</f>
        <v>1</v>
      </c>
      <c r="R61" s="67">
        <f ca="1">IF(AND(SUMIF(Capacity_Resource,$D61,'Critical resources (hide)'!AE$6:AE$105)+SUMIF(Capacity_Resource,$E61,'Critical resources (hide)'!AE$6:AE$105)+SUMIF(Capacity_Resource,$F61,'Critical resources (hide)'!AE$6:AE$105)&gt;0,$E$1=2),0,1)</f>
        <v>1</v>
      </c>
      <c r="S61" s="67">
        <f ca="1">IF(AND(SUMIF(Capacity_Resource,$D61,'Critical resources (hide)'!AF$6:AF$105)+SUMIF(Capacity_Resource,$E61,'Critical resources (hide)'!AF$6:AF$105)+SUMIF(Capacity_Resource,$F61,'Critical resources (hide)'!AF$6:AF$105)&gt;0,$E$1=2),0,1)</f>
        <v>1</v>
      </c>
      <c r="T61" s="67">
        <f ca="1">IF(AND(SUMIF(Capacity_Resource,$D61,'Critical resources (hide)'!AG$6:AG$105)+SUMIF(Capacity_Resource,$E61,'Critical resources (hide)'!AG$6:AG$105)+SUMIF(Capacity_Resource,$F61,'Critical resources (hide)'!AG$6:AG$105)&gt;0,$E$1=2),0,1)</f>
        <v>1</v>
      </c>
      <c r="U61" s="67">
        <f ca="1">IF(AND(SUMIF(Capacity_Resource,$D61,'Critical resources (hide)'!AH$6:AH$105)+SUMIF(Capacity_Resource,$E61,'Critical resources (hide)'!AH$6:AH$105)+SUMIF(Capacity_Resource,$F61,'Critical resources (hide)'!AH$6:AH$105)&gt;0,$E$1=2),0,1)</f>
        <v>1</v>
      </c>
      <c r="V61" s="67">
        <f ca="1">IF(AND(SUMIF(Capacity_Resource,$D61,'Critical resources (hide)'!AI$6:AI$105)+SUMIF(Capacity_Resource,$E61,'Critical resources (hide)'!AI$6:AI$105)+SUMIF(Capacity_Resource,$F61,'Critical resources (hide)'!AI$6:AI$105)&gt;0,$E$1=2),0,1)</f>
        <v>1</v>
      </c>
      <c r="W61" s="67">
        <f ca="1">IF(AND(SUMIF(Capacity_Resource,$D61,'Critical resources (hide)'!AJ$6:AJ$105)+SUMIF(Capacity_Resource,$E61,'Critical resources (hide)'!AJ$6:AJ$105)+SUMIF(Capacity_Resource,$F61,'Critical resources (hide)'!AJ$6:AJ$105)&gt;0,$E$1=2),0,1)</f>
        <v>1</v>
      </c>
      <c r="X61" s="67">
        <f ca="1">IF(AND(SUMIF(Capacity_Resource,$D61,'Critical resources (hide)'!AK$6:AK$105)+SUMIF(Capacity_Resource,$E61,'Critical resources (hide)'!AK$6:AK$105)+SUMIF(Capacity_Resource,$F61,'Critical resources (hide)'!AK$6:AK$105)&gt;0,$E$1=2),0,1)</f>
        <v>1</v>
      </c>
      <c r="Y61" s="67">
        <f ca="1">IF(AND(SUMIF(Capacity_Resource,$D61,'Critical resources (hide)'!AL$6:AL$105)+SUMIF(Capacity_Resource,$E61,'Critical resources (hide)'!AL$6:AL$105)+SUMIF(Capacity_Resource,$F61,'Critical resources (hide)'!AL$6:AL$105)&gt;0,$E$1=2),0,1)</f>
        <v>1</v>
      </c>
      <c r="Z61" s="67">
        <f ca="1">IF(AND(SUMIF(Capacity_Resource,$D61,'Critical resources (hide)'!AM$6:AM$105)+SUMIF(Capacity_Resource,$E61,'Critical resources (hide)'!AM$6:AM$105)+SUMIF(Capacity_Resource,$F61,'Critical resources (hide)'!AM$6:AM$105)&gt;0,$E$1=2),0,1)</f>
        <v>1</v>
      </c>
      <c r="AA61" s="67">
        <f ca="1">IF(AND(SUMIF(Capacity_Resource,$D61,'Critical resources (hide)'!AN$6:AN$105)+SUMIF(Capacity_Resource,$E61,'Critical resources (hide)'!AN$6:AN$105)+SUMIF(Capacity_Resource,$F61,'Critical resources (hide)'!AN$6:AN$105)&gt;0,$E$1=2),0,1)</f>
        <v>1</v>
      </c>
      <c r="AB61" s="67">
        <f ca="1">IF(AND(SUMIF(Capacity_Resource,$D61,'Critical resources (hide)'!AO$6:AO$105)+SUMIF(Capacity_Resource,$E61,'Critical resources (hide)'!AO$6:AO$105)+SUMIF(Capacity_Resource,$F61,'Critical resources (hide)'!AO$6:AO$105)&gt;0,$E$1=2),0,1)</f>
        <v>1</v>
      </c>
      <c r="AC61" s="67">
        <f ca="1">IF(AND(SUMIF(Capacity_Resource,$D61,'Critical resources (hide)'!AP$6:AP$105)+SUMIF(Capacity_Resource,$E61,'Critical resources (hide)'!AP$6:AP$105)+SUMIF(Capacity_Resource,$F61,'Critical resources (hide)'!AP$6:AP$105)&gt;0,$E$1=2),0,1)</f>
        <v>1</v>
      </c>
      <c r="AD61" s="67">
        <f ca="1">IF(AND(SUMIF(Capacity_Resource,$D61,'Critical resources (hide)'!AQ$6:AQ$105)+SUMIF(Capacity_Resource,$E61,'Critical resources (hide)'!AQ$6:AQ$105)+SUMIF(Capacity_Resource,$F61,'Critical resources (hide)'!AQ$6:AQ$105)&gt;0,$E$1=2),0,1)</f>
        <v>1</v>
      </c>
      <c r="AE61" s="67">
        <f ca="1">IF(AND(SUMIF(Capacity_Resource,$D61,'Critical resources (hide)'!AR$6:AR$105)+SUMIF(Capacity_Resource,$E61,'Critical resources (hide)'!AR$6:AR$105)+SUMIF(Capacity_Resource,$F61,'Critical resources (hide)'!AR$6:AR$105)&gt;0,$E$1=2),0,1)</f>
        <v>1</v>
      </c>
      <c r="AF61" s="67">
        <f ca="1">IF(AND(SUMIF(Capacity_Resource,$D61,'Critical resources (hide)'!AS$6:AS$105)+SUMIF(Capacity_Resource,$E61,'Critical resources (hide)'!AS$6:AS$105)+SUMIF(Capacity_Resource,$F61,'Critical resources (hide)'!AS$6:AS$105)&gt;0,$E$1=2),0,1)</f>
        <v>1</v>
      </c>
      <c r="AG61" s="67">
        <f ca="1">IF(AND(SUMIF(Capacity_Resource,$D61,'Critical resources (hide)'!AT$6:AT$105)+SUMIF(Capacity_Resource,$E61,'Critical resources (hide)'!AT$6:AT$105)+SUMIF(Capacity_Resource,$F61,'Critical resources (hide)'!AT$6:AT$105)&gt;0,$E$1=2),0,1)</f>
        <v>1</v>
      </c>
      <c r="AH61" s="67">
        <f ca="1">IF(AND(SUMIF(Capacity_Resource,$D61,'Critical resources (hide)'!AU$6:AU$105)+SUMIF(Capacity_Resource,$E61,'Critical resources (hide)'!AU$6:AU$105)+SUMIF(Capacity_Resource,$F61,'Critical resources (hide)'!AU$6:AU$105)&gt;0,$E$1=2),0,1)</f>
        <v>1</v>
      </c>
      <c r="AI61" s="67">
        <f ca="1">IF(AND(SUMIF(Capacity_Resource,$D61,'Critical resources (hide)'!AV$6:AV$105)+SUMIF(Capacity_Resource,$E61,'Critical resources (hide)'!AV$6:AV$105)+SUMIF(Capacity_Resource,$F61,'Critical resources (hide)'!AV$6:AV$105)&gt;0,$E$1=2),0,1)</f>
        <v>1</v>
      </c>
      <c r="AJ61" s="67">
        <f ca="1">IF(AND(SUMIF(Capacity_Resource,$D61,'Critical resources (hide)'!AW$6:AW$105)+SUMIF(Capacity_Resource,$E61,'Critical resources (hide)'!AW$6:AW$105)+SUMIF(Capacity_Resource,$F61,'Critical resources (hide)'!AW$6:AW$105)&gt;0,$E$1=2),0,1)</f>
        <v>1</v>
      </c>
      <c r="AK61" s="67">
        <f ca="1">IF(AND(SUMIF(Capacity_Resource,$D61,'Critical resources (hide)'!AX$6:AX$105)+SUMIF(Capacity_Resource,$E61,'Critical resources (hide)'!AX$6:AX$105)+SUMIF(Capacity_Resource,$F61,'Critical resources (hide)'!AX$6:AX$105)&gt;0,$E$1=2),0,1)</f>
        <v>1</v>
      </c>
      <c r="AL61" s="67">
        <f ca="1">IF(AND(SUMIF(Capacity_Resource,$D61,'Critical resources (hide)'!AY$6:AY$105)+SUMIF(Capacity_Resource,$E61,'Critical resources (hide)'!AY$6:AY$105)+SUMIF(Capacity_Resource,$F61,'Critical resources (hide)'!AY$6:AY$105)&gt;0,$E$1=2),0,1)</f>
        <v>1</v>
      </c>
      <c r="AM61" s="67">
        <f ca="1">IF(AND(SUMIF(Capacity_Resource,$D61,'Critical resources (hide)'!AZ$6:AZ$105)+SUMIF(Capacity_Resource,$E61,'Critical resources (hide)'!AZ$6:AZ$105)+SUMIF(Capacity_Resource,$F61,'Critical resources (hide)'!AZ$6:AZ$105)&gt;0,$E$1=2),0,1)</f>
        <v>1</v>
      </c>
      <c r="AN61" s="67">
        <f ca="1">IF(AND(SUMIF(Capacity_Resource,$D61,'Critical resources (hide)'!BA$6:BA$105)+SUMIF(Capacity_Resource,$E61,'Critical resources (hide)'!BA$6:BA$105)+SUMIF(Capacity_Resource,$F61,'Critical resources (hide)'!BA$6:BA$105)&gt;0,$E$1=2),0,1)</f>
        <v>1</v>
      </c>
      <c r="AO61" s="67">
        <f ca="1">IF(AND(SUMIF(Capacity_Resource,$D61,'Critical resources (hide)'!BB$6:BB$105)+SUMIF(Capacity_Resource,$E61,'Critical resources (hide)'!BB$6:BB$105)+SUMIF(Capacity_Resource,$F61,'Critical resources (hide)'!BB$6:BB$105)&gt;0,$E$1=2),0,1)</f>
        <v>1</v>
      </c>
      <c r="AP61" s="67">
        <f ca="1">IF(AND(SUMIF(Capacity_Resource,$D61,'Critical resources (hide)'!BC$6:BC$105)+SUMIF(Capacity_Resource,$E61,'Critical resources (hide)'!BC$6:BC$105)+SUMIF(Capacity_Resource,$F61,'Critical resources (hide)'!BC$6:BC$105)&gt;0,$E$1=2),0,1)</f>
        <v>1</v>
      </c>
      <c r="AQ61" s="67">
        <f ca="1">IF(AND(SUMIF(Capacity_Resource,$D61,'Critical resources (hide)'!BD$6:BD$105)+SUMIF(Capacity_Resource,$E61,'Critical resources (hide)'!BD$6:BD$105)+SUMIF(Capacity_Resource,$F61,'Critical resources (hide)'!BD$6:BD$105)&gt;0,$E$1=2),0,1)</f>
        <v>1</v>
      </c>
      <c r="AR61" s="67">
        <f ca="1">IF(AND(SUMIF(Capacity_Resource,$D61,'Critical resources (hide)'!BE$6:BE$105)+SUMIF(Capacity_Resource,$E61,'Critical resources (hide)'!BE$6:BE$105)+SUMIF(Capacity_Resource,$F61,'Critical resources (hide)'!BE$6:BE$105)&gt;0,$E$1=2),0,1)</f>
        <v>1</v>
      </c>
      <c r="AS61" s="67">
        <f ca="1">IF(AND(SUMIF(Capacity_Resource,$D61,'Critical resources (hide)'!BF$6:BF$105)+SUMIF(Capacity_Resource,$E61,'Critical resources (hide)'!BF$6:BF$105)+SUMIF(Capacity_Resource,$F61,'Critical resources (hide)'!BF$6:BF$105)&gt;0,$E$1=2),0,1)</f>
        <v>1</v>
      </c>
      <c r="AT61" s="67">
        <f ca="1">IF(AND(SUMIF(Capacity_Resource,$D61,'Critical resources (hide)'!BG$6:BG$105)+SUMIF(Capacity_Resource,$E61,'Critical resources (hide)'!BG$6:BG$105)+SUMIF(Capacity_Resource,$F61,'Critical resources (hide)'!BG$6:BG$105)&gt;0,$E$1=2),0,1)</f>
        <v>1</v>
      </c>
      <c r="AU61" s="67">
        <f ca="1">IF(AND(SUMIF(Capacity_Resource,$D61,'Critical resources (hide)'!BH$6:BH$105)+SUMIF(Capacity_Resource,$E61,'Critical resources (hide)'!BH$6:BH$105)+SUMIF(Capacity_Resource,$F61,'Critical resources (hide)'!BH$6:BH$105)&gt;0,$E$1=2),0,1)</f>
        <v>1</v>
      </c>
      <c r="AV61" s="67">
        <f ca="1">IF(AND(SUMIF(Capacity_Resource,$D61,'Critical resources (hide)'!BI$6:BI$105)+SUMIF(Capacity_Resource,$E61,'Critical resources (hide)'!BI$6:BI$105)+SUMIF(Capacity_Resource,$F61,'Critical resources (hide)'!BI$6:BI$105)&gt;0,$E$1=2),0,1)</f>
        <v>1</v>
      </c>
      <c r="AW61" s="67">
        <f ca="1">IF(AND(SUMIF(Capacity_Resource,$D61,'Critical resources (hide)'!BJ$6:BJ$105)+SUMIF(Capacity_Resource,$E61,'Critical resources (hide)'!BJ$6:BJ$105)+SUMIF(Capacity_Resource,$F61,'Critical resources (hide)'!BJ$6:BJ$105)&gt;0,$E$1=2),0,1)</f>
        <v>1</v>
      </c>
      <c r="AX61" s="67">
        <f ca="1">IF(AND(SUMIF(Capacity_Resource,$D61,'Critical resources (hide)'!BK$6:BK$105)+SUMIF(Capacity_Resource,$E61,'Critical resources (hide)'!BK$6:BK$105)+SUMIF(Capacity_Resource,$F61,'Critical resources (hide)'!BK$6:BK$105)&gt;0,$E$1=2),0,1)</f>
        <v>1</v>
      </c>
      <c r="AY61" s="67">
        <f ca="1">IF(AND(SUMIF(Capacity_Resource,$D61,'Critical resources (hide)'!BL$6:BL$105)+SUMIF(Capacity_Resource,$E61,'Critical resources (hide)'!BL$6:BL$105)+SUMIF(Capacity_Resource,$F61,'Critical resources (hide)'!BL$6:BL$105)&gt;0,$E$1=2),0,1)</f>
        <v>1</v>
      </c>
      <c r="AZ61" s="67">
        <f ca="1">IF(AND(SUMIF(Capacity_Resource,$D61,'Critical resources (hide)'!BM$6:BM$105)+SUMIF(Capacity_Resource,$E61,'Critical resources (hide)'!BM$6:BM$105)+SUMIF(Capacity_Resource,$F61,'Critical resources (hide)'!BM$6:BM$105)&gt;0,$E$1=2),0,1)</f>
        <v>1</v>
      </c>
      <c r="BA61" s="67">
        <f ca="1">IF(AND(SUMIF(Capacity_Resource,$D61,'Critical resources (hide)'!BN$6:BN$105)+SUMIF(Capacity_Resource,$E61,'Critical resources (hide)'!BN$6:BN$105)+SUMIF(Capacity_Resource,$F61,'Critical resources (hide)'!BN$6:BN$105)&gt;0,$E$1=2),0,1)</f>
        <v>1</v>
      </c>
      <c r="BB61" s="67">
        <f ca="1">IF(AND(SUMIF(Capacity_Resource,$D61,'Critical resources (hide)'!BO$6:BO$105)+SUMIF(Capacity_Resource,$E61,'Critical resources (hide)'!BO$6:BO$105)+SUMIF(Capacity_Resource,$F61,'Critical resources (hide)'!BO$6:BO$105)&gt;0,$E$1=2),0,1)</f>
        <v>1</v>
      </c>
      <c r="BC61" s="67">
        <f ca="1">IF(AND(SUMIF(Capacity_Resource,$D61,'Critical resources (hide)'!BP$6:BP$105)+SUMIF(Capacity_Resource,$E61,'Critical resources (hide)'!BP$6:BP$105)+SUMIF(Capacity_Resource,$F61,'Critical resources (hide)'!BP$6:BP$105)&gt;0,$E$1=2),0,1)</f>
        <v>1</v>
      </c>
      <c r="BD61" s="67">
        <f ca="1">IF(AND(SUMIF(Capacity_Resource,$D61,'Critical resources (hide)'!BQ$6:BQ$105)+SUMIF(Capacity_Resource,$E61,'Critical resources (hide)'!BQ$6:BQ$105)+SUMIF(Capacity_Resource,$F61,'Critical resources (hide)'!BQ$6:BQ$105)&gt;0,$E$1=2),0,1)</f>
        <v>1</v>
      </c>
      <c r="BE61" s="67">
        <f ca="1">IF(AND(SUMIF(Capacity_Resource,$D61,'Critical resources (hide)'!BR$6:BR$105)+SUMIF(Capacity_Resource,$E61,'Critical resources (hide)'!BR$6:BR$105)+SUMIF(Capacity_Resource,$F61,'Critical resources (hide)'!BR$6:BR$105)&gt;0,$E$1=2),0,1)</f>
        <v>1</v>
      </c>
      <c r="BF61" s="67">
        <f ca="1">IF(AND(SUMIF(Capacity_Resource,$D61,'Critical resources (hide)'!BS$6:BS$105)+SUMIF(Capacity_Resource,$E61,'Critical resources (hide)'!BS$6:BS$105)+SUMIF(Capacity_Resource,$F61,'Critical resources (hide)'!BS$6:BS$105)&gt;0,$E$1=2),0,1)</f>
        <v>1</v>
      </c>
      <c r="BG61" s="67">
        <f ca="1">IF(AND(SUMIF(Capacity_Resource,$D61,'Critical resources (hide)'!BT$6:BT$105)+SUMIF(Capacity_Resource,$E61,'Critical resources (hide)'!BT$6:BT$105)+SUMIF(Capacity_Resource,$F61,'Critical resources (hide)'!BT$6:BT$105)&gt;0,$E$1=2),0,1)</f>
        <v>1</v>
      </c>
      <c r="BH61" s="67">
        <f>IF(ROW(C57)&lt;=Capacity!$A$16,IF('Capacity summary'!$D$14="No",SUM(H61:BG61),'Capacity summary'!$E180),0)</f>
        <v>0</v>
      </c>
      <c r="BI61" s="5" t="str">
        <f>IF(BH61&gt;0,IF(BH61&lt;Capacity!E73,Capacity!F73,Capacity!H73/'Capacity calculation (hide)'!BH61),"")</f>
        <v/>
      </c>
      <c r="BK61" s="313">
        <f>IF($BI61&lt;&gt;"",IF('Capacity summary'!$D$14="Yes",IF(COUNTBLANK('Capacity summary'!$H180:$BG180)&lt;52,IF('Capacity summary'!H180&lt;&gt;"",IF(LOWER('Capacity summary'!H180)="x",$BI61*H61,VALUE('Capacity summary'!H180)),0),H61*$BI61),H61*$BI61),0)</f>
        <v>0</v>
      </c>
      <c r="BL61" s="313">
        <f>IF($BI61&lt;&gt;"",IF('Capacity summary'!$D$14="Yes",IF(COUNTBLANK('Capacity summary'!$H180:$BG180)&lt;52,IF('Capacity summary'!I180&lt;&gt;"",IF(LOWER('Capacity summary'!I180)="x",$BI61*I61,VALUE('Capacity summary'!I180)),0),I61*$BI61),I61*$BI61),0)</f>
        <v>0</v>
      </c>
      <c r="BM61" s="313">
        <f>IF($BI61&lt;&gt;"",IF('Capacity summary'!$D$14="Yes",IF(COUNTBLANK('Capacity summary'!$H180:$BG180)&lt;52,IF('Capacity summary'!J180&lt;&gt;"",IF(LOWER('Capacity summary'!J180)="x",$BI61*J61,VALUE('Capacity summary'!J180)),0),J61*$BI61),J61*$BI61),0)</f>
        <v>0</v>
      </c>
      <c r="BN61" s="313">
        <f>IF($BI61&lt;&gt;"",IF('Capacity summary'!$D$14="Yes",IF(COUNTBLANK('Capacity summary'!$H180:$BG180)&lt;52,IF('Capacity summary'!K180&lt;&gt;"",IF(LOWER('Capacity summary'!K180)="x",$BI61*K61,VALUE('Capacity summary'!K180)),0),K61*$BI61),K61*$BI61),0)</f>
        <v>0</v>
      </c>
      <c r="BO61" s="313">
        <f>IF($BI61&lt;&gt;"",IF('Capacity summary'!$D$14="Yes",IF(COUNTBLANK('Capacity summary'!$H180:$BG180)&lt;52,IF('Capacity summary'!L180&lt;&gt;"",IF(LOWER('Capacity summary'!L180)="x",$BI61*L61,VALUE('Capacity summary'!L180)),0),L61*$BI61),L61*$BI61),0)</f>
        <v>0</v>
      </c>
      <c r="BP61" s="313">
        <f>IF($BI61&lt;&gt;"",IF('Capacity summary'!$D$14="Yes",IF(COUNTBLANK('Capacity summary'!$H180:$BG180)&lt;52,IF('Capacity summary'!M180&lt;&gt;"",IF(LOWER('Capacity summary'!M180)="x",$BI61*M61,VALUE('Capacity summary'!M180)),0),M61*$BI61),M61*$BI61),0)</f>
        <v>0</v>
      </c>
      <c r="BQ61" s="313">
        <f>IF($BI61&lt;&gt;"",IF('Capacity summary'!$D$14="Yes",IF(COUNTBLANK('Capacity summary'!$H180:$BG180)&lt;52,IF('Capacity summary'!N180&lt;&gt;"",IF(LOWER('Capacity summary'!N180)="x",$BI61*N61,VALUE('Capacity summary'!N180)),0),N61*$BI61),N61*$BI61),0)</f>
        <v>0</v>
      </c>
      <c r="BR61" s="313">
        <f>IF($BI61&lt;&gt;"",IF('Capacity summary'!$D$14="Yes",IF(COUNTBLANK('Capacity summary'!$H180:$BG180)&lt;52,IF('Capacity summary'!O180&lt;&gt;"",IF(LOWER('Capacity summary'!O180)="x",$BI61*O61,VALUE('Capacity summary'!O180)),0),O61*$BI61),O61*$BI61),0)</f>
        <v>0</v>
      </c>
      <c r="BS61" s="313">
        <f>IF($BI61&lt;&gt;"",IF('Capacity summary'!$D$14="Yes",IF(COUNTBLANK('Capacity summary'!$H180:$BG180)&lt;52,IF('Capacity summary'!P180&lt;&gt;"",IF(LOWER('Capacity summary'!P180)="x",$BI61*P61,VALUE('Capacity summary'!P180)),0),P61*$BI61),P61*$BI61),0)</f>
        <v>0</v>
      </c>
      <c r="BT61" s="313">
        <f>IF($BI61&lt;&gt;"",IF('Capacity summary'!$D$14="Yes",IF(COUNTBLANK('Capacity summary'!$H180:$BG180)&lt;52,IF('Capacity summary'!Q180&lt;&gt;"",IF(LOWER('Capacity summary'!Q180)="x",$BI61*Q61,VALUE('Capacity summary'!Q180)),0),Q61*$BI61),Q61*$BI61),0)</f>
        <v>0</v>
      </c>
      <c r="BU61" s="313">
        <f>IF($BI61&lt;&gt;"",IF('Capacity summary'!$D$14="Yes",IF(COUNTBLANK('Capacity summary'!$H180:$BG180)&lt;52,IF('Capacity summary'!R180&lt;&gt;"",IF(LOWER('Capacity summary'!R180)="x",$BI61*R61,VALUE('Capacity summary'!R180)),0),R61*$BI61),R61*$BI61),0)</f>
        <v>0</v>
      </c>
      <c r="BV61" s="313">
        <f>IF($BI61&lt;&gt;"",IF('Capacity summary'!$D$14="Yes",IF(COUNTBLANK('Capacity summary'!$H180:$BG180)&lt;52,IF('Capacity summary'!S180&lt;&gt;"",IF(LOWER('Capacity summary'!S180)="x",$BI61*S61,VALUE('Capacity summary'!S180)),0),S61*$BI61),S61*$BI61),0)</f>
        <v>0</v>
      </c>
      <c r="BW61" s="313">
        <f>IF($BI61&lt;&gt;"",IF('Capacity summary'!$D$14="Yes",IF(COUNTBLANK('Capacity summary'!$H180:$BG180)&lt;52,IF('Capacity summary'!T180&lt;&gt;"",IF(LOWER('Capacity summary'!T180)="x",$BI61*T61,VALUE('Capacity summary'!T180)),0),T61*$BI61),T61*$BI61),0)</f>
        <v>0</v>
      </c>
      <c r="BX61" s="313">
        <f>IF($BI61&lt;&gt;"",IF('Capacity summary'!$D$14="Yes",IF(COUNTBLANK('Capacity summary'!$H180:$BG180)&lt;52,IF('Capacity summary'!U180&lt;&gt;"",IF(LOWER('Capacity summary'!U180)="x",$BI61*U61,VALUE('Capacity summary'!U180)),0),U61*$BI61),U61*$BI61),0)</f>
        <v>0</v>
      </c>
      <c r="BY61" s="313">
        <f>IF($BI61&lt;&gt;"",IF('Capacity summary'!$D$14="Yes",IF(COUNTBLANK('Capacity summary'!$H180:$BG180)&lt;52,IF('Capacity summary'!V180&lt;&gt;"",IF(LOWER('Capacity summary'!V180)="x",$BI61*V61,VALUE('Capacity summary'!V180)),0),V61*$BI61),V61*$BI61),0)</f>
        <v>0</v>
      </c>
      <c r="BZ61" s="313">
        <f>IF($BI61&lt;&gt;"",IF('Capacity summary'!$D$14="Yes",IF(COUNTBLANK('Capacity summary'!$H180:$BG180)&lt;52,IF('Capacity summary'!W180&lt;&gt;"",IF(LOWER('Capacity summary'!W180)="x",$BI61*W61,VALUE('Capacity summary'!W180)),0),W61*$BI61),W61*$BI61),0)</f>
        <v>0</v>
      </c>
      <c r="CA61" s="313">
        <f>IF($BI61&lt;&gt;"",IF('Capacity summary'!$D$14="Yes",IF(COUNTBLANK('Capacity summary'!$H180:$BG180)&lt;52,IF('Capacity summary'!X180&lt;&gt;"",IF(LOWER('Capacity summary'!X180)="x",$BI61*X61,VALUE('Capacity summary'!X180)),0),X61*$BI61),X61*$BI61),0)</f>
        <v>0</v>
      </c>
      <c r="CB61" s="313">
        <f>IF($BI61&lt;&gt;"",IF('Capacity summary'!$D$14="Yes",IF(COUNTBLANK('Capacity summary'!$H180:$BG180)&lt;52,IF('Capacity summary'!Y180&lt;&gt;"",IF(LOWER('Capacity summary'!Y180)="x",$BI61*Y61,VALUE('Capacity summary'!Y180)),0),Y61*$BI61),Y61*$BI61),0)</f>
        <v>0</v>
      </c>
      <c r="CC61" s="313">
        <f>IF($BI61&lt;&gt;"",IF('Capacity summary'!$D$14="Yes",IF(COUNTBLANK('Capacity summary'!$H180:$BG180)&lt;52,IF('Capacity summary'!Z180&lt;&gt;"",IF(LOWER('Capacity summary'!Z180)="x",$BI61*Z61,VALUE('Capacity summary'!Z180)),0),Z61*$BI61),Z61*$BI61),0)</f>
        <v>0</v>
      </c>
      <c r="CD61" s="313">
        <f>IF($BI61&lt;&gt;"",IF('Capacity summary'!$D$14="Yes",IF(COUNTBLANK('Capacity summary'!$H180:$BG180)&lt;52,IF('Capacity summary'!AA180&lt;&gt;"",IF(LOWER('Capacity summary'!AA180)="x",$BI61*AA61,VALUE('Capacity summary'!AA180)),0),AA61*$BI61),AA61*$BI61),0)</f>
        <v>0</v>
      </c>
      <c r="CE61" s="313">
        <f>IF($BI61&lt;&gt;"",IF('Capacity summary'!$D$14="Yes",IF(COUNTBLANK('Capacity summary'!$H180:$BG180)&lt;52,IF('Capacity summary'!AB180&lt;&gt;"",IF(LOWER('Capacity summary'!AB180)="x",$BI61*AB61,VALUE('Capacity summary'!AB180)),0),AB61*$BI61),AB61*$BI61),0)</f>
        <v>0</v>
      </c>
      <c r="CF61" s="313">
        <f>IF($BI61&lt;&gt;"",IF('Capacity summary'!$D$14="Yes",IF(COUNTBLANK('Capacity summary'!$H180:$BG180)&lt;52,IF('Capacity summary'!AC180&lt;&gt;"",IF(LOWER('Capacity summary'!AC180)="x",$BI61*AC61,VALUE('Capacity summary'!AC180)),0),AC61*$BI61),AC61*$BI61),0)</f>
        <v>0</v>
      </c>
      <c r="CG61" s="313">
        <f>IF($BI61&lt;&gt;"",IF('Capacity summary'!$D$14="Yes",IF(COUNTBLANK('Capacity summary'!$H180:$BG180)&lt;52,IF('Capacity summary'!AD180&lt;&gt;"",IF(LOWER('Capacity summary'!AD180)="x",$BI61*AD61,VALUE('Capacity summary'!AD180)),0),AD61*$BI61),AD61*$BI61),0)</f>
        <v>0</v>
      </c>
      <c r="CH61" s="313">
        <f>IF($BI61&lt;&gt;"",IF('Capacity summary'!$D$14="Yes",IF(COUNTBLANK('Capacity summary'!$H180:$BG180)&lt;52,IF('Capacity summary'!AE180&lt;&gt;"",IF(LOWER('Capacity summary'!AE180)="x",$BI61*AE61,VALUE('Capacity summary'!AE180)),0),AE61*$BI61),AE61*$BI61),0)</f>
        <v>0</v>
      </c>
      <c r="CI61" s="313">
        <f>IF($BI61&lt;&gt;"",IF('Capacity summary'!$D$14="Yes",IF(COUNTBLANK('Capacity summary'!$H180:$BG180)&lt;52,IF('Capacity summary'!AF180&lt;&gt;"",IF(LOWER('Capacity summary'!AF180)="x",$BI61*AF61,VALUE('Capacity summary'!AF180)),0),AF61*$BI61),AF61*$BI61),0)</f>
        <v>0</v>
      </c>
      <c r="CJ61" s="313">
        <f>IF($BI61&lt;&gt;"",IF('Capacity summary'!$D$14="Yes",IF(COUNTBLANK('Capacity summary'!$H180:$BG180)&lt;52,IF('Capacity summary'!AG180&lt;&gt;"",IF(LOWER('Capacity summary'!AG180)="x",$BI61*AG61,VALUE('Capacity summary'!AG180)),0),AG61*$BI61),AG61*$BI61),0)</f>
        <v>0</v>
      </c>
      <c r="CK61" s="313">
        <f>IF($BI61&lt;&gt;"",IF('Capacity summary'!$D$14="Yes",IF(COUNTBLANK('Capacity summary'!$H180:$BG180)&lt;52,IF('Capacity summary'!AH180&lt;&gt;"",IF(LOWER('Capacity summary'!AH180)="x",$BI61*AH61,VALUE('Capacity summary'!AH180)),0),AH61*$BI61),AH61*$BI61),0)</f>
        <v>0</v>
      </c>
      <c r="CL61" s="313">
        <f>IF($BI61&lt;&gt;"",IF('Capacity summary'!$D$14="Yes",IF(COUNTBLANK('Capacity summary'!$H180:$BG180)&lt;52,IF('Capacity summary'!AI180&lt;&gt;"",IF(LOWER('Capacity summary'!AI180)="x",$BI61*AI61,VALUE('Capacity summary'!AI180)),0),AI61*$BI61),AI61*$BI61),0)</f>
        <v>0</v>
      </c>
      <c r="CM61" s="313">
        <f>IF($BI61&lt;&gt;"",IF('Capacity summary'!$D$14="Yes",IF(COUNTBLANK('Capacity summary'!$H180:$BG180)&lt;52,IF('Capacity summary'!AJ180&lt;&gt;"",IF(LOWER('Capacity summary'!AJ180)="x",$BI61*AJ61,VALUE('Capacity summary'!AJ180)),0),AJ61*$BI61),AJ61*$BI61),0)</f>
        <v>0</v>
      </c>
      <c r="CN61" s="313">
        <f>IF($BI61&lt;&gt;"",IF('Capacity summary'!$D$14="Yes",IF(COUNTBLANK('Capacity summary'!$H180:$BG180)&lt;52,IF('Capacity summary'!AK180&lt;&gt;"",IF(LOWER('Capacity summary'!AK180)="x",$BI61*AK61,VALUE('Capacity summary'!AK180)),0),AK61*$BI61),AK61*$BI61),0)</f>
        <v>0</v>
      </c>
      <c r="CO61" s="313">
        <f>IF($BI61&lt;&gt;"",IF('Capacity summary'!$D$14="Yes",IF(COUNTBLANK('Capacity summary'!$H180:$BG180)&lt;52,IF('Capacity summary'!AL180&lt;&gt;"",IF(LOWER('Capacity summary'!AL180)="x",$BI61*AL61,VALUE('Capacity summary'!AL180)),0),AL61*$BI61),AL61*$BI61),0)</f>
        <v>0</v>
      </c>
      <c r="CP61" s="313">
        <f>IF($BI61&lt;&gt;"",IF('Capacity summary'!$D$14="Yes",IF(COUNTBLANK('Capacity summary'!$H180:$BG180)&lt;52,IF('Capacity summary'!AM180&lt;&gt;"",IF(LOWER('Capacity summary'!AM180)="x",$BI61*AM61,VALUE('Capacity summary'!AM180)),0),AM61*$BI61),AM61*$BI61),0)</f>
        <v>0</v>
      </c>
      <c r="CQ61" s="313">
        <f>IF($BI61&lt;&gt;"",IF('Capacity summary'!$D$14="Yes",IF(COUNTBLANK('Capacity summary'!$H180:$BG180)&lt;52,IF('Capacity summary'!AN180&lt;&gt;"",IF(LOWER('Capacity summary'!AN180)="x",$BI61*AN61,VALUE('Capacity summary'!AN180)),0),AN61*$BI61),AN61*$BI61),0)</f>
        <v>0</v>
      </c>
      <c r="CR61" s="313">
        <f>IF($BI61&lt;&gt;"",IF('Capacity summary'!$D$14="Yes",IF(COUNTBLANK('Capacity summary'!$H180:$BG180)&lt;52,IF('Capacity summary'!AO180&lt;&gt;"",IF(LOWER('Capacity summary'!AO180)="x",$BI61*AO61,VALUE('Capacity summary'!AO180)),0),AO61*$BI61),AO61*$BI61),0)</f>
        <v>0</v>
      </c>
      <c r="CS61" s="313">
        <f>IF($BI61&lt;&gt;"",IF('Capacity summary'!$D$14="Yes",IF(COUNTBLANK('Capacity summary'!$H180:$BG180)&lt;52,IF('Capacity summary'!AP180&lt;&gt;"",IF(LOWER('Capacity summary'!AP180)="x",$BI61*AP61,VALUE('Capacity summary'!AP180)),0),AP61*$BI61),AP61*$BI61),0)</f>
        <v>0</v>
      </c>
      <c r="CT61" s="313">
        <f>IF($BI61&lt;&gt;"",IF('Capacity summary'!$D$14="Yes",IF(COUNTBLANK('Capacity summary'!$H180:$BG180)&lt;52,IF('Capacity summary'!AQ180&lt;&gt;"",IF(LOWER('Capacity summary'!AQ180)="x",$BI61*AQ61,VALUE('Capacity summary'!AQ180)),0),AQ61*$BI61),AQ61*$BI61),0)</f>
        <v>0</v>
      </c>
      <c r="CU61" s="313">
        <f>IF($BI61&lt;&gt;"",IF('Capacity summary'!$D$14="Yes",IF(COUNTBLANK('Capacity summary'!$H180:$BG180)&lt;52,IF('Capacity summary'!AR180&lt;&gt;"",IF(LOWER('Capacity summary'!AR180)="x",$BI61*AR61,VALUE('Capacity summary'!AR180)),0),AR61*$BI61),AR61*$BI61),0)</f>
        <v>0</v>
      </c>
      <c r="CV61" s="313">
        <f>IF($BI61&lt;&gt;"",IF('Capacity summary'!$D$14="Yes",IF(COUNTBLANK('Capacity summary'!$H180:$BG180)&lt;52,IF('Capacity summary'!AS180&lt;&gt;"",IF(LOWER('Capacity summary'!AS180)="x",$BI61*AS61,VALUE('Capacity summary'!AS180)),0),AS61*$BI61),AS61*$BI61),0)</f>
        <v>0</v>
      </c>
      <c r="CW61" s="313">
        <f>IF($BI61&lt;&gt;"",IF('Capacity summary'!$D$14="Yes",IF(COUNTBLANK('Capacity summary'!$H180:$BG180)&lt;52,IF('Capacity summary'!AT180&lt;&gt;"",IF(LOWER('Capacity summary'!AT180)="x",$BI61*AT61,VALUE('Capacity summary'!AT180)),0),AT61*$BI61),AT61*$BI61),0)</f>
        <v>0</v>
      </c>
      <c r="CX61" s="313">
        <f>IF($BI61&lt;&gt;"",IF('Capacity summary'!$D$14="Yes",IF(COUNTBLANK('Capacity summary'!$H180:$BG180)&lt;52,IF('Capacity summary'!AU180&lt;&gt;"",IF(LOWER('Capacity summary'!AU180)="x",$BI61*AU61,VALUE('Capacity summary'!AU180)),0),AU61*$BI61),AU61*$BI61),0)</f>
        <v>0</v>
      </c>
      <c r="CY61" s="313">
        <f>IF($BI61&lt;&gt;"",IF('Capacity summary'!$D$14="Yes",IF(COUNTBLANK('Capacity summary'!$H180:$BG180)&lt;52,IF('Capacity summary'!AV180&lt;&gt;"",IF(LOWER('Capacity summary'!AV180)="x",$BI61*AV61,VALUE('Capacity summary'!AV180)),0),AV61*$BI61),AV61*$BI61),0)</f>
        <v>0</v>
      </c>
      <c r="CZ61" s="313">
        <f>IF($BI61&lt;&gt;"",IF('Capacity summary'!$D$14="Yes",IF(COUNTBLANK('Capacity summary'!$H180:$BG180)&lt;52,IF('Capacity summary'!AW180&lt;&gt;"",IF(LOWER('Capacity summary'!AW180)="x",$BI61*AW61,VALUE('Capacity summary'!AW180)),0),AW61*$BI61),AW61*$BI61),0)</f>
        <v>0</v>
      </c>
      <c r="DA61" s="313">
        <f>IF($BI61&lt;&gt;"",IF('Capacity summary'!$D$14="Yes",IF(COUNTBLANK('Capacity summary'!$H180:$BG180)&lt;52,IF('Capacity summary'!AX180&lt;&gt;"",IF(LOWER('Capacity summary'!AX180)="x",$BI61*AX61,VALUE('Capacity summary'!AX180)),0),AX61*$BI61),AX61*$BI61),0)</f>
        <v>0</v>
      </c>
      <c r="DB61" s="313">
        <f>IF($BI61&lt;&gt;"",IF('Capacity summary'!$D$14="Yes",IF(COUNTBLANK('Capacity summary'!$H180:$BG180)&lt;52,IF('Capacity summary'!AY180&lt;&gt;"",IF(LOWER('Capacity summary'!AY180)="x",$BI61*AY61,VALUE('Capacity summary'!AY180)),0),AY61*$BI61),AY61*$BI61),0)</f>
        <v>0</v>
      </c>
      <c r="DC61" s="313">
        <f>IF($BI61&lt;&gt;"",IF('Capacity summary'!$D$14="Yes",IF(COUNTBLANK('Capacity summary'!$H180:$BG180)&lt;52,IF('Capacity summary'!AZ180&lt;&gt;"",IF(LOWER('Capacity summary'!AZ180)="x",$BI61*AZ61,VALUE('Capacity summary'!AZ180)),0),AZ61*$BI61),AZ61*$BI61),0)</f>
        <v>0</v>
      </c>
      <c r="DD61" s="313">
        <f>IF($BI61&lt;&gt;"",IF('Capacity summary'!$D$14="Yes",IF(COUNTBLANK('Capacity summary'!$H180:$BG180)&lt;52,IF('Capacity summary'!BA180&lt;&gt;"",IF(LOWER('Capacity summary'!BA180)="x",$BI61*BA61,VALUE('Capacity summary'!BA180)),0),BA61*$BI61),BA61*$BI61),0)</f>
        <v>0</v>
      </c>
      <c r="DE61" s="313">
        <f>IF($BI61&lt;&gt;"",IF('Capacity summary'!$D$14="Yes",IF(COUNTBLANK('Capacity summary'!$H180:$BG180)&lt;52,IF('Capacity summary'!BB180&lt;&gt;"",IF(LOWER('Capacity summary'!BB180)="x",$BI61*BB61,VALUE('Capacity summary'!BB180)),0),BB61*$BI61),BB61*$BI61),0)</f>
        <v>0</v>
      </c>
      <c r="DF61" s="313">
        <f>IF($BI61&lt;&gt;"",IF('Capacity summary'!$D$14="Yes",IF(COUNTBLANK('Capacity summary'!$H180:$BG180)&lt;52,IF('Capacity summary'!BC180&lt;&gt;"",IF(LOWER('Capacity summary'!BC180)="x",$BI61*BC61,VALUE('Capacity summary'!BC180)),0),BC61*$BI61),BC61*$BI61),0)</f>
        <v>0</v>
      </c>
      <c r="DG61" s="313">
        <f>IF($BI61&lt;&gt;"",IF('Capacity summary'!$D$14="Yes",IF(COUNTBLANK('Capacity summary'!$H180:$BG180)&lt;52,IF('Capacity summary'!BD180&lt;&gt;"",IF(LOWER('Capacity summary'!BD180)="x",$BI61*BD61,VALUE('Capacity summary'!BD180)),0),BD61*$BI61),BD61*$BI61),0)</f>
        <v>0</v>
      </c>
      <c r="DH61" s="313">
        <f>IF($BI61&lt;&gt;"",IF('Capacity summary'!$D$14="Yes",IF(COUNTBLANK('Capacity summary'!$H180:$BG180)&lt;52,IF('Capacity summary'!BE180&lt;&gt;"",IF(LOWER('Capacity summary'!BE180)="x",$BI61*BE61,VALUE('Capacity summary'!BE180)),0),BE61*$BI61),BE61*$BI61),0)</f>
        <v>0</v>
      </c>
      <c r="DI61" s="313">
        <f>IF($BI61&lt;&gt;"",IF('Capacity summary'!$D$14="Yes",IF(COUNTBLANK('Capacity summary'!$H180:$BG180)&lt;52,IF('Capacity summary'!BF180&lt;&gt;"",IF(LOWER('Capacity summary'!BF180)="x",$BI61*BF61,VALUE('Capacity summary'!BF180)),0),BF61*$BI61),BF61*$BI61),0)</f>
        <v>0</v>
      </c>
      <c r="DJ61" s="313">
        <f>IF($BI61&lt;&gt;"",IF('Capacity summary'!$D$14="Yes",IF(COUNTBLANK('Capacity summary'!$H180:$BG180)&lt;52,IF('Capacity summary'!BG180&lt;&gt;"",IF(LOWER('Capacity summary'!BG180)="x",$BI61*BG61,VALUE('Capacity summary'!BG180)),0),BG61*$BI61),BG61*$BI61),0)</f>
        <v>0</v>
      </c>
      <c r="DK61" s="137">
        <f t="shared" si="2"/>
        <v>0</v>
      </c>
      <c r="DL61" s="313" t="str">
        <f>Capacity!H73</f>
        <v/>
      </c>
    </row>
    <row r="62" spans="2:120" x14ac:dyDescent="0.25">
      <c r="B62" s="67"/>
      <c r="C62" s="67" t="str">
        <f>ROW(A58)&amp;". "&amp;Capacity!B74</f>
        <v xml:space="preserve">58. </v>
      </c>
      <c r="D62" s="67">
        <f>'Capacity setup'!C69</f>
        <v>0</v>
      </c>
      <c r="E62" s="67">
        <f>'Capacity setup'!D69</f>
        <v>0</v>
      </c>
      <c r="F62" s="67">
        <f>'Capacity setup'!E69</f>
        <v>0</v>
      </c>
      <c r="H62" s="67">
        <f ca="1">IF(AND(SUMIF(Capacity_Resource,$D62,'Critical resources (hide)'!U$6:U$105)+SUMIF(Capacity_Resource,$E62,'Critical resources (hide)'!U$6:U$105)+SUMIF(Capacity_Resource,$F62,'Critical resources (hide)'!U$6:U$105)&gt;0,$E$1=2),0,1)</f>
        <v>1</v>
      </c>
      <c r="I62" s="67">
        <f ca="1">IF(AND(SUMIF(Capacity_Resource,$D62,'Critical resources (hide)'!V$6:V$105)+SUMIF(Capacity_Resource,$E62,'Critical resources (hide)'!V$6:V$105)+SUMIF(Capacity_Resource,$F62,'Critical resources (hide)'!V$6:V$105)&gt;0,$E$1=2),0,1)</f>
        <v>1</v>
      </c>
      <c r="J62" s="67">
        <f ca="1">IF(AND(SUMIF(Capacity_Resource,$D62,'Critical resources (hide)'!W$6:W$105)+SUMIF(Capacity_Resource,$E62,'Critical resources (hide)'!W$6:W$105)+SUMIF(Capacity_Resource,$F62,'Critical resources (hide)'!W$6:W$105)&gt;0,$E$1=2),0,1)</f>
        <v>1</v>
      </c>
      <c r="K62" s="67">
        <f ca="1">IF(AND(SUMIF(Capacity_Resource,$D62,'Critical resources (hide)'!X$6:X$105)+SUMIF(Capacity_Resource,$E62,'Critical resources (hide)'!X$6:X$105)+SUMIF(Capacity_Resource,$F62,'Critical resources (hide)'!X$6:X$105)&gt;0,$E$1=2),0,1)</f>
        <v>1</v>
      </c>
      <c r="L62" s="67">
        <f ca="1">IF(AND(SUMIF(Capacity_Resource,$D62,'Critical resources (hide)'!Y$6:Y$105)+SUMIF(Capacity_Resource,$E62,'Critical resources (hide)'!Y$6:Y$105)+SUMIF(Capacity_Resource,$F62,'Critical resources (hide)'!Y$6:Y$105)&gt;0,$E$1=2),0,1)</f>
        <v>1</v>
      </c>
      <c r="M62" s="67">
        <f ca="1">IF(AND(SUMIF(Capacity_Resource,$D62,'Critical resources (hide)'!Z$6:Z$105)+SUMIF(Capacity_Resource,$E62,'Critical resources (hide)'!Z$6:Z$105)+SUMIF(Capacity_Resource,$F62,'Critical resources (hide)'!Z$6:Z$105)&gt;0,$E$1=2),0,1)</f>
        <v>1</v>
      </c>
      <c r="N62" s="67">
        <f ca="1">IF(AND(SUMIF(Capacity_Resource,$D62,'Critical resources (hide)'!AA$6:AA$105)+SUMIF(Capacity_Resource,$E62,'Critical resources (hide)'!AA$6:AA$105)+SUMIF(Capacity_Resource,$F62,'Critical resources (hide)'!AA$6:AA$105)&gt;0,$E$1=2),0,1)</f>
        <v>1</v>
      </c>
      <c r="O62" s="67">
        <f ca="1">IF(AND(SUMIF(Capacity_Resource,$D62,'Critical resources (hide)'!AB$6:AB$105)+SUMIF(Capacity_Resource,$E62,'Critical resources (hide)'!AB$6:AB$105)+SUMIF(Capacity_Resource,$F62,'Critical resources (hide)'!AB$6:AB$105)&gt;0,$E$1=2),0,1)</f>
        <v>1</v>
      </c>
      <c r="P62" s="67">
        <f ca="1">IF(AND(SUMIF(Capacity_Resource,$D62,'Critical resources (hide)'!AC$6:AC$105)+SUMIF(Capacity_Resource,$E62,'Critical resources (hide)'!AC$6:AC$105)+SUMIF(Capacity_Resource,$F62,'Critical resources (hide)'!AC$6:AC$105)&gt;0,$E$1=2),0,1)</f>
        <v>1</v>
      </c>
      <c r="Q62" s="67">
        <f ca="1">IF(AND(SUMIF(Capacity_Resource,$D62,'Critical resources (hide)'!AD$6:AD$105)+SUMIF(Capacity_Resource,$E62,'Critical resources (hide)'!AD$6:AD$105)+SUMIF(Capacity_Resource,$F62,'Critical resources (hide)'!AD$6:AD$105)&gt;0,$E$1=2),0,1)</f>
        <v>1</v>
      </c>
      <c r="R62" s="67">
        <f ca="1">IF(AND(SUMIF(Capacity_Resource,$D62,'Critical resources (hide)'!AE$6:AE$105)+SUMIF(Capacity_Resource,$E62,'Critical resources (hide)'!AE$6:AE$105)+SUMIF(Capacity_Resource,$F62,'Critical resources (hide)'!AE$6:AE$105)&gt;0,$E$1=2),0,1)</f>
        <v>1</v>
      </c>
      <c r="S62" s="67">
        <f ca="1">IF(AND(SUMIF(Capacity_Resource,$D62,'Critical resources (hide)'!AF$6:AF$105)+SUMIF(Capacity_Resource,$E62,'Critical resources (hide)'!AF$6:AF$105)+SUMIF(Capacity_Resource,$F62,'Critical resources (hide)'!AF$6:AF$105)&gt;0,$E$1=2),0,1)</f>
        <v>1</v>
      </c>
      <c r="T62" s="67">
        <f ca="1">IF(AND(SUMIF(Capacity_Resource,$D62,'Critical resources (hide)'!AG$6:AG$105)+SUMIF(Capacity_Resource,$E62,'Critical resources (hide)'!AG$6:AG$105)+SUMIF(Capacity_Resource,$F62,'Critical resources (hide)'!AG$6:AG$105)&gt;0,$E$1=2),0,1)</f>
        <v>1</v>
      </c>
      <c r="U62" s="67">
        <f ca="1">IF(AND(SUMIF(Capacity_Resource,$D62,'Critical resources (hide)'!AH$6:AH$105)+SUMIF(Capacity_Resource,$E62,'Critical resources (hide)'!AH$6:AH$105)+SUMIF(Capacity_Resource,$F62,'Critical resources (hide)'!AH$6:AH$105)&gt;0,$E$1=2),0,1)</f>
        <v>1</v>
      </c>
      <c r="V62" s="67">
        <f ca="1">IF(AND(SUMIF(Capacity_Resource,$D62,'Critical resources (hide)'!AI$6:AI$105)+SUMIF(Capacity_Resource,$E62,'Critical resources (hide)'!AI$6:AI$105)+SUMIF(Capacity_Resource,$F62,'Critical resources (hide)'!AI$6:AI$105)&gt;0,$E$1=2),0,1)</f>
        <v>1</v>
      </c>
      <c r="W62" s="67">
        <f ca="1">IF(AND(SUMIF(Capacity_Resource,$D62,'Critical resources (hide)'!AJ$6:AJ$105)+SUMIF(Capacity_Resource,$E62,'Critical resources (hide)'!AJ$6:AJ$105)+SUMIF(Capacity_Resource,$F62,'Critical resources (hide)'!AJ$6:AJ$105)&gt;0,$E$1=2),0,1)</f>
        <v>1</v>
      </c>
      <c r="X62" s="67">
        <f ca="1">IF(AND(SUMIF(Capacity_Resource,$D62,'Critical resources (hide)'!AK$6:AK$105)+SUMIF(Capacity_Resource,$E62,'Critical resources (hide)'!AK$6:AK$105)+SUMIF(Capacity_Resource,$F62,'Critical resources (hide)'!AK$6:AK$105)&gt;0,$E$1=2),0,1)</f>
        <v>1</v>
      </c>
      <c r="Y62" s="67">
        <f ca="1">IF(AND(SUMIF(Capacity_Resource,$D62,'Critical resources (hide)'!AL$6:AL$105)+SUMIF(Capacity_Resource,$E62,'Critical resources (hide)'!AL$6:AL$105)+SUMIF(Capacity_Resource,$F62,'Critical resources (hide)'!AL$6:AL$105)&gt;0,$E$1=2),0,1)</f>
        <v>1</v>
      </c>
      <c r="Z62" s="67">
        <f ca="1">IF(AND(SUMIF(Capacity_Resource,$D62,'Critical resources (hide)'!AM$6:AM$105)+SUMIF(Capacity_Resource,$E62,'Critical resources (hide)'!AM$6:AM$105)+SUMIF(Capacity_Resource,$F62,'Critical resources (hide)'!AM$6:AM$105)&gt;0,$E$1=2),0,1)</f>
        <v>1</v>
      </c>
      <c r="AA62" s="67">
        <f ca="1">IF(AND(SUMIF(Capacity_Resource,$D62,'Critical resources (hide)'!AN$6:AN$105)+SUMIF(Capacity_Resource,$E62,'Critical resources (hide)'!AN$6:AN$105)+SUMIF(Capacity_Resource,$F62,'Critical resources (hide)'!AN$6:AN$105)&gt;0,$E$1=2),0,1)</f>
        <v>1</v>
      </c>
      <c r="AB62" s="67">
        <f ca="1">IF(AND(SUMIF(Capacity_Resource,$D62,'Critical resources (hide)'!AO$6:AO$105)+SUMIF(Capacity_Resource,$E62,'Critical resources (hide)'!AO$6:AO$105)+SUMIF(Capacity_Resource,$F62,'Critical resources (hide)'!AO$6:AO$105)&gt;0,$E$1=2),0,1)</f>
        <v>1</v>
      </c>
      <c r="AC62" s="67">
        <f ca="1">IF(AND(SUMIF(Capacity_Resource,$D62,'Critical resources (hide)'!AP$6:AP$105)+SUMIF(Capacity_Resource,$E62,'Critical resources (hide)'!AP$6:AP$105)+SUMIF(Capacity_Resource,$F62,'Critical resources (hide)'!AP$6:AP$105)&gt;0,$E$1=2),0,1)</f>
        <v>1</v>
      </c>
      <c r="AD62" s="67">
        <f ca="1">IF(AND(SUMIF(Capacity_Resource,$D62,'Critical resources (hide)'!AQ$6:AQ$105)+SUMIF(Capacity_Resource,$E62,'Critical resources (hide)'!AQ$6:AQ$105)+SUMIF(Capacity_Resource,$F62,'Critical resources (hide)'!AQ$6:AQ$105)&gt;0,$E$1=2),0,1)</f>
        <v>1</v>
      </c>
      <c r="AE62" s="67">
        <f ca="1">IF(AND(SUMIF(Capacity_Resource,$D62,'Critical resources (hide)'!AR$6:AR$105)+SUMIF(Capacity_Resource,$E62,'Critical resources (hide)'!AR$6:AR$105)+SUMIF(Capacity_Resource,$F62,'Critical resources (hide)'!AR$6:AR$105)&gt;0,$E$1=2),0,1)</f>
        <v>1</v>
      </c>
      <c r="AF62" s="67">
        <f ca="1">IF(AND(SUMIF(Capacity_Resource,$D62,'Critical resources (hide)'!AS$6:AS$105)+SUMIF(Capacity_Resource,$E62,'Critical resources (hide)'!AS$6:AS$105)+SUMIF(Capacity_Resource,$F62,'Critical resources (hide)'!AS$6:AS$105)&gt;0,$E$1=2),0,1)</f>
        <v>1</v>
      </c>
      <c r="AG62" s="67">
        <f ca="1">IF(AND(SUMIF(Capacity_Resource,$D62,'Critical resources (hide)'!AT$6:AT$105)+SUMIF(Capacity_Resource,$E62,'Critical resources (hide)'!AT$6:AT$105)+SUMIF(Capacity_Resource,$F62,'Critical resources (hide)'!AT$6:AT$105)&gt;0,$E$1=2),0,1)</f>
        <v>1</v>
      </c>
      <c r="AH62" s="67">
        <f ca="1">IF(AND(SUMIF(Capacity_Resource,$D62,'Critical resources (hide)'!AU$6:AU$105)+SUMIF(Capacity_Resource,$E62,'Critical resources (hide)'!AU$6:AU$105)+SUMIF(Capacity_Resource,$F62,'Critical resources (hide)'!AU$6:AU$105)&gt;0,$E$1=2),0,1)</f>
        <v>1</v>
      </c>
      <c r="AI62" s="67">
        <f ca="1">IF(AND(SUMIF(Capacity_Resource,$D62,'Critical resources (hide)'!AV$6:AV$105)+SUMIF(Capacity_Resource,$E62,'Critical resources (hide)'!AV$6:AV$105)+SUMIF(Capacity_Resource,$F62,'Critical resources (hide)'!AV$6:AV$105)&gt;0,$E$1=2),0,1)</f>
        <v>1</v>
      </c>
      <c r="AJ62" s="67">
        <f ca="1">IF(AND(SUMIF(Capacity_Resource,$D62,'Critical resources (hide)'!AW$6:AW$105)+SUMIF(Capacity_Resource,$E62,'Critical resources (hide)'!AW$6:AW$105)+SUMIF(Capacity_Resource,$F62,'Critical resources (hide)'!AW$6:AW$105)&gt;0,$E$1=2),0,1)</f>
        <v>1</v>
      </c>
      <c r="AK62" s="67">
        <f ca="1">IF(AND(SUMIF(Capacity_Resource,$D62,'Critical resources (hide)'!AX$6:AX$105)+SUMIF(Capacity_Resource,$E62,'Critical resources (hide)'!AX$6:AX$105)+SUMIF(Capacity_Resource,$F62,'Critical resources (hide)'!AX$6:AX$105)&gt;0,$E$1=2),0,1)</f>
        <v>1</v>
      </c>
      <c r="AL62" s="67">
        <f ca="1">IF(AND(SUMIF(Capacity_Resource,$D62,'Critical resources (hide)'!AY$6:AY$105)+SUMIF(Capacity_Resource,$E62,'Critical resources (hide)'!AY$6:AY$105)+SUMIF(Capacity_Resource,$F62,'Critical resources (hide)'!AY$6:AY$105)&gt;0,$E$1=2),0,1)</f>
        <v>1</v>
      </c>
      <c r="AM62" s="67">
        <f ca="1">IF(AND(SUMIF(Capacity_Resource,$D62,'Critical resources (hide)'!AZ$6:AZ$105)+SUMIF(Capacity_Resource,$E62,'Critical resources (hide)'!AZ$6:AZ$105)+SUMIF(Capacity_Resource,$F62,'Critical resources (hide)'!AZ$6:AZ$105)&gt;0,$E$1=2),0,1)</f>
        <v>1</v>
      </c>
      <c r="AN62" s="67">
        <f ca="1">IF(AND(SUMIF(Capacity_Resource,$D62,'Critical resources (hide)'!BA$6:BA$105)+SUMIF(Capacity_Resource,$E62,'Critical resources (hide)'!BA$6:BA$105)+SUMIF(Capacity_Resource,$F62,'Critical resources (hide)'!BA$6:BA$105)&gt;0,$E$1=2),0,1)</f>
        <v>1</v>
      </c>
      <c r="AO62" s="67">
        <f ca="1">IF(AND(SUMIF(Capacity_Resource,$D62,'Critical resources (hide)'!BB$6:BB$105)+SUMIF(Capacity_Resource,$E62,'Critical resources (hide)'!BB$6:BB$105)+SUMIF(Capacity_Resource,$F62,'Critical resources (hide)'!BB$6:BB$105)&gt;0,$E$1=2),0,1)</f>
        <v>1</v>
      </c>
      <c r="AP62" s="67">
        <f ca="1">IF(AND(SUMIF(Capacity_Resource,$D62,'Critical resources (hide)'!BC$6:BC$105)+SUMIF(Capacity_Resource,$E62,'Critical resources (hide)'!BC$6:BC$105)+SUMIF(Capacity_Resource,$F62,'Critical resources (hide)'!BC$6:BC$105)&gt;0,$E$1=2),0,1)</f>
        <v>1</v>
      </c>
      <c r="AQ62" s="67">
        <f ca="1">IF(AND(SUMIF(Capacity_Resource,$D62,'Critical resources (hide)'!BD$6:BD$105)+SUMIF(Capacity_Resource,$E62,'Critical resources (hide)'!BD$6:BD$105)+SUMIF(Capacity_Resource,$F62,'Critical resources (hide)'!BD$6:BD$105)&gt;0,$E$1=2),0,1)</f>
        <v>1</v>
      </c>
      <c r="AR62" s="67">
        <f ca="1">IF(AND(SUMIF(Capacity_Resource,$D62,'Critical resources (hide)'!BE$6:BE$105)+SUMIF(Capacity_Resource,$E62,'Critical resources (hide)'!BE$6:BE$105)+SUMIF(Capacity_Resource,$F62,'Critical resources (hide)'!BE$6:BE$105)&gt;0,$E$1=2),0,1)</f>
        <v>1</v>
      </c>
      <c r="AS62" s="67">
        <f ca="1">IF(AND(SUMIF(Capacity_Resource,$D62,'Critical resources (hide)'!BF$6:BF$105)+SUMIF(Capacity_Resource,$E62,'Critical resources (hide)'!BF$6:BF$105)+SUMIF(Capacity_Resource,$F62,'Critical resources (hide)'!BF$6:BF$105)&gt;0,$E$1=2),0,1)</f>
        <v>1</v>
      </c>
      <c r="AT62" s="67">
        <f ca="1">IF(AND(SUMIF(Capacity_Resource,$D62,'Critical resources (hide)'!BG$6:BG$105)+SUMIF(Capacity_Resource,$E62,'Critical resources (hide)'!BG$6:BG$105)+SUMIF(Capacity_Resource,$F62,'Critical resources (hide)'!BG$6:BG$105)&gt;0,$E$1=2),0,1)</f>
        <v>1</v>
      </c>
      <c r="AU62" s="67">
        <f ca="1">IF(AND(SUMIF(Capacity_Resource,$D62,'Critical resources (hide)'!BH$6:BH$105)+SUMIF(Capacity_Resource,$E62,'Critical resources (hide)'!BH$6:BH$105)+SUMIF(Capacity_Resource,$F62,'Critical resources (hide)'!BH$6:BH$105)&gt;0,$E$1=2),0,1)</f>
        <v>1</v>
      </c>
      <c r="AV62" s="67">
        <f ca="1">IF(AND(SUMIF(Capacity_Resource,$D62,'Critical resources (hide)'!BI$6:BI$105)+SUMIF(Capacity_Resource,$E62,'Critical resources (hide)'!BI$6:BI$105)+SUMIF(Capacity_Resource,$F62,'Critical resources (hide)'!BI$6:BI$105)&gt;0,$E$1=2),0,1)</f>
        <v>1</v>
      </c>
      <c r="AW62" s="67">
        <f ca="1">IF(AND(SUMIF(Capacity_Resource,$D62,'Critical resources (hide)'!BJ$6:BJ$105)+SUMIF(Capacity_Resource,$E62,'Critical resources (hide)'!BJ$6:BJ$105)+SUMIF(Capacity_Resource,$F62,'Critical resources (hide)'!BJ$6:BJ$105)&gt;0,$E$1=2),0,1)</f>
        <v>1</v>
      </c>
      <c r="AX62" s="67">
        <f ca="1">IF(AND(SUMIF(Capacity_Resource,$D62,'Critical resources (hide)'!BK$6:BK$105)+SUMIF(Capacity_Resource,$E62,'Critical resources (hide)'!BK$6:BK$105)+SUMIF(Capacity_Resource,$F62,'Critical resources (hide)'!BK$6:BK$105)&gt;0,$E$1=2),0,1)</f>
        <v>1</v>
      </c>
      <c r="AY62" s="67">
        <f ca="1">IF(AND(SUMIF(Capacity_Resource,$D62,'Critical resources (hide)'!BL$6:BL$105)+SUMIF(Capacity_Resource,$E62,'Critical resources (hide)'!BL$6:BL$105)+SUMIF(Capacity_Resource,$F62,'Critical resources (hide)'!BL$6:BL$105)&gt;0,$E$1=2),0,1)</f>
        <v>1</v>
      </c>
      <c r="AZ62" s="67">
        <f ca="1">IF(AND(SUMIF(Capacity_Resource,$D62,'Critical resources (hide)'!BM$6:BM$105)+SUMIF(Capacity_Resource,$E62,'Critical resources (hide)'!BM$6:BM$105)+SUMIF(Capacity_Resource,$F62,'Critical resources (hide)'!BM$6:BM$105)&gt;0,$E$1=2),0,1)</f>
        <v>1</v>
      </c>
      <c r="BA62" s="67">
        <f ca="1">IF(AND(SUMIF(Capacity_Resource,$D62,'Critical resources (hide)'!BN$6:BN$105)+SUMIF(Capacity_Resource,$E62,'Critical resources (hide)'!BN$6:BN$105)+SUMIF(Capacity_Resource,$F62,'Critical resources (hide)'!BN$6:BN$105)&gt;0,$E$1=2),0,1)</f>
        <v>1</v>
      </c>
      <c r="BB62" s="67">
        <f ca="1">IF(AND(SUMIF(Capacity_Resource,$D62,'Critical resources (hide)'!BO$6:BO$105)+SUMIF(Capacity_Resource,$E62,'Critical resources (hide)'!BO$6:BO$105)+SUMIF(Capacity_Resource,$F62,'Critical resources (hide)'!BO$6:BO$105)&gt;0,$E$1=2),0,1)</f>
        <v>1</v>
      </c>
      <c r="BC62" s="67">
        <f ca="1">IF(AND(SUMIF(Capacity_Resource,$D62,'Critical resources (hide)'!BP$6:BP$105)+SUMIF(Capacity_Resource,$E62,'Critical resources (hide)'!BP$6:BP$105)+SUMIF(Capacity_Resource,$F62,'Critical resources (hide)'!BP$6:BP$105)&gt;0,$E$1=2),0,1)</f>
        <v>1</v>
      </c>
      <c r="BD62" s="67">
        <f ca="1">IF(AND(SUMIF(Capacity_Resource,$D62,'Critical resources (hide)'!BQ$6:BQ$105)+SUMIF(Capacity_Resource,$E62,'Critical resources (hide)'!BQ$6:BQ$105)+SUMIF(Capacity_Resource,$F62,'Critical resources (hide)'!BQ$6:BQ$105)&gt;0,$E$1=2),0,1)</f>
        <v>1</v>
      </c>
      <c r="BE62" s="67">
        <f ca="1">IF(AND(SUMIF(Capacity_Resource,$D62,'Critical resources (hide)'!BR$6:BR$105)+SUMIF(Capacity_Resource,$E62,'Critical resources (hide)'!BR$6:BR$105)+SUMIF(Capacity_Resource,$F62,'Critical resources (hide)'!BR$6:BR$105)&gt;0,$E$1=2),0,1)</f>
        <v>1</v>
      </c>
      <c r="BF62" s="67">
        <f ca="1">IF(AND(SUMIF(Capacity_Resource,$D62,'Critical resources (hide)'!BS$6:BS$105)+SUMIF(Capacity_Resource,$E62,'Critical resources (hide)'!BS$6:BS$105)+SUMIF(Capacity_Resource,$F62,'Critical resources (hide)'!BS$6:BS$105)&gt;0,$E$1=2),0,1)</f>
        <v>1</v>
      </c>
      <c r="BG62" s="67">
        <f ca="1">IF(AND(SUMIF(Capacity_Resource,$D62,'Critical resources (hide)'!BT$6:BT$105)+SUMIF(Capacity_Resource,$E62,'Critical resources (hide)'!BT$6:BT$105)+SUMIF(Capacity_Resource,$F62,'Critical resources (hide)'!BT$6:BT$105)&gt;0,$E$1=2),0,1)</f>
        <v>1</v>
      </c>
      <c r="BH62" s="67">
        <f>IF(ROW(C58)&lt;=Capacity!$A$16,IF('Capacity summary'!$D$14="No",SUM(H62:BG62),'Capacity summary'!$E181),0)</f>
        <v>0</v>
      </c>
      <c r="BI62" s="5" t="str">
        <f>IF(BH62&gt;0,IF(BH62&lt;Capacity!E74,Capacity!F74,Capacity!H74/'Capacity calculation (hide)'!BH62),"")</f>
        <v/>
      </c>
      <c r="BK62" s="313">
        <f>IF($BI62&lt;&gt;"",IF('Capacity summary'!$D$14="Yes",IF(COUNTBLANK('Capacity summary'!$H181:$BG181)&lt;52,IF('Capacity summary'!H181&lt;&gt;"",IF(LOWER('Capacity summary'!H181)="x",$BI62*H62,VALUE('Capacity summary'!H181)),0),H62*$BI62),H62*$BI62),0)</f>
        <v>0</v>
      </c>
      <c r="BL62" s="313">
        <f>IF($BI62&lt;&gt;"",IF('Capacity summary'!$D$14="Yes",IF(COUNTBLANK('Capacity summary'!$H181:$BG181)&lt;52,IF('Capacity summary'!I181&lt;&gt;"",IF(LOWER('Capacity summary'!I181)="x",$BI62*I62,VALUE('Capacity summary'!I181)),0),I62*$BI62),I62*$BI62),0)</f>
        <v>0</v>
      </c>
      <c r="BM62" s="313">
        <f>IF($BI62&lt;&gt;"",IF('Capacity summary'!$D$14="Yes",IF(COUNTBLANK('Capacity summary'!$H181:$BG181)&lt;52,IF('Capacity summary'!J181&lt;&gt;"",IF(LOWER('Capacity summary'!J181)="x",$BI62*J62,VALUE('Capacity summary'!J181)),0),J62*$BI62),J62*$BI62),0)</f>
        <v>0</v>
      </c>
      <c r="BN62" s="313">
        <f>IF($BI62&lt;&gt;"",IF('Capacity summary'!$D$14="Yes",IF(COUNTBLANK('Capacity summary'!$H181:$BG181)&lt;52,IF('Capacity summary'!K181&lt;&gt;"",IF(LOWER('Capacity summary'!K181)="x",$BI62*K62,VALUE('Capacity summary'!K181)),0),K62*$BI62),K62*$BI62),0)</f>
        <v>0</v>
      </c>
      <c r="BO62" s="313">
        <f>IF($BI62&lt;&gt;"",IF('Capacity summary'!$D$14="Yes",IF(COUNTBLANK('Capacity summary'!$H181:$BG181)&lt;52,IF('Capacity summary'!L181&lt;&gt;"",IF(LOWER('Capacity summary'!L181)="x",$BI62*L62,VALUE('Capacity summary'!L181)),0),L62*$BI62),L62*$BI62),0)</f>
        <v>0</v>
      </c>
      <c r="BP62" s="313">
        <f>IF($BI62&lt;&gt;"",IF('Capacity summary'!$D$14="Yes",IF(COUNTBLANK('Capacity summary'!$H181:$BG181)&lt;52,IF('Capacity summary'!M181&lt;&gt;"",IF(LOWER('Capacity summary'!M181)="x",$BI62*M62,VALUE('Capacity summary'!M181)),0),M62*$BI62),M62*$BI62),0)</f>
        <v>0</v>
      </c>
      <c r="BQ62" s="313">
        <f>IF($BI62&lt;&gt;"",IF('Capacity summary'!$D$14="Yes",IF(COUNTBLANK('Capacity summary'!$H181:$BG181)&lt;52,IF('Capacity summary'!N181&lt;&gt;"",IF(LOWER('Capacity summary'!N181)="x",$BI62*N62,VALUE('Capacity summary'!N181)),0),N62*$BI62),N62*$BI62),0)</f>
        <v>0</v>
      </c>
      <c r="BR62" s="313">
        <f>IF($BI62&lt;&gt;"",IF('Capacity summary'!$D$14="Yes",IF(COUNTBLANK('Capacity summary'!$H181:$BG181)&lt;52,IF('Capacity summary'!O181&lt;&gt;"",IF(LOWER('Capacity summary'!O181)="x",$BI62*O62,VALUE('Capacity summary'!O181)),0),O62*$BI62),O62*$BI62),0)</f>
        <v>0</v>
      </c>
      <c r="BS62" s="313">
        <f>IF($BI62&lt;&gt;"",IF('Capacity summary'!$D$14="Yes",IF(COUNTBLANK('Capacity summary'!$H181:$BG181)&lt;52,IF('Capacity summary'!P181&lt;&gt;"",IF(LOWER('Capacity summary'!P181)="x",$BI62*P62,VALUE('Capacity summary'!P181)),0),P62*$BI62),P62*$BI62),0)</f>
        <v>0</v>
      </c>
      <c r="BT62" s="313">
        <f>IF($BI62&lt;&gt;"",IF('Capacity summary'!$D$14="Yes",IF(COUNTBLANK('Capacity summary'!$H181:$BG181)&lt;52,IF('Capacity summary'!Q181&lt;&gt;"",IF(LOWER('Capacity summary'!Q181)="x",$BI62*Q62,VALUE('Capacity summary'!Q181)),0),Q62*$BI62),Q62*$BI62),0)</f>
        <v>0</v>
      </c>
      <c r="BU62" s="313">
        <f>IF($BI62&lt;&gt;"",IF('Capacity summary'!$D$14="Yes",IF(COUNTBLANK('Capacity summary'!$H181:$BG181)&lt;52,IF('Capacity summary'!R181&lt;&gt;"",IF(LOWER('Capacity summary'!R181)="x",$BI62*R62,VALUE('Capacity summary'!R181)),0),R62*$BI62),R62*$BI62),0)</f>
        <v>0</v>
      </c>
      <c r="BV62" s="313">
        <f>IF($BI62&lt;&gt;"",IF('Capacity summary'!$D$14="Yes",IF(COUNTBLANK('Capacity summary'!$H181:$BG181)&lt;52,IF('Capacity summary'!S181&lt;&gt;"",IF(LOWER('Capacity summary'!S181)="x",$BI62*S62,VALUE('Capacity summary'!S181)),0),S62*$BI62),S62*$BI62),0)</f>
        <v>0</v>
      </c>
      <c r="BW62" s="313">
        <f>IF($BI62&lt;&gt;"",IF('Capacity summary'!$D$14="Yes",IF(COUNTBLANK('Capacity summary'!$H181:$BG181)&lt;52,IF('Capacity summary'!T181&lt;&gt;"",IF(LOWER('Capacity summary'!T181)="x",$BI62*T62,VALUE('Capacity summary'!T181)),0),T62*$BI62),T62*$BI62),0)</f>
        <v>0</v>
      </c>
      <c r="BX62" s="313">
        <f>IF($BI62&lt;&gt;"",IF('Capacity summary'!$D$14="Yes",IF(COUNTBLANK('Capacity summary'!$H181:$BG181)&lt;52,IF('Capacity summary'!U181&lt;&gt;"",IF(LOWER('Capacity summary'!U181)="x",$BI62*U62,VALUE('Capacity summary'!U181)),0),U62*$BI62),U62*$BI62),0)</f>
        <v>0</v>
      </c>
      <c r="BY62" s="313">
        <f>IF($BI62&lt;&gt;"",IF('Capacity summary'!$D$14="Yes",IF(COUNTBLANK('Capacity summary'!$H181:$BG181)&lt;52,IF('Capacity summary'!V181&lt;&gt;"",IF(LOWER('Capacity summary'!V181)="x",$BI62*V62,VALUE('Capacity summary'!V181)),0),V62*$BI62),V62*$BI62),0)</f>
        <v>0</v>
      </c>
      <c r="BZ62" s="313">
        <f>IF($BI62&lt;&gt;"",IF('Capacity summary'!$D$14="Yes",IF(COUNTBLANK('Capacity summary'!$H181:$BG181)&lt;52,IF('Capacity summary'!W181&lt;&gt;"",IF(LOWER('Capacity summary'!W181)="x",$BI62*W62,VALUE('Capacity summary'!W181)),0),W62*$BI62),W62*$BI62),0)</f>
        <v>0</v>
      </c>
      <c r="CA62" s="313">
        <f>IF($BI62&lt;&gt;"",IF('Capacity summary'!$D$14="Yes",IF(COUNTBLANK('Capacity summary'!$H181:$BG181)&lt;52,IF('Capacity summary'!X181&lt;&gt;"",IF(LOWER('Capacity summary'!X181)="x",$BI62*X62,VALUE('Capacity summary'!X181)),0),X62*$BI62),X62*$BI62),0)</f>
        <v>0</v>
      </c>
      <c r="CB62" s="313">
        <f>IF($BI62&lt;&gt;"",IF('Capacity summary'!$D$14="Yes",IF(COUNTBLANK('Capacity summary'!$H181:$BG181)&lt;52,IF('Capacity summary'!Y181&lt;&gt;"",IF(LOWER('Capacity summary'!Y181)="x",$BI62*Y62,VALUE('Capacity summary'!Y181)),0),Y62*$BI62),Y62*$BI62),0)</f>
        <v>0</v>
      </c>
      <c r="CC62" s="313">
        <f>IF($BI62&lt;&gt;"",IF('Capacity summary'!$D$14="Yes",IF(COUNTBLANK('Capacity summary'!$H181:$BG181)&lt;52,IF('Capacity summary'!Z181&lt;&gt;"",IF(LOWER('Capacity summary'!Z181)="x",$BI62*Z62,VALUE('Capacity summary'!Z181)),0),Z62*$BI62),Z62*$BI62),0)</f>
        <v>0</v>
      </c>
      <c r="CD62" s="313">
        <f>IF($BI62&lt;&gt;"",IF('Capacity summary'!$D$14="Yes",IF(COUNTBLANK('Capacity summary'!$H181:$BG181)&lt;52,IF('Capacity summary'!AA181&lt;&gt;"",IF(LOWER('Capacity summary'!AA181)="x",$BI62*AA62,VALUE('Capacity summary'!AA181)),0),AA62*$BI62),AA62*$BI62),0)</f>
        <v>0</v>
      </c>
      <c r="CE62" s="313">
        <f>IF($BI62&lt;&gt;"",IF('Capacity summary'!$D$14="Yes",IF(COUNTBLANK('Capacity summary'!$H181:$BG181)&lt;52,IF('Capacity summary'!AB181&lt;&gt;"",IF(LOWER('Capacity summary'!AB181)="x",$BI62*AB62,VALUE('Capacity summary'!AB181)),0),AB62*$BI62),AB62*$BI62),0)</f>
        <v>0</v>
      </c>
      <c r="CF62" s="313">
        <f>IF($BI62&lt;&gt;"",IF('Capacity summary'!$D$14="Yes",IF(COUNTBLANK('Capacity summary'!$H181:$BG181)&lt;52,IF('Capacity summary'!AC181&lt;&gt;"",IF(LOWER('Capacity summary'!AC181)="x",$BI62*AC62,VALUE('Capacity summary'!AC181)),0),AC62*$BI62),AC62*$BI62),0)</f>
        <v>0</v>
      </c>
      <c r="CG62" s="313">
        <f>IF($BI62&lt;&gt;"",IF('Capacity summary'!$D$14="Yes",IF(COUNTBLANK('Capacity summary'!$H181:$BG181)&lt;52,IF('Capacity summary'!AD181&lt;&gt;"",IF(LOWER('Capacity summary'!AD181)="x",$BI62*AD62,VALUE('Capacity summary'!AD181)),0),AD62*$BI62),AD62*$BI62),0)</f>
        <v>0</v>
      </c>
      <c r="CH62" s="313">
        <f>IF($BI62&lt;&gt;"",IF('Capacity summary'!$D$14="Yes",IF(COUNTBLANK('Capacity summary'!$H181:$BG181)&lt;52,IF('Capacity summary'!AE181&lt;&gt;"",IF(LOWER('Capacity summary'!AE181)="x",$BI62*AE62,VALUE('Capacity summary'!AE181)),0),AE62*$BI62),AE62*$BI62),0)</f>
        <v>0</v>
      </c>
      <c r="CI62" s="313">
        <f>IF($BI62&lt;&gt;"",IF('Capacity summary'!$D$14="Yes",IF(COUNTBLANK('Capacity summary'!$H181:$BG181)&lt;52,IF('Capacity summary'!AF181&lt;&gt;"",IF(LOWER('Capacity summary'!AF181)="x",$BI62*AF62,VALUE('Capacity summary'!AF181)),0),AF62*$BI62),AF62*$BI62),0)</f>
        <v>0</v>
      </c>
      <c r="CJ62" s="313">
        <f>IF($BI62&lt;&gt;"",IF('Capacity summary'!$D$14="Yes",IF(COUNTBLANK('Capacity summary'!$H181:$BG181)&lt;52,IF('Capacity summary'!AG181&lt;&gt;"",IF(LOWER('Capacity summary'!AG181)="x",$BI62*AG62,VALUE('Capacity summary'!AG181)),0),AG62*$BI62),AG62*$BI62),0)</f>
        <v>0</v>
      </c>
      <c r="CK62" s="313">
        <f>IF($BI62&lt;&gt;"",IF('Capacity summary'!$D$14="Yes",IF(COUNTBLANK('Capacity summary'!$H181:$BG181)&lt;52,IF('Capacity summary'!AH181&lt;&gt;"",IF(LOWER('Capacity summary'!AH181)="x",$BI62*AH62,VALUE('Capacity summary'!AH181)),0),AH62*$BI62),AH62*$BI62),0)</f>
        <v>0</v>
      </c>
      <c r="CL62" s="313">
        <f>IF($BI62&lt;&gt;"",IF('Capacity summary'!$D$14="Yes",IF(COUNTBLANK('Capacity summary'!$H181:$BG181)&lt;52,IF('Capacity summary'!AI181&lt;&gt;"",IF(LOWER('Capacity summary'!AI181)="x",$BI62*AI62,VALUE('Capacity summary'!AI181)),0),AI62*$BI62),AI62*$BI62),0)</f>
        <v>0</v>
      </c>
      <c r="CM62" s="313">
        <f>IF($BI62&lt;&gt;"",IF('Capacity summary'!$D$14="Yes",IF(COUNTBLANK('Capacity summary'!$H181:$BG181)&lt;52,IF('Capacity summary'!AJ181&lt;&gt;"",IF(LOWER('Capacity summary'!AJ181)="x",$BI62*AJ62,VALUE('Capacity summary'!AJ181)),0),AJ62*$BI62),AJ62*$BI62),0)</f>
        <v>0</v>
      </c>
      <c r="CN62" s="313">
        <f>IF($BI62&lt;&gt;"",IF('Capacity summary'!$D$14="Yes",IF(COUNTBLANK('Capacity summary'!$H181:$BG181)&lt;52,IF('Capacity summary'!AK181&lt;&gt;"",IF(LOWER('Capacity summary'!AK181)="x",$BI62*AK62,VALUE('Capacity summary'!AK181)),0),AK62*$BI62),AK62*$BI62),0)</f>
        <v>0</v>
      </c>
      <c r="CO62" s="313">
        <f>IF($BI62&lt;&gt;"",IF('Capacity summary'!$D$14="Yes",IF(COUNTBLANK('Capacity summary'!$H181:$BG181)&lt;52,IF('Capacity summary'!AL181&lt;&gt;"",IF(LOWER('Capacity summary'!AL181)="x",$BI62*AL62,VALUE('Capacity summary'!AL181)),0),AL62*$BI62),AL62*$BI62),0)</f>
        <v>0</v>
      </c>
      <c r="CP62" s="313">
        <f>IF($BI62&lt;&gt;"",IF('Capacity summary'!$D$14="Yes",IF(COUNTBLANK('Capacity summary'!$H181:$BG181)&lt;52,IF('Capacity summary'!AM181&lt;&gt;"",IF(LOWER('Capacity summary'!AM181)="x",$BI62*AM62,VALUE('Capacity summary'!AM181)),0),AM62*$BI62),AM62*$BI62),0)</f>
        <v>0</v>
      </c>
      <c r="CQ62" s="313">
        <f>IF($BI62&lt;&gt;"",IF('Capacity summary'!$D$14="Yes",IF(COUNTBLANK('Capacity summary'!$H181:$BG181)&lt;52,IF('Capacity summary'!AN181&lt;&gt;"",IF(LOWER('Capacity summary'!AN181)="x",$BI62*AN62,VALUE('Capacity summary'!AN181)),0),AN62*$BI62),AN62*$BI62),0)</f>
        <v>0</v>
      </c>
      <c r="CR62" s="313">
        <f>IF($BI62&lt;&gt;"",IF('Capacity summary'!$D$14="Yes",IF(COUNTBLANK('Capacity summary'!$H181:$BG181)&lt;52,IF('Capacity summary'!AO181&lt;&gt;"",IF(LOWER('Capacity summary'!AO181)="x",$BI62*AO62,VALUE('Capacity summary'!AO181)),0),AO62*$BI62),AO62*$BI62),0)</f>
        <v>0</v>
      </c>
      <c r="CS62" s="313">
        <f>IF($BI62&lt;&gt;"",IF('Capacity summary'!$D$14="Yes",IF(COUNTBLANK('Capacity summary'!$H181:$BG181)&lt;52,IF('Capacity summary'!AP181&lt;&gt;"",IF(LOWER('Capacity summary'!AP181)="x",$BI62*AP62,VALUE('Capacity summary'!AP181)),0),AP62*$BI62),AP62*$BI62),0)</f>
        <v>0</v>
      </c>
      <c r="CT62" s="313">
        <f>IF($BI62&lt;&gt;"",IF('Capacity summary'!$D$14="Yes",IF(COUNTBLANK('Capacity summary'!$H181:$BG181)&lt;52,IF('Capacity summary'!AQ181&lt;&gt;"",IF(LOWER('Capacity summary'!AQ181)="x",$BI62*AQ62,VALUE('Capacity summary'!AQ181)),0),AQ62*$BI62),AQ62*$BI62),0)</f>
        <v>0</v>
      </c>
      <c r="CU62" s="313">
        <f>IF($BI62&lt;&gt;"",IF('Capacity summary'!$D$14="Yes",IF(COUNTBLANK('Capacity summary'!$H181:$BG181)&lt;52,IF('Capacity summary'!AR181&lt;&gt;"",IF(LOWER('Capacity summary'!AR181)="x",$BI62*AR62,VALUE('Capacity summary'!AR181)),0),AR62*$BI62),AR62*$BI62),0)</f>
        <v>0</v>
      </c>
      <c r="CV62" s="313">
        <f>IF($BI62&lt;&gt;"",IF('Capacity summary'!$D$14="Yes",IF(COUNTBLANK('Capacity summary'!$H181:$BG181)&lt;52,IF('Capacity summary'!AS181&lt;&gt;"",IF(LOWER('Capacity summary'!AS181)="x",$BI62*AS62,VALUE('Capacity summary'!AS181)),0),AS62*$BI62),AS62*$BI62),0)</f>
        <v>0</v>
      </c>
      <c r="CW62" s="313">
        <f>IF($BI62&lt;&gt;"",IF('Capacity summary'!$D$14="Yes",IF(COUNTBLANK('Capacity summary'!$H181:$BG181)&lt;52,IF('Capacity summary'!AT181&lt;&gt;"",IF(LOWER('Capacity summary'!AT181)="x",$BI62*AT62,VALUE('Capacity summary'!AT181)),0),AT62*$BI62),AT62*$BI62),0)</f>
        <v>0</v>
      </c>
      <c r="CX62" s="313">
        <f>IF($BI62&lt;&gt;"",IF('Capacity summary'!$D$14="Yes",IF(COUNTBLANK('Capacity summary'!$H181:$BG181)&lt;52,IF('Capacity summary'!AU181&lt;&gt;"",IF(LOWER('Capacity summary'!AU181)="x",$BI62*AU62,VALUE('Capacity summary'!AU181)),0),AU62*$BI62),AU62*$BI62),0)</f>
        <v>0</v>
      </c>
      <c r="CY62" s="313">
        <f>IF($BI62&lt;&gt;"",IF('Capacity summary'!$D$14="Yes",IF(COUNTBLANK('Capacity summary'!$H181:$BG181)&lt;52,IF('Capacity summary'!AV181&lt;&gt;"",IF(LOWER('Capacity summary'!AV181)="x",$BI62*AV62,VALUE('Capacity summary'!AV181)),0),AV62*$BI62),AV62*$BI62),0)</f>
        <v>0</v>
      </c>
      <c r="CZ62" s="313">
        <f>IF($BI62&lt;&gt;"",IF('Capacity summary'!$D$14="Yes",IF(COUNTBLANK('Capacity summary'!$H181:$BG181)&lt;52,IF('Capacity summary'!AW181&lt;&gt;"",IF(LOWER('Capacity summary'!AW181)="x",$BI62*AW62,VALUE('Capacity summary'!AW181)),0),AW62*$BI62),AW62*$BI62),0)</f>
        <v>0</v>
      </c>
      <c r="DA62" s="313">
        <f>IF($BI62&lt;&gt;"",IF('Capacity summary'!$D$14="Yes",IF(COUNTBLANK('Capacity summary'!$H181:$BG181)&lt;52,IF('Capacity summary'!AX181&lt;&gt;"",IF(LOWER('Capacity summary'!AX181)="x",$BI62*AX62,VALUE('Capacity summary'!AX181)),0),AX62*$BI62),AX62*$BI62),0)</f>
        <v>0</v>
      </c>
      <c r="DB62" s="313">
        <f>IF($BI62&lt;&gt;"",IF('Capacity summary'!$D$14="Yes",IF(COUNTBLANK('Capacity summary'!$H181:$BG181)&lt;52,IF('Capacity summary'!AY181&lt;&gt;"",IF(LOWER('Capacity summary'!AY181)="x",$BI62*AY62,VALUE('Capacity summary'!AY181)),0),AY62*$BI62),AY62*$BI62),0)</f>
        <v>0</v>
      </c>
      <c r="DC62" s="313">
        <f>IF($BI62&lt;&gt;"",IF('Capacity summary'!$D$14="Yes",IF(COUNTBLANK('Capacity summary'!$H181:$BG181)&lt;52,IF('Capacity summary'!AZ181&lt;&gt;"",IF(LOWER('Capacity summary'!AZ181)="x",$BI62*AZ62,VALUE('Capacity summary'!AZ181)),0),AZ62*$BI62),AZ62*$BI62),0)</f>
        <v>0</v>
      </c>
      <c r="DD62" s="313">
        <f>IF($BI62&lt;&gt;"",IF('Capacity summary'!$D$14="Yes",IF(COUNTBLANK('Capacity summary'!$H181:$BG181)&lt;52,IF('Capacity summary'!BA181&lt;&gt;"",IF(LOWER('Capacity summary'!BA181)="x",$BI62*BA62,VALUE('Capacity summary'!BA181)),0),BA62*$BI62),BA62*$BI62),0)</f>
        <v>0</v>
      </c>
      <c r="DE62" s="313">
        <f>IF($BI62&lt;&gt;"",IF('Capacity summary'!$D$14="Yes",IF(COUNTBLANK('Capacity summary'!$H181:$BG181)&lt;52,IF('Capacity summary'!BB181&lt;&gt;"",IF(LOWER('Capacity summary'!BB181)="x",$BI62*BB62,VALUE('Capacity summary'!BB181)),0),BB62*$BI62),BB62*$BI62),0)</f>
        <v>0</v>
      </c>
      <c r="DF62" s="313">
        <f>IF($BI62&lt;&gt;"",IF('Capacity summary'!$D$14="Yes",IF(COUNTBLANK('Capacity summary'!$H181:$BG181)&lt;52,IF('Capacity summary'!BC181&lt;&gt;"",IF(LOWER('Capacity summary'!BC181)="x",$BI62*BC62,VALUE('Capacity summary'!BC181)),0),BC62*$BI62),BC62*$BI62),0)</f>
        <v>0</v>
      </c>
      <c r="DG62" s="313">
        <f>IF($BI62&lt;&gt;"",IF('Capacity summary'!$D$14="Yes",IF(COUNTBLANK('Capacity summary'!$H181:$BG181)&lt;52,IF('Capacity summary'!BD181&lt;&gt;"",IF(LOWER('Capacity summary'!BD181)="x",$BI62*BD62,VALUE('Capacity summary'!BD181)),0),BD62*$BI62),BD62*$BI62),0)</f>
        <v>0</v>
      </c>
      <c r="DH62" s="313">
        <f>IF($BI62&lt;&gt;"",IF('Capacity summary'!$D$14="Yes",IF(COUNTBLANK('Capacity summary'!$H181:$BG181)&lt;52,IF('Capacity summary'!BE181&lt;&gt;"",IF(LOWER('Capacity summary'!BE181)="x",$BI62*BE62,VALUE('Capacity summary'!BE181)),0),BE62*$BI62),BE62*$BI62),0)</f>
        <v>0</v>
      </c>
      <c r="DI62" s="313">
        <f>IF($BI62&lt;&gt;"",IF('Capacity summary'!$D$14="Yes",IF(COUNTBLANK('Capacity summary'!$H181:$BG181)&lt;52,IF('Capacity summary'!BF181&lt;&gt;"",IF(LOWER('Capacity summary'!BF181)="x",$BI62*BF62,VALUE('Capacity summary'!BF181)),0),BF62*$BI62),BF62*$BI62),0)</f>
        <v>0</v>
      </c>
      <c r="DJ62" s="313">
        <f>IF($BI62&lt;&gt;"",IF('Capacity summary'!$D$14="Yes",IF(COUNTBLANK('Capacity summary'!$H181:$BG181)&lt;52,IF('Capacity summary'!BG181&lt;&gt;"",IF(LOWER('Capacity summary'!BG181)="x",$BI62*BG62,VALUE('Capacity summary'!BG181)),0),BG62*$BI62),BG62*$BI62),0)</f>
        <v>0</v>
      </c>
      <c r="DK62" s="137">
        <f t="shared" si="2"/>
        <v>0</v>
      </c>
      <c r="DL62" s="313" t="str">
        <f>Capacity!H74</f>
        <v/>
      </c>
    </row>
    <row r="63" spans="2:120" x14ac:dyDescent="0.25">
      <c r="B63" s="67"/>
      <c r="C63" s="67" t="str">
        <f>ROW(A59)&amp;". "&amp;Capacity!B75</f>
        <v xml:space="preserve">59. </v>
      </c>
      <c r="D63" s="67">
        <f>'Capacity setup'!C70</f>
        <v>0</v>
      </c>
      <c r="E63" s="67">
        <f>'Capacity setup'!D70</f>
        <v>0</v>
      </c>
      <c r="F63" s="67">
        <f>'Capacity setup'!E70</f>
        <v>0</v>
      </c>
      <c r="H63" s="67">
        <f ca="1">IF(AND(SUMIF(Capacity_Resource,$D63,'Critical resources (hide)'!U$6:U$105)+SUMIF(Capacity_Resource,$E63,'Critical resources (hide)'!U$6:U$105)+SUMIF(Capacity_Resource,$F63,'Critical resources (hide)'!U$6:U$105)&gt;0,$E$1=2),0,1)</f>
        <v>1</v>
      </c>
      <c r="I63" s="67">
        <f ca="1">IF(AND(SUMIF(Capacity_Resource,$D63,'Critical resources (hide)'!V$6:V$105)+SUMIF(Capacity_Resource,$E63,'Critical resources (hide)'!V$6:V$105)+SUMIF(Capacity_Resource,$F63,'Critical resources (hide)'!V$6:V$105)&gt;0,$E$1=2),0,1)</f>
        <v>1</v>
      </c>
      <c r="J63" s="67">
        <f ca="1">IF(AND(SUMIF(Capacity_Resource,$D63,'Critical resources (hide)'!W$6:W$105)+SUMIF(Capacity_Resource,$E63,'Critical resources (hide)'!W$6:W$105)+SUMIF(Capacity_Resource,$F63,'Critical resources (hide)'!W$6:W$105)&gt;0,$E$1=2),0,1)</f>
        <v>1</v>
      </c>
      <c r="K63" s="67">
        <f ca="1">IF(AND(SUMIF(Capacity_Resource,$D63,'Critical resources (hide)'!X$6:X$105)+SUMIF(Capacity_Resource,$E63,'Critical resources (hide)'!X$6:X$105)+SUMIF(Capacity_Resource,$F63,'Critical resources (hide)'!X$6:X$105)&gt;0,$E$1=2),0,1)</f>
        <v>1</v>
      </c>
      <c r="L63" s="67">
        <f ca="1">IF(AND(SUMIF(Capacity_Resource,$D63,'Critical resources (hide)'!Y$6:Y$105)+SUMIF(Capacity_Resource,$E63,'Critical resources (hide)'!Y$6:Y$105)+SUMIF(Capacity_Resource,$F63,'Critical resources (hide)'!Y$6:Y$105)&gt;0,$E$1=2),0,1)</f>
        <v>1</v>
      </c>
      <c r="M63" s="67">
        <f ca="1">IF(AND(SUMIF(Capacity_Resource,$D63,'Critical resources (hide)'!Z$6:Z$105)+SUMIF(Capacity_Resource,$E63,'Critical resources (hide)'!Z$6:Z$105)+SUMIF(Capacity_Resource,$F63,'Critical resources (hide)'!Z$6:Z$105)&gt;0,$E$1=2),0,1)</f>
        <v>1</v>
      </c>
      <c r="N63" s="67">
        <f ca="1">IF(AND(SUMIF(Capacity_Resource,$D63,'Critical resources (hide)'!AA$6:AA$105)+SUMIF(Capacity_Resource,$E63,'Critical resources (hide)'!AA$6:AA$105)+SUMIF(Capacity_Resource,$F63,'Critical resources (hide)'!AA$6:AA$105)&gt;0,$E$1=2),0,1)</f>
        <v>1</v>
      </c>
      <c r="O63" s="67">
        <f ca="1">IF(AND(SUMIF(Capacity_Resource,$D63,'Critical resources (hide)'!AB$6:AB$105)+SUMIF(Capacity_Resource,$E63,'Critical resources (hide)'!AB$6:AB$105)+SUMIF(Capacity_Resource,$F63,'Critical resources (hide)'!AB$6:AB$105)&gt;0,$E$1=2),0,1)</f>
        <v>1</v>
      </c>
      <c r="P63" s="67">
        <f ca="1">IF(AND(SUMIF(Capacity_Resource,$D63,'Critical resources (hide)'!AC$6:AC$105)+SUMIF(Capacity_Resource,$E63,'Critical resources (hide)'!AC$6:AC$105)+SUMIF(Capacity_Resource,$F63,'Critical resources (hide)'!AC$6:AC$105)&gt;0,$E$1=2),0,1)</f>
        <v>1</v>
      </c>
      <c r="Q63" s="67">
        <f ca="1">IF(AND(SUMIF(Capacity_Resource,$D63,'Critical resources (hide)'!AD$6:AD$105)+SUMIF(Capacity_Resource,$E63,'Critical resources (hide)'!AD$6:AD$105)+SUMIF(Capacity_Resource,$F63,'Critical resources (hide)'!AD$6:AD$105)&gt;0,$E$1=2),0,1)</f>
        <v>1</v>
      </c>
      <c r="R63" s="67">
        <f ca="1">IF(AND(SUMIF(Capacity_Resource,$D63,'Critical resources (hide)'!AE$6:AE$105)+SUMIF(Capacity_Resource,$E63,'Critical resources (hide)'!AE$6:AE$105)+SUMIF(Capacity_Resource,$F63,'Critical resources (hide)'!AE$6:AE$105)&gt;0,$E$1=2),0,1)</f>
        <v>1</v>
      </c>
      <c r="S63" s="67">
        <f ca="1">IF(AND(SUMIF(Capacity_Resource,$D63,'Critical resources (hide)'!AF$6:AF$105)+SUMIF(Capacity_Resource,$E63,'Critical resources (hide)'!AF$6:AF$105)+SUMIF(Capacity_Resource,$F63,'Critical resources (hide)'!AF$6:AF$105)&gt;0,$E$1=2),0,1)</f>
        <v>1</v>
      </c>
      <c r="T63" s="67">
        <f ca="1">IF(AND(SUMIF(Capacity_Resource,$D63,'Critical resources (hide)'!AG$6:AG$105)+SUMIF(Capacity_Resource,$E63,'Critical resources (hide)'!AG$6:AG$105)+SUMIF(Capacity_Resource,$F63,'Critical resources (hide)'!AG$6:AG$105)&gt;0,$E$1=2),0,1)</f>
        <v>1</v>
      </c>
      <c r="U63" s="67">
        <f ca="1">IF(AND(SUMIF(Capacity_Resource,$D63,'Critical resources (hide)'!AH$6:AH$105)+SUMIF(Capacity_Resource,$E63,'Critical resources (hide)'!AH$6:AH$105)+SUMIF(Capacity_Resource,$F63,'Critical resources (hide)'!AH$6:AH$105)&gt;0,$E$1=2),0,1)</f>
        <v>1</v>
      </c>
      <c r="V63" s="67">
        <f ca="1">IF(AND(SUMIF(Capacity_Resource,$D63,'Critical resources (hide)'!AI$6:AI$105)+SUMIF(Capacity_Resource,$E63,'Critical resources (hide)'!AI$6:AI$105)+SUMIF(Capacity_Resource,$F63,'Critical resources (hide)'!AI$6:AI$105)&gt;0,$E$1=2),0,1)</f>
        <v>1</v>
      </c>
      <c r="W63" s="67">
        <f ca="1">IF(AND(SUMIF(Capacity_Resource,$D63,'Critical resources (hide)'!AJ$6:AJ$105)+SUMIF(Capacity_Resource,$E63,'Critical resources (hide)'!AJ$6:AJ$105)+SUMIF(Capacity_Resource,$F63,'Critical resources (hide)'!AJ$6:AJ$105)&gt;0,$E$1=2),0,1)</f>
        <v>1</v>
      </c>
      <c r="X63" s="67">
        <f ca="1">IF(AND(SUMIF(Capacity_Resource,$D63,'Critical resources (hide)'!AK$6:AK$105)+SUMIF(Capacity_Resource,$E63,'Critical resources (hide)'!AK$6:AK$105)+SUMIF(Capacity_Resource,$F63,'Critical resources (hide)'!AK$6:AK$105)&gt;0,$E$1=2),0,1)</f>
        <v>1</v>
      </c>
      <c r="Y63" s="67">
        <f ca="1">IF(AND(SUMIF(Capacity_Resource,$D63,'Critical resources (hide)'!AL$6:AL$105)+SUMIF(Capacity_Resource,$E63,'Critical resources (hide)'!AL$6:AL$105)+SUMIF(Capacity_Resource,$F63,'Critical resources (hide)'!AL$6:AL$105)&gt;0,$E$1=2),0,1)</f>
        <v>1</v>
      </c>
      <c r="Z63" s="67">
        <f ca="1">IF(AND(SUMIF(Capacity_Resource,$D63,'Critical resources (hide)'!AM$6:AM$105)+SUMIF(Capacity_Resource,$E63,'Critical resources (hide)'!AM$6:AM$105)+SUMIF(Capacity_Resource,$F63,'Critical resources (hide)'!AM$6:AM$105)&gt;0,$E$1=2),0,1)</f>
        <v>1</v>
      </c>
      <c r="AA63" s="67">
        <f ca="1">IF(AND(SUMIF(Capacity_Resource,$D63,'Critical resources (hide)'!AN$6:AN$105)+SUMIF(Capacity_Resource,$E63,'Critical resources (hide)'!AN$6:AN$105)+SUMIF(Capacity_Resource,$F63,'Critical resources (hide)'!AN$6:AN$105)&gt;0,$E$1=2),0,1)</f>
        <v>1</v>
      </c>
      <c r="AB63" s="67">
        <f ca="1">IF(AND(SUMIF(Capacity_Resource,$D63,'Critical resources (hide)'!AO$6:AO$105)+SUMIF(Capacity_Resource,$E63,'Critical resources (hide)'!AO$6:AO$105)+SUMIF(Capacity_Resource,$F63,'Critical resources (hide)'!AO$6:AO$105)&gt;0,$E$1=2),0,1)</f>
        <v>1</v>
      </c>
      <c r="AC63" s="67">
        <f ca="1">IF(AND(SUMIF(Capacity_Resource,$D63,'Critical resources (hide)'!AP$6:AP$105)+SUMIF(Capacity_Resource,$E63,'Critical resources (hide)'!AP$6:AP$105)+SUMIF(Capacity_Resource,$F63,'Critical resources (hide)'!AP$6:AP$105)&gt;0,$E$1=2),0,1)</f>
        <v>1</v>
      </c>
      <c r="AD63" s="67">
        <f ca="1">IF(AND(SUMIF(Capacity_Resource,$D63,'Critical resources (hide)'!AQ$6:AQ$105)+SUMIF(Capacity_Resource,$E63,'Critical resources (hide)'!AQ$6:AQ$105)+SUMIF(Capacity_Resource,$F63,'Critical resources (hide)'!AQ$6:AQ$105)&gt;0,$E$1=2),0,1)</f>
        <v>1</v>
      </c>
      <c r="AE63" s="67">
        <f ca="1">IF(AND(SUMIF(Capacity_Resource,$D63,'Critical resources (hide)'!AR$6:AR$105)+SUMIF(Capacity_Resource,$E63,'Critical resources (hide)'!AR$6:AR$105)+SUMIF(Capacity_Resource,$F63,'Critical resources (hide)'!AR$6:AR$105)&gt;0,$E$1=2),0,1)</f>
        <v>1</v>
      </c>
      <c r="AF63" s="67">
        <f ca="1">IF(AND(SUMIF(Capacity_Resource,$D63,'Critical resources (hide)'!AS$6:AS$105)+SUMIF(Capacity_Resource,$E63,'Critical resources (hide)'!AS$6:AS$105)+SUMIF(Capacity_Resource,$F63,'Critical resources (hide)'!AS$6:AS$105)&gt;0,$E$1=2),0,1)</f>
        <v>1</v>
      </c>
      <c r="AG63" s="67">
        <f ca="1">IF(AND(SUMIF(Capacity_Resource,$D63,'Critical resources (hide)'!AT$6:AT$105)+SUMIF(Capacity_Resource,$E63,'Critical resources (hide)'!AT$6:AT$105)+SUMIF(Capacity_Resource,$F63,'Critical resources (hide)'!AT$6:AT$105)&gt;0,$E$1=2),0,1)</f>
        <v>1</v>
      </c>
      <c r="AH63" s="67">
        <f ca="1">IF(AND(SUMIF(Capacity_Resource,$D63,'Critical resources (hide)'!AU$6:AU$105)+SUMIF(Capacity_Resource,$E63,'Critical resources (hide)'!AU$6:AU$105)+SUMIF(Capacity_Resource,$F63,'Critical resources (hide)'!AU$6:AU$105)&gt;0,$E$1=2),0,1)</f>
        <v>1</v>
      </c>
      <c r="AI63" s="67">
        <f ca="1">IF(AND(SUMIF(Capacity_Resource,$D63,'Critical resources (hide)'!AV$6:AV$105)+SUMIF(Capacity_Resource,$E63,'Critical resources (hide)'!AV$6:AV$105)+SUMIF(Capacity_Resource,$F63,'Critical resources (hide)'!AV$6:AV$105)&gt;0,$E$1=2),0,1)</f>
        <v>1</v>
      </c>
      <c r="AJ63" s="67">
        <f ca="1">IF(AND(SUMIF(Capacity_Resource,$D63,'Critical resources (hide)'!AW$6:AW$105)+SUMIF(Capacity_Resource,$E63,'Critical resources (hide)'!AW$6:AW$105)+SUMIF(Capacity_Resource,$F63,'Critical resources (hide)'!AW$6:AW$105)&gt;0,$E$1=2),0,1)</f>
        <v>1</v>
      </c>
      <c r="AK63" s="67">
        <f ca="1">IF(AND(SUMIF(Capacity_Resource,$D63,'Critical resources (hide)'!AX$6:AX$105)+SUMIF(Capacity_Resource,$E63,'Critical resources (hide)'!AX$6:AX$105)+SUMIF(Capacity_Resource,$F63,'Critical resources (hide)'!AX$6:AX$105)&gt;0,$E$1=2),0,1)</f>
        <v>1</v>
      </c>
      <c r="AL63" s="67">
        <f ca="1">IF(AND(SUMIF(Capacity_Resource,$D63,'Critical resources (hide)'!AY$6:AY$105)+SUMIF(Capacity_Resource,$E63,'Critical resources (hide)'!AY$6:AY$105)+SUMIF(Capacity_Resource,$F63,'Critical resources (hide)'!AY$6:AY$105)&gt;0,$E$1=2),0,1)</f>
        <v>1</v>
      </c>
      <c r="AM63" s="67">
        <f ca="1">IF(AND(SUMIF(Capacity_Resource,$D63,'Critical resources (hide)'!AZ$6:AZ$105)+SUMIF(Capacity_Resource,$E63,'Critical resources (hide)'!AZ$6:AZ$105)+SUMIF(Capacity_Resource,$F63,'Critical resources (hide)'!AZ$6:AZ$105)&gt;0,$E$1=2),0,1)</f>
        <v>1</v>
      </c>
      <c r="AN63" s="67">
        <f ca="1">IF(AND(SUMIF(Capacity_Resource,$D63,'Critical resources (hide)'!BA$6:BA$105)+SUMIF(Capacity_Resource,$E63,'Critical resources (hide)'!BA$6:BA$105)+SUMIF(Capacity_Resource,$F63,'Critical resources (hide)'!BA$6:BA$105)&gt;0,$E$1=2),0,1)</f>
        <v>1</v>
      </c>
      <c r="AO63" s="67">
        <f ca="1">IF(AND(SUMIF(Capacity_Resource,$D63,'Critical resources (hide)'!BB$6:BB$105)+SUMIF(Capacity_Resource,$E63,'Critical resources (hide)'!BB$6:BB$105)+SUMIF(Capacity_Resource,$F63,'Critical resources (hide)'!BB$6:BB$105)&gt;0,$E$1=2),0,1)</f>
        <v>1</v>
      </c>
      <c r="AP63" s="67">
        <f ca="1">IF(AND(SUMIF(Capacity_Resource,$D63,'Critical resources (hide)'!BC$6:BC$105)+SUMIF(Capacity_Resource,$E63,'Critical resources (hide)'!BC$6:BC$105)+SUMIF(Capacity_Resource,$F63,'Critical resources (hide)'!BC$6:BC$105)&gt;0,$E$1=2),0,1)</f>
        <v>1</v>
      </c>
      <c r="AQ63" s="67">
        <f ca="1">IF(AND(SUMIF(Capacity_Resource,$D63,'Critical resources (hide)'!BD$6:BD$105)+SUMIF(Capacity_Resource,$E63,'Critical resources (hide)'!BD$6:BD$105)+SUMIF(Capacity_Resource,$F63,'Critical resources (hide)'!BD$6:BD$105)&gt;0,$E$1=2),0,1)</f>
        <v>1</v>
      </c>
      <c r="AR63" s="67">
        <f ca="1">IF(AND(SUMIF(Capacity_Resource,$D63,'Critical resources (hide)'!BE$6:BE$105)+SUMIF(Capacity_Resource,$E63,'Critical resources (hide)'!BE$6:BE$105)+SUMIF(Capacity_Resource,$F63,'Critical resources (hide)'!BE$6:BE$105)&gt;0,$E$1=2),0,1)</f>
        <v>1</v>
      </c>
      <c r="AS63" s="67">
        <f ca="1">IF(AND(SUMIF(Capacity_Resource,$D63,'Critical resources (hide)'!BF$6:BF$105)+SUMIF(Capacity_Resource,$E63,'Critical resources (hide)'!BF$6:BF$105)+SUMIF(Capacity_Resource,$F63,'Critical resources (hide)'!BF$6:BF$105)&gt;0,$E$1=2),0,1)</f>
        <v>1</v>
      </c>
      <c r="AT63" s="67">
        <f ca="1">IF(AND(SUMIF(Capacity_Resource,$D63,'Critical resources (hide)'!BG$6:BG$105)+SUMIF(Capacity_Resource,$E63,'Critical resources (hide)'!BG$6:BG$105)+SUMIF(Capacity_Resource,$F63,'Critical resources (hide)'!BG$6:BG$105)&gt;0,$E$1=2),0,1)</f>
        <v>1</v>
      </c>
      <c r="AU63" s="67">
        <f ca="1">IF(AND(SUMIF(Capacity_Resource,$D63,'Critical resources (hide)'!BH$6:BH$105)+SUMIF(Capacity_Resource,$E63,'Critical resources (hide)'!BH$6:BH$105)+SUMIF(Capacity_Resource,$F63,'Critical resources (hide)'!BH$6:BH$105)&gt;0,$E$1=2),0,1)</f>
        <v>1</v>
      </c>
      <c r="AV63" s="67">
        <f ca="1">IF(AND(SUMIF(Capacity_Resource,$D63,'Critical resources (hide)'!BI$6:BI$105)+SUMIF(Capacity_Resource,$E63,'Critical resources (hide)'!BI$6:BI$105)+SUMIF(Capacity_Resource,$F63,'Critical resources (hide)'!BI$6:BI$105)&gt;0,$E$1=2),0,1)</f>
        <v>1</v>
      </c>
      <c r="AW63" s="67">
        <f ca="1">IF(AND(SUMIF(Capacity_Resource,$D63,'Critical resources (hide)'!BJ$6:BJ$105)+SUMIF(Capacity_Resource,$E63,'Critical resources (hide)'!BJ$6:BJ$105)+SUMIF(Capacity_Resource,$F63,'Critical resources (hide)'!BJ$6:BJ$105)&gt;0,$E$1=2),0,1)</f>
        <v>1</v>
      </c>
      <c r="AX63" s="67">
        <f ca="1">IF(AND(SUMIF(Capacity_Resource,$D63,'Critical resources (hide)'!BK$6:BK$105)+SUMIF(Capacity_Resource,$E63,'Critical resources (hide)'!BK$6:BK$105)+SUMIF(Capacity_Resource,$F63,'Critical resources (hide)'!BK$6:BK$105)&gt;0,$E$1=2),0,1)</f>
        <v>1</v>
      </c>
      <c r="AY63" s="67">
        <f ca="1">IF(AND(SUMIF(Capacity_Resource,$D63,'Critical resources (hide)'!BL$6:BL$105)+SUMIF(Capacity_Resource,$E63,'Critical resources (hide)'!BL$6:BL$105)+SUMIF(Capacity_Resource,$F63,'Critical resources (hide)'!BL$6:BL$105)&gt;0,$E$1=2),0,1)</f>
        <v>1</v>
      </c>
      <c r="AZ63" s="67">
        <f ca="1">IF(AND(SUMIF(Capacity_Resource,$D63,'Critical resources (hide)'!BM$6:BM$105)+SUMIF(Capacity_Resource,$E63,'Critical resources (hide)'!BM$6:BM$105)+SUMIF(Capacity_Resource,$F63,'Critical resources (hide)'!BM$6:BM$105)&gt;0,$E$1=2),0,1)</f>
        <v>1</v>
      </c>
      <c r="BA63" s="67">
        <f ca="1">IF(AND(SUMIF(Capacity_Resource,$D63,'Critical resources (hide)'!BN$6:BN$105)+SUMIF(Capacity_Resource,$E63,'Critical resources (hide)'!BN$6:BN$105)+SUMIF(Capacity_Resource,$F63,'Critical resources (hide)'!BN$6:BN$105)&gt;0,$E$1=2),0,1)</f>
        <v>1</v>
      </c>
      <c r="BB63" s="67">
        <f ca="1">IF(AND(SUMIF(Capacity_Resource,$D63,'Critical resources (hide)'!BO$6:BO$105)+SUMIF(Capacity_Resource,$E63,'Critical resources (hide)'!BO$6:BO$105)+SUMIF(Capacity_Resource,$F63,'Critical resources (hide)'!BO$6:BO$105)&gt;0,$E$1=2),0,1)</f>
        <v>1</v>
      </c>
      <c r="BC63" s="67">
        <f ca="1">IF(AND(SUMIF(Capacity_Resource,$D63,'Critical resources (hide)'!BP$6:BP$105)+SUMIF(Capacity_Resource,$E63,'Critical resources (hide)'!BP$6:BP$105)+SUMIF(Capacity_Resource,$F63,'Critical resources (hide)'!BP$6:BP$105)&gt;0,$E$1=2),0,1)</f>
        <v>1</v>
      </c>
      <c r="BD63" s="67">
        <f ca="1">IF(AND(SUMIF(Capacity_Resource,$D63,'Critical resources (hide)'!BQ$6:BQ$105)+SUMIF(Capacity_Resource,$E63,'Critical resources (hide)'!BQ$6:BQ$105)+SUMIF(Capacity_Resource,$F63,'Critical resources (hide)'!BQ$6:BQ$105)&gt;0,$E$1=2),0,1)</f>
        <v>1</v>
      </c>
      <c r="BE63" s="67">
        <f ca="1">IF(AND(SUMIF(Capacity_Resource,$D63,'Critical resources (hide)'!BR$6:BR$105)+SUMIF(Capacity_Resource,$E63,'Critical resources (hide)'!BR$6:BR$105)+SUMIF(Capacity_Resource,$F63,'Critical resources (hide)'!BR$6:BR$105)&gt;0,$E$1=2),0,1)</f>
        <v>1</v>
      </c>
      <c r="BF63" s="67">
        <f ca="1">IF(AND(SUMIF(Capacity_Resource,$D63,'Critical resources (hide)'!BS$6:BS$105)+SUMIF(Capacity_Resource,$E63,'Critical resources (hide)'!BS$6:BS$105)+SUMIF(Capacity_Resource,$F63,'Critical resources (hide)'!BS$6:BS$105)&gt;0,$E$1=2),0,1)</f>
        <v>1</v>
      </c>
      <c r="BG63" s="67">
        <f ca="1">IF(AND(SUMIF(Capacity_Resource,$D63,'Critical resources (hide)'!BT$6:BT$105)+SUMIF(Capacity_Resource,$E63,'Critical resources (hide)'!BT$6:BT$105)+SUMIF(Capacity_Resource,$F63,'Critical resources (hide)'!BT$6:BT$105)&gt;0,$E$1=2),0,1)</f>
        <v>1</v>
      </c>
      <c r="BH63" s="67">
        <f>IF(ROW(C59)&lt;=Capacity!$A$16,IF('Capacity summary'!$D$14="No",SUM(H63:BG63),'Capacity summary'!$E182),0)</f>
        <v>0</v>
      </c>
      <c r="BI63" s="5" t="str">
        <f>IF(BH63&gt;0,IF(BH63&lt;Capacity!E75,Capacity!F75,Capacity!H75/'Capacity calculation (hide)'!BH63),"")</f>
        <v/>
      </c>
      <c r="BK63" s="313">
        <f>IF($BI63&lt;&gt;"",IF('Capacity summary'!$D$14="Yes",IF(COUNTBLANK('Capacity summary'!$H182:$BG182)&lt;52,IF('Capacity summary'!H182&lt;&gt;"",IF(LOWER('Capacity summary'!H182)="x",$BI63*H63,VALUE('Capacity summary'!H182)),0),H63*$BI63),H63*$BI63),0)</f>
        <v>0</v>
      </c>
      <c r="BL63" s="313">
        <f>IF($BI63&lt;&gt;"",IF('Capacity summary'!$D$14="Yes",IF(COUNTBLANK('Capacity summary'!$H182:$BG182)&lt;52,IF('Capacity summary'!I182&lt;&gt;"",IF(LOWER('Capacity summary'!I182)="x",$BI63*I63,VALUE('Capacity summary'!I182)),0),I63*$BI63),I63*$BI63),0)</f>
        <v>0</v>
      </c>
      <c r="BM63" s="313">
        <f>IF($BI63&lt;&gt;"",IF('Capacity summary'!$D$14="Yes",IF(COUNTBLANK('Capacity summary'!$H182:$BG182)&lt;52,IF('Capacity summary'!J182&lt;&gt;"",IF(LOWER('Capacity summary'!J182)="x",$BI63*J63,VALUE('Capacity summary'!J182)),0),J63*$BI63),J63*$BI63),0)</f>
        <v>0</v>
      </c>
      <c r="BN63" s="313">
        <f>IF($BI63&lt;&gt;"",IF('Capacity summary'!$D$14="Yes",IF(COUNTBLANK('Capacity summary'!$H182:$BG182)&lt;52,IF('Capacity summary'!K182&lt;&gt;"",IF(LOWER('Capacity summary'!K182)="x",$BI63*K63,VALUE('Capacity summary'!K182)),0),K63*$BI63),K63*$BI63),0)</f>
        <v>0</v>
      </c>
      <c r="BO63" s="313">
        <f>IF($BI63&lt;&gt;"",IF('Capacity summary'!$D$14="Yes",IF(COUNTBLANK('Capacity summary'!$H182:$BG182)&lt;52,IF('Capacity summary'!L182&lt;&gt;"",IF(LOWER('Capacity summary'!L182)="x",$BI63*L63,VALUE('Capacity summary'!L182)),0),L63*$BI63),L63*$BI63),0)</f>
        <v>0</v>
      </c>
      <c r="BP63" s="313">
        <f>IF($BI63&lt;&gt;"",IF('Capacity summary'!$D$14="Yes",IF(COUNTBLANK('Capacity summary'!$H182:$BG182)&lt;52,IF('Capacity summary'!M182&lt;&gt;"",IF(LOWER('Capacity summary'!M182)="x",$BI63*M63,VALUE('Capacity summary'!M182)),0),M63*$BI63),M63*$BI63),0)</f>
        <v>0</v>
      </c>
      <c r="BQ63" s="313">
        <f>IF($BI63&lt;&gt;"",IF('Capacity summary'!$D$14="Yes",IF(COUNTBLANK('Capacity summary'!$H182:$BG182)&lt;52,IF('Capacity summary'!N182&lt;&gt;"",IF(LOWER('Capacity summary'!N182)="x",$BI63*N63,VALUE('Capacity summary'!N182)),0),N63*$BI63),N63*$BI63),0)</f>
        <v>0</v>
      </c>
      <c r="BR63" s="313">
        <f>IF($BI63&lt;&gt;"",IF('Capacity summary'!$D$14="Yes",IF(COUNTBLANK('Capacity summary'!$H182:$BG182)&lt;52,IF('Capacity summary'!O182&lt;&gt;"",IF(LOWER('Capacity summary'!O182)="x",$BI63*O63,VALUE('Capacity summary'!O182)),0),O63*$BI63),O63*$BI63),0)</f>
        <v>0</v>
      </c>
      <c r="BS63" s="313">
        <f>IF($BI63&lt;&gt;"",IF('Capacity summary'!$D$14="Yes",IF(COUNTBLANK('Capacity summary'!$H182:$BG182)&lt;52,IF('Capacity summary'!P182&lt;&gt;"",IF(LOWER('Capacity summary'!P182)="x",$BI63*P63,VALUE('Capacity summary'!P182)),0),P63*$BI63),P63*$BI63),0)</f>
        <v>0</v>
      </c>
      <c r="BT63" s="313">
        <f>IF($BI63&lt;&gt;"",IF('Capacity summary'!$D$14="Yes",IF(COUNTBLANK('Capacity summary'!$H182:$BG182)&lt;52,IF('Capacity summary'!Q182&lt;&gt;"",IF(LOWER('Capacity summary'!Q182)="x",$BI63*Q63,VALUE('Capacity summary'!Q182)),0),Q63*$BI63),Q63*$BI63),0)</f>
        <v>0</v>
      </c>
      <c r="BU63" s="313">
        <f>IF($BI63&lt;&gt;"",IF('Capacity summary'!$D$14="Yes",IF(COUNTBLANK('Capacity summary'!$H182:$BG182)&lt;52,IF('Capacity summary'!R182&lt;&gt;"",IF(LOWER('Capacity summary'!R182)="x",$BI63*R63,VALUE('Capacity summary'!R182)),0),R63*$BI63),R63*$BI63),0)</f>
        <v>0</v>
      </c>
      <c r="BV63" s="313">
        <f>IF($BI63&lt;&gt;"",IF('Capacity summary'!$D$14="Yes",IF(COUNTBLANK('Capacity summary'!$H182:$BG182)&lt;52,IF('Capacity summary'!S182&lt;&gt;"",IF(LOWER('Capacity summary'!S182)="x",$BI63*S63,VALUE('Capacity summary'!S182)),0),S63*$BI63),S63*$BI63),0)</f>
        <v>0</v>
      </c>
      <c r="BW63" s="313">
        <f>IF($BI63&lt;&gt;"",IF('Capacity summary'!$D$14="Yes",IF(COUNTBLANK('Capacity summary'!$H182:$BG182)&lt;52,IF('Capacity summary'!T182&lt;&gt;"",IF(LOWER('Capacity summary'!T182)="x",$BI63*T63,VALUE('Capacity summary'!T182)),0),T63*$BI63),T63*$BI63),0)</f>
        <v>0</v>
      </c>
      <c r="BX63" s="313">
        <f>IF($BI63&lt;&gt;"",IF('Capacity summary'!$D$14="Yes",IF(COUNTBLANK('Capacity summary'!$H182:$BG182)&lt;52,IF('Capacity summary'!U182&lt;&gt;"",IF(LOWER('Capacity summary'!U182)="x",$BI63*U63,VALUE('Capacity summary'!U182)),0),U63*$BI63),U63*$BI63),0)</f>
        <v>0</v>
      </c>
      <c r="BY63" s="313">
        <f>IF($BI63&lt;&gt;"",IF('Capacity summary'!$D$14="Yes",IF(COUNTBLANK('Capacity summary'!$H182:$BG182)&lt;52,IF('Capacity summary'!V182&lt;&gt;"",IF(LOWER('Capacity summary'!V182)="x",$BI63*V63,VALUE('Capacity summary'!V182)),0),V63*$BI63),V63*$BI63),0)</f>
        <v>0</v>
      </c>
      <c r="BZ63" s="313">
        <f>IF($BI63&lt;&gt;"",IF('Capacity summary'!$D$14="Yes",IF(COUNTBLANK('Capacity summary'!$H182:$BG182)&lt;52,IF('Capacity summary'!W182&lt;&gt;"",IF(LOWER('Capacity summary'!W182)="x",$BI63*W63,VALUE('Capacity summary'!W182)),0),W63*$BI63),W63*$BI63),0)</f>
        <v>0</v>
      </c>
      <c r="CA63" s="313">
        <f>IF($BI63&lt;&gt;"",IF('Capacity summary'!$D$14="Yes",IF(COUNTBLANK('Capacity summary'!$H182:$BG182)&lt;52,IF('Capacity summary'!X182&lt;&gt;"",IF(LOWER('Capacity summary'!X182)="x",$BI63*X63,VALUE('Capacity summary'!X182)),0),X63*$BI63),X63*$BI63),0)</f>
        <v>0</v>
      </c>
      <c r="CB63" s="313">
        <f>IF($BI63&lt;&gt;"",IF('Capacity summary'!$D$14="Yes",IF(COUNTBLANK('Capacity summary'!$H182:$BG182)&lt;52,IF('Capacity summary'!Y182&lt;&gt;"",IF(LOWER('Capacity summary'!Y182)="x",$BI63*Y63,VALUE('Capacity summary'!Y182)),0),Y63*$BI63),Y63*$BI63),0)</f>
        <v>0</v>
      </c>
      <c r="CC63" s="313">
        <f>IF($BI63&lt;&gt;"",IF('Capacity summary'!$D$14="Yes",IF(COUNTBLANK('Capacity summary'!$H182:$BG182)&lt;52,IF('Capacity summary'!Z182&lt;&gt;"",IF(LOWER('Capacity summary'!Z182)="x",$BI63*Z63,VALUE('Capacity summary'!Z182)),0),Z63*$BI63),Z63*$BI63),0)</f>
        <v>0</v>
      </c>
      <c r="CD63" s="313">
        <f>IF($BI63&lt;&gt;"",IF('Capacity summary'!$D$14="Yes",IF(COUNTBLANK('Capacity summary'!$H182:$BG182)&lt;52,IF('Capacity summary'!AA182&lt;&gt;"",IF(LOWER('Capacity summary'!AA182)="x",$BI63*AA63,VALUE('Capacity summary'!AA182)),0),AA63*$BI63),AA63*$BI63),0)</f>
        <v>0</v>
      </c>
      <c r="CE63" s="313">
        <f>IF($BI63&lt;&gt;"",IF('Capacity summary'!$D$14="Yes",IF(COUNTBLANK('Capacity summary'!$H182:$BG182)&lt;52,IF('Capacity summary'!AB182&lt;&gt;"",IF(LOWER('Capacity summary'!AB182)="x",$BI63*AB63,VALUE('Capacity summary'!AB182)),0),AB63*$BI63),AB63*$BI63),0)</f>
        <v>0</v>
      </c>
      <c r="CF63" s="313">
        <f>IF($BI63&lt;&gt;"",IF('Capacity summary'!$D$14="Yes",IF(COUNTBLANK('Capacity summary'!$H182:$BG182)&lt;52,IF('Capacity summary'!AC182&lt;&gt;"",IF(LOWER('Capacity summary'!AC182)="x",$BI63*AC63,VALUE('Capacity summary'!AC182)),0),AC63*$BI63),AC63*$BI63),0)</f>
        <v>0</v>
      </c>
      <c r="CG63" s="313">
        <f>IF($BI63&lt;&gt;"",IF('Capacity summary'!$D$14="Yes",IF(COUNTBLANK('Capacity summary'!$H182:$BG182)&lt;52,IF('Capacity summary'!AD182&lt;&gt;"",IF(LOWER('Capacity summary'!AD182)="x",$BI63*AD63,VALUE('Capacity summary'!AD182)),0),AD63*$BI63),AD63*$BI63),0)</f>
        <v>0</v>
      </c>
      <c r="CH63" s="313">
        <f>IF($BI63&lt;&gt;"",IF('Capacity summary'!$D$14="Yes",IF(COUNTBLANK('Capacity summary'!$H182:$BG182)&lt;52,IF('Capacity summary'!AE182&lt;&gt;"",IF(LOWER('Capacity summary'!AE182)="x",$BI63*AE63,VALUE('Capacity summary'!AE182)),0),AE63*$BI63),AE63*$BI63),0)</f>
        <v>0</v>
      </c>
      <c r="CI63" s="313">
        <f>IF($BI63&lt;&gt;"",IF('Capacity summary'!$D$14="Yes",IF(COUNTBLANK('Capacity summary'!$H182:$BG182)&lt;52,IF('Capacity summary'!AF182&lt;&gt;"",IF(LOWER('Capacity summary'!AF182)="x",$BI63*AF63,VALUE('Capacity summary'!AF182)),0),AF63*$BI63),AF63*$BI63),0)</f>
        <v>0</v>
      </c>
      <c r="CJ63" s="313">
        <f>IF($BI63&lt;&gt;"",IF('Capacity summary'!$D$14="Yes",IF(COUNTBLANK('Capacity summary'!$H182:$BG182)&lt;52,IF('Capacity summary'!AG182&lt;&gt;"",IF(LOWER('Capacity summary'!AG182)="x",$BI63*AG63,VALUE('Capacity summary'!AG182)),0),AG63*$BI63),AG63*$BI63),0)</f>
        <v>0</v>
      </c>
      <c r="CK63" s="313">
        <f>IF($BI63&lt;&gt;"",IF('Capacity summary'!$D$14="Yes",IF(COUNTBLANK('Capacity summary'!$H182:$BG182)&lt;52,IF('Capacity summary'!AH182&lt;&gt;"",IF(LOWER('Capacity summary'!AH182)="x",$BI63*AH63,VALUE('Capacity summary'!AH182)),0),AH63*$BI63),AH63*$BI63),0)</f>
        <v>0</v>
      </c>
      <c r="CL63" s="313">
        <f>IF($BI63&lt;&gt;"",IF('Capacity summary'!$D$14="Yes",IF(COUNTBLANK('Capacity summary'!$H182:$BG182)&lt;52,IF('Capacity summary'!AI182&lt;&gt;"",IF(LOWER('Capacity summary'!AI182)="x",$BI63*AI63,VALUE('Capacity summary'!AI182)),0),AI63*$BI63),AI63*$BI63),0)</f>
        <v>0</v>
      </c>
      <c r="CM63" s="313">
        <f>IF($BI63&lt;&gt;"",IF('Capacity summary'!$D$14="Yes",IF(COUNTBLANK('Capacity summary'!$H182:$BG182)&lt;52,IF('Capacity summary'!AJ182&lt;&gt;"",IF(LOWER('Capacity summary'!AJ182)="x",$BI63*AJ63,VALUE('Capacity summary'!AJ182)),0),AJ63*$BI63),AJ63*$BI63),0)</f>
        <v>0</v>
      </c>
      <c r="CN63" s="313">
        <f>IF($BI63&lt;&gt;"",IF('Capacity summary'!$D$14="Yes",IF(COUNTBLANK('Capacity summary'!$H182:$BG182)&lt;52,IF('Capacity summary'!AK182&lt;&gt;"",IF(LOWER('Capacity summary'!AK182)="x",$BI63*AK63,VALUE('Capacity summary'!AK182)),0),AK63*$BI63),AK63*$BI63),0)</f>
        <v>0</v>
      </c>
      <c r="CO63" s="313">
        <f>IF($BI63&lt;&gt;"",IF('Capacity summary'!$D$14="Yes",IF(COUNTBLANK('Capacity summary'!$H182:$BG182)&lt;52,IF('Capacity summary'!AL182&lt;&gt;"",IF(LOWER('Capacity summary'!AL182)="x",$BI63*AL63,VALUE('Capacity summary'!AL182)),0),AL63*$BI63),AL63*$BI63),0)</f>
        <v>0</v>
      </c>
      <c r="CP63" s="313">
        <f>IF($BI63&lt;&gt;"",IF('Capacity summary'!$D$14="Yes",IF(COUNTBLANK('Capacity summary'!$H182:$BG182)&lt;52,IF('Capacity summary'!AM182&lt;&gt;"",IF(LOWER('Capacity summary'!AM182)="x",$BI63*AM63,VALUE('Capacity summary'!AM182)),0),AM63*$BI63),AM63*$BI63),0)</f>
        <v>0</v>
      </c>
      <c r="CQ63" s="313">
        <f>IF($BI63&lt;&gt;"",IF('Capacity summary'!$D$14="Yes",IF(COUNTBLANK('Capacity summary'!$H182:$BG182)&lt;52,IF('Capacity summary'!AN182&lt;&gt;"",IF(LOWER('Capacity summary'!AN182)="x",$BI63*AN63,VALUE('Capacity summary'!AN182)),0),AN63*$BI63),AN63*$BI63),0)</f>
        <v>0</v>
      </c>
      <c r="CR63" s="313">
        <f>IF($BI63&lt;&gt;"",IF('Capacity summary'!$D$14="Yes",IF(COUNTBLANK('Capacity summary'!$H182:$BG182)&lt;52,IF('Capacity summary'!AO182&lt;&gt;"",IF(LOWER('Capacity summary'!AO182)="x",$BI63*AO63,VALUE('Capacity summary'!AO182)),0),AO63*$BI63),AO63*$BI63),0)</f>
        <v>0</v>
      </c>
      <c r="CS63" s="313">
        <f>IF($BI63&lt;&gt;"",IF('Capacity summary'!$D$14="Yes",IF(COUNTBLANK('Capacity summary'!$H182:$BG182)&lt;52,IF('Capacity summary'!AP182&lt;&gt;"",IF(LOWER('Capacity summary'!AP182)="x",$BI63*AP63,VALUE('Capacity summary'!AP182)),0),AP63*$BI63),AP63*$BI63),0)</f>
        <v>0</v>
      </c>
      <c r="CT63" s="313">
        <f>IF($BI63&lt;&gt;"",IF('Capacity summary'!$D$14="Yes",IF(COUNTBLANK('Capacity summary'!$H182:$BG182)&lt;52,IF('Capacity summary'!AQ182&lt;&gt;"",IF(LOWER('Capacity summary'!AQ182)="x",$BI63*AQ63,VALUE('Capacity summary'!AQ182)),0),AQ63*$BI63),AQ63*$BI63),0)</f>
        <v>0</v>
      </c>
      <c r="CU63" s="313">
        <f>IF($BI63&lt;&gt;"",IF('Capacity summary'!$D$14="Yes",IF(COUNTBLANK('Capacity summary'!$H182:$BG182)&lt;52,IF('Capacity summary'!AR182&lt;&gt;"",IF(LOWER('Capacity summary'!AR182)="x",$BI63*AR63,VALUE('Capacity summary'!AR182)),0),AR63*$BI63),AR63*$BI63),0)</f>
        <v>0</v>
      </c>
      <c r="CV63" s="313">
        <f>IF($BI63&lt;&gt;"",IF('Capacity summary'!$D$14="Yes",IF(COUNTBLANK('Capacity summary'!$H182:$BG182)&lt;52,IF('Capacity summary'!AS182&lt;&gt;"",IF(LOWER('Capacity summary'!AS182)="x",$BI63*AS63,VALUE('Capacity summary'!AS182)),0),AS63*$BI63),AS63*$BI63),0)</f>
        <v>0</v>
      </c>
      <c r="CW63" s="313">
        <f>IF($BI63&lt;&gt;"",IF('Capacity summary'!$D$14="Yes",IF(COUNTBLANK('Capacity summary'!$H182:$BG182)&lt;52,IF('Capacity summary'!AT182&lt;&gt;"",IF(LOWER('Capacity summary'!AT182)="x",$BI63*AT63,VALUE('Capacity summary'!AT182)),0),AT63*$BI63),AT63*$BI63),0)</f>
        <v>0</v>
      </c>
      <c r="CX63" s="313">
        <f>IF($BI63&lt;&gt;"",IF('Capacity summary'!$D$14="Yes",IF(COUNTBLANK('Capacity summary'!$H182:$BG182)&lt;52,IF('Capacity summary'!AU182&lt;&gt;"",IF(LOWER('Capacity summary'!AU182)="x",$BI63*AU63,VALUE('Capacity summary'!AU182)),0),AU63*$BI63),AU63*$BI63),0)</f>
        <v>0</v>
      </c>
      <c r="CY63" s="313">
        <f>IF($BI63&lt;&gt;"",IF('Capacity summary'!$D$14="Yes",IF(COUNTBLANK('Capacity summary'!$H182:$BG182)&lt;52,IF('Capacity summary'!AV182&lt;&gt;"",IF(LOWER('Capacity summary'!AV182)="x",$BI63*AV63,VALUE('Capacity summary'!AV182)),0),AV63*$BI63),AV63*$BI63),0)</f>
        <v>0</v>
      </c>
      <c r="CZ63" s="313">
        <f>IF($BI63&lt;&gt;"",IF('Capacity summary'!$D$14="Yes",IF(COUNTBLANK('Capacity summary'!$H182:$BG182)&lt;52,IF('Capacity summary'!AW182&lt;&gt;"",IF(LOWER('Capacity summary'!AW182)="x",$BI63*AW63,VALUE('Capacity summary'!AW182)),0),AW63*$BI63),AW63*$BI63),0)</f>
        <v>0</v>
      </c>
      <c r="DA63" s="313">
        <f>IF($BI63&lt;&gt;"",IF('Capacity summary'!$D$14="Yes",IF(COUNTBLANK('Capacity summary'!$H182:$BG182)&lt;52,IF('Capacity summary'!AX182&lt;&gt;"",IF(LOWER('Capacity summary'!AX182)="x",$BI63*AX63,VALUE('Capacity summary'!AX182)),0),AX63*$BI63),AX63*$BI63),0)</f>
        <v>0</v>
      </c>
      <c r="DB63" s="313">
        <f>IF($BI63&lt;&gt;"",IF('Capacity summary'!$D$14="Yes",IF(COUNTBLANK('Capacity summary'!$H182:$BG182)&lt;52,IF('Capacity summary'!AY182&lt;&gt;"",IF(LOWER('Capacity summary'!AY182)="x",$BI63*AY63,VALUE('Capacity summary'!AY182)),0),AY63*$BI63),AY63*$BI63),0)</f>
        <v>0</v>
      </c>
      <c r="DC63" s="313">
        <f>IF($BI63&lt;&gt;"",IF('Capacity summary'!$D$14="Yes",IF(COUNTBLANK('Capacity summary'!$H182:$BG182)&lt;52,IF('Capacity summary'!AZ182&lt;&gt;"",IF(LOWER('Capacity summary'!AZ182)="x",$BI63*AZ63,VALUE('Capacity summary'!AZ182)),0),AZ63*$BI63),AZ63*$BI63),0)</f>
        <v>0</v>
      </c>
      <c r="DD63" s="313">
        <f>IF($BI63&lt;&gt;"",IF('Capacity summary'!$D$14="Yes",IF(COUNTBLANK('Capacity summary'!$H182:$BG182)&lt;52,IF('Capacity summary'!BA182&lt;&gt;"",IF(LOWER('Capacity summary'!BA182)="x",$BI63*BA63,VALUE('Capacity summary'!BA182)),0),BA63*$BI63),BA63*$BI63),0)</f>
        <v>0</v>
      </c>
      <c r="DE63" s="313">
        <f>IF($BI63&lt;&gt;"",IF('Capacity summary'!$D$14="Yes",IF(COUNTBLANK('Capacity summary'!$H182:$BG182)&lt;52,IF('Capacity summary'!BB182&lt;&gt;"",IF(LOWER('Capacity summary'!BB182)="x",$BI63*BB63,VALUE('Capacity summary'!BB182)),0),BB63*$BI63),BB63*$BI63),0)</f>
        <v>0</v>
      </c>
      <c r="DF63" s="313">
        <f>IF($BI63&lt;&gt;"",IF('Capacity summary'!$D$14="Yes",IF(COUNTBLANK('Capacity summary'!$H182:$BG182)&lt;52,IF('Capacity summary'!BC182&lt;&gt;"",IF(LOWER('Capacity summary'!BC182)="x",$BI63*BC63,VALUE('Capacity summary'!BC182)),0),BC63*$BI63),BC63*$BI63),0)</f>
        <v>0</v>
      </c>
      <c r="DG63" s="313">
        <f>IF($BI63&lt;&gt;"",IF('Capacity summary'!$D$14="Yes",IF(COUNTBLANK('Capacity summary'!$H182:$BG182)&lt;52,IF('Capacity summary'!BD182&lt;&gt;"",IF(LOWER('Capacity summary'!BD182)="x",$BI63*BD63,VALUE('Capacity summary'!BD182)),0),BD63*$BI63),BD63*$BI63),0)</f>
        <v>0</v>
      </c>
      <c r="DH63" s="313">
        <f>IF($BI63&lt;&gt;"",IF('Capacity summary'!$D$14="Yes",IF(COUNTBLANK('Capacity summary'!$H182:$BG182)&lt;52,IF('Capacity summary'!BE182&lt;&gt;"",IF(LOWER('Capacity summary'!BE182)="x",$BI63*BE63,VALUE('Capacity summary'!BE182)),0),BE63*$BI63),BE63*$BI63),0)</f>
        <v>0</v>
      </c>
      <c r="DI63" s="313">
        <f>IF($BI63&lt;&gt;"",IF('Capacity summary'!$D$14="Yes",IF(COUNTBLANK('Capacity summary'!$H182:$BG182)&lt;52,IF('Capacity summary'!BF182&lt;&gt;"",IF(LOWER('Capacity summary'!BF182)="x",$BI63*BF63,VALUE('Capacity summary'!BF182)),0),BF63*$BI63),BF63*$BI63),0)</f>
        <v>0</v>
      </c>
      <c r="DJ63" s="313">
        <f>IF($BI63&lt;&gt;"",IF('Capacity summary'!$D$14="Yes",IF(COUNTBLANK('Capacity summary'!$H182:$BG182)&lt;52,IF('Capacity summary'!BG182&lt;&gt;"",IF(LOWER('Capacity summary'!BG182)="x",$BI63*BG63,VALUE('Capacity summary'!BG182)),0),BG63*$BI63),BG63*$BI63),0)</f>
        <v>0</v>
      </c>
      <c r="DK63" s="137">
        <f t="shared" si="2"/>
        <v>0</v>
      </c>
      <c r="DL63" s="313" t="str">
        <f>Capacity!H75</f>
        <v/>
      </c>
    </row>
    <row r="64" spans="2:120" x14ac:dyDescent="0.25">
      <c r="B64" s="67"/>
      <c r="C64" s="67" t="str">
        <f>ROW(A60)&amp;". "&amp;Capacity!B76</f>
        <v xml:space="preserve">60. </v>
      </c>
      <c r="D64" s="67">
        <f>'Capacity setup'!C71</f>
        <v>0</v>
      </c>
      <c r="E64" s="67">
        <f>'Capacity setup'!D71</f>
        <v>0</v>
      </c>
      <c r="F64" s="67">
        <f>'Capacity setup'!E71</f>
        <v>0</v>
      </c>
      <c r="H64" s="67">
        <f ca="1">IF(AND(SUMIF(Capacity_Resource,$D64,'Critical resources (hide)'!U$6:U$105)+SUMIF(Capacity_Resource,$E64,'Critical resources (hide)'!U$6:U$105)+SUMIF(Capacity_Resource,$F64,'Critical resources (hide)'!U$6:U$105)&gt;0,$E$1=2),0,1)</f>
        <v>1</v>
      </c>
      <c r="I64" s="67">
        <f ca="1">IF(AND(SUMIF(Capacity_Resource,$D64,'Critical resources (hide)'!V$6:V$105)+SUMIF(Capacity_Resource,$E64,'Critical resources (hide)'!V$6:V$105)+SUMIF(Capacity_Resource,$F64,'Critical resources (hide)'!V$6:V$105)&gt;0,$E$1=2),0,1)</f>
        <v>1</v>
      </c>
      <c r="J64" s="67">
        <f ca="1">IF(AND(SUMIF(Capacity_Resource,$D64,'Critical resources (hide)'!W$6:W$105)+SUMIF(Capacity_Resource,$E64,'Critical resources (hide)'!W$6:W$105)+SUMIF(Capacity_Resource,$F64,'Critical resources (hide)'!W$6:W$105)&gt;0,$E$1=2),0,1)</f>
        <v>1</v>
      </c>
      <c r="K64" s="67">
        <f ca="1">IF(AND(SUMIF(Capacity_Resource,$D64,'Critical resources (hide)'!X$6:X$105)+SUMIF(Capacity_Resource,$E64,'Critical resources (hide)'!X$6:X$105)+SUMIF(Capacity_Resource,$F64,'Critical resources (hide)'!X$6:X$105)&gt;0,$E$1=2),0,1)</f>
        <v>1</v>
      </c>
      <c r="L64" s="67">
        <f ca="1">IF(AND(SUMIF(Capacity_Resource,$D64,'Critical resources (hide)'!Y$6:Y$105)+SUMIF(Capacity_Resource,$E64,'Critical resources (hide)'!Y$6:Y$105)+SUMIF(Capacity_Resource,$F64,'Critical resources (hide)'!Y$6:Y$105)&gt;0,$E$1=2),0,1)</f>
        <v>1</v>
      </c>
      <c r="M64" s="67">
        <f ca="1">IF(AND(SUMIF(Capacity_Resource,$D64,'Critical resources (hide)'!Z$6:Z$105)+SUMIF(Capacity_Resource,$E64,'Critical resources (hide)'!Z$6:Z$105)+SUMIF(Capacity_Resource,$F64,'Critical resources (hide)'!Z$6:Z$105)&gt;0,$E$1=2),0,1)</f>
        <v>1</v>
      </c>
      <c r="N64" s="67">
        <f ca="1">IF(AND(SUMIF(Capacity_Resource,$D64,'Critical resources (hide)'!AA$6:AA$105)+SUMIF(Capacity_Resource,$E64,'Critical resources (hide)'!AA$6:AA$105)+SUMIF(Capacity_Resource,$F64,'Critical resources (hide)'!AA$6:AA$105)&gt;0,$E$1=2),0,1)</f>
        <v>1</v>
      </c>
      <c r="O64" s="67">
        <f ca="1">IF(AND(SUMIF(Capacity_Resource,$D64,'Critical resources (hide)'!AB$6:AB$105)+SUMIF(Capacity_Resource,$E64,'Critical resources (hide)'!AB$6:AB$105)+SUMIF(Capacity_Resource,$F64,'Critical resources (hide)'!AB$6:AB$105)&gt;0,$E$1=2),0,1)</f>
        <v>1</v>
      </c>
      <c r="P64" s="67">
        <f ca="1">IF(AND(SUMIF(Capacity_Resource,$D64,'Critical resources (hide)'!AC$6:AC$105)+SUMIF(Capacity_Resource,$E64,'Critical resources (hide)'!AC$6:AC$105)+SUMIF(Capacity_Resource,$F64,'Critical resources (hide)'!AC$6:AC$105)&gt;0,$E$1=2),0,1)</f>
        <v>1</v>
      </c>
      <c r="Q64" s="67">
        <f ca="1">IF(AND(SUMIF(Capacity_Resource,$D64,'Critical resources (hide)'!AD$6:AD$105)+SUMIF(Capacity_Resource,$E64,'Critical resources (hide)'!AD$6:AD$105)+SUMIF(Capacity_Resource,$F64,'Critical resources (hide)'!AD$6:AD$105)&gt;0,$E$1=2),0,1)</f>
        <v>1</v>
      </c>
      <c r="R64" s="67">
        <f ca="1">IF(AND(SUMIF(Capacity_Resource,$D64,'Critical resources (hide)'!AE$6:AE$105)+SUMIF(Capacity_Resource,$E64,'Critical resources (hide)'!AE$6:AE$105)+SUMIF(Capacity_Resource,$F64,'Critical resources (hide)'!AE$6:AE$105)&gt;0,$E$1=2),0,1)</f>
        <v>1</v>
      </c>
      <c r="S64" s="67">
        <f ca="1">IF(AND(SUMIF(Capacity_Resource,$D64,'Critical resources (hide)'!AF$6:AF$105)+SUMIF(Capacity_Resource,$E64,'Critical resources (hide)'!AF$6:AF$105)+SUMIF(Capacity_Resource,$F64,'Critical resources (hide)'!AF$6:AF$105)&gt;0,$E$1=2),0,1)</f>
        <v>1</v>
      </c>
      <c r="T64" s="67">
        <f ca="1">IF(AND(SUMIF(Capacity_Resource,$D64,'Critical resources (hide)'!AG$6:AG$105)+SUMIF(Capacity_Resource,$E64,'Critical resources (hide)'!AG$6:AG$105)+SUMIF(Capacity_Resource,$F64,'Critical resources (hide)'!AG$6:AG$105)&gt;0,$E$1=2),0,1)</f>
        <v>1</v>
      </c>
      <c r="U64" s="67">
        <f ca="1">IF(AND(SUMIF(Capacity_Resource,$D64,'Critical resources (hide)'!AH$6:AH$105)+SUMIF(Capacity_Resource,$E64,'Critical resources (hide)'!AH$6:AH$105)+SUMIF(Capacity_Resource,$F64,'Critical resources (hide)'!AH$6:AH$105)&gt;0,$E$1=2),0,1)</f>
        <v>1</v>
      </c>
      <c r="V64" s="67">
        <f ca="1">IF(AND(SUMIF(Capacity_Resource,$D64,'Critical resources (hide)'!AI$6:AI$105)+SUMIF(Capacity_Resource,$E64,'Critical resources (hide)'!AI$6:AI$105)+SUMIF(Capacity_Resource,$F64,'Critical resources (hide)'!AI$6:AI$105)&gt;0,$E$1=2),0,1)</f>
        <v>1</v>
      </c>
      <c r="W64" s="67">
        <f ca="1">IF(AND(SUMIF(Capacity_Resource,$D64,'Critical resources (hide)'!AJ$6:AJ$105)+SUMIF(Capacity_Resource,$E64,'Critical resources (hide)'!AJ$6:AJ$105)+SUMIF(Capacity_Resource,$F64,'Critical resources (hide)'!AJ$6:AJ$105)&gt;0,$E$1=2),0,1)</f>
        <v>1</v>
      </c>
      <c r="X64" s="67">
        <f ca="1">IF(AND(SUMIF(Capacity_Resource,$D64,'Critical resources (hide)'!AK$6:AK$105)+SUMIF(Capacity_Resource,$E64,'Critical resources (hide)'!AK$6:AK$105)+SUMIF(Capacity_Resource,$F64,'Critical resources (hide)'!AK$6:AK$105)&gt;0,$E$1=2),0,1)</f>
        <v>1</v>
      </c>
      <c r="Y64" s="67">
        <f ca="1">IF(AND(SUMIF(Capacity_Resource,$D64,'Critical resources (hide)'!AL$6:AL$105)+SUMIF(Capacity_Resource,$E64,'Critical resources (hide)'!AL$6:AL$105)+SUMIF(Capacity_Resource,$F64,'Critical resources (hide)'!AL$6:AL$105)&gt;0,$E$1=2),0,1)</f>
        <v>1</v>
      </c>
      <c r="Z64" s="67">
        <f ca="1">IF(AND(SUMIF(Capacity_Resource,$D64,'Critical resources (hide)'!AM$6:AM$105)+SUMIF(Capacity_Resource,$E64,'Critical resources (hide)'!AM$6:AM$105)+SUMIF(Capacity_Resource,$F64,'Critical resources (hide)'!AM$6:AM$105)&gt;0,$E$1=2),0,1)</f>
        <v>1</v>
      </c>
      <c r="AA64" s="67">
        <f ca="1">IF(AND(SUMIF(Capacity_Resource,$D64,'Critical resources (hide)'!AN$6:AN$105)+SUMIF(Capacity_Resource,$E64,'Critical resources (hide)'!AN$6:AN$105)+SUMIF(Capacity_Resource,$F64,'Critical resources (hide)'!AN$6:AN$105)&gt;0,$E$1=2),0,1)</f>
        <v>1</v>
      </c>
      <c r="AB64" s="67">
        <f ca="1">IF(AND(SUMIF(Capacity_Resource,$D64,'Critical resources (hide)'!AO$6:AO$105)+SUMIF(Capacity_Resource,$E64,'Critical resources (hide)'!AO$6:AO$105)+SUMIF(Capacity_Resource,$F64,'Critical resources (hide)'!AO$6:AO$105)&gt;0,$E$1=2),0,1)</f>
        <v>1</v>
      </c>
      <c r="AC64" s="67">
        <f ca="1">IF(AND(SUMIF(Capacity_Resource,$D64,'Critical resources (hide)'!AP$6:AP$105)+SUMIF(Capacity_Resource,$E64,'Critical resources (hide)'!AP$6:AP$105)+SUMIF(Capacity_Resource,$F64,'Critical resources (hide)'!AP$6:AP$105)&gt;0,$E$1=2),0,1)</f>
        <v>1</v>
      </c>
      <c r="AD64" s="67">
        <f ca="1">IF(AND(SUMIF(Capacity_Resource,$D64,'Critical resources (hide)'!AQ$6:AQ$105)+SUMIF(Capacity_Resource,$E64,'Critical resources (hide)'!AQ$6:AQ$105)+SUMIF(Capacity_Resource,$F64,'Critical resources (hide)'!AQ$6:AQ$105)&gt;0,$E$1=2),0,1)</f>
        <v>1</v>
      </c>
      <c r="AE64" s="67">
        <f ca="1">IF(AND(SUMIF(Capacity_Resource,$D64,'Critical resources (hide)'!AR$6:AR$105)+SUMIF(Capacity_Resource,$E64,'Critical resources (hide)'!AR$6:AR$105)+SUMIF(Capacity_Resource,$F64,'Critical resources (hide)'!AR$6:AR$105)&gt;0,$E$1=2),0,1)</f>
        <v>1</v>
      </c>
      <c r="AF64" s="67">
        <f ca="1">IF(AND(SUMIF(Capacity_Resource,$D64,'Critical resources (hide)'!AS$6:AS$105)+SUMIF(Capacity_Resource,$E64,'Critical resources (hide)'!AS$6:AS$105)+SUMIF(Capacity_Resource,$F64,'Critical resources (hide)'!AS$6:AS$105)&gt;0,$E$1=2),0,1)</f>
        <v>1</v>
      </c>
      <c r="AG64" s="67">
        <f ca="1">IF(AND(SUMIF(Capacity_Resource,$D64,'Critical resources (hide)'!AT$6:AT$105)+SUMIF(Capacity_Resource,$E64,'Critical resources (hide)'!AT$6:AT$105)+SUMIF(Capacity_Resource,$F64,'Critical resources (hide)'!AT$6:AT$105)&gt;0,$E$1=2),0,1)</f>
        <v>1</v>
      </c>
      <c r="AH64" s="67">
        <f ca="1">IF(AND(SUMIF(Capacity_Resource,$D64,'Critical resources (hide)'!AU$6:AU$105)+SUMIF(Capacity_Resource,$E64,'Critical resources (hide)'!AU$6:AU$105)+SUMIF(Capacity_Resource,$F64,'Critical resources (hide)'!AU$6:AU$105)&gt;0,$E$1=2),0,1)</f>
        <v>1</v>
      </c>
      <c r="AI64" s="67">
        <f ca="1">IF(AND(SUMIF(Capacity_Resource,$D64,'Critical resources (hide)'!AV$6:AV$105)+SUMIF(Capacity_Resource,$E64,'Critical resources (hide)'!AV$6:AV$105)+SUMIF(Capacity_Resource,$F64,'Critical resources (hide)'!AV$6:AV$105)&gt;0,$E$1=2),0,1)</f>
        <v>1</v>
      </c>
      <c r="AJ64" s="67">
        <f ca="1">IF(AND(SUMIF(Capacity_Resource,$D64,'Critical resources (hide)'!AW$6:AW$105)+SUMIF(Capacity_Resource,$E64,'Critical resources (hide)'!AW$6:AW$105)+SUMIF(Capacity_Resource,$F64,'Critical resources (hide)'!AW$6:AW$105)&gt;0,$E$1=2),0,1)</f>
        <v>1</v>
      </c>
      <c r="AK64" s="67">
        <f ca="1">IF(AND(SUMIF(Capacity_Resource,$D64,'Critical resources (hide)'!AX$6:AX$105)+SUMIF(Capacity_Resource,$E64,'Critical resources (hide)'!AX$6:AX$105)+SUMIF(Capacity_Resource,$F64,'Critical resources (hide)'!AX$6:AX$105)&gt;0,$E$1=2),0,1)</f>
        <v>1</v>
      </c>
      <c r="AL64" s="67">
        <f ca="1">IF(AND(SUMIF(Capacity_Resource,$D64,'Critical resources (hide)'!AY$6:AY$105)+SUMIF(Capacity_Resource,$E64,'Critical resources (hide)'!AY$6:AY$105)+SUMIF(Capacity_Resource,$F64,'Critical resources (hide)'!AY$6:AY$105)&gt;0,$E$1=2),0,1)</f>
        <v>1</v>
      </c>
      <c r="AM64" s="67">
        <f ca="1">IF(AND(SUMIF(Capacity_Resource,$D64,'Critical resources (hide)'!AZ$6:AZ$105)+SUMIF(Capacity_Resource,$E64,'Critical resources (hide)'!AZ$6:AZ$105)+SUMIF(Capacity_Resource,$F64,'Critical resources (hide)'!AZ$6:AZ$105)&gt;0,$E$1=2),0,1)</f>
        <v>1</v>
      </c>
      <c r="AN64" s="67">
        <f ca="1">IF(AND(SUMIF(Capacity_Resource,$D64,'Critical resources (hide)'!BA$6:BA$105)+SUMIF(Capacity_Resource,$E64,'Critical resources (hide)'!BA$6:BA$105)+SUMIF(Capacity_Resource,$F64,'Critical resources (hide)'!BA$6:BA$105)&gt;0,$E$1=2),0,1)</f>
        <v>1</v>
      </c>
      <c r="AO64" s="67">
        <f ca="1">IF(AND(SUMIF(Capacity_Resource,$D64,'Critical resources (hide)'!BB$6:BB$105)+SUMIF(Capacity_Resource,$E64,'Critical resources (hide)'!BB$6:BB$105)+SUMIF(Capacity_Resource,$F64,'Critical resources (hide)'!BB$6:BB$105)&gt;0,$E$1=2),0,1)</f>
        <v>1</v>
      </c>
      <c r="AP64" s="67">
        <f ca="1">IF(AND(SUMIF(Capacity_Resource,$D64,'Critical resources (hide)'!BC$6:BC$105)+SUMIF(Capacity_Resource,$E64,'Critical resources (hide)'!BC$6:BC$105)+SUMIF(Capacity_Resource,$F64,'Critical resources (hide)'!BC$6:BC$105)&gt;0,$E$1=2),0,1)</f>
        <v>1</v>
      </c>
      <c r="AQ64" s="67">
        <f ca="1">IF(AND(SUMIF(Capacity_Resource,$D64,'Critical resources (hide)'!BD$6:BD$105)+SUMIF(Capacity_Resource,$E64,'Critical resources (hide)'!BD$6:BD$105)+SUMIF(Capacity_Resource,$F64,'Critical resources (hide)'!BD$6:BD$105)&gt;0,$E$1=2),0,1)</f>
        <v>1</v>
      </c>
      <c r="AR64" s="67">
        <f ca="1">IF(AND(SUMIF(Capacity_Resource,$D64,'Critical resources (hide)'!BE$6:BE$105)+SUMIF(Capacity_Resource,$E64,'Critical resources (hide)'!BE$6:BE$105)+SUMIF(Capacity_Resource,$F64,'Critical resources (hide)'!BE$6:BE$105)&gt;0,$E$1=2),0,1)</f>
        <v>1</v>
      </c>
      <c r="AS64" s="67">
        <f ca="1">IF(AND(SUMIF(Capacity_Resource,$D64,'Critical resources (hide)'!BF$6:BF$105)+SUMIF(Capacity_Resource,$E64,'Critical resources (hide)'!BF$6:BF$105)+SUMIF(Capacity_Resource,$F64,'Critical resources (hide)'!BF$6:BF$105)&gt;0,$E$1=2),0,1)</f>
        <v>1</v>
      </c>
      <c r="AT64" s="67">
        <f ca="1">IF(AND(SUMIF(Capacity_Resource,$D64,'Critical resources (hide)'!BG$6:BG$105)+SUMIF(Capacity_Resource,$E64,'Critical resources (hide)'!BG$6:BG$105)+SUMIF(Capacity_Resource,$F64,'Critical resources (hide)'!BG$6:BG$105)&gt;0,$E$1=2),0,1)</f>
        <v>1</v>
      </c>
      <c r="AU64" s="67">
        <f ca="1">IF(AND(SUMIF(Capacity_Resource,$D64,'Critical resources (hide)'!BH$6:BH$105)+SUMIF(Capacity_Resource,$E64,'Critical resources (hide)'!BH$6:BH$105)+SUMIF(Capacity_Resource,$F64,'Critical resources (hide)'!BH$6:BH$105)&gt;0,$E$1=2),0,1)</f>
        <v>1</v>
      </c>
      <c r="AV64" s="67">
        <f ca="1">IF(AND(SUMIF(Capacity_Resource,$D64,'Critical resources (hide)'!BI$6:BI$105)+SUMIF(Capacity_Resource,$E64,'Critical resources (hide)'!BI$6:BI$105)+SUMIF(Capacity_Resource,$F64,'Critical resources (hide)'!BI$6:BI$105)&gt;0,$E$1=2),0,1)</f>
        <v>1</v>
      </c>
      <c r="AW64" s="67">
        <f ca="1">IF(AND(SUMIF(Capacity_Resource,$D64,'Critical resources (hide)'!BJ$6:BJ$105)+SUMIF(Capacity_Resource,$E64,'Critical resources (hide)'!BJ$6:BJ$105)+SUMIF(Capacity_Resource,$F64,'Critical resources (hide)'!BJ$6:BJ$105)&gt;0,$E$1=2),0,1)</f>
        <v>1</v>
      </c>
      <c r="AX64" s="67">
        <f ca="1">IF(AND(SUMIF(Capacity_Resource,$D64,'Critical resources (hide)'!BK$6:BK$105)+SUMIF(Capacity_Resource,$E64,'Critical resources (hide)'!BK$6:BK$105)+SUMIF(Capacity_Resource,$F64,'Critical resources (hide)'!BK$6:BK$105)&gt;0,$E$1=2),0,1)</f>
        <v>1</v>
      </c>
      <c r="AY64" s="67">
        <f ca="1">IF(AND(SUMIF(Capacity_Resource,$D64,'Critical resources (hide)'!BL$6:BL$105)+SUMIF(Capacity_Resource,$E64,'Critical resources (hide)'!BL$6:BL$105)+SUMIF(Capacity_Resource,$F64,'Critical resources (hide)'!BL$6:BL$105)&gt;0,$E$1=2),0,1)</f>
        <v>1</v>
      </c>
      <c r="AZ64" s="67">
        <f ca="1">IF(AND(SUMIF(Capacity_Resource,$D64,'Critical resources (hide)'!BM$6:BM$105)+SUMIF(Capacity_Resource,$E64,'Critical resources (hide)'!BM$6:BM$105)+SUMIF(Capacity_Resource,$F64,'Critical resources (hide)'!BM$6:BM$105)&gt;0,$E$1=2),0,1)</f>
        <v>1</v>
      </c>
      <c r="BA64" s="67">
        <f ca="1">IF(AND(SUMIF(Capacity_Resource,$D64,'Critical resources (hide)'!BN$6:BN$105)+SUMIF(Capacity_Resource,$E64,'Critical resources (hide)'!BN$6:BN$105)+SUMIF(Capacity_Resource,$F64,'Critical resources (hide)'!BN$6:BN$105)&gt;0,$E$1=2),0,1)</f>
        <v>1</v>
      </c>
      <c r="BB64" s="67">
        <f ca="1">IF(AND(SUMIF(Capacity_Resource,$D64,'Critical resources (hide)'!BO$6:BO$105)+SUMIF(Capacity_Resource,$E64,'Critical resources (hide)'!BO$6:BO$105)+SUMIF(Capacity_Resource,$F64,'Critical resources (hide)'!BO$6:BO$105)&gt;0,$E$1=2),0,1)</f>
        <v>1</v>
      </c>
      <c r="BC64" s="67">
        <f ca="1">IF(AND(SUMIF(Capacity_Resource,$D64,'Critical resources (hide)'!BP$6:BP$105)+SUMIF(Capacity_Resource,$E64,'Critical resources (hide)'!BP$6:BP$105)+SUMIF(Capacity_Resource,$F64,'Critical resources (hide)'!BP$6:BP$105)&gt;0,$E$1=2),0,1)</f>
        <v>1</v>
      </c>
      <c r="BD64" s="67">
        <f ca="1">IF(AND(SUMIF(Capacity_Resource,$D64,'Critical resources (hide)'!BQ$6:BQ$105)+SUMIF(Capacity_Resource,$E64,'Critical resources (hide)'!BQ$6:BQ$105)+SUMIF(Capacity_Resource,$F64,'Critical resources (hide)'!BQ$6:BQ$105)&gt;0,$E$1=2),0,1)</f>
        <v>1</v>
      </c>
      <c r="BE64" s="67">
        <f ca="1">IF(AND(SUMIF(Capacity_Resource,$D64,'Critical resources (hide)'!BR$6:BR$105)+SUMIF(Capacity_Resource,$E64,'Critical resources (hide)'!BR$6:BR$105)+SUMIF(Capacity_Resource,$F64,'Critical resources (hide)'!BR$6:BR$105)&gt;0,$E$1=2),0,1)</f>
        <v>1</v>
      </c>
      <c r="BF64" s="67">
        <f ca="1">IF(AND(SUMIF(Capacity_Resource,$D64,'Critical resources (hide)'!BS$6:BS$105)+SUMIF(Capacity_Resource,$E64,'Critical resources (hide)'!BS$6:BS$105)+SUMIF(Capacity_Resource,$F64,'Critical resources (hide)'!BS$6:BS$105)&gt;0,$E$1=2),0,1)</f>
        <v>1</v>
      </c>
      <c r="BG64" s="67">
        <f ca="1">IF(AND(SUMIF(Capacity_Resource,$D64,'Critical resources (hide)'!BT$6:BT$105)+SUMIF(Capacity_Resource,$E64,'Critical resources (hide)'!BT$6:BT$105)+SUMIF(Capacity_Resource,$F64,'Critical resources (hide)'!BT$6:BT$105)&gt;0,$E$1=2),0,1)</f>
        <v>1</v>
      </c>
      <c r="BH64" s="67">
        <f>IF(ROW(C60)&lt;=Capacity!$A$16,IF('Capacity summary'!$D$14="No",SUM(H64:BG64),'Capacity summary'!$E183),0)</f>
        <v>0</v>
      </c>
      <c r="BI64" s="5" t="str">
        <f>IF(BH64&gt;0,IF(BH64&lt;Capacity!E76,Capacity!F76,Capacity!H76/'Capacity calculation (hide)'!BH64),"")</f>
        <v/>
      </c>
      <c r="BK64" s="313">
        <f>IF($BI64&lt;&gt;"",IF('Capacity summary'!$D$14="Yes",IF(COUNTBLANK('Capacity summary'!$H183:$BG183)&lt;52,IF('Capacity summary'!H183&lt;&gt;"",IF(LOWER('Capacity summary'!H183)="x",$BI64*H64,VALUE('Capacity summary'!H183)),0),H64*$BI64),H64*$BI64),0)</f>
        <v>0</v>
      </c>
      <c r="BL64" s="313">
        <f>IF($BI64&lt;&gt;"",IF('Capacity summary'!$D$14="Yes",IF(COUNTBLANK('Capacity summary'!$H183:$BG183)&lt;52,IF('Capacity summary'!I183&lt;&gt;"",IF(LOWER('Capacity summary'!I183)="x",$BI64*I64,VALUE('Capacity summary'!I183)),0),I64*$BI64),I64*$BI64),0)</f>
        <v>0</v>
      </c>
      <c r="BM64" s="313">
        <f>IF($BI64&lt;&gt;"",IF('Capacity summary'!$D$14="Yes",IF(COUNTBLANK('Capacity summary'!$H183:$BG183)&lt;52,IF('Capacity summary'!J183&lt;&gt;"",IF(LOWER('Capacity summary'!J183)="x",$BI64*J64,VALUE('Capacity summary'!J183)),0),J64*$BI64),J64*$BI64),0)</f>
        <v>0</v>
      </c>
      <c r="BN64" s="313">
        <f>IF($BI64&lt;&gt;"",IF('Capacity summary'!$D$14="Yes",IF(COUNTBLANK('Capacity summary'!$H183:$BG183)&lt;52,IF('Capacity summary'!K183&lt;&gt;"",IF(LOWER('Capacity summary'!K183)="x",$BI64*K64,VALUE('Capacity summary'!K183)),0),K64*$BI64),K64*$BI64),0)</f>
        <v>0</v>
      </c>
      <c r="BO64" s="313">
        <f>IF($BI64&lt;&gt;"",IF('Capacity summary'!$D$14="Yes",IF(COUNTBLANK('Capacity summary'!$H183:$BG183)&lt;52,IF('Capacity summary'!L183&lt;&gt;"",IF(LOWER('Capacity summary'!L183)="x",$BI64*L64,VALUE('Capacity summary'!L183)),0),L64*$BI64),L64*$BI64),0)</f>
        <v>0</v>
      </c>
      <c r="BP64" s="313">
        <f>IF($BI64&lt;&gt;"",IF('Capacity summary'!$D$14="Yes",IF(COUNTBLANK('Capacity summary'!$H183:$BG183)&lt;52,IF('Capacity summary'!M183&lt;&gt;"",IF(LOWER('Capacity summary'!M183)="x",$BI64*M64,VALUE('Capacity summary'!M183)),0),M64*$BI64),M64*$BI64),0)</f>
        <v>0</v>
      </c>
      <c r="BQ64" s="313">
        <f>IF($BI64&lt;&gt;"",IF('Capacity summary'!$D$14="Yes",IF(COUNTBLANK('Capacity summary'!$H183:$BG183)&lt;52,IF('Capacity summary'!N183&lt;&gt;"",IF(LOWER('Capacity summary'!N183)="x",$BI64*N64,VALUE('Capacity summary'!N183)),0),N64*$BI64),N64*$BI64),0)</f>
        <v>0</v>
      </c>
      <c r="BR64" s="313">
        <f>IF($BI64&lt;&gt;"",IF('Capacity summary'!$D$14="Yes",IF(COUNTBLANK('Capacity summary'!$H183:$BG183)&lt;52,IF('Capacity summary'!O183&lt;&gt;"",IF(LOWER('Capacity summary'!O183)="x",$BI64*O64,VALUE('Capacity summary'!O183)),0),O64*$BI64),O64*$BI64),0)</f>
        <v>0</v>
      </c>
      <c r="BS64" s="313">
        <f>IF($BI64&lt;&gt;"",IF('Capacity summary'!$D$14="Yes",IF(COUNTBLANK('Capacity summary'!$H183:$BG183)&lt;52,IF('Capacity summary'!P183&lt;&gt;"",IF(LOWER('Capacity summary'!P183)="x",$BI64*P64,VALUE('Capacity summary'!P183)),0),P64*$BI64),P64*$BI64),0)</f>
        <v>0</v>
      </c>
      <c r="BT64" s="313">
        <f>IF($BI64&lt;&gt;"",IF('Capacity summary'!$D$14="Yes",IF(COUNTBLANK('Capacity summary'!$H183:$BG183)&lt;52,IF('Capacity summary'!Q183&lt;&gt;"",IF(LOWER('Capacity summary'!Q183)="x",$BI64*Q64,VALUE('Capacity summary'!Q183)),0),Q64*$BI64),Q64*$BI64),0)</f>
        <v>0</v>
      </c>
      <c r="BU64" s="313">
        <f>IF($BI64&lt;&gt;"",IF('Capacity summary'!$D$14="Yes",IF(COUNTBLANK('Capacity summary'!$H183:$BG183)&lt;52,IF('Capacity summary'!R183&lt;&gt;"",IF(LOWER('Capacity summary'!R183)="x",$BI64*R64,VALUE('Capacity summary'!R183)),0),R64*$BI64),R64*$BI64),0)</f>
        <v>0</v>
      </c>
      <c r="BV64" s="313">
        <f>IF($BI64&lt;&gt;"",IF('Capacity summary'!$D$14="Yes",IF(COUNTBLANK('Capacity summary'!$H183:$BG183)&lt;52,IF('Capacity summary'!S183&lt;&gt;"",IF(LOWER('Capacity summary'!S183)="x",$BI64*S64,VALUE('Capacity summary'!S183)),0),S64*$BI64),S64*$BI64),0)</f>
        <v>0</v>
      </c>
      <c r="BW64" s="313">
        <f>IF($BI64&lt;&gt;"",IF('Capacity summary'!$D$14="Yes",IF(COUNTBLANK('Capacity summary'!$H183:$BG183)&lt;52,IF('Capacity summary'!T183&lt;&gt;"",IF(LOWER('Capacity summary'!T183)="x",$BI64*T64,VALUE('Capacity summary'!T183)),0),T64*$BI64),T64*$BI64),0)</f>
        <v>0</v>
      </c>
      <c r="BX64" s="313">
        <f>IF($BI64&lt;&gt;"",IF('Capacity summary'!$D$14="Yes",IF(COUNTBLANK('Capacity summary'!$H183:$BG183)&lt;52,IF('Capacity summary'!U183&lt;&gt;"",IF(LOWER('Capacity summary'!U183)="x",$BI64*U64,VALUE('Capacity summary'!U183)),0),U64*$BI64),U64*$BI64),0)</f>
        <v>0</v>
      </c>
      <c r="BY64" s="313">
        <f>IF($BI64&lt;&gt;"",IF('Capacity summary'!$D$14="Yes",IF(COUNTBLANK('Capacity summary'!$H183:$BG183)&lt;52,IF('Capacity summary'!V183&lt;&gt;"",IF(LOWER('Capacity summary'!V183)="x",$BI64*V64,VALUE('Capacity summary'!V183)),0),V64*$BI64),V64*$BI64),0)</f>
        <v>0</v>
      </c>
      <c r="BZ64" s="313">
        <f>IF($BI64&lt;&gt;"",IF('Capacity summary'!$D$14="Yes",IF(COUNTBLANK('Capacity summary'!$H183:$BG183)&lt;52,IF('Capacity summary'!W183&lt;&gt;"",IF(LOWER('Capacity summary'!W183)="x",$BI64*W64,VALUE('Capacity summary'!W183)),0),W64*$BI64),W64*$BI64),0)</f>
        <v>0</v>
      </c>
      <c r="CA64" s="313">
        <f>IF($BI64&lt;&gt;"",IF('Capacity summary'!$D$14="Yes",IF(COUNTBLANK('Capacity summary'!$H183:$BG183)&lt;52,IF('Capacity summary'!X183&lt;&gt;"",IF(LOWER('Capacity summary'!X183)="x",$BI64*X64,VALUE('Capacity summary'!X183)),0),X64*$BI64),X64*$BI64),0)</f>
        <v>0</v>
      </c>
      <c r="CB64" s="313">
        <f>IF($BI64&lt;&gt;"",IF('Capacity summary'!$D$14="Yes",IF(COUNTBLANK('Capacity summary'!$H183:$BG183)&lt;52,IF('Capacity summary'!Y183&lt;&gt;"",IF(LOWER('Capacity summary'!Y183)="x",$BI64*Y64,VALUE('Capacity summary'!Y183)),0),Y64*$BI64),Y64*$BI64),0)</f>
        <v>0</v>
      </c>
      <c r="CC64" s="313">
        <f>IF($BI64&lt;&gt;"",IF('Capacity summary'!$D$14="Yes",IF(COUNTBLANK('Capacity summary'!$H183:$BG183)&lt;52,IF('Capacity summary'!Z183&lt;&gt;"",IF(LOWER('Capacity summary'!Z183)="x",$BI64*Z64,VALUE('Capacity summary'!Z183)),0),Z64*$BI64),Z64*$BI64),0)</f>
        <v>0</v>
      </c>
      <c r="CD64" s="313">
        <f>IF($BI64&lt;&gt;"",IF('Capacity summary'!$D$14="Yes",IF(COUNTBLANK('Capacity summary'!$H183:$BG183)&lt;52,IF('Capacity summary'!AA183&lt;&gt;"",IF(LOWER('Capacity summary'!AA183)="x",$BI64*AA64,VALUE('Capacity summary'!AA183)),0),AA64*$BI64),AA64*$BI64),0)</f>
        <v>0</v>
      </c>
      <c r="CE64" s="313">
        <f>IF($BI64&lt;&gt;"",IF('Capacity summary'!$D$14="Yes",IF(COUNTBLANK('Capacity summary'!$H183:$BG183)&lt;52,IF('Capacity summary'!AB183&lt;&gt;"",IF(LOWER('Capacity summary'!AB183)="x",$BI64*AB64,VALUE('Capacity summary'!AB183)),0),AB64*$BI64),AB64*$BI64),0)</f>
        <v>0</v>
      </c>
      <c r="CF64" s="313">
        <f>IF($BI64&lt;&gt;"",IF('Capacity summary'!$D$14="Yes",IF(COUNTBLANK('Capacity summary'!$H183:$BG183)&lt;52,IF('Capacity summary'!AC183&lt;&gt;"",IF(LOWER('Capacity summary'!AC183)="x",$BI64*AC64,VALUE('Capacity summary'!AC183)),0),AC64*$BI64),AC64*$BI64),0)</f>
        <v>0</v>
      </c>
      <c r="CG64" s="313">
        <f>IF($BI64&lt;&gt;"",IF('Capacity summary'!$D$14="Yes",IF(COUNTBLANK('Capacity summary'!$H183:$BG183)&lt;52,IF('Capacity summary'!AD183&lt;&gt;"",IF(LOWER('Capacity summary'!AD183)="x",$BI64*AD64,VALUE('Capacity summary'!AD183)),0),AD64*$BI64),AD64*$BI64),0)</f>
        <v>0</v>
      </c>
      <c r="CH64" s="313">
        <f>IF($BI64&lt;&gt;"",IF('Capacity summary'!$D$14="Yes",IF(COUNTBLANK('Capacity summary'!$H183:$BG183)&lt;52,IF('Capacity summary'!AE183&lt;&gt;"",IF(LOWER('Capacity summary'!AE183)="x",$BI64*AE64,VALUE('Capacity summary'!AE183)),0),AE64*$BI64),AE64*$BI64),0)</f>
        <v>0</v>
      </c>
      <c r="CI64" s="313">
        <f>IF($BI64&lt;&gt;"",IF('Capacity summary'!$D$14="Yes",IF(COUNTBLANK('Capacity summary'!$H183:$BG183)&lt;52,IF('Capacity summary'!AF183&lt;&gt;"",IF(LOWER('Capacity summary'!AF183)="x",$BI64*AF64,VALUE('Capacity summary'!AF183)),0),AF64*$BI64),AF64*$BI64),0)</f>
        <v>0</v>
      </c>
      <c r="CJ64" s="313">
        <f>IF($BI64&lt;&gt;"",IF('Capacity summary'!$D$14="Yes",IF(COUNTBLANK('Capacity summary'!$H183:$BG183)&lt;52,IF('Capacity summary'!AG183&lt;&gt;"",IF(LOWER('Capacity summary'!AG183)="x",$BI64*AG64,VALUE('Capacity summary'!AG183)),0),AG64*$BI64),AG64*$BI64),0)</f>
        <v>0</v>
      </c>
      <c r="CK64" s="313">
        <f>IF($BI64&lt;&gt;"",IF('Capacity summary'!$D$14="Yes",IF(COUNTBLANK('Capacity summary'!$H183:$BG183)&lt;52,IF('Capacity summary'!AH183&lt;&gt;"",IF(LOWER('Capacity summary'!AH183)="x",$BI64*AH64,VALUE('Capacity summary'!AH183)),0),AH64*$BI64),AH64*$BI64),0)</f>
        <v>0</v>
      </c>
      <c r="CL64" s="313">
        <f>IF($BI64&lt;&gt;"",IF('Capacity summary'!$D$14="Yes",IF(COUNTBLANK('Capacity summary'!$H183:$BG183)&lt;52,IF('Capacity summary'!AI183&lt;&gt;"",IF(LOWER('Capacity summary'!AI183)="x",$BI64*AI64,VALUE('Capacity summary'!AI183)),0),AI64*$BI64),AI64*$BI64),0)</f>
        <v>0</v>
      </c>
      <c r="CM64" s="313">
        <f>IF($BI64&lt;&gt;"",IF('Capacity summary'!$D$14="Yes",IF(COUNTBLANK('Capacity summary'!$H183:$BG183)&lt;52,IF('Capacity summary'!AJ183&lt;&gt;"",IF(LOWER('Capacity summary'!AJ183)="x",$BI64*AJ64,VALUE('Capacity summary'!AJ183)),0),AJ64*$BI64),AJ64*$BI64),0)</f>
        <v>0</v>
      </c>
      <c r="CN64" s="313">
        <f>IF($BI64&lt;&gt;"",IF('Capacity summary'!$D$14="Yes",IF(COUNTBLANK('Capacity summary'!$H183:$BG183)&lt;52,IF('Capacity summary'!AK183&lt;&gt;"",IF(LOWER('Capacity summary'!AK183)="x",$BI64*AK64,VALUE('Capacity summary'!AK183)),0),AK64*$BI64),AK64*$BI64),0)</f>
        <v>0</v>
      </c>
      <c r="CO64" s="313">
        <f>IF($BI64&lt;&gt;"",IF('Capacity summary'!$D$14="Yes",IF(COUNTBLANK('Capacity summary'!$H183:$BG183)&lt;52,IF('Capacity summary'!AL183&lt;&gt;"",IF(LOWER('Capacity summary'!AL183)="x",$BI64*AL64,VALUE('Capacity summary'!AL183)),0),AL64*$BI64),AL64*$BI64),0)</f>
        <v>0</v>
      </c>
      <c r="CP64" s="313">
        <f>IF($BI64&lt;&gt;"",IF('Capacity summary'!$D$14="Yes",IF(COUNTBLANK('Capacity summary'!$H183:$BG183)&lt;52,IF('Capacity summary'!AM183&lt;&gt;"",IF(LOWER('Capacity summary'!AM183)="x",$BI64*AM64,VALUE('Capacity summary'!AM183)),0),AM64*$BI64),AM64*$BI64),0)</f>
        <v>0</v>
      </c>
      <c r="CQ64" s="313">
        <f>IF($BI64&lt;&gt;"",IF('Capacity summary'!$D$14="Yes",IF(COUNTBLANK('Capacity summary'!$H183:$BG183)&lt;52,IF('Capacity summary'!AN183&lt;&gt;"",IF(LOWER('Capacity summary'!AN183)="x",$BI64*AN64,VALUE('Capacity summary'!AN183)),0),AN64*$BI64),AN64*$BI64),0)</f>
        <v>0</v>
      </c>
      <c r="CR64" s="313">
        <f>IF($BI64&lt;&gt;"",IF('Capacity summary'!$D$14="Yes",IF(COUNTBLANK('Capacity summary'!$H183:$BG183)&lt;52,IF('Capacity summary'!AO183&lt;&gt;"",IF(LOWER('Capacity summary'!AO183)="x",$BI64*AO64,VALUE('Capacity summary'!AO183)),0),AO64*$BI64),AO64*$BI64),0)</f>
        <v>0</v>
      </c>
      <c r="CS64" s="313">
        <f>IF($BI64&lt;&gt;"",IF('Capacity summary'!$D$14="Yes",IF(COUNTBLANK('Capacity summary'!$H183:$BG183)&lt;52,IF('Capacity summary'!AP183&lt;&gt;"",IF(LOWER('Capacity summary'!AP183)="x",$BI64*AP64,VALUE('Capacity summary'!AP183)),0),AP64*$BI64),AP64*$BI64),0)</f>
        <v>0</v>
      </c>
      <c r="CT64" s="313">
        <f>IF($BI64&lt;&gt;"",IF('Capacity summary'!$D$14="Yes",IF(COUNTBLANK('Capacity summary'!$H183:$BG183)&lt;52,IF('Capacity summary'!AQ183&lt;&gt;"",IF(LOWER('Capacity summary'!AQ183)="x",$BI64*AQ64,VALUE('Capacity summary'!AQ183)),0),AQ64*$BI64),AQ64*$BI64),0)</f>
        <v>0</v>
      </c>
      <c r="CU64" s="313">
        <f>IF($BI64&lt;&gt;"",IF('Capacity summary'!$D$14="Yes",IF(COUNTBLANK('Capacity summary'!$H183:$BG183)&lt;52,IF('Capacity summary'!AR183&lt;&gt;"",IF(LOWER('Capacity summary'!AR183)="x",$BI64*AR64,VALUE('Capacity summary'!AR183)),0),AR64*$BI64),AR64*$BI64),0)</f>
        <v>0</v>
      </c>
      <c r="CV64" s="313">
        <f>IF($BI64&lt;&gt;"",IF('Capacity summary'!$D$14="Yes",IF(COUNTBLANK('Capacity summary'!$H183:$BG183)&lt;52,IF('Capacity summary'!AS183&lt;&gt;"",IF(LOWER('Capacity summary'!AS183)="x",$BI64*AS64,VALUE('Capacity summary'!AS183)),0),AS64*$BI64),AS64*$BI64),0)</f>
        <v>0</v>
      </c>
      <c r="CW64" s="313">
        <f>IF($BI64&lt;&gt;"",IF('Capacity summary'!$D$14="Yes",IF(COUNTBLANK('Capacity summary'!$H183:$BG183)&lt;52,IF('Capacity summary'!AT183&lt;&gt;"",IF(LOWER('Capacity summary'!AT183)="x",$BI64*AT64,VALUE('Capacity summary'!AT183)),0),AT64*$BI64),AT64*$BI64),0)</f>
        <v>0</v>
      </c>
      <c r="CX64" s="313">
        <f>IF($BI64&lt;&gt;"",IF('Capacity summary'!$D$14="Yes",IF(COUNTBLANK('Capacity summary'!$H183:$BG183)&lt;52,IF('Capacity summary'!AU183&lt;&gt;"",IF(LOWER('Capacity summary'!AU183)="x",$BI64*AU64,VALUE('Capacity summary'!AU183)),0),AU64*$BI64),AU64*$BI64),0)</f>
        <v>0</v>
      </c>
      <c r="CY64" s="313">
        <f>IF($BI64&lt;&gt;"",IF('Capacity summary'!$D$14="Yes",IF(COUNTBLANK('Capacity summary'!$H183:$BG183)&lt;52,IF('Capacity summary'!AV183&lt;&gt;"",IF(LOWER('Capacity summary'!AV183)="x",$BI64*AV64,VALUE('Capacity summary'!AV183)),0),AV64*$BI64),AV64*$BI64),0)</f>
        <v>0</v>
      </c>
      <c r="CZ64" s="313">
        <f>IF($BI64&lt;&gt;"",IF('Capacity summary'!$D$14="Yes",IF(COUNTBLANK('Capacity summary'!$H183:$BG183)&lt;52,IF('Capacity summary'!AW183&lt;&gt;"",IF(LOWER('Capacity summary'!AW183)="x",$BI64*AW64,VALUE('Capacity summary'!AW183)),0),AW64*$BI64),AW64*$BI64),0)</f>
        <v>0</v>
      </c>
      <c r="DA64" s="313">
        <f>IF($BI64&lt;&gt;"",IF('Capacity summary'!$D$14="Yes",IF(COUNTBLANK('Capacity summary'!$H183:$BG183)&lt;52,IF('Capacity summary'!AX183&lt;&gt;"",IF(LOWER('Capacity summary'!AX183)="x",$BI64*AX64,VALUE('Capacity summary'!AX183)),0),AX64*$BI64),AX64*$BI64),0)</f>
        <v>0</v>
      </c>
      <c r="DB64" s="313">
        <f>IF($BI64&lt;&gt;"",IF('Capacity summary'!$D$14="Yes",IF(COUNTBLANK('Capacity summary'!$H183:$BG183)&lt;52,IF('Capacity summary'!AY183&lt;&gt;"",IF(LOWER('Capacity summary'!AY183)="x",$BI64*AY64,VALUE('Capacity summary'!AY183)),0),AY64*$BI64),AY64*$BI64),0)</f>
        <v>0</v>
      </c>
      <c r="DC64" s="313">
        <f>IF($BI64&lt;&gt;"",IF('Capacity summary'!$D$14="Yes",IF(COUNTBLANK('Capacity summary'!$H183:$BG183)&lt;52,IF('Capacity summary'!AZ183&lt;&gt;"",IF(LOWER('Capacity summary'!AZ183)="x",$BI64*AZ64,VALUE('Capacity summary'!AZ183)),0),AZ64*$BI64),AZ64*$BI64),0)</f>
        <v>0</v>
      </c>
      <c r="DD64" s="313">
        <f>IF($BI64&lt;&gt;"",IF('Capacity summary'!$D$14="Yes",IF(COUNTBLANK('Capacity summary'!$H183:$BG183)&lt;52,IF('Capacity summary'!BA183&lt;&gt;"",IF(LOWER('Capacity summary'!BA183)="x",$BI64*BA64,VALUE('Capacity summary'!BA183)),0),BA64*$BI64),BA64*$BI64),0)</f>
        <v>0</v>
      </c>
      <c r="DE64" s="313">
        <f>IF($BI64&lt;&gt;"",IF('Capacity summary'!$D$14="Yes",IF(COUNTBLANK('Capacity summary'!$H183:$BG183)&lt;52,IF('Capacity summary'!BB183&lt;&gt;"",IF(LOWER('Capacity summary'!BB183)="x",$BI64*BB64,VALUE('Capacity summary'!BB183)),0),BB64*$BI64),BB64*$BI64),0)</f>
        <v>0</v>
      </c>
      <c r="DF64" s="313">
        <f>IF($BI64&lt;&gt;"",IF('Capacity summary'!$D$14="Yes",IF(COUNTBLANK('Capacity summary'!$H183:$BG183)&lt;52,IF('Capacity summary'!BC183&lt;&gt;"",IF(LOWER('Capacity summary'!BC183)="x",$BI64*BC64,VALUE('Capacity summary'!BC183)),0),BC64*$BI64),BC64*$BI64),0)</f>
        <v>0</v>
      </c>
      <c r="DG64" s="313">
        <f>IF($BI64&lt;&gt;"",IF('Capacity summary'!$D$14="Yes",IF(COUNTBLANK('Capacity summary'!$H183:$BG183)&lt;52,IF('Capacity summary'!BD183&lt;&gt;"",IF(LOWER('Capacity summary'!BD183)="x",$BI64*BD64,VALUE('Capacity summary'!BD183)),0),BD64*$BI64),BD64*$BI64),0)</f>
        <v>0</v>
      </c>
      <c r="DH64" s="313">
        <f>IF($BI64&lt;&gt;"",IF('Capacity summary'!$D$14="Yes",IF(COUNTBLANK('Capacity summary'!$H183:$BG183)&lt;52,IF('Capacity summary'!BE183&lt;&gt;"",IF(LOWER('Capacity summary'!BE183)="x",$BI64*BE64,VALUE('Capacity summary'!BE183)),0),BE64*$BI64),BE64*$BI64),0)</f>
        <v>0</v>
      </c>
      <c r="DI64" s="313">
        <f>IF($BI64&lt;&gt;"",IF('Capacity summary'!$D$14="Yes",IF(COUNTBLANK('Capacity summary'!$H183:$BG183)&lt;52,IF('Capacity summary'!BF183&lt;&gt;"",IF(LOWER('Capacity summary'!BF183)="x",$BI64*BF64,VALUE('Capacity summary'!BF183)),0),BF64*$BI64),BF64*$BI64),0)</f>
        <v>0</v>
      </c>
      <c r="DJ64" s="313">
        <f>IF($BI64&lt;&gt;"",IF('Capacity summary'!$D$14="Yes",IF(COUNTBLANK('Capacity summary'!$H183:$BG183)&lt;52,IF('Capacity summary'!BG183&lt;&gt;"",IF(LOWER('Capacity summary'!BG183)="x",$BI64*BG64,VALUE('Capacity summary'!BG183)),0),BG64*$BI64),BG64*$BI64),0)</f>
        <v>0</v>
      </c>
      <c r="DK64" s="137">
        <f t="shared" si="2"/>
        <v>0</v>
      </c>
      <c r="DL64" s="313" t="str">
        <f>Capacity!H76</f>
        <v/>
      </c>
    </row>
    <row r="65" spans="2:116" x14ac:dyDescent="0.25">
      <c r="B65" s="67"/>
      <c r="C65" s="67" t="str">
        <f>ROW(A61)&amp;". "&amp;Capacity!B77</f>
        <v xml:space="preserve">61. </v>
      </c>
      <c r="D65" s="67">
        <f>'Capacity setup'!C72</f>
        <v>0</v>
      </c>
      <c r="E65" s="67">
        <f>'Capacity setup'!D72</f>
        <v>0</v>
      </c>
      <c r="F65" s="67">
        <f>'Capacity setup'!E72</f>
        <v>0</v>
      </c>
      <c r="H65" s="67">
        <f ca="1">IF(AND(SUMIF(Capacity_Resource,$D65,'Critical resources (hide)'!U$6:U$105)+SUMIF(Capacity_Resource,$E65,'Critical resources (hide)'!U$6:U$105)+SUMIF(Capacity_Resource,$F65,'Critical resources (hide)'!U$6:U$105)&gt;0,$E$1=2),0,1)</f>
        <v>1</v>
      </c>
      <c r="I65" s="67">
        <f ca="1">IF(AND(SUMIF(Capacity_Resource,$D65,'Critical resources (hide)'!V$6:V$105)+SUMIF(Capacity_Resource,$E65,'Critical resources (hide)'!V$6:V$105)+SUMIF(Capacity_Resource,$F65,'Critical resources (hide)'!V$6:V$105)&gt;0,$E$1=2),0,1)</f>
        <v>1</v>
      </c>
      <c r="J65" s="67">
        <f ca="1">IF(AND(SUMIF(Capacity_Resource,$D65,'Critical resources (hide)'!W$6:W$105)+SUMIF(Capacity_Resource,$E65,'Critical resources (hide)'!W$6:W$105)+SUMIF(Capacity_Resource,$F65,'Critical resources (hide)'!W$6:W$105)&gt;0,$E$1=2),0,1)</f>
        <v>1</v>
      </c>
      <c r="K65" s="67">
        <f ca="1">IF(AND(SUMIF(Capacity_Resource,$D65,'Critical resources (hide)'!X$6:X$105)+SUMIF(Capacity_Resource,$E65,'Critical resources (hide)'!X$6:X$105)+SUMIF(Capacity_Resource,$F65,'Critical resources (hide)'!X$6:X$105)&gt;0,$E$1=2),0,1)</f>
        <v>1</v>
      </c>
      <c r="L65" s="67">
        <f ca="1">IF(AND(SUMIF(Capacity_Resource,$D65,'Critical resources (hide)'!Y$6:Y$105)+SUMIF(Capacity_Resource,$E65,'Critical resources (hide)'!Y$6:Y$105)+SUMIF(Capacity_Resource,$F65,'Critical resources (hide)'!Y$6:Y$105)&gt;0,$E$1=2),0,1)</f>
        <v>1</v>
      </c>
      <c r="M65" s="67">
        <f ca="1">IF(AND(SUMIF(Capacity_Resource,$D65,'Critical resources (hide)'!Z$6:Z$105)+SUMIF(Capacity_Resource,$E65,'Critical resources (hide)'!Z$6:Z$105)+SUMIF(Capacity_Resource,$F65,'Critical resources (hide)'!Z$6:Z$105)&gt;0,$E$1=2),0,1)</f>
        <v>1</v>
      </c>
      <c r="N65" s="67">
        <f ca="1">IF(AND(SUMIF(Capacity_Resource,$D65,'Critical resources (hide)'!AA$6:AA$105)+SUMIF(Capacity_Resource,$E65,'Critical resources (hide)'!AA$6:AA$105)+SUMIF(Capacity_Resource,$F65,'Critical resources (hide)'!AA$6:AA$105)&gt;0,$E$1=2),0,1)</f>
        <v>1</v>
      </c>
      <c r="O65" s="67">
        <f ca="1">IF(AND(SUMIF(Capacity_Resource,$D65,'Critical resources (hide)'!AB$6:AB$105)+SUMIF(Capacity_Resource,$E65,'Critical resources (hide)'!AB$6:AB$105)+SUMIF(Capacity_Resource,$F65,'Critical resources (hide)'!AB$6:AB$105)&gt;0,$E$1=2),0,1)</f>
        <v>1</v>
      </c>
      <c r="P65" s="67">
        <f ca="1">IF(AND(SUMIF(Capacity_Resource,$D65,'Critical resources (hide)'!AC$6:AC$105)+SUMIF(Capacity_Resource,$E65,'Critical resources (hide)'!AC$6:AC$105)+SUMIF(Capacity_Resource,$F65,'Critical resources (hide)'!AC$6:AC$105)&gt;0,$E$1=2),0,1)</f>
        <v>1</v>
      </c>
      <c r="Q65" s="67">
        <f ca="1">IF(AND(SUMIF(Capacity_Resource,$D65,'Critical resources (hide)'!AD$6:AD$105)+SUMIF(Capacity_Resource,$E65,'Critical resources (hide)'!AD$6:AD$105)+SUMIF(Capacity_Resource,$F65,'Critical resources (hide)'!AD$6:AD$105)&gt;0,$E$1=2),0,1)</f>
        <v>1</v>
      </c>
      <c r="R65" s="67">
        <f ca="1">IF(AND(SUMIF(Capacity_Resource,$D65,'Critical resources (hide)'!AE$6:AE$105)+SUMIF(Capacity_Resource,$E65,'Critical resources (hide)'!AE$6:AE$105)+SUMIF(Capacity_Resource,$F65,'Critical resources (hide)'!AE$6:AE$105)&gt;0,$E$1=2),0,1)</f>
        <v>1</v>
      </c>
      <c r="S65" s="67">
        <f ca="1">IF(AND(SUMIF(Capacity_Resource,$D65,'Critical resources (hide)'!AF$6:AF$105)+SUMIF(Capacity_Resource,$E65,'Critical resources (hide)'!AF$6:AF$105)+SUMIF(Capacity_Resource,$F65,'Critical resources (hide)'!AF$6:AF$105)&gt;0,$E$1=2),0,1)</f>
        <v>1</v>
      </c>
      <c r="T65" s="67">
        <f ca="1">IF(AND(SUMIF(Capacity_Resource,$D65,'Critical resources (hide)'!AG$6:AG$105)+SUMIF(Capacity_Resource,$E65,'Critical resources (hide)'!AG$6:AG$105)+SUMIF(Capacity_Resource,$F65,'Critical resources (hide)'!AG$6:AG$105)&gt;0,$E$1=2),0,1)</f>
        <v>1</v>
      </c>
      <c r="U65" s="67">
        <f ca="1">IF(AND(SUMIF(Capacity_Resource,$D65,'Critical resources (hide)'!AH$6:AH$105)+SUMIF(Capacity_Resource,$E65,'Critical resources (hide)'!AH$6:AH$105)+SUMIF(Capacity_Resource,$F65,'Critical resources (hide)'!AH$6:AH$105)&gt;0,$E$1=2),0,1)</f>
        <v>1</v>
      </c>
      <c r="V65" s="67">
        <f ca="1">IF(AND(SUMIF(Capacity_Resource,$D65,'Critical resources (hide)'!AI$6:AI$105)+SUMIF(Capacity_Resource,$E65,'Critical resources (hide)'!AI$6:AI$105)+SUMIF(Capacity_Resource,$F65,'Critical resources (hide)'!AI$6:AI$105)&gt;0,$E$1=2),0,1)</f>
        <v>1</v>
      </c>
      <c r="W65" s="67">
        <f ca="1">IF(AND(SUMIF(Capacity_Resource,$D65,'Critical resources (hide)'!AJ$6:AJ$105)+SUMIF(Capacity_Resource,$E65,'Critical resources (hide)'!AJ$6:AJ$105)+SUMIF(Capacity_Resource,$F65,'Critical resources (hide)'!AJ$6:AJ$105)&gt;0,$E$1=2),0,1)</f>
        <v>1</v>
      </c>
      <c r="X65" s="67">
        <f ca="1">IF(AND(SUMIF(Capacity_Resource,$D65,'Critical resources (hide)'!AK$6:AK$105)+SUMIF(Capacity_Resource,$E65,'Critical resources (hide)'!AK$6:AK$105)+SUMIF(Capacity_Resource,$F65,'Critical resources (hide)'!AK$6:AK$105)&gt;0,$E$1=2),0,1)</f>
        <v>1</v>
      </c>
      <c r="Y65" s="67">
        <f ca="1">IF(AND(SUMIF(Capacity_Resource,$D65,'Critical resources (hide)'!AL$6:AL$105)+SUMIF(Capacity_Resource,$E65,'Critical resources (hide)'!AL$6:AL$105)+SUMIF(Capacity_Resource,$F65,'Critical resources (hide)'!AL$6:AL$105)&gt;0,$E$1=2),0,1)</f>
        <v>1</v>
      </c>
      <c r="Z65" s="67">
        <f ca="1">IF(AND(SUMIF(Capacity_Resource,$D65,'Critical resources (hide)'!AM$6:AM$105)+SUMIF(Capacity_Resource,$E65,'Critical resources (hide)'!AM$6:AM$105)+SUMIF(Capacity_Resource,$F65,'Critical resources (hide)'!AM$6:AM$105)&gt;0,$E$1=2),0,1)</f>
        <v>1</v>
      </c>
      <c r="AA65" s="67">
        <f ca="1">IF(AND(SUMIF(Capacity_Resource,$D65,'Critical resources (hide)'!AN$6:AN$105)+SUMIF(Capacity_Resource,$E65,'Critical resources (hide)'!AN$6:AN$105)+SUMIF(Capacity_Resource,$F65,'Critical resources (hide)'!AN$6:AN$105)&gt;0,$E$1=2),0,1)</f>
        <v>1</v>
      </c>
      <c r="AB65" s="67">
        <f ca="1">IF(AND(SUMIF(Capacity_Resource,$D65,'Critical resources (hide)'!AO$6:AO$105)+SUMIF(Capacity_Resource,$E65,'Critical resources (hide)'!AO$6:AO$105)+SUMIF(Capacity_Resource,$F65,'Critical resources (hide)'!AO$6:AO$105)&gt;0,$E$1=2),0,1)</f>
        <v>1</v>
      </c>
      <c r="AC65" s="67">
        <f ca="1">IF(AND(SUMIF(Capacity_Resource,$D65,'Critical resources (hide)'!AP$6:AP$105)+SUMIF(Capacity_Resource,$E65,'Critical resources (hide)'!AP$6:AP$105)+SUMIF(Capacity_Resource,$F65,'Critical resources (hide)'!AP$6:AP$105)&gt;0,$E$1=2),0,1)</f>
        <v>1</v>
      </c>
      <c r="AD65" s="67">
        <f ca="1">IF(AND(SUMIF(Capacity_Resource,$D65,'Critical resources (hide)'!AQ$6:AQ$105)+SUMIF(Capacity_Resource,$E65,'Critical resources (hide)'!AQ$6:AQ$105)+SUMIF(Capacity_Resource,$F65,'Critical resources (hide)'!AQ$6:AQ$105)&gt;0,$E$1=2),0,1)</f>
        <v>1</v>
      </c>
      <c r="AE65" s="67">
        <f ca="1">IF(AND(SUMIF(Capacity_Resource,$D65,'Critical resources (hide)'!AR$6:AR$105)+SUMIF(Capacity_Resource,$E65,'Critical resources (hide)'!AR$6:AR$105)+SUMIF(Capacity_Resource,$F65,'Critical resources (hide)'!AR$6:AR$105)&gt;0,$E$1=2),0,1)</f>
        <v>1</v>
      </c>
      <c r="AF65" s="67">
        <f ca="1">IF(AND(SUMIF(Capacity_Resource,$D65,'Critical resources (hide)'!AS$6:AS$105)+SUMIF(Capacity_Resource,$E65,'Critical resources (hide)'!AS$6:AS$105)+SUMIF(Capacity_Resource,$F65,'Critical resources (hide)'!AS$6:AS$105)&gt;0,$E$1=2),0,1)</f>
        <v>1</v>
      </c>
      <c r="AG65" s="67">
        <f ca="1">IF(AND(SUMIF(Capacity_Resource,$D65,'Critical resources (hide)'!AT$6:AT$105)+SUMIF(Capacity_Resource,$E65,'Critical resources (hide)'!AT$6:AT$105)+SUMIF(Capacity_Resource,$F65,'Critical resources (hide)'!AT$6:AT$105)&gt;0,$E$1=2),0,1)</f>
        <v>1</v>
      </c>
      <c r="AH65" s="67">
        <f ca="1">IF(AND(SUMIF(Capacity_Resource,$D65,'Critical resources (hide)'!AU$6:AU$105)+SUMIF(Capacity_Resource,$E65,'Critical resources (hide)'!AU$6:AU$105)+SUMIF(Capacity_Resource,$F65,'Critical resources (hide)'!AU$6:AU$105)&gt;0,$E$1=2),0,1)</f>
        <v>1</v>
      </c>
      <c r="AI65" s="67">
        <f ca="1">IF(AND(SUMIF(Capacity_Resource,$D65,'Critical resources (hide)'!AV$6:AV$105)+SUMIF(Capacity_Resource,$E65,'Critical resources (hide)'!AV$6:AV$105)+SUMIF(Capacity_Resource,$F65,'Critical resources (hide)'!AV$6:AV$105)&gt;0,$E$1=2),0,1)</f>
        <v>1</v>
      </c>
      <c r="AJ65" s="67">
        <f ca="1">IF(AND(SUMIF(Capacity_Resource,$D65,'Critical resources (hide)'!AW$6:AW$105)+SUMIF(Capacity_Resource,$E65,'Critical resources (hide)'!AW$6:AW$105)+SUMIF(Capacity_Resource,$F65,'Critical resources (hide)'!AW$6:AW$105)&gt;0,$E$1=2),0,1)</f>
        <v>1</v>
      </c>
      <c r="AK65" s="67">
        <f ca="1">IF(AND(SUMIF(Capacity_Resource,$D65,'Critical resources (hide)'!AX$6:AX$105)+SUMIF(Capacity_Resource,$E65,'Critical resources (hide)'!AX$6:AX$105)+SUMIF(Capacity_Resource,$F65,'Critical resources (hide)'!AX$6:AX$105)&gt;0,$E$1=2),0,1)</f>
        <v>1</v>
      </c>
      <c r="AL65" s="67">
        <f ca="1">IF(AND(SUMIF(Capacity_Resource,$D65,'Critical resources (hide)'!AY$6:AY$105)+SUMIF(Capacity_Resource,$E65,'Critical resources (hide)'!AY$6:AY$105)+SUMIF(Capacity_Resource,$F65,'Critical resources (hide)'!AY$6:AY$105)&gt;0,$E$1=2),0,1)</f>
        <v>1</v>
      </c>
      <c r="AM65" s="67">
        <f ca="1">IF(AND(SUMIF(Capacity_Resource,$D65,'Critical resources (hide)'!AZ$6:AZ$105)+SUMIF(Capacity_Resource,$E65,'Critical resources (hide)'!AZ$6:AZ$105)+SUMIF(Capacity_Resource,$F65,'Critical resources (hide)'!AZ$6:AZ$105)&gt;0,$E$1=2),0,1)</f>
        <v>1</v>
      </c>
      <c r="AN65" s="67">
        <f ca="1">IF(AND(SUMIF(Capacity_Resource,$D65,'Critical resources (hide)'!BA$6:BA$105)+SUMIF(Capacity_Resource,$E65,'Critical resources (hide)'!BA$6:BA$105)+SUMIF(Capacity_Resource,$F65,'Critical resources (hide)'!BA$6:BA$105)&gt;0,$E$1=2),0,1)</f>
        <v>1</v>
      </c>
      <c r="AO65" s="67">
        <f ca="1">IF(AND(SUMIF(Capacity_Resource,$D65,'Critical resources (hide)'!BB$6:BB$105)+SUMIF(Capacity_Resource,$E65,'Critical resources (hide)'!BB$6:BB$105)+SUMIF(Capacity_Resource,$F65,'Critical resources (hide)'!BB$6:BB$105)&gt;0,$E$1=2),0,1)</f>
        <v>1</v>
      </c>
      <c r="AP65" s="67">
        <f ca="1">IF(AND(SUMIF(Capacity_Resource,$D65,'Critical resources (hide)'!BC$6:BC$105)+SUMIF(Capacity_Resource,$E65,'Critical resources (hide)'!BC$6:BC$105)+SUMIF(Capacity_Resource,$F65,'Critical resources (hide)'!BC$6:BC$105)&gt;0,$E$1=2),0,1)</f>
        <v>1</v>
      </c>
      <c r="AQ65" s="67">
        <f ca="1">IF(AND(SUMIF(Capacity_Resource,$D65,'Critical resources (hide)'!BD$6:BD$105)+SUMIF(Capacity_Resource,$E65,'Critical resources (hide)'!BD$6:BD$105)+SUMIF(Capacity_Resource,$F65,'Critical resources (hide)'!BD$6:BD$105)&gt;0,$E$1=2),0,1)</f>
        <v>1</v>
      </c>
      <c r="AR65" s="67">
        <f ca="1">IF(AND(SUMIF(Capacity_Resource,$D65,'Critical resources (hide)'!BE$6:BE$105)+SUMIF(Capacity_Resource,$E65,'Critical resources (hide)'!BE$6:BE$105)+SUMIF(Capacity_Resource,$F65,'Critical resources (hide)'!BE$6:BE$105)&gt;0,$E$1=2),0,1)</f>
        <v>1</v>
      </c>
      <c r="AS65" s="67">
        <f ca="1">IF(AND(SUMIF(Capacity_Resource,$D65,'Critical resources (hide)'!BF$6:BF$105)+SUMIF(Capacity_Resource,$E65,'Critical resources (hide)'!BF$6:BF$105)+SUMIF(Capacity_Resource,$F65,'Critical resources (hide)'!BF$6:BF$105)&gt;0,$E$1=2),0,1)</f>
        <v>1</v>
      </c>
      <c r="AT65" s="67">
        <f ca="1">IF(AND(SUMIF(Capacity_Resource,$D65,'Critical resources (hide)'!BG$6:BG$105)+SUMIF(Capacity_Resource,$E65,'Critical resources (hide)'!BG$6:BG$105)+SUMIF(Capacity_Resource,$F65,'Critical resources (hide)'!BG$6:BG$105)&gt;0,$E$1=2),0,1)</f>
        <v>1</v>
      </c>
      <c r="AU65" s="67">
        <f ca="1">IF(AND(SUMIF(Capacity_Resource,$D65,'Critical resources (hide)'!BH$6:BH$105)+SUMIF(Capacity_Resource,$E65,'Critical resources (hide)'!BH$6:BH$105)+SUMIF(Capacity_Resource,$F65,'Critical resources (hide)'!BH$6:BH$105)&gt;0,$E$1=2),0,1)</f>
        <v>1</v>
      </c>
      <c r="AV65" s="67">
        <f ca="1">IF(AND(SUMIF(Capacity_Resource,$D65,'Critical resources (hide)'!BI$6:BI$105)+SUMIF(Capacity_Resource,$E65,'Critical resources (hide)'!BI$6:BI$105)+SUMIF(Capacity_Resource,$F65,'Critical resources (hide)'!BI$6:BI$105)&gt;0,$E$1=2),0,1)</f>
        <v>1</v>
      </c>
      <c r="AW65" s="67">
        <f ca="1">IF(AND(SUMIF(Capacity_Resource,$D65,'Critical resources (hide)'!BJ$6:BJ$105)+SUMIF(Capacity_Resource,$E65,'Critical resources (hide)'!BJ$6:BJ$105)+SUMIF(Capacity_Resource,$F65,'Critical resources (hide)'!BJ$6:BJ$105)&gt;0,$E$1=2),0,1)</f>
        <v>1</v>
      </c>
      <c r="AX65" s="67">
        <f ca="1">IF(AND(SUMIF(Capacity_Resource,$D65,'Critical resources (hide)'!BK$6:BK$105)+SUMIF(Capacity_Resource,$E65,'Critical resources (hide)'!BK$6:BK$105)+SUMIF(Capacity_Resource,$F65,'Critical resources (hide)'!BK$6:BK$105)&gt;0,$E$1=2),0,1)</f>
        <v>1</v>
      </c>
      <c r="AY65" s="67">
        <f ca="1">IF(AND(SUMIF(Capacity_Resource,$D65,'Critical resources (hide)'!BL$6:BL$105)+SUMIF(Capacity_Resource,$E65,'Critical resources (hide)'!BL$6:BL$105)+SUMIF(Capacity_Resource,$F65,'Critical resources (hide)'!BL$6:BL$105)&gt;0,$E$1=2),0,1)</f>
        <v>1</v>
      </c>
      <c r="AZ65" s="67">
        <f ca="1">IF(AND(SUMIF(Capacity_Resource,$D65,'Critical resources (hide)'!BM$6:BM$105)+SUMIF(Capacity_Resource,$E65,'Critical resources (hide)'!BM$6:BM$105)+SUMIF(Capacity_Resource,$F65,'Critical resources (hide)'!BM$6:BM$105)&gt;0,$E$1=2),0,1)</f>
        <v>1</v>
      </c>
      <c r="BA65" s="67">
        <f ca="1">IF(AND(SUMIF(Capacity_Resource,$D65,'Critical resources (hide)'!BN$6:BN$105)+SUMIF(Capacity_Resource,$E65,'Critical resources (hide)'!BN$6:BN$105)+SUMIF(Capacity_Resource,$F65,'Critical resources (hide)'!BN$6:BN$105)&gt;0,$E$1=2),0,1)</f>
        <v>1</v>
      </c>
      <c r="BB65" s="67">
        <f ca="1">IF(AND(SUMIF(Capacity_Resource,$D65,'Critical resources (hide)'!BO$6:BO$105)+SUMIF(Capacity_Resource,$E65,'Critical resources (hide)'!BO$6:BO$105)+SUMIF(Capacity_Resource,$F65,'Critical resources (hide)'!BO$6:BO$105)&gt;0,$E$1=2),0,1)</f>
        <v>1</v>
      </c>
      <c r="BC65" s="67">
        <f ca="1">IF(AND(SUMIF(Capacity_Resource,$D65,'Critical resources (hide)'!BP$6:BP$105)+SUMIF(Capacity_Resource,$E65,'Critical resources (hide)'!BP$6:BP$105)+SUMIF(Capacity_Resource,$F65,'Critical resources (hide)'!BP$6:BP$105)&gt;0,$E$1=2),0,1)</f>
        <v>1</v>
      </c>
      <c r="BD65" s="67">
        <f ca="1">IF(AND(SUMIF(Capacity_Resource,$D65,'Critical resources (hide)'!BQ$6:BQ$105)+SUMIF(Capacity_Resource,$E65,'Critical resources (hide)'!BQ$6:BQ$105)+SUMIF(Capacity_Resource,$F65,'Critical resources (hide)'!BQ$6:BQ$105)&gt;0,$E$1=2),0,1)</f>
        <v>1</v>
      </c>
      <c r="BE65" s="67">
        <f ca="1">IF(AND(SUMIF(Capacity_Resource,$D65,'Critical resources (hide)'!BR$6:BR$105)+SUMIF(Capacity_Resource,$E65,'Critical resources (hide)'!BR$6:BR$105)+SUMIF(Capacity_Resource,$F65,'Critical resources (hide)'!BR$6:BR$105)&gt;0,$E$1=2),0,1)</f>
        <v>1</v>
      </c>
      <c r="BF65" s="67">
        <f ca="1">IF(AND(SUMIF(Capacity_Resource,$D65,'Critical resources (hide)'!BS$6:BS$105)+SUMIF(Capacity_Resource,$E65,'Critical resources (hide)'!BS$6:BS$105)+SUMIF(Capacity_Resource,$F65,'Critical resources (hide)'!BS$6:BS$105)&gt;0,$E$1=2),0,1)</f>
        <v>1</v>
      </c>
      <c r="BG65" s="67">
        <f ca="1">IF(AND(SUMIF(Capacity_Resource,$D65,'Critical resources (hide)'!BT$6:BT$105)+SUMIF(Capacity_Resource,$E65,'Critical resources (hide)'!BT$6:BT$105)+SUMIF(Capacity_Resource,$F65,'Critical resources (hide)'!BT$6:BT$105)&gt;0,$E$1=2),0,1)</f>
        <v>1</v>
      </c>
      <c r="BH65" s="67">
        <f>IF(ROW(C61)&lt;=Capacity!$A$16,IF('Capacity summary'!$D$14="No",SUM(H65:BG65),'Capacity summary'!$E184),0)</f>
        <v>0</v>
      </c>
      <c r="BI65" s="5" t="str">
        <f>IF(BH65&gt;0,IF(BH65&lt;Capacity!E77,Capacity!F77,Capacity!H77/'Capacity calculation (hide)'!BH65),"")</f>
        <v/>
      </c>
      <c r="BK65" s="313">
        <f>IF($BI65&lt;&gt;"",IF('Capacity summary'!$D$14="Yes",IF(COUNTBLANK('Capacity summary'!$H184:$BG184)&lt;52,IF('Capacity summary'!H184&lt;&gt;"",IF(LOWER('Capacity summary'!H184)="x",$BI65*H65,VALUE('Capacity summary'!H184)),0),H65*$BI65),H65*$BI65),0)</f>
        <v>0</v>
      </c>
      <c r="BL65" s="313">
        <f>IF($BI65&lt;&gt;"",IF('Capacity summary'!$D$14="Yes",IF(COUNTBLANK('Capacity summary'!$H184:$BG184)&lt;52,IF('Capacity summary'!I184&lt;&gt;"",IF(LOWER('Capacity summary'!I184)="x",$BI65*I65,VALUE('Capacity summary'!I184)),0),I65*$BI65),I65*$BI65),0)</f>
        <v>0</v>
      </c>
      <c r="BM65" s="313">
        <f>IF($BI65&lt;&gt;"",IF('Capacity summary'!$D$14="Yes",IF(COUNTBLANK('Capacity summary'!$H184:$BG184)&lt;52,IF('Capacity summary'!J184&lt;&gt;"",IF(LOWER('Capacity summary'!J184)="x",$BI65*J65,VALUE('Capacity summary'!J184)),0),J65*$BI65),J65*$BI65),0)</f>
        <v>0</v>
      </c>
      <c r="BN65" s="313">
        <f>IF($BI65&lt;&gt;"",IF('Capacity summary'!$D$14="Yes",IF(COUNTBLANK('Capacity summary'!$H184:$BG184)&lt;52,IF('Capacity summary'!K184&lt;&gt;"",IF(LOWER('Capacity summary'!K184)="x",$BI65*K65,VALUE('Capacity summary'!K184)),0),K65*$BI65),K65*$BI65),0)</f>
        <v>0</v>
      </c>
      <c r="BO65" s="313">
        <f>IF($BI65&lt;&gt;"",IF('Capacity summary'!$D$14="Yes",IF(COUNTBLANK('Capacity summary'!$H184:$BG184)&lt;52,IF('Capacity summary'!L184&lt;&gt;"",IF(LOWER('Capacity summary'!L184)="x",$BI65*L65,VALUE('Capacity summary'!L184)),0),L65*$BI65),L65*$BI65),0)</f>
        <v>0</v>
      </c>
      <c r="BP65" s="313">
        <f>IF($BI65&lt;&gt;"",IF('Capacity summary'!$D$14="Yes",IF(COUNTBLANK('Capacity summary'!$H184:$BG184)&lt;52,IF('Capacity summary'!M184&lt;&gt;"",IF(LOWER('Capacity summary'!M184)="x",$BI65*M65,VALUE('Capacity summary'!M184)),0),M65*$BI65),M65*$BI65),0)</f>
        <v>0</v>
      </c>
      <c r="BQ65" s="313">
        <f>IF($BI65&lt;&gt;"",IF('Capacity summary'!$D$14="Yes",IF(COUNTBLANK('Capacity summary'!$H184:$BG184)&lt;52,IF('Capacity summary'!N184&lt;&gt;"",IF(LOWER('Capacity summary'!N184)="x",$BI65*N65,VALUE('Capacity summary'!N184)),0),N65*$BI65),N65*$BI65),0)</f>
        <v>0</v>
      </c>
      <c r="BR65" s="313">
        <f>IF($BI65&lt;&gt;"",IF('Capacity summary'!$D$14="Yes",IF(COUNTBLANK('Capacity summary'!$H184:$BG184)&lt;52,IF('Capacity summary'!O184&lt;&gt;"",IF(LOWER('Capacity summary'!O184)="x",$BI65*O65,VALUE('Capacity summary'!O184)),0),O65*$BI65),O65*$BI65),0)</f>
        <v>0</v>
      </c>
      <c r="BS65" s="313">
        <f>IF($BI65&lt;&gt;"",IF('Capacity summary'!$D$14="Yes",IF(COUNTBLANK('Capacity summary'!$H184:$BG184)&lt;52,IF('Capacity summary'!P184&lt;&gt;"",IF(LOWER('Capacity summary'!P184)="x",$BI65*P65,VALUE('Capacity summary'!P184)),0),P65*$BI65),P65*$BI65),0)</f>
        <v>0</v>
      </c>
      <c r="BT65" s="313">
        <f>IF($BI65&lt;&gt;"",IF('Capacity summary'!$D$14="Yes",IF(COUNTBLANK('Capacity summary'!$H184:$BG184)&lt;52,IF('Capacity summary'!Q184&lt;&gt;"",IF(LOWER('Capacity summary'!Q184)="x",$BI65*Q65,VALUE('Capacity summary'!Q184)),0),Q65*$BI65),Q65*$BI65),0)</f>
        <v>0</v>
      </c>
      <c r="BU65" s="313">
        <f>IF($BI65&lt;&gt;"",IF('Capacity summary'!$D$14="Yes",IF(COUNTBLANK('Capacity summary'!$H184:$BG184)&lt;52,IF('Capacity summary'!R184&lt;&gt;"",IF(LOWER('Capacity summary'!R184)="x",$BI65*R65,VALUE('Capacity summary'!R184)),0),R65*$BI65),R65*$BI65),0)</f>
        <v>0</v>
      </c>
      <c r="BV65" s="313">
        <f>IF($BI65&lt;&gt;"",IF('Capacity summary'!$D$14="Yes",IF(COUNTBLANK('Capacity summary'!$H184:$BG184)&lt;52,IF('Capacity summary'!S184&lt;&gt;"",IF(LOWER('Capacity summary'!S184)="x",$BI65*S65,VALUE('Capacity summary'!S184)),0),S65*$BI65),S65*$BI65),0)</f>
        <v>0</v>
      </c>
      <c r="BW65" s="313">
        <f>IF($BI65&lt;&gt;"",IF('Capacity summary'!$D$14="Yes",IF(COUNTBLANK('Capacity summary'!$H184:$BG184)&lt;52,IF('Capacity summary'!T184&lt;&gt;"",IF(LOWER('Capacity summary'!T184)="x",$BI65*T65,VALUE('Capacity summary'!T184)),0),T65*$BI65),T65*$BI65),0)</f>
        <v>0</v>
      </c>
      <c r="BX65" s="313">
        <f>IF($BI65&lt;&gt;"",IF('Capacity summary'!$D$14="Yes",IF(COUNTBLANK('Capacity summary'!$H184:$BG184)&lt;52,IF('Capacity summary'!U184&lt;&gt;"",IF(LOWER('Capacity summary'!U184)="x",$BI65*U65,VALUE('Capacity summary'!U184)),0),U65*$BI65),U65*$BI65),0)</f>
        <v>0</v>
      </c>
      <c r="BY65" s="313">
        <f>IF($BI65&lt;&gt;"",IF('Capacity summary'!$D$14="Yes",IF(COUNTBLANK('Capacity summary'!$H184:$BG184)&lt;52,IF('Capacity summary'!V184&lt;&gt;"",IF(LOWER('Capacity summary'!V184)="x",$BI65*V65,VALUE('Capacity summary'!V184)),0),V65*$BI65),V65*$BI65),0)</f>
        <v>0</v>
      </c>
      <c r="BZ65" s="313">
        <f>IF($BI65&lt;&gt;"",IF('Capacity summary'!$D$14="Yes",IF(COUNTBLANK('Capacity summary'!$H184:$BG184)&lt;52,IF('Capacity summary'!W184&lt;&gt;"",IF(LOWER('Capacity summary'!W184)="x",$BI65*W65,VALUE('Capacity summary'!W184)),0),W65*$BI65),W65*$BI65),0)</f>
        <v>0</v>
      </c>
      <c r="CA65" s="313">
        <f>IF($BI65&lt;&gt;"",IF('Capacity summary'!$D$14="Yes",IF(COUNTBLANK('Capacity summary'!$H184:$BG184)&lt;52,IF('Capacity summary'!X184&lt;&gt;"",IF(LOWER('Capacity summary'!X184)="x",$BI65*X65,VALUE('Capacity summary'!X184)),0),X65*$BI65),X65*$BI65),0)</f>
        <v>0</v>
      </c>
      <c r="CB65" s="313">
        <f>IF($BI65&lt;&gt;"",IF('Capacity summary'!$D$14="Yes",IF(COUNTBLANK('Capacity summary'!$H184:$BG184)&lt;52,IF('Capacity summary'!Y184&lt;&gt;"",IF(LOWER('Capacity summary'!Y184)="x",$BI65*Y65,VALUE('Capacity summary'!Y184)),0),Y65*$BI65),Y65*$BI65),0)</f>
        <v>0</v>
      </c>
      <c r="CC65" s="313">
        <f>IF($BI65&lt;&gt;"",IF('Capacity summary'!$D$14="Yes",IF(COUNTBLANK('Capacity summary'!$H184:$BG184)&lt;52,IF('Capacity summary'!Z184&lt;&gt;"",IF(LOWER('Capacity summary'!Z184)="x",$BI65*Z65,VALUE('Capacity summary'!Z184)),0),Z65*$BI65),Z65*$BI65),0)</f>
        <v>0</v>
      </c>
      <c r="CD65" s="313">
        <f>IF($BI65&lt;&gt;"",IF('Capacity summary'!$D$14="Yes",IF(COUNTBLANK('Capacity summary'!$H184:$BG184)&lt;52,IF('Capacity summary'!AA184&lt;&gt;"",IF(LOWER('Capacity summary'!AA184)="x",$BI65*AA65,VALUE('Capacity summary'!AA184)),0),AA65*$BI65),AA65*$BI65),0)</f>
        <v>0</v>
      </c>
      <c r="CE65" s="313">
        <f>IF($BI65&lt;&gt;"",IF('Capacity summary'!$D$14="Yes",IF(COUNTBLANK('Capacity summary'!$H184:$BG184)&lt;52,IF('Capacity summary'!AB184&lt;&gt;"",IF(LOWER('Capacity summary'!AB184)="x",$BI65*AB65,VALUE('Capacity summary'!AB184)),0),AB65*$BI65),AB65*$BI65),0)</f>
        <v>0</v>
      </c>
      <c r="CF65" s="313">
        <f>IF($BI65&lt;&gt;"",IF('Capacity summary'!$D$14="Yes",IF(COUNTBLANK('Capacity summary'!$H184:$BG184)&lt;52,IF('Capacity summary'!AC184&lt;&gt;"",IF(LOWER('Capacity summary'!AC184)="x",$BI65*AC65,VALUE('Capacity summary'!AC184)),0),AC65*$BI65),AC65*$BI65),0)</f>
        <v>0</v>
      </c>
      <c r="CG65" s="313">
        <f>IF($BI65&lt;&gt;"",IF('Capacity summary'!$D$14="Yes",IF(COUNTBLANK('Capacity summary'!$H184:$BG184)&lt;52,IF('Capacity summary'!AD184&lt;&gt;"",IF(LOWER('Capacity summary'!AD184)="x",$BI65*AD65,VALUE('Capacity summary'!AD184)),0),AD65*$BI65),AD65*$BI65),0)</f>
        <v>0</v>
      </c>
      <c r="CH65" s="313">
        <f>IF($BI65&lt;&gt;"",IF('Capacity summary'!$D$14="Yes",IF(COUNTBLANK('Capacity summary'!$H184:$BG184)&lt;52,IF('Capacity summary'!AE184&lt;&gt;"",IF(LOWER('Capacity summary'!AE184)="x",$BI65*AE65,VALUE('Capacity summary'!AE184)),0),AE65*$BI65),AE65*$BI65),0)</f>
        <v>0</v>
      </c>
      <c r="CI65" s="313">
        <f>IF($BI65&lt;&gt;"",IF('Capacity summary'!$D$14="Yes",IF(COUNTBLANK('Capacity summary'!$H184:$BG184)&lt;52,IF('Capacity summary'!AF184&lt;&gt;"",IF(LOWER('Capacity summary'!AF184)="x",$BI65*AF65,VALUE('Capacity summary'!AF184)),0),AF65*$BI65),AF65*$BI65),0)</f>
        <v>0</v>
      </c>
      <c r="CJ65" s="313">
        <f>IF($BI65&lt;&gt;"",IF('Capacity summary'!$D$14="Yes",IF(COUNTBLANK('Capacity summary'!$H184:$BG184)&lt;52,IF('Capacity summary'!AG184&lt;&gt;"",IF(LOWER('Capacity summary'!AG184)="x",$BI65*AG65,VALUE('Capacity summary'!AG184)),0),AG65*$BI65),AG65*$BI65),0)</f>
        <v>0</v>
      </c>
      <c r="CK65" s="313">
        <f>IF($BI65&lt;&gt;"",IF('Capacity summary'!$D$14="Yes",IF(COUNTBLANK('Capacity summary'!$H184:$BG184)&lt;52,IF('Capacity summary'!AH184&lt;&gt;"",IF(LOWER('Capacity summary'!AH184)="x",$BI65*AH65,VALUE('Capacity summary'!AH184)),0),AH65*$BI65),AH65*$BI65),0)</f>
        <v>0</v>
      </c>
      <c r="CL65" s="313">
        <f>IF($BI65&lt;&gt;"",IF('Capacity summary'!$D$14="Yes",IF(COUNTBLANK('Capacity summary'!$H184:$BG184)&lt;52,IF('Capacity summary'!AI184&lt;&gt;"",IF(LOWER('Capacity summary'!AI184)="x",$BI65*AI65,VALUE('Capacity summary'!AI184)),0),AI65*$BI65),AI65*$BI65),0)</f>
        <v>0</v>
      </c>
      <c r="CM65" s="313">
        <f>IF($BI65&lt;&gt;"",IF('Capacity summary'!$D$14="Yes",IF(COUNTBLANK('Capacity summary'!$H184:$BG184)&lt;52,IF('Capacity summary'!AJ184&lt;&gt;"",IF(LOWER('Capacity summary'!AJ184)="x",$BI65*AJ65,VALUE('Capacity summary'!AJ184)),0),AJ65*$BI65),AJ65*$BI65),0)</f>
        <v>0</v>
      </c>
      <c r="CN65" s="313">
        <f>IF($BI65&lt;&gt;"",IF('Capacity summary'!$D$14="Yes",IF(COUNTBLANK('Capacity summary'!$H184:$BG184)&lt;52,IF('Capacity summary'!AK184&lt;&gt;"",IF(LOWER('Capacity summary'!AK184)="x",$BI65*AK65,VALUE('Capacity summary'!AK184)),0),AK65*$BI65),AK65*$BI65),0)</f>
        <v>0</v>
      </c>
      <c r="CO65" s="313">
        <f>IF($BI65&lt;&gt;"",IF('Capacity summary'!$D$14="Yes",IF(COUNTBLANK('Capacity summary'!$H184:$BG184)&lt;52,IF('Capacity summary'!AL184&lt;&gt;"",IF(LOWER('Capacity summary'!AL184)="x",$BI65*AL65,VALUE('Capacity summary'!AL184)),0),AL65*$BI65),AL65*$BI65),0)</f>
        <v>0</v>
      </c>
      <c r="CP65" s="313">
        <f>IF($BI65&lt;&gt;"",IF('Capacity summary'!$D$14="Yes",IF(COUNTBLANK('Capacity summary'!$H184:$BG184)&lt;52,IF('Capacity summary'!AM184&lt;&gt;"",IF(LOWER('Capacity summary'!AM184)="x",$BI65*AM65,VALUE('Capacity summary'!AM184)),0),AM65*$BI65),AM65*$BI65),0)</f>
        <v>0</v>
      </c>
      <c r="CQ65" s="313">
        <f>IF($BI65&lt;&gt;"",IF('Capacity summary'!$D$14="Yes",IF(COUNTBLANK('Capacity summary'!$H184:$BG184)&lt;52,IF('Capacity summary'!AN184&lt;&gt;"",IF(LOWER('Capacity summary'!AN184)="x",$BI65*AN65,VALUE('Capacity summary'!AN184)),0),AN65*$BI65),AN65*$BI65),0)</f>
        <v>0</v>
      </c>
      <c r="CR65" s="313">
        <f>IF($BI65&lt;&gt;"",IF('Capacity summary'!$D$14="Yes",IF(COUNTBLANK('Capacity summary'!$H184:$BG184)&lt;52,IF('Capacity summary'!AO184&lt;&gt;"",IF(LOWER('Capacity summary'!AO184)="x",$BI65*AO65,VALUE('Capacity summary'!AO184)),0),AO65*$BI65),AO65*$BI65),0)</f>
        <v>0</v>
      </c>
      <c r="CS65" s="313">
        <f>IF($BI65&lt;&gt;"",IF('Capacity summary'!$D$14="Yes",IF(COUNTBLANK('Capacity summary'!$H184:$BG184)&lt;52,IF('Capacity summary'!AP184&lt;&gt;"",IF(LOWER('Capacity summary'!AP184)="x",$BI65*AP65,VALUE('Capacity summary'!AP184)),0),AP65*$BI65),AP65*$BI65),0)</f>
        <v>0</v>
      </c>
      <c r="CT65" s="313">
        <f>IF($BI65&lt;&gt;"",IF('Capacity summary'!$D$14="Yes",IF(COUNTBLANK('Capacity summary'!$H184:$BG184)&lt;52,IF('Capacity summary'!AQ184&lt;&gt;"",IF(LOWER('Capacity summary'!AQ184)="x",$BI65*AQ65,VALUE('Capacity summary'!AQ184)),0),AQ65*$BI65),AQ65*$BI65),0)</f>
        <v>0</v>
      </c>
      <c r="CU65" s="313">
        <f>IF($BI65&lt;&gt;"",IF('Capacity summary'!$D$14="Yes",IF(COUNTBLANK('Capacity summary'!$H184:$BG184)&lt;52,IF('Capacity summary'!AR184&lt;&gt;"",IF(LOWER('Capacity summary'!AR184)="x",$BI65*AR65,VALUE('Capacity summary'!AR184)),0),AR65*$BI65),AR65*$BI65),0)</f>
        <v>0</v>
      </c>
      <c r="CV65" s="313">
        <f>IF($BI65&lt;&gt;"",IF('Capacity summary'!$D$14="Yes",IF(COUNTBLANK('Capacity summary'!$H184:$BG184)&lt;52,IF('Capacity summary'!AS184&lt;&gt;"",IF(LOWER('Capacity summary'!AS184)="x",$BI65*AS65,VALUE('Capacity summary'!AS184)),0),AS65*$BI65),AS65*$BI65),0)</f>
        <v>0</v>
      </c>
      <c r="CW65" s="313">
        <f>IF($BI65&lt;&gt;"",IF('Capacity summary'!$D$14="Yes",IF(COUNTBLANK('Capacity summary'!$H184:$BG184)&lt;52,IF('Capacity summary'!AT184&lt;&gt;"",IF(LOWER('Capacity summary'!AT184)="x",$BI65*AT65,VALUE('Capacity summary'!AT184)),0),AT65*$BI65),AT65*$BI65),0)</f>
        <v>0</v>
      </c>
      <c r="CX65" s="313">
        <f>IF($BI65&lt;&gt;"",IF('Capacity summary'!$D$14="Yes",IF(COUNTBLANK('Capacity summary'!$H184:$BG184)&lt;52,IF('Capacity summary'!AU184&lt;&gt;"",IF(LOWER('Capacity summary'!AU184)="x",$BI65*AU65,VALUE('Capacity summary'!AU184)),0),AU65*$BI65),AU65*$BI65),0)</f>
        <v>0</v>
      </c>
      <c r="CY65" s="313">
        <f>IF($BI65&lt;&gt;"",IF('Capacity summary'!$D$14="Yes",IF(COUNTBLANK('Capacity summary'!$H184:$BG184)&lt;52,IF('Capacity summary'!AV184&lt;&gt;"",IF(LOWER('Capacity summary'!AV184)="x",$BI65*AV65,VALUE('Capacity summary'!AV184)),0),AV65*$BI65),AV65*$BI65),0)</f>
        <v>0</v>
      </c>
      <c r="CZ65" s="313">
        <f>IF($BI65&lt;&gt;"",IF('Capacity summary'!$D$14="Yes",IF(COUNTBLANK('Capacity summary'!$H184:$BG184)&lt;52,IF('Capacity summary'!AW184&lt;&gt;"",IF(LOWER('Capacity summary'!AW184)="x",$BI65*AW65,VALUE('Capacity summary'!AW184)),0),AW65*$BI65),AW65*$BI65),0)</f>
        <v>0</v>
      </c>
      <c r="DA65" s="313">
        <f>IF($BI65&lt;&gt;"",IF('Capacity summary'!$D$14="Yes",IF(COUNTBLANK('Capacity summary'!$H184:$BG184)&lt;52,IF('Capacity summary'!AX184&lt;&gt;"",IF(LOWER('Capacity summary'!AX184)="x",$BI65*AX65,VALUE('Capacity summary'!AX184)),0),AX65*$BI65),AX65*$BI65),0)</f>
        <v>0</v>
      </c>
      <c r="DB65" s="313">
        <f>IF($BI65&lt;&gt;"",IF('Capacity summary'!$D$14="Yes",IF(COUNTBLANK('Capacity summary'!$H184:$BG184)&lt;52,IF('Capacity summary'!AY184&lt;&gt;"",IF(LOWER('Capacity summary'!AY184)="x",$BI65*AY65,VALUE('Capacity summary'!AY184)),0),AY65*$BI65),AY65*$BI65),0)</f>
        <v>0</v>
      </c>
      <c r="DC65" s="313">
        <f>IF($BI65&lt;&gt;"",IF('Capacity summary'!$D$14="Yes",IF(COUNTBLANK('Capacity summary'!$H184:$BG184)&lt;52,IF('Capacity summary'!AZ184&lt;&gt;"",IF(LOWER('Capacity summary'!AZ184)="x",$BI65*AZ65,VALUE('Capacity summary'!AZ184)),0),AZ65*$BI65),AZ65*$BI65),0)</f>
        <v>0</v>
      </c>
      <c r="DD65" s="313">
        <f>IF($BI65&lt;&gt;"",IF('Capacity summary'!$D$14="Yes",IF(COUNTBLANK('Capacity summary'!$H184:$BG184)&lt;52,IF('Capacity summary'!BA184&lt;&gt;"",IF(LOWER('Capacity summary'!BA184)="x",$BI65*BA65,VALUE('Capacity summary'!BA184)),0),BA65*$BI65),BA65*$BI65),0)</f>
        <v>0</v>
      </c>
      <c r="DE65" s="313">
        <f>IF($BI65&lt;&gt;"",IF('Capacity summary'!$D$14="Yes",IF(COUNTBLANK('Capacity summary'!$H184:$BG184)&lt;52,IF('Capacity summary'!BB184&lt;&gt;"",IF(LOWER('Capacity summary'!BB184)="x",$BI65*BB65,VALUE('Capacity summary'!BB184)),0),BB65*$BI65),BB65*$BI65),0)</f>
        <v>0</v>
      </c>
      <c r="DF65" s="313">
        <f>IF($BI65&lt;&gt;"",IF('Capacity summary'!$D$14="Yes",IF(COUNTBLANK('Capacity summary'!$H184:$BG184)&lt;52,IF('Capacity summary'!BC184&lt;&gt;"",IF(LOWER('Capacity summary'!BC184)="x",$BI65*BC65,VALUE('Capacity summary'!BC184)),0),BC65*$BI65),BC65*$BI65),0)</f>
        <v>0</v>
      </c>
      <c r="DG65" s="313">
        <f>IF($BI65&lt;&gt;"",IF('Capacity summary'!$D$14="Yes",IF(COUNTBLANK('Capacity summary'!$H184:$BG184)&lt;52,IF('Capacity summary'!BD184&lt;&gt;"",IF(LOWER('Capacity summary'!BD184)="x",$BI65*BD65,VALUE('Capacity summary'!BD184)),0),BD65*$BI65),BD65*$BI65),0)</f>
        <v>0</v>
      </c>
      <c r="DH65" s="313">
        <f>IF($BI65&lt;&gt;"",IF('Capacity summary'!$D$14="Yes",IF(COUNTBLANK('Capacity summary'!$H184:$BG184)&lt;52,IF('Capacity summary'!BE184&lt;&gt;"",IF(LOWER('Capacity summary'!BE184)="x",$BI65*BE65,VALUE('Capacity summary'!BE184)),0),BE65*$BI65),BE65*$BI65),0)</f>
        <v>0</v>
      </c>
      <c r="DI65" s="313">
        <f>IF($BI65&lt;&gt;"",IF('Capacity summary'!$D$14="Yes",IF(COUNTBLANK('Capacity summary'!$H184:$BG184)&lt;52,IF('Capacity summary'!BF184&lt;&gt;"",IF(LOWER('Capacity summary'!BF184)="x",$BI65*BF65,VALUE('Capacity summary'!BF184)),0),BF65*$BI65),BF65*$BI65),0)</f>
        <v>0</v>
      </c>
      <c r="DJ65" s="313">
        <f>IF($BI65&lt;&gt;"",IF('Capacity summary'!$D$14="Yes",IF(COUNTBLANK('Capacity summary'!$H184:$BG184)&lt;52,IF('Capacity summary'!BG184&lt;&gt;"",IF(LOWER('Capacity summary'!BG184)="x",$BI65*BG65,VALUE('Capacity summary'!BG184)),0),BG65*$BI65),BG65*$BI65),0)</f>
        <v>0</v>
      </c>
      <c r="DK65" s="137">
        <f t="shared" si="2"/>
        <v>0</v>
      </c>
      <c r="DL65" s="313" t="str">
        <f>Capacity!H77</f>
        <v/>
      </c>
    </row>
    <row r="66" spans="2:116" x14ac:dyDescent="0.25">
      <c r="B66" s="67"/>
      <c r="C66" s="67" t="str">
        <f>ROW(A62)&amp;". "&amp;Capacity!B78</f>
        <v xml:space="preserve">62. </v>
      </c>
      <c r="D66" s="67">
        <f>'Capacity setup'!C73</f>
        <v>0</v>
      </c>
      <c r="E66" s="67">
        <f>'Capacity setup'!D73</f>
        <v>0</v>
      </c>
      <c r="F66" s="67">
        <f>'Capacity setup'!E73</f>
        <v>0</v>
      </c>
      <c r="H66" s="67">
        <f ca="1">IF(AND(SUMIF(Capacity_Resource,$D66,'Critical resources (hide)'!U$6:U$105)+SUMIF(Capacity_Resource,$E66,'Critical resources (hide)'!U$6:U$105)+SUMIF(Capacity_Resource,$F66,'Critical resources (hide)'!U$6:U$105)&gt;0,$E$1=2),0,1)</f>
        <v>1</v>
      </c>
      <c r="I66" s="67">
        <f ca="1">IF(AND(SUMIF(Capacity_Resource,$D66,'Critical resources (hide)'!V$6:V$105)+SUMIF(Capacity_Resource,$E66,'Critical resources (hide)'!V$6:V$105)+SUMIF(Capacity_Resource,$F66,'Critical resources (hide)'!V$6:V$105)&gt;0,$E$1=2),0,1)</f>
        <v>1</v>
      </c>
      <c r="J66" s="67">
        <f ca="1">IF(AND(SUMIF(Capacity_Resource,$D66,'Critical resources (hide)'!W$6:W$105)+SUMIF(Capacity_Resource,$E66,'Critical resources (hide)'!W$6:W$105)+SUMIF(Capacity_Resource,$F66,'Critical resources (hide)'!W$6:W$105)&gt;0,$E$1=2),0,1)</f>
        <v>1</v>
      </c>
      <c r="K66" s="67">
        <f ca="1">IF(AND(SUMIF(Capacity_Resource,$D66,'Critical resources (hide)'!X$6:X$105)+SUMIF(Capacity_Resource,$E66,'Critical resources (hide)'!X$6:X$105)+SUMIF(Capacity_Resource,$F66,'Critical resources (hide)'!X$6:X$105)&gt;0,$E$1=2),0,1)</f>
        <v>1</v>
      </c>
      <c r="L66" s="67">
        <f ca="1">IF(AND(SUMIF(Capacity_Resource,$D66,'Critical resources (hide)'!Y$6:Y$105)+SUMIF(Capacity_Resource,$E66,'Critical resources (hide)'!Y$6:Y$105)+SUMIF(Capacity_Resource,$F66,'Critical resources (hide)'!Y$6:Y$105)&gt;0,$E$1=2),0,1)</f>
        <v>1</v>
      </c>
      <c r="M66" s="67">
        <f ca="1">IF(AND(SUMIF(Capacity_Resource,$D66,'Critical resources (hide)'!Z$6:Z$105)+SUMIF(Capacity_Resource,$E66,'Critical resources (hide)'!Z$6:Z$105)+SUMIF(Capacity_Resource,$F66,'Critical resources (hide)'!Z$6:Z$105)&gt;0,$E$1=2),0,1)</f>
        <v>1</v>
      </c>
      <c r="N66" s="67">
        <f ca="1">IF(AND(SUMIF(Capacity_Resource,$D66,'Critical resources (hide)'!AA$6:AA$105)+SUMIF(Capacity_Resource,$E66,'Critical resources (hide)'!AA$6:AA$105)+SUMIF(Capacity_Resource,$F66,'Critical resources (hide)'!AA$6:AA$105)&gt;0,$E$1=2),0,1)</f>
        <v>1</v>
      </c>
      <c r="O66" s="67">
        <f ca="1">IF(AND(SUMIF(Capacity_Resource,$D66,'Critical resources (hide)'!AB$6:AB$105)+SUMIF(Capacity_Resource,$E66,'Critical resources (hide)'!AB$6:AB$105)+SUMIF(Capacity_Resource,$F66,'Critical resources (hide)'!AB$6:AB$105)&gt;0,$E$1=2),0,1)</f>
        <v>1</v>
      </c>
      <c r="P66" s="67">
        <f ca="1">IF(AND(SUMIF(Capacity_Resource,$D66,'Critical resources (hide)'!AC$6:AC$105)+SUMIF(Capacity_Resource,$E66,'Critical resources (hide)'!AC$6:AC$105)+SUMIF(Capacity_Resource,$F66,'Critical resources (hide)'!AC$6:AC$105)&gt;0,$E$1=2),0,1)</f>
        <v>1</v>
      </c>
      <c r="Q66" s="67">
        <f ca="1">IF(AND(SUMIF(Capacity_Resource,$D66,'Critical resources (hide)'!AD$6:AD$105)+SUMIF(Capacity_Resource,$E66,'Critical resources (hide)'!AD$6:AD$105)+SUMIF(Capacity_Resource,$F66,'Critical resources (hide)'!AD$6:AD$105)&gt;0,$E$1=2),0,1)</f>
        <v>1</v>
      </c>
      <c r="R66" s="67">
        <f ca="1">IF(AND(SUMIF(Capacity_Resource,$D66,'Critical resources (hide)'!AE$6:AE$105)+SUMIF(Capacity_Resource,$E66,'Critical resources (hide)'!AE$6:AE$105)+SUMIF(Capacity_Resource,$F66,'Critical resources (hide)'!AE$6:AE$105)&gt;0,$E$1=2),0,1)</f>
        <v>1</v>
      </c>
      <c r="S66" s="67">
        <f ca="1">IF(AND(SUMIF(Capacity_Resource,$D66,'Critical resources (hide)'!AF$6:AF$105)+SUMIF(Capacity_Resource,$E66,'Critical resources (hide)'!AF$6:AF$105)+SUMIF(Capacity_Resource,$F66,'Critical resources (hide)'!AF$6:AF$105)&gt;0,$E$1=2),0,1)</f>
        <v>1</v>
      </c>
      <c r="T66" s="67">
        <f ca="1">IF(AND(SUMIF(Capacity_Resource,$D66,'Critical resources (hide)'!AG$6:AG$105)+SUMIF(Capacity_Resource,$E66,'Critical resources (hide)'!AG$6:AG$105)+SUMIF(Capacity_Resource,$F66,'Critical resources (hide)'!AG$6:AG$105)&gt;0,$E$1=2),0,1)</f>
        <v>1</v>
      </c>
      <c r="U66" s="67">
        <f ca="1">IF(AND(SUMIF(Capacity_Resource,$D66,'Critical resources (hide)'!AH$6:AH$105)+SUMIF(Capacity_Resource,$E66,'Critical resources (hide)'!AH$6:AH$105)+SUMIF(Capacity_Resource,$F66,'Critical resources (hide)'!AH$6:AH$105)&gt;0,$E$1=2),0,1)</f>
        <v>1</v>
      </c>
      <c r="V66" s="67">
        <f ca="1">IF(AND(SUMIF(Capacity_Resource,$D66,'Critical resources (hide)'!AI$6:AI$105)+SUMIF(Capacity_Resource,$E66,'Critical resources (hide)'!AI$6:AI$105)+SUMIF(Capacity_Resource,$F66,'Critical resources (hide)'!AI$6:AI$105)&gt;0,$E$1=2),0,1)</f>
        <v>1</v>
      </c>
      <c r="W66" s="67">
        <f ca="1">IF(AND(SUMIF(Capacity_Resource,$D66,'Critical resources (hide)'!AJ$6:AJ$105)+SUMIF(Capacity_Resource,$E66,'Critical resources (hide)'!AJ$6:AJ$105)+SUMIF(Capacity_Resource,$F66,'Critical resources (hide)'!AJ$6:AJ$105)&gt;0,$E$1=2),0,1)</f>
        <v>1</v>
      </c>
      <c r="X66" s="67">
        <f ca="1">IF(AND(SUMIF(Capacity_Resource,$D66,'Critical resources (hide)'!AK$6:AK$105)+SUMIF(Capacity_Resource,$E66,'Critical resources (hide)'!AK$6:AK$105)+SUMIF(Capacity_Resource,$F66,'Critical resources (hide)'!AK$6:AK$105)&gt;0,$E$1=2),0,1)</f>
        <v>1</v>
      </c>
      <c r="Y66" s="67">
        <f ca="1">IF(AND(SUMIF(Capacity_Resource,$D66,'Critical resources (hide)'!AL$6:AL$105)+SUMIF(Capacity_Resource,$E66,'Critical resources (hide)'!AL$6:AL$105)+SUMIF(Capacity_Resource,$F66,'Critical resources (hide)'!AL$6:AL$105)&gt;0,$E$1=2),0,1)</f>
        <v>1</v>
      </c>
      <c r="Z66" s="67">
        <f ca="1">IF(AND(SUMIF(Capacity_Resource,$D66,'Critical resources (hide)'!AM$6:AM$105)+SUMIF(Capacity_Resource,$E66,'Critical resources (hide)'!AM$6:AM$105)+SUMIF(Capacity_Resource,$F66,'Critical resources (hide)'!AM$6:AM$105)&gt;0,$E$1=2),0,1)</f>
        <v>1</v>
      </c>
      <c r="AA66" s="67">
        <f ca="1">IF(AND(SUMIF(Capacity_Resource,$D66,'Critical resources (hide)'!AN$6:AN$105)+SUMIF(Capacity_Resource,$E66,'Critical resources (hide)'!AN$6:AN$105)+SUMIF(Capacity_Resource,$F66,'Critical resources (hide)'!AN$6:AN$105)&gt;0,$E$1=2),0,1)</f>
        <v>1</v>
      </c>
      <c r="AB66" s="67">
        <f ca="1">IF(AND(SUMIF(Capacity_Resource,$D66,'Critical resources (hide)'!AO$6:AO$105)+SUMIF(Capacity_Resource,$E66,'Critical resources (hide)'!AO$6:AO$105)+SUMIF(Capacity_Resource,$F66,'Critical resources (hide)'!AO$6:AO$105)&gt;0,$E$1=2),0,1)</f>
        <v>1</v>
      </c>
      <c r="AC66" s="67">
        <f ca="1">IF(AND(SUMIF(Capacity_Resource,$D66,'Critical resources (hide)'!AP$6:AP$105)+SUMIF(Capacity_Resource,$E66,'Critical resources (hide)'!AP$6:AP$105)+SUMIF(Capacity_Resource,$F66,'Critical resources (hide)'!AP$6:AP$105)&gt;0,$E$1=2),0,1)</f>
        <v>1</v>
      </c>
      <c r="AD66" s="67">
        <f ca="1">IF(AND(SUMIF(Capacity_Resource,$D66,'Critical resources (hide)'!AQ$6:AQ$105)+SUMIF(Capacity_Resource,$E66,'Critical resources (hide)'!AQ$6:AQ$105)+SUMIF(Capacity_Resource,$F66,'Critical resources (hide)'!AQ$6:AQ$105)&gt;0,$E$1=2),0,1)</f>
        <v>1</v>
      </c>
      <c r="AE66" s="67">
        <f ca="1">IF(AND(SUMIF(Capacity_Resource,$D66,'Critical resources (hide)'!AR$6:AR$105)+SUMIF(Capacity_Resource,$E66,'Critical resources (hide)'!AR$6:AR$105)+SUMIF(Capacity_Resource,$F66,'Critical resources (hide)'!AR$6:AR$105)&gt;0,$E$1=2),0,1)</f>
        <v>1</v>
      </c>
      <c r="AF66" s="67">
        <f ca="1">IF(AND(SUMIF(Capacity_Resource,$D66,'Critical resources (hide)'!AS$6:AS$105)+SUMIF(Capacity_Resource,$E66,'Critical resources (hide)'!AS$6:AS$105)+SUMIF(Capacity_Resource,$F66,'Critical resources (hide)'!AS$6:AS$105)&gt;0,$E$1=2),0,1)</f>
        <v>1</v>
      </c>
      <c r="AG66" s="67">
        <f ca="1">IF(AND(SUMIF(Capacity_Resource,$D66,'Critical resources (hide)'!AT$6:AT$105)+SUMIF(Capacity_Resource,$E66,'Critical resources (hide)'!AT$6:AT$105)+SUMIF(Capacity_Resource,$F66,'Critical resources (hide)'!AT$6:AT$105)&gt;0,$E$1=2),0,1)</f>
        <v>1</v>
      </c>
      <c r="AH66" s="67">
        <f ca="1">IF(AND(SUMIF(Capacity_Resource,$D66,'Critical resources (hide)'!AU$6:AU$105)+SUMIF(Capacity_Resource,$E66,'Critical resources (hide)'!AU$6:AU$105)+SUMIF(Capacity_Resource,$F66,'Critical resources (hide)'!AU$6:AU$105)&gt;0,$E$1=2),0,1)</f>
        <v>1</v>
      </c>
      <c r="AI66" s="67">
        <f ca="1">IF(AND(SUMIF(Capacity_Resource,$D66,'Critical resources (hide)'!AV$6:AV$105)+SUMIF(Capacity_Resource,$E66,'Critical resources (hide)'!AV$6:AV$105)+SUMIF(Capacity_Resource,$F66,'Critical resources (hide)'!AV$6:AV$105)&gt;0,$E$1=2),0,1)</f>
        <v>1</v>
      </c>
      <c r="AJ66" s="67">
        <f ca="1">IF(AND(SUMIF(Capacity_Resource,$D66,'Critical resources (hide)'!AW$6:AW$105)+SUMIF(Capacity_Resource,$E66,'Critical resources (hide)'!AW$6:AW$105)+SUMIF(Capacity_Resource,$F66,'Critical resources (hide)'!AW$6:AW$105)&gt;0,$E$1=2),0,1)</f>
        <v>1</v>
      </c>
      <c r="AK66" s="67">
        <f ca="1">IF(AND(SUMIF(Capacity_Resource,$D66,'Critical resources (hide)'!AX$6:AX$105)+SUMIF(Capacity_Resource,$E66,'Critical resources (hide)'!AX$6:AX$105)+SUMIF(Capacity_Resource,$F66,'Critical resources (hide)'!AX$6:AX$105)&gt;0,$E$1=2),0,1)</f>
        <v>1</v>
      </c>
      <c r="AL66" s="67">
        <f ca="1">IF(AND(SUMIF(Capacity_Resource,$D66,'Critical resources (hide)'!AY$6:AY$105)+SUMIF(Capacity_Resource,$E66,'Critical resources (hide)'!AY$6:AY$105)+SUMIF(Capacity_Resource,$F66,'Critical resources (hide)'!AY$6:AY$105)&gt;0,$E$1=2),0,1)</f>
        <v>1</v>
      </c>
      <c r="AM66" s="67">
        <f ca="1">IF(AND(SUMIF(Capacity_Resource,$D66,'Critical resources (hide)'!AZ$6:AZ$105)+SUMIF(Capacity_Resource,$E66,'Critical resources (hide)'!AZ$6:AZ$105)+SUMIF(Capacity_Resource,$F66,'Critical resources (hide)'!AZ$6:AZ$105)&gt;0,$E$1=2),0,1)</f>
        <v>1</v>
      </c>
      <c r="AN66" s="67">
        <f ca="1">IF(AND(SUMIF(Capacity_Resource,$D66,'Critical resources (hide)'!BA$6:BA$105)+SUMIF(Capacity_Resource,$E66,'Critical resources (hide)'!BA$6:BA$105)+SUMIF(Capacity_Resource,$F66,'Critical resources (hide)'!BA$6:BA$105)&gt;0,$E$1=2),0,1)</f>
        <v>1</v>
      </c>
      <c r="AO66" s="67">
        <f ca="1">IF(AND(SUMIF(Capacity_Resource,$D66,'Critical resources (hide)'!BB$6:BB$105)+SUMIF(Capacity_Resource,$E66,'Critical resources (hide)'!BB$6:BB$105)+SUMIF(Capacity_Resource,$F66,'Critical resources (hide)'!BB$6:BB$105)&gt;0,$E$1=2),0,1)</f>
        <v>1</v>
      </c>
      <c r="AP66" s="67">
        <f ca="1">IF(AND(SUMIF(Capacity_Resource,$D66,'Critical resources (hide)'!BC$6:BC$105)+SUMIF(Capacity_Resource,$E66,'Critical resources (hide)'!BC$6:BC$105)+SUMIF(Capacity_Resource,$F66,'Critical resources (hide)'!BC$6:BC$105)&gt;0,$E$1=2),0,1)</f>
        <v>1</v>
      </c>
      <c r="AQ66" s="67">
        <f ca="1">IF(AND(SUMIF(Capacity_Resource,$D66,'Critical resources (hide)'!BD$6:BD$105)+SUMIF(Capacity_Resource,$E66,'Critical resources (hide)'!BD$6:BD$105)+SUMIF(Capacity_Resource,$F66,'Critical resources (hide)'!BD$6:BD$105)&gt;0,$E$1=2),0,1)</f>
        <v>1</v>
      </c>
      <c r="AR66" s="67">
        <f ca="1">IF(AND(SUMIF(Capacity_Resource,$D66,'Critical resources (hide)'!BE$6:BE$105)+SUMIF(Capacity_Resource,$E66,'Critical resources (hide)'!BE$6:BE$105)+SUMIF(Capacity_Resource,$F66,'Critical resources (hide)'!BE$6:BE$105)&gt;0,$E$1=2),0,1)</f>
        <v>1</v>
      </c>
      <c r="AS66" s="67">
        <f ca="1">IF(AND(SUMIF(Capacity_Resource,$D66,'Critical resources (hide)'!BF$6:BF$105)+SUMIF(Capacity_Resource,$E66,'Critical resources (hide)'!BF$6:BF$105)+SUMIF(Capacity_Resource,$F66,'Critical resources (hide)'!BF$6:BF$105)&gt;0,$E$1=2),0,1)</f>
        <v>1</v>
      </c>
      <c r="AT66" s="67">
        <f ca="1">IF(AND(SUMIF(Capacity_Resource,$D66,'Critical resources (hide)'!BG$6:BG$105)+SUMIF(Capacity_Resource,$E66,'Critical resources (hide)'!BG$6:BG$105)+SUMIF(Capacity_Resource,$F66,'Critical resources (hide)'!BG$6:BG$105)&gt;0,$E$1=2),0,1)</f>
        <v>1</v>
      </c>
      <c r="AU66" s="67">
        <f ca="1">IF(AND(SUMIF(Capacity_Resource,$D66,'Critical resources (hide)'!BH$6:BH$105)+SUMIF(Capacity_Resource,$E66,'Critical resources (hide)'!BH$6:BH$105)+SUMIF(Capacity_Resource,$F66,'Critical resources (hide)'!BH$6:BH$105)&gt;0,$E$1=2),0,1)</f>
        <v>1</v>
      </c>
      <c r="AV66" s="67">
        <f ca="1">IF(AND(SUMIF(Capacity_Resource,$D66,'Critical resources (hide)'!BI$6:BI$105)+SUMIF(Capacity_Resource,$E66,'Critical resources (hide)'!BI$6:BI$105)+SUMIF(Capacity_Resource,$F66,'Critical resources (hide)'!BI$6:BI$105)&gt;0,$E$1=2),0,1)</f>
        <v>1</v>
      </c>
      <c r="AW66" s="67">
        <f ca="1">IF(AND(SUMIF(Capacity_Resource,$D66,'Critical resources (hide)'!BJ$6:BJ$105)+SUMIF(Capacity_Resource,$E66,'Critical resources (hide)'!BJ$6:BJ$105)+SUMIF(Capacity_Resource,$F66,'Critical resources (hide)'!BJ$6:BJ$105)&gt;0,$E$1=2),0,1)</f>
        <v>1</v>
      </c>
      <c r="AX66" s="67">
        <f ca="1">IF(AND(SUMIF(Capacity_Resource,$D66,'Critical resources (hide)'!BK$6:BK$105)+SUMIF(Capacity_Resource,$E66,'Critical resources (hide)'!BK$6:BK$105)+SUMIF(Capacity_Resource,$F66,'Critical resources (hide)'!BK$6:BK$105)&gt;0,$E$1=2),0,1)</f>
        <v>1</v>
      </c>
      <c r="AY66" s="67">
        <f ca="1">IF(AND(SUMIF(Capacity_Resource,$D66,'Critical resources (hide)'!BL$6:BL$105)+SUMIF(Capacity_Resource,$E66,'Critical resources (hide)'!BL$6:BL$105)+SUMIF(Capacity_Resource,$F66,'Critical resources (hide)'!BL$6:BL$105)&gt;0,$E$1=2),0,1)</f>
        <v>1</v>
      </c>
      <c r="AZ66" s="67">
        <f ca="1">IF(AND(SUMIF(Capacity_Resource,$D66,'Critical resources (hide)'!BM$6:BM$105)+SUMIF(Capacity_Resource,$E66,'Critical resources (hide)'!BM$6:BM$105)+SUMIF(Capacity_Resource,$F66,'Critical resources (hide)'!BM$6:BM$105)&gt;0,$E$1=2),0,1)</f>
        <v>1</v>
      </c>
      <c r="BA66" s="67">
        <f ca="1">IF(AND(SUMIF(Capacity_Resource,$D66,'Critical resources (hide)'!BN$6:BN$105)+SUMIF(Capacity_Resource,$E66,'Critical resources (hide)'!BN$6:BN$105)+SUMIF(Capacity_Resource,$F66,'Critical resources (hide)'!BN$6:BN$105)&gt;0,$E$1=2),0,1)</f>
        <v>1</v>
      </c>
      <c r="BB66" s="67">
        <f ca="1">IF(AND(SUMIF(Capacity_Resource,$D66,'Critical resources (hide)'!BO$6:BO$105)+SUMIF(Capacity_Resource,$E66,'Critical resources (hide)'!BO$6:BO$105)+SUMIF(Capacity_Resource,$F66,'Critical resources (hide)'!BO$6:BO$105)&gt;0,$E$1=2),0,1)</f>
        <v>1</v>
      </c>
      <c r="BC66" s="67">
        <f ca="1">IF(AND(SUMIF(Capacity_Resource,$D66,'Critical resources (hide)'!BP$6:BP$105)+SUMIF(Capacity_Resource,$E66,'Critical resources (hide)'!BP$6:BP$105)+SUMIF(Capacity_Resource,$F66,'Critical resources (hide)'!BP$6:BP$105)&gt;0,$E$1=2),0,1)</f>
        <v>1</v>
      </c>
      <c r="BD66" s="67">
        <f ca="1">IF(AND(SUMIF(Capacity_Resource,$D66,'Critical resources (hide)'!BQ$6:BQ$105)+SUMIF(Capacity_Resource,$E66,'Critical resources (hide)'!BQ$6:BQ$105)+SUMIF(Capacity_Resource,$F66,'Critical resources (hide)'!BQ$6:BQ$105)&gt;0,$E$1=2),0,1)</f>
        <v>1</v>
      </c>
      <c r="BE66" s="67">
        <f ca="1">IF(AND(SUMIF(Capacity_Resource,$D66,'Critical resources (hide)'!BR$6:BR$105)+SUMIF(Capacity_Resource,$E66,'Critical resources (hide)'!BR$6:BR$105)+SUMIF(Capacity_Resource,$F66,'Critical resources (hide)'!BR$6:BR$105)&gt;0,$E$1=2),0,1)</f>
        <v>1</v>
      </c>
      <c r="BF66" s="67">
        <f ca="1">IF(AND(SUMIF(Capacity_Resource,$D66,'Critical resources (hide)'!BS$6:BS$105)+SUMIF(Capacity_Resource,$E66,'Critical resources (hide)'!BS$6:BS$105)+SUMIF(Capacity_Resource,$F66,'Critical resources (hide)'!BS$6:BS$105)&gt;0,$E$1=2),0,1)</f>
        <v>1</v>
      </c>
      <c r="BG66" s="67">
        <f ca="1">IF(AND(SUMIF(Capacity_Resource,$D66,'Critical resources (hide)'!BT$6:BT$105)+SUMIF(Capacity_Resource,$E66,'Critical resources (hide)'!BT$6:BT$105)+SUMIF(Capacity_Resource,$F66,'Critical resources (hide)'!BT$6:BT$105)&gt;0,$E$1=2),0,1)</f>
        <v>1</v>
      </c>
      <c r="BH66" s="67">
        <f>IF(ROW(C62)&lt;=Capacity!$A$16,IF('Capacity summary'!$D$14="No",SUM(H66:BG66),'Capacity summary'!$E185),0)</f>
        <v>0</v>
      </c>
      <c r="BI66" s="5" t="str">
        <f>IF(BH66&gt;0,IF(BH66&lt;Capacity!E78,Capacity!F78,Capacity!H78/'Capacity calculation (hide)'!BH66),"")</f>
        <v/>
      </c>
      <c r="BK66" s="313">
        <f>IF($BI66&lt;&gt;"",IF('Capacity summary'!$D$14="Yes",IF(COUNTBLANK('Capacity summary'!$H185:$BG185)&lt;52,IF('Capacity summary'!H185&lt;&gt;"",IF(LOWER('Capacity summary'!H185)="x",$BI66*H66,VALUE('Capacity summary'!H185)),0),H66*$BI66),H66*$BI66),0)</f>
        <v>0</v>
      </c>
      <c r="BL66" s="313">
        <f>IF($BI66&lt;&gt;"",IF('Capacity summary'!$D$14="Yes",IF(COUNTBLANK('Capacity summary'!$H185:$BG185)&lt;52,IF('Capacity summary'!I185&lt;&gt;"",IF(LOWER('Capacity summary'!I185)="x",$BI66*I66,VALUE('Capacity summary'!I185)),0),I66*$BI66),I66*$BI66),0)</f>
        <v>0</v>
      </c>
      <c r="BM66" s="313">
        <f>IF($BI66&lt;&gt;"",IF('Capacity summary'!$D$14="Yes",IF(COUNTBLANK('Capacity summary'!$H185:$BG185)&lt;52,IF('Capacity summary'!J185&lt;&gt;"",IF(LOWER('Capacity summary'!J185)="x",$BI66*J66,VALUE('Capacity summary'!J185)),0),J66*$BI66),J66*$BI66),0)</f>
        <v>0</v>
      </c>
      <c r="BN66" s="313">
        <f>IF($BI66&lt;&gt;"",IF('Capacity summary'!$D$14="Yes",IF(COUNTBLANK('Capacity summary'!$H185:$BG185)&lt;52,IF('Capacity summary'!K185&lt;&gt;"",IF(LOWER('Capacity summary'!K185)="x",$BI66*K66,VALUE('Capacity summary'!K185)),0),K66*$BI66),K66*$BI66),0)</f>
        <v>0</v>
      </c>
      <c r="BO66" s="313">
        <f>IF($BI66&lt;&gt;"",IF('Capacity summary'!$D$14="Yes",IF(COUNTBLANK('Capacity summary'!$H185:$BG185)&lt;52,IF('Capacity summary'!L185&lt;&gt;"",IF(LOWER('Capacity summary'!L185)="x",$BI66*L66,VALUE('Capacity summary'!L185)),0),L66*$BI66),L66*$BI66),0)</f>
        <v>0</v>
      </c>
      <c r="BP66" s="313">
        <f>IF($BI66&lt;&gt;"",IF('Capacity summary'!$D$14="Yes",IF(COUNTBLANK('Capacity summary'!$H185:$BG185)&lt;52,IF('Capacity summary'!M185&lt;&gt;"",IF(LOWER('Capacity summary'!M185)="x",$BI66*M66,VALUE('Capacity summary'!M185)),0),M66*$BI66),M66*$BI66),0)</f>
        <v>0</v>
      </c>
      <c r="BQ66" s="313">
        <f>IF($BI66&lt;&gt;"",IF('Capacity summary'!$D$14="Yes",IF(COUNTBLANK('Capacity summary'!$H185:$BG185)&lt;52,IF('Capacity summary'!N185&lt;&gt;"",IF(LOWER('Capacity summary'!N185)="x",$BI66*N66,VALUE('Capacity summary'!N185)),0),N66*$BI66),N66*$BI66),0)</f>
        <v>0</v>
      </c>
      <c r="BR66" s="313">
        <f>IF($BI66&lt;&gt;"",IF('Capacity summary'!$D$14="Yes",IF(COUNTBLANK('Capacity summary'!$H185:$BG185)&lt;52,IF('Capacity summary'!O185&lt;&gt;"",IF(LOWER('Capacity summary'!O185)="x",$BI66*O66,VALUE('Capacity summary'!O185)),0),O66*$BI66),O66*$BI66),0)</f>
        <v>0</v>
      </c>
      <c r="BS66" s="313">
        <f>IF($BI66&lt;&gt;"",IF('Capacity summary'!$D$14="Yes",IF(COUNTBLANK('Capacity summary'!$H185:$BG185)&lt;52,IF('Capacity summary'!P185&lt;&gt;"",IF(LOWER('Capacity summary'!P185)="x",$BI66*P66,VALUE('Capacity summary'!P185)),0),P66*$BI66),P66*$BI66),0)</f>
        <v>0</v>
      </c>
      <c r="BT66" s="313">
        <f>IF($BI66&lt;&gt;"",IF('Capacity summary'!$D$14="Yes",IF(COUNTBLANK('Capacity summary'!$H185:$BG185)&lt;52,IF('Capacity summary'!Q185&lt;&gt;"",IF(LOWER('Capacity summary'!Q185)="x",$BI66*Q66,VALUE('Capacity summary'!Q185)),0),Q66*$BI66),Q66*$BI66),0)</f>
        <v>0</v>
      </c>
      <c r="BU66" s="313">
        <f>IF($BI66&lt;&gt;"",IF('Capacity summary'!$D$14="Yes",IF(COUNTBLANK('Capacity summary'!$H185:$BG185)&lt;52,IF('Capacity summary'!R185&lt;&gt;"",IF(LOWER('Capacity summary'!R185)="x",$BI66*R66,VALUE('Capacity summary'!R185)),0),R66*$BI66),R66*$BI66),0)</f>
        <v>0</v>
      </c>
      <c r="BV66" s="313">
        <f>IF($BI66&lt;&gt;"",IF('Capacity summary'!$D$14="Yes",IF(COUNTBLANK('Capacity summary'!$H185:$BG185)&lt;52,IF('Capacity summary'!S185&lt;&gt;"",IF(LOWER('Capacity summary'!S185)="x",$BI66*S66,VALUE('Capacity summary'!S185)),0),S66*$BI66),S66*$BI66),0)</f>
        <v>0</v>
      </c>
      <c r="BW66" s="313">
        <f>IF($BI66&lt;&gt;"",IF('Capacity summary'!$D$14="Yes",IF(COUNTBLANK('Capacity summary'!$H185:$BG185)&lt;52,IF('Capacity summary'!T185&lt;&gt;"",IF(LOWER('Capacity summary'!T185)="x",$BI66*T66,VALUE('Capacity summary'!T185)),0),T66*$BI66),T66*$BI66),0)</f>
        <v>0</v>
      </c>
      <c r="BX66" s="313">
        <f>IF($BI66&lt;&gt;"",IF('Capacity summary'!$D$14="Yes",IF(COUNTBLANK('Capacity summary'!$H185:$BG185)&lt;52,IF('Capacity summary'!U185&lt;&gt;"",IF(LOWER('Capacity summary'!U185)="x",$BI66*U66,VALUE('Capacity summary'!U185)),0),U66*$BI66),U66*$BI66),0)</f>
        <v>0</v>
      </c>
      <c r="BY66" s="313">
        <f>IF($BI66&lt;&gt;"",IF('Capacity summary'!$D$14="Yes",IF(COUNTBLANK('Capacity summary'!$H185:$BG185)&lt;52,IF('Capacity summary'!V185&lt;&gt;"",IF(LOWER('Capacity summary'!V185)="x",$BI66*V66,VALUE('Capacity summary'!V185)),0),V66*$BI66),V66*$BI66),0)</f>
        <v>0</v>
      </c>
      <c r="BZ66" s="313">
        <f>IF($BI66&lt;&gt;"",IF('Capacity summary'!$D$14="Yes",IF(COUNTBLANK('Capacity summary'!$H185:$BG185)&lt;52,IF('Capacity summary'!W185&lt;&gt;"",IF(LOWER('Capacity summary'!W185)="x",$BI66*W66,VALUE('Capacity summary'!W185)),0),W66*$BI66),W66*$BI66),0)</f>
        <v>0</v>
      </c>
      <c r="CA66" s="313">
        <f>IF($BI66&lt;&gt;"",IF('Capacity summary'!$D$14="Yes",IF(COUNTBLANK('Capacity summary'!$H185:$BG185)&lt;52,IF('Capacity summary'!X185&lt;&gt;"",IF(LOWER('Capacity summary'!X185)="x",$BI66*X66,VALUE('Capacity summary'!X185)),0),X66*$BI66),X66*$BI66),0)</f>
        <v>0</v>
      </c>
      <c r="CB66" s="313">
        <f>IF($BI66&lt;&gt;"",IF('Capacity summary'!$D$14="Yes",IF(COUNTBLANK('Capacity summary'!$H185:$BG185)&lt;52,IF('Capacity summary'!Y185&lt;&gt;"",IF(LOWER('Capacity summary'!Y185)="x",$BI66*Y66,VALUE('Capacity summary'!Y185)),0),Y66*$BI66),Y66*$BI66),0)</f>
        <v>0</v>
      </c>
      <c r="CC66" s="313">
        <f>IF($BI66&lt;&gt;"",IF('Capacity summary'!$D$14="Yes",IF(COUNTBLANK('Capacity summary'!$H185:$BG185)&lt;52,IF('Capacity summary'!Z185&lt;&gt;"",IF(LOWER('Capacity summary'!Z185)="x",$BI66*Z66,VALUE('Capacity summary'!Z185)),0),Z66*$BI66),Z66*$BI66),0)</f>
        <v>0</v>
      </c>
      <c r="CD66" s="313">
        <f>IF($BI66&lt;&gt;"",IF('Capacity summary'!$D$14="Yes",IF(COUNTBLANK('Capacity summary'!$H185:$BG185)&lt;52,IF('Capacity summary'!AA185&lt;&gt;"",IF(LOWER('Capacity summary'!AA185)="x",$BI66*AA66,VALUE('Capacity summary'!AA185)),0),AA66*$BI66),AA66*$BI66),0)</f>
        <v>0</v>
      </c>
      <c r="CE66" s="313">
        <f>IF($BI66&lt;&gt;"",IF('Capacity summary'!$D$14="Yes",IF(COUNTBLANK('Capacity summary'!$H185:$BG185)&lt;52,IF('Capacity summary'!AB185&lt;&gt;"",IF(LOWER('Capacity summary'!AB185)="x",$BI66*AB66,VALUE('Capacity summary'!AB185)),0),AB66*$BI66),AB66*$BI66),0)</f>
        <v>0</v>
      </c>
      <c r="CF66" s="313">
        <f>IF($BI66&lt;&gt;"",IF('Capacity summary'!$D$14="Yes",IF(COUNTBLANK('Capacity summary'!$H185:$BG185)&lt;52,IF('Capacity summary'!AC185&lt;&gt;"",IF(LOWER('Capacity summary'!AC185)="x",$BI66*AC66,VALUE('Capacity summary'!AC185)),0),AC66*$BI66),AC66*$BI66),0)</f>
        <v>0</v>
      </c>
      <c r="CG66" s="313">
        <f>IF($BI66&lt;&gt;"",IF('Capacity summary'!$D$14="Yes",IF(COUNTBLANK('Capacity summary'!$H185:$BG185)&lt;52,IF('Capacity summary'!AD185&lt;&gt;"",IF(LOWER('Capacity summary'!AD185)="x",$BI66*AD66,VALUE('Capacity summary'!AD185)),0),AD66*$BI66),AD66*$BI66),0)</f>
        <v>0</v>
      </c>
      <c r="CH66" s="313">
        <f>IF($BI66&lt;&gt;"",IF('Capacity summary'!$D$14="Yes",IF(COUNTBLANK('Capacity summary'!$H185:$BG185)&lt;52,IF('Capacity summary'!AE185&lt;&gt;"",IF(LOWER('Capacity summary'!AE185)="x",$BI66*AE66,VALUE('Capacity summary'!AE185)),0),AE66*$BI66),AE66*$BI66),0)</f>
        <v>0</v>
      </c>
      <c r="CI66" s="313">
        <f>IF($BI66&lt;&gt;"",IF('Capacity summary'!$D$14="Yes",IF(COUNTBLANK('Capacity summary'!$H185:$BG185)&lt;52,IF('Capacity summary'!AF185&lt;&gt;"",IF(LOWER('Capacity summary'!AF185)="x",$BI66*AF66,VALUE('Capacity summary'!AF185)),0),AF66*$BI66),AF66*$BI66),0)</f>
        <v>0</v>
      </c>
      <c r="CJ66" s="313">
        <f>IF($BI66&lt;&gt;"",IF('Capacity summary'!$D$14="Yes",IF(COUNTBLANK('Capacity summary'!$H185:$BG185)&lt;52,IF('Capacity summary'!AG185&lt;&gt;"",IF(LOWER('Capacity summary'!AG185)="x",$BI66*AG66,VALUE('Capacity summary'!AG185)),0),AG66*$BI66),AG66*$BI66),0)</f>
        <v>0</v>
      </c>
      <c r="CK66" s="313">
        <f>IF($BI66&lt;&gt;"",IF('Capacity summary'!$D$14="Yes",IF(COUNTBLANK('Capacity summary'!$H185:$BG185)&lt;52,IF('Capacity summary'!AH185&lt;&gt;"",IF(LOWER('Capacity summary'!AH185)="x",$BI66*AH66,VALUE('Capacity summary'!AH185)),0),AH66*$BI66),AH66*$BI66),0)</f>
        <v>0</v>
      </c>
      <c r="CL66" s="313">
        <f>IF($BI66&lt;&gt;"",IF('Capacity summary'!$D$14="Yes",IF(COUNTBLANK('Capacity summary'!$H185:$BG185)&lt;52,IF('Capacity summary'!AI185&lt;&gt;"",IF(LOWER('Capacity summary'!AI185)="x",$BI66*AI66,VALUE('Capacity summary'!AI185)),0),AI66*$BI66),AI66*$BI66),0)</f>
        <v>0</v>
      </c>
      <c r="CM66" s="313">
        <f>IF($BI66&lt;&gt;"",IF('Capacity summary'!$D$14="Yes",IF(COUNTBLANK('Capacity summary'!$H185:$BG185)&lt;52,IF('Capacity summary'!AJ185&lt;&gt;"",IF(LOWER('Capacity summary'!AJ185)="x",$BI66*AJ66,VALUE('Capacity summary'!AJ185)),0),AJ66*$BI66),AJ66*$BI66),0)</f>
        <v>0</v>
      </c>
      <c r="CN66" s="313">
        <f>IF($BI66&lt;&gt;"",IF('Capacity summary'!$D$14="Yes",IF(COUNTBLANK('Capacity summary'!$H185:$BG185)&lt;52,IF('Capacity summary'!AK185&lt;&gt;"",IF(LOWER('Capacity summary'!AK185)="x",$BI66*AK66,VALUE('Capacity summary'!AK185)),0),AK66*$BI66),AK66*$BI66),0)</f>
        <v>0</v>
      </c>
      <c r="CO66" s="313">
        <f>IF($BI66&lt;&gt;"",IF('Capacity summary'!$D$14="Yes",IF(COUNTBLANK('Capacity summary'!$H185:$BG185)&lt;52,IF('Capacity summary'!AL185&lt;&gt;"",IF(LOWER('Capacity summary'!AL185)="x",$BI66*AL66,VALUE('Capacity summary'!AL185)),0),AL66*$BI66),AL66*$BI66),0)</f>
        <v>0</v>
      </c>
      <c r="CP66" s="313">
        <f>IF($BI66&lt;&gt;"",IF('Capacity summary'!$D$14="Yes",IF(COUNTBLANK('Capacity summary'!$H185:$BG185)&lt;52,IF('Capacity summary'!AM185&lt;&gt;"",IF(LOWER('Capacity summary'!AM185)="x",$BI66*AM66,VALUE('Capacity summary'!AM185)),0),AM66*$BI66),AM66*$BI66),0)</f>
        <v>0</v>
      </c>
      <c r="CQ66" s="313">
        <f>IF($BI66&lt;&gt;"",IF('Capacity summary'!$D$14="Yes",IF(COUNTBLANK('Capacity summary'!$H185:$BG185)&lt;52,IF('Capacity summary'!AN185&lt;&gt;"",IF(LOWER('Capacity summary'!AN185)="x",$BI66*AN66,VALUE('Capacity summary'!AN185)),0),AN66*$BI66),AN66*$BI66),0)</f>
        <v>0</v>
      </c>
      <c r="CR66" s="313">
        <f>IF($BI66&lt;&gt;"",IF('Capacity summary'!$D$14="Yes",IF(COUNTBLANK('Capacity summary'!$H185:$BG185)&lt;52,IF('Capacity summary'!AO185&lt;&gt;"",IF(LOWER('Capacity summary'!AO185)="x",$BI66*AO66,VALUE('Capacity summary'!AO185)),0),AO66*$BI66),AO66*$BI66),0)</f>
        <v>0</v>
      </c>
      <c r="CS66" s="313">
        <f>IF($BI66&lt;&gt;"",IF('Capacity summary'!$D$14="Yes",IF(COUNTBLANK('Capacity summary'!$H185:$BG185)&lt;52,IF('Capacity summary'!AP185&lt;&gt;"",IF(LOWER('Capacity summary'!AP185)="x",$BI66*AP66,VALUE('Capacity summary'!AP185)),0),AP66*$BI66),AP66*$BI66),0)</f>
        <v>0</v>
      </c>
      <c r="CT66" s="313">
        <f>IF($BI66&lt;&gt;"",IF('Capacity summary'!$D$14="Yes",IF(COUNTBLANK('Capacity summary'!$H185:$BG185)&lt;52,IF('Capacity summary'!AQ185&lt;&gt;"",IF(LOWER('Capacity summary'!AQ185)="x",$BI66*AQ66,VALUE('Capacity summary'!AQ185)),0),AQ66*$BI66),AQ66*$BI66),0)</f>
        <v>0</v>
      </c>
      <c r="CU66" s="313">
        <f>IF($BI66&lt;&gt;"",IF('Capacity summary'!$D$14="Yes",IF(COUNTBLANK('Capacity summary'!$H185:$BG185)&lt;52,IF('Capacity summary'!AR185&lt;&gt;"",IF(LOWER('Capacity summary'!AR185)="x",$BI66*AR66,VALUE('Capacity summary'!AR185)),0),AR66*$BI66),AR66*$BI66),0)</f>
        <v>0</v>
      </c>
      <c r="CV66" s="313">
        <f>IF($BI66&lt;&gt;"",IF('Capacity summary'!$D$14="Yes",IF(COUNTBLANK('Capacity summary'!$H185:$BG185)&lt;52,IF('Capacity summary'!AS185&lt;&gt;"",IF(LOWER('Capacity summary'!AS185)="x",$BI66*AS66,VALUE('Capacity summary'!AS185)),0),AS66*$BI66),AS66*$BI66),0)</f>
        <v>0</v>
      </c>
      <c r="CW66" s="313">
        <f>IF($BI66&lt;&gt;"",IF('Capacity summary'!$D$14="Yes",IF(COUNTBLANK('Capacity summary'!$H185:$BG185)&lt;52,IF('Capacity summary'!AT185&lt;&gt;"",IF(LOWER('Capacity summary'!AT185)="x",$BI66*AT66,VALUE('Capacity summary'!AT185)),0),AT66*$BI66),AT66*$BI66),0)</f>
        <v>0</v>
      </c>
      <c r="CX66" s="313">
        <f>IF($BI66&lt;&gt;"",IF('Capacity summary'!$D$14="Yes",IF(COUNTBLANK('Capacity summary'!$H185:$BG185)&lt;52,IF('Capacity summary'!AU185&lt;&gt;"",IF(LOWER('Capacity summary'!AU185)="x",$BI66*AU66,VALUE('Capacity summary'!AU185)),0),AU66*$BI66),AU66*$BI66),0)</f>
        <v>0</v>
      </c>
      <c r="CY66" s="313">
        <f>IF($BI66&lt;&gt;"",IF('Capacity summary'!$D$14="Yes",IF(COUNTBLANK('Capacity summary'!$H185:$BG185)&lt;52,IF('Capacity summary'!AV185&lt;&gt;"",IF(LOWER('Capacity summary'!AV185)="x",$BI66*AV66,VALUE('Capacity summary'!AV185)),0),AV66*$BI66),AV66*$BI66),0)</f>
        <v>0</v>
      </c>
      <c r="CZ66" s="313">
        <f>IF($BI66&lt;&gt;"",IF('Capacity summary'!$D$14="Yes",IF(COUNTBLANK('Capacity summary'!$H185:$BG185)&lt;52,IF('Capacity summary'!AW185&lt;&gt;"",IF(LOWER('Capacity summary'!AW185)="x",$BI66*AW66,VALUE('Capacity summary'!AW185)),0),AW66*$BI66),AW66*$BI66),0)</f>
        <v>0</v>
      </c>
      <c r="DA66" s="313">
        <f>IF($BI66&lt;&gt;"",IF('Capacity summary'!$D$14="Yes",IF(COUNTBLANK('Capacity summary'!$H185:$BG185)&lt;52,IF('Capacity summary'!AX185&lt;&gt;"",IF(LOWER('Capacity summary'!AX185)="x",$BI66*AX66,VALUE('Capacity summary'!AX185)),0),AX66*$BI66),AX66*$BI66),0)</f>
        <v>0</v>
      </c>
      <c r="DB66" s="313">
        <f>IF($BI66&lt;&gt;"",IF('Capacity summary'!$D$14="Yes",IF(COUNTBLANK('Capacity summary'!$H185:$BG185)&lt;52,IF('Capacity summary'!AY185&lt;&gt;"",IF(LOWER('Capacity summary'!AY185)="x",$BI66*AY66,VALUE('Capacity summary'!AY185)),0),AY66*$BI66),AY66*$BI66),0)</f>
        <v>0</v>
      </c>
      <c r="DC66" s="313">
        <f>IF($BI66&lt;&gt;"",IF('Capacity summary'!$D$14="Yes",IF(COUNTBLANK('Capacity summary'!$H185:$BG185)&lt;52,IF('Capacity summary'!AZ185&lt;&gt;"",IF(LOWER('Capacity summary'!AZ185)="x",$BI66*AZ66,VALUE('Capacity summary'!AZ185)),0),AZ66*$BI66),AZ66*$BI66),0)</f>
        <v>0</v>
      </c>
      <c r="DD66" s="313">
        <f>IF($BI66&lt;&gt;"",IF('Capacity summary'!$D$14="Yes",IF(COUNTBLANK('Capacity summary'!$H185:$BG185)&lt;52,IF('Capacity summary'!BA185&lt;&gt;"",IF(LOWER('Capacity summary'!BA185)="x",$BI66*BA66,VALUE('Capacity summary'!BA185)),0),BA66*$BI66),BA66*$BI66),0)</f>
        <v>0</v>
      </c>
      <c r="DE66" s="313">
        <f>IF($BI66&lt;&gt;"",IF('Capacity summary'!$D$14="Yes",IF(COUNTBLANK('Capacity summary'!$H185:$BG185)&lt;52,IF('Capacity summary'!BB185&lt;&gt;"",IF(LOWER('Capacity summary'!BB185)="x",$BI66*BB66,VALUE('Capacity summary'!BB185)),0),BB66*$BI66),BB66*$BI66),0)</f>
        <v>0</v>
      </c>
      <c r="DF66" s="313">
        <f>IF($BI66&lt;&gt;"",IF('Capacity summary'!$D$14="Yes",IF(COUNTBLANK('Capacity summary'!$H185:$BG185)&lt;52,IF('Capacity summary'!BC185&lt;&gt;"",IF(LOWER('Capacity summary'!BC185)="x",$BI66*BC66,VALUE('Capacity summary'!BC185)),0),BC66*$BI66),BC66*$BI66),0)</f>
        <v>0</v>
      </c>
      <c r="DG66" s="313">
        <f>IF($BI66&lt;&gt;"",IF('Capacity summary'!$D$14="Yes",IF(COUNTBLANK('Capacity summary'!$H185:$BG185)&lt;52,IF('Capacity summary'!BD185&lt;&gt;"",IF(LOWER('Capacity summary'!BD185)="x",$BI66*BD66,VALUE('Capacity summary'!BD185)),0),BD66*$BI66),BD66*$BI66),0)</f>
        <v>0</v>
      </c>
      <c r="DH66" s="313">
        <f>IF($BI66&lt;&gt;"",IF('Capacity summary'!$D$14="Yes",IF(COUNTBLANK('Capacity summary'!$H185:$BG185)&lt;52,IF('Capacity summary'!BE185&lt;&gt;"",IF(LOWER('Capacity summary'!BE185)="x",$BI66*BE66,VALUE('Capacity summary'!BE185)),0),BE66*$BI66),BE66*$BI66),0)</f>
        <v>0</v>
      </c>
      <c r="DI66" s="313">
        <f>IF($BI66&lt;&gt;"",IF('Capacity summary'!$D$14="Yes",IF(COUNTBLANK('Capacity summary'!$H185:$BG185)&lt;52,IF('Capacity summary'!BF185&lt;&gt;"",IF(LOWER('Capacity summary'!BF185)="x",$BI66*BF66,VALUE('Capacity summary'!BF185)),0),BF66*$BI66),BF66*$BI66),0)</f>
        <v>0</v>
      </c>
      <c r="DJ66" s="313">
        <f>IF($BI66&lt;&gt;"",IF('Capacity summary'!$D$14="Yes",IF(COUNTBLANK('Capacity summary'!$H185:$BG185)&lt;52,IF('Capacity summary'!BG185&lt;&gt;"",IF(LOWER('Capacity summary'!BG185)="x",$BI66*BG66,VALUE('Capacity summary'!BG185)),0),BG66*$BI66),BG66*$BI66),0)</f>
        <v>0</v>
      </c>
      <c r="DK66" s="137">
        <f t="shared" si="2"/>
        <v>0</v>
      </c>
      <c r="DL66" s="313" t="str">
        <f>Capacity!H78</f>
        <v/>
      </c>
    </row>
    <row r="67" spans="2:116" x14ac:dyDescent="0.25">
      <c r="B67" s="67"/>
      <c r="C67" s="67" t="str">
        <f>ROW(A63)&amp;". "&amp;Capacity!B79</f>
        <v xml:space="preserve">63. </v>
      </c>
      <c r="D67" s="67">
        <f>'Capacity setup'!C74</f>
        <v>0</v>
      </c>
      <c r="E67" s="67">
        <f>'Capacity setup'!D74</f>
        <v>0</v>
      </c>
      <c r="F67" s="67">
        <f>'Capacity setup'!E74</f>
        <v>0</v>
      </c>
      <c r="H67" s="67">
        <f ca="1">IF(AND(SUMIF(Capacity_Resource,$D67,'Critical resources (hide)'!U$6:U$105)+SUMIF(Capacity_Resource,$E67,'Critical resources (hide)'!U$6:U$105)+SUMIF(Capacity_Resource,$F67,'Critical resources (hide)'!U$6:U$105)&gt;0,$E$1=2),0,1)</f>
        <v>1</v>
      </c>
      <c r="I67" s="67">
        <f ca="1">IF(AND(SUMIF(Capacity_Resource,$D67,'Critical resources (hide)'!V$6:V$105)+SUMIF(Capacity_Resource,$E67,'Critical resources (hide)'!V$6:V$105)+SUMIF(Capacity_Resource,$F67,'Critical resources (hide)'!V$6:V$105)&gt;0,$E$1=2),0,1)</f>
        <v>1</v>
      </c>
      <c r="J67" s="67">
        <f ca="1">IF(AND(SUMIF(Capacity_Resource,$D67,'Critical resources (hide)'!W$6:W$105)+SUMIF(Capacity_Resource,$E67,'Critical resources (hide)'!W$6:W$105)+SUMIF(Capacity_Resource,$F67,'Critical resources (hide)'!W$6:W$105)&gt;0,$E$1=2),0,1)</f>
        <v>1</v>
      </c>
      <c r="K67" s="67">
        <f ca="1">IF(AND(SUMIF(Capacity_Resource,$D67,'Critical resources (hide)'!X$6:X$105)+SUMIF(Capacity_Resource,$E67,'Critical resources (hide)'!X$6:X$105)+SUMIF(Capacity_Resource,$F67,'Critical resources (hide)'!X$6:X$105)&gt;0,$E$1=2),0,1)</f>
        <v>1</v>
      </c>
      <c r="L67" s="67">
        <f ca="1">IF(AND(SUMIF(Capacity_Resource,$D67,'Critical resources (hide)'!Y$6:Y$105)+SUMIF(Capacity_Resource,$E67,'Critical resources (hide)'!Y$6:Y$105)+SUMIF(Capacity_Resource,$F67,'Critical resources (hide)'!Y$6:Y$105)&gt;0,$E$1=2),0,1)</f>
        <v>1</v>
      </c>
      <c r="M67" s="67">
        <f ca="1">IF(AND(SUMIF(Capacity_Resource,$D67,'Critical resources (hide)'!Z$6:Z$105)+SUMIF(Capacity_Resource,$E67,'Critical resources (hide)'!Z$6:Z$105)+SUMIF(Capacity_Resource,$F67,'Critical resources (hide)'!Z$6:Z$105)&gt;0,$E$1=2),0,1)</f>
        <v>1</v>
      </c>
      <c r="N67" s="67">
        <f ca="1">IF(AND(SUMIF(Capacity_Resource,$D67,'Critical resources (hide)'!AA$6:AA$105)+SUMIF(Capacity_Resource,$E67,'Critical resources (hide)'!AA$6:AA$105)+SUMIF(Capacity_Resource,$F67,'Critical resources (hide)'!AA$6:AA$105)&gt;0,$E$1=2),0,1)</f>
        <v>1</v>
      </c>
      <c r="O67" s="67">
        <f ca="1">IF(AND(SUMIF(Capacity_Resource,$D67,'Critical resources (hide)'!AB$6:AB$105)+SUMIF(Capacity_Resource,$E67,'Critical resources (hide)'!AB$6:AB$105)+SUMIF(Capacity_Resource,$F67,'Critical resources (hide)'!AB$6:AB$105)&gt;0,$E$1=2),0,1)</f>
        <v>1</v>
      </c>
      <c r="P67" s="67">
        <f ca="1">IF(AND(SUMIF(Capacity_Resource,$D67,'Critical resources (hide)'!AC$6:AC$105)+SUMIF(Capacity_Resource,$E67,'Critical resources (hide)'!AC$6:AC$105)+SUMIF(Capacity_Resource,$F67,'Critical resources (hide)'!AC$6:AC$105)&gt;0,$E$1=2),0,1)</f>
        <v>1</v>
      </c>
      <c r="Q67" s="67">
        <f ca="1">IF(AND(SUMIF(Capacity_Resource,$D67,'Critical resources (hide)'!AD$6:AD$105)+SUMIF(Capacity_Resource,$E67,'Critical resources (hide)'!AD$6:AD$105)+SUMIF(Capacity_Resource,$F67,'Critical resources (hide)'!AD$6:AD$105)&gt;0,$E$1=2),0,1)</f>
        <v>1</v>
      </c>
      <c r="R67" s="67">
        <f ca="1">IF(AND(SUMIF(Capacity_Resource,$D67,'Critical resources (hide)'!AE$6:AE$105)+SUMIF(Capacity_Resource,$E67,'Critical resources (hide)'!AE$6:AE$105)+SUMIF(Capacity_Resource,$F67,'Critical resources (hide)'!AE$6:AE$105)&gt;0,$E$1=2),0,1)</f>
        <v>1</v>
      </c>
      <c r="S67" s="67">
        <f ca="1">IF(AND(SUMIF(Capacity_Resource,$D67,'Critical resources (hide)'!AF$6:AF$105)+SUMIF(Capacity_Resource,$E67,'Critical resources (hide)'!AF$6:AF$105)+SUMIF(Capacity_Resource,$F67,'Critical resources (hide)'!AF$6:AF$105)&gt;0,$E$1=2),0,1)</f>
        <v>1</v>
      </c>
      <c r="T67" s="67">
        <f ca="1">IF(AND(SUMIF(Capacity_Resource,$D67,'Critical resources (hide)'!AG$6:AG$105)+SUMIF(Capacity_Resource,$E67,'Critical resources (hide)'!AG$6:AG$105)+SUMIF(Capacity_Resource,$F67,'Critical resources (hide)'!AG$6:AG$105)&gt;0,$E$1=2),0,1)</f>
        <v>1</v>
      </c>
      <c r="U67" s="67">
        <f ca="1">IF(AND(SUMIF(Capacity_Resource,$D67,'Critical resources (hide)'!AH$6:AH$105)+SUMIF(Capacity_Resource,$E67,'Critical resources (hide)'!AH$6:AH$105)+SUMIF(Capacity_Resource,$F67,'Critical resources (hide)'!AH$6:AH$105)&gt;0,$E$1=2),0,1)</f>
        <v>1</v>
      </c>
      <c r="V67" s="67">
        <f ca="1">IF(AND(SUMIF(Capacity_Resource,$D67,'Critical resources (hide)'!AI$6:AI$105)+SUMIF(Capacity_Resource,$E67,'Critical resources (hide)'!AI$6:AI$105)+SUMIF(Capacity_Resource,$F67,'Critical resources (hide)'!AI$6:AI$105)&gt;0,$E$1=2),0,1)</f>
        <v>1</v>
      </c>
      <c r="W67" s="67">
        <f ca="1">IF(AND(SUMIF(Capacity_Resource,$D67,'Critical resources (hide)'!AJ$6:AJ$105)+SUMIF(Capacity_Resource,$E67,'Critical resources (hide)'!AJ$6:AJ$105)+SUMIF(Capacity_Resource,$F67,'Critical resources (hide)'!AJ$6:AJ$105)&gt;0,$E$1=2),0,1)</f>
        <v>1</v>
      </c>
      <c r="X67" s="67">
        <f ca="1">IF(AND(SUMIF(Capacity_Resource,$D67,'Critical resources (hide)'!AK$6:AK$105)+SUMIF(Capacity_Resource,$E67,'Critical resources (hide)'!AK$6:AK$105)+SUMIF(Capacity_Resource,$F67,'Critical resources (hide)'!AK$6:AK$105)&gt;0,$E$1=2),0,1)</f>
        <v>1</v>
      </c>
      <c r="Y67" s="67">
        <f ca="1">IF(AND(SUMIF(Capacity_Resource,$D67,'Critical resources (hide)'!AL$6:AL$105)+SUMIF(Capacity_Resource,$E67,'Critical resources (hide)'!AL$6:AL$105)+SUMIF(Capacity_Resource,$F67,'Critical resources (hide)'!AL$6:AL$105)&gt;0,$E$1=2),0,1)</f>
        <v>1</v>
      </c>
      <c r="Z67" s="67">
        <f ca="1">IF(AND(SUMIF(Capacity_Resource,$D67,'Critical resources (hide)'!AM$6:AM$105)+SUMIF(Capacity_Resource,$E67,'Critical resources (hide)'!AM$6:AM$105)+SUMIF(Capacity_Resource,$F67,'Critical resources (hide)'!AM$6:AM$105)&gt;0,$E$1=2),0,1)</f>
        <v>1</v>
      </c>
      <c r="AA67" s="67">
        <f ca="1">IF(AND(SUMIF(Capacity_Resource,$D67,'Critical resources (hide)'!AN$6:AN$105)+SUMIF(Capacity_Resource,$E67,'Critical resources (hide)'!AN$6:AN$105)+SUMIF(Capacity_Resource,$F67,'Critical resources (hide)'!AN$6:AN$105)&gt;0,$E$1=2),0,1)</f>
        <v>1</v>
      </c>
      <c r="AB67" s="67">
        <f ca="1">IF(AND(SUMIF(Capacity_Resource,$D67,'Critical resources (hide)'!AO$6:AO$105)+SUMIF(Capacity_Resource,$E67,'Critical resources (hide)'!AO$6:AO$105)+SUMIF(Capacity_Resource,$F67,'Critical resources (hide)'!AO$6:AO$105)&gt;0,$E$1=2),0,1)</f>
        <v>1</v>
      </c>
      <c r="AC67" s="67">
        <f ca="1">IF(AND(SUMIF(Capacity_Resource,$D67,'Critical resources (hide)'!AP$6:AP$105)+SUMIF(Capacity_Resource,$E67,'Critical resources (hide)'!AP$6:AP$105)+SUMIF(Capacity_Resource,$F67,'Critical resources (hide)'!AP$6:AP$105)&gt;0,$E$1=2),0,1)</f>
        <v>1</v>
      </c>
      <c r="AD67" s="67">
        <f ca="1">IF(AND(SUMIF(Capacity_Resource,$D67,'Critical resources (hide)'!AQ$6:AQ$105)+SUMIF(Capacity_Resource,$E67,'Critical resources (hide)'!AQ$6:AQ$105)+SUMIF(Capacity_Resource,$F67,'Critical resources (hide)'!AQ$6:AQ$105)&gt;0,$E$1=2),0,1)</f>
        <v>1</v>
      </c>
      <c r="AE67" s="67">
        <f ca="1">IF(AND(SUMIF(Capacity_Resource,$D67,'Critical resources (hide)'!AR$6:AR$105)+SUMIF(Capacity_Resource,$E67,'Critical resources (hide)'!AR$6:AR$105)+SUMIF(Capacity_Resource,$F67,'Critical resources (hide)'!AR$6:AR$105)&gt;0,$E$1=2),0,1)</f>
        <v>1</v>
      </c>
      <c r="AF67" s="67">
        <f ca="1">IF(AND(SUMIF(Capacity_Resource,$D67,'Critical resources (hide)'!AS$6:AS$105)+SUMIF(Capacity_Resource,$E67,'Critical resources (hide)'!AS$6:AS$105)+SUMIF(Capacity_Resource,$F67,'Critical resources (hide)'!AS$6:AS$105)&gt;0,$E$1=2),0,1)</f>
        <v>1</v>
      </c>
      <c r="AG67" s="67">
        <f ca="1">IF(AND(SUMIF(Capacity_Resource,$D67,'Critical resources (hide)'!AT$6:AT$105)+SUMIF(Capacity_Resource,$E67,'Critical resources (hide)'!AT$6:AT$105)+SUMIF(Capacity_Resource,$F67,'Critical resources (hide)'!AT$6:AT$105)&gt;0,$E$1=2),0,1)</f>
        <v>1</v>
      </c>
      <c r="AH67" s="67">
        <f ca="1">IF(AND(SUMIF(Capacity_Resource,$D67,'Critical resources (hide)'!AU$6:AU$105)+SUMIF(Capacity_Resource,$E67,'Critical resources (hide)'!AU$6:AU$105)+SUMIF(Capacity_Resource,$F67,'Critical resources (hide)'!AU$6:AU$105)&gt;0,$E$1=2),0,1)</f>
        <v>1</v>
      </c>
      <c r="AI67" s="67">
        <f ca="1">IF(AND(SUMIF(Capacity_Resource,$D67,'Critical resources (hide)'!AV$6:AV$105)+SUMIF(Capacity_Resource,$E67,'Critical resources (hide)'!AV$6:AV$105)+SUMIF(Capacity_Resource,$F67,'Critical resources (hide)'!AV$6:AV$105)&gt;0,$E$1=2),0,1)</f>
        <v>1</v>
      </c>
      <c r="AJ67" s="67">
        <f ca="1">IF(AND(SUMIF(Capacity_Resource,$D67,'Critical resources (hide)'!AW$6:AW$105)+SUMIF(Capacity_Resource,$E67,'Critical resources (hide)'!AW$6:AW$105)+SUMIF(Capacity_Resource,$F67,'Critical resources (hide)'!AW$6:AW$105)&gt;0,$E$1=2),0,1)</f>
        <v>1</v>
      </c>
      <c r="AK67" s="67">
        <f ca="1">IF(AND(SUMIF(Capacity_Resource,$D67,'Critical resources (hide)'!AX$6:AX$105)+SUMIF(Capacity_Resource,$E67,'Critical resources (hide)'!AX$6:AX$105)+SUMIF(Capacity_Resource,$F67,'Critical resources (hide)'!AX$6:AX$105)&gt;0,$E$1=2),0,1)</f>
        <v>1</v>
      </c>
      <c r="AL67" s="67">
        <f ca="1">IF(AND(SUMIF(Capacity_Resource,$D67,'Critical resources (hide)'!AY$6:AY$105)+SUMIF(Capacity_Resource,$E67,'Critical resources (hide)'!AY$6:AY$105)+SUMIF(Capacity_Resource,$F67,'Critical resources (hide)'!AY$6:AY$105)&gt;0,$E$1=2),0,1)</f>
        <v>1</v>
      </c>
      <c r="AM67" s="67">
        <f ca="1">IF(AND(SUMIF(Capacity_Resource,$D67,'Critical resources (hide)'!AZ$6:AZ$105)+SUMIF(Capacity_Resource,$E67,'Critical resources (hide)'!AZ$6:AZ$105)+SUMIF(Capacity_Resource,$F67,'Critical resources (hide)'!AZ$6:AZ$105)&gt;0,$E$1=2),0,1)</f>
        <v>1</v>
      </c>
      <c r="AN67" s="67">
        <f ca="1">IF(AND(SUMIF(Capacity_Resource,$D67,'Critical resources (hide)'!BA$6:BA$105)+SUMIF(Capacity_Resource,$E67,'Critical resources (hide)'!BA$6:BA$105)+SUMIF(Capacity_Resource,$F67,'Critical resources (hide)'!BA$6:BA$105)&gt;0,$E$1=2),0,1)</f>
        <v>1</v>
      </c>
      <c r="AO67" s="67">
        <f ca="1">IF(AND(SUMIF(Capacity_Resource,$D67,'Critical resources (hide)'!BB$6:BB$105)+SUMIF(Capacity_Resource,$E67,'Critical resources (hide)'!BB$6:BB$105)+SUMIF(Capacity_Resource,$F67,'Critical resources (hide)'!BB$6:BB$105)&gt;0,$E$1=2),0,1)</f>
        <v>1</v>
      </c>
      <c r="AP67" s="67">
        <f ca="1">IF(AND(SUMIF(Capacity_Resource,$D67,'Critical resources (hide)'!BC$6:BC$105)+SUMIF(Capacity_Resource,$E67,'Critical resources (hide)'!BC$6:BC$105)+SUMIF(Capacity_Resource,$F67,'Critical resources (hide)'!BC$6:BC$105)&gt;0,$E$1=2),0,1)</f>
        <v>1</v>
      </c>
      <c r="AQ67" s="67">
        <f ca="1">IF(AND(SUMIF(Capacity_Resource,$D67,'Critical resources (hide)'!BD$6:BD$105)+SUMIF(Capacity_Resource,$E67,'Critical resources (hide)'!BD$6:BD$105)+SUMIF(Capacity_Resource,$F67,'Critical resources (hide)'!BD$6:BD$105)&gt;0,$E$1=2),0,1)</f>
        <v>1</v>
      </c>
      <c r="AR67" s="67">
        <f ca="1">IF(AND(SUMIF(Capacity_Resource,$D67,'Critical resources (hide)'!BE$6:BE$105)+SUMIF(Capacity_Resource,$E67,'Critical resources (hide)'!BE$6:BE$105)+SUMIF(Capacity_Resource,$F67,'Critical resources (hide)'!BE$6:BE$105)&gt;0,$E$1=2),0,1)</f>
        <v>1</v>
      </c>
      <c r="AS67" s="67">
        <f ca="1">IF(AND(SUMIF(Capacity_Resource,$D67,'Critical resources (hide)'!BF$6:BF$105)+SUMIF(Capacity_Resource,$E67,'Critical resources (hide)'!BF$6:BF$105)+SUMIF(Capacity_Resource,$F67,'Critical resources (hide)'!BF$6:BF$105)&gt;0,$E$1=2),0,1)</f>
        <v>1</v>
      </c>
      <c r="AT67" s="67">
        <f ca="1">IF(AND(SUMIF(Capacity_Resource,$D67,'Critical resources (hide)'!BG$6:BG$105)+SUMIF(Capacity_Resource,$E67,'Critical resources (hide)'!BG$6:BG$105)+SUMIF(Capacity_Resource,$F67,'Critical resources (hide)'!BG$6:BG$105)&gt;0,$E$1=2),0,1)</f>
        <v>1</v>
      </c>
      <c r="AU67" s="67">
        <f ca="1">IF(AND(SUMIF(Capacity_Resource,$D67,'Critical resources (hide)'!BH$6:BH$105)+SUMIF(Capacity_Resource,$E67,'Critical resources (hide)'!BH$6:BH$105)+SUMIF(Capacity_Resource,$F67,'Critical resources (hide)'!BH$6:BH$105)&gt;0,$E$1=2),0,1)</f>
        <v>1</v>
      </c>
      <c r="AV67" s="67">
        <f ca="1">IF(AND(SUMIF(Capacity_Resource,$D67,'Critical resources (hide)'!BI$6:BI$105)+SUMIF(Capacity_Resource,$E67,'Critical resources (hide)'!BI$6:BI$105)+SUMIF(Capacity_Resource,$F67,'Critical resources (hide)'!BI$6:BI$105)&gt;0,$E$1=2),0,1)</f>
        <v>1</v>
      </c>
      <c r="AW67" s="67">
        <f ca="1">IF(AND(SUMIF(Capacity_Resource,$D67,'Critical resources (hide)'!BJ$6:BJ$105)+SUMIF(Capacity_Resource,$E67,'Critical resources (hide)'!BJ$6:BJ$105)+SUMIF(Capacity_Resource,$F67,'Critical resources (hide)'!BJ$6:BJ$105)&gt;0,$E$1=2),0,1)</f>
        <v>1</v>
      </c>
      <c r="AX67" s="67">
        <f ca="1">IF(AND(SUMIF(Capacity_Resource,$D67,'Critical resources (hide)'!BK$6:BK$105)+SUMIF(Capacity_Resource,$E67,'Critical resources (hide)'!BK$6:BK$105)+SUMIF(Capacity_Resource,$F67,'Critical resources (hide)'!BK$6:BK$105)&gt;0,$E$1=2),0,1)</f>
        <v>1</v>
      </c>
      <c r="AY67" s="67">
        <f ca="1">IF(AND(SUMIF(Capacity_Resource,$D67,'Critical resources (hide)'!BL$6:BL$105)+SUMIF(Capacity_Resource,$E67,'Critical resources (hide)'!BL$6:BL$105)+SUMIF(Capacity_Resource,$F67,'Critical resources (hide)'!BL$6:BL$105)&gt;0,$E$1=2),0,1)</f>
        <v>1</v>
      </c>
      <c r="AZ67" s="67">
        <f ca="1">IF(AND(SUMIF(Capacity_Resource,$D67,'Critical resources (hide)'!BM$6:BM$105)+SUMIF(Capacity_Resource,$E67,'Critical resources (hide)'!BM$6:BM$105)+SUMIF(Capacity_Resource,$F67,'Critical resources (hide)'!BM$6:BM$105)&gt;0,$E$1=2),0,1)</f>
        <v>1</v>
      </c>
      <c r="BA67" s="67">
        <f ca="1">IF(AND(SUMIF(Capacity_Resource,$D67,'Critical resources (hide)'!BN$6:BN$105)+SUMIF(Capacity_Resource,$E67,'Critical resources (hide)'!BN$6:BN$105)+SUMIF(Capacity_Resource,$F67,'Critical resources (hide)'!BN$6:BN$105)&gt;0,$E$1=2),0,1)</f>
        <v>1</v>
      </c>
      <c r="BB67" s="67">
        <f ca="1">IF(AND(SUMIF(Capacity_Resource,$D67,'Critical resources (hide)'!BO$6:BO$105)+SUMIF(Capacity_Resource,$E67,'Critical resources (hide)'!BO$6:BO$105)+SUMIF(Capacity_Resource,$F67,'Critical resources (hide)'!BO$6:BO$105)&gt;0,$E$1=2),0,1)</f>
        <v>1</v>
      </c>
      <c r="BC67" s="67">
        <f ca="1">IF(AND(SUMIF(Capacity_Resource,$D67,'Critical resources (hide)'!BP$6:BP$105)+SUMIF(Capacity_Resource,$E67,'Critical resources (hide)'!BP$6:BP$105)+SUMIF(Capacity_Resource,$F67,'Critical resources (hide)'!BP$6:BP$105)&gt;0,$E$1=2),0,1)</f>
        <v>1</v>
      </c>
      <c r="BD67" s="67">
        <f ca="1">IF(AND(SUMIF(Capacity_Resource,$D67,'Critical resources (hide)'!BQ$6:BQ$105)+SUMIF(Capacity_Resource,$E67,'Critical resources (hide)'!BQ$6:BQ$105)+SUMIF(Capacity_Resource,$F67,'Critical resources (hide)'!BQ$6:BQ$105)&gt;0,$E$1=2),0,1)</f>
        <v>1</v>
      </c>
      <c r="BE67" s="67">
        <f ca="1">IF(AND(SUMIF(Capacity_Resource,$D67,'Critical resources (hide)'!BR$6:BR$105)+SUMIF(Capacity_Resource,$E67,'Critical resources (hide)'!BR$6:BR$105)+SUMIF(Capacity_Resource,$F67,'Critical resources (hide)'!BR$6:BR$105)&gt;0,$E$1=2),0,1)</f>
        <v>1</v>
      </c>
      <c r="BF67" s="67">
        <f ca="1">IF(AND(SUMIF(Capacity_Resource,$D67,'Critical resources (hide)'!BS$6:BS$105)+SUMIF(Capacity_Resource,$E67,'Critical resources (hide)'!BS$6:BS$105)+SUMIF(Capacity_Resource,$F67,'Critical resources (hide)'!BS$6:BS$105)&gt;0,$E$1=2),0,1)</f>
        <v>1</v>
      </c>
      <c r="BG67" s="67">
        <f ca="1">IF(AND(SUMIF(Capacity_Resource,$D67,'Critical resources (hide)'!BT$6:BT$105)+SUMIF(Capacity_Resource,$E67,'Critical resources (hide)'!BT$6:BT$105)+SUMIF(Capacity_Resource,$F67,'Critical resources (hide)'!BT$6:BT$105)&gt;0,$E$1=2),0,1)</f>
        <v>1</v>
      </c>
      <c r="BH67" s="67">
        <f>IF(ROW(C63)&lt;=Capacity!$A$16,IF('Capacity summary'!$D$14="No",SUM(H67:BG67),'Capacity summary'!$E186),0)</f>
        <v>0</v>
      </c>
      <c r="BI67" s="5" t="str">
        <f>IF(BH67&gt;0,IF(BH67&lt;Capacity!E79,Capacity!F79,Capacity!H79/'Capacity calculation (hide)'!BH67),"")</f>
        <v/>
      </c>
      <c r="BK67" s="313">
        <f>IF($BI67&lt;&gt;"",IF('Capacity summary'!$D$14="Yes",IF(COUNTBLANK('Capacity summary'!$H186:$BG186)&lt;52,IF('Capacity summary'!H186&lt;&gt;"",IF(LOWER('Capacity summary'!H186)="x",$BI67*H67,VALUE('Capacity summary'!H186)),0),H67*$BI67),H67*$BI67),0)</f>
        <v>0</v>
      </c>
      <c r="BL67" s="313">
        <f>IF($BI67&lt;&gt;"",IF('Capacity summary'!$D$14="Yes",IF(COUNTBLANK('Capacity summary'!$H186:$BG186)&lt;52,IF('Capacity summary'!I186&lt;&gt;"",IF(LOWER('Capacity summary'!I186)="x",$BI67*I67,VALUE('Capacity summary'!I186)),0),I67*$BI67),I67*$BI67),0)</f>
        <v>0</v>
      </c>
      <c r="BM67" s="313">
        <f>IF($BI67&lt;&gt;"",IF('Capacity summary'!$D$14="Yes",IF(COUNTBLANK('Capacity summary'!$H186:$BG186)&lt;52,IF('Capacity summary'!J186&lt;&gt;"",IF(LOWER('Capacity summary'!J186)="x",$BI67*J67,VALUE('Capacity summary'!J186)),0),J67*$BI67),J67*$BI67),0)</f>
        <v>0</v>
      </c>
      <c r="BN67" s="313">
        <f>IF($BI67&lt;&gt;"",IF('Capacity summary'!$D$14="Yes",IF(COUNTBLANK('Capacity summary'!$H186:$BG186)&lt;52,IF('Capacity summary'!K186&lt;&gt;"",IF(LOWER('Capacity summary'!K186)="x",$BI67*K67,VALUE('Capacity summary'!K186)),0),K67*$BI67),K67*$BI67),0)</f>
        <v>0</v>
      </c>
      <c r="BO67" s="313">
        <f>IF($BI67&lt;&gt;"",IF('Capacity summary'!$D$14="Yes",IF(COUNTBLANK('Capacity summary'!$H186:$BG186)&lt;52,IF('Capacity summary'!L186&lt;&gt;"",IF(LOWER('Capacity summary'!L186)="x",$BI67*L67,VALUE('Capacity summary'!L186)),0),L67*$BI67),L67*$BI67),0)</f>
        <v>0</v>
      </c>
      <c r="BP67" s="313">
        <f>IF($BI67&lt;&gt;"",IF('Capacity summary'!$D$14="Yes",IF(COUNTBLANK('Capacity summary'!$H186:$BG186)&lt;52,IF('Capacity summary'!M186&lt;&gt;"",IF(LOWER('Capacity summary'!M186)="x",$BI67*M67,VALUE('Capacity summary'!M186)),0),M67*$BI67),M67*$BI67),0)</f>
        <v>0</v>
      </c>
      <c r="BQ67" s="313">
        <f>IF($BI67&lt;&gt;"",IF('Capacity summary'!$D$14="Yes",IF(COUNTBLANK('Capacity summary'!$H186:$BG186)&lt;52,IF('Capacity summary'!N186&lt;&gt;"",IF(LOWER('Capacity summary'!N186)="x",$BI67*N67,VALUE('Capacity summary'!N186)),0),N67*$BI67),N67*$BI67),0)</f>
        <v>0</v>
      </c>
      <c r="BR67" s="313">
        <f>IF($BI67&lt;&gt;"",IF('Capacity summary'!$D$14="Yes",IF(COUNTBLANK('Capacity summary'!$H186:$BG186)&lt;52,IF('Capacity summary'!O186&lt;&gt;"",IF(LOWER('Capacity summary'!O186)="x",$BI67*O67,VALUE('Capacity summary'!O186)),0),O67*$BI67),O67*$BI67),0)</f>
        <v>0</v>
      </c>
      <c r="BS67" s="313">
        <f>IF($BI67&lt;&gt;"",IF('Capacity summary'!$D$14="Yes",IF(COUNTBLANK('Capacity summary'!$H186:$BG186)&lt;52,IF('Capacity summary'!P186&lt;&gt;"",IF(LOWER('Capacity summary'!P186)="x",$BI67*P67,VALUE('Capacity summary'!P186)),0),P67*$BI67),P67*$BI67),0)</f>
        <v>0</v>
      </c>
      <c r="BT67" s="313">
        <f>IF($BI67&lt;&gt;"",IF('Capacity summary'!$D$14="Yes",IF(COUNTBLANK('Capacity summary'!$H186:$BG186)&lt;52,IF('Capacity summary'!Q186&lt;&gt;"",IF(LOWER('Capacity summary'!Q186)="x",$BI67*Q67,VALUE('Capacity summary'!Q186)),0),Q67*$BI67),Q67*$BI67),0)</f>
        <v>0</v>
      </c>
      <c r="BU67" s="313">
        <f>IF($BI67&lt;&gt;"",IF('Capacity summary'!$D$14="Yes",IF(COUNTBLANK('Capacity summary'!$H186:$BG186)&lt;52,IF('Capacity summary'!R186&lt;&gt;"",IF(LOWER('Capacity summary'!R186)="x",$BI67*R67,VALUE('Capacity summary'!R186)),0),R67*$BI67),R67*$BI67),0)</f>
        <v>0</v>
      </c>
      <c r="BV67" s="313">
        <f>IF($BI67&lt;&gt;"",IF('Capacity summary'!$D$14="Yes",IF(COUNTBLANK('Capacity summary'!$H186:$BG186)&lt;52,IF('Capacity summary'!S186&lt;&gt;"",IF(LOWER('Capacity summary'!S186)="x",$BI67*S67,VALUE('Capacity summary'!S186)),0),S67*$BI67),S67*$BI67),0)</f>
        <v>0</v>
      </c>
      <c r="BW67" s="313">
        <f>IF($BI67&lt;&gt;"",IF('Capacity summary'!$D$14="Yes",IF(COUNTBLANK('Capacity summary'!$H186:$BG186)&lt;52,IF('Capacity summary'!T186&lt;&gt;"",IF(LOWER('Capacity summary'!T186)="x",$BI67*T67,VALUE('Capacity summary'!T186)),0),T67*$BI67),T67*$BI67),0)</f>
        <v>0</v>
      </c>
      <c r="BX67" s="313">
        <f>IF($BI67&lt;&gt;"",IF('Capacity summary'!$D$14="Yes",IF(COUNTBLANK('Capacity summary'!$H186:$BG186)&lt;52,IF('Capacity summary'!U186&lt;&gt;"",IF(LOWER('Capacity summary'!U186)="x",$BI67*U67,VALUE('Capacity summary'!U186)),0),U67*$BI67),U67*$BI67),0)</f>
        <v>0</v>
      </c>
      <c r="BY67" s="313">
        <f>IF($BI67&lt;&gt;"",IF('Capacity summary'!$D$14="Yes",IF(COUNTBLANK('Capacity summary'!$H186:$BG186)&lt;52,IF('Capacity summary'!V186&lt;&gt;"",IF(LOWER('Capacity summary'!V186)="x",$BI67*V67,VALUE('Capacity summary'!V186)),0),V67*$BI67),V67*$BI67),0)</f>
        <v>0</v>
      </c>
      <c r="BZ67" s="313">
        <f>IF($BI67&lt;&gt;"",IF('Capacity summary'!$D$14="Yes",IF(COUNTBLANK('Capacity summary'!$H186:$BG186)&lt;52,IF('Capacity summary'!W186&lt;&gt;"",IF(LOWER('Capacity summary'!W186)="x",$BI67*W67,VALUE('Capacity summary'!W186)),0),W67*$BI67),W67*$BI67),0)</f>
        <v>0</v>
      </c>
      <c r="CA67" s="313">
        <f>IF($BI67&lt;&gt;"",IF('Capacity summary'!$D$14="Yes",IF(COUNTBLANK('Capacity summary'!$H186:$BG186)&lt;52,IF('Capacity summary'!X186&lt;&gt;"",IF(LOWER('Capacity summary'!X186)="x",$BI67*X67,VALUE('Capacity summary'!X186)),0),X67*$BI67),X67*$BI67),0)</f>
        <v>0</v>
      </c>
      <c r="CB67" s="313">
        <f>IF($BI67&lt;&gt;"",IF('Capacity summary'!$D$14="Yes",IF(COUNTBLANK('Capacity summary'!$H186:$BG186)&lt;52,IF('Capacity summary'!Y186&lt;&gt;"",IF(LOWER('Capacity summary'!Y186)="x",$BI67*Y67,VALUE('Capacity summary'!Y186)),0),Y67*$BI67),Y67*$BI67),0)</f>
        <v>0</v>
      </c>
      <c r="CC67" s="313">
        <f>IF($BI67&lt;&gt;"",IF('Capacity summary'!$D$14="Yes",IF(COUNTBLANK('Capacity summary'!$H186:$BG186)&lt;52,IF('Capacity summary'!Z186&lt;&gt;"",IF(LOWER('Capacity summary'!Z186)="x",$BI67*Z67,VALUE('Capacity summary'!Z186)),0),Z67*$BI67),Z67*$BI67),0)</f>
        <v>0</v>
      </c>
      <c r="CD67" s="313">
        <f>IF($BI67&lt;&gt;"",IF('Capacity summary'!$D$14="Yes",IF(COUNTBLANK('Capacity summary'!$H186:$BG186)&lt;52,IF('Capacity summary'!AA186&lt;&gt;"",IF(LOWER('Capacity summary'!AA186)="x",$BI67*AA67,VALUE('Capacity summary'!AA186)),0),AA67*$BI67),AA67*$BI67),0)</f>
        <v>0</v>
      </c>
      <c r="CE67" s="313">
        <f>IF($BI67&lt;&gt;"",IF('Capacity summary'!$D$14="Yes",IF(COUNTBLANK('Capacity summary'!$H186:$BG186)&lt;52,IF('Capacity summary'!AB186&lt;&gt;"",IF(LOWER('Capacity summary'!AB186)="x",$BI67*AB67,VALUE('Capacity summary'!AB186)),0),AB67*$BI67),AB67*$BI67),0)</f>
        <v>0</v>
      </c>
      <c r="CF67" s="313">
        <f>IF($BI67&lt;&gt;"",IF('Capacity summary'!$D$14="Yes",IF(COUNTBLANK('Capacity summary'!$H186:$BG186)&lt;52,IF('Capacity summary'!AC186&lt;&gt;"",IF(LOWER('Capacity summary'!AC186)="x",$BI67*AC67,VALUE('Capacity summary'!AC186)),0),AC67*$BI67),AC67*$BI67),0)</f>
        <v>0</v>
      </c>
      <c r="CG67" s="313">
        <f>IF($BI67&lt;&gt;"",IF('Capacity summary'!$D$14="Yes",IF(COUNTBLANK('Capacity summary'!$H186:$BG186)&lt;52,IF('Capacity summary'!AD186&lt;&gt;"",IF(LOWER('Capacity summary'!AD186)="x",$BI67*AD67,VALUE('Capacity summary'!AD186)),0),AD67*$BI67),AD67*$BI67),0)</f>
        <v>0</v>
      </c>
      <c r="CH67" s="313">
        <f>IF($BI67&lt;&gt;"",IF('Capacity summary'!$D$14="Yes",IF(COUNTBLANK('Capacity summary'!$H186:$BG186)&lt;52,IF('Capacity summary'!AE186&lt;&gt;"",IF(LOWER('Capacity summary'!AE186)="x",$BI67*AE67,VALUE('Capacity summary'!AE186)),0),AE67*$BI67),AE67*$BI67),0)</f>
        <v>0</v>
      </c>
      <c r="CI67" s="313">
        <f>IF($BI67&lt;&gt;"",IF('Capacity summary'!$D$14="Yes",IF(COUNTBLANK('Capacity summary'!$H186:$BG186)&lt;52,IF('Capacity summary'!AF186&lt;&gt;"",IF(LOWER('Capacity summary'!AF186)="x",$BI67*AF67,VALUE('Capacity summary'!AF186)),0),AF67*$BI67),AF67*$BI67),0)</f>
        <v>0</v>
      </c>
      <c r="CJ67" s="313">
        <f>IF($BI67&lt;&gt;"",IF('Capacity summary'!$D$14="Yes",IF(COUNTBLANK('Capacity summary'!$H186:$BG186)&lt;52,IF('Capacity summary'!AG186&lt;&gt;"",IF(LOWER('Capacity summary'!AG186)="x",$BI67*AG67,VALUE('Capacity summary'!AG186)),0),AG67*$BI67),AG67*$BI67),0)</f>
        <v>0</v>
      </c>
      <c r="CK67" s="313">
        <f>IF($BI67&lt;&gt;"",IF('Capacity summary'!$D$14="Yes",IF(COUNTBLANK('Capacity summary'!$H186:$BG186)&lt;52,IF('Capacity summary'!AH186&lt;&gt;"",IF(LOWER('Capacity summary'!AH186)="x",$BI67*AH67,VALUE('Capacity summary'!AH186)),0),AH67*$BI67),AH67*$BI67),0)</f>
        <v>0</v>
      </c>
      <c r="CL67" s="313">
        <f>IF($BI67&lt;&gt;"",IF('Capacity summary'!$D$14="Yes",IF(COUNTBLANK('Capacity summary'!$H186:$BG186)&lt;52,IF('Capacity summary'!AI186&lt;&gt;"",IF(LOWER('Capacity summary'!AI186)="x",$BI67*AI67,VALUE('Capacity summary'!AI186)),0),AI67*$BI67),AI67*$BI67),0)</f>
        <v>0</v>
      </c>
      <c r="CM67" s="313">
        <f>IF($BI67&lt;&gt;"",IF('Capacity summary'!$D$14="Yes",IF(COUNTBLANK('Capacity summary'!$H186:$BG186)&lt;52,IF('Capacity summary'!AJ186&lt;&gt;"",IF(LOWER('Capacity summary'!AJ186)="x",$BI67*AJ67,VALUE('Capacity summary'!AJ186)),0),AJ67*$BI67),AJ67*$BI67),0)</f>
        <v>0</v>
      </c>
      <c r="CN67" s="313">
        <f>IF($BI67&lt;&gt;"",IF('Capacity summary'!$D$14="Yes",IF(COUNTBLANK('Capacity summary'!$H186:$BG186)&lt;52,IF('Capacity summary'!AK186&lt;&gt;"",IF(LOWER('Capacity summary'!AK186)="x",$BI67*AK67,VALUE('Capacity summary'!AK186)),0),AK67*$BI67),AK67*$BI67),0)</f>
        <v>0</v>
      </c>
      <c r="CO67" s="313">
        <f>IF($BI67&lt;&gt;"",IF('Capacity summary'!$D$14="Yes",IF(COUNTBLANK('Capacity summary'!$H186:$BG186)&lt;52,IF('Capacity summary'!AL186&lt;&gt;"",IF(LOWER('Capacity summary'!AL186)="x",$BI67*AL67,VALUE('Capacity summary'!AL186)),0),AL67*$BI67),AL67*$BI67),0)</f>
        <v>0</v>
      </c>
      <c r="CP67" s="313">
        <f>IF($BI67&lt;&gt;"",IF('Capacity summary'!$D$14="Yes",IF(COUNTBLANK('Capacity summary'!$H186:$BG186)&lt;52,IF('Capacity summary'!AM186&lt;&gt;"",IF(LOWER('Capacity summary'!AM186)="x",$BI67*AM67,VALUE('Capacity summary'!AM186)),0),AM67*$BI67),AM67*$BI67),0)</f>
        <v>0</v>
      </c>
      <c r="CQ67" s="313">
        <f>IF($BI67&lt;&gt;"",IF('Capacity summary'!$D$14="Yes",IF(COUNTBLANK('Capacity summary'!$H186:$BG186)&lt;52,IF('Capacity summary'!AN186&lt;&gt;"",IF(LOWER('Capacity summary'!AN186)="x",$BI67*AN67,VALUE('Capacity summary'!AN186)),0),AN67*$BI67),AN67*$BI67),0)</f>
        <v>0</v>
      </c>
      <c r="CR67" s="313">
        <f>IF($BI67&lt;&gt;"",IF('Capacity summary'!$D$14="Yes",IF(COUNTBLANK('Capacity summary'!$H186:$BG186)&lt;52,IF('Capacity summary'!AO186&lt;&gt;"",IF(LOWER('Capacity summary'!AO186)="x",$BI67*AO67,VALUE('Capacity summary'!AO186)),0),AO67*$BI67),AO67*$BI67),0)</f>
        <v>0</v>
      </c>
      <c r="CS67" s="313">
        <f>IF($BI67&lt;&gt;"",IF('Capacity summary'!$D$14="Yes",IF(COUNTBLANK('Capacity summary'!$H186:$BG186)&lt;52,IF('Capacity summary'!AP186&lt;&gt;"",IF(LOWER('Capacity summary'!AP186)="x",$BI67*AP67,VALUE('Capacity summary'!AP186)),0),AP67*$BI67),AP67*$BI67),0)</f>
        <v>0</v>
      </c>
      <c r="CT67" s="313">
        <f>IF($BI67&lt;&gt;"",IF('Capacity summary'!$D$14="Yes",IF(COUNTBLANK('Capacity summary'!$H186:$BG186)&lt;52,IF('Capacity summary'!AQ186&lt;&gt;"",IF(LOWER('Capacity summary'!AQ186)="x",$BI67*AQ67,VALUE('Capacity summary'!AQ186)),0),AQ67*$BI67),AQ67*$BI67),0)</f>
        <v>0</v>
      </c>
      <c r="CU67" s="313">
        <f>IF($BI67&lt;&gt;"",IF('Capacity summary'!$D$14="Yes",IF(COUNTBLANK('Capacity summary'!$H186:$BG186)&lt;52,IF('Capacity summary'!AR186&lt;&gt;"",IF(LOWER('Capacity summary'!AR186)="x",$BI67*AR67,VALUE('Capacity summary'!AR186)),0),AR67*$BI67),AR67*$BI67),0)</f>
        <v>0</v>
      </c>
      <c r="CV67" s="313">
        <f>IF($BI67&lt;&gt;"",IF('Capacity summary'!$D$14="Yes",IF(COUNTBLANK('Capacity summary'!$H186:$BG186)&lt;52,IF('Capacity summary'!AS186&lt;&gt;"",IF(LOWER('Capacity summary'!AS186)="x",$BI67*AS67,VALUE('Capacity summary'!AS186)),0),AS67*$BI67),AS67*$BI67),0)</f>
        <v>0</v>
      </c>
      <c r="CW67" s="313">
        <f>IF($BI67&lt;&gt;"",IF('Capacity summary'!$D$14="Yes",IF(COUNTBLANK('Capacity summary'!$H186:$BG186)&lt;52,IF('Capacity summary'!AT186&lt;&gt;"",IF(LOWER('Capacity summary'!AT186)="x",$BI67*AT67,VALUE('Capacity summary'!AT186)),0),AT67*$BI67),AT67*$BI67),0)</f>
        <v>0</v>
      </c>
      <c r="CX67" s="313">
        <f>IF($BI67&lt;&gt;"",IF('Capacity summary'!$D$14="Yes",IF(COUNTBLANK('Capacity summary'!$H186:$BG186)&lt;52,IF('Capacity summary'!AU186&lt;&gt;"",IF(LOWER('Capacity summary'!AU186)="x",$BI67*AU67,VALUE('Capacity summary'!AU186)),0),AU67*$BI67),AU67*$BI67),0)</f>
        <v>0</v>
      </c>
      <c r="CY67" s="313">
        <f>IF($BI67&lt;&gt;"",IF('Capacity summary'!$D$14="Yes",IF(COUNTBLANK('Capacity summary'!$H186:$BG186)&lt;52,IF('Capacity summary'!AV186&lt;&gt;"",IF(LOWER('Capacity summary'!AV186)="x",$BI67*AV67,VALUE('Capacity summary'!AV186)),0),AV67*$BI67),AV67*$BI67),0)</f>
        <v>0</v>
      </c>
      <c r="CZ67" s="313">
        <f>IF($BI67&lt;&gt;"",IF('Capacity summary'!$D$14="Yes",IF(COUNTBLANK('Capacity summary'!$H186:$BG186)&lt;52,IF('Capacity summary'!AW186&lt;&gt;"",IF(LOWER('Capacity summary'!AW186)="x",$BI67*AW67,VALUE('Capacity summary'!AW186)),0),AW67*$BI67),AW67*$BI67),0)</f>
        <v>0</v>
      </c>
      <c r="DA67" s="313">
        <f>IF($BI67&lt;&gt;"",IF('Capacity summary'!$D$14="Yes",IF(COUNTBLANK('Capacity summary'!$H186:$BG186)&lt;52,IF('Capacity summary'!AX186&lt;&gt;"",IF(LOWER('Capacity summary'!AX186)="x",$BI67*AX67,VALUE('Capacity summary'!AX186)),0),AX67*$BI67),AX67*$BI67),0)</f>
        <v>0</v>
      </c>
      <c r="DB67" s="313">
        <f>IF($BI67&lt;&gt;"",IF('Capacity summary'!$D$14="Yes",IF(COUNTBLANK('Capacity summary'!$H186:$BG186)&lt;52,IF('Capacity summary'!AY186&lt;&gt;"",IF(LOWER('Capacity summary'!AY186)="x",$BI67*AY67,VALUE('Capacity summary'!AY186)),0),AY67*$BI67),AY67*$BI67),0)</f>
        <v>0</v>
      </c>
      <c r="DC67" s="313">
        <f>IF($BI67&lt;&gt;"",IF('Capacity summary'!$D$14="Yes",IF(COUNTBLANK('Capacity summary'!$H186:$BG186)&lt;52,IF('Capacity summary'!AZ186&lt;&gt;"",IF(LOWER('Capacity summary'!AZ186)="x",$BI67*AZ67,VALUE('Capacity summary'!AZ186)),0),AZ67*$BI67),AZ67*$BI67),0)</f>
        <v>0</v>
      </c>
      <c r="DD67" s="313">
        <f>IF($BI67&lt;&gt;"",IF('Capacity summary'!$D$14="Yes",IF(COUNTBLANK('Capacity summary'!$H186:$BG186)&lt;52,IF('Capacity summary'!BA186&lt;&gt;"",IF(LOWER('Capacity summary'!BA186)="x",$BI67*BA67,VALUE('Capacity summary'!BA186)),0),BA67*$BI67),BA67*$BI67),0)</f>
        <v>0</v>
      </c>
      <c r="DE67" s="313">
        <f>IF($BI67&lt;&gt;"",IF('Capacity summary'!$D$14="Yes",IF(COUNTBLANK('Capacity summary'!$H186:$BG186)&lt;52,IF('Capacity summary'!BB186&lt;&gt;"",IF(LOWER('Capacity summary'!BB186)="x",$BI67*BB67,VALUE('Capacity summary'!BB186)),0),BB67*$BI67),BB67*$BI67),0)</f>
        <v>0</v>
      </c>
      <c r="DF67" s="313">
        <f>IF($BI67&lt;&gt;"",IF('Capacity summary'!$D$14="Yes",IF(COUNTBLANK('Capacity summary'!$H186:$BG186)&lt;52,IF('Capacity summary'!BC186&lt;&gt;"",IF(LOWER('Capacity summary'!BC186)="x",$BI67*BC67,VALUE('Capacity summary'!BC186)),0),BC67*$BI67),BC67*$BI67),0)</f>
        <v>0</v>
      </c>
      <c r="DG67" s="313">
        <f>IF($BI67&lt;&gt;"",IF('Capacity summary'!$D$14="Yes",IF(COUNTBLANK('Capacity summary'!$H186:$BG186)&lt;52,IF('Capacity summary'!BD186&lt;&gt;"",IF(LOWER('Capacity summary'!BD186)="x",$BI67*BD67,VALUE('Capacity summary'!BD186)),0),BD67*$BI67),BD67*$BI67),0)</f>
        <v>0</v>
      </c>
      <c r="DH67" s="313">
        <f>IF($BI67&lt;&gt;"",IF('Capacity summary'!$D$14="Yes",IF(COUNTBLANK('Capacity summary'!$H186:$BG186)&lt;52,IF('Capacity summary'!BE186&lt;&gt;"",IF(LOWER('Capacity summary'!BE186)="x",$BI67*BE67,VALUE('Capacity summary'!BE186)),0),BE67*$BI67),BE67*$BI67),0)</f>
        <v>0</v>
      </c>
      <c r="DI67" s="313">
        <f>IF($BI67&lt;&gt;"",IF('Capacity summary'!$D$14="Yes",IF(COUNTBLANK('Capacity summary'!$H186:$BG186)&lt;52,IF('Capacity summary'!BF186&lt;&gt;"",IF(LOWER('Capacity summary'!BF186)="x",$BI67*BF67,VALUE('Capacity summary'!BF186)),0),BF67*$BI67),BF67*$BI67),0)</f>
        <v>0</v>
      </c>
      <c r="DJ67" s="313">
        <f>IF($BI67&lt;&gt;"",IF('Capacity summary'!$D$14="Yes",IF(COUNTBLANK('Capacity summary'!$H186:$BG186)&lt;52,IF('Capacity summary'!BG186&lt;&gt;"",IF(LOWER('Capacity summary'!BG186)="x",$BI67*BG67,VALUE('Capacity summary'!BG186)),0),BG67*$BI67),BG67*$BI67),0)</f>
        <v>0</v>
      </c>
      <c r="DK67" s="137">
        <f t="shared" si="2"/>
        <v>0</v>
      </c>
      <c r="DL67" s="313" t="str">
        <f>Capacity!H79</f>
        <v/>
      </c>
    </row>
    <row r="68" spans="2:116" x14ac:dyDescent="0.25">
      <c r="B68" s="67"/>
      <c r="C68" s="67" t="str">
        <f>ROW(A64)&amp;". "&amp;Capacity!B80</f>
        <v xml:space="preserve">64. </v>
      </c>
      <c r="D68" s="67">
        <f>'Capacity setup'!C75</f>
        <v>0</v>
      </c>
      <c r="E68" s="67">
        <f>'Capacity setup'!D75</f>
        <v>0</v>
      </c>
      <c r="F68" s="67">
        <f>'Capacity setup'!E75</f>
        <v>0</v>
      </c>
      <c r="H68" s="67">
        <f ca="1">IF(AND(SUMIF(Capacity_Resource,$D68,'Critical resources (hide)'!U$6:U$105)+SUMIF(Capacity_Resource,$E68,'Critical resources (hide)'!U$6:U$105)+SUMIF(Capacity_Resource,$F68,'Critical resources (hide)'!U$6:U$105)&gt;0,$E$1=2),0,1)</f>
        <v>1</v>
      </c>
      <c r="I68" s="67">
        <f ca="1">IF(AND(SUMIF(Capacity_Resource,$D68,'Critical resources (hide)'!V$6:V$105)+SUMIF(Capacity_Resource,$E68,'Critical resources (hide)'!V$6:V$105)+SUMIF(Capacity_Resource,$F68,'Critical resources (hide)'!V$6:V$105)&gt;0,$E$1=2),0,1)</f>
        <v>1</v>
      </c>
      <c r="J68" s="67">
        <f ca="1">IF(AND(SUMIF(Capacity_Resource,$D68,'Critical resources (hide)'!W$6:W$105)+SUMIF(Capacity_Resource,$E68,'Critical resources (hide)'!W$6:W$105)+SUMIF(Capacity_Resource,$F68,'Critical resources (hide)'!W$6:W$105)&gt;0,$E$1=2),0,1)</f>
        <v>1</v>
      </c>
      <c r="K68" s="67">
        <f ca="1">IF(AND(SUMIF(Capacity_Resource,$D68,'Critical resources (hide)'!X$6:X$105)+SUMIF(Capacity_Resource,$E68,'Critical resources (hide)'!X$6:X$105)+SUMIF(Capacity_Resource,$F68,'Critical resources (hide)'!X$6:X$105)&gt;0,$E$1=2),0,1)</f>
        <v>1</v>
      </c>
      <c r="L68" s="67">
        <f ca="1">IF(AND(SUMIF(Capacity_Resource,$D68,'Critical resources (hide)'!Y$6:Y$105)+SUMIF(Capacity_Resource,$E68,'Critical resources (hide)'!Y$6:Y$105)+SUMIF(Capacity_Resource,$F68,'Critical resources (hide)'!Y$6:Y$105)&gt;0,$E$1=2),0,1)</f>
        <v>1</v>
      </c>
      <c r="M68" s="67">
        <f ca="1">IF(AND(SUMIF(Capacity_Resource,$D68,'Critical resources (hide)'!Z$6:Z$105)+SUMIF(Capacity_Resource,$E68,'Critical resources (hide)'!Z$6:Z$105)+SUMIF(Capacity_Resource,$F68,'Critical resources (hide)'!Z$6:Z$105)&gt;0,$E$1=2),0,1)</f>
        <v>1</v>
      </c>
      <c r="N68" s="67">
        <f ca="1">IF(AND(SUMIF(Capacity_Resource,$D68,'Critical resources (hide)'!AA$6:AA$105)+SUMIF(Capacity_Resource,$E68,'Critical resources (hide)'!AA$6:AA$105)+SUMIF(Capacity_Resource,$F68,'Critical resources (hide)'!AA$6:AA$105)&gt;0,$E$1=2),0,1)</f>
        <v>1</v>
      </c>
      <c r="O68" s="67">
        <f ca="1">IF(AND(SUMIF(Capacity_Resource,$D68,'Critical resources (hide)'!AB$6:AB$105)+SUMIF(Capacity_Resource,$E68,'Critical resources (hide)'!AB$6:AB$105)+SUMIF(Capacity_Resource,$F68,'Critical resources (hide)'!AB$6:AB$105)&gt;0,$E$1=2),0,1)</f>
        <v>1</v>
      </c>
      <c r="P68" s="67">
        <f ca="1">IF(AND(SUMIF(Capacity_Resource,$D68,'Critical resources (hide)'!AC$6:AC$105)+SUMIF(Capacity_Resource,$E68,'Critical resources (hide)'!AC$6:AC$105)+SUMIF(Capacity_Resource,$F68,'Critical resources (hide)'!AC$6:AC$105)&gt;0,$E$1=2),0,1)</f>
        <v>1</v>
      </c>
      <c r="Q68" s="67">
        <f ca="1">IF(AND(SUMIF(Capacity_Resource,$D68,'Critical resources (hide)'!AD$6:AD$105)+SUMIF(Capacity_Resource,$E68,'Critical resources (hide)'!AD$6:AD$105)+SUMIF(Capacity_Resource,$F68,'Critical resources (hide)'!AD$6:AD$105)&gt;0,$E$1=2),0,1)</f>
        <v>1</v>
      </c>
      <c r="R68" s="67">
        <f ca="1">IF(AND(SUMIF(Capacity_Resource,$D68,'Critical resources (hide)'!AE$6:AE$105)+SUMIF(Capacity_Resource,$E68,'Critical resources (hide)'!AE$6:AE$105)+SUMIF(Capacity_Resource,$F68,'Critical resources (hide)'!AE$6:AE$105)&gt;0,$E$1=2),0,1)</f>
        <v>1</v>
      </c>
      <c r="S68" s="67">
        <f ca="1">IF(AND(SUMIF(Capacity_Resource,$D68,'Critical resources (hide)'!AF$6:AF$105)+SUMIF(Capacity_Resource,$E68,'Critical resources (hide)'!AF$6:AF$105)+SUMIF(Capacity_Resource,$F68,'Critical resources (hide)'!AF$6:AF$105)&gt;0,$E$1=2),0,1)</f>
        <v>1</v>
      </c>
      <c r="T68" s="67">
        <f ca="1">IF(AND(SUMIF(Capacity_Resource,$D68,'Critical resources (hide)'!AG$6:AG$105)+SUMIF(Capacity_Resource,$E68,'Critical resources (hide)'!AG$6:AG$105)+SUMIF(Capacity_Resource,$F68,'Critical resources (hide)'!AG$6:AG$105)&gt;0,$E$1=2),0,1)</f>
        <v>1</v>
      </c>
      <c r="U68" s="67">
        <f ca="1">IF(AND(SUMIF(Capacity_Resource,$D68,'Critical resources (hide)'!AH$6:AH$105)+SUMIF(Capacity_Resource,$E68,'Critical resources (hide)'!AH$6:AH$105)+SUMIF(Capacity_Resource,$F68,'Critical resources (hide)'!AH$6:AH$105)&gt;0,$E$1=2),0,1)</f>
        <v>1</v>
      </c>
      <c r="V68" s="67">
        <f ca="1">IF(AND(SUMIF(Capacity_Resource,$D68,'Critical resources (hide)'!AI$6:AI$105)+SUMIF(Capacity_Resource,$E68,'Critical resources (hide)'!AI$6:AI$105)+SUMIF(Capacity_Resource,$F68,'Critical resources (hide)'!AI$6:AI$105)&gt;0,$E$1=2),0,1)</f>
        <v>1</v>
      </c>
      <c r="W68" s="67">
        <f ca="1">IF(AND(SUMIF(Capacity_Resource,$D68,'Critical resources (hide)'!AJ$6:AJ$105)+SUMIF(Capacity_Resource,$E68,'Critical resources (hide)'!AJ$6:AJ$105)+SUMIF(Capacity_Resource,$F68,'Critical resources (hide)'!AJ$6:AJ$105)&gt;0,$E$1=2),0,1)</f>
        <v>1</v>
      </c>
      <c r="X68" s="67">
        <f ca="1">IF(AND(SUMIF(Capacity_Resource,$D68,'Critical resources (hide)'!AK$6:AK$105)+SUMIF(Capacity_Resource,$E68,'Critical resources (hide)'!AK$6:AK$105)+SUMIF(Capacity_Resource,$F68,'Critical resources (hide)'!AK$6:AK$105)&gt;0,$E$1=2),0,1)</f>
        <v>1</v>
      </c>
      <c r="Y68" s="67">
        <f ca="1">IF(AND(SUMIF(Capacity_Resource,$D68,'Critical resources (hide)'!AL$6:AL$105)+SUMIF(Capacity_Resource,$E68,'Critical resources (hide)'!AL$6:AL$105)+SUMIF(Capacity_Resource,$F68,'Critical resources (hide)'!AL$6:AL$105)&gt;0,$E$1=2),0,1)</f>
        <v>1</v>
      </c>
      <c r="Z68" s="67">
        <f ca="1">IF(AND(SUMIF(Capacity_Resource,$D68,'Critical resources (hide)'!AM$6:AM$105)+SUMIF(Capacity_Resource,$E68,'Critical resources (hide)'!AM$6:AM$105)+SUMIF(Capacity_Resource,$F68,'Critical resources (hide)'!AM$6:AM$105)&gt;0,$E$1=2),0,1)</f>
        <v>1</v>
      </c>
      <c r="AA68" s="67">
        <f ca="1">IF(AND(SUMIF(Capacity_Resource,$D68,'Critical resources (hide)'!AN$6:AN$105)+SUMIF(Capacity_Resource,$E68,'Critical resources (hide)'!AN$6:AN$105)+SUMIF(Capacity_Resource,$F68,'Critical resources (hide)'!AN$6:AN$105)&gt;0,$E$1=2),0,1)</f>
        <v>1</v>
      </c>
      <c r="AB68" s="67">
        <f ca="1">IF(AND(SUMIF(Capacity_Resource,$D68,'Critical resources (hide)'!AO$6:AO$105)+SUMIF(Capacity_Resource,$E68,'Critical resources (hide)'!AO$6:AO$105)+SUMIF(Capacity_Resource,$F68,'Critical resources (hide)'!AO$6:AO$105)&gt;0,$E$1=2),0,1)</f>
        <v>1</v>
      </c>
      <c r="AC68" s="67">
        <f ca="1">IF(AND(SUMIF(Capacity_Resource,$D68,'Critical resources (hide)'!AP$6:AP$105)+SUMIF(Capacity_Resource,$E68,'Critical resources (hide)'!AP$6:AP$105)+SUMIF(Capacity_Resource,$F68,'Critical resources (hide)'!AP$6:AP$105)&gt;0,$E$1=2),0,1)</f>
        <v>1</v>
      </c>
      <c r="AD68" s="67">
        <f ca="1">IF(AND(SUMIF(Capacity_Resource,$D68,'Critical resources (hide)'!AQ$6:AQ$105)+SUMIF(Capacity_Resource,$E68,'Critical resources (hide)'!AQ$6:AQ$105)+SUMIF(Capacity_Resource,$F68,'Critical resources (hide)'!AQ$6:AQ$105)&gt;0,$E$1=2),0,1)</f>
        <v>1</v>
      </c>
      <c r="AE68" s="67">
        <f ca="1">IF(AND(SUMIF(Capacity_Resource,$D68,'Critical resources (hide)'!AR$6:AR$105)+SUMIF(Capacity_Resource,$E68,'Critical resources (hide)'!AR$6:AR$105)+SUMIF(Capacity_Resource,$F68,'Critical resources (hide)'!AR$6:AR$105)&gt;0,$E$1=2),0,1)</f>
        <v>1</v>
      </c>
      <c r="AF68" s="67">
        <f ca="1">IF(AND(SUMIF(Capacity_Resource,$D68,'Critical resources (hide)'!AS$6:AS$105)+SUMIF(Capacity_Resource,$E68,'Critical resources (hide)'!AS$6:AS$105)+SUMIF(Capacity_Resource,$F68,'Critical resources (hide)'!AS$6:AS$105)&gt;0,$E$1=2),0,1)</f>
        <v>1</v>
      </c>
      <c r="AG68" s="67">
        <f ca="1">IF(AND(SUMIF(Capacity_Resource,$D68,'Critical resources (hide)'!AT$6:AT$105)+SUMIF(Capacity_Resource,$E68,'Critical resources (hide)'!AT$6:AT$105)+SUMIF(Capacity_Resource,$F68,'Critical resources (hide)'!AT$6:AT$105)&gt;0,$E$1=2),0,1)</f>
        <v>1</v>
      </c>
      <c r="AH68" s="67">
        <f ca="1">IF(AND(SUMIF(Capacity_Resource,$D68,'Critical resources (hide)'!AU$6:AU$105)+SUMIF(Capacity_Resource,$E68,'Critical resources (hide)'!AU$6:AU$105)+SUMIF(Capacity_Resource,$F68,'Critical resources (hide)'!AU$6:AU$105)&gt;0,$E$1=2),0,1)</f>
        <v>1</v>
      </c>
      <c r="AI68" s="67">
        <f ca="1">IF(AND(SUMIF(Capacity_Resource,$D68,'Critical resources (hide)'!AV$6:AV$105)+SUMIF(Capacity_Resource,$E68,'Critical resources (hide)'!AV$6:AV$105)+SUMIF(Capacity_Resource,$F68,'Critical resources (hide)'!AV$6:AV$105)&gt;0,$E$1=2),0,1)</f>
        <v>1</v>
      </c>
      <c r="AJ68" s="67">
        <f ca="1">IF(AND(SUMIF(Capacity_Resource,$D68,'Critical resources (hide)'!AW$6:AW$105)+SUMIF(Capacity_Resource,$E68,'Critical resources (hide)'!AW$6:AW$105)+SUMIF(Capacity_Resource,$F68,'Critical resources (hide)'!AW$6:AW$105)&gt;0,$E$1=2),0,1)</f>
        <v>1</v>
      </c>
      <c r="AK68" s="67">
        <f ca="1">IF(AND(SUMIF(Capacity_Resource,$D68,'Critical resources (hide)'!AX$6:AX$105)+SUMIF(Capacity_Resource,$E68,'Critical resources (hide)'!AX$6:AX$105)+SUMIF(Capacity_Resource,$F68,'Critical resources (hide)'!AX$6:AX$105)&gt;0,$E$1=2),0,1)</f>
        <v>1</v>
      </c>
      <c r="AL68" s="67">
        <f ca="1">IF(AND(SUMIF(Capacity_Resource,$D68,'Critical resources (hide)'!AY$6:AY$105)+SUMIF(Capacity_Resource,$E68,'Critical resources (hide)'!AY$6:AY$105)+SUMIF(Capacity_Resource,$F68,'Critical resources (hide)'!AY$6:AY$105)&gt;0,$E$1=2),0,1)</f>
        <v>1</v>
      </c>
      <c r="AM68" s="67">
        <f ca="1">IF(AND(SUMIF(Capacity_Resource,$D68,'Critical resources (hide)'!AZ$6:AZ$105)+SUMIF(Capacity_Resource,$E68,'Critical resources (hide)'!AZ$6:AZ$105)+SUMIF(Capacity_Resource,$F68,'Critical resources (hide)'!AZ$6:AZ$105)&gt;0,$E$1=2),0,1)</f>
        <v>1</v>
      </c>
      <c r="AN68" s="67">
        <f ca="1">IF(AND(SUMIF(Capacity_Resource,$D68,'Critical resources (hide)'!BA$6:BA$105)+SUMIF(Capacity_Resource,$E68,'Critical resources (hide)'!BA$6:BA$105)+SUMIF(Capacity_Resource,$F68,'Critical resources (hide)'!BA$6:BA$105)&gt;0,$E$1=2),0,1)</f>
        <v>1</v>
      </c>
      <c r="AO68" s="67">
        <f ca="1">IF(AND(SUMIF(Capacity_Resource,$D68,'Critical resources (hide)'!BB$6:BB$105)+SUMIF(Capacity_Resource,$E68,'Critical resources (hide)'!BB$6:BB$105)+SUMIF(Capacity_Resource,$F68,'Critical resources (hide)'!BB$6:BB$105)&gt;0,$E$1=2),0,1)</f>
        <v>1</v>
      </c>
      <c r="AP68" s="67">
        <f ca="1">IF(AND(SUMIF(Capacity_Resource,$D68,'Critical resources (hide)'!BC$6:BC$105)+SUMIF(Capacity_Resource,$E68,'Critical resources (hide)'!BC$6:BC$105)+SUMIF(Capacity_Resource,$F68,'Critical resources (hide)'!BC$6:BC$105)&gt;0,$E$1=2),0,1)</f>
        <v>1</v>
      </c>
      <c r="AQ68" s="67">
        <f ca="1">IF(AND(SUMIF(Capacity_Resource,$D68,'Critical resources (hide)'!BD$6:BD$105)+SUMIF(Capacity_Resource,$E68,'Critical resources (hide)'!BD$6:BD$105)+SUMIF(Capacity_Resource,$F68,'Critical resources (hide)'!BD$6:BD$105)&gt;0,$E$1=2),0,1)</f>
        <v>1</v>
      </c>
      <c r="AR68" s="67">
        <f ca="1">IF(AND(SUMIF(Capacity_Resource,$D68,'Critical resources (hide)'!BE$6:BE$105)+SUMIF(Capacity_Resource,$E68,'Critical resources (hide)'!BE$6:BE$105)+SUMIF(Capacity_Resource,$F68,'Critical resources (hide)'!BE$6:BE$105)&gt;0,$E$1=2),0,1)</f>
        <v>1</v>
      </c>
      <c r="AS68" s="67">
        <f ca="1">IF(AND(SUMIF(Capacity_Resource,$D68,'Critical resources (hide)'!BF$6:BF$105)+SUMIF(Capacity_Resource,$E68,'Critical resources (hide)'!BF$6:BF$105)+SUMIF(Capacity_Resource,$F68,'Critical resources (hide)'!BF$6:BF$105)&gt;0,$E$1=2),0,1)</f>
        <v>1</v>
      </c>
      <c r="AT68" s="67">
        <f ca="1">IF(AND(SUMIF(Capacity_Resource,$D68,'Critical resources (hide)'!BG$6:BG$105)+SUMIF(Capacity_Resource,$E68,'Critical resources (hide)'!BG$6:BG$105)+SUMIF(Capacity_Resource,$F68,'Critical resources (hide)'!BG$6:BG$105)&gt;0,$E$1=2),0,1)</f>
        <v>1</v>
      </c>
      <c r="AU68" s="67">
        <f ca="1">IF(AND(SUMIF(Capacity_Resource,$D68,'Critical resources (hide)'!BH$6:BH$105)+SUMIF(Capacity_Resource,$E68,'Critical resources (hide)'!BH$6:BH$105)+SUMIF(Capacity_Resource,$F68,'Critical resources (hide)'!BH$6:BH$105)&gt;0,$E$1=2),0,1)</f>
        <v>1</v>
      </c>
      <c r="AV68" s="67">
        <f ca="1">IF(AND(SUMIF(Capacity_Resource,$D68,'Critical resources (hide)'!BI$6:BI$105)+SUMIF(Capacity_Resource,$E68,'Critical resources (hide)'!BI$6:BI$105)+SUMIF(Capacity_Resource,$F68,'Critical resources (hide)'!BI$6:BI$105)&gt;0,$E$1=2),0,1)</f>
        <v>1</v>
      </c>
      <c r="AW68" s="67">
        <f ca="1">IF(AND(SUMIF(Capacity_Resource,$D68,'Critical resources (hide)'!BJ$6:BJ$105)+SUMIF(Capacity_Resource,$E68,'Critical resources (hide)'!BJ$6:BJ$105)+SUMIF(Capacity_Resource,$F68,'Critical resources (hide)'!BJ$6:BJ$105)&gt;0,$E$1=2),0,1)</f>
        <v>1</v>
      </c>
      <c r="AX68" s="67">
        <f ca="1">IF(AND(SUMIF(Capacity_Resource,$D68,'Critical resources (hide)'!BK$6:BK$105)+SUMIF(Capacity_Resource,$E68,'Critical resources (hide)'!BK$6:BK$105)+SUMIF(Capacity_Resource,$F68,'Critical resources (hide)'!BK$6:BK$105)&gt;0,$E$1=2),0,1)</f>
        <v>1</v>
      </c>
      <c r="AY68" s="67">
        <f ca="1">IF(AND(SUMIF(Capacity_Resource,$D68,'Critical resources (hide)'!BL$6:BL$105)+SUMIF(Capacity_Resource,$E68,'Critical resources (hide)'!BL$6:BL$105)+SUMIF(Capacity_Resource,$F68,'Critical resources (hide)'!BL$6:BL$105)&gt;0,$E$1=2),0,1)</f>
        <v>1</v>
      </c>
      <c r="AZ68" s="67">
        <f ca="1">IF(AND(SUMIF(Capacity_Resource,$D68,'Critical resources (hide)'!BM$6:BM$105)+SUMIF(Capacity_Resource,$E68,'Critical resources (hide)'!BM$6:BM$105)+SUMIF(Capacity_Resource,$F68,'Critical resources (hide)'!BM$6:BM$105)&gt;0,$E$1=2),0,1)</f>
        <v>1</v>
      </c>
      <c r="BA68" s="67">
        <f ca="1">IF(AND(SUMIF(Capacity_Resource,$D68,'Critical resources (hide)'!BN$6:BN$105)+SUMIF(Capacity_Resource,$E68,'Critical resources (hide)'!BN$6:BN$105)+SUMIF(Capacity_Resource,$F68,'Critical resources (hide)'!BN$6:BN$105)&gt;0,$E$1=2),0,1)</f>
        <v>1</v>
      </c>
      <c r="BB68" s="67">
        <f ca="1">IF(AND(SUMIF(Capacity_Resource,$D68,'Critical resources (hide)'!BO$6:BO$105)+SUMIF(Capacity_Resource,$E68,'Critical resources (hide)'!BO$6:BO$105)+SUMIF(Capacity_Resource,$F68,'Critical resources (hide)'!BO$6:BO$105)&gt;0,$E$1=2),0,1)</f>
        <v>1</v>
      </c>
      <c r="BC68" s="67">
        <f ca="1">IF(AND(SUMIF(Capacity_Resource,$D68,'Critical resources (hide)'!BP$6:BP$105)+SUMIF(Capacity_Resource,$E68,'Critical resources (hide)'!BP$6:BP$105)+SUMIF(Capacity_Resource,$F68,'Critical resources (hide)'!BP$6:BP$105)&gt;0,$E$1=2),0,1)</f>
        <v>1</v>
      </c>
      <c r="BD68" s="67">
        <f ca="1">IF(AND(SUMIF(Capacity_Resource,$D68,'Critical resources (hide)'!BQ$6:BQ$105)+SUMIF(Capacity_Resource,$E68,'Critical resources (hide)'!BQ$6:BQ$105)+SUMIF(Capacity_Resource,$F68,'Critical resources (hide)'!BQ$6:BQ$105)&gt;0,$E$1=2),0,1)</f>
        <v>1</v>
      </c>
      <c r="BE68" s="67">
        <f ca="1">IF(AND(SUMIF(Capacity_Resource,$D68,'Critical resources (hide)'!BR$6:BR$105)+SUMIF(Capacity_Resource,$E68,'Critical resources (hide)'!BR$6:BR$105)+SUMIF(Capacity_Resource,$F68,'Critical resources (hide)'!BR$6:BR$105)&gt;0,$E$1=2),0,1)</f>
        <v>1</v>
      </c>
      <c r="BF68" s="67">
        <f ca="1">IF(AND(SUMIF(Capacity_Resource,$D68,'Critical resources (hide)'!BS$6:BS$105)+SUMIF(Capacity_Resource,$E68,'Critical resources (hide)'!BS$6:BS$105)+SUMIF(Capacity_Resource,$F68,'Critical resources (hide)'!BS$6:BS$105)&gt;0,$E$1=2),0,1)</f>
        <v>1</v>
      </c>
      <c r="BG68" s="67">
        <f ca="1">IF(AND(SUMIF(Capacity_Resource,$D68,'Critical resources (hide)'!BT$6:BT$105)+SUMIF(Capacity_Resource,$E68,'Critical resources (hide)'!BT$6:BT$105)+SUMIF(Capacity_Resource,$F68,'Critical resources (hide)'!BT$6:BT$105)&gt;0,$E$1=2),0,1)</f>
        <v>1</v>
      </c>
      <c r="BH68" s="67">
        <f>IF(ROW(C64)&lt;=Capacity!$A$16,IF('Capacity summary'!$D$14="No",SUM(H68:BG68),'Capacity summary'!$E187),0)</f>
        <v>0</v>
      </c>
      <c r="BI68" s="5" t="str">
        <f>IF(BH68&gt;0,IF(BH68&lt;Capacity!E80,Capacity!F80,Capacity!H80/'Capacity calculation (hide)'!BH68),"")</f>
        <v/>
      </c>
      <c r="BK68" s="313">
        <f>IF($BI68&lt;&gt;"",IF('Capacity summary'!$D$14="Yes",IF(COUNTBLANK('Capacity summary'!$H187:$BG187)&lt;52,IF('Capacity summary'!H187&lt;&gt;"",IF(LOWER('Capacity summary'!H187)="x",$BI68*H68,VALUE('Capacity summary'!H187)),0),H68*$BI68),H68*$BI68),0)</f>
        <v>0</v>
      </c>
      <c r="BL68" s="313">
        <f>IF($BI68&lt;&gt;"",IF('Capacity summary'!$D$14="Yes",IF(COUNTBLANK('Capacity summary'!$H187:$BG187)&lt;52,IF('Capacity summary'!I187&lt;&gt;"",IF(LOWER('Capacity summary'!I187)="x",$BI68*I68,VALUE('Capacity summary'!I187)),0),I68*$BI68),I68*$BI68),0)</f>
        <v>0</v>
      </c>
      <c r="BM68" s="313">
        <f>IF($BI68&lt;&gt;"",IF('Capacity summary'!$D$14="Yes",IF(COUNTBLANK('Capacity summary'!$H187:$BG187)&lt;52,IF('Capacity summary'!J187&lt;&gt;"",IF(LOWER('Capacity summary'!J187)="x",$BI68*J68,VALUE('Capacity summary'!J187)),0),J68*$BI68),J68*$BI68),0)</f>
        <v>0</v>
      </c>
      <c r="BN68" s="313">
        <f>IF($BI68&lt;&gt;"",IF('Capacity summary'!$D$14="Yes",IF(COUNTBLANK('Capacity summary'!$H187:$BG187)&lt;52,IF('Capacity summary'!K187&lt;&gt;"",IF(LOWER('Capacity summary'!K187)="x",$BI68*K68,VALUE('Capacity summary'!K187)),0),K68*$BI68),K68*$BI68),0)</f>
        <v>0</v>
      </c>
      <c r="BO68" s="313">
        <f>IF($BI68&lt;&gt;"",IF('Capacity summary'!$D$14="Yes",IF(COUNTBLANK('Capacity summary'!$H187:$BG187)&lt;52,IF('Capacity summary'!L187&lt;&gt;"",IF(LOWER('Capacity summary'!L187)="x",$BI68*L68,VALUE('Capacity summary'!L187)),0),L68*$BI68),L68*$BI68),0)</f>
        <v>0</v>
      </c>
      <c r="BP68" s="313">
        <f>IF($BI68&lt;&gt;"",IF('Capacity summary'!$D$14="Yes",IF(COUNTBLANK('Capacity summary'!$H187:$BG187)&lt;52,IF('Capacity summary'!M187&lt;&gt;"",IF(LOWER('Capacity summary'!M187)="x",$BI68*M68,VALUE('Capacity summary'!M187)),0),M68*$BI68),M68*$BI68),0)</f>
        <v>0</v>
      </c>
      <c r="BQ68" s="313">
        <f>IF($BI68&lt;&gt;"",IF('Capacity summary'!$D$14="Yes",IF(COUNTBLANK('Capacity summary'!$H187:$BG187)&lt;52,IF('Capacity summary'!N187&lt;&gt;"",IF(LOWER('Capacity summary'!N187)="x",$BI68*N68,VALUE('Capacity summary'!N187)),0),N68*$BI68),N68*$BI68),0)</f>
        <v>0</v>
      </c>
      <c r="BR68" s="313">
        <f>IF($BI68&lt;&gt;"",IF('Capacity summary'!$D$14="Yes",IF(COUNTBLANK('Capacity summary'!$H187:$BG187)&lt;52,IF('Capacity summary'!O187&lt;&gt;"",IF(LOWER('Capacity summary'!O187)="x",$BI68*O68,VALUE('Capacity summary'!O187)),0),O68*$BI68),O68*$BI68),0)</f>
        <v>0</v>
      </c>
      <c r="BS68" s="313">
        <f>IF($BI68&lt;&gt;"",IF('Capacity summary'!$D$14="Yes",IF(COUNTBLANK('Capacity summary'!$H187:$BG187)&lt;52,IF('Capacity summary'!P187&lt;&gt;"",IF(LOWER('Capacity summary'!P187)="x",$BI68*P68,VALUE('Capacity summary'!P187)),0),P68*$BI68),P68*$BI68),0)</f>
        <v>0</v>
      </c>
      <c r="BT68" s="313">
        <f>IF($BI68&lt;&gt;"",IF('Capacity summary'!$D$14="Yes",IF(COUNTBLANK('Capacity summary'!$H187:$BG187)&lt;52,IF('Capacity summary'!Q187&lt;&gt;"",IF(LOWER('Capacity summary'!Q187)="x",$BI68*Q68,VALUE('Capacity summary'!Q187)),0),Q68*$BI68),Q68*$BI68),0)</f>
        <v>0</v>
      </c>
      <c r="BU68" s="313">
        <f>IF($BI68&lt;&gt;"",IF('Capacity summary'!$D$14="Yes",IF(COUNTBLANK('Capacity summary'!$H187:$BG187)&lt;52,IF('Capacity summary'!R187&lt;&gt;"",IF(LOWER('Capacity summary'!R187)="x",$BI68*R68,VALUE('Capacity summary'!R187)),0),R68*$BI68),R68*$BI68),0)</f>
        <v>0</v>
      </c>
      <c r="BV68" s="313">
        <f>IF($BI68&lt;&gt;"",IF('Capacity summary'!$D$14="Yes",IF(COUNTBLANK('Capacity summary'!$H187:$BG187)&lt;52,IF('Capacity summary'!S187&lt;&gt;"",IF(LOWER('Capacity summary'!S187)="x",$BI68*S68,VALUE('Capacity summary'!S187)),0),S68*$BI68),S68*$BI68),0)</f>
        <v>0</v>
      </c>
      <c r="BW68" s="313">
        <f>IF($BI68&lt;&gt;"",IF('Capacity summary'!$D$14="Yes",IF(COUNTBLANK('Capacity summary'!$H187:$BG187)&lt;52,IF('Capacity summary'!T187&lt;&gt;"",IF(LOWER('Capacity summary'!T187)="x",$BI68*T68,VALUE('Capacity summary'!T187)),0),T68*$BI68),T68*$BI68),0)</f>
        <v>0</v>
      </c>
      <c r="BX68" s="313">
        <f>IF($BI68&lt;&gt;"",IF('Capacity summary'!$D$14="Yes",IF(COUNTBLANK('Capacity summary'!$H187:$BG187)&lt;52,IF('Capacity summary'!U187&lt;&gt;"",IF(LOWER('Capacity summary'!U187)="x",$BI68*U68,VALUE('Capacity summary'!U187)),0),U68*$BI68),U68*$BI68),0)</f>
        <v>0</v>
      </c>
      <c r="BY68" s="313">
        <f>IF($BI68&lt;&gt;"",IF('Capacity summary'!$D$14="Yes",IF(COUNTBLANK('Capacity summary'!$H187:$BG187)&lt;52,IF('Capacity summary'!V187&lt;&gt;"",IF(LOWER('Capacity summary'!V187)="x",$BI68*V68,VALUE('Capacity summary'!V187)),0),V68*$BI68),V68*$BI68),0)</f>
        <v>0</v>
      </c>
      <c r="BZ68" s="313">
        <f>IF($BI68&lt;&gt;"",IF('Capacity summary'!$D$14="Yes",IF(COUNTBLANK('Capacity summary'!$H187:$BG187)&lt;52,IF('Capacity summary'!W187&lt;&gt;"",IF(LOWER('Capacity summary'!W187)="x",$BI68*W68,VALUE('Capacity summary'!W187)),0),W68*$BI68),W68*$BI68),0)</f>
        <v>0</v>
      </c>
      <c r="CA68" s="313">
        <f>IF($BI68&lt;&gt;"",IF('Capacity summary'!$D$14="Yes",IF(COUNTBLANK('Capacity summary'!$H187:$BG187)&lt;52,IF('Capacity summary'!X187&lt;&gt;"",IF(LOWER('Capacity summary'!X187)="x",$BI68*X68,VALUE('Capacity summary'!X187)),0),X68*$BI68),X68*$BI68),0)</f>
        <v>0</v>
      </c>
      <c r="CB68" s="313">
        <f>IF($BI68&lt;&gt;"",IF('Capacity summary'!$D$14="Yes",IF(COUNTBLANK('Capacity summary'!$H187:$BG187)&lt;52,IF('Capacity summary'!Y187&lt;&gt;"",IF(LOWER('Capacity summary'!Y187)="x",$BI68*Y68,VALUE('Capacity summary'!Y187)),0),Y68*$BI68),Y68*$BI68),0)</f>
        <v>0</v>
      </c>
      <c r="CC68" s="313">
        <f>IF($BI68&lt;&gt;"",IF('Capacity summary'!$D$14="Yes",IF(COUNTBLANK('Capacity summary'!$H187:$BG187)&lt;52,IF('Capacity summary'!Z187&lt;&gt;"",IF(LOWER('Capacity summary'!Z187)="x",$BI68*Z68,VALUE('Capacity summary'!Z187)),0),Z68*$BI68),Z68*$BI68),0)</f>
        <v>0</v>
      </c>
      <c r="CD68" s="313">
        <f>IF($BI68&lt;&gt;"",IF('Capacity summary'!$D$14="Yes",IF(COUNTBLANK('Capacity summary'!$H187:$BG187)&lt;52,IF('Capacity summary'!AA187&lt;&gt;"",IF(LOWER('Capacity summary'!AA187)="x",$BI68*AA68,VALUE('Capacity summary'!AA187)),0),AA68*$BI68),AA68*$BI68),0)</f>
        <v>0</v>
      </c>
      <c r="CE68" s="313">
        <f>IF($BI68&lt;&gt;"",IF('Capacity summary'!$D$14="Yes",IF(COUNTBLANK('Capacity summary'!$H187:$BG187)&lt;52,IF('Capacity summary'!AB187&lt;&gt;"",IF(LOWER('Capacity summary'!AB187)="x",$BI68*AB68,VALUE('Capacity summary'!AB187)),0),AB68*$BI68),AB68*$BI68),0)</f>
        <v>0</v>
      </c>
      <c r="CF68" s="313">
        <f>IF($BI68&lt;&gt;"",IF('Capacity summary'!$D$14="Yes",IF(COUNTBLANK('Capacity summary'!$H187:$BG187)&lt;52,IF('Capacity summary'!AC187&lt;&gt;"",IF(LOWER('Capacity summary'!AC187)="x",$BI68*AC68,VALUE('Capacity summary'!AC187)),0),AC68*$BI68),AC68*$BI68),0)</f>
        <v>0</v>
      </c>
      <c r="CG68" s="313">
        <f>IF($BI68&lt;&gt;"",IF('Capacity summary'!$D$14="Yes",IF(COUNTBLANK('Capacity summary'!$H187:$BG187)&lt;52,IF('Capacity summary'!AD187&lt;&gt;"",IF(LOWER('Capacity summary'!AD187)="x",$BI68*AD68,VALUE('Capacity summary'!AD187)),0),AD68*$BI68),AD68*$BI68),0)</f>
        <v>0</v>
      </c>
      <c r="CH68" s="313">
        <f>IF($BI68&lt;&gt;"",IF('Capacity summary'!$D$14="Yes",IF(COUNTBLANK('Capacity summary'!$H187:$BG187)&lt;52,IF('Capacity summary'!AE187&lt;&gt;"",IF(LOWER('Capacity summary'!AE187)="x",$BI68*AE68,VALUE('Capacity summary'!AE187)),0),AE68*$BI68),AE68*$BI68),0)</f>
        <v>0</v>
      </c>
      <c r="CI68" s="313">
        <f>IF($BI68&lt;&gt;"",IF('Capacity summary'!$D$14="Yes",IF(COUNTBLANK('Capacity summary'!$H187:$BG187)&lt;52,IF('Capacity summary'!AF187&lt;&gt;"",IF(LOWER('Capacity summary'!AF187)="x",$BI68*AF68,VALUE('Capacity summary'!AF187)),0),AF68*$BI68),AF68*$BI68),0)</f>
        <v>0</v>
      </c>
      <c r="CJ68" s="313">
        <f>IF($BI68&lt;&gt;"",IF('Capacity summary'!$D$14="Yes",IF(COUNTBLANK('Capacity summary'!$H187:$BG187)&lt;52,IF('Capacity summary'!AG187&lt;&gt;"",IF(LOWER('Capacity summary'!AG187)="x",$BI68*AG68,VALUE('Capacity summary'!AG187)),0),AG68*$BI68),AG68*$BI68),0)</f>
        <v>0</v>
      </c>
      <c r="CK68" s="313">
        <f>IF($BI68&lt;&gt;"",IF('Capacity summary'!$D$14="Yes",IF(COUNTBLANK('Capacity summary'!$H187:$BG187)&lt;52,IF('Capacity summary'!AH187&lt;&gt;"",IF(LOWER('Capacity summary'!AH187)="x",$BI68*AH68,VALUE('Capacity summary'!AH187)),0),AH68*$BI68),AH68*$BI68),0)</f>
        <v>0</v>
      </c>
      <c r="CL68" s="313">
        <f>IF($BI68&lt;&gt;"",IF('Capacity summary'!$D$14="Yes",IF(COUNTBLANK('Capacity summary'!$H187:$BG187)&lt;52,IF('Capacity summary'!AI187&lt;&gt;"",IF(LOWER('Capacity summary'!AI187)="x",$BI68*AI68,VALUE('Capacity summary'!AI187)),0),AI68*$BI68),AI68*$BI68),0)</f>
        <v>0</v>
      </c>
      <c r="CM68" s="313">
        <f>IF($BI68&lt;&gt;"",IF('Capacity summary'!$D$14="Yes",IF(COUNTBLANK('Capacity summary'!$H187:$BG187)&lt;52,IF('Capacity summary'!AJ187&lt;&gt;"",IF(LOWER('Capacity summary'!AJ187)="x",$BI68*AJ68,VALUE('Capacity summary'!AJ187)),0),AJ68*$BI68),AJ68*$BI68),0)</f>
        <v>0</v>
      </c>
      <c r="CN68" s="313">
        <f>IF($BI68&lt;&gt;"",IF('Capacity summary'!$D$14="Yes",IF(COUNTBLANK('Capacity summary'!$H187:$BG187)&lt;52,IF('Capacity summary'!AK187&lt;&gt;"",IF(LOWER('Capacity summary'!AK187)="x",$BI68*AK68,VALUE('Capacity summary'!AK187)),0),AK68*$BI68),AK68*$BI68),0)</f>
        <v>0</v>
      </c>
      <c r="CO68" s="313">
        <f>IF($BI68&lt;&gt;"",IF('Capacity summary'!$D$14="Yes",IF(COUNTBLANK('Capacity summary'!$H187:$BG187)&lt;52,IF('Capacity summary'!AL187&lt;&gt;"",IF(LOWER('Capacity summary'!AL187)="x",$BI68*AL68,VALUE('Capacity summary'!AL187)),0),AL68*$BI68),AL68*$BI68),0)</f>
        <v>0</v>
      </c>
      <c r="CP68" s="313">
        <f>IF($BI68&lt;&gt;"",IF('Capacity summary'!$D$14="Yes",IF(COUNTBLANK('Capacity summary'!$H187:$BG187)&lt;52,IF('Capacity summary'!AM187&lt;&gt;"",IF(LOWER('Capacity summary'!AM187)="x",$BI68*AM68,VALUE('Capacity summary'!AM187)),0),AM68*$BI68),AM68*$BI68),0)</f>
        <v>0</v>
      </c>
      <c r="CQ68" s="313">
        <f>IF($BI68&lt;&gt;"",IF('Capacity summary'!$D$14="Yes",IF(COUNTBLANK('Capacity summary'!$H187:$BG187)&lt;52,IF('Capacity summary'!AN187&lt;&gt;"",IF(LOWER('Capacity summary'!AN187)="x",$BI68*AN68,VALUE('Capacity summary'!AN187)),0),AN68*$BI68),AN68*$BI68),0)</f>
        <v>0</v>
      </c>
      <c r="CR68" s="313">
        <f>IF($BI68&lt;&gt;"",IF('Capacity summary'!$D$14="Yes",IF(COUNTBLANK('Capacity summary'!$H187:$BG187)&lt;52,IF('Capacity summary'!AO187&lt;&gt;"",IF(LOWER('Capacity summary'!AO187)="x",$BI68*AO68,VALUE('Capacity summary'!AO187)),0),AO68*$BI68),AO68*$BI68),0)</f>
        <v>0</v>
      </c>
      <c r="CS68" s="313">
        <f>IF($BI68&lt;&gt;"",IF('Capacity summary'!$D$14="Yes",IF(COUNTBLANK('Capacity summary'!$H187:$BG187)&lt;52,IF('Capacity summary'!AP187&lt;&gt;"",IF(LOWER('Capacity summary'!AP187)="x",$BI68*AP68,VALUE('Capacity summary'!AP187)),0),AP68*$BI68),AP68*$BI68),0)</f>
        <v>0</v>
      </c>
      <c r="CT68" s="313">
        <f>IF($BI68&lt;&gt;"",IF('Capacity summary'!$D$14="Yes",IF(COUNTBLANK('Capacity summary'!$H187:$BG187)&lt;52,IF('Capacity summary'!AQ187&lt;&gt;"",IF(LOWER('Capacity summary'!AQ187)="x",$BI68*AQ68,VALUE('Capacity summary'!AQ187)),0),AQ68*$BI68),AQ68*$BI68),0)</f>
        <v>0</v>
      </c>
      <c r="CU68" s="313">
        <f>IF($BI68&lt;&gt;"",IF('Capacity summary'!$D$14="Yes",IF(COUNTBLANK('Capacity summary'!$H187:$BG187)&lt;52,IF('Capacity summary'!AR187&lt;&gt;"",IF(LOWER('Capacity summary'!AR187)="x",$BI68*AR68,VALUE('Capacity summary'!AR187)),0),AR68*$BI68),AR68*$BI68),0)</f>
        <v>0</v>
      </c>
      <c r="CV68" s="313">
        <f>IF($BI68&lt;&gt;"",IF('Capacity summary'!$D$14="Yes",IF(COUNTBLANK('Capacity summary'!$H187:$BG187)&lt;52,IF('Capacity summary'!AS187&lt;&gt;"",IF(LOWER('Capacity summary'!AS187)="x",$BI68*AS68,VALUE('Capacity summary'!AS187)),0),AS68*$BI68),AS68*$BI68),0)</f>
        <v>0</v>
      </c>
      <c r="CW68" s="313">
        <f>IF($BI68&lt;&gt;"",IF('Capacity summary'!$D$14="Yes",IF(COUNTBLANK('Capacity summary'!$H187:$BG187)&lt;52,IF('Capacity summary'!AT187&lt;&gt;"",IF(LOWER('Capacity summary'!AT187)="x",$BI68*AT68,VALUE('Capacity summary'!AT187)),0),AT68*$BI68),AT68*$BI68),0)</f>
        <v>0</v>
      </c>
      <c r="CX68" s="313">
        <f>IF($BI68&lt;&gt;"",IF('Capacity summary'!$D$14="Yes",IF(COUNTBLANK('Capacity summary'!$H187:$BG187)&lt;52,IF('Capacity summary'!AU187&lt;&gt;"",IF(LOWER('Capacity summary'!AU187)="x",$BI68*AU68,VALUE('Capacity summary'!AU187)),0),AU68*$BI68),AU68*$BI68),0)</f>
        <v>0</v>
      </c>
      <c r="CY68" s="313">
        <f>IF($BI68&lt;&gt;"",IF('Capacity summary'!$D$14="Yes",IF(COUNTBLANK('Capacity summary'!$H187:$BG187)&lt;52,IF('Capacity summary'!AV187&lt;&gt;"",IF(LOWER('Capacity summary'!AV187)="x",$BI68*AV68,VALUE('Capacity summary'!AV187)),0),AV68*$BI68),AV68*$BI68),0)</f>
        <v>0</v>
      </c>
      <c r="CZ68" s="313">
        <f>IF($BI68&lt;&gt;"",IF('Capacity summary'!$D$14="Yes",IF(COUNTBLANK('Capacity summary'!$H187:$BG187)&lt;52,IF('Capacity summary'!AW187&lt;&gt;"",IF(LOWER('Capacity summary'!AW187)="x",$BI68*AW68,VALUE('Capacity summary'!AW187)),0),AW68*$BI68),AW68*$BI68),0)</f>
        <v>0</v>
      </c>
      <c r="DA68" s="313">
        <f>IF($BI68&lt;&gt;"",IF('Capacity summary'!$D$14="Yes",IF(COUNTBLANK('Capacity summary'!$H187:$BG187)&lt;52,IF('Capacity summary'!AX187&lt;&gt;"",IF(LOWER('Capacity summary'!AX187)="x",$BI68*AX68,VALUE('Capacity summary'!AX187)),0),AX68*$BI68),AX68*$BI68),0)</f>
        <v>0</v>
      </c>
      <c r="DB68" s="313">
        <f>IF($BI68&lt;&gt;"",IF('Capacity summary'!$D$14="Yes",IF(COUNTBLANK('Capacity summary'!$H187:$BG187)&lt;52,IF('Capacity summary'!AY187&lt;&gt;"",IF(LOWER('Capacity summary'!AY187)="x",$BI68*AY68,VALUE('Capacity summary'!AY187)),0),AY68*$BI68),AY68*$BI68),0)</f>
        <v>0</v>
      </c>
      <c r="DC68" s="313">
        <f>IF($BI68&lt;&gt;"",IF('Capacity summary'!$D$14="Yes",IF(COUNTBLANK('Capacity summary'!$H187:$BG187)&lt;52,IF('Capacity summary'!AZ187&lt;&gt;"",IF(LOWER('Capacity summary'!AZ187)="x",$BI68*AZ68,VALUE('Capacity summary'!AZ187)),0),AZ68*$BI68),AZ68*$BI68),0)</f>
        <v>0</v>
      </c>
      <c r="DD68" s="313">
        <f>IF($BI68&lt;&gt;"",IF('Capacity summary'!$D$14="Yes",IF(COUNTBLANK('Capacity summary'!$H187:$BG187)&lt;52,IF('Capacity summary'!BA187&lt;&gt;"",IF(LOWER('Capacity summary'!BA187)="x",$BI68*BA68,VALUE('Capacity summary'!BA187)),0),BA68*$BI68),BA68*$BI68),0)</f>
        <v>0</v>
      </c>
      <c r="DE68" s="313">
        <f>IF($BI68&lt;&gt;"",IF('Capacity summary'!$D$14="Yes",IF(COUNTBLANK('Capacity summary'!$H187:$BG187)&lt;52,IF('Capacity summary'!BB187&lt;&gt;"",IF(LOWER('Capacity summary'!BB187)="x",$BI68*BB68,VALUE('Capacity summary'!BB187)),0),BB68*$BI68),BB68*$BI68),0)</f>
        <v>0</v>
      </c>
      <c r="DF68" s="313">
        <f>IF($BI68&lt;&gt;"",IF('Capacity summary'!$D$14="Yes",IF(COUNTBLANK('Capacity summary'!$H187:$BG187)&lt;52,IF('Capacity summary'!BC187&lt;&gt;"",IF(LOWER('Capacity summary'!BC187)="x",$BI68*BC68,VALUE('Capacity summary'!BC187)),0),BC68*$BI68),BC68*$BI68),0)</f>
        <v>0</v>
      </c>
      <c r="DG68" s="313">
        <f>IF($BI68&lt;&gt;"",IF('Capacity summary'!$D$14="Yes",IF(COUNTBLANK('Capacity summary'!$H187:$BG187)&lt;52,IF('Capacity summary'!BD187&lt;&gt;"",IF(LOWER('Capacity summary'!BD187)="x",$BI68*BD68,VALUE('Capacity summary'!BD187)),0),BD68*$BI68),BD68*$BI68),0)</f>
        <v>0</v>
      </c>
      <c r="DH68" s="313">
        <f>IF($BI68&lt;&gt;"",IF('Capacity summary'!$D$14="Yes",IF(COUNTBLANK('Capacity summary'!$H187:$BG187)&lt;52,IF('Capacity summary'!BE187&lt;&gt;"",IF(LOWER('Capacity summary'!BE187)="x",$BI68*BE68,VALUE('Capacity summary'!BE187)),0),BE68*$BI68),BE68*$BI68),0)</f>
        <v>0</v>
      </c>
      <c r="DI68" s="313">
        <f>IF($BI68&lt;&gt;"",IF('Capacity summary'!$D$14="Yes",IF(COUNTBLANK('Capacity summary'!$H187:$BG187)&lt;52,IF('Capacity summary'!BF187&lt;&gt;"",IF(LOWER('Capacity summary'!BF187)="x",$BI68*BF68,VALUE('Capacity summary'!BF187)),0),BF68*$BI68),BF68*$BI68),0)</f>
        <v>0</v>
      </c>
      <c r="DJ68" s="313">
        <f>IF($BI68&lt;&gt;"",IF('Capacity summary'!$D$14="Yes",IF(COUNTBLANK('Capacity summary'!$H187:$BG187)&lt;52,IF('Capacity summary'!BG187&lt;&gt;"",IF(LOWER('Capacity summary'!BG187)="x",$BI68*BG68,VALUE('Capacity summary'!BG187)),0),BG68*$BI68),BG68*$BI68),0)</f>
        <v>0</v>
      </c>
      <c r="DK68" s="137">
        <f t="shared" si="2"/>
        <v>0</v>
      </c>
      <c r="DL68" s="313" t="str">
        <f>Capacity!H80</f>
        <v/>
      </c>
    </row>
    <row r="69" spans="2:116" x14ac:dyDescent="0.25">
      <c r="B69" s="67"/>
      <c r="C69" s="67" t="str">
        <f>ROW(A65)&amp;". "&amp;Capacity!B81</f>
        <v xml:space="preserve">65. </v>
      </c>
      <c r="D69" s="67">
        <f>'Capacity setup'!C76</f>
        <v>0</v>
      </c>
      <c r="E69" s="67">
        <f>'Capacity setup'!D76</f>
        <v>0</v>
      </c>
      <c r="F69" s="67">
        <f>'Capacity setup'!E76</f>
        <v>0</v>
      </c>
      <c r="H69" s="67">
        <f ca="1">IF(AND(SUMIF(Capacity_Resource,$D69,'Critical resources (hide)'!U$6:U$105)+SUMIF(Capacity_Resource,$E69,'Critical resources (hide)'!U$6:U$105)+SUMIF(Capacity_Resource,$F69,'Critical resources (hide)'!U$6:U$105)&gt;0,$E$1=2),0,1)</f>
        <v>1</v>
      </c>
      <c r="I69" s="67">
        <f ca="1">IF(AND(SUMIF(Capacity_Resource,$D69,'Critical resources (hide)'!V$6:V$105)+SUMIF(Capacity_Resource,$E69,'Critical resources (hide)'!V$6:V$105)+SUMIF(Capacity_Resource,$F69,'Critical resources (hide)'!V$6:V$105)&gt;0,$E$1=2),0,1)</f>
        <v>1</v>
      </c>
      <c r="J69" s="67">
        <f ca="1">IF(AND(SUMIF(Capacity_Resource,$D69,'Critical resources (hide)'!W$6:W$105)+SUMIF(Capacity_Resource,$E69,'Critical resources (hide)'!W$6:W$105)+SUMIF(Capacity_Resource,$F69,'Critical resources (hide)'!W$6:W$105)&gt;0,$E$1=2),0,1)</f>
        <v>1</v>
      </c>
      <c r="K69" s="67">
        <f ca="1">IF(AND(SUMIF(Capacity_Resource,$D69,'Critical resources (hide)'!X$6:X$105)+SUMIF(Capacity_Resource,$E69,'Critical resources (hide)'!X$6:X$105)+SUMIF(Capacity_Resource,$F69,'Critical resources (hide)'!X$6:X$105)&gt;0,$E$1=2),0,1)</f>
        <v>1</v>
      </c>
      <c r="L69" s="67">
        <f ca="1">IF(AND(SUMIF(Capacity_Resource,$D69,'Critical resources (hide)'!Y$6:Y$105)+SUMIF(Capacity_Resource,$E69,'Critical resources (hide)'!Y$6:Y$105)+SUMIF(Capacity_Resource,$F69,'Critical resources (hide)'!Y$6:Y$105)&gt;0,$E$1=2),0,1)</f>
        <v>1</v>
      </c>
      <c r="M69" s="67">
        <f ca="1">IF(AND(SUMIF(Capacity_Resource,$D69,'Critical resources (hide)'!Z$6:Z$105)+SUMIF(Capacity_Resource,$E69,'Critical resources (hide)'!Z$6:Z$105)+SUMIF(Capacity_Resource,$F69,'Critical resources (hide)'!Z$6:Z$105)&gt;0,$E$1=2),0,1)</f>
        <v>1</v>
      </c>
      <c r="N69" s="67">
        <f ca="1">IF(AND(SUMIF(Capacity_Resource,$D69,'Critical resources (hide)'!AA$6:AA$105)+SUMIF(Capacity_Resource,$E69,'Critical resources (hide)'!AA$6:AA$105)+SUMIF(Capacity_Resource,$F69,'Critical resources (hide)'!AA$6:AA$105)&gt;0,$E$1=2),0,1)</f>
        <v>1</v>
      </c>
      <c r="O69" s="67">
        <f ca="1">IF(AND(SUMIF(Capacity_Resource,$D69,'Critical resources (hide)'!AB$6:AB$105)+SUMIF(Capacity_Resource,$E69,'Critical resources (hide)'!AB$6:AB$105)+SUMIF(Capacity_Resource,$F69,'Critical resources (hide)'!AB$6:AB$105)&gt;0,$E$1=2),0,1)</f>
        <v>1</v>
      </c>
      <c r="P69" s="67">
        <f ca="1">IF(AND(SUMIF(Capacity_Resource,$D69,'Critical resources (hide)'!AC$6:AC$105)+SUMIF(Capacity_Resource,$E69,'Critical resources (hide)'!AC$6:AC$105)+SUMIF(Capacity_Resource,$F69,'Critical resources (hide)'!AC$6:AC$105)&gt;0,$E$1=2),0,1)</f>
        <v>1</v>
      </c>
      <c r="Q69" s="67">
        <f ca="1">IF(AND(SUMIF(Capacity_Resource,$D69,'Critical resources (hide)'!AD$6:AD$105)+SUMIF(Capacity_Resource,$E69,'Critical resources (hide)'!AD$6:AD$105)+SUMIF(Capacity_Resource,$F69,'Critical resources (hide)'!AD$6:AD$105)&gt;0,$E$1=2),0,1)</f>
        <v>1</v>
      </c>
      <c r="R69" s="67">
        <f ca="1">IF(AND(SUMIF(Capacity_Resource,$D69,'Critical resources (hide)'!AE$6:AE$105)+SUMIF(Capacity_Resource,$E69,'Critical resources (hide)'!AE$6:AE$105)+SUMIF(Capacity_Resource,$F69,'Critical resources (hide)'!AE$6:AE$105)&gt;0,$E$1=2),0,1)</f>
        <v>1</v>
      </c>
      <c r="S69" s="67">
        <f ca="1">IF(AND(SUMIF(Capacity_Resource,$D69,'Critical resources (hide)'!AF$6:AF$105)+SUMIF(Capacity_Resource,$E69,'Critical resources (hide)'!AF$6:AF$105)+SUMIF(Capacity_Resource,$F69,'Critical resources (hide)'!AF$6:AF$105)&gt;0,$E$1=2),0,1)</f>
        <v>1</v>
      </c>
      <c r="T69" s="67">
        <f ca="1">IF(AND(SUMIF(Capacity_Resource,$D69,'Critical resources (hide)'!AG$6:AG$105)+SUMIF(Capacity_Resource,$E69,'Critical resources (hide)'!AG$6:AG$105)+SUMIF(Capacity_Resource,$F69,'Critical resources (hide)'!AG$6:AG$105)&gt;0,$E$1=2),0,1)</f>
        <v>1</v>
      </c>
      <c r="U69" s="67">
        <f ca="1">IF(AND(SUMIF(Capacity_Resource,$D69,'Critical resources (hide)'!AH$6:AH$105)+SUMIF(Capacity_Resource,$E69,'Critical resources (hide)'!AH$6:AH$105)+SUMIF(Capacity_Resource,$F69,'Critical resources (hide)'!AH$6:AH$105)&gt;0,$E$1=2),0,1)</f>
        <v>1</v>
      </c>
      <c r="V69" s="67">
        <f ca="1">IF(AND(SUMIF(Capacity_Resource,$D69,'Critical resources (hide)'!AI$6:AI$105)+SUMIF(Capacity_Resource,$E69,'Critical resources (hide)'!AI$6:AI$105)+SUMIF(Capacity_Resource,$F69,'Critical resources (hide)'!AI$6:AI$105)&gt;0,$E$1=2),0,1)</f>
        <v>1</v>
      </c>
      <c r="W69" s="67">
        <f ca="1">IF(AND(SUMIF(Capacity_Resource,$D69,'Critical resources (hide)'!AJ$6:AJ$105)+SUMIF(Capacity_Resource,$E69,'Critical resources (hide)'!AJ$6:AJ$105)+SUMIF(Capacity_Resource,$F69,'Critical resources (hide)'!AJ$6:AJ$105)&gt;0,$E$1=2),0,1)</f>
        <v>1</v>
      </c>
      <c r="X69" s="67">
        <f ca="1">IF(AND(SUMIF(Capacity_Resource,$D69,'Critical resources (hide)'!AK$6:AK$105)+SUMIF(Capacity_Resource,$E69,'Critical resources (hide)'!AK$6:AK$105)+SUMIF(Capacity_Resource,$F69,'Critical resources (hide)'!AK$6:AK$105)&gt;0,$E$1=2),0,1)</f>
        <v>1</v>
      </c>
      <c r="Y69" s="67">
        <f ca="1">IF(AND(SUMIF(Capacity_Resource,$D69,'Critical resources (hide)'!AL$6:AL$105)+SUMIF(Capacity_Resource,$E69,'Critical resources (hide)'!AL$6:AL$105)+SUMIF(Capacity_Resource,$F69,'Critical resources (hide)'!AL$6:AL$105)&gt;0,$E$1=2),0,1)</f>
        <v>1</v>
      </c>
      <c r="Z69" s="67">
        <f ca="1">IF(AND(SUMIF(Capacity_Resource,$D69,'Critical resources (hide)'!AM$6:AM$105)+SUMIF(Capacity_Resource,$E69,'Critical resources (hide)'!AM$6:AM$105)+SUMIF(Capacity_Resource,$F69,'Critical resources (hide)'!AM$6:AM$105)&gt;0,$E$1=2),0,1)</f>
        <v>1</v>
      </c>
      <c r="AA69" s="67">
        <f ca="1">IF(AND(SUMIF(Capacity_Resource,$D69,'Critical resources (hide)'!AN$6:AN$105)+SUMIF(Capacity_Resource,$E69,'Critical resources (hide)'!AN$6:AN$105)+SUMIF(Capacity_Resource,$F69,'Critical resources (hide)'!AN$6:AN$105)&gt;0,$E$1=2),0,1)</f>
        <v>1</v>
      </c>
      <c r="AB69" s="67">
        <f ca="1">IF(AND(SUMIF(Capacity_Resource,$D69,'Critical resources (hide)'!AO$6:AO$105)+SUMIF(Capacity_Resource,$E69,'Critical resources (hide)'!AO$6:AO$105)+SUMIF(Capacity_Resource,$F69,'Critical resources (hide)'!AO$6:AO$105)&gt;0,$E$1=2),0,1)</f>
        <v>1</v>
      </c>
      <c r="AC69" s="67">
        <f ca="1">IF(AND(SUMIF(Capacity_Resource,$D69,'Critical resources (hide)'!AP$6:AP$105)+SUMIF(Capacity_Resource,$E69,'Critical resources (hide)'!AP$6:AP$105)+SUMIF(Capacity_Resource,$F69,'Critical resources (hide)'!AP$6:AP$105)&gt;0,$E$1=2),0,1)</f>
        <v>1</v>
      </c>
      <c r="AD69" s="67">
        <f ca="1">IF(AND(SUMIF(Capacity_Resource,$D69,'Critical resources (hide)'!AQ$6:AQ$105)+SUMIF(Capacity_Resource,$E69,'Critical resources (hide)'!AQ$6:AQ$105)+SUMIF(Capacity_Resource,$F69,'Critical resources (hide)'!AQ$6:AQ$105)&gt;0,$E$1=2),0,1)</f>
        <v>1</v>
      </c>
      <c r="AE69" s="67">
        <f ca="1">IF(AND(SUMIF(Capacity_Resource,$D69,'Critical resources (hide)'!AR$6:AR$105)+SUMIF(Capacity_Resource,$E69,'Critical resources (hide)'!AR$6:AR$105)+SUMIF(Capacity_Resource,$F69,'Critical resources (hide)'!AR$6:AR$105)&gt;0,$E$1=2),0,1)</f>
        <v>1</v>
      </c>
      <c r="AF69" s="67">
        <f ca="1">IF(AND(SUMIF(Capacity_Resource,$D69,'Critical resources (hide)'!AS$6:AS$105)+SUMIF(Capacity_Resource,$E69,'Critical resources (hide)'!AS$6:AS$105)+SUMIF(Capacity_Resource,$F69,'Critical resources (hide)'!AS$6:AS$105)&gt;0,$E$1=2),0,1)</f>
        <v>1</v>
      </c>
      <c r="AG69" s="67">
        <f ca="1">IF(AND(SUMIF(Capacity_Resource,$D69,'Critical resources (hide)'!AT$6:AT$105)+SUMIF(Capacity_Resource,$E69,'Critical resources (hide)'!AT$6:AT$105)+SUMIF(Capacity_Resource,$F69,'Critical resources (hide)'!AT$6:AT$105)&gt;0,$E$1=2),0,1)</f>
        <v>1</v>
      </c>
      <c r="AH69" s="67">
        <f ca="1">IF(AND(SUMIF(Capacity_Resource,$D69,'Critical resources (hide)'!AU$6:AU$105)+SUMIF(Capacity_Resource,$E69,'Critical resources (hide)'!AU$6:AU$105)+SUMIF(Capacity_Resource,$F69,'Critical resources (hide)'!AU$6:AU$105)&gt;0,$E$1=2),0,1)</f>
        <v>1</v>
      </c>
      <c r="AI69" s="67">
        <f ca="1">IF(AND(SUMIF(Capacity_Resource,$D69,'Critical resources (hide)'!AV$6:AV$105)+SUMIF(Capacity_Resource,$E69,'Critical resources (hide)'!AV$6:AV$105)+SUMIF(Capacity_Resource,$F69,'Critical resources (hide)'!AV$6:AV$105)&gt;0,$E$1=2),0,1)</f>
        <v>1</v>
      </c>
      <c r="AJ69" s="67">
        <f ca="1">IF(AND(SUMIF(Capacity_Resource,$D69,'Critical resources (hide)'!AW$6:AW$105)+SUMIF(Capacity_Resource,$E69,'Critical resources (hide)'!AW$6:AW$105)+SUMIF(Capacity_Resource,$F69,'Critical resources (hide)'!AW$6:AW$105)&gt;0,$E$1=2),0,1)</f>
        <v>1</v>
      </c>
      <c r="AK69" s="67">
        <f ca="1">IF(AND(SUMIF(Capacity_Resource,$D69,'Critical resources (hide)'!AX$6:AX$105)+SUMIF(Capacity_Resource,$E69,'Critical resources (hide)'!AX$6:AX$105)+SUMIF(Capacity_Resource,$F69,'Critical resources (hide)'!AX$6:AX$105)&gt;0,$E$1=2),0,1)</f>
        <v>1</v>
      </c>
      <c r="AL69" s="67">
        <f ca="1">IF(AND(SUMIF(Capacity_Resource,$D69,'Critical resources (hide)'!AY$6:AY$105)+SUMIF(Capacity_Resource,$E69,'Critical resources (hide)'!AY$6:AY$105)+SUMIF(Capacity_Resource,$F69,'Critical resources (hide)'!AY$6:AY$105)&gt;0,$E$1=2),0,1)</f>
        <v>1</v>
      </c>
      <c r="AM69" s="67">
        <f ca="1">IF(AND(SUMIF(Capacity_Resource,$D69,'Critical resources (hide)'!AZ$6:AZ$105)+SUMIF(Capacity_Resource,$E69,'Critical resources (hide)'!AZ$6:AZ$105)+SUMIF(Capacity_Resource,$F69,'Critical resources (hide)'!AZ$6:AZ$105)&gt;0,$E$1=2),0,1)</f>
        <v>1</v>
      </c>
      <c r="AN69" s="67">
        <f ca="1">IF(AND(SUMIF(Capacity_Resource,$D69,'Critical resources (hide)'!BA$6:BA$105)+SUMIF(Capacity_Resource,$E69,'Critical resources (hide)'!BA$6:BA$105)+SUMIF(Capacity_Resource,$F69,'Critical resources (hide)'!BA$6:BA$105)&gt;0,$E$1=2),0,1)</f>
        <v>1</v>
      </c>
      <c r="AO69" s="67">
        <f ca="1">IF(AND(SUMIF(Capacity_Resource,$D69,'Critical resources (hide)'!BB$6:BB$105)+SUMIF(Capacity_Resource,$E69,'Critical resources (hide)'!BB$6:BB$105)+SUMIF(Capacity_Resource,$F69,'Critical resources (hide)'!BB$6:BB$105)&gt;0,$E$1=2),0,1)</f>
        <v>1</v>
      </c>
      <c r="AP69" s="67">
        <f ca="1">IF(AND(SUMIF(Capacity_Resource,$D69,'Critical resources (hide)'!BC$6:BC$105)+SUMIF(Capacity_Resource,$E69,'Critical resources (hide)'!BC$6:BC$105)+SUMIF(Capacity_Resource,$F69,'Critical resources (hide)'!BC$6:BC$105)&gt;0,$E$1=2),0,1)</f>
        <v>1</v>
      </c>
      <c r="AQ69" s="67">
        <f ca="1">IF(AND(SUMIF(Capacity_Resource,$D69,'Critical resources (hide)'!BD$6:BD$105)+SUMIF(Capacity_Resource,$E69,'Critical resources (hide)'!BD$6:BD$105)+SUMIF(Capacity_Resource,$F69,'Critical resources (hide)'!BD$6:BD$105)&gt;0,$E$1=2),0,1)</f>
        <v>1</v>
      </c>
      <c r="AR69" s="67">
        <f ca="1">IF(AND(SUMIF(Capacity_Resource,$D69,'Critical resources (hide)'!BE$6:BE$105)+SUMIF(Capacity_Resource,$E69,'Critical resources (hide)'!BE$6:BE$105)+SUMIF(Capacity_Resource,$F69,'Critical resources (hide)'!BE$6:BE$105)&gt;0,$E$1=2),0,1)</f>
        <v>1</v>
      </c>
      <c r="AS69" s="67">
        <f ca="1">IF(AND(SUMIF(Capacity_Resource,$D69,'Critical resources (hide)'!BF$6:BF$105)+SUMIF(Capacity_Resource,$E69,'Critical resources (hide)'!BF$6:BF$105)+SUMIF(Capacity_Resource,$F69,'Critical resources (hide)'!BF$6:BF$105)&gt;0,$E$1=2),0,1)</f>
        <v>1</v>
      </c>
      <c r="AT69" s="67">
        <f ca="1">IF(AND(SUMIF(Capacity_Resource,$D69,'Critical resources (hide)'!BG$6:BG$105)+SUMIF(Capacity_Resource,$E69,'Critical resources (hide)'!BG$6:BG$105)+SUMIF(Capacity_Resource,$F69,'Critical resources (hide)'!BG$6:BG$105)&gt;0,$E$1=2),0,1)</f>
        <v>1</v>
      </c>
      <c r="AU69" s="67">
        <f ca="1">IF(AND(SUMIF(Capacity_Resource,$D69,'Critical resources (hide)'!BH$6:BH$105)+SUMIF(Capacity_Resource,$E69,'Critical resources (hide)'!BH$6:BH$105)+SUMIF(Capacity_Resource,$F69,'Critical resources (hide)'!BH$6:BH$105)&gt;0,$E$1=2),0,1)</f>
        <v>1</v>
      </c>
      <c r="AV69" s="67">
        <f ca="1">IF(AND(SUMIF(Capacity_Resource,$D69,'Critical resources (hide)'!BI$6:BI$105)+SUMIF(Capacity_Resource,$E69,'Critical resources (hide)'!BI$6:BI$105)+SUMIF(Capacity_Resource,$F69,'Critical resources (hide)'!BI$6:BI$105)&gt;0,$E$1=2),0,1)</f>
        <v>1</v>
      </c>
      <c r="AW69" s="67">
        <f ca="1">IF(AND(SUMIF(Capacity_Resource,$D69,'Critical resources (hide)'!BJ$6:BJ$105)+SUMIF(Capacity_Resource,$E69,'Critical resources (hide)'!BJ$6:BJ$105)+SUMIF(Capacity_Resource,$F69,'Critical resources (hide)'!BJ$6:BJ$105)&gt;0,$E$1=2),0,1)</f>
        <v>1</v>
      </c>
      <c r="AX69" s="67">
        <f ca="1">IF(AND(SUMIF(Capacity_Resource,$D69,'Critical resources (hide)'!BK$6:BK$105)+SUMIF(Capacity_Resource,$E69,'Critical resources (hide)'!BK$6:BK$105)+SUMIF(Capacity_Resource,$F69,'Critical resources (hide)'!BK$6:BK$105)&gt;0,$E$1=2),0,1)</f>
        <v>1</v>
      </c>
      <c r="AY69" s="67">
        <f ca="1">IF(AND(SUMIF(Capacity_Resource,$D69,'Critical resources (hide)'!BL$6:BL$105)+SUMIF(Capacity_Resource,$E69,'Critical resources (hide)'!BL$6:BL$105)+SUMIF(Capacity_Resource,$F69,'Critical resources (hide)'!BL$6:BL$105)&gt;0,$E$1=2),0,1)</f>
        <v>1</v>
      </c>
      <c r="AZ69" s="67">
        <f ca="1">IF(AND(SUMIF(Capacity_Resource,$D69,'Critical resources (hide)'!BM$6:BM$105)+SUMIF(Capacity_Resource,$E69,'Critical resources (hide)'!BM$6:BM$105)+SUMIF(Capacity_Resource,$F69,'Critical resources (hide)'!BM$6:BM$105)&gt;0,$E$1=2),0,1)</f>
        <v>1</v>
      </c>
      <c r="BA69" s="67">
        <f ca="1">IF(AND(SUMIF(Capacity_Resource,$D69,'Critical resources (hide)'!BN$6:BN$105)+SUMIF(Capacity_Resource,$E69,'Critical resources (hide)'!BN$6:BN$105)+SUMIF(Capacity_Resource,$F69,'Critical resources (hide)'!BN$6:BN$105)&gt;0,$E$1=2),0,1)</f>
        <v>1</v>
      </c>
      <c r="BB69" s="67">
        <f ca="1">IF(AND(SUMIF(Capacity_Resource,$D69,'Critical resources (hide)'!BO$6:BO$105)+SUMIF(Capacity_Resource,$E69,'Critical resources (hide)'!BO$6:BO$105)+SUMIF(Capacity_Resource,$F69,'Critical resources (hide)'!BO$6:BO$105)&gt;0,$E$1=2),0,1)</f>
        <v>1</v>
      </c>
      <c r="BC69" s="67">
        <f ca="1">IF(AND(SUMIF(Capacity_Resource,$D69,'Critical resources (hide)'!BP$6:BP$105)+SUMIF(Capacity_Resource,$E69,'Critical resources (hide)'!BP$6:BP$105)+SUMIF(Capacity_Resource,$F69,'Critical resources (hide)'!BP$6:BP$105)&gt;0,$E$1=2),0,1)</f>
        <v>1</v>
      </c>
      <c r="BD69" s="67">
        <f ca="1">IF(AND(SUMIF(Capacity_Resource,$D69,'Critical resources (hide)'!BQ$6:BQ$105)+SUMIF(Capacity_Resource,$E69,'Critical resources (hide)'!BQ$6:BQ$105)+SUMIF(Capacity_Resource,$F69,'Critical resources (hide)'!BQ$6:BQ$105)&gt;0,$E$1=2),0,1)</f>
        <v>1</v>
      </c>
      <c r="BE69" s="67">
        <f ca="1">IF(AND(SUMIF(Capacity_Resource,$D69,'Critical resources (hide)'!BR$6:BR$105)+SUMIF(Capacity_Resource,$E69,'Critical resources (hide)'!BR$6:BR$105)+SUMIF(Capacity_Resource,$F69,'Critical resources (hide)'!BR$6:BR$105)&gt;0,$E$1=2),0,1)</f>
        <v>1</v>
      </c>
      <c r="BF69" s="67">
        <f ca="1">IF(AND(SUMIF(Capacity_Resource,$D69,'Critical resources (hide)'!BS$6:BS$105)+SUMIF(Capacity_Resource,$E69,'Critical resources (hide)'!BS$6:BS$105)+SUMIF(Capacity_Resource,$F69,'Critical resources (hide)'!BS$6:BS$105)&gt;0,$E$1=2),0,1)</f>
        <v>1</v>
      </c>
      <c r="BG69" s="67">
        <f ca="1">IF(AND(SUMIF(Capacity_Resource,$D69,'Critical resources (hide)'!BT$6:BT$105)+SUMIF(Capacity_Resource,$E69,'Critical resources (hide)'!BT$6:BT$105)+SUMIF(Capacity_Resource,$F69,'Critical resources (hide)'!BT$6:BT$105)&gt;0,$E$1=2),0,1)</f>
        <v>1</v>
      </c>
      <c r="BH69" s="67">
        <f>IF(ROW(C65)&lt;=Capacity!$A$16,IF('Capacity summary'!$D$14="No",SUM(H69:BG69),'Capacity summary'!$E188),0)</f>
        <v>0</v>
      </c>
      <c r="BI69" s="5" t="str">
        <f>IF(BH69&gt;0,IF(BH69&lt;Capacity!E81,Capacity!F81,Capacity!H81/'Capacity calculation (hide)'!BH69),"")</f>
        <v/>
      </c>
      <c r="BK69" s="313">
        <f>IF($BI69&lt;&gt;"",IF('Capacity summary'!$D$14="Yes",IF(COUNTBLANK('Capacity summary'!$H188:$BG188)&lt;52,IF('Capacity summary'!H188&lt;&gt;"",IF(LOWER('Capacity summary'!H188)="x",$BI69*H69,VALUE('Capacity summary'!H188)),0),H69*$BI69),H69*$BI69),0)</f>
        <v>0</v>
      </c>
      <c r="BL69" s="313">
        <f>IF($BI69&lt;&gt;"",IF('Capacity summary'!$D$14="Yes",IF(COUNTBLANK('Capacity summary'!$H188:$BG188)&lt;52,IF('Capacity summary'!I188&lt;&gt;"",IF(LOWER('Capacity summary'!I188)="x",$BI69*I69,VALUE('Capacity summary'!I188)),0),I69*$BI69),I69*$BI69),0)</f>
        <v>0</v>
      </c>
      <c r="BM69" s="313">
        <f>IF($BI69&lt;&gt;"",IF('Capacity summary'!$D$14="Yes",IF(COUNTBLANK('Capacity summary'!$H188:$BG188)&lt;52,IF('Capacity summary'!J188&lt;&gt;"",IF(LOWER('Capacity summary'!J188)="x",$BI69*J69,VALUE('Capacity summary'!J188)),0),J69*$BI69),J69*$BI69),0)</f>
        <v>0</v>
      </c>
      <c r="BN69" s="313">
        <f>IF($BI69&lt;&gt;"",IF('Capacity summary'!$D$14="Yes",IF(COUNTBLANK('Capacity summary'!$H188:$BG188)&lt;52,IF('Capacity summary'!K188&lt;&gt;"",IF(LOWER('Capacity summary'!K188)="x",$BI69*K69,VALUE('Capacity summary'!K188)),0),K69*$BI69),K69*$BI69),0)</f>
        <v>0</v>
      </c>
      <c r="BO69" s="313">
        <f>IF($BI69&lt;&gt;"",IF('Capacity summary'!$D$14="Yes",IF(COUNTBLANK('Capacity summary'!$H188:$BG188)&lt;52,IF('Capacity summary'!L188&lt;&gt;"",IF(LOWER('Capacity summary'!L188)="x",$BI69*L69,VALUE('Capacity summary'!L188)),0),L69*$BI69),L69*$BI69),0)</f>
        <v>0</v>
      </c>
      <c r="BP69" s="313">
        <f>IF($BI69&lt;&gt;"",IF('Capacity summary'!$D$14="Yes",IF(COUNTBLANK('Capacity summary'!$H188:$BG188)&lt;52,IF('Capacity summary'!M188&lt;&gt;"",IF(LOWER('Capacity summary'!M188)="x",$BI69*M69,VALUE('Capacity summary'!M188)),0),M69*$BI69),M69*$BI69),0)</f>
        <v>0</v>
      </c>
      <c r="BQ69" s="313">
        <f>IF($BI69&lt;&gt;"",IF('Capacity summary'!$D$14="Yes",IF(COUNTBLANK('Capacity summary'!$H188:$BG188)&lt;52,IF('Capacity summary'!N188&lt;&gt;"",IF(LOWER('Capacity summary'!N188)="x",$BI69*N69,VALUE('Capacity summary'!N188)),0),N69*$BI69),N69*$BI69),0)</f>
        <v>0</v>
      </c>
      <c r="BR69" s="313">
        <f>IF($BI69&lt;&gt;"",IF('Capacity summary'!$D$14="Yes",IF(COUNTBLANK('Capacity summary'!$H188:$BG188)&lt;52,IF('Capacity summary'!O188&lt;&gt;"",IF(LOWER('Capacity summary'!O188)="x",$BI69*O69,VALUE('Capacity summary'!O188)),0),O69*$BI69),O69*$BI69),0)</f>
        <v>0</v>
      </c>
      <c r="BS69" s="313">
        <f>IF($BI69&lt;&gt;"",IF('Capacity summary'!$D$14="Yes",IF(COUNTBLANK('Capacity summary'!$H188:$BG188)&lt;52,IF('Capacity summary'!P188&lt;&gt;"",IF(LOWER('Capacity summary'!P188)="x",$BI69*P69,VALUE('Capacity summary'!P188)),0),P69*$BI69),P69*$BI69),0)</f>
        <v>0</v>
      </c>
      <c r="BT69" s="313">
        <f>IF($BI69&lt;&gt;"",IF('Capacity summary'!$D$14="Yes",IF(COUNTBLANK('Capacity summary'!$H188:$BG188)&lt;52,IF('Capacity summary'!Q188&lt;&gt;"",IF(LOWER('Capacity summary'!Q188)="x",$BI69*Q69,VALUE('Capacity summary'!Q188)),0),Q69*$BI69),Q69*$BI69),0)</f>
        <v>0</v>
      </c>
      <c r="BU69" s="313">
        <f>IF($BI69&lt;&gt;"",IF('Capacity summary'!$D$14="Yes",IF(COUNTBLANK('Capacity summary'!$H188:$BG188)&lt;52,IF('Capacity summary'!R188&lt;&gt;"",IF(LOWER('Capacity summary'!R188)="x",$BI69*R69,VALUE('Capacity summary'!R188)),0),R69*$BI69),R69*$BI69),0)</f>
        <v>0</v>
      </c>
      <c r="BV69" s="313">
        <f>IF($BI69&lt;&gt;"",IF('Capacity summary'!$D$14="Yes",IF(COUNTBLANK('Capacity summary'!$H188:$BG188)&lt;52,IF('Capacity summary'!S188&lt;&gt;"",IF(LOWER('Capacity summary'!S188)="x",$BI69*S69,VALUE('Capacity summary'!S188)),0),S69*$BI69),S69*$BI69),0)</f>
        <v>0</v>
      </c>
      <c r="BW69" s="313">
        <f>IF($BI69&lt;&gt;"",IF('Capacity summary'!$D$14="Yes",IF(COUNTBLANK('Capacity summary'!$H188:$BG188)&lt;52,IF('Capacity summary'!T188&lt;&gt;"",IF(LOWER('Capacity summary'!T188)="x",$BI69*T69,VALUE('Capacity summary'!T188)),0),T69*$BI69),T69*$BI69),0)</f>
        <v>0</v>
      </c>
      <c r="BX69" s="313">
        <f>IF($BI69&lt;&gt;"",IF('Capacity summary'!$D$14="Yes",IF(COUNTBLANK('Capacity summary'!$H188:$BG188)&lt;52,IF('Capacity summary'!U188&lt;&gt;"",IF(LOWER('Capacity summary'!U188)="x",$BI69*U69,VALUE('Capacity summary'!U188)),0),U69*$BI69),U69*$BI69),0)</f>
        <v>0</v>
      </c>
      <c r="BY69" s="313">
        <f>IF($BI69&lt;&gt;"",IF('Capacity summary'!$D$14="Yes",IF(COUNTBLANK('Capacity summary'!$H188:$BG188)&lt;52,IF('Capacity summary'!V188&lt;&gt;"",IF(LOWER('Capacity summary'!V188)="x",$BI69*V69,VALUE('Capacity summary'!V188)),0),V69*$BI69),V69*$BI69),0)</f>
        <v>0</v>
      </c>
      <c r="BZ69" s="313">
        <f>IF($BI69&lt;&gt;"",IF('Capacity summary'!$D$14="Yes",IF(COUNTBLANK('Capacity summary'!$H188:$BG188)&lt;52,IF('Capacity summary'!W188&lt;&gt;"",IF(LOWER('Capacity summary'!W188)="x",$BI69*W69,VALUE('Capacity summary'!W188)),0),W69*$BI69),W69*$BI69),0)</f>
        <v>0</v>
      </c>
      <c r="CA69" s="313">
        <f>IF($BI69&lt;&gt;"",IF('Capacity summary'!$D$14="Yes",IF(COUNTBLANK('Capacity summary'!$H188:$BG188)&lt;52,IF('Capacity summary'!X188&lt;&gt;"",IF(LOWER('Capacity summary'!X188)="x",$BI69*X69,VALUE('Capacity summary'!X188)),0),X69*$BI69),X69*$BI69),0)</f>
        <v>0</v>
      </c>
      <c r="CB69" s="313">
        <f>IF($BI69&lt;&gt;"",IF('Capacity summary'!$D$14="Yes",IF(COUNTBLANK('Capacity summary'!$H188:$BG188)&lt;52,IF('Capacity summary'!Y188&lt;&gt;"",IF(LOWER('Capacity summary'!Y188)="x",$BI69*Y69,VALUE('Capacity summary'!Y188)),0),Y69*$BI69),Y69*$BI69),0)</f>
        <v>0</v>
      </c>
      <c r="CC69" s="313">
        <f>IF($BI69&lt;&gt;"",IF('Capacity summary'!$D$14="Yes",IF(COUNTBLANK('Capacity summary'!$H188:$BG188)&lt;52,IF('Capacity summary'!Z188&lt;&gt;"",IF(LOWER('Capacity summary'!Z188)="x",$BI69*Z69,VALUE('Capacity summary'!Z188)),0),Z69*$BI69),Z69*$BI69),0)</f>
        <v>0</v>
      </c>
      <c r="CD69" s="313">
        <f>IF($BI69&lt;&gt;"",IF('Capacity summary'!$D$14="Yes",IF(COUNTBLANK('Capacity summary'!$H188:$BG188)&lt;52,IF('Capacity summary'!AA188&lt;&gt;"",IF(LOWER('Capacity summary'!AA188)="x",$BI69*AA69,VALUE('Capacity summary'!AA188)),0),AA69*$BI69),AA69*$BI69),0)</f>
        <v>0</v>
      </c>
      <c r="CE69" s="313">
        <f>IF($BI69&lt;&gt;"",IF('Capacity summary'!$D$14="Yes",IF(COUNTBLANK('Capacity summary'!$H188:$BG188)&lt;52,IF('Capacity summary'!AB188&lt;&gt;"",IF(LOWER('Capacity summary'!AB188)="x",$BI69*AB69,VALUE('Capacity summary'!AB188)),0),AB69*$BI69),AB69*$BI69),0)</f>
        <v>0</v>
      </c>
      <c r="CF69" s="313">
        <f>IF($BI69&lt;&gt;"",IF('Capacity summary'!$D$14="Yes",IF(COUNTBLANK('Capacity summary'!$H188:$BG188)&lt;52,IF('Capacity summary'!AC188&lt;&gt;"",IF(LOWER('Capacity summary'!AC188)="x",$BI69*AC69,VALUE('Capacity summary'!AC188)),0),AC69*$BI69),AC69*$BI69),0)</f>
        <v>0</v>
      </c>
      <c r="CG69" s="313">
        <f>IF($BI69&lt;&gt;"",IF('Capacity summary'!$D$14="Yes",IF(COUNTBLANK('Capacity summary'!$H188:$BG188)&lt;52,IF('Capacity summary'!AD188&lt;&gt;"",IF(LOWER('Capacity summary'!AD188)="x",$BI69*AD69,VALUE('Capacity summary'!AD188)),0),AD69*$BI69),AD69*$BI69),0)</f>
        <v>0</v>
      </c>
      <c r="CH69" s="313">
        <f>IF($BI69&lt;&gt;"",IF('Capacity summary'!$D$14="Yes",IF(COUNTBLANK('Capacity summary'!$H188:$BG188)&lt;52,IF('Capacity summary'!AE188&lt;&gt;"",IF(LOWER('Capacity summary'!AE188)="x",$BI69*AE69,VALUE('Capacity summary'!AE188)),0),AE69*$BI69),AE69*$BI69),0)</f>
        <v>0</v>
      </c>
      <c r="CI69" s="313">
        <f>IF($BI69&lt;&gt;"",IF('Capacity summary'!$D$14="Yes",IF(COUNTBLANK('Capacity summary'!$H188:$BG188)&lt;52,IF('Capacity summary'!AF188&lt;&gt;"",IF(LOWER('Capacity summary'!AF188)="x",$BI69*AF69,VALUE('Capacity summary'!AF188)),0),AF69*$BI69),AF69*$BI69),0)</f>
        <v>0</v>
      </c>
      <c r="CJ69" s="313">
        <f>IF($BI69&lt;&gt;"",IF('Capacity summary'!$D$14="Yes",IF(COUNTBLANK('Capacity summary'!$H188:$BG188)&lt;52,IF('Capacity summary'!AG188&lt;&gt;"",IF(LOWER('Capacity summary'!AG188)="x",$BI69*AG69,VALUE('Capacity summary'!AG188)),0),AG69*$BI69),AG69*$BI69),0)</f>
        <v>0</v>
      </c>
      <c r="CK69" s="313">
        <f>IF($BI69&lt;&gt;"",IF('Capacity summary'!$D$14="Yes",IF(COUNTBLANK('Capacity summary'!$H188:$BG188)&lt;52,IF('Capacity summary'!AH188&lt;&gt;"",IF(LOWER('Capacity summary'!AH188)="x",$BI69*AH69,VALUE('Capacity summary'!AH188)),0),AH69*$BI69),AH69*$BI69),0)</f>
        <v>0</v>
      </c>
      <c r="CL69" s="313">
        <f>IF($BI69&lt;&gt;"",IF('Capacity summary'!$D$14="Yes",IF(COUNTBLANK('Capacity summary'!$H188:$BG188)&lt;52,IF('Capacity summary'!AI188&lt;&gt;"",IF(LOWER('Capacity summary'!AI188)="x",$BI69*AI69,VALUE('Capacity summary'!AI188)),0),AI69*$BI69),AI69*$BI69),0)</f>
        <v>0</v>
      </c>
      <c r="CM69" s="313">
        <f>IF($BI69&lt;&gt;"",IF('Capacity summary'!$D$14="Yes",IF(COUNTBLANK('Capacity summary'!$H188:$BG188)&lt;52,IF('Capacity summary'!AJ188&lt;&gt;"",IF(LOWER('Capacity summary'!AJ188)="x",$BI69*AJ69,VALUE('Capacity summary'!AJ188)),0),AJ69*$BI69),AJ69*$BI69),0)</f>
        <v>0</v>
      </c>
      <c r="CN69" s="313">
        <f>IF($BI69&lt;&gt;"",IF('Capacity summary'!$D$14="Yes",IF(COUNTBLANK('Capacity summary'!$H188:$BG188)&lt;52,IF('Capacity summary'!AK188&lt;&gt;"",IF(LOWER('Capacity summary'!AK188)="x",$BI69*AK69,VALUE('Capacity summary'!AK188)),0),AK69*$BI69),AK69*$BI69),0)</f>
        <v>0</v>
      </c>
      <c r="CO69" s="313">
        <f>IF($BI69&lt;&gt;"",IF('Capacity summary'!$D$14="Yes",IF(COUNTBLANK('Capacity summary'!$H188:$BG188)&lt;52,IF('Capacity summary'!AL188&lt;&gt;"",IF(LOWER('Capacity summary'!AL188)="x",$BI69*AL69,VALUE('Capacity summary'!AL188)),0),AL69*$BI69),AL69*$BI69),0)</f>
        <v>0</v>
      </c>
      <c r="CP69" s="313">
        <f>IF($BI69&lt;&gt;"",IF('Capacity summary'!$D$14="Yes",IF(COUNTBLANK('Capacity summary'!$H188:$BG188)&lt;52,IF('Capacity summary'!AM188&lt;&gt;"",IF(LOWER('Capacity summary'!AM188)="x",$BI69*AM69,VALUE('Capacity summary'!AM188)),0),AM69*$BI69),AM69*$BI69),0)</f>
        <v>0</v>
      </c>
      <c r="CQ69" s="313">
        <f>IF($BI69&lt;&gt;"",IF('Capacity summary'!$D$14="Yes",IF(COUNTBLANK('Capacity summary'!$H188:$BG188)&lt;52,IF('Capacity summary'!AN188&lt;&gt;"",IF(LOWER('Capacity summary'!AN188)="x",$BI69*AN69,VALUE('Capacity summary'!AN188)),0),AN69*$BI69),AN69*$BI69),0)</f>
        <v>0</v>
      </c>
      <c r="CR69" s="313">
        <f>IF($BI69&lt;&gt;"",IF('Capacity summary'!$D$14="Yes",IF(COUNTBLANK('Capacity summary'!$H188:$BG188)&lt;52,IF('Capacity summary'!AO188&lt;&gt;"",IF(LOWER('Capacity summary'!AO188)="x",$BI69*AO69,VALUE('Capacity summary'!AO188)),0),AO69*$BI69),AO69*$BI69),0)</f>
        <v>0</v>
      </c>
      <c r="CS69" s="313">
        <f>IF($BI69&lt;&gt;"",IF('Capacity summary'!$D$14="Yes",IF(COUNTBLANK('Capacity summary'!$H188:$BG188)&lt;52,IF('Capacity summary'!AP188&lt;&gt;"",IF(LOWER('Capacity summary'!AP188)="x",$BI69*AP69,VALUE('Capacity summary'!AP188)),0),AP69*$BI69),AP69*$BI69),0)</f>
        <v>0</v>
      </c>
      <c r="CT69" s="313">
        <f>IF($BI69&lt;&gt;"",IF('Capacity summary'!$D$14="Yes",IF(COUNTBLANK('Capacity summary'!$H188:$BG188)&lt;52,IF('Capacity summary'!AQ188&lt;&gt;"",IF(LOWER('Capacity summary'!AQ188)="x",$BI69*AQ69,VALUE('Capacity summary'!AQ188)),0),AQ69*$BI69),AQ69*$BI69),0)</f>
        <v>0</v>
      </c>
      <c r="CU69" s="313">
        <f>IF($BI69&lt;&gt;"",IF('Capacity summary'!$D$14="Yes",IF(COUNTBLANK('Capacity summary'!$H188:$BG188)&lt;52,IF('Capacity summary'!AR188&lt;&gt;"",IF(LOWER('Capacity summary'!AR188)="x",$BI69*AR69,VALUE('Capacity summary'!AR188)),0),AR69*$BI69),AR69*$BI69),0)</f>
        <v>0</v>
      </c>
      <c r="CV69" s="313">
        <f>IF($BI69&lt;&gt;"",IF('Capacity summary'!$D$14="Yes",IF(COUNTBLANK('Capacity summary'!$H188:$BG188)&lt;52,IF('Capacity summary'!AS188&lt;&gt;"",IF(LOWER('Capacity summary'!AS188)="x",$BI69*AS69,VALUE('Capacity summary'!AS188)),0),AS69*$BI69),AS69*$BI69),0)</f>
        <v>0</v>
      </c>
      <c r="CW69" s="313">
        <f>IF($BI69&lt;&gt;"",IF('Capacity summary'!$D$14="Yes",IF(COUNTBLANK('Capacity summary'!$H188:$BG188)&lt;52,IF('Capacity summary'!AT188&lt;&gt;"",IF(LOWER('Capacity summary'!AT188)="x",$BI69*AT69,VALUE('Capacity summary'!AT188)),0),AT69*$BI69),AT69*$BI69),0)</f>
        <v>0</v>
      </c>
      <c r="CX69" s="313">
        <f>IF($BI69&lt;&gt;"",IF('Capacity summary'!$D$14="Yes",IF(COUNTBLANK('Capacity summary'!$H188:$BG188)&lt;52,IF('Capacity summary'!AU188&lt;&gt;"",IF(LOWER('Capacity summary'!AU188)="x",$BI69*AU69,VALUE('Capacity summary'!AU188)),0),AU69*$BI69),AU69*$BI69),0)</f>
        <v>0</v>
      </c>
      <c r="CY69" s="313">
        <f>IF($BI69&lt;&gt;"",IF('Capacity summary'!$D$14="Yes",IF(COUNTBLANK('Capacity summary'!$H188:$BG188)&lt;52,IF('Capacity summary'!AV188&lt;&gt;"",IF(LOWER('Capacity summary'!AV188)="x",$BI69*AV69,VALUE('Capacity summary'!AV188)),0),AV69*$BI69),AV69*$BI69),0)</f>
        <v>0</v>
      </c>
      <c r="CZ69" s="313">
        <f>IF($BI69&lt;&gt;"",IF('Capacity summary'!$D$14="Yes",IF(COUNTBLANK('Capacity summary'!$H188:$BG188)&lt;52,IF('Capacity summary'!AW188&lt;&gt;"",IF(LOWER('Capacity summary'!AW188)="x",$BI69*AW69,VALUE('Capacity summary'!AW188)),0),AW69*$BI69),AW69*$BI69),0)</f>
        <v>0</v>
      </c>
      <c r="DA69" s="313">
        <f>IF($BI69&lt;&gt;"",IF('Capacity summary'!$D$14="Yes",IF(COUNTBLANK('Capacity summary'!$H188:$BG188)&lt;52,IF('Capacity summary'!AX188&lt;&gt;"",IF(LOWER('Capacity summary'!AX188)="x",$BI69*AX69,VALUE('Capacity summary'!AX188)),0),AX69*$BI69),AX69*$BI69),0)</f>
        <v>0</v>
      </c>
      <c r="DB69" s="313">
        <f>IF($BI69&lt;&gt;"",IF('Capacity summary'!$D$14="Yes",IF(COUNTBLANK('Capacity summary'!$H188:$BG188)&lt;52,IF('Capacity summary'!AY188&lt;&gt;"",IF(LOWER('Capacity summary'!AY188)="x",$BI69*AY69,VALUE('Capacity summary'!AY188)),0),AY69*$BI69),AY69*$BI69),0)</f>
        <v>0</v>
      </c>
      <c r="DC69" s="313">
        <f>IF($BI69&lt;&gt;"",IF('Capacity summary'!$D$14="Yes",IF(COUNTBLANK('Capacity summary'!$H188:$BG188)&lt;52,IF('Capacity summary'!AZ188&lt;&gt;"",IF(LOWER('Capacity summary'!AZ188)="x",$BI69*AZ69,VALUE('Capacity summary'!AZ188)),0),AZ69*$BI69),AZ69*$BI69),0)</f>
        <v>0</v>
      </c>
      <c r="DD69" s="313">
        <f>IF($BI69&lt;&gt;"",IF('Capacity summary'!$D$14="Yes",IF(COUNTBLANK('Capacity summary'!$H188:$BG188)&lt;52,IF('Capacity summary'!BA188&lt;&gt;"",IF(LOWER('Capacity summary'!BA188)="x",$BI69*BA69,VALUE('Capacity summary'!BA188)),0),BA69*$BI69),BA69*$BI69),0)</f>
        <v>0</v>
      </c>
      <c r="DE69" s="313">
        <f>IF($BI69&lt;&gt;"",IF('Capacity summary'!$D$14="Yes",IF(COUNTBLANK('Capacity summary'!$H188:$BG188)&lt;52,IF('Capacity summary'!BB188&lt;&gt;"",IF(LOWER('Capacity summary'!BB188)="x",$BI69*BB69,VALUE('Capacity summary'!BB188)),0),BB69*$BI69),BB69*$BI69),0)</f>
        <v>0</v>
      </c>
      <c r="DF69" s="313">
        <f>IF($BI69&lt;&gt;"",IF('Capacity summary'!$D$14="Yes",IF(COUNTBLANK('Capacity summary'!$H188:$BG188)&lt;52,IF('Capacity summary'!BC188&lt;&gt;"",IF(LOWER('Capacity summary'!BC188)="x",$BI69*BC69,VALUE('Capacity summary'!BC188)),0),BC69*$BI69),BC69*$BI69),0)</f>
        <v>0</v>
      </c>
      <c r="DG69" s="313">
        <f>IF($BI69&lt;&gt;"",IF('Capacity summary'!$D$14="Yes",IF(COUNTBLANK('Capacity summary'!$H188:$BG188)&lt;52,IF('Capacity summary'!BD188&lt;&gt;"",IF(LOWER('Capacity summary'!BD188)="x",$BI69*BD69,VALUE('Capacity summary'!BD188)),0),BD69*$BI69),BD69*$BI69),0)</f>
        <v>0</v>
      </c>
      <c r="DH69" s="313">
        <f>IF($BI69&lt;&gt;"",IF('Capacity summary'!$D$14="Yes",IF(COUNTBLANK('Capacity summary'!$H188:$BG188)&lt;52,IF('Capacity summary'!BE188&lt;&gt;"",IF(LOWER('Capacity summary'!BE188)="x",$BI69*BE69,VALUE('Capacity summary'!BE188)),0),BE69*$BI69),BE69*$BI69),0)</f>
        <v>0</v>
      </c>
      <c r="DI69" s="313">
        <f>IF($BI69&lt;&gt;"",IF('Capacity summary'!$D$14="Yes",IF(COUNTBLANK('Capacity summary'!$H188:$BG188)&lt;52,IF('Capacity summary'!BF188&lt;&gt;"",IF(LOWER('Capacity summary'!BF188)="x",$BI69*BF69,VALUE('Capacity summary'!BF188)),0),BF69*$BI69),BF69*$BI69),0)</f>
        <v>0</v>
      </c>
      <c r="DJ69" s="313">
        <f>IF($BI69&lt;&gt;"",IF('Capacity summary'!$D$14="Yes",IF(COUNTBLANK('Capacity summary'!$H188:$BG188)&lt;52,IF('Capacity summary'!BG188&lt;&gt;"",IF(LOWER('Capacity summary'!BG188)="x",$BI69*BG69,VALUE('Capacity summary'!BG188)),0),BG69*$BI69),BG69*$BI69),0)</f>
        <v>0</v>
      </c>
      <c r="DK69" s="137">
        <f t="shared" ref="DK69:DK104" si="3">SUM(BK69:DJ69)</f>
        <v>0</v>
      </c>
      <c r="DL69" s="313" t="str">
        <f>Capacity!H81</f>
        <v/>
      </c>
    </row>
    <row r="70" spans="2:116" x14ac:dyDescent="0.25">
      <c r="B70" s="67"/>
      <c r="C70" s="67" t="str">
        <f>ROW(A66)&amp;". "&amp;Capacity!B82</f>
        <v xml:space="preserve">66. </v>
      </c>
      <c r="D70" s="67">
        <f>'Capacity setup'!C77</f>
        <v>0</v>
      </c>
      <c r="E70" s="67">
        <f>'Capacity setup'!D77</f>
        <v>0</v>
      </c>
      <c r="F70" s="67">
        <f>'Capacity setup'!E77</f>
        <v>0</v>
      </c>
      <c r="H70" s="67">
        <f ca="1">IF(AND(SUMIF(Capacity_Resource,$D70,'Critical resources (hide)'!U$6:U$105)+SUMIF(Capacity_Resource,$E70,'Critical resources (hide)'!U$6:U$105)+SUMIF(Capacity_Resource,$F70,'Critical resources (hide)'!U$6:U$105)&gt;0,$E$1=2),0,1)</f>
        <v>1</v>
      </c>
      <c r="I70" s="67">
        <f ca="1">IF(AND(SUMIF(Capacity_Resource,$D70,'Critical resources (hide)'!V$6:V$105)+SUMIF(Capacity_Resource,$E70,'Critical resources (hide)'!V$6:V$105)+SUMIF(Capacity_Resource,$F70,'Critical resources (hide)'!V$6:V$105)&gt;0,$E$1=2),0,1)</f>
        <v>1</v>
      </c>
      <c r="J70" s="67">
        <f ca="1">IF(AND(SUMIF(Capacity_Resource,$D70,'Critical resources (hide)'!W$6:W$105)+SUMIF(Capacity_Resource,$E70,'Critical resources (hide)'!W$6:W$105)+SUMIF(Capacity_Resource,$F70,'Critical resources (hide)'!W$6:W$105)&gt;0,$E$1=2),0,1)</f>
        <v>1</v>
      </c>
      <c r="K70" s="67">
        <f ca="1">IF(AND(SUMIF(Capacity_Resource,$D70,'Critical resources (hide)'!X$6:X$105)+SUMIF(Capacity_Resource,$E70,'Critical resources (hide)'!X$6:X$105)+SUMIF(Capacity_Resource,$F70,'Critical resources (hide)'!X$6:X$105)&gt;0,$E$1=2),0,1)</f>
        <v>1</v>
      </c>
      <c r="L70" s="67">
        <f ca="1">IF(AND(SUMIF(Capacity_Resource,$D70,'Critical resources (hide)'!Y$6:Y$105)+SUMIF(Capacity_Resource,$E70,'Critical resources (hide)'!Y$6:Y$105)+SUMIF(Capacity_Resource,$F70,'Critical resources (hide)'!Y$6:Y$105)&gt;0,$E$1=2),0,1)</f>
        <v>1</v>
      </c>
      <c r="M70" s="67">
        <f ca="1">IF(AND(SUMIF(Capacity_Resource,$D70,'Critical resources (hide)'!Z$6:Z$105)+SUMIF(Capacity_Resource,$E70,'Critical resources (hide)'!Z$6:Z$105)+SUMIF(Capacity_Resource,$F70,'Critical resources (hide)'!Z$6:Z$105)&gt;0,$E$1=2),0,1)</f>
        <v>1</v>
      </c>
      <c r="N70" s="67">
        <f ca="1">IF(AND(SUMIF(Capacity_Resource,$D70,'Critical resources (hide)'!AA$6:AA$105)+SUMIF(Capacity_Resource,$E70,'Critical resources (hide)'!AA$6:AA$105)+SUMIF(Capacity_Resource,$F70,'Critical resources (hide)'!AA$6:AA$105)&gt;0,$E$1=2),0,1)</f>
        <v>1</v>
      </c>
      <c r="O70" s="67">
        <f ca="1">IF(AND(SUMIF(Capacity_Resource,$D70,'Critical resources (hide)'!AB$6:AB$105)+SUMIF(Capacity_Resource,$E70,'Critical resources (hide)'!AB$6:AB$105)+SUMIF(Capacity_Resource,$F70,'Critical resources (hide)'!AB$6:AB$105)&gt;0,$E$1=2),0,1)</f>
        <v>1</v>
      </c>
      <c r="P70" s="67">
        <f ca="1">IF(AND(SUMIF(Capacity_Resource,$D70,'Critical resources (hide)'!AC$6:AC$105)+SUMIF(Capacity_Resource,$E70,'Critical resources (hide)'!AC$6:AC$105)+SUMIF(Capacity_Resource,$F70,'Critical resources (hide)'!AC$6:AC$105)&gt;0,$E$1=2),0,1)</f>
        <v>1</v>
      </c>
      <c r="Q70" s="67">
        <f ca="1">IF(AND(SUMIF(Capacity_Resource,$D70,'Critical resources (hide)'!AD$6:AD$105)+SUMIF(Capacity_Resource,$E70,'Critical resources (hide)'!AD$6:AD$105)+SUMIF(Capacity_Resource,$F70,'Critical resources (hide)'!AD$6:AD$105)&gt;0,$E$1=2),0,1)</f>
        <v>1</v>
      </c>
      <c r="R70" s="67">
        <f ca="1">IF(AND(SUMIF(Capacity_Resource,$D70,'Critical resources (hide)'!AE$6:AE$105)+SUMIF(Capacity_Resource,$E70,'Critical resources (hide)'!AE$6:AE$105)+SUMIF(Capacity_Resource,$F70,'Critical resources (hide)'!AE$6:AE$105)&gt;0,$E$1=2),0,1)</f>
        <v>1</v>
      </c>
      <c r="S70" s="67">
        <f ca="1">IF(AND(SUMIF(Capacity_Resource,$D70,'Critical resources (hide)'!AF$6:AF$105)+SUMIF(Capacity_Resource,$E70,'Critical resources (hide)'!AF$6:AF$105)+SUMIF(Capacity_Resource,$F70,'Critical resources (hide)'!AF$6:AF$105)&gt;0,$E$1=2),0,1)</f>
        <v>1</v>
      </c>
      <c r="T70" s="67">
        <f ca="1">IF(AND(SUMIF(Capacity_Resource,$D70,'Critical resources (hide)'!AG$6:AG$105)+SUMIF(Capacity_Resource,$E70,'Critical resources (hide)'!AG$6:AG$105)+SUMIF(Capacity_Resource,$F70,'Critical resources (hide)'!AG$6:AG$105)&gt;0,$E$1=2),0,1)</f>
        <v>1</v>
      </c>
      <c r="U70" s="67">
        <f ca="1">IF(AND(SUMIF(Capacity_Resource,$D70,'Critical resources (hide)'!AH$6:AH$105)+SUMIF(Capacity_Resource,$E70,'Critical resources (hide)'!AH$6:AH$105)+SUMIF(Capacity_Resource,$F70,'Critical resources (hide)'!AH$6:AH$105)&gt;0,$E$1=2),0,1)</f>
        <v>1</v>
      </c>
      <c r="V70" s="67">
        <f ca="1">IF(AND(SUMIF(Capacity_Resource,$D70,'Critical resources (hide)'!AI$6:AI$105)+SUMIF(Capacity_Resource,$E70,'Critical resources (hide)'!AI$6:AI$105)+SUMIF(Capacity_Resource,$F70,'Critical resources (hide)'!AI$6:AI$105)&gt;0,$E$1=2),0,1)</f>
        <v>1</v>
      </c>
      <c r="W70" s="67">
        <f ca="1">IF(AND(SUMIF(Capacity_Resource,$D70,'Critical resources (hide)'!AJ$6:AJ$105)+SUMIF(Capacity_Resource,$E70,'Critical resources (hide)'!AJ$6:AJ$105)+SUMIF(Capacity_Resource,$F70,'Critical resources (hide)'!AJ$6:AJ$105)&gt;0,$E$1=2),0,1)</f>
        <v>1</v>
      </c>
      <c r="X70" s="67">
        <f ca="1">IF(AND(SUMIF(Capacity_Resource,$D70,'Critical resources (hide)'!AK$6:AK$105)+SUMIF(Capacity_Resource,$E70,'Critical resources (hide)'!AK$6:AK$105)+SUMIF(Capacity_Resource,$F70,'Critical resources (hide)'!AK$6:AK$105)&gt;0,$E$1=2),0,1)</f>
        <v>1</v>
      </c>
      <c r="Y70" s="67">
        <f ca="1">IF(AND(SUMIF(Capacity_Resource,$D70,'Critical resources (hide)'!AL$6:AL$105)+SUMIF(Capacity_Resource,$E70,'Critical resources (hide)'!AL$6:AL$105)+SUMIF(Capacity_Resource,$F70,'Critical resources (hide)'!AL$6:AL$105)&gt;0,$E$1=2),0,1)</f>
        <v>1</v>
      </c>
      <c r="Z70" s="67">
        <f ca="1">IF(AND(SUMIF(Capacity_Resource,$D70,'Critical resources (hide)'!AM$6:AM$105)+SUMIF(Capacity_Resource,$E70,'Critical resources (hide)'!AM$6:AM$105)+SUMIF(Capacity_Resource,$F70,'Critical resources (hide)'!AM$6:AM$105)&gt;0,$E$1=2),0,1)</f>
        <v>1</v>
      </c>
      <c r="AA70" s="67">
        <f ca="1">IF(AND(SUMIF(Capacity_Resource,$D70,'Critical resources (hide)'!AN$6:AN$105)+SUMIF(Capacity_Resource,$E70,'Critical resources (hide)'!AN$6:AN$105)+SUMIF(Capacity_Resource,$F70,'Critical resources (hide)'!AN$6:AN$105)&gt;0,$E$1=2),0,1)</f>
        <v>1</v>
      </c>
      <c r="AB70" s="67">
        <f ca="1">IF(AND(SUMIF(Capacity_Resource,$D70,'Critical resources (hide)'!AO$6:AO$105)+SUMIF(Capacity_Resource,$E70,'Critical resources (hide)'!AO$6:AO$105)+SUMIF(Capacity_Resource,$F70,'Critical resources (hide)'!AO$6:AO$105)&gt;0,$E$1=2),0,1)</f>
        <v>1</v>
      </c>
      <c r="AC70" s="67">
        <f ca="1">IF(AND(SUMIF(Capacity_Resource,$D70,'Critical resources (hide)'!AP$6:AP$105)+SUMIF(Capacity_Resource,$E70,'Critical resources (hide)'!AP$6:AP$105)+SUMIF(Capacity_Resource,$F70,'Critical resources (hide)'!AP$6:AP$105)&gt;0,$E$1=2),0,1)</f>
        <v>1</v>
      </c>
      <c r="AD70" s="67">
        <f ca="1">IF(AND(SUMIF(Capacity_Resource,$D70,'Critical resources (hide)'!AQ$6:AQ$105)+SUMIF(Capacity_Resource,$E70,'Critical resources (hide)'!AQ$6:AQ$105)+SUMIF(Capacity_Resource,$F70,'Critical resources (hide)'!AQ$6:AQ$105)&gt;0,$E$1=2),0,1)</f>
        <v>1</v>
      </c>
      <c r="AE70" s="67">
        <f ca="1">IF(AND(SUMIF(Capacity_Resource,$D70,'Critical resources (hide)'!AR$6:AR$105)+SUMIF(Capacity_Resource,$E70,'Critical resources (hide)'!AR$6:AR$105)+SUMIF(Capacity_Resource,$F70,'Critical resources (hide)'!AR$6:AR$105)&gt;0,$E$1=2),0,1)</f>
        <v>1</v>
      </c>
      <c r="AF70" s="67">
        <f ca="1">IF(AND(SUMIF(Capacity_Resource,$D70,'Critical resources (hide)'!AS$6:AS$105)+SUMIF(Capacity_Resource,$E70,'Critical resources (hide)'!AS$6:AS$105)+SUMIF(Capacity_Resource,$F70,'Critical resources (hide)'!AS$6:AS$105)&gt;0,$E$1=2),0,1)</f>
        <v>1</v>
      </c>
      <c r="AG70" s="67">
        <f ca="1">IF(AND(SUMIF(Capacity_Resource,$D70,'Critical resources (hide)'!AT$6:AT$105)+SUMIF(Capacity_Resource,$E70,'Critical resources (hide)'!AT$6:AT$105)+SUMIF(Capacity_Resource,$F70,'Critical resources (hide)'!AT$6:AT$105)&gt;0,$E$1=2),0,1)</f>
        <v>1</v>
      </c>
      <c r="AH70" s="67">
        <f ca="1">IF(AND(SUMIF(Capacity_Resource,$D70,'Critical resources (hide)'!AU$6:AU$105)+SUMIF(Capacity_Resource,$E70,'Critical resources (hide)'!AU$6:AU$105)+SUMIF(Capacity_Resource,$F70,'Critical resources (hide)'!AU$6:AU$105)&gt;0,$E$1=2),0,1)</f>
        <v>1</v>
      </c>
      <c r="AI70" s="67">
        <f ca="1">IF(AND(SUMIF(Capacity_Resource,$D70,'Critical resources (hide)'!AV$6:AV$105)+SUMIF(Capacity_Resource,$E70,'Critical resources (hide)'!AV$6:AV$105)+SUMIF(Capacity_Resource,$F70,'Critical resources (hide)'!AV$6:AV$105)&gt;0,$E$1=2),0,1)</f>
        <v>1</v>
      </c>
      <c r="AJ70" s="67">
        <f ca="1">IF(AND(SUMIF(Capacity_Resource,$D70,'Critical resources (hide)'!AW$6:AW$105)+SUMIF(Capacity_Resource,$E70,'Critical resources (hide)'!AW$6:AW$105)+SUMIF(Capacity_Resource,$F70,'Critical resources (hide)'!AW$6:AW$105)&gt;0,$E$1=2),0,1)</f>
        <v>1</v>
      </c>
      <c r="AK70" s="67">
        <f ca="1">IF(AND(SUMIF(Capacity_Resource,$D70,'Critical resources (hide)'!AX$6:AX$105)+SUMIF(Capacity_Resource,$E70,'Critical resources (hide)'!AX$6:AX$105)+SUMIF(Capacity_Resource,$F70,'Critical resources (hide)'!AX$6:AX$105)&gt;0,$E$1=2),0,1)</f>
        <v>1</v>
      </c>
      <c r="AL70" s="67">
        <f ca="1">IF(AND(SUMIF(Capacity_Resource,$D70,'Critical resources (hide)'!AY$6:AY$105)+SUMIF(Capacity_Resource,$E70,'Critical resources (hide)'!AY$6:AY$105)+SUMIF(Capacity_Resource,$F70,'Critical resources (hide)'!AY$6:AY$105)&gt;0,$E$1=2),0,1)</f>
        <v>1</v>
      </c>
      <c r="AM70" s="67">
        <f ca="1">IF(AND(SUMIF(Capacity_Resource,$D70,'Critical resources (hide)'!AZ$6:AZ$105)+SUMIF(Capacity_Resource,$E70,'Critical resources (hide)'!AZ$6:AZ$105)+SUMIF(Capacity_Resource,$F70,'Critical resources (hide)'!AZ$6:AZ$105)&gt;0,$E$1=2),0,1)</f>
        <v>1</v>
      </c>
      <c r="AN70" s="67">
        <f ca="1">IF(AND(SUMIF(Capacity_Resource,$D70,'Critical resources (hide)'!BA$6:BA$105)+SUMIF(Capacity_Resource,$E70,'Critical resources (hide)'!BA$6:BA$105)+SUMIF(Capacity_Resource,$F70,'Critical resources (hide)'!BA$6:BA$105)&gt;0,$E$1=2),0,1)</f>
        <v>1</v>
      </c>
      <c r="AO70" s="67">
        <f ca="1">IF(AND(SUMIF(Capacity_Resource,$D70,'Critical resources (hide)'!BB$6:BB$105)+SUMIF(Capacity_Resource,$E70,'Critical resources (hide)'!BB$6:BB$105)+SUMIF(Capacity_Resource,$F70,'Critical resources (hide)'!BB$6:BB$105)&gt;0,$E$1=2),0,1)</f>
        <v>1</v>
      </c>
      <c r="AP70" s="67">
        <f ca="1">IF(AND(SUMIF(Capacity_Resource,$D70,'Critical resources (hide)'!BC$6:BC$105)+SUMIF(Capacity_Resource,$E70,'Critical resources (hide)'!BC$6:BC$105)+SUMIF(Capacity_Resource,$F70,'Critical resources (hide)'!BC$6:BC$105)&gt;0,$E$1=2),0,1)</f>
        <v>1</v>
      </c>
      <c r="AQ70" s="67">
        <f ca="1">IF(AND(SUMIF(Capacity_Resource,$D70,'Critical resources (hide)'!BD$6:BD$105)+SUMIF(Capacity_Resource,$E70,'Critical resources (hide)'!BD$6:BD$105)+SUMIF(Capacity_Resource,$F70,'Critical resources (hide)'!BD$6:BD$105)&gt;0,$E$1=2),0,1)</f>
        <v>1</v>
      </c>
      <c r="AR70" s="67">
        <f ca="1">IF(AND(SUMIF(Capacity_Resource,$D70,'Critical resources (hide)'!BE$6:BE$105)+SUMIF(Capacity_Resource,$E70,'Critical resources (hide)'!BE$6:BE$105)+SUMIF(Capacity_Resource,$F70,'Critical resources (hide)'!BE$6:BE$105)&gt;0,$E$1=2),0,1)</f>
        <v>1</v>
      </c>
      <c r="AS70" s="67">
        <f ca="1">IF(AND(SUMIF(Capacity_Resource,$D70,'Critical resources (hide)'!BF$6:BF$105)+SUMIF(Capacity_Resource,$E70,'Critical resources (hide)'!BF$6:BF$105)+SUMIF(Capacity_Resource,$F70,'Critical resources (hide)'!BF$6:BF$105)&gt;0,$E$1=2),0,1)</f>
        <v>1</v>
      </c>
      <c r="AT70" s="67">
        <f ca="1">IF(AND(SUMIF(Capacity_Resource,$D70,'Critical resources (hide)'!BG$6:BG$105)+SUMIF(Capacity_Resource,$E70,'Critical resources (hide)'!BG$6:BG$105)+SUMIF(Capacity_Resource,$F70,'Critical resources (hide)'!BG$6:BG$105)&gt;0,$E$1=2),0,1)</f>
        <v>1</v>
      </c>
      <c r="AU70" s="67">
        <f ca="1">IF(AND(SUMIF(Capacity_Resource,$D70,'Critical resources (hide)'!BH$6:BH$105)+SUMIF(Capacity_Resource,$E70,'Critical resources (hide)'!BH$6:BH$105)+SUMIF(Capacity_Resource,$F70,'Critical resources (hide)'!BH$6:BH$105)&gt;0,$E$1=2),0,1)</f>
        <v>1</v>
      </c>
      <c r="AV70" s="67">
        <f ca="1">IF(AND(SUMIF(Capacity_Resource,$D70,'Critical resources (hide)'!BI$6:BI$105)+SUMIF(Capacity_Resource,$E70,'Critical resources (hide)'!BI$6:BI$105)+SUMIF(Capacity_Resource,$F70,'Critical resources (hide)'!BI$6:BI$105)&gt;0,$E$1=2),0,1)</f>
        <v>1</v>
      </c>
      <c r="AW70" s="67">
        <f ca="1">IF(AND(SUMIF(Capacity_Resource,$D70,'Critical resources (hide)'!BJ$6:BJ$105)+SUMIF(Capacity_Resource,$E70,'Critical resources (hide)'!BJ$6:BJ$105)+SUMIF(Capacity_Resource,$F70,'Critical resources (hide)'!BJ$6:BJ$105)&gt;0,$E$1=2),0,1)</f>
        <v>1</v>
      </c>
      <c r="AX70" s="67">
        <f ca="1">IF(AND(SUMIF(Capacity_Resource,$D70,'Critical resources (hide)'!BK$6:BK$105)+SUMIF(Capacity_Resource,$E70,'Critical resources (hide)'!BK$6:BK$105)+SUMIF(Capacity_Resource,$F70,'Critical resources (hide)'!BK$6:BK$105)&gt;0,$E$1=2),0,1)</f>
        <v>1</v>
      </c>
      <c r="AY70" s="67">
        <f ca="1">IF(AND(SUMIF(Capacity_Resource,$D70,'Critical resources (hide)'!BL$6:BL$105)+SUMIF(Capacity_Resource,$E70,'Critical resources (hide)'!BL$6:BL$105)+SUMIF(Capacity_Resource,$F70,'Critical resources (hide)'!BL$6:BL$105)&gt;0,$E$1=2),0,1)</f>
        <v>1</v>
      </c>
      <c r="AZ70" s="67">
        <f ca="1">IF(AND(SUMIF(Capacity_Resource,$D70,'Critical resources (hide)'!BM$6:BM$105)+SUMIF(Capacity_Resource,$E70,'Critical resources (hide)'!BM$6:BM$105)+SUMIF(Capacity_Resource,$F70,'Critical resources (hide)'!BM$6:BM$105)&gt;0,$E$1=2),0,1)</f>
        <v>1</v>
      </c>
      <c r="BA70" s="67">
        <f ca="1">IF(AND(SUMIF(Capacity_Resource,$D70,'Critical resources (hide)'!BN$6:BN$105)+SUMIF(Capacity_Resource,$E70,'Critical resources (hide)'!BN$6:BN$105)+SUMIF(Capacity_Resource,$F70,'Critical resources (hide)'!BN$6:BN$105)&gt;0,$E$1=2),0,1)</f>
        <v>1</v>
      </c>
      <c r="BB70" s="67">
        <f ca="1">IF(AND(SUMIF(Capacity_Resource,$D70,'Critical resources (hide)'!BO$6:BO$105)+SUMIF(Capacity_Resource,$E70,'Critical resources (hide)'!BO$6:BO$105)+SUMIF(Capacity_Resource,$F70,'Critical resources (hide)'!BO$6:BO$105)&gt;0,$E$1=2),0,1)</f>
        <v>1</v>
      </c>
      <c r="BC70" s="67">
        <f ca="1">IF(AND(SUMIF(Capacity_Resource,$D70,'Critical resources (hide)'!BP$6:BP$105)+SUMIF(Capacity_Resource,$E70,'Critical resources (hide)'!BP$6:BP$105)+SUMIF(Capacity_Resource,$F70,'Critical resources (hide)'!BP$6:BP$105)&gt;0,$E$1=2),0,1)</f>
        <v>1</v>
      </c>
      <c r="BD70" s="67">
        <f ca="1">IF(AND(SUMIF(Capacity_Resource,$D70,'Critical resources (hide)'!BQ$6:BQ$105)+SUMIF(Capacity_Resource,$E70,'Critical resources (hide)'!BQ$6:BQ$105)+SUMIF(Capacity_Resource,$F70,'Critical resources (hide)'!BQ$6:BQ$105)&gt;0,$E$1=2),0,1)</f>
        <v>1</v>
      </c>
      <c r="BE70" s="67">
        <f ca="1">IF(AND(SUMIF(Capacity_Resource,$D70,'Critical resources (hide)'!BR$6:BR$105)+SUMIF(Capacity_Resource,$E70,'Critical resources (hide)'!BR$6:BR$105)+SUMIF(Capacity_Resource,$F70,'Critical resources (hide)'!BR$6:BR$105)&gt;0,$E$1=2),0,1)</f>
        <v>1</v>
      </c>
      <c r="BF70" s="67">
        <f ca="1">IF(AND(SUMIF(Capacity_Resource,$D70,'Critical resources (hide)'!BS$6:BS$105)+SUMIF(Capacity_Resource,$E70,'Critical resources (hide)'!BS$6:BS$105)+SUMIF(Capacity_Resource,$F70,'Critical resources (hide)'!BS$6:BS$105)&gt;0,$E$1=2),0,1)</f>
        <v>1</v>
      </c>
      <c r="BG70" s="67">
        <f ca="1">IF(AND(SUMIF(Capacity_Resource,$D70,'Critical resources (hide)'!BT$6:BT$105)+SUMIF(Capacity_Resource,$E70,'Critical resources (hide)'!BT$6:BT$105)+SUMIF(Capacity_Resource,$F70,'Critical resources (hide)'!BT$6:BT$105)&gt;0,$E$1=2),0,1)</f>
        <v>1</v>
      </c>
      <c r="BH70" s="67">
        <f>IF(ROW(C66)&lt;=Capacity!$A$16,IF('Capacity summary'!$D$14="No",SUM(H70:BG70),'Capacity summary'!$E189),0)</f>
        <v>0</v>
      </c>
      <c r="BI70" s="5" t="str">
        <f>IF(BH70&gt;0,IF(BH70&lt;Capacity!E82,Capacity!F82,Capacity!H82/'Capacity calculation (hide)'!BH70),"")</f>
        <v/>
      </c>
      <c r="BK70" s="313">
        <f>IF($BI70&lt;&gt;"",IF('Capacity summary'!$D$14="Yes",IF(COUNTBLANK('Capacity summary'!$H189:$BG189)&lt;52,IF('Capacity summary'!H189&lt;&gt;"",IF(LOWER('Capacity summary'!H189)="x",$BI70*H70,VALUE('Capacity summary'!H189)),0),H70*$BI70),H70*$BI70),0)</f>
        <v>0</v>
      </c>
      <c r="BL70" s="313">
        <f>IF($BI70&lt;&gt;"",IF('Capacity summary'!$D$14="Yes",IF(COUNTBLANK('Capacity summary'!$H189:$BG189)&lt;52,IF('Capacity summary'!I189&lt;&gt;"",IF(LOWER('Capacity summary'!I189)="x",$BI70*I70,VALUE('Capacity summary'!I189)),0),I70*$BI70),I70*$BI70),0)</f>
        <v>0</v>
      </c>
      <c r="BM70" s="313">
        <f>IF($BI70&lt;&gt;"",IF('Capacity summary'!$D$14="Yes",IF(COUNTBLANK('Capacity summary'!$H189:$BG189)&lt;52,IF('Capacity summary'!J189&lt;&gt;"",IF(LOWER('Capacity summary'!J189)="x",$BI70*J70,VALUE('Capacity summary'!J189)),0),J70*$BI70),J70*$BI70),0)</f>
        <v>0</v>
      </c>
      <c r="BN70" s="313">
        <f>IF($BI70&lt;&gt;"",IF('Capacity summary'!$D$14="Yes",IF(COUNTBLANK('Capacity summary'!$H189:$BG189)&lt;52,IF('Capacity summary'!K189&lt;&gt;"",IF(LOWER('Capacity summary'!K189)="x",$BI70*K70,VALUE('Capacity summary'!K189)),0),K70*$BI70),K70*$BI70),0)</f>
        <v>0</v>
      </c>
      <c r="BO70" s="313">
        <f>IF($BI70&lt;&gt;"",IF('Capacity summary'!$D$14="Yes",IF(COUNTBLANK('Capacity summary'!$H189:$BG189)&lt;52,IF('Capacity summary'!L189&lt;&gt;"",IF(LOWER('Capacity summary'!L189)="x",$BI70*L70,VALUE('Capacity summary'!L189)),0),L70*$BI70),L70*$BI70),0)</f>
        <v>0</v>
      </c>
      <c r="BP70" s="313">
        <f>IF($BI70&lt;&gt;"",IF('Capacity summary'!$D$14="Yes",IF(COUNTBLANK('Capacity summary'!$H189:$BG189)&lt;52,IF('Capacity summary'!M189&lt;&gt;"",IF(LOWER('Capacity summary'!M189)="x",$BI70*M70,VALUE('Capacity summary'!M189)),0),M70*$BI70),M70*$BI70),0)</f>
        <v>0</v>
      </c>
      <c r="BQ70" s="313">
        <f>IF($BI70&lt;&gt;"",IF('Capacity summary'!$D$14="Yes",IF(COUNTBLANK('Capacity summary'!$H189:$BG189)&lt;52,IF('Capacity summary'!N189&lt;&gt;"",IF(LOWER('Capacity summary'!N189)="x",$BI70*N70,VALUE('Capacity summary'!N189)),0),N70*$BI70),N70*$BI70),0)</f>
        <v>0</v>
      </c>
      <c r="BR70" s="313">
        <f>IF($BI70&lt;&gt;"",IF('Capacity summary'!$D$14="Yes",IF(COUNTBLANK('Capacity summary'!$H189:$BG189)&lt;52,IF('Capacity summary'!O189&lt;&gt;"",IF(LOWER('Capacity summary'!O189)="x",$BI70*O70,VALUE('Capacity summary'!O189)),0),O70*$BI70),O70*$BI70),0)</f>
        <v>0</v>
      </c>
      <c r="BS70" s="313">
        <f>IF($BI70&lt;&gt;"",IF('Capacity summary'!$D$14="Yes",IF(COUNTBLANK('Capacity summary'!$H189:$BG189)&lt;52,IF('Capacity summary'!P189&lt;&gt;"",IF(LOWER('Capacity summary'!P189)="x",$BI70*P70,VALUE('Capacity summary'!P189)),0),P70*$BI70),P70*$BI70),0)</f>
        <v>0</v>
      </c>
      <c r="BT70" s="313">
        <f>IF($BI70&lt;&gt;"",IF('Capacity summary'!$D$14="Yes",IF(COUNTBLANK('Capacity summary'!$H189:$BG189)&lt;52,IF('Capacity summary'!Q189&lt;&gt;"",IF(LOWER('Capacity summary'!Q189)="x",$BI70*Q70,VALUE('Capacity summary'!Q189)),0),Q70*$BI70),Q70*$BI70),0)</f>
        <v>0</v>
      </c>
      <c r="BU70" s="313">
        <f>IF($BI70&lt;&gt;"",IF('Capacity summary'!$D$14="Yes",IF(COUNTBLANK('Capacity summary'!$H189:$BG189)&lt;52,IF('Capacity summary'!R189&lt;&gt;"",IF(LOWER('Capacity summary'!R189)="x",$BI70*R70,VALUE('Capacity summary'!R189)),0),R70*$BI70),R70*$BI70),0)</f>
        <v>0</v>
      </c>
      <c r="BV70" s="313">
        <f>IF($BI70&lt;&gt;"",IF('Capacity summary'!$D$14="Yes",IF(COUNTBLANK('Capacity summary'!$H189:$BG189)&lt;52,IF('Capacity summary'!S189&lt;&gt;"",IF(LOWER('Capacity summary'!S189)="x",$BI70*S70,VALUE('Capacity summary'!S189)),0),S70*$BI70),S70*$BI70),0)</f>
        <v>0</v>
      </c>
      <c r="BW70" s="313">
        <f>IF($BI70&lt;&gt;"",IF('Capacity summary'!$D$14="Yes",IF(COUNTBLANK('Capacity summary'!$H189:$BG189)&lt;52,IF('Capacity summary'!T189&lt;&gt;"",IF(LOWER('Capacity summary'!T189)="x",$BI70*T70,VALUE('Capacity summary'!T189)),0),T70*$BI70),T70*$BI70),0)</f>
        <v>0</v>
      </c>
      <c r="BX70" s="313">
        <f>IF($BI70&lt;&gt;"",IF('Capacity summary'!$D$14="Yes",IF(COUNTBLANK('Capacity summary'!$H189:$BG189)&lt;52,IF('Capacity summary'!U189&lt;&gt;"",IF(LOWER('Capacity summary'!U189)="x",$BI70*U70,VALUE('Capacity summary'!U189)),0),U70*$BI70),U70*$BI70),0)</f>
        <v>0</v>
      </c>
      <c r="BY70" s="313">
        <f>IF($BI70&lt;&gt;"",IF('Capacity summary'!$D$14="Yes",IF(COUNTBLANK('Capacity summary'!$H189:$BG189)&lt;52,IF('Capacity summary'!V189&lt;&gt;"",IF(LOWER('Capacity summary'!V189)="x",$BI70*V70,VALUE('Capacity summary'!V189)),0),V70*$BI70),V70*$BI70),0)</f>
        <v>0</v>
      </c>
      <c r="BZ70" s="313">
        <f>IF($BI70&lt;&gt;"",IF('Capacity summary'!$D$14="Yes",IF(COUNTBLANK('Capacity summary'!$H189:$BG189)&lt;52,IF('Capacity summary'!W189&lt;&gt;"",IF(LOWER('Capacity summary'!W189)="x",$BI70*W70,VALUE('Capacity summary'!W189)),0),W70*$BI70),W70*$BI70),0)</f>
        <v>0</v>
      </c>
      <c r="CA70" s="313">
        <f>IF($BI70&lt;&gt;"",IF('Capacity summary'!$D$14="Yes",IF(COUNTBLANK('Capacity summary'!$H189:$BG189)&lt;52,IF('Capacity summary'!X189&lt;&gt;"",IF(LOWER('Capacity summary'!X189)="x",$BI70*X70,VALUE('Capacity summary'!X189)),0),X70*$BI70),X70*$BI70),0)</f>
        <v>0</v>
      </c>
      <c r="CB70" s="313">
        <f>IF($BI70&lt;&gt;"",IF('Capacity summary'!$D$14="Yes",IF(COUNTBLANK('Capacity summary'!$H189:$BG189)&lt;52,IF('Capacity summary'!Y189&lt;&gt;"",IF(LOWER('Capacity summary'!Y189)="x",$BI70*Y70,VALUE('Capacity summary'!Y189)),0),Y70*$BI70),Y70*$BI70),0)</f>
        <v>0</v>
      </c>
      <c r="CC70" s="313">
        <f>IF($BI70&lt;&gt;"",IF('Capacity summary'!$D$14="Yes",IF(COUNTBLANK('Capacity summary'!$H189:$BG189)&lt;52,IF('Capacity summary'!Z189&lt;&gt;"",IF(LOWER('Capacity summary'!Z189)="x",$BI70*Z70,VALUE('Capacity summary'!Z189)),0),Z70*$BI70),Z70*$BI70),0)</f>
        <v>0</v>
      </c>
      <c r="CD70" s="313">
        <f>IF($BI70&lt;&gt;"",IF('Capacity summary'!$D$14="Yes",IF(COUNTBLANK('Capacity summary'!$H189:$BG189)&lt;52,IF('Capacity summary'!AA189&lt;&gt;"",IF(LOWER('Capacity summary'!AA189)="x",$BI70*AA70,VALUE('Capacity summary'!AA189)),0),AA70*$BI70),AA70*$BI70),0)</f>
        <v>0</v>
      </c>
      <c r="CE70" s="313">
        <f>IF($BI70&lt;&gt;"",IF('Capacity summary'!$D$14="Yes",IF(COUNTBLANK('Capacity summary'!$H189:$BG189)&lt;52,IF('Capacity summary'!AB189&lt;&gt;"",IF(LOWER('Capacity summary'!AB189)="x",$BI70*AB70,VALUE('Capacity summary'!AB189)),0),AB70*$BI70),AB70*$BI70),0)</f>
        <v>0</v>
      </c>
      <c r="CF70" s="313">
        <f>IF($BI70&lt;&gt;"",IF('Capacity summary'!$D$14="Yes",IF(COUNTBLANK('Capacity summary'!$H189:$BG189)&lt;52,IF('Capacity summary'!AC189&lt;&gt;"",IF(LOWER('Capacity summary'!AC189)="x",$BI70*AC70,VALUE('Capacity summary'!AC189)),0),AC70*$BI70),AC70*$BI70),0)</f>
        <v>0</v>
      </c>
      <c r="CG70" s="313">
        <f>IF($BI70&lt;&gt;"",IF('Capacity summary'!$D$14="Yes",IF(COUNTBLANK('Capacity summary'!$H189:$BG189)&lt;52,IF('Capacity summary'!AD189&lt;&gt;"",IF(LOWER('Capacity summary'!AD189)="x",$BI70*AD70,VALUE('Capacity summary'!AD189)),0),AD70*$BI70),AD70*$BI70),0)</f>
        <v>0</v>
      </c>
      <c r="CH70" s="313">
        <f>IF($BI70&lt;&gt;"",IF('Capacity summary'!$D$14="Yes",IF(COUNTBLANK('Capacity summary'!$H189:$BG189)&lt;52,IF('Capacity summary'!AE189&lt;&gt;"",IF(LOWER('Capacity summary'!AE189)="x",$BI70*AE70,VALUE('Capacity summary'!AE189)),0),AE70*$BI70),AE70*$BI70),0)</f>
        <v>0</v>
      </c>
      <c r="CI70" s="313">
        <f>IF($BI70&lt;&gt;"",IF('Capacity summary'!$D$14="Yes",IF(COUNTBLANK('Capacity summary'!$H189:$BG189)&lt;52,IF('Capacity summary'!AF189&lt;&gt;"",IF(LOWER('Capacity summary'!AF189)="x",$BI70*AF70,VALUE('Capacity summary'!AF189)),0),AF70*$BI70),AF70*$BI70),0)</f>
        <v>0</v>
      </c>
      <c r="CJ70" s="313">
        <f>IF($BI70&lt;&gt;"",IF('Capacity summary'!$D$14="Yes",IF(COUNTBLANK('Capacity summary'!$H189:$BG189)&lt;52,IF('Capacity summary'!AG189&lt;&gt;"",IF(LOWER('Capacity summary'!AG189)="x",$BI70*AG70,VALUE('Capacity summary'!AG189)),0),AG70*$BI70),AG70*$BI70),0)</f>
        <v>0</v>
      </c>
      <c r="CK70" s="313">
        <f>IF($BI70&lt;&gt;"",IF('Capacity summary'!$D$14="Yes",IF(COUNTBLANK('Capacity summary'!$H189:$BG189)&lt;52,IF('Capacity summary'!AH189&lt;&gt;"",IF(LOWER('Capacity summary'!AH189)="x",$BI70*AH70,VALUE('Capacity summary'!AH189)),0),AH70*$BI70),AH70*$BI70),0)</f>
        <v>0</v>
      </c>
      <c r="CL70" s="313">
        <f>IF($BI70&lt;&gt;"",IF('Capacity summary'!$D$14="Yes",IF(COUNTBLANK('Capacity summary'!$H189:$BG189)&lt;52,IF('Capacity summary'!AI189&lt;&gt;"",IF(LOWER('Capacity summary'!AI189)="x",$BI70*AI70,VALUE('Capacity summary'!AI189)),0),AI70*$BI70),AI70*$BI70),0)</f>
        <v>0</v>
      </c>
      <c r="CM70" s="313">
        <f>IF($BI70&lt;&gt;"",IF('Capacity summary'!$D$14="Yes",IF(COUNTBLANK('Capacity summary'!$H189:$BG189)&lt;52,IF('Capacity summary'!AJ189&lt;&gt;"",IF(LOWER('Capacity summary'!AJ189)="x",$BI70*AJ70,VALUE('Capacity summary'!AJ189)),0),AJ70*$BI70),AJ70*$BI70),0)</f>
        <v>0</v>
      </c>
      <c r="CN70" s="313">
        <f>IF($BI70&lt;&gt;"",IF('Capacity summary'!$D$14="Yes",IF(COUNTBLANK('Capacity summary'!$H189:$BG189)&lt;52,IF('Capacity summary'!AK189&lt;&gt;"",IF(LOWER('Capacity summary'!AK189)="x",$BI70*AK70,VALUE('Capacity summary'!AK189)),0),AK70*$BI70),AK70*$BI70),0)</f>
        <v>0</v>
      </c>
      <c r="CO70" s="313">
        <f>IF($BI70&lt;&gt;"",IF('Capacity summary'!$D$14="Yes",IF(COUNTBLANK('Capacity summary'!$H189:$BG189)&lt;52,IF('Capacity summary'!AL189&lt;&gt;"",IF(LOWER('Capacity summary'!AL189)="x",$BI70*AL70,VALUE('Capacity summary'!AL189)),0),AL70*$BI70),AL70*$BI70),0)</f>
        <v>0</v>
      </c>
      <c r="CP70" s="313">
        <f>IF($BI70&lt;&gt;"",IF('Capacity summary'!$D$14="Yes",IF(COUNTBLANK('Capacity summary'!$H189:$BG189)&lt;52,IF('Capacity summary'!AM189&lt;&gt;"",IF(LOWER('Capacity summary'!AM189)="x",$BI70*AM70,VALUE('Capacity summary'!AM189)),0),AM70*$BI70),AM70*$BI70),0)</f>
        <v>0</v>
      </c>
      <c r="CQ70" s="313">
        <f>IF($BI70&lt;&gt;"",IF('Capacity summary'!$D$14="Yes",IF(COUNTBLANK('Capacity summary'!$H189:$BG189)&lt;52,IF('Capacity summary'!AN189&lt;&gt;"",IF(LOWER('Capacity summary'!AN189)="x",$BI70*AN70,VALUE('Capacity summary'!AN189)),0),AN70*$BI70),AN70*$BI70),0)</f>
        <v>0</v>
      </c>
      <c r="CR70" s="313">
        <f>IF($BI70&lt;&gt;"",IF('Capacity summary'!$D$14="Yes",IF(COUNTBLANK('Capacity summary'!$H189:$BG189)&lt;52,IF('Capacity summary'!AO189&lt;&gt;"",IF(LOWER('Capacity summary'!AO189)="x",$BI70*AO70,VALUE('Capacity summary'!AO189)),0),AO70*$BI70),AO70*$BI70),0)</f>
        <v>0</v>
      </c>
      <c r="CS70" s="313">
        <f>IF($BI70&lt;&gt;"",IF('Capacity summary'!$D$14="Yes",IF(COUNTBLANK('Capacity summary'!$H189:$BG189)&lt;52,IF('Capacity summary'!AP189&lt;&gt;"",IF(LOWER('Capacity summary'!AP189)="x",$BI70*AP70,VALUE('Capacity summary'!AP189)),0),AP70*$BI70),AP70*$BI70),0)</f>
        <v>0</v>
      </c>
      <c r="CT70" s="313">
        <f>IF($BI70&lt;&gt;"",IF('Capacity summary'!$D$14="Yes",IF(COUNTBLANK('Capacity summary'!$H189:$BG189)&lt;52,IF('Capacity summary'!AQ189&lt;&gt;"",IF(LOWER('Capacity summary'!AQ189)="x",$BI70*AQ70,VALUE('Capacity summary'!AQ189)),0),AQ70*$BI70),AQ70*$BI70),0)</f>
        <v>0</v>
      </c>
      <c r="CU70" s="313">
        <f>IF($BI70&lt;&gt;"",IF('Capacity summary'!$D$14="Yes",IF(COUNTBLANK('Capacity summary'!$H189:$BG189)&lt;52,IF('Capacity summary'!AR189&lt;&gt;"",IF(LOWER('Capacity summary'!AR189)="x",$BI70*AR70,VALUE('Capacity summary'!AR189)),0),AR70*$BI70),AR70*$BI70),0)</f>
        <v>0</v>
      </c>
      <c r="CV70" s="313">
        <f>IF($BI70&lt;&gt;"",IF('Capacity summary'!$D$14="Yes",IF(COUNTBLANK('Capacity summary'!$H189:$BG189)&lt;52,IF('Capacity summary'!AS189&lt;&gt;"",IF(LOWER('Capacity summary'!AS189)="x",$BI70*AS70,VALUE('Capacity summary'!AS189)),0),AS70*$BI70),AS70*$BI70),0)</f>
        <v>0</v>
      </c>
      <c r="CW70" s="313">
        <f>IF($BI70&lt;&gt;"",IF('Capacity summary'!$D$14="Yes",IF(COUNTBLANK('Capacity summary'!$H189:$BG189)&lt;52,IF('Capacity summary'!AT189&lt;&gt;"",IF(LOWER('Capacity summary'!AT189)="x",$BI70*AT70,VALUE('Capacity summary'!AT189)),0),AT70*$BI70),AT70*$BI70),0)</f>
        <v>0</v>
      </c>
      <c r="CX70" s="313">
        <f>IF($BI70&lt;&gt;"",IF('Capacity summary'!$D$14="Yes",IF(COUNTBLANK('Capacity summary'!$H189:$BG189)&lt;52,IF('Capacity summary'!AU189&lt;&gt;"",IF(LOWER('Capacity summary'!AU189)="x",$BI70*AU70,VALUE('Capacity summary'!AU189)),0),AU70*$BI70),AU70*$BI70),0)</f>
        <v>0</v>
      </c>
      <c r="CY70" s="313">
        <f>IF($BI70&lt;&gt;"",IF('Capacity summary'!$D$14="Yes",IF(COUNTBLANK('Capacity summary'!$H189:$BG189)&lt;52,IF('Capacity summary'!AV189&lt;&gt;"",IF(LOWER('Capacity summary'!AV189)="x",$BI70*AV70,VALUE('Capacity summary'!AV189)),0),AV70*$BI70),AV70*$BI70),0)</f>
        <v>0</v>
      </c>
      <c r="CZ70" s="313">
        <f>IF($BI70&lt;&gt;"",IF('Capacity summary'!$D$14="Yes",IF(COUNTBLANK('Capacity summary'!$H189:$BG189)&lt;52,IF('Capacity summary'!AW189&lt;&gt;"",IF(LOWER('Capacity summary'!AW189)="x",$BI70*AW70,VALUE('Capacity summary'!AW189)),0),AW70*$BI70),AW70*$BI70),0)</f>
        <v>0</v>
      </c>
      <c r="DA70" s="313">
        <f>IF($BI70&lt;&gt;"",IF('Capacity summary'!$D$14="Yes",IF(COUNTBLANK('Capacity summary'!$H189:$BG189)&lt;52,IF('Capacity summary'!AX189&lt;&gt;"",IF(LOWER('Capacity summary'!AX189)="x",$BI70*AX70,VALUE('Capacity summary'!AX189)),0),AX70*$BI70),AX70*$BI70),0)</f>
        <v>0</v>
      </c>
      <c r="DB70" s="313">
        <f>IF($BI70&lt;&gt;"",IF('Capacity summary'!$D$14="Yes",IF(COUNTBLANK('Capacity summary'!$H189:$BG189)&lt;52,IF('Capacity summary'!AY189&lt;&gt;"",IF(LOWER('Capacity summary'!AY189)="x",$BI70*AY70,VALUE('Capacity summary'!AY189)),0),AY70*$BI70),AY70*$BI70),0)</f>
        <v>0</v>
      </c>
      <c r="DC70" s="313">
        <f>IF($BI70&lt;&gt;"",IF('Capacity summary'!$D$14="Yes",IF(COUNTBLANK('Capacity summary'!$H189:$BG189)&lt;52,IF('Capacity summary'!AZ189&lt;&gt;"",IF(LOWER('Capacity summary'!AZ189)="x",$BI70*AZ70,VALUE('Capacity summary'!AZ189)),0),AZ70*$BI70),AZ70*$BI70),0)</f>
        <v>0</v>
      </c>
      <c r="DD70" s="313">
        <f>IF($BI70&lt;&gt;"",IF('Capacity summary'!$D$14="Yes",IF(COUNTBLANK('Capacity summary'!$H189:$BG189)&lt;52,IF('Capacity summary'!BA189&lt;&gt;"",IF(LOWER('Capacity summary'!BA189)="x",$BI70*BA70,VALUE('Capacity summary'!BA189)),0),BA70*$BI70),BA70*$BI70),0)</f>
        <v>0</v>
      </c>
      <c r="DE70" s="313">
        <f>IF($BI70&lt;&gt;"",IF('Capacity summary'!$D$14="Yes",IF(COUNTBLANK('Capacity summary'!$H189:$BG189)&lt;52,IF('Capacity summary'!BB189&lt;&gt;"",IF(LOWER('Capacity summary'!BB189)="x",$BI70*BB70,VALUE('Capacity summary'!BB189)),0),BB70*$BI70),BB70*$BI70),0)</f>
        <v>0</v>
      </c>
      <c r="DF70" s="313">
        <f>IF($BI70&lt;&gt;"",IF('Capacity summary'!$D$14="Yes",IF(COUNTBLANK('Capacity summary'!$H189:$BG189)&lt;52,IF('Capacity summary'!BC189&lt;&gt;"",IF(LOWER('Capacity summary'!BC189)="x",$BI70*BC70,VALUE('Capacity summary'!BC189)),0),BC70*$BI70),BC70*$BI70),0)</f>
        <v>0</v>
      </c>
      <c r="DG70" s="313">
        <f>IF($BI70&lt;&gt;"",IF('Capacity summary'!$D$14="Yes",IF(COUNTBLANK('Capacity summary'!$H189:$BG189)&lt;52,IF('Capacity summary'!BD189&lt;&gt;"",IF(LOWER('Capacity summary'!BD189)="x",$BI70*BD70,VALUE('Capacity summary'!BD189)),0),BD70*$BI70),BD70*$BI70),0)</f>
        <v>0</v>
      </c>
      <c r="DH70" s="313">
        <f>IF($BI70&lt;&gt;"",IF('Capacity summary'!$D$14="Yes",IF(COUNTBLANK('Capacity summary'!$H189:$BG189)&lt;52,IF('Capacity summary'!BE189&lt;&gt;"",IF(LOWER('Capacity summary'!BE189)="x",$BI70*BE70,VALUE('Capacity summary'!BE189)),0),BE70*$BI70),BE70*$BI70),0)</f>
        <v>0</v>
      </c>
      <c r="DI70" s="313">
        <f>IF($BI70&lt;&gt;"",IF('Capacity summary'!$D$14="Yes",IF(COUNTBLANK('Capacity summary'!$H189:$BG189)&lt;52,IF('Capacity summary'!BF189&lt;&gt;"",IF(LOWER('Capacity summary'!BF189)="x",$BI70*BF70,VALUE('Capacity summary'!BF189)),0),BF70*$BI70),BF70*$BI70),0)</f>
        <v>0</v>
      </c>
      <c r="DJ70" s="313">
        <f>IF($BI70&lt;&gt;"",IF('Capacity summary'!$D$14="Yes",IF(COUNTBLANK('Capacity summary'!$H189:$BG189)&lt;52,IF('Capacity summary'!BG189&lt;&gt;"",IF(LOWER('Capacity summary'!BG189)="x",$BI70*BG70,VALUE('Capacity summary'!BG189)),0),BG70*$BI70),BG70*$BI70),0)</f>
        <v>0</v>
      </c>
      <c r="DK70" s="137">
        <f t="shared" si="3"/>
        <v>0</v>
      </c>
      <c r="DL70" s="313" t="str">
        <f>Capacity!H82</f>
        <v/>
      </c>
    </row>
    <row r="71" spans="2:116" x14ac:dyDescent="0.25">
      <c r="B71" s="67"/>
      <c r="C71" s="67" t="str">
        <f>ROW(A67)&amp;". "&amp;Capacity!B83</f>
        <v xml:space="preserve">67. </v>
      </c>
      <c r="D71" s="67">
        <f>'Capacity setup'!C78</f>
        <v>0</v>
      </c>
      <c r="E71" s="67">
        <f>'Capacity setup'!D78</f>
        <v>0</v>
      </c>
      <c r="F71" s="67">
        <f>'Capacity setup'!E78</f>
        <v>0</v>
      </c>
      <c r="H71" s="67">
        <f ca="1">IF(AND(SUMIF(Capacity_Resource,$D71,'Critical resources (hide)'!U$6:U$105)+SUMIF(Capacity_Resource,$E71,'Critical resources (hide)'!U$6:U$105)+SUMIF(Capacity_Resource,$F71,'Critical resources (hide)'!U$6:U$105)&gt;0,$E$1=2),0,1)</f>
        <v>1</v>
      </c>
      <c r="I71" s="67">
        <f ca="1">IF(AND(SUMIF(Capacity_Resource,$D71,'Critical resources (hide)'!V$6:V$105)+SUMIF(Capacity_Resource,$E71,'Critical resources (hide)'!V$6:V$105)+SUMIF(Capacity_Resource,$F71,'Critical resources (hide)'!V$6:V$105)&gt;0,$E$1=2),0,1)</f>
        <v>1</v>
      </c>
      <c r="J71" s="67">
        <f ca="1">IF(AND(SUMIF(Capacity_Resource,$D71,'Critical resources (hide)'!W$6:W$105)+SUMIF(Capacity_Resource,$E71,'Critical resources (hide)'!W$6:W$105)+SUMIF(Capacity_Resource,$F71,'Critical resources (hide)'!W$6:W$105)&gt;0,$E$1=2),0,1)</f>
        <v>1</v>
      </c>
      <c r="K71" s="67">
        <f ca="1">IF(AND(SUMIF(Capacity_Resource,$D71,'Critical resources (hide)'!X$6:X$105)+SUMIF(Capacity_Resource,$E71,'Critical resources (hide)'!X$6:X$105)+SUMIF(Capacity_Resource,$F71,'Critical resources (hide)'!X$6:X$105)&gt;0,$E$1=2),0,1)</f>
        <v>1</v>
      </c>
      <c r="L71" s="67">
        <f ca="1">IF(AND(SUMIF(Capacity_Resource,$D71,'Critical resources (hide)'!Y$6:Y$105)+SUMIF(Capacity_Resource,$E71,'Critical resources (hide)'!Y$6:Y$105)+SUMIF(Capacity_Resource,$F71,'Critical resources (hide)'!Y$6:Y$105)&gt;0,$E$1=2),0,1)</f>
        <v>1</v>
      </c>
      <c r="M71" s="67">
        <f ca="1">IF(AND(SUMIF(Capacity_Resource,$D71,'Critical resources (hide)'!Z$6:Z$105)+SUMIF(Capacity_Resource,$E71,'Critical resources (hide)'!Z$6:Z$105)+SUMIF(Capacity_Resource,$F71,'Critical resources (hide)'!Z$6:Z$105)&gt;0,$E$1=2),0,1)</f>
        <v>1</v>
      </c>
      <c r="N71" s="67">
        <f ca="1">IF(AND(SUMIF(Capacity_Resource,$D71,'Critical resources (hide)'!AA$6:AA$105)+SUMIF(Capacity_Resource,$E71,'Critical resources (hide)'!AA$6:AA$105)+SUMIF(Capacity_Resource,$F71,'Critical resources (hide)'!AA$6:AA$105)&gt;0,$E$1=2),0,1)</f>
        <v>1</v>
      </c>
      <c r="O71" s="67">
        <f ca="1">IF(AND(SUMIF(Capacity_Resource,$D71,'Critical resources (hide)'!AB$6:AB$105)+SUMIF(Capacity_Resource,$E71,'Critical resources (hide)'!AB$6:AB$105)+SUMIF(Capacity_Resource,$F71,'Critical resources (hide)'!AB$6:AB$105)&gt;0,$E$1=2),0,1)</f>
        <v>1</v>
      </c>
      <c r="P71" s="67">
        <f ca="1">IF(AND(SUMIF(Capacity_Resource,$D71,'Critical resources (hide)'!AC$6:AC$105)+SUMIF(Capacity_Resource,$E71,'Critical resources (hide)'!AC$6:AC$105)+SUMIF(Capacity_Resource,$F71,'Critical resources (hide)'!AC$6:AC$105)&gt;0,$E$1=2),0,1)</f>
        <v>1</v>
      </c>
      <c r="Q71" s="67">
        <f ca="1">IF(AND(SUMIF(Capacity_Resource,$D71,'Critical resources (hide)'!AD$6:AD$105)+SUMIF(Capacity_Resource,$E71,'Critical resources (hide)'!AD$6:AD$105)+SUMIF(Capacity_Resource,$F71,'Critical resources (hide)'!AD$6:AD$105)&gt;0,$E$1=2),0,1)</f>
        <v>1</v>
      </c>
      <c r="R71" s="67">
        <f ca="1">IF(AND(SUMIF(Capacity_Resource,$D71,'Critical resources (hide)'!AE$6:AE$105)+SUMIF(Capacity_Resource,$E71,'Critical resources (hide)'!AE$6:AE$105)+SUMIF(Capacity_Resource,$F71,'Critical resources (hide)'!AE$6:AE$105)&gt;0,$E$1=2),0,1)</f>
        <v>1</v>
      </c>
      <c r="S71" s="67">
        <f ca="1">IF(AND(SUMIF(Capacity_Resource,$D71,'Critical resources (hide)'!AF$6:AF$105)+SUMIF(Capacity_Resource,$E71,'Critical resources (hide)'!AF$6:AF$105)+SUMIF(Capacity_Resource,$F71,'Critical resources (hide)'!AF$6:AF$105)&gt;0,$E$1=2),0,1)</f>
        <v>1</v>
      </c>
      <c r="T71" s="67">
        <f ca="1">IF(AND(SUMIF(Capacity_Resource,$D71,'Critical resources (hide)'!AG$6:AG$105)+SUMIF(Capacity_Resource,$E71,'Critical resources (hide)'!AG$6:AG$105)+SUMIF(Capacity_Resource,$F71,'Critical resources (hide)'!AG$6:AG$105)&gt;0,$E$1=2),0,1)</f>
        <v>1</v>
      </c>
      <c r="U71" s="67">
        <f ca="1">IF(AND(SUMIF(Capacity_Resource,$D71,'Critical resources (hide)'!AH$6:AH$105)+SUMIF(Capacity_Resource,$E71,'Critical resources (hide)'!AH$6:AH$105)+SUMIF(Capacity_Resource,$F71,'Critical resources (hide)'!AH$6:AH$105)&gt;0,$E$1=2),0,1)</f>
        <v>1</v>
      </c>
      <c r="V71" s="67">
        <f ca="1">IF(AND(SUMIF(Capacity_Resource,$D71,'Critical resources (hide)'!AI$6:AI$105)+SUMIF(Capacity_Resource,$E71,'Critical resources (hide)'!AI$6:AI$105)+SUMIF(Capacity_Resource,$F71,'Critical resources (hide)'!AI$6:AI$105)&gt;0,$E$1=2),0,1)</f>
        <v>1</v>
      </c>
      <c r="W71" s="67">
        <f ca="1">IF(AND(SUMIF(Capacity_Resource,$D71,'Critical resources (hide)'!AJ$6:AJ$105)+SUMIF(Capacity_Resource,$E71,'Critical resources (hide)'!AJ$6:AJ$105)+SUMIF(Capacity_Resource,$F71,'Critical resources (hide)'!AJ$6:AJ$105)&gt;0,$E$1=2),0,1)</f>
        <v>1</v>
      </c>
      <c r="X71" s="67">
        <f ca="1">IF(AND(SUMIF(Capacity_Resource,$D71,'Critical resources (hide)'!AK$6:AK$105)+SUMIF(Capacity_Resource,$E71,'Critical resources (hide)'!AK$6:AK$105)+SUMIF(Capacity_Resource,$F71,'Critical resources (hide)'!AK$6:AK$105)&gt;0,$E$1=2),0,1)</f>
        <v>1</v>
      </c>
      <c r="Y71" s="67">
        <f ca="1">IF(AND(SUMIF(Capacity_Resource,$D71,'Critical resources (hide)'!AL$6:AL$105)+SUMIF(Capacity_Resource,$E71,'Critical resources (hide)'!AL$6:AL$105)+SUMIF(Capacity_Resource,$F71,'Critical resources (hide)'!AL$6:AL$105)&gt;0,$E$1=2),0,1)</f>
        <v>1</v>
      </c>
      <c r="Z71" s="67">
        <f ca="1">IF(AND(SUMIF(Capacity_Resource,$D71,'Critical resources (hide)'!AM$6:AM$105)+SUMIF(Capacity_Resource,$E71,'Critical resources (hide)'!AM$6:AM$105)+SUMIF(Capacity_Resource,$F71,'Critical resources (hide)'!AM$6:AM$105)&gt;0,$E$1=2),0,1)</f>
        <v>1</v>
      </c>
      <c r="AA71" s="67">
        <f ca="1">IF(AND(SUMIF(Capacity_Resource,$D71,'Critical resources (hide)'!AN$6:AN$105)+SUMIF(Capacity_Resource,$E71,'Critical resources (hide)'!AN$6:AN$105)+SUMIF(Capacity_Resource,$F71,'Critical resources (hide)'!AN$6:AN$105)&gt;0,$E$1=2),0,1)</f>
        <v>1</v>
      </c>
      <c r="AB71" s="67">
        <f ca="1">IF(AND(SUMIF(Capacity_Resource,$D71,'Critical resources (hide)'!AO$6:AO$105)+SUMIF(Capacity_Resource,$E71,'Critical resources (hide)'!AO$6:AO$105)+SUMIF(Capacity_Resource,$F71,'Critical resources (hide)'!AO$6:AO$105)&gt;0,$E$1=2),0,1)</f>
        <v>1</v>
      </c>
      <c r="AC71" s="67">
        <f ca="1">IF(AND(SUMIF(Capacity_Resource,$D71,'Critical resources (hide)'!AP$6:AP$105)+SUMIF(Capacity_Resource,$E71,'Critical resources (hide)'!AP$6:AP$105)+SUMIF(Capacity_Resource,$F71,'Critical resources (hide)'!AP$6:AP$105)&gt;0,$E$1=2),0,1)</f>
        <v>1</v>
      </c>
      <c r="AD71" s="67">
        <f ca="1">IF(AND(SUMIF(Capacity_Resource,$D71,'Critical resources (hide)'!AQ$6:AQ$105)+SUMIF(Capacity_Resource,$E71,'Critical resources (hide)'!AQ$6:AQ$105)+SUMIF(Capacity_Resource,$F71,'Critical resources (hide)'!AQ$6:AQ$105)&gt;0,$E$1=2),0,1)</f>
        <v>1</v>
      </c>
      <c r="AE71" s="67">
        <f ca="1">IF(AND(SUMIF(Capacity_Resource,$D71,'Critical resources (hide)'!AR$6:AR$105)+SUMIF(Capacity_Resource,$E71,'Critical resources (hide)'!AR$6:AR$105)+SUMIF(Capacity_Resource,$F71,'Critical resources (hide)'!AR$6:AR$105)&gt;0,$E$1=2),0,1)</f>
        <v>1</v>
      </c>
      <c r="AF71" s="67">
        <f ca="1">IF(AND(SUMIF(Capacity_Resource,$D71,'Critical resources (hide)'!AS$6:AS$105)+SUMIF(Capacity_Resource,$E71,'Critical resources (hide)'!AS$6:AS$105)+SUMIF(Capacity_Resource,$F71,'Critical resources (hide)'!AS$6:AS$105)&gt;0,$E$1=2),0,1)</f>
        <v>1</v>
      </c>
      <c r="AG71" s="67">
        <f ca="1">IF(AND(SUMIF(Capacity_Resource,$D71,'Critical resources (hide)'!AT$6:AT$105)+SUMIF(Capacity_Resource,$E71,'Critical resources (hide)'!AT$6:AT$105)+SUMIF(Capacity_Resource,$F71,'Critical resources (hide)'!AT$6:AT$105)&gt;0,$E$1=2),0,1)</f>
        <v>1</v>
      </c>
      <c r="AH71" s="67">
        <f ca="1">IF(AND(SUMIF(Capacity_Resource,$D71,'Critical resources (hide)'!AU$6:AU$105)+SUMIF(Capacity_Resource,$E71,'Critical resources (hide)'!AU$6:AU$105)+SUMIF(Capacity_Resource,$F71,'Critical resources (hide)'!AU$6:AU$105)&gt;0,$E$1=2),0,1)</f>
        <v>1</v>
      </c>
      <c r="AI71" s="67">
        <f ca="1">IF(AND(SUMIF(Capacity_Resource,$D71,'Critical resources (hide)'!AV$6:AV$105)+SUMIF(Capacity_Resource,$E71,'Critical resources (hide)'!AV$6:AV$105)+SUMIF(Capacity_Resource,$F71,'Critical resources (hide)'!AV$6:AV$105)&gt;0,$E$1=2),0,1)</f>
        <v>1</v>
      </c>
      <c r="AJ71" s="67">
        <f ca="1">IF(AND(SUMIF(Capacity_Resource,$D71,'Critical resources (hide)'!AW$6:AW$105)+SUMIF(Capacity_Resource,$E71,'Critical resources (hide)'!AW$6:AW$105)+SUMIF(Capacity_Resource,$F71,'Critical resources (hide)'!AW$6:AW$105)&gt;0,$E$1=2),0,1)</f>
        <v>1</v>
      </c>
      <c r="AK71" s="67">
        <f ca="1">IF(AND(SUMIF(Capacity_Resource,$D71,'Critical resources (hide)'!AX$6:AX$105)+SUMIF(Capacity_Resource,$E71,'Critical resources (hide)'!AX$6:AX$105)+SUMIF(Capacity_Resource,$F71,'Critical resources (hide)'!AX$6:AX$105)&gt;0,$E$1=2),0,1)</f>
        <v>1</v>
      </c>
      <c r="AL71" s="67">
        <f ca="1">IF(AND(SUMIF(Capacity_Resource,$D71,'Critical resources (hide)'!AY$6:AY$105)+SUMIF(Capacity_Resource,$E71,'Critical resources (hide)'!AY$6:AY$105)+SUMIF(Capacity_Resource,$F71,'Critical resources (hide)'!AY$6:AY$105)&gt;0,$E$1=2),0,1)</f>
        <v>1</v>
      </c>
      <c r="AM71" s="67">
        <f ca="1">IF(AND(SUMIF(Capacity_Resource,$D71,'Critical resources (hide)'!AZ$6:AZ$105)+SUMIF(Capacity_Resource,$E71,'Critical resources (hide)'!AZ$6:AZ$105)+SUMIF(Capacity_Resource,$F71,'Critical resources (hide)'!AZ$6:AZ$105)&gt;0,$E$1=2),0,1)</f>
        <v>1</v>
      </c>
      <c r="AN71" s="67">
        <f ca="1">IF(AND(SUMIF(Capacity_Resource,$D71,'Critical resources (hide)'!BA$6:BA$105)+SUMIF(Capacity_Resource,$E71,'Critical resources (hide)'!BA$6:BA$105)+SUMIF(Capacity_Resource,$F71,'Critical resources (hide)'!BA$6:BA$105)&gt;0,$E$1=2),0,1)</f>
        <v>1</v>
      </c>
      <c r="AO71" s="67">
        <f ca="1">IF(AND(SUMIF(Capacity_Resource,$D71,'Critical resources (hide)'!BB$6:BB$105)+SUMIF(Capacity_Resource,$E71,'Critical resources (hide)'!BB$6:BB$105)+SUMIF(Capacity_Resource,$F71,'Critical resources (hide)'!BB$6:BB$105)&gt;0,$E$1=2),0,1)</f>
        <v>1</v>
      </c>
      <c r="AP71" s="67">
        <f ca="1">IF(AND(SUMIF(Capacity_Resource,$D71,'Critical resources (hide)'!BC$6:BC$105)+SUMIF(Capacity_Resource,$E71,'Critical resources (hide)'!BC$6:BC$105)+SUMIF(Capacity_Resource,$F71,'Critical resources (hide)'!BC$6:BC$105)&gt;0,$E$1=2),0,1)</f>
        <v>1</v>
      </c>
      <c r="AQ71" s="67">
        <f ca="1">IF(AND(SUMIF(Capacity_Resource,$D71,'Critical resources (hide)'!BD$6:BD$105)+SUMIF(Capacity_Resource,$E71,'Critical resources (hide)'!BD$6:BD$105)+SUMIF(Capacity_Resource,$F71,'Critical resources (hide)'!BD$6:BD$105)&gt;0,$E$1=2),0,1)</f>
        <v>1</v>
      </c>
      <c r="AR71" s="67">
        <f ca="1">IF(AND(SUMIF(Capacity_Resource,$D71,'Critical resources (hide)'!BE$6:BE$105)+SUMIF(Capacity_Resource,$E71,'Critical resources (hide)'!BE$6:BE$105)+SUMIF(Capacity_Resource,$F71,'Critical resources (hide)'!BE$6:BE$105)&gt;0,$E$1=2),0,1)</f>
        <v>1</v>
      </c>
      <c r="AS71" s="67">
        <f ca="1">IF(AND(SUMIF(Capacity_Resource,$D71,'Critical resources (hide)'!BF$6:BF$105)+SUMIF(Capacity_Resource,$E71,'Critical resources (hide)'!BF$6:BF$105)+SUMIF(Capacity_Resource,$F71,'Critical resources (hide)'!BF$6:BF$105)&gt;0,$E$1=2),0,1)</f>
        <v>1</v>
      </c>
      <c r="AT71" s="67">
        <f ca="1">IF(AND(SUMIF(Capacity_Resource,$D71,'Critical resources (hide)'!BG$6:BG$105)+SUMIF(Capacity_Resource,$E71,'Critical resources (hide)'!BG$6:BG$105)+SUMIF(Capacity_Resource,$F71,'Critical resources (hide)'!BG$6:BG$105)&gt;0,$E$1=2),0,1)</f>
        <v>1</v>
      </c>
      <c r="AU71" s="67">
        <f ca="1">IF(AND(SUMIF(Capacity_Resource,$D71,'Critical resources (hide)'!BH$6:BH$105)+SUMIF(Capacity_Resource,$E71,'Critical resources (hide)'!BH$6:BH$105)+SUMIF(Capacity_Resource,$F71,'Critical resources (hide)'!BH$6:BH$105)&gt;0,$E$1=2),0,1)</f>
        <v>1</v>
      </c>
      <c r="AV71" s="67">
        <f ca="1">IF(AND(SUMIF(Capacity_Resource,$D71,'Critical resources (hide)'!BI$6:BI$105)+SUMIF(Capacity_Resource,$E71,'Critical resources (hide)'!BI$6:BI$105)+SUMIF(Capacity_Resource,$F71,'Critical resources (hide)'!BI$6:BI$105)&gt;0,$E$1=2),0,1)</f>
        <v>1</v>
      </c>
      <c r="AW71" s="67">
        <f ca="1">IF(AND(SUMIF(Capacity_Resource,$D71,'Critical resources (hide)'!BJ$6:BJ$105)+SUMIF(Capacity_Resource,$E71,'Critical resources (hide)'!BJ$6:BJ$105)+SUMIF(Capacity_Resource,$F71,'Critical resources (hide)'!BJ$6:BJ$105)&gt;0,$E$1=2),0,1)</f>
        <v>1</v>
      </c>
      <c r="AX71" s="67">
        <f ca="1">IF(AND(SUMIF(Capacity_Resource,$D71,'Critical resources (hide)'!BK$6:BK$105)+SUMIF(Capacity_Resource,$E71,'Critical resources (hide)'!BK$6:BK$105)+SUMIF(Capacity_Resource,$F71,'Critical resources (hide)'!BK$6:BK$105)&gt;0,$E$1=2),0,1)</f>
        <v>1</v>
      </c>
      <c r="AY71" s="67">
        <f ca="1">IF(AND(SUMIF(Capacity_Resource,$D71,'Critical resources (hide)'!BL$6:BL$105)+SUMIF(Capacity_Resource,$E71,'Critical resources (hide)'!BL$6:BL$105)+SUMIF(Capacity_Resource,$F71,'Critical resources (hide)'!BL$6:BL$105)&gt;0,$E$1=2),0,1)</f>
        <v>1</v>
      </c>
      <c r="AZ71" s="67">
        <f ca="1">IF(AND(SUMIF(Capacity_Resource,$D71,'Critical resources (hide)'!BM$6:BM$105)+SUMIF(Capacity_Resource,$E71,'Critical resources (hide)'!BM$6:BM$105)+SUMIF(Capacity_Resource,$F71,'Critical resources (hide)'!BM$6:BM$105)&gt;0,$E$1=2),0,1)</f>
        <v>1</v>
      </c>
      <c r="BA71" s="67">
        <f ca="1">IF(AND(SUMIF(Capacity_Resource,$D71,'Critical resources (hide)'!BN$6:BN$105)+SUMIF(Capacity_Resource,$E71,'Critical resources (hide)'!BN$6:BN$105)+SUMIF(Capacity_Resource,$F71,'Critical resources (hide)'!BN$6:BN$105)&gt;0,$E$1=2),0,1)</f>
        <v>1</v>
      </c>
      <c r="BB71" s="67">
        <f ca="1">IF(AND(SUMIF(Capacity_Resource,$D71,'Critical resources (hide)'!BO$6:BO$105)+SUMIF(Capacity_Resource,$E71,'Critical resources (hide)'!BO$6:BO$105)+SUMIF(Capacity_Resource,$F71,'Critical resources (hide)'!BO$6:BO$105)&gt;0,$E$1=2),0,1)</f>
        <v>1</v>
      </c>
      <c r="BC71" s="67">
        <f ca="1">IF(AND(SUMIF(Capacity_Resource,$D71,'Critical resources (hide)'!BP$6:BP$105)+SUMIF(Capacity_Resource,$E71,'Critical resources (hide)'!BP$6:BP$105)+SUMIF(Capacity_Resource,$F71,'Critical resources (hide)'!BP$6:BP$105)&gt;0,$E$1=2),0,1)</f>
        <v>1</v>
      </c>
      <c r="BD71" s="67">
        <f ca="1">IF(AND(SUMIF(Capacity_Resource,$D71,'Critical resources (hide)'!BQ$6:BQ$105)+SUMIF(Capacity_Resource,$E71,'Critical resources (hide)'!BQ$6:BQ$105)+SUMIF(Capacity_Resource,$F71,'Critical resources (hide)'!BQ$6:BQ$105)&gt;0,$E$1=2),0,1)</f>
        <v>1</v>
      </c>
      <c r="BE71" s="67">
        <f ca="1">IF(AND(SUMIF(Capacity_Resource,$D71,'Critical resources (hide)'!BR$6:BR$105)+SUMIF(Capacity_Resource,$E71,'Critical resources (hide)'!BR$6:BR$105)+SUMIF(Capacity_Resource,$F71,'Critical resources (hide)'!BR$6:BR$105)&gt;0,$E$1=2),0,1)</f>
        <v>1</v>
      </c>
      <c r="BF71" s="67">
        <f ca="1">IF(AND(SUMIF(Capacity_Resource,$D71,'Critical resources (hide)'!BS$6:BS$105)+SUMIF(Capacity_Resource,$E71,'Critical resources (hide)'!BS$6:BS$105)+SUMIF(Capacity_Resource,$F71,'Critical resources (hide)'!BS$6:BS$105)&gt;0,$E$1=2),0,1)</f>
        <v>1</v>
      </c>
      <c r="BG71" s="67">
        <f ca="1">IF(AND(SUMIF(Capacity_Resource,$D71,'Critical resources (hide)'!BT$6:BT$105)+SUMIF(Capacity_Resource,$E71,'Critical resources (hide)'!BT$6:BT$105)+SUMIF(Capacity_Resource,$F71,'Critical resources (hide)'!BT$6:BT$105)&gt;0,$E$1=2),0,1)</f>
        <v>1</v>
      </c>
      <c r="BH71" s="67">
        <f>IF(ROW(C67)&lt;=Capacity!$A$16,IF('Capacity summary'!$D$14="No",SUM(H71:BG71),'Capacity summary'!$E190),0)</f>
        <v>0</v>
      </c>
      <c r="BI71" s="5" t="str">
        <f>IF(BH71&gt;0,IF(BH71&lt;Capacity!E83,Capacity!F83,Capacity!H83/'Capacity calculation (hide)'!BH71),"")</f>
        <v/>
      </c>
      <c r="BK71" s="313">
        <f>IF($BI71&lt;&gt;"",IF('Capacity summary'!$D$14="Yes",IF(COUNTBLANK('Capacity summary'!$H190:$BG190)&lt;52,IF('Capacity summary'!H190&lt;&gt;"",IF(LOWER('Capacity summary'!H190)="x",$BI71*H71,VALUE('Capacity summary'!H190)),0),H71*$BI71),H71*$BI71),0)</f>
        <v>0</v>
      </c>
      <c r="BL71" s="313">
        <f>IF($BI71&lt;&gt;"",IF('Capacity summary'!$D$14="Yes",IF(COUNTBLANK('Capacity summary'!$H190:$BG190)&lt;52,IF('Capacity summary'!I190&lt;&gt;"",IF(LOWER('Capacity summary'!I190)="x",$BI71*I71,VALUE('Capacity summary'!I190)),0),I71*$BI71),I71*$BI71),0)</f>
        <v>0</v>
      </c>
      <c r="BM71" s="313">
        <f>IF($BI71&lt;&gt;"",IF('Capacity summary'!$D$14="Yes",IF(COUNTBLANK('Capacity summary'!$H190:$BG190)&lt;52,IF('Capacity summary'!J190&lt;&gt;"",IF(LOWER('Capacity summary'!J190)="x",$BI71*J71,VALUE('Capacity summary'!J190)),0),J71*$BI71),J71*$BI71),0)</f>
        <v>0</v>
      </c>
      <c r="BN71" s="313">
        <f>IF($BI71&lt;&gt;"",IF('Capacity summary'!$D$14="Yes",IF(COUNTBLANK('Capacity summary'!$H190:$BG190)&lt;52,IF('Capacity summary'!K190&lt;&gt;"",IF(LOWER('Capacity summary'!K190)="x",$BI71*K71,VALUE('Capacity summary'!K190)),0),K71*$BI71),K71*$BI71),0)</f>
        <v>0</v>
      </c>
      <c r="BO71" s="313">
        <f>IF($BI71&lt;&gt;"",IF('Capacity summary'!$D$14="Yes",IF(COUNTBLANK('Capacity summary'!$H190:$BG190)&lt;52,IF('Capacity summary'!L190&lt;&gt;"",IF(LOWER('Capacity summary'!L190)="x",$BI71*L71,VALUE('Capacity summary'!L190)),0),L71*$BI71),L71*$BI71),0)</f>
        <v>0</v>
      </c>
      <c r="BP71" s="313">
        <f>IF($BI71&lt;&gt;"",IF('Capacity summary'!$D$14="Yes",IF(COUNTBLANK('Capacity summary'!$H190:$BG190)&lt;52,IF('Capacity summary'!M190&lt;&gt;"",IF(LOWER('Capacity summary'!M190)="x",$BI71*M71,VALUE('Capacity summary'!M190)),0),M71*$BI71),M71*$BI71),0)</f>
        <v>0</v>
      </c>
      <c r="BQ71" s="313">
        <f>IF($BI71&lt;&gt;"",IF('Capacity summary'!$D$14="Yes",IF(COUNTBLANK('Capacity summary'!$H190:$BG190)&lt;52,IF('Capacity summary'!N190&lt;&gt;"",IF(LOWER('Capacity summary'!N190)="x",$BI71*N71,VALUE('Capacity summary'!N190)),0),N71*$BI71),N71*$BI71),0)</f>
        <v>0</v>
      </c>
      <c r="BR71" s="313">
        <f>IF($BI71&lt;&gt;"",IF('Capacity summary'!$D$14="Yes",IF(COUNTBLANK('Capacity summary'!$H190:$BG190)&lt;52,IF('Capacity summary'!O190&lt;&gt;"",IF(LOWER('Capacity summary'!O190)="x",$BI71*O71,VALUE('Capacity summary'!O190)),0),O71*$BI71),O71*$BI71),0)</f>
        <v>0</v>
      </c>
      <c r="BS71" s="313">
        <f>IF($BI71&lt;&gt;"",IF('Capacity summary'!$D$14="Yes",IF(COUNTBLANK('Capacity summary'!$H190:$BG190)&lt;52,IF('Capacity summary'!P190&lt;&gt;"",IF(LOWER('Capacity summary'!P190)="x",$BI71*P71,VALUE('Capacity summary'!P190)),0),P71*$BI71),P71*$BI71),0)</f>
        <v>0</v>
      </c>
      <c r="BT71" s="313">
        <f>IF($BI71&lt;&gt;"",IF('Capacity summary'!$D$14="Yes",IF(COUNTBLANK('Capacity summary'!$H190:$BG190)&lt;52,IF('Capacity summary'!Q190&lt;&gt;"",IF(LOWER('Capacity summary'!Q190)="x",$BI71*Q71,VALUE('Capacity summary'!Q190)),0),Q71*$BI71),Q71*$BI71),0)</f>
        <v>0</v>
      </c>
      <c r="BU71" s="313">
        <f>IF($BI71&lt;&gt;"",IF('Capacity summary'!$D$14="Yes",IF(COUNTBLANK('Capacity summary'!$H190:$BG190)&lt;52,IF('Capacity summary'!R190&lt;&gt;"",IF(LOWER('Capacity summary'!R190)="x",$BI71*R71,VALUE('Capacity summary'!R190)),0),R71*$BI71),R71*$BI71),0)</f>
        <v>0</v>
      </c>
      <c r="BV71" s="313">
        <f>IF($BI71&lt;&gt;"",IF('Capacity summary'!$D$14="Yes",IF(COUNTBLANK('Capacity summary'!$H190:$BG190)&lt;52,IF('Capacity summary'!S190&lt;&gt;"",IF(LOWER('Capacity summary'!S190)="x",$BI71*S71,VALUE('Capacity summary'!S190)),0),S71*$BI71),S71*$BI71),0)</f>
        <v>0</v>
      </c>
      <c r="BW71" s="313">
        <f>IF($BI71&lt;&gt;"",IF('Capacity summary'!$D$14="Yes",IF(COUNTBLANK('Capacity summary'!$H190:$BG190)&lt;52,IF('Capacity summary'!T190&lt;&gt;"",IF(LOWER('Capacity summary'!T190)="x",$BI71*T71,VALUE('Capacity summary'!T190)),0),T71*$BI71),T71*$BI71),0)</f>
        <v>0</v>
      </c>
      <c r="BX71" s="313">
        <f>IF($BI71&lt;&gt;"",IF('Capacity summary'!$D$14="Yes",IF(COUNTBLANK('Capacity summary'!$H190:$BG190)&lt;52,IF('Capacity summary'!U190&lt;&gt;"",IF(LOWER('Capacity summary'!U190)="x",$BI71*U71,VALUE('Capacity summary'!U190)),0),U71*$BI71),U71*$BI71),0)</f>
        <v>0</v>
      </c>
      <c r="BY71" s="313">
        <f>IF($BI71&lt;&gt;"",IF('Capacity summary'!$D$14="Yes",IF(COUNTBLANK('Capacity summary'!$H190:$BG190)&lt;52,IF('Capacity summary'!V190&lt;&gt;"",IF(LOWER('Capacity summary'!V190)="x",$BI71*V71,VALUE('Capacity summary'!V190)),0),V71*$BI71),V71*$BI71),0)</f>
        <v>0</v>
      </c>
      <c r="BZ71" s="313">
        <f>IF($BI71&lt;&gt;"",IF('Capacity summary'!$D$14="Yes",IF(COUNTBLANK('Capacity summary'!$H190:$BG190)&lt;52,IF('Capacity summary'!W190&lt;&gt;"",IF(LOWER('Capacity summary'!W190)="x",$BI71*W71,VALUE('Capacity summary'!W190)),0),W71*$BI71),W71*$BI71),0)</f>
        <v>0</v>
      </c>
      <c r="CA71" s="313">
        <f>IF($BI71&lt;&gt;"",IF('Capacity summary'!$D$14="Yes",IF(COUNTBLANK('Capacity summary'!$H190:$BG190)&lt;52,IF('Capacity summary'!X190&lt;&gt;"",IF(LOWER('Capacity summary'!X190)="x",$BI71*X71,VALUE('Capacity summary'!X190)),0),X71*$BI71),X71*$BI71),0)</f>
        <v>0</v>
      </c>
      <c r="CB71" s="313">
        <f>IF($BI71&lt;&gt;"",IF('Capacity summary'!$D$14="Yes",IF(COUNTBLANK('Capacity summary'!$H190:$BG190)&lt;52,IF('Capacity summary'!Y190&lt;&gt;"",IF(LOWER('Capacity summary'!Y190)="x",$BI71*Y71,VALUE('Capacity summary'!Y190)),0),Y71*$BI71),Y71*$BI71),0)</f>
        <v>0</v>
      </c>
      <c r="CC71" s="313">
        <f>IF($BI71&lt;&gt;"",IF('Capacity summary'!$D$14="Yes",IF(COUNTBLANK('Capacity summary'!$H190:$BG190)&lt;52,IF('Capacity summary'!Z190&lt;&gt;"",IF(LOWER('Capacity summary'!Z190)="x",$BI71*Z71,VALUE('Capacity summary'!Z190)),0),Z71*$BI71),Z71*$BI71),0)</f>
        <v>0</v>
      </c>
      <c r="CD71" s="313">
        <f>IF($BI71&lt;&gt;"",IF('Capacity summary'!$D$14="Yes",IF(COUNTBLANK('Capacity summary'!$H190:$BG190)&lt;52,IF('Capacity summary'!AA190&lt;&gt;"",IF(LOWER('Capacity summary'!AA190)="x",$BI71*AA71,VALUE('Capacity summary'!AA190)),0),AA71*$BI71),AA71*$BI71),0)</f>
        <v>0</v>
      </c>
      <c r="CE71" s="313">
        <f>IF($BI71&lt;&gt;"",IF('Capacity summary'!$D$14="Yes",IF(COUNTBLANK('Capacity summary'!$H190:$BG190)&lt;52,IF('Capacity summary'!AB190&lt;&gt;"",IF(LOWER('Capacity summary'!AB190)="x",$BI71*AB71,VALUE('Capacity summary'!AB190)),0),AB71*$BI71),AB71*$BI71),0)</f>
        <v>0</v>
      </c>
      <c r="CF71" s="313">
        <f>IF($BI71&lt;&gt;"",IF('Capacity summary'!$D$14="Yes",IF(COUNTBLANK('Capacity summary'!$H190:$BG190)&lt;52,IF('Capacity summary'!AC190&lt;&gt;"",IF(LOWER('Capacity summary'!AC190)="x",$BI71*AC71,VALUE('Capacity summary'!AC190)),0),AC71*$BI71),AC71*$BI71),0)</f>
        <v>0</v>
      </c>
      <c r="CG71" s="313">
        <f>IF($BI71&lt;&gt;"",IF('Capacity summary'!$D$14="Yes",IF(COUNTBLANK('Capacity summary'!$H190:$BG190)&lt;52,IF('Capacity summary'!AD190&lt;&gt;"",IF(LOWER('Capacity summary'!AD190)="x",$BI71*AD71,VALUE('Capacity summary'!AD190)),0),AD71*$BI71),AD71*$BI71),0)</f>
        <v>0</v>
      </c>
      <c r="CH71" s="313">
        <f>IF($BI71&lt;&gt;"",IF('Capacity summary'!$D$14="Yes",IF(COUNTBLANK('Capacity summary'!$H190:$BG190)&lt;52,IF('Capacity summary'!AE190&lt;&gt;"",IF(LOWER('Capacity summary'!AE190)="x",$BI71*AE71,VALUE('Capacity summary'!AE190)),0),AE71*$BI71),AE71*$BI71),0)</f>
        <v>0</v>
      </c>
      <c r="CI71" s="313">
        <f>IF($BI71&lt;&gt;"",IF('Capacity summary'!$D$14="Yes",IF(COUNTBLANK('Capacity summary'!$H190:$BG190)&lt;52,IF('Capacity summary'!AF190&lt;&gt;"",IF(LOWER('Capacity summary'!AF190)="x",$BI71*AF71,VALUE('Capacity summary'!AF190)),0),AF71*$BI71),AF71*$BI71),0)</f>
        <v>0</v>
      </c>
      <c r="CJ71" s="313">
        <f>IF($BI71&lt;&gt;"",IF('Capacity summary'!$D$14="Yes",IF(COUNTBLANK('Capacity summary'!$H190:$BG190)&lt;52,IF('Capacity summary'!AG190&lt;&gt;"",IF(LOWER('Capacity summary'!AG190)="x",$BI71*AG71,VALUE('Capacity summary'!AG190)),0),AG71*$BI71),AG71*$BI71),0)</f>
        <v>0</v>
      </c>
      <c r="CK71" s="313">
        <f>IF($BI71&lt;&gt;"",IF('Capacity summary'!$D$14="Yes",IF(COUNTBLANK('Capacity summary'!$H190:$BG190)&lt;52,IF('Capacity summary'!AH190&lt;&gt;"",IF(LOWER('Capacity summary'!AH190)="x",$BI71*AH71,VALUE('Capacity summary'!AH190)),0),AH71*$BI71),AH71*$BI71),0)</f>
        <v>0</v>
      </c>
      <c r="CL71" s="313">
        <f>IF($BI71&lt;&gt;"",IF('Capacity summary'!$D$14="Yes",IF(COUNTBLANK('Capacity summary'!$H190:$BG190)&lt;52,IF('Capacity summary'!AI190&lt;&gt;"",IF(LOWER('Capacity summary'!AI190)="x",$BI71*AI71,VALUE('Capacity summary'!AI190)),0),AI71*$BI71),AI71*$BI71),0)</f>
        <v>0</v>
      </c>
      <c r="CM71" s="313">
        <f>IF($BI71&lt;&gt;"",IF('Capacity summary'!$D$14="Yes",IF(COUNTBLANK('Capacity summary'!$H190:$BG190)&lt;52,IF('Capacity summary'!AJ190&lt;&gt;"",IF(LOWER('Capacity summary'!AJ190)="x",$BI71*AJ71,VALUE('Capacity summary'!AJ190)),0),AJ71*$BI71),AJ71*$BI71),0)</f>
        <v>0</v>
      </c>
      <c r="CN71" s="313">
        <f>IF($BI71&lt;&gt;"",IF('Capacity summary'!$D$14="Yes",IF(COUNTBLANK('Capacity summary'!$H190:$BG190)&lt;52,IF('Capacity summary'!AK190&lt;&gt;"",IF(LOWER('Capacity summary'!AK190)="x",$BI71*AK71,VALUE('Capacity summary'!AK190)),0),AK71*$BI71),AK71*$BI71),0)</f>
        <v>0</v>
      </c>
      <c r="CO71" s="313">
        <f>IF($BI71&lt;&gt;"",IF('Capacity summary'!$D$14="Yes",IF(COUNTBLANK('Capacity summary'!$H190:$BG190)&lt;52,IF('Capacity summary'!AL190&lt;&gt;"",IF(LOWER('Capacity summary'!AL190)="x",$BI71*AL71,VALUE('Capacity summary'!AL190)),0),AL71*$BI71),AL71*$BI71),0)</f>
        <v>0</v>
      </c>
      <c r="CP71" s="313">
        <f>IF($BI71&lt;&gt;"",IF('Capacity summary'!$D$14="Yes",IF(COUNTBLANK('Capacity summary'!$H190:$BG190)&lt;52,IF('Capacity summary'!AM190&lt;&gt;"",IF(LOWER('Capacity summary'!AM190)="x",$BI71*AM71,VALUE('Capacity summary'!AM190)),0),AM71*$BI71),AM71*$BI71),0)</f>
        <v>0</v>
      </c>
      <c r="CQ71" s="313">
        <f>IF($BI71&lt;&gt;"",IF('Capacity summary'!$D$14="Yes",IF(COUNTBLANK('Capacity summary'!$H190:$BG190)&lt;52,IF('Capacity summary'!AN190&lt;&gt;"",IF(LOWER('Capacity summary'!AN190)="x",$BI71*AN71,VALUE('Capacity summary'!AN190)),0),AN71*$BI71),AN71*$BI71),0)</f>
        <v>0</v>
      </c>
      <c r="CR71" s="313">
        <f>IF($BI71&lt;&gt;"",IF('Capacity summary'!$D$14="Yes",IF(COUNTBLANK('Capacity summary'!$H190:$BG190)&lt;52,IF('Capacity summary'!AO190&lt;&gt;"",IF(LOWER('Capacity summary'!AO190)="x",$BI71*AO71,VALUE('Capacity summary'!AO190)),0),AO71*$BI71),AO71*$BI71),0)</f>
        <v>0</v>
      </c>
      <c r="CS71" s="313">
        <f>IF($BI71&lt;&gt;"",IF('Capacity summary'!$D$14="Yes",IF(COUNTBLANK('Capacity summary'!$H190:$BG190)&lt;52,IF('Capacity summary'!AP190&lt;&gt;"",IF(LOWER('Capacity summary'!AP190)="x",$BI71*AP71,VALUE('Capacity summary'!AP190)),0),AP71*$BI71),AP71*$BI71),0)</f>
        <v>0</v>
      </c>
      <c r="CT71" s="313">
        <f>IF($BI71&lt;&gt;"",IF('Capacity summary'!$D$14="Yes",IF(COUNTBLANK('Capacity summary'!$H190:$BG190)&lt;52,IF('Capacity summary'!AQ190&lt;&gt;"",IF(LOWER('Capacity summary'!AQ190)="x",$BI71*AQ71,VALUE('Capacity summary'!AQ190)),0),AQ71*$BI71),AQ71*$BI71),0)</f>
        <v>0</v>
      </c>
      <c r="CU71" s="313">
        <f>IF($BI71&lt;&gt;"",IF('Capacity summary'!$D$14="Yes",IF(COUNTBLANK('Capacity summary'!$H190:$BG190)&lt;52,IF('Capacity summary'!AR190&lt;&gt;"",IF(LOWER('Capacity summary'!AR190)="x",$BI71*AR71,VALUE('Capacity summary'!AR190)),0),AR71*$BI71),AR71*$BI71),0)</f>
        <v>0</v>
      </c>
      <c r="CV71" s="313">
        <f>IF($BI71&lt;&gt;"",IF('Capacity summary'!$D$14="Yes",IF(COUNTBLANK('Capacity summary'!$H190:$BG190)&lt;52,IF('Capacity summary'!AS190&lt;&gt;"",IF(LOWER('Capacity summary'!AS190)="x",$BI71*AS71,VALUE('Capacity summary'!AS190)),0),AS71*$BI71),AS71*$BI71),0)</f>
        <v>0</v>
      </c>
      <c r="CW71" s="313">
        <f>IF($BI71&lt;&gt;"",IF('Capacity summary'!$D$14="Yes",IF(COUNTBLANK('Capacity summary'!$H190:$BG190)&lt;52,IF('Capacity summary'!AT190&lt;&gt;"",IF(LOWER('Capacity summary'!AT190)="x",$BI71*AT71,VALUE('Capacity summary'!AT190)),0),AT71*$BI71),AT71*$BI71),0)</f>
        <v>0</v>
      </c>
      <c r="CX71" s="313">
        <f>IF($BI71&lt;&gt;"",IF('Capacity summary'!$D$14="Yes",IF(COUNTBLANK('Capacity summary'!$H190:$BG190)&lt;52,IF('Capacity summary'!AU190&lt;&gt;"",IF(LOWER('Capacity summary'!AU190)="x",$BI71*AU71,VALUE('Capacity summary'!AU190)),0),AU71*$BI71),AU71*$BI71),0)</f>
        <v>0</v>
      </c>
      <c r="CY71" s="313">
        <f>IF($BI71&lt;&gt;"",IF('Capacity summary'!$D$14="Yes",IF(COUNTBLANK('Capacity summary'!$H190:$BG190)&lt;52,IF('Capacity summary'!AV190&lt;&gt;"",IF(LOWER('Capacity summary'!AV190)="x",$BI71*AV71,VALUE('Capacity summary'!AV190)),0),AV71*$BI71),AV71*$BI71),0)</f>
        <v>0</v>
      </c>
      <c r="CZ71" s="313">
        <f>IF($BI71&lt;&gt;"",IF('Capacity summary'!$D$14="Yes",IF(COUNTBLANK('Capacity summary'!$H190:$BG190)&lt;52,IF('Capacity summary'!AW190&lt;&gt;"",IF(LOWER('Capacity summary'!AW190)="x",$BI71*AW71,VALUE('Capacity summary'!AW190)),0),AW71*$BI71),AW71*$BI71),0)</f>
        <v>0</v>
      </c>
      <c r="DA71" s="313">
        <f>IF($BI71&lt;&gt;"",IF('Capacity summary'!$D$14="Yes",IF(COUNTBLANK('Capacity summary'!$H190:$BG190)&lt;52,IF('Capacity summary'!AX190&lt;&gt;"",IF(LOWER('Capacity summary'!AX190)="x",$BI71*AX71,VALUE('Capacity summary'!AX190)),0),AX71*$BI71),AX71*$BI71),0)</f>
        <v>0</v>
      </c>
      <c r="DB71" s="313">
        <f>IF($BI71&lt;&gt;"",IF('Capacity summary'!$D$14="Yes",IF(COUNTBLANK('Capacity summary'!$H190:$BG190)&lt;52,IF('Capacity summary'!AY190&lt;&gt;"",IF(LOWER('Capacity summary'!AY190)="x",$BI71*AY71,VALUE('Capacity summary'!AY190)),0),AY71*$BI71),AY71*$BI71),0)</f>
        <v>0</v>
      </c>
      <c r="DC71" s="313">
        <f>IF($BI71&lt;&gt;"",IF('Capacity summary'!$D$14="Yes",IF(COUNTBLANK('Capacity summary'!$H190:$BG190)&lt;52,IF('Capacity summary'!AZ190&lt;&gt;"",IF(LOWER('Capacity summary'!AZ190)="x",$BI71*AZ71,VALUE('Capacity summary'!AZ190)),0),AZ71*$BI71),AZ71*$BI71),0)</f>
        <v>0</v>
      </c>
      <c r="DD71" s="313">
        <f>IF($BI71&lt;&gt;"",IF('Capacity summary'!$D$14="Yes",IF(COUNTBLANK('Capacity summary'!$H190:$BG190)&lt;52,IF('Capacity summary'!BA190&lt;&gt;"",IF(LOWER('Capacity summary'!BA190)="x",$BI71*BA71,VALUE('Capacity summary'!BA190)),0),BA71*$BI71),BA71*$BI71),0)</f>
        <v>0</v>
      </c>
      <c r="DE71" s="313">
        <f>IF($BI71&lt;&gt;"",IF('Capacity summary'!$D$14="Yes",IF(COUNTBLANK('Capacity summary'!$H190:$BG190)&lt;52,IF('Capacity summary'!BB190&lt;&gt;"",IF(LOWER('Capacity summary'!BB190)="x",$BI71*BB71,VALUE('Capacity summary'!BB190)),0),BB71*$BI71),BB71*$BI71),0)</f>
        <v>0</v>
      </c>
      <c r="DF71" s="313">
        <f>IF($BI71&lt;&gt;"",IF('Capacity summary'!$D$14="Yes",IF(COUNTBLANK('Capacity summary'!$H190:$BG190)&lt;52,IF('Capacity summary'!BC190&lt;&gt;"",IF(LOWER('Capacity summary'!BC190)="x",$BI71*BC71,VALUE('Capacity summary'!BC190)),0),BC71*$BI71),BC71*$BI71),0)</f>
        <v>0</v>
      </c>
      <c r="DG71" s="313">
        <f>IF($BI71&lt;&gt;"",IF('Capacity summary'!$D$14="Yes",IF(COUNTBLANK('Capacity summary'!$H190:$BG190)&lt;52,IF('Capacity summary'!BD190&lt;&gt;"",IF(LOWER('Capacity summary'!BD190)="x",$BI71*BD71,VALUE('Capacity summary'!BD190)),0),BD71*$BI71),BD71*$BI71),0)</f>
        <v>0</v>
      </c>
      <c r="DH71" s="313">
        <f>IF($BI71&lt;&gt;"",IF('Capacity summary'!$D$14="Yes",IF(COUNTBLANK('Capacity summary'!$H190:$BG190)&lt;52,IF('Capacity summary'!BE190&lt;&gt;"",IF(LOWER('Capacity summary'!BE190)="x",$BI71*BE71,VALUE('Capacity summary'!BE190)),0),BE71*$BI71),BE71*$BI71),0)</f>
        <v>0</v>
      </c>
      <c r="DI71" s="313">
        <f>IF($BI71&lt;&gt;"",IF('Capacity summary'!$D$14="Yes",IF(COUNTBLANK('Capacity summary'!$H190:$BG190)&lt;52,IF('Capacity summary'!BF190&lt;&gt;"",IF(LOWER('Capacity summary'!BF190)="x",$BI71*BF71,VALUE('Capacity summary'!BF190)),0),BF71*$BI71),BF71*$BI71),0)</f>
        <v>0</v>
      </c>
      <c r="DJ71" s="313">
        <f>IF($BI71&lt;&gt;"",IF('Capacity summary'!$D$14="Yes",IF(COUNTBLANK('Capacity summary'!$H190:$BG190)&lt;52,IF('Capacity summary'!BG190&lt;&gt;"",IF(LOWER('Capacity summary'!BG190)="x",$BI71*BG71,VALUE('Capacity summary'!BG190)),0),BG71*$BI71),BG71*$BI71),0)</f>
        <v>0</v>
      </c>
      <c r="DK71" s="137">
        <f t="shared" si="3"/>
        <v>0</v>
      </c>
      <c r="DL71" s="313" t="str">
        <f>Capacity!H83</f>
        <v/>
      </c>
    </row>
    <row r="72" spans="2:116" x14ac:dyDescent="0.25">
      <c r="B72" s="67"/>
      <c r="C72" s="67" t="str">
        <f>ROW(A68)&amp;". "&amp;Capacity!B84</f>
        <v xml:space="preserve">68. </v>
      </c>
      <c r="D72" s="67">
        <f>'Capacity setup'!C79</f>
        <v>0</v>
      </c>
      <c r="E72" s="67">
        <f>'Capacity setup'!D79</f>
        <v>0</v>
      </c>
      <c r="F72" s="67">
        <f>'Capacity setup'!E79</f>
        <v>0</v>
      </c>
      <c r="H72" s="67">
        <f ca="1">IF(AND(SUMIF(Capacity_Resource,$D72,'Critical resources (hide)'!U$6:U$105)+SUMIF(Capacity_Resource,$E72,'Critical resources (hide)'!U$6:U$105)+SUMIF(Capacity_Resource,$F72,'Critical resources (hide)'!U$6:U$105)&gt;0,$E$1=2),0,1)</f>
        <v>1</v>
      </c>
      <c r="I72" s="67">
        <f ca="1">IF(AND(SUMIF(Capacity_Resource,$D72,'Critical resources (hide)'!V$6:V$105)+SUMIF(Capacity_Resource,$E72,'Critical resources (hide)'!V$6:V$105)+SUMIF(Capacity_Resource,$F72,'Critical resources (hide)'!V$6:V$105)&gt;0,$E$1=2),0,1)</f>
        <v>1</v>
      </c>
      <c r="J72" s="67">
        <f ca="1">IF(AND(SUMIF(Capacity_Resource,$D72,'Critical resources (hide)'!W$6:W$105)+SUMIF(Capacity_Resource,$E72,'Critical resources (hide)'!W$6:W$105)+SUMIF(Capacity_Resource,$F72,'Critical resources (hide)'!W$6:W$105)&gt;0,$E$1=2),0,1)</f>
        <v>1</v>
      </c>
      <c r="K72" s="67">
        <f ca="1">IF(AND(SUMIF(Capacity_Resource,$D72,'Critical resources (hide)'!X$6:X$105)+SUMIF(Capacity_Resource,$E72,'Critical resources (hide)'!X$6:X$105)+SUMIF(Capacity_Resource,$F72,'Critical resources (hide)'!X$6:X$105)&gt;0,$E$1=2),0,1)</f>
        <v>1</v>
      </c>
      <c r="L72" s="67">
        <f ca="1">IF(AND(SUMIF(Capacity_Resource,$D72,'Critical resources (hide)'!Y$6:Y$105)+SUMIF(Capacity_Resource,$E72,'Critical resources (hide)'!Y$6:Y$105)+SUMIF(Capacity_Resource,$F72,'Critical resources (hide)'!Y$6:Y$105)&gt;0,$E$1=2),0,1)</f>
        <v>1</v>
      </c>
      <c r="M72" s="67">
        <f ca="1">IF(AND(SUMIF(Capacity_Resource,$D72,'Critical resources (hide)'!Z$6:Z$105)+SUMIF(Capacity_Resource,$E72,'Critical resources (hide)'!Z$6:Z$105)+SUMIF(Capacity_Resource,$F72,'Critical resources (hide)'!Z$6:Z$105)&gt;0,$E$1=2),0,1)</f>
        <v>1</v>
      </c>
      <c r="N72" s="67">
        <f ca="1">IF(AND(SUMIF(Capacity_Resource,$D72,'Critical resources (hide)'!AA$6:AA$105)+SUMIF(Capacity_Resource,$E72,'Critical resources (hide)'!AA$6:AA$105)+SUMIF(Capacity_Resource,$F72,'Critical resources (hide)'!AA$6:AA$105)&gt;0,$E$1=2),0,1)</f>
        <v>1</v>
      </c>
      <c r="O72" s="67">
        <f ca="1">IF(AND(SUMIF(Capacity_Resource,$D72,'Critical resources (hide)'!AB$6:AB$105)+SUMIF(Capacity_Resource,$E72,'Critical resources (hide)'!AB$6:AB$105)+SUMIF(Capacity_Resource,$F72,'Critical resources (hide)'!AB$6:AB$105)&gt;0,$E$1=2),0,1)</f>
        <v>1</v>
      </c>
      <c r="P72" s="67">
        <f ca="1">IF(AND(SUMIF(Capacity_Resource,$D72,'Critical resources (hide)'!AC$6:AC$105)+SUMIF(Capacity_Resource,$E72,'Critical resources (hide)'!AC$6:AC$105)+SUMIF(Capacity_Resource,$F72,'Critical resources (hide)'!AC$6:AC$105)&gt;0,$E$1=2),0,1)</f>
        <v>1</v>
      </c>
      <c r="Q72" s="67">
        <f ca="1">IF(AND(SUMIF(Capacity_Resource,$D72,'Critical resources (hide)'!AD$6:AD$105)+SUMIF(Capacity_Resource,$E72,'Critical resources (hide)'!AD$6:AD$105)+SUMIF(Capacity_Resource,$F72,'Critical resources (hide)'!AD$6:AD$105)&gt;0,$E$1=2),0,1)</f>
        <v>1</v>
      </c>
      <c r="R72" s="67">
        <f ca="1">IF(AND(SUMIF(Capacity_Resource,$D72,'Critical resources (hide)'!AE$6:AE$105)+SUMIF(Capacity_Resource,$E72,'Critical resources (hide)'!AE$6:AE$105)+SUMIF(Capacity_Resource,$F72,'Critical resources (hide)'!AE$6:AE$105)&gt;0,$E$1=2),0,1)</f>
        <v>1</v>
      </c>
      <c r="S72" s="67">
        <f ca="1">IF(AND(SUMIF(Capacity_Resource,$D72,'Critical resources (hide)'!AF$6:AF$105)+SUMIF(Capacity_Resource,$E72,'Critical resources (hide)'!AF$6:AF$105)+SUMIF(Capacity_Resource,$F72,'Critical resources (hide)'!AF$6:AF$105)&gt;0,$E$1=2),0,1)</f>
        <v>1</v>
      </c>
      <c r="T72" s="67">
        <f ca="1">IF(AND(SUMIF(Capacity_Resource,$D72,'Critical resources (hide)'!AG$6:AG$105)+SUMIF(Capacity_Resource,$E72,'Critical resources (hide)'!AG$6:AG$105)+SUMIF(Capacity_Resource,$F72,'Critical resources (hide)'!AG$6:AG$105)&gt;0,$E$1=2),0,1)</f>
        <v>1</v>
      </c>
      <c r="U72" s="67">
        <f ca="1">IF(AND(SUMIF(Capacity_Resource,$D72,'Critical resources (hide)'!AH$6:AH$105)+SUMIF(Capacity_Resource,$E72,'Critical resources (hide)'!AH$6:AH$105)+SUMIF(Capacity_Resource,$F72,'Critical resources (hide)'!AH$6:AH$105)&gt;0,$E$1=2),0,1)</f>
        <v>1</v>
      </c>
      <c r="V72" s="67">
        <f ca="1">IF(AND(SUMIF(Capacity_Resource,$D72,'Critical resources (hide)'!AI$6:AI$105)+SUMIF(Capacity_Resource,$E72,'Critical resources (hide)'!AI$6:AI$105)+SUMIF(Capacity_Resource,$F72,'Critical resources (hide)'!AI$6:AI$105)&gt;0,$E$1=2),0,1)</f>
        <v>1</v>
      </c>
      <c r="W72" s="67">
        <f ca="1">IF(AND(SUMIF(Capacity_Resource,$D72,'Critical resources (hide)'!AJ$6:AJ$105)+SUMIF(Capacity_Resource,$E72,'Critical resources (hide)'!AJ$6:AJ$105)+SUMIF(Capacity_Resource,$F72,'Critical resources (hide)'!AJ$6:AJ$105)&gt;0,$E$1=2),0,1)</f>
        <v>1</v>
      </c>
      <c r="X72" s="67">
        <f ca="1">IF(AND(SUMIF(Capacity_Resource,$D72,'Critical resources (hide)'!AK$6:AK$105)+SUMIF(Capacity_Resource,$E72,'Critical resources (hide)'!AK$6:AK$105)+SUMIF(Capacity_Resource,$F72,'Critical resources (hide)'!AK$6:AK$105)&gt;0,$E$1=2),0,1)</f>
        <v>1</v>
      </c>
      <c r="Y72" s="67">
        <f ca="1">IF(AND(SUMIF(Capacity_Resource,$D72,'Critical resources (hide)'!AL$6:AL$105)+SUMIF(Capacity_Resource,$E72,'Critical resources (hide)'!AL$6:AL$105)+SUMIF(Capacity_Resource,$F72,'Critical resources (hide)'!AL$6:AL$105)&gt;0,$E$1=2),0,1)</f>
        <v>1</v>
      </c>
      <c r="Z72" s="67">
        <f ca="1">IF(AND(SUMIF(Capacity_Resource,$D72,'Critical resources (hide)'!AM$6:AM$105)+SUMIF(Capacity_Resource,$E72,'Critical resources (hide)'!AM$6:AM$105)+SUMIF(Capacity_Resource,$F72,'Critical resources (hide)'!AM$6:AM$105)&gt;0,$E$1=2),0,1)</f>
        <v>1</v>
      </c>
      <c r="AA72" s="67">
        <f ca="1">IF(AND(SUMIF(Capacity_Resource,$D72,'Critical resources (hide)'!AN$6:AN$105)+SUMIF(Capacity_Resource,$E72,'Critical resources (hide)'!AN$6:AN$105)+SUMIF(Capacity_Resource,$F72,'Critical resources (hide)'!AN$6:AN$105)&gt;0,$E$1=2),0,1)</f>
        <v>1</v>
      </c>
      <c r="AB72" s="67">
        <f ca="1">IF(AND(SUMIF(Capacity_Resource,$D72,'Critical resources (hide)'!AO$6:AO$105)+SUMIF(Capacity_Resource,$E72,'Critical resources (hide)'!AO$6:AO$105)+SUMIF(Capacity_Resource,$F72,'Critical resources (hide)'!AO$6:AO$105)&gt;0,$E$1=2),0,1)</f>
        <v>1</v>
      </c>
      <c r="AC72" s="67">
        <f ca="1">IF(AND(SUMIF(Capacity_Resource,$D72,'Critical resources (hide)'!AP$6:AP$105)+SUMIF(Capacity_Resource,$E72,'Critical resources (hide)'!AP$6:AP$105)+SUMIF(Capacity_Resource,$F72,'Critical resources (hide)'!AP$6:AP$105)&gt;0,$E$1=2),0,1)</f>
        <v>1</v>
      </c>
      <c r="AD72" s="67">
        <f ca="1">IF(AND(SUMIF(Capacity_Resource,$D72,'Critical resources (hide)'!AQ$6:AQ$105)+SUMIF(Capacity_Resource,$E72,'Critical resources (hide)'!AQ$6:AQ$105)+SUMIF(Capacity_Resource,$F72,'Critical resources (hide)'!AQ$6:AQ$105)&gt;0,$E$1=2),0,1)</f>
        <v>1</v>
      </c>
      <c r="AE72" s="67">
        <f ca="1">IF(AND(SUMIF(Capacity_Resource,$D72,'Critical resources (hide)'!AR$6:AR$105)+SUMIF(Capacity_Resource,$E72,'Critical resources (hide)'!AR$6:AR$105)+SUMIF(Capacity_Resource,$F72,'Critical resources (hide)'!AR$6:AR$105)&gt;0,$E$1=2),0,1)</f>
        <v>1</v>
      </c>
      <c r="AF72" s="67">
        <f ca="1">IF(AND(SUMIF(Capacity_Resource,$D72,'Critical resources (hide)'!AS$6:AS$105)+SUMIF(Capacity_Resource,$E72,'Critical resources (hide)'!AS$6:AS$105)+SUMIF(Capacity_Resource,$F72,'Critical resources (hide)'!AS$6:AS$105)&gt;0,$E$1=2),0,1)</f>
        <v>1</v>
      </c>
      <c r="AG72" s="67">
        <f ca="1">IF(AND(SUMIF(Capacity_Resource,$D72,'Critical resources (hide)'!AT$6:AT$105)+SUMIF(Capacity_Resource,$E72,'Critical resources (hide)'!AT$6:AT$105)+SUMIF(Capacity_Resource,$F72,'Critical resources (hide)'!AT$6:AT$105)&gt;0,$E$1=2),0,1)</f>
        <v>1</v>
      </c>
      <c r="AH72" s="67">
        <f ca="1">IF(AND(SUMIF(Capacity_Resource,$D72,'Critical resources (hide)'!AU$6:AU$105)+SUMIF(Capacity_Resource,$E72,'Critical resources (hide)'!AU$6:AU$105)+SUMIF(Capacity_Resource,$F72,'Critical resources (hide)'!AU$6:AU$105)&gt;0,$E$1=2),0,1)</f>
        <v>1</v>
      </c>
      <c r="AI72" s="67">
        <f ca="1">IF(AND(SUMIF(Capacity_Resource,$D72,'Critical resources (hide)'!AV$6:AV$105)+SUMIF(Capacity_Resource,$E72,'Critical resources (hide)'!AV$6:AV$105)+SUMIF(Capacity_Resource,$F72,'Critical resources (hide)'!AV$6:AV$105)&gt;0,$E$1=2),0,1)</f>
        <v>1</v>
      </c>
      <c r="AJ72" s="67">
        <f ca="1">IF(AND(SUMIF(Capacity_Resource,$D72,'Critical resources (hide)'!AW$6:AW$105)+SUMIF(Capacity_Resource,$E72,'Critical resources (hide)'!AW$6:AW$105)+SUMIF(Capacity_Resource,$F72,'Critical resources (hide)'!AW$6:AW$105)&gt;0,$E$1=2),0,1)</f>
        <v>1</v>
      </c>
      <c r="AK72" s="67">
        <f ca="1">IF(AND(SUMIF(Capacity_Resource,$D72,'Critical resources (hide)'!AX$6:AX$105)+SUMIF(Capacity_Resource,$E72,'Critical resources (hide)'!AX$6:AX$105)+SUMIF(Capacity_Resource,$F72,'Critical resources (hide)'!AX$6:AX$105)&gt;0,$E$1=2),0,1)</f>
        <v>1</v>
      </c>
      <c r="AL72" s="67">
        <f ca="1">IF(AND(SUMIF(Capacity_Resource,$D72,'Critical resources (hide)'!AY$6:AY$105)+SUMIF(Capacity_Resource,$E72,'Critical resources (hide)'!AY$6:AY$105)+SUMIF(Capacity_Resource,$F72,'Critical resources (hide)'!AY$6:AY$105)&gt;0,$E$1=2),0,1)</f>
        <v>1</v>
      </c>
      <c r="AM72" s="67">
        <f ca="1">IF(AND(SUMIF(Capacity_Resource,$D72,'Critical resources (hide)'!AZ$6:AZ$105)+SUMIF(Capacity_Resource,$E72,'Critical resources (hide)'!AZ$6:AZ$105)+SUMIF(Capacity_Resource,$F72,'Critical resources (hide)'!AZ$6:AZ$105)&gt;0,$E$1=2),0,1)</f>
        <v>1</v>
      </c>
      <c r="AN72" s="67">
        <f ca="1">IF(AND(SUMIF(Capacity_Resource,$D72,'Critical resources (hide)'!BA$6:BA$105)+SUMIF(Capacity_Resource,$E72,'Critical resources (hide)'!BA$6:BA$105)+SUMIF(Capacity_Resource,$F72,'Critical resources (hide)'!BA$6:BA$105)&gt;0,$E$1=2),0,1)</f>
        <v>1</v>
      </c>
      <c r="AO72" s="67">
        <f ca="1">IF(AND(SUMIF(Capacity_Resource,$D72,'Critical resources (hide)'!BB$6:BB$105)+SUMIF(Capacity_Resource,$E72,'Critical resources (hide)'!BB$6:BB$105)+SUMIF(Capacity_Resource,$F72,'Critical resources (hide)'!BB$6:BB$105)&gt;0,$E$1=2),0,1)</f>
        <v>1</v>
      </c>
      <c r="AP72" s="67">
        <f ca="1">IF(AND(SUMIF(Capacity_Resource,$D72,'Critical resources (hide)'!BC$6:BC$105)+SUMIF(Capacity_Resource,$E72,'Critical resources (hide)'!BC$6:BC$105)+SUMIF(Capacity_Resource,$F72,'Critical resources (hide)'!BC$6:BC$105)&gt;0,$E$1=2),0,1)</f>
        <v>1</v>
      </c>
      <c r="AQ72" s="67">
        <f ca="1">IF(AND(SUMIF(Capacity_Resource,$D72,'Critical resources (hide)'!BD$6:BD$105)+SUMIF(Capacity_Resource,$E72,'Critical resources (hide)'!BD$6:BD$105)+SUMIF(Capacity_Resource,$F72,'Critical resources (hide)'!BD$6:BD$105)&gt;0,$E$1=2),0,1)</f>
        <v>1</v>
      </c>
      <c r="AR72" s="67">
        <f ca="1">IF(AND(SUMIF(Capacity_Resource,$D72,'Critical resources (hide)'!BE$6:BE$105)+SUMIF(Capacity_Resource,$E72,'Critical resources (hide)'!BE$6:BE$105)+SUMIF(Capacity_Resource,$F72,'Critical resources (hide)'!BE$6:BE$105)&gt;0,$E$1=2),0,1)</f>
        <v>1</v>
      </c>
      <c r="AS72" s="67">
        <f ca="1">IF(AND(SUMIF(Capacity_Resource,$D72,'Critical resources (hide)'!BF$6:BF$105)+SUMIF(Capacity_Resource,$E72,'Critical resources (hide)'!BF$6:BF$105)+SUMIF(Capacity_Resource,$F72,'Critical resources (hide)'!BF$6:BF$105)&gt;0,$E$1=2),0,1)</f>
        <v>1</v>
      </c>
      <c r="AT72" s="67">
        <f ca="1">IF(AND(SUMIF(Capacity_Resource,$D72,'Critical resources (hide)'!BG$6:BG$105)+SUMIF(Capacity_Resource,$E72,'Critical resources (hide)'!BG$6:BG$105)+SUMIF(Capacity_Resource,$F72,'Critical resources (hide)'!BG$6:BG$105)&gt;0,$E$1=2),0,1)</f>
        <v>1</v>
      </c>
      <c r="AU72" s="67">
        <f ca="1">IF(AND(SUMIF(Capacity_Resource,$D72,'Critical resources (hide)'!BH$6:BH$105)+SUMIF(Capacity_Resource,$E72,'Critical resources (hide)'!BH$6:BH$105)+SUMIF(Capacity_Resource,$F72,'Critical resources (hide)'!BH$6:BH$105)&gt;0,$E$1=2),0,1)</f>
        <v>1</v>
      </c>
      <c r="AV72" s="67">
        <f ca="1">IF(AND(SUMIF(Capacity_Resource,$D72,'Critical resources (hide)'!BI$6:BI$105)+SUMIF(Capacity_Resource,$E72,'Critical resources (hide)'!BI$6:BI$105)+SUMIF(Capacity_Resource,$F72,'Critical resources (hide)'!BI$6:BI$105)&gt;0,$E$1=2),0,1)</f>
        <v>1</v>
      </c>
      <c r="AW72" s="67">
        <f ca="1">IF(AND(SUMIF(Capacity_Resource,$D72,'Critical resources (hide)'!BJ$6:BJ$105)+SUMIF(Capacity_Resource,$E72,'Critical resources (hide)'!BJ$6:BJ$105)+SUMIF(Capacity_Resource,$F72,'Critical resources (hide)'!BJ$6:BJ$105)&gt;0,$E$1=2),0,1)</f>
        <v>1</v>
      </c>
      <c r="AX72" s="67">
        <f ca="1">IF(AND(SUMIF(Capacity_Resource,$D72,'Critical resources (hide)'!BK$6:BK$105)+SUMIF(Capacity_Resource,$E72,'Critical resources (hide)'!BK$6:BK$105)+SUMIF(Capacity_Resource,$F72,'Critical resources (hide)'!BK$6:BK$105)&gt;0,$E$1=2),0,1)</f>
        <v>1</v>
      </c>
      <c r="AY72" s="67">
        <f ca="1">IF(AND(SUMIF(Capacity_Resource,$D72,'Critical resources (hide)'!BL$6:BL$105)+SUMIF(Capacity_Resource,$E72,'Critical resources (hide)'!BL$6:BL$105)+SUMIF(Capacity_Resource,$F72,'Critical resources (hide)'!BL$6:BL$105)&gt;0,$E$1=2),0,1)</f>
        <v>1</v>
      </c>
      <c r="AZ72" s="67">
        <f ca="1">IF(AND(SUMIF(Capacity_Resource,$D72,'Critical resources (hide)'!BM$6:BM$105)+SUMIF(Capacity_Resource,$E72,'Critical resources (hide)'!BM$6:BM$105)+SUMIF(Capacity_Resource,$F72,'Critical resources (hide)'!BM$6:BM$105)&gt;0,$E$1=2),0,1)</f>
        <v>1</v>
      </c>
      <c r="BA72" s="67">
        <f ca="1">IF(AND(SUMIF(Capacity_Resource,$D72,'Critical resources (hide)'!BN$6:BN$105)+SUMIF(Capacity_Resource,$E72,'Critical resources (hide)'!BN$6:BN$105)+SUMIF(Capacity_Resource,$F72,'Critical resources (hide)'!BN$6:BN$105)&gt;0,$E$1=2),0,1)</f>
        <v>1</v>
      </c>
      <c r="BB72" s="67">
        <f ca="1">IF(AND(SUMIF(Capacity_Resource,$D72,'Critical resources (hide)'!BO$6:BO$105)+SUMIF(Capacity_Resource,$E72,'Critical resources (hide)'!BO$6:BO$105)+SUMIF(Capacity_Resource,$F72,'Critical resources (hide)'!BO$6:BO$105)&gt;0,$E$1=2),0,1)</f>
        <v>1</v>
      </c>
      <c r="BC72" s="67">
        <f ca="1">IF(AND(SUMIF(Capacity_Resource,$D72,'Critical resources (hide)'!BP$6:BP$105)+SUMIF(Capacity_Resource,$E72,'Critical resources (hide)'!BP$6:BP$105)+SUMIF(Capacity_Resource,$F72,'Critical resources (hide)'!BP$6:BP$105)&gt;0,$E$1=2),0,1)</f>
        <v>1</v>
      </c>
      <c r="BD72" s="67">
        <f ca="1">IF(AND(SUMIF(Capacity_Resource,$D72,'Critical resources (hide)'!BQ$6:BQ$105)+SUMIF(Capacity_Resource,$E72,'Critical resources (hide)'!BQ$6:BQ$105)+SUMIF(Capacity_Resource,$F72,'Critical resources (hide)'!BQ$6:BQ$105)&gt;0,$E$1=2),0,1)</f>
        <v>1</v>
      </c>
      <c r="BE72" s="67">
        <f ca="1">IF(AND(SUMIF(Capacity_Resource,$D72,'Critical resources (hide)'!BR$6:BR$105)+SUMIF(Capacity_Resource,$E72,'Critical resources (hide)'!BR$6:BR$105)+SUMIF(Capacity_Resource,$F72,'Critical resources (hide)'!BR$6:BR$105)&gt;0,$E$1=2),0,1)</f>
        <v>1</v>
      </c>
      <c r="BF72" s="67">
        <f ca="1">IF(AND(SUMIF(Capacity_Resource,$D72,'Critical resources (hide)'!BS$6:BS$105)+SUMIF(Capacity_Resource,$E72,'Critical resources (hide)'!BS$6:BS$105)+SUMIF(Capacity_Resource,$F72,'Critical resources (hide)'!BS$6:BS$105)&gt;0,$E$1=2),0,1)</f>
        <v>1</v>
      </c>
      <c r="BG72" s="67">
        <f ca="1">IF(AND(SUMIF(Capacity_Resource,$D72,'Critical resources (hide)'!BT$6:BT$105)+SUMIF(Capacity_Resource,$E72,'Critical resources (hide)'!BT$6:BT$105)+SUMIF(Capacity_Resource,$F72,'Critical resources (hide)'!BT$6:BT$105)&gt;0,$E$1=2),0,1)</f>
        <v>1</v>
      </c>
      <c r="BH72" s="67">
        <f>IF(ROW(C68)&lt;=Capacity!$A$16,IF('Capacity summary'!$D$14="No",SUM(H72:BG72),'Capacity summary'!$E191),0)</f>
        <v>0</v>
      </c>
      <c r="BI72" s="5" t="str">
        <f>IF(BH72&gt;0,IF(BH72&lt;Capacity!E84,Capacity!F84,Capacity!H84/'Capacity calculation (hide)'!BH72),"")</f>
        <v/>
      </c>
      <c r="BK72" s="313">
        <f>IF($BI72&lt;&gt;"",IF('Capacity summary'!$D$14="Yes",IF(COUNTBLANK('Capacity summary'!$H191:$BG191)&lt;52,IF('Capacity summary'!H191&lt;&gt;"",IF(LOWER('Capacity summary'!H191)="x",$BI72*H72,VALUE('Capacity summary'!H191)),0),H72*$BI72),H72*$BI72),0)</f>
        <v>0</v>
      </c>
      <c r="BL72" s="313">
        <f>IF($BI72&lt;&gt;"",IF('Capacity summary'!$D$14="Yes",IF(COUNTBLANK('Capacity summary'!$H191:$BG191)&lt;52,IF('Capacity summary'!I191&lt;&gt;"",IF(LOWER('Capacity summary'!I191)="x",$BI72*I72,VALUE('Capacity summary'!I191)),0),I72*$BI72),I72*$BI72),0)</f>
        <v>0</v>
      </c>
      <c r="BM72" s="313">
        <f>IF($BI72&lt;&gt;"",IF('Capacity summary'!$D$14="Yes",IF(COUNTBLANK('Capacity summary'!$H191:$BG191)&lt;52,IF('Capacity summary'!J191&lt;&gt;"",IF(LOWER('Capacity summary'!J191)="x",$BI72*J72,VALUE('Capacity summary'!J191)),0),J72*$BI72),J72*$BI72),0)</f>
        <v>0</v>
      </c>
      <c r="BN72" s="313">
        <f>IF($BI72&lt;&gt;"",IF('Capacity summary'!$D$14="Yes",IF(COUNTBLANK('Capacity summary'!$H191:$BG191)&lt;52,IF('Capacity summary'!K191&lt;&gt;"",IF(LOWER('Capacity summary'!K191)="x",$BI72*K72,VALUE('Capacity summary'!K191)),0),K72*$BI72),K72*$BI72),0)</f>
        <v>0</v>
      </c>
      <c r="BO72" s="313">
        <f>IF($BI72&lt;&gt;"",IF('Capacity summary'!$D$14="Yes",IF(COUNTBLANK('Capacity summary'!$H191:$BG191)&lt;52,IF('Capacity summary'!L191&lt;&gt;"",IF(LOWER('Capacity summary'!L191)="x",$BI72*L72,VALUE('Capacity summary'!L191)),0),L72*$BI72),L72*$BI72),0)</f>
        <v>0</v>
      </c>
      <c r="BP72" s="313">
        <f>IF($BI72&lt;&gt;"",IF('Capacity summary'!$D$14="Yes",IF(COUNTBLANK('Capacity summary'!$H191:$BG191)&lt;52,IF('Capacity summary'!M191&lt;&gt;"",IF(LOWER('Capacity summary'!M191)="x",$BI72*M72,VALUE('Capacity summary'!M191)),0),M72*$BI72),M72*$BI72),0)</f>
        <v>0</v>
      </c>
      <c r="BQ72" s="313">
        <f>IF($BI72&lt;&gt;"",IF('Capacity summary'!$D$14="Yes",IF(COUNTBLANK('Capacity summary'!$H191:$BG191)&lt;52,IF('Capacity summary'!N191&lt;&gt;"",IF(LOWER('Capacity summary'!N191)="x",$BI72*N72,VALUE('Capacity summary'!N191)),0),N72*$BI72),N72*$BI72),0)</f>
        <v>0</v>
      </c>
      <c r="BR72" s="313">
        <f>IF($BI72&lt;&gt;"",IF('Capacity summary'!$D$14="Yes",IF(COUNTBLANK('Capacity summary'!$H191:$BG191)&lt;52,IF('Capacity summary'!O191&lt;&gt;"",IF(LOWER('Capacity summary'!O191)="x",$BI72*O72,VALUE('Capacity summary'!O191)),0),O72*$BI72),O72*$BI72),0)</f>
        <v>0</v>
      </c>
      <c r="BS72" s="313">
        <f>IF($BI72&lt;&gt;"",IF('Capacity summary'!$D$14="Yes",IF(COUNTBLANK('Capacity summary'!$H191:$BG191)&lt;52,IF('Capacity summary'!P191&lt;&gt;"",IF(LOWER('Capacity summary'!P191)="x",$BI72*P72,VALUE('Capacity summary'!P191)),0),P72*$BI72),P72*$BI72),0)</f>
        <v>0</v>
      </c>
      <c r="BT72" s="313">
        <f>IF($BI72&lt;&gt;"",IF('Capacity summary'!$D$14="Yes",IF(COUNTBLANK('Capacity summary'!$H191:$BG191)&lt;52,IF('Capacity summary'!Q191&lt;&gt;"",IF(LOWER('Capacity summary'!Q191)="x",$BI72*Q72,VALUE('Capacity summary'!Q191)),0),Q72*$BI72),Q72*$BI72),0)</f>
        <v>0</v>
      </c>
      <c r="BU72" s="313">
        <f>IF($BI72&lt;&gt;"",IF('Capacity summary'!$D$14="Yes",IF(COUNTBLANK('Capacity summary'!$H191:$BG191)&lt;52,IF('Capacity summary'!R191&lt;&gt;"",IF(LOWER('Capacity summary'!R191)="x",$BI72*R72,VALUE('Capacity summary'!R191)),0),R72*$BI72),R72*$BI72),0)</f>
        <v>0</v>
      </c>
      <c r="BV72" s="313">
        <f>IF($BI72&lt;&gt;"",IF('Capacity summary'!$D$14="Yes",IF(COUNTBLANK('Capacity summary'!$H191:$BG191)&lt;52,IF('Capacity summary'!S191&lt;&gt;"",IF(LOWER('Capacity summary'!S191)="x",$BI72*S72,VALUE('Capacity summary'!S191)),0),S72*$BI72),S72*$BI72),0)</f>
        <v>0</v>
      </c>
      <c r="BW72" s="313">
        <f>IF($BI72&lt;&gt;"",IF('Capacity summary'!$D$14="Yes",IF(COUNTBLANK('Capacity summary'!$H191:$BG191)&lt;52,IF('Capacity summary'!T191&lt;&gt;"",IF(LOWER('Capacity summary'!T191)="x",$BI72*T72,VALUE('Capacity summary'!T191)),0),T72*$BI72),T72*$BI72),0)</f>
        <v>0</v>
      </c>
      <c r="BX72" s="313">
        <f>IF($BI72&lt;&gt;"",IF('Capacity summary'!$D$14="Yes",IF(COUNTBLANK('Capacity summary'!$H191:$BG191)&lt;52,IF('Capacity summary'!U191&lt;&gt;"",IF(LOWER('Capacity summary'!U191)="x",$BI72*U72,VALUE('Capacity summary'!U191)),0),U72*$BI72),U72*$BI72),0)</f>
        <v>0</v>
      </c>
      <c r="BY72" s="313">
        <f>IF($BI72&lt;&gt;"",IF('Capacity summary'!$D$14="Yes",IF(COUNTBLANK('Capacity summary'!$H191:$BG191)&lt;52,IF('Capacity summary'!V191&lt;&gt;"",IF(LOWER('Capacity summary'!V191)="x",$BI72*V72,VALUE('Capacity summary'!V191)),0),V72*$BI72),V72*$BI72),0)</f>
        <v>0</v>
      </c>
      <c r="BZ72" s="313">
        <f>IF($BI72&lt;&gt;"",IF('Capacity summary'!$D$14="Yes",IF(COUNTBLANK('Capacity summary'!$H191:$BG191)&lt;52,IF('Capacity summary'!W191&lt;&gt;"",IF(LOWER('Capacity summary'!W191)="x",$BI72*W72,VALUE('Capacity summary'!W191)),0),W72*$BI72),W72*$BI72),0)</f>
        <v>0</v>
      </c>
      <c r="CA72" s="313">
        <f>IF($BI72&lt;&gt;"",IF('Capacity summary'!$D$14="Yes",IF(COUNTBLANK('Capacity summary'!$H191:$BG191)&lt;52,IF('Capacity summary'!X191&lt;&gt;"",IF(LOWER('Capacity summary'!X191)="x",$BI72*X72,VALUE('Capacity summary'!X191)),0),X72*$BI72),X72*$BI72),0)</f>
        <v>0</v>
      </c>
      <c r="CB72" s="313">
        <f>IF($BI72&lt;&gt;"",IF('Capacity summary'!$D$14="Yes",IF(COUNTBLANK('Capacity summary'!$H191:$BG191)&lt;52,IF('Capacity summary'!Y191&lt;&gt;"",IF(LOWER('Capacity summary'!Y191)="x",$BI72*Y72,VALUE('Capacity summary'!Y191)),0),Y72*$BI72),Y72*$BI72),0)</f>
        <v>0</v>
      </c>
      <c r="CC72" s="313">
        <f>IF($BI72&lt;&gt;"",IF('Capacity summary'!$D$14="Yes",IF(COUNTBLANK('Capacity summary'!$H191:$BG191)&lt;52,IF('Capacity summary'!Z191&lt;&gt;"",IF(LOWER('Capacity summary'!Z191)="x",$BI72*Z72,VALUE('Capacity summary'!Z191)),0),Z72*$BI72),Z72*$BI72),0)</f>
        <v>0</v>
      </c>
      <c r="CD72" s="313">
        <f>IF($BI72&lt;&gt;"",IF('Capacity summary'!$D$14="Yes",IF(COUNTBLANK('Capacity summary'!$H191:$BG191)&lt;52,IF('Capacity summary'!AA191&lt;&gt;"",IF(LOWER('Capacity summary'!AA191)="x",$BI72*AA72,VALUE('Capacity summary'!AA191)),0),AA72*$BI72),AA72*$BI72),0)</f>
        <v>0</v>
      </c>
      <c r="CE72" s="313">
        <f>IF($BI72&lt;&gt;"",IF('Capacity summary'!$D$14="Yes",IF(COUNTBLANK('Capacity summary'!$H191:$BG191)&lt;52,IF('Capacity summary'!AB191&lt;&gt;"",IF(LOWER('Capacity summary'!AB191)="x",$BI72*AB72,VALUE('Capacity summary'!AB191)),0),AB72*$BI72),AB72*$BI72),0)</f>
        <v>0</v>
      </c>
      <c r="CF72" s="313">
        <f>IF($BI72&lt;&gt;"",IF('Capacity summary'!$D$14="Yes",IF(COUNTBLANK('Capacity summary'!$H191:$BG191)&lt;52,IF('Capacity summary'!AC191&lt;&gt;"",IF(LOWER('Capacity summary'!AC191)="x",$BI72*AC72,VALUE('Capacity summary'!AC191)),0),AC72*$BI72),AC72*$BI72),0)</f>
        <v>0</v>
      </c>
      <c r="CG72" s="313">
        <f>IF($BI72&lt;&gt;"",IF('Capacity summary'!$D$14="Yes",IF(COUNTBLANK('Capacity summary'!$H191:$BG191)&lt;52,IF('Capacity summary'!AD191&lt;&gt;"",IF(LOWER('Capacity summary'!AD191)="x",$BI72*AD72,VALUE('Capacity summary'!AD191)),0),AD72*$BI72),AD72*$BI72),0)</f>
        <v>0</v>
      </c>
      <c r="CH72" s="313">
        <f>IF($BI72&lt;&gt;"",IF('Capacity summary'!$D$14="Yes",IF(COUNTBLANK('Capacity summary'!$H191:$BG191)&lt;52,IF('Capacity summary'!AE191&lt;&gt;"",IF(LOWER('Capacity summary'!AE191)="x",$BI72*AE72,VALUE('Capacity summary'!AE191)),0),AE72*$BI72),AE72*$BI72),0)</f>
        <v>0</v>
      </c>
      <c r="CI72" s="313">
        <f>IF($BI72&lt;&gt;"",IF('Capacity summary'!$D$14="Yes",IF(COUNTBLANK('Capacity summary'!$H191:$BG191)&lt;52,IF('Capacity summary'!AF191&lt;&gt;"",IF(LOWER('Capacity summary'!AF191)="x",$BI72*AF72,VALUE('Capacity summary'!AF191)),0),AF72*$BI72),AF72*$BI72),0)</f>
        <v>0</v>
      </c>
      <c r="CJ72" s="313">
        <f>IF($BI72&lt;&gt;"",IF('Capacity summary'!$D$14="Yes",IF(COUNTBLANK('Capacity summary'!$H191:$BG191)&lt;52,IF('Capacity summary'!AG191&lt;&gt;"",IF(LOWER('Capacity summary'!AG191)="x",$BI72*AG72,VALUE('Capacity summary'!AG191)),0),AG72*$BI72),AG72*$BI72),0)</f>
        <v>0</v>
      </c>
      <c r="CK72" s="313">
        <f>IF($BI72&lt;&gt;"",IF('Capacity summary'!$D$14="Yes",IF(COUNTBLANK('Capacity summary'!$H191:$BG191)&lt;52,IF('Capacity summary'!AH191&lt;&gt;"",IF(LOWER('Capacity summary'!AH191)="x",$BI72*AH72,VALUE('Capacity summary'!AH191)),0),AH72*$BI72),AH72*$BI72),0)</f>
        <v>0</v>
      </c>
      <c r="CL72" s="313">
        <f>IF($BI72&lt;&gt;"",IF('Capacity summary'!$D$14="Yes",IF(COUNTBLANK('Capacity summary'!$H191:$BG191)&lt;52,IF('Capacity summary'!AI191&lt;&gt;"",IF(LOWER('Capacity summary'!AI191)="x",$BI72*AI72,VALUE('Capacity summary'!AI191)),0),AI72*$BI72),AI72*$BI72),0)</f>
        <v>0</v>
      </c>
      <c r="CM72" s="313">
        <f>IF($BI72&lt;&gt;"",IF('Capacity summary'!$D$14="Yes",IF(COUNTBLANK('Capacity summary'!$H191:$BG191)&lt;52,IF('Capacity summary'!AJ191&lt;&gt;"",IF(LOWER('Capacity summary'!AJ191)="x",$BI72*AJ72,VALUE('Capacity summary'!AJ191)),0),AJ72*$BI72),AJ72*$BI72),0)</f>
        <v>0</v>
      </c>
      <c r="CN72" s="313">
        <f>IF($BI72&lt;&gt;"",IF('Capacity summary'!$D$14="Yes",IF(COUNTBLANK('Capacity summary'!$H191:$BG191)&lt;52,IF('Capacity summary'!AK191&lt;&gt;"",IF(LOWER('Capacity summary'!AK191)="x",$BI72*AK72,VALUE('Capacity summary'!AK191)),0),AK72*$BI72),AK72*$BI72),0)</f>
        <v>0</v>
      </c>
      <c r="CO72" s="313">
        <f>IF($BI72&lt;&gt;"",IF('Capacity summary'!$D$14="Yes",IF(COUNTBLANK('Capacity summary'!$H191:$BG191)&lt;52,IF('Capacity summary'!AL191&lt;&gt;"",IF(LOWER('Capacity summary'!AL191)="x",$BI72*AL72,VALUE('Capacity summary'!AL191)),0),AL72*$BI72),AL72*$BI72),0)</f>
        <v>0</v>
      </c>
      <c r="CP72" s="313">
        <f>IF($BI72&lt;&gt;"",IF('Capacity summary'!$D$14="Yes",IF(COUNTBLANK('Capacity summary'!$H191:$BG191)&lt;52,IF('Capacity summary'!AM191&lt;&gt;"",IF(LOWER('Capacity summary'!AM191)="x",$BI72*AM72,VALUE('Capacity summary'!AM191)),0),AM72*$BI72),AM72*$BI72),0)</f>
        <v>0</v>
      </c>
      <c r="CQ72" s="313">
        <f>IF($BI72&lt;&gt;"",IF('Capacity summary'!$D$14="Yes",IF(COUNTBLANK('Capacity summary'!$H191:$BG191)&lt;52,IF('Capacity summary'!AN191&lt;&gt;"",IF(LOWER('Capacity summary'!AN191)="x",$BI72*AN72,VALUE('Capacity summary'!AN191)),0),AN72*$BI72),AN72*$BI72),0)</f>
        <v>0</v>
      </c>
      <c r="CR72" s="313">
        <f>IF($BI72&lt;&gt;"",IF('Capacity summary'!$D$14="Yes",IF(COUNTBLANK('Capacity summary'!$H191:$BG191)&lt;52,IF('Capacity summary'!AO191&lt;&gt;"",IF(LOWER('Capacity summary'!AO191)="x",$BI72*AO72,VALUE('Capacity summary'!AO191)),0),AO72*$BI72),AO72*$BI72),0)</f>
        <v>0</v>
      </c>
      <c r="CS72" s="313">
        <f>IF($BI72&lt;&gt;"",IF('Capacity summary'!$D$14="Yes",IF(COUNTBLANK('Capacity summary'!$H191:$BG191)&lt;52,IF('Capacity summary'!AP191&lt;&gt;"",IF(LOWER('Capacity summary'!AP191)="x",$BI72*AP72,VALUE('Capacity summary'!AP191)),0),AP72*$BI72),AP72*$BI72),0)</f>
        <v>0</v>
      </c>
      <c r="CT72" s="313">
        <f>IF($BI72&lt;&gt;"",IF('Capacity summary'!$D$14="Yes",IF(COUNTBLANK('Capacity summary'!$H191:$BG191)&lt;52,IF('Capacity summary'!AQ191&lt;&gt;"",IF(LOWER('Capacity summary'!AQ191)="x",$BI72*AQ72,VALUE('Capacity summary'!AQ191)),0),AQ72*$BI72),AQ72*$BI72),0)</f>
        <v>0</v>
      </c>
      <c r="CU72" s="313">
        <f>IF($BI72&lt;&gt;"",IF('Capacity summary'!$D$14="Yes",IF(COUNTBLANK('Capacity summary'!$H191:$BG191)&lt;52,IF('Capacity summary'!AR191&lt;&gt;"",IF(LOWER('Capacity summary'!AR191)="x",$BI72*AR72,VALUE('Capacity summary'!AR191)),0),AR72*$BI72),AR72*$BI72),0)</f>
        <v>0</v>
      </c>
      <c r="CV72" s="313">
        <f>IF($BI72&lt;&gt;"",IF('Capacity summary'!$D$14="Yes",IF(COUNTBLANK('Capacity summary'!$H191:$BG191)&lt;52,IF('Capacity summary'!AS191&lt;&gt;"",IF(LOWER('Capacity summary'!AS191)="x",$BI72*AS72,VALUE('Capacity summary'!AS191)),0),AS72*$BI72),AS72*$BI72),0)</f>
        <v>0</v>
      </c>
      <c r="CW72" s="313">
        <f>IF($BI72&lt;&gt;"",IF('Capacity summary'!$D$14="Yes",IF(COUNTBLANK('Capacity summary'!$H191:$BG191)&lt;52,IF('Capacity summary'!AT191&lt;&gt;"",IF(LOWER('Capacity summary'!AT191)="x",$BI72*AT72,VALUE('Capacity summary'!AT191)),0),AT72*$BI72),AT72*$BI72),0)</f>
        <v>0</v>
      </c>
      <c r="CX72" s="313">
        <f>IF($BI72&lt;&gt;"",IF('Capacity summary'!$D$14="Yes",IF(COUNTBLANK('Capacity summary'!$H191:$BG191)&lt;52,IF('Capacity summary'!AU191&lt;&gt;"",IF(LOWER('Capacity summary'!AU191)="x",$BI72*AU72,VALUE('Capacity summary'!AU191)),0),AU72*$BI72),AU72*$BI72),0)</f>
        <v>0</v>
      </c>
      <c r="CY72" s="313">
        <f>IF($BI72&lt;&gt;"",IF('Capacity summary'!$D$14="Yes",IF(COUNTBLANK('Capacity summary'!$H191:$BG191)&lt;52,IF('Capacity summary'!AV191&lt;&gt;"",IF(LOWER('Capacity summary'!AV191)="x",$BI72*AV72,VALUE('Capacity summary'!AV191)),0),AV72*$BI72),AV72*$BI72),0)</f>
        <v>0</v>
      </c>
      <c r="CZ72" s="313">
        <f>IF($BI72&lt;&gt;"",IF('Capacity summary'!$D$14="Yes",IF(COUNTBLANK('Capacity summary'!$H191:$BG191)&lt;52,IF('Capacity summary'!AW191&lt;&gt;"",IF(LOWER('Capacity summary'!AW191)="x",$BI72*AW72,VALUE('Capacity summary'!AW191)),0),AW72*$BI72),AW72*$BI72),0)</f>
        <v>0</v>
      </c>
      <c r="DA72" s="313">
        <f>IF($BI72&lt;&gt;"",IF('Capacity summary'!$D$14="Yes",IF(COUNTBLANK('Capacity summary'!$H191:$BG191)&lt;52,IF('Capacity summary'!AX191&lt;&gt;"",IF(LOWER('Capacity summary'!AX191)="x",$BI72*AX72,VALUE('Capacity summary'!AX191)),0),AX72*$BI72),AX72*$BI72),0)</f>
        <v>0</v>
      </c>
      <c r="DB72" s="313">
        <f>IF($BI72&lt;&gt;"",IF('Capacity summary'!$D$14="Yes",IF(COUNTBLANK('Capacity summary'!$H191:$BG191)&lt;52,IF('Capacity summary'!AY191&lt;&gt;"",IF(LOWER('Capacity summary'!AY191)="x",$BI72*AY72,VALUE('Capacity summary'!AY191)),0),AY72*$BI72),AY72*$BI72),0)</f>
        <v>0</v>
      </c>
      <c r="DC72" s="313">
        <f>IF($BI72&lt;&gt;"",IF('Capacity summary'!$D$14="Yes",IF(COUNTBLANK('Capacity summary'!$H191:$BG191)&lt;52,IF('Capacity summary'!AZ191&lt;&gt;"",IF(LOWER('Capacity summary'!AZ191)="x",$BI72*AZ72,VALUE('Capacity summary'!AZ191)),0),AZ72*$BI72),AZ72*$BI72),0)</f>
        <v>0</v>
      </c>
      <c r="DD72" s="313">
        <f>IF($BI72&lt;&gt;"",IF('Capacity summary'!$D$14="Yes",IF(COUNTBLANK('Capacity summary'!$H191:$BG191)&lt;52,IF('Capacity summary'!BA191&lt;&gt;"",IF(LOWER('Capacity summary'!BA191)="x",$BI72*BA72,VALUE('Capacity summary'!BA191)),0),BA72*$BI72),BA72*$BI72),0)</f>
        <v>0</v>
      </c>
      <c r="DE72" s="313">
        <f>IF($BI72&lt;&gt;"",IF('Capacity summary'!$D$14="Yes",IF(COUNTBLANK('Capacity summary'!$H191:$BG191)&lt;52,IF('Capacity summary'!BB191&lt;&gt;"",IF(LOWER('Capacity summary'!BB191)="x",$BI72*BB72,VALUE('Capacity summary'!BB191)),0),BB72*$BI72),BB72*$BI72),0)</f>
        <v>0</v>
      </c>
      <c r="DF72" s="313">
        <f>IF($BI72&lt;&gt;"",IF('Capacity summary'!$D$14="Yes",IF(COUNTBLANK('Capacity summary'!$H191:$BG191)&lt;52,IF('Capacity summary'!BC191&lt;&gt;"",IF(LOWER('Capacity summary'!BC191)="x",$BI72*BC72,VALUE('Capacity summary'!BC191)),0),BC72*$BI72),BC72*$BI72),0)</f>
        <v>0</v>
      </c>
      <c r="DG72" s="313">
        <f>IF($BI72&lt;&gt;"",IF('Capacity summary'!$D$14="Yes",IF(COUNTBLANK('Capacity summary'!$H191:$BG191)&lt;52,IF('Capacity summary'!BD191&lt;&gt;"",IF(LOWER('Capacity summary'!BD191)="x",$BI72*BD72,VALUE('Capacity summary'!BD191)),0),BD72*$BI72),BD72*$BI72),0)</f>
        <v>0</v>
      </c>
      <c r="DH72" s="313">
        <f>IF($BI72&lt;&gt;"",IF('Capacity summary'!$D$14="Yes",IF(COUNTBLANK('Capacity summary'!$H191:$BG191)&lt;52,IF('Capacity summary'!BE191&lt;&gt;"",IF(LOWER('Capacity summary'!BE191)="x",$BI72*BE72,VALUE('Capacity summary'!BE191)),0),BE72*$BI72),BE72*$BI72),0)</f>
        <v>0</v>
      </c>
      <c r="DI72" s="313">
        <f>IF($BI72&lt;&gt;"",IF('Capacity summary'!$D$14="Yes",IF(COUNTBLANK('Capacity summary'!$H191:$BG191)&lt;52,IF('Capacity summary'!BF191&lt;&gt;"",IF(LOWER('Capacity summary'!BF191)="x",$BI72*BF72,VALUE('Capacity summary'!BF191)),0),BF72*$BI72),BF72*$BI72),0)</f>
        <v>0</v>
      </c>
      <c r="DJ72" s="313">
        <f>IF($BI72&lt;&gt;"",IF('Capacity summary'!$D$14="Yes",IF(COUNTBLANK('Capacity summary'!$H191:$BG191)&lt;52,IF('Capacity summary'!BG191&lt;&gt;"",IF(LOWER('Capacity summary'!BG191)="x",$BI72*BG72,VALUE('Capacity summary'!BG191)),0),BG72*$BI72),BG72*$BI72),0)</f>
        <v>0</v>
      </c>
      <c r="DK72" s="137">
        <f t="shared" si="3"/>
        <v>0</v>
      </c>
      <c r="DL72" s="313" t="str">
        <f>Capacity!H84</f>
        <v/>
      </c>
    </row>
    <row r="73" spans="2:116" x14ac:dyDescent="0.25">
      <c r="B73" s="67"/>
      <c r="C73" s="67" t="str">
        <f>ROW(A69)&amp;". "&amp;Capacity!B85</f>
        <v xml:space="preserve">69. </v>
      </c>
      <c r="D73" s="67">
        <f>'Capacity setup'!C80</f>
        <v>0</v>
      </c>
      <c r="E73" s="67">
        <f>'Capacity setup'!D80</f>
        <v>0</v>
      </c>
      <c r="F73" s="67">
        <f>'Capacity setup'!E80</f>
        <v>0</v>
      </c>
      <c r="H73" s="67">
        <f ca="1">IF(AND(SUMIF(Capacity_Resource,$D73,'Critical resources (hide)'!U$6:U$105)+SUMIF(Capacity_Resource,$E73,'Critical resources (hide)'!U$6:U$105)+SUMIF(Capacity_Resource,$F73,'Critical resources (hide)'!U$6:U$105)&gt;0,$E$1=2),0,1)</f>
        <v>1</v>
      </c>
      <c r="I73" s="67">
        <f ca="1">IF(AND(SUMIF(Capacity_Resource,$D73,'Critical resources (hide)'!V$6:V$105)+SUMIF(Capacity_Resource,$E73,'Critical resources (hide)'!V$6:V$105)+SUMIF(Capacity_Resource,$F73,'Critical resources (hide)'!V$6:V$105)&gt;0,$E$1=2),0,1)</f>
        <v>1</v>
      </c>
      <c r="J73" s="67">
        <f ca="1">IF(AND(SUMIF(Capacity_Resource,$D73,'Critical resources (hide)'!W$6:W$105)+SUMIF(Capacity_Resource,$E73,'Critical resources (hide)'!W$6:W$105)+SUMIF(Capacity_Resource,$F73,'Critical resources (hide)'!W$6:W$105)&gt;0,$E$1=2),0,1)</f>
        <v>1</v>
      </c>
      <c r="K73" s="67">
        <f ca="1">IF(AND(SUMIF(Capacity_Resource,$D73,'Critical resources (hide)'!X$6:X$105)+SUMIF(Capacity_Resource,$E73,'Critical resources (hide)'!X$6:X$105)+SUMIF(Capacity_Resource,$F73,'Critical resources (hide)'!X$6:X$105)&gt;0,$E$1=2),0,1)</f>
        <v>1</v>
      </c>
      <c r="L73" s="67">
        <f ca="1">IF(AND(SUMIF(Capacity_Resource,$D73,'Critical resources (hide)'!Y$6:Y$105)+SUMIF(Capacity_Resource,$E73,'Critical resources (hide)'!Y$6:Y$105)+SUMIF(Capacity_Resource,$F73,'Critical resources (hide)'!Y$6:Y$105)&gt;0,$E$1=2),0,1)</f>
        <v>1</v>
      </c>
      <c r="M73" s="67">
        <f ca="1">IF(AND(SUMIF(Capacity_Resource,$D73,'Critical resources (hide)'!Z$6:Z$105)+SUMIF(Capacity_Resource,$E73,'Critical resources (hide)'!Z$6:Z$105)+SUMIF(Capacity_Resource,$F73,'Critical resources (hide)'!Z$6:Z$105)&gt;0,$E$1=2),0,1)</f>
        <v>1</v>
      </c>
      <c r="N73" s="67">
        <f ca="1">IF(AND(SUMIF(Capacity_Resource,$D73,'Critical resources (hide)'!AA$6:AA$105)+SUMIF(Capacity_Resource,$E73,'Critical resources (hide)'!AA$6:AA$105)+SUMIF(Capacity_Resource,$F73,'Critical resources (hide)'!AA$6:AA$105)&gt;0,$E$1=2),0,1)</f>
        <v>1</v>
      </c>
      <c r="O73" s="67">
        <f ca="1">IF(AND(SUMIF(Capacity_Resource,$D73,'Critical resources (hide)'!AB$6:AB$105)+SUMIF(Capacity_Resource,$E73,'Critical resources (hide)'!AB$6:AB$105)+SUMIF(Capacity_Resource,$F73,'Critical resources (hide)'!AB$6:AB$105)&gt;0,$E$1=2),0,1)</f>
        <v>1</v>
      </c>
      <c r="P73" s="67">
        <f ca="1">IF(AND(SUMIF(Capacity_Resource,$D73,'Critical resources (hide)'!AC$6:AC$105)+SUMIF(Capacity_Resource,$E73,'Critical resources (hide)'!AC$6:AC$105)+SUMIF(Capacity_Resource,$F73,'Critical resources (hide)'!AC$6:AC$105)&gt;0,$E$1=2),0,1)</f>
        <v>1</v>
      </c>
      <c r="Q73" s="67">
        <f ca="1">IF(AND(SUMIF(Capacity_Resource,$D73,'Critical resources (hide)'!AD$6:AD$105)+SUMIF(Capacity_Resource,$E73,'Critical resources (hide)'!AD$6:AD$105)+SUMIF(Capacity_Resource,$F73,'Critical resources (hide)'!AD$6:AD$105)&gt;0,$E$1=2),0,1)</f>
        <v>1</v>
      </c>
      <c r="R73" s="67">
        <f ca="1">IF(AND(SUMIF(Capacity_Resource,$D73,'Critical resources (hide)'!AE$6:AE$105)+SUMIF(Capacity_Resource,$E73,'Critical resources (hide)'!AE$6:AE$105)+SUMIF(Capacity_Resource,$F73,'Critical resources (hide)'!AE$6:AE$105)&gt;0,$E$1=2),0,1)</f>
        <v>1</v>
      </c>
      <c r="S73" s="67">
        <f ca="1">IF(AND(SUMIF(Capacity_Resource,$D73,'Critical resources (hide)'!AF$6:AF$105)+SUMIF(Capacity_Resource,$E73,'Critical resources (hide)'!AF$6:AF$105)+SUMIF(Capacity_Resource,$F73,'Critical resources (hide)'!AF$6:AF$105)&gt;0,$E$1=2),0,1)</f>
        <v>1</v>
      </c>
      <c r="T73" s="67">
        <f ca="1">IF(AND(SUMIF(Capacity_Resource,$D73,'Critical resources (hide)'!AG$6:AG$105)+SUMIF(Capacity_Resource,$E73,'Critical resources (hide)'!AG$6:AG$105)+SUMIF(Capacity_Resource,$F73,'Critical resources (hide)'!AG$6:AG$105)&gt;0,$E$1=2),0,1)</f>
        <v>1</v>
      </c>
      <c r="U73" s="67">
        <f ca="1">IF(AND(SUMIF(Capacity_Resource,$D73,'Critical resources (hide)'!AH$6:AH$105)+SUMIF(Capacity_Resource,$E73,'Critical resources (hide)'!AH$6:AH$105)+SUMIF(Capacity_Resource,$F73,'Critical resources (hide)'!AH$6:AH$105)&gt;0,$E$1=2),0,1)</f>
        <v>1</v>
      </c>
      <c r="V73" s="67">
        <f ca="1">IF(AND(SUMIF(Capacity_Resource,$D73,'Critical resources (hide)'!AI$6:AI$105)+SUMIF(Capacity_Resource,$E73,'Critical resources (hide)'!AI$6:AI$105)+SUMIF(Capacity_Resource,$F73,'Critical resources (hide)'!AI$6:AI$105)&gt;0,$E$1=2),0,1)</f>
        <v>1</v>
      </c>
      <c r="W73" s="67">
        <f ca="1">IF(AND(SUMIF(Capacity_Resource,$D73,'Critical resources (hide)'!AJ$6:AJ$105)+SUMIF(Capacity_Resource,$E73,'Critical resources (hide)'!AJ$6:AJ$105)+SUMIF(Capacity_Resource,$F73,'Critical resources (hide)'!AJ$6:AJ$105)&gt;0,$E$1=2),0,1)</f>
        <v>1</v>
      </c>
      <c r="X73" s="67">
        <f ca="1">IF(AND(SUMIF(Capacity_Resource,$D73,'Critical resources (hide)'!AK$6:AK$105)+SUMIF(Capacity_Resource,$E73,'Critical resources (hide)'!AK$6:AK$105)+SUMIF(Capacity_Resource,$F73,'Critical resources (hide)'!AK$6:AK$105)&gt;0,$E$1=2),0,1)</f>
        <v>1</v>
      </c>
      <c r="Y73" s="67">
        <f ca="1">IF(AND(SUMIF(Capacity_Resource,$D73,'Critical resources (hide)'!AL$6:AL$105)+SUMIF(Capacity_Resource,$E73,'Critical resources (hide)'!AL$6:AL$105)+SUMIF(Capacity_Resource,$F73,'Critical resources (hide)'!AL$6:AL$105)&gt;0,$E$1=2),0,1)</f>
        <v>1</v>
      </c>
      <c r="Z73" s="67">
        <f ca="1">IF(AND(SUMIF(Capacity_Resource,$D73,'Critical resources (hide)'!AM$6:AM$105)+SUMIF(Capacity_Resource,$E73,'Critical resources (hide)'!AM$6:AM$105)+SUMIF(Capacity_Resource,$F73,'Critical resources (hide)'!AM$6:AM$105)&gt;0,$E$1=2),0,1)</f>
        <v>1</v>
      </c>
      <c r="AA73" s="67">
        <f ca="1">IF(AND(SUMIF(Capacity_Resource,$D73,'Critical resources (hide)'!AN$6:AN$105)+SUMIF(Capacity_Resource,$E73,'Critical resources (hide)'!AN$6:AN$105)+SUMIF(Capacity_Resource,$F73,'Critical resources (hide)'!AN$6:AN$105)&gt;0,$E$1=2),0,1)</f>
        <v>1</v>
      </c>
      <c r="AB73" s="67">
        <f ca="1">IF(AND(SUMIF(Capacity_Resource,$D73,'Critical resources (hide)'!AO$6:AO$105)+SUMIF(Capacity_Resource,$E73,'Critical resources (hide)'!AO$6:AO$105)+SUMIF(Capacity_Resource,$F73,'Critical resources (hide)'!AO$6:AO$105)&gt;0,$E$1=2),0,1)</f>
        <v>1</v>
      </c>
      <c r="AC73" s="67">
        <f ca="1">IF(AND(SUMIF(Capacity_Resource,$D73,'Critical resources (hide)'!AP$6:AP$105)+SUMIF(Capacity_Resource,$E73,'Critical resources (hide)'!AP$6:AP$105)+SUMIF(Capacity_Resource,$F73,'Critical resources (hide)'!AP$6:AP$105)&gt;0,$E$1=2),0,1)</f>
        <v>1</v>
      </c>
      <c r="AD73" s="67">
        <f ca="1">IF(AND(SUMIF(Capacity_Resource,$D73,'Critical resources (hide)'!AQ$6:AQ$105)+SUMIF(Capacity_Resource,$E73,'Critical resources (hide)'!AQ$6:AQ$105)+SUMIF(Capacity_Resource,$F73,'Critical resources (hide)'!AQ$6:AQ$105)&gt;0,$E$1=2),0,1)</f>
        <v>1</v>
      </c>
      <c r="AE73" s="67">
        <f ca="1">IF(AND(SUMIF(Capacity_Resource,$D73,'Critical resources (hide)'!AR$6:AR$105)+SUMIF(Capacity_Resource,$E73,'Critical resources (hide)'!AR$6:AR$105)+SUMIF(Capacity_Resource,$F73,'Critical resources (hide)'!AR$6:AR$105)&gt;0,$E$1=2),0,1)</f>
        <v>1</v>
      </c>
      <c r="AF73" s="67">
        <f ca="1">IF(AND(SUMIF(Capacity_Resource,$D73,'Critical resources (hide)'!AS$6:AS$105)+SUMIF(Capacity_Resource,$E73,'Critical resources (hide)'!AS$6:AS$105)+SUMIF(Capacity_Resource,$F73,'Critical resources (hide)'!AS$6:AS$105)&gt;0,$E$1=2),0,1)</f>
        <v>1</v>
      </c>
      <c r="AG73" s="67">
        <f ca="1">IF(AND(SUMIF(Capacity_Resource,$D73,'Critical resources (hide)'!AT$6:AT$105)+SUMIF(Capacity_Resource,$E73,'Critical resources (hide)'!AT$6:AT$105)+SUMIF(Capacity_Resource,$F73,'Critical resources (hide)'!AT$6:AT$105)&gt;0,$E$1=2),0,1)</f>
        <v>1</v>
      </c>
      <c r="AH73" s="67">
        <f ca="1">IF(AND(SUMIF(Capacity_Resource,$D73,'Critical resources (hide)'!AU$6:AU$105)+SUMIF(Capacity_Resource,$E73,'Critical resources (hide)'!AU$6:AU$105)+SUMIF(Capacity_Resource,$F73,'Critical resources (hide)'!AU$6:AU$105)&gt;0,$E$1=2),0,1)</f>
        <v>1</v>
      </c>
      <c r="AI73" s="67">
        <f ca="1">IF(AND(SUMIF(Capacity_Resource,$D73,'Critical resources (hide)'!AV$6:AV$105)+SUMIF(Capacity_Resource,$E73,'Critical resources (hide)'!AV$6:AV$105)+SUMIF(Capacity_Resource,$F73,'Critical resources (hide)'!AV$6:AV$105)&gt;0,$E$1=2),0,1)</f>
        <v>1</v>
      </c>
      <c r="AJ73" s="67">
        <f ca="1">IF(AND(SUMIF(Capacity_Resource,$D73,'Critical resources (hide)'!AW$6:AW$105)+SUMIF(Capacity_Resource,$E73,'Critical resources (hide)'!AW$6:AW$105)+SUMIF(Capacity_Resource,$F73,'Critical resources (hide)'!AW$6:AW$105)&gt;0,$E$1=2),0,1)</f>
        <v>1</v>
      </c>
      <c r="AK73" s="67">
        <f ca="1">IF(AND(SUMIF(Capacity_Resource,$D73,'Critical resources (hide)'!AX$6:AX$105)+SUMIF(Capacity_Resource,$E73,'Critical resources (hide)'!AX$6:AX$105)+SUMIF(Capacity_Resource,$F73,'Critical resources (hide)'!AX$6:AX$105)&gt;0,$E$1=2),0,1)</f>
        <v>1</v>
      </c>
      <c r="AL73" s="67">
        <f ca="1">IF(AND(SUMIF(Capacity_Resource,$D73,'Critical resources (hide)'!AY$6:AY$105)+SUMIF(Capacity_Resource,$E73,'Critical resources (hide)'!AY$6:AY$105)+SUMIF(Capacity_Resource,$F73,'Critical resources (hide)'!AY$6:AY$105)&gt;0,$E$1=2),0,1)</f>
        <v>1</v>
      </c>
      <c r="AM73" s="67">
        <f ca="1">IF(AND(SUMIF(Capacity_Resource,$D73,'Critical resources (hide)'!AZ$6:AZ$105)+SUMIF(Capacity_Resource,$E73,'Critical resources (hide)'!AZ$6:AZ$105)+SUMIF(Capacity_Resource,$F73,'Critical resources (hide)'!AZ$6:AZ$105)&gt;0,$E$1=2),0,1)</f>
        <v>1</v>
      </c>
      <c r="AN73" s="67">
        <f ca="1">IF(AND(SUMIF(Capacity_Resource,$D73,'Critical resources (hide)'!BA$6:BA$105)+SUMIF(Capacity_Resource,$E73,'Critical resources (hide)'!BA$6:BA$105)+SUMIF(Capacity_Resource,$F73,'Critical resources (hide)'!BA$6:BA$105)&gt;0,$E$1=2),0,1)</f>
        <v>1</v>
      </c>
      <c r="AO73" s="67">
        <f ca="1">IF(AND(SUMIF(Capacity_Resource,$D73,'Critical resources (hide)'!BB$6:BB$105)+SUMIF(Capacity_Resource,$E73,'Critical resources (hide)'!BB$6:BB$105)+SUMIF(Capacity_Resource,$F73,'Critical resources (hide)'!BB$6:BB$105)&gt;0,$E$1=2),0,1)</f>
        <v>1</v>
      </c>
      <c r="AP73" s="67">
        <f ca="1">IF(AND(SUMIF(Capacity_Resource,$D73,'Critical resources (hide)'!BC$6:BC$105)+SUMIF(Capacity_Resource,$E73,'Critical resources (hide)'!BC$6:BC$105)+SUMIF(Capacity_Resource,$F73,'Critical resources (hide)'!BC$6:BC$105)&gt;0,$E$1=2),0,1)</f>
        <v>1</v>
      </c>
      <c r="AQ73" s="67">
        <f ca="1">IF(AND(SUMIF(Capacity_Resource,$D73,'Critical resources (hide)'!BD$6:BD$105)+SUMIF(Capacity_Resource,$E73,'Critical resources (hide)'!BD$6:BD$105)+SUMIF(Capacity_Resource,$F73,'Critical resources (hide)'!BD$6:BD$105)&gt;0,$E$1=2),0,1)</f>
        <v>1</v>
      </c>
      <c r="AR73" s="67">
        <f ca="1">IF(AND(SUMIF(Capacity_Resource,$D73,'Critical resources (hide)'!BE$6:BE$105)+SUMIF(Capacity_Resource,$E73,'Critical resources (hide)'!BE$6:BE$105)+SUMIF(Capacity_Resource,$F73,'Critical resources (hide)'!BE$6:BE$105)&gt;0,$E$1=2),0,1)</f>
        <v>1</v>
      </c>
      <c r="AS73" s="67">
        <f ca="1">IF(AND(SUMIF(Capacity_Resource,$D73,'Critical resources (hide)'!BF$6:BF$105)+SUMIF(Capacity_Resource,$E73,'Critical resources (hide)'!BF$6:BF$105)+SUMIF(Capacity_Resource,$F73,'Critical resources (hide)'!BF$6:BF$105)&gt;0,$E$1=2),0,1)</f>
        <v>1</v>
      </c>
      <c r="AT73" s="67">
        <f ca="1">IF(AND(SUMIF(Capacity_Resource,$D73,'Critical resources (hide)'!BG$6:BG$105)+SUMIF(Capacity_Resource,$E73,'Critical resources (hide)'!BG$6:BG$105)+SUMIF(Capacity_Resource,$F73,'Critical resources (hide)'!BG$6:BG$105)&gt;0,$E$1=2),0,1)</f>
        <v>1</v>
      </c>
      <c r="AU73" s="67">
        <f ca="1">IF(AND(SUMIF(Capacity_Resource,$D73,'Critical resources (hide)'!BH$6:BH$105)+SUMIF(Capacity_Resource,$E73,'Critical resources (hide)'!BH$6:BH$105)+SUMIF(Capacity_Resource,$F73,'Critical resources (hide)'!BH$6:BH$105)&gt;0,$E$1=2),0,1)</f>
        <v>1</v>
      </c>
      <c r="AV73" s="67">
        <f ca="1">IF(AND(SUMIF(Capacity_Resource,$D73,'Critical resources (hide)'!BI$6:BI$105)+SUMIF(Capacity_Resource,$E73,'Critical resources (hide)'!BI$6:BI$105)+SUMIF(Capacity_Resource,$F73,'Critical resources (hide)'!BI$6:BI$105)&gt;0,$E$1=2),0,1)</f>
        <v>1</v>
      </c>
      <c r="AW73" s="67">
        <f ca="1">IF(AND(SUMIF(Capacity_Resource,$D73,'Critical resources (hide)'!BJ$6:BJ$105)+SUMIF(Capacity_Resource,$E73,'Critical resources (hide)'!BJ$6:BJ$105)+SUMIF(Capacity_Resource,$F73,'Critical resources (hide)'!BJ$6:BJ$105)&gt;0,$E$1=2),0,1)</f>
        <v>1</v>
      </c>
      <c r="AX73" s="67">
        <f ca="1">IF(AND(SUMIF(Capacity_Resource,$D73,'Critical resources (hide)'!BK$6:BK$105)+SUMIF(Capacity_Resource,$E73,'Critical resources (hide)'!BK$6:BK$105)+SUMIF(Capacity_Resource,$F73,'Critical resources (hide)'!BK$6:BK$105)&gt;0,$E$1=2),0,1)</f>
        <v>1</v>
      </c>
      <c r="AY73" s="67">
        <f ca="1">IF(AND(SUMIF(Capacity_Resource,$D73,'Critical resources (hide)'!BL$6:BL$105)+SUMIF(Capacity_Resource,$E73,'Critical resources (hide)'!BL$6:BL$105)+SUMIF(Capacity_Resource,$F73,'Critical resources (hide)'!BL$6:BL$105)&gt;0,$E$1=2),0,1)</f>
        <v>1</v>
      </c>
      <c r="AZ73" s="67">
        <f ca="1">IF(AND(SUMIF(Capacity_Resource,$D73,'Critical resources (hide)'!BM$6:BM$105)+SUMIF(Capacity_Resource,$E73,'Critical resources (hide)'!BM$6:BM$105)+SUMIF(Capacity_Resource,$F73,'Critical resources (hide)'!BM$6:BM$105)&gt;0,$E$1=2),0,1)</f>
        <v>1</v>
      </c>
      <c r="BA73" s="67">
        <f ca="1">IF(AND(SUMIF(Capacity_Resource,$D73,'Critical resources (hide)'!BN$6:BN$105)+SUMIF(Capacity_Resource,$E73,'Critical resources (hide)'!BN$6:BN$105)+SUMIF(Capacity_Resource,$F73,'Critical resources (hide)'!BN$6:BN$105)&gt;0,$E$1=2),0,1)</f>
        <v>1</v>
      </c>
      <c r="BB73" s="67">
        <f ca="1">IF(AND(SUMIF(Capacity_Resource,$D73,'Critical resources (hide)'!BO$6:BO$105)+SUMIF(Capacity_Resource,$E73,'Critical resources (hide)'!BO$6:BO$105)+SUMIF(Capacity_Resource,$F73,'Critical resources (hide)'!BO$6:BO$105)&gt;0,$E$1=2),0,1)</f>
        <v>1</v>
      </c>
      <c r="BC73" s="67">
        <f ca="1">IF(AND(SUMIF(Capacity_Resource,$D73,'Critical resources (hide)'!BP$6:BP$105)+SUMIF(Capacity_Resource,$E73,'Critical resources (hide)'!BP$6:BP$105)+SUMIF(Capacity_Resource,$F73,'Critical resources (hide)'!BP$6:BP$105)&gt;0,$E$1=2),0,1)</f>
        <v>1</v>
      </c>
      <c r="BD73" s="67">
        <f ca="1">IF(AND(SUMIF(Capacity_Resource,$D73,'Critical resources (hide)'!BQ$6:BQ$105)+SUMIF(Capacity_Resource,$E73,'Critical resources (hide)'!BQ$6:BQ$105)+SUMIF(Capacity_Resource,$F73,'Critical resources (hide)'!BQ$6:BQ$105)&gt;0,$E$1=2),0,1)</f>
        <v>1</v>
      </c>
      <c r="BE73" s="67">
        <f ca="1">IF(AND(SUMIF(Capacity_Resource,$D73,'Critical resources (hide)'!BR$6:BR$105)+SUMIF(Capacity_Resource,$E73,'Critical resources (hide)'!BR$6:BR$105)+SUMIF(Capacity_Resource,$F73,'Critical resources (hide)'!BR$6:BR$105)&gt;0,$E$1=2),0,1)</f>
        <v>1</v>
      </c>
      <c r="BF73" s="67">
        <f ca="1">IF(AND(SUMIF(Capacity_Resource,$D73,'Critical resources (hide)'!BS$6:BS$105)+SUMIF(Capacity_Resource,$E73,'Critical resources (hide)'!BS$6:BS$105)+SUMIF(Capacity_Resource,$F73,'Critical resources (hide)'!BS$6:BS$105)&gt;0,$E$1=2),0,1)</f>
        <v>1</v>
      </c>
      <c r="BG73" s="67">
        <f ca="1">IF(AND(SUMIF(Capacity_Resource,$D73,'Critical resources (hide)'!BT$6:BT$105)+SUMIF(Capacity_Resource,$E73,'Critical resources (hide)'!BT$6:BT$105)+SUMIF(Capacity_Resource,$F73,'Critical resources (hide)'!BT$6:BT$105)&gt;0,$E$1=2),0,1)</f>
        <v>1</v>
      </c>
      <c r="BH73" s="67">
        <f>IF(ROW(C69)&lt;=Capacity!$A$16,IF('Capacity summary'!$D$14="No",SUM(H73:BG73),'Capacity summary'!$E192),0)</f>
        <v>0</v>
      </c>
      <c r="BI73" s="5" t="str">
        <f>IF(BH73&gt;0,IF(BH73&lt;Capacity!E85,Capacity!F85,Capacity!H85/'Capacity calculation (hide)'!BH73),"")</f>
        <v/>
      </c>
      <c r="BK73" s="313">
        <f>IF($BI73&lt;&gt;"",IF('Capacity summary'!$D$14="Yes",IF(COUNTBLANK('Capacity summary'!$H192:$BG192)&lt;52,IF('Capacity summary'!H192&lt;&gt;"",IF(LOWER('Capacity summary'!H192)="x",$BI73*H73,VALUE('Capacity summary'!H192)),0),H73*$BI73),H73*$BI73),0)</f>
        <v>0</v>
      </c>
      <c r="BL73" s="313">
        <f>IF($BI73&lt;&gt;"",IF('Capacity summary'!$D$14="Yes",IF(COUNTBLANK('Capacity summary'!$H192:$BG192)&lt;52,IF('Capacity summary'!I192&lt;&gt;"",IF(LOWER('Capacity summary'!I192)="x",$BI73*I73,VALUE('Capacity summary'!I192)),0),I73*$BI73),I73*$BI73),0)</f>
        <v>0</v>
      </c>
      <c r="BM73" s="313">
        <f>IF($BI73&lt;&gt;"",IF('Capacity summary'!$D$14="Yes",IF(COUNTBLANK('Capacity summary'!$H192:$BG192)&lt;52,IF('Capacity summary'!J192&lt;&gt;"",IF(LOWER('Capacity summary'!J192)="x",$BI73*J73,VALUE('Capacity summary'!J192)),0),J73*$BI73),J73*$BI73),0)</f>
        <v>0</v>
      </c>
      <c r="BN73" s="313">
        <f>IF($BI73&lt;&gt;"",IF('Capacity summary'!$D$14="Yes",IF(COUNTBLANK('Capacity summary'!$H192:$BG192)&lt;52,IF('Capacity summary'!K192&lt;&gt;"",IF(LOWER('Capacity summary'!K192)="x",$BI73*K73,VALUE('Capacity summary'!K192)),0),K73*$BI73),K73*$BI73),0)</f>
        <v>0</v>
      </c>
      <c r="BO73" s="313">
        <f>IF($BI73&lt;&gt;"",IF('Capacity summary'!$D$14="Yes",IF(COUNTBLANK('Capacity summary'!$H192:$BG192)&lt;52,IF('Capacity summary'!L192&lt;&gt;"",IF(LOWER('Capacity summary'!L192)="x",$BI73*L73,VALUE('Capacity summary'!L192)),0),L73*$BI73),L73*$BI73),0)</f>
        <v>0</v>
      </c>
      <c r="BP73" s="313">
        <f>IF($BI73&lt;&gt;"",IF('Capacity summary'!$D$14="Yes",IF(COUNTBLANK('Capacity summary'!$H192:$BG192)&lt;52,IF('Capacity summary'!M192&lt;&gt;"",IF(LOWER('Capacity summary'!M192)="x",$BI73*M73,VALUE('Capacity summary'!M192)),0),M73*$BI73),M73*$BI73),0)</f>
        <v>0</v>
      </c>
      <c r="BQ73" s="313">
        <f>IF($BI73&lt;&gt;"",IF('Capacity summary'!$D$14="Yes",IF(COUNTBLANK('Capacity summary'!$H192:$BG192)&lt;52,IF('Capacity summary'!N192&lt;&gt;"",IF(LOWER('Capacity summary'!N192)="x",$BI73*N73,VALUE('Capacity summary'!N192)),0),N73*$BI73),N73*$BI73),0)</f>
        <v>0</v>
      </c>
      <c r="BR73" s="313">
        <f>IF($BI73&lt;&gt;"",IF('Capacity summary'!$D$14="Yes",IF(COUNTBLANK('Capacity summary'!$H192:$BG192)&lt;52,IF('Capacity summary'!O192&lt;&gt;"",IF(LOWER('Capacity summary'!O192)="x",$BI73*O73,VALUE('Capacity summary'!O192)),0),O73*$BI73),O73*$BI73),0)</f>
        <v>0</v>
      </c>
      <c r="BS73" s="313">
        <f>IF($BI73&lt;&gt;"",IF('Capacity summary'!$D$14="Yes",IF(COUNTBLANK('Capacity summary'!$H192:$BG192)&lt;52,IF('Capacity summary'!P192&lt;&gt;"",IF(LOWER('Capacity summary'!P192)="x",$BI73*P73,VALUE('Capacity summary'!P192)),0),P73*$BI73),P73*$BI73),0)</f>
        <v>0</v>
      </c>
      <c r="BT73" s="313">
        <f>IF($BI73&lt;&gt;"",IF('Capacity summary'!$D$14="Yes",IF(COUNTBLANK('Capacity summary'!$H192:$BG192)&lt;52,IF('Capacity summary'!Q192&lt;&gt;"",IF(LOWER('Capacity summary'!Q192)="x",$BI73*Q73,VALUE('Capacity summary'!Q192)),0),Q73*$BI73),Q73*$BI73),0)</f>
        <v>0</v>
      </c>
      <c r="BU73" s="313">
        <f>IF($BI73&lt;&gt;"",IF('Capacity summary'!$D$14="Yes",IF(COUNTBLANK('Capacity summary'!$H192:$BG192)&lt;52,IF('Capacity summary'!R192&lt;&gt;"",IF(LOWER('Capacity summary'!R192)="x",$BI73*R73,VALUE('Capacity summary'!R192)),0),R73*$BI73),R73*$BI73),0)</f>
        <v>0</v>
      </c>
      <c r="BV73" s="313">
        <f>IF($BI73&lt;&gt;"",IF('Capacity summary'!$D$14="Yes",IF(COUNTBLANK('Capacity summary'!$H192:$BG192)&lt;52,IF('Capacity summary'!S192&lt;&gt;"",IF(LOWER('Capacity summary'!S192)="x",$BI73*S73,VALUE('Capacity summary'!S192)),0),S73*$BI73),S73*$BI73),0)</f>
        <v>0</v>
      </c>
      <c r="BW73" s="313">
        <f>IF($BI73&lt;&gt;"",IF('Capacity summary'!$D$14="Yes",IF(COUNTBLANK('Capacity summary'!$H192:$BG192)&lt;52,IF('Capacity summary'!T192&lt;&gt;"",IF(LOWER('Capacity summary'!T192)="x",$BI73*T73,VALUE('Capacity summary'!T192)),0),T73*$BI73),T73*$BI73),0)</f>
        <v>0</v>
      </c>
      <c r="BX73" s="313">
        <f>IF($BI73&lt;&gt;"",IF('Capacity summary'!$D$14="Yes",IF(COUNTBLANK('Capacity summary'!$H192:$BG192)&lt;52,IF('Capacity summary'!U192&lt;&gt;"",IF(LOWER('Capacity summary'!U192)="x",$BI73*U73,VALUE('Capacity summary'!U192)),0),U73*$BI73),U73*$BI73),0)</f>
        <v>0</v>
      </c>
      <c r="BY73" s="313">
        <f>IF($BI73&lt;&gt;"",IF('Capacity summary'!$D$14="Yes",IF(COUNTBLANK('Capacity summary'!$H192:$BG192)&lt;52,IF('Capacity summary'!V192&lt;&gt;"",IF(LOWER('Capacity summary'!V192)="x",$BI73*V73,VALUE('Capacity summary'!V192)),0),V73*$BI73),V73*$BI73),0)</f>
        <v>0</v>
      </c>
      <c r="BZ73" s="313">
        <f>IF($BI73&lt;&gt;"",IF('Capacity summary'!$D$14="Yes",IF(COUNTBLANK('Capacity summary'!$H192:$BG192)&lt;52,IF('Capacity summary'!W192&lt;&gt;"",IF(LOWER('Capacity summary'!W192)="x",$BI73*W73,VALUE('Capacity summary'!W192)),0),W73*$BI73),W73*$BI73),0)</f>
        <v>0</v>
      </c>
      <c r="CA73" s="313">
        <f>IF($BI73&lt;&gt;"",IF('Capacity summary'!$D$14="Yes",IF(COUNTBLANK('Capacity summary'!$H192:$BG192)&lt;52,IF('Capacity summary'!X192&lt;&gt;"",IF(LOWER('Capacity summary'!X192)="x",$BI73*X73,VALUE('Capacity summary'!X192)),0),X73*$BI73),X73*$BI73),0)</f>
        <v>0</v>
      </c>
      <c r="CB73" s="313">
        <f>IF($BI73&lt;&gt;"",IF('Capacity summary'!$D$14="Yes",IF(COUNTBLANK('Capacity summary'!$H192:$BG192)&lt;52,IF('Capacity summary'!Y192&lt;&gt;"",IF(LOWER('Capacity summary'!Y192)="x",$BI73*Y73,VALUE('Capacity summary'!Y192)),0),Y73*$BI73),Y73*$BI73),0)</f>
        <v>0</v>
      </c>
      <c r="CC73" s="313">
        <f>IF($BI73&lt;&gt;"",IF('Capacity summary'!$D$14="Yes",IF(COUNTBLANK('Capacity summary'!$H192:$BG192)&lt;52,IF('Capacity summary'!Z192&lt;&gt;"",IF(LOWER('Capacity summary'!Z192)="x",$BI73*Z73,VALUE('Capacity summary'!Z192)),0),Z73*$BI73),Z73*$BI73),0)</f>
        <v>0</v>
      </c>
      <c r="CD73" s="313">
        <f>IF($BI73&lt;&gt;"",IF('Capacity summary'!$D$14="Yes",IF(COUNTBLANK('Capacity summary'!$H192:$BG192)&lt;52,IF('Capacity summary'!AA192&lt;&gt;"",IF(LOWER('Capacity summary'!AA192)="x",$BI73*AA73,VALUE('Capacity summary'!AA192)),0),AA73*$BI73),AA73*$BI73),0)</f>
        <v>0</v>
      </c>
      <c r="CE73" s="313">
        <f>IF($BI73&lt;&gt;"",IF('Capacity summary'!$D$14="Yes",IF(COUNTBLANK('Capacity summary'!$H192:$BG192)&lt;52,IF('Capacity summary'!AB192&lt;&gt;"",IF(LOWER('Capacity summary'!AB192)="x",$BI73*AB73,VALUE('Capacity summary'!AB192)),0),AB73*$BI73),AB73*$BI73),0)</f>
        <v>0</v>
      </c>
      <c r="CF73" s="313">
        <f>IF($BI73&lt;&gt;"",IF('Capacity summary'!$D$14="Yes",IF(COUNTBLANK('Capacity summary'!$H192:$BG192)&lt;52,IF('Capacity summary'!AC192&lt;&gt;"",IF(LOWER('Capacity summary'!AC192)="x",$BI73*AC73,VALUE('Capacity summary'!AC192)),0),AC73*$BI73),AC73*$BI73),0)</f>
        <v>0</v>
      </c>
      <c r="CG73" s="313">
        <f>IF($BI73&lt;&gt;"",IF('Capacity summary'!$D$14="Yes",IF(COUNTBLANK('Capacity summary'!$H192:$BG192)&lt;52,IF('Capacity summary'!AD192&lt;&gt;"",IF(LOWER('Capacity summary'!AD192)="x",$BI73*AD73,VALUE('Capacity summary'!AD192)),0),AD73*$BI73),AD73*$BI73),0)</f>
        <v>0</v>
      </c>
      <c r="CH73" s="313">
        <f>IF($BI73&lt;&gt;"",IF('Capacity summary'!$D$14="Yes",IF(COUNTBLANK('Capacity summary'!$H192:$BG192)&lt;52,IF('Capacity summary'!AE192&lt;&gt;"",IF(LOWER('Capacity summary'!AE192)="x",$BI73*AE73,VALUE('Capacity summary'!AE192)),0),AE73*$BI73),AE73*$BI73),0)</f>
        <v>0</v>
      </c>
      <c r="CI73" s="313">
        <f>IF($BI73&lt;&gt;"",IF('Capacity summary'!$D$14="Yes",IF(COUNTBLANK('Capacity summary'!$H192:$BG192)&lt;52,IF('Capacity summary'!AF192&lt;&gt;"",IF(LOWER('Capacity summary'!AF192)="x",$BI73*AF73,VALUE('Capacity summary'!AF192)),0),AF73*$BI73),AF73*$BI73),0)</f>
        <v>0</v>
      </c>
      <c r="CJ73" s="313">
        <f>IF($BI73&lt;&gt;"",IF('Capacity summary'!$D$14="Yes",IF(COUNTBLANK('Capacity summary'!$H192:$BG192)&lt;52,IF('Capacity summary'!AG192&lt;&gt;"",IF(LOWER('Capacity summary'!AG192)="x",$BI73*AG73,VALUE('Capacity summary'!AG192)),0),AG73*$BI73),AG73*$BI73),0)</f>
        <v>0</v>
      </c>
      <c r="CK73" s="313">
        <f>IF($BI73&lt;&gt;"",IF('Capacity summary'!$D$14="Yes",IF(COUNTBLANK('Capacity summary'!$H192:$BG192)&lt;52,IF('Capacity summary'!AH192&lt;&gt;"",IF(LOWER('Capacity summary'!AH192)="x",$BI73*AH73,VALUE('Capacity summary'!AH192)),0),AH73*$BI73),AH73*$BI73),0)</f>
        <v>0</v>
      </c>
      <c r="CL73" s="313">
        <f>IF($BI73&lt;&gt;"",IF('Capacity summary'!$D$14="Yes",IF(COUNTBLANK('Capacity summary'!$H192:$BG192)&lt;52,IF('Capacity summary'!AI192&lt;&gt;"",IF(LOWER('Capacity summary'!AI192)="x",$BI73*AI73,VALUE('Capacity summary'!AI192)),0),AI73*$BI73),AI73*$BI73),0)</f>
        <v>0</v>
      </c>
      <c r="CM73" s="313">
        <f>IF($BI73&lt;&gt;"",IF('Capacity summary'!$D$14="Yes",IF(COUNTBLANK('Capacity summary'!$H192:$BG192)&lt;52,IF('Capacity summary'!AJ192&lt;&gt;"",IF(LOWER('Capacity summary'!AJ192)="x",$BI73*AJ73,VALUE('Capacity summary'!AJ192)),0),AJ73*$BI73),AJ73*$BI73),0)</f>
        <v>0</v>
      </c>
      <c r="CN73" s="313">
        <f>IF($BI73&lt;&gt;"",IF('Capacity summary'!$D$14="Yes",IF(COUNTBLANK('Capacity summary'!$H192:$BG192)&lt;52,IF('Capacity summary'!AK192&lt;&gt;"",IF(LOWER('Capacity summary'!AK192)="x",$BI73*AK73,VALUE('Capacity summary'!AK192)),0),AK73*$BI73),AK73*$BI73),0)</f>
        <v>0</v>
      </c>
      <c r="CO73" s="313">
        <f>IF($BI73&lt;&gt;"",IF('Capacity summary'!$D$14="Yes",IF(COUNTBLANK('Capacity summary'!$H192:$BG192)&lt;52,IF('Capacity summary'!AL192&lt;&gt;"",IF(LOWER('Capacity summary'!AL192)="x",$BI73*AL73,VALUE('Capacity summary'!AL192)),0),AL73*$BI73),AL73*$BI73),0)</f>
        <v>0</v>
      </c>
      <c r="CP73" s="313">
        <f>IF($BI73&lt;&gt;"",IF('Capacity summary'!$D$14="Yes",IF(COUNTBLANK('Capacity summary'!$H192:$BG192)&lt;52,IF('Capacity summary'!AM192&lt;&gt;"",IF(LOWER('Capacity summary'!AM192)="x",$BI73*AM73,VALUE('Capacity summary'!AM192)),0),AM73*$BI73),AM73*$BI73),0)</f>
        <v>0</v>
      </c>
      <c r="CQ73" s="313">
        <f>IF($BI73&lt;&gt;"",IF('Capacity summary'!$D$14="Yes",IF(COUNTBLANK('Capacity summary'!$H192:$BG192)&lt;52,IF('Capacity summary'!AN192&lt;&gt;"",IF(LOWER('Capacity summary'!AN192)="x",$BI73*AN73,VALUE('Capacity summary'!AN192)),0),AN73*$BI73),AN73*$BI73),0)</f>
        <v>0</v>
      </c>
      <c r="CR73" s="313">
        <f>IF($BI73&lt;&gt;"",IF('Capacity summary'!$D$14="Yes",IF(COUNTBLANK('Capacity summary'!$H192:$BG192)&lt;52,IF('Capacity summary'!AO192&lt;&gt;"",IF(LOWER('Capacity summary'!AO192)="x",$BI73*AO73,VALUE('Capacity summary'!AO192)),0),AO73*$BI73),AO73*$BI73),0)</f>
        <v>0</v>
      </c>
      <c r="CS73" s="313">
        <f>IF($BI73&lt;&gt;"",IF('Capacity summary'!$D$14="Yes",IF(COUNTBLANK('Capacity summary'!$H192:$BG192)&lt;52,IF('Capacity summary'!AP192&lt;&gt;"",IF(LOWER('Capacity summary'!AP192)="x",$BI73*AP73,VALUE('Capacity summary'!AP192)),0),AP73*$BI73),AP73*$BI73),0)</f>
        <v>0</v>
      </c>
      <c r="CT73" s="313">
        <f>IF($BI73&lt;&gt;"",IF('Capacity summary'!$D$14="Yes",IF(COUNTBLANK('Capacity summary'!$H192:$BG192)&lt;52,IF('Capacity summary'!AQ192&lt;&gt;"",IF(LOWER('Capacity summary'!AQ192)="x",$BI73*AQ73,VALUE('Capacity summary'!AQ192)),0),AQ73*$BI73),AQ73*$BI73),0)</f>
        <v>0</v>
      </c>
      <c r="CU73" s="313">
        <f>IF($BI73&lt;&gt;"",IF('Capacity summary'!$D$14="Yes",IF(COUNTBLANK('Capacity summary'!$H192:$BG192)&lt;52,IF('Capacity summary'!AR192&lt;&gt;"",IF(LOWER('Capacity summary'!AR192)="x",$BI73*AR73,VALUE('Capacity summary'!AR192)),0),AR73*$BI73),AR73*$BI73),0)</f>
        <v>0</v>
      </c>
      <c r="CV73" s="313">
        <f>IF($BI73&lt;&gt;"",IF('Capacity summary'!$D$14="Yes",IF(COUNTBLANK('Capacity summary'!$H192:$BG192)&lt;52,IF('Capacity summary'!AS192&lt;&gt;"",IF(LOWER('Capacity summary'!AS192)="x",$BI73*AS73,VALUE('Capacity summary'!AS192)),0),AS73*$BI73),AS73*$BI73),0)</f>
        <v>0</v>
      </c>
      <c r="CW73" s="313">
        <f>IF($BI73&lt;&gt;"",IF('Capacity summary'!$D$14="Yes",IF(COUNTBLANK('Capacity summary'!$H192:$BG192)&lt;52,IF('Capacity summary'!AT192&lt;&gt;"",IF(LOWER('Capacity summary'!AT192)="x",$BI73*AT73,VALUE('Capacity summary'!AT192)),0),AT73*$BI73),AT73*$BI73),0)</f>
        <v>0</v>
      </c>
      <c r="CX73" s="313">
        <f>IF($BI73&lt;&gt;"",IF('Capacity summary'!$D$14="Yes",IF(COUNTBLANK('Capacity summary'!$H192:$BG192)&lt;52,IF('Capacity summary'!AU192&lt;&gt;"",IF(LOWER('Capacity summary'!AU192)="x",$BI73*AU73,VALUE('Capacity summary'!AU192)),0),AU73*$BI73),AU73*$BI73),0)</f>
        <v>0</v>
      </c>
      <c r="CY73" s="313">
        <f>IF($BI73&lt;&gt;"",IF('Capacity summary'!$D$14="Yes",IF(COUNTBLANK('Capacity summary'!$H192:$BG192)&lt;52,IF('Capacity summary'!AV192&lt;&gt;"",IF(LOWER('Capacity summary'!AV192)="x",$BI73*AV73,VALUE('Capacity summary'!AV192)),0),AV73*$BI73),AV73*$BI73),0)</f>
        <v>0</v>
      </c>
      <c r="CZ73" s="313">
        <f>IF($BI73&lt;&gt;"",IF('Capacity summary'!$D$14="Yes",IF(COUNTBLANK('Capacity summary'!$H192:$BG192)&lt;52,IF('Capacity summary'!AW192&lt;&gt;"",IF(LOWER('Capacity summary'!AW192)="x",$BI73*AW73,VALUE('Capacity summary'!AW192)),0),AW73*$BI73),AW73*$BI73),0)</f>
        <v>0</v>
      </c>
      <c r="DA73" s="313">
        <f>IF($BI73&lt;&gt;"",IF('Capacity summary'!$D$14="Yes",IF(COUNTBLANK('Capacity summary'!$H192:$BG192)&lt;52,IF('Capacity summary'!AX192&lt;&gt;"",IF(LOWER('Capacity summary'!AX192)="x",$BI73*AX73,VALUE('Capacity summary'!AX192)),0),AX73*$BI73),AX73*$BI73),0)</f>
        <v>0</v>
      </c>
      <c r="DB73" s="313">
        <f>IF($BI73&lt;&gt;"",IF('Capacity summary'!$D$14="Yes",IF(COUNTBLANK('Capacity summary'!$H192:$BG192)&lt;52,IF('Capacity summary'!AY192&lt;&gt;"",IF(LOWER('Capacity summary'!AY192)="x",$BI73*AY73,VALUE('Capacity summary'!AY192)),0),AY73*$BI73),AY73*$BI73),0)</f>
        <v>0</v>
      </c>
      <c r="DC73" s="313">
        <f>IF($BI73&lt;&gt;"",IF('Capacity summary'!$D$14="Yes",IF(COUNTBLANK('Capacity summary'!$H192:$BG192)&lt;52,IF('Capacity summary'!AZ192&lt;&gt;"",IF(LOWER('Capacity summary'!AZ192)="x",$BI73*AZ73,VALUE('Capacity summary'!AZ192)),0),AZ73*$BI73),AZ73*$BI73),0)</f>
        <v>0</v>
      </c>
      <c r="DD73" s="313">
        <f>IF($BI73&lt;&gt;"",IF('Capacity summary'!$D$14="Yes",IF(COUNTBLANK('Capacity summary'!$H192:$BG192)&lt;52,IF('Capacity summary'!BA192&lt;&gt;"",IF(LOWER('Capacity summary'!BA192)="x",$BI73*BA73,VALUE('Capacity summary'!BA192)),0),BA73*$BI73),BA73*$BI73),0)</f>
        <v>0</v>
      </c>
      <c r="DE73" s="313">
        <f>IF($BI73&lt;&gt;"",IF('Capacity summary'!$D$14="Yes",IF(COUNTBLANK('Capacity summary'!$H192:$BG192)&lt;52,IF('Capacity summary'!BB192&lt;&gt;"",IF(LOWER('Capacity summary'!BB192)="x",$BI73*BB73,VALUE('Capacity summary'!BB192)),0),BB73*$BI73),BB73*$BI73),0)</f>
        <v>0</v>
      </c>
      <c r="DF73" s="313">
        <f>IF($BI73&lt;&gt;"",IF('Capacity summary'!$D$14="Yes",IF(COUNTBLANK('Capacity summary'!$H192:$BG192)&lt;52,IF('Capacity summary'!BC192&lt;&gt;"",IF(LOWER('Capacity summary'!BC192)="x",$BI73*BC73,VALUE('Capacity summary'!BC192)),0),BC73*$BI73),BC73*$BI73),0)</f>
        <v>0</v>
      </c>
      <c r="DG73" s="313">
        <f>IF($BI73&lt;&gt;"",IF('Capacity summary'!$D$14="Yes",IF(COUNTBLANK('Capacity summary'!$H192:$BG192)&lt;52,IF('Capacity summary'!BD192&lt;&gt;"",IF(LOWER('Capacity summary'!BD192)="x",$BI73*BD73,VALUE('Capacity summary'!BD192)),0),BD73*$BI73),BD73*$BI73),0)</f>
        <v>0</v>
      </c>
      <c r="DH73" s="313">
        <f>IF($BI73&lt;&gt;"",IF('Capacity summary'!$D$14="Yes",IF(COUNTBLANK('Capacity summary'!$H192:$BG192)&lt;52,IF('Capacity summary'!BE192&lt;&gt;"",IF(LOWER('Capacity summary'!BE192)="x",$BI73*BE73,VALUE('Capacity summary'!BE192)),0),BE73*$BI73),BE73*$BI73),0)</f>
        <v>0</v>
      </c>
      <c r="DI73" s="313">
        <f>IF($BI73&lt;&gt;"",IF('Capacity summary'!$D$14="Yes",IF(COUNTBLANK('Capacity summary'!$H192:$BG192)&lt;52,IF('Capacity summary'!BF192&lt;&gt;"",IF(LOWER('Capacity summary'!BF192)="x",$BI73*BF73,VALUE('Capacity summary'!BF192)),0),BF73*$BI73),BF73*$BI73),0)</f>
        <v>0</v>
      </c>
      <c r="DJ73" s="313">
        <f>IF($BI73&lt;&gt;"",IF('Capacity summary'!$D$14="Yes",IF(COUNTBLANK('Capacity summary'!$H192:$BG192)&lt;52,IF('Capacity summary'!BG192&lt;&gt;"",IF(LOWER('Capacity summary'!BG192)="x",$BI73*BG73,VALUE('Capacity summary'!BG192)),0),BG73*$BI73),BG73*$BI73),0)</f>
        <v>0</v>
      </c>
      <c r="DK73" s="137">
        <f t="shared" si="3"/>
        <v>0</v>
      </c>
      <c r="DL73" s="313" t="str">
        <f>Capacity!H85</f>
        <v/>
      </c>
    </row>
    <row r="74" spans="2:116" x14ac:dyDescent="0.25">
      <c r="B74" s="67"/>
      <c r="C74" s="67" t="str">
        <f>ROW(A70)&amp;". "&amp;Capacity!B86</f>
        <v xml:space="preserve">70. </v>
      </c>
      <c r="D74" s="67">
        <f>'Capacity setup'!C81</f>
        <v>0</v>
      </c>
      <c r="E74" s="67">
        <f>'Capacity setup'!D81</f>
        <v>0</v>
      </c>
      <c r="F74" s="67">
        <f>'Capacity setup'!E81</f>
        <v>0</v>
      </c>
      <c r="H74" s="67">
        <f ca="1">IF(AND(SUMIF(Capacity_Resource,$D74,'Critical resources (hide)'!U$6:U$105)+SUMIF(Capacity_Resource,$E74,'Critical resources (hide)'!U$6:U$105)+SUMIF(Capacity_Resource,$F74,'Critical resources (hide)'!U$6:U$105)&gt;0,$E$1=2),0,1)</f>
        <v>1</v>
      </c>
      <c r="I74" s="67">
        <f ca="1">IF(AND(SUMIF(Capacity_Resource,$D74,'Critical resources (hide)'!V$6:V$105)+SUMIF(Capacity_Resource,$E74,'Critical resources (hide)'!V$6:V$105)+SUMIF(Capacity_Resource,$F74,'Critical resources (hide)'!V$6:V$105)&gt;0,$E$1=2),0,1)</f>
        <v>1</v>
      </c>
      <c r="J74" s="67">
        <f ca="1">IF(AND(SUMIF(Capacity_Resource,$D74,'Critical resources (hide)'!W$6:W$105)+SUMIF(Capacity_Resource,$E74,'Critical resources (hide)'!W$6:W$105)+SUMIF(Capacity_Resource,$F74,'Critical resources (hide)'!W$6:W$105)&gt;0,$E$1=2),0,1)</f>
        <v>1</v>
      </c>
      <c r="K74" s="67">
        <f ca="1">IF(AND(SUMIF(Capacity_Resource,$D74,'Critical resources (hide)'!X$6:X$105)+SUMIF(Capacity_Resource,$E74,'Critical resources (hide)'!X$6:X$105)+SUMIF(Capacity_Resource,$F74,'Critical resources (hide)'!X$6:X$105)&gt;0,$E$1=2),0,1)</f>
        <v>1</v>
      </c>
      <c r="L74" s="67">
        <f ca="1">IF(AND(SUMIF(Capacity_Resource,$D74,'Critical resources (hide)'!Y$6:Y$105)+SUMIF(Capacity_Resource,$E74,'Critical resources (hide)'!Y$6:Y$105)+SUMIF(Capacity_Resource,$F74,'Critical resources (hide)'!Y$6:Y$105)&gt;0,$E$1=2),0,1)</f>
        <v>1</v>
      </c>
      <c r="M74" s="67">
        <f ca="1">IF(AND(SUMIF(Capacity_Resource,$D74,'Critical resources (hide)'!Z$6:Z$105)+SUMIF(Capacity_Resource,$E74,'Critical resources (hide)'!Z$6:Z$105)+SUMIF(Capacity_Resource,$F74,'Critical resources (hide)'!Z$6:Z$105)&gt;0,$E$1=2),0,1)</f>
        <v>1</v>
      </c>
      <c r="N74" s="67">
        <f ca="1">IF(AND(SUMIF(Capacity_Resource,$D74,'Critical resources (hide)'!AA$6:AA$105)+SUMIF(Capacity_Resource,$E74,'Critical resources (hide)'!AA$6:AA$105)+SUMIF(Capacity_Resource,$F74,'Critical resources (hide)'!AA$6:AA$105)&gt;0,$E$1=2),0,1)</f>
        <v>1</v>
      </c>
      <c r="O74" s="67">
        <f ca="1">IF(AND(SUMIF(Capacity_Resource,$D74,'Critical resources (hide)'!AB$6:AB$105)+SUMIF(Capacity_Resource,$E74,'Critical resources (hide)'!AB$6:AB$105)+SUMIF(Capacity_Resource,$F74,'Critical resources (hide)'!AB$6:AB$105)&gt;0,$E$1=2),0,1)</f>
        <v>1</v>
      </c>
      <c r="P74" s="67">
        <f ca="1">IF(AND(SUMIF(Capacity_Resource,$D74,'Critical resources (hide)'!AC$6:AC$105)+SUMIF(Capacity_Resource,$E74,'Critical resources (hide)'!AC$6:AC$105)+SUMIF(Capacity_Resource,$F74,'Critical resources (hide)'!AC$6:AC$105)&gt;0,$E$1=2),0,1)</f>
        <v>1</v>
      </c>
      <c r="Q74" s="67">
        <f ca="1">IF(AND(SUMIF(Capacity_Resource,$D74,'Critical resources (hide)'!AD$6:AD$105)+SUMIF(Capacity_Resource,$E74,'Critical resources (hide)'!AD$6:AD$105)+SUMIF(Capacity_Resource,$F74,'Critical resources (hide)'!AD$6:AD$105)&gt;0,$E$1=2),0,1)</f>
        <v>1</v>
      </c>
      <c r="R74" s="67">
        <f ca="1">IF(AND(SUMIF(Capacity_Resource,$D74,'Critical resources (hide)'!AE$6:AE$105)+SUMIF(Capacity_Resource,$E74,'Critical resources (hide)'!AE$6:AE$105)+SUMIF(Capacity_Resource,$F74,'Critical resources (hide)'!AE$6:AE$105)&gt;0,$E$1=2),0,1)</f>
        <v>1</v>
      </c>
      <c r="S74" s="67">
        <f ca="1">IF(AND(SUMIF(Capacity_Resource,$D74,'Critical resources (hide)'!AF$6:AF$105)+SUMIF(Capacity_Resource,$E74,'Critical resources (hide)'!AF$6:AF$105)+SUMIF(Capacity_Resource,$F74,'Critical resources (hide)'!AF$6:AF$105)&gt;0,$E$1=2),0,1)</f>
        <v>1</v>
      </c>
      <c r="T74" s="67">
        <f ca="1">IF(AND(SUMIF(Capacity_Resource,$D74,'Critical resources (hide)'!AG$6:AG$105)+SUMIF(Capacity_Resource,$E74,'Critical resources (hide)'!AG$6:AG$105)+SUMIF(Capacity_Resource,$F74,'Critical resources (hide)'!AG$6:AG$105)&gt;0,$E$1=2),0,1)</f>
        <v>1</v>
      </c>
      <c r="U74" s="67">
        <f ca="1">IF(AND(SUMIF(Capacity_Resource,$D74,'Critical resources (hide)'!AH$6:AH$105)+SUMIF(Capacity_Resource,$E74,'Critical resources (hide)'!AH$6:AH$105)+SUMIF(Capacity_Resource,$F74,'Critical resources (hide)'!AH$6:AH$105)&gt;0,$E$1=2),0,1)</f>
        <v>1</v>
      </c>
      <c r="V74" s="67">
        <f ca="1">IF(AND(SUMIF(Capacity_Resource,$D74,'Critical resources (hide)'!AI$6:AI$105)+SUMIF(Capacity_Resource,$E74,'Critical resources (hide)'!AI$6:AI$105)+SUMIF(Capacity_Resource,$F74,'Critical resources (hide)'!AI$6:AI$105)&gt;0,$E$1=2),0,1)</f>
        <v>1</v>
      </c>
      <c r="W74" s="67">
        <f ca="1">IF(AND(SUMIF(Capacity_Resource,$D74,'Critical resources (hide)'!AJ$6:AJ$105)+SUMIF(Capacity_Resource,$E74,'Critical resources (hide)'!AJ$6:AJ$105)+SUMIF(Capacity_Resource,$F74,'Critical resources (hide)'!AJ$6:AJ$105)&gt;0,$E$1=2),0,1)</f>
        <v>1</v>
      </c>
      <c r="X74" s="67">
        <f ca="1">IF(AND(SUMIF(Capacity_Resource,$D74,'Critical resources (hide)'!AK$6:AK$105)+SUMIF(Capacity_Resource,$E74,'Critical resources (hide)'!AK$6:AK$105)+SUMIF(Capacity_Resource,$F74,'Critical resources (hide)'!AK$6:AK$105)&gt;0,$E$1=2),0,1)</f>
        <v>1</v>
      </c>
      <c r="Y74" s="67">
        <f ca="1">IF(AND(SUMIF(Capacity_Resource,$D74,'Critical resources (hide)'!AL$6:AL$105)+SUMIF(Capacity_Resource,$E74,'Critical resources (hide)'!AL$6:AL$105)+SUMIF(Capacity_Resource,$F74,'Critical resources (hide)'!AL$6:AL$105)&gt;0,$E$1=2),0,1)</f>
        <v>1</v>
      </c>
      <c r="Z74" s="67">
        <f ca="1">IF(AND(SUMIF(Capacity_Resource,$D74,'Critical resources (hide)'!AM$6:AM$105)+SUMIF(Capacity_Resource,$E74,'Critical resources (hide)'!AM$6:AM$105)+SUMIF(Capacity_Resource,$F74,'Critical resources (hide)'!AM$6:AM$105)&gt;0,$E$1=2),0,1)</f>
        <v>1</v>
      </c>
      <c r="AA74" s="67">
        <f ca="1">IF(AND(SUMIF(Capacity_Resource,$D74,'Critical resources (hide)'!AN$6:AN$105)+SUMIF(Capacity_Resource,$E74,'Critical resources (hide)'!AN$6:AN$105)+SUMIF(Capacity_Resource,$F74,'Critical resources (hide)'!AN$6:AN$105)&gt;0,$E$1=2),0,1)</f>
        <v>1</v>
      </c>
      <c r="AB74" s="67">
        <f ca="1">IF(AND(SUMIF(Capacity_Resource,$D74,'Critical resources (hide)'!AO$6:AO$105)+SUMIF(Capacity_Resource,$E74,'Critical resources (hide)'!AO$6:AO$105)+SUMIF(Capacity_Resource,$F74,'Critical resources (hide)'!AO$6:AO$105)&gt;0,$E$1=2),0,1)</f>
        <v>1</v>
      </c>
      <c r="AC74" s="67">
        <f ca="1">IF(AND(SUMIF(Capacity_Resource,$D74,'Critical resources (hide)'!AP$6:AP$105)+SUMIF(Capacity_Resource,$E74,'Critical resources (hide)'!AP$6:AP$105)+SUMIF(Capacity_Resource,$F74,'Critical resources (hide)'!AP$6:AP$105)&gt;0,$E$1=2),0,1)</f>
        <v>1</v>
      </c>
      <c r="AD74" s="67">
        <f ca="1">IF(AND(SUMIF(Capacity_Resource,$D74,'Critical resources (hide)'!AQ$6:AQ$105)+SUMIF(Capacity_Resource,$E74,'Critical resources (hide)'!AQ$6:AQ$105)+SUMIF(Capacity_Resource,$F74,'Critical resources (hide)'!AQ$6:AQ$105)&gt;0,$E$1=2),0,1)</f>
        <v>1</v>
      </c>
      <c r="AE74" s="67">
        <f ca="1">IF(AND(SUMIF(Capacity_Resource,$D74,'Critical resources (hide)'!AR$6:AR$105)+SUMIF(Capacity_Resource,$E74,'Critical resources (hide)'!AR$6:AR$105)+SUMIF(Capacity_Resource,$F74,'Critical resources (hide)'!AR$6:AR$105)&gt;0,$E$1=2),0,1)</f>
        <v>1</v>
      </c>
      <c r="AF74" s="67">
        <f ca="1">IF(AND(SUMIF(Capacity_Resource,$D74,'Critical resources (hide)'!AS$6:AS$105)+SUMIF(Capacity_Resource,$E74,'Critical resources (hide)'!AS$6:AS$105)+SUMIF(Capacity_Resource,$F74,'Critical resources (hide)'!AS$6:AS$105)&gt;0,$E$1=2),0,1)</f>
        <v>1</v>
      </c>
      <c r="AG74" s="67">
        <f ca="1">IF(AND(SUMIF(Capacity_Resource,$D74,'Critical resources (hide)'!AT$6:AT$105)+SUMIF(Capacity_Resource,$E74,'Critical resources (hide)'!AT$6:AT$105)+SUMIF(Capacity_Resource,$F74,'Critical resources (hide)'!AT$6:AT$105)&gt;0,$E$1=2),0,1)</f>
        <v>1</v>
      </c>
      <c r="AH74" s="67">
        <f ca="1">IF(AND(SUMIF(Capacity_Resource,$D74,'Critical resources (hide)'!AU$6:AU$105)+SUMIF(Capacity_Resource,$E74,'Critical resources (hide)'!AU$6:AU$105)+SUMIF(Capacity_Resource,$F74,'Critical resources (hide)'!AU$6:AU$105)&gt;0,$E$1=2),0,1)</f>
        <v>1</v>
      </c>
      <c r="AI74" s="67">
        <f ca="1">IF(AND(SUMIF(Capacity_Resource,$D74,'Critical resources (hide)'!AV$6:AV$105)+SUMIF(Capacity_Resource,$E74,'Critical resources (hide)'!AV$6:AV$105)+SUMIF(Capacity_Resource,$F74,'Critical resources (hide)'!AV$6:AV$105)&gt;0,$E$1=2),0,1)</f>
        <v>1</v>
      </c>
      <c r="AJ74" s="67">
        <f ca="1">IF(AND(SUMIF(Capacity_Resource,$D74,'Critical resources (hide)'!AW$6:AW$105)+SUMIF(Capacity_Resource,$E74,'Critical resources (hide)'!AW$6:AW$105)+SUMIF(Capacity_Resource,$F74,'Critical resources (hide)'!AW$6:AW$105)&gt;0,$E$1=2),0,1)</f>
        <v>1</v>
      </c>
      <c r="AK74" s="67">
        <f ca="1">IF(AND(SUMIF(Capacity_Resource,$D74,'Critical resources (hide)'!AX$6:AX$105)+SUMIF(Capacity_Resource,$E74,'Critical resources (hide)'!AX$6:AX$105)+SUMIF(Capacity_Resource,$F74,'Critical resources (hide)'!AX$6:AX$105)&gt;0,$E$1=2),0,1)</f>
        <v>1</v>
      </c>
      <c r="AL74" s="67">
        <f ca="1">IF(AND(SUMIF(Capacity_Resource,$D74,'Critical resources (hide)'!AY$6:AY$105)+SUMIF(Capacity_Resource,$E74,'Critical resources (hide)'!AY$6:AY$105)+SUMIF(Capacity_Resource,$F74,'Critical resources (hide)'!AY$6:AY$105)&gt;0,$E$1=2),0,1)</f>
        <v>1</v>
      </c>
      <c r="AM74" s="67">
        <f ca="1">IF(AND(SUMIF(Capacity_Resource,$D74,'Critical resources (hide)'!AZ$6:AZ$105)+SUMIF(Capacity_Resource,$E74,'Critical resources (hide)'!AZ$6:AZ$105)+SUMIF(Capacity_Resource,$F74,'Critical resources (hide)'!AZ$6:AZ$105)&gt;0,$E$1=2),0,1)</f>
        <v>1</v>
      </c>
      <c r="AN74" s="67">
        <f ca="1">IF(AND(SUMIF(Capacity_Resource,$D74,'Critical resources (hide)'!BA$6:BA$105)+SUMIF(Capacity_Resource,$E74,'Critical resources (hide)'!BA$6:BA$105)+SUMIF(Capacity_Resource,$F74,'Critical resources (hide)'!BA$6:BA$105)&gt;0,$E$1=2),0,1)</f>
        <v>1</v>
      </c>
      <c r="AO74" s="67">
        <f ca="1">IF(AND(SUMIF(Capacity_Resource,$D74,'Critical resources (hide)'!BB$6:BB$105)+SUMIF(Capacity_Resource,$E74,'Critical resources (hide)'!BB$6:BB$105)+SUMIF(Capacity_Resource,$F74,'Critical resources (hide)'!BB$6:BB$105)&gt;0,$E$1=2),0,1)</f>
        <v>1</v>
      </c>
      <c r="AP74" s="67">
        <f ca="1">IF(AND(SUMIF(Capacity_Resource,$D74,'Critical resources (hide)'!BC$6:BC$105)+SUMIF(Capacity_Resource,$E74,'Critical resources (hide)'!BC$6:BC$105)+SUMIF(Capacity_Resource,$F74,'Critical resources (hide)'!BC$6:BC$105)&gt;0,$E$1=2),0,1)</f>
        <v>1</v>
      </c>
      <c r="AQ74" s="67">
        <f ca="1">IF(AND(SUMIF(Capacity_Resource,$D74,'Critical resources (hide)'!BD$6:BD$105)+SUMIF(Capacity_Resource,$E74,'Critical resources (hide)'!BD$6:BD$105)+SUMIF(Capacity_Resource,$F74,'Critical resources (hide)'!BD$6:BD$105)&gt;0,$E$1=2),0,1)</f>
        <v>1</v>
      </c>
      <c r="AR74" s="67">
        <f ca="1">IF(AND(SUMIF(Capacity_Resource,$D74,'Critical resources (hide)'!BE$6:BE$105)+SUMIF(Capacity_Resource,$E74,'Critical resources (hide)'!BE$6:BE$105)+SUMIF(Capacity_Resource,$F74,'Critical resources (hide)'!BE$6:BE$105)&gt;0,$E$1=2),0,1)</f>
        <v>1</v>
      </c>
      <c r="AS74" s="67">
        <f ca="1">IF(AND(SUMIF(Capacity_Resource,$D74,'Critical resources (hide)'!BF$6:BF$105)+SUMIF(Capacity_Resource,$E74,'Critical resources (hide)'!BF$6:BF$105)+SUMIF(Capacity_Resource,$F74,'Critical resources (hide)'!BF$6:BF$105)&gt;0,$E$1=2),0,1)</f>
        <v>1</v>
      </c>
      <c r="AT74" s="67">
        <f ca="1">IF(AND(SUMIF(Capacity_Resource,$D74,'Critical resources (hide)'!BG$6:BG$105)+SUMIF(Capacity_Resource,$E74,'Critical resources (hide)'!BG$6:BG$105)+SUMIF(Capacity_Resource,$F74,'Critical resources (hide)'!BG$6:BG$105)&gt;0,$E$1=2),0,1)</f>
        <v>1</v>
      </c>
      <c r="AU74" s="67">
        <f ca="1">IF(AND(SUMIF(Capacity_Resource,$D74,'Critical resources (hide)'!BH$6:BH$105)+SUMIF(Capacity_Resource,$E74,'Critical resources (hide)'!BH$6:BH$105)+SUMIF(Capacity_Resource,$F74,'Critical resources (hide)'!BH$6:BH$105)&gt;0,$E$1=2),0,1)</f>
        <v>1</v>
      </c>
      <c r="AV74" s="67">
        <f ca="1">IF(AND(SUMIF(Capacity_Resource,$D74,'Critical resources (hide)'!BI$6:BI$105)+SUMIF(Capacity_Resource,$E74,'Critical resources (hide)'!BI$6:BI$105)+SUMIF(Capacity_Resource,$F74,'Critical resources (hide)'!BI$6:BI$105)&gt;0,$E$1=2),0,1)</f>
        <v>1</v>
      </c>
      <c r="AW74" s="67">
        <f ca="1">IF(AND(SUMIF(Capacity_Resource,$D74,'Critical resources (hide)'!BJ$6:BJ$105)+SUMIF(Capacity_Resource,$E74,'Critical resources (hide)'!BJ$6:BJ$105)+SUMIF(Capacity_Resource,$F74,'Critical resources (hide)'!BJ$6:BJ$105)&gt;0,$E$1=2),0,1)</f>
        <v>1</v>
      </c>
      <c r="AX74" s="67">
        <f ca="1">IF(AND(SUMIF(Capacity_Resource,$D74,'Critical resources (hide)'!BK$6:BK$105)+SUMIF(Capacity_Resource,$E74,'Critical resources (hide)'!BK$6:BK$105)+SUMIF(Capacity_Resource,$F74,'Critical resources (hide)'!BK$6:BK$105)&gt;0,$E$1=2),0,1)</f>
        <v>1</v>
      </c>
      <c r="AY74" s="67">
        <f ca="1">IF(AND(SUMIF(Capacity_Resource,$D74,'Critical resources (hide)'!BL$6:BL$105)+SUMIF(Capacity_Resource,$E74,'Critical resources (hide)'!BL$6:BL$105)+SUMIF(Capacity_Resource,$F74,'Critical resources (hide)'!BL$6:BL$105)&gt;0,$E$1=2),0,1)</f>
        <v>1</v>
      </c>
      <c r="AZ74" s="67">
        <f ca="1">IF(AND(SUMIF(Capacity_Resource,$D74,'Critical resources (hide)'!BM$6:BM$105)+SUMIF(Capacity_Resource,$E74,'Critical resources (hide)'!BM$6:BM$105)+SUMIF(Capacity_Resource,$F74,'Critical resources (hide)'!BM$6:BM$105)&gt;0,$E$1=2),0,1)</f>
        <v>1</v>
      </c>
      <c r="BA74" s="67">
        <f ca="1">IF(AND(SUMIF(Capacity_Resource,$D74,'Critical resources (hide)'!BN$6:BN$105)+SUMIF(Capacity_Resource,$E74,'Critical resources (hide)'!BN$6:BN$105)+SUMIF(Capacity_Resource,$F74,'Critical resources (hide)'!BN$6:BN$105)&gt;0,$E$1=2),0,1)</f>
        <v>1</v>
      </c>
      <c r="BB74" s="67">
        <f ca="1">IF(AND(SUMIF(Capacity_Resource,$D74,'Critical resources (hide)'!BO$6:BO$105)+SUMIF(Capacity_Resource,$E74,'Critical resources (hide)'!BO$6:BO$105)+SUMIF(Capacity_Resource,$F74,'Critical resources (hide)'!BO$6:BO$105)&gt;0,$E$1=2),0,1)</f>
        <v>1</v>
      </c>
      <c r="BC74" s="67">
        <f ca="1">IF(AND(SUMIF(Capacity_Resource,$D74,'Critical resources (hide)'!BP$6:BP$105)+SUMIF(Capacity_Resource,$E74,'Critical resources (hide)'!BP$6:BP$105)+SUMIF(Capacity_Resource,$F74,'Critical resources (hide)'!BP$6:BP$105)&gt;0,$E$1=2),0,1)</f>
        <v>1</v>
      </c>
      <c r="BD74" s="67">
        <f ca="1">IF(AND(SUMIF(Capacity_Resource,$D74,'Critical resources (hide)'!BQ$6:BQ$105)+SUMIF(Capacity_Resource,$E74,'Critical resources (hide)'!BQ$6:BQ$105)+SUMIF(Capacity_Resource,$F74,'Critical resources (hide)'!BQ$6:BQ$105)&gt;0,$E$1=2),0,1)</f>
        <v>1</v>
      </c>
      <c r="BE74" s="67">
        <f ca="1">IF(AND(SUMIF(Capacity_Resource,$D74,'Critical resources (hide)'!BR$6:BR$105)+SUMIF(Capacity_Resource,$E74,'Critical resources (hide)'!BR$6:BR$105)+SUMIF(Capacity_Resource,$F74,'Critical resources (hide)'!BR$6:BR$105)&gt;0,$E$1=2),0,1)</f>
        <v>1</v>
      </c>
      <c r="BF74" s="67">
        <f ca="1">IF(AND(SUMIF(Capacity_Resource,$D74,'Critical resources (hide)'!BS$6:BS$105)+SUMIF(Capacity_Resource,$E74,'Critical resources (hide)'!BS$6:BS$105)+SUMIF(Capacity_Resource,$F74,'Critical resources (hide)'!BS$6:BS$105)&gt;0,$E$1=2),0,1)</f>
        <v>1</v>
      </c>
      <c r="BG74" s="67">
        <f ca="1">IF(AND(SUMIF(Capacity_Resource,$D74,'Critical resources (hide)'!BT$6:BT$105)+SUMIF(Capacity_Resource,$E74,'Critical resources (hide)'!BT$6:BT$105)+SUMIF(Capacity_Resource,$F74,'Critical resources (hide)'!BT$6:BT$105)&gt;0,$E$1=2),0,1)</f>
        <v>1</v>
      </c>
      <c r="BH74" s="67">
        <f>IF(ROW(C70)&lt;=Capacity!$A$16,IF('Capacity summary'!$D$14="No",SUM(H74:BG74),'Capacity summary'!$E193),0)</f>
        <v>0</v>
      </c>
      <c r="BI74" s="5" t="str">
        <f>IF(BH74&gt;0,IF(BH74&lt;Capacity!E86,Capacity!F86,Capacity!H86/'Capacity calculation (hide)'!BH74),"")</f>
        <v/>
      </c>
      <c r="BK74" s="313">
        <f>IF($BI74&lt;&gt;"",IF('Capacity summary'!$D$14="Yes",IF(COUNTBLANK('Capacity summary'!$H193:$BG193)&lt;52,IF('Capacity summary'!H193&lt;&gt;"",IF(LOWER('Capacity summary'!H193)="x",$BI74*H74,VALUE('Capacity summary'!H193)),0),H74*$BI74),H74*$BI74),0)</f>
        <v>0</v>
      </c>
      <c r="BL74" s="313">
        <f>IF($BI74&lt;&gt;"",IF('Capacity summary'!$D$14="Yes",IF(COUNTBLANK('Capacity summary'!$H193:$BG193)&lt;52,IF('Capacity summary'!I193&lt;&gt;"",IF(LOWER('Capacity summary'!I193)="x",$BI74*I74,VALUE('Capacity summary'!I193)),0),I74*$BI74),I74*$BI74),0)</f>
        <v>0</v>
      </c>
      <c r="BM74" s="313">
        <f>IF($BI74&lt;&gt;"",IF('Capacity summary'!$D$14="Yes",IF(COUNTBLANK('Capacity summary'!$H193:$BG193)&lt;52,IF('Capacity summary'!J193&lt;&gt;"",IF(LOWER('Capacity summary'!J193)="x",$BI74*J74,VALUE('Capacity summary'!J193)),0),J74*$BI74),J74*$BI74),0)</f>
        <v>0</v>
      </c>
      <c r="BN74" s="313">
        <f>IF($BI74&lt;&gt;"",IF('Capacity summary'!$D$14="Yes",IF(COUNTBLANK('Capacity summary'!$H193:$BG193)&lt;52,IF('Capacity summary'!K193&lt;&gt;"",IF(LOWER('Capacity summary'!K193)="x",$BI74*K74,VALUE('Capacity summary'!K193)),0),K74*$BI74),K74*$BI74),0)</f>
        <v>0</v>
      </c>
      <c r="BO74" s="313">
        <f>IF($BI74&lt;&gt;"",IF('Capacity summary'!$D$14="Yes",IF(COUNTBLANK('Capacity summary'!$H193:$BG193)&lt;52,IF('Capacity summary'!L193&lt;&gt;"",IF(LOWER('Capacity summary'!L193)="x",$BI74*L74,VALUE('Capacity summary'!L193)),0),L74*$BI74),L74*$BI74),0)</f>
        <v>0</v>
      </c>
      <c r="BP74" s="313">
        <f>IF($BI74&lt;&gt;"",IF('Capacity summary'!$D$14="Yes",IF(COUNTBLANK('Capacity summary'!$H193:$BG193)&lt;52,IF('Capacity summary'!M193&lt;&gt;"",IF(LOWER('Capacity summary'!M193)="x",$BI74*M74,VALUE('Capacity summary'!M193)),0),M74*$BI74),M74*$BI74),0)</f>
        <v>0</v>
      </c>
      <c r="BQ74" s="313">
        <f>IF($BI74&lt;&gt;"",IF('Capacity summary'!$D$14="Yes",IF(COUNTBLANK('Capacity summary'!$H193:$BG193)&lt;52,IF('Capacity summary'!N193&lt;&gt;"",IF(LOWER('Capacity summary'!N193)="x",$BI74*N74,VALUE('Capacity summary'!N193)),0),N74*$BI74),N74*$BI74),0)</f>
        <v>0</v>
      </c>
      <c r="BR74" s="313">
        <f>IF($BI74&lt;&gt;"",IF('Capacity summary'!$D$14="Yes",IF(COUNTBLANK('Capacity summary'!$H193:$BG193)&lt;52,IF('Capacity summary'!O193&lt;&gt;"",IF(LOWER('Capacity summary'!O193)="x",$BI74*O74,VALUE('Capacity summary'!O193)),0),O74*$BI74),O74*$BI74),0)</f>
        <v>0</v>
      </c>
      <c r="BS74" s="313">
        <f>IF($BI74&lt;&gt;"",IF('Capacity summary'!$D$14="Yes",IF(COUNTBLANK('Capacity summary'!$H193:$BG193)&lt;52,IF('Capacity summary'!P193&lt;&gt;"",IF(LOWER('Capacity summary'!P193)="x",$BI74*P74,VALUE('Capacity summary'!P193)),0),P74*$BI74),P74*$BI74),0)</f>
        <v>0</v>
      </c>
      <c r="BT74" s="313">
        <f>IF($BI74&lt;&gt;"",IF('Capacity summary'!$D$14="Yes",IF(COUNTBLANK('Capacity summary'!$H193:$BG193)&lt;52,IF('Capacity summary'!Q193&lt;&gt;"",IF(LOWER('Capacity summary'!Q193)="x",$BI74*Q74,VALUE('Capacity summary'!Q193)),0),Q74*$BI74),Q74*$BI74),0)</f>
        <v>0</v>
      </c>
      <c r="BU74" s="313">
        <f>IF($BI74&lt;&gt;"",IF('Capacity summary'!$D$14="Yes",IF(COUNTBLANK('Capacity summary'!$H193:$BG193)&lt;52,IF('Capacity summary'!R193&lt;&gt;"",IF(LOWER('Capacity summary'!R193)="x",$BI74*R74,VALUE('Capacity summary'!R193)),0),R74*$BI74),R74*$BI74),0)</f>
        <v>0</v>
      </c>
      <c r="BV74" s="313">
        <f>IF($BI74&lt;&gt;"",IF('Capacity summary'!$D$14="Yes",IF(COUNTBLANK('Capacity summary'!$H193:$BG193)&lt;52,IF('Capacity summary'!S193&lt;&gt;"",IF(LOWER('Capacity summary'!S193)="x",$BI74*S74,VALUE('Capacity summary'!S193)),0),S74*$BI74),S74*$BI74),0)</f>
        <v>0</v>
      </c>
      <c r="BW74" s="313">
        <f>IF($BI74&lt;&gt;"",IF('Capacity summary'!$D$14="Yes",IF(COUNTBLANK('Capacity summary'!$H193:$BG193)&lt;52,IF('Capacity summary'!T193&lt;&gt;"",IF(LOWER('Capacity summary'!T193)="x",$BI74*T74,VALUE('Capacity summary'!T193)),0),T74*$BI74),T74*$BI74),0)</f>
        <v>0</v>
      </c>
      <c r="BX74" s="313">
        <f>IF($BI74&lt;&gt;"",IF('Capacity summary'!$D$14="Yes",IF(COUNTBLANK('Capacity summary'!$H193:$BG193)&lt;52,IF('Capacity summary'!U193&lt;&gt;"",IF(LOWER('Capacity summary'!U193)="x",$BI74*U74,VALUE('Capacity summary'!U193)),0),U74*$BI74),U74*$BI74),0)</f>
        <v>0</v>
      </c>
      <c r="BY74" s="313">
        <f>IF($BI74&lt;&gt;"",IF('Capacity summary'!$D$14="Yes",IF(COUNTBLANK('Capacity summary'!$H193:$BG193)&lt;52,IF('Capacity summary'!V193&lt;&gt;"",IF(LOWER('Capacity summary'!V193)="x",$BI74*V74,VALUE('Capacity summary'!V193)),0),V74*$BI74),V74*$BI74),0)</f>
        <v>0</v>
      </c>
      <c r="BZ74" s="313">
        <f>IF($BI74&lt;&gt;"",IF('Capacity summary'!$D$14="Yes",IF(COUNTBLANK('Capacity summary'!$H193:$BG193)&lt;52,IF('Capacity summary'!W193&lt;&gt;"",IF(LOWER('Capacity summary'!W193)="x",$BI74*W74,VALUE('Capacity summary'!W193)),0),W74*$BI74),W74*$BI74),0)</f>
        <v>0</v>
      </c>
      <c r="CA74" s="313">
        <f>IF($BI74&lt;&gt;"",IF('Capacity summary'!$D$14="Yes",IF(COUNTBLANK('Capacity summary'!$H193:$BG193)&lt;52,IF('Capacity summary'!X193&lt;&gt;"",IF(LOWER('Capacity summary'!X193)="x",$BI74*X74,VALUE('Capacity summary'!X193)),0),X74*$BI74),X74*$BI74),0)</f>
        <v>0</v>
      </c>
      <c r="CB74" s="313">
        <f>IF($BI74&lt;&gt;"",IF('Capacity summary'!$D$14="Yes",IF(COUNTBLANK('Capacity summary'!$H193:$BG193)&lt;52,IF('Capacity summary'!Y193&lt;&gt;"",IF(LOWER('Capacity summary'!Y193)="x",$BI74*Y74,VALUE('Capacity summary'!Y193)),0),Y74*$BI74),Y74*$BI74),0)</f>
        <v>0</v>
      </c>
      <c r="CC74" s="313">
        <f>IF($BI74&lt;&gt;"",IF('Capacity summary'!$D$14="Yes",IF(COUNTBLANK('Capacity summary'!$H193:$BG193)&lt;52,IF('Capacity summary'!Z193&lt;&gt;"",IF(LOWER('Capacity summary'!Z193)="x",$BI74*Z74,VALUE('Capacity summary'!Z193)),0),Z74*$BI74),Z74*$BI74),0)</f>
        <v>0</v>
      </c>
      <c r="CD74" s="313">
        <f>IF($BI74&lt;&gt;"",IF('Capacity summary'!$D$14="Yes",IF(COUNTBLANK('Capacity summary'!$H193:$BG193)&lt;52,IF('Capacity summary'!AA193&lt;&gt;"",IF(LOWER('Capacity summary'!AA193)="x",$BI74*AA74,VALUE('Capacity summary'!AA193)),0),AA74*$BI74),AA74*$BI74),0)</f>
        <v>0</v>
      </c>
      <c r="CE74" s="313">
        <f>IF($BI74&lt;&gt;"",IF('Capacity summary'!$D$14="Yes",IF(COUNTBLANK('Capacity summary'!$H193:$BG193)&lt;52,IF('Capacity summary'!AB193&lt;&gt;"",IF(LOWER('Capacity summary'!AB193)="x",$BI74*AB74,VALUE('Capacity summary'!AB193)),0),AB74*$BI74),AB74*$BI74),0)</f>
        <v>0</v>
      </c>
      <c r="CF74" s="313">
        <f>IF($BI74&lt;&gt;"",IF('Capacity summary'!$D$14="Yes",IF(COUNTBLANK('Capacity summary'!$H193:$BG193)&lt;52,IF('Capacity summary'!AC193&lt;&gt;"",IF(LOWER('Capacity summary'!AC193)="x",$BI74*AC74,VALUE('Capacity summary'!AC193)),0),AC74*$BI74),AC74*$BI74),0)</f>
        <v>0</v>
      </c>
      <c r="CG74" s="313">
        <f>IF($BI74&lt;&gt;"",IF('Capacity summary'!$D$14="Yes",IF(COUNTBLANK('Capacity summary'!$H193:$BG193)&lt;52,IF('Capacity summary'!AD193&lt;&gt;"",IF(LOWER('Capacity summary'!AD193)="x",$BI74*AD74,VALUE('Capacity summary'!AD193)),0),AD74*$BI74),AD74*$BI74),0)</f>
        <v>0</v>
      </c>
      <c r="CH74" s="313">
        <f>IF($BI74&lt;&gt;"",IF('Capacity summary'!$D$14="Yes",IF(COUNTBLANK('Capacity summary'!$H193:$BG193)&lt;52,IF('Capacity summary'!AE193&lt;&gt;"",IF(LOWER('Capacity summary'!AE193)="x",$BI74*AE74,VALUE('Capacity summary'!AE193)),0),AE74*$BI74),AE74*$BI74),0)</f>
        <v>0</v>
      </c>
      <c r="CI74" s="313">
        <f>IF($BI74&lt;&gt;"",IF('Capacity summary'!$D$14="Yes",IF(COUNTBLANK('Capacity summary'!$H193:$BG193)&lt;52,IF('Capacity summary'!AF193&lt;&gt;"",IF(LOWER('Capacity summary'!AF193)="x",$BI74*AF74,VALUE('Capacity summary'!AF193)),0),AF74*$BI74),AF74*$BI74),0)</f>
        <v>0</v>
      </c>
      <c r="CJ74" s="313">
        <f>IF($BI74&lt;&gt;"",IF('Capacity summary'!$D$14="Yes",IF(COUNTBLANK('Capacity summary'!$H193:$BG193)&lt;52,IF('Capacity summary'!AG193&lt;&gt;"",IF(LOWER('Capacity summary'!AG193)="x",$BI74*AG74,VALUE('Capacity summary'!AG193)),0),AG74*$BI74),AG74*$BI74),0)</f>
        <v>0</v>
      </c>
      <c r="CK74" s="313">
        <f>IF($BI74&lt;&gt;"",IF('Capacity summary'!$D$14="Yes",IF(COUNTBLANK('Capacity summary'!$H193:$BG193)&lt;52,IF('Capacity summary'!AH193&lt;&gt;"",IF(LOWER('Capacity summary'!AH193)="x",$BI74*AH74,VALUE('Capacity summary'!AH193)),0),AH74*$BI74),AH74*$BI74),0)</f>
        <v>0</v>
      </c>
      <c r="CL74" s="313">
        <f>IF($BI74&lt;&gt;"",IF('Capacity summary'!$D$14="Yes",IF(COUNTBLANK('Capacity summary'!$H193:$BG193)&lt;52,IF('Capacity summary'!AI193&lt;&gt;"",IF(LOWER('Capacity summary'!AI193)="x",$BI74*AI74,VALUE('Capacity summary'!AI193)),0),AI74*$BI74),AI74*$BI74),0)</f>
        <v>0</v>
      </c>
      <c r="CM74" s="313">
        <f>IF($BI74&lt;&gt;"",IF('Capacity summary'!$D$14="Yes",IF(COUNTBLANK('Capacity summary'!$H193:$BG193)&lt;52,IF('Capacity summary'!AJ193&lt;&gt;"",IF(LOWER('Capacity summary'!AJ193)="x",$BI74*AJ74,VALUE('Capacity summary'!AJ193)),0),AJ74*$BI74),AJ74*$BI74),0)</f>
        <v>0</v>
      </c>
      <c r="CN74" s="313">
        <f>IF($BI74&lt;&gt;"",IF('Capacity summary'!$D$14="Yes",IF(COUNTBLANK('Capacity summary'!$H193:$BG193)&lt;52,IF('Capacity summary'!AK193&lt;&gt;"",IF(LOWER('Capacity summary'!AK193)="x",$BI74*AK74,VALUE('Capacity summary'!AK193)),0),AK74*$BI74),AK74*$BI74),0)</f>
        <v>0</v>
      </c>
      <c r="CO74" s="313">
        <f>IF($BI74&lt;&gt;"",IF('Capacity summary'!$D$14="Yes",IF(COUNTBLANK('Capacity summary'!$H193:$BG193)&lt;52,IF('Capacity summary'!AL193&lt;&gt;"",IF(LOWER('Capacity summary'!AL193)="x",$BI74*AL74,VALUE('Capacity summary'!AL193)),0),AL74*$BI74),AL74*$BI74),0)</f>
        <v>0</v>
      </c>
      <c r="CP74" s="313">
        <f>IF($BI74&lt;&gt;"",IF('Capacity summary'!$D$14="Yes",IF(COUNTBLANK('Capacity summary'!$H193:$BG193)&lt;52,IF('Capacity summary'!AM193&lt;&gt;"",IF(LOWER('Capacity summary'!AM193)="x",$BI74*AM74,VALUE('Capacity summary'!AM193)),0),AM74*$BI74),AM74*$BI74),0)</f>
        <v>0</v>
      </c>
      <c r="CQ74" s="313">
        <f>IF($BI74&lt;&gt;"",IF('Capacity summary'!$D$14="Yes",IF(COUNTBLANK('Capacity summary'!$H193:$BG193)&lt;52,IF('Capacity summary'!AN193&lt;&gt;"",IF(LOWER('Capacity summary'!AN193)="x",$BI74*AN74,VALUE('Capacity summary'!AN193)),0),AN74*$BI74),AN74*$BI74),0)</f>
        <v>0</v>
      </c>
      <c r="CR74" s="313">
        <f>IF($BI74&lt;&gt;"",IF('Capacity summary'!$D$14="Yes",IF(COUNTBLANK('Capacity summary'!$H193:$BG193)&lt;52,IF('Capacity summary'!AO193&lt;&gt;"",IF(LOWER('Capacity summary'!AO193)="x",$BI74*AO74,VALUE('Capacity summary'!AO193)),0),AO74*$BI74),AO74*$BI74),0)</f>
        <v>0</v>
      </c>
      <c r="CS74" s="313">
        <f>IF($BI74&lt;&gt;"",IF('Capacity summary'!$D$14="Yes",IF(COUNTBLANK('Capacity summary'!$H193:$BG193)&lt;52,IF('Capacity summary'!AP193&lt;&gt;"",IF(LOWER('Capacity summary'!AP193)="x",$BI74*AP74,VALUE('Capacity summary'!AP193)),0),AP74*$BI74),AP74*$BI74),0)</f>
        <v>0</v>
      </c>
      <c r="CT74" s="313">
        <f>IF($BI74&lt;&gt;"",IF('Capacity summary'!$D$14="Yes",IF(COUNTBLANK('Capacity summary'!$H193:$BG193)&lt;52,IF('Capacity summary'!AQ193&lt;&gt;"",IF(LOWER('Capacity summary'!AQ193)="x",$BI74*AQ74,VALUE('Capacity summary'!AQ193)),0),AQ74*$BI74),AQ74*$BI74),0)</f>
        <v>0</v>
      </c>
      <c r="CU74" s="313">
        <f>IF($BI74&lt;&gt;"",IF('Capacity summary'!$D$14="Yes",IF(COUNTBLANK('Capacity summary'!$H193:$BG193)&lt;52,IF('Capacity summary'!AR193&lt;&gt;"",IF(LOWER('Capacity summary'!AR193)="x",$BI74*AR74,VALUE('Capacity summary'!AR193)),0),AR74*$BI74),AR74*$BI74),0)</f>
        <v>0</v>
      </c>
      <c r="CV74" s="313">
        <f>IF($BI74&lt;&gt;"",IF('Capacity summary'!$D$14="Yes",IF(COUNTBLANK('Capacity summary'!$H193:$BG193)&lt;52,IF('Capacity summary'!AS193&lt;&gt;"",IF(LOWER('Capacity summary'!AS193)="x",$BI74*AS74,VALUE('Capacity summary'!AS193)),0),AS74*$BI74),AS74*$BI74),0)</f>
        <v>0</v>
      </c>
      <c r="CW74" s="313">
        <f>IF($BI74&lt;&gt;"",IF('Capacity summary'!$D$14="Yes",IF(COUNTBLANK('Capacity summary'!$H193:$BG193)&lt;52,IF('Capacity summary'!AT193&lt;&gt;"",IF(LOWER('Capacity summary'!AT193)="x",$BI74*AT74,VALUE('Capacity summary'!AT193)),0),AT74*$BI74),AT74*$BI74),0)</f>
        <v>0</v>
      </c>
      <c r="CX74" s="313">
        <f>IF($BI74&lt;&gt;"",IF('Capacity summary'!$D$14="Yes",IF(COUNTBLANK('Capacity summary'!$H193:$BG193)&lt;52,IF('Capacity summary'!AU193&lt;&gt;"",IF(LOWER('Capacity summary'!AU193)="x",$BI74*AU74,VALUE('Capacity summary'!AU193)),0),AU74*$BI74),AU74*$BI74),0)</f>
        <v>0</v>
      </c>
      <c r="CY74" s="313">
        <f>IF($BI74&lt;&gt;"",IF('Capacity summary'!$D$14="Yes",IF(COUNTBLANK('Capacity summary'!$H193:$BG193)&lt;52,IF('Capacity summary'!AV193&lt;&gt;"",IF(LOWER('Capacity summary'!AV193)="x",$BI74*AV74,VALUE('Capacity summary'!AV193)),0),AV74*$BI74),AV74*$BI74),0)</f>
        <v>0</v>
      </c>
      <c r="CZ74" s="313">
        <f>IF($BI74&lt;&gt;"",IF('Capacity summary'!$D$14="Yes",IF(COUNTBLANK('Capacity summary'!$H193:$BG193)&lt;52,IF('Capacity summary'!AW193&lt;&gt;"",IF(LOWER('Capacity summary'!AW193)="x",$BI74*AW74,VALUE('Capacity summary'!AW193)),0),AW74*$BI74),AW74*$BI74),0)</f>
        <v>0</v>
      </c>
      <c r="DA74" s="313">
        <f>IF($BI74&lt;&gt;"",IF('Capacity summary'!$D$14="Yes",IF(COUNTBLANK('Capacity summary'!$H193:$BG193)&lt;52,IF('Capacity summary'!AX193&lt;&gt;"",IF(LOWER('Capacity summary'!AX193)="x",$BI74*AX74,VALUE('Capacity summary'!AX193)),0),AX74*$BI74),AX74*$BI74),0)</f>
        <v>0</v>
      </c>
      <c r="DB74" s="313">
        <f>IF($BI74&lt;&gt;"",IF('Capacity summary'!$D$14="Yes",IF(COUNTBLANK('Capacity summary'!$H193:$BG193)&lt;52,IF('Capacity summary'!AY193&lt;&gt;"",IF(LOWER('Capacity summary'!AY193)="x",$BI74*AY74,VALUE('Capacity summary'!AY193)),0),AY74*$BI74),AY74*$BI74),0)</f>
        <v>0</v>
      </c>
      <c r="DC74" s="313">
        <f>IF($BI74&lt;&gt;"",IF('Capacity summary'!$D$14="Yes",IF(COUNTBLANK('Capacity summary'!$H193:$BG193)&lt;52,IF('Capacity summary'!AZ193&lt;&gt;"",IF(LOWER('Capacity summary'!AZ193)="x",$BI74*AZ74,VALUE('Capacity summary'!AZ193)),0),AZ74*$BI74),AZ74*$BI74),0)</f>
        <v>0</v>
      </c>
      <c r="DD74" s="313">
        <f>IF($BI74&lt;&gt;"",IF('Capacity summary'!$D$14="Yes",IF(COUNTBLANK('Capacity summary'!$H193:$BG193)&lt;52,IF('Capacity summary'!BA193&lt;&gt;"",IF(LOWER('Capacity summary'!BA193)="x",$BI74*BA74,VALUE('Capacity summary'!BA193)),0),BA74*$BI74),BA74*$BI74),0)</f>
        <v>0</v>
      </c>
      <c r="DE74" s="313">
        <f>IF($BI74&lt;&gt;"",IF('Capacity summary'!$D$14="Yes",IF(COUNTBLANK('Capacity summary'!$H193:$BG193)&lt;52,IF('Capacity summary'!BB193&lt;&gt;"",IF(LOWER('Capacity summary'!BB193)="x",$BI74*BB74,VALUE('Capacity summary'!BB193)),0),BB74*$BI74),BB74*$BI74),0)</f>
        <v>0</v>
      </c>
      <c r="DF74" s="313">
        <f>IF($BI74&lt;&gt;"",IF('Capacity summary'!$D$14="Yes",IF(COUNTBLANK('Capacity summary'!$H193:$BG193)&lt;52,IF('Capacity summary'!BC193&lt;&gt;"",IF(LOWER('Capacity summary'!BC193)="x",$BI74*BC74,VALUE('Capacity summary'!BC193)),0),BC74*$BI74),BC74*$BI74),0)</f>
        <v>0</v>
      </c>
      <c r="DG74" s="313">
        <f>IF($BI74&lt;&gt;"",IF('Capacity summary'!$D$14="Yes",IF(COUNTBLANK('Capacity summary'!$H193:$BG193)&lt;52,IF('Capacity summary'!BD193&lt;&gt;"",IF(LOWER('Capacity summary'!BD193)="x",$BI74*BD74,VALUE('Capacity summary'!BD193)),0),BD74*$BI74),BD74*$BI74),0)</f>
        <v>0</v>
      </c>
      <c r="DH74" s="313">
        <f>IF($BI74&lt;&gt;"",IF('Capacity summary'!$D$14="Yes",IF(COUNTBLANK('Capacity summary'!$H193:$BG193)&lt;52,IF('Capacity summary'!BE193&lt;&gt;"",IF(LOWER('Capacity summary'!BE193)="x",$BI74*BE74,VALUE('Capacity summary'!BE193)),0),BE74*$BI74),BE74*$BI74),0)</f>
        <v>0</v>
      </c>
      <c r="DI74" s="313">
        <f>IF($BI74&lt;&gt;"",IF('Capacity summary'!$D$14="Yes",IF(COUNTBLANK('Capacity summary'!$H193:$BG193)&lt;52,IF('Capacity summary'!BF193&lt;&gt;"",IF(LOWER('Capacity summary'!BF193)="x",$BI74*BF74,VALUE('Capacity summary'!BF193)),0),BF74*$BI74),BF74*$BI74),0)</f>
        <v>0</v>
      </c>
      <c r="DJ74" s="313">
        <f>IF($BI74&lt;&gt;"",IF('Capacity summary'!$D$14="Yes",IF(COUNTBLANK('Capacity summary'!$H193:$BG193)&lt;52,IF('Capacity summary'!BG193&lt;&gt;"",IF(LOWER('Capacity summary'!BG193)="x",$BI74*BG74,VALUE('Capacity summary'!BG193)),0),BG74*$BI74),BG74*$BI74),0)</f>
        <v>0</v>
      </c>
      <c r="DK74" s="137">
        <f t="shared" si="3"/>
        <v>0</v>
      </c>
      <c r="DL74" s="313" t="str">
        <f>Capacity!H86</f>
        <v/>
      </c>
    </row>
    <row r="75" spans="2:116" x14ac:dyDescent="0.25">
      <c r="B75" s="67"/>
      <c r="C75" s="67" t="str">
        <f>ROW(A71)&amp;". "&amp;Capacity!B87</f>
        <v xml:space="preserve">71. </v>
      </c>
      <c r="D75" s="67">
        <f>'Capacity setup'!C82</f>
        <v>0</v>
      </c>
      <c r="E75" s="67">
        <f>'Capacity setup'!D82</f>
        <v>0</v>
      </c>
      <c r="F75" s="67">
        <f>'Capacity setup'!E82</f>
        <v>0</v>
      </c>
      <c r="H75" s="67">
        <f ca="1">IF(AND(SUMIF(Capacity_Resource,$D75,'Critical resources (hide)'!U$6:U$105)+SUMIF(Capacity_Resource,$E75,'Critical resources (hide)'!U$6:U$105)+SUMIF(Capacity_Resource,$F75,'Critical resources (hide)'!U$6:U$105)&gt;0,$E$1=2),0,1)</f>
        <v>1</v>
      </c>
      <c r="I75" s="67">
        <f ca="1">IF(AND(SUMIF(Capacity_Resource,$D75,'Critical resources (hide)'!V$6:V$105)+SUMIF(Capacity_Resource,$E75,'Critical resources (hide)'!V$6:V$105)+SUMIF(Capacity_Resource,$F75,'Critical resources (hide)'!V$6:V$105)&gt;0,$E$1=2),0,1)</f>
        <v>1</v>
      </c>
      <c r="J75" s="67">
        <f ca="1">IF(AND(SUMIF(Capacity_Resource,$D75,'Critical resources (hide)'!W$6:W$105)+SUMIF(Capacity_Resource,$E75,'Critical resources (hide)'!W$6:W$105)+SUMIF(Capacity_Resource,$F75,'Critical resources (hide)'!W$6:W$105)&gt;0,$E$1=2),0,1)</f>
        <v>1</v>
      </c>
      <c r="K75" s="67">
        <f ca="1">IF(AND(SUMIF(Capacity_Resource,$D75,'Critical resources (hide)'!X$6:X$105)+SUMIF(Capacity_Resource,$E75,'Critical resources (hide)'!X$6:X$105)+SUMIF(Capacity_Resource,$F75,'Critical resources (hide)'!X$6:X$105)&gt;0,$E$1=2),0,1)</f>
        <v>1</v>
      </c>
      <c r="L75" s="67">
        <f ca="1">IF(AND(SUMIF(Capacity_Resource,$D75,'Critical resources (hide)'!Y$6:Y$105)+SUMIF(Capacity_Resource,$E75,'Critical resources (hide)'!Y$6:Y$105)+SUMIF(Capacity_Resource,$F75,'Critical resources (hide)'!Y$6:Y$105)&gt;0,$E$1=2),0,1)</f>
        <v>1</v>
      </c>
      <c r="M75" s="67">
        <f ca="1">IF(AND(SUMIF(Capacity_Resource,$D75,'Critical resources (hide)'!Z$6:Z$105)+SUMIF(Capacity_Resource,$E75,'Critical resources (hide)'!Z$6:Z$105)+SUMIF(Capacity_Resource,$F75,'Critical resources (hide)'!Z$6:Z$105)&gt;0,$E$1=2),0,1)</f>
        <v>1</v>
      </c>
      <c r="N75" s="67">
        <f ca="1">IF(AND(SUMIF(Capacity_Resource,$D75,'Critical resources (hide)'!AA$6:AA$105)+SUMIF(Capacity_Resource,$E75,'Critical resources (hide)'!AA$6:AA$105)+SUMIF(Capacity_Resource,$F75,'Critical resources (hide)'!AA$6:AA$105)&gt;0,$E$1=2),0,1)</f>
        <v>1</v>
      </c>
      <c r="O75" s="67">
        <f ca="1">IF(AND(SUMIF(Capacity_Resource,$D75,'Critical resources (hide)'!AB$6:AB$105)+SUMIF(Capacity_Resource,$E75,'Critical resources (hide)'!AB$6:AB$105)+SUMIF(Capacity_Resource,$F75,'Critical resources (hide)'!AB$6:AB$105)&gt;0,$E$1=2),0,1)</f>
        <v>1</v>
      </c>
      <c r="P75" s="67">
        <f ca="1">IF(AND(SUMIF(Capacity_Resource,$D75,'Critical resources (hide)'!AC$6:AC$105)+SUMIF(Capacity_Resource,$E75,'Critical resources (hide)'!AC$6:AC$105)+SUMIF(Capacity_Resource,$F75,'Critical resources (hide)'!AC$6:AC$105)&gt;0,$E$1=2),0,1)</f>
        <v>1</v>
      </c>
      <c r="Q75" s="67">
        <f ca="1">IF(AND(SUMIF(Capacity_Resource,$D75,'Critical resources (hide)'!AD$6:AD$105)+SUMIF(Capacity_Resource,$E75,'Critical resources (hide)'!AD$6:AD$105)+SUMIF(Capacity_Resource,$F75,'Critical resources (hide)'!AD$6:AD$105)&gt;0,$E$1=2),0,1)</f>
        <v>1</v>
      </c>
      <c r="R75" s="67">
        <f ca="1">IF(AND(SUMIF(Capacity_Resource,$D75,'Critical resources (hide)'!AE$6:AE$105)+SUMIF(Capacity_Resource,$E75,'Critical resources (hide)'!AE$6:AE$105)+SUMIF(Capacity_Resource,$F75,'Critical resources (hide)'!AE$6:AE$105)&gt;0,$E$1=2),0,1)</f>
        <v>1</v>
      </c>
      <c r="S75" s="67">
        <f ca="1">IF(AND(SUMIF(Capacity_Resource,$D75,'Critical resources (hide)'!AF$6:AF$105)+SUMIF(Capacity_Resource,$E75,'Critical resources (hide)'!AF$6:AF$105)+SUMIF(Capacity_Resource,$F75,'Critical resources (hide)'!AF$6:AF$105)&gt;0,$E$1=2),0,1)</f>
        <v>1</v>
      </c>
      <c r="T75" s="67">
        <f ca="1">IF(AND(SUMIF(Capacity_Resource,$D75,'Critical resources (hide)'!AG$6:AG$105)+SUMIF(Capacity_Resource,$E75,'Critical resources (hide)'!AG$6:AG$105)+SUMIF(Capacity_Resource,$F75,'Critical resources (hide)'!AG$6:AG$105)&gt;0,$E$1=2),0,1)</f>
        <v>1</v>
      </c>
      <c r="U75" s="67">
        <f ca="1">IF(AND(SUMIF(Capacity_Resource,$D75,'Critical resources (hide)'!AH$6:AH$105)+SUMIF(Capacity_Resource,$E75,'Critical resources (hide)'!AH$6:AH$105)+SUMIF(Capacity_Resource,$F75,'Critical resources (hide)'!AH$6:AH$105)&gt;0,$E$1=2),0,1)</f>
        <v>1</v>
      </c>
      <c r="V75" s="67">
        <f ca="1">IF(AND(SUMIF(Capacity_Resource,$D75,'Critical resources (hide)'!AI$6:AI$105)+SUMIF(Capacity_Resource,$E75,'Critical resources (hide)'!AI$6:AI$105)+SUMIF(Capacity_Resource,$F75,'Critical resources (hide)'!AI$6:AI$105)&gt;0,$E$1=2),0,1)</f>
        <v>1</v>
      </c>
      <c r="W75" s="67">
        <f ca="1">IF(AND(SUMIF(Capacity_Resource,$D75,'Critical resources (hide)'!AJ$6:AJ$105)+SUMIF(Capacity_Resource,$E75,'Critical resources (hide)'!AJ$6:AJ$105)+SUMIF(Capacity_Resource,$F75,'Critical resources (hide)'!AJ$6:AJ$105)&gt;0,$E$1=2),0,1)</f>
        <v>1</v>
      </c>
      <c r="X75" s="67">
        <f ca="1">IF(AND(SUMIF(Capacity_Resource,$D75,'Critical resources (hide)'!AK$6:AK$105)+SUMIF(Capacity_Resource,$E75,'Critical resources (hide)'!AK$6:AK$105)+SUMIF(Capacity_Resource,$F75,'Critical resources (hide)'!AK$6:AK$105)&gt;0,$E$1=2),0,1)</f>
        <v>1</v>
      </c>
      <c r="Y75" s="67">
        <f ca="1">IF(AND(SUMIF(Capacity_Resource,$D75,'Critical resources (hide)'!AL$6:AL$105)+SUMIF(Capacity_Resource,$E75,'Critical resources (hide)'!AL$6:AL$105)+SUMIF(Capacity_Resource,$F75,'Critical resources (hide)'!AL$6:AL$105)&gt;0,$E$1=2),0,1)</f>
        <v>1</v>
      </c>
      <c r="Z75" s="67">
        <f ca="1">IF(AND(SUMIF(Capacity_Resource,$D75,'Critical resources (hide)'!AM$6:AM$105)+SUMIF(Capacity_Resource,$E75,'Critical resources (hide)'!AM$6:AM$105)+SUMIF(Capacity_Resource,$F75,'Critical resources (hide)'!AM$6:AM$105)&gt;0,$E$1=2),0,1)</f>
        <v>1</v>
      </c>
      <c r="AA75" s="67">
        <f ca="1">IF(AND(SUMIF(Capacity_Resource,$D75,'Critical resources (hide)'!AN$6:AN$105)+SUMIF(Capacity_Resource,$E75,'Critical resources (hide)'!AN$6:AN$105)+SUMIF(Capacity_Resource,$F75,'Critical resources (hide)'!AN$6:AN$105)&gt;0,$E$1=2),0,1)</f>
        <v>1</v>
      </c>
      <c r="AB75" s="67">
        <f ca="1">IF(AND(SUMIF(Capacity_Resource,$D75,'Critical resources (hide)'!AO$6:AO$105)+SUMIF(Capacity_Resource,$E75,'Critical resources (hide)'!AO$6:AO$105)+SUMIF(Capacity_Resource,$F75,'Critical resources (hide)'!AO$6:AO$105)&gt;0,$E$1=2),0,1)</f>
        <v>1</v>
      </c>
      <c r="AC75" s="67">
        <f ca="1">IF(AND(SUMIF(Capacity_Resource,$D75,'Critical resources (hide)'!AP$6:AP$105)+SUMIF(Capacity_Resource,$E75,'Critical resources (hide)'!AP$6:AP$105)+SUMIF(Capacity_Resource,$F75,'Critical resources (hide)'!AP$6:AP$105)&gt;0,$E$1=2),0,1)</f>
        <v>1</v>
      </c>
      <c r="AD75" s="67">
        <f ca="1">IF(AND(SUMIF(Capacity_Resource,$D75,'Critical resources (hide)'!AQ$6:AQ$105)+SUMIF(Capacity_Resource,$E75,'Critical resources (hide)'!AQ$6:AQ$105)+SUMIF(Capacity_Resource,$F75,'Critical resources (hide)'!AQ$6:AQ$105)&gt;0,$E$1=2),0,1)</f>
        <v>1</v>
      </c>
      <c r="AE75" s="67">
        <f ca="1">IF(AND(SUMIF(Capacity_Resource,$D75,'Critical resources (hide)'!AR$6:AR$105)+SUMIF(Capacity_Resource,$E75,'Critical resources (hide)'!AR$6:AR$105)+SUMIF(Capacity_Resource,$F75,'Critical resources (hide)'!AR$6:AR$105)&gt;0,$E$1=2),0,1)</f>
        <v>1</v>
      </c>
      <c r="AF75" s="67">
        <f ca="1">IF(AND(SUMIF(Capacity_Resource,$D75,'Critical resources (hide)'!AS$6:AS$105)+SUMIF(Capacity_Resource,$E75,'Critical resources (hide)'!AS$6:AS$105)+SUMIF(Capacity_Resource,$F75,'Critical resources (hide)'!AS$6:AS$105)&gt;0,$E$1=2),0,1)</f>
        <v>1</v>
      </c>
      <c r="AG75" s="67">
        <f ca="1">IF(AND(SUMIF(Capacity_Resource,$D75,'Critical resources (hide)'!AT$6:AT$105)+SUMIF(Capacity_Resource,$E75,'Critical resources (hide)'!AT$6:AT$105)+SUMIF(Capacity_Resource,$F75,'Critical resources (hide)'!AT$6:AT$105)&gt;0,$E$1=2),0,1)</f>
        <v>1</v>
      </c>
      <c r="AH75" s="67">
        <f ca="1">IF(AND(SUMIF(Capacity_Resource,$D75,'Critical resources (hide)'!AU$6:AU$105)+SUMIF(Capacity_Resource,$E75,'Critical resources (hide)'!AU$6:AU$105)+SUMIF(Capacity_Resource,$F75,'Critical resources (hide)'!AU$6:AU$105)&gt;0,$E$1=2),0,1)</f>
        <v>1</v>
      </c>
      <c r="AI75" s="67">
        <f ca="1">IF(AND(SUMIF(Capacity_Resource,$D75,'Critical resources (hide)'!AV$6:AV$105)+SUMIF(Capacity_Resource,$E75,'Critical resources (hide)'!AV$6:AV$105)+SUMIF(Capacity_Resource,$F75,'Critical resources (hide)'!AV$6:AV$105)&gt;0,$E$1=2),0,1)</f>
        <v>1</v>
      </c>
      <c r="AJ75" s="67">
        <f ca="1">IF(AND(SUMIF(Capacity_Resource,$D75,'Critical resources (hide)'!AW$6:AW$105)+SUMIF(Capacity_Resource,$E75,'Critical resources (hide)'!AW$6:AW$105)+SUMIF(Capacity_Resource,$F75,'Critical resources (hide)'!AW$6:AW$105)&gt;0,$E$1=2),0,1)</f>
        <v>1</v>
      </c>
      <c r="AK75" s="67">
        <f ca="1">IF(AND(SUMIF(Capacity_Resource,$D75,'Critical resources (hide)'!AX$6:AX$105)+SUMIF(Capacity_Resource,$E75,'Critical resources (hide)'!AX$6:AX$105)+SUMIF(Capacity_Resource,$F75,'Critical resources (hide)'!AX$6:AX$105)&gt;0,$E$1=2),0,1)</f>
        <v>1</v>
      </c>
      <c r="AL75" s="67">
        <f ca="1">IF(AND(SUMIF(Capacity_Resource,$D75,'Critical resources (hide)'!AY$6:AY$105)+SUMIF(Capacity_Resource,$E75,'Critical resources (hide)'!AY$6:AY$105)+SUMIF(Capacity_Resource,$F75,'Critical resources (hide)'!AY$6:AY$105)&gt;0,$E$1=2),0,1)</f>
        <v>1</v>
      </c>
      <c r="AM75" s="67">
        <f ca="1">IF(AND(SUMIF(Capacity_Resource,$D75,'Critical resources (hide)'!AZ$6:AZ$105)+SUMIF(Capacity_Resource,$E75,'Critical resources (hide)'!AZ$6:AZ$105)+SUMIF(Capacity_Resource,$F75,'Critical resources (hide)'!AZ$6:AZ$105)&gt;0,$E$1=2),0,1)</f>
        <v>1</v>
      </c>
      <c r="AN75" s="67">
        <f ca="1">IF(AND(SUMIF(Capacity_Resource,$D75,'Critical resources (hide)'!BA$6:BA$105)+SUMIF(Capacity_Resource,$E75,'Critical resources (hide)'!BA$6:BA$105)+SUMIF(Capacity_Resource,$F75,'Critical resources (hide)'!BA$6:BA$105)&gt;0,$E$1=2),0,1)</f>
        <v>1</v>
      </c>
      <c r="AO75" s="67">
        <f ca="1">IF(AND(SUMIF(Capacity_Resource,$D75,'Critical resources (hide)'!BB$6:BB$105)+SUMIF(Capacity_Resource,$E75,'Critical resources (hide)'!BB$6:BB$105)+SUMIF(Capacity_Resource,$F75,'Critical resources (hide)'!BB$6:BB$105)&gt;0,$E$1=2),0,1)</f>
        <v>1</v>
      </c>
      <c r="AP75" s="67">
        <f ca="1">IF(AND(SUMIF(Capacity_Resource,$D75,'Critical resources (hide)'!BC$6:BC$105)+SUMIF(Capacity_Resource,$E75,'Critical resources (hide)'!BC$6:BC$105)+SUMIF(Capacity_Resource,$F75,'Critical resources (hide)'!BC$6:BC$105)&gt;0,$E$1=2),0,1)</f>
        <v>1</v>
      </c>
      <c r="AQ75" s="67">
        <f ca="1">IF(AND(SUMIF(Capacity_Resource,$D75,'Critical resources (hide)'!BD$6:BD$105)+SUMIF(Capacity_Resource,$E75,'Critical resources (hide)'!BD$6:BD$105)+SUMIF(Capacity_Resource,$F75,'Critical resources (hide)'!BD$6:BD$105)&gt;0,$E$1=2),0,1)</f>
        <v>1</v>
      </c>
      <c r="AR75" s="67">
        <f ca="1">IF(AND(SUMIF(Capacity_Resource,$D75,'Critical resources (hide)'!BE$6:BE$105)+SUMIF(Capacity_Resource,$E75,'Critical resources (hide)'!BE$6:BE$105)+SUMIF(Capacity_Resource,$F75,'Critical resources (hide)'!BE$6:BE$105)&gt;0,$E$1=2),0,1)</f>
        <v>1</v>
      </c>
      <c r="AS75" s="67">
        <f ca="1">IF(AND(SUMIF(Capacity_Resource,$D75,'Critical resources (hide)'!BF$6:BF$105)+SUMIF(Capacity_Resource,$E75,'Critical resources (hide)'!BF$6:BF$105)+SUMIF(Capacity_Resource,$F75,'Critical resources (hide)'!BF$6:BF$105)&gt;0,$E$1=2),0,1)</f>
        <v>1</v>
      </c>
      <c r="AT75" s="67">
        <f ca="1">IF(AND(SUMIF(Capacity_Resource,$D75,'Critical resources (hide)'!BG$6:BG$105)+SUMIF(Capacity_Resource,$E75,'Critical resources (hide)'!BG$6:BG$105)+SUMIF(Capacity_Resource,$F75,'Critical resources (hide)'!BG$6:BG$105)&gt;0,$E$1=2),0,1)</f>
        <v>1</v>
      </c>
      <c r="AU75" s="67">
        <f ca="1">IF(AND(SUMIF(Capacity_Resource,$D75,'Critical resources (hide)'!BH$6:BH$105)+SUMIF(Capacity_Resource,$E75,'Critical resources (hide)'!BH$6:BH$105)+SUMIF(Capacity_Resource,$F75,'Critical resources (hide)'!BH$6:BH$105)&gt;0,$E$1=2),0,1)</f>
        <v>1</v>
      </c>
      <c r="AV75" s="67">
        <f ca="1">IF(AND(SUMIF(Capacity_Resource,$D75,'Critical resources (hide)'!BI$6:BI$105)+SUMIF(Capacity_Resource,$E75,'Critical resources (hide)'!BI$6:BI$105)+SUMIF(Capacity_Resource,$F75,'Critical resources (hide)'!BI$6:BI$105)&gt;0,$E$1=2),0,1)</f>
        <v>1</v>
      </c>
      <c r="AW75" s="67">
        <f ca="1">IF(AND(SUMIF(Capacity_Resource,$D75,'Critical resources (hide)'!BJ$6:BJ$105)+SUMIF(Capacity_Resource,$E75,'Critical resources (hide)'!BJ$6:BJ$105)+SUMIF(Capacity_Resource,$F75,'Critical resources (hide)'!BJ$6:BJ$105)&gt;0,$E$1=2),0,1)</f>
        <v>1</v>
      </c>
      <c r="AX75" s="67">
        <f ca="1">IF(AND(SUMIF(Capacity_Resource,$D75,'Critical resources (hide)'!BK$6:BK$105)+SUMIF(Capacity_Resource,$E75,'Critical resources (hide)'!BK$6:BK$105)+SUMIF(Capacity_Resource,$F75,'Critical resources (hide)'!BK$6:BK$105)&gt;0,$E$1=2),0,1)</f>
        <v>1</v>
      </c>
      <c r="AY75" s="67">
        <f ca="1">IF(AND(SUMIF(Capacity_Resource,$D75,'Critical resources (hide)'!BL$6:BL$105)+SUMIF(Capacity_Resource,$E75,'Critical resources (hide)'!BL$6:BL$105)+SUMIF(Capacity_Resource,$F75,'Critical resources (hide)'!BL$6:BL$105)&gt;0,$E$1=2),0,1)</f>
        <v>1</v>
      </c>
      <c r="AZ75" s="67">
        <f ca="1">IF(AND(SUMIF(Capacity_Resource,$D75,'Critical resources (hide)'!BM$6:BM$105)+SUMIF(Capacity_Resource,$E75,'Critical resources (hide)'!BM$6:BM$105)+SUMIF(Capacity_Resource,$F75,'Critical resources (hide)'!BM$6:BM$105)&gt;0,$E$1=2),0,1)</f>
        <v>1</v>
      </c>
      <c r="BA75" s="67">
        <f ca="1">IF(AND(SUMIF(Capacity_Resource,$D75,'Critical resources (hide)'!BN$6:BN$105)+SUMIF(Capacity_Resource,$E75,'Critical resources (hide)'!BN$6:BN$105)+SUMIF(Capacity_Resource,$F75,'Critical resources (hide)'!BN$6:BN$105)&gt;0,$E$1=2),0,1)</f>
        <v>1</v>
      </c>
      <c r="BB75" s="67">
        <f ca="1">IF(AND(SUMIF(Capacity_Resource,$D75,'Critical resources (hide)'!BO$6:BO$105)+SUMIF(Capacity_Resource,$E75,'Critical resources (hide)'!BO$6:BO$105)+SUMIF(Capacity_Resource,$F75,'Critical resources (hide)'!BO$6:BO$105)&gt;0,$E$1=2),0,1)</f>
        <v>1</v>
      </c>
      <c r="BC75" s="67">
        <f ca="1">IF(AND(SUMIF(Capacity_Resource,$D75,'Critical resources (hide)'!BP$6:BP$105)+SUMIF(Capacity_Resource,$E75,'Critical resources (hide)'!BP$6:BP$105)+SUMIF(Capacity_Resource,$F75,'Critical resources (hide)'!BP$6:BP$105)&gt;0,$E$1=2),0,1)</f>
        <v>1</v>
      </c>
      <c r="BD75" s="67">
        <f ca="1">IF(AND(SUMIF(Capacity_Resource,$D75,'Critical resources (hide)'!BQ$6:BQ$105)+SUMIF(Capacity_Resource,$E75,'Critical resources (hide)'!BQ$6:BQ$105)+SUMIF(Capacity_Resource,$F75,'Critical resources (hide)'!BQ$6:BQ$105)&gt;0,$E$1=2),0,1)</f>
        <v>1</v>
      </c>
      <c r="BE75" s="67">
        <f ca="1">IF(AND(SUMIF(Capacity_Resource,$D75,'Critical resources (hide)'!BR$6:BR$105)+SUMIF(Capacity_Resource,$E75,'Critical resources (hide)'!BR$6:BR$105)+SUMIF(Capacity_Resource,$F75,'Critical resources (hide)'!BR$6:BR$105)&gt;0,$E$1=2),0,1)</f>
        <v>1</v>
      </c>
      <c r="BF75" s="67">
        <f ca="1">IF(AND(SUMIF(Capacity_Resource,$D75,'Critical resources (hide)'!BS$6:BS$105)+SUMIF(Capacity_Resource,$E75,'Critical resources (hide)'!BS$6:BS$105)+SUMIF(Capacity_Resource,$F75,'Critical resources (hide)'!BS$6:BS$105)&gt;0,$E$1=2),0,1)</f>
        <v>1</v>
      </c>
      <c r="BG75" s="67">
        <f ca="1">IF(AND(SUMIF(Capacity_Resource,$D75,'Critical resources (hide)'!BT$6:BT$105)+SUMIF(Capacity_Resource,$E75,'Critical resources (hide)'!BT$6:BT$105)+SUMIF(Capacity_Resource,$F75,'Critical resources (hide)'!BT$6:BT$105)&gt;0,$E$1=2),0,1)</f>
        <v>1</v>
      </c>
      <c r="BH75" s="67">
        <f>IF(ROW(C71)&lt;=Capacity!$A$16,IF('Capacity summary'!$D$14="No",SUM(H75:BG75),'Capacity summary'!$E194),0)</f>
        <v>0</v>
      </c>
      <c r="BI75" s="5" t="str">
        <f>IF(BH75&gt;0,IF(BH75&lt;Capacity!E87,Capacity!F87,Capacity!H87/'Capacity calculation (hide)'!BH75),"")</f>
        <v/>
      </c>
      <c r="BK75" s="313">
        <f>IF($BI75&lt;&gt;"",IF('Capacity summary'!$D$14="Yes",IF(COUNTBLANK('Capacity summary'!$H194:$BG194)&lt;52,IF('Capacity summary'!H194&lt;&gt;"",IF(LOWER('Capacity summary'!H194)="x",$BI75*H75,VALUE('Capacity summary'!H194)),0),H75*$BI75),H75*$BI75),0)</f>
        <v>0</v>
      </c>
      <c r="BL75" s="313">
        <f>IF($BI75&lt;&gt;"",IF('Capacity summary'!$D$14="Yes",IF(COUNTBLANK('Capacity summary'!$H194:$BG194)&lt;52,IF('Capacity summary'!I194&lt;&gt;"",IF(LOWER('Capacity summary'!I194)="x",$BI75*I75,VALUE('Capacity summary'!I194)),0),I75*$BI75),I75*$BI75),0)</f>
        <v>0</v>
      </c>
      <c r="BM75" s="313">
        <f>IF($BI75&lt;&gt;"",IF('Capacity summary'!$D$14="Yes",IF(COUNTBLANK('Capacity summary'!$H194:$BG194)&lt;52,IF('Capacity summary'!J194&lt;&gt;"",IF(LOWER('Capacity summary'!J194)="x",$BI75*J75,VALUE('Capacity summary'!J194)),0),J75*$BI75),J75*$BI75),0)</f>
        <v>0</v>
      </c>
      <c r="BN75" s="313">
        <f>IF($BI75&lt;&gt;"",IF('Capacity summary'!$D$14="Yes",IF(COUNTBLANK('Capacity summary'!$H194:$BG194)&lt;52,IF('Capacity summary'!K194&lt;&gt;"",IF(LOWER('Capacity summary'!K194)="x",$BI75*K75,VALUE('Capacity summary'!K194)),0),K75*$BI75),K75*$BI75),0)</f>
        <v>0</v>
      </c>
      <c r="BO75" s="313">
        <f>IF($BI75&lt;&gt;"",IF('Capacity summary'!$D$14="Yes",IF(COUNTBLANK('Capacity summary'!$H194:$BG194)&lt;52,IF('Capacity summary'!L194&lt;&gt;"",IF(LOWER('Capacity summary'!L194)="x",$BI75*L75,VALUE('Capacity summary'!L194)),0),L75*$BI75),L75*$BI75),0)</f>
        <v>0</v>
      </c>
      <c r="BP75" s="313">
        <f>IF($BI75&lt;&gt;"",IF('Capacity summary'!$D$14="Yes",IF(COUNTBLANK('Capacity summary'!$H194:$BG194)&lt;52,IF('Capacity summary'!M194&lt;&gt;"",IF(LOWER('Capacity summary'!M194)="x",$BI75*M75,VALUE('Capacity summary'!M194)),0),M75*$BI75),M75*$BI75),0)</f>
        <v>0</v>
      </c>
      <c r="BQ75" s="313">
        <f>IF($BI75&lt;&gt;"",IF('Capacity summary'!$D$14="Yes",IF(COUNTBLANK('Capacity summary'!$H194:$BG194)&lt;52,IF('Capacity summary'!N194&lt;&gt;"",IF(LOWER('Capacity summary'!N194)="x",$BI75*N75,VALUE('Capacity summary'!N194)),0),N75*$BI75),N75*$BI75),0)</f>
        <v>0</v>
      </c>
      <c r="BR75" s="313">
        <f>IF($BI75&lt;&gt;"",IF('Capacity summary'!$D$14="Yes",IF(COUNTBLANK('Capacity summary'!$H194:$BG194)&lt;52,IF('Capacity summary'!O194&lt;&gt;"",IF(LOWER('Capacity summary'!O194)="x",$BI75*O75,VALUE('Capacity summary'!O194)),0),O75*$BI75),O75*$BI75),0)</f>
        <v>0</v>
      </c>
      <c r="BS75" s="313">
        <f>IF($BI75&lt;&gt;"",IF('Capacity summary'!$D$14="Yes",IF(COUNTBLANK('Capacity summary'!$H194:$BG194)&lt;52,IF('Capacity summary'!P194&lt;&gt;"",IF(LOWER('Capacity summary'!P194)="x",$BI75*P75,VALUE('Capacity summary'!P194)),0),P75*$BI75),P75*$BI75),0)</f>
        <v>0</v>
      </c>
      <c r="BT75" s="313">
        <f>IF($BI75&lt;&gt;"",IF('Capacity summary'!$D$14="Yes",IF(COUNTBLANK('Capacity summary'!$H194:$BG194)&lt;52,IF('Capacity summary'!Q194&lt;&gt;"",IF(LOWER('Capacity summary'!Q194)="x",$BI75*Q75,VALUE('Capacity summary'!Q194)),0),Q75*$BI75),Q75*$BI75),0)</f>
        <v>0</v>
      </c>
      <c r="BU75" s="313">
        <f>IF($BI75&lt;&gt;"",IF('Capacity summary'!$D$14="Yes",IF(COUNTBLANK('Capacity summary'!$H194:$BG194)&lt;52,IF('Capacity summary'!R194&lt;&gt;"",IF(LOWER('Capacity summary'!R194)="x",$BI75*R75,VALUE('Capacity summary'!R194)),0),R75*$BI75),R75*$BI75),0)</f>
        <v>0</v>
      </c>
      <c r="BV75" s="313">
        <f>IF($BI75&lt;&gt;"",IF('Capacity summary'!$D$14="Yes",IF(COUNTBLANK('Capacity summary'!$H194:$BG194)&lt;52,IF('Capacity summary'!S194&lt;&gt;"",IF(LOWER('Capacity summary'!S194)="x",$BI75*S75,VALUE('Capacity summary'!S194)),0),S75*$BI75),S75*$BI75),0)</f>
        <v>0</v>
      </c>
      <c r="BW75" s="313">
        <f>IF($BI75&lt;&gt;"",IF('Capacity summary'!$D$14="Yes",IF(COUNTBLANK('Capacity summary'!$H194:$BG194)&lt;52,IF('Capacity summary'!T194&lt;&gt;"",IF(LOWER('Capacity summary'!T194)="x",$BI75*T75,VALUE('Capacity summary'!T194)),0),T75*$BI75),T75*$BI75),0)</f>
        <v>0</v>
      </c>
      <c r="BX75" s="313">
        <f>IF($BI75&lt;&gt;"",IF('Capacity summary'!$D$14="Yes",IF(COUNTBLANK('Capacity summary'!$H194:$BG194)&lt;52,IF('Capacity summary'!U194&lt;&gt;"",IF(LOWER('Capacity summary'!U194)="x",$BI75*U75,VALUE('Capacity summary'!U194)),0),U75*$BI75),U75*$BI75),0)</f>
        <v>0</v>
      </c>
      <c r="BY75" s="313">
        <f>IF($BI75&lt;&gt;"",IF('Capacity summary'!$D$14="Yes",IF(COUNTBLANK('Capacity summary'!$H194:$BG194)&lt;52,IF('Capacity summary'!V194&lt;&gt;"",IF(LOWER('Capacity summary'!V194)="x",$BI75*V75,VALUE('Capacity summary'!V194)),0),V75*$BI75),V75*$BI75),0)</f>
        <v>0</v>
      </c>
      <c r="BZ75" s="313">
        <f>IF($BI75&lt;&gt;"",IF('Capacity summary'!$D$14="Yes",IF(COUNTBLANK('Capacity summary'!$H194:$BG194)&lt;52,IF('Capacity summary'!W194&lt;&gt;"",IF(LOWER('Capacity summary'!W194)="x",$BI75*W75,VALUE('Capacity summary'!W194)),0),W75*$BI75),W75*$BI75),0)</f>
        <v>0</v>
      </c>
      <c r="CA75" s="313">
        <f>IF($BI75&lt;&gt;"",IF('Capacity summary'!$D$14="Yes",IF(COUNTBLANK('Capacity summary'!$H194:$BG194)&lt;52,IF('Capacity summary'!X194&lt;&gt;"",IF(LOWER('Capacity summary'!X194)="x",$BI75*X75,VALUE('Capacity summary'!X194)),0),X75*$BI75),X75*$BI75),0)</f>
        <v>0</v>
      </c>
      <c r="CB75" s="313">
        <f>IF($BI75&lt;&gt;"",IF('Capacity summary'!$D$14="Yes",IF(COUNTBLANK('Capacity summary'!$H194:$BG194)&lt;52,IF('Capacity summary'!Y194&lt;&gt;"",IF(LOWER('Capacity summary'!Y194)="x",$BI75*Y75,VALUE('Capacity summary'!Y194)),0),Y75*$BI75),Y75*$BI75),0)</f>
        <v>0</v>
      </c>
      <c r="CC75" s="313">
        <f>IF($BI75&lt;&gt;"",IF('Capacity summary'!$D$14="Yes",IF(COUNTBLANK('Capacity summary'!$H194:$BG194)&lt;52,IF('Capacity summary'!Z194&lt;&gt;"",IF(LOWER('Capacity summary'!Z194)="x",$BI75*Z75,VALUE('Capacity summary'!Z194)),0),Z75*$BI75),Z75*$BI75),0)</f>
        <v>0</v>
      </c>
      <c r="CD75" s="313">
        <f>IF($BI75&lt;&gt;"",IF('Capacity summary'!$D$14="Yes",IF(COUNTBLANK('Capacity summary'!$H194:$BG194)&lt;52,IF('Capacity summary'!AA194&lt;&gt;"",IF(LOWER('Capacity summary'!AA194)="x",$BI75*AA75,VALUE('Capacity summary'!AA194)),0),AA75*$BI75),AA75*$BI75),0)</f>
        <v>0</v>
      </c>
      <c r="CE75" s="313">
        <f>IF($BI75&lt;&gt;"",IF('Capacity summary'!$D$14="Yes",IF(COUNTBLANK('Capacity summary'!$H194:$BG194)&lt;52,IF('Capacity summary'!AB194&lt;&gt;"",IF(LOWER('Capacity summary'!AB194)="x",$BI75*AB75,VALUE('Capacity summary'!AB194)),0),AB75*$BI75),AB75*$BI75),0)</f>
        <v>0</v>
      </c>
      <c r="CF75" s="313">
        <f>IF($BI75&lt;&gt;"",IF('Capacity summary'!$D$14="Yes",IF(COUNTBLANK('Capacity summary'!$H194:$BG194)&lt;52,IF('Capacity summary'!AC194&lt;&gt;"",IF(LOWER('Capacity summary'!AC194)="x",$BI75*AC75,VALUE('Capacity summary'!AC194)),0),AC75*$BI75),AC75*$BI75),0)</f>
        <v>0</v>
      </c>
      <c r="CG75" s="313">
        <f>IF($BI75&lt;&gt;"",IF('Capacity summary'!$D$14="Yes",IF(COUNTBLANK('Capacity summary'!$H194:$BG194)&lt;52,IF('Capacity summary'!AD194&lt;&gt;"",IF(LOWER('Capacity summary'!AD194)="x",$BI75*AD75,VALUE('Capacity summary'!AD194)),0),AD75*$BI75),AD75*$BI75),0)</f>
        <v>0</v>
      </c>
      <c r="CH75" s="313">
        <f>IF($BI75&lt;&gt;"",IF('Capacity summary'!$D$14="Yes",IF(COUNTBLANK('Capacity summary'!$H194:$BG194)&lt;52,IF('Capacity summary'!AE194&lt;&gt;"",IF(LOWER('Capacity summary'!AE194)="x",$BI75*AE75,VALUE('Capacity summary'!AE194)),0),AE75*$BI75),AE75*$BI75),0)</f>
        <v>0</v>
      </c>
      <c r="CI75" s="313">
        <f>IF($BI75&lt;&gt;"",IF('Capacity summary'!$D$14="Yes",IF(COUNTBLANK('Capacity summary'!$H194:$BG194)&lt;52,IF('Capacity summary'!AF194&lt;&gt;"",IF(LOWER('Capacity summary'!AF194)="x",$BI75*AF75,VALUE('Capacity summary'!AF194)),0),AF75*$BI75),AF75*$BI75),0)</f>
        <v>0</v>
      </c>
      <c r="CJ75" s="313">
        <f>IF($BI75&lt;&gt;"",IF('Capacity summary'!$D$14="Yes",IF(COUNTBLANK('Capacity summary'!$H194:$BG194)&lt;52,IF('Capacity summary'!AG194&lt;&gt;"",IF(LOWER('Capacity summary'!AG194)="x",$BI75*AG75,VALUE('Capacity summary'!AG194)),0),AG75*$BI75),AG75*$BI75),0)</f>
        <v>0</v>
      </c>
      <c r="CK75" s="313">
        <f>IF($BI75&lt;&gt;"",IF('Capacity summary'!$D$14="Yes",IF(COUNTBLANK('Capacity summary'!$H194:$BG194)&lt;52,IF('Capacity summary'!AH194&lt;&gt;"",IF(LOWER('Capacity summary'!AH194)="x",$BI75*AH75,VALUE('Capacity summary'!AH194)),0),AH75*$BI75),AH75*$BI75),0)</f>
        <v>0</v>
      </c>
      <c r="CL75" s="313">
        <f>IF($BI75&lt;&gt;"",IF('Capacity summary'!$D$14="Yes",IF(COUNTBLANK('Capacity summary'!$H194:$BG194)&lt;52,IF('Capacity summary'!AI194&lt;&gt;"",IF(LOWER('Capacity summary'!AI194)="x",$BI75*AI75,VALUE('Capacity summary'!AI194)),0),AI75*$BI75),AI75*$BI75),0)</f>
        <v>0</v>
      </c>
      <c r="CM75" s="313">
        <f>IF($BI75&lt;&gt;"",IF('Capacity summary'!$D$14="Yes",IF(COUNTBLANK('Capacity summary'!$H194:$BG194)&lt;52,IF('Capacity summary'!AJ194&lt;&gt;"",IF(LOWER('Capacity summary'!AJ194)="x",$BI75*AJ75,VALUE('Capacity summary'!AJ194)),0),AJ75*$BI75),AJ75*$BI75),0)</f>
        <v>0</v>
      </c>
      <c r="CN75" s="313">
        <f>IF($BI75&lt;&gt;"",IF('Capacity summary'!$D$14="Yes",IF(COUNTBLANK('Capacity summary'!$H194:$BG194)&lt;52,IF('Capacity summary'!AK194&lt;&gt;"",IF(LOWER('Capacity summary'!AK194)="x",$BI75*AK75,VALUE('Capacity summary'!AK194)),0),AK75*$BI75),AK75*$BI75),0)</f>
        <v>0</v>
      </c>
      <c r="CO75" s="313">
        <f>IF($BI75&lt;&gt;"",IF('Capacity summary'!$D$14="Yes",IF(COUNTBLANK('Capacity summary'!$H194:$BG194)&lt;52,IF('Capacity summary'!AL194&lt;&gt;"",IF(LOWER('Capacity summary'!AL194)="x",$BI75*AL75,VALUE('Capacity summary'!AL194)),0),AL75*$BI75),AL75*$BI75),0)</f>
        <v>0</v>
      </c>
      <c r="CP75" s="313">
        <f>IF($BI75&lt;&gt;"",IF('Capacity summary'!$D$14="Yes",IF(COUNTBLANK('Capacity summary'!$H194:$BG194)&lt;52,IF('Capacity summary'!AM194&lt;&gt;"",IF(LOWER('Capacity summary'!AM194)="x",$BI75*AM75,VALUE('Capacity summary'!AM194)),0),AM75*$BI75),AM75*$BI75),0)</f>
        <v>0</v>
      </c>
      <c r="CQ75" s="313">
        <f>IF($BI75&lt;&gt;"",IF('Capacity summary'!$D$14="Yes",IF(COUNTBLANK('Capacity summary'!$H194:$BG194)&lt;52,IF('Capacity summary'!AN194&lt;&gt;"",IF(LOWER('Capacity summary'!AN194)="x",$BI75*AN75,VALUE('Capacity summary'!AN194)),0),AN75*$BI75),AN75*$BI75),0)</f>
        <v>0</v>
      </c>
      <c r="CR75" s="313">
        <f>IF($BI75&lt;&gt;"",IF('Capacity summary'!$D$14="Yes",IF(COUNTBLANK('Capacity summary'!$H194:$BG194)&lt;52,IF('Capacity summary'!AO194&lt;&gt;"",IF(LOWER('Capacity summary'!AO194)="x",$BI75*AO75,VALUE('Capacity summary'!AO194)),0),AO75*$BI75),AO75*$BI75),0)</f>
        <v>0</v>
      </c>
      <c r="CS75" s="313">
        <f>IF($BI75&lt;&gt;"",IF('Capacity summary'!$D$14="Yes",IF(COUNTBLANK('Capacity summary'!$H194:$BG194)&lt;52,IF('Capacity summary'!AP194&lt;&gt;"",IF(LOWER('Capacity summary'!AP194)="x",$BI75*AP75,VALUE('Capacity summary'!AP194)),0),AP75*$BI75),AP75*$BI75),0)</f>
        <v>0</v>
      </c>
      <c r="CT75" s="313">
        <f>IF($BI75&lt;&gt;"",IF('Capacity summary'!$D$14="Yes",IF(COUNTBLANK('Capacity summary'!$H194:$BG194)&lt;52,IF('Capacity summary'!AQ194&lt;&gt;"",IF(LOWER('Capacity summary'!AQ194)="x",$BI75*AQ75,VALUE('Capacity summary'!AQ194)),0),AQ75*$BI75),AQ75*$BI75),0)</f>
        <v>0</v>
      </c>
      <c r="CU75" s="313">
        <f>IF($BI75&lt;&gt;"",IF('Capacity summary'!$D$14="Yes",IF(COUNTBLANK('Capacity summary'!$H194:$BG194)&lt;52,IF('Capacity summary'!AR194&lt;&gt;"",IF(LOWER('Capacity summary'!AR194)="x",$BI75*AR75,VALUE('Capacity summary'!AR194)),0),AR75*$BI75),AR75*$BI75),0)</f>
        <v>0</v>
      </c>
      <c r="CV75" s="313">
        <f>IF($BI75&lt;&gt;"",IF('Capacity summary'!$D$14="Yes",IF(COUNTBLANK('Capacity summary'!$H194:$BG194)&lt;52,IF('Capacity summary'!AS194&lt;&gt;"",IF(LOWER('Capacity summary'!AS194)="x",$BI75*AS75,VALUE('Capacity summary'!AS194)),0),AS75*$BI75),AS75*$BI75),0)</f>
        <v>0</v>
      </c>
      <c r="CW75" s="313">
        <f>IF($BI75&lt;&gt;"",IF('Capacity summary'!$D$14="Yes",IF(COUNTBLANK('Capacity summary'!$H194:$BG194)&lt;52,IF('Capacity summary'!AT194&lt;&gt;"",IF(LOWER('Capacity summary'!AT194)="x",$BI75*AT75,VALUE('Capacity summary'!AT194)),0),AT75*$BI75),AT75*$BI75),0)</f>
        <v>0</v>
      </c>
      <c r="CX75" s="313">
        <f>IF($BI75&lt;&gt;"",IF('Capacity summary'!$D$14="Yes",IF(COUNTBLANK('Capacity summary'!$H194:$BG194)&lt;52,IF('Capacity summary'!AU194&lt;&gt;"",IF(LOWER('Capacity summary'!AU194)="x",$BI75*AU75,VALUE('Capacity summary'!AU194)),0),AU75*$BI75),AU75*$BI75),0)</f>
        <v>0</v>
      </c>
      <c r="CY75" s="313">
        <f>IF($BI75&lt;&gt;"",IF('Capacity summary'!$D$14="Yes",IF(COUNTBLANK('Capacity summary'!$H194:$BG194)&lt;52,IF('Capacity summary'!AV194&lt;&gt;"",IF(LOWER('Capacity summary'!AV194)="x",$BI75*AV75,VALUE('Capacity summary'!AV194)),0),AV75*$BI75),AV75*$BI75),0)</f>
        <v>0</v>
      </c>
      <c r="CZ75" s="313">
        <f>IF($BI75&lt;&gt;"",IF('Capacity summary'!$D$14="Yes",IF(COUNTBLANK('Capacity summary'!$H194:$BG194)&lt;52,IF('Capacity summary'!AW194&lt;&gt;"",IF(LOWER('Capacity summary'!AW194)="x",$BI75*AW75,VALUE('Capacity summary'!AW194)),0),AW75*$BI75),AW75*$BI75),0)</f>
        <v>0</v>
      </c>
      <c r="DA75" s="313">
        <f>IF($BI75&lt;&gt;"",IF('Capacity summary'!$D$14="Yes",IF(COUNTBLANK('Capacity summary'!$H194:$BG194)&lt;52,IF('Capacity summary'!AX194&lt;&gt;"",IF(LOWER('Capacity summary'!AX194)="x",$BI75*AX75,VALUE('Capacity summary'!AX194)),0),AX75*$BI75),AX75*$BI75),0)</f>
        <v>0</v>
      </c>
      <c r="DB75" s="313">
        <f>IF($BI75&lt;&gt;"",IF('Capacity summary'!$D$14="Yes",IF(COUNTBLANK('Capacity summary'!$H194:$BG194)&lt;52,IF('Capacity summary'!AY194&lt;&gt;"",IF(LOWER('Capacity summary'!AY194)="x",$BI75*AY75,VALUE('Capacity summary'!AY194)),0),AY75*$BI75),AY75*$BI75),0)</f>
        <v>0</v>
      </c>
      <c r="DC75" s="313">
        <f>IF($BI75&lt;&gt;"",IF('Capacity summary'!$D$14="Yes",IF(COUNTBLANK('Capacity summary'!$H194:$BG194)&lt;52,IF('Capacity summary'!AZ194&lt;&gt;"",IF(LOWER('Capacity summary'!AZ194)="x",$BI75*AZ75,VALUE('Capacity summary'!AZ194)),0),AZ75*$BI75),AZ75*$BI75),0)</f>
        <v>0</v>
      </c>
      <c r="DD75" s="313">
        <f>IF($BI75&lt;&gt;"",IF('Capacity summary'!$D$14="Yes",IF(COUNTBLANK('Capacity summary'!$H194:$BG194)&lt;52,IF('Capacity summary'!BA194&lt;&gt;"",IF(LOWER('Capacity summary'!BA194)="x",$BI75*BA75,VALUE('Capacity summary'!BA194)),0),BA75*$BI75),BA75*$BI75),0)</f>
        <v>0</v>
      </c>
      <c r="DE75" s="313">
        <f>IF($BI75&lt;&gt;"",IF('Capacity summary'!$D$14="Yes",IF(COUNTBLANK('Capacity summary'!$H194:$BG194)&lt;52,IF('Capacity summary'!BB194&lt;&gt;"",IF(LOWER('Capacity summary'!BB194)="x",$BI75*BB75,VALUE('Capacity summary'!BB194)),0),BB75*$BI75),BB75*$BI75),0)</f>
        <v>0</v>
      </c>
      <c r="DF75" s="313">
        <f>IF($BI75&lt;&gt;"",IF('Capacity summary'!$D$14="Yes",IF(COUNTBLANK('Capacity summary'!$H194:$BG194)&lt;52,IF('Capacity summary'!BC194&lt;&gt;"",IF(LOWER('Capacity summary'!BC194)="x",$BI75*BC75,VALUE('Capacity summary'!BC194)),0),BC75*$BI75),BC75*$BI75),0)</f>
        <v>0</v>
      </c>
      <c r="DG75" s="313">
        <f>IF($BI75&lt;&gt;"",IF('Capacity summary'!$D$14="Yes",IF(COUNTBLANK('Capacity summary'!$H194:$BG194)&lt;52,IF('Capacity summary'!BD194&lt;&gt;"",IF(LOWER('Capacity summary'!BD194)="x",$BI75*BD75,VALUE('Capacity summary'!BD194)),0),BD75*$BI75),BD75*$BI75),0)</f>
        <v>0</v>
      </c>
      <c r="DH75" s="313">
        <f>IF($BI75&lt;&gt;"",IF('Capacity summary'!$D$14="Yes",IF(COUNTBLANK('Capacity summary'!$H194:$BG194)&lt;52,IF('Capacity summary'!BE194&lt;&gt;"",IF(LOWER('Capacity summary'!BE194)="x",$BI75*BE75,VALUE('Capacity summary'!BE194)),0),BE75*$BI75),BE75*$BI75),0)</f>
        <v>0</v>
      </c>
      <c r="DI75" s="313">
        <f>IF($BI75&lt;&gt;"",IF('Capacity summary'!$D$14="Yes",IF(COUNTBLANK('Capacity summary'!$H194:$BG194)&lt;52,IF('Capacity summary'!BF194&lt;&gt;"",IF(LOWER('Capacity summary'!BF194)="x",$BI75*BF75,VALUE('Capacity summary'!BF194)),0),BF75*$BI75),BF75*$BI75),0)</f>
        <v>0</v>
      </c>
      <c r="DJ75" s="313">
        <f>IF($BI75&lt;&gt;"",IF('Capacity summary'!$D$14="Yes",IF(COUNTBLANK('Capacity summary'!$H194:$BG194)&lt;52,IF('Capacity summary'!BG194&lt;&gt;"",IF(LOWER('Capacity summary'!BG194)="x",$BI75*BG75,VALUE('Capacity summary'!BG194)),0),BG75*$BI75),BG75*$BI75),0)</f>
        <v>0</v>
      </c>
      <c r="DK75" s="137">
        <f t="shared" si="3"/>
        <v>0</v>
      </c>
      <c r="DL75" s="313" t="str">
        <f>Capacity!H87</f>
        <v/>
      </c>
    </row>
    <row r="76" spans="2:116" x14ac:dyDescent="0.25">
      <c r="B76" s="67"/>
      <c r="C76" s="67" t="str">
        <f>ROW(A72)&amp;". "&amp;Capacity!B88</f>
        <v xml:space="preserve">72. </v>
      </c>
      <c r="D76" s="67">
        <f>'Capacity setup'!C83</f>
        <v>0</v>
      </c>
      <c r="E76" s="67">
        <f>'Capacity setup'!D83</f>
        <v>0</v>
      </c>
      <c r="F76" s="67">
        <f>'Capacity setup'!E83</f>
        <v>0</v>
      </c>
      <c r="H76" s="67">
        <f ca="1">IF(AND(SUMIF(Capacity_Resource,$D76,'Critical resources (hide)'!U$6:U$105)+SUMIF(Capacity_Resource,$E76,'Critical resources (hide)'!U$6:U$105)+SUMIF(Capacity_Resource,$F76,'Critical resources (hide)'!U$6:U$105)&gt;0,$E$1=2),0,1)</f>
        <v>1</v>
      </c>
      <c r="I76" s="67">
        <f ca="1">IF(AND(SUMIF(Capacity_Resource,$D76,'Critical resources (hide)'!V$6:V$105)+SUMIF(Capacity_Resource,$E76,'Critical resources (hide)'!V$6:V$105)+SUMIF(Capacity_Resource,$F76,'Critical resources (hide)'!V$6:V$105)&gt;0,$E$1=2),0,1)</f>
        <v>1</v>
      </c>
      <c r="J76" s="67">
        <f ca="1">IF(AND(SUMIF(Capacity_Resource,$D76,'Critical resources (hide)'!W$6:W$105)+SUMIF(Capacity_Resource,$E76,'Critical resources (hide)'!W$6:W$105)+SUMIF(Capacity_Resource,$F76,'Critical resources (hide)'!W$6:W$105)&gt;0,$E$1=2),0,1)</f>
        <v>1</v>
      </c>
      <c r="K76" s="67">
        <f ca="1">IF(AND(SUMIF(Capacity_Resource,$D76,'Critical resources (hide)'!X$6:X$105)+SUMIF(Capacity_Resource,$E76,'Critical resources (hide)'!X$6:X$105)+SUMIF(Capacity_Resource,$F76,'Critical resources (hide)'!X$6:X$105)&gt;0,$E$1=2),0,1)</f>
        <v>1</v>
      </c>
      <c r="L76" s="67">
        <f ca="1">IF(AND(SUMIF(Capacity_Resource,$D76,'Critical resources (hide)'!Y$6:Y$105)+SUMIF(Capacity_Resource,$E76,'Critical resources (hide)'!Y$6:Y$105)+SUMIF(Capacity_Resource,$F76,'Critical resources (hide)'!Y$6:Y$105)&gt;0,$E$1=2),0,1)</f>
        <v>1</v>
      </c>
      <c r="M76" s="67">
        <f ca="1">IF(AND(SUMIF(Capacity_Resource,$D76,'Critical resources (hide)'!Z$6:Z$105)+SUMIF(Capacity_Resource,$E76,'Critical resources (hide)'!Z$6:Z$105)+SUMIF(Capacity_Resource,$F76,'Critical resources (hide)'!Z$6:Z$105)&gt;0,$E$1=2),0,1)</f>
        <v>1</v>
      </c>
      <c r="N76" s="67">
        <f ca="1">IF(AND(SUMIF(Capacity_Resource,$D76,'Critical resources (hide)'!AA$6:AA$105)+SUMIF(Capacity_Resource,$E76,'Critical resources (hide)'!AA$6:AA$105)+SUMIF(Capacity_Resource,$F76,'Critical resources (hide)'!AA$6:AA$105)&gt;0,$E$1=2),0,1)</f>
        <v>1</v>
      </c>
      <c r="O76" s="67">
        <f ca="1">IF(AND(SUMIF(Capacity_Resource,$D76,'Critical resources (hide)'!AB$6:AB$105)+SUMIF(Capacity_Resource,$E76,'Critical resources (hide)'!AB$6:AB$105)+SUMIF(Capacity_Resource,$F76,'Critical resources (hide)'!AB$6:AB$105)&gt;0,$E$1=2),0,1)</f>
        <v>1</v>
      </c>
      <c r="P76" s="67">
        <f ca="1">IF(AND(SUMIF(Capacity_Resource,$D76,'Critical resources (hide)'!AC$6:AC$105)+SUMIF(Capacity_Resource,$E76,'Critical resources (hide)'!AC$6:AC$105)+SUMIF(Capacity_Resource,$F76,'Critical resources (hide)'!AC$6:AC$105)&gt;0,$E$1=2),0,1)</f>
        <v>1</v>
      </c>
      <c r="Q76" s="67">
        <f ca="1">IF(AND(SUMIF(Capacity_Resource,$D76,'Critical resources (hide)'!AD$6:AD$105)+SUMIF(Capacity_Resource,$E76,'Critical resources (hide)'!AD$6:AD$105)+SUMIF(Capacity_Resource,$F76,'Critical resources (hide)'!AD$6:AD$105)&gt;0,$E$1=2),0,1)</f>
        <v>1</v>
      </c>
      <c r="R76" s="67">
        <f ca="1">IF(AND(SUMIF(Capacity_Resource,$D76,'Critical resources (hide)'!AE$6:AE$105)+SUMIF(Capacity_Resource,$E76,'Critical resources (hide)'!AE$6:AE$105)+SUMIF(Capacity_Resource,$F76,'Critical resources (hide)'!AE$6:AE$105)&gt;0,$E$1=2),0,1)</f>
        <v>1</v>
      </c>
      <c r="S76" s="67">
        <f ca="1">IF(AND(SUMIF(Capacity_Resource,$D76,'Critical resources (hide)'!AF$6:AF$105)+SUMIF(Capacity_Resource,$E76,'Critical resources (hide)'!AF$6:AF$105)+SUMIF(Capacity_Resource,$F76,'Critical resources (hide)'!AF$6:AF$105)&gt;0,$E$1=2),0,1)</f>
        <v>1</v>
      </c>
      <c r="T76" s="67">
        <f ca="1">IF(AND(SUMIF(Capacity_Resource,$D76,'Critical resources (hide)'!AG$6:AG$105)+SUMIF(Capacity_Resource,$E76,'Critical resources (hide)'!AG$6:AG$105)+SUMIF(Capacity_Resource,$F76,'Critical resources (hide)'!AG$6:AG$105)&gt;0,$E$1=2),0,1)</f>
        <v>1</v>
      </c>
      <c r="U76" s="67">
        <f ca="1">IF(AND(SUMIF(Capacity_Resource,$D76,'Critical resources (hide)'!AH$6:AH$105)+SUMIF(Capacity_Resource,$E76,'Critical resources (hide)'!AH$6:AH$105)+SUMIF(Capacity_Resource,$F76,'Critical resources (hide)'!AH$6:AH$105)&gt;0,$E$1=2),0,1)</f>
        <v>1</v>
      </c>
      <c r="V76" s="67">
        <f ca="1">IF(AND(SUMIF(Capacity_Resource,$D76,'Critical resources (hide)'!AI$6:AI$105)+SUMIF(Capacity_Resource,$E76,'Critical resources (hide)'!AI$6:AI$105)+SUMIF(Capacity_Resource,$F76,'Critical resources (hide)'!AI$6:AI$105)&gt;0,$E$1=2),0,1)</f>
        <v>1</v>
      </c>
      <c r="W76" s="67">
        <f ca="1">IF(AND(SUMIF(Capacity_Resource,$D76,'Critical resources (hide)'!AJ$6:AJ$105)+SUMIF(Capacity_Resource,$E76,'Critical resources (hide)'!AJ$6:AJ$105)+SUMIF(Capacity_Resource,$F76,'Critical resources (hide)'!AJ$6:AJ$105)&gt;0,$E$1=2),0,1)</f>
        <v>1</v>
      </c>
      <c r="X76" s="67">
        <f ca="1">IF(AND(SUMIF(Capacity_Resource,$D76,'Critical resources (hide)'!AK$6:AK$105)+SUMIF(Capacity_Resource,$E76,'Critical resources (hide)'!AK$6:AK$105)+SUMIF(Capacity_Resource,$F76,'Critical resources (hide)'!AK$6:AK$105)&gt;0,$E$1=2),0,1)</f>
        <v>1</v>
      </c>
      <c r="Y76" s="67">
        <f ca="1">IF(AND(SUMIF(Capacity_Resource,$D76,'Critical resources (hide)'!AL$6:AL$105)+SUMIF(Capacity_Resource,$E76,'Critical resources (hide)'!AL$6:AL$105)+SUMIF(Capacity_Resource,$F76,'Critical resources (hide)'!AL$6:AL$105)&gt;0,$E$1=2),0,1)</f>
        <v>1</v>
      </c>
      <c r="Z76" s="67">
        <f ca="1">IF(AND(SUMIF(Capacity_Resource,$D76,'Critical resources (hide)'!AM$6:AM$105)+SUMIF(Capacity_Resource,$E76,'Critical resources (hide)'!AM$6:AM$105)+SUMIF(Capacity_Resource,$F76,'Critical resources (hide)'!AM$6:AM$105)&gt;0,$E$1=2),0,1)</f>
        <v>1</v>
      </c>
      <c r="AA76" s="67">
        <f ca="1">IF(AND(SUMIF(Capacity_Resource,$D76,'Critical resources (hide)'!AN$6:AN$105)+SUMIF(Capacity_Resource,$E76,'Critical resources (hide)'!AN$6:AN$105)+SUMIF(Capacity_Resource,$F76,'Critical resources (hide)'!AN$6:AN$105)&gt;0,$E$1=2),0,1)</f>
        <v>1</v>
      </c>
      <c r="AB76" s="67">
        <f ca="1">IF(AND(SUMIF(Capacity_Resource,$D76,'Critical resources (hide)'!AO$6:AO$105)+SUMIF(Capacity_Resource,$E76,'Critical resources (hide)'!AO$6:AO$105)+SUMIF(Capacity_Resource,$F76,'Critical resources (hide)'!AO$6:AO$105)&gt;0,$E$1=2),0,1)</f>
        <v>1</v>
      </c>
      <c r="AC76" s="67">
        <f ca="1">IF(AND(SUMIF(Capacity_Resource,$D76,'Critical resources (hide)'!AP$6:AP$105)+SUMIF(Capacity_Resource,$E76,'Critical resources (hide)'!AP$6:AP$105)+SUMIF(Capacity_Resource,$F76,'Critical resources (hide)'!AP$6:AP$105)&gt;0,$E$1=2),0,1)</f>
        <v>1</v>
      </c>
      <c r="AD76" s="67">
        <f ca="1">IF(AND(SUMIF(Capacity_Resource,$D76,'Critical resources (hide)'!AQ$6:AQ$105)+SUMIF(Capacity_Resource,$E76,'Critical resources (hide)'!AQ$6:AQ$105)+SUMIF(Capacity_Resource,$F76,'Critical resources (hide)'!AQ$6:AQ$105)&gt;0,$E$1=2),0,1)</f>
        <v>1</v>
      </c>
      <c r="AE76" s="67">
        <f ca="1">IF(AND(SUMIF(Capacity_Resource,$D76,'Critical resources (hide)'!AR$6:AR$105)+SUMIF(Capacity_Resource,$E76,'Critical resources (hide)'!AR$6:AR$105)+SUMIF(Capacity_Resource,$F76,'Critical resources (hide)'!AR$6:AR$105)&gt;0,$E$1=2),0,1)</f>
        <v>1</v>
      </c>
      <c r="AF76" s="67">
        <f ca="1">IF(AND(SUMIF(Capacity_Resource,$D76,'Critical resources (hide)'!AS$6:AS$105)+SUMIF(Capacity_Resource,$E76,'Critical resources (hide)'!AS$6:AS$105)+SUMIF(Capacity_Resource,$F76,'Critical resources (hide)'!AS$6:AS$105)&gt;0,$E$1=2),0,1)</f>
        <v>1</v>
      </c>
      <c r="AG76" s="67">
        <f ca="1">IF(AND(SUMIF(Capacity_Resource,$D76,'Critical resources (hide)'!AT$6:AT$105)+SUMIF(Capacity_Resource,$E76,'Critical resources (hide)'!AT$6:AT$105)+SUMIF(Capacity_Resource,$F76,'Critical resources (hide)'!AT$6:AT$105)&gt;0,$E$1=2),0,1)</f>
        <v>1</v>
      </c>
      <c r="AH76" s="67">
        <f ca="1">IF(AND(SUMIF(Capacity_Resource,$D76,'Critical resources (hide)'!AU$6:AU$105)+SUMIF(Capacity_Resource,$E76,'Critical resources (hide)'!AU$6:AU$105)+SUMIF(Capacity_Resource,$F76,'Critical resources (hide)'!AU$6:AU$105)&gt;0,$E$1=2),0,1)</f>
        <v>1</v>
      </c>
      <c r="AI76" s="67">
        <f ca="1">IF(AND(SUMIF(Capacity_Resource,$D76,'Critical resources (hide)'!AV$6:AV$105)+SUMIF(Capacity_Resource,$E76,'Critical resources (hide)'!AV$6:AV$105)+SUMIF(Capacity_Resource,$F76,'Critical resources (hide)'!AV$6:AV$105)&gt;0,$E$1=2),0,1)</f>
        <v>1</v>
      </c>
      <c r="AJ76" s="67">
        <f ca="1">IF(AND(SUMIF(Capacity_Resource,$D76,'Critical resources (hide)'!AW$6:AW$105)+SUMIF(Capacity_Resource,$E76,'Critical resources (hide)'!AW$6:AW$105)+SUMIF(Capacity_Resource,$F76,'Critical resources (hide)'!AW$6:AW$105)&gt;0,$E$1=2),0,1)</f>
        <v>1</v>
      </c>
      <c r="AK76" s="67">
        <f ca="1">IF(AND(SUMIF(Capacity_Resource,$D76,'Critical resources (hide)'!AX$6:AX$105)+SUMIF(Capacity_Resource,$E76,'Critical resources (hide)'!AX$6:AX$105)+SUMIF(Capacity_Resource,$F76,'Critical resources (hide)'!AX$6:AX$105)&gt;0,$E$1=2),0,1)</f>
        <v>1</v>
      </c>
      <c r="AL76" s="67">
        <f ca="1">IF(AND(SUMIF(Capacity_Resource,$D76,'Critical resources (hide)'!AY$6:AY$105)+SUMIF(Capacity_Resource,$E76,'Critical resources (hide)'!AY$6:AY$105)+SUMIF(Capacity_Resource,$F76,'Critical resources (hide)'!AY$6:AY$105)&gt;0,$E$1=2),0,1)</f>
        <v>1</v>
      </c>
      <c r="AM76" s="67">
        <f ca="1">IF(AND(SUMIF(Capacity_Resource,$D76,'Critical resources (hide)'!AZ$6:AZ$105)+SUMIF(Capacity_Resource,$E76,'Critical resources (hide)'!AZ$6:AZ$105)+SUMIF(Capacity_Resource,$F76,'Critical resources (hide)'!AZ$6:AZ$105)&gt;0,$E$1=2),0,1)</f>
        <v>1</v>
      </c>
      <c r="AN76" s="67">
        <f ca="1">IF(AND(SUMIF(Capacity_Resource,$D76,'Critical resources (hide)'!BA$6:BA$105)+SUMIF(Capacity_Resource,$E76,'Critical resources (hide)'!BA$6:BA$105)+SUMIF(Capacity_Resource,$F76,'Critical resources (hide)'!BA$6:BA$105)&gt;0,$E$1=2),0,1)</f>
        <v>1</v>
      </c>
      <c r="AO76" s="67">
        <f ca="1">IF(AND(SUMIF(Capacity_Resource,$D76,'Critical resources (hide)'!BB$6:BB$105)+SUMIF(Capacity_Resource,$E76,'Critical resources (hide)'!BB$6:BB$105)+SUMIF(Capacity_Resource,$F76,'Critical resources (hide)'!BB$6:BB$105)&gt;0,$E$1=2),0,1)</f>
        <v>1</v>
      </c>
      <c r="AP76" s="67">
        <f ca="1">IF(AND(SUMIF(Capacity_Resource,$D76,'Critical resources (hide)'!BC$6:BC$105)+SUMIF(Capacity_Resource,$E76,'Critical resources (hide)'!BC$6:BC$105)+SUMIF(Capacity_Resource,$F76,'Critical resources (hide)'!BC$6:BC$105)&gt;0,$E$1=2),0,1)</f>
        <v>1</v>
      </c>
      <c r="AQ76" s="67">
        <f ca="1">IF(AND(SUMIF(Capacity_Resource,$D76,'Critical resources (hide)'!BD$6:BD$105)+SUMIF(Capacity_Resource,$E76,'Critical resources (hide)'!BD$6:BD$105)+SUMIF(Capacity_Resource,$F76,'Critical resources (hide)'!BD$6:BD$105)&gt;0,$E$1=2),0,1)</f>
        <v>1</v>
      </c>
      <c r="AR76" s="67">
        <f ca="1">IF(AND(SUMIF(Capacity_Resource,$D76,'Critical resources (hide)'!BE$6:BE$105)+SUMIF(Capacity_Resource,$E76,'Critical resources (hide)'!BE$6:BE$105)+SUMIF(Capacity_Resource,$F76,'Critical resources (hide)'!BE$6:BE$105)&gt;0,$E$1=2),0,1)</f>
        <v>1</v>
      </c>
      <c r="AS76" s="67">
        <f ca="1">IF(AND(SUMIF(Capacity_Resource,$D76,'Critical resources (hide)'!BF$6:BF$105)+SUMIF(Capacity_Resource,$E76,'Critical resources (hide)'!BF$6:BF$105)+SUMIF(Capacity_Resource,$F76,'Critical resources (hide)'!BF$6:BF$105)&gt;0,$E$1=2),0,1)</f>
        <v>1</v>
      </c>
      <c r="AT76" s="67">
        <f ca="1">IF(AND(SUMIF(Capacity_Resource,$D76,'Critical resources (hide)'!BG$6:BG$105)+SUMIF(Capacity_Resource,$E76,'Critical resources (hide)'!BG$6:BG$105)+SUMIF(Capacity_Resource,$F76,'Critical resources (hide)'!BG$6:BG$105)&gt;0,$E$1=2),0,1)</f>
        <v>1</v>
      </c>
      <c r="AU76" s="67">
        <f ca="1">IF(AND(SUMIF(Capacity_Resource,$D76,'Critical resources (hide)'!BH$6:BH$105)+SUMIF(Capacity_Resource,$E76,'Critical resources (hide)'!BH$6:BH$105)+SUMIF(Capacity_Resource,$F76,'Critical resources (hide)'!BH$6:BH$105)&gt;0,$E$1=2),0,1)</f>
        <v>1</v>
      </c>
      <c r="AV76" s="67">
        <f ca="1">IF(AND(SUMIF(Capacity_Resource,$D76,'Critical resources (hide)'!BI$6:BI$105)+SUMIF(Capacity_Resource,$E76,'Critical resources (hide)'!BI$6:BI$105)+SUMIF(Capacity_Resource,$F76,'Critical resources (hide)'!BI$6:BI$105)&gt;0,$E$1=2),0,1)</f>
        <v>1</v>
      </c>
      <c r="AW76" s="67">
        <f ca="1">IF(AND(SUMIF(Capacity_Resource,$D76,'Critical resources (hide)'!BJ$6:BJ$105)+SUMIF(Capacity_Resource,$E76,'Critical resources (hide)'!BJ$6:BJ$105)+SUMIF(Capacity_Resource,$F76,'Critical resources (hide)'!BJ$6:BJ$105)&gt;0,$E$1=2),0,1)</f>
        <v>1</v>
      </c>
      <c r="AX76" s="67">
        <f ca="1">IF(AND(SUMIF(Capacity_Resource,$D76,'Critical resources (hide)'!BK$6:BK$105)+SUMIF(Capacity_Resource,$E76,'Critical resources (hide)'!BK$6:BK$105)+SUMIF(Capacity_Resource,$F76,'Critical resources (hide)'!BK$6:BK$105)&gt;0,$E$1=2),0,1)</f>
        <v>1</v>
      </c>
      <c r="AY76" s="67">
        <f ca="1">IF(AND(SUMIF(Capacity_Resource,$D76,'Critical resources (hide)'!BL$6:BL$105)+SUMIF(Capacity_Resource,$E76,'Critical resources (hide)'!BL$6:BL$105)+SUMIF(Capacity_Resource,$F76,'Critical resources (hide)'!BL$6:BL$105)&gt;0,$E$1=2),0,1)</f>
        <v>1</v>
      </c>
      <c r="AZ76" s="67">
        <f ca="1">IF(AND(SUMIF(Capacity_Resource,$D76,'Critical resources (hide)'!BM$6:BM$105)+SUMIF(Capacity_Resource,$E76,'Critical resources (hide)'!BM$6:BM$105)+SUMIF(Capacity_Resource,$F76,'Critical resources (hide)'!BM$6:BM$105)&gt;0,$E$1=2),0,1)</f>
        <v>1</v>
      </c>
      <c r="BA76" s="67">
        <f ca="1">IF(AND(SUMIF(Capacity_Resource,$D76,'Critical resources (hide)'!BN$6:BN$105)+SUMIF(Capacity_Resource,$E76,'Critical resources (hide)'!BN$6:BN$105)+SUMIF(Capacity_Resource,$F76,'Critical resources (hide)'!BN$6:BN$105)&gt;0,$E$1=2),0,1)</f>
        <v>1</v>
      </c>
      <c r="BB76" s="67">
        <f ca="1">IF(AND(SUMIF(Capacity_Resource,$D76,'Critical resources (hide)'!BO$6:BO$105)+SUMIF(Capacity_Resource,$E76,'Critical resources (hide)'!BO$6:BO$105)+SUMIF(Capacity_Resource,$F76,'Critical resources (hide)'!BO$6:BO$105)&gt;0,$E$1=2),0,1)</f>
        <v>1</v>
      </c>
      <c r="BC76" s="67">
        <f ca="1">IF(AND(SUMIF(Capacity_Resource,$D76,'Critical resources (hide)'!BP$6:BP$105)+SUMIF(Capacity_Resource,$E76,'Critical resources (hide)'!BP$6:BP$105)+SUMIF(Capacity_Resource,$F76,'Critical resources (hide)'!BP$6:BP$105)&gt;0,$E$1=2),0,1)</f>
        <v>1</v>
      </c>
      <c r="BD76" s="67">
        <f ca="1">IF(AND(SUMIF(Capacity_Resource,$D76,'Critical resources (hide)'!BQ$6:BQ$105)+SUMIF(Capacity_Resource,$E76,'Critical resources (hide)'!BQ$6:BQ$105)+SUMIF(Capacity_Resource,$F76,'Critical resources (hide)'!BQ$6:BQ$105)&gt;0,$E$1=2),0,1)</f>
        <v>1</v>
      </c>
      <c r="BE76" s="67">
        <f ca="1">IF(AND(SUMIF(Capacity_Resource,$D76,'Critical resources (hide)'!BR$6:BR$105)+SUMIF(Capacity_Resource,$E76,'Critical resources (hide)'!BR$6:BR$105)+SUMIF(Capacity_Resource,$F76,'Critical resources (hide)'!BR$6:BR$105)&gt;0,$E$1=2),0,1)</f>
        <v>1</v>
      </c>
      <c r="BF76" s="67">
        <f ca="1">IF(AND(SUMIF(Capacity_Resource,$D76,'Critical resources (hide)'!BS$6:BS$105)+SUMIF(Capacity_Resource,$E76,'Critical resources (hide)'!BS$6:BS$105)+SUMIF(Capacity_Resource,$F76,'Critical resources (hide)'!BS$6:BS$105)&gt;0,$E$1=2),0,1)</f>
        <v>1</v>
      </c>
      <c r="BG76" s="67">
        <f ca="1">IF(AND(SUMIF(Capacity_Resource,$D76,'Critical resources (hide)'!BT$6:BT$105)+SUMIF(Capacity_Resource,$E76,'Critical resources (hide)'!BT$6:BT$105)+SUMIF(Capacity_Resource,$F76,'Critical resources (hide)'!BT$6:BT$105)&gt;0,$E$1=2),0,1)</f>
        <v>1</v>
      </c>
      <c r="BH76" s="67">
        <f>IF(ROW(C72)&lt;=Capacity!$A$16,IF('Capacity summary'!$D$14="No",SUM(H76:BG76),'Capacity summary'!$E195),0)</f>
        <v>0</v>
      </c>
      <c r="BI76" s="5" t="str">
        <f>IF(BH76&gt;0,IF(BH76&lt;Capacity!E88,Capacity!F88,Capacity!H88/'Capacity calculation (hide)'!BH76),"")</f>
        <v/>
      </c>
      <c r="BK76" s="313">
        <f>IF($BI76&lt;&gt;"",IF('Capacity summary'!$D$14="Yes",IF(COUNTBLANK('Capacity summary'!$H195:$BG195)&lt;52,IF('Capacity summary'!H195&lt;&gt;"",IF(LOWER('Capacity summary'!H195)="x",$BI76*H76,VALUE('Capacity summary'!H195)),0),H76*$BI76),H76*$BI76),0)</f>
        <v>0</v>
      </c>
      <c r="BL76" s="313">
        <f>IF($BI76&lt;&gt;"",IF('Capacity summary'!$D$14="Yes",IF(COUNTBLANK('Capacity summary'!$H195:$BG195)&lt;52,IF('Capacity summary'!I195&lt;&gt;"",IF(LOWER('Capacity summary'!I195)="x",$BI76*I76,VALUE('Capacity summary'!I195)),0),I76*$BI76),I76*$BI76),0)</f>
        <v>0</v>
      </c>
      <c r="BM76" s="313">
        <f>IF($BI76&lt;&gt;"",IF('Capacity summary'!$D$14="Yes",IF(COUNTBLANK('Capacity summary'!$H195:$BG195)&lt;52,IF('Capacity summary'!J195&lt;&gt;"",IF(LOWER('Capacity summary'!J195)="x",$BI76*J76,VALUE('Capacity summary'!J195)),0),J76*$BI76),J76*$BI76),0)</f>
        <v>0</v>
      </c>
      <c r="BN76" s="313">
        <f>IF($BI76&lt;&gt;"",IF('Capacity summary'!$D$14="Yes",IF(COUNTBLANK('Capacity summary'!$H195:$BG195)&lt;52,IF('Capacity summary'!K195&lt;&gt;"",IF(LOWER('Capacity summary'!K195)="x",$BI76*K76,VALUE('Capacity summary'!K195)),0),K76*$BI76),K76*$BI76),0)</f>
        <v>0</v>
      </c>
      <c r="BO76" s="313">
        <f>IF($BI76&lt;&gt;"",IF('Capacity summary'!$D$14="Yes",IF(COUNTBLANK('Capacity summary'!$H195:$BG195)&lt;52,IF('Capacity summary'!L195&lt;&gt;"",IF(LOWER('Capacity summary'!L195)="x",$BI76*L76,VALUE('Capacity summary'!L195)),0),L76*$BI76),L76*$BI76),0)</f>
        <v>0</v>
      </c>
      <c r="BP76" s="313">
        <f>IF($BI76&lt;&gt;"",IF('Capacity summary'!$D$14="Yes",IF(COUNTBLANK('Capacity summary'!$H195:$BG195)&lt;52,IF('Capacity summary'!M195&lt;&gt;"",IF(LOWER('Capacity summary'!M195)="x",$BI76*M76,VALUE('Capacity summary'!M195)),0),M76*$BI76),M76*$BI76),0)</f>
        <v>0</v>
      </c>
      <c r="BQ76" s="313">
        <f>IF($BI76&lt;&gt;"",IF('Capacity summary'!$D$14="Yes",IF(COUNTBLANK('Capacity summary'!$H195:$BG195)&lt;52,IF('Capacity summary'!N195&lt;&gt;"",IF(LOWER('Capacity summary'!N195)="x",$BI76*N76,VALUE('Capacity summary'!N195)),0),N76*$BI76),N76*$BI76),0)</f>
        <v>0</v>
      </c>
      <c r="BR76" s="313">
        <f>IF($BI76&lt;&gt;"",IF('Capacity summary'!$D$14="Yes",IF(COUNTBLANK('Capacity summary'!$H195:$BG195)&lt;52,IF('Capacity summary'!O195&lt;&gt;"",IF(LOWER('Capacity summary'!O195)="x",$BI76*O76,VALUE('Capacity summary'!O195)),0),O76*$BI76),O76*$BI76),0)</f>
        <v>0</v>
      </c>
      <c r="BS76" s="313">
        <f>IF($BI76&lt;&gt;"",IF('Capacity summary'!$D$14="Yes",IF(COUNTBLANK('Capacity summary'!$H195:$BG195)&lt;52,IF('Capacity summary'!P195&lt;&gt;"",IF(LOWER('Capacity summary'!P195)="x",$BI76*P76,VALUE('Capacity summary'!P195)),0),P76*$BI76),P76*$BI76),0)</f>
        <v>0</v>
      </c>
      <c r="BT76" s="313">
        <f>IF($BI76&lt;&gt;"",IF('Capacity summary'!$D$14="Yes",IF(COUNTBLANK('Capacity summary'!$H195:$BG195)&lt;52,IF('Capacity summary'!Q195&lt;&gt;"",IF(LOWER('Capacity summary'!Q195)="x",$BI76*Q76,VALUE('Capacity summary'!Q195)),0),Q76*$BI76),Q76*$BI76),0)</f>
        <v>0</v>
      </c>
      <c r="BU76" s="313">
        <f>IF($BI76&lt;&gt;"",IF('Capacity summary'!$D$14="Yes",IF(COUNTBLANK('Capacity summary'!$H195:$BG195)&lt;52,IF('Capacity summary'!R195&lt;&gt;"",IF(LOWER('Capacity summary'!R195)="x",$BI76*R76,VALUE('Capacity summary'!R195)),0),R76*$BI76),R76*$BI76),0)</f>
        <v>0</v>
      </c>
      <c r="BV76" s="313">
        <f>IF($BI76&lt;&gt;"",IF('Capacity summary'!$D$14="Yes",IF(COUNTBLANK('Capacity summary'!$H195:$BG195)&lt;52,IF('Capacity summary'!S195&lt;&gt;"",IF(LOWER('Capacity summary'!S195)="x",$BI76*S76,VALUE('Capacity summary'!S195)),0),S76*$BI76),S76*$BI76),0)</f>
        <v>0</v>
      </c>
      <c r="BW76" s="313">
        <f>IF($BI76&lt;&gt;"",IF('Capacity summary'!$D$14="Yes",IF(COUNTBLANK('Capacity summary'!$H195:$BG195)&lt;52,IF('Capacity summary'!T195&lt;&gt;"",IF(LOWER('Capacity summary'!T195)="x",$BI76*T76,VALUE('Capacity summary'!T195)),0),T76*$BI76),T76*$BI76),0)</f>
        <v>0</v>
      </c>
      <c r="BX76" s="313">
        <f>IF($BI76&lt;&gt;"",IF('Capacity summary'!$D$14="Yes",IF(COUNTBLANK('Capacity summary'!$H195:$BG195)&lt;52,IF('Capacity summary'!U195&lt;&gt;"",IF(LOWER('Capacity summary'!U195)="x",$BI76*U76,VALUE('Capacity summary'!U195)),0),U76*$BI76),U76*$BI76),0)</f>
        <v>0</v>
      </c>
      <c r="BY76" s="313">
        <f>IF($BI76&lt;&gt;"",IF('Capacity summary'!$D$14="Yes",IF(COUNTBLANK('Capacity summary'!$H195:$BG195)&lt;52,IF('Capacity summary'!V195&lt;&gt;"",IF(LOWER('Capacity summary'!V195)="x",$BI76*V76,VALUE('Capacity summary'!V195)),0),V76*$BI76),V76*$BI76),0)</f>
        <v>0</v>
      </c>
      <c r="BZ76" s="313">
        <f>IF($BI76&lt;&gt;"",IF('Capacity summary'!$D$14="Yes",IF(COUNTBLANK('Capacity summary'!$H195:$BG195)&lt;52,IF('Capacity summary'!W195&lt;&gt;"",IF(LOWER('Capacity summary'!W195)="x",$BI76*W76,VALUE('Capacity summary'!W195)),0),W76*$BI76),W76*$BI76),0)</f>
        <v>0</v>
      </c>
      <c r="CA76" s="313">
        <f>IF($BI76&lt;&gt;"",IF('Capacity summary'!$D$14="Yes",IF(COUNTBLANK('Capacity summary'!$H195:$BG195)&lt;52,IF('Capacity summary'!X195&lt;&gt;"",IF(LOWER('Capacity summary'!X195)="x",$BI76*X76,VALUE('Capacity summary'!X195)),0),X76*$BI76),X76*$BI76),0)</f>
        <v>0</v>
      </c>
      <c r="CB76" s="313">
        <f>IF($BI76&lt;&gt;"",IF('Capacity summary'!$D$14="Yes",IF(COUNTBLANK('Capacity summary'!$H195:$BG195)&lt;52,IF('Capacity summary'!Y195&lt;&gt;"",IF(LOWER('Capacity summary'!Y195)="x",$BI76*Y76,VALUE('Capacity summary'!Y195)),0),Y76*$BI76),Y76*$BI76),0)</f>
        <v>0</v>
      </c>
      <c r="CC76" s="313">
        <f>IF($BI76&lt;&gt;"",IF('Capacity summary'!$D$14="Yes",IF(COUNTBLANK('Capacity summary'!$H195:$BG195)&lt;52,IF('Capacity summary'!Z195&lt;&gt;"",IF(LOWER('Capacity summary'!Z195)="x",$BI76*Z76,VALUE('Capacity summary'!Z195)),0),Z76*$BI76),Z76*$BI76),0)</f>
        <v>0</v>
      </c>
      <c r="CD76" s="313">
        <f>IF($BI76&lt;&gt;"",IF('Capacity summary'!$D$14="Yes",IF(COUNTBLANK('Capacity summary'!$H195:$BG195)&lt;52,IF('Capacity summary'!AA195&lt;&gt;"",IF(LOWER('Capacity summary'!AA195)="x",$BI76*AA76,VALUE('Capacity summary'!AA195)),0),AA76*$BI76),AA76*$BI76),0)</f>
        <v>0</v>
      </c>
      <c r="CE76" s="313">
        <f>IF($BI76&lt;&gt;"",IF('Capacity summary'!$D$14="Yes",IF(COUNTBLANK('Capacity summary'!$H195:$BG195)&lt;52,IF('Capacity summary'!AB195&lt;&gt;"",IF(LOWER('Capacity summary'!AB195)="x",$BI76*AB76,VALUE('Capacity summary'!AB195)),0),AB76*$BI76),AB76*$BI76),0)</f>
        <v>0</v>
      </c>
      <c r="CF76" s="313">
        <f>IF($BI76&lt;&gt;"",IF('Capacity summary'!$D$14="Yes",IF(COUNTBLANK('Capacity summary'!$H195:$BG195)&lt;52,IF('Capacity summary'!AC195&lt;&gt;"",IF(LOWER('Capacity summary'!AC195)="x",$BI76*AC76,VALUE('Capacity summary'!AC195)),0),AC76*$BI76),AC76*$BI76),0)</f>
        <v>0</v>
      </c>
      <c r="CG76" s="313">
        <f>IF($BI76&lt;&gt;"",IF('Capacity summary'!$D$14="Yes",IF(COUNTBLANK('Capacity summary'!$H195:$BG195)&lt;52,IF('Capacity summary'!AD195&lt;&gt;"",IF(LOWER('Capacity summary'!AD195)="x",$BI76*AD76,VALUE('Capacity summary'!AD195)),0),AD76*$BI76),AD76*$BI76),0)</f>
        <v>0</v>
      </c>
      <c r="CH76" s="313">
        <f>IF($BI76&lt;&gt;"",IF('Capacity summary'!$D$14="Yes",IF(COUNTBLANK('Capacity summary'!$H195:$BG195)&lt;52,IF('Capacity summary'!AE195&lt;&gt;"",IF(LOWER('Capacity summary'!AE195)="x",$BI76*AE76,VALUE('Capacity summary'!AE195)),0),AE76*$BI76),AE76*$BI76),0)</f>
        <v>0</v>
      </c>
      <c r="CI76" s="313">
        <f>IF($BI76&lt;&gt;"",IF('Capacity summary'!$D$14="Yes",IF(COUNTBLANK('Capacity summary'!$H195:$BG195)&lt;52,IF('Capacity summary'!AF195&lt;&gt;"",IF(LOWER('Capacity summary'!AF195)="x",$BI76*AF76,VALUE('Capacity summary'!AF195)),0),AF76*$BI76),AF76*$BI76),0)</f>
        <v>0</v>
      </c>
      <c r="CJ76" s="313">
        <f>IF($BI76&lt;&gt;"",IF('Capacity summary'!$D$14="Yes",IF(COUNTBLANK('Capacity summary'!$H195:$BG195)&lt;52,IF('Capacity summary'!AG195&lt;&gt;"",IF(LOWER('Capacity summary'!AG195)="x",$BI76*AG76,VALUE('Capacity summary'!AG195)),0),AG76*$BI76),AG76*$BI76),0)</f>
        <v>0</v>
      </c>
      <c r="CK76" s="313">
        <f>IF($BI76&lt;&gt;"",IF('Capacity summary'!$D$14="Yes",IF(COUNTBLANK('Capacity summary'!$H195:$BG195)&lt;52,IF('Capacity summary'!AH195&lt;&gt;"",IF(LOWER('Capacity summary'!AH195)="x",$BI76*AH76,VALUE('Capacity summary'!AH195)),0),AH76*$BI76),AH76*$BI76),0)</f>
        <v>0</v>
      </c>
      <c r="CL76" s="313">
        <f>IF($BI76&lt;&gt;"",IF('Capacity summary'!$D$14="Yes",IF(COUNTBLANK('Capacity summary'!$H195:$BG195)&lt;52,IF('Capacity summary'!AI195&lt;&gt;"",IF(LOWER('Capacity summary'!AI195)="x",$BI76*AI76,VALUE('Capacity summary'!AI195)),0),AI76*$BI76),AI76*$BI76),0)</f>
        <v>0</v>
      </c>
      <c r="CM76" s="313">
        <f>IF($BI76&lt;&gt;"",IF('Capacity summary'!$D$14="Yes",IF(COUNTBLANK('Capacity summary'!$H195:$BG195)&lt;52,IF('Capacity summary'!AJ195&lt;&gt;"",IF(LOWER('Capacity summary'!AJ195)="x",$BI76*AJ76,VALUE('Capacity summary'!AJ195)),0),AJ76*$BI76),AJ76*$BI76),0)</f>
        <v>0</v>
      </c>
      <c r="CN76" s="313">
        <f>IF($BI76&lt;&gt;"",IF('Capacity summary'!$D$14="Yes",IF(COUNTBLANK('Capacity summary'!$H195:$BG195)&lt;52,IF('Capacity summary'!AK195&lt;&gt;"",IF(LOWER('Capacity summary'!AK195)="x",$BI76*AK76,VALUE('Capacity summary'!AK195)),0),AK76*$BI76),AK76*$BI76),0)</f>
        <v>0</v>
      </c>
      <c r="CO76" s="313">
        <f>IF($BI76&lt;&gt;"",IF('Capacity summary'!$D$14="Yes",IF(COUNTBLANK('Capacity summary'!$H195:$BG195)&lt;52,IF('Capacity summary'!AL195&lt;&gt;"",IF(LOWER('Capacity summary'!AL195)="x",$BI76*AL76,VALUE('Capacity summary'!AL195)),0),AL76*$BI76),AL76*$BI76),0)</f>
        <v>0</v>
      </c>
      <c r="CP76" s="313">
        <f>IF($BI76&lt;&gt;"",IF('Capacity summary'!$D$14="Yes",IF(COUNTBLANK('Capacity summary'!$H195:$BG195)&lt;52,IF('Capacity summary'!AM195&lt;&gt;"",IF(LOWER('Capacity summary'!AM195)="x",$BI76*AM76,VALUE('Capacity summary'!AM195)),0),AM76*$BI76),AM76*$BI76),0)</f>
        <v>0</v>
      </c>
      <c r="CQ76" s="313">
        <f>IF($BI76&lt;&gt;"",IF('Capacity summary'!$D$14="Yes",IF(COUNTBLANK('Capacity summary'!$H195:$BG195)&lt;52,IF('Capacity summary'!AN195&lt;&gt;"",IF(LOWER('Capacity summary'!AN195)="x",$BI76*AN76,VALUE('Capacity summary'!AN195)),0),AN76*$BI76),AN76*$BI76),0)</f>
        <v>0</v>
      </c>
      <c r="CR76" s="313">
        <f>IF($BI76&lt;&gt;"",IF('Capacity summary'!$D$14="Yes",IF(COUNTBLANK('Capacity summary'!$H195:$BG195)&lt;52,IF('Capacity summary'!AO195&lt;&gt;"",IF(LOWER('Capacity summary'!AO195)="x",$BI76*AO76,VALUE('Capacity summary'!AO195)),0),AO76*$BI76),AO76*$BI76),0)</f>
        <v>0</v>
      </c>
      <c r="CS76" s="313">
        <f>IF($BI76&lt;&gt;"",IF('Capacity summary'!$D$14="Yes",IF(COUNTBLANK('Capacity summary'!$H195:$BG195)&lt;52,IF('Capacity summary'!AP195&lt;&gt;"",IF(LOWER('Capacity summary'!AP195)="x",$BI76*AP76,VALUE('Capacity summary'!AP195)),0),AP76*$BI76),AP76*$BI76),0)</f>
        <v>0</v>
      </c>
      <c r="CT76" s="313">
        <f>IF($BI76&lt;&gt;"",IF('Capacity summary'!$D$14="Yes",IF(COUNTBLANK('Capacity summary'!$H195:$BG195)&lt;52,IF('Capacity summary'!AQ195&lt;&gt;"",IF(LOWER('Capacity summary'!AQ195)="x",$BI76*AQ76,VALUE('Capacity summary'!AQ195)),0),AQ76*$BI76),AQ76*$BI76),0)</f>
        <v>0</v>
      </c>
      <c r="CU76" s="313">
        <f>IF($BI76&lt;&gt;"",IF('Capacity summary'!$D$14="Yes",IF(COUNTBLANK('Capacity summary'!$H195:$BG195)&lt;52,IF('Capacity summary'!AR195&lt;&gt;"",IF(LOWER('Capacity summary'!AR195)="x",$BI76*AR76,VALUE('Capacity summary'!AR195)),0),AR76*$BI76),AR76*$BI76),0)</f>
        <v>0</v>
      </c>
      <c r="CV76" s="313">
        <f>IF($BI76&lt;&gt;"",IF('Capacity summary'!$D$14="Yes",IF(COUNTBLANK('Capacity summary'!$H195:$BG195)&lt;52,IF('Capacity summary'!AS195&lt;&gt;"",IF(LOWER('Capacity summary'!AS195)="x",$BI76*AS76,VALUE('Capacity summary'!AS195)),0),AS76*$BI76),AS76*$BI76),0)</f>
        <v>0</v>
      </c>
      <c r="CW76" s="313">
        <f>IF($BI76&lt;&gt;"",IF('Capacity summary'!$D$14="Yes",IF(COUNTBLANK('Capacity summary'!$H195:$BG195)&lt;52,IF('Capacity summary'!AT195&lt;&gt;"",IF(LOWER('Capacity summary'!AT195)="x",$BI76*AT76,VALUE('Capacity summary'!AT195)),0),AT76*$BI76),AT76*$BI76),0)</f>
        <v>0</v>
      </c>
      <c r="CX76" s="313">
        <f>IF($BI76&lt;&gt;"",IF('Capacity summary'!$D$14="Yes",IF(COUNTBLANK('Capacity summary'!$H195:$BG195)&lt;52,IF('Capacity summary'!AU195&lt;&gt;"",IF(LOWER('Capacity summary'!AU195)="x",$BI76*AU76,VALUE('Capacity summary'!AU195)),0),AU76*$BI76),AU76*$BI76),0)</f>
        <v>0</v>
      </c>
      <c r="CY76" s="313">
        <f>IF($BI76&lt;&gt;"",IF('Capacity summary'!$D$14="Yes",IF(COUNTBLANK('Capacity summary'!$H195:$BG195)&lt;52,IF('Capacity summary'!AV195&lt;&gt;"",IF(LOWER('Capacity summary'!AV195)="x",$BI76*AV76,VALUE('Capacity summary'!AV195)),0),AV76*$BI76),AV76*$BI76),0)</f>
        <v>0</v>
      </c>
      <c r="CZ76" s="313">
        <f>IF($BI76&lt;&gt;"",IF('Capacity summary'!$D$14="Yes",IF(COUNTBLANK('Capacity summary'!$H195:$BG195)&lt;52,IF('Capacity summary'!AW195&lt;&gt;"",IF(LOWER('Capacity summary'!AW195)="x",$BI76*AW76,VALUE('Capacity summary'!AW195)),0),AW76*$BI76),AW76*$BI76),0)</f>
        <v>0</v>
      </c>
      <c r="DA76" s="313">
        <f>IF($BI76&lt;&gt;"",IF('Capacity summary'!$D$14="Yes",IF(COUNTBLANK('Capacity summary'!$H195:$BG195)&lt;52,IF('Capacity summary'!AX195&lt;&gt;"",IF(LOWER('Capacity summary'!AX195)="x",$BI76*AX76,VALUE('Capacity summary'!AX195)),0),AX76*$BI76),AX76*$BI76),0)</f>
        <v>0</v>
      </c>
      <c r="DB76" s="313">
        <f>IF($BI76&lt;&gt;"",IF('Capacity summary'!$D$14="Yes",IF(COUNTBLANK('Capacity summary'!$H195:$BG195)&lt;52,IF('Capacity summary'!AY195&lt;&gt;"",IF(LOWER('Capacity summary'!AY195)="x",$BI76*AY76,VALUE('Capacity summary'!AY195)),0),AY76*$BI76),AY76*$BI76),0)</f>
        <v>0</v>
      </c>
      <c r="DC76" s="313">
        <f>IF($BI76&lt;&gt;"",IF('Capacity summary'!$D$14="Yes",IF(COUNTBLANK('Capacity summary'!$H195:$BG195)&lt;52,IF('Capacity summary'!AZ195&lt;&gt;"",IF(LOWER('Capacity summary'!AZ195)="x",$BI76*AZ76,VALUE('Capacity summary'!AZ195)),0),AZ76*$BI76),AZ76*$BI76),0)</f>
        <v>0</v>
      </c>
      <c r="DD76" s="313">
        <f>IF($BI76&lt;&gt;"",IF('Capacity summary'!$D$14="Yes",IF(COUNTBLANK('Capacity summary'!$H195:$BG195)&lt;52,IF('Capacity summary'!BA195&lt;&gt;"",IF(LOWER('Capacity summary'!BA195)="x",$BI76*BA76,VALUE('Capacity summary'!BA195)),0),BA76*$BI76),BA76*$BI76),0)</f>
        <v>0</v>
      </c>
      <c r="DE76" s="313">
        <f>IF($BI76&lt;&gt;"",IF('Capacity summary'!$D$14="Yes",IF(COUNTBLANK('Capacity summary'!$H195:$BG195)&lt;52,IF('Capacity summary'!BB195&lt;&gt;"",IF(LOWER('Capacity summary'!BB195)="x",$BI76*BB76,VALUE('Capacity summary'!BB195)),0),BB76*$BI76),BB76*$BI76),0)</f>
        <v>0</v>
      </c>
      <c r="DF76" s="313">
        <f>IF($BI76&lt;&gt;"",IF('Capacity summary'!$D$14="Yes",IF(COUNTBLANK('Capacity summary'!$H195:$BG195)&lt;52,IF('Capacity summary'!BC195&lt;&gt;"",IF(LOWER('Capacity summary'!BC195)="x",$BI76*BC76,VALUE('Capacity summary'!BC195)),0),BC76*$BI76),BC76*$BI76),0)</f>
        <v>0</v>
      </c>
      <c r="DG76" s="313">
        <f>IF($BI76&lt;&gt;"",IF('Capacity summary'!$D$14="Yes",IF(COUNTBLANK('Capacity summary'!$H195:$BG195)&lt;52,IF('Capacity summary'!BD195&lt;&gt;"",IF(LOWER('Capacity summary'!BD195)="x",$BI76*BD76,VALUE('Capacity summary'!BD195)),0),BD76*$BI76),BD76*$BI76),0)</f>
        <v>0</v>
      </c>
      <c r="DH76" s="313">
        <f>IF($BI76&lt;&gt;"",IF('Capacity summary'!$D$14="Yes",IF(COUNTBLANK('Capacity summary'!$H195:$BG195)&lt;52,IF('Capacity summary'!BE195&lt;&gt;"",IF(LOWER('Capacity summary'!BE195)="x",$BI76*BE76,VALUE('Capacity summary'!BE195)),0),BE76*$BI76),BE76*$BI76),0)</f>
        <v>0</v>
      </c>
      <c r="DI76" s="313">
        <f>IF($BI76&lt;&gt;"",IF('Capacity summary'!$D$14="Yes",IF(COUNTBLANK('Capacity summary'!$H195:$BG195)&lt;52,IF('Capacity summary'!BF195&lt;&gt;"",IF(LOWER('Capacity summary'!BF195)="x",$BI76*BF76,VALUE('Capacity summary'!BF195)),0),BF76*$BI76),BF76*$BI76),0)</f>
        <v>0</v>
      </c>
      <c r="DJ76" s="313">
        <f>IF($BI76&lt;&gt;"",IF('Capacity summary'!$D$14="Yes",IF(COUNTBLANK('Capacity summary'!$H195:$BG195)&lt;52,IF('Capacity summary'!BG195&lt;&gt;"",IF(LOWER('Capacity summary'!BG195)="x",$BI76*BG76,VALUE('Capacity summary'!BG195)),0),BG76*$BI76),BG76*$BI76),0)</f>
        <v>0</v>
      </c>
      <c r="DK76" s="137">
        <f t="shared" si="3"/>
        <v>0</v>
      </c>
      <c r="DL76" s="313" t="str">
        <f>Capacity!H88</f>
        <v/>
      </c>
    </row>
    <row r="77" spans="2:116" x14ac:dyDescent="0.25">
      <c r="B77" s="67"/>
      <c r="C77" s="67" t="str">
        <f>ROW(A73)&amp;". "&amp;Capacity!B89</f>
        <v xml:space="preserve">73. </v>
      </c>
      <c r="D77" s="67">
        <f>'Capacity setup'!C84</f>
        <v>0</v>
      </c>
      <c r="E77" s="67">
        <f>'Capacity setup'!D84</f>
        <v>0</v>
      </c>
      <c r="F77" s="67">
        <f>'Capacity setup'!E84</f>
        <v>0</v>
      </c>
      <c r="H77" s="67">
        <f ca="1">IF(AND(SUMIF(Capacity_Resource,$D77,'Critical resources (hide)'!U$6:U$105)+SUMIF(Capacity_Resource,$E77,'Critical resources (hide)'!U$6:U$105)+SUMIF(Capacity_Resource,$F77,'Critical resources (hide)'!U$6:U$105)&gt;0,$E$1=2),0,1)</f>
        <v>1</v>
      </c>
      <c r="I77" s="67">
        <f ca="1">IF(AND(SUMIF(Capacity_Resource,$D77,'Critical resources (hide)'!V$6:V$105)+SUMIF(Capacity_Resource,$E77,'Critical resources (hide)'!V$6:V$105)+SUMIF(Capacity_Resource,$F77,'Critical resources (hide)'!V$6:V$105)&gt;0,$E$1=2),0,1)</f>
        <v>1</v>
      </c>
      <c r="J77" s="67">
        <f ca="1">IF(AND(SUMIF(Capacity_Resource,$D77,'Critical resources (hide)'!W$6:W$105)+SUMIF(Capacity_Resource,$E77,'Critical resources (hide)'!W$6:W$105)+SUMIF(Capacity_Resource,$F77,'Critical resources (hide)'!W$6:W$105)&gt;0,$E$1=2),0,1)</f>
        <v>1</v>
      </c>
      <c r="K77" s="67">
        <f ca="1">IF(AND(SUMIF(Capacity_Resource,$D77,'Critical resources (hide)'!X$6:X$105)+SUMIF(Capacity_Resource,$E77,'Critical resources (hide)'!X$6:X$105)+SUMIF(Capacity_Resource,$F77,'Critical resources (hide)'!X$6:X$105)&gt;0,$E$1=2),0,1)</f>
        <v>1</v>
      </c>
      <c r="L77" s="67">
        <f ca="1">IF(AND(SUMIF(Capacity_Resource,$D77,'Critical resources (hide)'!Y$6:Y$105)+SUMIF(Capacity_Resource,$E77,'Critical resources (hide)'!Y$6:Y$105)+SUMIF(Capacity_Resource,$F77,'Critical resources (hide)'!Y$6:Y$105)&gt;0,$E$1=2),0,1)</f>
        <v>1</v>
      </c>
      <c r="M77" s="67">
        <f ca="1">IF(AND(SUMIF(Capacity_Resource,$D77,'Critical resources (hide)'!Z$6:Z$105)+SUMIF(Capacity_Resource,$E77,'Critical resources (hide)'!Z$6:Z$105)+SUMIF(Capacity_Resource,$F77,'Critical resources (hide)'!Z$6:Z$105)&gt;0,$E$1=2),0,1)</f>
        <v>1</v>
      </c>
      <c r="N77" s="67">
        <f ca="1">IF(AND(SUMIF(Capacity_Resource,$D77,'Critical resources (hide)'!AA$6:AA$105)+SUMIF(Capacity_Resource,$E77,'Critical resources (hide)'!AA$6:AA$105)+SUMIF(Capacity_Resource,$F77,'Critical resources (hide)'!AA$6:AA$105)&gt;0,$E$1=2),0,1)</f>
        <v>1</v>
      </c>
      <c r="O77" s="67">
        <f ca="1">IF(AND(SUMIF(Capacity_Resource,$D77,'Critical resources (hide)'!AB$6:AB$105)+SUMIF(Capacity_Resource,$E77,'Critical resources (hide)'!AB$6:AB$105)+SUMIF(Capacity_Resource,$F77,'Critical resources (hide)'!AB$6:AB$105)&gt;0,$E$1=2),0,1)</f>
        <v>1</v>
      </c>
      <c r="P77" s="67">
        <f ca="1">IF(AND(SUMIF(Capacity_Resource,$D77,'Critical resources (hide)'!AC$6:AC$105)+SUMIF(Capacity_Resource,$E77,'Critical resources (hide)'!AC$6:AC$105)+SUMIF(Capacity_Resource,$F77,'Critical resources (hide)'!AC$6:AC$105)&gt;0,$E$1=2),0,1)</f>
        <v>1</v>
      </c>
      <c r="Q77" s="67">
        <f ca="1">IF(AND(SUMIF(Capacity_Resource,$D77,'Critical resources (hide)'!AD$6:AD$105)+SUMIF(Capacity_Resource,$E77,'Critical resources (hide)'!AD$6:AD$105)+SUMIF(Capacity_Resource,$F77,'Critical resources (hide)'!AD$6:AD$105)&gt;0,$E$1=2),0,1)</f>
        <v>1</v>
      </c>
      <c r="R77" s="67">
        <f ca="1">IF(AND(SUMIF(Capacity_Resource,$D77,'Critical resources (hide)'!AE$6:AE$105)+SUMIF(Capacity_Resource,$E77,'Critical resources (hide)'!AE$6:AE$105)+SUMIF(Capacity_Resource,$F77,'Critical resources (hide)'!AE$6:AE$105)&gt;0,$E$1=2),0,1)</f>
        <v>1</v>
      </c>
      <c r="S77" s="67">
        <f ca="1">IF(AND(SUMIF(Capacity_Resource,$D77,'Critical resources (hide)'!AF$6:AF$105)+SUMIF(Capacity_Resource,$E77,'Critical resources (hide)'!AF$6:AF$105)+SUMIF(Capacity_Resource,$F77,'Critical resources (hide)'!AF$6:AF$105)&gt;0,$E$1=2),0,1)</f>
        <v>1</v>
      </c>
      <c r="T77" s="67">
        <f ca="1">IF(AND(SUMIF(Capacity_Resource,$D77,'Critical resources (hide)'!AG$6:AG$105)+SUMIF(Capacity_Resource,$E77,'Critical resources (hide)'!AG$6:AG$105)+SUMIF(Capacity_Resource,$F77,'Critical resources (hide)'!AG$6:AG$105)&gt;0,$E$1=2),0,1)</f>
        <v>1</v>
      </c>
      <c r="U77" s="67">
        <f ca="1">IF(AND(SUMIF(Capacity_Resource,$D77,'Critical resources (hide)'!AH$6:AH$105)+SUMIF(Capacity_Resource,$E77,'Critical resources (hide)'!AH$6:AH$105)+SUMIF(Capacity_Resource,$F77,'Critical resources (hide)'!AH$6:AH$105)&gt;0,$E$1=2),0,1)</f>
        <v>1</v>
      </c>
      <c r="V77" s="67">
        <f ca="1">IF(AND(SUMIF(Capacity_Resource,$D77,'Critical resources (hide)'!AI$6:AI$105)+SUMIF(Capacity_Resource,$E77,'Critical resources (hide)'!AI$6:AI$105)+SUMIF(Capacity_Resource,$F77,'Critical resources (hide)'!AI$6:AI$105)&gt;0,$E$1=2),0,1)</f>
        <v>1</v>
      </c>
      <c r="W77" s="67">
        <f ca="1">IF(AND(SUMIF(Capacity_Resource,$D77,'Critical resources (hide)'!AJ$6:AJ$105)+SUMIF(Capacity_Resource,$E77,'Critical resources (hide)'!AJ$6:AJ$105)+SUMIF(Capacity_Resource,$F77,'Critical resources (hide)'!AJ$6:AJ$105)&gt;0,$E$1=2),0,1)</f>
        <v>1</v>
      </c>
      <c r="X77" s="67">
        <f ca="1">IF(AND(SUMIF(Capacity_Resource,$D77,'Critical resources (hide)'!AK$6:AK$105)+SUMIF(Capacity_Resource,$E77,'Critical resources (hide)'!AK$6:AK$105)+SUMIF(Capacity_Resource,$F77,'Critical resources (hide)'!AK$6:AK$105)&gt;0,$E$1=2),0,1)</f>
        <v>1</v>
      </c>
      <c r="Y77" s="67">
        <f ca="1">IF(AND(SUMIF(Capacity_Resource,$D77,'Critical resources (hide)'!AL$6:AL$105)+SUMIF(Capacity_Resource,$E77,'Critical resources (hide)'!AL$6:AL$105)+SUMIF(Capacity_Resource,$F77,'Critical resources (hide)'!AL$6:AL$105)&gt;0,$E$1=2),0,1)</f>
        <v>1</v>
      </c>
      <c r="Z77" s="67">
        <f ca="1">IF(AND(SUMIF(Capacity_Resource,$D77,'Critical resources (hide)'!AM$6:AM$105)+SUMIF(Capacity_Resource,$E77,'Critical resources (hide)'!AM$6:AM$105)+SUMIF(Capacity_Resource,$F77,'Critical resources (hide)'!AM$6:AM$105)&gt;0,$E$1=2),0,1)</f>
        <v>1</v>
      </c>
      <c r="AA77" s="67">
        <f ca="1">IF(AND(SUMIF(Capacity_Resource,$D77,'Critical resources (hide)'!AN$6:AN$105)+SUMIF(Capacity_Resource,$E77,'Critical resources (hide)'!AN$6:AN$105)+SUMIF(Capacity_Resource,$F77,'Critical resources (hide)'!AN$6:AN$105)&gt;0,$E$1=2),0,1)</f>
        <v>1</v>
      </c>
      <c r="AB77" s="67">
        <f ca="1">IF(AND(SUMIF(Capacity_Resource,$D77,'Critical resources (hide)'!AO$6:AO$105)+SUMIF(Capacity_Resource,$E77,'Critical resources (hide)'!AO$6:AO$105)+SUMIF(Capacity_Resource,$F77,'Critical resources (hide)'!AO$6:AO$105)&gt;0,$E$1=2),0,1)</f>
        <v>1</v>
      </c>
      <c r="AC77" s="67">
        <f ca="1">IF(AND(SUMIF(Capacity_Resource,$D77,'Critical resources (hide)'!AP$6:AP$105)+SUMIF(Capacity_Resource,$E77,'Critical resources (hide)'!AP$6:AP$105)+SUMIF(Capacity_Resource,$F77,'Critical resources (hide)'!AP$6:AP$105)&gt;0,$E$1=2),0,1)</f>
        <v>1</v>
      </c>
      <c r="AD77" s="67">
        <f ca="1">IF(AND(SUMIF(Capacity_Resource,$D77,'Critical resources (hide)'!AQ$6:AQ$105)+SUMIF(Capacity_Resource,$E77,'Critical resources (hide)'!AQ$6:AQ$105)+SUMIF(Capacity_Resource,$F77,'Critical resources (hide)'!AQ$6:AQ$105)&gt;0,$E$1=2),0,1)</f>
        <v>1</v>
      </c>
      <c r="AE77" s="67">
        <f ca="1">IF(AND(SUMIF(Capacity_Resource,$D77,'Critical resources (hide)'!AR$6:AR$105)+SUMIF(Capacity_Resource,$E77,'Critical resources (hide)'!AR$6:AR$105)+SUMIF(Capacity_Resource,$F77,'Critical resources (hide)'!AR$6:AR$105)&gt;0,$E$1=2),0,1)</f>
        <v>1</v>
      </c>
      <c r="AF77" s="67">
        <f ca="1">IF(AND(SUMIF(Capacity_Resource,$D77,'Critical resources (hide)'!AS$6:AS$105)+SUMIF(Capacity_Resource,$E77,'Critical resources (hide)'!AS$6:AS$105)+SUMIF(Capacity_Resource,$F77,'Critical resources (hide)'!AS$6:AS$105)&gt;0,$E$1=2),0,1)</f>
        <v>1</v>
      </c>
      <c r="AG77" s="67">
        <f ca="1">IF(AND(SUMIF(Capacity_Resource,$D77,'Critical resources (hide)'!AT$6:AT$105)+SUMIF(Capacity_Resource,$E77,'Critical resources (hide)'!AT$6:AT$105)+SUMIF(Capacity_Resource,$F77,'Critical resources (hide)'!AT$6:AT$105)&gt;0,$E$1=2),0,1)</f>
        <v>1</v>
      </c>
      <c r="AH77" s="67">
        <f ca="1">IF(AND(SUMIF(Capacity_Resource,$D77,'Critical resources (hide)'!AU$6:AU$105)+SUMIF(Capacity_Resource,$E77,'Critical resources (hide)'!AU$6:AU$105)+SUMIF(Capacity_Resource,$F77,'Critical resources (hide)'!AU$6:AU$105)&gt;0,$E$1=2),0,1)</f>
        <v>1</v>
      </c>
      <c r="AI77" s="67">
        <f ca="1">IF(AND(SUMIF(Capacity_Resource,$D77,'Critical resources (hide)'!AV$6:AV$105)+SUMIF(Capacity_Resource,$E77,'Critical resources (hide)'!AV$6:AV$105)+SUMIF(Capacity_Resource,$F77,'Critical resources (hide)'!AV$6:AV$105)&gt;0,$E$1=2),0,1)</f>
        <v>1</v>
      </c>
      <c r="AJ77" s="67">
        <f ca="1">IF(AND(SUMIF(Capacity_Resource,$D77,'Critical resources (hide)'!AW$6:AW$105)+SUMIF(Capacity_Resource,$E77,'Critical resources (hide)'!AW$6:AW$105)+SUMIF(Capacity_Resource,$F77,'Critical resources (hide)'!AW$6:AW$105)&gt;0,$E$1=2),0,1)</f>
        <v>1</v>
      </c>
      <c r="AK77" s="67">
        <f ca="1">IF(AND(SUMIF(Capacity_Resource,$D77,'Critical resources (hide)'!AX$6:AX$105)+SUMIF(Capacity_Resource,$E77,'Critical resources (hide)'!AX$6:AX$105)+SUMIF(Capacity_Resource,$F77,'Critical resources (hide)'!AX$6:AX$105)&gt;0,$E$1=2),0,1)</f>
        <v>1</v>
      </c>
      <c r="AL77" s="67">
        <f ca="1">IF(AND(SUMIF(Capacity_Resource,$D77,'Critical resources (hide)'!AY$6:AY$105)+SUMIF(Capacity_Resource,$E77,'Critical resources (hide)'!AY$6:AY$105)+SUMIF(Capacity_Resource,$F77,'Critical resources (hide)'!AY$6:AY$105)&gt;0,$E$1=2),0,1)</f>
        <v>1</v>
      </c>
      <c r="AM77" s="67">
        <f ca="1">IF(AND(SUMIF(Capacity_Resource,$D77,'Critical resources (hide)'!AZ$6:AZ$105)+SUMIF(Capacity_Resource,$E77,'Critical resources (hide)'!AZ$6:AZ$105)+SUMIF(Capacity_Resource,$F77,'Critical resources (hide)'!AZ$6:AZ$105)&gt;0,$E$1=2),0,1)</f>
        <v>1</v>
      </c>
      <c r="AN77" s="67">
        <f ca="1">IF(AND(SUMIF(Capacity_Resource,$D77,'Critical resources (hide)'!BA$6:BA$105)+SUMIF(Capacity_Resource,$E77,'Critical resources (hide)'!BA$6:BA$105)+SUMIF(Capacity_Resource,$F77,'Critical resources (hide)'!BA$6:BA$105)&gt;0,$E$1=2),0,1)</f>
        <v>1</v>
      </c>
      <c r="AO77" s="67">
        <f ca="1">IF(AND(SUMIF(Capacity_Resource,$D77,'Critical resources (hide)'!BB$6:BB$105)+SUMIF(Capacity_Resource,$E77,'Critical resources (hide)'!BB$6:BB$105)+SUMIF(Capacity_Resource,$F77,'Critical resources (hide)'!BB$6:BB$105)&gt;0,$E$1=2),0,1)</f>
        <v>1</v>
      </c>
      <c r="AP77" s="67">
        <f ca="1">IF(AND(SUMIF(Capacity_Resource,$D77,'Critical resources (hide)'!BC$6:BC$105)+SUMIF(Capacity_Resource,$E77,'Critical resources (hide)'!BC$6:BC$105)+SUMIF(Capacity_Resource,$F77,'Critical resources (hide)'!BC$6:BC$105)&gt;0,$E$1=2),0,1)</f>
        <v>1</v>
      </c>
      <c r="AQ77" s="67">
        <f ca="1">IF(AND(SUMIF(Capacity_Resource,$D77,'Critical resources (hide)'!BD$6:BD$105)+SUMIF(Capacity_Resource,$E77,'Critical resources (hide)'!BD$6:BD$105)+SUMIF(Capacity_Resource,$F77,'Critical resources (hide)'!BD$6:BD$105)&gt;0,$E$1=2),0,1)</f>
        <v>1</v>
      </c>
      <c r="AR77" s="67">
        <f ca="1">IF(AND(SUMIF(Capacity_Resource,$D77,'Critical resources (hide)'!BE$6:BE$105)+SUMIF(Capacity_Resource,$E77,'Critical resources (hide)'!BE$6:BE$105)+SUMIF(Capacity_Resource,$F77,'Critical resources (hide)'!BE$6:BE$105)&gt;0,$E$1=2),0,1)</f>
        <v>1</v>
      </c>
      <c r="AS77" s="67">
        <f ca="1">IF(AND(SUMIF(Capacity_Resource,$D77,'Critical resources (hide)'!BF$6:BF$105)+SUMIF(Capacity_Resource,$E77,'Critical resources (hide)'!BF$6:BF$105)+SUMIF(Capacity_Resource,$F77,'Critical resources (hide)'!BF$6:BF$105)&gt;0,$E$1=2),0,1)</f>
        <v>1</v>
      </c>
      <c r="AT77" s="67">
        <f ca="1">IF(AND(SUMIF(Capacity_Resource,$D77,'Critical resources (hide)'!BG$6:BG$105)+SUMIF(Capacity_Resource,$E77,'Critical resources (hide)'!BG$6:BG$105)+SUMIF(Capacity_Resource,$F77,'Critical resources (hide)'!BG$6:BG$105)&gt;0,$E$1=2),0,1)</f>
        <v>1</v>
      </c>
      <c r="AU77" s="67">
        <f ca="1">IF(AND(SUMIF(Capacity_Resource,$D77,'Critical resources (hide)'!BH$6:BH$105)+SUMIF(Capacity_Resource,$E77,'Critical resources (hide)'!BH$6:BH$105)+SUMIF(Capacity_Resource,$F77,'Critical resources (hide)'!BH$6:BH$105)&gt;0,$E$1=2),0,1)</f>
        <v>1</v>
      </c>
      <c r="AV77" s="67">
        <f ca="1">IF(AND(SUMIF(Capacity_Resource,$D77,'Critical resources (hide)'!BI$6:BI$105)+SUMIF(Capacity_Resource,$E77,'Critical resources (hide)'!BI$6:BI$105)+SUMIF(Capacity_Resource,$F77,'Critical resources (hide)'!BI$6:BI$105)&gt;0,$E$1=2),0,1)</f>
        <v>1</v>
      </c>
      <c r="AW77" s="67">
        <f ca="1">IF(AND(SUMIF(Capacity_Resource,$D77,'Critical resources (hide)'!BJ$6:BJ$105)+SUMIF(Capacity_Resource,$E77,'Critical resources (hide)'!BJ$6:BJ$105)+SUMIF(Capacity_Resource,$F77,'Critical resources (hide)'!BJ$6:BJ$105)&gt;0,$E$1=2),0,1)</f>
        <v>1</v>
      </c>
      <c r="AX77" s="67">
        <f ca="1">IF(AND(SUMIF(Capacity_Resource,$D77,'Critical resources (hide)'!BK$6:BK$105)+SUMIF(Capacity_Resource,$E77,'Critical resources (hide)'!BK$6:BK$105)+SUMIF(Capacity_Resource,$F77,'Critical resources (hide)'!BK$6:BK$105)&gt;0,$E$1=2),0,1)</f>
        <v>1</v>
      </c>
      <c r="AY77" s="67">
        <f ca="1">IF(AND(SUMIF(Capacity_Resource,$D77,'Critical resources (hide)'!BL$6:BL$105)+SUMIF(Capacity_Resource,$E77,'Critical resources (hide)'!BL$6:BL$105)+SUMIF(Capacity_Resource,$F77,'Critical resources (hide)'!BL$6:BL$105)&gt;0,$E$1=2),0,1)</f>
        <v>1</v>
      </c>
      <c r="AZ77" s="67">
        <f ca="1">IF(AND(SUMIF(Capacity_Resource,$D77,'Critical resources (hide)'!BM$6:BM$105)+SUMIF(Capacity_Resource,$E77,'Critical resources (hide)'!BM$6:BM$105)+SUMIF(Capacity_Resource,$F77,'Critical resources (hide)'!BM$6:BM$105)&gt;0,$E$1=2),0,1)</f>
        <v>1</v>
      </c>
      <c r="BA77" s="67">
        <f ca="1">IF(AND(SUMIF(Capacity_Resource,$D77,'Critical resources (hide)'!BN$6:BN$105)+SUMIF(Capacity_Resource,$E77,'Critical resources (hide)'!BN$6:BN$105)+SUMIF(Capacity_Resource,$F77,'Critical resources (hide)'!BN$6:BN$105)&gt;0,$E$1=2),0,1)</f>
        <v>1</v>
      </c>
      <c r="BB77" s="67">
        <f ca="1">IF(AND(SUMIF(Capacity_Resource,$D77,'Critical resources (hide)'!BO$6:BO$105)+SUMIF(Capacity_Resource,$E77,'Critical resources (hide)'!BO$6:BO$105)+SUMIF(Capacity_Resource,$F77,'Critical resources (hide)'!BO$6:BO$105)&gt;0,$E$1=2),0,1)</f>
        <v>1</v>
      </c>
      <c r="BC77" s="67">
        <f ca="1">IF(AND(SUMIF(Capacity_Resource,$D77,'Critical resources (hide)'!BP$6:BP$105)+SUMIF(Capacity_Resource,$E77,'Critical resources (hide)'!BP$6:BP$105)+SUMIF(Capacity_Resource,$F77,'Critical resources (hide)'!BP$6:BP$105)&gt;0,$E$1=2),0,1)</f>
        <v>1</v>
      </c>
      <c r="BD77" s="67">
        <f ca="1">IF(AND(SUMIF(Capacity_Resource,$D77,'Critical resources (hide)'!BQ$6:BQ$105)+SUMIF(Capacity_Resource,$E77,'Critical resources (hide)'!BQ$6:BQ$105)+SUMIF(Capacity_Resource,$F77,'Critical resources (hide)'!BQ$6:BQ$105)&gt;0,$E$1=2),0,1)</f>
        <v>1</v>
      </c>
      <c r="BE77" s="67">
        <f ca="1">IF(AND(SUMIF(Capacity_Resource,$D77,'Critical resources (hide)'!BR$6:BR$105)+SUMIF(Capacity_Resource,$E77,'Critical resources (hide)'!BR$6:BR$105)+SUMIF(Capacity_Resource,$F77,'Critical resources (hide)'!BR$6:BR$105)&gt;0,$E$1=2),0,1)</f>
        <v>1</v>
      </c>
      <c r="BF77" s="67">
        <f ca="1">IF(AND(SUMIF(Capacity_Resource,$D77,'Critical resources (hide)'!BS$6:BS$105)+SUMIF(Capacity_Resource,$E77,'Critical resources (hide)'!BS$6:BS$105)+SUMIF(Capacity_Resource,$F77,'Critical resources (hide)'!BS$6:BS$105)&gt;0,$E$1=2),0,1)</f>
        <v>1</v>
      </c>
      <c r="BG77" s="67">
        <f ca="1">IF(AND(SUMIF(Capacity_Resource,$D77,'Critical resources (hide)'!BT$6:BT$105)+SUMIF(Capacity_Resource,$E77,'Critical resources (hide)'!BT$6:BT$105)+SUMIF(Capacity_Resource,$F77,'Critical resources (hide)'!BT$6:BT$105)&gt;0,$E$1=2),0,1)</f>
        <v>1</v>
      </c>
      <c r="BH77" s="67">
        <f>IF(ROW(C73)&lt;=Capacity!$A$16,IF('Capacity summary'!$D$14="No",SUM(H77:BG77),'Capacity summary'!$E196),0)</f>
        <v>0</v>
      </c>
      <c r="BI77" s="5" t="str">
        <f>IF(BH77&gt;0,IF(BH77&lt;Capacity!E89,Capacity!F89,Capacity!H89/'Capacity calculation (hide)'!BH77),"")</f>
        <v/>
      </c>
      <c r="BK77" s="313">
        <f>IF($BI77&lt;&gt;"",IF('Capacity summary'!$D$14="Yes",IF(COUNTBLANK('Capacity summary'!$H196:$BG196)&lt;52,IF('Capacity summary'!H196&lt;&gt;"",IF(LOWER('Capacity summary'!H196)="x",$BI77*H77,VALUE('Capacity summary'!H196)),0),H77*$BI77),H77*$BI77),0)</f>
        <v>0</v>
      </c>
      <c r="BL77" s="313">
        <f>IF($BI77&lt;&gt;"",IF('Capacity summary'!$D$14="Yes",IF(COUNTBLANK('Capacity summary'!$H196:$BG196)&lt;52,IF('Capacity summary'!I196&lt;&gt;"",IF(LOWER('Capacity summary'!I196)="x",$BI77*I77,VALUE('Capacity summary'!I196)),0),I77*$BI77),I77*$BI77),0)</f>
        <v>0</v>
      </c>
      <c r="BM77" s="313">
        <f>IF($BI77&lt;&gt;"",IF('Capacity summary'!$D$14="Yes",IF(COUNTBLANK('Capacity summary'!$H196:$BG196)&lt;52,IF('Capacity summary'!J196&lt;&gt;"",IF(LOWER('Capacity summary'!J196)="x",$BI77*J77,VALUE('Capacity summary'!J196)),0),J77*$BI77),J77*$BI77),0)</f>
        <v>0</v>
      </c>
      <c r="BN77" s="313">
        <f>IF($BI77&lt;&gt;"",IF('Capacity summary'!$D$14="Yes",IF(COUNTBLANK('Capacity summary'!$H196:$BG196)&lt;52,IF('Capacity summary'!K196&lt;&gt;"",IF(LOWER('Capacity summary'!K196)="x",$BI77*K77,VALUE('Capacity summary'!K196)),0),K77*$BI77),K77*$BI77),0)</f>
        <v>0</v>
      </c>
      <c r="BO77" s="313">
        <f>IF($BI77&lt;&gt;"",IF('Capacity summary'!$D$14="Yes",IF(COUNTBLANK('Capacity summary'!$H196:$BG196)&lt;52,IF('Capacity summary'!L196&lt;&gt;"",IF(LOWER('Capacity summary'!L196)="x",$BI77*L77,VALUE('Capacity summary'!L196)),0),L77*$BI77),L77*$BI77),0)</f>
        <v>0</v>
      </c>
      <c r="BP77" s="313">
        <f>IF($BI77&lt;&gt;"",IF('Capacity summary'!$D$14="Yes",IF(COUNTBLANK('Capacity summary'!$H196:$BG196)&lt;52,IF('Capacity summary'!M196&lt;&gt;"",IF(LOWER('Capacity summary'!M196)="x",$BI77*M77,VALUE('Capacity summary'!M196)),0),M77*$BI77),M77*$BI77),0)</f>
        <v>0</v>
      </c>
      <c r="BQ77" s="313">
        <f>IF($BI77&lt;&gt;"",IF('Capacity summary'!$D$14="Yes",IF(COUNTBLANK('Capacity summary'!$H196:$BG196)&lt;52,IF('Capacity summary'!N196&lt;&gt;"",IF(LOWER('Capacity summary'!N196)="x",$BI77*N77,VALUE('Capacity summary'!N196)),0),N77*$BI77),N77*$BI77),0)</f>
        <v>0</v>
      </c>
      <c r="BR77" s="313">
        <f>IF($BI77&lt;&gt;"",IF('Capacity summary'!$D$14="Yes",IF(COUNTBLANK('Capacity summary'!$H196:$BG196)&lt;52,IF('Capacity summary'!O196&lt;&gt;"",IF(LOWER('Capacity summary'!O196)="x",$BI77*O77,VALUE('Capacity summary'!O196)),0),O77*$BI77),O77*$BI77),0)</f>
        <v>0</v>
      </c>
      <c r="BS77" s="313">
        <f>IF($BI77&lt;&gt;"",IF('Capacity summary'!$D$14="Yes",IF(COUNTBLANK('Capacity summary'!$H196:$BG196)&lt;52,IF('Capacity summary'!P196&lt;&gt;"",IF(LOWER('Capacity summary'!P196)="x",$BI77*P77,VALUE('Capacity summary'!P196)),0),P77*$BI77),P77*$BI77),0)</f>
        <v>0</v>
      </c>
      <c r="BT77" s="313">
        <f>IF($BI77&lt;&gt;"",IF('Capacity summary'!$D$14="Yes",IF(COUNTBLANK('Capacity summary'!$H196:$BG196)&lt;52,IF('Capacity summary'!Q196&lt;&gt;"",IF(LOWER('Capacity summary'!Q196)="x",$BI77*Q77,VALUE('Capacity summary'!Q196)),0),Q77*$BI77),Q77*$BI77),0)</f>
        <v>0</v>
      </c>
      <c r="BU77" s="313">
        <f>IF($BI77&lt;&gt;"",IF('Capacity summary'!$D$14="Yes",IF(COUNTBLANK('Capacity summary'!$H196:$BG196)&lt;52,IF('Capacity summary'!R196&lt;&gt;"",IF(LOWER('Capacity summary'!R196)="x",$BI77*R77,VALUE('Capacity summary'!R196)),0),R77*$BI77),R77*$BI77),0)</f>
        <v>0</v>
      </c>
      <c r="BV77" s="313">
        <f>IF($BI77&lt;&gt;"",IF('Capacity summary'!$D$14="Yes",IF(COUNTBLANK('Capacity summary'!$H196:$BG196)&lt;52,IF('Capacity summary'!S196&lt;&gt;"",IF(LOWER('Capacity summary'!S196)="x",$BI77*S77,VALUE('Capacity summary'!S196)),0),S77*$BI77),S77*$BI77),0)</f>
        <v>0</v>
      </c>
      <c r="BW77" s="313">
        <f>IF($BI77&lt;&gt;"",IF('Capacity summary'!$D$14="Yes",IF(COUNTBLANK('Capacity summary'!$H196:$BG196)&lt;52,IF('Capacity summary'!T196&lt;&gt;"",IF(LOWER('Capacity summary'!T196)="x",$BI77*T77,VALUE('Capacity summary'!T196)),0),T77*$BI77),T77*$BI77),0)</f>
        <v>0</v>
      </c>
      <c r="BX77" s="313">
        <f>IF($BI77&lt;&gt;"",IF('Capacity summary'!$D$14="Yes",IF(COUNTBLANK('Capacity summary'!$H196:$BG196)&lt;52,IF('Capacity summary'!U196&lt;&gt;"",IF(LOWER('Capacity summary'!U196)="x",$BI77*U77,VALUE('Capacity summary'!U196)),0),U77*$BI77),U77*$BI77),0)</f>
        <v>0</v>
      </c>
      <c r="BY77" s="313">
        <f>IF($BI77&lt;&gt;"",IF('Capacity summary'!$D$14="Yes",IF(COUNTBLANK('Capacity summary'!$H196:$BG196)&lt;52,IF('Capacity summary'!V196&lt;&gt;"",IF(LOWER('Capacity summary'!V196)="x",$BI77*V77,VALUE('Capacity summary'!V196)),0),V77*$BI77),V77*$BI77),0)</f>
        <v>0</v>
      </c>
      <c r="BZ77" s="313">
        <f>IF($BI77&lt;&gt;"",IF('Capacity summary'!$D$14="Yes",IF(COUNTBLANK('Capacity summary'!$H196:$BG196)&lt;52,IF('Capacity summary'!W196&lt;&gt;"",IF(LOWER('Capacity summary'!W196)="x",$BI77*W77,VALUE('Capacity summary'!W196)),0),W77*$BI77),W77*$BI77),0)</f>
        <v>0</v>
      </c>
      <c r="CA77" s="313">
        <f>IF($BI77&lt;&gt;"",IF('Capacity summary'!$D$14="Yes",IF(COUNTBLANK('Capacity summary'!$H196:$BG196)&lt;52,IF('Capacity summary'!X196&lt;&gt;"",IF(LOWER('Capacity summary'!X196)="x",$BI77*X77,VALUE('Capacity summary'!X196)),0),X77*$BI77),X77*$BI77),0)</f>
        <v>0</v>
      </c>
      <c r="CB77" s="313">
        <f>IF($BI77&lt;&gt;"",IF('Capacity summary'!$D$14="Yes",IF(COUNTBLANK('Capacity summary'!$H196:$BG196)&lt;52,IF('Capacity summary'!Y196&lt;&gt;"",IF(LOWER('Capacity summary'!Y196)="x",$BI77*Y77,VALUE('Capacity summary'!Y196)),0),Y77*$BI77),Y77*$BI77),0)</f>
        <v>0</v>
      </c>
      <c r="CC77" s="313">
        <f>IF($BI77&lt;&gt;"",IF('Capacity summary'!$D$14="Yes",IF(COUNTBLANK('Capacity summary'!$H196:$BG196)&lt;52,IF('Capacity summary'!Z196&lt;&gt;"",IF(LOWER('Capacity summary'!Z196)="x",$BI77*Z77,VALUE('Capacity summary'!Z196)),0),Z77*$BI77),Z77*$BI77),0)</f>
        <v>0</v>
      </c>
      <c r="CD77" s="313">
        <f>IF($BI77&lt;&gt;"",IF('Capacity summary'!$D$14="Yes",IF(COUNTBLANK('Capacity summary'!$H196:$BG196)&lt;52,IF('Capacity summary'!AA196&lt;&gt;"",IF(LOWER('Capacity summary'!AA196)="x",$BI77*AA77,VALUE('Capacity summary'!AA196)),0),AA77*$BI77),AA77*$BI77),0)</f>
        <v>0</v>
      </c>
      <c r="CE77" s="313">
        <f>IF($BI77&lt;&gt;"",IF('Capacity summary'!$D$14="Yes",IF(COUNTBLANK('Capacity summary'!$H196:$BG196)&lt;52,IF('Capacity summary'!AB196&lt;&gt;"",IF(LOWER('Capacity summary'!AB196)="x",$BI77*AB77,VALUE('Capacity summary'!AB196)),0),AB77*$BI77),AB77*$BI77),0)</f>
        <v>0</v>
      </c>
      <c r="CF77" s="313">
        <f>IF($BI77&lt;&gt;"",IF('Capacity summary'!$D$14="Yes",IF(COUNTBLANK('Capacity summary'!$H196:$BG196)&lt;52,IF('Capacity summary'!AC196&lt;&gt;"",IF(LOWER('Capacity summary'!AC196)="x",$BI77*AC77,VALUE('Capacity summary'!AC196)),0),AC77*$BI77),AC77*$BI77),0)</f>
        <v>0</v>
      </c>
      <c r="CG77" s="313">
        <f>IF($BI77&lt;&gt;"",IF('Capacity summary'!$D$14="Yes",IF(COUNTBLANK('Capacity summary'!$H196:$BG196)&lt;52,IF('Capacity summary'!AD196&lt;&gt;"",IF(LOWER('Capacity summary'!AD196)="x",$BI77*AD77,VALUE('Capacity summary'!AD196)),0),AD77*$BI77),AD77*$BI77),0)</f>
        <v>0</v>
      </c>
      <c r="CH77" s="313">
        <f>IF($BI77&lt;&gt;"",IF('Capacity summary'!$D$14="Yes",IF(COUNTBLANK('Capacity summary'!$H196:$BG196)&lt;52,IF('Capacity summary'!AE196&lt;&gt;"",IF(LOWER('Capacity summary'!AE196)="x",$BI77*AE77,VALUE('Capacity summary'!AE196)),0),AE77*$BI77),AE77*$BI77),0)</f>
        <v>0</v>
      </c>
      <c r="CI77" s="313">
        <f>IF($BI77&lt;&gt;"",IF('Capacity summary'!$D$14="Yes",IF(COUNTBLANK('Capacity summary'!$H196:$BG196)&lt;52,IF('Capacity summary'!AF196&lt;&gt;"",IF(LOWER('Capacity summary'!AF196)="x",$BI77*AF77,VALUE('Capacity summary'!AF196)),0),AF77*$BI77),AF77*$BI77),0)</f>
        <v>0</v>
      </c>
      <c r="CJ77" s="313">
        <f>IF($BI77&lt;&gt;"",IF('Capacity summary'!$D$14="Yes",IF(COUNTBLANK('Capacity summary'!$H196:$BG196)&lt;52,IF('Capacity summary'!AG196&lt;&gt;"",IF(LOWER('Capacity summary'!AG196)="x",$BI77*AG77,VALUE('Capacity summary'!AG196)),0),AG77*$BI77),AG77*$BI77),0)</f>
        <v>0</v>
      </c>
      <c r="CK77" s="313">
        <f>IF($BI77&lt;&gt;"",IF('Capacity summary'!$D$14="Yes",IF(COUNTBLANK('Capacity summary'!$H196:$BG196)&lt;52,IF('Capacity summary'!AH196&lt;&gt;"",IF(LOWER('Capacity summary'!AH196)="x",$BI77*AH77,VALUE('Capacity summary'!AH196)),0),AH77*$BI77),AH77*$BI77),0)</f>
        <v>0</v>
      </c>
      <c r="CL77" s="313">
        <f>IF($BI77&lt;&gt;"",IF('Capacity summary'!$D$14="Yes",IF(COUNTBLANK('Capacity summary'!$H196:$BG196)&lt;52,IF('Capacity summary'!AI196&lt;&gt;"",IF(LOWER('Capacity summary'!AI196)="x",$BI77*AI77,VALUE('Capacity summary'!AI196)),0),AI77*$BI77),AI77*$BI77),0)</f>
        <v>0</v>
      </c>
      <c r="CM77" s="313">
        <f>IF($BI77&lt;&gt;"",IF('Capacity summary'!$D$14="Yes",IF(COUNTBLANK('Capacity summary'!$H196:$BG196)&lt;52,IF('Capacity summary'!AJ196&lt;&gt;"",IF(LOWER('Capacity summary'!AJ196)="x",$BI77*AJ77,VALUE('Capacity summary'!AJ196)),0),AJ77*$BI77),AJ77*$BI77),0)</f>
        <v>0</v>
      </c>
      <c r="CN77" s="313">
        <f>IF($BI77&lt;&gt;"",IF('Capacity summary'!$D$14="Yes",IF(COUNTBLANK('Capacity summary'!$H196:$BG196)&lt;52,IF('Capacity summary'!AK196&lt;&gt;"",IF(LOWER('Capacity summary'!AK196)="x",$BI77*AK77,VALUE('Capacity summary'!AK196)),0),AK77*$BI77),AK77*$BI77),0)</f>
        <v>0</v>
      </c>
      <c r="CO77" s="313">
        <f>IF($BI77&lt;&gt;"",IF('Capacity summary'!$D$14="Yes",IF(COUNTBLANK('Capacity summary'!$H196:$BG196)&lt;52,IF('Capacity summary'!AL196&lt;&gt;"",IF(LOWER('Capacity summary'!AL196)="x",$BI77*AL77,VALUE('Capacity summary'!AL196)),0),AL77*$BI77),AL77*$BI77),0)</f>
        <v>0</v>
      </c>
      <c r="CP77" s="313">
        <f>IF($BI77&lt;&gt;"",IF('Capacity summary'!$D$14="Yes",IF(COUNTBLANK('Capacity summary'!$H196:$BG196)&lt;52,IF('Capacity summary'!AM196&lt;&gt;"",IF(LOWER('Capacity summary'!AM196)="x",$BI77*AM77,VALUE('Capacity summary'!AM196)),0),AM77*$BI77),AM77*$BI77),0)</f>
        <v>0</v>
      </c>
      <c r="CQ77" s="313">
        <f>IF($BI77&lt;&gt;"",IF('Capacity summary'!$D$14="Yes",IF(COUNTBLANK('Capacity summary'!$H196:$BG196)&lt;52,IF('Capacity summary'!AN196&lt;&gt;"",IF(LOWER('Capacity summary'!AN196)="x",$BI77*AN77,VALUE('Capacity summary'!AN196)),0),AN77*$BI77),AN77*$BI77),0)</f>
        <v>0</v>
      </c>
      <c r="CR77" s="313">
        <f>IF($BI77&lt;&gt;"",IF('Capacity summary'!$D$14="Yes",IF(COUNTBLANK('Capacity summary'!$H196:$BG196)&lt;52,IF('Capacity summary'!AO196&lt;&gt;"",IF(LOWER('Capacity summary'!AO196)="x",$BI77*AO77,VALUE('Capacity summary'!AO196)),0),AO77*$BI77),AO77*$BI77),0)</f>
        <v>0</v>
      </c>
      <c r="CS77" s="313">
        <f>IF($BI77&lt;&gt;"",IF('Capacity summary'!$D$14="Yes",IF(COUNTBLANK('Capacity summary'!$H196:$BG196)&lt;52,IF('Capacity summary'!AP196&lt;&gt;"",IF(LOWER('Capacity summary'!AP196)="x",$BI77*AP77,VALUE('Capacity summary'!AP196)),0),AP77*$BI77),AP77*$BI77),0)</f>
        <v>0</v>
      </c>
      <c r="CT77" s="313">
        <f>IF($BI77&lt;&gt;"",IF('Capacity summary'!$D$14="Yes",IF(COUNTBLANK('Capacity summary'!$H196:$BG196)&lt;52,IF('Capacity summary'!AQ196&lt;&gt;"",IF(LOWER('Capacity summary'!AQ196)="x",$BI77*AQ77,VALUE('Capacity summary'!AQ196)),0),AQ77*$BI77),AQ77*$BI77),0)</f>
        <v>0</v>
      </c>
      <c r="CU77" s="313">
        <f>IF($BI77&lt;&gt;"",IF('Capacity summary'!$D$14="Yes",IF(COUNTBLANK('Capacity summary'!$H196:$BG196)&lt;52,IF('Capacity summary'!AR196&lt;&gt;"",IF(LOWER('Capacity summary'!AR196)="x",$BI77*AR77,VALUE('Capacity summary'!AR196)),0),AR77*$BI77),AR77*$BI77),0)</f>
        <v>0</v>
      </c>
      <c r="CV77" s="313">
        <f>IF($BI77&lt;&gt;"",IF('Capacity summary'!$D$14="Yes",IF(COUNTBLANK('Capacity summary'!$H196:$BG196)&lt;52,IF('Capacity summary'!AS196&lt;&gt;"",IF(LOWER('Capacity summary'!AS196)="x",$BI77*AS77,VALUE('Capacity summary'!AS196)),0),AS77*$BI77),AS77*$BI77),0)</f>
        <v>0</v>
      </c>
      <c r="CW77" s="313">
        <f>IF($BI77&lt;&gt;"",IF('Capacity summary'!$D$14="Yes",IF(COUNTBLANK('Capacity summary'!$H196:$BG196)&lt;52,IF('Capacity summary'!AT196&lt;&gt;"",IF(LOWER('Capacity summary'!AT196)="x",$BI77*AT77,VALUE('Capacity summary'!AT196)),0),AT77*$BI77),AT77*$BI77),0)</f>
        <v>0</v>
      </c>
      <c r="CX77" s="313">
        <f>IF($BI77&lt;&gt;"",IF('Capacity summary'!$D$14="Yes",IF(COUNTBLANK('Capacity summary'!$H196:$BG196)&lt;52,IF('Capacity summary'!AU196&lt;&gt;"",IF(LOWER('Capacity summary'!AU196)="x",$BI77*AU77,VALUE('Capacity summary'!AU196)),0),AU77*$BI77),AU77*$BI77),0)</f>
        <v>0</v>
      </c>
      <c r="CY77" s="313">
        <f>IF($BI77&lt;&gt;"",IF('Capacity summary'!$D$14="Yes",IF(COUNTBLANK('Capacity summary'!$H196:$BG196)&lt;52,IF('Capacity summary'!AV196&lt;&gt;"",IF(LOWER('Capacity summary'!AV196)="x",$BI77*AV77,VALUE('Capacity summary'!AV196)),0),AV77*$BI77),AV77*$BI77),0)</f>
        <v>0</v>
      </c>
      <c r="CZ77" s="313">
        <f>IF($BI77&lt;&gt;"",IF('Capacity summary'!$D$14="Yes",IF(COUNTBLANK('Capacity summary'!$H196:$BG196)&lt;52,IF('Capacity summary'!AW196&lt;&gt;"",IF(LOWER('Capacity summary'!AW196)="x",$BI77*AW77,VALUE('Capacity summary'!AW196)),0),AW77*$BI77),AW77*$BI77),0)</f>
        <v>0</v>
      </c>
      <c r="DA77" s="313">
        <f>IF($BI77&lt;&gt;"",IF('Capacity summary'!$D$14="Yes",IF(COUNTBLANK('Capacity summary'!$H196:$BG196)&lt;52,IF('Capacity summary'!AX196&lt;&gt;"",IF(LOWER('Capacity summary'!AX196)="x",$BI77*AX77,VALUE('Capacity summary'!AX196)),0),AX77*$BI77),AX77*$BI77),0)</f>
        <v>0</v>
      </c>
      <c r="DB77" s="313">
        <f>IF($BI77&lt;&gt;"",IF('Capacity summary'!$D$14="Yes",IF(COUNTBLANK('Capacity summary'!$H196:$BG196)&lt;52,IF('Capacity summary'!AY196&lt;&gt;"",IF(LOWER('Capacity summary'!AY196)="x",$BI77*AY77,VALUE('Capacity summary'!AY196)),0),AY77*$BI77),AY77*$BI77),0)</f>
        <v>0</v>
      </c>
      <c r="DC77" s="313">
        <f>IF($BI77&lt;&gt;"",IF('Capacity summary'!$D$14="Yes",IF(COUNTBLANK('Capacity summary'!$H196:$BG196)&lt;52,IF('Capacity summary'!AZ196&lt;&gt;"",IF(LOWER('Capacity summary'!AZ196)="x",$BI77*AZ77,VALUE('Capacity summary'!AZ196)),0),AZ77*$BI77),AZ77*$BI77),0)</f>
        <v>0</v>
      </c>
      <c r="DD77" s="313">
        <f>IF($BI77&lt;&gt;"",IF('Capacity summary'!$D$14="Yes",IF(COUNTBLANK('Capacity summary'!$H196:$BG196)&lt;52,IF('Capacity summary'!BA196&lt;&gt;"",IF(LOWER('Capacity summary'!BA196)="x",$BI77*BA77,VALUE('Capacity summary'!BA196)),0),BA77*$BI77),BA77*$BI77),0)</f>
        <v>0</v>
      </c>
      <c r="DE77" s="313">
        <f>IF($BI77&lt;&gt;"",IF('Capacity summary'!$D$14="Yes",IF(COUNTBLANK('Capacity summary'!$H196:$BG196)&lt;52,IF('Capacity summary'!BB196&lt;&gt;"",IF(LOWER('Capacity summary'!BB196)="x",$BI77*BB77,VALUE('Capacity summary'!BB196)),0),BB77*$BI77),BB77*$BI77),0)</f>
        <v>0</v>
      </c>
      <c r="DF77" s="313">
        <f>IF($BI77&lt;&gt;"",IF('Capacity summary'!$D$14="Yes",IF(COUNTBLANK('Capacity summary'!$H196:$BG196)&lt;52,IF('Capacity summary'!BC196&lt;&gt;"",IF(LOWER('Capacity summary'!BC196)="x",$BI77*BC77,VALUE('Capacity summary'!BC196)),0),BC77*$BI77),BC77*$BI77),0)</f>
        <v>0</v>
      </c>
      <c r="DG77" s="313">
        <f>IF($BI77&lt;&gt;"",IF('Capacity summary'!$D$14="Yes",IF(COUNTBLANK('Capacity summary'!$H196:$BG196)&lt;52,IF('Capacity summary'!BD196&lt;&gt;"",IF(LOWER('Capacity summary'!BD196)="x",$BI77*BD77,VALUE('Capacity summary'!BD196)),0),BD77*$BI77),BD77*$BI77),0)</f>
        <v>0</v>
      </c>
      <c r="DH77" s="313">
        <f>IF($BI77&lt;&gt;"",IF('Capacity summary'!$D$14="Yes",IF(COUNTBLANK('Capacity summary'!$H196:$BG196)&lt;52,IF('Capacity summary'!BE196&lt;&gt;"",IF(LOWER('Capacity summary'!BE196)="x",$BI77*BE77,VALUE('Capacity summary'!BE196)),0),BE77*$BI77),BE77*$BI77),0)</f>
        <v>0</v>
      </c>
      <c r="DI77" s="313">
        <f>IF($BI77&lt;&gt;"",IF('Capacity summary'!$D$14="Yes",IF(COUNTBLANK('Capacity summary'!$H196:$BG196)&lt;52,IF('Capacity summary'!BF196&lt;&gt;"",IF(LOWER('Capacity summary'!BF196)="x",$BI77*BF77,VALUE('Capacity summary'!BF196)),0),BF77*$BI77),BF77*$BI77),0)</f>
        <v>0</v>
      </c>
      <c r="DJ77" s="313">
        <f>IF($BI77&lt;&gt;"",IF('Capacity summary'!$D$14="Yes",IF(COUNTBLANK('Capacity summary'!$H196:$BG196)&lt;52,IF('Capacity summary'!BG196&lt;&gt;"",IF(LOWER('Capacity summary'!BG196)="x",$BI77*BG77,VALUE('Capacity summary'!BG196)),0),BG77*$BI77),BG77*$BI77),0)</f>
        <v>0</v>
      </c>
      <c r="DK77" s="137">
        <f t="shared" si="3"/>
        <v>0</v>
      </c>
      <c r="DL77" s="313" t="str">
        <f>Capacity!H89</f>
        <v/>
      </c>
    </row>
    <row r="78" spans="2:116" x14ac:dyDescent="0.25">
      <c r="B78" s="67"/>
      <c r="C78" s="67" t="str">
        <f>ROW(A74)&amp;". "&amp;Capacity!B90</f>
        <v xml:space="preserve">74. </v>
      </c>
      <c r="D78" s="67">
        <f>'Capacity setup'!C85</f>
        <v>0</v>
      </c>
      <c r="E78" s="67">
        <f>'Capacity setup'!D85</f>
        <v>0</v>
      </c>
      <c r="F78" s="67">
        <f>'Capacity setup'!E85</f>
        <v>0</v>
      </c>
      <c r="H78" s="67">
        <f ca="1">IF(AND(SUMIF(Capacity_Resource,$D78,'Critical resources (hide)'!U$6:U$105)+SUMIF(Capacity_Resource,$E78,'Critical resources (hide)'!U$6:U$105)+SUMIF(Capacity_Resource,$F78,'Critical resources (hide)'!U$6:U$105)&gt;0,$E$1=2),0,1)</f>
        <v>1</v>
      </c>
      <c r="I78" s="67">
        <f ca="1">IF(AND(SUMIF(Capacity_Resource,$D78,'Critical resources (hide)'!V$6:V$105)+SUMIF(Capacity_Resource,$E78,'Critical resources (hide)'!V$6:V$105)+SUMIF(Capacity_Resource,$F78,'Critical resources (hide)'!V$6:V$105)&gt;0,$E$1=2),0,1)</f>
        <v>1</v>
      </c>
      <c r="J78" s="67">
        <f ca="1">IF(AND(SUMIF(Capacity_Resource,$D78,'Critical resources (hide)'!W$6:W$105)+SUMIF(Capacity_Resource,$E78,'Critical resources (hide)'!W$6:W$105)+SUMIF(Capacity_Resource,$F78,'Critical resources (hide)'!W$6:W$105)&gt;0,$E$1=2),0,1)</f>
        <v>1</v>
      </c>
      <c r="K78" s="67">
        <f ca="1">IF(AND(SUMIF(Capacity_Resource,$D78,'Critical resources (hide)'!X$6:X$105)+SUMIF(Capacity_Resource,$E78,'Critical resources (hide)'!X$6:X$105)+SUMIF(Capacity_Resource,$F78,'Critical resources (hide)'!X$6:X$105)&gt;0,$E$1=2),0,1)</f>
        <v>1</v>
      </c>
      <c r="L78" s="67">
        <f ca="1">IF(AND(SUMIF(Capacity_Resource,$D78,'Critical resources (hide)'!Y$6:Y$105)+SUMIF(Capacity_Resource,$E78,'Critical resources (hide)'!Y$6:Y$105)+SUMIF(Capacity_Resource,$F78,'Critical resources (hide)'!Y$6:Y$105)&gt;0,$E$1=2),0,1)</f>
        <v>1</v>
      </c>
      <c r="M78" s="67">
        <f ca="1">IF(AND(SUMIF(Capacity_Resource,$D78,'Critical resources (hide)'!Z$6:Z$105)+SUMIF(Capacity_Resource,$E78,'Critical resources (hide)'!Z$6:Z$105)+SUMIF(Capacity_Resource,$F78,'Critical resources (hide)'!Z$6:Z$105)&gt;0,$E$1=2),0,1)</f>
        <v>1</v>
      </c>
      <c r="N78" s="67">
        <f ca="1">IF(AND(SUMIF(Capacity_Resource,$D78,'Critical resources (hide)'!AA$6:AA$105)+SUMIF(Capacity_Resource,$E78,'Critical resources (hide)'!AA$6:AA$105)+SUMIF(Capacity_Resource,$F78,'Critical resources (hide)'!AA$6:AA$105)&gt;0,$E$1=2),0,1)</f>
        <v>1</v>
      </c>
      <c r="O78" s="67">
        <f ca="1">IF(AND(SUMIF(Capacity_Resource,$D78,'Critical resources (hide)'!AB$6:AB$105)+SUMIF(Capacity_Resource,$E78,'Critical resources (hide)'!AB$6:AB$105)+SUMIF(Capacity_Resource,$F78,'Critical resources (hide)'!AB$6:AB$105)&gt;0,$E$1=2),0,1)</f>
        <v>1</v>
      </c>
      <c r="P78" s="67">
        <f ca="1">IF(AND(SUMIF(Capacity_Resource,$D78,'Critical resources (hide)'!AC$6:AC$105)+SUMIF(Capacity_Resource,$E78,'Critical resources (hide)'!AC$6:AC$105)+SUMIF(Capacity_Resource,$F78,'Critical resources (hide)'!AC$6:AC$105)&gt;0,$E$1=2),0,1)</f>
        <v>1</v>
      </c>
      <c r="Q78" s="67">
        <f ca="1">IF(AND(SUMIF(Capacity_Resource,$D78,'Critical resources (hide)'!AD$6:AD$105)+SUMIF(Capacity_Resource,$E78,'Critical resources (hide)'!AD$6:AD$105)+SUMIF(Capacity_Resource,$F78,'Critical resources (hide)'!AD$6:AD$105)&gt;0,$E$1=2),0,1)</f>
        <v>1</v>
      </c>
      <c r="R78" s="67">
        <f ca="1">IF(AND(SUMIF(Capacity_Resource,$D78,'Critical resources (hide)'!AE$6:AE$105)+SUMIF(Capacity_Resource,$E78,'Critical resources (hide)'!AE$6:AE$105)+SUMIF(Capacity_Resource,$F78,'Critical resources (hide)'!AE$6:AE$105)&gt;0,$E$1=2),0,1)</f>
        <v>1</v>
      </c>
      <c r="S78" s="67">
        <f ca="1">IF(AND(SUMIF(Capacity_Resource,$D78,'Critical resources (hide)'!AF$6:AF$105)+SUMIF(Capacity_Resource,$E78,'Critical resources (hide)'!AF$6:AF$105)+SUMIF(Capacity_Resource,$F78,'Critical resources (hide)'!AF$6:AF$105)&gt;0,$E$1=2),0,1)</f>
        <v>1</v>
      </c>
      <c r="T78" s="67">
        <f ca="1">IF(AND(SUMIF(Capacity_Resource,$D78,'Critical resources (hide)'!AG$6:AG$105)+SUMIF(Capacity_Resource,$E78,'Critical resources (hide)'!AG$6:AG$105)+SUMIF(Capacity_Resource,$F78,'Critical resources (hide)'!AG$6:AG$105)&gt;0,$E$1=2),0,1)</f>
        <v>1</v>
      </c>
      <c r="U78" s="67">
        <f ca="1">IF(AND(SUMIF(Capacity_Resource,$D78,'Critical resources (hide)'!AH$6:AH$105)+SUMIF(Capacity_Resource,$E78,'Critical resources (hide)'!AH$6:AH$105)+SUMIF(Capacity_Resource,$F78,'Critical resources (hide)'!AH$6:AH$105)&gt;0,$E$1=2),0,1)</f>
        <v>1</v>
      </c>
      <c r="V78" s="67">
        <f ca="1">IF(AND(SUMIF(Capacity_Resource,$D78,'Critical resources (hide)'!AI$6:AI$105)+SUMIF(Capacity_Resource,$E78,'Critical resources (hide)'!AI$6:AI$105)+SUMIF(Capacity_Resource,$F78,'Critical resources (hide)'!AI$6:AI$105)&gt;0,$E$1=2),0,1)</f>
        <v>1</v>
      </c>
      <c r="W78" s="67">
        <f ca="1">IF(AND(SUMIF(Capacity_Resource,$D78,'Critical resources (hide)'!AJ$6:AJ$105)+SUMIF(Capacity_Resource,$E78,'Critical resources (hide)'!AJ$6:AJ$105)+SUMIF(Capacity_Resource,$F78,'Critical resources (hide)'!AJ$6:AJ$105)&gt;0,$E$1=2),0,1)</f>
        <v>1</v>
      </c>
      <c r="X78" s="67">
        <f ca="1">IF(AND(SUMIF(Capacity_Resource,$D78,'Critical resources (hide)'!AK$6:AK$105)+SUMIF(Capacity_Resource,$E78,'Critical resources (hide)'!AK$6:AK$105)+SUMIF(Capacity_Resource,$F78,'Critical resources (hide)'!AK$6:AK$105)&gt;0,$E$1=2),0,1)</f>
        <v>1</v>
      </c>
      <c r="Y78" s="67">
        <f ca="1">IF(AND(SUMIF(Capacity_Resource,$D78,'Critical resources (hide)'!AL$6:AL$105)+SUMIF(Capacity_Resource,$E78,'Critical resources (hide)'!AL$6:AL$105)+SUMIF(Capacity_Resource,$F78,'Critical resources (hide)'!AL$6:AL$105)&gt;0,$E$1=2),0,1)</f>
        <v>1</v>
      </c>
      <c r="Z78" s="67">
        <f ca="1">IF(AND(SUMIF(Capacity_Resource,$D78,'Critical resources (hide)'!AM$6:AM$105)+SUMIF(Capacity_Resource,$E78,'Critical resources (hide)'!AM$6:AM$105)+SUMIF(Capacity_Resource,$F78,'Critical resources (hide)'!AM$6:AM$105)&gt;0,$E$1=2),0,1)</f>
        <v>1</v>
      </c>
      <c r="AA78" s="67">
        <f ca="1">IF(AND(SUMIF(Capacity_Resource,$D78,'Critical resources (hide)'!AN$6:AN$105)+SUMIF(Capacity_Resource,$E78,'Critical resources (hide)'!AN$6:AN$105)+SUMIF(Capacity_Resource,$F78,'Critical resources (hide)'!AN$6:AN$105)&gt;0,$E$1=2),0,1)</f>
        <v>1</v>
      </c>
      <c r="AB78" s="67">
        <f ca="1">IF(AND(SUMIF(Capacity_Resource,$D78,'Critical resources (hide)'!AO$6:AO$105)+SUMIF(Capacity_Resource,$E78,'Critical resources (hide)'!AO$6:AO$105)+SUMIF(Capacity_Resource,$F78,'Critical resources (hide)'!AO$6:AO$105)&gt;0,$E$1=2),0,1)</f>
        <v>1</v>
      </c>
      <c r="AC78" s="67">
        <f ca="1">IF(AND(SUMIF(Capacity_Resource,$D78,'Critical resources (hide)'!AP$6:AP$105)+SUMIF(Capacity_Resource,$E78,'Critical resources (hide)'!AP$6:AP$105)+SUMIF(Capacity_Resource,$F78,'Critical resources (hide)'!AP$6:AP$105)&gt;0,$E$1=2),0,1)</f>
        <v>1</v>
      </c>
      <c r="AD78" s="67">
        <f ca="1">IF(AND(SUMIF(Capacity_Resource,$D78,'Critical resources (hide)'!AQ$6:AQ$105)+SUMIF(Capacity_Resource,$E78,'Critical resources (hide)'!AQ$6:AQ$105)+SUMIF(Capacity_Resource,$F78,'Critical resources (hide)'!AQ$6:AQ$105)&gt;0,$E$1=2),0,1)</f>
        <v>1</v>
      </c>
      <c r="AE78" s="67">
        <f ca="1">IF(AND(SUMIF(Capacity_Resource,$D78,'Critical resources (hide)'!AR$6:AR$105)+SUMIF(Capacity_Resource,$E78,'Critical resources (hide)'!AR$6:AR$105)+SUMIF(Capacity_Resource,$F78,'Critical resources (hide)'!AR$6:AR$105)&gt;0,$E$1=2),0,1)</f>
        <v>1</v>
      </c>
      <c r="AF78" s="67">
        <f ca="1">IF(AND(SUMIF(Capacity_Resource,$D78,'Critical resources (hide)'!AS$6:AS$105)+SUMIF(Capacity_Resource,$E78,'Critical resources (hide)'!AS$6:AS$105)+SUMIF(Capacity_Resource,$F78,'Critical resources (hide)'!AS$6:AS$105)&gt;0,$E$1=2),0,1)</f>
        <v>1</v>
      </c>
      <c r="AG78" s="67">
        <f ca="1">IF(AND(SUMIF(Capacity_Resource,$D78,'Critical resources (hide)'!AT$6:AT$105)+SUMIF(Capacity_Resource,$E78,'Critical resources (hide)'!AT$6:AT$105)+SUMIF(Capacity_Resource,$F78,'Critical resources (hide)'!AT$6:AT$105)&gt;0,$E$1=2),0,1)</f>
        <v>1</v>
      </c>
      <c r="AH78" s="67">
        <f ca="1">IF(AND(SUMIF(Capacity_Resource,$D78,'Critical resources (hide)'!AU$6:AU$105)+SUMIF(Capacity_Resource,$E78,'Critical resources (hide)'!AU$6:AU$105)+SUMIF(Capacity_Resource,$F78,'Critical resources (hide)'!AU$6:AU$105)&gt;0,$E$1=2),0,1)</f>
        <v>1</v>
      </c>
      <c r="AI78" s="67">
        <f ca="1">IF(AND(SUMIF(Capacity_Resource,$D78,'Critical resources (hide)'!AV$6:AV$105)+SUMIF(Capacity_Resource,$E78,'Critical resources (hide)'!AV$6:AV$105)+SUMIF(Capacity_Resource,$F78,'Critical resources (hide)'!AV$6:AV$105)&gt;0,$E$1=2),0,1)</f>
        <v>1</v>
      </c>
      <c r="AJ78" s="67">
        <f ca="1">IF(AND(SUMIF(Capacity_Resource,$D78,'Critical resources (hide)'!AW$6:AW$105)+SUMIF(Capacity_Resource,$E78,'Critical resources (hide)'!AW$6:AW$105)+SUMIF(Capacity_Resource,$F78,'Critical resources (hide)'!AW$6:AW$105)&gt;0,$E$1=2),0,1)</f>
        <v>1</v>
      </c>
      <c r="AK78" s="67">
        <f ca="1">IF(AND(SUMIF(Capacity_Resource,$D78,'Critical resources (hide)'!AX$6:AX$105)+SUMIF(Capacity_Resource,$E78,'Critical resources (hide)'!AX$6:AX$105)+SUMIF(Capacity_Resource,$F78,'Critical resources (hide)'!AX$6:AX$105)&gt;0,$E$1=2),0,1)</f>
        <v>1</v>
      </c>
      <c r="AL78" s="67">
        <f ca="1">IF(AND(SUMIF(Capacity_Resource,$D78,'Critical resources (hide)'!AY$6:AY$105)+SUMIF(Capacity_Resource,$E78,'Critical resources (hide)'!AY$6:AY$105)+SUMIF(Capacity_Resource,$F78,'Critical resources (hide)'!AY$6:AY$105)&gt;0,$E$1=2),0,1)</f>
        <v>1</v>
      </c>
      <c r="AM78" s="67">
        <f ca="1">IF(AND(SUMIF(Capacity_Resource,$D78,'Critical resources (hide)'!AZ$6:AZ$105)+SUMIF(Capacity_Resource,$E78,'Critical resources (hide)'!AZ$6:AZ$105)+SUMIF(Capacity_Resource,$F78,'Critical resources (hide)'!AZ$6:AZ$105)&gt;0,$E$1=2),0,1)</f>
        <v>1</v>
      </c>
      <c r="AN78" s="67">
        <f ca="1">IF(AND(SUMIF(Capacity_Resource,$D78,'Critical resources (hide)'!BA$6:BA$105)+SUMIF(Capacity_Resource,$E78,'Critical resources (hide)'!BA$6:BA$105)+SUMIF(Capacity_Resource,$F78,'Critical resources (hide)'!BA$6:BA$105)&gt;0,$E$1=2),0,1)</f>
        <v>1</v>
      </c>
      <c r="AO78" s="67">
        <f ca="1">IF(AND(SUMIF(Capacity_Resource,$D78,'Critical resources (hide)'!BB$6:BB$105)+SUMIF(Capacity_Resource,$E78,'Critical resources (hide)'!BB$6:BB$105)+SUMIF(Capacity_Resource,$F78,'Critical resources (hide)'!BB$6:BB$105)&gt;0,$E$1=2),0,1)</f>
        <v>1</v>
      </c>
      <c r="AP78" s="67">
        <f ca="1">IF(AND(SUMIF(Capacity_Resource,$D78,'Critical resources (hide)'!BC$6:BC$105)+SUMIF(Capacity_Resource,$E78,'Critical resources (hide)'!BC$6:BC$105)+SUMIF(Capacity_Resource,$F78,'Critical resources (hide)'!BC$6:BC$105)&gt;0,$E$1=2),0,1)</f>
        <v>1</v>
      </c>
      <c r="AQ78" s="67">
        <f ca="1">IF(AND(SUMIF(Capacity_Resource,$D78,'Critical resources (hide)'!BD$6:BD$105)+SUMIF(Capacity_Resource,$E78,'Critical resources (hide)'!BD$6:BD$105)+SUMIF(Capacity_Resource,$F78,'Critical resources (hide)'!BD$6:BD$105)&gt;0,$E$1=2),0,1)</f>
        <v>1</v>
      </c>
      <c r="AR78" s="67">
        <f ca="1">IF(AND(SUMIF(Capacity_Resource,$D78,'Critical resources (hide)'!BE$6:BE$105)+SUMIF(Capacity_Resource,$E78,'Critical resources (hide)'!BE$6:BE$105)+SUMIF(Capacity_Resource,$F78,'Critical resources (hide)'!BE$6:BE$105)&gt;0,$E$1=2),0,1)</f>
        <v>1</v>
      </c>
      <c r="AS78" s="67">
        <f ca="1">IF(AND(SUMIF(Capacity_Resource,$D78,'Critical resources (hide)'!BF$6:BF$105)+SUMIF(Capacity_Resource,$E78,'Critical resources (hide)'!BF$6:BF$105)+SUMIF(Capacity_Resource,$F78,'Critical resources (hide)'!BF$6:BF$105)&gt;0,$E$1=2),0,1)</f>
        <v>1</v>
      </c>
      <c r="AT78" s="67">
        <f ca="1">IF(AND(SUMIF(Capacity_Resource,$D78,'Critical resources (hide)'!BG$6:BG$105)+SUMIF(Capacity_Resource,$E78,'Critical resources (hide)'!BG$6:BG$105)+SUMIF(Capacity_Resource,$F78,'Critical resources (hide)'!BG$6:BG$105)&gt;0,$E$1=2),0,1)</f>
        <v>1</v>
      </c>
      <c r="AU78" s="67">
        <f ca="1">IF(AND(SUMIF(Capacity_Resource,$D78,'Critical resources (hide)'!BH$6:BH$105)+SUMIF(Capacity_Resource,$E78,'Critical resources (hide)'!BH$6:BH$105)+SUMIF(Capacity_Resource,$F78,'Critical resources (hide)'!BH$6:BH$105)&gt;0,$E$1=2),0,1)</f>
        <v>1</v>
      </c>
      <c r="AV78" s="67">
        <f ca="1">IF(AND(SUMIF(Capacity_Resource,$D78,'Critical resources (hide)'!BI$6:BI$105)+SUMIF(Capacity_Resource,$E78,'Critical resources (hide)'!BI$6:BI$105)+SUMIF(Capacity_Resource,$F78,'Critical resources (hide)'!BI$6:BI$105)&gt;0,$E$1=2),0,1)</f>
        <v>1</v>
      </c>
      <c r="AW78" s="67">
        <f ca="1">IF(AND(SUMIF(Capacity_Resource,$D78,'Critical resources (hide)'!BJ$6:BJ$105)+SUMIF(Capacity_Resource,$E78,'Critical resources (hide)'!BJ$6:BJ$105)+SUMIF(Capacity_Resource,$F78,'Critical resources (hide)'!BJ$6:BJ$105)&gt;0,$E$1=2),0,1)</f>
        <v>1</v>
      </c>
      <c r="AX78" s="67">
        <f ca="1">IF(AND(SUMIF(Capacity_Resource,$D78,'Critical resources (hide)'!BK$6:BK$105)+SUMIF(Capacity_Resource,$E78,'Critical resources (hide)'!BK$6:BK$105)+SUMIF(Capacity_Resource,$F78,'Critical resources (hide)'!BK$6:BK$105)&gt;0,$E$1=2),0,1)</f>
        <v>1</v>
      </c>
      <c r="AY78" s="67">
        <f ca="1">IF(AND(SUMIF(Capacity_Resource,$D78,'Critical resources (hide)'!BL$6:BL$105)+SUMIF(Capacity_Resource,$E78,'Critical resources (hide)'!BL$6:BL$105)+SUMIF(Capacity_Resource,$F78,'Critical resources (hide)'!BL$6:BL$105)&gt;0,$E$1=2),0,1)</f>
        <v>1</v>
      </c>
      <c r="AZ78" s="67">
        <f ca="1">IF(AND(SUMIF(Capacity_Resource,$D78,'Critical resources (hide)'!BM$6:BM$105)+SUMIF(Capacity_Resource,$E78,'Critical resources (hide)'!BM$6:BM$105)+SUMIF(Capacity_Resource,$F78,'Critical resources (hide)'!BM$6:BM$105)&gt;0,$E$1=2),0,1)</f>
        <v>1</v>
      </c>
      <c r="BA78" s="67">
        <f ca="1">IF(AND(SUMIF(Capacity_Resource,$D78,'Critical resources (hide)'!BN$6:BN$105)+SUMIF(Capacity_Resource,$E78,'Critical resources (hide)'!BN$6:BN$105)+SUMIF(Capacity_Resource,$F78,'Critical resources (hide)'!BN$6:BN$105)&gt;0,$E$1=2),0,1)</f>
        <v>1</v>
      </c>
      <c r="BB78" s="67">
        <f ca="1">IF(AND(SUMIF(Capacity_Resource,$D78,'Critical resources (hide)'!BO$6:BO$105)+SUMIF(Capacity_Resource,$E78,'Critical resources (hide)'!BO$6:BO$105)+SUMIF(Capacity_Resource,$F78,'Critical resources (hide)'!BO$6:BO$105)&gt;0,$E$1=2),0,1)</f>
        <v>1</v>
      </c>
      <c r="BC78" s="67">
        <f ca="1">IF(AND(SUMIF(Capacity_Resource,$D78,'Critical resources (hide)'!BP$6:BP$105)+SUMIF(Capacity_Resource,$E78,'Critical resources (hide)'!BP$6:BP$105)+SUMIF(Capacity_Resource,$F78,'Critical resources (hide)'!BP$6:BP$105)&gt;0,$E$1=2),0,1)</f>
        <v>1</v>
      </c>
      <c r="BD78" s="67">
        <f ca="1">IF(AND(SUMIF(Capacity_Resource,$D78,'Critical resources (hide)'!BQ$6:BQ$105)+SUMIF(Capacity_Resource,$E78,'Critical resources (hide)'!BQ$6:BQ$105)+SUMIF(Capacity_Resource,$F78,'Critical resources (hide)'!BQ$6:BQ$105)&gt;0,$E$1=2),0,1)</f>
        <v>1</v>
      </c>
      <c r="BE78" s="67">
        <f ca="1">IF(AND(SUMIF(Capacity_Resource,$D78,'Critical resources (hide)'!BR$6:BR$105)+SUMIF(Capacity_Resource,$E78,'Critical resources (hide)'!BR$6:BR$105)+SUMIF(Capacity_Resource,$F78,'Critical resources (hide)'!BR$6:BR$105)&gt;0,$E$1=2),0,1)</f>
        <v>1</v>
      </c>
      <c r="BF78" s="67">
        <f ca="1">IF(AND(SUMIF(Capacity_Resource,$D78,'Critical resources (hide)'!BS$6:BS$105)+SUMIF(Capacity_Resource,$E78,'Critical resources (hide)'!BS$6:BS$105)+SUMIF(Capacity_Resource,$F78,'Critical resources (hide)'!BS$6:BS$105)&gt;0,$E$1=2),0,1)</f>
        <v>1</v>
      </c>
      <c r="BG78" s="67">
        <f ca="1">IF(AND(SUMIF(Capacity_Resource,$D78,'Critical resources (hide)'!BT$6:BT$105)+SUMIF(Capacity_Resource,$E78,'Critical resources (hide)'!BT$6:BT$105)+SUMIF(Capacity_Resource,$F78,'Critical resources (hide)'!BT$6:BT$105)&gt;0,$E$1=2),0,1)</f>
        <v>1</v>
      </c>
      <c r="BH78" s="67">
        <f>IF(ROW(C74)&lt;=Capacity!$A$16,IF('Capacity summary'!$D$14="No",SUM(H78:BG78),'Capacity summary'!$E197),0)</f>
        <v>0</v>
      </c>
      <c r="BI78" s="5" t="str">
        <f>IF(BH78&gt;0,IF(BH78&lt;Capacity!E90,Capacity!F90,Capacity!H90/'Capacity calculation (hide)'!BH78),"")</f>
        <v/>
      </c>
      <c r="BK78" s="313">
        <f>IF($BI78&lt;&gt;"",IF('Capacity summary'!$D$14="Yes",IF(COUNTBLANK('Capacity summary'!$H197:$BG197)&lt;52,IF('Capacity summary'!H197&lt;&gt;"",IF(LOWER('Capacity summary'!H197)="x",$BI78*H78,VALUE('Capacity summary'!H197)),0),H78*$BI78),H78*$BI78),0)</f>
        <v>0</v>
      </c>
      <c r="BL78" s="313">
        <f>IF($BI78&lt;&gt;"",IF('Capacity summary'!$D$14="Yes",IF(COUNTBLANK('Capacity summary'!$H197:$BG197)&lt;52,IF('Capacity summary'!I197&lt;&gt;"",IF(LOWER('Capacity summary'!I197)="x",$BI78*I78,VALUE('Capacity summary'!I197)),0),I78*$BI78),I78*$BI78),0)</f>
        <v>0</v>
      </c>
      <c r="BM78" s="313">
        <f>IF($BI78&lt;&gt;"",IF('Capacity summary'!$D$14="Yes",IF(COUNTBLANK('Capacity summary'!$H197:$BG197)&lt;52,IF('Capacity summary'!J197&lt;&gt;"",IF(LOWER('Capacity summary'!J197)="x",$BI78*J78,VALUE('Capacity summary'!J197)),0),J78*$BI78),J78*$BI78),0)</f>
        <v>0</v>
      </c>
      <c r="BN78" s="313">
        <f>IF($BI78&lt;&gt;"",IF('Capacity summary'!$D$14="Yes",IF(COUNTBLANK('Capacity summary'!$H197:$BG197)&lt;52,IF('Capacity summary'!K197&lt;&gt;"",IF(LOWER('Capacity summary'!K197)="x",$BI78*K78,VALUE('Capacity summary'!K197)),0),K78*$BI78),K78*$BI78),0)</f>
        <v>0</v>
      </c>
      <c r="BO78" s="313">
        <f>IF($BI78&lt;&gt;"",IF('Capacity summary'!$D$14="Yes",IF(COUNTBLANK('Capacity summary'!$H197:$BG197)&lt;52,IF('Capacity summary'!L197&lt;&gt;"",IF(LOWER('Capacity summary'!L197)="x",$BI78*L78,VALUE('Capacity summary'!L197)),0),L78*$BI78),L78*$BI78),0)</f>
        <v>0</v>
      </c>
      <c r="BP78" s="313">
        <f>IF($BI78&lt;&gt;"",IF('Capacity summary'!$D$14="Yes",IF(COUNTBLANK('Capacity summary'!$H197:$BG197)&lt;52,IF('Capacity summary'!M197&lt;&gt;"",IF(LOWER('Capacity summary'!M197)="x",$BI78*M78,VALUE('Capacity summary'!M197)),0),M78*$BI78),M78*$BI78),0)</f>
        <v>0</v>
      </c>
      <c r="BQ78" s="313">
        <f>IF($BI78&lt;&gt;"",IF('Capacity summary'!$D$14="Yes",IF(COUNTBLANK('Capacity summary'!$H197:$BG197)&lt;52,IF('Capacity summary'!N197&lt;&gt;"",IF(LOWER('Capacity summary'!N197)="x",$BI78*N78,VALUE('Capacity summary'!N197)),0),N78*$BI78),N78*$BI78),0)</f>
        <v>0</v>
      </c>
      <c r="BR78" s="313">
        <f>IF($BI78&lt;&gt;"",IF('Capacity summary'!$D$14="Yes",IF(COUNTBLANK('Capacity summary'!$H197:$BG197)&lt;52,IF('Capacity summary'!O197&lt;&gt;"",IF(LOWER('Capacity summary'!O197)="x",$BI78*O78,VALUE('Capacity summary'!O197)),0),O78*$BI78),O78*$BI78),0)</f>
        <v>0</v>
      </c>
      <c r="BS78" s="313">
        <f>IF($BI78&lt;&gt;"",IF('Capacity summary'!$D$14="Yes",IF(COUNTBLANK('Capacity summary'!$H197:$BG197)&lt;52,IF('Capacity summary'!P197&lt;&gt;"",IF(LOWER('Capacity summary'!P197)="x",$BI78*P78,VALUE('Capacity summary'!P197)),0),P78*$BI78),P78*$BI78),0)</f>
        <v>0</v>
      </c>
      <c r="BT78" s="313">
        <f>IF($BI78&lt;&gt;"",IF('Capacity summary'!$D$14="Yes",IF(COUNTBLANK('Capacity summary'!$H197:$BG197)&lt;52,IF('Capacity summary'!Q197&lt;&gt;"",IF(LOWER('Capacity summary'!Q197)="x",$BI78*Q78,VALUE('Capacity summary'!Q197)),0),Q78*$BI78),Q78*$BI78),0)</f>
        <v>0</v>
      </c>
      <c r="BU78" s="313">
        <f>IF($BI78&lt;&gt;"",IF('Capacity summary'!$D$14="Yes",IF(COUNTBLANK('Capacity summary'!$H197:$BG197)&lt;52,IF('Capacity summary'!R197&lt;&gt;"",IF(LOWER('Capacity summary'!R197)="x",$BI78*R78,VALUE('Capacity summary'!R197)),0),R78*$BI78),R78*$BI78),0)</f>
        <v>0</v>
      </c>
      <c r="BV78" s="313">
        <f>IF($BI78&lt;&gt;"",IF('Capacity summary'!$D$14="Yes",IF(COUNTBLANK('Capacity summary'!$H197:$BG197)&lt;52,IF('Capacity summary'!S197&lt;&gt;"",IF(LOWER('Capacity summary'!S197)="x",$BI78*S78,VALUE('Capacity summary'!S197)),0),S78*$BI78),S78*$BI78),0)</f>
        <v>0</v>
      </c>
      <c r="BW78" s="313">
        <f>IF($BI78&lt;&gt;"",IF('Capacity summary'!$D$14="Yes",IF(COUNTBLANK('Capacity summary'!$H197:$BG197)&lt;52,IF('Capacity summary'!T197&lt;&gt;"",IF(LOWER('Capacity summary'!T197)="x",$BI78*T78,VALUE('Capacity summary'!T197)),0),T78*$BI78),T78*$BI78),0)</f>
        <v>0</v>
      </c>
      <c r="BX78" s="313">
        <f>IF($BI78&lt;&gt;"",IF('Capacity summary'!$D$14="Yes",IF(COUNTBLANK('Capacity summary'!$H197:$BG197)&lt;52,IF('Capacity summary'!U197&lt;&gt;"",IF(LOWER('Capacity summary'!U197)="x",$BI78*U78,VALUE('Capacity summary'!U197)),0),U78*$BI78),U78*$BI78),0)</f>
        <v>0</v>
      </c>
      <c r="BY78" s="313">
        <f>IF($BI78&lt;&gt;"",IF('Capacity summary'!$D$14="Yes",IF(COUNTBLANK('Capacity summary'!$H197:$BG197)&lt;52,IF('Capacity summary'!V197&lt;&gt;"",IF(LOWER('Capacity summary'!V197)="x",$BI78*V78,VALUE('Capacity summary'!V197)),0),V78*$BI78),V78*$BI78),0)</f>
        <v>0</v>
      </c>
      <c r="BZ78" s="313">
        <f>IF($BI78&lt;&gt;"",IF('Capacity summary'!$D$14="Yes",IF(COUNTBLANK('Capacity summary'!$H197:$BG197)&lt;52,IF('Capacity summary'!W197&lt;&gt;"",IF(LOWER('Capacity summary'!W197)="x",$BI78*W78,VALUE('Capacity summary'!W197)),0),W78*$BI78),W78*$BI78),0)</f>
        <v>0</v>
      </c>
      <c r="CA78" s="313">
        <f>IF($BI78&lt;&gt;"",IF('Capacity summary'!$D$14="Yes",IF(COUNTBLANK('Capacity summary'!$H197:$BG197)&lt;52,IF('Capacity summary'!X197&lt;&gt;"",IF(LOWER('Capacity summary'!X197)="x",$BI78*X78,VALUE('Capacity summary'!X197)),0),X78*$BI78),X78*$BI78),0)</f>
        <v>0</v>
      </c>
      <c r="CB78" s="313">
        <f>IF($BI78&lt;&gt;"",IF('Capacity summary'!$D$14="Yes",IF(COUNTBLANK('Capacity summary'!$H197:$BG197)&lt;52,IF('Capacity summary'!Y197&lt;&gt;"",IF(LOWER('Capacity summary'!Y197)="x",$BI78*Y78,VALUE('Capacity summary'!Y197)),0),Y78*$BI78),Y78*$BI78),0)</f>
        <v>0</v>
      </c>
      <c r="CC78" s="313">
        <f>IF($BI78&lt;&gt;"",IF('Capacity summary'!$D$14="Yes",IF(COUNTBLANK('Capacity summary'!$H197:$BG197)&lt;52,IF('Capacity summary'!Z197&lt;&gt;"",IF(LOWER('Capacity summary'!Z197)="x",$BI78*Z78,VALUE('Capacity summary'!Z197)),0),Z78*$BI78),Z78*$BI78),0)</f>
        <v>0</v>
      </c>
      <c r="CD78" s="313">
        <f>IF($BI78&lt;&gt;"",IF('Capacity summary'!$D$14="Yes",IF(COUNTBLANK('Capacity summary'!$H197:$BG197)&lt;52,IF('Capacity summary'!AA197&lt;&gt;"",IF(LOWER('Capacity summary'!AA197)="x",$BI78*AA78,VALUE('Capacity summary'!AA197)),0),AA78*$BI78),AA78*$BI78),0)</f>
        <v>0</v>
      </c>
      <c r="CE78" s="313">
        <f>IF($BI78&lt;&gt;"",IF('Capacity summary'!$D$14="Yes",IF(COUNTBLANK('Capacity summary'!$H197:$BG197)&lt;52,IF('Capacity summary'!AB197&lt;&gt;"",IF(LOWER('Capacity summary'!AB197)="x",$BI78*AB78,VALUE('Capacity summary'!AB197)),0),AB78*$BI78),AB78*$BI78),0)</f>
        <v>0</v>
      </c>
      <c r="CF78" s="313">
        <f>IF($BI78&lt;&gt;"",IF('Capacity summary'!$D$14="Yes",IF(COUNTBLANK('Capacity summary'!$H197:$BG197)&lt;52,IF('Capacity summary'!AC197&lt;&gt;"",IF(LOWER('Capacity summary'!AC197)="x",$BI78*AC78,VALUE('Capacity summary'!AC197)),0),AC78*$BI78),AC78*$BI78),0)</f>
        <v>0</v>
      </c>
      <c r="CG78" s="313">
        <f>IF($BI78&lt;&gt;"",IF('Capacity summary'!$D$14="Yes",IF(COUNTBLANK('Capacity summary'!$H197:$BG197)&lt;52,IF('Capacity summary'!AD197&lt;&gt;"",IF(LOWER('Capacity summary'!AD197)="x",$BI78*AD78,VALUE('Capacity summary'!AD197)),0),AD78*$BI78),AD78*$BI78),0)</f>
        <v>0</v>
      </c>
      <c r="CH78" s="313">
        <f>IF($BI78&lt;&gt;"",IF('Capacity summary'!$D$14="Yes",IF(COUNTBLANK('Capacity summary'!$H197:$BG197)&lt;52,IF('Capacity summary'!AE197&lt;&gt;"",IF(LOWER('Capacity summary'!AE197)="x",$BI78*AE78,VALUE('Capacity summary'!AE197)),0),AE78*$BI78),AE78*$BI78),0)</f>
        <v>0</v>
      </c>
      <c r="CI78" s="313">
        <f>IF($BI78&lt;&gt;"",IF('Capacity summary'!$D$14="Yes",IF(COUNTBLANK('Capacity summary'!$H197:$BG197)&lt;52,IF('Capacity summary'!AF197&lt;&gt;"",IF(LOWER('Capacity summary'!AF197)="x",$BI78*AF78,VALUE('Capacity summary'!AF197)),0),AF78*$BI78),AF78*$BI78),0)</f>
        <v>0</v>
      </c>
      <c r="CJ78" s="313">
        <f>IF($BI78&lt;&gt;"",IF('Capacity summary'!$D$14="Yes",IF(COUNTBLANK('Capacity summary'!$H197:$BG197)&lt;52,IF('Capacity summary'!AG197&lt;&gt;"",IF(LOWER('Capacity summary'!AG197)="x",$BI78*AG78,VALUE('Capacity summary'!AG197)),0),AG78*$BI78),AG78*$BI78),0)</f>
        <v>0</v>
      </c>
      <c r="CK78" s="313">
        <f>IF($BI78&lt;&gt;"",IF('Capacity summary'!$D$14="Yes",IF(COUNTBLANK('Capacity summary'!$H197:$BG197)&lt;52,IF('Capacity summary'!AH197&lt;&gt;"",IF(LOWER('Capacity summary'!AH197)="x",$BI78*AH78,VALUE('Capacity summary'!AH197)),0),AH78*$BI78),AH78*$BI78),0)</f>
        <v>0</v>
      </c>
      <c r="CL78" s="313">
        <f>IF($BI78&lt;&gt;"",IF('Capacity summary'!$D$14="Yes",IF(COUNTBLANK('Capacity summary'!$H197:$BG197)&lt;52,IF('Capacity summary'!AI197&lt;&gt;"",IF(LOWER('Capacity summary'!AI197)="x",$BI78*AI78,VALUE('Capacity summary'!AI197)),0),AI78*$BI78),AI78*$BI78),0)</f>
        <v>0</v>
      </c>
      <c r="CM78" s="313">
        <f>IF($BI78&lt;&gt;"",IF('Capacity summary'!$D$14="Yes",IF(COUNTBLANK('Capacity summary'!$H197:$BG197)&lt;52,IF('Capacity summary'!AJ197&lt;&gt;"",IF(LOWER('Capacity summary'!AJ197)="x",$BI78*AJ78,VALUE('Capacity summary'!AJ197)),0),AJ78*$BI78),AJ78*$BI78),0)</f>
        <v>0</v>
      </c>
      <c r="CN78" s="313">
        <f>IF($BI78&lt;&gt;"",IF('Capacity summary'!$D$14="Yes",IF(COUNTBLANK('Capacity summary'!$H197:$BG197)&lt;52,IF('Capacity summary'!AK197&lt;&gt;"",IF(LOWER('Capacity summary'!AK197)="x",$BI78*AK78,VALUE('Capacity summary'!AK197)),0),AK78*$BI78),AK78*$BI78),0)</f>
        <v>0</v>
      </c>
      <c r="CO78" s="313">
        <f>IF($BI78&lt;&gt;"",IF('Capacity summary'!$D$14="Yes",IF(COUNTBLANK('Capacity summary'!$H197:$BG197)&lt;52,IF('Capacity summary'!AL197&lt;&gt;"",IF(LOWER('Capacity summary'!AL197)="x",$BI78*AL78,VALUE('Capacity summary'!AL197)),0),AL78*$BI78),AL78*$BI78),0)</f>
        <v>0</v>
      </c>
      <c r="CP78" s="313">
        <f>IF($BI78&lt;&gt;"",IF('Capacity summary'!$D$14="Yes",IF(COUNTBLANK('Capacity summary'!$H197:$BG197)&lt;52,IF('Capacity summary'!AM197&lt;&gt;"",IF(LOWER('Capacity summary'!AM197)="x",$BI78*AM78,VALUE('Capacity summary'!AM197)),0),AM78*$BI78),AM78*$BI78),0)</f>
        <v>0</v>
      </c>
      <c r="CQ78" s="313">
        <f>IF($BI78&lt;&gt;"",IF('Capacity summary'!$D$14="Yes",IF(COUNTBLANK('Capacity summary'!$H197:$BG197)&lt;52,IF('Capacity summary'!AN197&lt;&gt;"",IF(LOWER('Capacity summary'!AN197)="x",$BI78*AN78,VALUE('Capacity summary'!AN197)),0),AN78*$BI78),AN78*$BI78),0)</f>
        <v>0</v>
      </c>
      <c r="CR78" s="313">
        <f>IF($BI78&lt;&gt;"",IF('Capacity summary'!$D$14="Yes",IF(COUNTBLANK('Capacity summary'!$H197:$BG197)&lt;52,IF('Capacity summary'!AO197&lt;&gt;"",IF(LOWER('Capacity summary'!AO197)="x",$BI78*AO78,VALUE('Capacity summary'!AO197)),0),AO78*$BI78),AO78*$BI78),0)</f>
        <v>0</v>
      </c>
      <c r="CS78" s="313">
        <f>IF($BI78&lt;&gt;"",IF('Capacity summary'!$D$14="Yes",IF(COUNTBLANK('Capacity summary'!$H197:$BG197)&lt;52,IF('Capacity summary'!AP197&lt;&gt;"",IF(LOWER('Capacity summary'!AP197)="x",$BI78*AP78,VALUE('Capacity summary'!AP197)),0),AP78*$BI78),AP78*$BI78),0)</f>
        <v>0</v>
      </c>
      <c r="CT78" s="313">
        <f>IF($BI78&lt;&gt;"",IF('Capacity summary'!$D$14="Yes",IF(COUNTBLANK('Capacity summary'!$H197:$BG197)&lt;52,IF('Capacity summary'!AQ197&lt;&gt;"",IF(LOWER('Capacity summary'!AQ197)="x",$BI78*AQ78,VALUE('Capacity summary'!AQ197)),0),AQ78*$BI78),AQ78*$BI78),0)</f>
        <v>0</v>
      </c>
      <c r="CU78" s="313">
        <f>IF($BI78&lt;&gt;"",IF('Capacity summary'!$D$14="Yes",IF(COUNTBLANK('Capacity summary'!$H197:$BG197)&lt;52,IF('Capacity summary'!AR197&lt;&gt;"",IF(LOWER('Capacity summary'!AR197)="x",$BI78*AR78,VALUE('Capacity summary'!AR197)),0),AR78*$BI78),AR78*$BI78),0)</f>
        <v>0</v>
      </c>
      <c r="CV78" s="313">
        <f>IF($BI78&lt;&gt;"",IF('Capacity summary'!$D$14="Yes",IF(COUNTBLANK('Capacity summary'!$H197:$BG197)&lt;52,IF('Capacity summary'!AS197&lt;&gt;"",IF(LOWER('Capacity summary'!AS197)="x",$BI78*AS78,VALUE('Capacity summary'!AS197)),0),AS78*$BI78),AS78*$BI78),0)</f>
        <v>0</v>
      </c>
      <c r="CW78" s="313">
        <f>IF($BI78&lt;&gt;"",IF('Capacity summary'!$D$14="Yes",IF(COUNTBLANK('Capacity summary'!$H197:$BG197)&lt;52,IF('Capacity summary'!AT197&lt;&gt;"",IF(LOWER('Capacity summary'!AT197)="x",$BI78*AT78,VALUE('Capacity summary'!AT197)),0),AT78*$BI78),AT78*$BI78),0)</f>
        <v>0</v>
      </c>
      <c r="CX78" s="313">
        <f>IF($BI78&lt;&gt;"",IF('Capacity summary'!$D$14="Yes",IF(COUNTBLANK('Capacity summary'!$H197:$BG197)&lt;52,IF('Capacity summary'!AU197&lt;&gt;"",IF(LOWER('Capacity summary'!AU197)="x",$BI78*AU78,VALUE('Capacity summary'!AU197)),0),AU78*$BI78),AU78*$BI78),0)</f>
        <v>0</v>
      </c>
      <c r="CY78" s="313">
        <f>IF($BI78&lt;&gt;"",IF('Capacity summary'!$D$14="Yes",IF(COUNTBLANK('Capacity summary'!$H197:$BG197)&lt;52,IF('Capacity summary'!AV197&lt;&gt;"",IF(LOWER('Capacity summary'!AV197)="x",$BI78*AV78,VALUE('Capacity summary'!AV197)),0),AV78*$BI78),AV78*$BI78),0)</f>
        <v>0</v>
      </c>
      <c r="CZ78" s="313">
        <f>IF($BI78&lt;&gt;"",IF('Capacity summary'!$D$14="Yes",IF(COUNTBLANK('Capacity summary'!$H197:$BG197)&lt;52,IF('Capacity summary'!AW197&lt;&gt;"",IF(LOWER('Capacity summary'!AW197)="x",$BI78*AW78,VALUE('Capacity summary'!AW197)),0),AW78*$BI78),AW78*$BI78),0)</f>
        <v>0</v>
      </c>
      <c r="DA78" s="313">
        <f>IF($BI78&lt;&gt;"",IF('Capacity summary'!$D$14="Yes",IF(COUNTBLANK('Capacity summary'!$H197:$BG197)&lt;52,IF('Capacity summary'!AX197&lt;&gt;"",IF(LOWER('Capacity summary'!AX197)="x",$BI78*AX78,VALUE('Capacity summary'!AX197)),0),AX78*$BI78),AX78*$BI78),0)</f>
        <v>0</v>
      </c>
      <c r="DB78" s="313">
        <f>IF($BI78&lt;&gt;"",IF('Capacity summary'!$D$14="Yes",IF(COUNTBLANK('Capacity summary'!$H197:$BG197)&lt;52,IF('Capacity summary'!AY197&lt;&gt;"",IF(LOWER('Capacity summary'!AY197)="x",$BI78*AY78,VALUE('Capacity summary'!AY197)),0),AY78*$BI78),AY78*$BI78),0)</f>
        <v>0</v>
      </c>
      <c r="DC78" s="313">
        <f>IF($BI78&lt;&gt;"",IF('Capacity summary'!$D$14="Yes",IF(COUNTBLANK('Capacity summary'!$H197:$BG197)&lt;52,IF('Capacity summary'!AZ197&lt;&gt;"",IF(LOWER('Capacity summary'!AZ197)="x",$BI78*AZ78,VALUE('Capacity summary'!AZ197)),0),AZ78*$BI78),AZ78*$BI78),0)</f>
        <v>0</v>
      </c>
      <c r="DD78" s="313">
        <f>IF($BI78&lt;&gt;"",IF('Capacity summary'!$D$14="Yes",IF(COUNTBLANK('Capacity summary'!$H197:$BG197)&lt;52,IF('Capacity summary'!BA197&lt;&gt;"",IF(LOWER('Capacity summary'!BA197)="x",$BI78*BA78,VALUE('Capacity summary'!BA197)),0),BA78*$BI78),BA78*$BI78),0)</f>
        <v>0</v>
      </c>
      <c r="DE78" s="313">
        <f>IF($BI78&lt;&gt;"",IF('Capacity summary'!$D$14="Yes",IF(COUNTBLANK('Capacity summary'!$H197:$BG197)&lt;52,IF('Capacity summary'!BB197&lt;&gt;"",IF(LOWER('Capacity summary'!BB197)="x",$BI78*BB78,VALUE('Capacity summary'!BB197)),0),BB78*$BI78),BB78*$BI78),0)</f>
        <v>0</v>
      </c>
      <c r="DF78" s="313">
        <f>IF($BI78&lt;&gt;"",IF('Capacity summary'!$D$14="Yes",IF(COUNTBLANK('Capacity summary'!$H197:$BG197)&lt;52,IF('Capacity summary'!BC197&lt;&gt;"",IF(LOWER('Capacity summary'!BC197)="x",$BI78*BC78,VALUE('Capacity summary'!BC197)),0),BC78*$BI78),BC78*$BI78),0)</f>
        <v>0</v>
      </c>
      <c r="DG78" s="313">
        <f>IF($BI78&lt;&gt;"",IF('Capacity summary'!$D$14="Yes",IF(COUNTBLANK('Capacity summary'!$H197:$BG197)&lt;52,IF('Capacity summary'!BD197&lt;&gt;"",IF(LOWER('Capacity summary'!BD197)="x",$BI78*BD78,VALUE('Capacity summary'!BD197)),0),BD78*$BI78),BD78*$BI78),0)</f>
        <v>0</v>
      </c>
      <c r="DH78" s="313">
        <f>IF($BI78&lt;&gt;"",IF('Capacity summary'!$D$14="Yes",IF(COUNTBLANK('Capacity summary'!$H197:$BG197)&lt;52,IF('Capacity summary'!BE197&lt;&gt;"",IF(LOWER('Capacity summary'!BE197)="x",$BI78*BE78,VALUE('Capacity summary'!BE197)),0),BE78*$BI78),BE78*$BI78),0)</f>
        <v>0</v>
      </c>
      <c r="DI78" s="313">
        <f>IF($BI78&lt;&gt;"",IF('Capacity summary'!$D$14="Yes",IF(COUNTBLANK('Capacity summary'!$H197:$BG197)&lt;52,IF('Capacity summary'!BF197&lt;&gt;"",IF(LOWER('Capacity summary'!BF197)="x",$BI78*BF78,VALUE('Capacity summary'!BF197)),0),BF78*$BI78),BF78*$BI78),0)</f>
        <v>0</v>
      </c>
      <c r="DJ78" s="313">
        <f>IF($BI78&lt;&gt;"",IF('Capacity summary'!$D$14="Yes",IF(COUNTBLANK('Capacity summary'!$H197:$BG197)&lt;52,IF('Capacity summary'!BG197&lt;&gt;"",IF(LOWER('Capacity summary'!BG197)="x",$BI78*BG78,VALUE('Capacity summary'!BG197)),0),BG78*$BI78),BG78*$BI78),0)</f>
        <v>0</v>
      </c>
      <c r="DK78" s="137">
        <f t="shared" si="3"/>
        <v>0</v>
      </c>
      <c r="DL78" s="313" t="str">
        <f>Capacity!H90</f>
        <v/>
      </c>
    </row>
    <row r="79" spans="2:116" x14ac:dyDescent="0.25">
      <c r="B79" s="67"/>
      <c r="C79" s="67" t="str">
        <f>ROW(A75)&amp;". "&amp;Capacity!B91</f>
        <v xml:space="preserve">75. </v>
      </c>
      <c r="D79" s="67">
        <f>'Capacity setup'!C86</f>
        <v>0</v>
      </c>
      <c r="E79" s="67">
        <f>'Capacity setup'!D86</f>
        <v>0</v>
      </c>
      <c r="F79" s="67">
        <f>'Capacity setup'!E86</f>
        <v>0</v>
      </c>
      <c r="H79" s="67">
        <f ca="1">IF(AND(SUMIF(Capacity_Resource,$D79,'Critical resources (hide)'!U$6:U$105)+SUMIF(Capacity_Resource,$E79,'Critical resources (hide)'!U$6:U$105)+SUMIF(Capacity_Resource,$F79,'Critical resources (hide)'!U$6:U$105)&gt;0,$E$1=2),0,1)</f>
        <v>1</v>
      </c>
      <c r="I79" s="67">
        <f ca="1">IF(AND(SUMIF(Capacity_Resource,$D79,'Critical resources (hide)'!V$6:V$105)+SUMIF(Capacity_Resource,$E79,'Critical resources (hide)'!V$6:V$105)+SUMIF(Capacity_Resource,$F79,'Critical resources (hide)'!V$6:V$105)&gt;0,$E$1=2),0,1)</f>
        <v>1</v>
      </c>
      <c r="J79" s="67">
        <f ca="1">IF(AND(SUMIF(Capacity_Resource,$D79,'Critical resources (hide)'!W$6:W$105)+SUMIF(Capacity_Resource,$E79,'Critical resources (hide)'!W$6:W$105)+SUMIF(Capacity_Resource,$F79,'Critical resources (hide)'!W$6:W$105)&gt;0,$E$1=2),0,1)</f>
        <v>1</v>
      </c>
      <c r="K79" s="67">
        <f ca="1">IF(AND(SUMIF(Capacity_Resource,$D79,'Critical resources (hide)'!X$6:X$105)+SUMIF(Capacity_Resource,$E79,'Critical resources (hide)'!X$6:X$105)+SUMIF(Capacity_Resource,$F79,'Critical resources (hide)'!X$6:X$105)&gt;0,$E$1=2),0,1)</f>
        <v>1</v>
      </c>
      <c r="L79" s="67">
        <f ca="1">IF(AND(SUMIF(Capacity_Resource,$D79,'Critical resources (hide)'!Y$6:Y$105)+SUMIF(Capacity_Resource,$E79,'Critical resources (hide)'!Y$6:Y$105)+SUMIF(Capacity_Resource,$F79,'Critical resources (hide)'!Y$6:Y$105)&gt;0,$E$1=2),0,1)</f>
        <v>1</v>
      </c>
      <c r="M79" s="67">
        <f ca="1">IF(AND(SUMIF(Capacity_Resource,$D79,'Critical resources (hide)'!Z$6:Z$105)+SUMIF(Capacity_Resource,$E79,'Critical resources (hide)'!Z$6:Z$105)+SUMIF(Capacity_Resource,$F79,'Critical resources (hide)'!Z$6:Z$105)&gt;0,$E$1=2),0,1)</f>
        <v>1</v>
      </c>
      <c r="N79" s="67">
        <f ca="1">IF(AND(SUMIF(Capacity_Resource,$D79,'Critical resources (hide)'!AA$6:AA$105)+SUMIF(Capacity_Resource,$E79,'Critical resources (hide)'!AA$6:AA$105)+SUMIF(Capacity_Resource,$F79,'Critical resources (hide)'!AA$6:AA$105)&gt;0,$E$1=2),0,1)</f>
        <v>1</v>
      </c>
      <c r="O79" s="67">
        <f ca="1">IF(AND(SUMIF(Capacity_Resource,$D79,'Critical resources (hide)'!AB$6:AB$105)+SUMIF(Capacity_Resource,$E79,'Critical resources (hide)'!AB$6:AB$105)+SUMIF(Capacity_Resource,$F79,'Critical resources (hide)'!AB$6:AB$105)&gt;0,$E$1=2),0,1)</f>
        <v>1</v>
      </c>
      <c r="P79" s="67">
        <f ca="1">IF(AND(SUMIF(Capacity_Resource,$D79,'Critical resources (hide)'!AC$6:AC$105)+SUMIF(Capacity_Resource,$E79,'Critical resources (hide)'!AC$6:AC$105)+SUMIF(Capacity_Resource,$F79,'Critical resources (hide)'!AC$6:AC$105)&gt;0,$E$1=2),0,1)</f>
        <v>1</v>
      </c>
      <c r="Q79" s="67">
        <f ca="1">IF(AND(SUMIF(Capacity_Resource,$D79,'Critical resources (hide)'!AD$6:AD$105)+SUMIF(Capacity_Resource,$E79,'Critical resources (hide)'!AD$6:AD$105)+SUMIF(Capacity_Resource,$F79,'Critical resources (hide)'!AD$6:AD$105)&gt;0,$E$1=2),0,1)</f>
        <v>1</v>
      </c>
      <c r="R79" s="67">
        <f ca="1">IF(AND(SUMIF(Capacity_Resource,$D79,'Critical resources (hide)'!AE$6:AE$105)+SUMIF(Capacity_Resource,$E79,'Critical resources (hide)'!AE$6:AE$105)+SUMIF(Capacity_Resource,$F79,'Critical resources (hide)'!AE$6:AE$105)&gt;0,$E$1=2),0,1)</f>
        <v>1</v>
      </c>
      <c r="S79" s="67">
        <f ca="1">IF(AND(SUMIF(Capacity_Resource,$D79,'Critical resources (hide)'!AF$6:AF$105)+SUMIF(Capacity_Resource,$E79,'Critical resources (hide)'!AF$6:AF$105)+SUMIF(Capacity_Resource,$F79,'Critical resources (hide)'!AF$6:AF$105)&gt;0,$E$1=2),0,1)</f>
        <v>1</v>
      </c>
      <c r="T79" s="67">
        <f ca="1">IF(AND(SUMIF(Capacity_Resource,$D79,'Critical resources (hide)'!AG$6:AG$105)+SUMIF(Capacity_Resource,$E79,'Critical resources (hide)'!AG$6:AG$105)+SUMIF(Capacity_Resource,$F79,'Critical resources (hide)'!AG$6:AG$105)&gt;0,$E$1=2),0,1)</f>
        <v>1</v>
      </c>
      <c r="U79" s="67">
        <f ca="1">IF(AND(SUMIF(Capacity_Resource,$D79,'Critical resources (hide)'!AH$6:AH$105)+SUMIF(Capacity_Resource,$E79,'Critical resources (hide)'!AH$6:AH$105)+SUMIF(Capacity_Resource,$F79,'Critical resources (hide)'!AH$6:AH$105)&gt;0,$E$1=2),0,1)</f>
        <v>1</v>
      </c>
      <c r="V79" s="67">
        <f ca="1">IF(AND(SUMIF(Capacity_Resource,$D79,'Critical resources (hide)'!AI$6:AI$105)+SUMIF(Capacity_Resource,$E79,'Critical resources (hide)'!AI$6:AI$105)+SUMIF(Capacity_Resource,$F79,'Critical resources (hide)'!AI$6:AI$105)&gt;0,$E$1=2),0,1)</f>
        <v>1</v>
      </c>
      <c r="W79" s="67">
        <f ca="1">IF(AND(SUMIF(Capacity_Resource,$D79,'Critical resources (hide)'!AJ$6:AJ$105)+SUMIF(Capacity_Resource,$E79,'Critical resources (hide)'!AJ$6:AJ$105)+SUMIF(Capacity_Resource,$F79,'Critical resources (hide)'!AJ$6:AJ$105)&gt;0,$E$1=2),0,1)</f>
        <v>1</v>
      </c>
      <c r="X79" s="67">
        <f ca="1">IF(AND(SUMIF(Capacity_Resource,$D79,'Critical resources (hide)'!AK$6:AK$105)+SUMIF(Capacity_Resource,$E79,'Critical resources (hide)'!AK$6:AK$105)+SUMIF(Capacity_Resource,$F79,'Critical resources (hide)'!AK$6:AK$105)&gt;0,$E$1=2),0,1)</f>
        <v>1</v>
      </c>
      <c r="Y79" s="67">
        <f ca="1">IF(AND(SUMIF(Capacity_Resource,$D79,'Critical resources (hide)'!AL$6:AL$105)+SUMIF(Capacity_Resource,$E79,'Critical resources (hide)'!AL$6:AL$105)+SUMIF(Capacity_Resource,$F79,'Critical resources (hide)'!AL$6:AL$105)&gt;0,$E$1=2),0,1)</f>
        <v>1</v>
      </c>
      <c r="Z79" s="67">
        <f ca="1">IF(AND(SUMIF(Capacity_Resource,$D79,'Critical resources (hide)'!AM$6:AM$105)+SUMIF(Capacity_Resource,$E79,'Critical resources (hide)'!AM$6:AM$105)+SUMIF(Capacity_Resource,$F79,'Critical resources (hide)'!AM$6:AM$105)&gt;0,$E$1=2),0,1)</f>
        <v>1</v>
      </c>
      <c r="AA79" s="67">
        <f ca="1">IF(AND(SUMIF(Capacity_Resource,$D79,'Critical resources (hide)'!AN$6:AN$105)+SUMIF(Capacity_Resource,$E79,'Critical resources (hide)'!AN$6:AN$105)+SUMIF(Capacity_Resource,$F79,'Critical resources (hide)'!AN$6:AN$105)&gt;0,$E$1=2),0,1)</f>
        <v>1</v>
      </c>
      <c r="AB79" s="67">
        <f ca="1">IF(AND(SUMIF(Capacity_Resource,$D79,'Critical resources (hide)'!AO$6:AO$105)+SUMIF(Capacity_Resource,$E79,'Critical resources (hide)'!AO$6:AO$105)+SUMIF(Capacity_Resource,$F79,'Critical resources (hide)'!AO$6:AO$105)&gt;0,$E$1=2),0,1)</f>
        <v>1</v>
      </c>
      <c r="AC79" s="67">
        <f ca="1">IF(AND(SUMIF(Capacity_Resource,$D79,'Critical resources (hide)'!AP$6:AP$105)+SUMIF(Capacity_Resource,$E79,'Critical resources (hide)'!AP$6:AP$105)+SUMIF(Capacity_Resource,$F79,'Critical resources (hide)'!AP$6:AP$105)&gt;0,$E$1=2),0,1)</f>
        <v>1</v>
      </c>
      <c r="AD79" s="67">
        <f ca="1">IF(AND(SUMIF(Capacity_Resource,$D79,'Critical resources (hide)'!AQ$6:AQ$105)+SUMIF(Capacity_Resource,$E79,'Critical resources (hide)'!AQ$6:AQ$105)+SUMIF(Capacity_Resource,$F79,'Critical resources (hide)'!AQ$6:AQ$105)&gt;0,$E$1=2),0,1)</f>
        <v>1</v>
      </c>
      <c r="AE79" s="67">
        <f ca="1">IF(AND(SUMIF(Capacity_Resource,$D79,'Critical resources (hide)'!AR$6:AR$105)+SUMIF(Capacity_Resource,$E79,'Critical resources (hide)'!AR$6:AR$105)+SUMIF(Capacity_Resource,$F79,'Critical resources (hide)'!AR$6:AR$105)&gt;0,$E$1=2),0,1)</f>
        <v>1</v>
      </c>
      <c r="AF79" s="67">
        <f ca="1">IF(AND(SUMIF(Capacity_Resource,$D79,'Critical resources (hide)'!AS$6:AS$105)+SUMIF(Capacity_Resource,$E79,'Critical resources (hide)'!AS$6:AS$105)+SUMIF(Capacity_Resource,$F79,'Critical resources (hide)'!AS$6:AS$105)&gt;0,$E$1=2),0,1)</f>
        <v>1</v>
      </c>
      <c r="AG79" s="67">
        <f ca="1">IF(AND(SUMIF(Capacity_Resource,$D79,'Critical resources (hide)'!AT$6:AT$105)+SUMIF(Capacity_Resource,$E79,'Critical resources (hide)'!AT$6:AT$105)+SUMIF(Capacity_Resource,$F79,'Critical resources (hide)'!AT$6:AT$105)&gt;0,$E$1=2),0,1)</f>
        <v>1</v>
      </c>
      <c r="AH79" s="67">
        <f ca="1">IF(AND(SUMIF(Capacity_Resource,$D79,'Critical resources (hide)'!AU$6:AU$105)+SUMIF(Capacity_Resource,$E79,'Critical resources (hide)'!AU$6:AU$105)+SUMIF(Capacity_Resource,$F79,'Critical resources (hide)'!AU$6:AU$105)&gt;0,$E$1=2),0,1)</f>
        <v>1</v>
      </c>
      <c r="AI79" s="67">
        <f ca="1">IF(AND(SUMIF(Capacity_Resource,$D79,'Critical resources (hide)'!AV$6:AV$105)+SUMIF(Capacity_Resource,$E79,'Critical resources (hide)'!AV$6:AV$105)+SUMIF(Capacity_Resource,$F79,'Critical resources (hide)'!AV$6:AV$105)&gt;0,$E$1=2),0,1)</f>
        <v>1</v>
      </c>
      <c r="AJ79" s="67">
        <f ca="1">IF(AND(SUMIF(Capacity_Resource,$D79,'Critical resources (hide)'!AW$6:AW$105)+SUMIF(Capacity_Resource,$E79,'Critical resources (hide)'!AW$6:AW$105)+SUMIF(Capacity_Resource,$F79,'Critical resources (hide)'!AW$6:AW$105)&gt;0,$E$1=2),0,1)</f>
        <v>1</v>
      </c>
      <c r="AK79" s="67">
        <f ca="1">IF(AND(SUMIF(Capacity_Resource,$D79,'Critical resources (hide)'!AX$6:AX$105)+SUMIF(Capacity_Resource,$E79,'Critical resources (hide)'!AX$6:AX$105)+SUMIF(Capacity_Resource,$F79,'Critical resources (hide)'!AX$6:AX$105)&gt;0,$E$1=2),0,1)</f>
        <v>1</v>
      </c>
      <c r="AL79" s="67">
        <f ca="1">IF(AND(SUMIF(Capacity_Resource,$D79,'Critical resources (hide)'!AY$6:AY$105)+SUMIF(Capacity_Resource,$E79,'Critical resources (hide)'!AY$6:AY$105)+SUMIF(Capacity_Resource,$F79,'Critical resources (hide)'!AY$6:AY$105)&gt;0,$E$1=2),0,1)</f>
        <v>1</v>
      </c>
      <c r="AM79" s="67">
        <f ca="1">IF(AND(SUMIF(Capacity_Resource,$D79,'Critical resources (hide)'!AZ$6:AZ$105)+SUMIF(Capacity_Resource,$E79,'Critical resources (hide)'!AZ$6:AZ$105)+SUMIF(Capacity_Resource,$F79,'Critical resources (hide)'!AZ$6:AZ$105)&gt;0,$E$1=2),0,1)</f>
        <v>1</v>
      </c>
      <c r="AN79" s="67">
        <f ca="1">IF(AND(SUMIF(Capacity_Resource,$D79,'Critical resources (hide)'!BA$6:BA$105)+SUMIF(Capacity_Resource,$E79,'Critical resources (hide)'!BA$6:BA$105)+SUMIF(Capacity_Resource,$F79,'Critical resources (hide)'!BA$6:BA$105)&gt;0,$E$1=2),0,1)</f>
        <v>1</v>
      </c>
      <c r="AO79" s="67">
        <f ca="1">IF(AND(SUMIF(Capacity_Resource,$D79,'Critical resources (hide)'!BB$6:BB$105)+SUMIF(Capacity_Resource,$E79,'Critical resources (hide)'!BB$6:BB$105)+SUMIF(Capacity_Resource,$F79,'Critical resources (hide)'!BB$6:BB$105)&gt;0,$E$1=2),0,1)</f>
        <v>1</v>
      </c>
      <c r="AP79" s="67">
        <f ca="1">IF(AND(SUMIF(Capacity_Resource,$D79,'Critical resources (hide)'!BC$6:BC$105)+SUMIF(Capacity_Resource,$E79,'Critical resources (hide)'!BC$6:BC$105)+SUMIF(Capacity_Resource,$F79,'Critical resources (hide)'!BC$6:BC$105)&gt;0,$E$1=2),0,1)</f>
        <v>1</v>
      </c>
      <c r="AQ79" s="67">
        <f ca="1">IF(AND(SUMIF(Capacity_Resource,$D79,'Critical resources (hide)'!BD$6:BD$105)+SUMIF(Capacity_Resource,$E79,'Critical resources (hide)'!BD$6:BD$105)+SUMIF(Capacity_Resource,$F79,'Critical resources (hide)'!BD$6:BD$105)&gt;0,$E$1=2),0,1)</f>
        <v>1</v>
      </c>
      <c r="AR79" s="67">
        <f ca="1">IF(AND(SUMIF(Capacity_Resource,$D79,'Critical resources (hide)'!BE$6:BE$105)+SUMIF(Capacity_Resource,$E79,'Critical resources (hide)'!BE$6:BE$105)+SUMIF(Capacity_Resource,$F79,'Critical resources (hide)'!BE$6:BE$105)&gt;0,$E$1=2),0,1)</f>
        <v>1</v>
      </c>
      <c r="AS79" s="67">
        <f ca="1">IF(AND(SUMIF(Capacity_Resource,$D79,'Critical resources (hide)'!BF$6:BF$105)+SUMIF(Capacity_Resource,$E79,'Critical resources (hide)'!BF$6:BF$105)+SUMIF(Capacity_Resource,$F79,'Critical resources (hide)'!BF$6:BF$105)&gt;0,$E$1=2),0,1)</f>
        <v>1</v>
      </c>
      <c r="AT79" s="67">
        <f ca="1">IF(AND(SUMIF(Capacity_Resource,$D79,'Critical resources (hide)'!BG$6:BG$105)+SUMIF(Capacity_Resource,$E79,'Critical resources (hide)'!BG$6:BG$105)+SUMIF(Capacity_Resource,$F79,'Critical resources (hide)'!BG$6:BG$105)&gt;0,$E$1=2),0,1)</f>
        <v>1</v>
      </c>
      <c r="AU79" s="67">
        <f ca="1">IF(AND(SUMIF(Capacity_Resource,$D79,'Critical resources (hide)'!BH$6:BH$105)+SUMIF(Capacity_Resource,$E79,'Critical resources (hide)'!BH$6:BH$105)+SUMIF(Capacity_Resource,$F79,'Critical resources (hide)'!BH$6:BH$105)&gt;0,$E$1=2),0,1)</f>
        <v>1</v>
      </c>
      <c r="AV79" s="67">
        <f ca="1">IF(AND(SUMIF(Capacity_Resource,$D79,'Critical resources (hide)'!BI$6:BI$105)+SUMIF(Capacity_Resource,$E79,'Critical resources (hide)'!BI$6:BI$105)+SUMIF(Capacity_Resource,$F79,'Critical resources (hide)'!BI$6:BI$105)&gt;0,$E$1=2),0,1)</f>
        <v>1</v>
      </c>
      <c r="AW79" s="67">
        <f ca="1">IF(AND(SUMIF(Capacity_Resource,$D79,'Critical resources (hide)'!BJ$6:BJ$105)+SUMIF(Capacity_Resource,$E79,'Critical resources (hide)'!BJ$6:BJ$105)+SUMIF(Capacity_Resource,$F79,'Critical resources (hide)'!BJ$6:BJ$105)&gt;0,$E$1=2),0,1)</f>
        <v>1</v>
      </c>
      <c r="AX79" s="67">
        <f ca="1">IF(AND(SUMIF(Capacity_Resource,$D79,'Critical resources (hide)'!BK$6:BK$105)+SUMIF(Capacity_Resource,$E79,'Critical resources (hide)'!BK$6:BK$105)+SUMIF(Capacity_Resource,$F79,'Critical resources (hide)'!BK$6:BK$105)&gt;0,$E$1=2),0,1)</f>
        <v>1</v>
      </c>
      <c r="AY79" s="67">
        <f ca="1">IF(AND(SUMIF(Capacity_Resource,$D79,'Critical resources (hide)'!BL$6:BL$105)+SUMIF(Capacity_Resource,$E79,'Critical resources (hide)'!BL$6:BL$105)+SUMIF(Capacity_Resource,$F79,'Critical resources (hide)'!BL$6:BL$105)&gt;0,$E$1=2),0,1)</f>
        <v>1</v>
      </c>
      <c r="AZ79" s="67">
        <f ca="1">IF(AND(SUMIF(Capacity_Resource,$D79,'Critical resources (hide)'!BM$6:BM$105)+SUMIF(Capacity_Resource,$E79,'Critical resources (hide)'!BM$6:BM$105)+SUMIF(Capacity_Resource,$F79,'Critical resources (hide)'!BM$6:BM$105)&gt;0,$E$1=2),0,1)</f>
        <v>1</v>
      </c>
      <c r="BA79" s="67">
        <f ca="1">IF(AND(SUMIF(Capacity_Resource,$D79,'Critical resources (hide)'!BN$6:BN$105)+SUMIF(Capacity_Resource,$E79,'Critical resources (hide)'!BN$6:BN$105)+SUMIF(Capacity_Resource,$F79,'Critical resources (hide)'!BN$6:BN$105)&gt;0,$E$1=2),0,1)</f>
        <v>1</v>
      </c>
      <c r="BB79" s="67">
        <f ca="1">IF(AND(SUMIF(Capacity_Resource,$D79,'Critical resources (hide)'!BO$6:BO$105)+SUMIF(Capacity_Resource,$E79,'Critical resources (hide)'!BO$6:BO$105)+SUMIF(Capacity_Resource,$F79,'Critical resources (hide)'!BO$6:BO$105)&gt;0,$E$1=2),0,1)</f>
        <v>1</v>
      </c>
      <c r="BC79" s="67">
        <f ca="1">IF(AND(SUMIF(Capacity_Resource,$D79,'Critical resources (hide)'!BP$6:BP$105)+SUMIF(Capacity_Resource,$E79,'Critical resources (hide)'!BP$6:BP$105)+SUMIF(Capacity_Resource,$F79,'Critical resources (hide)'!BP$6:BP$105)&gt;0,$E$1=2),0,1)</f>
        <v>1</v>
      </c>
      <c r="BD79" s="67">
        <f ca="1">IF(AND(SUMIF(Capacity_Resource,$D79,'Critical resources (hide)'!BQ$6:BQ$105)+SUMIF(Capacity_Resource,$E79,'Critical resources (hide)'!BQ$6:BQ$105)+SUMIF(Capacity_Resource,$F79,'Critical resources (hide)'!BQ$6:BQ$105)&gt;0,$E$1=2),0,1)</f>
        <v>1</v>
      </c>
      <c r="BE79" s="67">
        <f ca="1">IF(AND(SUMIF(Capacity_Resource,$D79,'Critical resources (hide)'!BR$6:BR$105)+SUMIF(Capacity_Resource,$E79,'Critical resources (hide)'!BR$6:BR$105)+SUMIF(Capacity_Resource,$F79,'Critical resources (hide)'!BR$6:BR$105)&gt;0,$E$1=2),0,1)</f>
        <v>1</v>
      </c>
      <c r="BF79" s="67">
        <f ca="1">IF(AND(SUMIF(Capacity_Resource,$D79,'Critical resources (hide)'!BS$6:BS$105)+SUMIF(Capacity_Resource,$E79,'Critical resources (hide)'!BS$6:BS$105)+SUMIF(Capacity_Resource,$F79,'Critical resources (hide)'!BS$6:BS$105)&gt;0,$E$1=2),0,1)</f>
        <v>1</v>
      </c>
      <c r="BG79" s="67">
        <f ca="1">IF(AND(SUMIF(Capacity_Resource,$D79,'Critical resources (hide)'!BT$6:BT$105)+SUMIF(Capacity_Resource,$E79,'Critical resources (hide)'!BT$6:BT$105)+SUMIF(Capacity_Resource,$F79,'Critical resources (hide)'!BT$6:BT$105)&gt;0,$E$1=2),0,1)</f>
        <v>1</v>
      </c>
      <c r="BH79" s="67">
        <f>IF(ROW(C75)&lt;=Capacity!$A$16,IF('Capacity summary'!$D$14="No",SUM(H79:BG79),'Capacity summary'!$E198),0)</f>
        <v>0</v>
      </c>
      <c r="BI79" s="5" t="str">
        <f>IF(BH79&gt;0,IF(BH79&lt;Capacity!E91,Capacity!F91,Capacity!H91/'Capacity calculation (hide)'!BH79),"")</f>
        <v/>
      </c>
      <c r="BK79" s="313">
        <f>IF($BI79&lt;&gt;"",IF('Capacity summary'!$D$14="Yes",IF(COUNTBLANK('Capacity summary'!$H198:$BG198)&lt;52,IF('Capacity summary'!H198&lt;&gt;"",IF(LOWER('Capacity summary'!H198)="x",$BI79*H79,VALUE('Capacity summary'!H198)),0),H79*$BI79),H79*$BI79),0)</f>
        <v>0</v>
      </c>
      <c r="BL79" s="313">
        <f>IF($BI79&lt;&gt;"",IF('Capacity summary'!$D$14="Yes",IF(COUNTBLANK('Capacity summary'!$H198:$BG198)&lt;52,IF('Capacity summary'!I198&lt;&gt;"",IF(LOWER('Capacity summary'!I198)="x",$BI79*I79,VALUE('Capacity summary'!I198)),0),I79*$BI79),I79*$BI79),0)</f>
        <v>0</v>
      </c>
      <c r="BM79" s="313">
        <f>IF($BI79&lt;&gt;"",IF('Capacity summary'!$D$14="Yes",IF(COUNTBLANK('Capacity summary'!$H198:$BG198)&lt;52,IF('Capacity summary'!J198&lt;&gt;"",IF(LOWER('Capacity summary'!J198)="x",$BI79*J79,VALUE('Capacity summary'!J198)),0),J79*$BI79),J79*$BI79),0)</f>
        <v>0</v>
      </c>
      <c r="BN79" s="313">
        <f>IF($BI79&lt;&gt;"",IF('Capacity summary'!$D$14="Yes",IF(COUNTBLANK('Capacity summary'!$H198:$BG198)&lt;52,IF('Capacity summary'!K198&lt;&gt;"",IF(LOWER('Capacity summary'!K198)="x",$BI79*K79,VALUE('Capacity summary'!K198)),0),K79*$BI79),K79*$BI79),0)</f>
        <v>0</v>
      </c>
      <c r="BO79" s="313">
        <f>IF($BI79&lt;&gt;"",IF('Capacity summary'!$D$14="Yes",IF(COUNTBLANK('Capacity summary'!$H198:$BG198)&lt;52,IF('Capacity summary'!L198&lt;&gt;"",IF(LOWER('Capacity summary'!L198)="x",$BI79*L79,VALUE('Capacity summary'!L198)),0),L79*$BI79),L79*$BI79),0)</f>
        <v>0</v>
      </c>
      <c r="BP79" s="313">
        <f>IF($BI79&lt;&gt;"",IF('Capacity summary'!$D$14="Yes",IF(COUNTBLANK('Capacity summary'!$H198:$BG198)&lt;52,IF('Capacity summary'!M198&lt;&gt;"",IF(LOWER('Capacity summary'!M198)="x",$BI79*M79,VALUE('Capacity summary'!M198)),0),M79*$BI79),M79*$BI79),0)</f>
        <v>0</v>
      </c>
      <c r="BQ79" s="313">
        <f>IF($BI79&lt;&gt;"",IF('Capacity summary'!$D$14="Yes",IF(COUNTBLANK('Capacity summary'!$H198:$BG198)&lt;52,IF('Capacity summary'!N198&lt;&gt;"",IF(LOWER('Capacity summary'!N198)="x",$BI79*N79,VALUE('Capacity summary'!N198)),0),N79*$BI79),N79*$BI79),0)</f>
        <v>0</v>
      </c>
      <c r="BR79" s="313">
        <f>IF($BI79&lt;&gt;"",IF('Capacity summary'!$D$14="Yes",IF(COUNTBLANK('Capacity summary'!$H198:$BG198)&lt;52,IF('Capacity summary'!O198&lt;&gt;"",IF(LOWER('Capacity summary'!O198)="x",$BI79*O79,VALUE('Capacity summary'!O198)),0),O79*$BI79),O79*$BI79),0)</f>
        <v>0</v>
      </c>
      <c r="BS79" s="313">
        <f>IF($BI79&lt;&gt;"",IF('Capacity summary'!$D$14="Yes",IF(COUNTBLANK('Capacity summary'!$H198:$BG198)&lt;52,IF('Capacity summary'!P198&lt;&gt;"",IF(LOWER('Capacity summary'!P198)="x",$BI79*P79,VALUE('Capacity summary'!P198)),0),P79*$BI79),P79*$BI79),0)</f>
        <v>0</v>
      </c>
      <c r="BT79" s="313">
        <f>IF($BI79&lt;&gt;"",IF('Capacity summary'!$D$14="Yes",IF(COUNTBLANK('Capacity summary'!$H198:$BG198)&lt;52,IF('Capacity summary'!Q198&lt;&gt;"",IF(LOWER('Capacity summary'!Q198)="x",$BI79*Q79,VALUE('Capacity summary'!Q198)),0),Q79*$BI79),Q79*$BI79),0)</f>
        <v>0</v>
      </c>
      <c r="BU79" s="313">
        <f>IF($BI79&lt;&gt;"",IF('Capacity summary'!$D$14="Yes",IF(COUNTBLANK('Capacity summary'!$H198:$BG198)&lt;52,IF('Capacity summary'!R198&lt;&gt;"",IF(LOWER('Capacity summary'!R198)="x",$BI79*R79,VALUE('Capacity summary'!R198)),0),R79*$BI79),R79*$BI79),0)</f>
        <v>0</v>
      </c>
      <c r="BV79" s="313">
        <f>IF($BI79&lt;&gt;"",IF('Capacity summary'!$D$14="Yes",IF(COUNTBLANK('Capacity summary'!$H198:$BG198)&lt;52,IF('Capacity summary'!S198&lt;&gt;"",IF(LOWER('Capacity summary'!S198)="x",$BI79*S79,VALUE('Capacity summary'!S198)),0),S79*$BI79),S79*$BI79),0)</f>
        <v>0</v>
      </c>
      <c r="BW79" s="313">
        <f>IF($BI79&lt;&gt;"",IF('Capacity summary'!$D$14="Yes",IF(COUNTBLANK('Capacity summary'!$H198:$BG198)&lt;52,IF('Capacity summary'!T198&lt;&gt;"",IF(LOWER('Capacity summary'!T198)="x",$BI79*T79,VALUE('Capacity summary'!T198)),0),T79*$BI79),T79*$BI79),0)</f>
        <v>0</v>
      </c>
      <c r="BX79" s="313">
        <f>IF($BI79&lt;&gt;"",IF('Capacity summary'!$D$14="Yes",IF(COUNTBLANK('Capacity summary'!$H198:$BG198)&lt;52,IF('Capacity summary'!U198&lt;&gt;"",IF(LOWER('Capacity summary'!U198)="x",$BI79*U79,VALUE('Capacity summary'!U198)),0),U79*$BI79),U79*$BI79),0)</f>
        <v>0</v>
      </c>
      <c r="BY79" s="313">
        <f>IF($BI79&lt;&gt;"",IF('Capacity summary'!$D$14="Yes",IF(COUNTBLANK('Capacity summary'!$H198:$BG198)&lt;52,IF('Capacity summary'!V198&lt;&gt;"",IF(LOWER('Capacity summary'!V198)="x",$BI79*V79,VALUE('Capacity summary'!V198)),0),V79*$BI79),V79*$BI79),0)</f>
        <v>0</v>
      </c>
      <c r="BZ79" s="313">
        <f>IF($BI79&lt;&gt;"",IF('Capacity summary'!$D$14="Yes",IF(COUNTBLANK('Capacity summary'!$H198:$BG198)&lt;52,IF('Capacity summary'!W198&lt;&gt;"",IF(LOWER('Capacity summary'!W198)="x",$BI79*W79,VALUE('Capacity summary'!W198)),0),W79*$BI79),W79*$BI79),0)</f>
        <v>0</v>
      </c>
      <c r="CA79" s="313">
        <f>IF($BI79&lt;&gt;"",IF('Capacity summary'!$D$14="Yes",IF(COUNTBLANK('Capacity summary'!$H198:$BG198)&lt;52,IF('Capacity summary'!X198&lt;&gt;"",IF(LOWER('Capacity summary'!X198)="x",$BI79*X79,VALUE('Capacity summary'!X198)),0),X79*$BI79),X79*$BI79),0)</f>
        <v>0</v>
      </c>
      <c r="CB79" s="313">
        <f>IF($BI79&lt;&gt;"",IF('Capacity summary'!$D$14="Yes",IF(COUNTBLANK('Capacity summary'!$H198:$BG198)&lt;52,IF('Capacity summary'!Y198&lt;&gt;"",IF(LOWER('Capacity summary'!Y198)="x",$BI79*Y79,VALUE('Capacity summary'!Y198)),0),Y79*$BI79),Y79*$BI79),0)</f>
        <v>0</v>
      </c>
      <c r="CC79" s="313">
        <f>IF($BI79&lt;&gt;"",IF('Capacity summary'!$D$14="Yes",IF(COUNTBLANK('Capacity summary'!$H198:$BG198)&lt;52,IF('Capacity summary'!Z198&lt;&gt;"",IF(LOWER('Capacity summary'!Z198)="x",$BI79*Z79,VALUE('Capacity summary'!Z198)),0),Z79*$BI79),Z79*$BI79),0)</f>
        <v>0</v>
      </c>
      <c r="CD79" s="313">
        <f>IF($BI79&lt;&gt;"",IF('Capacity summary'!$D$14="Yes",IF(COUNTBLANK('Capacity summary'!$H198:$BG198)&lt;52,IF('Capacity summary'!AA198&lt;&gt;"",IF(LOWER('Capacity summary'!AA198)="x",$BI79*AA79,VALUE('Capacity summary'!AA198)),0),AA79*$BI79),AA79*$BI79),0)</f>
        <v>0</v>
      </c>
      <c r="CE79" s="313">
        <f>IF($BI79&lt;&gt;"",IF('Capacity summary'!$D$14="Yes",IF(COUNTBLANK('Capacity summary'!$H198:$BG198)&lt;52,IF('Capacity summary'!AB198&lt;&gt;"",IF(LOWER('Capacity summary'!AB198)="x",$BI79*AB79,VALUE('Capacity summary'!AB198)),0),AB79*$BI79),AB79*$BI79),0)</f>
        <v>0</v>
      </c>
      <c r="CF79" s="313">
        <f>IF($BI79&lt;&gt;"",IF('Capacity summary'!$D$14="Yes",IF(COUNTBLANK('Capacity summary'!$H198:$BG198)&lt;52,IF('Capacity summary'!AC198&lt;&gt;"",IF(LOWER('Capacity summary'!AC198)="x",$BI79*AC79,VALUE('Capacity summary'!AC198)),0),AC79*$BI79),AC79*$BI79),0)</f>
        <v>0</v>
      </c>
      <c r="CG79" s="313">
        <f>IF($BI79&lt;&gt;"",IF('Capacity summary'!$D$14="Yes",IF(COUNTBLANK('Capacity summary'!$H198:$BG198)&lt;52,IF('Capacity summary'!AD198&lt;&gt;"",IF(LOWER('Capacity summary'!AD198)="x",$BI79*AD79,VALUE('Capacity summary'!AD198)),0),AD79*$BI79),AD79*$BI79),0)</f>
        <v>0</v>
      </c>
      <c r="CH79" s="313">
        <f>IF($BI79&lt;&gt;"",IF('Capacity summary'!$D$14="Yes",IF(COUNTBLANK('Capacity summary'!$H198:$BG198)&lt;52,IF('Capacity summary'!AE198&lt;&gt;"",IF(LOWER('Capacity summary'!AE198)="x",$BI79*AE79,VALUE('Capacity summary'!AE198)),0),AE79*$BI79),AE79*$BI79),0)</f>
        <v>0</v>
      </c>
      <c r="CI79" s="313">
        <f>IF($BI79&lt;&gt;"",IF('Capacity summary'!$D$14="Yes",IF(COUNTBLANK('Capacity summary'!$H198:$BG198)&lt;52,IF('Capacity summary'!AF198&lt;&gt;"",IF(LOWER('Capacity summary'!AF198)="x",$BI79*AF79,VALUE('Capacity summary'!AF198)),0),AF79*$BI79),AF79*$BI79),0)</f>
        <v>0</v>
      </c>
      <c r="CJ79" s="313">
        <f>IF($BI79&lt;&gt;"",IF('Capacity summary'!$D$14="Yes",IF(COUNTBLANK('Capacity summary'!$H198:$BG198)&lt;52,IF('Capacity summary'!AG198&lt;&gt;"",IF(LOWER('Capacity summary'!AG198)="x",$BI79*AG79,VALUE('Capacity summary'!AG198)),0),AG79*$BI79),AG79*$BI79),0)</f>
        <v>0</v>
      </c>
      <c r="CK79" s="313">
        <f>IF($BI79&lt;&gt;"",IF('Capacity summary'!$D$14="Yes",IF(COUNTBLANK('Capacity summary'!$H198:$BG198)&lt;52,IF('Capacity summary'!AH198&lt;&gt;"",IF(LOWER('Capacity summary'!AH198)="x",$BI79*AH79,VALUE('Capacity summary'!AH198)),0),AH79*$BI79),AH79*$BI79),0)</f>
        <v>0</v>
      </c>
      <c r="CL79" s="313">
        <f>IF($BI79&lt;&gt;"",IF('Capacity summary'!$D$14="Yes",IF(COUNTBLANK('Capacity summary'!$H198:$BG198)&lt;52,IF('Capacity summary'!AI198&lt;&gt;"",IF(LOWER('Capacity summary'!AI198)="x",$BI79*AI79,VALUE('Capacity summary'!AI198)),0),AI79*$BI79),AI79*$BI79),0)</f>
        <v>0</v>
      </c>
      <c r="CM79" s="313">
        <f>IF($BI79&lt;&gt;"",IF('Capacity summary'!$D$14="Yes",IF(COUNTBLANK('Capacity summary'!$H198:$BG198)&lt;52,IF('Capacity summary'!AJ198&lt;&gt;"",IF(LOWER('Capacity summary'!AJ198)="x",$BI79*AJ79,VALUE('Capacity summary'!AJ198)),0),AJ79*$BI79),AJ79*$BI79),0)</f>
        <v>0</v>
      </c>
      <c r="CN79" s="313">
        <f>IF($BI79&lt;&gt;"",IF('Capacity summary'!$D$14="Yes",IF(COUNTBLANK('Capacity summary'!$H198:$BG198)&lt;52,IF('Capacity summary'!AK198&lt;&gt;"",IF(LOWER('Capacity summary'!AK198)="x",$BI79*AK79,VALUE('Capacity summary'!AK198)),0),AK79*$BI79),AK79*$BI79),0)</f>
        <v>0</v>
      </c>
      <c r="CO79" s="313">
        <f>IF($BI79&lt;&gt;"",IF('Capacity summary'!$D$14="Yes",IF(COUNTBLANK('Capacity summary'!$H198:$BG198)&lt;52,IF('Capacity summary'!AL198&lt;&gt;"",IF(LOWER('Capacity summary'!AL198)="x",$BI79*AL79,VALUE('Capacity summary'!AL198)),0),AL79*$BI79),AL79*$BI79),0)</f>
        <v>0</v>
      </c>
      <c r="CP79" s="313">
        <f>IF($BI79&lt;&gt;"",IF('Capacity summary'!$D$14="Yes",IF(COUNTBLANK('Capacity summary'!$H198:$BG198)&lt;52,IF('Capacity summary'!AM198&lt;&gt;"",IF(LOWER('Capacity summary'!AM198)="x",$BI79*AM79,VALUE('Capacity summary'!AM198)),0),AM79*$BI79),AM79*$BI79),0)</f>
        <v>0</v>
      </c>
      <c r="CQ79" s="313">
        <f>IF($BI79&lt;&gt;"",IF('Capacity summary'!$D$14="Yes",IF(COUNTBLANK('Capacity summary'!$H198:$BG198)&lt;52,IF('Capacity summary'!AN198&lt;&gt;"",IF(LOWER('Capacity summary'!AN198)="x",$BI79*AN79,VALUE('Capacity summary'!AN198)),0),AN79*$BI79),AN79*$BI79),0)</f>
        <v>0</v>
      </c>
      <c r="CR79" s="313">
        <f>IF($BI79&lt;&gt;"",IF('Capacity summary'!$D$14="Yes",IF(COUNTBLANK('Capacity summary'!$H198:$BG198)&lt;52,IF('Capacity summary'!AO198&lt;&gt;"",IF(LOWER('Capacity summary'!AO198)="x",$BI79*AO79,VALUE('Capacity summary'!AO198)),0),AO79*$BI79),AO79*$BI79),0)</f>
        <v>0</v>
      </c>
      <c r="CS79" s="313">
        <f>IF($BI79&lt;&gt;"",IF('Capacity summary'!$D$14="Yes",IF(COUNTBLANK('Capacity summary'!$H198:$BG198)&lt;52,IF('Capacity summary'!AP198&lt;&gt;"",IF(LOWER('Capacity summary'!AP198)="x",$BI79*AP79,VALUE('Capacity summary'!AP198)),0),AP79*$BI79),AP79*$BI79),0)</f>
        <v>0</v>
      </c>
      <c r="CT79" s="313">
        <f>IF($BI79&lt;&gt;"",IF('Capacity summary'!$D$14="Yes",IF(COUNTBLANK('Capacity summary'!$H198:$BG198)&lt;52,IF('Capacity summary'!AQ198&lt;&gt;"",IF(LOWER('Capacity summary'!AQ198)="x",$BI79*AQ79,VALUE('Capacity summary'!AQ198)),0),AQ79*$BI79),AQ79*$BI79),0)</f>
        <v>0</v>
      </c>
      <c r="CU79" s="313">
        <f>IF($BI79&lt;&gt;"",IF('Capacity summary'!$D$14="Yes",IF(COUNTBLANK('Capacity summary'!$H198:$BG198)&lt;52,IF('Capacity summary'!AR198&lt;&gt;"",IF(LOWER('Capacity summary'!AR198)="x",$BI79*AR79,VALUE('Capacity summary'!AR198)),0),AR79*$BI79),AR79*$BI79),0)</f>
        <v>0</v>
      </c>
      <c r="CV79" s="313">
        <f>IF($BI79&lt;&gt;"",IF('Capacity summary'!$D$14="Yes",IF(COUNTBLANK('Capacity summary'!$H198:$BG198)&lt;52,IF('Capacity summary'!AS198&lt;&gt;"",IF(LOWER('Capacity summary'!AS198)="x",$BI79*AS79,VALUE('Capacity summary'!AS198)),0),AS79*$BI79),AS79*$BI79),0)</f>
        <v>0</v>
      </c>
      <c r="CW79" s="313">
        <f>IF($BI79&lt;&gt;"",IF('Capacity summary'!$D$14="Yes",IF(COUNTBLANK('Capacity summary'!$H198:$BG198)&lt;52,IF('Capacity summary'!AT198&lt;&gt;"",IF(LOWER('Capacity summary'!AT198)="x",$BI79*AT79,VALUE('Capacity summary'!AT198)),0),AT79*$BI79),AT79*$BI79),0)</f>
        <v>0</v>
      </c>
      <c r="CX79" s="313">
        <f>IF($BI79&lt;&gt;"",IF('Capacity summary'!$D$14="Yes",IF(COUNTBLANK('Capacity summary'!$H198:$BG198)&lt;52,IF('Capacity summary'!AU198&lt;&gt;"",IF(LOWER('Capacity summary'!AU198)="x",$BI79*AU79,VALUE('Capacity summary'!AU198)),0),AU79*$BI79),AU79*$BI79),0)</f>
        <v>0</v>
      </c>
      <c r="CY79" s="313">
        <f>IF($BI79&lt;&gt;"",IF('Capacity summary'!$D$14="Yes",IF(COUNTBLANK('Capacity summary'!$H198:$BG198)&lt;52,IF('Capacity summary'!AV198&lt;&gt;"",IF(LOWER('Capacity summary'!AV198)="x",$BI79*AV79,VALUE('Capacity summary'!AV198)),0),AV79*$BI79),AV79*$BI79),0)</f>
        <v>0</v>
      </c>
      <c r="CZ79" s="313">
        <f>IF($BI79&lt;&gt;"",IF('Capacity summary'!$D$14="Yes",IF(COUNTBLANK('Capacity summary'!$H198:$BG198)&lt;52,IF('Capacity summary'!AW198&lt;&gt;"",IF(LOWER('Capacity summary'!AW198)="x",$BI79*AW79,VALUE('Capacity summary'!AW198)),0),AW79*$BI79),AW79*$BI79),0)</f>
        <v>0</v>
      </c>
      <c r="DA79" s="313">
        <f>IF($BI79&lt;&gt;"",IF('Capacity summary'!$D$14="Yes",IF(COUNTBLANK('Capacity summary'!$H198:$BG198)&lt;52,IF('Capacity summary'!AX198&lt;&gt;"",IF(LOWER('Capacity summary'!AX198)="x",$BI79*AX79,VALUE('Capacity summary'!AX198)),0),AX79*$BI79),AX79*$BI79),0)</f>
        <v>0</v>
      </c>
      <c r="DB79" s="313">
        <f>IF($BI79&lt;&gt;"",IF('Capacity summary'!$D$14="Yes",IF(COUNTBLANK('Capacity summary'!$H198:$BG198)&lt;52,IF('Capacity summary'!AY198&lt;&gt;"",IF(LOWER('Capacity summary'!AY198)="x",$BI79*AY79,VALUE('Capacity summary'!AY198)),0),AY79*$BI79),AY79*$BI79),0)</f>
        <v>0</v>
      </c>
      <c r="DC79" s="313">
        <f>IF($BI79&lt;&gt;"",IF('Capacity summary'!$D$14="Yes",IF(COUNTBLANK('Capacity summary'!$H198:$BG198)&lt;52,IF('Capacity summary'!AZ198&lt;&gt;"",IF(LOWER('Capacity summary'!AZ198)="x",$BI79*AZ79,VALUE('Capacity summary'!AZ198)),0),AZ79*$BI79),AZ79*$BI79),0)</f>
        <v>0</v>
      </c>
      <c r="DD79" s="313">
        <f>IF($BI79&lt;&gt;"",IF('Capacity summary'!$D$14="Yes",IF(COUNTBLANK('Capacity summary'!$H198:$BG198)&lt;52,IF('Capacity summary'!BA198&lt;&gt;"",IF(LOWER('Capacity summary'!BA198)="x",$BI79*BA79,VALUE('Capacity summary'!BA198)),0),BA79*$BI79),BA79*$BI79),0)</f>
        <v>0</v>
      </c>
      <c r="DE79" s="313">
        <f>IF($BI79&lt;&gt;"",IF('Capacity summary'!$D$14="Yes",IF(COUNTBLANK('Capacity summary'!$H198:$BG198)&lt;52,IF('Capacity summary'!BB198&lt;&gt;"",IF(LOWER('Capacity summary'!BB198)="x",$BI79*BB79,VALUE('Capacity summary'!BB198)),0),BB79*$BI79),BB79*$BI79),0)</f>
        <v>0</v>
      </c>
      <c r="DF79" s="313">
        <f>IF($BI79&lt;&gt;"",IF('Capacity summary'!$D$14="Yes",IF(COUNTBLANK('Capacity summary'!$H198:$BG198)&lt;52,IF('Capacity summary'!BC198&lt;&gt;"",IF(LOWER('Capacity summary'!BC198)="x",$BI79*BC79,VALUE('Capacity summary'!BC198)),0),BC79*$BI79),BC79*$BI79),0)</f>
        <v>0</v>
      </c>
      <c r="DG79" s="313">
        <f>IF($BI79&lt;&gt;"",IF('Capacity summary'!$D$14="Yes",IF(COUNTBLANK('Capacity summary'!$H198:$BG198)&lt;52,IF('Capacity summary'!BD198&lt;&gt;"",IF(LOWER('Capacity summary'!BD198)="x",$BI79*BD79,VALUE('Capacity summary'!BD198)),0),BD79*$BI79),BD79*$BI79),0)</f>
        <v>0</v>
      </c>
      <c r="DH79" s="313">
        <f>IF($BI79&lt;&gt;"",IF('Capacity summary'!$D$14="Yes",IF(COUNTBLANK('Capacity summary'!$H198:$BG198)&lt;52,IF('Capacity summary'!BE198&lt;&gt;"",IF(LOWER('Capacity summary'!BE198)="x",$BI79*BE79,VALUE('Capacity summary'!BE198)),0),BE79*$BI79),BE79*$BI79),0)</f>
        <v>0</v>
      </c>
      <c r="DI79" s="313">
        <f>IF($BI79&lt;&gt;"",IF('Capacity summary'!$D$14="Yes",IF(COUNTBLANK('Capacity summary'!$H198:$BG198)&lt;52,IF('Capacity summary'!BF198&lt;&gt;"",IF(LOWER('Capacity summary'!BF198)="x",$BI79*BF79,VALUE('Capacity summary'!BF198)),0),BF79*$BI79),BF79*$BI79),0)</f>
        <v>0</v>
      </c>
      <c r="DJ79" s="313">
        <f>IF($BI79&lt;&gt;"",IF('Capacity summary'!$D$14="Yes",IF(COUNTBLANK('Capacity summary'!$H198:$BG198)&lt;52,IF('Capacity summary'!BG198&lt;&gt;"",IF(LOWER('Capacity summary'!BG198)="x",$BI79*BG79,VALUE('Capacity summary'!BG198)),0),BG79*$BI79),BG79*$BI79),0)</f>
        <v>0</v>
      </c>
      <c r="DK79" s="137">
        <f t="shared" si="3"/>
        <v>0</v>
      </c>
      <c r="DL79" s="313" t="str">
        <f>Capacity!H91</f>
        <v/>
      </c>
    </row>
    <row r="80" spans="2:116" x14ac:dyDescent="0.25">
      <c r="B80" s="67"/>
      <c r="C80" s="67" t="str">
        <f>ROW(A76)&amp;". "&amp;Capacity!B92</f>
        <v xml:space="preserve">76. </v>
      </c>
      <c r="D80" s="67">
        <f>'Capacity setup'!C87</f>
        <v>0</v>
      </c>
      <c r="E80" s="67">
        <f>'Capacity setup'!D87</f>
        <v>0</v>
      </c>
      <c r="F80" s="67">
        <f>'Capacity setup'!E87</f>
        <v>0</v>
      </c>
      <c r="H80" s="67">
        <f ca="1">IF(AND(SUMIF(Capacity_Resource,$D80,'Critical resources (hide)'!U$6:U$105)+SUMIF(Capacity_Resource,$E80,'Critical resources (hide)'!U$6:U$105)+SUMIF(Capacity_Resource,$F80,'Critical resources (hide)'!U$6:U$105)&gt;0,$E$1=2),0,1)</f>
        <v>1</v>
      </c>
      <c r="I80" s="67">
        <f ca="1">IF(AND(SUMIF(Capacity_Resource,$D80,'Critical resources (hide)'!V$6:V$105)+SUMIF(Capacity_Resource,$E80,'Critical resources (hide)'!V$6:V$105)+SUMIF(Capacity_Resource,$F80,'Critical resources (hide)'!V$6:V$105)&gt;0,$E$1=2),0,1)</f>
        <v>1</v>
      </c>
      <c r="J80" s="67">
        <f ca="1">IF(AND(SUMIF(Capacity_Resource,$D80,'Critical resources (hide)'!W$6:W$105)+SUMIF(Capacity_Resource,$E80,'Critical resources (hide)'!W$6:W$105)+SUMIF(Capacity_Resource,$F80,'Critical resources (hide)'!W$6:W$105)&gt;0,$E$1=2),0,1)</f>
        <v>1</v>
      </c>
      <c r="K80" s="67">
        <f ca="1">IF(AND(SUMIF(Capacity_Resource,$D80,'Critical resources (hide)'!X$6:X$105)+SUMIF(Capacity_Resource,$E80,'Critical resources (hide)'!X$6:X$105)+SUMIF(Capacity_Resource,$F80,'Critical resources (hide)'!X$6:X$105)&gt;0,$E$1=2),0,1)</f>
        <v>1</v>
      </c>
      <c r="L80" s="67">
        <f ca="1">IF(AND(SUMIF(Capacity_Resource,$D80,'Critical resources (hide)'!Y$6:Y$105)+SUMIF(Capacity_Resource,$E80,'Critical resources (hide)'!Y$6:Y$105)+SUMIF(Capacity_Resource,$F80,'Critical resources (hide)'!Y$6:Y$105)&gt;0,$E$1=2),0,1)</f>
        <v>1</v>
      </c>
      <c r="M80" s="67">
        <f ca="1">IF(AND(SUMIF(Capacity_Resource,$D80,'Critical resources (hide)'!Z$6:Z$105)+SUMIF(Capacity_Resource,$E80,'Critical resources (hide)'!Z$6:Z$105)+SUMIF(Capacity_Resource,$F80,'Critical resources (hide)'!Z$6:Z$105)&gt;0,$E$1=2),0,1)</f>
        <v>1</v>
      </c>
      <c r="N80" s="67">
        <f ca="1">IF(AND(SUMIF(Capacity_Resource,$D80,'Critical resources (hide)'!AA$6:AA$105)+SUMIF(Capacity_Resource,$E80,'Critical resources (hide)'!AA$6:AA$105)+SUMIF(Capacity_Resource,$F80,'Critical resources (hide)'!AA$6:AA$105)&gt;0,$E$1=2),0,1)</f>
        <v>1</v>
      </c>
      <c r="O80" s="67">
        <f ca="1">IF(AND(SUMIF(Capacity_Resource,$D80,'Critical resources (hide)'!AB$6:AB$105)+SUMIF(Capacity_Resource,$E80,'Critical resources (hide)'!AB$6:AB$105)+SUMIF(Capacity_Resource,$F80,'Critical resources (hide)'!AB$6:AB$105)&gt;0,$E$1=2),0,1)</f>
        <v>1</v>
      </c>
      <c r="P80" s="67">
        <f ca="1">IF(AND(SUMIF(Capacity_Resource,$D80,'Critical resources (hide)'!AC$6:AC$105)+SUMIF(Capacity_Resource,$E80,'Critical resources (hide)'!AC$6:AC$105)+SUMIF(Capacity_Resource,$F80,'Critical resources (hide)'!AC$6:AC$105)&gt;0,$E$1=2),0,1)</f>
        <v>1</v>
      </c>
      <c r="Q80" s="67">
        <f ca="1">IF(AND(SUMIF(Capacity_Resource,$D80,'Critical resources (hide)'!AD$6:AD$105)+SUMIF(Capacity_Resource,$E80,'Critical resources (hide)'!AD$6:AD$105)+SUMIF(Capacity_Resource,$F80,'Critical resources (hide)'!AD$6:AD$105)&gt;0,$E$1=2),0,1)</f>
        <v>1</v>
      </c>
      <c r="R80" s="67">
        <f ca="1">IF(AND(SUMIF(Capacity_Resource,$D80,'Critical resources (hide)'!AE$6:AE$105)+SUMIF(Capacity_Resource,$E80,'Critical resources (hide)'!AE$6:AE$105)+SUMIF(Capacity_Resource,$F80,'Critical resources (hide)'!AE$6:AE$105)&gt;0,$E$1=2),0,1)</f>
        <v>1</v>
      </c>
      <c r="S80" s="67">
        <f ca="1">IF(AND(SUMIF(Capacity_Resource,$D80,'Critical resources (hide)'!AF$6:AF$105)+SUMIF(Capacity_Resource,$E80,'Critical resources (hide)'!AF$6:AF$105)+SUMIF(Capacity_Resource,$F80,'Critical resources (hide)'!AF$6:AF$105)&gt;0,$E$1=2),0,1)</f>
        <v>1</v>
      </c>
      <c r="T80" s="67">
        <f ca="1">IF(AND(SUMIF(Capacity_Resource,$D80,'Critical resources (hide)'!AG$6:AG$105)+SUMIF(Capacity_Resource,$E80,'Critical resources (hide)'!AG$6:AG$105)+SUMIF(Capacity_Resource,$F80,'Critical resources (hide)'!AG$6:AG$105)&gt;0,$E$1=2),0,1)</f>
        <v>1</v>
      </c>
      <c r="U80" s="67">
        <f ca="1">IF(AND(SUMIF(Capacity_Resource,$D80,'Critical resources (hide)'!AH$6:AH$105)+SUMIF(Capacity_Resource,$E80,'Critical resources (hide)'!AH$6:AH$105)+SUMIF(Capacity_Resource,$F80,'Critical resources (hide)'!AH$6:AH$105)&gt;0,$E$1=2),0,1)</f>
        <v>1</v>
      </c>
      <c r="V80" s="67">
        <f ca="1">IF(AND(SUMIF(Capacity_Resource,$D80,'Critical resources (hide)'!AI$6:AI$105)+SUMIF(Capacity_Resource,$E80,'Critical resources (hide)'!AI$6:AI$105)+SUMIF(Capacity_Resource,$F80,'Critical resources (hide)'!AI$6:AI$105)&gt;0,$E$1=2),0,1)</f>
        <v>1</v>
      </c>
      <c r="W80" s="67">
        <f ca="1">IF(AND(SUMIF(Capacity_Resource,$D80,'Critical resources (hide)'!AJ$6:AJ$105)+SUMIF(Capacity_Resource,$E80,'Critical resources (hide)'!AJ$6:AJ$105)+SUMIF(Capacity_Resource,$F80,'Critical resources (hide)'!AJ$6:AJ$105)&gt;0,$E$1=2),0,1)</f>
        <v>1</v>
      </c>
      <c r="X80" s="67">
        <f ca="1">IF(AND(SUMIF(Capacity_Resource,$D80,'Critical resources (hide)'!AK$6:AK$105)+SUMIF(Capacity_Resource,$E80,'Critical resources (hide)'!AK$6:AK$105)+SUMIF(Capacity_Resource,$F80,'Critical resources (hide)'!AK$6:AK$105)&gt;0,$E$1=2),0,1)</f>
        <v>1</v>
      </c>
      <c r="Y80" s="67">
        <f ca="1">IF(AND(SUMIF(Capacity_Resource,$D80,'Critical resources (hide)'!AL$6:AL$105)+SUMIF(Capacity_Resource,$E80,'Critical resources (hide)'!AL$6:AL$105)+SUMIF(Capacity_Resource,$F80,'Critical resources (hide)'!AL$6:AL$105)&gt;0,$E$1=2),0,1)</f>
        <v>1</v>
      </c>
      <c r="Z80" s="67">
        <f ca="1">IF(AND(SUMIF(Capacity_Resource,$D80,'Critical resources (hide)'!AM$6:AM$105)+SUMIF(Capacity_Resource,$E80,'Critical resources (hide)'!AM$6:AM$105)+SUMIF(Capacity_Resource,$F80,'Critical resources (hide)'!AM$6:AM$105)&gt;0,$E$1=2),0,1)</f>
        <v>1</v>
      </c>
      <c r="AA80" s="67">
        <f ca="1">IF(AND(SUMIF(Capacity_Resource,$D80,'Critical resources (hide)'!AN$6:AN$105)+SUMIF(Capacity_Resource,$E80,'Critical resources (hide)'!AN$6:AN$105)+SUMIF(Capacity_Resource,$F80,'Critical resources (hide)'!AN$6:AN$105)&gt;0,$E$1=2),0,1)</f>
        <v>1</v>
      </c>
      <c r="AB80" s="67">
        <f ca="1">IF(AND(SUMIF(Capacity_Resource,$D80,'Critical resources (hide)'!AO$6:AO$105)+SUMIF(Capacity_Resource,$E80,'Critical resources (hide)'!AO$6:AO$105)+SUMIF(Capacity_Resource,$F80,'Critical resources (hide)'!AO$6:AO$105)&gt;0,$E$1=2),0,1)</f>
        <v>1</v>
      </c>
      <c r="AC80" s="67">
        <f ca="1">IF(AND(SUMIF(Capacity_Resource,$D80,'Critical resources (hide)'!AP$6:AP$105)+SUMIF(Capacity_Resource,$E80,'Critical resources (hide)'!AP$6:AP$105)+SUMIF(Capacity_Resource,$F80,'Critical resources (hide)'!AP$6:AP$105)&gt;0,$E$1=2),0,1)</f>
        <v>1</v>
      </c>
      <c r="AD80" s="67">
        <f ca="1">IF(AND(SUMIF(Capacity_Resource,$D80,'Critical resources (hide)'!AQ$6:AQ$105)+SUMIF(Capacity_Resource,$E80,'Critical resources (hide)'!AQ$6:AQ$105)+SUMIF(Capacity_Resource,$F80,'Critical resources (hide)'!AQ$6:AQ$105)&gt;0,$E$1=2),0,1)</f>
        <v>1</v>
      </c>
      <c r="AE80" s="67">
        <f ca="1">IF(AND(SUMIF(Capacity_Resource,$D80,'Critical resources (hide)'!AR$6:AR$105)+SUMIF(Capacity_Resource,$E80,'Critical resources (hide)'!AR$6:AR$105)+SUMIF(Capacity_Resource,$F80,'Critical resources (hide)'!AR$6:AR$105)&gt;0,$E$1=2),0,1)</f>
        <v>1</v>
      </c>
      <c r="AF80" s="67">
        <f ca="1">IF(AND(SUMIF(Capacity_Resource,$D80,'Critical resources (hide)'!AS$6:AS$105)+SUMIF(Capacity_Resource,$E80,'Critical resources (hide)'!AS$6:AS$105)+SUMIF(Capacity_Resource,$F80,'Critical resources (hide)'!AS$6:AS$105)&gt;0,$E$1=2),0,1)</f>
        <v>1</v>
      </c>
      <c r="AG80" s="67">
        <f ca="1">IF(AND(SUMIF(Capacity_Resource,$D80,'Critical resources (hide)'!AT$6:AT$105)+SUMIF(Capacity_Resource,$E80,'Critical resources (hide)'!AT$6:AT$105)+SUMIF(Capacity_Resource,$F80,'Critical resources (hide)'!AT$6:AT$105)&gt;0,$E$1=2),0,1)</f>
        <v>1</v>
      </c>
      <c r="AH80" s="67">
        <f ca="1">IF(AND(SUMIF(Capacity_Resource,$D80,'Critical resources (hide)'!AU$6:AU$105)+SUMIF(Capacity_Resource,$E80,'Critical resources (hide)'!AU$6:AU$105)+SUMIF(Capacity_Resource,$F80,'Critical resources (hide)'!AU$6:AU$105)&gt;0,$E$1=2),0,1)</f>
        <v>1</v>
      </c>
      <c r="AI80" s="67">
        <f ca="1">IF(AND(SUMIF(Capacity_Resource,$D80,'Critical resources (hide)'!AV$6:AV$105)+SUMIF(Capacity_Resource,$E80,'Critical resources (hide)'!AV$6:AV$105)+SUMIF(Capacity_Resource,$F80,'Critical resources (hide)'!AV$6:AV$105)&gt;0,$E$1=2),0,1)</f>
        <v>1</v>
      </c>
      <c r="AJ80" s="67">
        <f ca="1">IF(AND(SUMIF(Capacity_Resource,$D80,'Critical resources (hide)'!AW$6:AW$105)+SUMIF(Capacity_Resource,$E80,'Critical resources (hide)'!AW$6:AW$105)+SUMIF(Capacity_Resource,$F80,'Critical resources (hide)'!AW$6:AW$105)&gt;0,$E$1=2),0,1)</f>
        <v>1</v>
      </c>
      <c r="AK80" s="67">
        <f ca="1">IF(AND(SUMIF(Capacity_Resource,$D80,'Critical resources (hide)'!AX$6:AX$105)+SUMIF(Capacity_Resource,$E80,'Critical resources (hide)'!AX$6:AX$105)+SUMIF(Capacity_Resource,$F80,'Critical resources (hide)'!AX$6:AX$105)&gt;0,$E$1=2),0,1)</f>
        <v>1</v>
      </c>
      <c r="AL80" s="67">
        <f ca="1">IF(AND(SUMIF(Capacity_Resource,$D80,'Critical resources (hide)'!AY$6:AY$105)+SUMIF(Capacity_Resource,$E80,'Critical resources (hide)'!AY$6:AY$105)+SUMIF(Capacity_Resource,$F80,'Critical resources (hide)'!AY$6:AY$105)&gt;0,$E$1=2),0,1)</f>
        <v>1</v>
      </c>
      <c r="AM80" s="67">
        <f ca="1">IF(AND(SUMIF(Capacity_Resource,$D80,'Critical resources (hide)'!AZ$6:AZ$105)+SUMIF(Capacity_Resource,$E80,'Critical resources (hide)'!AZ$6:AZ$105)+SUMIF(Capacity_Resource,$F80,'Critical resources (hide)'!AZ$6:AZ$105)&gt;0,$E$1=2),0,1)</f>
        <v>1</v>
      </c>
      <c r="AN80" s="67">
        <f ca="1">IF(AND(SUMIF(Capacity_Resource,$D80,'Critical resources (hide)'!BA$6:BA$105)+SUMIF(Capacity_Resource,$E80,'Critical resources (hide)'!BA$6:BA$105)+SUMIF(Capacity_Resource,$F80,'Critical resources (hide)'!BA$6:BA$105)&gt;0,$E$1=2),0,1)</f>
        <v>1</v>
      </c>
      <c r="AO80" s="67">
        <f ca="1">IF(AND(SUMIF(Capacity_Resource,$D80,'Critical resources (hide)'!BB$6:BB$105)+SUMIF(Capacity_Resource,$E80,'Critical resources (hide)'!BB$6:BB$105)+SUMIF(Capacity_Resource,$F80,'Critical resources (hide)'!BB$6:BB$105)&gt;0,$E$1=2),0,1)</f>
        <v>1</v>
      </c>
      <c r="AP80" s="67">
        <f ca="1">IF(AND(SUMIF(Capacity_Resource,$D80,'Critical resources (hide)'!BC$6:BC$105)+SUMIF(Capacity_Resource,$E80,'Critical resources (hide)'!BC$6:BC$105)+SUMIF(Capacity_Resource,$F80,'Critical resources (hide)'!BC$6:BC$105)&gt;0,$E$1=2),0,1)</f>
        <v>1</v>
      </c>
      <c r="AQ80" s="67">
        <f ca="1">IF(AND(SUMIF(Capacity_Resource,$D80,'Critical resources (hide)'!BD$6:BD$105)+SUMIF(Capacity_Resource,$E80,'Critical resources (hide)'!BD$6:BD$105)+SUMIF(Capacity_Resource,$F80,'Critical resources (hide)'!BD$6:BD$105)&gt;0,$E$1=2),0,1)</f>
        <v>1</v>
      </c>
      <c r="AR80" s="67">
        <f ca="1">IF(AND(SUMIF(Capacity_Resource,$D80,'Critical resources (hide)'!BE$6:BE$105)+SUMIF(Capacity_Resource,$E80,'Critical resources (hide)'!BE$6:BE$105)+SUMIF(Capacity_Resource,$F80,'Critical resources (hide)'!BE$6:BE$105)&gt;0,$E$1=2),0,1)</f>
        <v>1</v>
      </c>
      <c r="AS80" s="67">
        <f ca="1">IF(AND(SUMIF(Capacity_Resource,$D80,'Critical resources (hide)'!BF$6:BF$105)+SUMIF(Capacity_Resource,$E80,'Critical resources (hide)'!BF$6:BF$105)+SUMIF(Capacity_Resource,$F80,'Critical resources (hide)'!BF$6:BF$105)&gt;0,$E$1=2),0,1)</f>
        <v>1</v>
      </c>
      <c r="AT80" s="67">
        <f ca="1">IF(AND(SUMIF(Capacity_Resource,$D80,'Critical resources (hide)'!BG$6:BG$105)+SUMIF(Capacity_Resource,$E80,'Critical resources (hide)'!BG$6:BG$105)+SUMIF(Capacity_Resource,$F80,'Critical resources (hide)'!BG$6:BG$105)&gt;0,$E$1=2),0,1)</f>
        <v>1</v>
      </c>
      <c r="AU80" s="67">
        <f ca="1">IF(AND(SUMIF(Capacity_Resource,$D80,'Critical resources (hide)'!BH$6:BH$105)+SUMIF(Capacity_Resource,$E80,'Critical resources (hide)'!BH$6:BH$105)+SUMIF(Capacity_Resource,$F80,'Critical resources (hide)'!BH$6:BH$105)&gt;0,$E$1=2),0,1)</f>
        <v>1</v>
      </c>
      <c r="AV80" s="67">
        <f ca="1">IF(AND(SUMIF(Capacity_Resource,$D80,'Critical resources (hide)'!BI$6:BI$105)+SUMIF(Capacity_Resource,$E80,'Critical resources (hide)'!BI$6:BI$105)+SUMIF(Capacity_Resource,$F80,'Critical resources (hide)'!BI$6:BI$105)&gt;0,$E$1=2),0,1)</f>
        <v>1</v>
      </c>
      <c r="AW80" s="67">
        <f ca="1">IF(AND(SUMIF(Capacity_Resource,$D80,'Critical resources (hide)'!BJ$6:BJ$105)+SUMIF(Capacity_Resource,$E80,'Critical resources (hide)'!BJ$6:BJ$105)+SUMIF(Capacity_Resource,$F80,'Critical resources (hide)'!BJ$6:BJ$105)&gt;0,$E$1=2),0,1)</f>
        <v>1</v>
      </c>
      <c r="AX80" s="67">
        <f ca="1">IF(AND(SUMIF(Capacity_Resource,$D80,'Critical resources (hide)'!BK$6:BK$105)+SUMIF(Capacity_Resource,$E80,'Critical resources (hide)'!BK$6:BK$105)+SUMIF(Capacity_Resource,$F80,'Critical resources (hide)'!BK$6:BK$105)&gt;0,$E$1=2),0,1)</f>
        <v>1</v>
      </c>
      <c r="AY80" s="67">
        <f ca="1">IF(AND(SUMIF(Capacity_Resource,$D80,'Critical resources (hide)'!BL$6:BL$105)+SUMIF(Capacity_Resource,$E80,'Critical resources (hide)'!BL$6:BL$105)+SUMIF(Capacity_Resource,$F80,'Critical resources (hide)'!BL$6:BL$105)&gt;0,$E$1=2),0,1)</f>
        <v>1</v>
      </c>
      <c r="AZ80" s="67">
        <f ca="1">IF(AND(SUMIF(Capacity_Resource,$D80,'Critical resources (hide)'!BM$6:BM$105)+SUMIF(Capacity_Resource,$E80,'Critical resources (hide)'!BM$6:BM$105)+SUMIF(Capacity_Resource,$F80,'Critical resources (hide)'!BM$6:BM$105)&gt;0,$E$1=2),0,1)</f>
        <v>1</v>
      </c>
      <c r="BA80" s="67">
        <f ca="1">IF(AND(SUMIF(Capacity_Resource,$D80,'Critical resources (hide)'!BN$6:BN$105)+SUMIF(Capacity_Resource,$E80,'Critical resources (hide)'!BN$6:BN$105)+SUMIF(Capacity_Resource,$F80,'Critical resources (hide)'!BN$6:BN$105)&gt;0,$E$1=2),0,1)</f>
        <v>1</v>
      </c>
      <c r="BB80" s="67">
        <f ca="1">IF(AND(SUMIF(Capacity_Resource,$D80,'Critical resources (hide)'!BO$6:BO$105)+SUMIF(Capacity_Resource,$E80,'Critical resources (hide)'!BO$6:BO$105)+SUMIF(Capacity_Resource,$F80,'Critical resources (hide)'!BO$6:BO$105)&gt;0,$E$1=2),0,1)</f>
        <v>1</v>
      </c>
      <c r="BC80" s="67">
        <f ca="1">IF(AND(SUMIF(Capacity_Resource,$D80,'Critical resources (hide)'!BP$6:BP$105)+SUMIF(Capacity_Resource,$E80,'Critical resources (hide)'!BP$6:BP$105)+SUMIF(Capacity_Resource,$F80,'Critical resources (hide)'!BP$6:BP$105)&gt;0,$E$1=2),0,1)</f>
        <v>1</v>
      </c>
      <c r="BD80" s="67">
        <f ca="1">IF(AND(SUMIF(Capacity_Resource,$D80,'Critical resources (hide)'!BQ$6:BQ$105)+SUMIF(Capacity_Resource,$E80,'Critical resources (hide)'!BQ$6:BQ$105)+SUMIF(Capacity_Resource,$F80,'Critical resources (hide)'!BQ$6:BQ$105)&gt;0,$E$1=2),0,1)</f>
        <v>1</v>
      </c>
      <c r="BE80" s="67">
        <f ca="1">IF(AND(SUMIF(Capacity_Resource,$D80,'Critical resources (hide)'!BR$6:BR$105)+SUMIF(Capacity_Resource,$E80,'Critical resources (hide)'!BR$6:BR$105)+SUMIF(Capacity_Resource,$F80,'Critical resources (hide)'!BR$6:BR$105)&gt;0,$E$1=2),0,1)</f>
        <v>1</v>
      </c>
      <c r="BF80" s="67">
        <f ca="1">IF(AND(SUMIF(Capacity_Resource,$D80,'Critical resources (hide)'!BS$6:BS$105)+SUMIF(Capacity_Resource,$E80,'Critical resources (hide)'!BS$6:BS$105)+SUMIF(Capacity_Resource,$F80,'Critical resources (hide)'!BS$6:BS$105)&gt;0,$E$1=2),0,1)</f>
        <v>1</v>
      </c>
      <c r="BG80" s="67">
        <f ca="1">IF(AND(SUMIF(Capacity_Resource,$D80,'Critical resources (hide)'!BT$6:BT$105)+SUMIF(Capacity_Resource,$E80,'Critical resources (hide)'!BT$6:BT$105)+SUMIF(Capacity_Resource,$F80,'Critical resources (hide)'!BT$6:BT$105)&gt;0,$E$1=2),0,1)</f>
        <v>1</v>
      </c>
      <c r="BH80" s="67">
        <f>IF(ROW(C76)&lt;=Capacity!$A$16,IF('Capacity summary'!$D$14="No",SUM(H80:BG80),'Capacity summary'!$E199),0)</f>
        <v>0</v>
      </c>
      <c r="BI80" s="5" t="str">
        <f>IF(BH80&gt;0,IF(BH80&lt;Capacity!E92,Capacity!F92,Capacity!H92/'Capacity calculation (hide)'!BH80),"")</f>
        <v/>
      </c>
      <c r="BK80" s="313">
        <f>IF($BI80&lt;&gt;"",IF('Capacity summary'!$D$14="Yes",IF(COUNTBLANK('Capacity summary'!$H199:$BG199)&lt;52,IF('Capacity summary'!H199&lt;&gt;"",IF(LOWER('Capacity summary'!H199)="x",$BI80*H80,VALUE('Capacity summary'!H199)),0),H80*$BI80),H80*$BI80),0)</f>
        <v>0</v>
      </c>
      <c r="BL80" s="313">
        <f>IF($BI80&lt;&gt;"",IF('Capacity summary'!$D$14="Yes",IF(COUNTBLANK('Capacity summary'!$H199:$BG199)&lt;52,IF('Capacity summary'!I199&lt;&gt;"",IF(LOWER('Capacity summary'!I199)="x",$BI80*I80,VALUE('Capacity summary'!I199)),0),I80*$BI80),I80*$BI80),0)</f>
        <v>0</v>
      </c>
      <c r="BM80" s="313">
        <f>IF($BI80&lt;&gt;"",IF('Capacity summary'!$D$14="Yes",IF(COUNTBLANK('Capacity summary'!$H199:$BG199)&lt;52,IF('Capacity summary'!J199&lt;&gt;"",IF(LOWER('Capacity summary'!J199)="x",$BI80*J80,VALUE('Capacity summary'!J199)),0),J80*$BI80),J80*$BI80),0)</f>
        <v>0</v>
      </c>
      <c r="BN80" s="313">
        <f>IF($BI80&lt;&gt;"",IF('Capacity summary'!$D$14="Yes",IF(COUNTBLANK('Capacity summary'!$H199:$BG199)&lt;52,IF('Capacity summary'!K199&lt;&gt;"",IF(LOWER('Capacity summary'!K199)="x",$BI80*K80,VALUE('Capacity summary'!K199)),0),K80*$BI80),K80*$BI80),0)</f>
        <v>0</v>
      </c>
      <c r="BO80" s="313">
        <f>IF($BI80&lt;&gt;"",IF('Capacity summary'!$D$14="Yes",IF(COUNTBLANK('Capacity summary'!$H199:$BG199)&lt;52,IF('Capacity summary'!L199&lt;&gt;"",IF(LOWER('Capacity summary'!L199)="x",$BI80*L80,VALUE('Capacity summary'!L199)),0),L80*$BI80),L80*$BI80),0)</f>
        <v>0</v>
      </c>
      <c r="BP80" s="313">
        <f>IF($BI80&lt;&gt;"",IF('Capacity summary'!$D$14="Yes",IF(COUNTBLANK('Capacity summary'!$H199:$BG199)&lt;52,IF('Capacity summary'!M199&lt;&gt;"",IF(LOWER('Capacity summary'!M199)="x",$BI80*M80,VALUE('Capacity summary'!M199)),0),M80*$BI80),M80*$BI80),0)</f>
        <v>0</v>
      </c>
      <c r="BQ80" s="313">
        <f>IF($BI80&lt;&gt;"",IF('Capacity summary'!$D$14="Yes",IF(COUNTBLANK('Capacity summary'!$H199:$BG199)&lt;52,IF('Capacity summary'!N199&lt;&gt;"",IF(LOWER('Capacity summary'!N199)="x",$BI80*N80,VALUE('Capacity summary'!N199)),0),N80*$BI80),N80*$BI80),0)</f>
        <v>0</v>
      </c>
      <c r="BR80" s="313">
        <f>IF($BI80&lt;&gt;"",IF('Capacity summary'!$D$14="Yes",IF(COUNTBLANK('Capacity summary'!$H199:$BG199)&lt;52,IF('Capacity summary'!O199&lt;&gt;"",IF(LOWER('Capacity summary'!O199)="x",$BI80*O80,VALUE('Capacity summary'!O199)),0),O80*$BI80),O80*$BI80),0)</f>
        <v>0</v>
      </c>
      <c r="BS80" s="313">
        <f>IF($BI80&lt;&gt;"",IF('Capacity summary'!$D$14="Yes",IF(COUNTBLANK('Capacity summary'!$H199:$BG199)&lt;52,IF('Capacity summary'!P199&lt;&gt;"",IF(LOWER('Capacity summary'!P199)="x",$BI80*P80,VALUE('Capacity summary'!P199)),0),P80*$BI80),P80*$BI80),0)</f>
        <v>0</v>
      </c>
      <c r="BT80" s="313">
        <f>IF($BI80&lt;&gt;"",IF('Capacity summary'!$D$14="Yes",IF(COUNTBLANK('Capacity summary'!$H199:$BG199)&lt;52,IF('Capacity summary'!Q199&lt;&gt;"",IF(LOWER('Capacity summary'!Q199)="x",$BI80*Q80,VALUE('Capacity summary'!Q199)),0),Q80*$BI80),Q80*$BI80),0)</f>
        <v>0</v>
      </c>
      <c r="BU80" s="313">
        <f>IF($BI80&lt;&gt;"",IF('Capacity summary'!$D$14="Yes",IF(COUNTBLANK('Capacity summary'!$H199:$BG199)&lt;52,IF('Capacity summary'!R199&lt;&gt;"",IF(LOWER('Capacity summary'!R199)="x",$BI80*R80,VALUE('Capacity summary'!R199)),0),R80*$BI80),R80*$BI80),0)</f>
        <v>0</v>
      </c>
      <c r="BV80" s="313">
        <f>IF($BI80&lt;&gt;"",IF('Capacity summary'!$D$14="Yes",IF(COUNTBLANK('Capacity summary'!$H199:$BG199)&lt;52,IF('Capacity summary'!S199&lt;&gt;"",IF(LOWER('Capacity summary'!S199)="x",$BI80*S80,VALUE('Capacity summary'!S199)),0),S80*$BI80),S80*$BI80),0)</f>
        <v>0</v>
      </c>
      <c r="BW80" s="313">
        <f>IF($BI80&lt;&gt;"",IF('Capacity summary'!$D$14="Yes",IF(COUNTBLANK('Capacity summary'!$H199:$BG199)&lt;52,IF('Capacity summary'!T199&lt;&gt;"",IF(LOWER('Capacity summary'!T199)="x",$BI80*T80,VALUE('Capacity summary'!T199)),0),T80*$BI80),T80*$BI80),0)</f>
        <v>0</v>
      </c>
      <c r="BX80" s="313">
        <f>IF($BI80&lt;&gt;"",IF('Capacity summary'!$D$14="Yes",IF(COUNTBLANK('Capacity summary'!$H199:$BG199)&lt;52,IF('Capacity summary'!U199&lt;&gt;"",IF(LOWER('Capacity summary'!U199)="x",$BI80*U80,VALUE('Capacity summary'!U199)),0),U80*$BI80),U80*$BI80),0)</f>
        <v>0</v>
      </c>
      <c r="BY80" s="313">
        <f>IF($BI80&lt;&gt;"",IF('Capacity summary'!$D$14="Yes",IF(COUNTBLANK('Capacity summary'!$H199:$BG199)&lt;52,IF('Capacity summary'!V199&lt;&gt;"",IF(LOWER('Capacity summary'!V199)="x",$BI80*V80,VALUE('Capacity summary'!V199)),0),V80*$BI80),V80*$BI80),0)</f>
        <v>0</v>
      </c>
      <c r="BZ80" s="313">
        <f>IF($BI80&lt;&gt;"",IF('Capacity summary'!$D$14="Yes",IF(COUNTBLANK('Capacity summary'!$H199:$BG199)&lt;52,IF('Capacity summary'!W199&lt;&gt;"",IF(LOWER('Capacity summary'!W199)="x",$BI80*W80,VALUE('Capacity summary'!W199)),0),W80*$BI80),W80*$BI80),0)</f>
        <v>0</v>
      </c>
      <c r="CA80" s="313">
        <f>IF($BI80&lt;&gt;"",IF('Capacity summary'!$D$14="Yes",IF(COUNTBLANK('Capacity summary'!$H199:$BG199)&lt;52,IF('Capacity summary'!X199&lt;&gt;"",IF(LOWER('Capacity summary'!X199)="x",$BI80*X80,VALUE('Capacity summary'!X199)),0),X80*$BI80),X80*$BI80),0)</f>
        <v>0</v>
      </c>
      <c r="CB80" s="313">
        <f>IF($BI80&lt;&gt;"",IF('Capacity summary'!$D$14="Yes",IF(COUNTBLANK('Capacity summary'!$H199:$BG199)&lt;52,IF('Capacity summary'!Y199&lt;&gt;"",IF(LOWER('Capacity summary'!Y199)="x",$BI80*Y80,VALUE('Capacity summary'!Y199)),0),Y80*$BI80),Y80*$BI80),0)</f>
        <v>0</v>
      </c>
      <c r="CC80" s="313">
        <f>IF($BI80&lt;&gt;"",IF('Capacity summary'!$D$14="Yes",IF(COUNTBLANK('Capacity summary'!$H199:$BG199)&lt;52,IF('Capacity summary'!Z199&lt;&gt;"",IF(LOWER('Capacity summary'!Z199)="x",$BI80*Z80,VALUE('Capacity summary'!Z199)),0),Z80*$BI80),Z80*$BI80),0)</f>
        <v>0</v>
      </c>
      <c r="CD80" s="313">
        <f>IF($BI80&lt;&gt;"",IF('Capacity summary'!$D$14="Yes",IF(COUNTBLANK('Capacity summary'!$H199:$BG199)&lt;52,IF('Capacity summary'!AA199&lt;&gt;"",IF(LOWER('Capacity summary'!AA199)="x",$BI80*AA80,VALUE('Capacity summary'!AA199)),0),AA80*$BI80),AA80*$BI80),0)</f>
        <v>0</v>
      </c>
      <c r="CE80" s="313">
        <f>IF($BI80&lt;&gt;"",IF('Capacity summary'!$D$14="Yes",IF(COUNTBLANK('Capacity summary'!$H199:$BG199)&lt;52,IF('Capacity summary'!AB199&lt;&gt;"",IF(LOWER('Capacity summary'!AB199)="x",$BI80*AB80,VALUE('Capacity summary'!AB199)),0),AB80*$BI80),AB80*$BI80),0)</f>
        <v>0</v>
      </c>
      <c r="CF80" s="313">
        <f>IF($BI80&lt;&gt;"",IF('Capacity summary'!$D$14="Yes",IF(COUNTBLANK('Capacity summary'!$H199:$BG199)&lt;52,IF('Capacity summary'!AC199&lt;&gt;"",IF(LOWER('Capacity summary'!AC199)="x",$BI80*AC80,VALUE('Capacity summary'!AC199)),0),AC80*$BI80),AC80*$BI80),0)</f>
        <v>0</v>
      </c>
      <c r="CG80" s="313">
        <f>IF($BI80&lt;&gt;"",IF('Capacity summary'!$D$14="Yes",IF(COUNTBLANK('Capacity summary'!$H199:$BG199)&lt;52,IF('Capacity summary'!AD199&lt;&gt;"",IF(LOWER('Capacity summary'!AD199)="x",$BI80*AD80,VALUE('Capacity summary'!AD199)),0),AD80*$BI80),AD80*$BI80),0)</f>
        <v>0</v>
      </c>
      <c r="CH80" s="313">
        <f>IF($BI80&lt;&gt;"",IF('Capacity summary'!$D$14="Yes",IF(COUNTBLANK('Capacity summary'!$H199:$BG199)&lt;52,IF('Capacity summary'!AE199&lt;&gt;"",IF(LOWER('Capacity summary'!AE199)="x",$BI80*AE80,VALUE('Capacity summary'!AE199)),0),AE80*$BI80),AE80*$BI80),0)</f>
        <v>0</v>
      </c>
      <c r="CI80" s="313">
        <f>IF($BI80&lt;&gt;"",IF('Capacity summary'!$D$14="Yes",IF(COUNTBLANK('Capacity summary'!$H199:$BG199)&lt;52,IF('Capacity summary'!AF199&lt;&gt;"",IF(LOWER('Capacity summary'!AF199)="x",$BI80*AF80,VALUE('Capacity summary'!AF199)),0),AF80*$BI80),AF80*$BI80),0)</f>
        <v>0</v>
      </c>
      <c r="CJ80" s="313">
        <f>IF($BI80&lt;&gt;"",IF('Capacity summary'!$D$14="Yes",IF(COUNTBLANK('Capacity summary'!$H199:$BG199)&lt;52,IF('Capacity summary'!AG199&lt;&gt;"",IF(LOWER('Capacity summary'!AG199)="x",$BI80*AG80,VALUE('Capacity summary'!AG199)),0),AG80*$BI80),AG80*$BI80),0)</f>
        <v>0</v>
      </c>
      <c r="CK80" s="313">
        <f>IF($BI80&lt;&gt;"",IF('Capacity summary'!$D$14="Yes",IF(COUNTBLANK('Capacity summary'!$H199:$BG199)&lt;52,IF('Capacity summary'!AH199&lt;&gt;"",IF(LOWER('Capacity summary'!AH199)="x",$BI80*AH80,VALUE('Capacity summary'!AH199)),0),AH80*$BI80),AH80*$BI80),0)</f>
        <v>0</v>
      </c>
      <c r="CL80" s="313">
        <f>IF($BI80&lt;&gt;"",IF('Capacity summary'!$D$14="Yes",IF(COUNTBLANK('Capacity summary'!$H199:$BG199)&lt;52,IF('Capacity summary'!AI199&lt;&gt;"",IF(LOWER('Capacity summary'!AI199)="x",$BI80*AI80,VALUE('Capacity summary'!AI199)),0),AI80*$BI80),AI80*$BI80),0)</f>
        <v>0</v>
      </c>
      <c r="CM80" s="313">
        <f>IF($BI80&lt;&gt;"",IF('Capacity summary'!$D$14="Yes",IF(COUNTBLANK('Capacity summary'!$H199:$BG199)&lt;52,IF('Capacity summary'!AJ199&lt;&gt;"",IF(LOWER('Capacity summary'!AJ199)="x",$BI80*AJ80,VALUE('Capacity summary'!AJ199)),0),AJ80*$BI80),AJ80*$BI80),0)</f>
        <v>0</v>
      </c>
      <c r="CN80" s="313">
        <f>IF($BI80&lt;&gt;"",IF('Capacity summary'!$D$14="Yes",IF(COUNTBLANK('Capacity summary'!$H199:$BG199)&lt;52,IF('Capacity summary'!AK199&lt;&gt;"",IF(LOWER('Capacity summary'!AK199)="x",$BI80*AK80,VALUE('Capacity summary'!AK199)),0),AK80*$BI80),AK80*$BI80),0)</f>
        <v>0</v>
      </c>
      <c r="CO80" s="313">
        <f>IF($BI80&lt;&gt;"",IF('Capacity summary'!$D$14="Yes",IF(COUNTBLANK('Capacity summary'!$H199:$BG199)&lt;52,IF('Capacity summary'!AL199&lt;&gt;"",IF(LOWER('Capacity summary'!AL199)="x",$BI80*AL80,VALUE('Capacity summary'!AL199)),0),AL80*$BI80),AL80*$BI80),0)</f>
        <v>0</v>
      </c>
      <c r="CP80" s="313">
        <f>IF($BI80&lt;&gt;"",IF('Capacity summary'!$D$14="Yes",IF(COUNTBLANK('Capacity summary'!$H199:$BG199)&lt;52,IF('Capacity summary'!AM199&lt;&gt;"",IF(LOWER('Capacity summary'!AM199)="x",$BI80*AM80,VALUE('Capacity summary'!AM199)),0),AM80*$BI80),AM80*$BI80),0)</f>
        <v>0</v>
      </c>
      <c r="CQ80" s="313">
        <f>IF($BI80&lt;&gt;"",IF('Capacity summary'!$D$14="Yes",IF(COUNTBLANK('Capacity summary'!$H199:$BG199)&lt;52,IF('Capacity summary'!AN199&lt;&gt;"",IF(LOWER('Capacity summary'!AN199)="x",$BI80*AN80,VALUE('Capacity summary'!AN199)),0),AN80*$BI80),AN80*$BI80),0)</f>
        <v>0</v>
      </c>
      <c r="CR80" s="313">
        <f>IF($BI80&lt;&gt;"",IF('Capacity summary'!$D$14="Yes",IF(COUNTBLANK('Capacity summary'!$H199:$BG199)&lt;52,IF('Capacity summary'!AO199&lt;&gt;"",IF(LOWER('Capacity summary'!AO199)="x",$BI80*AO80,VALUE('Capacity summary'!AO199)),0),AO80*$BI80),AO80*$BI80),0)</f>
        <v>0</v>
      </c>
      <c r="CS80" s="313">
        <f>IF($BI80&lt;&gt;"",IF('Capacity summary'!$D$14="Yes",IF(COUNTBLANK('Capacity summary'!$H199:$BG199)&lt;52,IF('Capacity summary'!AP199&lt;&gt;"",IF(LOWER('Capacity summary'!AP199)="x",$BI80*AP80,VALUE('Capacity summary'!AP199)),0),AP80*$BI80),AP80*$BI80),0)</f>
        <v>0</v>
      </c>
      <c r="CT80" s="313">
        <f>IF($BI80&lt;&gt;"",IF('Capacity summary'!$D$14="Yes",IF(COUNTBLANK('Capacity summary'!$H199:$BG199)&lt;52,IF('Capacity summary'!AQ199&lt;&gt;"",IF(LOWER('Capacity summary'!AQ199)="x",$BI80*AQ80,VALUE('Capacity summary'!AQ199)),0),AQ80*$BI80),AQ80*$BI80),0)</f>
        <v>0</v>
      </c>
      <c r="CU80" s="313">
        <f>IF($BI80&lt;&gt;"",IF('Capacity summary'!$D$14="Yes",IF(COUNTBLANK('Capacity summary'!$H199:$BG199)&lt;52,IF('Capacity summary'!AR199&lt;&gt;"",IF(LOWER('Capacity summary'!AR199)="x",$BI80*AR80,VALUE('Capacity summary'!AR199)),0),AR80*$BI80),AR80*$BI80),0)</f>
        <v>0</v>
      </c>
      <c r="CV80" s="313">
        <f>IF($BI80&lt;&gt;"",IF('Capacity summary'!$D$14="Yes",IF(COUNTBLANK('Capacity summary'!$H199:$BG199)&lt;52,IF('Capacity summary'!AS199&lt;&gt;"",IF(LOWER('Capacity summary'!AS199)="x",$BI80*AS80,VALUE('Capacity summary'!AS199)),0),AS80*$BI80),AS80*$BI80),0)</f>
        <v>0</v>
      </c>
      <c r="CW80" s="313">
        <f>IF($BI80&lt;&gt;"",IF('Capacity summary'!$D$14="Yes",IF(COUNTBLANK('Capacity summary'!$H199:$BG199)&lt;52,IF('Capacity summary'!AT199&lt;&gt;"",IF(LOWER('Capacity summary'!AT199)="x",$BI80*AT80,VALUE('Capacity summary'!AT199)),0),AT80*$BI80),AT80*$BI80),0)</f>
        <v>0</v>
      </c>
      <c r="CX80" s="313">
        <f>IF($BI80&lt;&gt;"",IF('Capacity summary'!$D$14="Yes",IF(COUNTBLANK('Capacity summary'!$H199:$BG199)&lt;52,IF('Capacity summary'!AU199&lt;&gt;"",IF(LOWER('Capacity summary'!AU199)="x",$BI80*AU80,VALUE('Capacity summary'!AU199)),0),AU80*$BI80),AU80*$BI80),0)</f>
        <v>0</v>
      </c>
      <c r="CY80" s="313">
        <f>IF($BI80&lt;&gt;"",IF('Capacity summary'!$D$14="Yes",IF(COUNTBLANK('Capacity summary'!$H199:$BG199)&lt;52,IF('Capacity summary'!AV199&lt;&gt;"",IF(LOWER('Capacity summary'!AV199)="x",$BI80*AV80,VALUE('Capacity summary'!AV199)),0),AV80*$BI80),AV80*$BI80),0)</f>
        <v>0</v>
      </c>
      <c r="CZ80" s="313">
        <f>IF($BI80&lt;&gt;"",IF('Capacity summary'!$D$14="Yes",IF(COUNTBLANK('Capacity summary'!$H199:$BG199)&lt;52,IF('Capacity summary'!AW199&lt;&gt;"",IF(LOWER('Capacity summary'!AW199)="x",$BI80*AW80,VALUE('Capacity summary'!AW199)),0),AW80*$BI80),AW80*$BI80),0)</f>
        <v>0</v>
      </c>
      <c r="DA80" s="313">
        <f>IF($BI80&lt;&gt;"",IF('Capacity summary'!$D$14="Yes",IF(COUNTBLANK('Capacity summary'!$H199:$BG199)&lt;52,IF('Capacity summary'!AX199&lt;&gt;"",IF(LOWER('Capacity summary'!AX199)="x",$BI80*AX80,VALUE('Capacity summary'!AX199)),0),AX80*$BI80),AX80*$BI80),0)</f>
        <v>0</v>
      </c>
      <c r="DB80" s="313">
        <f>IF($BI80&lt;&gt;"",IF('Capacity summary'!$D$14="Yes",IF(COUNTBLANK('Capacity summary'!$H199:$BG199)&lt;52,IF('Capacity summary'!AY199&lt;&gt;"",IF(LOWER('Capacity summary'!AY199)="x",$BI80*AY80,VALUE('Capacity summary'!AY199)),0),AY80*$BI80),AY80*$BI80),0)</f>
        <v>0</v>
      </c>
      <c r="DC80" s="313">
        <f>IF($BI80&lt;&gt;"",IF('Capacity summary'!$D$14="Yes",IF(COUNTBLANK('Capacity summary'!$H199:$BG199)&lt;52,IF('Capacity summary'!AZ199&lt;&gt;"",IF(LOWER('Capacity summary'!AZ199)="x",$BI80*AZ80,VALUE('Capacity summary'!AZ199)),0),AZ80*$BI80),AZ80*$BI80),0)</f>
        <v>0</v>
      </c>
      <c r="DD80" s="313">
        <f>IF($BI80&lt;&gt;"",IF('Capacity summary'!$D$14="Yes",IF(COUNTBLANK('Capacity summary'!$H199:$BG199)&lt;52,IF('Capacity summary'!BA199&lt;&gt;"",IF(LOWER('Capacity summary'!BA199)="x",$BI80*BA80,VALUE('Capacity summary'!BA199)),0),BA80*$BI80),BA80*$BI80),0)</f>
        <v>0</v>
      </c>
      <c r="DE80" s="313">
        <f>IF($BI80&lt;&gt;"",IF('Capacity summary'!$D$14="Yes",IF(COUNTBLANK('Capacity summary'!$H199:$BG199)&lt;52,IF('Capacity summary'!BB199&lt;&gt;"",IF(LOWER('Capacity summary'!BB199)="x",$BI80*BB80,VALUE('Capacity summary'!BB199)),0),BB80*$BI80),BB80*$BI80),0)</f>
        <v>0</v>
      </c>
      <c r="DF80" s="313">
        <f>IF($BI80&lt;&gt;"",IF('Capacity summary'!$D$14="Yes",IF(COUNTBLANK('Capacity summary'!$H199:$BG199)&lt;52,IF('Capacity summary'!BC199&lt;&gt;"",IF(LOWER('Capacity summary'!BC199)="x",$BI80*BC80,VALUE('Capacity summary'!BC199)),0),BC80*$BI80),BC80*$BI80),0)</f>
        <v>0</v>
      </c>
      <c r="DG80" s="313">
        <f>IF($BI80&lt;&gt;"",IF('Capacity summary'!$D$14="Yes",IF(COUNTBLANK('Capacity summary'!$H199:$BG199)&lt;52,IF('Capacity summary'!BD199&lt;&gt;"",IF(LOWER('Capacity summary'!BD199)="x",$BI80*BD80,VALUE('Capacity summary'!BD199)),0),BD80*$BI80),BD80*$BI80),0)</f>
        <v>0</v>
      </c>
      <c r="DH80" s="313">
        <f>IF($BI80&lt;&gt;"",IF('Capacity summary'!$D$14="Yes",IF(COUNTBLANK('Capacity summary'!$H199:$BG199)&lt;52,IF('Capacity summary'!BE199&lt;&gt;"",IF(LOWER('Capacity summary'!BE199)="x",$BI80*BE80,VALUE('Capacity summary'!BE199)),0),BE80*$BI80),BE80*$BI80),0)</f>
        <v>0</v>
      </c>
      <c r="DI80" s="313">
        <f>IF($BI80&lt;&gt;"",IF('Capacity summary'!$D$14="Yes",IF(COUNTBLANK('Capacity summary'!$H199:$BG199)&lt;52,IF('Capacity summary'!BF199&lt;&gt;"",IF(LOWER('Capacity summary'!BF199)="x",$BI80*BF80,VALUE('Capacity summary'!BF199)),0),BF80*$BI80),BF80*$BI80),0)</f>
        <v>0</v>
      </c>
      <c r="DJ80" s="313">
        <f>IF($BI80&lt;&gt;"",IF('Capacity summary'!$D$14="Yes",IF(COUNTBLANK('Capacity summary'!$H199:$BG199)&lt;52,IF('Capacity summary'!BG199&lt;&gt;"",IF(LOWER('Capacity summary'!BG199)="x",$BI80*BG80,VALUE('Capacity summary'!BG199)),0),BG80*$BI80),BG80*$BI80),0)</f>
        <v>0</v>
      </c>
      <c r="DK80" s="137">
        <f t="shared" si="3"/>
        <v>0</v>
      </c>
      <c r="DL80" s="313" t="str">
        <f>Capacity!H92</f>
        <v/>
      </c>
    </row>
    <row r="81" spans="2:116" x14ac:dyDescent="0.25">
      <c r="B81" s="67"/>
      <c r="C81" s="67" t="str">
        <f>ROW(A77)&amp;". "&amp;Capacity!B93</f>
        <v xml:space="preserve">77. </v>
      </c>
      <c r="D81" s="67">
        <f>'Capacity setup'!C88</f>
        <v>0</v>
      </c>
      <c r="E81" s="67">
        <f>'Capacity setup'!D88</f>
        <v>0</v>
      </c>
      <c r="F81" s="67">
        <f>'Capacity setup'!E88</f>
        <v>0</v>
      </c>
      <c r="H81" s="67">
        <f ca="1">IF(AND(SUMIF(Capacity_Resource,$D81,'Critical resources (hide)'!U$6:U$105)+SUMIF(Capacity_Resource,$E81,'Critical resources (hide)'!U$6:U$105)+SUMIF(Capacity_Resource,$F81,'Critical resources (hide)'!U$6:U$105)&gt;0,$E$1=2),0,1)</f>
        <v>1</v>
      </c>
      <c r="I81" s="67">
        <f ca="1">IF(AND(SUMIF(Capacity_Resource,$D81,'Critical resources (hide)'!V$6:V$105)+SUMIF(Capacity_Resource,$E81,'Critical resources (hide)'!V$6:V$105)+SUMIF(Capacity_Resource,$F81,'Critical resources (hide)'!V$6:V$105)&gt;0,$E$1=2),0,1)</f>
        <v>1</v>
      </c>
      <c r="J81" s="67">
        <f ca="1">IF(AND(SUMIF(Capacity_Resource,$D81,'Critical resources (hide)'!W$6:W$105)+SUMIF(Capacity_Resource,$E81,'Critical resources (hide)'!W$6:W$105)+SUMIF(Capacity_Resource,$F81,'Critical resources (hide)'!W$6:W$105)&gt;0,$E$1=2),0,1)</f>
        <v>1</v>
      </c>
      <c r="K81" s="67">
        <f ca="1">IF(AND(SUMIF(Capacity_Resource,$D81,'Critical resources (hide)'!X$6:X$105)+SUMIF(Capacity_Resource,$E81,'Critical resources (hide)'!X$6:X$105)+SUMIF(Capacity_Resource,$F81,'Critical resources (hide)'!X$6:X$105)&gt;0,$E$1=2),0,1)</f>
        <v>1</v>
      </c>
      <c r="L81" s="67">
        <f ca="1">IF(AND(SUMIF(Capacity_Resource,$D81,'Critical resources (hide)'!Y$6:Y$105)+SUMIF(Capacity_Resource,$E81,'Critical resources (hide)'!Y$6:Y$105)+SUMIF(Capacity_Resource,$F81,'Critical resources (hide)'!Y$6:Y$105)&gt;0,$E$1=2),0,1)</f>
        <v>1</v>
      </c>
      <c r="M81" s="67">
        <f ca="1">IF(AND(SUMIF(Capacity_Resource,$D81,'Critical resources (hide)'!Z$6:Z$105)+SUMIF(Capacity_Resource,$E81,'Critical resources (hide)'!Z$6:Z$105)+SUMIF(Capacity_Resource,$F81,'Critical resources (hide)'!Z$6:Z$105)&gt;0,$E$1=2),0,1)</f>
        <v>1</v>
      </c>
      <c r="N81" s="67">
        <f ca="1">IF(AND(SUMIF(Capacity_Resource,$D81,'Critical resources (hide)'!AA$6:AA$105)+SUMIF(Capacity_Resource,$E81,'Critical resources (hide)'!AA$6:AA$105)+SUMIF(Capacity_Resource,$F81,'Critical resources (hide)'!AA$6:AA$105)&gt;0,$E$1=2),0,1)</f>
        <v>1</v>
      </c>
      <c r="O81" s="67">
        <f ca="1">IF(AND(SUMIF(Capacity_Resource,$D81,'Critical resources (hide)'!AB$6:AB$105)+SUMIF(Capacity_Resource,$E81,'Critical resources (hide)'!AB$6:AB$105)+SUMIF(Capacity_Resource,$F81,'Critical resources (hide)'!AB$6:AB$105)&gt;0,$E$1=2),0,1)</f>
        <v>1</v>
      </c>
      <c r="P81" s="67">
        <f ca="1">IF(AND(SUMIF(Capacity_Resource,$D81,'Critical resources (hide)'!AC$6:AC$105)+SUMIF(Capacity_Resource,$E81,'Critical resources (hide)'!AC$6:AC$105)+SUMIF(Capacity_Resource,$F81,'Critical resources (hide)'!AC$6:AC$105)&gt;0,$E$1=2),0,1)</f>
        <v>1</v>
      </c>
      <c r="Q81" s="67">
        <f ca="1">IF(AND(SUMIF(Capacity_Resource,$D81,'Critical resources (hide)'!AD$6:AD$105)+SUMIF(Capacity_Resource,$E81,'Critical resources (hide)'!AD$6:AD$105)+SUMIF(Capacity_Resource,$F81,'Critical resources (hide)'!AD$6:AD$105)&gt;0,$E$1=2),0,1)</f>
        <v>1</v>
      </c>
      <c r="R81" s="67">
        <f ca="1">IF(AND(SUMIF(Capacity_Resource,$D81,'Critical resources (hide)'!AE$6:AE$105)+SUMIF(Capacity_Resource,$E81,'Critical resources (hide)'!AE$6:AE$105)+SUMIF(Capacity_Resource,$F81,'Critical resources (hide)'!AE$6:AE$105)&gt;0,$E$1=2),0,1)</f>
        <v>1</v>
      </c>
      <c r="S81" s="67">
        <f ca="1">IF(AND(SUMIF(Capacity_Resource,$D81,'Critical resources (hide)'!AF$6:AF$105)+SUMIF(Capacity_Resource,$E81,'Critical resources (hide)'!AF$6:AF$105)+SUMIF(Capacity_Resource,$F81,'Critical resources (hide)'!AF$6:AF$105)&gt;0,$E$1=2),0,1)</f>
        <v>1</v>
      </c>
      <c r="T81" s="67">
        <f ca="1">IF(AND(SUMIF(Capacity_Resource,$D81,'Critical resources (hide)'!AG$6:AG$105)+SUMIF(Capacity_Resource,$E81,'Critical resources (hide)'!AG$6:AG$105)+SUMIF(Capacity_Resource,$F81,'Critical resources (hide)'!AG$6:AG$105)&gt;0,$E$1=2),0,1)</f>
        <v>1</v>
      </c>
      <c r="U81" s="67">
        <f ca="1">IF(AND(SUMIF(Capacity_Resource,$D81,'Critical resources (hide)'!AH$6:AH$105)+SUMIF(Capacity_Resource,$E81,'Critical resources (hide)'!AH$6:AH$105)+SUMIF(Capacity_Resource,$F81,'Critical resources (hide)'!AH$6:AH$105)&gt;0,$E$1=2),0,1)</f>
        <v>1</v>
      </c>
      <c r="V81" s="67">
        <f ca="1">IF(AND(SUMIF(Capacity_Resource,$D81,'Critical resources (hide)'!AI$6:AI$105)+SUMIF(Capacity_Resource,$E81,'Critical resources (hide)'!AI$6:AI$105)+SUMIF(Capacity_Resource,$F81,'Critical resources (hide)'!AI$6:AI$105)&gt;0,$E$1=2),0,1)</f>
        <v>1</v>
      </c>
      <c r="W81" s="67">
        <f ca="1">IF(AND(SUMIF(Capacity_Resource,$D81,'Critical resources (hide)'!AJ$6:AJ$105)+SUMIF(Capacity_Resource,$E81,'Critical resources (hide)'!AJ$6:AJ$105)+SUMIF(Capacity_Resource,$F81,'Critical resources (hide)'!AJ$6:AJ$105)&gt;0,$E$1=2),0,1)</f>
        <v>1</v>
      </c>
      <c r="X81" s="67">
        <f ca="1">IF(AND(SUMIF(Capacity_Resource,$D81,'Critical resources (hide)'!AK$6:AK$105)+SUMIF(Capacity_Resource,$E81,'Critical resources (hide)'!AK$6:AK$105)+SUMIF(Capacity_Resource,$F81,'Critical resources (hide)'!AK$6:AK$105)&gt;0,$E$1=2),0,1)</f>
        <v>1</v>
      </c>
      <c r="Y81" s="67">
        <f ca="1">IF(AND(SUMIF(Capacity_Resource,$D81,'Critical resources (hide)'!AL$6:AL$105)+SUMIF(Capacity_Resource,$E81,'Critical resources (hide)'!AL$6:AL$105)+SUMIF(Capacity_Resource,$F81,'Critical resources (hide)'!AL$6:AL$105)&gt;0,$E$1=2),0,1)</f>
        <v>1</v>
      </c>
      <c r="Z81" s="67">
        <f ca="1">IF(AND(SUMIF(Capacity_Resource,$D81,'Critical resources (hide)'!AM$6:AM$105)+SUMIF(Capacity_Resource,$E81,'Critical resources (hide)'!AM$6:AM$105)+SUMIF(Capacity_Resource,$F81,'Critical resources (hide)'!AM$6:AM$105)&gt;0,$E$1=2),0,1)</f>
        <v>1</v>
      </c>
      <c r="AA81" s="67">
        <f ca="1">IF(AND(SUMIF(Capacity_Resource,$D81,'Critical resources (hide)'!AN$6:AN$105)+SUMIF(Capacity_Resource,$E81,'Critical resources (hide)'!AN$6:AN$105)+SUMIF(Capacity_Resource,$F81,'Critical resources (hide)'!AN$6:AN$105)&gt;0,$E$1=2),0,1)</f>
        <v>1</v>
      </c>
      <c r="AB81" s="67">
        <f ca="1">IF(AND(SUMIF(Capacity_Resource,$D81,'Critical resources (hide)'!AO$6:AO$105)+SUMIF(Capacity_Resource,$E81,'Critical resources (hide)'!AO$6:AO$105)+SUMIF(Capacity_Resource,$F81,'Critical resources (hide)'!AO$6:AO$105)&gt;0,$E$1=2),0,1)</f>
        <v>1</v>
      </c>
      <c r="AC81" s="67">
        <f ca="1">IF(AND(SUMIF(Capacity_Resource,$D81,'Critical resources (hide)'!AP$6:AP$105)+SUMIF(Capacity_Resource,$E81,'Critical resources (hide)'!AP$6:AP$105)+SUMIF(Capacity_Resource,$F81,'Critical resources (hide)'!AP$6:AP$105)&gt;0,$E$1=2),0,1)</f>
        <v>1</v>
      </c>
      <c r="AD81" s="67">
        <f ca="1">IF(AND(SUMIF(Capacity_Resource,$D81,'Critical resources (hide)'!AQ$6:AQ$105)+SUMIF(Capacity_Resource,$E81,'Critical resources (hide)'!AQ$6:AQ$105)+SUMIF(Capacity_Resource,$F81,'Critical resources (hide)'!AQ$6:AQ$105)&gt;0,$E$1=2),0,1)</f>
        <v>1</v>
      </c>
      <c r="AE81" s="67">
        <f ca="1">IF(AND(SUMIF(Capacity_Resource,$D81,'Critical resources (hide)'!AR$6:AR$105)+SUMIF(Capacity_Resource,$E81,'Critical resources (hide)'!AR$6:AR$105)+SUMIF(Capacity_Resource,$F81,'Critical resources (hide)'!AR$6:AR$105)&gt;0,$E$1=2),0,1)</f>
        <v>1</v>
      </c>
      <c r="AF81" s="67">
        <f ca="1">IF(AND(SUMIF(Capacity_Resource,$D81,'Critical resources (hide)'!AS$6:AS$105)+SUMIF(Capacity_Resource,$E81,'Critical resources (hide)'!AS$6:AS$105)+SUMIF(Capacity_Resource,$F81,'Critical resources (hide)'!AS$6:AS$105)&gt;0,$E$1=2),0,1)</f>
        <v>1</v>
      </c>
      <c r="AG81" s="67">
        <f ca="1">IF(AND(SUMIF(Capacity_Resource,$D81,'Critical resources (hide)'!AT$6:AT$105)+SUMIF(Capacity_Resource,$E81,'Critical resources (hide)'!AT$6:AT$105)+SUMIF(Capacity_Resource,$F81,'Critical resources (hide)'!AT$6:AT$105)&gt;0,$E$1=2),0,1)</f>
        <v>1</v>
      </c>
      <c r="AH81" s="67">
        <f ca="1">IF(AND(SUMIF(Capacity_Resource,$D81,'Critical resources (hide)'!AU$6:AU$105)+SUMIF(Capacity_Resource,$E81,'Critical resources (hide)'!AU$6:AU$105)+SUMIF(Capacity_Resource,$F81,'Critical resources (hide)'!AU$6:AU$105)&gt;0,$E$1=2),0,1)</f>
        <v>1</v>
      </c>
      <c r="AI81" s="67">
        <f ca="1">IF(AND(SUMIF(Capacity_Resource,$D81,'Critical resources (hide)'!AV$6:AV$105)+SUMIF(Capacity_Resource,$E81,'Critical resources (hide)'!AV$6:AV$105)+SUMIF(Capacity_Resource,$F81,'Critical resources (hide)'!AV$6:AV$105)&gt;0,$E$1=2),0,1)</f>
        <v>1</v>
      </c>
      <c r="AJ81" s="67">
        <f ca="1">IF(AND(SUMIF(Capacity_Resource,$D81,'Critical resources (hide)'!AW$6:AW$105)+SUMIF(Capacity_Resource,$E81,'Critical resources (hide)'!AW$6:AW$105)+SUMIF(Capacity_Resource,$F81,'Critical resources (hide)'!AW$6:AW$105)&gt;0,$E$1=2),0,1)</f>
        <v>1</v>
      </c>
      <c r="AK81" s="67">
        <f ca="1">IF(AND(SUMIF(Capacity_Resource,$D81,'Critical resources (hide)'!AX$6:AX$105)+SUMIF(Capacity_Resource,$E81,'Critical resources (hide)'!AX$6:AX$105)+SUMIF(Capacity_Resource,$F81,'Critical resources (hide)'!AX$6:AX$105)&gt;0,$E$1=2),0,1)</f>
        <v>1</v>
      </c>
      <c r="AL81" s="67">
        <f ca="1">IF(AND(SUMIF(Capacity_Resource,$D81,'Critical resources (hide)'!AY$6:AY$105)+SUMIF(Capacity_Resource,$E81,'Critical resources (hide)'!AY$6:AY$105)+SUMIF(Capacity_Resource,$F81,'Critical resources (hide)'!AY$6:AY$105)&gt;0,$E$1=2),0,1)</f>
        <v>1</v>
      </c>
      <c r="AM81" s="67">
        <f ca="1">IF(AND(SUMIF(Capacity_Resource,$D81,'Critical resources (hide)'!AZ$6:AZ$105)+SUMIF(Capacity_Resource,$E81,'Critical resources (hide)'!AZ$6:AZ$105)+SUMIF(Capacity_Resource,$F81,'Critical resources (hide)'!AZ$6:AZ$105)&gt;0,$E$1=2),0,1)</f>
        <v>1</v>
      </c>
      <c r="AN81" s="67">
        <f ca="1">IF(AND(SUMIF(Capacity_Resource,$D81,'Critical resources (hide)'!BA$6:BA$105)+SUMIF(Capacity_Resource,$E81,'Critical resources (hide)'!BA$6:BA$105)+SUMIF(Capacity_Resource,$F81,'Critical resources (hide)'!BA$6:BA$105)&gt;0,$E$1=2),0,1)</f>
        <v>1</v>
      </c>
      <c r="AO81" s="67">
        <f ca="1">IF(AND(SUMIF(Capacity_Resource,$D81,'Critical resources (hide)'!BB$6:BB$105)+SUMIF(Capacity_Resource,$E81,'Critical resources (hide)'!BB$6:BB$105)+SUMIF(Capacity_Resource,$F81,'Critical resources (hide)'!BB$6:BB$105)&gt;0,$E$1=2),0,1)</f>
        <v>1</v>
      </c>
      <c r="AP81" s="67">
        <f ca="1">IF(AND(SUMIF(Capacity_Resource,$D81,'Critical resources (hide)'!BC$6:BC$105)+SUMIF(Capacity_Resource,$E81,'Critical resources (hide)'!BC$6:BC$105)+SUMIF(Capacity_Resource,$F81,'Critical resources (hide)'!BC$6:BC$105)&gt;0,$E$1=2),0,1)</f>
        <v>1</v>
      </c>
      <c r="AQ81" s="67">
        <f ca="1">IF(AND(SUMIF(Capacity_Resource,$D81,'Critical resources (hide)'!BD$6:BD$105)+SUMIF(Capacity_Resource,$E81,'Critical resources (hide)'!BD$6:BD$105)+SUMIF(Capacity_Resource,$F81,'Critical resources (hide)'!BD$6:BD$105)&gt;0,$E$1=2),0,1)</f>
        <v>1</v>
      </c>
      <c r="AR81" s="67">
        <f ca="1">IF(AND(SUMIF(Capacity_Resource,$D81,'Critical resources (hide)'!BE$6:BE$105)+SUMIF(Capacity_Resource,$E81,'Critical resources (hide)'!BE$6:BE$105)+SUMIF(Capacity_Resource,$F81,'Critical resources (hide)'!BE$6:BE$105)&gt;0,$E$1=2),0,1)</f>
        <v>1</v>
      </c>
      <c r="AS81" s="67">
        <f ca="1">IF(AND(SUMIF(Capacity_Resource,$D81,'Critical resources (hide)'!BF$6:BF$105)+SUMIF(Capacity_Resource,$E81,'Critical resources (hide)'!BF$6:BF$105)+SUMIF(Capacity_Resource,$F81,'Critical resources (hide)'!BF$6:BF$105)&gt;0,$E$1=2),0,1)</f>
        <v>1</v>
      </c>
      <c r="AT81" s="67">
        <f ca="1">IF(AND(SUMIF(Capacity_Resource,$D81,'Critical resources (hide)'!BG$6:BG$105)+SUMIF(Capacity_Resource,$E81,'Critical resources (hide)'!BG$6:BG$105)+SUMIF(Capacity_Resource,$F81,'Critical resources (hide)'!BG$6:BG$105)&gt;0,$E$1=2),0,1)</f>
        <v>1</v>
      </c>
      <c r="AU81" s="67">
        <f ca="1">IF(AND(SUMIF(Capacity_Resource,$D81,'Critical resources (hide)'!BH$6:BH$105)+SUMIF(Capacity_Resource,$E81,'Critical resources (hide)'!BH$6:BH$105)+SUMIF(Capacity_Resource,$F81,'Critical resources (hide)'!BH$6:BH$105)&gt;0,$E$1=2),0,1)</f>
        <v>1</v>
      </c>
      <c r="AV81" s="67">
        <f ca="1">IF(AND(SUMIF(Capacity_Resource,$D81,'Critical resources (hide)'!BI$6:BI$105)+SUMIF(Capacity_Resource,$E81,'Critical resources (hide)'!BI$6:BI$105)+SUMIF(Capacity_Resource,$F81,'Critical resources (hide)'!BI$6:BI$105)&gt;0,$E$1=2),0,1)</f>
        <v>1</v>
      </c>
      <c r="AW81" s="67">
        <f ca="1">IF(AND(SUMIF(Capacity_Resource,$D81,'Critical resources (hide)'!BJ$6:BJ$105)+SUMIF(Capacity_Resource,$E81,'Critical resources (hide)'!BJ$6:BJ$105)+SUMIF(Capacity_Resource,$F81,'Critical resources (hide)'!BJ$6:BJ$105)&gt;0,$E$1=2),0,1)</f>
        <v>1</v>
      </c>
      <c r="AX81" s="67">
        <f ca="1">IF(AND(SUMIF(Capacity_Resource,$D81,'Critical resources (hide)'!BK$6:BK$105)+SUMIF(Capacity_Resource,$E81,'Critical resources (hide)'!BK$6:BK$105)+SUMIF(Capacity_Resource,$F81,'Critical resources (hide)'!BK$6:BK$105)&gt;0,$E$1=2),0,1)</f>
        <v>1</v>
      </c>
      <c r="AY81" s="67">
        <f ca="1">IF(AND(SUMIF(Capacity_Resource,$D81,'Critical resources (hide)'!BL$6:BL$105)+SUMIF(Capacity_Resource,$E81,'Critical resources (hide)'!BL$6:BL$105)+SUMIF(Capacity_Resource,$F81,'Critical resources (hide)'!BL$6:BL$105)&gt;0,$E$1=2),0,1)</f>
        <v>1</v>
      </c>
      <c r="AZ81" s="67">
        <f ca="1">IF(AND(SUMIF(Capacity_Resource,$D81,'Critical resources (hide)'!BM$6:BM$105)+SUMIF(Capacity_Resource,$E81,'Critical resources (hide)'!BM$6:BM$105)+SUMIF(Capacity_Resource,$F81,'Critical resources (hide)'!BM$6:BM$105)&gt;0,$E$1=2),0,1)</f>
        <v>1</v>
      </c>
      <c r="BA81" s="67">
        <f ca="1">IF(AND(SUMIF(Capacity_Resource,$D81,'Critical resources (hide)'!BN$6:BN$105)+SUMIF(Capacity_Resource,$E81,'Critical resources (hide)'!BN$6:BN$105)+SUMIF(Capacity_Resource,$F81,'Critical resources (hide)'!BN$6:BN$105)&gt;0,$E$1=2),0,1)</f>
        <v>1</v>
      </c>
      <c r="BB81" s="67">
        <f ca="1">IF(AND(SUMIF(Capacity_Resource,$D81,'Critical resources (hide)'!BO$6:BO$105)+SUMIF(Capacity_Resource,$E81,'Critical resources (hide)'!BO$6:BO$105)+SUMIF(Capacity_Resource,$F81,'Critical resources (hide)'!BO$6:BO$105)&gt;0,$E$1=2),0,1)</f>
        <v>1</v>
      </c>
      <c r="BC81" s="67">
        <f ca="1">IF(AND(SUMIF(Capacity_Resource,$D81,'Critical resources (hide)'!BP$6:BP$105)+SUMIF(Capacity_Resource,$E81,'Critical resources (hide)'!BP$6:BP$105)+SUMIF(Capacity_Resource,$F81,'Critical resources (hide)'!BP$6:BP$105)&gt;0,$E$1=2),0,1)</f>
        <v>1</v>
      </c>
      <c r="BD81" s="67">
        <f ca="1">IF(AND(SUMIF(Capacity_Resource,$D81,'Critical resources (hide)'!BQ$6:BQ$105)+SUMIF(Capacity_Resource,$E81,'Critical resources (hide)'!BQ$6:BQ$105)+SUMIF(Capacity_Resource,$F81,'Critical resources (hide)'!BQ$6:BQ$105)&gt;0,$E$1=2),0,1)</f>
        <v>1</v>
      </c>
      <c r="BE81" s="67">
        <f ca="1">IF(AND(SUMIF(Capacity_Resource,$D81,'Critical resources (hide)'!BR$6:BR$105)+SUMIF(Capacity_Resource,$E81,'Critical resources (hide)'!BR$6:BR$105)+SUMIF(Capacity_Resource,$F81,'Critical resources (hide)'!BR$6:BR$105)&gt;0,$E$1=2),0,1)</f>
        <v>1</v>
      </c>
      <c r="BF81" s="67">
        <f ca="1">IF(AND(SUMIF(Capacity_Resource,$D81,'Critical resources (hide)'!BS$6:BS$105)+SUMIF(Capacity_Resource,$E81,'Critical resources (hide)'!BS$6:BS$105)+SUMIF(Capacity_Resource,$F81,'Critical resources (hide)'!BS$6:BS$105)&gt;0,$E$1=2),0,1)</f>
        <v>1</v>
      </c>
      <c r="BG81" s="67">
        <f ca="1">IF(AND(SUMIF(Capacity_Resource,$D81,'Critical resources (hide)'!BT$6:BT$105)+SUMIF(Capacity_Resource,$E81,'Critical resources (hide)'!BT$6:BT$105)+SUMIF(Capacity_Resource,$F81,'Critical resources (hide)'!BT$6:BT$105)&gt;0,$E$1=2),0,1)</f>
        <v>1</v>
      </c>
      <c r="BH81" s="67">
        <f>IF(ROW(C77)&lt;=Capacity!$A$16,IF('Capacity summary'!$D$14="No",SUM(H81:BG81),'Capacity summary'!$E200),0)</f>
        <v>0</v>
      </c>
      <c r="BI81" s="5" t="str">
        <f>IF(BH81&gt;0,IF(BH81&lt;Capacity!E93,Capacity!F93,Capacity!H93/'Capacity calculation (hide)'!BH81),"")</f>
        <v/>
      </c>
      <c r="BK81" s="313">
        <f>IF($BI81&lt;&gt;"",IF('Capacity summary'!$D$14="Yes",IF(COUNTBLANK('Capacity summary'!$H200:$BG200)&lt;52,IF('Capacity summary'!H200&lt;&gt;"",IF(LOWER('Capacity summary'!H200)="x",$BI81*H81,VALUE('Capacity summary'!H200)),0),H81*$BI81),H81*$BI81),0)</f>
        <v>0</v>
      </c>
      <c r="BL81" s="313">
        <f>IF($BI81&lt;&gt;"",IF('Capacity summary'!$D$14="Yes",IF(COUNTBLANK('Capacity summary'!$H200:$BG200)&lt;52,IF('Capacity summary'!I200&lt;&gt;"",IF(LOWER('Capacity summary'!I200)="x",$BI81*I81,VALUE('Capacity summary'!I200)),0),I81*$BI81),I81*$BI81),0)</f>
        <v>0</v>
      </c>
      <c r="BM81" s="313">
        <f>IF($BI81&lt;&gt;"",IF('Capacity summary'!$D$14="Yes",IF(COUNTBLANK('Capacity summary'!$H200:$BG200)&lt;52,IF('Capacity summary'!J200&lt;&gt;"",IF(LOWER('Capacity summary'!J200)="x",$BI81*J81,VALUE('Capacity summary'!J200)),0),J81*$BI81),J81*$BI81),0)</f>
        <v>0</v>
      </c>
      <c r="BN81" s="313">
        <f>IF($BI81&lt;&gt;"",IF('Capacity summary'!$D$14="Yes",IF(COUNTBLANK('Capacity summary'!$H200:$BG200)&lt;52,IF('Capacity summary'!K200&lt;&gt;"",IF(LOWER('Capacity summary'!K200)="x",$BI81*K81,VALUE('Capacity summary'!K200)),0),K81*$BI81),K81*$BI81),0)</f>
        <v>0</v>
      </c>
      <c r="BO81" s="313">
        <f>IF($BI81&lt;&gt;"",IF('Capacity summary'!$D$14="Yes",IF(COUNTBLANK('Capacity summary'!$H200:$BG200)&lt;52,IF('Capacity summary'!L200&lt;&gt;"",IF(LOWER('Capacity summary'!L200)="x",$BI81*L81,VALUE('Capacity summary'!L200)),0),L81*$BI81),L81*$BI81),0)</f>
        <v>0</v>
      </c>
      <c r="BP81" s="313">
        <f>IF($BI81&lt;&gt;"",IF('Capacity summary'!$D$14="Yes",IF(COUNTBLANK('Capacity summary'!$H200:$BG200)&lt;52,IF('Capacity summary'!M200&lt;&gt;"",IF(LOWER('Capacity summary'!M200)="x",$BI81*M81,VALUE('Capacity summary'!M200)),0),M81*$BI81),M81*$BI81),0)</f>
        <v>0</v>
      </c>
      <c r="BQ81" s="313">
        <f>IF($BI81&lt;&gt;"",IF('Capacity summary'!$D$14="Yes",IF(COUNTBLANK('Capacity summary'!$H200:$BG200)&lt;52,IF('Capacity summary'!N200&lt;&gt;"",IF(LOWER('Capacity summary'!N200)="x",$BI81*N81,VALUE('Capacity summary'!N200)),0),N81*$BI81),N81*$BI81),0)</f>
        <v>0</v>
      </c>
      <c r="BR81" s="313">
        <f>IF($BI81&lt;&gt;"",IF('Capacity summary'!$D$14="Yes",IF(COUNTBLANK('Capacity summary'!$H200:$BG200)&lt;52,IF('Capacity summary'!O200&lt;&gt;"",IF(LOWER('Capacity summary'!O200)="x",$BI81*O81,VALUE('Capacity summary'!O200)),0),O81*$BI81),O81*$BI81),0)</f>
        <v>0</v>
      </c>
      <c r="BS81" s="313">
        <f>IF($BI81&lt;&gt;"",IF('Capacity summary'!$D$14="Yes",IF(COUNTBLANK('Capacity summary'!$H200:$BG200)&lt;52,IF('Capacity summary'!P200&lt;&gt;"",IF(LOWER('Capacity summary'!P200)="x",$BI81*P81,VALUE('Capacity summary'!P200)),0),P81*$BI81),P81*$BI81),0)</f>
        <v>0</v>
      </c>
      <c r="BT81" s="313">
        <f>IF($BI81&lt;&gt;"",IF('Capacity summary'!$D$14="Yes",IF(COUNTBLANK('Capacity summary'!$H200:$BG200)&lt;52,IF('Capacity summary'!Q200&lt;&gt;"",IF(LOWER('Capacity summary'!Q200)="x",$BI81*Q81,VALUE('Capacity summary'!Q200)),0),Q81*$BI81),Q81*$BI81),0)</f>
        <v>0</v>
      </c>
      <c r="BU81" s="313">
        <f>IF($BI81&lt;&gt;"",IF('Capacity summary'!$D$14="Yes",IF(COUNTBLANK('Capacity summary'!$H200:$BG200)&lt;52,IF('Capacity summary'!R200&lt;&gt;"",IF(LOWER('Capacity summary'!R200)="x",$BI81*R81,VALUE('Capacity summary'!R200)),0),R81*$BI81),R81*$BI81),0)</f>
        <v>0</v>
      </c>
      <c r="BV81" s="313">
        <f>IF($BI81&lt;&gt;"",IF('Capacity summary'!$D$14="Yes",IF(COUNTBLANK('Capacity summary'!$H200:$BG200)&lt;52,IF('Capacity summary'!S200&lt;&gt;"",IF(LOWER('Capacity summary'!S200)="x",$BI81*S81,VALUE('Capacity summary'!S200)),0),S81*$BI81),S81*$BI81),0)</f>
        <v>0</v>
      </c>
      <c r="BW81" s="313">
        <f>IF($BI81&lt;&gt;"",IF('Capacity summary'!$D$14="Yes",IF(COUNTBLANK('Capacity summary'!$H200:$BG200)&lt;52,IF('Capacity summary'!T200&lt;&gt;"",IF(LOWER('Capacity summary'!T200)="x",$BI81*T81,VALUE('Capacity summary'!T200)),0),T81*$BI81),T81*$BI81),0)</f>
        <v>0</v>
      </c>
      <c r="BX81" s="313">
        <f>IF($BI81&lt;&gt;"",IF('Capacity summary'!$D$14="Yes",IF(COUNTBLANK('Capacity summary'!$H200:$BG200)&lt;52,IF('Capacity summary'!U200&lt;&gt;"",IF(LOWER('Capacity summary'!U200)="x",$BI81*U81,VALUE('Capacity summary'!U200)),0),U81*$BI81),U81*$BI81),0)</f>
        <v>0</v>
      </c>
      <c r="BY81" s="313">
        <f>IF($BI81&lt;&gt;"",IF('Capacity summary'!$D$14="Yes",IF(COUNTBLANK('Capacity summary'!$H200:$BG200)&lt;52,IF('Capacity summary'!V200&lt;&gt;"",IF(LOWER('Capacity summary'!V200)="x",$BI81*V81,VALUE('Capacity summary'!V200)),0),V81*$BI81),V81*$BI81),0)</f>
        <v>0</v>
      </c>
      <c r="BZ81" s="313">
        <f>IF($BI81&lt;&gt;"",IF('Capacity summary'!$D$14="Yes",IF(COUNTBLANK('Capacity summary'!$H200:$BG200)&lt;52,IF('Capacity summary'!W200&lt;&gt;"",IF(LOWER('Capacity summary'!W200)="x",$BI81*W81,VALUE('Capacity summary'!W200)),0),W81*$BI81),W81*$BI81),0)</f>
        <v>0</v>
      </c>
      <c r="CA81" s="313">
        <f>IF($BI81&lt;&gt;"",IF('Capacity summary'!$D$14="Yes",IF(COUNTBLANK('Capacity summary'!$H200:$BG200)&lt;52,IF('Capacity summary'!X200&lt;&gt;"",IF(LOWER('Capacity summary'!X200)="x",$BI81*X81,VALUE('Capacity summary'!X200)),0),X81*$BI81),X81*$BI81),0)</f>
        <v>0</v>
      </c>
      <c r="CB81" s="313">
        <f>IF($BI81&lt;&gt;"",IF('Capacity summary'!$D$14="Yes",IF(COUNTBLANK('Capacity summary'!$H200:$BG200)&lt;52,IF('Capacity summary'!Y200&lt;&gt;"",IF(LOWER('Capacity summary'!Y200)="x",$BI81*Y81,VALUE('Capacity summary'!Y200)),0),Y81*$BI81),Y81*$BI81),0)</f>
        <v>0</v>
      </c>
      <c r="CC81" s="313">
        <f>IF($BI81&lt;&gt;"",IF('Capacity summary'!$D$14="Yes",IF(COUNTBLANK('Capacity summary'!$H200:$BG200)&lt;52,IF('Capacity summary'!Z200&lt;&gt;"",IF(LOWER('Capacity summary'!Z200)="x",$BI81*Z81,VALUE('Capacity summary'!Z200)),0),Z81*$BI81),Z81*$BI81),0)</f>
        <v>0</v>
      </c>
      <c r="CD81" s="313">
        <f>IF($BI81&lt;&gt;"",IF('Capacity summary'!$D$14="Yes",IF(COUNTBLANK('Capacity summary'!$H200:$BG200)&lt;52,IF('Capacity summary'!AA200&lt;&gt;"",IF(LOWER('Capacity summary'!AA200)="x",$BI81*AA81,VALUE('Capacity summary'!AA200)),0),AA81*$BI81),AA81*$BI81),0)</f>
        <v>0</v>
      </c>
      <c r="CE81" s="313">
        <f>IF($BI81&lt;&gt;"",IF('Capacity summary'!$D$14="Yes",IF(COUNTBLANK('Capacity summary'!$H200:$BG200)&lt;52,IF('Capacity summary'!AB200&lt;&gt;"",IF(LOWER('Capacity summary'!AB200)="x",$BI81*AB81,VALUE('Capacity summary'!AB200)),0),AB81*$BI81),AB81*$BI81),0)</f>
        <v>0</v>
      </c>
      <c r="CF81" s="313">
        <f>IF($BI81&lt;&gt;"",IF('Capacity summary'!$D$14="Yes",IF(COUNTBLANK('Capacity summary'!$H200:$BG200)&lt;52,IF('Capacity summary'!AC200&lt;&gt;"",IF(LOWER('Capacity summary'!AC200)="x",$BI81*AC81,VALUE('Capacity summary'!AC200)),0),AC81*$BI81),AC81*$BI81),0)</f>
        <v>0</v>
      </c>
      <c r="CG81" s="313">
        <f>IF($BI81&lt;&gt;"",IF('Capacity summary'!$D$14="Yes",IF(COUNTBLANK('Capacity summary'!$H200:$BG200)&lt;52,IF('Capacity summary'!AD200&lt;&gt;"",IF(LOWER('Capacity summary'!AD200)="x",$BI81*AD81,VALUE('Capacity summary'!AD200)),0),AD81*$BI81),AD81*$BI81),0)</f>
        <v>0</v>
      </c>
      <c r="CH81" s="313">
        <f>IF($BI81&lt;&gt;"",IF('Capacity summary'!$D$14="Yes",IF(COUNTBLANK('Capacity summary'!$H200:$BG200)&lt;52,IF('Capacity summary'!AE200&lt;&gt;"",IF(LOWER('Capacity summary'!AE200)="x",$BI81*AE81,VALUE('Capacity summary'!AE200)),0),AE81*$BI81),AE81*$BI81),0)</f>
        <v>0</v>
      </c>
      <c r="CI81" s="313">
        <f>IF($BI81&lt;&gt;"",IF('Capacity summary'!$D$14="Yes",IF(COUNTBLANK('Capacity summary'!$H200:$BG200)&lt;52,IF('Capacity summary'!AF200&lt;&gt;"",IF(LOWER('Capacity summary'!AF200)="x",$BI81*AF81,VALUE('Capacity summary'!AF200)),0),AF81*$BI81),AF81*$BI81),0)</f>
        <v>0</v>
      </c>
      <c r="CJ81" s="313">
        <f>IF($BI81&lt;&gt;"",IF('Capacity summary'!$D$14="Yes",IF(COUNTBLANK('Capacity summary'!$H200:$BG200)&lt;52,IF('Capacity summary'!AG200&lt;&gt;"",IF(LOWER('Capacity summary'!AG200)="x",$BI81*AG81,VALUE('Capacity summary'!AG200)),0),AG81*$BI81),AG81*$BI81),0)</f>
        <v>0</v>
      </c>
      <c r="CK81" s="313">
        <f>IF($BI81&lt;&gt;"",IF('Capacity summary'!$D$14="Yes",IF(COUNTBLANK('Capacity summary'!$H200:$BG200)&lt;52,IF('Capacity summary'!AH200&lt;&gt;"",IF(LOWER('Capacity summary'!AH200)="x",$BI81*AH81,VALUE('Capacity summary'!AH200)),0),AH81*$BI81),AH81*$BI81),0)</f>
        <v>0</v>
      </c>
      <c r="CL81" s="313">
        <f>IF($BI81&lt;&gt;"",IF('Capacity summary'!$D$14="Yes",IF(COUNTBLANK('Capacity summary'!$H200:$BG200)&lt;52,IF('Capacity summary'!AI200&lt;&gt;"",IF(LOWER('Capacity summary'!AI200)="x",$BI81*AI81,VALUE('Capacity summary'!AI200)),0),AI81*$BI81),AI81*$BI81),0)</f>
        <v>0</v>
      </c>
      <c r="CM81" s="313">
        <f>IF($BI81&lt;&gt;"",IF('Capacity summary'!$D$14="Yes",IF(COUNTBLANK('Capacity summary'!$H200:$BG200)&lt;52,IF('Capacity summary'!AJ200&lt;&gt;"",IF(LOWER('Capacity summary'!AJ200)="x",$BI81*AJ81,VALUE('Capacity summary'!AJ200)),0),AJ81*$BI81),AJ81*$BI81),0)</f>
        <v>0</v>
      </c>
      <c r="CN81" s="313">
        <f>IF($BI81&lt;&gt;"",IF('Capacity summary'!$D$14="Yes",IF(COUNTBLANK('Capacity summary'!$H200:$BG200)&lt;52,IF('Capacity summary'!AK200&lt;&gt;"",IF(LOWER('Capacity summary'!AK200)="x",$BI81*AK81,VALUE('Capacity summary'!AK200)),0),AK81*$BI81),AK81*$BI81),0)</f>
        <v>0</v>
      </c>
      <c r="CO81" s="313">
        <f>IF($BI81&lt;&gt;"",IF('Capacity summary'!$D$14="Yes",IF(COUNTBLANK('Capacity summary'!$H200:$BG200)&lt;52,IF('Capacity summary'!AL200&lt;&gt;"",IF(LOWER('Capacity summary'!AL200)="x",$BI81*AL81,VALUE('Capacity summary'!AL200)),0),AL81*$BI81),AL81*$BI81),0)</f>
        <v>0</v>
      </c>
      <c r="CP81" s="313">
        <f>IF($BI81&lt;&gt;"",IF('Capacity summary'!$D$14="Yes",IF(COUNTBLANK('Capacity summary'!$H200:$BG200)&lt;52,IF('Capacity summary'!AM200&lt;&gt;"",IF(LOWER('Capacity summary'!AM200)="x",$BI81*AM81,VALUE('Capacity summary'!AM200)),0),AM81*$BI81),AM81*$BI81),0)</f>
        <v>0</v>
      </c>
      <c r="CQ81" s="313">
        <f>IF($BI81&lt;&gt;"",IF('Capacity summary'!$D$14="Yes",IF(COUNTBLANK('Capacity summary'!$H200:$BG200)&lt;52,IF('Capacity summary'!AN200&lt;&gt;"",IF(LOWER('Capacity summary'!AN200)="x",$BI81*AN81,VALUE('Capacity summary'!AN200)),0),AN81*$BI81),AN81*$BI81),0)</f>
        <v>0</v>
      </c>
      <c r="CR81" s="313">
        <f>IF($BI81&lt;&gt;"",IF('Capacity summary'!$D$14="Yes",IF(COUNTBLANK('Capacity summary'!$H200:$BG200)&lt;52,IF('Capacity summary'!AO200&lt;&gt;"",IF(LOWER('Capacity summary'!AO200)="x",$BI81*AO81,VALUE('Capacity summary'!AO200)),0),AO81*$BI81),AO81*$BI81),0)</f>
        <v>0</v>
      </c>
      <c r="CS81" s="313">
        <f>IF($BI81&lt;&gt;"",IF('Capacity summary'!$D$14="Yes",IF(COUNTBLANK('Capacity summary'!$H200:$BG200)&lt;52,IF('Capacity summary'!AP200&lt;&gt;"",IF(LOWER('Capacity summary'!AP200)="x",$BI81*AP81,VALUE('Capacity summary'!AP200)),0),AP81*$BI81),AP81*$BI81),0)</f>
        <v>0</v>
      </c>
      <c r="CT81" s="313">
        <f>IF($BI81&lt;&gt;"",IF('Capacity summary'!$D$14="Yes",IF(COUNTBLANK('Capacity summary'!$H200:$BG200)&lt;52,IF('Capacity summary'!AQ200&lt;&gt;"",IF(LOWER('Capacity summary'!AQ200)="x",$BI81*AQ81,VALUE('Capacity summary'!AQ200)),0),AQ81*$BI81),AQ81*$BI81),0)</f>
        <v>0</v>
      </c>
      <c r="CU81" s="313">
        <f>IF($BI81&lt;&gt;"",IF('Capacity summary'!$D$14="Yes",IF(COUNTBLANK('Capacity summary'!$H200:$BG200)&lt;52,IF('Capacity summary'!AR200&lt;&gt;"",IF(LOWER('Capacity summary'!AR200)="x",$BI81*AR81,VALUE('Capacity summary'!AR200)),0),AR81*$BI81),AR81*$BI81),0)</f>
        <v>0</v>
      </c>
      <c r="CV81" s="313">
        <f>IF($BI81&lt;&gt;"",IF('Capacity summary'!$D$14="Yes",IF(COUNTBLANK('Capacity summary'!$H200:$BG200)&lt;52,IF('Capacity summary'!AS200&lt;&gt;"",IF(LOWER('Capacity summary'!AS200)="x",$BI81*AS81,VALUE('Capacity summary'!AS200)),0),AS81*$BI81),AS81*$BI81),0)</f>
        <v>0</v>
      </c>
      <c r="CW81" s="313">
        <f>IF($BI81&lt;&gt;"",IF('Capacity summary'!$D$14="Yes",IF(COUNTBLANK('Capacity summary'!$H200:$BG200)&lt;52,IF('Capacity summary'!AT200&lt;&gt;"",IF(LOWER('Capacity summary'!AT200)="x",$BI81*AT81,VALUE('Capacity summary'!AT200)),0),AT81*$BI81),AT81*$BI81),0)</f>
        <v>0</v>
      </c>
      <c r="CX81" s="313">
        <f>IF($BI81&lt;&gt;"",IF('Capacity summary'!$D$14="Yes",IF(COUNTBLANK('Capacity summary'!$H200:$BG200)&lt;52,IF('Capacity summary'!AU200&lt;&gt;"",IF(LOWER('Capacity summary'!AU200)="x",$BI81*AU81,VALUE('Capacity summary'!AU200)),0),AU81*$BI81),AU81*$BI81),0)</f>
        <v>0</v>
      </c>
      <c r="CY81" s="313">
        <f>IF($BI81&lt;&gt;"",IF('Capacity summary'!$D$14="Yes",IF(COUNTBLANK('Capacity summary'!$H200:$BG200)&lt;52,IF('Capacity summary'!AV200&lt;&gt;"",IF(LOWER('Capacity summary'!AV200)="x",$BI81*AV81,VALUE('Capacity summary'!AV200)),0),AV81*$BI81),AV81*$BI81),0)</f>
        <v>0</v>
      </c>
      <c r="CZ81" s="313">
        <f>IF($BI81&lt;&gt;"",IF('Capacity summary'!$D$14="Yes",IF(COUNTBLANK('Capacity summary'!$H200:$BG200)&lt;52,IF('Capacity summary'!AW200&lt;&gt;"",IF(LOWER('Capacity summary'!AW200)="x",$BI81*AW81,VALUE('Capacity summary'!AW200)),0),AW81*$BI81),AW81*$BI81),0)</f>
        <v>0</v>
      </c>
      <c r="DA81" s="313">
        <f>IF($BI81&lt;&gt;"",IF('Capacity summary'!$D$14="Yes",IF(COUNTBLANK('Capacity summary'!$H200:$BG200)&lt;52,IF('Capacity summary'!AX200&lt;&gt;"",IF(LOWER('Capacity summary'!AX200)="x",$BI81*AX81,VALUE('Capacity summary'!AX200)),0),AX81*$BI81),AX81*$BI81),0)</f>
        <v>0</v>
      </c>
      <c r="DB81" s="313">
        <f>IF($BI81&lt;&gt;"",IF('Capacity summary'!$D$14="Yes",IF(COUNTBLANK('Capacity summary'!$H200:$BG200)&lt;52,IF('Capacity summary'!AY200&lt;&gt;"",IF(LOWER('Capacity summary'!AY200)="x",$BI81*AY81,VALUE('Capacity summary'!AY200)),0),AY81*$BI81),AY81*$BI81),0)</f>
        <v>0</v>
      </c>
      <c r="DC81" s="313">
        <f>IF($BI81&lt;&gt;"",IF('Capacity summary'!$D$14="Yes",IF(COUNTBLANK('Capacity summary'!$H200:$BG200)&lt;52,IF('Capacity summary'!AZ200&lt;&gt;"",IF(LOWER('Capacity summary'!AZ200)="x",$BI81*AZ81,VALUE('Capacity summary'!AZ200)),0),AZ81*$BI81),AZ81*$BI81),0)</f>
        <v>0</v>
      </c>
      <c r="DD81" s="313">
        <f>IF($BI81&lt;&gt;"",IF('Capacity summary'!$D$14="Yes",IF(COUNTBLANK('Capacity summary'!$H200:$BG200)&lt;52,IF('Capacity summary'!BA200&lt;&gt;"",IF(LOWER('Capacity summary'!BA200)="x",$BI81*BA81,VALUE('Capacity summary'!BA200)),0),BA81*$BI81),BA81*$BI81),0)</f>
        <v>0</v>
      </c>
      <c r="DE81" s="313">
        <f>IF($BI81&lt;&gt;"",IF('Capacity summary'!$D$14="Yes",IF(COUNTBLANK('Capacity summary'!$H200:$BG200)&lt;52,IF('Capacity summary'!BB200&lt;&gt;"",IF(LOWER('Capacity summary'!BB200)="x",$BI81*BB81,VALUE('Capacity summary'!BB200)),0),BB81*$BI81),BB81*$BI81),0)</f>
        <v>0</v>
      </c>
      <c r="DF81" s="313">
        <f>IF($BI81&lt;&gt;"",IF('Capacity summary'!$D$14="Yes",IF(COUNTBLANK('Capacity summary'!$H200:$BG200)&lt;52,IF('Capacity summary'!BC200&lt;&gt;"",IF(LOWER('Capacity summary'!BC200)="x",$BI81*BC81,VALUE('Capacity summary'!BC200)),0),BC81*$BI81),BC81*$BI81),0)</f>
        <v>0</v>
      </c>
      <c r="DG81" s="313">
        <f>IF($BI81&lt;&gt;"",IF('Capacity summary'!$D$14="Yes",IF(COUNTBLANK('Capacity summary'!$H200:$BG200)&lt;52,IF('Capacity summary'!BD200&lt;&gt;"",IF(LOWER('Capacity summary'!BD200)="x",$BI81*BD81,VALUE('Capacity summary'!BD200)),0),BD81*$BI81),BD81*$BI81),0)</f>
        <v>0</v>
      </c>
      <c r="DH81" s="313">
        <f>IF($BI81&lt;&gt;"",IF('Capacity summary'!$D$14="Yes",IF(COUNTBLANK('Capacity summary'!$H200:$BG200)&lt;52,IF('Capacity summary'!BE200&lt;&gt;"",IF(LOWER('Capacity summary'!BE200)="x",$BI81*BE81,VALUE('Capacity summary'!BE200)),0),BE81*$BI81),BE81*$BI81),0)</f>
        <v>0</v>
      </c>
      <c r="DI81" s="313">
        <f>IF($BI81&lt;&gt;"",IF('Capacity summary'!$D$14="Yes",IF(COUNTBLANK('Capacity summary'!$H200:$BG200)&lt;52,IF('Capacity summary'!BF200&lt;&gt;"",IF(LOWER('Capacity summary'!BF200)="x",$BI81*BF81,VALUE('Capacity summary'!BF200)),0),BF81*$BI81),BF81*$BI81),0)</f>
        <v>0</v>
      </c>
      <c r="DJ81" s="313">
        <f>IF($BI81&lt;&gt;"",IF('Capacity summary'!$D$14="Yes",IF(COUNTBLANK('Capacity summary'!$H200:$BG200)&lt;52,IF('Capacity summary'!BG200&lt;&gt;"",IF(LOWER('Capacity summary'!BG200)="x",$BI81*BG81,VALUE('Capacity summary'!BG200)),0),BG81*$BI81),BG81*$BI81),0)</f>
        <v>0</v>
      </c>
      <c r="DK81" s="137">
        <f t="shared" si="3"/>
        <v>0</v>
      </c>
      <c r="DL81" s="313" t="str">
        <f>Capacity!H93</f>
        <v/>
      </c>
    </row>
    <row r="82" spans="2:116" x14ac:dyDescent="0.25">
      <c r="B82" s="67"/>
      <c r="C82" s="67" t="str">
        <f>ROW(A78)&amp;". "&amp;Capacity!B94</f>
        <v xml:space="preserve">78. </v>
      </c>
      <c r="D82" s="67">
        <f>'Capacity setup'!C89</f>
        <v>0</v>
      </c>
      <c r="E82" s="67">
        <f>'Capacity setup'!D89</f>
        <v>0</v>
      </c>
      <c r="F82" s="67">
        <f>'Capacity setup'!E89</f>
        <v>0</v>
      </c>
      <c r="H82" s="67">
        <f ca="1">IF(AND(SUMIF(Capacity_Resource,$D82,'Critical resources (hide)'!U$6:U$105)+SUMIF(Capacity_Resource,$E82,'Critical resources (hide)'!U$6:U$105)+SUMIF(Capacity_Resource,$F82,'Critical resources (hide)'!U$6:U$105)&gt;0,$E$1=2),0,1)</f>
        <v>1</v>
      </c>
      <c r="I82" s="67">
        <f ca="1">IF(AND(SUMIF(Capacity_Resource,$D82,'Critical resources (hide)'!V$6:V$105)+SUMIF(Capacity_Resource,$E82,'Critical resources (hide)'!V$6:V$105)+SUMIF(Capacity_Resource,$F82,'Critical resources (hide)'!V$6:V$105)&gt;0,$E$1=2),0,1)</f>
        <v>1</v>
      </c>
      <c r="J82" s="67">
        <f ca="1">IF(AND(SUMIF(Capacity_Resource,$D82,'Critical resources (hide)'!W$6:W$105)+SUMIF(Capacity_Resource,$E82,'Critical resources (hide)'!W$6:W$105)+SUMIF(Capacity_Resource,$F82,'Critical resources (hide)'!W$6:W$105)&gt;0,$E$1=2),0,1)</f>
        <v>1</v>
      </c>
      <c r="K82" s="67">
        <f ca="1">IF(AND(SUMIF(Capacity_Resource,$D82,'Critical resources (hide)'!X$6:X$105)+SUMIF(Capacity_Resource,$E82,'Critical resources (hide)'!X$6:X$105)+SUMIF(Capacity_Resource,$F82,'Critical resources (hide)'!X$6:X$105)&gt;0,$E$1=2),0,1)</f>
        <v>1</v>
      </c>
      <c r="L82" s="67">
        <f ca="1">IF(AND(SUMIF(Capacity_Resource,$D82,'Critical resources (hide)'!Y$6:Y$105)+SUMIF(Capacity_Resource,$E82,'Critical resources (hide)'!Y$6:Y$105)+SUMIF(Capacity_Resource,$F82,'Critical resources (hide)'!Y$6:Y$105)&gt;0,$E$1=2),0,1)</f>
        <v>1</v>
      </c>
      <c r="M82" s="67">
        <f ca="1">IF(AND(SUMIF(Capacity_Resource,$D82,'Critical resources (hide)'!Z$6:Z$105)+SUMIF(Capacity_Resource,$E82,'Critical resources (hide)'!Z$6:Z$105)+SUMIF(Capacity_Resource,$F82,'Critical resources (hide)'!Z$6:Z$105)&gt;0,$E$1=2),0,1)</f>
        <v>1</v>
      </c>
      <c r="N82" s="67">
        <f ca="1">IF(AND(SUMIF(Capacity_Resource,$D82,'Critical resources (hide)'!AA$6:AA$105)+SUMIF(Capacity_Resource,$E82,'Critical resources (hide)'!AA$6:AA$105)+SUMIF(Capacity_Resource,$F82,'Critical resources (hide)'!AA$6:AA$105)&gt;0,$E$1=2),0,1)</f>
        <v>1</v>
      </c>
      <c r="O82" s="67">
        <f ca="1">IF(AND(SUMIF(Capacity_Resource,$D82,'Critical resources (hide)'!AB$6:AB$105)+SUMIF(Capacity_Resource,$E82,'Critical resources (hide)'!AB$6:AB$105)+SUMIF(Capacity_Resource,$F82,'Critical resources (hide)'!AB$6:AB$105)&gt;0,$E$1=2),0,1)</f>
        <v>1</v>
      </c>
      <c r="P82" s="67">
        <f ca="1">IF(AND(SUMIF(Capacity_Resource,$D82,'Critical resources (hide)'!AC$6:AC$105)+SUMIF(Capacity_Resource,$E82,'Critical resources (hide)'!AC$6:AC$105)+SUMIF(Capacity_Resource,$F82,'Critical resources (hide)'!AC$6:AC$105)&gt;0,$E$1=2),0,1)</f>
        <v>1</v>
      </c>
      <c r="Q82" s="67">
        <f ca="1">IF(AND(SUMIF(Capacity_Resource,$D82,'Critical resources (hide)'!AD$6:AD$105)+SUMIF(Capacity_Resource,$E82,'Critical resources (hide)'!AD$6:AD$105)+SUMIF(Capacity_Resource,$F82,'Critical resources (hide)'!AD$6:AD$105)&gt;0,$E$1=2),0,1)</f>
        <v>1</v>
      </c>
      <c r="R82" s="67">
        <f ca="1">IF(AND(SUMIF(Capacity_Resource,$D82,'Critical resources (hide)'!AE$6:AE$105)+SUMIF(Capacity_Resource,$E82,'Critical resources (hide)'!AE$6:AE$105)+SUMIF(Capacity_Resource,$F82,'Critical resources (hide)'!AE$6:AE$105)&gt;0,$E$1=2),0,1)</f>
        <v>1</v>
      </c>
      <c r="S82" s="67">
        <f ca="1">IF(AND(SUMIF(Capacity_Resource,$D82,'Critical resources (hide)'!AF$6:AF$105)+SUMIF(Capacity_Resource,$E82,'Critical resources (hide)'!AF$6:AF$105)+SUMIF(Capacity_Resource,$F82,'Critical resources (hide)'!AF$6:AF$105)&gt;0,$E$1=2),0,1)</f>
        <v>1</v>
      </c>
      <c r="T82" s="67">
        <f ca="1">IF(AND(SUMIF(Capacity_Resource,$D82,'Critical resources (hide)'!AG$6:AG$105)+SUMIF(Capacity_Resource,$E82,'Critical resources (hide)'!AG$6:AG$105)+SUMIF(Capacity_Resource,$F82,'Critical resources (hide)'!AG$6:AG$105)&gt;0,$E$1=2),0,1)</f>
        <v>1</v>
      </c>
      <c r="U82" s="67">
        <f ca="1">IF(AND(SUMIF(Capacity_Resource,$D82,'Critical resources (hide)'!AH$6:AH$105)+SUMIF(Capacity_Resource,$E82,'Critical resources (hide)'!AH$6:AH$105)+SUMIF(Capacity_Resource,$F82,'Critical resources (hide)'!AH$6:AH$105)&gt;0,$E$1=2),0,1)</f>
        <v>1</v>
      </c>
      <c r="V82" s="67">
        <f ca="1">IF(AND(SUMIF(Capacity_Resource,$D82,'Critical resources (hide)'!AI$6:AI$105)+SUMIF(Capacity_Resource,$E82,'Critical resources (hide)'!AI$6:AI$105)+SUMIF(Capacity_Resource,$F82,'Critical resources (hide)'!AI$6:AI$105)&gt;0,$E$1=2),0,1)</f>
        <v>1</v>
      </c>
      <c r="W82" s="67">
        <f ca="1">IF(AND(SUMIF(Capacity_Resource,$D82,'Critical resources (hide)'!AJ$6:AJ$105)+SUMIF(Capacity_Resource,$E82,'Critical resources (hide)'!AJ$6:AJ$105)+SUMIF(Capacity_Resource,$F82,'Critical resources (hide)'!AJ$6:AJ$105)&gt;0,$E$1=2),0,1)</f>
        <v>1</v>
      </c>
      <c r="X82" s="67">
        <f ca="1">IF(AND(SUMIF(Capacity_Resource,$D82,'Critical resources (hide)'!AK$6:AK$105)+SUMIF(Capacity_Resource,$E82,'Critical resources (hide)'!AK$6:AK$105)+SUMIF(Capacity_Resource,$F82,'Critical resources (hide)'!AK$6:AK$105)&gt;0,$E$1=2),0,1)</f>
        <v>1</v>
      </c>
      <c r="Y82" s="67">
        <f ca="1">IF(AND(SUMIF(Capacity_Resource,$D82,'Critical resources (hide)'!AL$6:AL$105)+SUMIF(Capacity_Resource,$E82,'Critical resources (hide)'!AL$6:AL$105)+SUMIF(Capacity_Resource,$F82,'Critical resources (hide)'!AL$6:AL$105)&gt;0,$E$1=2),0,1)</f>
        <v>1</v>
      </c>
      <c r="Z82" s="67">
        <f ca="1">IF(AND(SUMIF(Capacity_Resource,$D82,'Critical resources (hide)'!AM$6:AM$105)+SUMIF(Capacity_Resource,$E82,'Critical resources (hide)'!AM$6:AM$105)+SUMIF(Capacity_Resource,$F82,'Critical resources (hide)'!AM$6:AM$105)&gt;0,$E$1=2),0,1)</f>
        <v>1</v>
      </c>
      <c r="AA82" s="67">
        <f ca="1">IF(AND(SUMIF(Capacity_Resource,$D82,'Critical resources (hide)'!AN$6:AN$105)+SUMIF(Capacity_Resource,$E82,'Critical resources (hide)'!AN$6:AN$105)+SUMIF(Capacity_Resource,$F82,'Critical resources (hide)'!AN$6:AN$105)&gt;0,$E$1=2),0,1)</f>
        <v>1</v>
      </c>
      <c r="AB82" s="67">
        <f ca="1">IF(AND(SUMIF(Capacity_Resource,$D82,'Critical resources (hide)'!AO$6:AO$105)+SUMIF(Capacity_Resource,$E82,'Critical resources (hide)'!AO$6:AO$105)+SUMIF(Capacity_Resource,$F82,'Critical resources (hide)'!AO$6:AO$105)&gt;0,$E$1=2),0,1)</f>
        <v>1</v>
      </c>
      <c r="AC82" s="67">
        <f ca="1">IF(AND(SUMIF(Capacity_Resource,$D82,'Critical resources (hide)'!AP$6:AP$105)+SUMIF(Capacity_Resource,$E82,'Critical resources (hide)'!AP$6:AP$105)+SUMIF(Capacity_Resource,$F82,'Critical resources (hide)'!AP$6:AP$105)&gt;0,$E$1=2),0,1)</f>
        <v>1</v>
      </c>
      <c r="AD82" s="67">
        <f ca="1">IF(AND(SUMIF(Capacity_Resource,$D82,'Critical resources (hide)'!AQ$6:AQ$105)+SUMIF(Capacity_Resource,$E82,'Critical resources (hide)'!AQ$6:AQ$105)+SUMIF(Capacity_Resource,$F82,'Critical resources (hide)'!AQ$6:AQ$105)&gt;0,$E$1=2),0,1)</f>
        <v>1</v>
      </c>
      <c r="AE82" s="67">
        <f ca="1">IF(AND(SUMIF(Capacity_Resource,$D82,'Critical resources (hide)'!AR$6:AR$105)+SUMIF(Capacity_Resource,$E82,'Critical resources (hide)'!AR$6:AR$105)+SUMIF(Capacity_Resource,$F82,'Critical resources (hide)'!AR$6:AR$105)&gt;0,$E$1=2),0,1)</f>
        <v>1</v>
      </c>
      <c r="AF82" s="67">
        <f ca="1">IF(AND(SUMIF(Capacity_Resource,$D82,'Critical resources (hide)'!AS$6:AS$105)+SUMIF(Capacity_Resource,$E82,'Critical resources (hide)'!AS$6:AS$105)+SUMIF(Capacity_Resource,$F82,'Critical resources (hide)'!AS$6:AS$105)&gt;0,$E$1=2),0,1)</f>
        <v>1</v>
      </c>
      <c r="AG82" s="67">
        <f ca="1">IF(AND(SUMIF(Capacity_Resource,$D82,'Critical resources (hide)'!AT$6:AT$105)+SUMIF(Capacity_Resource,$E82,'Critical resources (hide)'!AT$6:AT$105)+SUMIF(Capacity_Resource,$F82,'Critical resources (hide)'!AT$6:AT$105)&gt;0,$E$1=2),0,1)</f>
        <v>1</v>
      </c>
      <c r="AH82" s="67">
        <f ca="1">IF(AND(SUMIF(Capacity_Resource,$D82,'Critical resources (hide)'!AU$6:AU$105)+SUMIF(Capacity_Resource,$E82,'Critical resources (hide)'!AU$6:AU$105)+SUMIF(Capacity_Resource,$F82,'Critical resources (hide)'!AU$6:AU$105)&gt;0,$E$1=2),0,1)</f>
        <v>1</v>
      </c>
      <c r="AI82" s="67">
        <f ca="1">IF(AND(SUMIF(Capacity_Resource,$D82,'Critical resources (hide)'!AV$6:AV$105)+SUMIF(Capacity_Resource,$E82,'Critical resources (hide)'!AV$6:AV$105)+SUMIF(Capacity_Resource,$F82,'Critical resources (hide)'!AV$6:AV$105)&gt;0,$E$1=2),0,1)</f>
        <v>1</v>
      </c>
      <c r="AJ82" s="67">
        <f ca="1">IF(AND(SUMIF(Capacity_Resource,$D82,'Critical resources (hide)'!AW$6:AW$105)+SUMIF(Capacity_Resource,$E82,'Critical resources (hide)'!AW$6:AW$105)+SUMIF(Capacity_Resource,$F82,'Critical resources (hide)'!AW$6:AW$105)&gt;0,$E$1=2),0,1)</f>
        <v>1</v>
      </c>
      <c r="AK82" s="67">
        <f ca="1">IF(AND(SUMIF(Capacity_Resource,$D82,'Critical resources (hide)'!AX$6:AX$105)+SUMIF(Capacity_Resource,$E82,'Critical resources (hide)'!AX$6:AX$105)+SUMIF(Capacity_Resource,$F82,'Critical resources (hide)'!AX$6:AX$105)&gt;0,$E$1=2),0,1)</f>
        <v>1</v>
      </c>
      <c r="AL82" s="67">
        <f ca="1">IF(AND(SUMIF(Capacity_Resource,$D82,'Critical resources (hide)'!AY$6:AY$105)+SUMIF(Capacity_Resource,$E82,'Critical resources (hide)'!AY$6:AY$105)+SUMIF(Capacity_Resource,$F82,'Critical resources (hide)'!AY$6:AY$105)&gt;0,$E$1=2),0,1)</f>
        <v>1</v>
      </c>
      <c r="AM82" s="67">
        <f ca="1">IF(AND(SUMIF(Capacity_Resource,$D82,'Critical resources (hide)'!AZ$6:AZ$105)+SUMIF(Capacity_Resource,$E82,'Critical resources (hide)'!AZ$6:AZ$105)+SUMIF(Capacity_Resource,$F82,'Critical resources (hide)'!AZ$6:AZ$105)&gt;0,$E$1=2),0,1)</f>
        <v>1</v>
      </c>
      <c r="AN82" s="67">
        <f ca="1">IF(AND(SUMIF(Capacity_Resource,$D82,'Critical resources (hide)'!BA$6:BA$105)+SUMIF(Capacity_Resource,$E82,'Critical resources (hide)'!BA$6:BA$105)+SUMIF(Capacity_Resource,$F82,'Critical resources (hide)'!BA$6:BA$105)&gt;0,$E$1=2),0,1)</f>
        <v>1</v>
      </c>
      <c r="AO82" s="67">
        <f ca="1">IF(AND(SUMIF(Capacity_Resource,$D82,'Critical resources (hide)'!BB$6:BB$105)+SUMIF(Capacity_Resource,$E82,'Critical resources (hide)'!BB$6:BB$105)+SUMIF(Capacity_Resource,$F82,'Critical resources (hide)'!BB$6:BB$105)&gt;0,$E$1=2),0,1)</f>
        <v>1</v>
      </c>
      <c r="AP82" s="67">
        <f ca="1">IF(AND(SUMIF(Capacity_Resource,$D82,'Critical resources (hide)'!BC$6:BC$105)+SUMIF(Capacity_Resource,$E82,'Critical resources (hide)'!BC$6:BC$105)+SUMIF(Capacity_Resource,$F82,'Critical resources (hide)'!BC$6:BC$105)&gt;0,$E$1=2),0,1)</f>
        <v>1</v>
      </c>
      <c r="AQ82" s="67">
        <f ca="1">IF(AND(SUMIF(Capacity_Resource,$D82,'Critical resources (hide)'!BD$6:BD$105)+SUMIF(Capacity_Resource,$E82,'Critical resources (hide)'!BD$6:BD$105)+SUMIF(Capacity_Resource,$F82,'Critical resources (hide)'!BD$6:BD$105)&gt;0,$E$1=2),0,1)</f>
        <v>1</v>
      </c>
      <c r="AR82" s="67">
        <f ca="1">IF(AND(SUMIF(Capacity_Resource,$D82,'Critical resources (hide)'!BE$6:BE$105)+SUMIF(Capacity_Resource,$E82,'Critical resources (hide)'!BE$6:BE$105)+SUMIF(Capacity_Resource,$F82,'Critical resources (hide)'!BE$6:BE$105)&gt;0,$E$1=2),0,1)</f>
        <v>1</v>
      </c>
      <c r="AS82" s="67">
        <f ca="1">IF(AND(SUMIF(Capacity_Resource,$D82,'Critical resources (hide)'!BF$6:BF$105)+SUMIF(Capacity_Resource,$E82,'Critical resources (hide)'!BF$6:BF$105)+SUMIF(Capacity_Resource,$F82,'Critical resources (hide)'!BF$6:BF$105)&gt;0,$E$1=2),0,1)</f>
        <v>1</v>
      </c>
      <c r="AT82" s="67">
        <f ca="1">IF(AND(SUMIF(Capacity_Resource,$D82,'Critical resources (hide)'!BG$6:BG$105)+SUMIF(Capacity_Resource,$E82,'Critical resources (hide)'!BG$6:BG$105)+SUMIF(Capacity_Resource,$F82,'Critical resources (hide)'!BG$6:BG$105)&gt;0,$E$1=2),0,1)</f>
        <v>1</v>
      </c>
      <c r="AU82" s="67">
        <f ca="1">IF(AND(SUMIF(Capacity_Resource,$D82,'Critical resources (hide)'!BH$6:BH$105)+SUMIF(Capacity_Resource,$E82,'Critical resources (hide)'!BH$6:BH$105)+SUMIF(Capacity_Resource,$F82,'Critical resources (hide)'!BH$6:BH$105)&gt;0,$E$1=2),0,1)</f>
        <v>1</v>
      </c>
      <c r="AV82" s="67">
        <f ca="1">IF(AND(SUMIF(Capacity_Resource,$D82,'Critical resources (hide)'!BI$6:BI$105)+SUMIF(Capacity_Resource,$E82,'Critical resources (hide)'!BI$6:BI$105)+SUMIF(Capacity_Resource,$F82,'Critical resources (hide)'!BI$6:BI$105)&gt;0,$E$1=2),0,1)</f>
        <v>1</v>
      </c>
      <c r="AW82" s="67">
        <f ca="1">IF(AND(SUMIF(Capacity_Resource,$D82,'Critical resources (hide)'!BJ$6:BJ$105)+SUMIF(Capacity_Resource,$E82,'Critical resources (hide)'!BJ$6:BJ$105)+SUMIF(Capacity_Resource,$F82,'Critical resources (hide)'!BJ$6:BJ$105)&gt;0,$E$1=2),0,1)</f>
        <v>1</v>
      </c>
      <c r="AX82" s="67">
        <f ca="1">IF(AND(SUMIF(Capacity_Resource,$D82,'Critical resources (hide)'!BK$6:BK$105)+SUMIF(Capacity_Resource,$E82,'Critical resources (hide)'!BK$6:BK$105)+SUMIF(Capacity_Resource,$F82,'Critical resources (hide)'!BK$6:BK$105)&gt;0,$E$1=2),0,1)</f>
        <v>1</v>
      </c>
      <c r="AY82" s="67">
        <f ca="1">IF(AND(SUMIF(Capacity_Resource,$D82,'Critical resources (hide)'!BL$6:BL$105)+SUMIF(Capacity_Resource,$E82,'Critical resources (hide)'!BL$6:BL$105)+SUMIF(Capacity_Resource,$F82,'Critical resources (hide)'!BL$6:BL$105)&gt;0,$E$1=2),0,1)</f>
        <v>1</v>
      </c>
      <c r="AZ82" s="67">
        <f ca="1">IF(AND(SUMIF(Capacity_Resource,$D82,'Critical resources (hide)'!BM$6:BM$105)+SUMIF(Capacity_Resource,$E82,'Critical resources (hide)'!BM$6:BM$105)+SUMIF(Capacity_Resource,$F82,'Critical resources (hide)'!BM$6:BM$105)&gt;0,$E$1=2),0,1)</f>
        <v>1</v>
      </c>
      <c r="BA82" s="67">
        <f ca="1">IF(AND(SUMIF(Capacity_Resource,$D82,'Critical resources (hide)'!BN$6:BN$105)+SUMIF(Capacity_Resource,$E82,'Critical resources (hide)'!BN$6:BN$105)+SUMIF(Capacity_Resource,$F82,'Critical resources (hide)'!BN$6:BN$105)&gt;0,$E$1=2),0,1)</f>
        <v>1</v>
      </c>
      <c r="BB82" s="67">
        <f ca="1">IF(AND(SUMIF(Capacity_Resource,$D82,'Critical resources (hide)'!BO$6:BO$105)+SUMIF(Capacity_Resource,$E82,'Critical resources (hide)'!BO$6:BO$105)+SUMIF(Capacity_Resource,$F82,'Critical resources (hide)'!BO$6:BO$105)&gt;0,$E$1=2),0,1)</f>
        <v>1</v>
      </c>
      <c r="BC82" s="67">
        <f ca="1">IF(AND(SUMIF(Capacity_Resource,$D82,'Critical resources (hide)'!BP$6:BP$105)+SUMIF(Capacity_Resource,$E82,'Critical resources (hide)'!BP$6:BP$105)+SUMIF(Capacity_Resource,$F82,'Critical resources (hide)'!BP$6:BP$105)&gt;0,$E$1=2),0,1)</f>
        <v>1</v>
      </c>
      <c r="BD82" s="67">
        <f ca="1">IF(AND(SUMIF(Capacity_Resource,$D82,'Critical resources (hide)'!BQ$6:BQ$105)+SUMIF(Capacity_Resource,$E82,'Critical resources (hide)'!BQ$6:BQ$105)+SUMIF(Capacity_Resource,$F82,'Critical resources (hide)'!BQ$6:BQ$105)&gt;0,$E$1=2),0,1)</f>
        <v>1</v>
      </c>
      <c r="BE82" s="67">
        <f ca="1">IF(AND(SUMIF(Capacity_Resource,$D82,'Critical resources (hide)'!BR$6:BR$105)+SUMIF(Capacity_Resource,$E82,'Critical resources (hide)'!BR$6:BR$105)+SUMIF(Capacity_Resource,$F82,'Critical resources (hide)'!BR$6:BR$105)&gt;0,$E$1=2),0,1)</f>
        <v>1</v>
      </c>
      <c r="BF82" s="67">
        <f ca="1">IF(AND(SUMIF(Capacity_Resource,$D82,'Critical resources (hide)'!BS$6:BS$105)+SUMIF(Capacity_Resource,$E82,'Critical resources (hide)'!BS$6:BS$105)+SUMIF(Capacity_Resource,$F82,'Critical resources (hide)'!BS$6:BS$105)&gt;0,$E$1=2),0,1)</f>
        <v>1</v>
      </c>
      <c r="BG82" s="67">
        <f ca="1">IF(AND(SUMIF(Capacity_Resource,$D82,'Critical resources (hide)'!BT$6:BT$105)+SUMIF(Capacity_Resource,$E82,'Critical resources (hide)'!BT$6:BT$105)+SUMIF(Capacity_Resource,$F82,'Critical resources (hide)'!BT$6:BT$105)&gt;0,$E$1=2),0,1)</f>
        <v>1</v>
      </c>
      <c r="BH82" s="67">
        <f>IF(ROW(C78)&lt;=Capacity!$A$16,IF('Capacity summary'!$D$14="No",SUM(H82:BG82),'Capacity summary'!$E201),0)</f>
        <v>0</v>
      </c>
      <c r="BI82" s="5" t="str">
        <f>IF(BH82&gt;0,IF(BH82&lt;Capacity!E94,Capacity!F94,Capacity!H94/'Capacity calculation (hide)'!BH82),"")</f>
        <v/>
      </c>
      <c r="BK82" s="313">
        <f>IF($BI82&lt;&gt;"",IF('Capacity summary'!$D$14="Yes",IF(COUNTBLANK('Capacity summary'!$H201:$BG201)&lt;52,IF('Capacity summary'!H201&lt;&gt;"",IF(LOWER('Capacity summary'!H201)="x",$BI82*H82,VALUE('Capacity summary'!H201)),0),H82*$BI82),H82*$BI82),0)</f>
        <v>0</v>
      </c>
      <c r="BL82" s="313">
        <f>IF($BI82&lt;&gt;"",IF('Capacity summary'!$D$14="Yes",IF(COUNTBLANK('Capacity summary'!$H201:$BG201)&lt;52,IF('Capacity summary'!I201&lt;&gt;"",IF(LOWER('Capacity summary'!I201)="x",$BI82*I82,VALUE('Capacity summary'!I201)),0),I82*$BI82),I82*$BI82),0)</f>
        <v>0</v>
      </c>
      <c r="BM82" s="313">
        <f>IF($BI82&lt;&gt;"",IF('Capacity summary'!$D$14="Yes",IF(COUNTBLANK('Capacity summary'!$H201:$BG201)&lt;52,IF('Capacity summary'!J201&lt;&gt;"",IF(LOWER('Capacity summary'!J201)="x",$BI82*J82,VALUE('Capacity summary'!J201)),0),J82*$BI82),J82*$BI82),0)</f>
        <v>0</v>
      </c>
      <c r="BN82" s="313">
        <f>IF($BI82&lt;&gt;"",IF('Capacity summary'!$D$14="Yes",IF(COUNTBLANK('Capacity summary'!$H201:$BG201)&lt;52,IF('Capacity summary'!K201&lt;&gt;"",IF(LOWER('Capacity summary'!K201)="x",$BI82*K82,VALUE('Capacity summary'!K201)),0),K82*$BI82),K82*$BI82),0)</f>
        <v>0</v>
      </c>
      <c r="BO82" s="313">
        <f>IF($BI82&lt;&gt;"",IF('Capacity summary'!$D$14="Yes",IF(COUNTBLANK('Capacity summary'!$H201:$BG201)&lt;52,IF('Capacity summary'!L201&lt;&gt;"",IF(LOWER('Capacity summary'!L201)="x",$BI82*L82,VALUE('Capacity summary'!L201)),0),L82*$BI82),L82*$BI82),0)</f>
        <v>0</v>
      </c>
      <c r="BP82" s="313">
        <f>IF($BI82&lt;&gt;"",IF('Capacity summary'!$D$14="Yes",IF(COUNTBLANK('Capacity summary'!$H201:$BG201)&lt;52,IF('Capacity summary'!M201&lt;&gt;"",IF(LOWER('Capacity summary'!M201)="x",$BI82*M82,VALUE('Capacity summary'!M201)),0),M82*$BI82),M82*$BI82),0)</f>
        <v>0</v>
      </c>
      <c r="BQ82" s="313">
        <f>IF($BI82&lt;&gt;"",IF('Capacity summary'!$D$14="Yes",IF(COUNTBLANK('Capacity summary'!$H201:$BG201)&lt;52,IF('Capacity summary'!N201&lt;&gt;"",IF(LOWER('Capacity summary'!N201)="x",$BI82*N82,VALUE('Capacity summary'!N201)),0),N82*$BI82),N82*$BI82),0)</f>
        <v>0</v>
      </c>
      <c r="BR82" s="313">
        <f>IF($BI82&lt;&gt;"",IF('Capacity summary'!$D$14="Yes",IF(COUNTBLANK('Capacity summary'!$H201:$BG201)&lt;52,IF('Capacity summary'!O201&lt;&gt;"",IF(LOWER('Capacity summary'!O201)="x",$BI82*O82,VALUE('Capacity summary'!O201)),0),O82*$BI82),O82*$BI82),0)</f>
        <v>0</v>
      </c>
      <c r="BS82" s="313">
        <f>IF($BI82&lt;&gt;"",IF('Capacity summary'!$D$14="Yes",IF(COUNTBLANK('Capacity summary'!$H201:$BG201)&lt;52,IF('Capacity summary'!P201&lt;&gt;"",IF(LOWER('Capacity summary'!P201)="x",$BI82*P82,VALUE('Capacity summary'!P201)),0),P82*$BI82),P82*$BI82),0)</f>
        <v>0</v>
      </c>
      <c r="BT82" s="313">
        <f>IF($BI82&lt;&gt;"",IF('Capacity summary'!$D$14="Yes",IF(COUNTBLANK('Capacity summary'!$H201:$BG201)&lt;52,IF('Capacity summary'!Q201&lt;&gt;"",IF(LOWER('Capacity summary'!Q201)="x",$BI82*Q82,VALUE('Capacity summary'!Q201)),0),Q82*$BI82),Q82*$BI82),0)</f>
        <v>0</v>
      </c>
      <c r="BU82" s="313">
        <f>IF($BI82&lt;&gt;"",IF('Capacity summary'!$D$14="Yes",IF(COUNTBLANK('Capacity summary'!$H201:$BG201)&lt;52,IF('Capacity summary'!R201&lt;&gt;"",IF(LOWER('Capacity summary'!R201)="x",$BI82*R82,VALUE('Capacity summary'!R201)),0),R82*$BI82),R82*$BI82),0)</f>
        <v>0</v>
      </c>
      <c r="BV82" s="313">
        <f>IF($BI82&lt;&gt;"",IF('Capacity summary'!$D$14="Yes",IF(COUNTBLANK('Capacity summary'!$H201:$BG201)&lt;52,IF('Capacity summary'!S201&lt;&gt;"",IF(LOWER('Capacity summary'!S201)="x",$BI82*S82,VALUE('Capacity summary'!S201)),0),S82*$BI82),S82*$BI82),0)</f>
        <v>0</v>
      </c>
      <c r="BW82" s="313">
        <f>IF($BI82&lt;&gt;"",IF('Capacity summary'!$D$14="Yes",IF(COUNTBLANK('Capacity summary'!$H201:$BG201)&lt;52,IF('Capacity summary'!T201&lt;&gt;"",IF(LOWER('Capacity summary'!T201)="x",$BI82*T82,VALUE('Capacity summary'!T201)),0),T82*$BI82),T82*$BI82),0)</f>
        <v>0</v>
      </c>
      <c r="BX82" s="313">
        <f>IF($BI82&lt;&gt;"",IF('Capacity summary'!$D$14="Yes",IF(COUNTBLANK('Capacity summary'!$H201:$BG201)&lt;52,IF('Capacity summary'!U201&lt;&gt;"",IF(LOWER('Capacity summary'!U201)="x",$BI82*U82,VALUE('Capacity summary'!U201)),0),U82*$BI82),U82*$BI82),0)</f>
        <v>0</v>
      </c>
      <c r="BY82" s="313">
        <f>IF($BI82&lt;&gt;"",IF('Capacity summary'!$D$14="Yes",IF(COUNTBLANK('Capacity summary'!$H201:$BG201)&lt;52,IF('Capacity summary'!V201&lt;&gt;"",IF(LOWER('Capacity summary'!V201)="x",$BI82*V82,VALUE('Capacity summary'!V201)),0),V82*$BI82),V82*$BI82),0)</f>
        <v>0</v>
      </c>
      <c r="BZ82" s="313">
        <f>IF($BI82&lt;&gt;"",IF('Capacity summary'!$D$14="Yes",IF(COUNTBLANK('Capacity summary'!$H201:$BG201)&lt;52,IF('Capacity summary'!W201&lt;&gt;"",IF(LOWER('Capacity summary'!W201)="x",$BI82*W82,VALUE('Capacity summary'!W201)),0),W82*$BI82),W82*$BI82),0)</f>
        <v>0</v>
      </c>
      <c r="CA82" s="313">
        <f>IF($BI82&lt;&gt;"",IF('Capacity summary'!$D$14="Yes",IF(COUNTBLANK('Capacity summary'!$H201:$BG201)&lt;52,IF('Capacity summary'!X201&lt;&gt;"",IF(LOWER('Capacity summary'!X201)="x",$BI82*X82,VALUE('Capacity summary'!X201)),0),X82*$BI82),X82*$BI82),0)</f>
        <v>0</v>
      </c>
      <c r="CB82" s="313">
        <f>IF($BI82&lt;&gt;"",IF('Capacity summary'!$D$14="Yes",IF(COUNTBLANK('Capacity summary'!$H201:$BG201)&lt;52,IF('Capacity summary'!Y201&lt;&gt;"",IF(LOWER('Capacity summary'!Y201)="x",$BI82*Y82,VALUE('Capacity summary'!Y201)),0),Y82*$BI82),Y82*$BI82),0)</f>
        <v>0</v>
      </c>
      <c r="CC82" s="313">
        <f>IF($BI82&lt;&gt;"",IF('Capacity summary'!$D$14="Yes",IF(COUNTBLANK('Capacity summary'!$H201:$BG201)&lt;52,IF('Capacity summary'!Z201&lt;&gt;"",IF(LOWER('Capacity summary'!Z201)="x",$BI82*Z82,VALUE('Capacity summary'!Z201)),0),Z82*$BI82),Z82*$BI82),0)</f>
        <v>0</v>
      </c>
      <c r="CD82" s="313">
        <f>IF($BI82&lt;&gt;"",IF('Capacity summary'!$D$14="Yes",IF(COUNTBLANK('Capacity summary'!$H201:$BG201)&lt;52,IF('Capacity summary'!AA201&lt;&gt;"",IF(LOWER('Capacity summary'!AA201)="x",$BI82*AA82,VALUE('Capacity summary'!AA201)),0),AA82*$BI82),AA82*$BI82),0)</f>
        <v>0</v>
      </c>
      <c r="CE82" s="313">
        <f>IF($BI82&lt;&gt;"",IF('Capacity summary'!$D$14="Yes",IF(COUNTBLANK('Capacity summary'!$H201:$BG201)&lt;52,IF('Capacity summary'!AB201&lt;&gt;"",IF(LOWER('Capacity summary'!AB201)="x",$BI82*AB82,VALUE('Capacity summary'!AB201)),0),AB82*$BI82),AB82*$BI82),0)</f>
        <v>0</v>
      </c>
      <c r="CF82" s="313">
        <f>IF($BI82&lt;&gt;"",IF('Capacity summary'!$D$14="Yes",IF(COUNTBLANK('Capacity summary'!$H201:$BG201)&lt;52,IF('Capacity summary'!AC201&lt;&gt;"",IF(LOWER('Capacity summary'!AC201)="x",$BI82*AC82,VALUE('Capacity summary'!AC201)),0),AC82*$BI82),AC82*$BI82),0)</f>
        <v>0</v>
      </c>
      <c r="CG82" s="313">
        <f>IF($BI82&lt;&gt;"",IF('Capacity summary'!$D$14="Yes",IF(COUNTBLANK('Capacity summary'!$H201:$BG201)&lt;52,IF('Capacity summary'!AD201&lt;&gt;"",IF(LOWER('Capacity summary'!AD201)="x",$BI82*AD82,VALUE('Capacity summary'!AD201)),0),AD82*$BI82),AD82*$BI82),0)</f>
        <v>0</v>
      </c>
      <c r="CH82" s="313">
        <f>IF($BI82&lt;&gt;"",IF('Capacity summary'!$D$14="Yes",IF(COUNTBLANK('Capacity summary'!$H201:$BG201)&lt;52,IF('Capacity summary'!AE201&lt;&gt;"",IF(LOWER('Capacity summary'!AE201)="x",$BI82*AE82,VALUE('Capacity summary'!AE201)),0),AE82*$BI82),AE82*$BI82),0)</f>
        <v>0</v>
      </c>
      <c r="CI82" s="313">
        <f>IF($BI82&lt;&gt;"",IF('Capacity summary'!$D$14="Yes",IF(COUNTBLANK('Capacity summary'!$H201:$BG201)&lt;52,IF('Capacity summary'!AF201&lt;&gt;"",IF(LOWER('Capacity summary'!AF201)="x",$BI82*AF82,VALUE('Capacity summary'!AF201)),0),AF82*$BI82),AF82*$BI82),0)</f>
        <v>0</v>
      </c>
      <c r="CJ82" s="313">
        <f>IF($BI82&lt;&gt;"",IF('Capacity summary'!$D$14="Yes",IF(COUNTBLANK('Capacity summary'!$H201:$BG201)&lt;52,IF('Capacity summary'!AG201&lt;&gt;"",IF(LOWER('Capacity summary'!AG201)="x",$BI82*AG82,VALUE('Capacity summary'!AG201)),0),AG82*$BI82),AG82*$BI82),0)</f>
        <v>0</v>
      </c>
      <c r="CK82" s="313">
        <f>IF($BI82&lt;&gt;"",IF('Capacity summary'!$D$14="Yes",IF(COUNTBLANK('Capacity summary'!$H201:$BG201)&lt;52,IF('Capacity summary'!AH201&lt;&gt;"",IF(LOWER('Capacity summary'!AH201)="x",$BI82*AH82,VALUE('Capacity summary'!AH201)),0),AH82*$BI82),AH82*$BI82),0)</f>
        <v>0</v>
      </c>
      <c r="CL82" s="313">
        <f>IF($BI82&lt;&gt;"",IF('Capacity summary'!$D$14="Yes",IF(COUNTBLANK('Capacity summary'!$H201:$BG201)&lt;52,IF('Capacity summary'!AI201&lt;&gt;"",IF(LOWER('Capacity summary'!AI201)="x",$BI82*AI82,VALUE('Capacity summary'!AI201)),0),AI82*$BI82),AI82*$BI82),0)</f>
        <v>0</v>
      </c>
      <c r="CM82" s="313">
        <f>IF($BI82&lt;&gt;"",IF('Capacity summary'!$D$14="Yes",IF(COUNTBLANK('Capacity summary'!$H201:$BG201)&lt;52,IF('Capacity summary'!AJ201&lt;&gt;"",IF(LOWER('Capacity summary'!AJ201)="x",$BI82*AJ82,VALUE('Capacity summary'!AJ201)),0),AJ82*$BI82),AJ82*$BI82),0)</f>
        <v>0</v>
      </c>
      <c r="CN82" s="313">
        <f>IF($BI82&lt;&gt;"",IF('Capacity summary'!$D$14="Yes",IF(COUNTBLANK('Capacity summary'!$H201:$BG201)&lt;52,IF('Capacity summary'!AK201&lt;&gt;"",IF(LOWER('Capacity summary'!AK201)="x",$BI82*AK82,VALUE('Capacity summary'!AK201)),0),AK82*$BI82),AK82*$BI82),0)</f>
        <v>0</v>
      </c>
      <c r="CO82" s="313">
        <f>IF($BI82&lt;&gt;"",IF('Capacity summary'!$D$14="Yes",IF(COUNTBLANK('Capacity summary'!$H201:$BG201)&lt;52,IF('Capacity summary'!AL201&lt;&gt;"",IF(LOWER('Capacity summary'!AL201)="x",$BI82*AL82,VALUE('Capacity summary'!AL201)),0),AL82*$BI82),AL82*$BI82),0)</f>
        <v>0</v>
      </c>
      <c r="CP82" s="313">
        <f>IF($BI82&lt;&gt;"",IF('Capacity summary'!$D$14="Yes",IF(COUNTBLANK('Capacity summary'!$H201:$BG201)&lt;52,IF('Capacity summary'!AM201&lt;&gt;"",IF(LOWER('Capacity summary'!AM201)="x",$BI82*AM82,VALUE('Capacity summary'!AM201)),0),AM82*$BI82),AM82*$BI82),0)</f>
        <v>0</v>
      </c>
      <c r="CQ82" s="313">
        <f>IF($BI82&lt;&gt;"",IF('Capacity summary'!$D$14="Yes",IF(COUNTBLANK('Capacity summary'!$H201:$BG201)&lt;52,IF('Capacity summary'!AN201&lt;&gt;"",IF(LOWER('Capacity summary'!AN201)="x",$BI82*AN82,VALUE('Capacity summary'!AN201)),0),AN82*$BI82),AN82*$BI82),0)</f>
        <v>0</v>
      </c>
      <c r="CR82" s="313">
        <f>IF($BI82&lt;&gt;"",IF('Capacity summary'!$D$14="Yes",IF(COUNTBLANK('Capacity summary'!$H201:$BG201)&lt;52,IF('Capacity summary'!AO201&lt;&gt;"",IF(LOWER('Capacity summary'!AO201)="x",$BI82*AO82,VALUE('Capacity summary'!AO201)),0),AO82*$BI82),AO82*$BI82),0)</f>
        <v>0</v>
      </c>
      <c r="CS82" s="313">
        <f>IF($BI82&lt;&gt;"",IF('Capacity summary'!$D$14="Yes",IF(COUNTBLANK('Capacity summary'!$H201:$BG201)&lt;52,IF('Capacity summary'!AP201&lt;&gt;"",IF(LOWER('Capacity summary'!AP201)="x",$BI82*AP82,VALUE('Capacity summary'!AP201)),0),AP82*$BI82),AP82*$BI82),0)</f>
        <v>0</v>
      </c>
      <c r="CT82" s="313">
        <f>IF($BI82&lt;&gt;"",IF('Capacity summary'!$D$14="Yes",IF(COUNTBLANK('Capacity summary'!$H201:$BG201)&lt;52,IF('Capacity summary'!AQ201&lt;&gt;"",IF(LOWER('Capacity summary'!AQ201)="x",$BI82*AQ82,VALUE('Capacity summary'!AQ201)),0),AQ82*$BI82),AQ82*$BI82),0)</f>
        <v>0</v>
      </c>
      <c r="CU82" s="313">
        <f>IF($BI82&lt;&gt;"",IF('Capacity summary'!$D$14="Yes",IF(COUNTBLANK('Capacity summary'!$H201:$BG201)&lt;52,IF('Capacity summary'!AR201&lt;&gt;"",IF(LOWER('Capacity summary'!AR201)="x",$BI82*AR82,VALUE('Capacity summary'!AR201)),0),AR82*$BI82),AR82*$BI82),0)</f>
        <v>0</v>
      </c>
      <c r="CV82" s="313">
        <f>IF($BI82&lt;&gt;"",IF('Capacity summary'!$D$14="Yes",IF(COUNTBLANK('Capacity summary'!$H201:$BG201)&lt;52,IF('Capacity summary'!AS201&lt;&gt;"",IF(LOWER('Capacity summary'!AS201)="x",$BI82*AS82,VALUE('Capacity summary'!AS201)),0),AS82*$BI82),AS82*$BI82),0)</f>
        <v>0</v>
      </c>
      <c r="CW82" s="313">
        <f>IF($BI82&lt;&gt;"",IF('Capacity summary'!$D$14="Yes",IF(COUNTBLANK('Capacity summary'!$H201:$BG201)&lt;52,IF('Capacity summary'!AT201&lt;&gt;"",IF(LOWER('Capacity summary'!AT201)="x",$BI82*AT82,VALUE('Capacity summary'!AT201)),0),AT82*$BI82),AT82*$BI82),0)</f>
        <v>0</v>
      </c>
      <c r="CX82" s="313">
        <f>IF($BI82&lt;&gt;"",IF('Capacity summary'!$D$14="Yes",IF(COUNTBLANK('Capacity summary'!$H201:$BG201)&lt;52,IF('Capacity summary'!AU201&lt;&gt;"",IF(LOWER('Capacity summary'!AU201)="x",$BI82*AU82,VALUE('Capacity summary'!AU201)),0),AU82*$BI82),AU82*$BI82),0)</f>
        <v>0</v>
      </c>
      <c r="CY82" s="313">
        <f>IF($BI82&lt;&gt;"",IF('Capacity summary'!$D$14="Yes",IF(COUNTBLANK('Capacity summary'!$H201:$BG201)&lt;52,IF('Capacity summary'!AV201&lt;&gt;"",IF(LOWER('Capacity summary'!AV201)="x",$BI82*AV82,VALUE('Capacity summary'!AV201)),0),AV82*$BI82),AV82*$BI82),0)</f>
        <v>0</v>
      </c>
      <c r="CZ82" s="313">
        <f>IF($BI82&lt;&gt;"",IF('Capacity summary'!$D$14="Yes",IF(COUNTBLANK('Capacity summary'!$H201:$BG201)&lt;52,IF('Capacity summary'!AW201&lt;&gt;"",IF(LOWER('Capacity summary'!AW201)="x",$BI82*AW82,VALUE('Capacity summary'!AW201)),0),AW82*$BI82),AW82*$BI82),0)</f>
        <v>0</v>
      </c>
      <c r="DA82" s="313">
        <f>IF($BI82&lt;&gt;"",IF('Capacity summary'!$D$14="Yes",IF(COUNTBLANK('Capacity summary'!$H201:$BG201)&lt;52,IF('Capacity summary'!AX201&lt;&gt;"",IF(LOWER('Capacity summary'!AX201)="x",$BI82*AX82,VALUE('Capacity summary'!AX201)),0),AX82*$BI82),AX82*$BI82),0)</f>
        <v>0</v>
      </c>
      <c r="DB82" s="313">
        <f>IF($BI82&lt;&gt;"",IF('Capacity summary'!$D$14="Yes",IF(COUNTBLANK('Capacity summary'!$H201:$BG201)&lt;52,IF('Capacity summary'!AY201&lt;&gt;"",IF(LOWER('Capacity summary'!AY201)="x",$BI82*AY82,VALUE('Capacity summary'!AY201)),0),AY82*$BI82),AY82*$BI82),0)</f>
        <v>0</v>
      </c>
      <c r="DC82" s="313">
        <f>IF($BI82&lt;&gt;"",IF('Capacity summary'!$D$14="Yes",IF(COUNTBLANK('Capacity summary'!$H201:$BG201)&lt;52,IF('Capacity summary'!AZ201&lt;&gt;"",IF(LOWER('Capacity summary'!AZ201)="x",$BI82*AZ82,VALUE('Capacity summary'!AZ201)),0),AZ82*$BI82),AZ82*$BI82),0)</f>
        <v>0</v>
      </c>
      <c r="DD82" s="313">
        <f>IF($BI82&lt;&gt;"",IF('Capacity summary'!$D$14="Yes",IF(COUNTBLANK('Capacity summary'!$H201:$BG201)&lt;52,IF('Capacity summary'!BA201&lt;&gt;"",IF(LOWER('Capacity summary'!BA201)="x",$BI82*BA82,VALUE('Capacity summary'!BA201)),0),BA82*$BI82),BA82*$BI82),0)</f>
        <v>0</v>
      </c>
      <c r="DE82" s="313">
        <f>IF($BI82&lt;&gt;"",IF('Capacity summary'!$D$14="Yes",IF(COUNTBLANK('Capacity summary'!$H201:$BG201)&lt;52,IF('Capacity summary'!BB201&lt;&gt;"",IF(LOWER('Capacity summary'!BB201)="x",$BI82*BB82,VALUE('Capacity summary'!BB201)),0),BB82*$BI82),BB82*$BI82),0)</f>
        <v>0</v>
      </c>
      <c r="DF82" s="313">
        <f>IF($BI82&lt;&gt;"",IF('Capacity summary'!$D$14="Yes",IF(COUNTBLANK('Capacity summary'!$H201:$BG201)&lt;52,IF('Capacity summary'!BC201&lt;&gt;"",IF(LOWER('Capacity summary'!BC201)="x",$BI82*BC82,VALUE('Capacity summary'!BC201)),0),BC82*$BI82),BC82*$BI82),0)</f>
        <v>0</v>
      </c>
      <c r="DG82" s="313">
        <f>IF($BI82&lt;&gt;"",IF('Capacity summary'!$D$14="Yes",IF(COUNTBLANK('Capacity summary'!$H201:$BG201)&lt;52,IF('Capacity summary'!BD201&lt;&gt;"",IF(LOWER('Capacity summary'!BD201)="x",$BI82*BD82,VALUE('Capacity summary'!BD201)),0),BD82*$BI82),BD82*$BI82),0)</f>
        <v>0</v>
      </c>
      <c r="DH82" s="313">
        <f>IF($BI82&lt;&gt;"",IF('Capacity summary'!$D$14="Yes",IF(COUNTBLANK('Capacity summary'!$H201:$BG201)&lt;52,IF('Capacity summary'!BE201&lt;&gt;"",IF(LOWER('Capacity summary'!BE201)="x",$BI82*BE82,VALUE('Capacity summary'!BE201)),0),BE82*$BI82),BE82*$BI82),0)</f>
        <v>0</v>
      </c>
      <c r="DI82" s="313">
        <f>IF($BI82&lt;&gt;"",IF('Capacity summary'!$D$14="Yes",IF(COUNTBLANK('Capacity summary'!$H201:$BG201)&lt;52,IF('Capacity summary'!BF201&lt;&gt;"",IF(LOWER('Capacity summary'!BF201)="x",$BI82*BF82,VALUE('Capacity summary'!BF201)),0),BF82*$BI82),BF82*$BI82),0)</f>
        <v>0</v>
      </c>
      <c r="DJ82" s="313">
        <f>IF($BI82&lt;&gt;"",IF('Capacity summary'!$D$14="Yes",IF(COUNTBLANK('Capacity summary'!$H201:$BG201)&lt;52,IF('Capacity summary'!BG201&lt;&gt;"",IF(LOWER('Capacity summary'!BG201)="x",$BI82*BG82,VALUE('Capacity summary'!BG201)),0),BG82*$BI82),BG82*$BI82),0)</f>
        <v>0</v>
      </c>
      <c r="DK82" s="137">
        <f t="shared" si="3"/>
        <v>0</v>
      </c>
      <c r="DL82" s="313" t="str">
        <f>Capacity!H94</f>
        <v/>
      </c>
    </row>
    <row r="83" spans="2:116" x14ac:dyDescent="0.25">
      <c r="B83" s="67"/>
      <c r="C83" s="67" t="str">
        <f>ROW(A79)&amp;". "&amp;Capacity!B95</f>
        <v xml:space="preserve">79. </v>
      </c>
      <c r="D83" s="67">
        <f>'Capacity setup'!C90</f>
        <v>0</v>
      </c>
      <c r="E83" s="67">
        <f>'Capacity setup'!D90</f>
        <v>0</v>
      </c>
      <c r="F83" s="67">
        <f>'Capacity setup'!E90</f>
        <v>0</v>
      </c>
      <c r="H83" s="67">
        <f ca="1">IF(AND(SUMIF(Capacity_Resource,$D83,'Critical resources (hide)'!U$6:U$105)+SUMIF(Capacity_Resource,$E83,'Critical resources (hide)'!U$6:U$105)+SUMIF(Capacity_Resource,$F83,'Critical resources (hide)'!U$6:U$105)&gt;0,$E$1=2),0,1)</f>
        <v>1</v>
      </c>
      <c r="I83" s="67">
        <f ca="1">IF(AND(SUMIF(Capacity_Resource,$D83,'Critical resources (hide)'!V$6:V$105)+SUMIF(Capacity_Resource,$E83,'Critical resources (hide)'!V$6:V$105)+SUMIF(Capacity_Resource,$F83,'Critical resources (hide)'!V$6:V$105)&gt;0,$E$1=2),0,1)</f>
        <v>1</v>
      </c>
      <c r="J83" s="67">
        <f ca="1">IF(AND(SUMIF(Capacity_Resource,$D83,'Critical resources (hide)'!W$6:W$105)+SUMIF(Capacity_Resource,$E83,'Critical resources (hide)'!W$6:W$105)+SUMIF(Capacity_Resource,$F83,'Critical resources (hide)'!W$6:W$105)&gt;0,$E$1=2),0,1)</f>
        <v>1</v>
      </c>
      <c r="K83" s="67">
        <f ca="1">IF(AND(SUMIF(Capacity_Resource,$D83,'Critical resources (hide)'!X$6:X$105)+SUMIF(Capacity_Resource,$E83,'Critical resources (hide)'!X$6:X$105)+SUMIF(Capacity_Resource,$F83,'Critical resources (hide)'!X$6:X$105)&gt;0,$E$1=2),0,1)</f>
        <v>1</v>
      </c>
      <c r="L83" s="67">
        <f ca="1">IF(AND(SUMIF(Capacity_Resource,$D83,'Critical resources (hide)'!Y$6:Y$105)+SUMIF(Capacity_Resource,$E83,'Critical resources (hide)'!Y$6:Y$105)+SUMIF(Capacity_Resource,$F83,'Critical resources (hide)'!Y$6:Y$105)&gt;0,$E$1=2),0,1)</f>
        <v>1</v>
      </c>
      <c r="M83" s="67">
        <f ca="1">IF(AND(SUMIF(Capacity_Resource,$D83,'Critical resources (hide)'!Z$6:Z$105)+SUMIF(Capacity_Resource,$E83,'Critical resources (hide)'!Z$6:Z$105)+SUMIF(Capacity_Resource,$F83,'Critical resources (hide)'!Z$6:Z$105)&gt;0,$E$1=2),0,1)</f>
        <v>1</v>
      </c>
      <c r="N83" s="67">
        <f ca="1">IF(AND(SUMIF(Capacity_Resource,$D83,'Critical resources (hide)'!AA$6:AA$105)+SUMIF(Capacity_Resource,$E83,'Critical resources (hide)'!AA$6:AA$105)+SUMIF(Capacity_Resource,$F83,'Critical resources (hide)'!AA$6:AA$105)&gt;0,$E$1=2),0,1)</f>
        <v>1</v>
      </c>
      <c r="O83" s="67">
        <f ca="1">IF(AND(SUMIF(Capacity_Resource,$D83,'Critical resources (hide)'!AB$6:AB$105)+SUMIF(Capacity_Resource,$E83,'Critical resources (hide)'!AB$6:AB$105)+SUMIF(Capacity_Resource,$F83,'Critical resources (hide)'!AB$6:AB$105)&gt;0,$E$1=2),0,1)</f>
        <v>1</v>
      </c>
      <c r="P83" s="67">
        <f ca="1">IF(AND(SUMIF(Capacity_Resource,$D83,'Critical resources (hide)'!AC$6:AC$105)+SUMIF(Capacity_Resource,$E83,'Critical resources (hide)'!AC$6:AC$105)+SUMIF(Capacity_Resource,$F83,'Critical resources (hide)'!AC$6:AC$105)&gt;0,$E$1=2),0,1)</f>
        <v>1</v>
      </c>
      <c r="Q83" s="67">
        <f ca="1">IF(AND(SUMIF(Capacity_Resource,$D83,'Critical resources (hide)'!AD$6:AD$105)+SUMIF(Capacity_Resource,$E83,'Critical resources (hide)'!AD$6:AD$105)+SUMIF(Capacity_Resource,$F83,'Critical resources (hide)'!AD$6:AD$105)&gt;0,$E$1=2),0,1)</f>
        <v>1</v>
      </c>
      <c r="R83" s="67">
        <f ca="1">IF(AND(SUMIF(Capacity_Resource,$D83,'Critical resources (hide)'!AE$6:AE$105)+SUMIF(Capacity_Resource,$E83,'Critical resources (hide)'!AE$6:AE$105)+SUMIF(Capacity_Resource,$F83,'Critical resources (hide)'!AE$6:AE$105)&gt;0,$E$1=2),0,1)</f>
        <v>1</v>
      </c>
      <c r="S83" s="67">
        <f ca="1">IF(AND(SUMIF(Capacity_Resource,$D83,'Critical resources (hide)'!AF$6:AF$105)+SUMIF(Capacity_Resource,$E83,'Critical resources (hide)'!AF$6:AF$105)+SUMIF(Capacity_Resource,$F83,'Critical resources (hide)'!AF$6:AF$105)&gt;0,$E$1=2),0,1)</f>
        <v>1</v>
      </c>
      <c r="T83" s="67">
        <f ca="1">IF(AND(SUMIF(Capacity_Resource,$D83,'Critical resources (hide)'!AG$6:AG$105)+SUMIF(Capacity_Resource,$E83,'Critical resources (hide)'!AG$6:AG$105)+SUMIF(Capacity_Resource,$F83,'Critical resources (hide)'!AG$6:AG$105)&gt;0,$E$1=2),0,1)</f>
        <v>1</v>
      </c>
      <c r="U83" s="67">
        <f ca="1">IF(AND(SUMIF(Capacity_Resource,$D83,'Critical resources (hide)'!AH$6:AH$105)+SUMIF(Capacity_Resource,$E83,'Critical resources (hide)'!AH$6:AH$105)+SUMIF(Capacity_Resource,$F83,'Critical resources (hide)'!AH$6:AH$105)&gt;0,$E$1=2),0,1)</f>
        <v>1</v>
      </c>
      <c r="V83" s="67">
        <f ca="1">IF(AND(SUMIF(Capacity_Resource,$D83,'Critical resources (hide)'!AI$6:AI$105)+SUMIF(Capacity_Resource,$E83,'Critical resources (hide)'!AI$6:AI$105)+SUMIF(Capacity_Resource,$F83,'Critical resources (hide)'!AI$6:AI$105)&gt;0,$E$1=2),0,1)</f>
        <v>1</v>
      </c>
      <c r="W83" s="67">
        <f ca="1">IF(AND(SUMIF(Capacity_Resource,$D83,'Critical resources (hide)'!AJ$6:AJ$105)+SUMIF(Capacity_Resource,$E83,'Critical resources (hide)'!AJ$6:AJ$105)+SUMIF(Capacity_Resource,$F83,'Critical resources (hide)'!AJ$6:AJ$105)&gt;0,$E$1=2),0,1)</f>
        <v>1</v>
      </c>
      <c r="X83" s="67">
        <f ca="1">IF(AND(SUMIF(Capacity_Resource,$D83,'Critical resources (hide)'!AK$6:AK$105)+SUMIF(Capacity_Resource,$E83,'Critical resources (hide)'!AK$6:AK$105)+SUMIF(Capacity_Resource,$F83,'Critical resources (hide)'!AK$6:AK$105)&gt;0,$E$1=2),0,1)</f>
        <v>1</v>
      </c>
      <c r="Y83" s="67">
        <f ca="1">IF(AND(SUMIF(Capacity_Resource,$D83,'Critical resources (hide)'!AL$6:AL$105)+SUMIF(Capacity_Resource,$E83,'Critical resources (hide)'!AL$6:AL$105)+SUMIF(Capacity_Resource,$F83,'Critical resources (hide)'!AL$6:AL$105)&gt;0,$E$1=2),0,1)</f>
        <v>1</v>
      </c>
      <c r="Z83" s="67">
        <f ca="1">IF(AND(SUMIF(Capacity_Resource,$D83,'Critical resources (hide)'!AM$6:AM$105)+SUMIF(Capacity_Resource,$E83,'Critical resources (hide)'!AM$6:AM$105)+SUMIF(Capacity_Resource,$F83,'Critical resources (hide)'!AM$6:AM$105)&gt;0,$E$1=2),0,1)</f>
        <v>1</v>
      </c>
      <c r="AA83" s="67">
        <f ca="1">IF(AND(SUMIF(Capacity_Resource,$D83,'Critical resources (hide)'!AN$6:AN$105)+SUMIF(Capacity_Resource,$E83,'Critical resources (hide)'!AN$6:AN$105)+SUMIF(Capacity_Resource,$F83,'Critical resources (hide)'!AN$6:AN$105)&gt;0,$E$1=2),0,1)</f>
        <v>1</v>
      </c>
      <c r="AB83" s="67">
        <f ca="1">IF(AND(SUMIF(Capacity_Resource,$D83,'Critical resources (hide)'!AO$6:AO$105)+SUMIF(Capacity_Resource,$E83,'Critical resources (hide)'!AO$6:AO$105)+SUMIF(Capacity_Resource,$F83,'Critical resources (hide)'!AO$6:AO$105)&gt;0,$E$1=2),0,1)</f>
        <v>1</v>
      </c>
      <c r="AC83" s="67">
        <f ca="1">IF(AND(SUMIF(Capacity_Resource,$D83,'Critical resources (hide)'!AP$6:AP$105)+SUMIF(Capacity_Resource,$E83,'Critical resources (hide)'!AP$6:AP$105)+SUMIF(Capacity_Resource,$F83,'Critical resources (hide)'!AP$6:AP$105)&gt;0,$E$1=2),0,1)</f>
        <v>1</v>
      </c>
      <c r="AD83" s="67">
        <f ca="1">IF(AND(SUMIF(Capacity_Resource,$D83,'Critical resources (hide)'!AQ$6:AQ$105)+SUMIF(Capacity_Resource,$E83,'Critical resources (hide)'!AQ$6:AQ$105)+SUMIF(Capacity_Resource,$F83,'Critical resources (hide)'!AQ$6:AQ$105)&gt;0,$E$1=2),0,1)</f>
        <v>1</v>
      </c>
      <c r="AE83" s="67">
        <f ca="1">IF(AND(SUMIF(Capacity_Resource,$D83,'Critical resources (hide)'!AR$6:AR$105)+SUMIF(Capacity_Resource,$E83,'Critical resources (hide)'!AR$6:AR$105)+SUMIF(Capacity_Resource,$F83,'Critical resources (hide)'!AR$6:AR$105)&gt;0,$E$1=2),0,1)</f>
        <v>1</v>
      </c>
      <c r="AF83" s="67">
        <f ca="1">IF(AND(SUMIF(Capacity_Resource,$D83,'Critical resources (hide)'!AS$6:AS$105)+SUMIF(Capacity_Resource,$E83,'Critical resources (hide)'!AS$6:AS$105)+SUMIF(Capacity_Resource,$F83,'Critical resources (hide)'!AS$6:AS$105)&gt;0,$E$1=2),0,1)</f>
        <v>1</v>
      </c>
      <c r="AG83" s="67">
        <f ca="1">IF(AND(SUMIF(Capacity_Resource,$D83,'Critical resources (hide)'!AT$6:AT$105)+SUMIF(Capacity_Resource,$E83,'Critical resources (hide)'!AT$6:AT$105)+SUMIF(Capacity_Resource,$F83,'Critical resources (hide)'!AT$6:AT$105)&gt;0,$E$1=2),0,1)</f>
        <v>1</v>
      </c>
      <c r="AH83" s="67">
        <f ca="1">IF(AND(SUMIF(Capacity_Resource,$D83,'Critical resources (hide)'!AU$6:AU$105)+SUMIF(Capacity_Resource,$E83,'Critical resources (hide)'!AU$6:AU$105)+SUMIF(Capacity_Resource,$F83,'Critical resources (hide)'!AU$6:AU$105)&gt;0,$E$1=2),0,1)</f>
        <v>1</v>
      </c>
      <c r="AI83" s="67">
        <f ca="1">IF(AND(SUMIF(Capacity_Resource,$D83,'Critical resources (hide)'!AV$6:AV$105)+SUMIF(Capacity_Resource,$E83,'Critical resources (hide)'!AV$6:AV$105)+SUMIF(Capacity_Resource,$F83,'Critical resources (hide)'!AV$6:AV$105)&gt;0,$E$1=2),0,1)</f>
        <v>1</v>
      </c>
      <c r="AJ83" s="67">
        <f ca="1">IF(AND(SUMIF(Capacity_Resource,$D83,'Critical resources (hide)'!AW$6:AW$105)+SUMIF(Capacity_Resource,$E83,'Critical resources (hide)'!AW$6:AW$105)+SUMIF(Capacity_Resource,$F83,'Critical resources (hide)'!AW$6:AW$105)&gt;0,$E$1=2),0,1)</f>
        <v>1</v>
      </c>
      <c r="AK83" s="67">
        <f ca="1">IF(AND(SUMIF(Capacity_Resource,$D83,'Critical resources (hide)'!AX$6:AX$105)+SUMIF(Capacity_Resource,$E83,'Critical resources (hide)'!AX$6:AX$105)+SUMIF(Capacity_Resource,$F83,'Critical resources (hide)'!AX$6:AX$105)&gt;0,$E$1=2),0,1)</f>
        <v>1</v>
      </c>
      <c r="AL83" s="67">
        <f ca="1">IF(AND(SUMIF(Capacity_Resource,$D83,'Critical resources (hide)'!AY$6:AY$105)+SUMIF(Capacity_Resource,$E83,'Critical resources (hide)'!AY$6:AY$105)+SUMIF(Capacity_Resource,$F83,'Critical resources (hide)'!AY$6:AY$105)&gt;0,$E$1=2),0,1)</f>
        <v>1</v>
      </c>
      <c r="AM83" s="67">
        <f ca="1">IF(AND(SUMIF(Capacity_Resource,$D83,'Critical resources (hide)'!AZ$6:AZ$105)+SUMIF(Capacity_Resource,$E83,'Critical resources (hide)'!AZ$6:AZ$105)+SUMIF(Capacity_Resource,$F83,'Critical resources (hide)'!AZ$6:AZ$105)&gt;0,$E$1=2),0,1)</f>
        <v>1</v>
      </c>
      <c r="AN83" s="67">
        <f ca="1">IF(AND(SUMIF(Capacity_Resource,$D83,'Critical resources (hide)'!BA$6:BA$105)+SUMIF(Capacity_Resource,$E83,'Critical resources (hide)'!BA$6:BA$105)+SUMIF(Capacity_Resource,$F83,'Critical resources (hide)'!BA$6:BA$105)&gt;0,$E$1=2),0,1)</f>
        <v>1</v>
      </c>
      <c r="AO83" s="67">
        <f ca="1">IF(AND(SUMIF(Capacity_Resource,$D83,'Critical resources (hide)'!BB$6:BB$105)+SUMIF(Capacity_Resource,$E83,'Critical resources (hide)'!BB$6:BB$105)+SUMIF(Capacity_Resource,$F83,'Critical resources (hide)'!BB$6:BB$105)&gt;0,$E$1=2),0,1)</f>
        <v>1</v>
      </c>
      <c r="AP83" s="67">
        <f ca="1">IF(AND(SUMIF(Capacity_Resource,$D83,'Critical resources (hide)'!BC$6:BC$105)+SUMIF(Capacity_Resource,$E83,'Critical resources (hide)'!BC$6:BC$105)+SUMIF(Capacity_Resource,$F83,'Critical resources (hide)'!BC$6:BC$105)&gt;0,$E$1=2),0,1)</f>
        <v>1</v>
      </c>
      <c r="AQ83" s="67">
        <f ca="1">IF(AND(SUMIF(Capacity_Resource,$D83,'Critical resources (hide)'!BD$6:BD$105)+SUMIF(Capacity_Resource,$E83,'Critical resources (hide)'!BD$6:BD$105)+SUMIF(Capacity_Resource,$F83,'Critical resources (hide)'!BD$6:BD$105)&gt;0,$E$1=2),0,1)</f>
        <v>1</v>
      </c>
      <c r="AR83" s="67">
        <f ca="1">IF(AND(SUMIF(Capacity_Resource,$D83,'Critical resources (hide)'!BE$6:BE$105)+SUMIF(Capacity_Resource,$E83,'Critical resources (hide)'!BE$6:BE$105)+SUMIF(Capacity_Resource,$F83,'Critical resources (hide)'!BE$6:BE$105)&gt;0,$E$1=2),0,1)</f>
        <v>1</v>
      </c>
      <c r="AS83" s="67">
        <f ca="1">IF(AND(SUMIF(Capacity_Resource,$D83,'Critical resources (hide)'!BF$6:BF$105)+SUMIF(Capacity_Resource,$E83,'Critical resources (hide)'!BF$6:BF$105)+SUMIF(Capacity_Resource,$F83,'Critical resources (hide)'!BF$6:BF$105)&gt;0,$E$1=2),0,1)</f>
        <v>1</v>
      </c>
      <c r="AT83" s="67">
        <f ca="1">IF(AND(SUMIF(Capacity_Resource,$D83,'Critical resources (hide)'!BG$6:BG$105)+SUMIF(Capacity_Resource,$E83,'Critical resources (hide)'!BG$6:BG$105)+SUMIF(Capacity_Resource,$F83,'Critical resources (hide)'!BG$6:BG$105)&gt;0,$E$1=2),0,1)</f>
        <v>1</v>
      </c>
      <c r="AU83" s="67">
        <f ca="1">IF(AND(SUMIF(Capacity_Resource,$D83,'Critical resources (hide)'!BH$6:BH$105)+SUMIF(Capacity_Resource,$E83,'Critical resources (hide)'!BH$6:BH$105)+SUMIF(Capacity_Resource,$F83,'Critical resources (hide)'!BH$6:BH$105)&gt;0,$E$1=2),0,1)</f>
        <v>1</v>
      </c>
      <c r="AV83" s="67">
        <f ca="1">IF(AND(SUMIF(Capacity_Resource,$D83,'Critical resources (hide)'!BI$6:BI$105)+SUMIF(Capacity_Resource,$E83,'Critical resources (hide)'!BI$6:BI$105)+SUMIF(Capacity_Resource,$F83,'Critical resources (hide)'!BI$6:BI$105)&gt;0,$E$1=2),0,1)</f>
        <v>1</v>
      </c>
      <c r="AW83" s="67">
        <f ca="1">IF(AND(SUMIF(Capacity_Resource,$D83,'Critical resources (hide)'!BJ$6:BJ$105)+SUMIF(Capacity_Resource,$E83,'Critical resources (hide)'!BJ$6:BJ$105)+SUMIF(Capacity_Resource,$F83,'Critical resources (hide)'!BJ$6:BJ$105)&gt;0,$E$1=2),0,1)</f>
        <v>1</v>
      </c>
      <c r="AX83" s="67">
        <f ca="1">IF(AND(SUMIF(Capacity_Resource,$D83,'Critical resources (hide)'!BK$6:BK$105)+SUMIF(Capacity_Resource,$E83,'Critical resources (hide)'!BK$6:BK$105)+SUMIF(Capacity_Resource,$F83,'Critical resources (hide)'!BK$6:BK$105)&gt;0,$E$1=2),0,1)</f>
        <v>1</v>
      </c>
      <c r="AY83" s="67">
        <f ca="1">IF(AND(SUMIF(Capacity_Resource,$D83,'Critical resources (hide)'!BL$6:BL$105)+SUMIF(Capacity_Resource,$E83,'Critical resources (hide)'!BL$6:BL$105)+SUMIF(Capacity_Resource,$F83,'Critical resources (hide)'!BL$6:BL$105)&gt;0,$E$1=2),0,1)</f>
        <v>1</v>
      </c>
      <c r="AZ83" s="67">
        <f ca="1">IF(AND(SUMIF(Capacity_Resource,$D83,'Critical resources (hide)'!BM$6:BM$105)+SUMIF(Capacity_Resource,$E83,'Critical resources (hide)'!BM$6:BM$105)+SUMIF(Capacity_Resource,$F83,'Critical resources (hide)'!BM$6:BM$105)&gt;0,$E$1=2),0,1)</f>
        <v>1</v>
      </c>
      <c r="BA83" s="67">
        <f ca="1">IF(AND(SUMIF(Capacity_Resource,$D83,'Critical resources (hide)'!BN$6:BN$105)+SUMIF(Capacity_Resource,$E83,'Critical resources (hide)'!BN$6:BN$105)+SUMIF(Capacity_Resource,$F83,'Critical resources (hide)'!BN$6:BN$105)&gt;0,$E$1=2),0,1)</f>
        <v>1</v>
      </c>
      <c r="BB83" s="67">
        <f ca="1">IF(AND(SUMIF(Capacity_Resource,$D83,'Critical resources (hide)'!BO$6:BO$105)+SUMIF(Capacity_Resource,$E83,'Critical resources (hide)'!BO$6:BO$105)+SUMIF(Capacity_Resource,$F83,'Critical resources (hide)'!BO$6:BO$105)&gt;0,$E$1=2),0,1)</f>
        <v>1</v>
      </c>
      <c r="BC83" s="67">
        <f ca="1">IF(AND(SUMIF(Capacity_Resource,$D83,'Critical resources (hide)'!BP$6:BP$105)+SUMIF(Capacity_Resource,$E83,'Critical resources (hide)'!BP$6:BP$105)+SUMIF(Capacity_Resource,$F83,'Critical resources (hide)'!BP$6:BP$105)&gt;0,$E$1=2),0,1)</f>
        <v>1</v>
      </c>
      <c r="BD83" s="67">
        <f ca="1">IF(AND(SUMIF(Capacity_Resource,$D83,'Critical resources (hide)'!BQ$6:BQ$105)+SUMIF(Capacity_Resource,$E83,'Critical resources (hide)'!BQ$6:BQ$105)+SUMIF(Capacity_Resource,$F83,'Critical resources (hide)'!BQ$6:BQ$105)&gt;0,$E$1=2),0,1)</f>
        <v>1</v>
      </c>
      <c r="BE83" s="67">
        <f ca="1">IF(AND(SUMIF(Capacity_Resource,$D83,'Critical resources (hide)'!BR$6:BR$105)+SUMIF(Capacity_Resource,$E83,'Critical resources (hide)'!BR$6:BR$105)+SUMIF(Capacity_Resource,$F83,'Critical resources (hide)'!BR$6:BR$105)&gt;0,$E$1=2),0,1)</f>
        <v>1</v>
      </c>
      <c r="BF83" s="67">
        <f ca="1">IF(AND(SUMIF(Capacity_Resource,$D83,'Critical resources (hide)'!BS$6:BS$105)+SUMIF(Capacity_Resource,$E83,'Critical resources (hide)'!BS$6:BS$105)+SUMIF(Capacity_Resource,$F83,'Critical resources (hide)'!BS$6:BS$105)&gt;0,$E$1=2),0,1)</f>
        <v>1</v>
      </c>
      <c r="BG83" s="67">
        <f ca="1">IF(AND(SUMIF(Capacity_Resource,$D83,'Critical resources (hide)'!BT$6:BT$105)+SUMIF(Capacity_Resource,$E83,'Critical resources (hide)'!BT$6:BT$105)+SUMIF(Capacity_Resource,$F83,'Critical resources (hide)'!BT$6:BT$105)&gt;0,$E$1=2),0,1)</f>
        <v>1</v>
      </c>
      <c r="BH83" s="67">
        <f>IF(ROW(C79)&lt;=Capacity!$A$16,IF('Capacity summary'!$D$14="No",SUM(H83:BG83),'Capacity summary'!$E202),0)</f>
        <v>0</v>
      </c>
      <c r="BI83" s="5" t="str">
        <f>IF(BH83&gt;0,IF(BH83&lt;Capacity!E95,Capacity!F95,Capacity!H95/'Capacity calculation (hide)'!BH83),"")</f>
        <v/>
      </c>
      <c r="BK83" s="313">
        <f>IF($BI83&lt;&gt;"",IF('Capacity summary'!$D$14="Yes",IF(COUNTBLANK('Capacity summary'!$H202:$BG202)&lt;52,IF('Capacity summary'!H202&lt;&gt;"",IF(LOWER('Capacity summary'!H202)="x",$BI83*H83,VALUE('Capacity summary'!H202)),0),H83*$BI83),H83*$BI83),0)</f>
        <v>0</v>
      </c>
      <c r="BL83" s="313">
        <f>IF($BI83&lt;&gt;"",IF('Capacity summary'!$D$14="Yes",IF(COUNTBLANK('Capacity summary'!$H202:$BG202)&lt;52,IF('Capacity summary'!I202&lt;&gt;"",IF(LOWER('Capacity summary'!I202)="x",$BI83*I83,VALUE('Capacity summary'!I202)),0),I83*$BI83),I83*$BI83),0)</f>
        <v>0</v>
      </c>
      <c r="BM83" s="313">
        <f>IF($BI83&lt;&gt;"",IF('Capacity summary'!$D$14="Yes",IF(COUNTBLANK('Capacity summary'!$H202:$BG202)&lt;52,IF('Capacity summary'!J202&lt;&gt;"",IF(LOWER('Capacity summary'!J202)="x",$BI83*J83,VALUE('Capacity summary'!J202)),0),J83*$BI83),J83*$BI83),0)</f>
        <v>0</v>
      </c>
      <c r="BN83" s="313">
        <f>IF($BI83&lt;&gt;"",IF('Capacity summary'!$D$14="Yes",IF(COUNTBLANK('Capacity summary'!$H202:$BG202)&lt;52,IF('Capacity summary'!K202&lt;&gt;"",IF(LOWER('Capacity summary'!K202)="x",$BI83*K83,VALUE('Capacity summary'!K202)),0),K83*$BI83),K83*$BI83),0)</f>
        <v>0</v>
      </c>
      <c r="BO83" s="313">
        <f>IF($BI83&lt;&gt;"",IF('Capacity summary'!$D$14="Yes",IF(COUNTBLANK('Capacity summary'!$H202:$BG202)&lt;52,IF('Capacity summary'!L202&lt;&gt;"",IF(LOWER('Capacity summary'!L202)="x",$BI83*L83,VALUE('Capacity summary'!L202)),0),L83*$BI83),L83*$BI83),0)</f>
        <v>0</v>
      </c>
      <c r="BP83" s="313">
        <f>IF($BI83&lt;&gt;"",IF('Capacity summary'!$D$14="Yes",IF(COUNTBLANK('Capacity summary'!$H202:$BG202)&lt;52,IF('Capacity summary'!M202&lt;&gt;"",IF(LOWER('Capacity summary'!M202)="x",$BI83*M83,VALUE('Capacity summary'!M202)),0),M83*$BI83),M83*$BI83),0)</f>
        <v>0</v>
      </c>
      <c r="BQ83" s="313">
        <f>IF($BI83&lt;&gt;"",IF('Capacity summary'!$D$14="Yes",IF(COUNTBLANK('Capacity summary'!$H202:$BG202)&lt;52,IF('Capacity summary'!N202&lt;&gt;"",IF(LOWER('Capacity summary'!N202)="x",$BI83*N83,VALUE('Capacity summary'!N202)),0),N83*$BI83),N83*$BI83),0)</f>
        <v>0</v>
      </c>
      <c r="BR83" s="313">
        <f>IF($BI83&lt;&gt;"",IF('Capacity summary'!$D$14="Yes",IF(COUNTBLANK('Capacity summary'!$H202:$BG202)&lt;52,IF('Capacity summary'!O202&lt;&gt;"",IF(LOWER('Capacity summary'!O202)="x",$BI83*O83,VALUE('Capacity summary'!O202)),0),O83*$BI83),O83*$BI83),0)</f>
        <v>0</v>
      </c>
      <c r="BS83" s="313">
        <f>IF($BI83&lt;&gt;"",IF('Capacity summary'!$D$14="Yes",IF(COUNTBLANK('Capacity summary'!$H202:$BG202)&lt;52,IF('Capacity summary'!P202&lt;&gt;"",IF(LOWER('Capacity summary'!P202)="x",$BI83*P83,VALUE('Capacity summary'!P202)),0),P83*$BI83),P83*$BI83),0)</f>
        <v>0</v>
      </c>
      <c r="BT83" s="313">
        <f>IF($BI83&lt;&gt;"",IF('Capacity summary'!$D$14="Yes",IF(COUNTBLANK('Capacity summary'!$H202:$BG202)&lt;52,IF('Capacity summary'!Q202&lt;&gt;"",IF(LOWER('Capacity summary'!Q202)="x",$BI83*Q83,VALUE('Capacity summary'!Q202)),0),Q83*$BI83),Q83*$BI83),0)</f>
        <v>0</v>
      </c>
      <c r="BU83" s="313">
        <f>IF($BI83&lt;&gt;"",IF('Capacity summary'!$D$14="Yes",IF(COUNTBLANK('Capacity summary'!$H202:$BG202)&lt;52,IF('Capacity summary'!R202&lt;&gt;"",IF(LOWER('Capacity summary'!R202)="x",$BI83*R83,VALUE('Capacity summary'!R202)),0),R83*$BI83),R83*$BI83),0)</f>
        <v>0</v>
      </c>
      <c r="BV83" s="313">
        <f>IF($BI83&lt;&gt;"",IF('Capacity summary'!$D$14="Yes",IF(COUNTBLANK('Capacity summary'!$H202:$BG202)&lt;52,IF('Capacity summary'!S202&lt;&gt;"",IF(LOWER('Capacity summary'!S202)="x",$BI83*S83,VALUE('Capacity summary'!S202)),0),S83*$BI83),S83*$BI83),0)</f>
        <v>0</v>
      </c>
      <c r="BW83" s="313">
        <f>IF($BI83&lt;&gt;"",IF('Capacity summary'!$D$14="Yes",IF(COUNTBLANK('Capacity summary'!$H202:$BG202)&lt;52,IF('Capacity summary'!T202&lt;&gt;"",IF(LOWER('Capacity summary'!T202)="x",$BI83*T83,VALUE('Capacity summary'!T202)),0),T83*$BI83),T83*$BI83),0)</f>
        <v>0</v>
      </c>
      <c r="BX83" s="313">
        <f>IF($BI83&lt;&gt;"",IF('Capacity summary'!$D$14="Yes",IF(COUNTBLANK('Capacity summary'!$H202:$BG202)&lt;52,IF('Capacity summary'!U202&lt;&gt;"",IF(LOWER('Capacity summary'!U202)="x",$BI83*U83,VALUE('Capacity summary'!U202)),0),U83*$BI83),U83*$BI83),0)</f>
        <v>0</v>
      </c>
      <c r="BY83" s="313">
        <f>IF($BI83&lt;&gt;"",IF('Capacity summary'!$D$14="Yes",IF(COUNTBLANK('Capacity summary'!$H202:$BG202)&lt;52,IF('Capacity summary'!V202&lt;&gt;"",IF(LOWER('Capacity summary'!V202)="x",$BI83*V83,VALUE('Capacity summary'!V202)),0),V83*$BI83),V83*$BI83),0)</f>
        <v>0</v>
      </c>
      <c r="BZ83" s="313">
        <f>IF($BI83&lt;&gt;"",IF('Capacity summary'!$D$14="Yes",IF(COUNTBLANK('Capacity summary'!$H202:$BG202)&lt;52,IF('Capacity summary'!W202&lt;&gt;"",IF(LOWER('Capacity summary'!W202)="x",$BI83*W83,VALUE('Capacity summary'!W202)),0),W83*$BI83),W83*$BI83),0)</f>
        <v>0</v>
      </c>
      <c r="CA83" s="313">
        <f>IF($BI83&lt;&gt;"",IF('Capacity summary'!$D$14="Yes",IF(COUNTBLANK('Capacity summary'!$H202:$BG202)&lt;52,IF('Capacity summary'!X202&lt;&gt;"",IF(LOWER('Capacity summary'!X202)="x",$BI83*X83,VALUE('Capacity summary'!X202)),0),X83*$BI83),X83*$BI83),0)</f>
        <v>0</v>
      </c>
      <c r="CB83" s="313">
        <f>IF($BI83&lt;&gt;"",IF('Capacity summary'!$D$14="Yes",IF(COUNTBLANK('Capacity summary'!$H202:$BG202)&lt;52,IF('Capacity summary'!Y202&lt;&gt;"",IF(LOWER('Capacity summary'!Y202)="x",$BI83*Y83,VALUE('Capacity summary'!Y202)),0),Y83*$BI83),Y83*$BI83),0)</f>
        <v>0</v>
      </c>
      <c r="CC83" s="313">
        <f>IF($BI83&lt;&gt;"",IF('Capacity summary'!$D$14="Yes",IF(COUNTBLANK('Capacity summary'!$H202:$BG202)&lt;52,IF('Capacity summary'!Z202&lt;&gt;"",IF(LOWER('Capacity summary'!Z202)="x",$BI83*Z83,VALUE('Capacity summary'!Z202)),0),Z83*$BI83),Z83*$BI83),0)</f>
        <v>0</v>
      </c>
      <c r="CD83" s="313">
        <f>IF($BI83&lt;&gt;"",IF('Capacity summary'!$D$14="Yes",IF(COUNTBLANK('Capacity summary'!$H202:$BG202)&lt;52,IF('Capacity summary'!AA202&lt;&gt;"",IF(LOWER('Capacity summary'!AA202)="x",$BI83*AA83,VALUE('Capacity summary'!AA202)),0),AA83*$BI83),AA83*$BI83),0)</f>
        <v>0</v>
      </c>
      <c r="CE83" s="313">
        <f>IF($BI83&lt;&gt;"",IF('Capacity summary'!$D$14="Yes",IF(COUNTBLANK('Capacity summary'!$H202:$BG202)&lt;52,IF('Capacity summary'!AB202&lt;&gt;"",IF(LOWER('Capacity summary'!AB202)="x",$BI83*AB83,VALUE('Capacity summary'!AB202)),0),AB83*$BI83),AB83*$BI83),0)</f>
        <v>0</v>
      </c>
      <c r="CF83" s="313">
        <f>IF($BI83&lt;&gt;"",IF('Capacity summary'!$D$14="Yes",IF(COUNTBLANK('Capacity summary'!$H202:$BG202)&lt;52,IF('Capacity summary'!AC202&lt;&gt;"",IF(LOWER('Capacity summary'!AC202)="x",$BI83*AC83,VALUE('Capacity summary'!AC202)),0),AC83*$BI83),AC83*$BI83),0)</f>
        <v>0</v>
      </c>
      <c r="CG83" s="313">
        <f>IF($BI83&lt;&gt;"",IF('Capacity summary'!$D$14="Yes",IF(COUNTBLANK('Capacity summary'!$H202:$BG202)&lt;52,IF('Capacity summary'!AD202&lt;&gt;"",IF(LOWER('Capacity summary'!AD202)="x",$BI83*AD83,VALUE('Capacity summary'!AD202)),0),AD83*$BI83),AD83*$BI83),0)</f>
        <v>0</v>
      </c>
      <c r="CH83" s="313">
        <f>IF($BI83&lt;&gt;"",IF('Capacity summary'!$D$14="Yes",IF(COUNTBLANK('Capacity summary'!$H202:$BG202)&lt;52,IF('Capacity summary'!AE202&lt;&gt;"",IF(LOWER('Capacity summary'!AE202)="x",$BI83*AE83,VALUE('Capacity summary'!AE202)),0),AE83*$BI83),AE83*$BI83),0)</f>
        <v>0</v>
      </c>
      <c r="CI83" s="313">
        <f>IF($BI83&lt;&gt;"",IF('Capacity summary'!$D$14="Yes",IF(COUNTBLANK('Capacity summary'!$H202:$BG202)&lt;52,IF('Capacity summary'!AF202&lt;&gt;"",IF(LOWER('Capacity summary'!AF202)="x",$BI83*AF83,VALUE('Capacity summary'!AF202)),0),AF83*$BI83),AF83*$BI83),0)</f>
        <v>0</v>
      </c>
      <c r="CJ83" s="313">
        <f>IF($BI83&lt;&gt;"",IF('Capacity summary'!$D$14="Yes",IF(COUNTBLANK('Capacity summary'!$H202:$BG202)&lt;52,IF('Capacity summary'!AG202&lt;&gt;"",IF(LOWER('Capacity summary'!AG202)="x",$BI83*AG83,VALUE('Capacity summary'!AG202)),0),AG83*$BI83),AG83*$BI83),0)</f>
        <v>0</v>
      </c>
      <c r="CK83" s="313">
        <f>IF($BI83&lt;&gt;"",IF('Capacity summary'!$D$14="Yes",IF(COUNTBLANK('Capacity summary'!$H202:$BG202)&lt;52,IF('Capacity summary'!AH202&lt;&gt;"",IF(LOWER('Capacity summary'!AH202)="x",$BI83*AH83,VALUE('Capacity summary'!AH202)),0),AH83*$BI83),AH83*$BI83),0)</f>
        <v>0</v>
      </c>
      <c r="CL83" s="313">
        <f>IF($BI83&lt;&gt;"",IF('Capacity summary'!$D$14="Yes",IF(COUNTBLANK('Capacity summary'!$H202:$BG202)&lt;52,IF('Capacity summary'!AI202&lt;&gt;"",IF(LOWER('Capacity summary'!AI202)="x",$BI83*AI83,VALUE('Capacity summary'!AI202)),0),AI83*$BI83),AI83*$BI83),0)</f>
        <v>0</v>
      </c>
      <c r="CM83" s="313">
        <f>IF($BI83&lt;&gt;"",IF('Capacity summary'!$D$14="Yes",IF(COUNTBLANK('Capacity summary'!$H202:$BG202)&lt;52,IF('Capacity summary'!AJ202&lt;&gt;"",IF(LOWER('Capacity summary'!AJ202)="x",$BI83*AJ83,VALUE('Capacity summary'!AJ202)),0),AJ83*$BI83),AJ83*$BI83),0)</f>
        <v>0</v>
      </c>
      <c r="CN83" s="313">
        <f>IF($BI83&lt;&gt;"",IF('Capacity summary'!$D$14="Yes",IF(COUNTBLANK('Capacity summary'!$H202:$BG202)&lt;52,IF('Capacity summary'!AK202&lt;&gt;"",IF(LOWER('Capacity summary'!AK202)="x",$BI83*AK83,VALUE('Capacity summary'!AK202)),0),AK83*$BI83),AK83*$BI83),0)</f>
        <v>0</v>
      </c>
      <c r="CO83" s="313">
        <f>IF($BI83&lt;&gt;"",IF('Capacity summary'!$D$14="Yes",IF(COUNTBLANK('Capacity summary'!$H202:$BG202)&lt;52,IF('Capacity summary'!AL202&lt;&gt;"",IF(LOWER('Capacity summary'!AL202)="x",$BI83*AL83,VALUE('Capacity summary'!AL202)),0),AL83*$BI83),AL83*$BI83),0)</f>
        <v>0</v>
      </c>
      <c r="CP83" s="313">
        <f>IF($BI83&lt;&gt;"",IF('Capacity summary'!$D$14="Yes",IF(COUNTBLANK('Capacity summary'!$H202:$BG202)&lt;52,IF('Capacity summary'!AM202&lt;&gt;"",IF(LOWER('Capacity summary'!AM202)="x",$BI83*AM83,VALUE('Capacity summary'!AM202)),0),AM83*$BI83),AM83*$BI83),0)</f>
        <v>0</v>
      </c>
      <c r="CQ83" s="313">
        <f>IF($BI83&lt;&gt;"",IF('Capacity summary'!$D$14="Yes",IF(COUNTBLANK('Capacity summary'!$H202:$BG202)&lt;52,IF('Capacity summary'!AN202&lt;&gt;"",IF(LOWER('Capacity summary'!AN202)="x",$BI83*AN83,VALUE('Capacity summary'!AN202)),0),AN83*$BI83),AN83*$BI83),0)</f>
        <v>0</v>
      </c>
      <c r="CR83" s="313">
        <f>IF($BI83&lt;&gt;"",IF('Capacity summary'!$D$14="Yes",IF(COUNTBLANK('Capacity summary'!$H202:$BG202)&lt;52,IF('Capacity summary'!AO202&lt;&gt;"",IF(LOWER('Capacity summary'!AO202)="x",$BI83*AO83,VALUE('Capacity summary'!AO202)),0),AO83*$BI83),AO83*$BI83),0)</f>
        <v>0</v>
      </c>
      <c r="CS83" s="313">
        <f>IF($BI83&lt;&gt;"",IF('Capacity summary'!$D$14="Yes",IF(COUNTBLANK('Capacity summary'!$H202:$BG202)&lt;52,IF('Capacity summary'!AP202&lt;&gt;"",IF(LOWER('Capacity summary'!AP202)="x",$BI83*AP83,VALUE('Capacity summary'!AP202)),0),AP83*$BI83),AP83*$BI83),0)</f>
        <v>0</v>
      </c>
      <c r="CT83" s="313">
        <f>IF($BI83&lt;&gt;"",IF('Capacity summary'!$D$14="Yes",IF(COUNTBLANK('Capacity summary'!$H202:$BG202)&lt;52,IF('Capacity summary'!AQ202&lt;&gt;"",IF(LOWER('Capacity summary'!AQ202)="x",$BI83*AQ83,VALUE('Capacity summary'!AQ202)),0),AQ83*$BI83),AQ83*$BI83),0)</f>
        <v>0</v>
      </c>
      <c r="CU83" s="313">
        <f>IF($BI83&lt;&gt;"",IF('Capacity summary'!$D$14="Yes",IF(COUNTBLANK('Capacity summary'!$H202:$BG202)&lt;52,IF('Capacity summary'!AR202&lt;&gt;"",IF(LOWER('Capacity summary'!AR202)="x",$BI83*AR83,VALUE('Capacity summary'!AR202)),0),AR83*$BI83),AR83*$BI83),0)</f>
        <v>0</v>
      </c>
      <c r="CV83" s="313">
        <f>IF($BI83&lt;&gt;"",IF('Capacity summary'!$D$14="Yes",IF(COUNTBLANK('Capacity summary'!$H202:$BG202)&lt;52,IF('Capacity summary'!AS202&lt;&gt;"",IF(LOWER('Capacity summary'!AS202)="x",$BI83*AS83,VALUE('Capacity summary'!AS202)),0),AS83*$BI83),AS83*$BI83),0)</f>
        <v>0</v>
      </c>
      <c r="CW83" s="313">
        <f>IF($BI83&lt;&gt;"",IF('Capacity summary'!$D$14="Yes",IF(COUNTBLANK('Capacity summary'!$H202:$BG202)&lt;52,IF('Capacity summary'!AT202&lt;&gt;"",IF(LOWER('Capacity summary'!AT202)="x",$BI83*AT83,VALUE('Capacity summary'!AT202)),0),AT83*$BI83),AT83*$BI83),0)</f>
        <v>0</v>
      </c>
      <c r="CX83" s="313">
        <f>IF($BI83&lt;&gt;"",IF('Capacity summary'!$D$14="Yes",IF(COUNTBLANK('Capacity summary'!$H202:$BG202)&lt;52,IF('Capacity summary'!AU202&lt;&gt;"",IF(LOWER('Capacity summary'!AU202)="x",$BI83*AU83,VALUE('Capacity summary'!AU202)),0),AU83*$BI83),AU83*$BI83),0)</f>
        <v>0</v>
      </c>
      <c r="CY83" s="313">
        <f>IF($BI83&lt;&gt;"",IF('Capacity summary'!$D$14="Yes",IF(COUNTBLANK('Capacity summary'!$H202:$BG202)&lt;52,IF('Capacity summary'!AV202&lt;&gt;"",IF(LOWER('Capacity summary'!AV202)="x",$BI83*AV83,VALUE('Capacity summary'!AV202)),0),AV83*$BI83),AV83*$BI83),0)</f>
        <v>0</v>
      </c>
      <c r="CZ83" s="313">
        <f>IF($BI83&lt;&gt;"",IF('Capacity summary'!$D$14="Yes",IF(COUNTBLANK('Capacity summary'!$H202:$BG202)&lt;52,IF('Capacity summary'!AW202&lt;&gt;"",IF(LOWER('Capacity summary'!AW202)="x",$BI83*AW83,VALUE('Capacity summary'!AW202)),0),AW83*$BI83),AW83*$BI83),0)</f>
        <v>0</v>
      </c>
      <c r="DA83" s="313">
        <f>IF($BI83&lt;&gt;"",IF('Capacity summary'!$D$14="Yes",IF(COUNTBLANK('Capacity summary'!$H202:$BG202)&lt;52,IF('Capacity summary'!AX202&lt;&gt;"",IF(LOWER('Capacity summary'!AX202)="x",$BI83*AX83,VALUE('Capacity summary'!AX202)),0),AX83*$BI83),AX83*$BI83),0)</f>
        <v>0</v>
      </c>
      <c r="DB83" s="313">
        <f>IF($BI83&lt;&gt;"",IF('Capacity summary'!$D$14="Yes",IF(COUNTBLANK('Capacity summary'!$H202:$BG202)&lt;52,IF('Capacity summary'!AY202&lt;&gt;"",IF(LOWER('Capacity summary'!AY202)="x",$BI83*AY83,VALUE('Capacity summary'!AY202)),0),AY83*$BI83),AY83*$BI83),0)</f>
        <v>0</v>
      </c>
      <c r="DC83" s="313">
        <f>IF($BI83&lt;&gt;"",IF('Capacity summary'!$D$14="Yes",IF(COUNTBLANK('Capacity summary'!$H202:$BG202)&lt;52,IF('Capacity summary'!AZ202&lt;&gt;"",IF(LOWER('Capacity summary'!AZ202)="x",$BI83*AZ83,VALUE('Capacity summary'!AZ202)),0),AZ83*$BI83),AZ83*$BI83),0)</f>
        <v>0</v>
      </c>
      <c r="DD83" s="313">
        <f>IF($BI83&lt;&gt;"",IF('Capacity summary'!$D$14="Yes",IF(COUNTBLANK('Capacity summary'!$H202:$BG202)&lt;52,IF('Capacity summary'!BA202&lt;&gt;"",IF(LOWER('Capacity summary'!BA202)="x",$BI83*BA83,VALUE('Capacity summary'!BA202)),0),BA83*$BI83),BA83*$BI83),0)</f>
        <v>0</v>
      </c>
      <c r="DE83" s="313">
        <f>IF($BI83&lt;&gt;"",IF('Capacity summary'!$D$14="Yes",IF(COUNTBLANK('Capacity summary'!$H202:$BG202)&lt;52,IF('Capacity summary'!BB202&lt;&gt;"",IF(LOWER('Capacity summary'!BB202)="x",$BI83*BB83,VALUE('Capacity summary'!BB202)),0),BB83*$BI83),BB83*$BI83),0)</f>
        <v>0</v>
      </c>
      <c r="DF83" s="313">
        <f>IF($BI83&lt;&gt;"",IF('Capacity summary'!$D$14="Yes",IF(COUNTBLANK('Capacity summary'!$H202:$BG202)&lt;52,IF('Capacity summary'!BC202&lt;&gt;"",IF(LOWER('Capacity summary'!BC202)="x",$BI83*BC83,VALUE('Capacity summary'!BC202)),0),BC83*$BI83),BC83*$BI83),0)</f>
        <v>0</v>
      </c>
      <c r="DG83" s="313">
        <f>IF($BI83&lt;&gt;"",IF('Capacity summary'!$D$14="Yes",IF(COUNTBLANK('Capacity summary'!$H202:$BG202)&lt;52,IF('Capacity summary'!BD202&lt;&gt;"",IF(LOWER('Capacity summary'!BD202)="x",$BI83*BD83,VALUE('Capacity summary'!BD202)),0),BD83*$BI83),BD83*$BI83),0)</f>
        <v>0</v>
      </c>
      <c r="DH83" s="313">
        <f>IF($BI83&lt;&gt;"",IF('Capacity summary'!$D$14="Yes",IF(COUNTBLANK('Capacity summary'!$H202:$BG202)&lt;52,IF('Capacity summary'!BE202&lt;&gt;"",IF(LOWER('Capacity summary'!BE202)="x",$BI83*BE83,VALUE('Capacity summary'!BE202)),0),BE83*$BI83),BE83*$BI83),0)</f>
        <v>0</v>
      </c>
      <c r="DI83" s="313">
        <f>IF($BI83&lt;&gt;"",IF('Capacity summary'!$D$14="Yes",IF(COUNTBLANK('Capacity summary'!$H202:$BG202)&lt;52,IF('Capacity summary'!BF202&lt;&gt;"",IF(LOWER('Capacity summary'!BF202)="x",$BI83*BF83,VALUE('Capacity summary'!BF202)),0),BF83*$BI83),BF83*$BI83),0)</f>
        <v>0</v>
      </c>
      <c r="DJ83" s="313">
        <f>IF($BI83&lt;&gt;"",IF('Capacity summary'!$D$14="Yes",IF(COUNTBLANK('Capacity summary'!$H202:$BG202)&lt;52,IF('Capacity summary'!BG202&lt;&gt;"",IF(LOWER('Capacity summary'!BG202)="x",$BI83*BG83,VALUE('Capacity summary'!BG202)),0),BG83*$BI83),BG83*$BI83),0)</f>
        <v>0</v>
      </c>
      <c r="DK83" s="137">
        <f t="shared" si="3"/>
        <v>0</v>
      </c>
      <c r="DL83" s="313" t="str">
        <f>Capacity!H95</f>
        <v/>
      </c>
    </row>
    <row r="84" spans="2:116" x14ac:dyDescent="0.25">
      <c r="B84" s="67"/>
      <c r="C84" s="67" t="str">
        <f>ROW(A80)&amp;". "&amp;Capacity!B96</f>
        <v xml:space="preserve">80. </v>
      </c>
      <c r="D84" s="67">
        <f>'Capacity setup'!C91</f>
        <v>0</v>
      </c>
      <c r="E84" s="67">
        <f>'Capacity setup'!D91</f>
        <v>0</v>
      </c>
      <c r="F84" s="67">
        <f>'Capacity setup'!E91</f>
        <v>0</v>
      </c>
      <c r="H84" s="67">
        <f ca="1">IF(AND(SUMIF(Capacity_Resource,$D84,'Critical resources (hide)'!U$6:U$105)+SUMIF(Capacity_Resource,$E84,'Critical resources (hide)'!U$6:U$105)+SUMIF(Capacity_Resource,$F84,'Critical resources (hide)'!U$6:U$105)&gt;0,$E$1=2),0,1)</f>
        <v>1</v>
      </c>
      <c r="I84" s="67">
        <f ca="1">IF(AND(SUMIF(Capacity_Resource,$D84,'Critical resources (hide)'!V$6:V$105)+SUMIF(Capacity_Resource,$E84,'Critical resources (hide)'!V$6:V$105)+SUMIF(Capacity_Resource,$F84,'Critical resources (hide)'!V$6:V$105)&gt;0,$E$1=2),0,1)</f>
        <v>1</v>
      </c>
      <c r="J84" s="67">
        <f ca="1">IF(AND(SUMIF(Capacity_Resource,$D84,'Critical resources (hide)'!W$6:W$105)+SUMIF(Capacity_Resource,$E84,'Critical resources (hide)'!W$6:W$105)+SUMIF(Capacity_Resource,$F84,'Critical resources (hide)'!W$6:W$105)&gt;0,$E$1=2),0,1)</f>
        <v>1</v>
      </c>
      <c r="K84" s="67">
        <f ca="1">IF(AND(SUMIF(Capacity_Resource,$D84,'Critical resources (hide)'!X$6:X$105)+SUMIF(Capacity_Resource,$E84,'Critical resources (hide)'!X$6:X$105)+SUMIF(Capacity_Resource,$F84,'Critical resources (hide)'!X$6:X$105)&gt;0,$E$1=2),0,1)</f>
        <v>1</v>
      </c>
      <c r="L84" s="67">
        <f ca="1">IF(AND(SUMIF(Capacity_Resource,$D84,'Critical resources (hide)'!Y$6:Y$105)+SUMIF(Capacity_Resource,$E84,'Critical resources (hide)'!Y$6:Y$105)+SUMIF(Capacity_Resource,$F84,'Critical resources (hide)'!Y$6:Y$105)&gt;0,$E$1=2),0,1)</f>
        <v>1</v>
      </c>
      <c r="M84" s="67">
        <f ca="1">IF(AND(SUMIF(Capacity_Resource,$D84,'Critical resources (hide)'!Z$6:Z$105)+SUMIF(Capacity_Resource,$E84,'Critical resources (hide)'!Z$6:Z$105)+SUMIF(Capacity_Resource,$F84,'Critical resources (hide)'!Z$6:Z$105)&gt;0,$E$1=2),0,1)</f>
        <v>1</v>
      </c>
      <c r="N84" s="67">
        <f ca="1">IF(AND(SUMIF(Capacity_Resource,$D84,'Critical resources (hide)'!AA$6:AA$105)+SUMIF(Capacity_Resource,$E84,'Critical resources (hide)'!AA$6:AA$105)+SUMIF(Capacity_Resource,$F84,'Critical resources (hide)'!AA$6:AA$105)&gt;0,$E$1=2),0,1)</f>
        <v>1</v>
      </c>
      <c r="O84" s="67">
        <f ca="1">IF(AND(SUMIF(Capacity_Resource,$D84,'Critical resources (hide)'!AB$6:AB$105)+SUMIF(Capacity_Resource,$E84,'Critical resources (hide)'!AB$6:AB$105)+SUMIF(Capacity_Resource,$F84,'Critical resources (hide)'!AB$6:AB$105)&gt;0,$E$1=2),0,1)</f>
        <v>1</v>
      </c>
      <c r="P84" s="67">
        <f ca="1">IF(AND(SUMIF(Capacity_Resource,$D84,'Critical resources (hide)'!AC$6:AC$105)+SUMIF(Capacity_Resource,$E84,'Critical resources (hide)'!AC$6:AC$105)+SUMIF(Capacity_Resource,$F84,'Critical resources (hide)'!AC$6:AC$105)&gt;0,$E$1=2),0,1)</f>
        <v>1</v>
      </c>
      <c r="Q84" s="67">
        <f ca="1">IF(AND(SUMIF(Capacity_Resource,$D84,'Critical resources (hide)'!AD$6:AD$105)+SUMIF(Capacity_Resource,$E84,'Critical resources (hide)'!AD$6:AD$105)+SUMIF(Capacity_Resource,$F84,'Critical resources (hide)'!AD$6:AD$105)&gt;0,$E$1=2),0,1)</f>
        <v>1</v>
      </c>
      <c r="R84" s="67">
        <f ca="1">IF(AND(SUMIF(Capacity_Resource,$D84,'Critical resources (hide)'!AE$6:AE$105)+SUMIF(Capacity_Resource,$E84,'Critical resources (hide)'!AE$6:AE$105)+SUMIF(Capacity_Resource,$F84,'Critical resources (hide)'!AE$6:AE$105)&gt;0,$E$1=2),0,1)</f>
        <v>1</v>
      </c>
      <c r="S84" s="67">
        <f ca="1">IF(AND(SUMIF(Capacity_Resource,$D84,'Critical resources (hide)'!AF$6:AF$105)+SUMIF(Capacity_Resource,$E84,'Critical resources (hide)'!AF$6:AF$105)+SUMIF(Capacity_Resource,$F84,'Critical resources (hide)'!AF$6:AF$105)&gt;0,$E$1=2),0,1)</f>
        <v>1</v>
      </c>
      <c r="T84" s="67">
        <f ca="1">IF(AND(SUMIF(Capacity_Resource,$D84,'Critical resources (hide)'!AG$6:AG$105)+SUMIF(Capacity_Resource,$E84,'Critical resources (hide)'!AG$6:AG$105)+SUMIF(Capacity_Resource,$F84,'Critical resources (hide)'!AG$6:AG$105)&gt;0,$E$1=2),0,1)</f>
        <v>1</v>
      </c>
      <c r="U84" s="67">
        <f ca="1">IF(AND(SUMIF(Capacity_Resource,$D84,'Critical resources (hide)'!AH$6:AH$105)+SUMIF(Capacity_Resource,$E84,'Critical resources (hide)'!AH$6:AH$105)+SUMIF(Capacity_Resource,$F84,'Critical resources (hide)'!AH$6:AH$105)&gt;0,$E$1=2),0,1)</f>
        <v>1</v>
      </c>
      <c r="V84" s="67">
        <f ca="1">IF(AND(SUMIF(Capacity_Resource,$D84,'Critical resources (hide)'!AI$6:AI$105)+SUMIF(Capacity_Resource,$E84,'Critical resources (hide)'!AI$6:AI$105)+SUMIF(Capacity_Resource,$F84,'Critical resources (hide)'!AI$6:AI$105)&gt;0,$E$1=2),0,1)</f>
        <v>1</v>
      </c>
      <c r="W84" s="67">
        <f ca="1">IF(AND(SUMIF(Capacity_Resource,$D84,'Critical resources (hide)'!AJ$6:AJ$105)+SUMIF(Capacity_Resource,$E84,'Critical resources (hide)'!AJ$6:AJ$105)+SUMIF(Capacity_Resource,$F84,'Critical resources (hide)'!AJ$6:AJ$105)&gt;0,$E$1=2),0,1)</f>
        <v>1</v>
      </c>
      <c r="X84" s="67">
        <f ca="1">IF(AND(SUMIF(Capacity_Resource,$D84,'Critical resources (hide)'!AK$6:AK$105)+SUMIF(Capacity_Resource,$E84,'Critical resources (hide)'!AK$6:AK$105)+SUMIF(Capacity_Resource,$F84,'Critical resources (hide)'!AK$6:AK$105)&gt;0,$E$1=2),0,1)</f>
        <v>1</v>
      </c>
      <c r="Y84" s="67">
        <f ca="1">IF(AND(SUMIF(Capacity_Resource,$D84,'Critical resources (hide)'!AL$6:AL$105)+SUMIF(Capacity_Resource,$E84,'Critical resources (hide)'!AL$6:AL$105)+SUMIF(Capacity_Resource,$F84,'Critical resources (hide)'!AL$6:AL$105)&gt;0,$E$1=2),0,1)</f>
        <v>1</v>
      </c>
      <c r="Z84" s="67">
        <f ca="1">IF(AND(SUMIF(Capacity_Resource,$D84,'Critical resources (hide)'!AM$6:AM$105)+SUMIF(Capacity_Resource,$E84,'Critical resources (hide)'!AM$6:AM$105)+SUMIF(Capacity_Resource,$F84,'Critical resources (hide)'!AM$6:AM$105)&gt;0,$E$1=2),0,1)</f>
        <v>1</v>
      </c>
      <c r="AA84" s="67">
        <f ca="1">IF(AND(SUMIF(Capacity_Resource,$D84,'Critical resources (hide)'!AN$6:AN$105)+SUMIF(Capacity_Resource,$E84,'Critical resources (hide)'!AN$6:AN$105)+SUMIF(Capacity_Resource,$F84,'Critical resources (hide)'!AN$6:AN$105)&gt;0,$E$1=2),0,1)</f>
        <v>1</v>
      </c>
      <c r="AB84" s="67">
        <f ca="1">IF(AND(SUMIF(Capacity_Resource,$D84,'Critical resources (hide)'!AO$6:AO$105)+SUMIF(Capacity_Resource,$E84,'Critical resources (hide)'!AO$6:AO$105)+SUMIF(Capacity_Resource,$F84,'Critical resources (hide)'!AO$6:AO$105)&gt;0,$E$1=2),0,1)</f>
        <v>1</v>
      </c>
      <c r="AC84" s="67">
        <f ca="1">IF(AND(SUMIF(Capacity_Resource,$D84,'Critical resources (hide)'!AP$6:AP$105)+SUMIF(Capacity_Resource,$E84,'Critical resources (hide)'!AP$6:AP$105)+SUMIF(Capacity_Resource,$F84,'Critical resources (hide)'!AP$6:AP$105)&gt;0,$E$1=2),0,1)</f>
        <v>1</v>
      </c>
      <c r="AD84" s="67">
        <f ca="1">IF(AND(SUMIF(Capacity_Resource,$D84,'Critical resources (hide)'!AQ$6:AQ$105)+SUMIF(Capacity_Resource,$E84,'Critical resources (hide)'!AQ$6:AQ$105)+SUMIF(Capacity_Resource,$F84,'Critical resources (hide)'!AQ$6:AQ$105)&gt;0,$E$1=2),0,1)</f>
        <v>1</v>
      </c>
      <c r="AE84" s="67">
        <f ca="1">IF(AND(SUMIF(Capacity_Resource,$D84,'Critical resources (hide)'!AR$6:AR$105)+SUMIF(Capacity_Resource,$E84,'Critical resources (hide)'!AR$6:AR$105)+SUMIF(Capacity_Resource,$F84,'Critical resources (hide)'!AR$6:AR$105)&gt;0,$E$1=2),0,1)</f>
        <v>1</v>
      </c>
      <c r="AF84" s="67">
        <f ca="1">IF(AND(SUMIF(Capacity_Resource,$D84,'Critical resources (hide)'!AS$6:AS$105)+SUMIF(Capacity_Resource,$E84,'Critical resources (hide)'!AS$6:AS$105)+SUMIF(Capacity_Resource,$F84,'Critical resources (hide)'!AS$6:AS$105)&gt;0,$E$1=2),0,1)</f>
        <v>1</v>
      </c>
      <c r="AG84" s="67">
        <f ca="1">IF(AND(SUMIF(Capacity_Resource,$D84,'Critical resources (hide)'!AT$6:AT$105)+SUMIF(Capacity_Resource,$E84,'Critical resources (hide)'!AT$6:AT$105)+SUMIF(Capacity_Resource,$F84,'Critical resources (hide)'!AT$6:AT$105)&gt;0,$E$1=2),0,1)</f>
        <v>1</v>
      </c>
      <c r="AH84" s="67">
        <f ca="1">IF(AND(SUMIF(Capacity_Resource,$D84,'Critical resources (hide)'!AU$6:AU$105)+SUMIF(Capacity_Resource,$E84,'Critical resources (hide)'!AU$6:AU$105)+SUMIF(Capacity_Resource,$F84,'Critical resources (hide)'!AU$6:AU$105)&gt;0,$E$1=2),0,1)</f>
        <v>1</v>
      </c>
      <c r="AI84" s="67">
        <f ca="1">IF(AND(SUMIF(Capacity_Resource,$D84,'Critical resources (hide)'!AV$6:AV$105)+SUMIF(Capacity_Resource,$E84,'Critical resources (hide)'!AV$6:AV$105)+SUMIF(Capacity_Resource,$F84,'Critical resources (hide)'!AV$6:AV$105)&gt;0,$E$1=2),0,1)</f>
        <v>1</v>
      </c>
      <c r="AJ84" s="67">
        <f ca="1">IF(AND(SUMIF(Capacity_Resource,$D84,'Critical resources (hide)'!AW$6:AW$105)+SUMIF(Capacity_Resource,$E84,'Critical resources (hide)'!AW$6:AW$105)+SUMIF(Capacity_Resource,$F84,'Critical resources (hide)'!AW$6:AW$105)&gt;0,$E$1=2),0,1)</f>
        <v>1</v>
      </c>
      <c r="AK84" s="67">
        <f ca="1">IF(AND(SUMIF(Capacity_Resource,$D84,'Critical resources (hide)'!AX$6:AX$105)+SUMIF(Capacity_Resource,$E84,'Critical resources (hide)'!AX$6:AX$105)+SUMIF(Capacity_Resource,$F84,'Critical resources (hide)'!AX$6:AX$105)&gt;0,$E$1=2),0,1)</f>
        <v>1</v>
      </c>
      <c r="AL84" s="67">
        <f ca="1">IF(AND(SUMIF(Capacity_Resource,$D84,'Critical resources (hide)'!AY$6:AY$105)+SUMIF(Capacity_Resource,$E84,'Critical resources (hide)'!AY$6:AY$105)+SUMIF(Capacity_Resource,$F84,'Critical resources (hide)'!AY$6:AY$105)&gt;0,$E$1=2),0,1)</f>
        <v>1</v>
      </c>
      <c r="AM84" s="67">
        <f ca="1">IF(AND(SUMIF(Capacity_Resource,$D84,'Critical resources (hide)'!AZ$6:AZ$105)+SUMIF(Capacity_Resource,$E84,'Critical resources (hide)'!AZ$6:AZ$105)+SUMIF(Capacity_Resource,$F84,'Critical resources (hide)'!AZ$6:AZ$105)&gt;0,$E$1=2),0,1)</f>
        <v>1</v>
      </c>
      <c r="AN84" s="67">
        <f ca="1">IF(AND(SUMIF(Capacity_Resource,$D84,'Critical resources (hide)'!BA$6:BA$105)+SUMIF(Capacity_Resource,$E84,'Critical resources (hide)'!BA$6:BA$105)+SUMIF(Capacity_Resource,$F84,'Critical resources (hide)'!BA$6:BA$105)&gt;0,$E$1=2),0,1)</f>
        <v>1</v>
      </c>
      <c r="AO84" s="67">
        <f ca="1">IF(AND(SUMIF(Capacity_Resource,$D84,'Critical resources (hide)'!BB$6:BB$105)+SUMIF(Capacity_Resource,$E84,'Critical resources (hide)'!BB$6:BB$105)+SUMIF(Capacity_Resource,$F84,'Critical resources (hide)'!BB$6:BB$105)&gt;0,$E$1=2),0,1)</f>
        <v>1</v>
      </c>
      <c r="AP84" s="67">
        <f ca="1">IF(AND(SUMIF(Capacity_Resource,$D84,'Critical resources (hide)'!BC$6:BC$105)+SUMIF(Capacity_Resource,$E84,'Critical resources (hide)'!BC$6:BC$105)+SUMIF(Capacity_Resource,$F84,'Critical resources (hide)'!BC$6:BC$105)&gt;0,$E$1=2),0,1)</f>
        <v>1</v>
      </c>
      <c r="AQ84" s="67">
        <f ca="1">IF(AND(SUMIF(Capacity_Resource,$D84,'Critical resources (hide)'!BD$6:BD$105)+SUMIF(Capacity_Resource,$E84,'Critical resources (hide)'!BD$6:BD$105)+SUMIF(Capacity_Resource,$F84,'Critical resources (hide)'!BD$6:BD$105)&gt;0,$E$1=2),0,1)</f>
        <v>1</v>
      </c>
      <c r="AR84" s="67">
        <f ca="1">IF(AND(SUMIF(Capacity_Resource,$D84,'Critical resources (hide)'!BE$6:BE$105)+SUMIF(Capacity_Resource,$E84,'Critical resources (hide)'!BE$6:BE$105)+SUMIF(Capacity_Resource,$F84,'Critical resources (hide)'!BE$6:BE$105)&gt;0,$E$1=2),0,1)</f>
        <v>1</v>
      </c>
      <c r="AS84" s="67">
        <f ca="1">IF(AND(SUMIF(Capacity_Resource,$D84,'Critical resources (hide)'!BF$6:BF$105)+SUMIF(Capacity_Resource,$E84,'Critical resources (hide)'!BF$6:BF$105)+SUMIF(Capacity_Resource,$F84,'Critical resources (hide)'!BF$6:BF$105)&gt;0,$E$1=2),0,1)</f>
        <v>1</v>
      </c>
      <c r="AT84" s="67">
        <f ca="1">IF(AND(SUMIF(Capacity_Resource,$D84,'Critical resources (hide)'!BG$6:BG$105)+SUMIF(Capacity_Resource,$E84,'Critical resources (hide)'!BG$6:BG$105)+SUMIF(Capacity_Resource,$F84,'Critical resources (hide)'!BG$6:BG$105)&gt;0,$E$1=2),0,1)</f>
        <v>1</v>
      </c>
      <c r="AU84" s="67">
        <f ca="1">IF(AND(SUMIF(Capacity_Resource,$D84,'Critical resources (hide)'!BH$6:BH$105)+SUMIF(Capacity_Resource,$E84,'Critical resources (hide)'!BH$6:BH$105)+SUMIF(Capacity_Resource,$F84,'Critical resources (hide)'!BH$6:BH$105)&gt;0,$E$1=2),0,1)</f>
        <v>1</v>
      </c>
      <c r="AV84" s="67">
        <f ca="1">IF(AND(SUMIF(Capacity_Resource,$D84,'Critical resources (hide)'!BI$6:BI$105)+SUMIF(Capacity_Resource,$E84,'Critical resources (hide)'!BI$6:BI$105)+SUMIF(Capacity_Resource,$F84,'Critical resources (hide)'!BI$6:BI$105)&gt;0,$E$1=2),0,1)</f>
        <v>1</v>
      </c>
      <c r="AW84" s="67">
        <f ca="1">IF(AND(SUMIF(Capacity_Resource,$D84,'Critical resources (hide)'!BJ$6:BJ$105)+SUMIF(Capacity_Resource,$E84,'Critical resources (hide)'!BJ$6:BJ$105)+SUMIF(Capacity_Resource,$F84,'Critical resources (hide)'!BJ$6:BJ$105)&gt;0,$E$1=2),0,1)</f>
        <v>1</v>
      </c>
      <c r="AX84" s="67">
        <f ca="1">IF(AND(SUMIF(Capacity_Resource,$D84,'Critical resources (hide)'!BK$6:BK$105)+SUMIF(Capacity_Resource,$E84,'Critical resources (hide)'!BK$6:BK$105)+SUMIF(Capacity_Resource,$F84,'Critical resources (hide)'!BK$6:BK$105)&gt;0,$E$1=2),0,1)</f>
        <v>1</v>
      </c>
      <c r="AY84" s="67">
        <f ca="1">IF(AND(SUMIF(Capacity_Resource,$D84,'Critical resources (hide)'!BL$6:BL$105)+SUMIF(Capacity_Resource,$E84,'Critical resources (hide)'!BL$6:BL$105)+SUMIF(Capacity_Resource,$F84,'Critical resources (hide)'!BL$6:BL$105)&gt;0,$E$1=2),0,1)</f>
        <v>1</v>
      </c>
      <c r="AZ84" s="67">
        <f ca="1">IF(AND(SUMIF(Capacity_Resource,$D84,'Critical resources (hide)'!BM$6:BM$105)+SUMIF(Capacity_Resource,$E84,'Critical resources (hide)'!BM$6:BM$105)+SUMIF(Capacity_Resource,$F84,'Critical resources (hide)'!BM$6:BM$105)&gt;0,$E$1=2),0,1)</f>
        <v>1</v>
      </c>
      <c r="BA84" s="67">
        <f ca="1">IF(AND(SUMIF(Capacity_Resource,$D84,'Critical resources (hide)'!BN$6:BN$105)+SUMIF(Capacity_Resource,$E84,'Critical resources (hide)'!BN$6:BN$105)+SUMIF(Capacity_Resource,$F84,'Critical resources (hide)'!BN$6:BN$105)&gt;0,$E$1=2),0,1)</f>
        <v>1</v>
      </c>
      <c r="BB84" s="67">
        <f ca="1">IF(AND(SUMIF(Capacity_Resource,$D84,'Critical resources (hide)'!BO$6:BO$105)+SUMIF(Capacity_Resource,$E84,'Critical resources (hide)'!BO$6:BO$105)+SUMIF(Capacity_Resource,$F84,'Critical resources (hide)'!BO$6:BO$105)&gt;0,$E$1=2),0,1)</f>
        <v>1</v>
      </c>
      <c r="BC84" s="67">
        <f ca="1">IF(AND(SUMIF(Capacity_Resource,$D84,'Critical resources (hide)'!BP$6:BP$105)+SUMIF(Capacity_Resource,$E84,'Critical resources (hide)'!BP$6:BP$105)+SUMIF(Capacity_Resource,$F84,'Critical resources (hide)'!BP$6:BP$105)&gt;0,$E$1=2),0,1)</f>
        <v>1</v>
      </c>
      <c r="BD84" s="67">
        <f ca="1">IF(AND(SUMIF(Capacity_Resource,$D84,'Critical resources (hide)'!BQ$6:BQ$105)+SUMIF(Capacity_Resource,$E84,'Critical resources (hide)'!BQ$6:BQ$105)+SUMIF(Capacity_Resource,$F84,'Critical resources (hide)'!BQ$6:BQ$105)&gt;0,$E$1=2),0,1)</f>
        <v>1</v>
      </c>
      <c r="BE84" s="67">
        <f ca="1">IF(AND(SUMIF(Capacity_Resource,$D84,'Critical resources (hide)'!BR$6:BR$105)+SUMIF(Capacity_Resource,$E84,'Critical resources (hide)'!BR$6:BR$105)+SUMIF(Capacity_Resource,$F84,'Critical resources (hide)'!BR$6:BR$105)&gt;0,$E$1=2),0,1)</f>
        <v>1</v>
      </c>
      <c r="BF84" s="67">
        <f ca="1">IF(AND(SUMIF(Capacity_Resource,$D84,'Critical resources (hide)'!BS$6:BS$105)+SUMIF(Capacity_Resource,$E84,'Critical resources (hide)'!BS$6:BS$105)+SUMIF(Capacity_Resource,$F84,'Critical resources (hide)'!BS$6:BS$105)&gt;0,$E$1=2),0,1)</f>
        <v>1</v>
      </c>
      <c r="BG84" s="67">
        <f ca="1">IF(AND(SUMIF(Capacity_Resource,$D84,'Critical resources (hide)'!BT$6:BT$105)+SUMIF(Capacity_Resource,$E84,'Critical resources (hide)'!BT$6:BT$105)+SUMIF(Capacity_Resource,$F84,'Critical resources (hide)'!BT$6:BT$105)&gt;0,$E$1=2),0,1)</f>
        <v>1</v>
      </c>
      <c r="BH84" s="67">
        <f>IF(ROW(C80)&lt;=Capacity!$A$16,IF('Capacity summary'!$D$14="No",SUM(H84:BG84),'Capacity summary'!$E203),0)</f>
        <v>0</v>
      </c>
      <c r="BI84" s="5" t="str">
        <f>IF(BH84&gt;0,IF(BH84&lt;Capacity!E96,Capacity!F96,Capacity!H96/'Capacity calculation (hide)'!BH84),"")</f>
        <v/>
      </c>
      <c r="BK84" s="313">
        <f>IF($BI84&lt;&gt;"",IF('Capacity summary'!$D$14="Yes",IF(COUNTBLANK('Capacity summary'!$H203:$BG203)&lt;52,IF('Capacity summary'!H203&lt;&gt;"",IF(LOWER('Capacity summary'!H203)="x",$BI84*H84,VALUE('Capacity summary'!H203)),0),H84*$BI84),H84*$BI84),0)</f>
        <v>0</v>
      </c>
      <c r="BL84" s="313">
        <f>IF($BI84&lt;&gt;"",IF('Capacity summary'!$D$14="Yes",IF(COUNTBLANK('Capacity summary'!$H203:$BG203)&lt;52,IF('Capacity summary'!I203&lt;&gt;"",IF(LOWER('Capacity summary'!I203)="x",$BI84*I84,VALUE('Capacity summary'!I203)),0),I84*$BI84),I84*$BI84),0)</f>
        <v>0</v>
      </c>
      <c r="BM84" s="313">
        <f>IF($BI84&lt;&gt;"",IF('Capacity summary'!$D$14="Yes",IF(COUNTBLANK('Capacity summary'!$H203:$BG203)&lt;52,IF('Capacity summary'!J203&lt;&gt;"",IF(LOWER('Capacity summary'!J203)="x",$BI84*J84,VALUE('Capacity summary'!J203)),0),J84*$BI84),J84*$BI84),0)</f>
        <v>0</v>
      </c>
      <c r="BN84" s="313">
        <f>IF($BI84&lt;&gt;"",IF('Capacity summary'!$D$14="Yes",IF(COUNTBLANK('Capacity summary'!$H203:$BG203)&lt;52,IF('Capacity summary'!K203&lt;&gt;"",IF(LOWER('Capacity summary'!K203)="x",$BI84*K84,VALUE('Capacity summary'!K203)),0),K84*$BI84),K84*$BI84),0)</f>
        <v>0</v>
      </c>
      <c r="BO84" s="313">
        <f>IF($BI84&lt;&gt;"",IF('Capacity summary'!$D$14="Yes",IF(COUNTBLANK('Capacity summary'!$H203:$BG203)&lt;52,IF('Capacity summary'!L203&lt;&gt;"",IF(LOWER('Capacity summary'!L203)="x",$BI84*L84,VALUE('Capacity summary'!L203)),0),L84*$BI84),L84*$BI84),0)</f>
        <v>0</v>
      </c>
      <c r="BP84" s="313">
        <f>IF($BI84&lt;&gt;"",IF('Capacity summary'!$D$14="Yes",IF(COUNTBLANK('Capacity summary'!$H203:$BG203)&lt;52,IF('Capacity summary'!M203&lt;&gt;"",IF(LOWER('Capacity summary'!M203)="x",$BI84*M84,VALUE('Capacity summary'!M203)),0),M84*$BI84),M84*$BI84),0)</f>
        <v>0</v>
      </c>
      <c r="BQ84" s="313">
        <f>IF($BI84&lt;&gt;"",IF('Capacity summary'!$D$14="Yes",IF(COUNTBLANK('Capacity summary'!$H203:$BG203)&lt;52,IF('Capacity summary'!N203&lt;&gt;"",IF(LOWER('Capacity summary'!N203)="x",$BI84*N84,VALUE('Capacity summary'!N203)),0),N84*$BI84),N84*$BI84),0)</f>
        <v>0</v>
      </c>
      <c r="BR84" s="313">
        <f>IF($BI84&lt;&gt;"",IF('Capacity summary'!$D$14="Yes",IF(COUNTBLANK('Capacity summary'!$H203:$BG203)&lt;52,IF('Capacity summary'!O203&lt;&gt;"",IF(LOWER('Capacity summary'!O203)="x",$BI84*O84,VALUE('Capacity summary'!O203)),0),O84*$BI84),O84*$BI84),0)</f>
        <v>0</v>
      </c>
      <c r="BS84" s="313">
        <f>IF($BI84&lt;&gt;"",IF('Capacity summary'!$D$14="Yes",IF(COUNTBLANK('Capacity summary'!$H203:$BG203)&lt;52,IF('Capacity summary'!P203&lt;&gt;"",IF(LOWER('Capacity summary'!P203)="x",$BI84*P84,VALUE('Capacity summary'!P203)),0),P84*$BI84),P84*$BI84),0)</f>
        <v>0</v>
      </c>
      <c r="BT84" s="313">
        <f>IF($BI84&lt;&gt;"",IF('Capacity summary'!$D$14="Yes",IF(COUNTBLANK('Capacity summary'!$H203:$BG203)&lt;52,IF('Capacity summary'!Q203&lt;&gt;"",IF(LOWER('Capacity summary'!Q203)="x",$BI84*Q84,VALUE('Capacity summary'!Q203)),0),Q84*$BI84),Q84*$BI84),0)</f>
        <v>0</v>
      </c>
      <c r="BU84" s="313">
        <f>IF($BI84&lt;&gt;"",IF('Capacity summary'!$D$14="Yes",IF(COUNTBLANK('Capacity summary'!$H203:$BG203)&lt;52,IF('Capacity summary'!R203&lt;&gt;"",IF(LOWER('Capacity summary'!R203)="x",$BI84*R84,VALUE('Capacity summary'!R203)),0),R84*$BI84),R84*$BI84),0)</f>
        <v>0</v>
      </c>
      <c r="BV84" s="313">
        <f>IF($BI84&lt;&gt;"",IF('Capacity summary'!$D$14="Yes",IF(COUNTBLANK('Capacity summary'!$H203:$BG203)&lt;52,IF('Capacity summary'!S203&lt;&gt;"",IF(LOWER('Capacity summary'!S203)="x",$BI84*S84,VALUE('Capacity summary'!S203)),0),S84*$BI84),S84*$BI84),0)</f>
        <v>0</v>
      </c>
      <c r="BW84" s="313">
        <f>IF($BI84&lt;&gt;"",IF('Capacity summary'!$D$14="Yes",IF(COUNTBLANK('Capacity summary'!$H203:$BG203)&lt;52,IF('Capacity summary'!T203&lt;&gt;"",IF(LOWER('Capacity summary'!T203)="x",$BI84*T84,VALUE('Capacity summary'!T203)),0),T84*$BI84),T84*$BI84),0)</f>
        <v>0</v>
      </c>
      <c r="BX84" s="313">
        <f>IF($BI84&lt;&gt;"",IF('Capacity summary'!$D$14="Yes",IF(COUNTBLANK('Capacity summary'!$H203:$BG203)&lt;52,IF('Capacity summary'!U203&lt;&gt;"",IF(LOWER('Capacity summary'!U203)="x",$BI84*U84,VALUE('Capacity summary'!U203)),0),U84*$BI84),U84*$BI84),0)</f>
        <v>0</v>
      </c>
      <c r="BY84" s="313">
        <f>IF($BI84&lt;&gt;"",IF('Capacity summary'!$D$14="Yes",IF(COUNTBLANK('Capacity summary'!$H203:$BG203)&lt;52,IF('Capacity summary'!V203&lt;&gt;"",IF(LOWER('Capacity summary'!V203)="x",$BI84*V84,VALUE('Capacity summary'!V203)),0),V84*$BI84),V84*$BI84),0)</f>
        <v>0</v>
      </c>
      <c r="BZ84" s="313">
        <f>IF($BI84&lt;&gt;"",IF('Capacity summary'!$D$14="Yes",IF(COUNTBLANK('Capacity summary'!$H203:$BG203)&lt;52,IF('Capacity summary'!W203&lt;&gt;"",IF(LOWER('Capacity summary'!W203)="x",$BI84*W84,VALUE('Capacity summary'!W203)),0),W84*$BI84),W84*$BI84),0)</f>
        <v>0</v>
      </c>
      <c r="CA84" s="313">
        <f>IF($BI84&lt;&gt;"",IF('Capacity summary'!$D$14="Yes",IF(COUNTBLANK('Capacity summary'!$H203:$BG203)&lt;52,IF('Capacity summary'!X203&lt;&gt;"",IF(LOWER('Capacity summary'!X203)="x",$BI84*X84,VALUE('Capacity summary'!X203)),0),X84*$BI84),X84*$BI84),0)</f>
        <v>0</v>
      </c>
      <c r="CB84" s="313">
        <f>IF($BI84&lt;&gt;"",IF('Capacity summary'!$D$14="Yes",IF(COUNTBLANK('Capacity summary'!$H203:$BG203)&lt;52,IF('Capacity summary'!Y203&lt;&gt;"",IF(LOWER('Capacity summary'!Y203)="x",$BI84*Y84,VALUE('Capacity summary'!Y203)),0),Y84*$BI84),Y84*$BI84),0)</f>
        <v>0</v>
      </c>
      <c r="CC84" s="313">
        <f>IF($BI84&lt;&gt;"",IF('Capacity summary'!$D$14="Yes",IF(COUNTBLANK('Capacity summary'!$H203:$BG203)&lt;52,IF('Capacity summary'!Z203&lt;&gt;"",IF(LOWER('Capacity summary'!Z203)="x",$BI84*Z84,VALUE('Capacity summary'!Z203)),0),Z84*$BI84),Z84*$BI84),0)</f>
        <v>0</v>
      </c>
      <c r="CD84" s="313">
        <f>IF($BI84&lt;&gt;"",IF('Capacity summary'!$D$14="Yes",IF(COUNTBLANK('Capacity summary'!$H203:$BG203)&lt;52,IF('Capacity summary'!AA203&lt;&gt;"",IF(LOWER('Capacity summary'!AA203)="x",$BI84*AA84,VALUE('Capacity summary'!AA203)),0),AA84*$BI84),AA84*$BI84),0)</f>
        <v>0</v>
      </c>
      <c r="CE84" s="313">
        <f>IF($BI84&lt;&gt;"",IF('Capacity summary'!$D$14="Yes",IF(COUNTBLANK('Capacity summary'!$H203:$BG203)&lt;52,IF('Capacity summary'!AB203&lt;&gt;"",IF(LOWER('Capacity summary'!AB203)="x",$BI84*AB84,VALUE('Capacity summary'!AB203)),0),AB84*$BI84),AB84*$BI84),0)</f>
        <v>0</v>
      </c>
      <c r="CF84" s="313">
        <f>IF($BI84&lt;&gt;"",IF('Capacity summary'!$D$14="Yes",IF(COUNTBLANK('Capacity summary'!$H203:$BG203)&lt;52,IF('Capacity summary'!AC203&lt;&gt;"",IF(LOWER('Capacity summary'!AC203)="x",$BI84*AC84,VALUE('Capacity summary'!AC203)),0),AC84*$BI84),AC84*$BI84),0)</f>
        <v>0</v>
      </c>
      <c r="CG84" s="313">
        <f>IF($BI84&lt;&gt;"",IF('Capacity summary'!$D$14="Yes",IF(COUNTBLANK('Capacity summary'!$H203:$BG203)&lt;52,IF('Capacity summary'!AD203&lt;&gt;"",IF(LOWER('Capacity summary'!AD203)="x",$BI84*AD84,VALUE('Capacity summary'!AD203)),0),AD84*$BI84),AD84*$BI84),0)</f>
        <v>0</v>
      </c>
      <c r="CH84" s="313">
        <f>IF($BI84&lt;&gt;"",IF('Capacity summary'!$D$14="Yes",IF(COUNTBLANK('Capacity summary'!$H203:$BG203)&lt;52,IF('Capacity summary'!AE203&lt;&gt;"",IF(LOWER('Capacity summary'!AE203)="x",$BI84*AE84,VALUE('Capacity summary'!AE203)),0),AE84*$BI84),AE84*$BI84),0)</f>
        <v>0</v>
      </c>
      <c r="CI84" s="313">
        <f>IF($BI84&lt;&gt;"",IF('Capacity summary'!$D$14="Yes",IF(COUNTBLANK('Capacity summary'!$H203:$BG203)&lt;52,IF('Capacity summary'!AF203&lt;&gt;"",IF(LOWER('Capacity summary'!AF203)="x",$BI84*AF84,VALUE('Capacity summary'!AF203)),0),AF84*$BI84),AF84*$BI84),0)</f>
        <v>0</v>
      </c>
      <c r="CJ84" s="313">
        <f>IF($BI84&lt;&gt;"",IF('Capacity summary'!$D$14="Yes",IF(COUNTBLANK('Capacity summary'!$H203:$BG203)&lt;52,IF('Capacity summary'!AG203&lt;&gt;"",IF(LOWER('Capacity summary'!AG203)="x",$BI84*AG84,VALUE('Capacity summary'!AG203)),0),AG84*$BI84),AG84*$BI84),0)</f>
        <v>0</v>
      </c>
      <c r="CK84" s="313">
        <f>IF($BI84&lt;&gt;"",IF('Capacity summary'!$D$14="Yes",IF(COUNTBLANK('Capacity summary'!$H203:$BG203)&lt;52,IF('Capacity summary'!AH203&lt;&gt;"",IF(LOWER('Capacity summary'!AH203)="x",$BI84*AH84,VALUE('Capacity summary'!AH203)),0),AH84*$BI84),AH84*$BI84),0)</f>
        <v>0</v>
      </c>
      <c r="CL84" s="313">
        <f>IF($BI84&lt;&gt;"",IF('Capacity summary'!$D$14="Yes",IF(COUNTBLANK('Capacity summary'!$H203:$BG203)&lt;52,IF('Capacity summary'!AI203&lt;&gt;"",IF(LOWER('Capacity summary'!AI203)="x",$BI84*AI84,VALUE('Capacity summary'!AI203)),0),AI84*$BI84),AI84*$BI84),0)</f>
        <v>0</v>
      </c>
      <c r="CM84" s="313">
        <f>IF($BI84&lt;&gt;"",IF('Capacity summary'!$D$14="Yes",IF(COUNTBLANK('Capacity summary'!$H203:$BG203)&lt;52,IF('Capacity summary'!AJ203&lt;&gt;"",IF(LOWER('Capacity summary'!AJ203)="x",$BI84*AJ84,VALUE('Capacity summary'!AJ203)),0),AJ84*$BI84),AJ84*$BI84),0)</f>
        <v>0</v>
      </c>
      <c r="CN84" s="313">
        <f>IF($BI84&lt;&gt;"",IF('Capacity summary'!$D$14="Yes",IF(COUNTBLANK('Capacity summary'!$H203:$BG203)&lt;52,IF('Capacity summary'!AK203&lt;&gt;"",IF(LOWER('Capacity summary'!AK203)="x",$BI84*AK84,VALUE('Capacity summary'!AK203)),0),AK84*$BI84),AK84*$BI84),0)</f>
        <v>0</v>
      </c>
      <c r="CO84" s="313">
        <f>IF($BI84&lt;&gt;"",IF('Capacity summary'!$D$14="Yes",IF(COUNTBLANK('Capacity summary'!$H203:$BG203)&lt;52,IF('Capacity summary'!AL203&lt;&gt;"",IF(LOWER('Capacity summary'!AL203)="x",$BI84*AL84,VALUE('Capacity summary'!AL203)),0),AL84*$BI84),AL84*$BI84),0)</f>
        <v>0</v>
      </c>
      <c r="CP84" s="313">
        <f>IF($BI84&lt;&gt;"",IF('Capacity summary'!$D$14="Yes",IF(COUNTBLANK('Capacity summary'!$H203:$BG203)&lt;52,IF('Capacity summary'!AM203&lt;&gt;"",IF(LOWER('Capacity summary'!AM203)="x",$BI84*AM84,VALUE('Capacity summary'!AM203)),0),AM84*$BI84),AM84*$BI84),0)</f>
        <v>0</v>
      </c>
      <c r="CQ84" s="313">
        <f>IF($BI84&lt;&gt;"",IF('Capacity summary'!$D$14="Yes",IF(COUNTBLANK('Capacity summary'!$H203:$BG203)&lt;52,IF('Capacity summary'!AN203&lt;&gt;"",IF(LOWER('Capacity summary'!AN203)="x",$BI84*AN84,VALUE('Capacity summary'!AN203)),0),AN84*$BI84),AN84*$BI84),0)</f>
        <v>0</v>
      </c>
      <c r="CR84" s="313">
        <f>IF($BI84&lt;&gt;"",IF('Capacity summary'!$D$14="Yes",IF(COUNTBLANK('Capacity summary'!$H203:$BG203)&lt;52,IF('Capacity summary'!AO203&lt;&gt;"",IF(LOWER('Capacity summary'!AO203)="x",$BI84*AO84,VALUE('Capacity summary'!AO203)),0),AO84*$BI84),AO84*$BI84),0)</f>
        <v>0</v>
      </c>
      <c r="CS84" s="313">
        <f>IF($BI84&lt;&gt;"",IF('Capacity summary'!$D$14="Yes",IF(COUNTBLANK('Capacity summary'!$H203:$BG203)&lt;52,IF('Capacity summary'!AP203&lt;&gt;"",IF(LOWER('Capacity summary'!AP203)="x",$BI84*AP84,VALUE('Capacity summary'!AP203)),0),AP84*$BI84),AP84*$BI84),0)</f>
        <v>0</v>
      </c>
      <c r="CT84" s="313">
        <f>IF($BI84&lt;&gt;"",IF('Capacity summary'!$D$14="Yes",IF(COUNTBLANK('Capacity summary'!$H203:$BG203)&lt;52,IF('Capacity summary'!AQ203&lt;&gt;"",IF(LOWER('Capacity summary'!AQ203)="x",$BI84*AQ84,VALUE('Capacity summary'!AQ203)),0),AQ84*$BI84),AQ84*$BI84),0)</f>
        <v>0</v>
      </c>
      <c r="CU84" s="313">
        <f>IF($BI84&lt;&gt;"",IF('Capacity summary'!$D$14="Yes",IF(COUNTBLANK('Capacity summary'!$H203:$BG203)&lt;52,IF('Capacity summary'!AR203&lt;&gt;"",IF(LOWER('Capacity summary'!AR203)="x",$BI84*AR84,VALUE('Capacity summary'!AR203)),0),AR84*$BI84),AR84*$BI84),0)</f>
        <v>0</v>
      </c>
      <c r="CV84" s="313">
        <f>IF($BI84&lt;&gt;"",IF('Capacity summary'!$D$14="Yes",IF(COUNTBLANK('Capacity summary'!$H203:$BG203)&lt;52,IF('Capacity summary'!AS203&lt;&gt;"",IF(LOWER('Capacity summary'!AS203)="x",$BI84*AS84,VALUE('Capacity summary'!AS203)),0),AS84*$BI84),AS84*$BI84),0)</f>
        <v>0</v>
      </c>
      <c r="CW84" s="313">
        <f>IF($BI84&lt;&gt;"",IF('Capacity summary'!$D$14="Yes",IF(COUNTBLANK('Capacity summary'!$H203:$BG203)&lt;52,IF('Capacity summary'!AT203&lt;&gt;"",IF(LOWER('Capacity summary'!AT203)="x",$BI84*AT84,VALUE('Capacity summary'!AT203)),0),AT84*$BI84),AT84*$BI84),0)</f>
        <v>0</v>
      </c>
      <c r="CX84" s="313">
        <f>IF($BI84&lt;&gt;"",IF('Capacity summary'!$D$14="Yes",IF(COUNTBLANK('Capacity summary'!$H203:$BG203)&lt;52,IF('Capacity summary'!AU203&lt;&gt;"",IF(LOWER('Capacity summary'!AU203)="x",$BI84*AU84,VALUE('Capacity summary'!AU203)),0),AU84*$BI84),AU84*$BI84),0)</f>
        <v>0</v>
      </c>
      <c r="CY84" s="313">
        <f>IF($BI84&lt;&gt;"",IF('Capacity summary'!$D$14="Yes",IF(COUNTBLANK('Capacity summary'!$H203:$BG203)&lt;52,IF('Capacity summary'!AV203&lt;&gt;"",IF(LOWER('Capacity summary'!AV203)="x",$BI84*AV84,VALUE('Capacity summary'!AV203)),0),AV84*$BI84),AV84*$BI84),0)</f>
        <v>0</v>
      </c>
      <c r="CZ84" s="313">
        <f>IF($BI84&lt;&gt;"",IF('Capacity summary'!$D$14="Yes",IF(COUNTBLANK('Capacity summary'!$H203:$BG203)&lt;52,IF('Capacity summary'!AW203&lt;&gt;"",IF(LOWER('Capacity summary'!AW203)="x",$BI84*AW84,VALUE('Capacity summary'!AW203)),0),AW84*$BI84),AW84*$BI84),0)</f>
        <v>0</v>
      </c>
      <c r="DA84" s="313">
        <f>IF($BI84&lt;&gt;"",IF('Capacity summary'!$D$14="Yes",IF(COUNTBLANK('Capacity summary'!$H203:$BG203)&lt;52,IF('Capacity summary'!AX203&lt;&gt;"",IF(LOWER('Capacity summary'!AX203)="x",$BI84*AX84,VALUE('Capacity summary'!AX203)),0),AX84*$BI84),AX84*$BI84),0)</f>
        <v>0</v>
      </c>
      <c r="DB84" s="313">
        <f>IF($BI84&lt;&gt;"",IF('Capacity summary'!$D$14="Yes",IF(COUNTBLANK('Capacity summary'!$H203:$BG203)&lt;52,IF('Capacity summary'!AY203&lt;&gt;"",IF(LOWER('Capacity summary'!AY203)="x",$BI84*AY84,VALUE('Capacity summary'!AY203)),0),AY84*$BI84),AY84*$BI84),0)</f>
        <v>0</v>
      </c>
      <c r="DC84" s="313">
        <f>IF($BI84&lt;&gt;"",IF('Capacity summary'!$D$14="Yes",IF(COUNTBLANK('Capacity summary'!$H203:$BG203)&lt;52,IF('Capacity summary'!AZ203&lt;&gt;"",IF(LOWER('Capacity summary'!AZ203)="x",$BI84*AZ84,VALUE('Capacity summary'!AZ203)),0),AZ84*$BI84),AZ84*$BI84),0)</f>
        <v>0</v>
      </c>
      <c r="DD84" s="313">
        <f>IF($BI84&lt;&gt;"",IF('Capacity summary'!$D$14="Yes",IF(COUNTBLANK('Capacity summary'!$H203:$BG203)&lt;52,IF('Capacity summary'!BA203&lt;&gt;"",IF(LOWER('Capacity summary'!BA203)="x",$BI84*BA84,VALUE('Capacity summary'!BA203)),0),BA84*$BI84),BA84*$BI84),0)</f>
        <v>0</v>
      </c>
      <c r="DE84" s="313">
        <f>IF($BI84&lt;&gt;"",IF('Capacity summary'!$D$14="Yes",IF(COUNTBLANK('Capacity summary'!$H203:$BG203)&lt;52,IF('Capacity summary'!BB203&lt;&gt;"",IF(LOWER('Capacity summary'!BB203)="x",$BI84*BB84,VALUE('Capacity summary'!BB203)),0),BB84*$BI84),BB84*$BI84),0)</f>
        <v>0</v>
      </c>
      <c r="DF84" s="313">
        <f>IF($BI84&lt;&gt;"",IF('Capacity summary'!$D$14="Yes",IF(COUNTBLANK('Capacity summary'!$H203:$BG203)&lt;52,IF('Capacity summary'!BC203&lt;&gt;"",IF(LOWER('Capacity summary'!BC203)="x",$BI84*BC84,VALUE('Capacity summary'!BC203)),0),BC84*$BI84),BC84*$BI84),0)</f>
        <v>0</v>
      </c>
      <c r="DG84" s="313">
        <f>IF($BI84&lt;&gt;"",IF('Capacity summary'!$D$14="Yes",IF(COUNTBLANK('Capacity summary'!$H203:$BG203)&lt;52,IF('Capacity summary'!BD203&lt;&gt;"",IF(LOWER('Capacity summary'!BD203)="x",$BI84*BD84,VALUE('Capacity summary'!BD203)),0),BD84*$BI84),BD84*$BI84),0)</f>
        <v>0</v>
      </c>
      <c r="DH84" s="313">
        <f>IF($BI84&lt;&gt;"",IF('Capacity summary'!$D$14="Yes",IF(COUNTBLANK('Capacity summary'!$H203:$BG203)&lt;52,IF('Capacity summary'!BE203&lt;&gt;"",IF(LOWER('Capacity summary'!BE203)="x",$BI84*BE84,VALUE('Capacity summary'!BE203)),0),BE84*$BI84),BE84*$BI84),0)</f>
        <v>0</v>
      </c>
      <c r="DI84" s="313">
        <f>IF($BI84&lt;&gt;"",IF('Capacity summary'!$D$14="Yes",IF(COUNTBLANK('Capacity summary'!$H203:$BG203)&lt;52,IF('Capacity summary'!BF203&lt;&gt;"",IF(LOWER('Capacity summary'!BF203)="x",$BI84*BF84,VALUE('Capacity summary'!BF203)),0),BF84*$BI84),BF84*$BI84),0)</f>
        <v>0</v>
      </c>
      <c r="DJ84" s="313">
        <f>IF($BI84&lt;&gt;"",IF('Capacity summary'!$D$14="Yes",IF(COUNTBLANK('Capacity summary'!$H203:$BG203)&lt;52,IF('Capacity summary'!BG203&lt;&gt;"",IF(LOWER('Capacity summary'!BG203)="x",$BI84*BG84,VALUE('Capacity summary'!BG203)),0),BG84*$BI84),BG84*$BI84),0)</f>
        <v>0</v>
      </c>
      <c r="DK84" s="137">
        <f t="shared" si="3"/>
        <v>0</v>
      </c>
      <c r="DL84" s="313" t="str">
        <f>Capacity!H96</f>
        <v/>
      </c>
    </row>
    <row r="85" spans="2:116" x14ac:dyDescent="0.25">
      <c r="B85" s="67"/>
      <c r="C85" s="67" t="str">
        <f>ROW(A81)&amp;". "&amp;Capacity!B97</f>
        <v xml:space="preserve">81. </v>
      </c>
      <c r="D85" s="67">
        <f>'Capacity setup'!C92</f>
        <v>0</v>
      </c>
      <c r="E85" s="67">
        <f>'Capacity setup'!D92</f>
        <v>0</v>
      </c>
      <c r="F85" s="67">
        <f>'Capacity setup'!E92</f>
        <v>0</v>
      </c>
      <c r="H85" s="67">
        <f ca="1">IF(AND(SUMIF(Capacity_Resource,$D85,'Critical resources (hide)'!U$6:U$105)+SUMIF(Capacity_Resource,$E85,'Critical resources (hide)'!U$6:U$105)+SUMIF(Capacity_Resource,$F85,'Critical resources (hide)'!U$6:U$105)&gt;0,$E$1=2),0,1)</f>
        <v>1</v>
      </c>
      <c r="I85" s="67">
        <f ca="1">IF(AND(SUMIF(Capacity_Resource,$D85,'Critical resources (hide)'!V$6:V$105)+SUMIF(Capacity_Resource,$E85,'Critical resources (hide)'!V$6:V$105)+SUMIF(Capacity_Resource,$F85,'Critical resources (hide)'!V$6:V$105)&gt;0,$E$1=2),0,1)</f>
        <v>1</v>
      </c>
      <c r="J85" s="67">
        <f ca="1">IF(AND(SUMIF(Capacity_Resource,$D85,'Critical resources (hide)'!W$6:W$105)+SUMIF(Capacity_Resource,$E85,'Critical resources (hide)'!W$6:W$105)+SUMIF(Capacity_Resource,$F85,'Critical resources (hide)'!W$6:W$105)&gt;0,$E$1=2),0,1)</f>
        <v>1</v>
      </c>
      <c r="K85" s="67">
        <f ca="1">IF(AND(SUMIF(Capacity_Resource,$D85,'Critical resources (hide)'!X$6:X$105)+SUMIF(Capacity_Resource,$E85,'Critical resources (hide)'!X$6:X$105)+SUMIF(Capacity_Resource,$F85,'Critical resources (hide)'!X$6:X$105)&gt;0,$E$1=2),0,1)</f>
        <v>1</v>
      </c>
      <c r="L85" s="67">
        <f ca="1">IF(AND(SUMIF(Capacity_Resource,$D85,'Critical resources (hide)'!Y$6:Y$105)+SUMIF(Capacity_Resource,$E85,'Critical resources (hide)'!Y$6:Y$105)+SUMIF(Capacity_Resource,$F85,'Critical resources (hide)'!Y$6:Y$105)&gt;0,$E$1=2),0,1)</f>
        <v>1</v>
      </c>
      <c r="M85" s="67">
        <f ca="1">IF(AND(SUMIF(Capacity_Resource,$D85,'Critical resources (hide)'!Z$6:Z$105)+SUMIF(Capacity_Resource,$E85,'Critical resources (hide)'!Z$6:Z$105)+SUMIF(Capacity_Resource,$F85,'Critical resources (hide)'!Z$6:Z$105)&gt;0,$E$1=2),0,1)</f>
        <v>1</v>
      </c>
      <c r="N85" s="67">
        <f ca="1">IF(AND(SUMIF(Capacity_Resource,$D85,'Critical resources (hide)'!AA$6:AA$105)+SUMIF(Capacity_Resource,$E85,'Critical resources (hide)'!AA$6:AA$105)+SUMIF(Capacity_Resource,$F85,'Critical resources (hide)'!AA$6:AA$105)&gt;0,$E$1=2),0,1)</f>
        <v>1</v>
      </c>
      <c r="O85" s="67">
        <f ca="1">IF(AND(SUMIF(Capacity_Resource,$D85,'Critical resources (hide)'!AB$6:AB$105)+SUMIF(Capacity_Resource,$E85,'Critical resources (hide)'!AB$6:AB$105)+SUMIF(Capacity_Resource,$F85,'Critical resources (hide)'!AB$6:AB$105)&gt;0,$E$1=2),0,1)</f>
        <v>1</v>
      </c>
      <c r="P85" s="67">
        <f ca="1">IF(AND(SUMIF(Capacity_Resource,$D85,'Critical resources (hide)'!AC$6:AC$105)+SUMIF(Capacity_Resource,$E85,'Critical resources (hide)'!AC$6:AC$105)+SUMIF(Capacity_Resource,$F85,'Critical resources (hide)'!AC$6:AC$105)&gt;0,$E$1=2),0,1)</f>
        <v>1</v>
      </c>
      <c r="Q85" s="67">
        <f ca="1">IF(AND(SUMIF(Capacity_Resource,$D85,'Critical resources (hide)'!AD$6:AD$105)+SUMIF(Capacity_Resource,$E85,'Critical resources (hide)'!AD$6:AD$105)+SUMIF(Capacity_Resource,$F85,'Critical resources (hide)'!AD$6:AD$105)&gt;0,$E$1=2),0,1)</f>
        <v>1</v>
      </c>
      <c r="R85" s="67">
        <f ca="1">IF(AND(SUMIF(Capacity_Resource,$D85,'Critical resources (hide)'!AE$6:AE$105)+SUMIF(Capacity_Resource,$E85,'Critical resources (hide)'!AE$6:AE$105)+SUMIF(Capacity_Resource,$F85,'Critical resources (hide)'!AE$6:AE$105)&gt;0,$E$1=2),0,1)</f>
        <v>1</v>
      </c>
      <c r="S85" s="67">
        <f ca="1">IF(AND(SUMIF(Capacity_Resource,$D85,'Critical resources (hide)'!AF$6:AF$105)+SUMIF(Capacity_Resource,$E85,'Critical resources (hide)'!AF$6:AF$105)+SUMIF(Capacity_Resource,$F85,'Critical resources (hide)'!AF$6:AF$105)&gt;0,$E$1=2),0,1)</f>
        <v>1</v>
      </c>
      <c r="T85" s="67">
        <f ca="1">IF(AND(SUMIF(Capacity_Resource,$D85,'Critical resources (hide)'!AG$6:AG$105)+SUMIF(Capacity_Resource,$E85,'Critical resources (hide)'!AG$6:AG$105)+SUMIF(Capacity_Resource,$F85,'Critical resources (hide)'!AG$6:AG$105)&gt;0,$E$1=2),0,1)</f>
        <v>1</v>
      </c>
      <c r="U85" s="67">
        <f ca="1">IF(AND(SUMIF(Capacity_Resource,$D85,'Critical resources (hide)'!AH$6:AH$105)+SUMIF(Capacity_Resource,$E85,'Critical resources (hide)'!AH$6:AH$105)+SUMIF(Capacity_Resource,$F85,'Critical resources (hide)'!AH$6:AH$105)&gt;0,$E$1=2),0,1)</f>
        <v>1</v>
      </c>
      <c r="V85" s="67">
        <f ca="1">IF(AND(SUMIF(Capacity_Resource,$D85,'Critical resources (hide)'!AI$6:AI$105)+SUMIF(Capacity_Resource,$E85,'Critical resources (hide)'!AI$6:AI$105)+SUMIF(Capacity_Resource,$F85,'Critical resources (hide)'!AI$6:AI$105)&gt;0,$E$1=2),0,1)</f>
        <v>1</v>
      </c>
      <c r="W85" s="67">
        <f ca="1">IF(AND(SUMIF(Capacity_Resource,$D85,'Critical resources (hide)'!AJ$6:AJ$105)+SUMIF(Capacity_Resource,$E85,'Critical resources (hide)'!AJ$6:AJ$105)+SUMIF(Capacity_Resource,$F85,'Critical resources (hide)'!AJ$6:AJ$105)&gt;0,$E$1=2),0,1)</f>
        <v>1</v>
      </c>
      <c r="X85" s="67">
        <f ca="1">IF(AND(SUMIF(Capacity_Resource,$D85,'Critical resources (hide)'!AK$6:AK$105)+SUMIF(Capacity_Resource,$E85,'Critical resources (hide)'!AK$6:AK$105)+SUMIF(Capacity_Resource,$F85,'Critical resources (hide)'!AK$6:AK$105)&gt;0,$E$1=2),0,1)</f>
        <v>1</v>
      </c>
      <c r="Y85" s="67">
        <f ca="1">IF(AND(SUMIF(Capacity_Resource,$D85,'Critical resources (hide)'!AL$6:AL$105)+SUMIF(Capacity_Resource,$E85,'Critical resources (hide)'!AL$6:AL$105)+SUMIF(Capacity_Resource,$F85,'Critical resources (hide)'!AL$6:AL$105)&gt;0,$E$1=2),0,1)</f>
        <v>1</v>
      </c>
      <c r="Z85" s="67">
        <f ca="1">IF(AND(SUMIF(Capacity_Resource,$D85,'Critical resources (hide)'!AM$6:AM$105)+SUMIF(Capacity_Resource,$E85,'Critical resources (hide)'!AM$6:AM$105)+SUMIF(Capacity_Resource,$F85,'Critical resources (hide)'!AM$6:AM$105)&gt;0,$E$1=2),0,1)</f>
        <v>1</v>
      </c>
      <c r="AA85" s="67">
        <f ca="1">IF(AND(SUMIF(Capacity_Resource,$D85,'Critical resources (hide)'!AN$6:AN$105)+SUMIF(Capacity_Resource,$E85,'Critical resources (hide)'!AN$6:AN$105)+SUMIF(Capacity_Resource,$F85,'Critical resources (hide)'!AN$6:AN$105)&gt;0,$E$1=2),0,1)</f>
        <v>1</v>
      </c>
      <c r="AB85" s="67">
        <f ca="1">IF(AND(SUMIF(Capacity_Resource,$D85,'Critical resources (hide)'!AO$6:AO$105)+SUMIF(Capacity_Resource,$E85,'Critical resources (hide)'!AO$6:AO$105)+SUMIF(Capacity_Resource,$F85,'Critical resources (hide)'!AO$6:AO$105)&gt;0,$E$1=2),0,1)</f>
        <v>1</v>
      </c>
      <c r="AC85" s="67">
        <f ca="1">IF(AND(SUMIF(Capacity_Resource,$D85,'Critical resources (hide)'!AP$6:AP$105)+SUMIF(Capacity_Resource,$E85,'Critical resources (hide)'!AP$6:AP$105)+SUMIF(Capacity_Resource,$F85,'Critical resources (hide)'!AP$6:AP$105)&gt;0,$E$1=2),0,1)</f>
        <v>1</v>
      </c>
      <c r="AD85" s="67">
        <f ca="1">IF(AND(SUMIF(Capacity_Resource,$D85,'Critical resources (hide)'!AQ$6:AQ$105)+SUMIF(Capacity_Resource,$E85,'Critical resources (hide)'!AQ$6:AQ$105)+SUMIF(Capacity_Resource,$F85,'Critical resources (hide)'!AQ$6:AQ$105)&gt;0,$E$1=2),0,1)</f>
        <v>1</v>
      </c>
      <c r="AE85" s="67">
        <f ca="1">IF(AND(SUMIF(Capacity_Resource,$D85,'Critical resources (hide)'!AR$6:AR$105)+SUMIF(Capacity_Resource,$E85,'Critical resources (hide)'!AR$6:AR$105)+SUMIF(Capacity_Resource,$F85,'Critical resources (hide)'!AR$6:AR$105)&gt;0,$E$1=2),0,1)</f>
        <v>1</v>
      </c>
      <c r="AF85" s="67">
        <f ca="1">IF(AND(SUMIF(Capacity_Resource,$D85,'Critical resources (hide)'!AS$6:AS$105)+SUMIF(Capacity_Resource,$E85,'Critical resources (hide)'!AS$6:AS$105)+SUMIF(Capacity_Resource,$F85,'Critical resources (hide)'!AS$6:AS$105)&gt;0,$E$1=2),0,1)</f>
        <v>1</v>
      </c>
      <c r="AG85" s="67">
        <f ca="1">IF(AND(SUMIF(Capacity_Resource,$D85,'Critical resources (hide)'!AT$6:AT$105)+SUMIF(Capacity_Resource,$E85,'Critical resources (hide)'!AT$6:AT$105)+SUMIF(Capacity_Resource,$F85,'Critical resources (hide)'!AT$6:AT$105)&gt;0,$E$1=2),0,1)</f>
        <v>1</v>
      </c>
      <c r="AH85" s="67">
        <f ca="1">IF(AND(SUMIF(Capacity_Resource,$D85,'Critical resources (hide)'!AU$6:AU$105)+SUMIF(Capacity_Resource,$E85,'Critical resources (hide)'!AU$6:AU$105)+SUMIF(Capacity_Resource,$F85,'Critical resources (hide)'!AU$6:AU$105)&gt;0,$E$1=2),0,1)</f>
        <v>1</v>
      </c>
      <c r="AI85" s="67">
        <f ca="1">IF(AND(SUMIF(Capacity_Resource,$D85,'Critical resources (hide)'!AV$6:AV$105)+SUMIF(Capacity_Resource,$E85,'Critical resources (hide)'!AV$6:AV$105)+SUMIF(Capacity_Resource,$F85,'Critical resources (hide)'!AV$6:AV$105)&gt;0,$E$1=2),0,1)</f>
        <v>1</v>
      </c>
      <c r="AJ85" s="67">
        <f ca="1">IF(AND(SUMIF(Capacity_Resource,$D85,'Critical resources (hide)'!AW$6:AW$105)+SUMIF(Capacity_Resource,$E85,'Critical resources (hide)'!AW$6:AW$105)+SUMIF(Capacity_Resource,$F85,'Critical resources (hide)'!AW$6:AW$105)&gt;0,$E$1=2),0,1)</f>
        <v>1</v>
      </c>
      <c r="AK85" s="67">
        <f ca="1">IF(AND(SUMIF(Capacity_Resource,$D85,'Critical resources (hide)'!AX$6:AX$105)+SUMIF(Capacity_Resource,$E85,'Critical resources (hide)'!AX$6:AX$105)+SUMIF(Capacity_Resource,$F85,'Critical resources (hide)'!AX$6:AX$105)&gt;0,$E$1=2),0,1)</f>
        <v>1</v>
      </c>
      <c r="AL85" s="67">
        <f ca="1">IF(AND(SUMIF(Capacity_Resource,$D85,'Critical resources (hide)'!AY$6:AY$105)+SUMIF(Capacity_Resource,$E85,'Critical resources (hide)'!AY$6:AY$105)+SUMIF(Capacity_Resource,$F85,'Critical resources (hide)'!AY$6:AY$105)&gt;0,$E$1=2),0,1)</f>
        <v>1</v>
      </c>
      <c r="AM85" s="67">
        <f ca="1">IF(AND(SUMIF(Capacity_Resource,$D85,'Critical resources (hide)'!AZ$6:AZ$105)+SUMIF(Capacity_Resource,$E85,'Critical resources (hide)'!AZ$6:AZ$105)+SUMIF(Capacity_Resource,$F85,'Critical resources (hide)'!AZ$6:AZ$105)&gt;0,$E$1=2),0,1)</f>
        <v>1</v>
      </c>
      <c r="AN85" s="67">
        <f ca="1">IF(AND(SUMIF(Capacity_Resource,$D85,'Critical resources (hide)'!BA$6:BA$105)+SUMIF(Capacity_Resource,$E85,'Critical resources (hide)'!BA$6:BA$105)+SUMIF(Capacity_Resource,$F85,'Critical resources (hide)'!BA$6:BA$105)&gt;0,$E$1=2),0,1)</f>
        <v>1</v>
      </c>
      <c r="AO85" s="67">
        <f ca="1">IF(AND(SUMIF(Capacity_Resource,$D85,'Critical resources (hide)'!BB$6:BB$105)+SUMIF(Capacity_Resource,$E85,'Critical resources (hide)'!BB$6:BB$105)+SUMIF(Capacity_Resource,$F85,'Critical resources (hide)'!BB$6:BB$105)&gt;0,$E$1=2),0,1)</f>
        <v>1</v>
      </c>
      <c r="AP85" s="67">
        <f ca="1">IF(AND(SUMIF(Capacity_Resource,$D85,'Critical resources (hide)'!BC$6:BC$105)+SUMIF(Capacity_Resource,$E85,'Critical resources (hide)'!BC$6:BC$105)+SUMIF(Capacity_Resource,$F85,'Critical resources (hide)'!BC$6:BC$105)&gt;0,$E$1=2),0,1)</f>
        <v>1</v>
      </c>
      <c r="AQ85" s="67">
        <f ca="1">IF(AND(SUMIF(Capacity_Resource,$D85,'Critical resources (hide)'!BD$6:BD$105)+SUMIF(Capacity_Resource,$E85,'Critical resources (hide)'!BD$6:BD$105)+SUMIF(Capacity_Resource,$F85,'Critical resources (hide)'!BD$6:BD$105)&gt;0,$E$1=2),0,1)</f>
        <v>1</v>
      </c>
      <c r="AR85" s="67">
        <f ca="1">IF(AND(SUMIF(Capacity_Resource,$D85,'Critical resources (hide)'!BE$6:BE$105)+SUMIF(Capacity_Resource,$E85,'Critical resources (hide)'!BE$6:BE$105)+SUMIF(Capacity_Resource,$F85,'Critical resources (hide)'!BE$6:BE$105)&gt;0,$E$1=2),0,1)</f>
        <v>1</v>
      </c>
      <c r="AS85" s="67">
        <f ca="1">IF(AND(SUMIF(Capacity_Resource,$D85,'Critical resources (hide)'!BF$6:BF$105)+SUMIF(Capacity_Resource,$E85,'Critical resources (hide)'!BF$6:BF$105)+SUMIF(Capacity_Resource,$F85,'Critical resources (hide)'!BF$6:BF$105)&gt;0,$E$1=2),0,1)</f>
        <v>1</v>
      </c>
      <c r="AT85" s="67">
        <f ca="1">IF(AND(SUMIF(Capacity_Resource,$D85,'Critical resources (hide)'!BG$6:BG$105)+SUMIF(Capacity_Resource,$E85,'Critical resources (hide)'!BG$6:BG$105)+SUMIF(Capacity_Resource,$F85,'Critical resources (hide)'!BG$6:BG$105)&gt;0,$E$1=2),0,1)</f>
        <v>1</v>
      </c>
      <c r="AU85" s="67">
        <f ca="1">IF(AND(SUMIF(Capacity_Resource,$D85,'Critical resources (hide)'!BH$6:BH$105)+SUMIF(Capacity_Resource,$E85,'Critical resources (hide)'!BH$6:BH$105)+SUMIF(Capacity_Resource,$F85,'Critical resources (hide)'!BH$6:BH$105)&gt;0,$E$1=2),0,1)</f>
        <v>1</v>
      </c>
      <c r="AV85" s="67">
        <f ca="1">IF(AND(SUMIF(Capacity_Resource,$D85,'Critical resources (hide)'!BI$6:BI$105)+SUMIF(Capacity_Resource,$E85,'Critical resources (hide)'!BI$6:BI$105)+SUMIF(Capacity_Resource,$F85,'Critical resources (hide)'!BI$6:BI$105)&gt;0,$E$1=2),0,1)</f>
        <v>1</v>
      </c>
      <c r="AW85" s="67">
        <f ca="1">IF(AND(SUMIF(Capacity_Resource,$D85,'Critical resources (hide)'!BJ$6:BJ$105)+SUMIF(Capacity_Resource,$E85,'Critical resources (hide)'!BJ$6:BJ$105)+SUMIF(Capacity_Resource,$F85,'Critical resources (hide)'!BJ$6:BJ$105)&gt;0,$E$1=2),0,1)</f>
        <v>1</v>
      </c>
      <c r="AX85" s="67">
        <f ca="1">IF(AND(SUMIF(Capacity_Resource,$D85,'Critical resources (hide)'!BK$6:BK$105)+SUMIF(Capacity_Resource,$E85,'Critical resources (hide)'!BK$6:BK$105)+SUMIF(Capacity_Resource,$F85,'Critical resources (hide)'!BK$6:BK$105)&gt;0,$E$1=2),0,1)</f>
        <v>1</v>
      </c>
      <c r="AY85" s="67">
        <f ca="1">IF(AND(SUMIF(Capacity_Resource,$D85,'Critical resources (hide)'!BL$6:BL$105)+SUMIF(Capacity_Resource,$E85,'Critical resources (hide)'!BL$6:BL$105)+SUMIF(Capacity_Resource,$F85,'Critical resources (hide)'!BL$6:BL$105)&gt;0,$E$1=2),0,1)</f>
        <v>1</v>
      </c>
      <c r="AZ85" s="67">
        <f ca="1">IF(AND(SUMIF(Capacity_Resource,$D85,'Critical resources (hide)'!BM$6:BM$105)+SUMIF(Capacity_Resource,$E85,'Critical resources (hide)'!BM$6:BM$105)+SUMIF(Capacity_Resource,$F85,'Critical resources (hide)'!BM$6:BM$105)&gt;0,$E$1=2),0,1)</f>
        <v>1</v>
      </c>
      <c r="BA85" s="67">
        <f ca="1">IF(AND(SUMIF(Capacity_Resource,$D85,'Critical resources (hide)'!BN$6:BN$105)+SUMIF(Capacity_Resource,$E85,'Critical resources (hide)'!BN$6:BN$105)+SUMIF(Capacity_Resource,$F85,'Critical resources (hide)'!BN$6:BN$105)&gt;0,$E$1=2),0,1)</f>
        <v>1</v>
      </c>
      <c r="BB85" s="67">
        <f ca="1">IF(AND(SUMIF(Capacity_Resource,$D85,'Critical resources (hide)'!BO$6:BO$105)+SUMIF(Capacity_Resource,$E85,'Critical resources (hide)'!BO$6:BO$105)+SUMIF(Capacity_Resource,$F85,'Critical resources (hide)'!BO$6:BO$105)&gt;0,$E$1=2),0,1)</f>
        <v>1</v>
      </c>
      <c r="BC85" s="67">
        <f ca="1">IF(AND(SUMIF(Capacity_Resource,$D85,'Critical resources (hide)'!BP$6:BP$105)+SUMIF(Capacity_Resource,$E85,'Critical resources (hide)'!BP$6:BP$105)+SUMIF(Capacity_Resource,$F85,'Critical resources (hide)'!BP$6:BP$105)&gt;0,$E$1=2),0,1)</f>
        <v>1</v>
      </c>
      <c r="BD85" s="67">
        <f ca="1">IF(AND(SUMIF(Capacity_Resource,$D85,'Critical resources (hide)'!BQ$6:BQ$105)+SUMIF(Capacity_Resource,$E85,'Critical resources (hide)'!BQ$6:BQ$105)+SUMIF(Capacity_Resource,$F85,'Critical resources (hide)'!BQ$6:BQ$105)&gt;0,$E$1=2),0,1)</f>
        <v>1</v>
      </c>
      <c r="BE85" s="67">
        <f ca="1">IF(AND(SUMIF(Capacity_Resource,$D85,'Critical resources (hide)'!BR$6:BR$105)+SUMIF(Capacity_Resource,$E85,'Critical resources (hide)'!BR$6:BR$105)+SUMIF(Capacity_Resource,$F85,'Critical resources (hide)'!BR$6:BR$105)&gt;0,$E$1=2),0,1)</f>
        <v>1</v>
      </c>
      <c r="BF85" s="67">
        <f ca="1">IF(AND(SUMIF(Capacity_Resource,$D85,'Critical resources (hide)'!BS$6:BS$105)+SUMIF(Capacity_Resource,$E85,'Critical resources (hide)'!BS$6:BS$105)+SUMIF(Capacity_Resource,$F85,'Critical resources (hide)'!BS$6:BS$105)&gt;0,$E$1=2),0,1)</f>
        <v>1</v>
      </c>
      <c r="BG85" s="67">
        <f ca="1">IF(AND(SUMIF(Capacity_Resource,$D85,'Critical resources (hide)'!BT$6:BT$105)+SUMIF(Capacity_Resource,$E85,'Critical resources (hide)'!BT$6:BT$105)+SUMIF(Capacity_Resource,$F85,'Critical resources (hide)'!BT$6:BT$105)&gt;0,$E$1=2),0,1)</f>
        <v>1</v>
      </c>
      <c r="BH85" s="67">
        <f>IF(ROW(C81)&lt;=Capacity!$A$16,IF('Capacity summary'!$D$14="No",SUM(H85:BG85),'Capacity summary'!$E204),0)</f>
        <v>0</v>
      </c>
      <c r="BI85" s="5" t="str">
        <f>IF(BH85&gt;0,IF(BH85&lt;Capacity!E97,Capacity!F97,Capacity!H97/'Capacity calculation (hide)'!BH85),"")</f>
        <v/>
      </c>
      <c r="BK85" s="313">
        <f>IF($BI85&lt;&gt;"",IF('Capacity summary'!$D$14="Yes",IF(COUNTBLANK('Capacity summary'!$H204:$BG204)&lt;52,IF('Capacity summary'!H204&lt;&gt;"",IF(LOWER('Capacity summary'!H204)="x",$BI85*H85,VALUE('Capacity summary'!H204)),0),H85*$BI85),H85*$BI85),0)</f>
        <v>0</v>
      </c>
      <c r="BL85" s="313">
        <f>IF($BI85&lt;&gt;"",IF('Capacity summary'!$D$14="Yes",IF(COUNTBLANK('Capacity summary'!$H204:$BG204)&lt;52,IF('Capacity summary'!I204&lt;&gt;"",IF(LOWER('Capacity summary'!I204)="x",$BI85*I85,VALUE('Capacity summary'!I204)),0),I85*$BI85),I85*$BI85),0)</f>
        <v>0</v>
      </c>
      <c r="BM85" s="313">
        <f>IF($BI85&lt;&gt;"",IF('Capacity summary'!$D$14="Yes",IF(COUNTBLANK('Capacity summary'!$H204:$BG204)&lt;52,IF('Capacity summary'!J204&lt;&gt;"",IF(LOWER('Capacity summary'!J204)="x",$BI85*J85,VALUE('Capacity summary'!J204)),0),J85*$BI85),J85*$BI85),0)</f>
        <v>0</v>
      </c>
      <c r="BN85" s="313">
        <f>IF($BI85&lt;&gt;"",IF('Capacity summary'!$D$14="Yes",IF(COUNTBLANK('Capacity summary'!$H204:$BG204)&lt;52,IF('Capacity summary'!K204&lt;&gt;"",IF(LOWER('Capacity summary'!K204)="x",$BI85*K85,VALUE('Capacity summary'!K204)),0),K85*$BI85),K85*$BI85),0)</f>
        <v>0</v>
      </c>
      <c r="BO85" s="313">
        <f>IF($BI85&lt;&gt;"",IF('Capacity summary'!$D$14="Yes",IF(COUNTBLANK('Capacity summary'!$H204:$BG204)&lt;52,IF('Capacity summary'!L204&lt;&gt;"",IF(LOWER('Capacity summary'!L204)="x",$BI85*L85,VALUE('Capacity summary'!L204)),0),L85*$BI85),L85*$BI85),0)</f>
        <v>0</v>
      </c>
      <c r="BP85" s="313">
        <f>IF($BI85&lt;&gt;"",IF('Capacity summary'!$D$14="Yes",IF(COUNTBLANK('Capacity summary'!$H204:$BG204)&lt;52,IF('Capacity summary'!M204&lt;&gt;"",IF(LOWER('Capacity summary'!M204)="x",$BI85*M85,VALUE('Capacity summary'!M204)),0),M85*$BI85),M85*$BI85),0)</f>
        <v>0</v>
      </c>
      <c r="BQ85" s="313">
        <f>IF($BI85&lt;&gt;"",IF('Capacity summary'!$D$14="Yes",IF(COUNTBLANK('Capacity summary'!$H204:$BG204)&lt;52,IF('Capacity summary'!N204&lt;&gt;"",IF(LOWER('Capacity summary'!N204)="x",$BI85*N85,VALUE('Capacity summary'!N204)),0),N85*$BI85),N85*$BI85),0)</f>
        <v>0</v>
      </c>
      <c r="BR85" s="313">
        <f>IF($BI85&lt;&gt;"",IF('Capacity summary'!$D$14="Yes",IF(COUNTBLANK('Capacity summary'!$H204:$BG204)&lt;52,IF('Capacity summary'!O204&lt;&gt;"",IF(LOWER('Capacity summary'!O204)="x",$BI85*O85,VALUE('Capacity summary'!O204)),0),O85*$BI85),O85*$BI85),0)</f>
        <v>0</v>
      </c>
      <c r="BS85" s="313">
        <f>IF($BI85&lt;&gt;"",IF('Capacity summary'!$D$14="Yes",IF(COUNTBLANK('Capacity summary'!$H204:$BG204)&lt;52,IF('Capacity summary'!P204&lt;&gt;"",IF(LOWER('Capacity summary'!P204)="x",$BI85*P85,VALUE('Capacity summary'!P204)),0),P85*$BI85),P85*$BI85),0)</f>
        <v>0</v>
      </c>
      <c r="BT85" s="313">
        <f>IF($BI85&lt;&gt;"",IF('Capacity summary'!$D$14="Yes",IF(COUNTBLANK('Capacity summary'!$H204:$BG204)&lt;52,IF('Capacity summary'!Q204&lt;&gt;"",IF(LOWER('Capacity summary'!Q204)="x",$BI85*Q85,VALUE('Capacity summary'!Q204)),0),Q85*$BI85),Q85*$BI85),0)</f>
        <v>0</v>
      </c>
      <c r="BU85" s="313">
        <f>IF($BI85&lt;&gt;"",IF('Capacity summary'!$D$14="Yes",IF(COUNTBLANK('Capacity summary'!$H204:$BG204)&lt;52,IF('Capacity summary'!R204&lt;&gt;"",IF(LOWER('Capacity summary'!R204)="x",$BI85*R85,VALUE('Capacity summary'!R204)),0),R85*$BI85),R85*$BI85),0)</f>
        <v>0</v>
      </c>
      <c r="BV85" s="313">
        <f>IF($BI85&lt;&gt;"",IF('Capacity summary'!$D$14="Yes",IF(COUNTBLANK('Capacity summary'!$H204:$BG204)&lt;52,IF('Capacity summary'!S204&lt;&gt;"",IF(LOWER('Capacity summary'!S204)="x",$BI85*S85,VALUE('Capacity summary'!S204)),0),S85*$BI85),S85*$BI85),0)</f>
        <v>0</v>
      </c>
      <c r="BW85" s="313">
        <f>IF($BI85&lt;&gt;"",IF('Capacity summary'!$D$14="Yes",IF(COUNTBLANK('Capacity summary'!$H204:$BG204)&lt;52,IF('Capacity summary'!T204&lt;&gt;"",IF(LOWER('Capacity summary'!T204)="x",$BI85*T85,VALUE('Capacity summary'!T204)),0),T85*$BI85),T85*$BI85),0)</f>
        <v>0</v>
      </c>
      <c r="BX85" s="313">
        <f>IF($BI85&lt;&gt;"",IF('Capacity summary'!$D$14="Yes",IF(COUNTBLANK('Capacity summary'!$H204:$BG204)&lt;52,IF('Capacity summary'!U204&lt;&gt;"",IF(LOWER('Capacity summary'!U204)="x",$BI85*U85,VALUE('Capacity summary'!U204)),0),U85*$BI85),U85*$BI85),0)</f>
        <v>0</v>
      </c>
      <c r="BY85" s="313">
        <f>IF($BI85&lt;&gt;"",IF('Capacity summary'!$D$14="Yes",IF(COUNTBLANK('Capacity summary'!$H204:$BG204)&lt;52,IF('Capacity summary'!V204&lt;&gt;"",IF(LOWER('Capacity summary'!V204)="x",$BI85*V85,VALUE('Capacity summary'!V204)),0),V85*$BI85),V85*$BI85),0)</f>
        <v>0</v>
      </c>
      <c r="BZ85" s="313">
        <f>IF($BI85&lt;&gt;"",IF('Capacity summary'!$D$14="Yes",IF(COUNTBLANK('Capacity summary'!$H204:$BG204)&lt;52,IF('Capacity summary'!W204&lt;&gt;"",IF(LOWER('Capacity summary'!W204)="x",$BI85*W85,VALUE('Capacity summary'!W204)),0),W85*$BI85),W85*$BI85),0)</f>
        <v>0</v>
      </c>
      <c r="CA85" s="313">
        <f>IF($BI85&lt;&gt;"",IF('Capacity summary'!$D$14="Yes",IF(COUNTBLANK('Capacity summary'!$H204:$BG204)&lt;52,IF('Capacity summary'!X204&lt;&gt;"",IF(LOWER('Capacity summary'!X204)="x",$BI85*X85,VALUE('Capacity summary'!X204)),0),X85*$BI85),X85*$BI85),0)</f>
        <v>0</v>
      </c>
      <c r="CB85" s="313">
        <f>IF($BI85&lt;&gt;"",IF('Capacity summary'!$D$14="Yes",IF(COUNTBLANK('Capacity summary'!$H204:$BG204)&lt;52,IF('Capacity summary'!Y204&lt;&gt;"",IF(LOWER('Capacity summary'!Y204)="x",$BI85*Y85,VALUE('Capacity summary'!Y204)),0),Y85*$BI85),Y85*$BI85),0)</f>
        <v>0</v>
      </c>
      <c r="CC85" s="313">
        <f>IF($BI85&lt;&gt;"",IF('Capacity summary'!$D$14="Yes",IF(COUNTBLANK('Capacity summary'!$H204:$BG204)&lt;52,IF('Capacity summary'!Z204&lt;&gt;"",IF(LOWER('Capacity summary'!Z204)="x",$BI85*Z85,VALUE('Capacity summary'!Z204)),0),Z85*$BI85),Z85*$BI85),0)</f>
        <v>0</v>
      </c>
      <c r="CD85" s="313">
        <f>IF($BI85&lt;&gt;"",IF('Capacity summary'!$D$14="Yes",IF(COUNTBLANK('Capacity summary'!$H204:$BG204)&lt;52,IF('Capacity summary'!AA204&lt;&gt;"",IF(LOWER('Capacity summary'!AA204)="x",$BI85*AA85,VALUE('Capacity summary'!AA204)),0),AA85*$BI85),AA85*$BI85),0)</f>
        <v>0</v>
      </c>
      <c r="CE85" s="313">
        <f>IF($BI85&lt;&gt;"",IF('Capacity summary'!$D$14="Yes",IF(COUNTBLANK('Capacity summary'!$H204:$BG204)&lt;52,IF('Capacity summary'!AB204&lt;&gt;"",IF(LOWER('Capacity summary'!AB204)="x",$BI85*AB85,VALUE('Capacity summary'!AB204)),0),AB85*$BI85),AB85*$BI85),0)</f>
        <v>0</v>
      </c>
      <c r="CF85" s="313">
        <f>IF($BI85&lt;&gt;"",IF('Capacity summary'!$D$14="Yes",IF(COUNTBLANK('Capacity summary'!$H204:$BG204)&lt;52,IF('Capacity summary'!AC204&lt;&gt;"",IF(LOWER('Capacity summary'!AC204)="x",$BI85*AC85,VALUE('Capacity summary'!AC204)),0),AC85*$BI85),AC85*$BI85),0)</f>
        <v>0</v>
      </c>
      <c r="CG85" s="313">
        <f>IF($BI85&lt;&gt;"",IF('Capacity summary'!$D$14="Yes",IF(COUNTBLANK('Capacity summary'!$H204:$BG204)&lt;52,IF('Capacity summary'!AD204&lt;&gt;"",IF(LOWER('Capacity summary'!AD204)="x",$BI85*AD85,VALUE('Capacity summary'!AD204)),0),AD85*$BI85),AD85*$BI85),0)</f>
        <v>0</v>
      </c>
      <c r="CH85" s="313">
        <f>IF($BI85&lt;&gt;"",IF('Capacity summary'!$D$14="Yes",IF(COUNTBLANK('Capacity summary'!$H204:$BG204)&lt;52,IF('Capacity summary'!AE204&lt;&gt;"",IF(LOWER('Capacity summary'!AE204)="x",$BI85*AE85,VALUE('Capacity summary'!AE204)),0),AE85*$BI85),AE85*$BI85),0)</f>
        <v>0</v>
      </c>
      <c r="CI85" s="313">
        <f>IF($BI85&lt;&gt;"",IF('Capacity summary'!$D$14="Yes",IF(COUNTBLANK('Capacity summary'!$H204:$BG204)&lt;52,IF('Capacity summary'!AF204&lt;&gt;"",IF(LOWER('Capacity summary'!AF204)="x",$BI85*AF85,VALUE('Capacity summary'!AF204)),0),AF85*$BI85),AF85*$BI85),0)</f>
        <v>0</v>
      </c>
      <c r="CJ85" s="313">
        <f>IF($BI85&lt;&gt;"",IF('Capacity summary'!$D$14="Yes",IF(COUNTBLANK('Capacity summary'!$H204:$BG204)&lt;52,IF('Capacity summary'!AG204&lt;&gt;"",IF(LOWER('Capacity summary'!AG204)="x",$BI85*AG85,VALUE('Capacity summary'!AG204)),0),AG85*$BI85),AG85*$BI85),0)</f>
        <v>0</v>
      </c>
      <c r="CK85" s="313">
        <f>IF($BI85&lt;&gt;"",IF('Capacity summary'!$D$14="Yes",IF(COUNTBLANK('Capacity summary'!$H204:$BG204)&lt;52,IF('Capacity summary'!AH204&lt;&gt;"",IF(LOWER('Capacity summary'!AH204)="x",$BI85*AH85,VALUE('Capacity summary'!AH204)),0),AH85*$BI85),AH85*$BI85),0)</f>
        <v>0</v>
      </c>
      <c r="CL85" s="313">
        <f>IF($BI85&lt;&gt;"",IF('Capacity summary'!$D$14="Yes",IF(COUNTBLANK('Capacity summary'!$H204:$BG204)&lt;52,IF('Capacity summary'!AI204&lt;&gt;"",IF(LOWER('Capacity summary'!AI204)="x",$BI85*AI85,VALUE('Capacity summary'!AI204)),0),AI85*$BI85),AI85*$BI85),0)</f>
        <v>0</v>
      </c>
      <c r="CM85" s="313">
        <f>IF($BI85&lt;&gt;"",IF('Capacity summary'!$D$14="Yes",IF(COUNTBLANK('Capacity summary'!$H204:$BG204)&lt;52,IF('Capacity summary'!AJ204&lt;&gt;"",IF(LOWER('Capacity summary'!AJ204)="x",$BI85*AJ85,VALUE('Capacity summary'!AJ204)),0),AJ85*$BI85),AJ85*$BI85),0)</f>
        <v>0</v>
      </c>
      <c r="CN85" s="313">
        <f>IF($BI85&lt;&gt;"",IF('Capacity summary'!$D$14="Yes",IF(COUNTBLANK('Capacity summary'!$H204:$BG204)&lt;52,IF('Capacity summary'!AK204&lt;&gt;"",IF(LOWER('Capacity summary'!AK204)="x",$BI85*AK85,VALUE('Capacity summary'!AK204)),0),AK85*$BI85),AK85*$BI85),0)</f>
        <v>0</v>
      </c>
      <c r="CO85" s="313">
        <f>IF($BI85&lt;&gt;"",IF('Capacity summary'!$D$14="Yes",IF(COUNTBLANK('Capacity summary'!$H204:$BG204)&lt;52,IF('Capacity summary'!AL204&lt;&gt;"",IF(LOWER('Capacity summary'!AL204)="x",$BI85*AL85,VALUE('Capacity summary'!AL204)),0),AL85*$BI85),AL85*$BI85),0)</f>
        <v>0</v>
      </c>
      <c r="CP85" s="313">
        <f>IF($BI85&lt;&gt;"",IF('Capacity summary'!$D$14="Yes",IF(COUNTBLANK('Capacity summary'!$H204:$BG204)&lt;52,IF('Capacity summary'!AM204&lt;&gt;"",IF(LOWER('Capacity summary'!AM204)="x",$BI85*AM85,VALUE('Capacity summary'!AM204)),0),AM85*$BI85),AM85*$BI85),0)</f>
        <v>0</v>
      </c>
      <c r="CQ85" s="313">
        <f>IF($BI85&lt;&gt;"",IF('Capacity summary'!$D$14="Yes",IF(COUNTBLANK('Capacity summary'!$H204:$BG204)&lt;52,IF('Capacity summary'!AN204&lt;&gt;"",IF(LOWER('Capacity summary'!AN204)="x",$BI85*AN85,VALUE('Capacity summary'!AN204)),0),AN85*$BI85),AN85*$BI85),0)</f>
        <v>0</v>
      </c>
      <c r="CR85" s="313">
        <f>IF($BI85&lt;&gt;"",IF('Capacity summary'!$D$14="Yes",IF(COUNTBLANK('Capacity summary'!$H204:$BG204)&lt;52,IF('Capacity summary'!AO204&lt;&gt;"",IF(LOWER('Capacity summary'!AO204)="x",$BI85*AO85,VALUE('Capacity summary'!AO204)),0),AO85*$BI85),AO85*$BI85),0)</f>
        <v>0</v>
      </c>
      <c r="CS85" s="313">
        <f>IF($BI85&lt;&gt;"",IF('Capacity summary'!$D$14="Yes",IF(COUNTBLANK('Capacity summary'!$H204:$BG204)&lt;52,IF('Capacity summary'!AP204&lt;&gt;"",IF(LOWER('Capacity summary'!AP204)="x",$BI85*AP85,VALUE('Capacity summary'!AP204)),0),AP85*$BI85),AP85*$BI85),0)</f>
        <v>0</v>
      </c>
      <c r="CT85" s="313">
        <f>IF($BI85&lt;&gt;"",IF('Capacity summary'!$D$14="Yes",IF(COUNTBLANK('Capacity summary'!$H204:$BG204)&lt;52,IF('Capacity summary'!AQ204&lt;&gt;"",IF(LOWER('Capacity summary'!AQ204)="x",$BI85*AQ85,VALUE('Capacity summary'!AQ204)),0),AQ85*$BI85),AQ85*$BI85),0)</f>
        <v>0</v>
      </c>
      <c r="CU85" s="313">
        <f>IF($BI85&lt;&gt;"",IF('Capacity summary'!$D$14="Yes",IF(COUNTBLANK('Capacity summary'!$H204:$BG204)&lt;52,IF('Capacity summary'!AR204&lt;&gt;"",IF(LOWER('Capacity summary'!AR204)="x",$BI85*AR85,VALUE('Capacity summary'!AR204)),0),AR85*$BI85),AR85*$BI85),0)</f>
        <v>0</v>
      </c>
      <c r="CV85" s="313">
        <f>IF($BI85&lt;&gt;"",IF('Capacity summary'!$D$14="Yes",IF(COUNTBLANK('Capacity summary'!$H204:$BG204)&lt;52,IF('Capacity summary'!AS204&lt;&gt;"",IF(LOWER('Capacity summary'!AS204)="x",$BI85*AS85,VALUE('Capacity summary'!AS204)),0),AS85*$BI85),AS85*$BI85),0)</f>
        <v>0</v>
      </c>
      <c r="CW85" s="313">
        <f>IF($BI85&lt;&gt;"",IF('Capacity summary'!$D$14="Yes",IF(COUNTBLANK('Capacity summary'!$H204:$BG204)&lt;52,IF('Capacity summary'!AT204&lt;&gt;"",IF(LOWER('Capacity summary'!AT204)="x",$BI85*AT85,VALUE('Capacity summary'!AT204)),0),AT85*$BI85),AT85*$BI85),0)</f>
        <v>0</v>
      </c>
      <c r="CX85" s="313">
        <f>IF($BI85&lt;&gt;"",IF('Capacity summary'!$D$14="Yes",IF(COUNTBLANK('Capacity summary'!$H204:$BG204)&lt;52,IF('Capacity summary'!AU204&lt;&gt;"",IF(LOWER('Capacity summary'!AU204)="x",$BI85*AU85,VALUE('Capacity summary'!AU204)),0),AU85*$BI85),AU85*$BI85),0)</f>
        <v>0</v>
      </c>
      <c r="CY85" s="313">
        <f>IF($BI85&lt;&gt;"",IF('Capacity summary'!$D$14="Yes",IF(COUNTBLANK('Capacity summary'!$H204:$BG204)&lt;52,IF('Capacity summary'!AV204&lt;&gt;"",IF(LOWER('Capacity summary'!AV204)="x",$BI85*AV85,VALUE('Capacity summary'!AV204)),0),AV85*$BI85),AV85*$BI85),0)</f>
        <v>0</v>
      </c>
      <c r="CZ85" s="313">
        <f>IF($BI85&lt;&gt;"",IF('Capacity summary'!$D$14="Yes",IF(COUNTBLANK('Capacity summary'!$H204:$BG204)&lt;52,IF('Capacity summary'!AW204&lt;&gt;"",IF(LOWER('Capacity summary'!AW204)="x",$BI85*AW85,VALUE('Capacity summary'!AW204)),0),AW85*$BI85),AW85*$BI85),0)</f>
        <v>0</v>
      </c>
      <c r="DA85" s="313">
        <f>IF($BI85&lt;&gt;"",IF('Capacity summary'!$D$14="Yes",IF(COUNTBLANK('Capacity summary'!$H204:$BG204)&lt;52,IF('Capacity summary'!AX204&lt;&gt;"",IF(LOWER('Capacity summary'!AX204)="x",$BI85*AX85,VALUE('Capacity summary'!AX204)),0),AX85*$BI85),AX85*$BI85),0)</f>
        <v>0</v>
      </c>
      <c r="DB85" s="313">
        <f>IF($BI85&lt;&gt;"",IF('Capacity summary'!$D$14="Yes",IF(COUNTBLANK('Capacity summary'!$H204:$BG204)&lt;52,IF('Capacity summary'!AY204&lt;&gt;"",IF(LOWER('Capacity summary'!AY204)="x",$BI85*AY85,VALUE('Capacity summary'!AY204)),0),AY85*$BI85),AY85*$BI85),0)</f>
        <v>0</v>
      </c>
      <c r="DC85" s="313">
        <f>IF($BI85&lt;&gt;"",IF('Capacity summary'!$D$14="Yes",IF(COUNTBLANK('Capacity summary'!$H204:$BG204)&lt;52,IF('Capacity summary'!AZ204&lt;&gt;"",IF(LOWER('Capacity summary'!AZ204)="x",$BI85*AZ85,VALUE('Capacity summary'!AZ204)),0),AZ85*$BI85),AZ85*$BI85),0)</f>
        <v>0</v>
      </c>
      <c r="DD85" s="313">
        <f>IF($BI85&lt;&gt;"",IF('Capacity summary'!$D$14="Yes",IF(COUNTBLANK('Capacity summary'!$H204:$BG204)&lt;52,IF('Capacity summary'!BA204&lt;&gt;"",IF(LOWER('Capacity summary'!BA204)="x",$BI85*BA85,VALUE('Capacity summary'!BA204)),0),BA85*$BI85),BA85*$BI85),0)</f>
        <v>0</v>
      </c>
      <c r="DE85" s="313">
        <f>IF($BI85&lt;&gt;"",IF('Capacity summary'!$D$14="Yes",IF(COUNTBLANK('Capacity summary'!$H204:$BG204)&lt;52,IF('Capacity summary'!BB204&lt;&gt;"",IF(LOWER('Capacity summary'!BB204)="x",$BI85*BB85,VALUE('Capacity summary'!BB204)),0),BB85*$BI85),BB85*$BI85),0)</f>
        <v>0</v>
      </c>
      <c r="DF85" s="313">
        <f>IF($BI85&lt;&gt;"",IF('Capacity summary'!$D$14="Yes",IF(COUNTBLANK('Capacity summary'!$H204:$BG204)&lt;52,IF('Capacity summary'!BC204&lt;&gt;"",IF(LOWER('Capacity summary'!BC204)="x",$BI85*BC85,VALUE('Capacity summary'!BC204)),0),BC85*$BI85),BC85*$BI85),0)</f>
        <v>0</v>
      </c>
      <c r="DG85" s="313">
        <f>IF($BI85&lt;&gt;"",IF('Capacity summary'!$D$14="Yes",IF(COUNTBLANK('Capacity summary'!$H204:$BG204)&lt;52,IF('Capacity summary'!BD204&lt;&gt;"",IF(LOWER('Capacity summary'!BD204)="x",$BI85*BD85,VALUE('Capacity summary'!BD204)),0),BD85*$BI85),BD85*$BI85),0)</f>
        <v>0</v>
      </c>
      <c r="DH85" s="313">
        <f>IF($BI85&lt;&gt;"",IF('Capacity summary'!$D$14="Yes",IF(COUNTBLANK('Capacity summary'!$H204:$BG204)&lt;52,IF('Capacity summary'!BE204&lt;&gt;"",IF(LOWER('Capacity summary'!BE204)="x",$BI85*BE85,VALUE('Capacity summary'!BE204)),0),BE85*$BI85),BE85*$BI85),0)</f>
        <v>0</v>
      </c>
      <c r="DI85" s="313">
        <f>IF($BI85&lt;&gt;"",IF('Capacity summary'!$D$14="Yes",IF(COUNTBLANK('Capacity summary'!$H204:$BG204)&lt;52,IF('Capacity summary'!BF204&lt;&gt;"",IF(LOWER('Capacity summary'!BF204)="x",$BI85*BF85,VALUE('Capacity summary'!BF204)),0),BF85*$BI85),BF85*$BI85),0)</f>
        <v>0</v>
      </c>
      <c r="DJ85" s="313">
        <f>IF($BI85&lt;&gt;"",IF('Capacity summary'!$D$14="Yes",IF(COUNTBLANK('Capacity summary'!$H204:$BG204)&lt;52,IF('Capacity summary'!BG204&lt;&gt;"",IF(LOWER('Capacity summary'!BG204)="x",$BI85*BG85,VALUE('Capacity summary'!BG204)),0),BG85*$BI85),BG85*$BI85),0)</f>
        <v>0</v>
      </c>
      <c r="DK85" s="137">
        <f t="shared" si="3"/>
        <v>0</v>
      </c>
      <c r="DL85" s="313" t="str">
        <f>Capacity!H97</f>
        <v/>
      </c>
    </row>
    <row r="86" spans="2:116" x14ac:dyDescent="0.25">
      <c r="B86" s="67"/>
      <c r="C86" s="67" t="str">
        <f>ROW(A82)&amp;". "&amp;Capacity!B98</f>
        <v xml:space="preserve">82. </v>
      </c>
      <c r="D86" s="67">
        <f>'Capacity setup'!C93</f>
        <v>0</v>
      </c>
      <c r="E86" s="67">
        <f>'Capacity setup'!D93</f>
        <v>0</v>
      </c>
      <c r="F86" s="67">
        <f>'Capacity setup'!E93</f>
        <v>0</v>
      </c>
      <c r="H86" s="67">
        <f ca="1">IF(AND(SUMIF(Capacity_Resource,$D86,'Critical resources (hide)'!U$6:U$105)+SUMIF(Capacity_Resource,$E86,'Critical resources (hide)'!U$6:U$105)+SUMIF(Capacity_Resource,$F86,'Critical resources (hide)'!U$6:U$105)&gt;0,$E$1=2),0,1)</f>
        <v>1</v>
      </c>
      <c r="I86" s="67">
        <f ca="1">IF(AND(SUMIF(Capacity_Resource,$D86,'Critical resources (hide)'!V$6:V$105)+SUMIF(Capacity_Resource,$E86,'Critical resources (hide)'!V$6:V$105)+SUMIF(Capacity_Resource,$F86,'Critical resources (hide)'!V$6:V$105)&gt;0,$E$1=2),0,1)</f>
        <v>1</v>
      </c>
      <c r="J86" s="67">
        <f ca="1">IF(AND(SUMIF(Capacity_Resource,$D86,'Critical resources (hide)'!W$6:W$105)+SUMIF(Capacity_Resource,$E86,'Critical resources (hide)'!W$6:W$105)+SUMIF(Capacity_Resource,$F86,'Critical resources (hide)'!W$6:W$105)&gt;0,$E$1=2),0,1)</f>
        <v>1</v>
      </c>
      <c r="K86" s="67">
        <f ca="1">IF(AND(SUMIF(Capacity_Resource,$D86,'Critical resources (hide)'!X$6:X$105)+SUMIF(Capacity_Resource,$E86,'Critical resources (hide)'!X$6:X$105)+SUMIF(Capacity_Resource,$F86,'Critical resources (hide)'!X$6:X$105)&gt;0,$E$1=2),0,1)</f>
        <v>1</v>
      </c>
      <c r="L86" s="67">
        <f ca="1">IF(AND(SUMIF(Capacity_Resource,$D86,'Critical resources (hide)'!Y$6:Y$105)+SUMIF(Capacity_Resource,$E86,'Critical resources (hide)'!Y$6:Y$105)+SUMIF(Capacity_Resource,$F86,'Critical resources (hide)'!Y$6:Y$105)&gt;0,$E$1=2),0,1)</f>
        <v>1</v>
      </c>
      <c r="M86" s="67">
        <f ca="1">IF(AND(SUMIF(Capacity_Resource,$D86,'Critical resources (hide)'!Z$6:Z$105)+SUMIF(Capacity_Resource,$E86,'Critical resources (hide)'!Z$6:Z$105)+SUMIF(Capacity_Resource,$F86,'Critical resources (hide)'!Z$6:Z$105)&gt;0,$E$1=2),0,1)</f>
        <v>1</v>
      </c>
      <c r="N86" s="67">
        <f ca="1">IF(AND(SUMIF(Capacity_Resource,$D86,'Critical resources (hide)'!AA$6:AA$105)+SUMIF(Capacity_Resource,$E86,'Critical resources (hide)'!AA$6:AA$105)+SUMIF(Capacity_Resource,$F86,'Critical resources (hide)'!AA$6:AA$105)&gt;0,$E$1=2),0,1)</f>
        <v>1</v>
      </c>
      <c r="O86" s="67">
        <f ca="1">IF(AND(SUMIF(Capacity_Resource,$D86,'Critical resources (hide)'!AB$6:AB$105)+SUMIF(Capacity_Resource,$E86,'Critical resources (hide)'!AB$6:AB$105)+SUMIF(Capacity_Resource,$F86,'Critical resources (hide)'!AB$6:AB$105)&gt;0,$E$1=2),0,1)</f>
        <v>1</v>
      </c>
      <c r="P86" s="67">
        <f ca="1">IF(AND(SUMIF(Capacity_Resource,$D86,'Critical resources (hide)'!AC$6:AC$105)+SUMIF(Capacity_Resource,$E86,'Critical resources (hide)'!AC$6:AC$105)+SUMIF(Capacity_Resource,$F86,'Critical resources (hide)'!AC$6:AC$105)&gt;0,$E$1=2),0,1)</f>
        <v>1</v>
      </c>
      <c r="Q86" s="67">
        <f ca="1">IF(AND(SUMIF(Capacity_Resource,$D86,'Critical resources (hide)'!AD$6:AD$105)+SUMIF(Capacity_Resource,$E86,'Critical resources (hide)'!AD$6:AD$105)+SUMIF(Capacity_Resource,$F86,'Critical resources (hide)'!AD$6:AD$105)&gt;0,$E$1=2),0,1)</f>
        <v>1</v>
      </c>
      <c r="R86" s="67">
        <f ca="1">IF(AND(SUMIF(Capacity_Resource,$D86,'Critical resources (hide)'!AE$6:AE$105)+SUMIF(Capacity_Resource,$E86,'Critical resources (hide)'!AE$6:AE$105)+SUMIF(Capacity_Resource,$F86,'Critical resources (hide)'!AE$6:AE$105)&gt;0,$E$1=2),0,1)</f>
        <v>1</v>
      </c>
      <c r="S86" s="67">
        <f ca="1">IF(AND(SUMIF(Capacity_Resource,$D86,'Critical resources (hide)'!AF$6:AF$105)+SUMIF(Capacity_Resource,$E86,'Critical resources (hide)'!AF$6:AF$105)+SUMIF(Capacity_Resource,$F86,'Critical resources (hide)'!AF$6:AF$105)&gt;0,$E$1=2),0,1)</f>
        <v>1</v>
      </c>
      <c r="T86" s="67">
        <f ca="1">IF(AND(SUMIF(Capacity_Resource,$D86,'Critical resources (hide)'!AG$6:AG$105)+SUMIF(Capacity_Resource,$E86,'Critical resources (hide)'!AG$6:AG$105)+SUMIF(Capacity_Resource,$F86,'Critical resources (hide)'!AG$6:AG$105)&gt;0,$E$1=2),0,1)</f>
        <v>1</v>
      </c>
      <c r="U86" s="67">
        <f ca="1">IF(AND(SUMIF(Capacity_Resource,$D86,'Critical resources (hide)'!AH$6:AH$105)+SUMIF(Capacity_Resource,$E86,'Critical resources (hide)'!AH$6:AH$105)+SUMIF(Capacity_Resource,$F86,'Critical resources (hide)'!AH$6:AH$105)&gt;0,$E$1=2),0,1)</f>
        <v>1</v>
      </c>
      <c r="V86" s="67">
        <f ca="1">IF(AND(SUMIF(Capacity_Resource,$D86,'Critical resources (hide)'!AI$6:AI$105)+SUMIF(Capacity_Resource,$E86,'Critical resources (hide)'!AI$6:AI$105)+SUMIF(Capacity_Resource,$F86,'Critical resources (hide)'!AI$6:AI$105)&gt;0,$E$1=2),0,1)</f>
        <v>1</v>
      </c>
      <c r="W86" s="67">
        <f ca="1">IF(AND(SUMIF(Capacity_Resource,$D86,'Critical resources (hide)'!AJ$6:AJ$105)+SUMIF(Capacity_Resource,$E86,'Critical resources (hide)'!AJ$6:AJ$105)+SUMIF(Capacity_Resource,$F86,'Critical resources (hide)'!AJ$6:AJ$105)&gt;0,$E$1=2),0,1)</f>
        <v>1</v>
      </c>
      <c r="X86" s="67">
        <f ca="1">IF(AND(SUMIF(Capacity_Resource,$D86,'Critical resources (hide)'!AK$6:AK$105)+SUMIF(Capacity_Resource,$E86,'Critical resources (hide)'!AK$6:AK$105)+SUMIF(Capacity_Resource,$F86,'Critical resources (hide)'!AK$6:AK$105)&gt;0,$E$1=2),0,1)</f>
        <v>1</v>
      </c>
      <c r="Y86" s="67">
        <f ca="1">IF(AND(SUMIF(Capacity_Resource,$D86,'Critical resources (hide)'!AL$6:AL$105)+SUMIF(Capacity_Resource,$E86,'Critical resources (hide)'!AL$6:AL$105)+SUMIF(Capacity_Resource,$F86,'Critical resources (hide)'!AL$6:AL$105)&gt;0,$E$1=2),0,1)</f>
        <v>1</v>
      </c>
      <c r="Z86" s="67">
        <f ca="1">IF(AND(SUMIF(Capacity_Resource,$D86,'Critical resources (hide)'!AM$6:AM$105)+SUMIF(Capacity_Resource,$E86,'Critical resources (hide)'!AM$6:AM$105)+SUMIF(Capacity_Resource,$F86,'Critical resources (hide)'!AM$6:AM$105)&gt;0,$E$1=2),0,1)</f>
        <v>1</v>
      </c>
      <c r="AA86" s="67">
        <f ca="1">IF(AND(SUMIF(Capacity_Resource,$D86,'Critical resources (hide)'!AN$6:AN$105)+SUMIF(Capacity_Resource,$E86,'Critical resources (hide)'!AN$6:AN$105)+SUMIF(Capacity_Resource,$F86,'Critical resources (hide)'!AN$6:AN$105)&gt;0,$E$1=2),0,1)</f>
        <v>1</v>
      </c>
      <c r="AB86" s="67">
        <f ca="1">IF(AND(SUMIF(Capacity_Resource,$D86,'Critical resources (hide)'!AO$6:AO$105)+SUMIF(Capacity_Resource,$E86,'Critical resources (hide)'!AO$6:AO$105)+SUMIF(Capacity_Resource,$F86,'Critical resources (hide)'!AO$6:AO$105)&gt;0,$E$1=2),0,1)</f>
        <v>1</v>
      </c>
      <c r="AC86" s="67">
        <f ca="1">IF(AND(SUMIF(Capacity_Resource,$D86,'Critical resources (hide)'!AP$6:AP$105)+SUMIF(Capacity_Resource,$E86,'Critical resources (hide)'!AP$6:AP$105)+SUMIF(Capacity_Resource,$F86,'Critical resources (hide)'!AP$6:AP$105)&gt;0,$E$1=2),0,1)</f>
        <v>1</v>
      </c>
      <c r="AD86" s="67">
        <f ca="1">IF(AND(SUMIF(Capacity_Resource,$D86,'Critical resources (hide)'!AQ$6:AQ$105)+SUMIF(Capacity_Resource,$E86,'Critical resources (hide)'!AQ$6:AQ$105)+SUMIF(Capacity_Resource,$F86,'Critical resources (hide)'!AQ$6:AQ$105)&gt;0,$E$1=2),0,1)</f>
        <v>1</v>
      </c>
      <c r="AE86" s="67">
        <f ca="1">IF(AND(SUMIF(Capacity_Resource,$D86,'Critical resources (hide)'!AR$6:AR$105)+SUMIF(Capacity_Resource,$E86,'Critical resources (hide)'!AR$6:AR$105)+SUMIF(Capacity_Resource,$F86,'Critical resources (hide)'!AR$6:AR$105)&gt;0,$E$1=2),0,1)</f>
        <v>1</v>
      </c>
      <c r="AF86" s="67">
        <f ca="1">IF(AND(SUMIF(Capacity_Resource,$D86,'Critical resources (hide)'!AS$6:AS$105)+SUMIF(Capacity_Resource,$E86,'Critical resources (hide)'!AS$6:AS$105)+SUMIF(Capacity_Resource,$F86,'Critical resources (hide)'!AS$6:AS$105)&gt;0,$E$1=2),0,1)</f>
        <v>1</v>
      </c>
      <c r="AG86" s="67">
        <f ca="1">IF(AND(SUMIF(Capacity_Resource,$D86,'Critical resources (hide)'!AT$6:AT$105)+SUMIF(Capacity_Resource,$E86,'Critical resources (hide)'!AT$6:AT$105)+SUMIF(Capacity_Resource,$F86,'Critical resources (hide)'!AT$6:AT$105)&gt;0,$E$1=2),0,1)</f>
        <v>1</v>
      </c>
      <c r="AH86" s="67">
        <f ca="1">IF(AND(SUMIF(Capacity_Resource,$D86,'Critical resources (hide)'!AU$6:AU$105)+SUMIF(Capacity_Resource,$E86,'Critical resources (hide)'!AU$6:AU$105)+SUMIF(Capacity_Resource,$F86,'Critical resources (hide)'!AU$6:AU$105)&gt;0,$E$1=2),0,1)</f>
        <v>1</v>
      </c>
      <c r="AI86" s="67">
        <f ca="1">IF(AND(SUMIF(Capacity_Resource,$D86,'Critical resources (hide)'!AV$6:AV$105)+SUMIF(Capacity_Resource,$E86,'Critical resources (hide)'!AV$6:AV$105)+SUMIF(Capacity_Resource,$F86,'Critical resources (hide)'!AV$6:AV$105)&gt;0,$E$1=2),0,1)</f>
        <v>1</v>
      </c>
      <c r="AJ86" s="67">
        <f ca="1">IF(AND(SUMIF(Capacity_Resource,$D86,'Critical resources (hide)'!AW$6:AW$105)+SUMIF(Capacity_Resource,$E86,'Critical resources (hide)'!AW$6:AW$105)+SUMIF(Capacity_Resource,$F86,'Critical resources (hide)'!AW$6:AW$105)&gt;0,$E$1=2),0,1)</f>
        <v>1</v>
      </c>
      <c r="AK86" s="67">
        <f ca="1">IF(AND(SUMIF(Capacity_Resource,$D86,'Critical resources (hide)'!AX$6:AX$105)+SUMIF(Capacity_Resource,$E86,'Critical resources (hide)'!AX$6:AX$105)+SUMIF(Capacity_Resource,$F86,'Critical resources (hide)'!AX$6:AX$105)&gt;0,$E$1=2),0,1)</f>
        <v>1</v>
      </c>
      <c r="AL86" s="67">
        <f ca="1">IF(AND(SUMIF(Capacity_Resource,$D86,'Critical resources (hide)'!AY$6:AY$105)+SUMIF(Capacity_Resource,$E86,'Critical resources (hide)'!AY$6:AY$105)+SUMIF(Capacity_Resource,$F86,'Critical resources (hide)'!AY$6:AY$105)&gt;0,$E$1=2),0,1)</f>
        <v>1</v>
      </c>
      <c r="AM86" s="67">
        <f ca="1">IF(AND(SUMIF(Capacity_Resource,$D86,'Critical resources (hide)'!AZ$6:AZ$105)+SUMIF(Capacity_Resource,$E86,'Critical resources (hide)'!AZ$6:AZ$105)+SUMIF(Capacity_Resource,$F86,'Critical resources (hide)'!AZ$6:AZ$105)&gt;0,$E$1=2),0,1)</f>
        <v>1</v>
      </c>
      <c r="AN86" s="67">
        <f ca="1">IF(AND(SUMIF(Capacity_Resource,$D86,'Critical resources (hide)'!BA$6:BA$105)+SUMIF(Capacity_Resource,$E86,'Critical resources (hide)'!BA$6:BA$105)+SUMIF(Capacity_Resource,$F86,'Critical resources (hide)'!BA$6:BA$105)&gt;0,$E$1=2),0,1)</f>
        <v>1</v>
      </c>
      <c r="AO86" s="67">
        <f ca="1">IF(AND(SUMIF(Capacity_Resource,$D86,'Critical resources (hide)'!BB$6:BB$105)+SUMIF(Capacity_Resource,$E86,'Critical resources (hide)'!BB$6:BB$105)+SUMIF(Capacity_Resource,$F86,'Critical resources (hide)'!BB$6:BB$105)&gt;0,$E$1=2),0,1)</f>
        <v>1</v>
      </c>
      <c r="AP86" s="67">
        <f ca="1">IF(AND(SUMIF(Capacity_Resource,$D86,'Critical resources (hide)'!BC$6:BC$105)+SUMIF(Capacity_Resource,$E86,'Critical resources (hide)'!BC$6:BC$105)+SUMIF(Capacity_Resource,$F86,'Critical resources (hide)'!BC$6:BC$105)&gt;0,$E$1=2),0,1)</f>
        <v>1</v>
      </c>
      <c r="AQ86" s="67">
        <f ca="1">IF(AND(SUMIF(Capacity_Resource,$D86,'Critical resources (hide)'!BD$6:BD$105)+SUMIF(Capacity_Resource,$E86,'Critical resources (hide)'!BD$6:BD$105)+SUMIF(Capacity_Resource,$F86,'Critical resources (hide)'!BD$6:BD$105)&gt;0,$E$1=2),0,1)</f>
        <v>1</v>
      </c>
      <c r="AR86" s="67">
        <f ca="1">IF(AND(SUMIF(Capacity_Resource,$D86,'Critical resources (hide)'!BE$6:BE$105)+SUMIF(Capacity_Resource,$E86,'Critical resources (hide)'!BE$6:BE$105)+SUMIF(Capacity_Resource,$F86,'Critical resources (hide)'!BE$6:BE$105)&gt;0,$E$1=2),0,1)</f>
        <v>1</v>
      </c>
      <c r="AS86" s="67">
        <f ca="1">IF(AND(SUMIF(Capacity_Resource,$D86,'Critical resources (hide)'!BF$6:BF$105)+SUMIF(Capacity_Resource,$E86,'Critical resources (hide)'!BF$6:BF$105)+SUMIF(Capacity_Resource,$F86,'Critical resources (hide)'!BF$6:BF$105)&gt;0,$E$1=2),0,1)</f>
        <v>1</v>
      </c>
      <c r="AT86" s="67">
        <f ca="1">IF(AND(SUMIF(Capacity_Resource,$D86,'Critical resources (hide)'!BG$6:BG$105)+SUMIF(Capacity_Resource,$E86,'Critical resources (hide)'!BG$6:BG$105)+SUMIF(Capacity_Resource,$F86,'Critical resources (hide)'!BG$6:BG$105)&gt;0,$E$1=2),0,1)</f>
        <v>1</v>
      </c>
      <c r="AU86" s="67">
        <f ca="1">IF(AND(SUMIF(Capacity_Resource,$D86,'Critical resources (hide)'!BH$6:BH$105)+SUMIF(Capacity_Resource,$E86,'Critical resources (hide)'!BH$6:BH$105)+SUMIF(Capacity_Resource,$F86,'Critical resources (hide)'!BH$6:BH$105)&gt;0,$E$1=2),0,1)</f>
        <v>1</v>
      </c>
      <c r="AV86" s="67">
        <f ca="1">IF(AND(SUMIF(Capacity_Resource,$D86,'Critical resources (hide)'!BI$6:BI$105)+SUMIF(Capacity_Resource,$E86,'Critical resources (hide)'!BI$6:BI$105)+SUMIF(Capacity_Resource,$F86,'Critical resources (hide)'!BI$6:BI$105)&gt;0,$E$1=2),0,1)</f>
        <v>1</v>
      </c>
      <c r="AW86" s="67">
        <f ca="1">IF(AND(SUMIF(Capacity_Resource,$D86,'Critical resources (hide)'!BJ$6:BJ$105)+SUMIF(Capacity_Resource,$E86,'Critical resources (hide)'!BJ$6:BJ$105)+SUMIF(Capacity_Resource,$F86,'Critical resources (hide)'!BJ$6:BJ$105)&gt;0,$E$1=2),0,1)</f>
        <v>1</v>
      </c>
      <c r="AX86" s="67">
        <f ca="1">IF(AND(SUMIF(Capacity_Resource,$D86,'Critical resources (hide)'!BK$6:BK$105)+SUMIF(Capacity_Resource,$E86,'Critical resources (hide)'!BK$6:BK$105)+SUMIF(Capacity_Resource,$F86,'Critical resources (hide)'!BK$6:BK$105)&gt;0,$E$1=2),0,1)</f>
        <v>1</v>
      </c>
      <c r="AY86" s="67">
        <f ca="1">IF(AND(SUMIF(Capacity_Resource,$D86,'Critical resources (hide)'!BL$6:BL$105)+SUMIF(Capacity_Resource,$E86,'Critical resources (hide)'!BL$6:BL$105)+SUMIF(Capacity_Resource,$F86,'Critical resources (hide)'!BL$6:BL$105)&gt;0,$E$1=2),0,1)</f>
        <v>1</v>
      </c>
      <c r="AZ86" s="67">
        <f ca="1">IF(AND(SUMIF(Capacity_Resource,$D86,'Critical resources (hide)'!BM$6:BM$105)+SUMIF(Capacity_Resource,$E86,'Critical resources (hide)'!BM$6:BM$105)+SUMIF(Capacity_Resource,$F86,'Critical resources (hide)'!BM$6:BM$105)&gt;0,$E$1=2),0,1)</f>
        <v>1</v>
      </c>
      <c r="BA86" s="67">
        <f ca="1">IF(AND(SUMIF(Capacity_Resource,$D86,'Critical resources (hide)'!BN$6:BN$105)+SUMIF(Capacity_Resource,$E86,'Critical resources (hide)'!BN$6:BN$105)+SUMIF(Capacity_Resource,$F86,'Critical resources (hide)'!BN$6:BN$105)&gt;0,$E$1=2),0,1)</f>
        <v>1</v>
      </c>
      <c r="BB86" s="67">
        <f ca="1">IF(AND(SUMIF(Capacity_Resource,$D86,'Critical resources (hide)'!BO$6:BO$105)+SUMIF(Capacity_Resource,$E86,'Critical resources (hide)'!BO$6:BO$105)+SUMIF(Capacity_Resource,$F86,'Critical resources (hide)'!BO$6:BO$105)&gt;0,$E$1=2),0,1)</f>
        <v>1</v>
      </c>
      <c r="BC86" s="67">
        <f ca="1">IF(AND(SUMIF(Capacity_Resource,$D86,'Critical resources (hide)'!BP$6:BP$105)+SUMIF(Capacity_Resource,$E86,'Critical resources (hide)'!BP$6:BP$105)+SUMIF(Capacity_Resource,$F86,'Critical resources (hide)'!BP$6:BP$105)&gt;0,$E$1=2),0,1)</f>
        <v>1</v>
      </c>
      <c r="BD86" s="67">
        <f ca="1">IF(AND(SUMIF(Capacity_Resource,$D86,'Critical resources (hide)'!BQ$6:BQ$105)+SUMIF(Capacity_Resource,$E86,'Critical resources (hide)'!BQ$6:BQ$105)+SUMIF(Capacity_Resource,$F86,'Critical resources (hide)'!BQ$6:BQ$105)&gt;0,$E$1=2),0,1)</f>
        <v>1</v>
      </c>
      <c r="BE86" s="67">
        <f ca="1">IF(AND(SUMIF(Capacity_Resource,$D86,'Critical resources (hide)'!BR$6:BR$105)+SUMIF(Capacity_Resource,$E86,'Critical resources (hide)'!BR$6:BR$105)+SUMIF(Capacity_Resource,$F86,'Critical resources (hide)'!BR$6:BR$105)&gt;0,$E$1=2),0,1)</f>
        <v>1</v>
      </c>
      <c r="BF86" s="67">
        <f ca="1">IF(AND(SUMIF(Capacity_Resource,$D86,'Critical resources (hide)'!BS$6:BS$105)+SUMIF(Capacity_Resource,$E86,'Critical resources (hide)'!BS$6:BS$105)+SUMIF(Capacity_Resource,$F86,'Critical resources (hide)'!BS$6:BS$105)&gt;0,$E$1=2),0,1)</f>
        <v>1</v>
      </c>
      <c r="BG86" s="67">
        <f ca="1">IF(AND(SUMIF(Capacity_Resource,$D86,'Critical resources (hide)'!BT$6:BT$105)+SUMIF(Capacity_Resource,$E86,'Critical resources (hide)'!BT$6:BT$105)+SUMIF(Capacity_Resource,$F86,'Critical resources (hide)'!BT$6:BT$105)&gt;0,$E$1=2),0,1)</f>
        <v>1</v>
      </c>
      <c r="BH86" s="67">
        <f>IF(ROW(C82)&lt;=Capacity!$A$16,IF('Capacity summary'!$D$14="No",SUM(H86:BG86),'Capacity summary'!$E205),0)</f>
        <v>0</v>
      </c>
      <c r="BI86" s="5" t="str">
        <f>IF(BH86&gt;0,IF(BH86&lt;Capacity!E98,Capacity!F98,Capacity!H98/'Capacity calculation (hide)'!BH86),"")</f>
        <v/>
      </c>
      <c r="BK86" s="313">
        <f>IF($BI86&lt;&gt;"",IF('Capacity summary'!$D$14="Yes",IF(COUNTBLANK('Capacity summary'!$H205:$BG205)&lt;52,IF('Capacity summary'!H205&lt;&gt;"",IF(LOWER('Capacity summary'!H205)="x",$BI86*H86,VALUE('Capacity summary'!H205)),0),H86*$BI86),H86*$BI86),0)</f>
        <v>0</v>
      </c>
      <c r="BL86" s="313">
        <f>IF($BI86&lt;&gt;"",IF('Capacity summary'!$D$14="Yes",IF(COUNTBLANK('Capacity summary'!$H205:$BG205)&lt;52,IF('Capacity summary'!I205&lt;&gt;"",IF(LOWER('Capacity summary'!I205)="x",$BI86*I86,VALUE('Capacity summary'!I205)),0),I86*$BI86),I86*$BI86),0)</f>
        <v>0</v>
      </c>
      <c r="BM86" s="313">
        <f>IF($BI86&lt;&gt;"",IF('Capacity summary'!$D$14="Yes",IF(COUNTBLANK('Capacity summary'!$H205:$BG205)&lt;52,IF('Capacity summary'!J205&lt;&gt;"",IF(LOWER('Capacity summary'!J205)="x",$BI86*J86,VALUE('Capacity summary'!J205)),0),J86*$BI86),J86*$BI86),0)</f>
        <v>0</v>
      </c>
      <c r="BN86" s="313">
        <f>IF($BI86&lt;&gt;"",IF('Capacity summary'!$D$14="Yes",IF(COUNTBLANK('Capacity summary'!$H205:$BG205)&lt;52,IF('Capacity summary'!K205&lt;&gt;"",IF(LOWER('Capacity summary'!K205)="x",$BI86*K86,VALUE('Capacity summary'!K205)),0),K86*$BI86),K86*$BI86),0)</f>
        <v>0</v>
      </c>
      <c r="BO86" s="313">
        <f>IF($BI86&lt;&gt;"",IF('Capacity summary'!$D$14="Yes",IF(COUNTBLANK('Capacity summary'!$H205:$BG205)&lt;52,IF('Capacity summary'!L205&lt;&gt;"",IF(LOWER('Capacity summary'!L205)="x",$BI86*L86,VALUE('Capacity summary'!L205)),0),L86*$BI86),L86*$BI86),0)</f>
        <v>0</v>
      </c>
      <c r="BP86" s="313">
        <f>IF($BI86&lt;&gt;"",IF('Capacity summary'!$D$14="Yes",IF(COUNTBLANK('Capacity summary'!$H205:$BG205)&lt;52,IF('Capacity summary'!M205&lt;&gt;"",IF(LOWER('Capacity summary'!M205)="x",$BI86*M86,VALUE('Capacity summary'!M205)),0),M86*$BI86),M86*$BI86),0)</f>
        <v>0</v>
      </c>
      <c r="BQ86" s="313">
        <f>IF($BI86&lt;&gt;"",IF('Capacity summary'!$D$14="Yes",IF(COUNTBLANK('Capacity summary'!$H205:$BG205)&lt;52,IF('Capacity summary'!N205&lt;&gt;"",IF(LOWER('Capacity summary'!N205)="x",$BI86*N86,VALUE('Capacity summary'!N205)),0),N86*$BI86),N86*$BI86),0)</f>
        <v>0</v>
      </c>
      <c r="BR86" s="313">
        <f>IF($BI86&lt;&gt;"",IF('Capacity summary'!$D$14="Yes",IF(COUNTBLANK('Capacity summary'!$H205:$BG205)&lt;52,IF('Capacity summary'!O205&lt;&gt;"",IF(LOWER('Capacity summary'!O205)="x",$BI86*O86,VALUE('Capacity summary'!O205)),0),O86*$BI86),O86*$BI86),0)</f>
        <v>0</v>
      </c>
      <c r="BS86" s="313">
        <f>IF($BI86&lt;&gt;"",IF('Capacity summary'!$D$14="Yes",IF(COUNTBLANK('Capacity summary'!$H205:$BG205)&lt;52,IF('Capacity summary'!P205&lt;&gt;"",IF(LOWER('Capacity summary'!P205)="x",$BI86*P86,VALUE('Capacity summary'!P205)),0),P86*$BI86),P86*$BI86),0)</f>
        <v>0</v>
      </c>
      <c r="BT86" s="313">
        <f>IF($BI86&lt;&gt;"",IF('Capacity summary'!$D$14="Yes",IF(COUNTBLANK('Capacity summary'!$H205:$BG205)&lt;52,IF('Capacity summary'!Q205&lt;&gt;"",IF(LOWER('Capacity summary'!Q205)="x",$BI86*Q86,VALUE('Capacity summary'!Q205)),0),Q86*$BI86),Q86*$BI86),0)</f>
        <v>0</v>
      </c>
      <c r="BU86" s="313">
        <f>IF($BI86&lt;&gt;"",IF('Capacity summary'!$D$14="Yes",IF(COUNTBLANK('Capacity summary'!$H205:$BG205)&lt;52,IF('Capacity summary'!R205&lt;&gt;"",IF(LOWER('Capacity summary'!R205)="x",$BI86*R86,VALUE('Capacity summary'!R205)),0),R86*$BI86),R86*$BI86),0)</f>
        <v>0</v>
      </c>
      <c r="BV86" s="313">
        <f>IF($BI86&lt;&gt;"",IF('Capacity summary'!$D$14="Yes",IF(COUNTBLANK('Capacity summary'!$H205:$BG205)&lt;52,IF('Capacity summary'!S205&lt;&gt;"",IF(LOWER('Capacity summary'!S205)="x",$BI86*S86,VALUE('Capacity summary'!S205)),0),S86*$BI86),S86*$BI86),0)</f>
        <v>0</v>
      </c>
      <c r="BW86" s="313">
        <f>IF($BI86&lt;&gt;"",IF('Capacity summary'!$D$14="Yes",IF(COUNTBLANK('Capacity summary'!$H205:$BG205)&lt;52,IF('Capacity summary'!T205&lt;&gt;"",IF(LOWER('Capacity summary'!T205)="x",$BI86*T86,VALUE('Capacity summary'!T205)),0),T86*$BI86),T86*$BI86),0)</f>
        <v>0</v>
      </c>
      <c r="BX86" s="313">
        <f>IF($BI86&lt;&gt;"",IF('Capacity summary'!$D$14="Yes",IF(COUNTBLANK('Capacity summary'!$H205:$BG205)&lt;52,IF('Capacity summary'!U205&lt;&gt;"",IF(LOWER('Capacity summary'!U205)="x",$BI86*U86,VALUE('Capacity summary'!U205)),0),U86*$BI86),U86*$BI86),0)</f>
        <v>0</v>
      </c>
      <c r="BY86" s="313">
        <f>IF($BI86&lt;&gt;"",IF('Capacity summary'!$D$14="Yes",IF(COUNTBLANK('Capacity summary'!$H205:$BG205)&lt;52,IF('Capacity summary'!V205&lt;&gt;"",IF(LOWER('Capacity summary'!V205)="x",$BI86*V86,VALUE('Capacity summary'!V205)),0),V86*$BI86),V86*$BI86),0)</f>
        <v>0</v>
      </c>
      <c r="BZ86" s="313">
        <f>IF($BI86&lt;&gt;"",IF('Capacity summary'!$D$14="Yes",IF(COUNTBLANK('Capacity summary'!$H205:$BG205)&lt;52,IF('Capacity summary'!W205&lt;&gt;"",IF(LOWER('Capacity summary'!W205)="x",$BI86*W86,VALUE('Capacity summary'!W205)),0),W86*$BI86),W86*$BI86),0)</f>
        <v>0</v>
      </c>
      <c r="CA86" s="313">
        <f>IF($BI86&lt;&gt;"",IF('Capacity summary'!$D$14="Yes",IF(COUNTBLANK('Capacity summary'!$H205:$BG205)&lt;52,IF('Capacity summary'!X205&lt;&gt;"",IF(LOWER('Capacity summary'!X205)="x",$BI86*X86,VALUE('Capacity summary'!X205)),0),X86*$BI86),X86*$BI86),0)</f>
        <v>0</v>
      </c>
      <c r="CB86" s="313">
        <f>IF($BI86&lt;&gt;"",IF('Capacity summary'!$D$14="Yes",IF(COUNTBLANK('Capacity summary'!$H205:$BG205)&lt;52,IF('Capacity summary'!Y205&lt;&gt;"",IF(LOWER('Capacity summary'!Y205)="x",$BI86*Y86,VALUE('Capacity summary'!Y205)),0),Y86*$BI86),Y86*$BI86),0)</f>
        <v>0</v>
      </c>
      <c r="CC86" s="313">
        <f>IF($BI86&lt;&gt;"",IF('Capacity summary'!$D$14="Yes",IF(COUNTBLANK('Capacity summary'!$H205:$BG205)&lt;52,IF('Capacity summary'!Z205&lt;&gt;"",IF(LOWER('Capacity summary'!Z205)="x",$BI86*Z86,VALUE('Capacity summary'!Z205)),0),Z86*$BI86),Z86*$BI86),0)</f>
        <v>0</v>
      </c>
      <c r="CD86" s="313">
        <f>IF($BI86&lt;&gt;"",IF('Capacity summary'!$D$14="Yes",IF(COUNTBLANK('Capacity summary'!$H205:$BG205)&lt;52,IF('Capacity summary'!AA205&lt;&gt;"",IF(LOWER('Capacity summary'!AA205)="x",$BI86*AA86,VALUE('Capacity summary'!AA205)),0),AA86*$BI86),AA86*$BI86),0)</f>
        <v>0</v>
      </c>
      <c r="CE86" s="313">
        <f>IF($BI86&lt;&gt;"",IF('Capacity summary'!$D$14="Yes",IF(COUNTBLANK('Capacity summary'!$H205:$BG205)&lt;52,IF('Capacity summary'!AB205&lt;&gt;"",IF(LOWER('Capacity summary'!AB205)="x",$BI86*AB86,VALUE('Capacity summary'!AB205)),0),AB86*$BI86),AB86*$BI86),0)</f>
        <v>0</v>
      </c>
      <c r="CF86" s="313">
        <f>IF($BI86&lt;&gt;"",IF('Capacity summary'!$D$14="Yes",IF(COUNTBLANK('Capacity summary'!$H205:$BG205)&lt;52,IF('Capacity summary'!AC205&lt;&gt;"",IF(LOWER('Capacity summary'!AC205)="x",$BI86*AC86,VALUE('Capacity summary'!AC205)),0),AC86*$BI86),AC86*$BI86),0)</f>
        <v>0</v>
      </c>
      <c r="CG86" s="313">
        <f>IF($BI86&lt;&gt;"",IF('Capacity summary'!$D$14="Yes",IF(COUNTBLANK('Capacity summary'!$H205:$BG205)&lt;52,IF('Capacity summary'!AD205&lt;&gt;"",IF(LOWER('Capacity summary'!AD205)="x",$BI86*AD86,VALUE('Capacity summary'!AD205)),0),AD86*$BI86),AD86*$BI86),0)</f>
        <v>0</v>
      </c>
      <c r="CH86" s="313">
        <f>IF($BI86&lt;&gt;"",IF('Capacity summary'!$D$14="Yes",IF(COUNTBLANK('Capacity summary'!$H205:$BG205)&lt;52,IF('Capacity summary'!AE205&lt;&gt;"",IF(LOWER('Capacity summary'!AE205)="x",$BI86*AE86,VALUE('Capacity summary'!AE205)),0),AE86*$BI86),AE86*$BI86),0)</f>
        <v>0</v>
      </c>
      <c r="CI86" s="313">
        <f>IF($BI86&lt;&gt;"",IF('Capacity summary'!$D$14="Yes",IF(COUNTBLANK('Capacity summary'!$H205:$BG205)&lt;52,IF('Capacity summary'!AF205&lt;&gt;"",IF(LOWER('Capacity summary'!AF205)="x",$BI86*AF86,VALUE('Capacity summary'!AF205)),0),AF86*$BI86),AF86*$BI86),0)</f>
        <v>0</v>
      </c>
      <c r="CJ86" s="313">
        <f>IF($BI86&lt;&gt;"",IF('Capacity summary'!$D$14="Yes",IF(COUNTBLANK('Capacity summary'!$H205:$BG205)&lt;52,IF('Capacity summary'!AG205&lt;&gt;"",IF(LOWER('Capacity summary'!AG205)="x",$BI86*AG86,VALUE('Capacity summary'!AG205)),0),AG86*$BI86),AG86*$BI86),0)</f>
        <v>0</v>
      </c>
      <c r="CK86" s="313">
        <f>IF($BI86&lt;&gt;"",IF('Capacity summary'!$D$14="Yes",IF(COUNTBLANK('Capacity summary'!$H205:$BG205)&lt;52,IF('Capacity summary'!AH205&lt;&gt;"",IF(LOWER('Capacity summary'!AH205)="x",$BI86*AH86,VALUE('Capacity summary'!AH205)),0),AH86*$BI86),AH86*$BI86),0)</f>
        <v>0</v>
      </c>
      <c r="CL86" s="313">
        <f>IF($BI86&lt;&gt;"",IF('Capacity summary'!$D$14="Yes",IF(COUNTBLANK('Capacity summary'!$H205:$BG205)&lt;52,IF('Capacity summary'!AI205&lt;&gt;"",IF(LOWER('Capacity summary'!AI205)="x",$BI86*AI86,VALUE('Capacity summary'!AI205)),0),AI86*$BI86),AI86*$BI86),0)</f>
        <v>0</v>
      </c>
      <c r="CM86" s="313">
        <f>IF($BI86&lt;&gt;"",IF('Capacity summary'!$D$14="Yes",IF(COUNTBLANK('Capacity summary'!$H205:$BG205)&lt;52,IF('Capacity summary'!AJ205&lt;&gt;"",IF(LOWER('Capacity summary'!AJ205)="x",$BI86*AJ86,VALUE('Capacity summary'!AJ205)),0),AJ86*$BI86),AJ86*$BI86),0)</f>
        <v>0</v>
      </c>
      <c r="CN86" s="313">
        <f>IF($BI86&lt;&gt;"",IF('Capacity summary'!$D$14="Yes",IF(COUNTBLANK('Capacity summary'!$H205:$BG205)&lt;52,IF('Capacity summary'!AK205&lt;&gt;"",IF(LOWER('Capacity summary'!AK205)="x",$BI86*AK86,VALUE('Capacity summary'!AK205)),0),AK86*$BI86),AK86*$BI86),0)</f>
        <v>0</v>
      </c>
      <c r="CO86" s="313">
        <f>IF($BI86&lt;&gt;"",IF('Capacity summary'!$D$14="Yes",IF(COUNTBLANK('Capacity summary'!$H205:$BG205)&lt;52,IF('Capacity summary'!AL205&lt;&gt;"",IF(LOWER('Capacity summary'!AL205)="x",$BI86*AL86,VALUE('Capacity summary'!AL205)),0),AL86*$BI86),AL86*$BI86),0)</f>
        <v>0</v>
      </c>
      <c r="CP86" s="313">
        <f>IF($BI86&lt;&gt;"",IF('Capacity summary'!$D$14="Yes",IF(COUNTBLANK('Capacity summary'!$H205:$BG205)&lt;52,IF('Capacity summary'!AM205&lt;&gt;"",IF(LOWER('Capacity summary'!AM205)="x",$BI86*AM86,VALUE('Capacity summary'!AM205)),0),AM86*$BI86),AM86*$BI86),0)</f>
        <v>0</v>
      </c>
      <c r="CQ86" s="313">
        <f>IF($BI86&lt;&gt;"",IF('Capacity summary'!$D$14="Yes",IF(COUNTBLANK('Capacity summary'!$H205:$BG205)&lt;52,IF('Capacity summary'!AN205&lt;&gt;"",IF(LOWER('Capacity summary'!AN205)="x",$BI86*AN86,VALUE('Capacity summary'!AN205)),0),AN86*$BI86),AN86*$BI86),0)</f>
        <v>0</v>
      </c>
      <c r="CR86" s="313">
        <f>IF($BI86&lt;&gt;"",IF('Capacity summary'!$D$14="Yes",IF(COUNTBLANK('Capacity summary'!$H205:$BG205)&lt;52,IF('Capacity summary'!AO205&lt;&gt;"",IF(LOWER('Capacity summary'!AO205)="x",$BI86*AO86,VALUE('Capacity summary'!AO205)),0),AO86*$BI86),AO86*$BI86),0)</f>
        <v>0</v>
      </c>
      <c r="CS86" s="313">
        <f>IF($BI86&lt;&gt;"",IF('Capacity summary'!$D$14="Yes",IF(COUNTBLANK('Capacity summary'!$H205:$BG205)&lt;52,IF('Capacity summary'!AP205&lt;&gt;"",IF(LOWER('Capacity summary'!AP205)="x",$BI86*AP86,VALUE('Capacity summary'!AP205)),0),AP86*$BI86),AP86*$BI86),0)</f>
        <v>0</v>
      </c>
      <c r="CT86" s="313">
        <f>IF($BI86&lt;&gt;"",IF('Capacity summary'!$D$14="Yes",IF(COUNTBLANK('Capacity summary'!$H205:$BG205)&lt;52,IF('Capacity summary'!AQ205&lt;&gt;"",IF(LOWER('Capacity summary'!AQ205)="x",$BI86*AQ86,VALUE('Capacity summary'!AQ205)),0),AQ86*$BI86),AQ86*$BI86),0)</f>
        <v>0</v>
      </c>
      <c r="CU86" s="313">
        <f>IF($BI86&lt;&gt;"",IF('Capacity summary'!$D$14="Yes",IF(COUNTBLANK('Capacity summary'!$H205:$BG205)&lt;52,IF('Capacity summary'!AR205&lt;&gt;"",IF(LOWER('Capacity summary'!AR205)="x",$BI86*AR86,VALUE('Capacity summary'!AR205)),0),AR86*$BI86),AR86*$BI86),0)</f>
        <v>0</v>
      </c>
      <c r="CV86" s="313">
        <f>IF($BI86&lt;&gt;"",IF('Capacity summary'!$D$14="Yes",IF(COUNTBLANK('Capacity summary'!$H205:$BG205)&lt;52,IF('Capacity summary'!AS205&lt;&gt;"",IF(LOWER('Capacity summary'!AS205)="x",$BI86*AS86,VALUE('Capacity summary'!AS205)),0),AS86*$BI86),AS86*$BI86),0)</f>
        <v>0</v>
      </c>
      <c r="CW86" s="313">
        <f>IF($BI86&lt;&gt;"",IF('Capacity summary'!$D$14="Yes",IF(COUNTBLANK('Capacity summary'!$H205:$BG205)&lt;52,IF('Capacity summary'!AT205&lt;&gt;"",IF(LOWER('Capacity summary'!AT205)="x",$BI86*AT86,VALUE('Capacity summary'!AT205)),0),AT86*$BI86),AT86*$BI86),0)</f>
        <v>0</v>
      </c>
      <c r="CX86" s="313">
        <f>IF($BI86&lt;&gt;"",IF('Capacity summary'!$D$14="Yes",IF(COUNTBLANK('Capacity summary'!$H205:$BG205)&lt;52,IF('Capacity summary'!AU205&lt;&gt;"",IF(LOWER('Capacity summary'!AU205)="x",$BI86*AU86,VALUE('Capacity summary'!AU205)),0),AU86*$BI86),AU86*$BI86),0)</f>
        <v>0</v>
      </c>
      <c r="CY86" s="313">
        <f>IF($BI86&lt;&gt;"",IF('Capacity summary'!$D$14="Yes",IF(COUNTBLANK('Capacity summary'!$H205:$BG205)&lt;52,IF('Capacity summary'!AV205&lt;&gt;"",IF(LOWER('Capacity summary'!AV205)="x",$BI86*AV86,VALUE('Capacity summary'!AV205)),0),AV86*$BI86),AV86*$BI86),0)</f>
        <v>0</v>
      </c>
      <c r="CZ86" s="313">
        <f>IF($BI86&lt;&gt;"",IF('Capacity summary'!$D$14="Yes",IF(COUNTBLANK('Capacity summary'!$H205:$BG205)&lt;52,IF('Capacity summary'!AW205&lt;&gt;"",IF(LOWER('Capacity summary'!AW205)="x",$BI86*AW86,VALUE('Capacity summary'!AW205)),0),AW86*$BI86),AW86*$BI86),0)</f>
        <v>0</v>
      </c>
      <c r="DA86" s="313">
        <f>IF($BI86&lt;&gt;"",IF('Capacity summary'!$D$14="Yes",IF(COUNTBLANK('Capacity summary'!$H205:$BG205)&lt;52,IF('Capacity summary'!AX205&lt;&gt;"",IF(LOWER('Capacity summary'!AX205)="x",$BI86*AX86,VALUE('Capacity summary'!AX205)),0),AX86*$BI86),AX86*$BI86),0)</f>
        <v>0</v>
      </c>
      <c r="DB86" s="313">
        <f>IF($BI86&lt;&gt;"",IF('Capacity summary'!$D$14="Yes",IF(COUNTBLANK('Capacity summary'!$H205:$BG205)&lt;52,IF('Capacity summary'!AY205&lt;&gt;"",IF(LOWER('Capacity summary'!AY205)="x",$BI86*AY86,VALUE('Capacity summary'!AY205)),0),AY86*$BI86),AY86*$BI86),0)</f>
        <v>0</v>
      </c>
      <c r="DC86" s="313">
        <f>IF($BI86&lt;&gt;"",IF('Capacity summary'!$D$14="Yes",IF(COUNTBLANK('Capacity summary'!$H205:$BG205)&lt;52,IF('Capacity summary'!AZ205&lt;&gt;"",IF(LOWER('Capacity summary'!AZ205)="x",$BI86*AZ86,VALUE('Capacity summary'!AZ205)),0),AZ86*$BI86),AZ86*$BI86),0)</f>
        <v>0</v>
      </c>
      <c r="DD86" s="313">
        <f>IF($BI86&lt;&gt;"",IF('Capacity summary'!$D$14="Yes",IF(COUNTBLANK('Capacity summary'!$H205:$BG205)&lt;52,IF('Capacity summary'!BA205&lt;&gt;"",IF(LOWER('Capacity summary'!BA205)="x",$BI86*BA86,VALUE('Capacity summary'!BA205)),0),BA86*$BI86),BA86*$BI86),0)</f>
        <v>0</v>
      </c>
      <c r="DE86" s="313">
        <f>IF($BI86&lt;&gt;"",IF('Capacity summary'!$D$14="Yes",IF(COUNTBLANK('Capacity summary'!$H205:$BG205)&lt;52,IF('Capacity summary'!BB205&lt;&gt;"",IF(LOWER('Capacity summary'!BB205)="x",$BI86*BB86,VALUE('Capacity summary'!BB205)),0),BB86*$BI86),BB86*$BI86),0)</f>
        <v>0</v>
      </c>
      <c r="DF86" s="313">
        <f>IF($BI86&lt;&gt;"",IF('Capacity summary'!$D$14="Yes",IF(COUNTBLANK('Capacity summary'!$H205:$BG205)&lt;52,IF('Capacity summary'!BC205&lt;&gt;"",IF(LOWER('Capacity summary'!BC205)="x",$BI86*BC86,VALUE('Capacity summary'!BC205)),0),BC86*$BI86),BC86*$BI86),0)</f>
        <v>0</v>
      </c>
      <c r="DG86" s="313">
        <f>IF($BI86&lt;&gt;"",IF('Capacity summary'!$D$14="Yes",IF(COUNTBLANK('Capacity summary'!$H205:$BG205)&lt;52,IF('Capacity summary'!BD205&lt;&gt;"",IF(LOWER('Capacity summary'!BD205)="x",$BI86*BD86,VALUE('Capacity summary'!BD205)),0),BD86*$BI86),BD86*$BI86),0)</f>
        <v>0</v>
      </c>
      <c r="DH86" s="313">
        <f>IF($BI86&lt;&gt;"",IF('Capacity summary'!$D$14="Yes",IF(COUNTBLANK('Capacity summary'!$H205:$BG205)&lt;52,IF('Capacity summary'!BE205&lt;&gt;"",IF(LOWER('Capacity summary'!BE205)="x",$BI86*BE86,VALUE('Capacity summary'!BE205)),0),BE86*$BI86),BE86*$BI86),0)</f>
        <v>0</v>
      </c>
      <c r="DI86" s="313">
        <f>IF($BI86&lt;&gt;"",IF('Capacity summary'!$D$14="Yes",IF(COUNTBLANK('Capacity summary'!$H205:$BG205)&lt;52,IF('Capacity summary'!BF205&lt;&gt;"",IF(LOWER('Capacity summary'!BF205)="x",$BI86*BF86,VALUE('Capacity summary'!BF205)),0),BF86*$BI86),BF86*$BI86),0)</f>
        <v>0</v>
      </c>
      <c r="DJ86" s="313">
        <f>IF($BI86&lt;&gt;"",IF('Capacity summary'!$D$14="Yes",IF(COUNTBLANK('Capacity summary'!$H205:$BG205)&lt;52,IF('Capacity summary'!BG205&lt;&gt;"",IF(LOWER('Capacity summary'!BG205)="x",$BI86*BG86,VALUE('Capacity summary'!BG205)),0),BG86*$BI86),BG86*$BI86),0)</f>
        <v>0</v>
      </c>
      <c r="DK86" s="137">
        <f t="shared" si="3"/>
        <v>0</v>
      </c>
      <c r="DL86" s="313" t="str">
        <f>Capacity!H98</f>
        <v/>
      </c>
    </row>
    <row r="87" spans="2:116" x14ac:dyDescent="0.25">
      <c r="B87" s="67"/>
      <c r="C87" s="67" t="str">
        <f>ROW(A83)&amp;". "&amp;Capacity!B99</f>
        <v xml:space="preserve">83. </v>
      </c>
      <c r="D87" s="67">
        <f>'Capacity setup'!C94</f>
        <v>0</v>
      </c>
      <c r="E87" s="67">
        <f>'Capacity setup'!D94</f>
        <v>0</v>
      </c>
      <c r="F87" s="67">
        <f>'Capacity setup'!E94</f>
        <v>0</v>
      </c>
      <c r="H87" s="67">
        <f ca="1">IF(AND(SUMIF(Capacity_Resource,$D87,'Critical resources (hide)'!U$6:U$105)+SUMIF(Capacity_Resource,$E87,'Critical resources (hide)'!U$6:U$105)+SUMIF(Capacity_Resource,$F87,'Critical resources (hide)'!U$6:U$105)&gt;0,$E$1=2),0,1)</f>
        <v>1</v>
      </c>
      <c r="I87" s="67">
        <f ca="1">IF(AND(SUMIF(Capacity_Resource,$D87,'Critical resources (hide)'!V$6:V$105)+SUMIF(Capacity_Resource,$E87,'Critical resources (hide)'!V$6:V$105)+SUMIF(Capacity_Resource,$F87,'Critical resources (hide)'!V$6:V$105)&gt;0,$E$1=2),0,1)</f>
        <v>1</v>
      </c>
      <c r="J87" s="67">
        <f ca="1">IF(AND(SUMIF(Capacity_Resource,$D87,'Critical resources (hide)'!W$6:W$105)+SUMIF(Capacity_Resource,$E87,'Critical resources (hide)'!W$6:W$105)+SUMIF(Capacity_Resource,$F87,'Critical resources (hide)'!W$6:W$105)&gt;0,$E$1=2),0,1)</f>
        <v>1</v>
      </c>
      <c r="K87" s="67">
        <f ca="1">IF(AND(SUMIF(Capacity_Resource,$D87,'Critical resources (hide)'!X$6:X$105)+SUMIF(Capacity_Resource,$E87,'Critical resources (hide)'!X$6:X$105)+SUMIF(Capacity_Resource,$F87,'Critical resources (hide)'!X$6:X$105)&gt;0,$E$1=2),0,1)</f>
        <v>1</v>
      </c>
      <c r="L87" s="67">
        <f ca="1">IF(AND(SUMIF(Capacity_Resource,$D87,'Critical resources (hide)'!Y$6:Y$105)+SUMIF(Capacity_Resource,$E87,'Critical resources (hide)'!Y$6:Y$105)+SUMIF(Capacity_Resource,$F87,'Critical resources (hide)'!Y$6:Y$105)&gt;0,$E$1=2),0,1)</f>
        <v>1</v>
      </c>
      <c r="M87" s="67">
        <f ca="1">IF(AND(SUMIF(Capacity_Resource,$D87,'Critical resources (hide)'!Z$6:Z$105)+SUMIF(Capacity_Resource,$E87,'Critical resources (hide)'!Z$6:Z$105)+SUMIF(Capacity_Resource,$F87,'Critical resources (hide)'!Z$6:Z$105)&gt;0,$E$1=2),0,1)</f>
        <v>1</v>
      </c>
      <c r="N87" s="67">
        <f ca="1">IF(AND(SUMIF(Capacity_Resource,$D87,'Critical resources (hide)'!AA$6:AA$105)+SUMIF(Capacity_Resource,$E87,'Critical resources (hide)'!AA$6:AA$105)+SUMIF(Capacity_Resource,$F87,'Critical resources (hide)'!AA$6:AA$105)&gt;0,$E$1=2),0,1)</f>
        <v>1</v>
      </c>
      <c r="O87" s="67">
        <f ca="1">IF(AND(SUMIF(Capacity_Resource,$D87,'Critical resources (hide)'!AB$6:AB$105)+SUMIF(Capacity_Resource,$E87,'Critical resources (hide)'!AB$6:AB$105)+SUMIF(Capacity_Resource,$F87,'Critical resources (hide)'!AB$6:AB$105)&gt;0,$E$1=2),0,1)</f>
        <v>1</v>
      </c>
      <c r="P87" s="67">
        <f ca="1">IF(AND(SUMIF(Capacity_Resource,$D87,'Critical resources (hide)'!AC$6:AC$105)+SUMIF(Capacity_Resource,$E87,'Critical resources (hide)'!AC$6:AC$105)+SUMIF(Capacity_Resource,$F87,'Critical resources (hide)'!AC$6:AC$105)&gt;0,$E$1=2),0,1)</f>
        <v>1</v>
      </c>
      <c r="Q87" s="67">
        <f ca="1">IF(AND(SUMIF(Capacity_Resource,$D87,'Critical resources (hide)'!AD$6:AD$105)+SUMIF(Capacity_Resource,$E87,'Critical resources (hide)'!AD$6:AD$105)+SUMIF(Capacity_Resource,$F87,'Critical resources (hide)'!AD$6:AD$105)&gt;0,$E$1=2),0,1)</f>
        <v>1</v>
      </c>
      <c r="R87" s="67">
        <f ca="1">IF(AND(SUMIF(Capacity_Resource,$D87,'Critical resources (hide)'!AE$6:AE$105)+SUMIF(Capacity_Resource,$E87,'Critical resources (hide)'!AE$6:AE$105)+SUMIF(Capacity_Resource,$F87,'Critical resources (hide)'!AE$6:AE$105)&gt;0,$E$1=2),0,1)</f>
        <v>1</v>
      </c>
      <c r="S87" s="67">
        <f ca="1">IF(AND(SUMIF(Capacity_Resource,$D87,'Critical resources (hide)'!AF$6:AF$105)+SUMIF(Capacity_Resource,$E87,'Critical resources (hide)'!AF$6:AF$105)+SUMIF(Capacity_Resource,$F87,'Critical resources (hide)'!AF$6:AF$105)&gt;0,$E$1=2),0,1)</f>
        <v>1</v>
      </c>
      <c r="T87" s="67">
        <f ca="1">IF(AND(SUMIF(Capacity_Resource,$D87,'Critical resources (hide)'!AG$6:AG$105)+SUMIF(Capacity_Resource,$E87,'Critical resources (hide)'!AG$6:AG$105)+SUMIF(Capacity_Resource,$F87,'Critical resources (hide)'!AG$6:AG$105)&gt;0,$E$1=2),0,1)</f>
        <v>1</v>
      </c>
      <c r="U87" s="67">
        <f ca="1">IF(AND(SUMIF(Capacity_Resource,$D87,'Critical resources (hide)'!AH$6:AH$105)+SUMIF(Capacity_Resource,$E87,'Critical resources (hide)'!AH$6:AH$105)+SUMIF(Capacity_Resource,$F87,'Critical resources (hide)'!AH$6:AH$105)&gt;0,$E$1=2),0,1)</f>
        <v>1</v>
      </c>
      <c r="V87" s="67">
        <f ca="1">IF(AND(SUMIF(Capacity_Resource,$D87,'Critical resources (hide)'!AI$6:AI$105)+SUMIF(Capacity_Resource,$E87,'Critical resources (hide)'!AI$6:AI$105)+SUMIF(Capacity_Resource,$F87,'Critical resources (hide)'!AI$6:AI$105)&gt;0,$E$1=2),0,1)</f>
        <v>1</v>
      </c>
      <c r="W87" s="67">
        <f ca="1">IF(AND(SUMIF(Capacity_Resource,$D87,'Critical resources (hide)'!AJ$6:AJ$105)+SUMIF(Capacity_Resource,$E87,'Critical resources (hide)'!AJ$6:AJ$105)+SUMIF(Capacity_Resource,$F87,'Critical resources (hide)'!AJ$6:AJ$105)&gt;0,$E$1=2),0,1)</f>
        <v>1</v>
      </c>
      <c r="X87" s="67">
        <f ca="1">IF(AND(SUMIF(Capacity_Resource,$D87,'Critical resources (hide)'!AK$6:AK$105)+SUMIF(Capacity_Resource,$E87,'Critical resources (hide)'!AK$6:AK$105)+SUMIF(Capacity_Resource,$F87,'Critical resources (hide)'!AK$6:AK$105)&gt;0,$E$1=2),0,1)</f>
        <v>1</v>
      </c>
      <c r="Y87" s="67">
        <f ca="1">IF(AND(SUMIF(Capacity_Resource,$D87,'Critical resources (hide)'!AL$6:AL$105)+SUMIF(Capacity_Resource,$E87,'Critical resources (hide)'!AL$6:AL$105)+SUMIF(Capacity_Resource,$F87,'Critical resources (hide)'!AL$6:AL$105)&gt;0,$E$1=2),0,1)</f>
        <v>1</v>
      </c>
      <c r="Z87" s="67">
        <f ca="1">IF(AND(SUMIF(Capacity_Resource,$D87,'Critical resources (hide)'!AM$6:AM$105)+SUMIF(Capacity_Resource,$E87,'Critical resources (hide)'!AM$6:AM$105)+SUMIF(Capacity_Resource,$F87,'Critical resources (hide)'!AM$6:AM$105)&gt;0,$E$1=2),0,1)</f>
        <v>1</v>
      </c>
      <c r="AA87" s="67">
        <f ca="1">IF(AND(SUMIF(Capacity_Resource,$D87,'Critical resources (hide)'!AN$6:AN$105)+SUMIF(Capacity_Resource,$E87,'Critical resources (hide)'!AN$6:AN$105)+SUMIF(Capacity_Resource,$F87,'Critical resources (hide)'!AN$6:AN$105)&gt;0,$E$1=2),0,1)</f>
        <v>1</v>
      </c>
      <c r="AB87" s="67">
        <f ca="1">IF(AND(SUMIF(Capacity_Resource,$D87,'Critical resources (hide)'!AO$6:AO$105)+SUMIF(Capacity_Resource,$E87,'Critical resources (hide)'!AO$6:AO$105)+SUMIF(Capacity_Resource,$F87,'Critical resources (hide)'!AO$6:AO$105)&gt;0,$E$1=2),0,1)</f>
        <v>1</v>
      </c>
      <c r="AC87" s="67">
        <f ca="1">IF(AND(SUMIF(Capacity_Resource,$D87,'Critical resources (hide)'!AP$6:AP$105)+SUMIF(Capacity_Resource,$E87,'Critical resources (hide)'!AP$6:AP$105)+SUMIF(Capacity_Resource,$F87,'Critical resources (hide)'!AP$6:AP$105)&gt;0,$E$1=2),0,1)</f>
        <v>1</v>
      </c>
      <c r="AD87" s="67">
        <f ca="1">IF(AND(SUMIF(Capacity_Resource,$D87,'Critical resources (hide)'!AQ$6:AQ$105)+SUMIF(Capacity_Resource,$E87,'Critical resources (hide)'!AQ$6:AQ$105)+SUMIF(Capacity_Resource,$F87,'Critical resources (hide)'!AQ$6:AQ$105)&gt;0,$E$1=2),0,1)</f>
        <v>1</v>
      </c>
      <c r="AE87" s="67">
        <f ca="1">IF(AND(SUMIF(Capacity_Resource,$D87,'Critical resources (hide)'!AR$6:AR$105)+SUMIF(Capacity_Resource,$E87,'Critical resources (hide)'!AR$6:AR$105)+SUMIF(Capacity_Resource,$F87,'Critical resources (hide)'!AR$6:AR$105)&gt;0,$E$1=2),0,1)</f>
        <v>1</v>
      </c>
      <c r="AF87" s="67">
        <f ca="1">IF(AND(SUMIF(Capacity_Resource,$D87,'Critical resources (hide)'!AS$6:AS$105)+SUMIF(Capacity_Resource,$E87,'Critical resources (hide)'!AS$6:AS$105)+SUMIF(Capacity_Resource,$F87,'Critical resources (hide)'!AS$6:AS$105)&gt;0,$E$1=2),0,1)</f>
        <v>1</v>
      </c>
      <c r="AG87" s="67">
        <f ca="1">IF(AND(SUMIF(Capacity_Resource,$D87,'Critical resources (hide)'!AT$6:AT$105)+SUMIF(Capacity_Resource,$E87,'Critical resources (hide)'!AT$6:AT$105)+SUMIF(Capacity_Resource,$F87,'Critical resources (hide)'!AT$6:AT$105)&gt;0,$E$1=2),0,1)</f>
        <v>1</v>
      </c>
      <c r="AH87" s="67">
        <f ca="1">IF(AND(SUMIF(Capacity_Resource,$D87,'Critical resources (hide)'!AU$6:AU$105)+SUMIF(Capacity_Resource,$E87,'Critical resources (hide)'!AU$6:AU$105)+SUMIF(Capacity_Resource,$F87,'Critical resources (hide)'!AU$6:AU$105)&gt;0,$E$1=2),0,1)</f>
        <v>1</v>
      </c>
      <c r="AI87" s="67">
        <f ca="1">IF(AND(SUMIF(Capacity_Resource,$D87,'Critical resources (hide)'!AV$6:AV$105)+SUMIF(Capacity_Resource,$E87,'Critical resources (hide)'!AV$6:AV$105)+SUMIF(Capacity_Resource,$F87,'Critical resources (hide)'!AV$6:AV$105)&gt;0,$E$1=2),0,1)</f>
        <v>1</v>
      </c>
      <c r="AJ87" s="67">
        <f ca="1">IF(AND(SUMIF(Capacity_Resource,$D87,'Critical resources (hide)'!AW$6:AW$105)+SUMIF(Capacity_Resource,$E87,'Critical resources (hide)'!AW$6:AW$105)+SUMIF(Capacity_Resource,$F87,'Critical resources (hide)'!AW$6:AW$105)&gt;0,$E$1=2),0,1)</f>
        <v>1</v>
      </c>
      <c r="AK87" s="67">
        <f ca="1">IF(AND(SUMIF(Capacity_Resource,$D87,'Critical resources (hide)'!AX$6:AX$105)+SUMIF(Capacity_Resource,$E87,'Critical resources (hide)'!AX$6:AX$105)+SUMIF(Capacity_Resource,$F87,'Critical resources (hide)'!AX$6:AX$105)&gt;0,$E$1=2),0,1)</f>
        <v>1</v>
      </c>
      <c r="AL87" s="67">
        <f ca="1">IF(AND(SUMIF(Capacity_Resource,$D87,'Critical resources (hide)'!AY$6:AY$105)+SUMIF(Capacity_Resource,$E87,'Critical resources (hide)'!AY$6:AY$105)+SUMIF(Capacity_Resource,$F87,'Critical resources (hide)'!AY$6:AY$105)&gt;0,$E$1=2),0,1)</f>
        <v>1</v>
      </c>
      <c r="AM87" s="67">
        <f ca="1">IF(AND(SUMIF(Capacity_Resource,$D87,'Critical resources (hide)'!AZ$6:AZ$105)+SUMIF(Capacity_Resource,$E87,'Critical resources (hide)'!AZ$6:AZ$105)+SUMIF(Capacity_Resource,$F87,'Critical resources (hide)'!AZ$6:AZ$105)&gt;0,$E$1=2),0,1)</f>
        <v>1</v>
      </c>
      <c r="AN87" s="67">
        <f ca="1">IF(AND(SUMIF(Capacity_Resource,$D87,'Critical resources (hide)'!BA$6:BA$105)+SUMIF(Capacity_Resource,$E87,'Critical resources (hide)'!BA$6:BA$105)+SUMIF(Capacity_Resource,$F87,'Critical resources (hide)'!BA$6:BA$105)&gt;0,$E$1=2),0,1)</f>
        <v>1</v>
      </c>
      <c r="AO87" s="67">
        <f ca="1">IF(AND(SUMIF(Capacity_Resource,$D87,'Critical resources (hide)'!BB$6:BB$105)+SUMIF(Capacity_Resource,$E87,'Critical resources (hide)'!BB$6:BB$105)+SUMIF(Capacity_Resource,$F87,'Critical resources (hide)'!BB$6:BB$105)&gt;0,$E$1=2),0,1)</f>
        <v>1</v>
      </c>
      <c r="AP87" s="67">
        <f ca="1">IF(AND(SUMIF(Capacity_Resource,$D87,'Critical resources (hide)'!BC$6:BC$105)+SUMIF(Capacity_Resource,$E87,'Critical resources (hide)'!BC$6:BC$105)+SUMIF(Capacity_Resource,$F87,'Critical resources (hide)'!BC$6:BC$105)&gt;0,$E$1=2),0,1)</f>
        <v>1</v>
      </c>
      <c r="AQ87" s="67">
        <f ca="1">IF(AND(SUMIF(Capacity_Resource,$D87,'Critical resources (hide)'!BD$6:BD$105)+SUMIF(Capacity_Resource,$E87,'Critical resources (hide)'!BD$6:BD$105)+SUMIF(Capacity_Resource,$F87,'Critical resources (hide)'!BD$6:BD$105)&gt;0,$E$1=2),0,1)</f>
        <v>1</v>
      </c>
      <c r="AR87" s="67">
        <f ca="1">IF(AND(SUMIF(Capacity_Resource,$D87,'Critical resources (hide)'!BE$6:BE$105)+SUMIF(Capacity_Resource,$E87,'Critical resources (hide)'!BE$6:BE$105)+SUMIF(Capacity_Resource,$F87,'Critical resources (hide)'!BE$6:BE$105)&gt;0,$E$1=2),0,1)</f>
        <v>1</v>
      </c>
      <c r="AS87" s="67">
        <f ca="1">IF(AND(SUMIF(Capacity_Resource,$D87,'Critical resources (hide)'!BF$6:BF$105)+SUMIF(Capacity_Resource,$E87,'Critical resources (hide)'!BF$6:BF$105)+SUMIF(Capacity_Resource,$F87,'Critical resources (hide)'!BF$6:BF$105)&gt;0,$E$1=2),0,1)</f>
        <v>1</v>
      </c>
      <c r="AT87" s="67">
        <f ca="1">IF(AND(SUMIF(Capacity_Resource,$D87,'Critical resources (hide)'!BG$6:BG$105)+SUMIF(Capacity_Resource,$E87,'Critical resources (hide)'!BG$6:BG$105)+SUMIF(Capacity_Resource,$F87,'Critical resources (hide)'!BG$6:BG$105)&gt;0,$E$1=2),0,1)</f>
        <v>1</v>
      </c>
      <c r="AU87" s="67">
        <f ca="1">IF(AND(SUMIF(Capacity_Resource,$D87,'Critical resources (hide)'!BH$6:BH$105)+SUMIF(Capacity_Resource,$E87,'Critical resources (hide)'!BH$6:BH$105)+SUMIF(Capacity_Resource,$F87,'Critical resources (hide)'!BH$6:BH$105)&gt;0,$E$1=2),0,1)</f>
        <v>1</v>
      </c>
      <c r="AV87" s="67">
        <f ca="1">IF(AND(SUMIF(Capacity_Resource,$D87,'Critical resources (hide)'!BI$6:BI$105)+SUMIF(Capacity_Resource,$E87,'Critical resources (hide)'!BI$6:BI$105)+SUMIF(Capacity_Resource,$F87,'Critical resources (hide)'!BI$6:BI$105)&gt;0,$E$1=2),0,1)</f>
        <v>1</v>
      </c>
      <c r="AW87" s="67">
        <f ca="1">IF(AND(SUMIF(Capacity_Resource,$D87,'Critical resources (hide)'!BJ$6:BJ$105)+SUMIF(Capacity_Resource,$E87,'Critical resources (hide)'!BJ$6:BJ$105)+SUMIF(Capacity_Resource,$F87,'Critical resources (hide)'!BJ$6:BJ$105)&gt;0,$E$1=2),0,1)</f>
        <v>1</v>
      </c>
      <c r="AX87" s="67">
        <f ca="1">IF(AND(SUMIF(Capacity_Resource,$D87,'Critical resources (hide)'!BK$6:BK$105)+SUMIF(Capacity_Resource,$E87,'Critical resources (hide)'!BK$6:BK$105)+SUMIF(Capacity_Resource,$F87,'Critical resources (hide)'!BK$6:BK$105)&gt;0,$E$1=2),0,1)</f>
        <v>1</v>
      </c>
      <c r="AY87" s="67">
        <f ca="1">IF(AND(SUMIF(Capacity_Resource,$D87,'Critical resources (hide)'!BL$6:BL$105)+SUMIF(Capacity_Resource,$E87,'Critical resources (hide)'!BL$6:BL$105)+SUMIF(Capacity_Resource,$F87,'Critical resources (hide)'!BL$6:BL$105)&gt;0,$E$1=2),0,1)</f>
        <v>1</v>
      </c>
      <c r="AZ87" s="67">
        <f ca="1">IF(AND(SUMIF(Capacity_Resource,$D87,'Critical resources (hide)'!BM$6:BM$105)+SUMIF(Capacity_Resource,$E87,'Critical resources (hide)'!BM$6:BM$105)+SUMIF(Capacity_Resource,$F87,'Critical resources (hide)'!BM$6:BM$105)&gt;0,$E$1=2),0,1)</f>
        <v>1</v>
      </c>
      <c r="BA87" s="67">
        <f ca="1">IF(AND(SUMIF(Capacity_Resource,$D87,'Critical resources (hide)'!BN$6:BN$105)+SUMIF(Capacity_Resource,$E87,'Critical resources (hide)'!BN$6:BN$105)+SUMIF(Capacity_Resource,$F87,'Critical resources (hide)'!BN$6:BN$105)&gt;0,$E$1=2),0,1)</f>
        <v>1</v>
      </c>
      <c r="BB87" s="67">
        <f ca="1">IF(AND(SUMIF(Capacity_Resource,$D87,'Critical resources (hide)'!BO$6:BO$105)+SUMIF(Capacity_Resource,$E87,'Critical resources (hide)'!BO$6:BO$105)+SUMIF(Capacity_Resource,$F87,'Critical resources (hide)'!BO$6:BO$105)&gt;0,$E$1=2),0,1)</f>
        <v>1</v>
      </c>
      <c r="BC87" s="67">
        <f ca="1">IF(AND(SUMIF(Capacity_Resource,$D87,'Critical resources (hide)'!BP$6:BP$105)+SUMIF(Capacity_Resource,$E87,'Critical resources (hide)'!BP$6:BP$105)+SUMIF(Capacity_Resource,$F87,'Critical resources (hide)'!BP$6:BP$105)&gt;0,$E$1=2),0,1)</f>
        <v>1</v>
      </c>
      <c r="BD87" s="67">
        <f ca="1">IF(AND(SUMIF(Capacity_Resource,$D87,'Critical resources (hide)'!BQ$6:BQ$105)+SUMIF(Capacity_Resource,$E87,'Critical resources (hide)'!BQ$6:BQ$105)+SUMIF(Capacity_Resource,$F87,'Critical resources (hide)'!BQ$6:BQ$105)&gt;0,$E$1=2),0,1)</f>
        <v>1</v>
      </c>
      <c r="BE87" s="67">
        <f ca="1">IF(AND(SUMIF(Capacity_Resource,$D87,'Critical resources (hide)'!BR$6:BR$105)+SUMIF(Capacity_Resource,$E87,'Critical resources (hide)'!BR$6:BR$105)+SUMIF(Capacity_Resource,$F87,'Critical resources (hide)'!BR$6:BR$105)&gt;0,$E$1=2),0,1)</f>
        <v>1</v>
      </c>
      <c r="BF87" s="67">
        <f ca="1">IF(AND(SUMIF(Capacity_Resource,$D87,'Critical resources (hide)'!BS$6:BS$105)+SUMIF(Capacity_Resource,$E87,'Critical resources (hide)'!BS$6:BS$105)+SUMIF(Capacity_Resource,$F87,'Critical resources (hide)'!BS$6:BS$105)&gt;0,$E$1=2),0,1)</f>
        <v>1</v>
      </c>
      <c r="BG87" s="67">
        <f ca="1">IF(AND(SUMIF(Capacity_Resource,$D87,'Critical resources (hide)'!BT$6:BT$105)+SUMIF(Capacity_Resource,$E87,'Critical resources (hide)'!BT$6:BT$105)+SUMIF(Capacity_Resource,$F87,'Critical resources (hide)'!BT$6:BT$105)&gt;0,$E$1=2),0,1)</f>
        <v>1</v>
      </c>
      <c r="BH87" s="67">
        <f>IF(ROW(C83)&lt;=Capacity!$A$16,IF('Capacity summary'!$D$14="No",SUM(H87:BG87),'Capacity summary'!$E206),0)</f>
        <v>0</v>
      </c>
      <c r="BI87" s="5" t="str">
        <f>IF(BH87&gt;0,IF(BH87&lt;Capacity!E99,Capacity!F99,Capacity!H99/'Capacity calculation (hide)'!BH87),"")</f>
        <v/>
      </c>
      <c r="BK87" s="313">
        <f>IF($BI87&lt;&gt;"",IF('Capacity summary'!$D$14="Yes",IF(COUNTBLANK('Capacity summary'!$H206:$BG206)&lt;52,IF('Capacity summary'!H206&lt;&gt;"",IF(LOWER('Capacity summary'!H206)="x",$BI87*H87,VALUE('Capacity summary'!H206)),0),H87*$BI87),H87*$BI87),0)</f>
        <v>0</v>
      </c>
      <c r="BL87" s="313">
        <f>IF($BI87&lt;&gt;"",IF('Capacity summary'!$D$14="Yes",IF(COUNTBLANK('Capacity summary'!$H206:$BG206)&lt;52,IF('Capacity summary'!I206&lt;&gt;"",IF(LOWER('Capacity summary'!I206)="x",$BI87*I87,VALUE('Capacity summary'!I206)),0),I87*$BI87),I87*$BI87),0)</f>
        <v>0</v>
      </c>
      <c r="BM87" s="313">
        <f>IF($BI87&lt;&gt;"",IF('Capacity summary'!$D$14="Yes",IF(COUNTBLANK('Capacity summary'!$H206:$BG206)&lt;52,IF('Capacity summary'!J206&lt;&gt;"",IF(LOWER('Capacity summary'!J206)="x",$BI87*J87,VALUE('Capacity summary'!J206)),0),J87*$BI87),J87*$BI87),0)</f>
        <v>0</v>
      </c>
      <c r="BN87" s="313">
        <f>IF($BI87&lt;&gt;"",IF('Capacity summary'!$D$14="Yes",IF(COUNTBLANK('Capacity summary'!$H206:$BG206)&lt;52,IF('Capacity summary'!K206&lt;&gt;"",IF(LOWER('Capacity summary'!K206)="x",$BI87*K87,VALUE('Capacity summary'!K206)),0),K87*$BI87),K87*$BI87),0)</f>
        <v>0</v>
      </c>
      <c r="BO87" s="313">
        <f>IF($BI87&lt;&gt;"",IF('Capacity summary'!$D$14="Yes",IF(COUNTBLANK('Capacity summary'!$H206:$BG206)&lt;52,IF('Capacity summary'!L206&lt;&gt;"",IF(LOWER('Capacity summary'!L206)="x",$BI87*L87,VALUE('Capacity summary'!L206)),0),L87*$BI87),L87*$BI87),0)</f>
        <v>0</v>
      </c>
      <c r="BP87" s="313">
        <f>IF($BI87&lt;&gt;"",IF('Capacity summary'!$D$14="Yes",IF(COUNTBLANK('Capacity summary'!$H206:$BG206)&lt;52,IF('Capacity summary'!M206&lt;&gt;"",IF(LOWER('Capacity summary'!M206)="x",$BI87*M87,VALUE('Capacity summary'!M206)),0),M87*$BI87),M87*$BI87),0)</f>
        <v>0</v>
      </c>
      <c r="BQ87" s="313">
        <f>IF($BI87&lt;&gt;"",IF('Capacity summary'!$D$14="Yes",IF(COUNTBLANK('Capacity summary'!$H206:$BG206)&lt;52,IF('Capacity summary'!N206&lt;&gt;"",IF(LOWER('Capacity summary'!N206)="x",$BI87*N87,VALUE('Capacity summary'!N206)),0),N87*$BI87),N87*$BI87),0)</f>
        <v>0</v>
      </c>
      <c r="BR87" s="313">
        <f>IF($BI87&lt;&gt;"",IF('Capacity summary'!$D$14="Yes",IF(COUNTBLANK('Capacity summary'!$H206:$BG206)&lt;52,IF('Capacity summary'!O206&lt;&gt;"",IF(LOWER('Capacity summary'!O206)="x",$BI87*O87,VALUE('Capacity summary'!O206)),0),O87*$BI87),O87*$BI87),0)</f>
        <v>0</v>
      </c>
      <c r="BS87" s="313">
        <f>IF($BI87&lt;&gt;"",IF('Capacity summary'!$D$14="Yes",IF(COUNTBLANK('Capacity summary'!$H206:$BG206)&lt;52,IF('Capacity summary'!P206&lt;&gt;"",IF(LOWER('Capacity summary'!P206)="x",$BI87*P87,VALUE('Capacity summary'!P206)),0),P87*$BI87),P87*$BI87),0)</f>
        <v>0</v>
      </c>
      <c r="BT87" s="313">
        <f>IF($BI87&lt;&gt;"",IF('Capacity summary'!$D$14="Yes",IF(COUNTBLANK('Capacity summary'!$H206:$BG206)&lt;52,IF('Capacity summary'!Q206&lt;&gt;"",IF(LOWER('Capacity summary'!Q206)="x",$BI87*Q87,VALUE('Capacity summary'!Q206)),0),Q87*$BI87),Q87*$BI87),0)</f>
        <v>0</v>
      </c>
      <c r="BU87" s="313">
        <f>IF($BI87&lt;&gt;"",IF('Capacity summary'!$D$14="Yes",IF(COUNTBLANK('Capacity summary'!$H206:$BG206)&lt;52,IF('Capacity summary'!R206&lt;&gt;"",IF(LOWER('Capacity summary'!R206)="x",$BI87*R87,VALUE('Capacity summary'!R206)),0),R87*$BI87),R87*$BI87),0)</f>
        <v>0</v>
      </c>
      <c r="BV87" s="313">
        <f>IF($BI87&lt;&gt;"",IF('Capacity summary'!$D$14="Yes",IF(COUNTBLANK('Capacity summary'!$H206:$BG206)&lt;52,IF('Capacity summary'!S206&lt;&gt;"",IF(LOWER('Capacity summary'!S206)="x",$BI87*S87,VALUE('Capacity summary'!S206)),0),S87*$BI87),S87*$BI87),0)</f>
        <v>0</v>
      </c>
      <c r="BW87" s="313">
        <f>IF($BI87&lt;&gt;"",IF('Capacity summary'!$D$14="Yes",IF(COUNTBLANK('Capacity summary'!$H206:$BG206)&lt;52,IF('Capacity summary'!T206&lt;&gt;"",IF(LOWER('Capacity summary'!T206)="x",$BI87*T87,VALUE('Capacity summary'!T206)),0),T87*$BI87),T87*$BI87),0)</f>
        <v>0</v>
      </c>
      <c r="BX87" s="313">
        <f>IF($BI87&lt;&gt;"",IF('Capacity summary'!$D$14="Yes",IF(COUNTBLANK('Capacity summary'!$H206:$BG206)&lt;52,IF('Capacity summary'!U206&lt;&gt;"",IF(LOWER('Capacity summary'!U206)="x",$BI87*U87,VALUE('Capacity summary'!U206)),0),U87*$BI87),U87*$BI87),0)</f>
        <v>0</v>
      </c>
      <c r="BY87" s="313">
        <f>IF($BI87&lt;&gt;"",IF('Capacity summary'!$D$14="Yes",IF(COUNTBLANK('Capacity summary'!$H206:$BG206)&lt;52,IF('Capacity summary'!V206&lt;&gt;"",IF(LOWER('Capacity summary'!V206)="x",$BI87*V87,VALUE('Capacity summary'!V206)),0),V87*$BI87),V87*$BI87),0)</f>
        <v>0</v>
      </c>
      <c r="BZ87" s="313">
        <f>IF($BI87&lt;&gt;"",IF('Capacity summary'!$D$14="Yes",IF(COUNTBLANK('Capacity summary'!$H206:$BG206)&lt;52,IF('Capacity summary'!W206&lt;&gt;"",IF(LOWER('Capacity summary'!W206)="x",$BI87*W87,VALUE('Capacity summary'!W206)),0),W87*$BI87),W87*$BI87),0)</f>
        <v>0</v>
      </c>
      <c r="CA87" s="313">
        <f>IF($BI87&lt;&gt;"",IF('Capacity summary'!$D$14="Yes",IF(COUNTBLANK('Capacity summary'!$H206:$BG206)&lt;52,IF('Capacity summary'!X206&lt;&gt;"",IF(LOWER('Capacity summary'!X206)="x",$BI87*X87,VALUE('Capacity summary'!X206)),0),X87*$BI87),X87*$BI87),0)</f>
        <v>0</v>
      </c>
      <c r="CB87" s="313">
        <f>IF($BI87&lt;&gt;"",IF('Capacity summary'!$D$14="Yes",IF(COUNTBLANK('Capacity summary'!$H206:$BG206)&lt;52,IF('Capacity summary'!Y206&lt;&gt;"",IF(LOWER('Capacity summary'!Y206)="x",$BI87*Y87,VALUE('Capacity summary'!Y206)),0),Y87*$BI87),Y87*$BI87),0)</f>
        <v>0</v>
      </c>
      <c r="CC87" s="313">
        <f>IF($BI87&lt;&gt;"",IF('Capacity summary'!$D$14="Yes",IF(COUNTBLANK('Capacity summary'!$H206:$BG206)&lt;52,IF('Capacity summary'!Z206&lt;&gt;"",IF(LOWER('Capacity summary'!Z206)="x",$BI87*Z87,VALUE('Capacity summary'!Z206)),0),Z87*$BI87),Z87*$BI87),0)</f>
        <v>0</v>
      </c>
      <c r="CD87" s="313">
        <f>IF($BI87&lt;&gt;"",IF('Capacity summary'!$D$14="Yes",IF(COUNTBLANK('Capacity summary'!$H206:$BG206)&lt;52,IF('Capacity summary'!AA206&lt;&gt;"",IF(LOWER('Capacity summary'!AA206)="x",$BI87*AA87,VALUE('Capacity summary'!AA206)),0),AA87*$BI87),AA87*$BI87),0)</f>
        <v>0</v>
      </c>
      <c r="CE87" s="313">
        <f>IF($BI87&lt;&gt;"",IF('Capacity summary'!$D$14="Yes",IF(COUNTBLANK('Capacity summary'!$H206:$BG206)&lt;52,IF('Capacity summary'!AB206&lt;&gt;"",IF(LOWER('Capacity summary'!AB206)="x",$BI87*AB87,VALUE('Capacity summary'!AB206)),0),AB87*$BI87),AB87*$BI87),0)</f>
        <v>0</v>
      </c>
      <c r="CF87" s="313">
        <f>IF($BI87&lt;&gt;"",IF('Capacity summary'!$D$14="Yes",IF(COUNTBLANK('Capacity summary'!$H206:$BG206)&lt;52,IF('Capacity summary'!AC206&lt;&gt;"",IF(LOWER('Capacity summary'!AC206)="x",$BI87*AC87,VALUE('Capacity summary'!AC206)),0),AC87*$BI87),AC87*$BI87),0)</f>
        <v>0</v>
      </c>
      <c r="CG87" s="313">
        <f>IF($BI87&lt;&gt;"",IF('Capacity summary'!$D$14="Yes",IF(COUNTBLANK('Capacity summary'!$H206:$BG206)&lt;52,IF('Capacity summary'!AD206&lt;&gt;"",IF(LOWER('Capacity summary'!AD206)="x",$BI87*AD87,VALUE('Capacity summary'!AD206)),0),AD87*$BI87),AD87*$BI87),0)</f>
        <v>0</v>
      </c>
      <c r="CH87" s="313">
        <f>IF($BI87&lt;&gt;"",IF('Capacity summary'!$D$14="Yes",IF(COUNTBLANK('Capacity summary'!$H206:$BG206)&lt;52,IF('Capacity summary'!AE206&lt;&gt;"",IF(LOWER('Capacity summary'!AE206)="x",$BI87*AE87,VALUE('Capacity summary'!AE206)),0),AE87*$BI87),AE87*$BI87),0)</f>
        <v>0</v>
      </c>
      <c r="CI87" s="313">
        <f>IF($BI87&lt;&gt;"",IF('Capacity summary'!$D$14="Yes",IF(COUNTBLANK('Capacity summary'!$H206:$BG206)&lt;52,IF('Capacity summary'!AF206&lt;&gt;"",IF(LOWER('Capacity summary'!AF206)="x",$BI87*AF87,VALUE('Capacity summary'!AF206)),0),AF87*$BI87),AF87*$BI87),0)</f>
        <v>0</v>
      </c>
      <c r="CJ87" s="313">
        <f>IF($BI87&lt;&gt;"",IF('Capacity summary'!$D$14="Yes",IF(COUNTBLANK('Capacity summary'!$H206:$BG206)&lt;52,IF('Capacity summary'!AG206&lt;&gt;"",IF(LOWER('Capacity summary'!AG206)="x",$BI87*AG87,VALUE('Capacity summary'!AG206)),0),AG87*$BI87),AG87*$BI87),0)</f>
        <v>0</v>
      </c>
      <c r="CK87" s="313">
        <f>IF($BI87&lt;&gt;"",IF('Capacity summary'!$D$14="Yes",IF(COUNTBLANK('Capacity summary'!$H206:$BG206)&lt;52,IF('Capacity summary'!AH206&lt;&gt;"",IF(LOWER('Capacity summary'!AH206)="x",$BI87*AH87,VALUE('Capacity summary'!AH206)),0),AH87*$BI87),AH87*$BI87),0)</f>
        <v>0</v>
      </c>
      <c r="CL87" s="313">
        <f>IF($BI87&lt;&gt;"",IF('Capacity summary'!$D$14="Yes",IF(COUNTBLANK('Capacity summary'!$H206:$BG206)&lt;52,IF('Capacity summary'!AI206&lt;&gt;"",IF(LOWER('Capacity summary'!AI206)="x",$BI87*AI87,VALUE('Capacity summary'!AI206)),0),AI87*$BI87),AI87*$BI87),0)</f>
        <v>0</v>
      </c>
      <c r="CM87" s="313">
        <f>IF($BI87&lt;&gt;"",IF('Capacity summary'!$D$14="Yes",IF(COUNTBLANK('Capacity summary'!$H206:$BG206)&lt;52,IF('Capacity summary'!AJ206&lt;&gt;"",IF(LOWER('Capacity summary'!AJ206)="x",$BI87*AJ87,VALUE('Capacity summary'!AJ206)),0),AJ87*$BI87),AJ87*$BI87),0)</f>
        <v>0</v>
      </c>
      <c r="CN87" s="313">
        <f>IF($BI87&lt;&gt;"",IF('Capacity summary'!$D$14="Yes",IF(COUNTBLANK('Capacity summary'!$H206:$BG206)&lt;52,IF('Capacity summary'!AK206&lt;&gt;"",IF(LOWER('Capacity summary'!AK206)="x",$BI87*AK87,VALUE('Capacity summary'!AK206)),0),AK87*$BI87),AK87*$BI87),0)</f>
        <v>0</v>
      </c>
      <c r="CO87" s="313">
        <f>IF($BI87&lt;&gt;"",IF('Capacity summary'!$D$14="Yes",IF(COUNTBLANK('Capacity summary'!$H206:$BG206)&lt;52,IF('Capacity summary'!AL206&lt;&gt;"",IF(LOWER('Capacity summary'!AL206)="x",$BI87*AL87,VALUE('Capacity summary'!AL206)),0),AL87*$BI87),AL87*$BI87),0)</f>
        <v>0</v>
      </c>
      <c r="CP87" s="313">
        <f>IF($BI87&lt;&gt;"",IF('Capacity summary'!$D$14="Yes",IF(COUNTBLANK('Capacity summary'!$H206:$BG206)&lt;52,IF('Capacity summary'!AM206&lt;&gt;"",IF(LOWER('Capacity summary'!AM206)="x",$BI87*AM87,VALUE('Capacity summary'!AM206)),0),AM87*$BI87),AM87*$BI87),0)</f>
        <v>0</v>
      </c>
      <c r="CQ87" s="313">
        <f>IF($BI87&lt;&gt;"",IF('Capacity summary'!$D$14="Yes",IF(COUNTBLANK('Capacity summary'!$H206:$BG206)&lt;52,IF('Capacity summary'!AN206&lt;&gt;"",IF(LOWER('Capacity summary'!AN206)="x",$BI87*AN87,VALUE('Capacity summary'!AN206)),0),AN87*$BI87),AN87*$BI87),0)</f>
        <v>0</v>
      </c>
      <c r="CR87" s="313">
        <f>IF($BI87&lt;&gt;"",IF('Capacity summary'!$D$14="Yes",IF(COUNTBLANK('Capacity summary'!$H206:$BG206)&lt;52,IF('Capacity summary'!AO206&lt;&gt;"",IF(LOWER('Capacity summary'!AO206)="x",$BI87*AO87,VALUE('Capacity summary'!AO206)),0),AO87*$BI87),AO87*$BI87),0)</f>
        <v>0</v>
      </c>
      <c r="CS87" s="313">
        <f>IF($BI87&lt;&gt;"",IF('Capacity summary'!$D$14="Yes",IF(COUNTBLANK('Capacity summary'!$H206:$BG206)&lt;52,IF('Capacity summary'!AP206&lt;&gt;"",IF(LOWER('Capacity summary'!AP206)="x",$BI87*AP87,VALUE('Capacity summary'!AP206)),0),AP87*$BI87),AP87*$BI87),0)</f>
        <v>0</v>
      </c>
      <c r="CT87" s="313">
        <f>IF($BI87&lt;&gt;"",IF('Capacity summary'!$D$14="Yes",IF(COUNTBLANK('Capacity summary'!$H206:$BG206)&lt;52,IF('Capacity summary'!AQ206&lt;&gt;"",IF(LOWER('Capacity summary'!AQ206)="x",$BI87*AQ87,VALUE('Capacity summary'!AQ206)),0),AQ87*$BI87),AQ87*$BI87),0)</f>
        <v>0</v>
      </c>
      <c r="CU87" s="313">
        <f>IF($BI87&lt;&gt;"",IF('Capacity summary'!$D$14="Yes",IF(COUNTBLANK('Capacity summary'!$H206:$BG206)&lt;52,IF('Capacity summary'!AR206&lt;&gt;"",IF(LOWER('Capacity summary'!AR206)="x",$BI87*AR87,VALUE('Capacity summary'!AR206)),0),AR87*$BI87),AR87*$BI87),0)</f>
        <v>0</v>
      </c>
      <c r="CV87" s="313">
        <f>IF($BI87&lt;&gt;"",IF('Capacity summary'!$D$14="Yes",IF(COUNTBLANK('Capacity summary'!$H206:$BG206)&lt;52,IF('Capacity summary'!AS206&lt;&gt;"",IF(LOWER('Capacity summary'!AS206)="x",$BI87*AS87,VALUE('Capacity summary'!AS206)),0),AS87*$BI87),AS87*$BI87),0)</f>
        <v>0</v>
      </c>
      <c r="CW87" s="313">
        <f>IF($BI87&lt;&gt;"",IF('Capacity summary'!$D$14="Yes",IF(COUNTBLANK('Capacity summary'!$H206:$BG206)&lt;52,IF('Capacity summary'!AT206&lt;&gt;"",IF(LOWER('Capacity summary'!AT206)="x",$BI87*AT87,VALUE('Capacity summary'!AT206)),0),AT87*$BI87),AT87*$BI87),0)</f>
        <v>0</v>
      </c>
      <c r="CX87" s="313">
        <f>IF($BI87&lt;&gt;"",IF('Capacity summary'!$D$14="Yes",IF(COUNTBLANK('Capacity summary'!$H206:$BG206)&lt;52,IF('Capacity summary'!AU206&lt;&gt;"",IF(LOWER('Capacity summary'!AU206)="x",$BI87*AU87,VALUE('Capacity summary'!AU206)),0),AU87*$BI87),AU87*$BI87),0)</f>
        <v>0</v>
      </c>
      <c r="CY87" s="313">
        <f>IF($BI87&lt;&gt;"",IF('Capacity summary'!$D$14="Yes",IF(COUNTBLANK('Capacity summary'!$H206:$BG206)&lt;52,IF('Capacity summary'!AV206&lt;&gt;"",IF(LOWER('Capacity summary'!AV206)="x",$BI87*AV87,VALUE('Capacity summary'!AV206)),0),AV87*$BI87),AV87*$BI87),0)</f>
        <v>0</v>
      </c>
      <c r="CZ87" s="313">
        <f>IF($BI87&lt;&gt;"",IF('Capacity summary'!$D$14="Yes",IF(COUNTBLANK('Capacity summary'!$H206:$BG206)&lt;52,IF('Capacity summary'!AW206&lt;&gt;"",IF(LOWER('Capacity summary'!AW206)="x",$BI87*AW87,VALUE('Capacity summary'!AW206)),0),AW87*$BI87),AW87*$BI87),0)</f>
        <v>0</v>
      </c>
      <c r="DA87" s="313">
        <f>IF($BI87&lt;&gt;"",IF('Capacity summary'!$D$14="Yes",IF(COUNTBLANK('Capacity summary'!$H206:$BG206)&lt;52,IF('Capacity summary'!AX206&lt;&gt;"",IF(LOWER('Capacity summary'!AX206)="x",$BI87*AX87,VALUE('Capacity summary'!AX206)),0),AX87*$BI87),AX87*$BI87),0)</f>
        <v>0</v>
      </c>
      <c r="DB87" s="313">
        <f>IF($BI87&lt;&gt;"",IF('Capacity summary'!$D$14="Yes",IF(COUNTBLANK('Capacity summary'!$H206:$BG206)&lt;52,IF('Capacity summary'!AY206&lt;&gt;"",IF(LOWER('Capacity summary'!AY206)="x",$BI87*AY87,VALUE('Capacity summary'!AY206)),0),AY87*$BI87),AY87*$BI87),0)</f>
        <v>0</v>
      </c>
      <c r="DC87" s="313">
        <f>IF($BI87&lt;&gt;"",IF('Capacity summary'!$D$14="Yes",IF(COUNTBLANK('Capacity summary'!$H206:$BG206)&lt;52,IF('Capacity summary'!AZ206&lt;&gt;"",IF(LOWER('Capacity summary'!AZ206)="x",$BI87*AZ87,VALUE('Capacity summary'!AZ206)),0),AZ87*$BI87),AZ87*$BI87),0)</f>
        <v>0</v>
      </c>
      <c r="DD87" s="313">
        <f>IF($BI87&lt;&gt;"",IF('Capacity summary'!$D$14="Yes",IF(COUNTBLANK('Capacity summary'!$H206:$BG206)&lt;52,IF('Capacity summary'!BA206&lt;&gt;"",IF(LOWER('Capacity summary'!BA206)="x",$BI87*BA87,VALUE('Capacity summary'!BA206)),0),BA87*$BI87),BA87*$BI87),0)</f>
        <v>0</v>
      </c>
      <c r="DE87" s="313">
        <f>IF($BI87&lt;&gt;"",IF('Capacity summary'!$D$14="Yes",IF(COUNTBLANK('Capacity summary'!$H206:$BG206)&lt;52,IF('Capacity summary'!BB206&lt;&gt;"",IF(LOWER('Capacity summary'!BB206)="x",$BI87*BB87,VALUE('Capacity summary'!BB206)),0),BB87*$BI87),BB87*$BI87),0)</f>
        <v>0</v>
      </c>
      <c r="DF87" s="313">
        <f>IF($BI87&lt;&gt;"",IF('Capacity summary'!$D$14="Yes",IF(COUNTBLANK('Capacity summary'!$H206:$BG206)&lt;52,IF('Capacity summary'!BC206&lt;&gt;"",IF(LOWER('Capacity summary'!BC206)="x",$BI87*BC87,VALUE('Capacity summary'!BC206)),0),BC87*$BI87),BC87*$BI87),0)</f>
        <v>0</v>
      </c>
      <c r="DG87" s="313">
        <f>IF($BI87&lt;&gt;"",IF('Capacity summary'!$D$14="Yes",IF(COUNTBLANK('Capacity summary'!$H206:$BG206)&lt;52,IF('Capacity summary'!BD206&lt;&gt;"",IF(LOWER('Capacity summary'!BD206)="x",$BI87*BD87,VALUE('Capacity summary'!BD206)),0),BD87*$BI87),BD87*$BI87),0)</f>
        <v>0</v>
      </c>
      <c r="DH87" s="313">
        <f>IF($BI87&lt;&gt;"",IF('Capacity summary'!$D$14="Yes",IF(COUNTBLANK('Capacity summary'!$H206:$BG206)&lt;52,IF('Capacity summary'!BE206&lt;&gt;"",IF(LOWER('Capacity summary'!BE206)="x",$BI87*BE87,VALUE('Capacity summary'!BE206)),0),BE87*$BI87),BE87*$BI87),0)</f>
        <v>0</v>
      </c>
      <c r="DI87" s="313">
        <f>IF($BI87&lt;&gt;"",IF('Capacity summary'!$D$14="Yes",IF(COUNTBLANK('Capacity summary'!$H206:$BG206)&lt;52,IF('Capacity summary'!BF206&lt;&gt;"",IF(LOWER('Capacity summary'!BF206)="x",$BI87*BF87,VALUE('Capacity summary'!BF206)),0),BF87*$BI87),BF87*$BI87),0)</f>
        <v>0</v>
      </c>
      <c r="DJ87" s="313">
        <f>IF($BI87&lt;&gt;"",IF('Capacity summary'!$D$14="Yes",IF(COUNTBLANK('Capacity summary'!$H206:$BG206)&lt;52,IF('Capacity summary'!BG206&lt;&gt;"",IF(LOWER('Capacity summary'!BG206)="x",$BI87*BG87,VALUE('Capacity summary'!BG206)),0),BG87*$BI87),BG87*$BI87),0)</f>
        <v>0</v>
      </c>
      <c r="DK87" s="137">
        <f t="shared" si="3"/>
        <v>0</v>
      </c>
      <c r="DL87" s="313" t="str">
        <f>Capacity!H99</f>
        <v/>
      </c>
    </row>
    <row r="88" spans="2:116" x14ac:dyDescent="0.25">
      <c r="B88" s="67"/>
      <c r="C88" s="67" t="str">
        <f>ROW(A84)&amp;". "&amp;Capacity!B100</f>
        <v xml:space="preserve">84. </v>
      </c>
      <c r="D88" s="67">
        <f>'Capacity setup'!C95</f>
        <v>0</v>
      </c>
      <c r="E88" s="67">
        <f>'Capacity setup'!D95</f>
        <v>0</v>
      </c>
      <c r="F88" s="67">
        <f>'Capacity setup'!E95</f>
        <v>0</v>
      </c>
      <c r="H88" s="67">
        <f ca="1">IF(AND(SUMIF(Capacity_Resource,$D88,'Critical resources (hide)'!U$6:U$105)+SUMIF(Capacity_Resource,$E88,'Critical resources (hide)'!U$6:U$105)+SUMIF(Capacity_Resource,$F88,'Critical resources (hide)'!U$6:U$105)&gt;0,$E$1=2),0,1)</f>
        <v>1</v>
      </c>
      <c r="I88" s="67">
        <f ca="1">IF(AND(SUMIF(Capacity_Resource,$D88,'Critical resources (hide)'!V$6:V$105)+SUMIF(Capacity_Resource,$E88,'Critical resources (hide)'!V$6:V$105)+SUMIF(Capacity_Resource,$F88,'Critical resources (hide)'!V$6:V$105)&gt;0,$E$1=2),0,1)</f>
        <v>1</v>
      </c>
      <c r="J88" s="67">
        <f ca="1">IF(AND(SUMIF(Capacity_Resource,$D88,'Critical resources (hide)'!W$6:W$105)+SUMIF(Capacity_Resource,$E88,'Critical resources (hide)'!W$6:W$105)+SUMIF(Capacity_Resource,$F88,'Critical resources (hide)'!W$6:W$105)&gt;0,$E$1=2),0,1)</f>
        <v>1</v>
      </c>
      <c r="K88" s="67">
        <f ca="1">IF(AND(SUMIF(Capacity_Resource,$D88,'Critical resources (hide)'!X$6:X$105)+SUMIF(Capacity_Resource,$E88,'Critical resources (hide)'!X$6:X$105)+SUMIF(Capacity_Resource,$F88,'Critical resources (hide)'!X$6:X$105)&gt;0,$E$1=2),0,1)</f>
        <v>1</v>
      </c>
      <c r="L88" s="67">
        <f ca="1">IF(AND(SUMIF(Capacity_Resource,$D88,'Critical resources (hide)'!Y$6:Y$105)+SUMIF(Capacity_Resource,$E88,'Critical resources (hide)'!Y$6:Y$105)+SUMIF(Capacity_Resource,$F88,'Critical resources (hide)'!Y$6:Y$105)&gt;0,$E$1=2),0,1)</f>
        <v>1</v>
      </c>
      <c r="M88" s="67">
        <f ca="1">IF(AND(SUMIF(Capacity_Resource,$D88,'Critical resources (hide)'!Z$6:Z$105)+SUMIF(Capacity_Resource,$E88,'Critical resources (hide)'!Z$6:Z$105)+SUMIF(Capacity_Resource,$F88,'Critical resources (hide)'!Z$6:Z$105)&gt;0,$E$1=2),0,1)</f>
        <v>1</v>
      </c>
      <c r="N88" s="67">
        <f ca="1">IF(AND(SUMIF(Capacity_Resource,$D88,'Critical resources (hide)'!AA$6:AA$105)+SUMIF(Capacity_Resource,$E88,'Critical resources (hide)'!AA$6:AA$105)+SUMIF(Capacity_Resource,$F88,'Critical resources (hide)'!AA$6:AA$105)&gt;0,$E$1=2),0,1)</f>
        <v>1</v>
      </c>
      <c r="O88" s="67">
        <f ca="1">IF(AND(SUMIF(Capacity_Resource,$D88,'Critical resources (hide)'!AB$6:AB$105)+SUMIF(Capacity_Resource,$E88,'Critical resources (hide)'!AB$6:AB$105)+SUMIF(Capacity_Resource,$F88,'Critical resources (hide)'!AB$6:AB$105)&gt;0,$E$1=2),0,1)</f>
        <v>1</v>
      </c>
      <c r="P88" s="67">
        <f ca="1">IF(AND(SUMIF(Capacity_Resource,$D88,'Critical resources (hide)'!AC$6:AC$105)+SUMIF(Capacity_Resource,$E88,'Critical resources (hide)'!AC$6:AC$105)+SUMIF(Capacity_Resource,$F88,'Critical resources (hide)'!AC$6:AC$105)&gt;0,$E$1=2),0,1)</f>
        <v>1</v>
      </c>
      <c r="Q88" s="67">
        <f ca="1">IF(AND(SUMIF(Capacity_Resource,$D88,'Critical resources (hide)'!AD$6:AD$105)+SUMIF(Capacity_Resource,$E88,'Critical resources (hide)'!AD$6:AD$105)+SUMIF(Capacity_Resource,$F88,'Critical resources (hide)'!AD$6:AD$105)&gt;0,$E$1=2),0,1)</f>
        <v>1</v>
      </c>
      <c r="R88" s="67">
        <f ca="1">IF(AND(SUMIF(Capacity_Resource,$D88,'Critical resources (hide)'!AE$6:AE$105)+SUMIF(Capacity_Resource,$E88,'Critical resources (hide)'!AE$6:AE$105)+SUMIF(Capacity_Resource,$F88,'Critical resources (hide)'!AE$6:AE$105)&gt;0,$E$1=2),0,1)</f>
        <v>1</v>
      </c>
      <c r="S88" s="67">
        <f ca="1">IF(AND(SUMIF(Capacity_Resource,$D88,'Critical resources (hide)'!AF$6:AF$105)+SUMIF(Capacity_Resource,$E88,'Critical resources (hide)'!AF$6:AF$105)+SUMIF(Capacity_Resource,$F88,'Critical resources (hide)'!AF$6:AF$105)&gt;0,$E$1=2),0,1)</f>
        <v>1</v>
      </c>
      <c r="T88" s="67">
        <f ca="1">IF(AND(SUMIF(Capacity_Resource,$D88,'Critical resources (hide)'!AG$6:AG$105)+SUMIF(Capacity_Resource,$E88,'Critical resources (hide)'!AG$6:AG$105)+SUMIF(Capacity_Resource,$F88,'Critical resources (hide)'!AG$6:AG$105)&gt;0,$E$1=2),0,1)</f>
        <v>1</v>
      </c>
      <c r="U88" s="67">
        <f ca="1">IF(AND(SUMIF(Capacity_Resource,$D88,'Critical resources (hide)'!AH$6:AH$105)+SUMIF(Capacity_Resource,$E88,'Critical resources (hide)'!AH$6:AH$105)+SUMIF(Capacity_Resource,$F88,'Critical resources (hide)'!AH$6:AH$105)&gt;0,$E$1=2),0,1)</f>
        <v>1</v>
      </c>
      <c r="V88" s="67">
        <f ca="1">IF(AND(SUMIF(Capacity_Resource,$D88,'Critical resources (hide)'!AI$6:AI$105)+SUMIF(Capacity_Resource,$E88,'Critical resources (hide)'!AI$6:AI$105)+SUMIF(Capacity_Resource,$F88,'Critical resources (hide)'!AI$6:AI$105)&gt;0,$E$1=2),0,1)</f>
        <v>1</v>
      </c>
      <c r="W88" s="67">
        <f ca="1">IF(AND(SUMIF(Capacity_Resource,$D88,'Critical resources (hide)'!AJ$6:AJ$105)+SUMIF(Capacity_Resource,$E88,'Critical resources (hide)'!AJ$6:AJ$105)+SUMIF(Capacity_Resource,$F88,'Critical resources (hide)'!AJ$6:AJ$105)&gt;0,$E$1=2),0,1)</f>
        <v>1</v>
      </c>
      <c r="X88" s="67">
        <f ca="1">IF(AND(SUMIF(Capacity_Resource,$D88,'Critical resources (hide)'!AK$6:AK$105)+SUMIF(Capacity_Resource,$E88,'Critical resources (hide)'!AK$6:AK$105)+SUMIF(Capacity_Resource,$F88,'Critical resources (hide)'!AK$6:AK$105)&gt;0,$E$1=2),0,1)</f>
        <v>1</v>
      </c>
      <c r="Y88" s="67">
        <f ca="1">IF(AND(SUMIF(Capacity_Resource,$D88,'Critical resources (hide)'!AL$6:AL$105)+SUMIF(Capacity_Resource,$E88,'Critical resources (hide)'!AL$6:AL$105)+SUMIF(Capacity_Resource,$F88,'Critical resources (hide)'!AL$6:AL$105)&gt;0,$E$1=2),0,1)</f>
        <v>1</v>
      </c>
      <c r="Z88" s="67">
        <f ca="1">IF(AND(SUMIF(Capacity_Resource,$D88,'Critical resources (hide)'!AM$6:AM$105)+SUMIF(Capacity_Resource,$E88,'Critical resources (hide)'!AM$6:AM$105)+SUMIF(Capacity_Resource,$F88,'Critical resources (hide)'!AM$6:AM$105)&gt;0,$E$1=2),0,1)</f>
        <v>1</v>
      </c>
      <c r="AA88" s="67">
        <f ca="1">IF(AND(SUMIF(Capacity_Resource,$D88,'Critical resources (hide)'!AN$6:AN$105)+SUMIF(Capacity_Resource,$E88,'Critical resources (hide)'!AN$6:AN$105)+SUMIF(Capacity_Resource,$F88,'Critical resources (hide)'!AN$6:AN$105)&gt;0,$E$1=2),0,1)</f>
        <v>1</v>
      </c>
      <c r="AB88" s="67">
        <f ca="1">IF(AND(SUMIF(Capacity_Resource,$D88,'Critical resources (hide)'!AO$6:AO$105)+SUMIF(Capacity_Resource,$E88,'Critical resources (hide)'!AO$6:AO$105)+SUMIF(Capacity_Resource,$F88,'Critical resources (hide)'!AO$6:AO$105)&gt;0,$E$1=2),0,1)</f>
        <v>1</v>
      </c>
      <c r="AC88" s="67">
        <f ca="1">IF(AND(SUMIF(Capacity_Resource,$D88,'Critical resources (hide)'!AP$6:AP$105)+SUMIF(Capacity_Resource,$E88,'Critical resources (hide)'!AP$6:AP$105)+SUMIF(Capacity_Resource,$F88,'Critical resources (hide)'!AP$6:AP$105)&gt;0,$E$1=2),0,1)</f>
        <v>1</v>
      </c>
      <c r="AD88" s="67">
        <f ca="1">IF(AND(SUMIF(Capacity_Resource,$D88,'Critical resources (hide)'!AQ$6:AQ$105)+SUMIF(Capacity_Resource,$E88,'Critical resources (hide)'!AQ$6:AQ$105)+SUMIF(Capacity_Resource,$F88,'Critical resources (hide)'!AQ$6:AQ$105)&gt;0,$E$1=2),0,1)</f>
        <v>1</v>
      </c>
      <c r="AE88" s="67">
        <f ca="1">IF(AND(SUMIF(Capacity_Resource,$D88,'Critical resources (hide)'!AR$6:AR$105)+SUMIF(Capacity_Resource,$E88,'Critical resources (hide)'!AR$6:AR$105)+SUMIF(Capacity_Resource,$F88,'Critical resources (hide)'!AR$6:AR$105)&gt;0,$E$1=2),0,1)</f>
        <v>1</v>
      </c>
      <c r="AF88" s="67">
        <f ca="1">IF(AND(SUMIF(Capacity_Resource,$D88,'Critical resources (hide)'!AS$6:AS$105)+SUMIF(Capacity_Resource,$E88,'Critical resources (hide)'!AS$6:AS$105)+SUMIF(Capacity_Resource,$F88,'Critical resources (hide)'!AS$6:AS$105)&gt;0,$E$1=2),0,1)</f>
        <v>1</v>
      </c>
      <c r="AG88" s="67">
        <f ca="1">IF(AND(SUMIF(Capacity_Resource,$D88,'Critical resources (hide)'!AT$6:AT$105)+SUMIF(Capacity_Resource,$E88,'Critical resources (hide)'!AT$6:AT$105)+SUMIF(Capacity_Resource,$F88,'Critical resources (hide)'!AT$6:AT$105)&gt;0,$E$1=2),0,1)</f>
        <v>1</v>
      </c>
      <c r="AH88" s="67">
        <f ca="1">IF(AND(SUMIF(Capacity_Resource,$D88,'Critical resources (hide)'!AU$6:AU$105)+SUMIF(Capacity_Resource,$E88,'Critical resources (hide)'!AU$6:AU$105)+SUMIF(Capacity_Resource,$F88,'Critical resources (hide)'!AU$6:AU$105)&gt;0,$E$1=2),0,1)</f>
        <v>1</v>
      </c>
      <c r="AI88" s="67">
        <f ca="1">IF(AND(SUMIF(Capacity_Resource,$D88,'Critical resources (hide)'!AV$6:AV$105)+SUMIF(Capacity_Resource,$E88,'Critical resources (hide)'!AV$6:AV$105)+SUMIF(Capacity_Resource,$F88,'Critical resources (hide)'!AV$6:AV$105)&gt;0,$E$1=2),0,1)</f>
        <v>1</v>
      </c>
      <c r="AJ88" s="67">
        <f ca="1">IF(AND(SUMIF(Capacity_Resource,$D88,'Critical resources (hide)'!AW$6:AW$105)+SUMIF(Capacity_Resource,$E88,'Critical resources (hide)'!AW$6:AW$105)+SUMIF(Capacity_Resource,$F88,'Critical resources (hide)'!AW$6:AW$105)&gt;0,$E$1=2),0,1)</f>
        <v>1</v>
      </c>
      <c r="AK88" s="67">
        <f ca="1">IF(AND(SUMIF(Capacity_Resource,$D88,'Critical resources (hide)'!AX$6:AX$105)+SUMIF(Capacity_Resource,$E88,'Critical resources (hide)'!AX$6:AX$105)+SUMIF(Capacity_Resource,$F88,'Critical resources (hide)'!AX$6:AX$105)&gt;0,$E$1=2),0,1)</f>
        <v>1</v>
      </c>
      <c r="AL88" s="67">
        <f ca="1">IF(AND(SUMIF(Capacity_Resource,$D88,'Critical resources (hide)'!AY$6:AY$105)+SUMIF(Capacity_Resource,$E88,'Critical resources (hide)'!AY$6:AY$105)+SUMIF(Capacity_Resource,$F88,'Critical resources (hide)'!AY$6:AY$105)&gt;0,$E$1=2),0,1)</f>
        <v>1</v>
      </c>
      <c r="AM88" s="67">
        <f ca="1">IF(AND(SUMIF(Capacity_Resource,$D88,'Critical resources (hide)'!AZ$6:AZ$105)+SUMIF(Capacity_Resource,$E88,'Critical resources (hide)'!AZ$6:AZ$105)+SUMIF(Capacity_Resource,$F88,'Critical resources (hide)'!AZ$6:AZ$105)&gt;0,$E$1=2),0,1)</f>
        <v>1</v>
      </c>
      <c r="AN88" s="67">
        <f ca="1">IF(AND(SUMIF(Capacity_Resource,$D88,'Critical resources (hide)'!BA$6:BA$105)+SUMIF(Capacity_Resource,$E88,'Critical resources (hide)'!BA$6:BA$105)+SUMIF(Capacity_Resource,$F88,'Critical resources (hide)'!BA$6:BA$105)&gt;0,$E$1=2),0,1)</f>
        <v>1</v>
      </c>
      <c r="AO88" s="67">
        <f ca="1">IF(AND(SUMIF(Capacity_Resource,$D88,'Critical resources (hide)'!BB$6:BB$105)+SUMIF(Capacity_Resource,$E88,'Critical resources (hide)'!BB$6:BB$105)+SUMIF(Capacity_Resource,$F88,'Critical resources (hide)'!BB$6:BB$105)&gt;0,$E$1=2),0,1)</f>
        <v>1</v>
      </c>
      <c r="AP88" s="67">
        <f ca="1">IF(AND(SUMIF(Capacity_Resource,$D88,'Critical resources (hide)'!BC$6:BC$105)+SUMIF(Capacity_Resource,$E88,'Critical resources (hide)'!BC$6:BC$105)+SUMIF(Capacity_Resource,$F88,'Critical resources (hide)'!BC$6:BC$105)&gt;0,$E$1=2),0,1)</f>
        <v>1</v>
      </c>
      <c r="AQ88" s="67">
        <f ca="1">IF(AND(SUMIF(Capacity_Resource,$D88,'Critical resources (hide)'!BD$6:BD$105)+SUMIF(Capacity_Resource,$E88,'Critical resources (hide)'!BD$6:BD$105)+SUMIF(Capacity_Resource,$F88,'Critical resources (hide)'!BD$6:BD$105)&gt;0,$E$1=2),0,1)</f>
        <v>1</v>
      </c>
      <c r="AR88" s="67">
        <f ca="1">IF(AND(SUMIF(Capacity_Resource,$D88,'Critical resources (hide)'!BE$6:BE$105)+SUMIF(Capacity_Resource,$E88,'Critical resources (hide)'!BE$6:BE$105)+SUMIF(Capacity_Resource,$F88,'Critical resources (hide)'!BE$6:BE$105)&gt;0,$E$1=2),0,1)</f>
        <v>1</v>
      </c>
      <c r="AS88" s="67">
        <f ca="1">IF(AND(SUMIF(Capacity_Resource,$D88,'Critical resources (hide)'!BF$6:BF$105)+SUMIF(Capacity_Resource,$E88,'Critical resources (hide)'!BF$6:BF$105)+SUMIF(Capacity_Resource,$F88,'Critical resources (hide)'!BF$6:BF$105)&gt;0,$E$1=2),0,1)</f>
        <v>1</v>
      </c>
      <c r="AT88" s="67">
        <f ca="1">IF(AND(SUMIF(Capacity_Resource,$D88,'Critical resources (hide)'!BG$6:BG$105)+SUMIF(Capacity_Resource,$E88,'Critical resources (hide)'!BG$6:BG$105)+SUMIF(Capacity_Resource,$F88,'Critical resources (hide)'!BG$6:BG$105)&gt;0,$E$1=2),0,1)</f>
        <v>1</v>
      </c>
      <c r="AU88" s="67">
        <f ca="1">IF(AND(SUMIF(Capacity_Resource,$D88,'Critical resources (hide)'!BH$6:BH$105)+SUMIF(Capacity_Resource,$E88,'Critical resources (hide)'!BH$6:BH$105)+SUMIF(Capacity_Resource,$F88,'Critical resources (hide)'!BH$6:BH$105)&gt;0,$E$1=2),0,1)</f>
        <v>1</v>
      </c>
      <c r="AV88" s="67">
        <f ca="1">IF(AND(SUMIF(Capacity_Resource,$D88,'Critical resources (hide)'!BI$6:BI$105)+SUMIF(Capacity_Resource,$E88,'Critical resources (hide)'!BI$6:BI$105)+SUMIF(Capacity_Resource,$F88,'Critical resources (hide)'!BI$6:BI$105)&gt;0,$E$1=2),0,1)</f>
        <v>1</v>
      </c>
      <c r="AW88" s="67">
        <f ca="1">IF(AND(SUMIF(Capacity_Resource,$D88,'Critical resources (hide)'!BJ$6:BJ$105)+SUMIF(Capacity_Resource,$E88,'Critical resources (hide)'!BJ$6:BJ$105)+SUMIF(Capacity_Resource,$F88,'Critical resources (hide)'!BJ$6:BJ$105)&gt;0,$E$1=2),0,1)</f>
        <v>1</v>
      </c>
      <c r="AX88" s="67">
        <f ca="1">IF(AND(SUMIF(Capacity_Resource,$D88,'Critical resources (hide)'!BK$6:BK$105)+SUMIF(Capacity_Resource,$E88,'Critical resources (hide)'!BK$6:BK$105)+SUMIF(Capacity_Resource,$F88,'Critical resources (hide)'!BK$6:BK$105)&gt;0,$E$1=2),0,1)</f>
        <v>1</v>
      </c>
      <c r="AY88" s="67">
        <f ca="1">IF(AND(SUMIF(Capacity_Resource,$D88,'Critical resources (hide)'!BL$6:BL$105)+SUMIF(Capacity_Resource,$E88,'Critical resources (hide)'!BL$6:BL$105)+SUMIF(Capacity_Resource,$F88,'Critical resources (hide)'!BL$6:BL$105)&gt;0,$E$1=2),0,1)</f>
        <v>1</v>
      </c>
      <c r="AZ88" s="67">
        <f ca="1">IF(AND(SUMIF(Capacity_Resource,$D88,'Critical resources (hide)'!BM$6:BM$105)+SUMIF(Capacity_Resource,$E88,'Critical resources (hide)'!BM$6:BM$105)+SUMIF(Capacity_Resource,$F88,'Critical resources (hide)'!BM$6:BM$105)&gt;0,$E$1=2),0,1)</f>
        <v>1</v>
      </c>
      <c r="BA88" s="67">
        <f ca="1">IF(AND(SUMIF(Capacity_Resource,$D88,'Critical resources (hide)'!BN$6:BN$105)+SUMIF(Capacity_Resource,$E88,'Critical resources (hide)'!BN$6:BN$105)+SUMIF(Capacity_Resource,$F88,'Critical resources (hide)'!BN$6:BN$105)&gt;0,$E$1=2),0,1)</f>
        <v>1</v>
      </c>
      <c r="BB88" s="67">
        <f ca="1">IF(AND(SUMIF(Capacity_Resource,$D88,'Critical resources (hide)'!BO$6:BO$105)+SUMIF(Capacity_Resource,$E88,'Critical resources (hide)'!BO$6:BO$105)+SUMIF(Capacity_Resource,$F88,'Critical resources (hide)'!BO$6:BO$105)&gt;0,$E$1=2),0,1)</f>
        <v>1</v>
      </c>
      <c r="BC88" s="67">
        <f ca="1">IF(AND(SUMIF(Capacity_Resource,$D88,'Critical resources (hide)'!BP$6:BP$105)+SUMIF(Capacity_Resource,$E88,'Critical resources (hide)'!BP$6:BP$105)+SUMIF(Capacity_Resource,$F88,'Critical resources (hide)'!BP$6:BP$105)&gt;0,$E$1=2),0,1)</f>
        <v>1</v>
      </c>
      <c r="BD88" s="67">
        <f ca="1">IF(AND(SUMIF(Capacity_Resource,$D88,'Critical resources (hide)'!BQ$6:BQ$105)+SUMIF(Capacity_Resource,$E88,'Critical resources (hide)'!BQ$6:BQ$105)+SUMIF(Capacity_Resource,$F88,'Critical resources (hide)'!BQ$6:BQ$105)&gt;0,$E$1=2),0,1)</f>
        <v>1</v>
      </c>
      <c r="BE88" s="67">
        <f ca="1">IF(AND(SUMIF(Capacity_Resource,$D88,'Critical resources (hide)'!BR$6:BR$105)+SUMIF(Capacity_Resource,$E88,'Critical resources (hide)'!BR$6:BR$105)+SUMIF(Capacity_Resource,$F88,'Critical resources (hide)'!BR$6:BR$105)&gt;0,$E$1=2),0,1)</f>
        <v>1</v>
      </c>
      <c r="BF88" s="67">
        <f ca="1">IF(AND(SUMIF(Capacity_Resource,$D88,'Critical resources (hide)'!BS$6:BS$105)+SUMIF(Capacity_Resource,$E88,'Critical resources (hide)'!BS$6:BS$105)+SUMIF(Capacity_Resource,$F88,'Critical resources (hide)'!BS$6:BS$105)&gt;0,$E$1=2),0,1)</f>
        <v>1</v>
      </c>
      <c r="BG88" s="67">
        <f ca="1">IF(AND(SUMIF(Capacity_Resource,$D88,'Critical resources (hide)'!BT$6:BT$105)+SUMIF(Capacity_Resource,$E88,'Critical resources (hide)'!BT$6:BT$105)+SUMIF(Capacity_Resource,$F88,'Critical resources (hide)'!BT$6:BT$105)&gt;0,$E$1=2),0,1)</f>
        <v>1</v>
      </c>
      <c r="BH88" s="67">
        <f>IF(ROW(C84)&lt;=Capacity!$A$16,IF('Capacity summary'!$D$14="No",SUM(H88:BG88),'Capacity summary'!$E207),0)</f>
        <v>0</v>
      </c>
      <c r="BI88" s="5" t="str">
        <f>IF(BH88&gt;0,IF(BH88&lt;Capacity!E100,Capacity!F100,Capacity!H100/'Capacity calculation (hide)'!BH88),"")</f>
        <v/>
      </c>
      <c r="BK88" s="313">
        <f>IF($BI88&lt;&gt;"",IF('Capacity summary'!$D$14="Yes",IF(COUNTBLANK('Capacity summary'!$H207:$BG207)&lt;52,IF('Capacity summary'!H207&lt;&gt;"",IF(LOWER('Capacity summary'!H207)="x",$BI88*H88,VALUE('Capacity summary'!H207)),0),H88*$BI88),H88*$BI88),0)</f>
        <v>0</v>
      </c>
      <c r="BL88" s="313">
        <f>IF($BI88&lt;&gt;"",IF('Capacity summary'!$D$14="Yes",IF(COUNTBLANK('Capacity summary'!$H207:$BG207)&lt;52,IF('Capacity summary'!I207&lt;&gt;"",IF(LOWER('Capacity summary'!I207)="x",$BI88*I88,VALUE('Capacity summary'!I207)),0),I88*$BI88),I88*$BI88),0)</f>
        <v>0</v>
      </c>
      <c r="BM88" s="313">
        <f>IF($BI88&lt;&gt;"",IF('Capacity summary'!$D$14="Yes",IF(COUNTBLANK('Capacity summary'!$H207:$BG207)&lt;52,IF('Capacity summary'!J207&lt;&gt;"",IF(LOWER('Capacity summary'!J207)="x",$BI88*J88,VALUE('Capacity summary'!J207)),0),J88*$BI88),J88*$BI88),0)</f>
        <v>0</v>
      </c>
      <c r="BN88" s="313">
        <f>IF($BI88&lt;&gt;"",IF('Capacity summary'!$D$14="Yes",IF(COUNTBLANK('Capacity summary'!$H207:$BG207)&lt;52,IF('Capacity summary'!K207&lt;&gt;"",IF(LOWER('Capacity summary'!K207)="x",$BI88*K88,VALUE('Capacity summary'!K207)),0),K88*$BI88),K88*$BI88),0)</f>
        <v>0</v>
      </c>
      <c r="BO88" s="313">
        <f>IF($BI88&lt;&gt;"",IF('Capacity summary'!$D$14="Yes",IF(COUNTBLANK('Capacity summary'!$H207:$BG207)&lt;52,IF('Capacity summary'!L207&lt;&gt;"",IF(LOWER('Capacity summary'!L207)="x",$BI88*L88,VALUE('Capacity summary'!L207)),0),L88*$BI88),L88*$BI88),0)</f>
        <v>0</v>
      </c>
      <c r="BP88" s="313">
        <f>IF($BI88&lt;&gt;"",IF('Capacity summary'!$D$14="Yes",IF(COUNTBLANK('Capacity summary'!$H207:$BG207)&lt;52,IF('Capacity summary'!M207&lt;&gt;"",IF(LOWER('Capacity summary'!M207)="x",$BI88*M88,VALUE('Capacity summary'!M207)),0),M88*$BI88),M88*$BI88),0)</f>
        <v>0</v>
      </c>
      <c r="BQ88" s="313">
        <f>IF($BI88&lt;&gt;"",IF('Capacity summary'!$D$14="Yes",IF(COUNTBLANK('Capacity summary'!$H207:$BG207)&lt;52,IF('Capacity summary'!N207&lt;&gt;"",IF(LOWER('Capacity summary'!N207)="x",$BI88*N88,VALUE('Capacity summary'!N207)),0),N88*$BI88),N88*$BI88),0)</f>
        <v>0</v>
      </c>
      <c r="BR88" s="313">
        <f>IF($BI88&lt;&gt;"",IF('Capacity summary'!$D$14="Yes",IF(COUNTBLANK('Capacity summary'!$H207:$BG207)&lt;52,IF('Capacity summary'!O207&lt;&gt;"",IF(LOWER('Capacity summary'!O207)="x",$BI88*O88,VALUE('Capacity summary'!O207)),0),O88*$BI88),O88*$BI88),0)</f>
        <v>0</v>
      </c>
      <c r="BS88" s="313">
        <f>IF($BI88&lt;&gt;"",IF('Capacity summary'!$D$14="Yes",IF(COUNTBLANK('Capacity summary'!$H207:$BG207)&lt;52,IF('Capacity summary'!P207&lt;&gt;"",IF(LOWER('Capacity summary'!P207)="x",$BI88*P88,VALUE('Capacity summary'!P207)),0),P88*$BI88),P88*$BI88),0)</f>
        <v>0</v>
      </c>
      <c r="BT88" s="313">
        <f>IF($BI88&lt;&gt;"",IF('Capacity summary'!$D$14="Yes",IF(COUNTBLANK('Capacity summary'!$H207:$BG207)&lt;52,IF('Capacity summary'!Q207&lt;&gt;"",IF(LOWER('Capacity summary'!Q207)="x",$BI88*Q88,VALUE('Capacity summary'!Q207)),0),Q88*$BI88),Q88*$BI88),0)</f>
        <v>0</v>
      </c>
      <c r="BU88" s="313">
        <f>IF($BI88&lt;&gt;"",IF('Capacity summary'!$D$14="Yes",IF(COUNTBLANK('Capacity summary'!$H207:$BG207)&lt;52,IF('Capacity summary'!R207&lt;&gt;"",IF(LOWER('Capacity summary'!R207)="x",$BI88*R88,VALUE('Capacity summary'!R207)),0),R88*$BI88),R88*$BI88),0)</f>
        <v>0</v>
      </c>
      <c r="BV88" s="313">
        <f>IF($BI88&lt;&gt;"",IF('Capacity summary'!$D$14="Yes",IF(COUNTBLANK('Capacity summary'!$H207:$BG207)&lt;52,IF('Capacity summary'!S207&lt;&gt;"",IF(LOWER('Capacity summary'!S207)="x",$BI88*S88,VALUE('Capacity summary'!S207)),0),S88*$BI88),S88*$BI88),0)</f>
        <v>0</v>
      </c>
      <c r="BW88" s="313">
        <f>IF($BI88&lt;&gt;"",IF('Capacity summary'!$D$14="Yes",IF(COUNTBLANK('Capacity summary'!$H207:$BG207)&lt;52,IF('Capacity summary'!T207&lt;&gt;"",IF(LOWER('Capacity summary'!T207)="x",$BI88*T88,VALUE('Capacity summary'!T207)),0),T88*$BI88),T88*$BI88),0)</f>
        <v>0</v>
      </c>
      <c r="BX88" s="313">
        <f>IF($BI88&lt;&gt;"",IF('Capacity summary'!$D$14="Yes",IF(COUNTBLANK('Capacity summary'!$H207:$BG207)&lt;52,IF('Capacity summary'!U207&lt;&gt;"",IF(LOWER('Capacity summary'!U207)="x",$BI88*U88,VALUE('Capacity summary'!U207)),0),U88*$BI88),U88*$BI88),0)</f>
        <v>0</v>
      </c>
      <c r="BY88" s="313">
        <f>IF($BI88&lt;&gt;"",IF('Capacity summary'!$D$14="Yes",IF(COUNTBLANK('Capacity summary'!$H207:$BG207)&lt;52,IF('Capacity summary'!V207&lt;&gt;"",IF(LOWER('Capacity summary'!V207)="x",$BI88*V88,VALUE('Capacity summary'!V207)),0),V88*$BI88),V88*$BI88),0)</f>
        <v>0</v>
      </c>
      <c r="BZ88" s="313">
        <f>IF($BI88&lt;&gt;"",IF('Capacity summary'!$D$14="Yes",IF(COUNTBLANK('Capacity summary'!$H207:$BG207)&lt;52,IF('Capacity summary'!W207&lt;&gt;"",IF(LOWER('Capacity summary'!W207)="x",$BI88*W88,VALUE('Capacity summary'!W207)),0),W88*$BI88),W88*$BI88),0)</f>
        <v>0</v>
      </c>
      <c r="CA88" s="313">
        <f>IF($BI88&lt;&gt;"",IF('Capacity summary'!$D$14="Yes",IF(COUNTBLANK('Capacity summary'!$H207:$BG207)&lt;52,IF('Capacity summary'!X207&lt;&gt;"",IF(LOWER('Capacity summary'!X207)="x",$BI88*X88,VALUE('Capacity summary'!X207)),0),X88*$BI88),X88*$BI88),0)</f>
        <v>0</v>
      </c>
      <c r="CB88" s="313">
        <f>IF($BI88&lt;&gt;"",IF('Capacity summary'!$D$14="Yes",IF(COUNTBLANK('Capacity summary'!$H207:$BG207)&lt;52,IF('Capacity summary'!Y207&lt;&gt;"",IF(LOWER('Capacity summary'!Y207)="x",$BI88*Y88,VALUE('Capacity summary'!Y207)),0),Y88*$BI88),Y88*$BI88),0)</f>
        <v>0</v>
      </c>
      <c r="CC88" s="313">
        <f>IF($BI88&lt;&gt;"",IF('Capacity summary'!$D$14="Yes",IF(COUNTBLANK('Capacity summary'!$H207:$BG207)&lt;52,IF('Capacity summary'!Z207&lt;&gt;"",IF(LOWER('Capacity summary'!Z207)="x",$BI88*Z88,VALUE('Capacity summary'!Z207)),0),Z88*$BI88),Z88*$BI88),0)</f>
        <v>0</v>
      </c>
      <c r="CD88" s="313">
        <f>IF($BI88&lt;&gt;"",IF('Capacity summary'!$D$14="Yes",IF(COUNTBLANK('Capacity summary'!$H207:$BG207)&lt;52,IF('Capacity summary'!AA207&lt;&gt;"",IF(LOWER('Capacity summary'!AA207)="x",$BI88*AA88,VALUE('Capacity summary'!AA207)),0),AA88*$BI88),AA88*$BI88),0)</f>
        <v>0</v>
      </c>
      <c r="CE88" s="313">
        <f>IF($BI88&lt;&gt;"",IF('Capacity summary'!$D$14="Yes",IF(COUNTBLANK('Capacity summary'!$H207:$BG207)&lt;52,IF('Capacity summary'!AB207&lt;&gt;"",IF(LOWER('Capacity summary'!AB207)="x",$BI88*AB88,VALUE('Capacity summary'!AB207)),0),AB88*$BI88),AB88*$BI88),0)</f>
        <v>0</v>
      </c>
      <c r="CF88" s="313">
        <f>IF($BI88&lt;&gt;"",IF('Capacity summary'!$D$14="Yes",IF(COUNTBLANK('Capacity summary'!$H207:$BG207)&lt;52,IF('Capacity summary'!AC207&lt;&gt;"",IF(LOWER('Capacity summary'!AC207)="x",$BI88*AC88,VALUE('Capacity summary'!AC207)),0),AC88*$BI88),AC88*$BI88),0)</f>
        <v>0</v>
      </c>
      <c r="CG88" s="313">
        <f>IF($BI88&lt;&gt;"",IF('Capacity summary'!$D$14="Yes",IF(COUNTBLANK('Capacity summary'!$H207:$BG207)&lt;52,IF('Capacity summary'!AD207&lt;&gt;"",IF(LOWER('Capacity summary'!AD207)="x",$BI88*AD88,VALUE('Capacity summary'!AD207)),0),AD88*$BI88),AD88*$BI88),0)</f>
        <v>0</v>
      </c>
      <c r="CH88" s="313">
        <f>IF($BI88&lt;&gt;"",IF('Capacity summary'!$D$14="Yes",IF(COUNTBLANK('Capacity summary'!$H207:$BG207)&lt;52,IF('Capacity summary'!AE207&lt;&gt;"",IF(LOWER('Capacity summary'!AE207)="x",$BI88*AE88,VALUE('Capacity summary'!AE207)),0),AE88*$BI88),AE88*$BI88),0)</f>
        <v>0</v>
      </c>
      <c r="CI88" s="313">
        <f>IF($BI88&lt;&gt;"",IF('Capacity summary'!$D$14="Yes",IF(COUNTBLANK('Capacity summary'!$H207:$BG207)&lt;52,IF('Capacity summary'!AF207&lt;&gt;"",IF(LOWER('Capacity summary'!AF207)="x",$BI88*AF88,VALUE('Capacity summary'!AF207)),0),AF88*$BI88),AF88*$BI88),0)</f>
        <v>0</v>
      </c>
      <c r="CJ88" s="313">
        <f>IF($BI88&lt;&gt;"",IF('Capacity summary'!$D$14="Yes",IF(COUNTBLANK('Capacity summary'!$H207:$BG207)&lt;52,IF('Capacity summary'!AG207&lt;&gt;"",IF(LOWER('Capacity summary'!AG207)="x",$BI88*AG88,VALUE('Capacity summary'!AG207)),0),AG88*$BI88),AG88*$BI88),0)</f>
        <v>0</v>
      </c>
      <c r="CK88" s="313">
        <f>IF($BI88&lt;&gt;"",IF('Capacity summary'!$D$14="Yes",IF(COUNTBLANK('Capacity summary'!$H207:$BG207)&lt;52,IF('Capacity summary'!AH207&lt;&gt;"",IF(LOWER('Capacity summary'!AH207)="x",$BI88*AH88,VALUE('Capacity summary'!AH207)),0),AH88*$BI88),AH88*$BI88),0)</f>
        <v>0</v>
      </c>
      <c r="CL88" s="313">
        <f>IF($BI88&lt;&gt;"",IF('Capacity summary'!$D$14="Yes",IF(COUNTBLANK('Capacity summary'!$H207:$BG207)&lt;52,IF('Capacity summary'!AI207&lt;&gt;"",IF(LOWER('Capacity summary'!AI207)="x",$BI88*AI88,VALUE('Capacity summary'!AI207)),0),AI88*$BI88),AI88*$BI88),0)</f>
        <v>0</v>
      </c>
      <c r="CM88" s="313">
        <f>IF($BI88&lt;&gt;"",IF('Capacity summary'!$D$14="Yes",IF(COUNTBLANK('Capacity summary'!$H207:$BG207)&lt;52,IF('Capacity summary'!AJ207&lt;&gt;"",IF(LOWER('Capacity summary'!AJ207)="x",$BI88*AJ88,VALUE('Capacity summary'!AJ207)),0),AJ88*$BI88),AJ88*$BI88),0)</f>
        <v>0</v>
      </c>
      <c r="CN88" s="313">
        <f>IF($BI88&lt;&gt;"",IF('Capacity summary'!$D$14="Yes",IF(COUNTBLANK('Capacity summary'!$H207:$BG207)&lt;52,IF('Capacity summary'!AK207&lt;&gt;"",IF(LOWER('Capacity summary'!AK207)="x",$BI88*AK88,VALUE('Capacity summary'!AK207)),0),AK88*$BI88),AK88*$BI88),0)</f>
        <v>0</v>
      </c>
      <c r="CO88" s="313">
        <f>IF($BI88&lt;&gt;"",IF('Capacity summary'!$D$14="Yes",IF(COUNTBLANK('Capacity summary'!$H207:$BG207)&lt;52,IF('Capacity summary'!AL207&lt;&gt;"",IF(LOWER('Capacity summary'!AL207)="x",$BI88*AL88,VALUE('Capacity summary'!AL207)),0),AL88*$BI88),AL88*$BI88),0)</f>
        <v>0</v>
      </c>
      <c r="CP88" s="313">
        <f>IF($BI88&lt;&gt;"",IF('Capacity summary'!$D$14="Yes",IF(COUNTBLANK('Capacity summary'!$H207:$BG207)&lt;52,IF('Capacity summary'!AM207&lt;&gt;"",IF(LOWER('Capacity summary'!AM207)="x",$BI88*AM88,VALUE('Capacity summary'!AM207)),0),AM88*$BI88),AM88*$BI88),0)</f>
        <v>0</v>
      </c>
      <c r="CQ88" s="313">
        <f>IF($BI88&lt;&gt;"",IF('Capacity summary'!$D$14="Yes",IF(COUNTBLANK('Capacity summary'!$H207:$BG207)&lt;52,IF('Capacity summary'!AN207&lt;&gt;"",IF(LOWER('Capacity summary'!AN207)="x",$BI88*AN88,VALUE('Capacity summary'!AN207)),0),AN88*$BI88),AN88*$BI88),0)</f>
        <v>0</v>
      </c>
      <c r="CR88" s="313">
        <f>IF($BI88&lt;&gt;"",IF('Capacity summary'!$D$14="Yes",IF(COUNTBLANK('Capacity summary'!$H207:$BG207)&lt;52,IF('Capacity summary'!AO207&lt;&gt;"",IF(LOWER('Capacity summary'!AO207)="x",$BI88*AO88,VALUE('Capacity summary'!AO207)),0),AO88*$BI88),AO88*$BI88),0)</f>
        <v>0</v>
      </c>
      <c r="CS88" s="313">
        <f>IF($BI88&lt;&gt;"",IF('Capacity summary'!$D$14="Yes",IF(COUNTBLANK('Capacity summary'!$H207:$BG207)&lt;52,IF('Capacity summary'!AP207&lt;&gt;"",IF(LOWER('Capacity summary'!AP207)="x",$BI88*AP88,VALUE('Capacity summary'!AP207)),0),AP88*$BI88),AP88*$BI88),0)</f>
        <v>0</v>
      </c>
      <c r="CT88" s="313">
        <f>IF($BI88&lt;&gt;"",IF('Capacity summary'!$D$14="Yes",IF(COUNTBLANK('Capacity summary'!$H207:$BG207)&lt;52,IF('Capacity summary'!AQ207&lt;&gt;"",IF(LOWER('Capacity summary'!AQ207)="x",$BI88*AQ88,VALUE('Capacity summary'!AQ207)),0),AQ88*$BI88),AQ88*$BI88),0)</f>
        <v>0</v>
      </c>
      <c r="CU88" s="313">
        <f>IF($BI88&lt;&gt;"",IF('Capacity summary'!$D$14="Yes",IF(COUNTBLANK('Capacity summary'!$H207:$BG207)&lt;52,IF('Capacity summary'!AR207&lt;&gt;"",IF(LOWER('Capacity summary'!AR207)="x",$BI88*AR88,VALUE('Capacity summary'!AR207)),0),AR88*$BI88),AR88*$BI88),0)</f>
        <v>0</v>
      </c>
      <c r="CV88" s="313">
        <f>IF($BI88&lt;&gt;"",IF('Capacity summary'!$D$14="Yes",IF(COUNTBLANK('Capacity summary'!$H207:$BG207)&lt;52,IF('Capacity summary'!AS207&lt;&gt;"",IF(LOWER('Capacity summary'!AS207)="x",$BI88*AS88,VALUE('Capacity summary'!AS207)),0),AS88*$BI88),AS88*$BI88),0)</f>
        <v>0</v>
      </c>
      <c r="CW88" s="313">
        <f>IF($BI88&lt;&gt;"",IF('Capacity summary'!$D$14="Yes",IF(COUNTBLANK('Capacity summary'!$H207:$BG207)&lt;52,IF('Capacity summary'!AT207&lt;&gt;"",IF(LOWER('Capacity summary'!AT207)="x",$BI88*AT88,VALUE('Capacity summary'!AT207)),0),AT88*$BI88),AT88*$BI88),0)</f>
        <v>0</v>
      </c>
      <c r="CX88" s="313">
        <f>IF($BI88&lt;&gt;"",IF('Capacity summary'!$D$14="Yes",IF(COUNTBLANK('Capacity summary'!$H207:$BG207)&lt;52,IF('Capacity summary'!AU207&lt;&gt;"",IF(LOWER('Capacity summary'!AU207)="x",$BI88*AU88,VALUE('Capacity summary'!AU207)),0),AU88*$BI88),AU88*$BI88),0)</f>
        <v>0</v>
      </c>
      <c r="CY88" s="313">
        <f>IF($BI88&lt;&gt;"",IF('Capacity summary'!$D$14="Yes",IF(COUNTBLANK('Capacity summary'!$H207:$BG207)&lt;52,IF('Capacity summary'!AV207&lt;&gt;"",IF(LOWER('Capacity summary'!AV207)="x",$BI88*AV88,VALUE('Capacity summary'!AV207)),0),AV88*$BI88),AV88*$BI88),0)</f>
        <v>0</v>
      </c>
      <c r="CZ88" s="313">
        <f>IF($BI88&lt;&gt;"",IF('Capacity summary'!$D$14="Yes",IF(COUNTBLANK('Capacity summary'!$H207:$BG207)&lt;52,IF('Capacity summary'!AW207&lt;&gt;"",IF(LOWER('Capacity summary'!AW207)="x",$BI88*AW88,VALUE('Capacity summary'!AW207)),0),AW88*$BI88),AW88*$BI88),0)</f>
        <v>0</v>
      </c>
      <c r="DA88" s="313">
        <f>IF($BI88&lt;&gt;"",IF('Capacity summary'!$D$14="Yes",IF(COUNTBLANK('Capacity summary'!$H207:$BG207)&lt;52,IF('Capacity summary'!AX207&lt;&gt;"",IF(LOWER('Capacity summary'!AX207)="x",$BI88*AX88,VALUE('Capacity summary'!AX207)),0),AX88*$BI88),AX88*$BI88),0)</f>
        <v>0</v>
      </c>
      <c r="DB88" s="313">
        <f>IF($BI88&lt;&gt;"",IF('Capacity summary'!$D$14="Yes",IF(COUNTBLANK('Capacity summary'!$H207:$BG207)&lt;52,IF('Capacity summary'!AY207&lt;&gt;"",IF(LOWER('Capacity summary'!AY207)="x",$BI88*AY88,VALUE('Capacity summary'!AY207)),0),AY88*$BI88),AY88*$BI88),0)</f>
        <v>0</v>
      </c>
      <c r="DC88" s="313">
        <f>IF($BI88&lt;&gt;"",IF('Capacity summary'!$D$14="Yes",IF(COUNTBLANK('Capacity summary'!$H207:$BG207)&lt;52,IF('Capacity summary'!AZ207&lt;&gt;"",IF(LOWER('Capacity summary'!AZ207)="x",$BI88*AZ88,VALUE('Capacity summary'!AZ207)),0),AZ88*$BI88),AZ88*$BI88),0)</f>
        <v>0</v>
      </c>
      <c r="DD88" s="313">
        <f>IF($BI88&lt;&gt;"",IF('Capacity summary'!$D$14="Yes",IF(COUNTBLANK('Capacity summary'!$H207:$BG207)&lt;52,IF('Capacity summary'!BA207&lt;&gt;"",IF(LOWER('Capacity summary'!BA207)="x",$BI88*BA88,VALUE('Capacity summary'!BA207)),0),BA88*$BI88),BA88*$BI88),0)</f>
        <v>0</v>
      </c>
      <c r="DE88" s="313">
        <f>IF($BI88&lt;&gt;"",IF('Capacity summary'!$D$14="Yes",IF(COUNTBLANK('Capacity summary'!$H207:$BG207)&lt;52,IF('Capacity summary'!BB207&lt;&gt;"",IF(LOWER('Capacity summary'!BB207)="x",$BI88*BB88,VALUE('Capacity summary'!BB207)),0),BB88*$BI88),BB88*$BI88),0)</f>
        <v>0</v>
      </c>
      <c r="DF88" s="313">
        <f>IF($BI88&lt;&gt;"",IF('Capacity summary'!$D$14="Yes",IF(COUNTBLANK('Capacity summary'!$H207:$BG207)&lt;52,IF('Capacity summary'!BC207&lt;&gt;"",IF(LOWER('Capacity summary'!BC207)="x",$BI88*BC88,VALUE('Capacity summary'!BC207)),0),BC88*$BI88),BC88*$BI88),0)</f>
        <v>0</v>
      </c>
      <c r="DG88" s="313">
        <f>IF($BI88&lt;&gt;"",IF('Capacity summary'!$D$14="Yes",IF(COUNTBLANK('Capacity summary'!$H207:$BG207)&lt;52,IF('Capacity summary'!BD207&lt;&gt;"",IF(LOWER('Capacity summary'!BD207)="x",$BI88*BD88,VALUE('Capacity summary'!BD207)),0),BD88*$BI88),BD88*$BI88),0)</f>
        <v>0</v>
      </c>
      <c r="DH88" s="313">
        <f>IF($BI88&lt;&gt;"",IF('Capacity summary'!$D$14="Yes",IF(COUNTBLANK('Capacity summary'!$H207:$BG207)&lt;52,IF('Capacity summary'!BE207&lt;&gt;"",IF(LOWER('Capacity summary'!BE207)="x",$BI88*BE88,VALUE('Capacity summary'!BE207)),0),BE88*$BI88),BE88*$BI88),0)</f>
        <v>0</v>
      </c>
      <c r="DI88" s="313">
        <f>IF($BI88&lt;&gt;"",IF('Capacity summary'!$D$14="Yes",IF(COUNTBLANK('Capacity summary'!$H207:$BG207)&lt;52,IF('Capacity summary'!BF207&lt;&gt;"",IF(LOWER('Capacity summary'!BF207)="x",$BI88*BF88,VALUE('Capacity summary'!BF207)),0),BF88*$BI88),BF88*$BI88),0)</f>
        <v>0</v>
      </c>
      <c r="DJ88" s="313">
        <f>IF($BI88&lt;&gt;"",IF('Capacity summary'!$D$14="Yes",IF(COUNTBLANK('Capacity summary'!$H207:$BG207)&lt;52,IF('Capacity summary'!BG207&lt;&gt;"",IF(LOWER('Capacity summary'!BG207)="x",$BI88*BG88,VALUE('Capacity summary'!BG207)),0),BG88*$BI88),BG88*$BI88),0)</f>
        <v>0</v>
      </c>
      <c r="DK88" s="137">
        <f t="shared" si="3"/>
        <v>0</v>
      </c>
      <c r="DL88" s="313" t="str">
        <f>Capacity!H100</f>
        <v/>
      </c>
    </row>
    <row r="89" spans="2:116" x14ac:dyDescent="0.25">
      <c r="B89" s="67"/>
      <c r="C89" s="67" t="str">
        <f>ROW(A85)&amp;". "&amp;Capacity!B101</f>
        <v xml:space="preserve">85. </v>
      </c>
      <c r="D89" s="67">
        <f>'Capacity setup'!C96</f>
        <v>0</v>
      </c>
      <c r="E89" s="67">
        <f>'Capacity setup'!D96</f>
        <v>0</v>
      </c>
      <c r="F89" s="67">
        <f>'Capacity setup'!E96</f>
        <v>0</v>
      </c>
      <c r="H89" s="67">
        <f ca="1">IF(AND(SUMIF(Capacity_Resource,$D89,'Critical resources (hide)'!U$6:U$105)+SUMIF(Capacity_Resource,$E89,'Critical resources (hide)'!U$6:U$105)+SUMIF(Capacity_Resource,$F89,'Critical resources (hide)'!U$6:U$105)&gt;0,$E$1=2),0,1)</f>
        <v>1</v>
      </c>
      <c r="I89" s="67">
        <f ca="1">IF(AND(SUMIF(Capacity_Resource,$D89,'Critical resources (hide)'!V$6:V$105)+SUMIF(Capacity_Resource,$E89,'Critical resources (hide)'!V$6:V$105)+SUMIF(Capacity_Resource,$F89,'Critical resources (hide)'!V$6:V$105)&gt;0,$E$1=2),0,1)</f>
        <v>1</v>
      </c>
      <c r="J89" s="67">
        <f ca="1">IF(AND(SUMIF(Capacity_Resource,$D89,'Critical resources (hide)'!W$6:W$105)+SUMIF(Capacity_Resource,$E89,'Critical resources (hide)'!W$6:W$105)+SUMIF(Capacity_Resource,$F89,'Critical resources (hide)'!W$6:W$105)&gt;0,$E$1=2),0,1)</f>
        <v>1</v>
      </c>
      <c r="K89" s="67">
        <f ca="1">IF(AND(SUMIF(Capacity_Resource,$D89,'Critical resources (hide)'!X$6:X$105)+SUMIF(Capacity_Resource,$E89,'Critical resources (hide)'!X$6:X$105)+SUMIF(Capacity_Resource,$F89,'Critical resources (hide)'!X$6:X$105)&gt;0,$E$1=2),0,1)</f>
        <v>1</v>
      </c>
      <c r="L89" s="67">
        <f ca="1">IF(AND(SUMIF(Capacity_Resource,$D89,'Critical resources (hide)'!Y$6:Y$105)+SUMIF(Capacity_Resource,$E89,'Critical resources (hide)'!Y$6:Y$105)+SUMIF(Capacity_Resource,$F89,'Critical resources (hide)'!Y$6:Y$105)&gt;0,$E$1=2),0,1)</f>
        <v>1</v>
      </c>
      <c r="M89" s="67">
        <f ca="1">IF(AND(SUMIF(Capacity_Resource,$D89,'Critical resources (hide)'!Z$6:Z$105)+SUMIF(Capacity_Resource,$E89,'Critical resources (hide)'!Z$6:Z$105)+SUMIF(Capacity_Resource,$F89,'Critical resources (hide)'!Z$6:Z$105)&gt;0,$E$1=2),0,1)</f>
        <v>1</v>
      </c>
      <c r="N89" s="67">
        <f ca="1">IF(AND(SUMIF(Capacity_Resource,$D89,'Critical resources (hide)'!AA$6:AA$105)+SUMIF(Capacity_Resource,$E89,'Critical resources (hide)'!AA$6:AA$105)+SUMIF(Capacity_Resource,$F89,'Critical resources (hide)'!AA$6:AA$105)&gt;0,$E$1=2),0,1)</f>
        <v>1</v>
      </c>
      <c r="O89" s="67">
        <f ca="1">IF(AND(SUMIF(Capacity_Resource,$D89,'Critical resources (hide)'!AB$6:AB$105)+SUMIF(Capacity_Resource,$E89,'Critical resources (hide)'!AB$6:AB$105)+SUMIF(Capacity_Resource,$F89,'Critical resources (hide)'!AB$6:AB$105)&gt;0,$E$1=2),0,1)</f>
        <v>1</v>
      </c>
      <c r="P89" s="67">
        <f ca="1">IF(AND(SUMIF(Capacity_Resource,$D89,'Critical resources (hide)'!AC$6:AC$105)+SUMIF(Capacity_Resource,$E89,'Critical resources (hide)'!AC$6:AC$105)+SUMIF(Capacity_Resource,$F89,'Critical resources (hide)'!AC$6:AC$105)&gt;0,$E$1=2),0,1)</f>
        <v>1</v>
      </c>
      <c r="Q89" s="67">
        <f ca="1">IF(AND(SUMIF(Capacity_Resource,$D89,'Critical resources (hide)'!AD$6:AD$105)+SUMIF(Capacity_Resource,$E89,'Critical resources (hide)'!AD$6:AD$105)+SUMIF(Capacity_Resource,$F89,'Critical resources (hide)'!AD$6:AD$105)&gt;0,$E$1=2),0,1)</f>
        <v>1</v>
      </c>
      <c r="R89" s="67">
        <f ca="1">IF(AND(SUMIF(Capacity_Resource,$D89,'Critical resources (hide)'!AE$6:AE$105)+SUMIF(Capacity_Resource,$E89,'Critical resources (hide)'!AE$6:AE$105)+SUMIF(Capacity_Resource,$F89,'Critical resources (hide)'!AE$6:AE$105)&gt;0,$E$1=2),0,1)</f>
        <v>1</v>
      </c>
      <c r="S89" s="67">
        <f ca="1">IF(AND(SUMIF(Capacity_Resource,$D89,'Critical resources (hide)'!AF$6:AF$105)+SUMIF(Capacity_Resource,$E89,'Critical resources (hide)'!AF$6:AF$105)+SUMIF(Capacity_Resource,$F89,'Critical resources (hide)'!AF$6:AF$105)&gt;0,$E$1=2),0,1)</f>
        <v>1</v>
      </c>
      <c r="T89" s="67">
        <f ca="1">IF(AND(SUMIF(Capacity_Resource,$D89,'Critical resources (hide)'!AG$6:AG$105)+SUMIF(Capacity_Resource,$E89,'Critical resources (hide)'!AG$6:AG$105)+SUMIF(Capacity_Resource,$F89,'Critical resources (hide)'!AG$6:AG$105)&gt;0,$E$1=2),0,1)</f>
        <v>1</v>
      </c>
      <c r="U89" s="67">
        <f ca="1">IF(AND(SUMIF(Capacity_Resource,$D89,'Critical resources (hide)'!AH$6:AH$105)+SUMIF(Capacity_Resource,$E89,'Critical resources (hide)'!AH$6:AH$105)+SUMIF(Capacity_Resource,$F89,'Critical resources (hide)'!AH$6:AH$105)&gt;0,$E$1=2),0,1)</f>
        <v>1</v>
      </c>
      <c r="V89" s="67">
        <f ca="1">IF(AND(SUMIF(Capacity_Resource,$D89,'Critical resources (hide)'!AI$6:AI$105)+SUMIF(Capacity_Resource,$E89,'Critical resources (hide)'!AI$6:AI$105)+SUMIF(Capacity_Resource,$F89,'Critical resources (hide)'!AI$6:AI$105)&gt;0,$E$1=2),0,1)</f>
        <v>1</v>
      </c>
      <c r="W89" s="67">
        <f ca="1">IF(AND(SUMIF(Capacity_Resource,$D89,'Critical resources (hide)'!AJ$6:AJ$105)+SUMIF(Capacity_Resource,$E89,'Critical resources (hide)'!AJ$6:AJ$105)+SUMIF(Capacity_Resource,$F89,'Critical resources (hide)'!AJ$6:AJ$105)&gt;0,$E$1=2),0,1)</f>
        <v>1</v>
      </c>
      <c r="X89" s="67">
        <f ca="1">IF(AND(SUMIF(Capacity_Resource,$D89,'Critical resources (hide)'!AK$6:AK$105)+SUMIF(Capacity_Resource,$E89,'Critical resources (hide)'!AK$6:AK$105)+SUMIF(Capacity_Resource,$F89,'Critical resources (hide)'!AK$6:AK$105)&gt;0,$E$1=2),0,1)</f>
        <v>1</v>
      </c>
      <c r="Y89" s="67">
        <f ca="1">IF(AND(SUMIF(Capacity_Resource,$D89,'Critical resources (hide)'!AL$6:AL$105)+SUMIF(Capacity_Resource,$E89,'Critical resources (hide)'!AL$6:AL$105)+SUMIF(Capacity_Resource,$F89,'Critical resources (hide)'!AL$6:AL$105)&gt;0,$E$1=2),0,1)</f>
        <v>1</v>
      </c>
      <c r="Z89" s="67">
        <f ca="1">IF(AND(SUMIF(Capacity_Resource,$D89,'Critical resources (hide)'!AM$6:AM$105)+SUMIF(Capacity_Resource,$E89,'Critical resources (hide)'!AM$6:AM$105)+SUMIF(Capacity_Resource,$F89,'Critical resources (hide)'!AM$6:AM$105)&gt;0,$E$1=2),0,1)</f>
        <v>1</v>
      </c>
      <c r="AA89" s="67">
        <f ca="1">IF(AND(SUMIF(Capacity_Resource,$D89,'Critical resources (hide)'!AN$6:AN$105)+SUMIF(Capacity_Resource,$E89,'Critical resources (hide)'!AN$6:AN$105)+SUMIF(Capacity_Resource,$F89,'Critical resources (hide)'!AN$6:AN$105)&gt;0,$E$1=2),0,1)</f>
        <v>1</v>
      </c>
      <c r="AB89" s="67">
        <f ca="1">IF(AND(SUMIF(Capacity_Resource,$D89,'Critical resources (hide)'!AO$6:AO$105)+SUMIF(Capacity_Resource,$E89,'Critical resources (hide)'!AO$6:AO$105)+SUMIF(Capacity_Resource,$F89,'Critical resources (hide)'!AO$6:AO$105)&gt;0,$E$1=2),0,1)</f>
        <v>1</v>
      </c>
      <c r="AC89" s="67">
        <f ca="1">IF(AND(SUMIF(Capacity_Resource,$D89,'Critical resources (hide)'!AP$6:AP$105)+SUMIF(Capacity_Resource,$E89,'Critical resources (hide)'!AP$6:AP$105)+SUMIF(Capacity_Resource,$F89,'Critical resources (hide)'!AP$6:AP$105)&gt;0,$E$1=2),0,1)</f>
        <v>1</v>
      </c>
      <c r="AD89" s="67">
        <f ca="1">IF(AND(SUMIF(Capacity_Resource,$D89,'Critical resources (hide)'!AQ$6:AQ$105)+SUMIF(Capacity_Resource,$E89,'Critical resources (hide)'!AQ$6:AQ$105)+SUMIF(Capacity_Resource,$F89,'Critical resources (hide)'!AQ$6:AQ$105)&gt;0,$E$1=2),0,1)</f>
        <v>1</v>
      </c>
      <c r="AE89" s="67">
        <f ca="1">IF(AND(SUMIF(Capacity_Resource,$D89,'Critical resources (hide)'!AR$6:AR$105)+SUMIF(Capacity_Resource,$E89,'Critical resources (hide)'!AR$6:AR$105)+SUMIF(Capacity_Resource,$F89,'Critical resources (hide)'!AR$6:AR$105)&gt;0,$E$1=2),0,1)</f>
        <v>1</v>
      </c>
      <c r="AF89" s="67">
        <f ca="1">IF(AND(SUMIF(Capacity_Resource,$D89,'Critical resources (hide)'!AS$6:AS$105)+SUMIF(Capacity_Resource,$E89,'Critical resources (hide)'!AS$6:AS$105)+SUMIF(Capacity_Resource,$F89,'Critical resources (hide)'!AS$6:AS$105)&gt;0,$E$1=2),0,1)</f>
        <v>1</v>
      </c>
      <c r="AG89" s="67">
        <f ca="1">IF(AND(SUMIF(Capacity_Resource,$D89,'Critical resources (hide)'!AT$6:AT$105)+SUMIF(Capacity_Resource,$E89,'Critical resources (hide)'!AT$6:AT$105)+SUMIF(Capacity_Resource,$F89,'Critical resources (hide)'!AT$6:AT$105)&gt;0,$E$1=2),0,1)</f>
        <v>1</v>
      </c>
      <c r="AH89" s="67">
        <f ca="1">IF(AND(SUMIF(Capacity_Resource,$D89,'Critical resources (hide)'!AU$6:AU$105)+SUMIF(Capacity_Resource,$E89,'Critical resources (hide)'!AU$6:AU$105)+SUMIF(Capacity_Resource,$F89,'Critical resources (hide)'!AU$6:AU$105)&gt;0,$E$1=2),0,1)</f>
        <v>1</v>
      </c>
      <c r="AI89" s="67">
        <f ca="1">IF(AND(SUMIF(Capacity_Resource,$D89,'Critical resources (hide)'!AV$6:AV$105)+SUMIF(Capacity_Resource,$E89,'Critical resources (hide)'!AV$6:AV$105)+SUMIF(Capacity_Resource,$F89,'Critical resources (hide)'!AV$6:AV$105)&gt;0,$E$1=2),0,1)</f>
        <v>1</v>
      </c>
      <c r="AJ89" s="67">
        <f ca="1">IF(AND(SUMIF(Capacity_Resource,$D89,'Critical resources (hide)'!AW$6:AW$105)+SUMIF(Capacity_Resource,$E89,'Critical resources (hide)'!AW$6:AW$105)+SUMIF(Capacity_Resource,$F89,'Critical resources (hide)'!AW$6:AW$105)&gt;0,$E$1=2),0,1)</f>
        <v>1</v>
      </c>
      <c r="AK89" s="67">
        <f ca="1">IF(AND(SUMIF(Capacity_Resource,$D89,'Critical resources (hide)'!AX$6:AX$105)+SUMIF(Capacity_Resource,$E89,'Critical resources (hide)'!AX$6:AX$105)+SUMIF(Capacity_Resource,$F89,'Critical resources (hide)'!AX$6:AX$105)&gt;0,$E$1=2),0,1)</f>
        <v>1</v>
      </c>
      <c r="AL89" s="67">
        <f ca="1">IF(AND(SUMIF(Capacity_Resource,$D89,'Critical resources (hide)'!AY$6:AY$105)+SUMIF(Capacity_Resource,$E89,'Critical resources (hide)'!AY$6:AY$105)+SUMIF(Capacity_Resource,$F89,'Critical resources (hide)'!AY$6:AY$105)&gt;0,$E$1=2),0,1)</f>
        <v>1</v>
      </c>
      <c r="AM89" s="67">
        <f ca="1">IF(AND(SUMIF(Capacity_Resource,$D89,'Critical resources (hide)'!AZ$6:AZ$105)+SUMIF(Capacity_Resource,$E89,'Critical resources (hide)'!AZ$6:AZ$105)+SUMIF(Capacity_Resource,$F89,'Critical resources (hide)'!AZ$6:AZ$105)&gt;0,$E$1=2),0,1)</f>
        <v>1</v>
      </c>
      <c r="AN89" s="67">
        <f ca="1">IF(AND(SUMIF(Capacity_Resource,$D89,'Critical resources (hide)'!BA$6:BA$105)+SUMIF(Capacity_Resource,$E89,'Critical resources (hide)'!BA$6:BA$105)+SUMIF(Capacity_Resource,$F89,'Critical resources (hide)'!BA$6:BA$105)&gt;0,$E$1=2),0,1)</f>
        <v>1</v>
      </c>
      <c r="AO89" s="67">
        <f ca="1">IF(AND(SUMIF(Capacity_Resource,$D89,'Critical resources (hide)'!BB$6:BB$105)+SUMIF(Capacity_Resource,$E89,'Critical resources (hide)'!BB$6:BB$105)+SUMIF(Capacity_Resource,$F89,'Critical resources (hide)'!BB$6:BB$105)&gt;0,$E$1=2),0,1)</f>
        <v>1</v>
      </c>
      <c r="AP89" s="67">
        <f ca="1">IF(AND(SUMIF(Capacity_Resource,$D89,'Critical resources (hide)'!BC$6:BC$105)+SUMIF(Capacity_Resource,$E89,'Critical resources (hide)'!BC$6:BC$105)+SUMIF(Capacity_Resource,$F89,'Critical resources (hide)'!BC$6:BC$105)&gt;0,$E$1=2),0,1)</f>
        <v>1</v>
      </c>
      <c r="AQ89" s="67">
        <f ca="1">IF(AND(SUMIF(Capacity_Resource,$D89,'Critical resources (hide)'!BD$6:BD$105)+SUMIF(Capacity_Resource,$E89,'Critical resources (hide)'!BD$6:BD$105)+SUMIF(Capacity_Resource,$F89,'Critical resources (hide)'!BD$6:BD$105)&gt;0,$E$1=2),0,1)</f>
        <v>1</v>
      </c>
      <c r="AR89" s="67">
        <f ca="1">IF(AND(SUMIF(Capacity_Resource,$D89,'Critical resources (hide)'!BE$6:BE$105)+SUMIF(Capacity_Resource,$E89,'Critical resources (hide)'!BE$6:BE$105)+SUMIF(Capacity_Resource,$F89,'Critical resources (hide)'!BE$6:BE$105)&gt;0,$E$1=2),0,1)</f>
        <v>1</v>
      </c>
      <c r="AS89" s="67">
        <f ca="1">IF(AND(SUMIF(Capacity_Resource,$D89,'Critical resources (hide)'!BF$6:BF$105)+SUMIF(Capacity_Resource,$E89,'Critical resources (hide)'!BF$6:BF$105)+SUMIF(Capacity_Resource,$F89,'Critical resources (hide)'!BF$6:BF$105)&gt;0,$E$1=2),0,1)</f>
        <v>1</v>
      </c>
      <c r="AT89" s="67">
        <f ca="1">IF(AND(SUMIF(Capacity_Resource,$D89,'Critical resources (hide)'!BG$6:BG$105)+SUMIF(Capacity_Resource,$E89,'Critical resources (hide)'!BG$6:BG$105)+SUMIF(Capacity_Resource,$F89,'Critical resources (hide)'!BG$6:BG$105)&gt;0,$E$1=2),0,1)</f>
        <v>1</v>
      </c>
      <c r="AU89" s="67">
        <f ca="1">IF(AND(SUMIF(Capacity_Resource,$D89,'Critical resources (hide)'!BH$6:BH$105)+SUMIF(Capacity_Resource,$E89,'Critical resources (hide)'!BH$6:BH$105)+SUMIF(Capacity_Resource,$F89,'Critical resources (hide)'!BH$6:BH$105)&gt;0,$E$1=2),0,1)</f>
        <v>1</v>
      </c>
      <c r="AV89" s="67">
        <f ca="1">IF(AND(SUMIF(Capacity_Resource,$D89,'Critical resources (hide)'!BI$6:BI$105)+SUMIF(Capacity_Resource,$E89,'Critical resources (hide)'!BI$6:BI$105)+SUMIF(Capacity_Resource,$F89,'Critical resources (hide)'!BI$6:BI$105)&gt;0,$E$1=2),0,1)</f>
        <v>1</v>
      </c>
      <c r="AW89" s="67">
        <f ca="1">IF(AND(SUMIF(Capacity_Resource,$D89,'Critical resources (hide)'!BJ$6:BJ$105)+SUMIF(Capacity_Resource,$E89,'Critical resources (hide)'!BJ$6:BJ$105)+SUMIF(Capacity_Resource,$F89,'Critical resources (hide)'!BJ$6:BJ$105)&gt;0,$E$1=2),0,1)</f>
        <v>1</v>
      </c>
      <c r="AX89" s="67">
        <f ca="1">IF(AND(SUMIF(Capacity_Resource,$D89,'Critical resources (hide)'!BK$6:BK$105)+SUMIF(Capacity_Resource,$E89,'Critical resources (hide)'!BK$6:BK$105)+SUMIF(Capacity_Resource,$F89,'Critical resources (hide)'!BK$6:BK$105)&gt;0,$E$1=2),0,1)</f>
        <v>1</v>
      </c>
      <c r="AY89" s="67">
        <f ca="1">IF(AND(SUMIF(Capacity_Resource,$D89,'Critical resources (hide)'!BL$6:BL$105)+SUMIF(Capacity_Resource,$E89,'Critical resources (hide)'!BL$6:BL$105)+SUMIF(Capacity_Resource,$F89,'Critical resources (hide)'!BL$6:BL$105)&gt;0,$E$1=2),0,1)</f>
        <v>1</v>
      </c>
      <c r="AZ89" s="67">
        <f ca="1">IF(AND(SUMIF(Capacity_Resource,$D89,'Critical resources (hide)'!BM$6:BM$105)+SUMIF(Capacity_Resource,$E89,'Critical resources (hide)'!BM$6:BM$105)+SUMIF(Capacity_Resource,$F89,'Critical resources (hide)'!BM$6:BM$105)&gt;0,$E$1=2),0,1)</f>
        <v>1</v>
      </c>
      <c r="BA89" s="67">
        <f ca="1">IF(AND(SUMIF(Capacity_Resource,$D89,'Critical resources (hide)'!BN$6:BN$105)+SUMIF(Capacity_Resource,$E89,'Critical resources (hide)'!BN$6:BN$105)+SUMIF(Capacity_Resource,$F89,'Critical resources (hide)'!BN$6:BN$105)&gt;0,$E$1=2),0,1)</f>
        <v>1</v>
      </c>
      <c r="BB89" s="67">
        <f ca="1">IF(AND(SUMIF(Capacity_Resource,$D89,'Critical resources (hide)'!BO$6:BO$105)+SUMIF(Capacity_Resource,$E89,'Critical resources (hide)'!BO$6:BO$105)+SUMIF(Capacity_Resource,$F89,'Critical resources (hide)'!BO$6:BO$105)&gt;0,$E$1=2),0,1)</f>
        <v>1</v>
      </c>
      <c r="BC89" s="67">
        <f ca="1">IF(AND(SUMIF(Capacity_Resource,$D89,'Critical resources (hide)'!BP$6:BP$105)+SUMIF(Capacity_Resource,$E89,'Critical resources (hide)'!BP$6:BP$105)+SUMIF(Capacity_Resource,$F89,'Critical resources (hide)'!BP$6:BP$105)&gt;0,$E$1=2),0,1)</f>
        <v>1</v>
      </c>
      <c r="BD89" s="67">
        <f ca="1">IF(AND(SUMIF(Capacity_Resource,$D89,'Critical resources (hide)'!BQ$6:BQ$105)+SUMIF(Capacity_Resource,$E89,'Critical resources (hide)'!BQ$6:BQ$105)+SUMIF(Capacity_Resource,$F89,'Critical resources (hide)'!BQ$6:BQ$105)&gt;0,$E$1=2),0,1)</f>
        <v>1</v>
      </c>
      <c r="BE89" s="67">
        <f ca="1">IF(AND(SUMIF(Capacity_Resource,$D89,'Critical resources (hide)'!BR$6:BR$105)+SUMIF(Capacity_Resource,$E89,'Critical resources (hide)'!BR$6:BR$105)+SUMIF(Capacity_Resource,$F89,'Critical resources (hide)'!BR$6:BR$105)&gt;0,$E$1=2),0,1)</f>
        <v>1</v>
      </c>
      <c r="BF89" s="67">
        <f ca="1">IF(AND(SUMIF(Capacity_Resource,$D89,'Critical resources (hide)'!BS$6:BS$105)+SUMIF(Capacity_Resource,$E89,'Critical resources (hide)'!BS$6:BS$105)+SUMIF(Capacity_Resource,$F89,'Critical resources (hide)'!BS$6:BS$105)&gt;0,$E$1=2),0,1)</f>
        <v>1</v>
      </c>
      <c r="BG89" s="67">
        <f ca="1">IF(AND(SUMIF(Capacity_Resource,$D89,'Critical resources (hide)'!BT$6:BT$105)+SUMIF(Capacity_Resource,$E89,'Critical resources (hide)'!BT$6:BT$105)+SUMIF(Capacity_Resource,$F89,'Critical resources (hide)'!BT$6:BT$105)&gt;0,$E$1=2),0,1)</f>
        <v>1</v>
      </c>
      <c r="BH89" s="67">
        <f>IF(ROW(C85)&lt;=Capacity!$A$16,IF('Capacity summary'!$D$14="No",SUM(H89:BG89),'Capacity summary'!$E208),0)</f>
        <v>0</v>
      </c>
      <c r="BI89" s="5" t="str">
        <f>IF(BH89&gt;0,IF(BH89&lt;Capacity!E101,Capacity!F101,Capacity!H101/'Capacity calculation (hide)'!BH89),"")</f>
        <v/>
      </c>
      <c r="BK89" s="313">
        <f>IF($BI89&lt;&gt;"",IF('Capacity summary'!$D$14="Yes",IF(COUNTBLANK('Capacity summary'!$H208:$BG208)&lt;52,IF('Capacity summary'!H208&lt;&gt;"",IF(LOWER('Capacity summary'!H208)="x",$BI89*H89,VALUE('Capacity summary'!H208)),0),H89*$BI89),H89*$BI89),0)</f>
        <v>0</v>
      </c>
      <c r="BL89" s="313">
        <f>IF($BI89&lt;&gt;"",IF('Capacity summary'!$D$14="Yes",IF(COUNTBLANK('Capacity summary'!$H208:$BG208)&lt;52,IF('Capacity summary'!I208&lt;&gt;"",IF(LOWER('Capacity summary'!I208)="x",$BI89*I89,VALUE('Capacity summary'!I208)),0),I89*$BI89),I89*$BI89),0)</f>
        <v>0</v>
      </c>
      <c r="BM89" s="313">
        <f>IF($BI89&lt;&gt;"",IF('Capacity summary'!$D$14="Yes",IF(COUNTBLANK('Capacity summary'!$H208:$BG208)&lt;52,IF('Capacity summary'!J208&lt;&gt;"",IF(LOWER('Capacity summary'!J208)="x",$BI89*J89,VALUE('Capacity summary'!J208)),0),J89*$BI89),J89*$BI89),0)</f>
        <v>0</v>
      </c>
      <c r="BN89" s="313">
        <f>IF($BI89&lt;&gt;"",IF('Capacity summary'!$D$14="Yes",IF(COUNTBLANK('Capacity summary'!$H208:$BG208)&lt;52,IF('Capacity summary'!K208&lt;&gt;"",IF(LOWER('Capacity summary'!K208)="x",$BI89*K89,VALUE('Capacity summary'!K208)),0),K89*$BI89),K89*$BI89),0)</f>
        <v>0</v>
      </c>
      <c r="BO89" s="313">
        <f>IF($BI89&lt;&gt;"",IF('Capacity summary'!$D$14="Yes",IF(COUNTBLANK('Capacity summary'!$H208:$BG208)&lt;52,IF('Capacity summary'!L208&lt;&gt;"",IF(LOWER('Capacity summary'!L208)="x",$BI89*L89,VALUE('Capacity summary'!L208)),0),L89*$BI89),L89*$BI89),0)</f>
        <v>0</v>
      </c>
      <c r="BP89" s="313">
        <f>IF($BI89&lt;&gt;"",IF('Capacity summary'!$D$14="Yes",IF(COUNTBLANK('Capacity summary'!$H208:$BG208)&lt;52,IF('Capacity summary'!M208&lt;&gt;"",IF(LOWER('Capacity summary'!M208)="x",$BI89*M89,VALUE('Capacity summary'!M208)),0),M89*$BI89),M89*$BI89),0)</f>
        <v>0</v>
      </c>
      <c r="BQ89" s="313">
        <f>IF($BI89&lt;&gt;"",IF('Capacity summary'!$D$14="Yes",IF(COUNTBLANK('Capacity summary'!$H208:$BG208)&lt;52,IF('Capacity summary'!N208&lt;&gt;"",IF(LOWER('Capacity summary'!N208)="x",$BI89*N89,VALUE('Capacity summary'!N208)),0),N89*$BI89),N89*$BI89),0)</f>
        <v>0</v>
      </c>
      <c r="BR89" s="313">
        <f>IF($BI89&lt;&gt;"",IF('Capacity summary'!$D$14="Yes",IF(COUNTBLANK('Capacity summary'!$H208:$BG208)&lt;52,IF('Capacity summary'!O208&lt;&gt;"",IF(LOWER('Capacity summary'!O208)="x",$BI89*O89,VALUE('Capacity summary'!O208)),0),O89*$BI89),O89*$BI89),0)</f>
        <v>0</v>
      </c>
      <c r="BS89" s="313">
        <f>IF($BI89&lt;&gt;"",IF('Capacity summary'!$D$14="Yes",IF(COUNTBLANK('Capacity summary'!$H208:$BG208)&lt;52,IF('Capacity summary'!P208&lt;&gt;"",IF(LOWER('Capacity summary'!P208)="x",$BI89*P89,VALUE('Capacity summary'!P208)),0),P89*$BI89),P89*$BI89),0)</f>
        <v>0</v>
      </c>
      <c r="BT89" s="313">
        <f>IF($BI89&lt;&gt;"",IF('Capacity summary'!$D$14="Yes",IF(COUNTBLANK('Capacity summary'!$H208:$BG208)&lt;52,IF('Capacity summary'!Q208&lt;&gt;"",IF(LOWER('Capacity summary'!Q208)="x",$BI89*Q89,VALUE('Capacity summary'!Q208)),0),Q89*$BI89),Q89*$BI89),0)</f>
        <v>0</v>
      </c>
      <c r="BU89" s="313">
        <f>IF($BI89&lt;&gt;"",IF('Capacity summary'!$D$14="Yes",IF(COUNTBLANK('Capacity summary'!$H208:$BG208)&lt;52,IF('Capacity summary'!R208&lt;&gt;"",IF(LOWER('Capacity summary'!R208)="x",$BI89*R89,VALUE('Capacity summary'!R208)),0),R89*$BI89),R89*$BI89),0)</f>
        <v>0</v>
      </c>
      <c r="BV89" s="313">
        <f>IF($BI89&lt;&gt;"",IF('Capacity summary'!$D$14="Yes",IF(COUNTBLANK('Capacity summary'!$H208:$BG208)&lt;52,IF('Capacity summary'!S208&lt;&gt;"",IF(LOWER('Capacity summary'!S208)="x",$BI89*S89,VALUE('Capacity summary'!S208)),0),S89*$BI89),S89*$BI89),0)</f>
        <v>0</v>
      </c>
      <c r="BW89" s="313">
        <f>IF($BI89&lt;&gt;"",IF('Capacity summary'!$D$14="Yes",IF(COUNTBLANK('Capacity summary'!$H208:$BG208)&lt;52,IF('Capacity summary'!T208&lt;&gt;"",IF(LOWER('Capacity summary'!T208)="x",$BI89*T89,VALUE('Capacity summary'!T208)),0),T89*$BI89),T89*$BI89),0)</f>
        <v>0</v>
      </c>
      <c r="BX89" s="313">
        <f>IF($BI89&lt;&gt;"",IF('Capacity summary'!$D$14="Yes",IF(COUNTBLANK('Capacity summary'!$H208:$BG208)&lt;52,IF('Capacity summary'!U208&lt;&gt;"",IF(LOWER('Capacity summary'!U208)="x",$BI89*U89,VALUE('Capacity summary'!U208)),0),U89*$BI89),U89*$BI89),0)</f>
        <v>0</v>
      </c>
      <c r="BY89" s="313">
        <f>IF($BI89&lt;&gt;"",IF('Capacity summary'!$D$14="Yes",IF(COUNTBLANK('Capacity summary'!$H208:$BG208)&lt;52,IF('Capacity summary'!V208&lt;&gt;"",IF(LOWER('Capacity summary'!V208)="x",$BI89*V89,VALUE('Capacity summary'!V208)),0),V89*$BI89),V89*$BI89),0)</f>
        <v>0</v>
      </c>
      <c r="BZ89" s="313">
        <f>IF($BI89&lt;&gt;"",IF('Capacity summary'!$D$14="Yes",IF(COUNTBLANK('Capacity summary'!$H208:$BG208)&lt;52,IF('Capacity summary'!W208&lt;&gt;"",IF(LOWER('Capacity summary'!W208)="x",$BI89*W89,VALUE('Capacity summary'!W208)),0),W89*$BI89),W89*$BI89),0)</f>
        <v>0</v>
      </c>
      <c r="CA89" s="313">
        <f>IF($BI89&lt;&gt;"",IF('Capacity summary'!$D$14="Yes",IF(COUNTBLANK('Capacity summary'!$H208:$BG208)&lt;52,IF('Capacity summary'!X208&lt;&gt;"",IF(LOWER('Capacity summary'!X208)="x",$BI89*X89,VALUE('Capacity summary'!X208)),0),X89*$BI89),X89*$BI89),0)</f>
        <v>0</v>
      </c>
      <c r="CB89" s="313">
        <f>IF($BI89&lt;&gt;"",IF('Capacity summary'!$D$14="Yes",IF(COUNTBLANK('Capacity summary'!$H208:$BG208)&lt;52,IF('Capacity summary'!Y208&lt;&gt;"",IF(LOWER('Capacity summary'!Y208)="x",$BI89*Y89,VALUE('Capacity summary'!Y208)),0),Y89*$BI89),Y89*$BI89),0)</f>
        <v>0</v>
      </c>
      <c r="CC89" s="313">
        <f>IF($BI89&lt;&gt;"",IF('Capacity summary'!$D$14="Yes",IF(COUNTBLANK('Capacity summary'!$H208:$BG208)&lt;52,IF('Capacity summary'!Z208&lt;&gt;"",IF(LOWER('Capacity summary'!Z208)="x",$BI89*Z89,VALUE('Capacity summary'!Z208)),0),Z89*$BI89),Z89*$BI89),0)</f>
        <v>0</v>
      </c>
      <c r="CD89" s="313">
        <f>IF($BI89&lt;&gt;"",IF('Capacity summary'!$D$14="Yes",IF(COUNTBLANK('Capacity summary'!$H208:$BG208)&lt;52,IF('Capacity summary'!AA208&lt;&gt;"",IF(LOWER('Capacity summary'!AA208)="x",$BI89*AA89,VALUE('Capacity summary'!AA208)),0),AA89*$BI89),AA89*$BI89),0)</f>
        <v>0</v>
      </c>
      <c r="CE89" s="313">
        <f>IF($BI89&lt;&gt;"",IF('Capacity summary'!$D$14="Yes",IF(COUNTBLANK('Capacity summary'!$H208:$BG208)&lt;52,IF('Capacity summary'!AB208&lt;&gt;"",IF(LOWER('Capacity summary'!AB208)="x",$BI89*AB89,VALUE('Capacity summary'!AB208)),0),AB89*$BI89),AB89*$BI89),0)</f>
        <v>0</v>
      </c>
      <c r="CF89" s="313">
        <f>IF($BI89&lt;&gt;"",IF('Capacity summary'!$D$14="Yes",IF(COUNTBLANK('Capacity summary'!$H208:$BG208)&lt;52,IF('Capacity summary'!AC208&lt;&gt;"",IF(LOWER('Capacity summary'!AC208)="x",$BI89*AC89,VALUE('Capacity summary'!AC208)),0),AC89*$BI89),AC89*$BI89),0)</f>
        <v>0</v>
      </c>
      <c r="CG89" s="313">
        <f>IF($BI89&lt;&gt;"",IF('Capacity summary'!$D$14="Yes",IF(COUNTBLANK('Capacity summary'!$H208:$BG208)&lt;52,IF('Capacity summary'!AD208&lt;&gt;"",IF(LOWER('Capacity summary'!AD208)="x",$BI89*AD89,VALUE('Capacity summary'!AD208)),0),AD89*$BI89),AD89*$BI89),0)</f>
        <v>0</v>
      </c>
      <c r="CH89" s="313">
        <f>IF($BI89&lt;&gt;"",IF('Capacity summary'!$D$14="Yes",IF(COUNTBLANK('Capacity summary'!$H208:$BG208)&lt;52,IF('Capacity summary'!AE208&lt;&gt;"",IF(LOWER('Capacity summary'!AE208)="x",$BI89*AE89,VALUE('Capacity summary'!AE208)),0),AE89*$BI89),AE89*$BI89),0)</f>
        <v>0</v>
      </c>
      <c r="CI89" s="313">
        <f>IF($BI89&lt;&gt;"",IF('Capacity summary'!$D$14="Yes",IF(COUNTBLANK('Capacity summary'!$H208:$BG208)&lt;52,IF('Capacity summary'!AF208&lt;&gt;"",IF(LOWER('Capacity summary'!AF208)="x",$BI89*AF89,VALUE('Capacity summary'!AF208)),0),AF89*$BI89),AF89*$BI89),0)</f>
        <v>0</v>
      </c>
      <c r="CJ89" s="313">
        <f>IF($BI89&lt;&gt;"",IF('Capacity summary'!$D$14="Yes",IF(COUNTBLANK('Capacity summary'!$H208:$BG208)&lt;52,IF('Capacity summary'!AG208&lt;&gt;"",IF(LOWER('Capacity summary'!AG208)="x",$BI89*AG89,VALUE('Capacity summary'!AG208)),0),AG89*$BI89),AG89*$BI89),0)</f>
        <v>0</v>
      </c>
      <c r="CK89" s="313">
        <f>IF($BI89&lt;&gt;"",IF('Capacity summary'!$D$14="Yes",IF(COUNTBLANK('Capacity summary'!$H208:$BG208)&lt;52,IF('Capacity summary'!AH208&lt;&gt;"",IF(LOWER('Capacity summary'!AH208)="x",$BI89*AH89,VALUE('Capacity summary'!AH208)),0),AH89*$BI89),AH89*$BI89),0)</f>
        <v>0</v>
      </c>
      <c r="CL89" s="313">
        <f>IF($BI89&lt;&gt;"",IF('Capacity summary'!$D$14="Yes",IF(COUNTBLANK('Capacity summary'!$H208:$BG208)&lt;52,IF('Capacity summary'!AI208&lt;&gt;"",IF(LOWER('Capacity summary'!AI208)="x",$BI89*AI89,VALUE('Capacity summary'!AI208)),0),AI89*$BI89),AI89*$BI89),0)</f>
        <v>0</v>
      </c>
      <c r="CM89" s="313">
        <f>IF($BI89&lt;&gt;"",IF('Capacity summary'!$D$14="Yes",IF(COUNTBLANK('Capacity summary'!$H208:$BG208)&lt;52,IF('Capacity summary'!AJ208&lt;&gt;"",IF(LOWER('Capacity summary'!AJ208)="x",$BI89*AJ89,VALUE('Capacity summary'!AJ208)),0),AJ89*$BI89),AJ89*$BI89),0)</f>
        <v>0</v>
      </c>
      <c r="CN89" s="313">
        <f>IF($BI89&lt;&gt;"",IF('Capacity summary'!$D$14="Yes",IF(COUNTBLANK('Capacity summary'!$H208:$BG208)&lt;52,IF('Capacity summary'!AK208&lt;&gt;"",IF(LOWER('Capacity summary'!AK208)="x",$BI89*AK89,VALUE('Capacity summary'!AK208)),0),AK89*$BI89),AK89*$BI89),0)</f>
        <v>0</v>
      </c>
      <c r="CO89" s="313">
        <f>IF($BI89&lt;&gt;"",IF('Capacity summary'!$D$14="Yes",IF(COUNTBLANK('Capacity summary'!$H208:$BG208)&lt;52,IF('Capacity summary'!AL208&lt;&gt;"",IF(LOWER('Capacity summary'!AL208)="x",$BI89*AL89,VALUE('Capacity summary'!AL208)),0),AL89*$BI89),AL89*$BI89),0)</f>
        <v>0</v>
      </c>
      <c r="CP89" s="313">
        <f>IF($BI89&lt;&gt;"",IF('Capacity summary'!$D$14="Yes",IF(COUNTBLANK('Capacity summary'!$H208:$BG208)&lt;52,IF('Capacity summary'!AM208&lt;&gt;"",IF(LOWER('Capacity summary'!AM208)="x",$BI89*AM89,VALUE('Capacity summary'!AM208)),0),AM89*$BI89),AM89*$BI89),0)</f>
        <v>0</v>
      </c>
      <c r="CQ89" s="313">
        <f>IF($BI89&lt;&gt;"",IF('Capacity summary'!$D$14="Yes",IF(COUNTBLANK('Capacity summary'!$H208:$BG208)&lt;52,IF('Capacity summary'!AN208&lt;&gt;"",IF(LOWER('Capacity summary'!AN208)="x",$BI89*AN89,VALUE('Capacity summary'!AN208)),0),AN89*$BI89),AN89*$BI89),0)</f>
        <v>0</v>
      </c>
      <c r="CR89" s="313">
        <f>IF($BI89&lt;&gt;"",IF('Capacity summary'!$D$14="Yes",IF(COUNTBLANK('Capacity summary'!$H208:$BG208)&lt;52,IF('Capacity summary'!AO208&lt;&gt;"",IF(LOWER('Capacity summary'!AO208)="x",$BI89*AO89,VALUE('Capacity summary'!AO208)),0),AO89*$BI89),AO89*$BI89),0)</f>
        <v>0</v>
      </c>
      <c r="CS89" s="313">
        <f>IF($BI89&lt;&gt;"",IF('Capacity summary'!$D$14="Yes",IF(COUNTBLANK('Capacity summary'!$H208:$BG208)&lt;52,IF('Capacity summary'!AP208&lt;&gt;"",IF(LOWER('Capacity summary'!AP208)="x",$BI89*AP89,VALUE('Capacity summary'!AP208)),0),AP89*$BI89),AP89*$BI89),0)</f>
        <v>0</v>
      </c>
      <c r="CT89" s="313">
        <f>IF($BI89&lt;&gt;"",IF('Capacity summary'!$D$14="Yes",IF(COUNTBLANK('Capacity summary'!$H208:$BG208)&lt;52,IF('Capacity summary'!AQ208&lt;&gt;"",IF(LOWER('Capacity summary'!AQ208)="x",$BI89*AQ89,VALUE('Capacity summary'!AQ208)),0),AQ89*$BI89),AQ89*$BI89),0)</f>
        <v>0</v>
      </c>
      <c r="CU89" s="313">
        <f>IF($BI89&lt;&gt;"",IF('Capacity summary'!$D$14="Yes",IF(COUNTBLANK('Capacity summary'!$H208:$BG208)&lt;52,IF('Capacity summary'!AR208&lt;&gt;"",IF(LOWER('Capacity summary'!AR208)="x",$BI89*AR89,VALUE('Capacity summary'!AR208)),0),AR89*$BI89),AR89*$BI89),0)</f>
        <v>0</v>
      </c>
      <c r="CV89" s="313">
        <f>IF($BI89&lt;&gt;"",IF('Capacity summary'!$D$14="Yes",IF(COUNTBLANK('Capacity summary'!$H208:$BG208)&lt;52,IF('Capacity summary'!AS208&lt;&gt;"",IF(LOWER('Capacity summary'!AS208)="x",$BI89*AS89,VALUE('Capacity summary'!AS208)),0),AS89*$BI89),AS89*$BI89),0)</f>
        <v>0</v>
      </c>
      <c r="CW89" s="313">
        <f>IF($BI89&lt;&gt;"",IF('Capacity summary'!$D$14="Yes",IF(COUNTBLANK('Capacity summary'!$H208:$BG208)&lt;52,IF('Capacity summary'!AT208&lt;&gt;"",IF(LOWER('Capacity summary'!AT208)="x",$BI89*AT89,VALUE('Capacity summary'!AT208)),0),AT89*$BI89),AT89*$BI89),0)</f>
        <v>0</v>
      </c>
      <c r="CX89" s="313">
        <f>IF($BI89&lt;&gt;"",IF('Capacity summary'!$D$14="Yes",IF(COUNTBLANK('Capacity summary'!$H208:$BG208)&lt;52,IF('Capacity summary'!AU208&lt;&gt;"",IF(LOWER('Capacity summary'!AU208)="x",$BI89*AU89,VALUE('Capacity summary'!AU208)),0),AU89*$BI89),AU89*$BI89),0)</f>
        <v>0</v>
      </c>
      <c r="CY89" s="313">
        <f>IF($BI89&lt;&gt;"",IF('Capacity summary'!$D$14="Yes",IF(COUNTBLANK('Capacity summary'!$H208:$BG208)&lt;52,IF('Capacity summary'!AV208&lt;&gt;"",IF(LOWER('Capacity summary'!AV208)="x",$BI89*AV89,VALUE('Capacity summary'!AV208)),0),AV89*$BI89),AV89*$BI89),0)</f>
        <v>0</v>
      </c>
      <c r="CZ89" s="313">
        <f>IF($BI89&lt;&gt;"",IF('Capacity summary'!$D$14="Yes",IF(COUNTBLANK('Capacity summary'!$H208:$BG208)&lt;52,IF('Capacity summary'!AW208&lt;&gt;"",IF(LOWER('Capacity summary'!AW208)="x",$BI89*AW89,VALUE('Capacity summary'!AW208)),0),AW89*$BI89),AW89*$BI89),0)</f>
        <v>0</v>
      </c>
      <c r="DA89" s="313">
        <f>IF($BI89&lt;&gt;"",IF('Capacity summary'!$D$14="Yes",IF(COUNTBLANK('Capacity summary'!$H208:$BG208)&lt;52,IF('Capacity summary'!AX208&lt;&gt;"",IF(LOWER('Capacity summary'!AX208)="x",$BI89*AX89,VALUE('Capacity summary'!AX208)),0),AX89*$BI89),AX89*$BI89),0)</f>
        <v>0</v>
      </c>
      <c r="DB89" s="313">
        <f>IF($BI89&lt;&gt;"",IF('Capacity summary'!$D$14="Yes",IF(COUNTBLANK('Capacity summary'!$H208:$BG208)&lt;52,IF('Capacity summary'!AY208&lt;&gt;"",IF(LOWER('Capacity summary'!AY208)="x",$BI89*AY89,VALUE('Capacity summary'!AY208)),0),AY89*$BI89),AY89*$BI89),0)</f>
        <v>0</v>
      </c>
      <c r="DC89" s="313">
        <f>IF($BI89&lt;&gt;"",IF('Capacity summary'!$D$14="Yes",IF(COUNTBLANK('Capacity summary'!$H208:$BG208)&lt;52,IF('Capacity summary'!AZ208&lt;&gt;"",IF(LOWER('Capacity summary'!AZ208)="x",$BI89*AZ89,VALUE('Capacity summary'!AZ208)),0),AZ89*$BI89),AZ89*$BI89),0)</f>
        <v>0</v>
      </c>
      <c r="DD89" s="313">
        <f>IF($BI89&lt;&gt;"",IF('Capacity summary'!$D$14="Yes",IF(COUNTBLANK('Capacity summary'!$H208:$BG208)&lt;52,IF('Capacity summary'!BA208&lt;&gt;"",IF(LOWER('Capacity summary'!BA208)="x",$BI89*BA89,VALUE('Capacity summary'!BA208)),0),BA89*$BI89),BA89*$BI89),0)</f>
        <v>0</v>
      </c>
      <c r="DE89" s="313">
        <f>IF($BI89&lt;&gt;"",IF('Capacity summary'!$D$14="Yes",IF(COUNTBLANK('Capacity summary'!$H208:$BG208)&lt;52,IF('Capacity summary'!BB208&lt;&gt;"",IF(LOWER('Capacity summary'!BB208)="x",$BI89*BB89,VALUE('Capacity summary'!BB208)),0),BB89*$BI89),BB89*$BI89),0)</f>
        <v>0</v>
      </c>
      <c r="DF89" s="313">
        <f>IF($BI89&lt;&gt;"",IF('Capacity summary'!$D$14="Yes",IF(COUNTBLANK('Capacity summary'!$H208:$BG208)&lt;52,IF('Capacity summary'!BC208&lt;&gt;"",IF(LOWER('Capacity summary'!BC208)="x",$BI89*BC89,VALUE('Capacity summary'!BC208)),0),BC89*$BI89),BC89*$BI89),0)</f>
        <v>0</v>
      </c>
      <c r="DG89" s="313">
        <f>IF($BI89&lt;&gt;"",IF('Capacity summary'!$D$14="Yes",IF(COUNTBLANK('Capacity summary'!$H208:$BG208)&lt;52,IF('Capacity summary'!BD208&lt;&gt;"",IF(LOWER('Capacity summary'!BD208)="x",$BI89*BD89,VALUE('Capacity summary'!BD208)),0),BD89*$BI89),BD89*$BI89),0)</f>
        <v>0</v>
      </c>
      <c r="DH89" s="313">
        <f>IF($BI89&lt;&gt;"",IF('Capacity summary'!$D$14="Yes",IF(COUNTBLANK('Capacity summary'!$H208:$BG208)&lt;52,IF('Capacity summary'!BE208&lt;&gt;"",IF(LOWER('Capacity summary'!BE208)="x",$BI89*BE89,VALUE('Capacity summary'!BE208)),0),BE89*$BI89),BE89*$BI89),0)</f>
        <v>0</v>
      </c>
      <c r="DI89" s="313">
        <f>IF($BI89&lt;&gt;"",IF('Capacity summary'!$D$14="Yes",IF(COUNTBLANK('Capacity summary'!$H208:$BG208)&lt;52,IF('Capacity summary'!BF208&lt;&gt;"",IF(LOWER('Capacity summary'!BF208)="x",$BI89*BF89,VALUE('Capacity summary'!BF208)),0),BF89*$BI89),BF89*$BI89),0)</f>
        <v>0</v>
      </c>
      <c r="DJ89" s="313">
        <f>IF($BI89&lt;&gt;"",IF('Capacity summary'!$D$14="Yes",IF(COUNTBLANK('Capacity summary'!$H208:$BG208)&lt;52,IF('Capacity summary'!BG208&lt;&gt;"",IF(LOWER('Capacity summary'!BG208)="x",$BI89*BG89,VALUE('Capacity summary'!BG208)),0),BG89*$BI89),BG89*$BI89),0)</f>
        <v>0</v>
      </c>
      <c r="DK89" s="137">
        <f t="shared" si="3"/>
        <v>0</v>
      </c>
      <c r="DL89" s="313" t="str">
        <f>Capacity!H101</f>
        <v/>
      </c>
    </row>
    <row r="90" spans="2:116" x14ac:dyDescent="0.25">
      <c r="B90" s="67"/>
      <c r="C90" s="67" t="str">
        <f>ROW(A86)&amp;". "&amp;Capacity!B102</f>
        <v xml:space="preserve">86. </v>
      </c>
      <c r="D90" s="67">
        <f>'Capacity setup'!C97</f>
        <v>0</v>
      </c>
      <c r="E90" s="67">
        <f>'Capacity setup'!D97</f>
        <v>0</v>
      </c>
      <c r="F90" s="67">
        <f>'Capacity setup'!E97</f>
        <v>0</v>
      </c>
      <c r="H90" s="67">
        <f ca="1">IF(AND(SUMIF(Capacity_Resource,$D90,'Critical resources (hide)'!U$6:U$105)+SUMIF(Capacity_Resource,$E90,'Critical resources (hide)'!U$6:U$105)+SUMIF(Capacity_Resource,$F90,'Critical resources (hide)'!U$6:U$105)&gt;0,$E$1=2),0,1)</f>
        <v>1</v>
      </c>
      <c r="I90" s="67">
        <f ca="1">IF(AND(SUMIF(Capacity_Resource,$D90,'Critical resources (hide)'!V$6:V$105)+SUMIF(Capacity_Resource,$E90,'Critical resources (hide)'!V$6:V$105)+SUMIF(Capacity_Resource,$F90,'Critical resources (hide)'!V$6:V$105)&gt;0,$E$1=2),0,1)</f>
        <v>1</v>
      </c>
      <c r="J90" s="67">
        <f ca="1">IF(AND(SUMIF(Capacity_Resource,$D90,'Critical resources (hide)'!W$6:W$105)+SUMIF(Capacity_Resource,$E90,'Critical resources (hide)'!W$6:W$105)+SUMIF(Capacity_Resource,$F90,'Critical resources (hide)'!W$6:W$105)&gt;0,$E$1=2),0,1)</f>
        <v>1</v>
      </c>
      <c r="K90" s="67">
        <f ca="1">IF(AND(SUMIF(Capacity_Resource,$D90,'Critical resources (hide)'!X$6:X$105)+SUMIF(Capacity_Resource,$E90,'Critical resources (hide)'!X$6:X$105)+SUMIF(Capacity_Resource,$F90,'Critical resources (hide)'!X$6:X$105)&gt;0,$E$1=2),0,1)</f>
        <v>1</v>
      </c>
      <c r="L90" s="67">
        <f ca="1">IF(AND(SUMIF(Capacity_Resource,$D90,'Critical resources (hide)'!Y$6:Y$105)+SUMIF(Capacity_Resource,$E90,'Critical resources (hide)'!Y$6:Y$105)+SUMIF(Capacity_Resource,$F90,'Critical resources (hide)'!Y$6:Y$105)&gt;0,$E$1=2),0,1)</f>
        <v>1</v>
      </c>
      <c r="M90" s="67">
        <f ca="1">IF(AND(SUMIF(Capacity_Resource,$D90,'Critical resources (hide)'!Z$6:Z$105)+SUMIF(Capacity_Resource,$E90,'Critical resources (hide)'!Z$6:Z$105)+SUMIF(Capacity_Resource,$F90,'Critical resources (hide)'!Z$6:Z$105)&gt;0,$E$1=2),0,1)</f>
        <v>1</v>
      </c>
      <c r="N90" s="67">
        <f ca="1">IF(AND(SUMIF(Capacity_Resource,$D90,'Critical resources (hide)'!AA$6:AA$105)+SUMIF(Capacity_Resource,$E90,'Critical resources (hide)'!AA$6:AA$105)+SUMIF(Capacity_Resource,$F90,'Critical resources (hide)'!AA$6:AA$105)&gt;0,$E$1=2),0,1)</f>
        <v>1</v>
      </c>
      <c r="O90" s="67">
        <f ca="1">IF(AND(SUMIF(Capacity_Resource,$D90,'Critical resources (hide)'!AB$6:AB$105)+SUMIF(Capacity_Resource,$E90,'Critical resources (hide)'!AB$6:AB$105)+SUMIF(Capacity_Resource,$F90,'Critical resources (hide)'!AB$6:AB$105)&gt;0,$E$1=2),0,1)</f>
        <v>1</v>
      </c>
      <c r="P90" s="67">
        <f ca="1">IF(AND(SUMIF(Capacity_Resource,$D90,'Critical resources (hide)'!AC$6:AC$105)+SUMIF(Capacity_Resource,$E90,'Critical resources (hide)'!AC$6:AC$105)+SUMIF(Capacity_Resource,$F90,'Critical resources (hide)'!AC$6:AC$105)&gt;0,$E$1=2),0,1)</f>
        <v>1</v>
      </c>
      <c r="Q90" s="67">
        <f ca="1">IF(AND(SUMIF(Capacity_Resource,$D90,'Critical resources (hide)'!AD$6:AD$105)+SUMIF(Capacity_Resource,$E90,'Critical resources (hide)'!AD$6:AD$105)+SUMIF(Capacity_Resource,$F90,'Critical resources (hide)'!AD$6:AD$105)&gt;0,$E$1=2),0,1)</f>
        <v>1</v>
      </c>
      <c r="R90" s="67">
        <f ca="1">IF(AND(SUMIF(Capacity_Resource,$D90,'Critical resources (hide)'!AE$6:AE$105)+SUMIF(Capacity_Resource,$E90,'Critical resources (hide)'!AE$6:AE$105)+SUMIF(Capacity_Resource,$F90,'Critical resources (hide)'!AE$6:AE$105)&gt;0,$E$1=2),0,1)</f>
        <v>1</v>
      </c>
      <c r="S90" s="67">
        <f ca="1">IF(AND(SUMIF(Capacity_Resource,$D90,'Critical resources (hide)'!AF$6:AF$105)+SUMIF(Capacity_Resource,$E90,'Critical resources (hide)'!AF$6:AF$105)+SUMIF(Capacity_Resource,$F90,'Critical resources (hide)'!AF$6:AF$105)&gt;0,$E$1=2),0,1)</f>
        <v>1</v>
      </c>
      <c r="T90" s="67">
        <f ca="1">IF(AND(SUMIF(Capacity_Resource,$D90,'Critical resources (hide)'!AG$6:AG$105)+SUMIF(Capacity_Resource,$E90,'Critical resources (hide)'!AG$6:AG$105)+SUMIF(Capacity_Resource,$F90,'Critical resources (hide)'!AG$6:AG$105)&gt;0,$E$1=2),0,1)</f>
        <v>1</v>
      </c>
      <c r="U90" s="67">
        <f ca="1">IF(AND(SUMIF(Capacity_Resource,$D90,'Critical resources (hide)'!AH$6:AH$105)+SUMIF(Capacity_Resource,$E90,'Critical resources (hide)'!AH$6:AH$105)+SUMIF(Capacity_Resource,$F90,'Critical resources (hide)'!AH$6:AH$105)&gt;0,$E$1=2),0,1)</f>
        <v>1</v>
      </c>
      <c r="V90" s="67">
        <f ca="1">IF(AND(SUMIF(Capacity_Resource,$D90,'Critical resources (hide)'!AI$6:AI$105)+SUMIF(Capacity_Resource,$E90,'Critical resources (hide)'!AI$6:AI$105)+SUMIF(Capacity_Resource,$F90,'Critical resources (hide)'!AI$6:AI$105)&gt;0,$E$1=2),0,1)</f>
        <v>1</v>
      </c>
      <c r="W90" s="67">
        <f ca="1">IF(AND(SUMIF(Capacity_Resource,$D90,'Critical resources (hide)'!AJ$6:AJ$105)+SUMIF(Capacity_Resource,$E90,'Critical resources (hide)'!AJ$6:AJ$105)+SUMIF(Capacity_Resource,$F90,'Critical resources (hide)'!AJ$6:AJ$105)&gt;0,$E$1=2),0,1)</f>
        <v>1</v>
      </c>
      <c r="X90" s="67">
        <f ca="1">IF(AND(SUMIF(Capacity_Resource,$D90,'Critical resources (hide)'!AK$6:AK$105)+SUMIF(Capacity_Resource,$E90,'Critical resources (hide)'!AK$6:AK$105)+SUMIF(Capacity_Resource,$F90,'Critical resources (hide)'!AK$6:AK$105)&gt;0,$E$1=2),0,1)</f>
        <v>1</v>
      </c>
      <c r="Y90" s="67">
        <f ca="1">IF(AND(SUMIF(Capacity_Resource,$D90,'Critical resources (hide)'!AL$6:AL$105)+SUMIF(Capacity_Resource,$E90,'Critical resources (hide)'!AL$6:AL$105)+SUMIF(Capacity_Resource,$F90,'Critical resources (hide)'!AL$6:AL$105)&gt;0,$E$1=2),0,1)</f>
        <v>1</v>
      </c>
      <c r="Z90" s="67">
        <f ca="1">IF(AND(SUMIF(Capacity_Resource,$D90,'Critical resources (hide)'!AM$6:AM$105)+SUMIF(Capacity_Resource,$E90,'Critical resources (hide)'!AM$6:AM$105)+SUMIF(Capacity_Resource,$F90,'Critical resources (hide)'!AM$6:AM$105)&gt;0,$E$1=2),0,1)</f>
        <v>1</v>
      </c>
      <c r="AA90" s="67">
        <f ca="1">IF(AND(SUMIF(Capacity_Resource,$D90,'Critical resources (hide)'!AN$6:AN$105)+SUMIF(Capacity_Resource,$E90,'Critical resources (hide)'!AN$6:AN$105)+SUMIF(Capacity_Resource,$F90,'Critical resources (hide)'!AN$6:AN$105)&gt;0,$E$1=2),0,1)</f>
        <v>1</v>
      </c>
      <c r="AB90" s="67">
        <f ca="1">IF(AND(SUMIF(Capacity_Resource,$D90,'Critical resources (hide)'!AO$6:AO$105)+SUMIF(Capacity_Resource,$E90,'Critical resources (hide)'!AO$6:AO$105)+SUMIF(Capacity_Resource,$F90,'Critical resources (hide)'!AO$6:AO$105)&gt;0,$E$1=2),0,1)</f>
        <v>1</v>
      </c>
      <c r="AC90" s="67">
        <f ca="1">IF(AND(SUMIF(Capacity_Resource,$D90,'Critical resources (hide)'!AP$6:AP$105)+SUMIF(Capacity_Resource,$E90,'Critical resources (hide)'!AP$6:AP$105)+SUMIF(Capacity_Resource,$F90,'Critical resources (hide)'!AP$6:AP$105)&gt;0,$E$1=2),0,1)</f>
        <v>1</v>
      </c>
      <c r="AD90" s="67">
        <f ca="1">IF(AND(SUMIF(Capacity_Resource,$D90,'Critical resources (hide)'!AQ$6:AQ$105)+SUMIF(Capacity_Resource,$E90,'Critical resources (hide)'!AQ$6:AQ$105)+SUMIF(Capacity_Resource,$F90,'Critical resources (hide)'!AQ$6:AQ$105)&gt;0,$E$1=2),0,1)</f>
        <v>1</v>
      </c>
      <c r="AE90" s="67">
        <f ca="1">IF(AND(SUMIF(Capacity_Resource,$D90,'Critical resources (hide)'!AR$6:AR$105)+SUMIF(Capacity_Resource,$E90,'Critical resources (hide)'!AR$6:AR$105)+SUMIF(Capacity_Resource,$F90,'Critical resources (hide)'!AR$6:AR$105)&gt;0,$E$1=2),0,1)</f>
        <v>1</v>
      </c>
      <c r="AF90" s="67">
        <f ca="1">IF(AND(SUMIF(Capacity_Resource,$D90,'Critical resources (hide)'!AS$6:AS$105)+SUMIF(Capacity_Resource,$E90,'Critical resources (hide)'!AS$6:AS$105)+SUMIF(Capacity_Resource,$F90,'Critical resources (hide)'!AS$6:AS$105)&gt;0,$E$1=2),0,1)</f>
        <v>1</v>
      </c>
      <c r="AG90" s="67">
        <f ca="1">IF(AND(SUMIF(Capacity_Resource,$D90,'Critical resources (hide)'!AT$6:AT$105)+SUMIF(Capacity_Resource,$E90,'Critical resources (hide)'!AT$6:AT$105)+SUMIF(Capacity_Resource,$F90,'Critical resources (hide)'!AT$6:AT$105)&gt;0,$E$1=2),0,1)</f>
        <v>1</v>
      </c>
      <c r="AH90" s="67">
        <f ca="1">IF(AND(SUMIF(Capacity_Resource,$D90,'Critical resources (hide)'!AU$6:AU$105)+SUMIF(Capacity_Resource,$E90,'Critical resources (hide)'!AU$6:AU$105)+SUMIF(Capacity_Resource,$F90,'Critical resources (hide)'!AU$6:AU$105)&gt;0,$E$1=2),0,1)</f>
        <v>1</v>
      </c>
      <c r="AI90" s="67">
        <f ca="1">IF(AND(SUMIF(Capacity_Resource,$D90,'Critical resources (hide)'!AV$6:AV$105)+SUMIF(Capacity_Resource,$E90,'Critical resources (hide)'!AV$6:AV$105)+SUMIF(Capacity_Resource,$F90,'Critical resources (hide)'!AV$6:AV$105)&gt;0,$E$1=2),0,1)</f>
        <v>1</v>
      </c>
      <c r="AJ90" s="67">
        <f ca="1">IF(AND(SUMIF(Capacity_Resource,$D90,'Critical resources (hide)'!AW$6:AW$105)+SUMIF(Capacity_Resource,$E90,'Critical resources (hide)'!AW$6:AW$105)+SUMIF(Capacity_Resource,$F90,'Critical resources (hide)'!AW$6:AW$105)&gt;0,$E$1=2),0,1)</f>
        <v>1</v>
      </c>
      <c r="AK90" s="67">
        <f ca="1">IF(AND(SUMIF(Capacity_Resource,$D90,'Critical resources (hide)'!AX$6:AX$105)+SUMIF(Capacity_Resource,$E90,'Critical resources (hide)'!AX$6:AX$105)+SUMIF(Capacity_Resource,$F90,'Critical resources (hide)'!AX$6:AX$105)&gt;0,$E$1=2),0,1)</f>
        <v>1</v>
      </c>
      <c r="AL90" s="67">
        <f ca="1">IF(AND(SUMIF(Capacity_Resource,$D90,'Critical resources (hide)'!AY$6:AY$105)+SUMIF(Capacity_Resource,$E90,'Critical resources (hide)'!AY$6:AY$105)+SUMIF(Capacity_Resource,$F90,'Critical resources (hide)'!AY$6:AY$105)&gt;0,$E$1=2),0,1)</f>
        <v>1</v>
      </c>
      <c r="AM90" s="67">
        <f ca="1">IF(AND(SUMIF(Capacity_Resource,$D90,'Critical resources (hide)'!AZ$6:AZ$105)+SUMIF(Capacity_Resource,$E90,'Critical resources (hide)'!AZ$6:AZ$105)+SUMIF(Capacity_Resource,$F90,'Critical resources (hide)'!AZ$6:AZ$105)&gt;0,$E$1=2),0,1)</f>
        <v>1</v>
      </c>
      <c r="AN90" s="67">
        <f ca="1">IF(AND(SUMIF(Capacity_Resource,$D90,'Critical resources (hide)'!BA$6:BA$105)+SUMIF(Capacity_Resource,$E90,'Critical resources (hide)'!BA$6:BA$105)+SUMIF(Capacity_Resource,$F90,'Critical resources (hide)'!BA$6:BA$105)&gt;0,$E$1=2),0,1)</f>
        <v>1</v>
      </c>
      <c r="AO90" s="67">
        <f ca="1">IF(AND(SUMIF(Capacity_Resource,$D90,'Critical resources (hide)'!BB$6:BB$105)+SUMIF(Capacity_Resource,$E90,'Critical resources (hide)'!BB$6:BB$105)+SUMIF(Capacity_Resource,$F90,'Critical resources (hide)'!BB$6:BB$105)&gt;0,$E$1=2),0,1)</f>
        <v>1</v>
      </c>
      <c r="AP90" s="67">
        <f ca="1">IF(AND(SUMIF(Capacity_Resource,$D90,'Critical resources (hide)'!BC$6:BC$105)+SUMIF(Capacity_Resource,$E90,'Critical resources (hide)'!BC$6:BC$105)+SUMIF(Capacity_Resource,$F90,'Critical resources (hide)'!BC$6:BC$105)&gt;0,$E$1=2),0,1)</f>
        <v>1</v>
      </c>
      <c r="AQ90" s="67">
        <f ca="1">IF(AND(SUMIF(Capacity_Resource,$D90,'Critical resources (hide)'!BD$6:BD$105)+SUMIF(Capacity_Resource,$E90,'Critical resources (hide)'!BD$6:BD$105)+SUMIF(Capacity_Resource,$F90,'Critical resources (hide)'!BD$6:BD$105)&gt;0,$E$1=2),0,1)</f>
        <v>1</v>
      </c>
      <c r="AR90" s="67">
        <f ca="1">IF(AND(SUMIF(Capacity_Resource,$D90,'Critical resources (hide)'!BE$6:BE$105)+SUMIF(Capacity_Resource,$E90,'Critical resources (hide)'!BE$6:BE$105)+SUMIF(Capacity_Resource,$F90,'Critical resources (hide)'!BE$6:BE$105)&gt;0,$E$1=2),0,1)</f>
        <v>1</v>
      </c>
      <c r="AS90" s="67">
        <f ca="1">IF(AND(SUMIF(Capacity_Resource,$D90,'Critical resources (hide)'!BF$6:BF$105)+SUMIF(Capacity_Resource,$E90,'Critical resources (hide)'!BF$6:BF$105)+SUMIF(Capacity_Resource,$F90,'Critical resources (hide)'!BF$6:BF$105)&gt;0,$E$1=2),0,1)</f>
        <v>1</v>
      </c>
      <c r="AT90" s="67">
        <f ca="1">IF(AND(SUMIF(Capacity_Resource,$D90,'Critical resources (hide)'!BG$6:BG$105)+SUMIF(Capacity_Resource,$E90,'Critical resources (hide)'!BG$6:BG$105)+SUMIF(Capacity_Resource,$F90,'Critical resources (hide)'!BG$6:BG$105)&gt;0,$E$1=2),0,1)</f>
        <v>1</v>
      </c>
      <c r="AU90" s="67">
        <f ca="1">IF(AND(SUMIF(Capacity_Resource,$D90,'Critical resources (hide)'!BH$6:BH$105)+SUMIF(Capacity_Resource,$E90,'Critical resources (hide)'!BH$6:BH$105)+SUMIF(Capacity_Resource,$F90,'Critical resources (hide)'!BH$6:BH$105)&gt;0,$E$1=2),0,1)</f>
        <v>1</v>
      </c>
      <c r="AV90" s="67">
        <f ca="1">IF(AND(SUMIF(Capacity_Resource,$D90,'Critical resources (hide)'!BI$6:BI$105)+SUMIF(Capacity_Resource,$E90,'Critical resources (hide)'!BI$6:BI$105)+SUMIF(Capacity_Resource,$F90,'Critical resources (hide)'!BI$6:BI$105)&gt;0,$E$1=2),0,1)</f>
        <v>1</v>
      </c>
      <c r="AW90" s="67">
        <f ca="1">IF(AND(SUMIF(Capacity_Resource,$D90,'Critical resources (hide)'!BJ$6:BJ$105)+SUMIF(Capacity_Resource,$E90,'Critical resources (hide)'!BJ$6:BJ$105)+SUMIF(Capacity_Resource,$F90,'Critical resources (hide)'!BJ$6:BJ$105)&gt;0,$E$1=2),0,1)</f>
        <v>1</v>
      </c>
      <c r="AX90" s="67">
        <f ca="1">IF(AND(SUMIF(Capacity_Resource,$D90,'Critical resources (hide)'!BK$6:BK$105)+SUMIF(Capacity_Resource,$E90,'Critical resources (hide)'!BK$6:BK$105)+SUMIF(Capacity_Resource,$F90,'Critical resources (hide)'!BK$6:BK$105)&gt;0,$E$1=2),0,1)</f>
        <v>1</v>
      </c>
      <c r="AY90" s="67">
        <f ca="1">IF(AND(SUMIF(Capacity_Resource,$D90,'Critical resources (hide)'!BL$6:BL$105)+SUMIF(Capacity_Resource,$E90,'Critical resources (hide)'!BL$6:BL$105)+SUMIF(Capacity_Resource,$F90,'Critical resources (hide)'!BL$6:BL$105)&gt;0,$E$1=2),0,1)</f>
        <v>1</v>
      </c>
      <c r="AZ90" s="67">
        <f ca="1">IF(AND(SUMIF(Capacity_Resource,$D90,'Critical resources (hide)'!BM$6:BM$105)+SUMIF(Capacity_Resource,$E90,'Critical resources (hide)'!BM$6:BM$105)+SUMIF(Capacity_Resource,$F90,'Critical resources (hide)'!BM$6:BM$105)&gt;0,$E$1=2),0,1)</f>
        <v>1</v>
      </c>
      <c r="BA90" s="67">
        <f ca="1">IF(AND(SUMIF(Capacity_Resource,$D90,'Critical resources (hide)'!BN$6:BN$105)+SUMIF(Capacity_Resource,$E90,'Critical resources (hide)'!BN$6:BN$105)+SUMIF(Capacity_Resource,$F90,'Critical resources (hide)'!BN$6:BN$105)&gt;0,$E$1=2),0,1)</f>
        <v>1</v>
      </c>
      <c r="BB90" s="67">
        <f ca="1">IF(AND(SUMIF(Capacity_Resource,$D90,'Critical resources (hide)'!BO$6:BO$105)+SUMIF(Capacity_Resource,$E90,'Critical resources (hide)'!BO$6:BO$105)+SUMIF(Capacity_Resource,$F90,'Critical resources (hide)'!BO$6:BO$105)&gt;0,$E$1=2),0,1)</f>
        <v>1</v>
      </c>
      <c r="BC90" s="67">
        <f ca="1">IF(AND(SUMIF(Capacity_Resource,$D90,'Critical resources (hide)'!BP$6:BP$105)+SUMIF(Capacity_Resource,$E90,'Critical resources (hide)'!BP$6:BP$105)+SUMIF(Capacity_Resource,$F90,'Critical resources (hide)'!BP$6:BP$105)&gt;0,$E$1=2),0,1)</f>
        <v>1</v>
      </c>
      <c r="BD90" s="67">
        <f ca="1">IF(AND(SUMIF(Capacity_Resource,$D90,'Critical resources (hide)'!BQ$6:BQ$105)+SUMIF(Capacity_Resource,$E90,'Critical resources (hide)'!BQ$6:BQ$105)+SUMIF(Capacity_Resource,$F90,'Critical resources (hide)'!BQ$6:BQ$105)&gt;0,$E$1=2),0,1)</f>
        <v>1</v>
      </c>
      <c r="BE90" s="67">
        <f ca="1">IF(AND(SUMIF(Capacity_Resource,$D90,'Critical resources (hide)'!BR$6:BR$105)+SUMIF(Capacity_Resource,$E90,'Critical resources (hide)'!BR$6:BR$105)+SUMIF(Capacity_Resource,$F90,'Critical resources (hide)'!BR$6:BR$105)&gt;0,$E$1=2),0,1)</f>
        <v>1</v>
      </c>
      <c r="BF90" s="67">
        <f ca="1">IF(AND(SUMIF(Capacity_Resource,$D90,'Critical resources (hide)'!BS$6:BS$105)+SUMIF(Capacity_Resource,$E90,'Critical resources (hide)'!BS$6:BS$105)+SUMIF(Capacity_Resource,$F90,'Critical resources (hide)'!BS$6:BS$105)&gt;0,$E$1=2),0,1)</f>
        <v>1</v>
      </c>
      <c r="BG90" s="67">
        <f ca="1">IF(AND(SUMIF(Capacity_Resource,$D90,'Critical resources (hide)'!BT$6:BT$105)+SUMIF(Capacity_Resource,$E90,'Critical resources (hide)'!BT$6:BT$105)+SUMIF(Capacity_Resource,$F90,'Critical resources (hide)'!BT$6:BT$105)&gt;0,$E$1=2),0,1)</f>
        <v>1</v>
      </c>
      <c r="BH90" s="67">
        <f>IF(ROW(C86)&lt;=Capacity!$A$16,IF('Capacity summary'!$D$14="No",SUM(H90:BG90),'Capacity summary'!$E209),0)</f>
        <v>0</v>
      </c>
      <c r="BI90" s="5" t="str">
        <f>IF(BH90&gt;0,IF(BH90&lt;Capacity!E102,Capacity!F102,Capacity!H102/'Capacity calculation (hide)'!BH90),"")</f>
        <v/>
      </c>
      <c r="BK90" s="313">
        <f>IF($BI90&lt;&gt;"",IF('Capacity summary'!$D$14="Yes",IF(COUNTBLANK('Capacity summary'!$H209:$BG209)&lt;52,IF('Capacity summary'!H209&lt;&gt;"",IF(LOWER('Capacity summary'!H209)="x",$BI90*H90,VALUE('Capacity summary'!H209)),0),H90*$BI90),H90*$BI90),0)</f>
        <v>0</v>
      </c>
      <c r="BL90" s="313">
        <f>IF($BI90&lt;&gt;"",IF('Capacity summary'!$D$14="Yes",IF(COUNTBLANK('Capacity summary'!$H209:$BG209)&lt;52,IF('Capacity summary'!I209&lt;&gt;"",IF(LOWER('Capacity summary'!I209)="x",$BI90*I90,VALUE('Capacity summary'!I209)),0),I90*$BI90),I90*$BI90),0)</f>
        <v>0</v>
      </c>
      <c r="BM90" s="313">
        <f>IF($BI90&lt;&gt;"",IF('Capacity summary'!$D$14="Yes",IF(COUNTBLANK('Capacity summary'!$H209:$BG209)&lt;52,IF('Capacity summary'!J209&lt;&gt;"",IF(LOWER('Capacity summary'!J209)="x",$BI90*J90,VALUE('Capacity summary'!J209)),0),J90*$BI90),J90*$BI90),0)</f>
        <v>0</v>
      </c>
      <c r="BN90" s="313">
        <f>IF($BI90&lt;&gt;"",IF('Capacity summary'!$D$14="Yes",IF(COUNTBLANK('Capacity summary'!$H209:$BG209)&lt;52,IF('Capacity summary'!K209&lt;&gt;"",IF(LOWER('Capacity summary'!K209)="x",$BI90*K90,VALUE('Capacity summary'!K209)),0),K90*$BI90),K90*$BI90),0)</f>
        <v>0</v>
      </c>
      <c r="BO90" s="313">
        <f>IF($BI90&lt;&gt;"",IF('Capacity summary'!$D$14="Yes",IF(COUNTBLANK('Capacity summary'!$H209:$BG209)&lt;52,IF('Capacity summary'!L209&lt;&gt;"",IF(LOWER('Capacity summary'!L209)="x",$BI90*L90,VALUE('Capacity summary'!L209)),0),L90*$BI90),L90*$BI90),0)</f>
        <v>0</v>
      </c>
      <c r="BP90" s="313">
        <f>IF($BI90&lt;&gt;"",IF('Capacity summary'!$D$14="Yes",IF(COUNTBLANK('Capacity summary'!$H209:$BG209)&lt;52,IF('Capacity summary'!M209&lt;&gt;"",IF(LOWER('Capacity summary'!M209)="x",$BI90*M90,VALUE('Capacity summary'!M209)),0),M90*$BI90),M90*$BI90),0)</f>
        <v>0</v>
      </c>
      <c r="BQ90" s="313">
        <f>IF($BI90&lt;&gt;"",IF('Capacity summary'!$D$14="Yes",IF(COUNTBLANK('Capacity summary'!$H209:$BG209)&lt;52,IF('Capacity summary'!N209&lt;&gt;"",IF(LOWER('Capacity summary'!N209)="x",$BI90*N90,VALUE('Capacity summary'!N209)),0),N90*$BI90),N90*$BI90),0)</f>
        <v>0</v>
      </c>
      <c r="BR90" s="313">
        <f>IF($BI90&lt;&gt;"",IF('Capacity summary'!$D$14="Yes",IF(COUNTBLANK('Capacity summary'!$H209:$BG209)&lt;52,IF('Capacity summary'!O209&lt;&gt;"",IF(LOWER('Capacity summary'!O209)="x",$BI90*O90,VALUE('Capacity summary'!O209)),0),O90*$BI90),O90*$BI90),0)</f>
        <v>0</v>
      </c>
      <c r="BS90" s="313">
        <f>IF($BI90&lt;&gt;"",IF('Capacity summary'!$D$14="Yes",IF(COUNTBLANK('Capacity summary'!$H209:$BG209)&lt;52,IF('Capacity summary'!P209&lt;&gt;"",IF(LOWER('Capacity summary'!P209)="x",$BI90*P90,VALUE('Capacity summary'!P209)),0),P90*$BI90),P90*$BI90),0)</f>
        <v>0</v>
      </c>
      <c r="BT90" s="313">
        <f>IF($BI90&lt;&gt;"",IF('Capacity summary'!$D$14="Yes",IF(COUNTBLANK('Capacity summary'!$H209:$BG209)&lt;52,IF('Capacity summary'!Q209&lt;&gt;"",IF(LOWER('Capacity summary'!Q209)="x",$BI90*Q90,VALUE('Capacity summary'!Q209)),0),Q90*$BI90),Q90*$BI90),0)</f>
        <v>0</v>
      </c>
      <c r="BU90" s="313">
        <f>IF($BI90&lt;&gt;"",IF('Capacity summary'!$D$14="Yes",IF(COUNTBLANK('Capacity summary'!$H209:$BG209)&lt;52,IF('Capacity summary'!R209&lt;&gt;"",IF(LOWER('Capacity summary'!R209)="x",$BI90*R90,VALUE('Capacity summary'!R209)),0),R90*$BI90),R90*$BI90),0)</f>
        <v>0</v>
      </c>
      <c r="BV90" s="313">
        <f>IF($BI90&lt;&gt;"",IF('Capacity summary'!$D$14="Yes",IF(COUNTBLANK('Capacity summary'!$H209:$BG209)&lt;52,IF('Capacity summary'!S209&lt;&gt;"",IF(LOWER('Capacity summary'!S209)="x",$BI90*S90,VALUE('Capacity summary'!S209)),0),S90*$BI90),S90*$BI90),0)</f>
        <v>0</v>
      </c>
      <c r="BW90" s="313">
        <f>IF($BI90&lt;&gt;"",IF('Capacity summary'!$D$14="Yes",IF(COUNTBLANK('Capacity summary'!$H209:$BG209)&lt;52,IF('Capacity summary'!T209&lt;&gt;"",IF(LOWER('Capacity summary'!T209)="x",$BI90*T90,VALUE('Capacity summary'!T209)),0),T90*$BI90),T90*$BI90),0)</f>
        <v>0</v>
      </c>
      <c r="BX90" s="313">
        <f>IF($BI90&lt;&gt;"",IF('Capacity summary'!$D$14="Yes",IF(COUNTBLANK('Capacity summary'!$H209:$BG209)&lt;52,IF('Capacity summary'!U209&lt;&gt;"",IF(LOWER('Capacity summary'!U209)="x",$BI90*U90,VALUE('Capacity summary'!U209)),0),U90*$BI90),U90*$BI90),0)</f>
        <v>0</v>
      </c>
      <c r="BY90" s="313">
        <f>IF($BI90&lt;&gt;"",IF('Capacity summary'!$D$14="Yes",IF(COUNTBLANK('Capacity summary'!$H209:$BG209)&lt;52,IF('Capacity summary'!V209&lt;&gt;"",IF(LOWER('Capacity summary'!V209)="x",$BI90*V90,VALUE('Capacity summary'!V209)),0),V90*$BI90),V90*$BI90),0)</f>
        <v>0</v>
      </c>
      <c r="BZ90" s="313">
        <f>IF($BI90&lt;&gt;"",IF('Capacity summary'!$D$14="Yes",IF(COUNTBLANK('Capacity summary'!$H209:$BG209)&lt;52,IF('Capacity summary'!W209&lt;&gt;"",IF(LOWER('Capacity summary'!W209)="x",$BI90*W90,VALUE('Capacity summary'!W209)),0),W90*$BI90),W90*$BI90),0)</f>
        <v>0</v>
      </c>
      <c r="CA90" s="313">
        <f>IF($BI90&lt;&gt;"",IF('Capacity summary'!$D$14="Yes",IF(COUNTBLANK('Capacity summary'!$H209:$BG209)&lt;52,IF('Capacity summary'!X209&lt;&gt;"",IF(LOWER('Capacity summary'!X209)="x",$BI90*X90,VALUE('Capacity summary'!X209)),0),X90*$BI90),X90*$BI90),0)</f>
        <v>0</v>
      </c>
      <c r="CB90" s="313">
        <f>IF($BI90&lt;&gt;"",IF('Capacity summary'!$D$14="Yes",IF(COUNTBLANK('Capacity summary'!$H209:$BG209)&lt;52,IF('Capacity summary'!Y209&lt;&gt;"",IF(LOWER('Capacity summary'!Y209)="x",$BI90*Y90,VALUE('Capacity summary'!Y209)),0),Y90*$BI90),Y90*$BI90),0)</f>
        <v>0</v>
      </c>
      <c r="CC90" s="313">
        <f>IF($BI90&lt;&gt;"",IF('Capacity summary'!$D$14="Yes",IF(COUNTBLANK('Capacity summary'!$H209:$BG209)&lt;52,IF('Capacity summary'!Z209&lt;&gt;"",IF(LOWER('Capacity summary'!Z209)="x",$BI90*Z90,VALUE('Capacity summary'!Z209)),0),Z90*$BI90),Z90*$BI90),0)</f>
        <v>0</v>
      </c>
      <c r="CD90" s="313">
        <f>IF($BI90&lt;&gt;"",IF('Capacity summary'!$D$14="Yes",IF(COUNTBLANK('Capacity summary'!$H209:$BG209)&lt;52,IF('Capacity summary'!AA209&lt;&gt;"",IF(LOWER('Capacity summary'!AA209)="x",$BI90*AA90,VALUE('Capacity summary'!AA209)),0),AA90*$BI90),AA90*$BI90),0)</f>
        <v>0</v>
      </c>
      <c r="CE90" s="313">
        <f>IF($BI90&lt;&gt;"",IF('Capacity summary'!$D$14="Yes",IF(COUNTBLANK('Capacity summary'!$H209:$BG209)&lt;52,IF('Capacity summary'!AB209&lt;&gt;"",IF(LOWER('Capacity summary'!AB209)="x",$BI90*AB90,VALUE('Capacity summary'!AB209)),0),AB90*$BI90),AB90*$BI90),0)</f>
        <v>0</v>
      </c>
      <c r="CF90" s="313">
        <f>IF($BI90&lt;&gt;"",IF('Capacity summary'!$D$14="Yes",IF(COUNTBLANK('Capacity summary'!$H209:$BG209)&lt;52,IF('Capacity summary'!AC209&lt;&gt;"",IF(LOWER('Capacity summary'!AC209)="x",$BI90*AC90,VALUE('Capacity summary'!AC209)),0),AC90*$BI90),AC90*$BI90),0)</f>
        <v>0</v>
      </c>
      <c r="CG90" s="313">
        <f>IF($BI90&lt;&gt;"",IF('Capacity summary'!$D$14="Yes",IF(COUNTBLANK('Capacity summary'!$H209:$BG209)&lt;52,IF('Capacity summary'!AD209&lt;&gt;"",IF(LOWER('Capacity summary'!AD209)="x",$BI90*AD90,VALUE('Capacity summary'!AD209)),0),AD90*$BI90),AD90*$BI90),0)</f>
        <v>0</v>
      </c>
      <c r="CH90" s="313">
        <f>IF($BI90&lt;&gt;"",IF('Capacity summary'!$D$14="Yes",IF(COUNTBLANK('Capacity summary'!$H209:$BG209)&lt;52,IF('Capacity summary'!AE209&lt;&gt;"",IF(LOWER('Capacity summary'!AE209)="x",$BI90*AE90,VALUE('Capacity summary'!AE209)),0),AE90*$BI90),AE90*$BI90),0)</f>
        <v>0</v>
      </c>
      <c r="CI90" s="313">
        <f>IF($BI90&lt;&gt;"",IF('Capacity summary'!$D$14="Yes",IF(COUNTBLANK('Capacity summary'!$H209:$BG209)&lt;52,IF('Capacity summary'!AF209&lt;&gt;"",IF(LOWER('Capacity summary'!AF209)="x",$BI90*AF90,VALUE('Capacity summary'!AF209)),0),AF90*$BI90),AF90*$BI90),0)</f>
        <v>0</v>
      </c>
      <c r="CJ90" s="313">
        <f>IF($BI90&lt;&gt;"",IF('Capacity summary'!$D$14="Yes",IF(COUNTBLANK('Capacity summary'!$H209:$BG209)&lt;52,IF('Capacity summary'!AG209&lt;&gt;"",IF(LOWER('Capacity summary'!AG209)="x",$BI90*AG90,VALUE('Capacity summary'!AG209)),0),AG90*$BI90),AG90*$BI90),0)</f>
        <v>0</v>
      </c>
      <c r="CK90" s="313">
        <f>IF($BI90&lt;&gt;"",IF('Capacity summary'!$D$14="Yes",IF(COUNTBLANK('Capacity summary'!$H209:$BG209)&lt;52,IF('Capacity summary'!AH209&lt;&gt;"",IF(LOWER('Capacity summary'!AH209)="x",$BI90*AH90,VALUE('Capacity summary'!AH209)),0),AH90*$BI90),AH90*$BI90),0)</f>
        <v>0</v>
      </c>
      <c r="CL90" s="313">
        <f>IF($BI90&lt;&gt;"",IF('Capacity summary'!$D$14="Yes",IF(COUNTBLANK('Capacity summary'!$H209:$BG209)&lt;52,IF('Capacity summary'!AI209&lt;&gt;"",IF(LOWER('Capacity summary'!AI209)="x",$BI90*AI90,VALUE('Capacity summary'!AI209)),0),AI90*$BI90),AI90*$BI90),0)</f>
        <v>0</v>
      </c>
      <c r="CM90" s="313">
        <f>IF($BI90&lt;&gt;"",IF('Capacity summary'!$D$14="Yes",IF(COUNTBLANK('Capacity summary'!$H209:$BG209)&lt;52,IF('Capacity summary'!AJ209&lt;&gt;"",IF(LOWER('Capacity summary'!AJ209)="x",$BI90*AJ90,VALUE('Capacity summary'!AJ209)),0),AJ90*$BI90),AJ90*$BI90),0)</f>
        <v>0</v>
      </c>
      <c r="CN90" s="313">
        <f>IF($BI90&lt;&gt;"",IF('Capacity summary'!$D$14="Yes",IF(COUNTBLANK('Capacity summary'!$H209:$BG209)&lt;52,IF('Capacity summary'!AK209&lt;&gt;"",IF(LOWER('Capacity summary'!AK209)="x",$BI90*AK90,VALUE('Capacity summary'!AK209)),0),AK90*$BI90),AK90*$BI90),0)</f>
        <v>0</v>
      </c>
      <c r="CO90" s="313">
        <f>IF($BI90&lt;&gt;"",IF('Capacity summary'!$D$14="Yes",IF(COUNTBLANK('Capacity summary'!$H209:$BG209)&lt;52,IF('Capacity summary'!AL209&lt;&gt;"",IF(LOWER('Capacity summary'!AL209)="x",$BI90*AL90,VALUE('Capacity summary'!AL209)),0),AL90*$BI90),AL90*$BI90),0)</f>
        <v>0</v>
      </c>
      <c r="CP90" s="313">
        <f>IF($BI90&lt;&gt;"",IF('Capacity summary'!$D$14="Yes",IF(COUNTBLANK('Capacity summary'!$H209:$BG209)&lt;52,IF('Capacity summary'!AM209&lt;&gt;"",IF(LOWER('Capacity summary'!AM209)="x",$BI90*AM90,VALUE('Capacity summary'!AM209)),0),AM90*$BI90),AM90*$BI90),0)</f>
        <v>0</v>
      </c>
      <c r="CQ90" s="313">
        <f>IF($BI90&lt;&gt;"",IF('Capacity summary'!$D$14="Yes",IF(COUNTBLANK('Capacity summary'!$H209:$BG209)&lt;52,IF('Capacity summary'!AN209&lt;&gt;"",IF(LOWER('Capacity summary'!AN209)="x",$BI90*AN90,VALUE('Capacity summary'!AN209)),0),AN90*$BI90),AN90*$BI90),0)</f>
        <v>0</v>
      </c>
      <c r="CR90" s="313">
        <f>IF($BI90&lt;&gt;"",IF('Capacity summary'!$D$14="Yes",IF(COUNTBLANK('Capacity summary'!$H209:$BG209)&lt;52,IF('Capacity summary'!AO209&lt;&gt;"",IF(LOWER('Capacity summary'!AO209)="x",$BI90*AO90,VALUE('Capacity summary'!AO209)),0),AO90*$BI90),AO90*$BI90),0)</f>
        <v>0</v>
      </c>
      <c r="CS90" s="313">
        <f>IF($BI90&lt;&gt;"",IF('Capacity summary'!$D$14="Yes",IF(COUNTBLANK('Capacity summary'!$H209:$BG209)&lt;52,IF('Capacity summary'!AP209&lt;&gt;"",IF(LOWER('Capacity summary'!AP209)="x",$BI90*AP90,VALUE('Capacity summary'!AP209)),0),AP90*$BI90),AP90*$BI90),0)</f>
        <v>0</v>
      </c>
      <c r="CT90" s="313">
        <f>IF($BI90&lt;&gt;"",IF('Capacity summary'!$D$14="Yes",IF(COUNTBLANK('Capacity summary'!$H209:$BG209)&lt;52,IF('Capacity summary'!AQ209&lt;&gt;"",IF(LOWER('Capacity summary'!AQ209)="x",$BI90*AQ90,VALUE('Capacity summary'!AQ209)),0),AQ90*$BI90),AQ90*$BI90),0)</f>
        <v>0</v>
      </c>
      <c r="CU90" s="313">
        <f>IF($BI90&lt;&gt;"",IF('Capacity summary'!$D$14="Yes",IF(COUNTBLANK('Capacity summary'!$H209:$BG209)&lt;52,IF('Capacity summary'!AR209&lt;&gt;"",IF(LOWER('Capacity summary'!AR209)="x",$BI90*AR90,VALUE('Capacity summary'!AR209)),0),AR90*$BI90),AR90*$BI90),0)</f>
        <v>0</v>
      </c>
      <c r="CV90" s="313">
        <f>IF($BI90&lt;&gt;"",IF('Capacity summary'!$D$14="Yes",IF(COUNTBLANK('Capacity summary'!$H209:$BG209)&lt;52,IF('Capacity summary'!AS209&lt;&gt;"",IF(LOWER('Capacity summary'!AS209)="x",$BI90*AS90,VALUE('Capacity summary'!AS209)),0),AS90*$BI90),AS90*$BI90),0)</f>
        <v>0</v>
      </c>
      <c r="CW90" s="313">
        <f>IF($BI90&lt;&gt;"",IF('Capacity summary'!$D$14="Yes",IF(COUNTBLANK('Capacity summary'!$H209:$BG209)&lt;52,IF('Capacity summary'!AT209&lt;&gt;"",IF(LOWER('Capacity summary'!AT209)="x",$BI90*AT90,VALUE('Capacity summary'!AT209)),0),AT90*$BI90),AT90*$BI90),0)</f>
        <v>0</v>
      </c>
      <c r="CX90" s="313">
        <f>IF($BI90&lt;&gt;"",IF('Capacity summary'!$D$14="Yes",IF(COUNTBLANK('Capacity summary'!$H209:$BG209)&lt;52,IF('Capacity summary'!AU209&lt;&gt;"",IF(LOWER('Capacity summary'!AU209)="x",$BI90*AU90,VALUE('Capacity summary'!AU209)),0),AU90*$BI90),AU90*$BI90),0)</f>
        <v>0</v>
      </c>
      <c r="CY90" s="313">
        <f>IF($BI90&lt;&gt;"",IF('Capacity summary'!$D$14="Yes",IF(COUNTBLANK('Capacity summary'!$H209:$BG209)&lt;52,IF('Capacity summary'!AV209&lt;&gt;"",IF(LOWER('Capacity summary'!AV209)="x",$BI90*AV90,VALUE('Capacity summary'!AV209)),0),AV90*$BI90),AV90*$BI90),0)</f>
        <v>0</v>
      </c>
      <c r="CZ90" s="313">
        <f>IF($BI90&lt;&gt;"",IF('Capacity summary'!$D$14="Yes",IF(COUNTBLANK('Capacity summary'!$H209:$BG209)&lt;52,IF('Capacity summary'!AW209&lt;&gt;"",IF(LOWER('Capacity summary'!AW209)="x",$BI90*AW90,VALUE('Capacity summary'!AW209)),0),AW90*$BI90),AW90*$BI90),0)</f>
        <v>0</v>
      </c>
      <c r="DA90" s="313">
        <f>IF($BI90&lt;&gt;"",IF('Capacity summary'!$D$14="Yes",IF(COUNTBLANK('Capacity summary'!$H209:$BG209)&lt;52,IF('Capacity summary'!AX209&lt;&gt;"",IF(LOWER('Capacity summary'!AX209)="x",$BI90*AX90,VALUE('Capacity summary'!AX209)),0),AX90*$BI90),AX90*$BI90),0)</f>
        <v>0</v>
      </c>
      <c r="DB90" s="313">
        <f>IF($BI90&lt;&gt;"",IF('Capacity summary'!$D$14="Yes",IF(COUNTBLANK('Capacity summary'!$H209:$BG209)&lt;52,IF('Capacity summary'!AY209&lt;&gt;"",IF(LOWER('Capacity summary'!AY209)="x",$BI90*AY90,VALUE('Capacity summary'!AY209)),0),AY90*$BI90),AY90*$BI90),0)</f>
        <v>0</v>
      </c>
      <c r="DC90" s="313">
        <f>IF($BI90&lt;&gt;"",IF('Capacity summary'!$D$14="Yes",IF(COUNTBLANK('Capacity summary'!$H209:$BG209)&lt;52,IF('Capacity summary'!AZ209&lt;&gt;"",IF(LOWER('Capacity summary'!AZ209)="x",$BI90*AZ90,VALUE('Capacity summary'!AZ209)),0),AZ90*$BI90),AZ90*$BI90),0)</f>
        <v>0</v>
      </c>
      <c r="DD90" s="313">
        <f>IF($BI90&lt;&gt;"",IF('Capacity summary'!$D$14="Yes",IF(COUNTBLANK('Capacity summary'!$H209:$BG209)&lt;52,IF('Capacity summary'!BA209&lt;&gt;"",IF(LOWER('Capacity summary'!BA209)="x",$BI90*BA90,VALUE('Capacity summary'!BA209)),0),BA90*$BI90),BA90*$BI90),0)</f>
        <v>0</v>
      </c>
      <c r="DE90" s="313">
        <f>IF($BI90&lt;&gt;"",IF('Capacity summary'!$D$14="Yes",IF(COUNTBLANK('Capacity summary'!$H209:$BG209)&lt;52,IF('Capacity summary'!BB209&lt;&gt;"",IF(LOWER('Capacity summary'!BB209)="x",$BI90*BB90,VALUE('Capacity summary'!BB209)),0),BB90*$BI90),BB90*$BI90),0)</f>
        <v>0</v>
      </c>
      <c r="DF90" s="313">
        <f>IF($BI90&lt;&gt;"",IF('Capacity summary'!$D$14="Yes",IF(COUNTBLANK('Capacity summary'!$H209:$BG209)&lt;52,IF('Capacity summary'!BC209&lt;&gt;"",IF(LOWER('Capacity summary'!BC209)="x",$BI90*BC90,VALUE('Capacity summary'!BC209)),0),BC90*$BI90),BC90*$BI90),0)</f>
        <v>0</v>
      </c>
      <c r="DG90" s="313">
        <f>IF($BI90&lt;&gt;"",IF('Capacity summary'!$D$14="Yes",IF(COUNTBLANK('Capacity summary'!$H209:$BG209)&lt;52,IF('Capacity summary'!BD209&lt;&gt;"",IF(LOWER('Capacity summary'!BD209)="x",$BI90*BD90,VALUE('Capacity summary'!BD209)),0),BD90*$BI90),BD90*$BI90),0)</f>
        <v>0</v>
      </c>
      <c r="DH90" s="313">
        <f>IF($BI90&lt;&gt;"",IF('Capacity summary'!$D$14="Yes",IF(COUNTBLANK('Capacity summary'!$H209:$BG209)&lt;52,IF('Capacity summary'!BE209&lt;&gt;"",IF(LOWER('Capacity summary'!BE209)="x",$BI90*BE90,VALUE('Capacity summary'!BE209)),0),BE90*$BI90),BE90*$BI90),0)</f>
        <v>0</v>
      </c>
      <c r="DI90" s="313">
        <f>IF($BI90&lt;&gt;"",IF('Capacity summary'!$D$14="Yes",IF(COUNTBLANK('Capacity summary'!$H209:$BG209)&lt;52,IF('Capacity summary'!BF209&lt;&gt;"",IF(LOWER('Capacity summary'!BF209)="x",$BI90*BF90,VALUE('Capacity summary'!BF209)),0),BF90*$BI90),BF90*$BI90),0)</f>
        <v>0</v>
      </c>
      <c r="DJ90" s="313">
        <f>IF($BI90&lt;&gt;"",IF('Capacity summary'!$D$14="Yes",IF(COUNTBLANK('Capacity summary'!$H209:$BG209)&lt;52,IF('Capacity summary'!BG209&lt;&gt;"",IF(LOWER('Capacity summary'!BG209)="x",$BI90*BG90,VALUE('Capacity summary'!BG209)),0),BG90*$BI90),BG90*$BI90),0)</f>
        <v>0</v>
      </c>
      <c r="DK90" s="137">
        <f t="shared" si="3"/>
        <v>0</v>
      </c>
      <c r="DL90" s="313" t="str">
        <f>Capacity!H102</f>
        <v/>
      </c>
    </row>
    <row r="91" spans="2:116" x14ac:dyDescent="0.25">
      <c r="B91" s="67"/>
      <c r="C91" s="67" t="str">
        <f>ROW(A87)&amp;". "&amp;Capacity!B103</f>
        <v xml:space="preserve">87. </v>
      </c>
      <c r="D91" s="67">
        <f>'Capacity setup'!C98</f>
        <v>0</v>
      </c>
      <c r="E91" s="67">
        <f>'Capacity setup'!D98</f>
        <v>0</v>
      </c>
      <c r="F91" s="67">
        <f>'Capacity setup'!E98</f>
        <v>0</v>
      </c>
      <c r="H91" s="67">
        <f ca="1">IF(AND(SUMIF(Capacity_Resource,$D91,'Critical resources (hide)'!U$6:U$105)+SUMIF(Capacity_Resource,$E91,'Critical resources (hide)'!U$6:U$105)+SUMIF(Capacity_Resource,$F91,'Critical resources (hide)'!U$6:U$105)&gt;0,$E$1=2),0,1)</f>
        <v>1</v>
      </c>
      <c r="I91" s="67">
        <f ca="1">IF(AND(SUMIF(Capacity_Resource,$D91,'Critical resources (hide)'!V$6:V$105)+SUMIF(Capacity_Resource,$E91,'Critical resources (hide)'!V$6:V$105)+SUMIF(Capacity_Resource,$F91,'Critical resources (hide)'!V$6:V$105)&gt;0,$E$1=2),0,1)</f>
        <v>1</v>
      </c>
      <c r="J91" s="67">
        <f ca="1">IF(AND(SUMIF(Capacity_Resource,$D91,'Critical resources (hide)'!W$6:W$105)+SUMIF(Capacity_Resource,$E91,'Critical resources (hide)'!W$6:W$105)+SUMIF(Capacity_Resource,$F91,'Critical resources (hide)'!W$6:W$105)&gt;0,$E$1=2),0,1)</f>
        <v>1</v>
      </c>
      <c r="K91" s="67">
        <f ca="1">IF(AND(SUMIF(Capacity_Resource,$D91,'Critical resources (hide)'!X$6:X$105)+SUMIF(Capacity_Resource,$E91,'Critical resources (hide)'!X$6:X$105)+SUMIF(Capacity_Resource,$F91,'Critical resources (hide)'!X$6:X$105)&gt;0,$E$1=2),0,1)</f>
        <v>1</v>
      </c>
      <c r="L91" s="67">
        <f ca="1">IF(AND(SUMIF(Capacity_Resource,$D91,'Critical resources (hide)'!Y$6:Y$105)+SUMIF(Capacity_Resource,$E91,'Critical resources (hide)'!Y$6:Y$105)+SUMIF(Capacity_Resource,$F91,'Critical resources (hide)'!Y$6:Y$105)&gt;0,$E$1=2),0,1)</f>
        <v>1</v>
      </c>
      <c r="M91" s="67">
        <f ca="1">IF(AND(SUMIF(Capacity_Resource,$D91,'Critical resources (hide)'!Z$6:Z$105)+SUMIF(Capacity_Resource,$E91,'Critical resources (hide)'!Z$6:Z$105)+SUMIF(Capacity_Resource,$F91,'Critical resources (hide)'!Z$6:Z$105)&gt;0,$E$1=2),0,1)</f>
        <v>1</v>
      </c>
      <c r="N91" s="67">
        <f ca="1">IF(AND(SUMIF(Capacity_Resource,$D91,'Critical resources (hide)'!AA$6:AA$105)+SUMIF(Capacity_Resource,$E91,'Critical resources (hide)'!AA$6:AA$105)+SUMIF(Capacity_Resource,$F91,'Critical resources (hide)'!AA$6:AA$105)&gt;0,$E$1=2),0,1)</f>
        <v>1</v>
      </c>
      <c r="O91" s="67">
        <f ca="1">IF(AND(SUMIF(Capacity_Resource,$D91,'Critical resources (hide)'!AB$6:AB$105)+SUMIF(Capacity_Resource,$E91,'Critical resources (hide)'!AB$6:AB$105)+SUMIF(Capacity_Resource,$F91,'Critical resources (hide)'!AB$6:AB$105)&gt;0,$E$1=2),0,1)</f>
        <v>1</v>
      </c>
      <c r="P91" s="67">
        <f ca="1">IF(AND(SUMIF(Capacity_Resource,$D91,'Critical resources (hide)'!AC$6:AC$105)+SUMIF(Capacity_Resource,$E91,'Critical resources (hide)'!AC$6:AC$105)+SUMIF(Capacity_Resource,$F91,'Critical resources (hide)'!AC$6:AC$105)&gt;0,$E$1=2),0,1)</f>
        <v>1</v>
      </c>
      <c r="Q91" s="67">
        <f ca="1">IF(AND(SUMIF(Capacity_Resource,$D91,'Critical resources (hide)'!AD$6:AD$105)+SUMIF(Capacity_Resource,$E91,'Critical resources (hide)'!AD$6:AD$105)+SUMIF(Capacity_Resource,$F91,'Critical resources (hide)'!AD$6:AD$105)&gt;0,$E$1=2),0,1)</f>
        <v>1</v>
      </c>
      <c r="R91" s="67">
        <f ca="1">IF(AND(SUMIF(Capacity_Resource,$D91,'Critical resources (hide)'!AE$6:AE$105)+SUMIF(Capacity_Resource,$E91,'Critical resources (hide)'!AE$6:AE$105)+SUMIF(Capacity_Resource,$F91,'Critical resources (hide)'!AE$6:AE$105)&gt;0,$E$1=2),0,1)</f>
        <v>1</v>
      </c>
      <c r="S91" s="67">
        <f ca="1">IF(AND(SUMIF(Capacity_Resource,$D91,'Critical resources (hide)'!AF$6:AF$105)+SUMIF(Capacity_Resource,$E91,'Critical resources (hide)'!AF$6:AF$105)+SUMIF(Capacity_Resource,$F91,'Critical resources (hide)'!AF$6:AF$105)&gt;0,$E$1=2),0,1)</f>
        <v>1</v>
      </c>
      <c r="T91" s="67">
        <f ca="1">IF(AND(SUMIF(Capacity_Resource,$D91,'Critical resources (hide)'!AG$6:AG$105)+SUMIF(Capacity_Resource,$E91,'Critical resources (hide)'!AG$6:AG$105)+SUMIF(Capacity_Resource,$F91,'Critical resources (hide)'!AG$6:AG$105)&gt;0,$E$1=2),0,1)</f>
        <v>1</v>
      </c>
      <c r="U91" s="67">
        <f ca="1">IF(AND(SUMIF(Capacity_Resource,$D91,'Critical resources (hide)'!AH$6:AH$105)+SUMIF(Capacity_Resource,$E91,'Critical resources (hide)'!AH$6:AH$105)+SUMIF(Capacity_Resource,$F91,'Critical resources (hide)'!AH$6:AH$105)&gt;0,$E$1=2),0,1)</f>
        <v>1</v>
      </c>
      <c r="V91" s="67">
        <f ca="1">IF(AND(SUMIF(Capacity_Resource,$D91,'Critical resources (hide)'!AI$6:AI$105)+SUMIF(Capacity_Resource,$E91,'Critical resources (hide)'!AI$6:AI$105)+SUMIF(Capacity_Resource,$F91,'Critical resources (hide)'!AI$6:AI$105)&gt;0,$E$1=2),0,1)</f>
        <v>1</v>
      </c>
      <c r="W91" s="67">
        <f ca="1">IF(AND(SUMIF(Capacity_Resource,$D91,'Critical resources (hide)'!AJ$6:AJ$105)+SUMIF(Capacity_Resource,$E91,'Critical resources (hide)'!AJ$6:AJ$105)+SUMIF(Capacity_Resource,$F91,'Critical resources (hide)'!AJ$6:AJ$105)&gt;0,$E$1=2),0,1)</f>
        <v>1</v>
      </c>
      <c r="X91" s="67">
        <f ca="1">IF(AND(SUMIF(Capacity_Resource,$D91,'Critical resources (hide)'!AK$6:AK$105)+SUMIF(Capacity_Resource,$E91,'Critical resources (hide)'!AK$6:AK$105)+SUMIF(Capacity_Resource,$F91,'Critical resources (hide)'!AK$6:AK$105)&gt;0,$E$1=2),0,1)</f>
        <v>1</v>
      </c>
      <c r="Y91" s="67">
        <f ca="1">IF(AND(SUMIF(Capacity_Resource,$D91,'Critical resources (hide)'!AL$6:AL$105)+SUMIF(Capacity_Resource,$E91,'Critical resources (hide)'!AL$6:AL$105)+SUMIF(Capacity_Resource,$F91,'Critical resources (hide)'!AL$6:AL$105)&gt;0,$E$1=2),0,1)</f>
        <v>1</v>
      </c>
      <c r="Z91" s="67">
        <f ca="1">IF(AND(SUMIF(Capacity_Resource,$D91,'Critical resources (hide)'!AM$6:AM$105)+SUMIF(Capacity_Resource,$E91,'Critical resources (hide)'!AM$6:AM$105)+SUMIF(Capacity_Resource,$F91,'Critical resources (hide)'!AM$6:AM$105)&gt;0,$E$1=2),0,1)</f>
        <v>1</v>
      </c>
      <c r="AA91" s="67">
        <f ca="1">IF(AND(SUMIF(Capacity_Resource,$D91,'Critical resources (hide)'!AN$6:AN$105)+SUMIF(Capacity_Resource,$E91,'Critical resources (hide)'!AN$6:AN$105)+SUMIF(Capacity_Resource,$F91,'Critical resources (hide)'!AN$6:AN$105)&gt;0,$E$1=2),0,1)</f>
        <v>1</v>
      </c>
      <c r="AB91" s="67">
        <f ca="1">IF(AND(SUMIF(Capacity_Resource,$D91,'Critical resources (hide)'!AO$6:AO$105)+SUMIF(Capacity_Resource,$E91,'Critical resources (hide)'!AO$6:AO$105)+SUMIF(Capacity_Resource,$F91,'Critical resources (hide)'!AO$6:AO$105)&gt;0,$E$1=2),0,1)</f>
        <v>1</v>
      </c>
      <c r="AC91" s="67">
        <f ca="1">IF(AND(SUMIF(Capacity_Resource,$D91,'Critical resources (hide)'!AP$6:AP$105)+SUMIF(Capacity_Resource,$E91,'Critical resources (hide)'!AP$6:AP$105)+SUMIF(Capacity_Resource,$F91,'Critical resources (hide)'!AP$6:AP$105)&gt;0,$E$1=2),0,1)</f>
        <v>1</v>
      </c>
      <c r="AD91" s="67">
        <f ca="1">IF(AND(SUMIF(Capacity_Resource,$D91,'Critical resources (hide)'!AQ$6:AQ$105)+SUMIF(Capacity_Resource,$E91,'Critical resources (hide)'!AQ$6:AQ$105)+SUMIF(Capacity_Resource,$F91,'Critical resources (hide)'!AQ$6:AQ$105)&gt;0,$E$1=2),0,1)</f>
        <v>1</v>
      </c>
      <c r="AE91" s="67">
        <f ca="1">IF(AND(SUMIF(Capacity_Resource,$D91,'Critical resources (hide)'!AR$6:AR$105)+SUMIF(Capacity_Resource,$E91,'Critical resources (hide)'!AR$6:AR$105)+SUMIF(Capacity_Resource,$F91,'Critical resources (hide)'!AR$6:AR$105)&gt;0,$E$1=2),0,1)</f>
        <v>1</v>
      </c>
      <c r="AF91" s="67">
        <f ca="1">IF(AND(SUMIF(Capacity_Resource,$D91,'Critical resources (hide)'!AS$6:AS$105)+SUMIF(Capacity_Resource,$E91,'Critical resources (hide)'!AS$6:AS$105)+SUMIF(Capacity_Resource,$F91,'Critical resources (hide)'!AS$6:AS$105)&gt;0,$E$1=2),0,1)</f>
        <v>1</v>
      </c>
      <c r="AG91" s="67">
        <f ca="1">IF(AND(SUMIF(Capacity_Resource,$D91,'Critical resources (hide)'!AT$6:AT$105)+SUMIF(Capacity_Resource,$E91,'Critical resources (hide)'!AT$6:AT$105)+SUMIF(Capacity_Resource,$F91,'Critical resources (hide)'!AT$6:AT$105)&gt;0,$E$1=2),0,1)</f>
        <v>1</v>
      </c>
      <c r="AH91" s="67">
        <f ca="1">IF(AND(SUMIF(Capacity_Resource,$D91,'Critical resources (hide)'!AU$6:AU$105)+SUMIF(Capacity_Resource,$E91,'Critical resources (hide)'!AU$6:AU$105)+SUMIF(Capacity_Resource,$F91,'Critical resources (hide)'!AU$6:AU$105)&gt;0,$E$1=2),0,1)</f>
        <v>1</v>
      </c>
      <c r="AI91" s="67">
        <f ca="1">IF(AND(SUMIF(Capacity_Resource,$D91,'Critical resources (hide)'!AV$6:AV$105)+SUMIF(Capacity_Resource,$E91,'Critical resources (hide)'!AV$6:AV$105)+SUMIF(Capacity_Resource,$F91,'Critical resources (hide)'!AV$6:AV$105)&gt;0,$E$1=2),0,1)</f>
        <v>1</v>
      </c>
      <c r="AJ91" s="67">
        <f ca="1">IF(AND(SUMIF(Capacity_Resource,$D91,'Critical resources (hide)'!AW$6:AW$105)+SUMIF(Capacity_Resource,$E91,'Critical resources (hide)'!AW$6:AW$105)+SUMIF(Capacity_Resource,$F91,'Critical resources (hide)'!AW$6:AW$105)&gt;0,$E$1=2),0,1)</f>
        <v>1</v>
      </c>
      <c r="AK91" s="67">
        <f ca="1">IF(AND(SUMIF(Capacity_Resource,$D91,'Critical resources (hide)'!AX$6:AX$105)+SUMIF(Capacity_Resource,$E91,'Critical resources (hide)'!AX$6:AX$105)+SUMIF(Capacity_Resource,$F91,'Critical resources (hide)'!AX$6:AX$105)&gt;0,$E$1=2),0,1)</f>
        <v>1</v>
      </c>
      <c r="AL91" s="67">
        <f ca="1">IF(AND(SUMIF(Capacity_Resource,$D91,'Critical resources (hide)'!AY$6:AY$105)+SUMIF(Capacity_Resource,$E91,'Critical resources (hide)'!AY$6:AY$105)+SUMIF(Capacity_Resource,$F91,'Critical resources (hide)'!AY$6:AY$105)&gt;0,$E$1=2),0,1)</f>
        <v>1</v>
      </c>
      <c r="AM91" s="67">
        <f ca="1">IF(AND(SUMIF(Capacity_Resource,$D91,'Critical resources (hide)'!AZ$6:AZ$105)+SUMIF(Capacity_Resource,$E91,'Critical resources (hide)'!AZ$6:AZ$105)+SUMIF(Capacity_Resource,$F91,'Critical resources (hide)'!AZ$6:AZ$105)&gt;0,$E$1=2),0,1)</f>
        <v>1</v>
      </c>
      <c r="AN91" s="67">
        <f ca="1">IF(AND(SUMIF(Capacity_Resource,$D91,'Critical resources (hide)'!BA$6:BA$105)+SUMIF(Capacity_Resource,$E91,'Critical resources (hide)'!BA$6:BA$105)+SUMIF(Capacity_Resource,$F91,'Critical resources (hide)'!BA$6:BA$105)&gt;0,$E$1=2),0,1)</f>
        <v>1</v>
      </c>
      <c r="AO91" s="67">
        <f ca="1">IF(AND(SUMIF(Capacity_Resource,$D91,'Critical resources (hide)'!BB$6:BB$105)+SUMIF(Capacity_Resource,$E91,'Critical resources (hide)'!BB$6:BB$105)+SUMIF(Capacity_Resource,$F91,'Critical resources (hide)'!BB$6:BB$105)&gt;0,$E$1=2),0,1)</f>
        <v>1</v>
      </c>
      <c r="AP91" s="67">
        <f ca="1">IF(AND(SUMIF(Capacity_Resource,$D91,'Critical resources (hide)'!BC$6:BC$105)+SUMIF(Capacity_Resource,$E91,'Critical resources (hide)'!BC$6:BC$105)+SUMIF(Capacity_Resource,$F91,'Critical resources (hide)'!BC$6:BC$105)&gt;0,$E$1=2),0,1)</f>
        <v>1</v>
      </c>
      <c r="AQ91" s="67">
        <f ca="1">IF(AND(SUMIF(Capacity_Resource,$D91,'Critical resources (hide)'!BD$6:BD$105)+SUMIF(Capacity_Resource,$E91,'Critical resources (hide)'!BD$6:BD$105)+SUMIF(Capacity_Resource,$F91,'Critical resources (hide)'!BD$6:BD$105)&gt;0,$E$1=2),0,1)</f>
        <v>1</v>
      </c>
      <c r="AR91" s="67">
        <f ca="1">IF(AND(SUMIF(Capacity_Resource,$D91,'Critical resources (hide)'!BE$6:BE$105)+SUMIF(Capacity_Resource,$E91,'Critical resources (hide)'!BE$6:BE$105)+SUMIF(Capacity_Resource,$F91,'Critical resources (hide)'!BE$6:BE$105)&gt;0,$E$1=2),0,1)</f>
        <v>1</v>
      </c>
      <c r="AS91" s="67">
        <f ca="1">IF(AND(SUMIF(Capacity_Resource,$D91,'Critical resources (hide)'!BF$6:BF$105)+SUMIF(Capacity_Resource,$E91,'Critical resources (hide)'!BF$6:BF$105)+SUMIF(Capacity_Resource,$F91,'Critical resources (hide)'!BF$6:BF$105)&gt;0,$E$1=2),0,1)</f>
        <v>1</v>
      </c>
      <c r="AT91" s="67">
        <f ca="1">IF(AND(SUMIF(Capacity_Resource,$D91,'Critical resources (hide)'!BG$6:BG$105)+SUMIF(Capacity_Resource,$E91,'Critical resources (hide)'!BG$6:BG$105)+SUMIF(Capacity_Resource,$F91,'Critical resources (hide)'!BG$6:BG$105)&gt;0,$E$1=2),0,1)</f>
        <v>1</v>
      </c>
      <c r="AU91" s="67">
        <f ca="1">IF(AND(SUMIF(Capacity_Resource,$D91,'Critical resources (hide)'!BH$6:BH$105)+SUMIF(Capacity_Resource,$E91,'Critical resources (hide)'!BH$6:BH$105)+SUMIF(Capacity_Resource,$F91,'Critical resources (hide)'!BH$6:BH$105)&gt;0,$E$1=2),0,1)</f>
        <v>1</v>
      </c>
      <c r="AV91" s="67">
        <f ca="1">IF(AND(SUMIF(Capacity_Resource,$D91,'Critical resources (hide)'!BI$6:BI$105)+SUMIF(Capacity_Resource,$E91,'Critical resources (hide)'!BI$6:BI$105)+SUMIF(Capacity_Resource,$F91,'Critical resources (hide)'!BI$6:BI$105)&gt;0,$E$1=2),0,1)</f>
        <v>1</v>
      </c>
      <c r="AW91" s="67">
        <f ca="1">IF(AND(SUMIF(Capacity_Resource,$D91,'Critical resources (hide)'!BJ$6:BJ$105)+SUMIF(Capacity_Resource,$E91,'Critical resources (hide)'!BJ$6:BJ$105)+SUMIF(Capacity_Resource,$F91,'Critical resources (hide)'!BJ$6:BJ$105)&gt;0,$E$1=2),0,1)</f>
        <v>1</v>
      </c>
      <c r="AX91" s="67">
        <f ca="1">IF(AND(SUMIF(Capacity_Resource,$D91,'Critical resources (hide)'!BK$6:BK$105)+SUMIF(Capacity_Resource,$E91,'Critical resources (hide)'!BK$6:BK$105)+SUMIF(Capacity_Resource,$F91,'Critical resources (hide)'!BK$6:BK$105)&gt;0,$E$1=2),0,1)</f>
        <v>1</v>
      </c>
      <c r="AY91" s="67">
        <f ca="1">IF(AND(SUMIF(Capacity_Resource,$D91,'Critical resources (hide)'!BL$6:BL$105)+SUMIF(Capacity_Resource,$E91,'Critical resources (hide)'!BL$6:BL$105)+SUMIF(Capacity_Resource,$F91,'Critical resources (hide)'!BL$6:BL$105)&gt;0,$E$1=2),0,1)</f>
        <v>1</v>
      </c>
      <c r="AZ91" s="67">
        <f ca="1">IF(AND(SUMIF(Capacity_Resource,$D91,'Critical resources (hide)'!BM$6:BM$105)+SUMIF(Capacity_Resource,$E91,'Critical resources (hide)'!BM$6:BM$105)+SUMIF(Capacity_Resource,$F91,'Critical resources (hide)'!BM$6:BM$105)&gt;0,$E$1=2),0,1)</f>
        <v>1</v>
      </c>
      <c r="BA91" s="67">
        <f ca="1">IF(AND(SUMIF(Capacity_Resource,$D91,'Critical resources (hide)'!BN$6:BN$105)+SUMIF(Capacity_Resource,$E91,'Critical resources (hide)'!BN$6:BN$105)+SUMIF(Capacity_Resource,$F91,'Critical resources (hide)'!BN$6:BN$105)&gt;0,$E$1=2),0,1)</f>
        <v>1</v>
      </c>
      <c r="BB91" s="67">
        <f ca="1">IF(AND(SUMIF(Capacity_Resource,$D91,'Critical resources (hide)'!BO$6:BO$105)+SUMIF(Capacity_Resource,$E91,'Critical resources (hide)'!BO$6:BO$105)+SUMIF(Capacity_Resource,$F91,'Critical resources (hide)'!BO$6:BO$105)&gt;0,$E$1=2),0,1)</f>
        <v>1</v>
      </c>
      <c r="BC91" s="67">
        <f ca="1">IF(AND(SUMIF(Capacity_Resource,$D91,'Critical resources (hide)'!BP$6:BP$105)+SUMIF(Capacity_Resource,$E91,'Critical resources (hide)'!BP$6:BP$105)+SUMIF(Capacity_Resource,$F91,'Critical resources (hide)'!BP$6:BP$105)&gt;0,$E$1=2),0,1)</f>
        <v>1</v>
      </c>
      <c r="BD91" s="67">
        <f ca="1">IF(AND(SUMIF(Capacity_Resource,$D91,'Critical resources (hide)'!BQ$6:BQ$105)+SUMIF(Capacity_Resource,$E91,'Critical resources (hide)'!BQ$6:BQ$105)+SUMIF(Capacity_Resource,$F91,'Critical resources (hide)'!BQ$6:BQ$105)&gt;0,$E$1=2),0,1)</f>
        <v>1</v>
      </c>
      <c r="BE91" s="67">
        <f ca="1">IF(AND(SUMIF(Capacity_Resource,$D91,'Critical resources (hide)'!BR$6:BR$105)+SUMIF(Capacity_Resource,$E91,'Critical resources (hide)'!BR$6:BR$105)+SUMIF(Capacity_Resource,$F91,'Critical resources (hide)'!BR$6:BR$105)&gt;0,$E$1=2),0,1)</f>
        <v>1</v>
      </c>
      <c r="BF91" s="67">
        <f ca="1">IF(AND(SUMIF(Capacity_Resource,$D91,'Critical resources (hide)'!BS$6:BS$105)+SUMIF(Capacity_Resource,$E91,'Critical resources (hide)'!BS$6:BS$105)+SUMIF(Capacity_Resource,$F91,'Critical resources (hide)'!BS$6:BS$105)&gt;0,$E$1=2),0,1)</f>
        <v>1</v>
      </c>
      <c r="BG91" s="67">
        <f ca="1">IF(AND(SUMIF(Capacity_Resource,$D91,'Critical resources (hide)'!BT$6:BT$105)+SUMIF(Capacity_Resource,$E91,'Critical resources (hide)'!BT$6:BT$105)+SUMIF(Capacity_Resource,$F91,'Critical resources (hide)'!BT$6:BT$105)&gt;0,$E$1=2),0,1)</f>
        <v>1</v>
      </c>
      <c r="BH91" s="67">
        <f>IF(ROW(C87)&lt;=Capacity!$A$16,IF('Capacity summary'!$D$14="No",SUM(H91:BG91),'Capacity summary'!$E210),0)</f>
        <v>0</v>
      </c>
      <c r="BI91" s="5" t="str">
        <f>IF(BH91&gt;0,IF(BH91&lt;Capacity!E103,Capacity!F103,Capacity!H103/'Capacity calculation (hide)'!BH91),"")</f>
        <v/>
      </c>
      <c r="BK91" s="313">
        <f>IF($BI91&lt;&gt;"",IF('Capacity summary'!$D$14="Yes",IF(COUNTBLANK('Capacity summary'!$H210:$BG210)&lt;52,IF('Capacity summary'!H210&lt;&gt;"",IF(LOWER('Capacity summary'!H210)="x",$BI91*H91,VALUE('Capacity summary'!H210)),0),H91*$BI91),H91*$BI91),0)</f>
        <v>0</v>
      </c>
      <c r="BL91" s="313">
        <f>IF($BI91&lt;&gt;"",IF('Capacity summary'!$D$14="Yes",IF(COUNTBLANK('Capacity summary'!$H210:$BG210)&lt;52,IF('Capacity summary'!I210&lt;&gt;"",IF(LOWER('Capacity summary'!I210)="x",$BI91*I91,VALUE('Capacity summary'!I210)),0),I91*$BI91),I91*$BI91),0)</f>
        <v>0</v>
      </c>
      <c r="BM91" s="313">
        <f>IF($BI91&lt;&gt;"",IF('Capacity summary'!$D$14="Yes",IF(COUNTBLANK('Capacity summary'!$H210:$BG210)&lt;52,IF('Capacity summary'!J210&lt;&gt;"",IF(LOWER('Capacity summary'!J210)="x",$BI91*J91,VALUE('Capacity summary'!J210)),0),J91*$BI91),J91*$BI91),0)</f>
        <v>0</v>
      </c>
      <c r="BN91" s="313">
        <f>IF($BI91&lt;&gt;"",IF('Capacity summary'!$D$14="Yes",IF(COUNTBLANK('Capacity summary'!$H210:$BG210)&lt;52,IF('Capacity summary'!K210&lt;&gt;"",IF(LOWER('Capacity summary'!K210)="x",$BI91*K91,VALUE('Capacity summary'!K210)),0),K91*$BI91),K91*$BI91),0)</f>
        <v>0</v>
      </c>
      <c r="BO91" s="313">
        <f>IF($BI91&lt;&gt;"",IF('Capacity summary'!$D$14="Yes",IF(COUNTBLANK('Capacity summary'!$H210:$BG210)&lt;52,IF('Capacity summary'!L210&lt;&gt;"",IF(LOWER('Capacity summary'!L210)="x",$BI91*L91,VALUE('Capacity summary'!L210)),0),L91*$BI91),L91*$BI91),0)</f>
        <v>0</v>
      </c>
      <c r="BP91" s="313">
        <f>IF($BI91&lt;&gt;"",IF('Capacity summary'!$D$14="Yes",IF(COUNTBLANK('Capacity summary'!$H210:$BG210)&lt;52,IF('Capacity summary'!M210&lt;&gt;"",IF(LOWER('Capacity summary'!M210)="x",$BI91*M91,VALUE('Capacity summary'!M210)),0),M91*$BI91),M91*$BI91),0)</f>
        <v>0</v>
      </c>
      <c r="BQ91" s="313">
        <f>IF($BI91&lt;&gt;"",IF('Capacity summary'!$D$14="Yes",IF(COUNTBLANK('Capacity summary'!$H210:$BG210)&lt;52,IF('Capacity summary'!N210&lt;&gt;"",IF(LOWER('Capacity summary'!N210)="x",$BI91*N91,VALUE('Capacity summary'!N210)),0),N91*$BI91),N91*$BI91),0)</f>
        <v>0</v>
      </c>
      <c r="BR91" s="313">
        <f>IF($BI91&lt;&gt;"",IF('Capacity summary'!$D$14="Yes",IF(COUNTBLANK('Capacity summary'!$H210:$BG210)&lt;52,IF('Capacity summary'!O210&lt;&gt;"",IF(LOWER('Capacity summary'!O210)="x",$BI91*O91,VALUE('Capacity summary'!O210)),0),O91*$BI91),O91*$BI91),0)</f>
        <v>0</v>
      </c>
      <c r="BS91" s="313">
        <f>IF($BI91&lt;&gt;"",IF('Capacity summary'!$D$14="Yes",IF(COUNTBLANK('Capacity summary'!$H210:$BG210)&lt;52,IF('Capacity summary'!P210&lt;&gt;"",IF(LOWER('Capacity summary'!P210)="x",$BI91*P91,VALUE('Capacity summary'!P210)),0),P91*$BI91),P91*$BI91),0)</f>
        <v>0</v>
      </c>
      <c r="BT91" s="313">
        <f>IF($BI91&lt;&gt;"",IF('Capacity summary'!$D$14="Yes",IF(COUNTBLANK('Capacity summary'!$H210:$BG210)&lt;52,IF('Capacity summary'!Q210&lt;&gt;"",IF(LOWER('Capacity summary'!Q210)="x",$BI91*Q91,VALUE('Capacity summary'!Q210)),0),Q91*$BI91),Q91*$BI91),0)</f>
        <v>0</v>
      </c>
      <c r="BU91" s="313">
        <f>IF($BI91&lt;&gt;"",IF('Capacity summary'!$D$14="Yes",IF(COUNTBLANK('Capacity summary'!$H210:$BG210)&lt;52,IF('Capacity summary'!R210&lt;&gt;"",IF(LOWER('Capacity summary'!R210)="x",$BI91*R91,VALUE('Capacity summary'!R210)),0),R91*$BI91),R91*$BI91),0)</f>
        <v>0</v>
      </c>
      <c r="BV91" s="313">
        <f>IF($BI91&lt;&gt;"",IF('Capacity summary'!$D$14="Yes",IF(COUNTBLANK('Capacity summary'!$H210:$BG210)&lt;52,IF('Capacity summary'!S210&lt;&gt;"",IF(LOWER('Capacity summary'!S210)="x",$BI91*S91,VALUE('Capacity summary'!S210)),0),S91*$BI91),S91*$BI91),0)</f>
        <v>0</v>
      </c>
      <c r="BW91" s="313">
        <f>IF($BI91&lt;&gt;"",IF('Capacity summary'!$D$14="Yes",IF(COUNTBLANK('Capacity summary'!$H210:$BG210)&lt;52,IF('Capacity summary'!T210&lt;&gt;"",IF(LOWER('Capacity summary'!T210)="x",$BI91*T91,VALUE('Capacity summary'!T210)),0),T91*$BI91),T91*$BI91),0)</f>
        <v>0</v>
      </c>
      <c r="BX91" s="313">
        <f>IF($BI91&lt;&gt;"",IF('Capacity summary'!$D$14="Yes",IF(COUNTBLANK('Capacity summary'!$H210:$BG210)&lt;52,IF('Capacity summary'!U210&lt;&gt;"",IF(LOWER('Capacity summary'!U210)="x",$BI91*U91,VALUE('Capacity summary'!U210)),0),U91*$BI91),U91*$BI91),0)</f>
        <v>0</v>
      </c>
      <c r="BY91" s="313">
        <f>IF($BI91&lt;&gt;"",IF('Capacity summary'!$D$14="Yes",IF(COUNTBLANK('Capacity summary'!$H210:$BG210)&lt;52,IF('Capacity summary'!V210&lt;&gt;"",IF(LOWER('Capacity summary'!V210)="x",$BI91*V91,VALUE('Capacity summary'!V210)),0),V91*$BI91),V91*$BI91),0)</f>
        <v>0</v>
      </c>
      <c r="BZ91" s="313">
        <f>IF($BI91&lt;&gt;"",IF('Capacity summary'!$D$14="Yes",IF(COUNTBLANK('Capacity summary'!$H210:$BG210)&lt;52,IF('Capacity summary'!W210&lt;&gt;"",IF(LOWER('Capacity summary'!W210)="x",$BI91*W91,VALUE('Capacity summary'!W210)),0),W91*$BI91),W91*$BI91),0)</f>
        <v>0</v>
      </c>
      <c r="CA91" s="313">
        <f>IF($BI91&lt;&gt;"",IF('Capacity summary'!$D$14="Yes",IF(COUNTBLANK('Capacity summary'!$H210:$BG210)&lt;52,IF('Capacity summary'!X210&lt;&gt;"",IF(LOWER('Capacity summary'!X210)="x",$BI91*X91,VALUE('Capacity summary'!X210)),0),X91*$BI91),X91*$BI91),0)</f>
        <v>0</v>
      </c>
      <c r="CB91" s="313">
        <f>IF($BI91&lt;&gt;"",IF('Capacity summary'!$D$14="Yes",IF(COUNTBLANK('Capacity summary'!$H210:$BG210)&lt;52,IF('Capacity summary'!Y210&lt;&gt;"",IF(LOWER('Capacity summary'!Y210)="x",$BI91*Y91,VALUE('Capacity summary'!Y210)),0),Y91*$BI91),Y91*$BI91),0)</f>
        <v>0</v>
      </c>
      <c r="CC91" s="313">
        <f>IF($BI91&lt;&gt;"",IF('Capacity summary'!$D$14="Yes",IF(COUNTBLANK('Capacity summary'!$H210:$BG210)&lt;52,IF('Capacity summary'!Z210&lt;&gt;"",IF(LOWER('Capacity summary'!Z210)="x",$BI91*Z91,VALUE('Capacity summary'!Z210)),0),Z91*$BI91),Z91*$BI91),0)</f>
        <v>0</v>
      </c>
      <c r="CD91" s="313">
        <f>IF($BI91&lt;&gt;"",IF('Capacity summary'!$D$14="Yes",IF(COUNTBLANK('Capacity summary'!$H210:$BG210)&lt;52,IF('Capacity summary'!AA210&lt;&gt;"",IF(LOWER('Capacity summary'!AA210)="x",$BI91*AA91,VALUE('Capacity summary'!AA210)),0),AA91*$BI91),AA91*$BI91),0)</f>
        <v>0</v>
      </c>
      <c r="CE91" s="313">
        <f>IF($BI91&lt;&gt;"",IF('Capacity summary'!$D$14="Yes",IF(COUNTBLANK('Capacity summary'!$H210:$BG210)&lt;52,IF('Capacity summary'!AB210&lt;&gt;"",IF(LOWER('Capacity summary'!AB210)="x",$BI91*AB91,VALUE('Capacity summary'!AB210)),0),AB91*$BI91),AB91*$BI91),0)</f>
        <v>0</v>
      </c>
      <c r="CF91" s="313">
        <f>IF($BI91&lt;&gt;"",IF('Capacity summary'!$D$14="Yes",IF(COUNTBLANK('Capacity summary'!$H210:$BG210)&lt;52,IF('Capacity summary'!AC210&lt;&gt;"",IF(LOWER('Capacity summary'!AC210)="x",$BI91*AC91,VALUE('Capacity summary'!AC210)),0),AC91*$BI91),AC91*$BI91),0)</f>
        <v>0</v>
      </c>
      <c r="CG91" s="313">
        <f>IF($BI91&lt;&gt;"",IF('Capacity summary'!$D$14="Yes",IF(COUNTBLANK('Capacity summary'!$H210:$BG210)&lt;52,IF('Capacity summary'!AD210&lt;&gt;"",IF(LOWER('Capacity summary'!AD210)="x",$BI91*AD91,VALUE('Capacity summary'!AD210)),0),AD91*$BI91),AD91*$BI91),0)</f>
        <v>0</v>
      </c>
      <c r="CH91" s="313">
        <f>IF($BI91&lt;&gt;"",IF('Capacity summary'!$D$14="Yes",IF(COUNTBLANK('Capacity summary'!$H210:$BG210)&lt;52,IF('Capacity summary'!AE210&lt;&gt;"",IF(LOWER('Capacity summary'!AE210)="x",$BI91*AE91,VALUE('Capacity summary'!AE210)),0),AE91*$BI91),AE91*$BI91),0)</f>
        <v>0</v>
      </c>
      <c r="CI91" s="313">
        <f>IF($BI91&lt;&gt;"",IF('Capacity summary'!$D$14="Yes",IF(COUNTBLANK('Capacity summary'!$H210:$BG210)&lt;52,IF('Capacity summary'!AF210&lt;&gt;"",IF(LOWER('Capacity summary'!AF210)="x",$BI91*AF91,VALUE('Capacity summary'!AF210)),0),AF91*$BI91),AF91*$BI91),0)</f>
        <v>0</v>
      </c>
      <c r="CJ91" s="313">
        <f>IF($BI91&lt;&gt;"",IF('Capacity summary'!$D$14="Yes",IF(COUNTBLANK('Capacity summary'!$H210:$BG210)&lt;52,IF('Capacity summary'!AG210&lt;&gt;"",IF(LOWER('Capacity summary'!AG210)="x",$BI91*AG91,VALUE('Capacity summary'!AG210)),0),AG91*$BI91),AG91*$BI91),0)</f>
        <v>0</v>
      </c>
      <c r="CK91" s="313">
        <f>IF($BI91&lt;&gt;"",IF('Capacity summary'!$D$14="Yes",IF(COUNTBLANK('Capacity summary'!$H210:$BG210)&lt;52,IF('Capacity summary'!AH210&lt;&gt;"",IF(LOWER('Capacity summary'!AH210)="x",$BI91*AH91,VALUE('Capacity summary'!AH210)),0),AH91*$BI91),AH91*$BI91),0)</f>
        <v>0</v>
      </c>
      <c r="CL91" s="313">
        <f>IF($BI91&lt;&gt;"",IF('Capacity summary'!$D$14="Yes",IF(COUNTBLANK('Capacity summary'!$H210:$BG210)&lt;52,IF('Capacity summary'!AI210&lt;&gt;"",IF(LOWER('Capacity summary'!AI210)="x",$BI91*AI91,VALUE('Capacity summary'!AI210)),0),AI91*$BI91),AI91*$BI91),0)</f>
        <v>0</v>
      </c>
      <c r="CM91" s="313">
        <f>IF($BI91&lt;&gt;"",IF('Capacity summary'!$D$14="Yes",IF(COUNTBLANK('Capacity summary'!$H210:$BG210)&lt;52,IF('Capacity summary'!AJ210&lt;&gt;"",IF(LOWER('Capacity summary'!AJ210)="x",$BI91*AJ91,VALUE('Capacity summary'!AJ210)),0),AJ91*$BI91),AJ91*$BI91),0)</f>
        <v>0</v>
      </c>
      <c r="CN91" s="313">
        <f>IF($BI91&lt;&gt;"",IF('Capacity summary'!$D$14="Yes",IF(COUNTBLANK('Capacity summary'!$H210:$BG210)&lt;52,IF('Capacity summary'!AK210&lt;&gt;"",IF(LOWER('Capacity summary'!AK210)="x",$BI91*AK91,VALUE('Capacity summary'!AK210)),0),AK91*$BI91),AK91*$BI91),0)</f>
        <v>0</v>
      </c>
      <c r="CO91" s="313">
        <f>IF($BI91&lt;&gt;"",IF('Capacity summary'!$D$14="Yes",IF(COUNTBLANK('Capacity summary'!$H210:$BG210)&lt;52,IF('Capacity summary'!AL210&lt;&gt;"",IF(LOWER('Capacity summary'!AL210)="x",$BI91*AL91,VALUE('Capacity summary'!AL210)),0),AL91*$BI91),AL91*$BI91),0)</f>
        <v>0</v>
      </c>
      <c r="CP91" s="313">
        <f>IF($BI91&lt;&gt;"",IF('Capacity summary'!$D$14="Yes",IF(COUNTBLANK('Capacity summary'!$H210:$BG210)&lt;52,IF('Capacity summary'!AM210&lt;&gt;"",IF(LOWER('Capacity summary'!AM210)="x",$BI91*AM91,VALUE('Capacity summary'!AM210)),0),AM91*$BI91),AM91*$BI91),0)</f>
        <v>0</v>
      </c>
      <c r="CQ91" s="313">
        <f>IF($BI91&lt;&gt;"",IF('Capacity summary'!$D$14="Yes",IF(COUNTBLANK('Capacity summary'!$H210:$BG210)&lt;52,IF('Capacity summary'!AN210&lt;&gt;"",IF(LOWER('Capacity summary'!AN210)="x",$BI91*AN91,VALUE('Capacity summary'!AN210)),0),AN91*$BI91),AN91*$BI91),0)</f>
        <v>0</v>
      </c>
      <c r="CR91" s="313">
        <f>IF($BI91&lt;&gt;"",IF('Capacity summary'!$D$14="Yes",IF(COUNTBLANK('Capacity summary'!$H210:$BG210)&lt;52,IF('Capacity summary'!AO210&lt;&gt;"",IF(LOWER('Capacity summary'!AO210)="x",$BI91*AO91,VALUE('Capacity summary'!AO210)),0),AO91*$BI91),AO91*$BI91),0)</f>
        <v>0</v>
      </c>
      <c r="CS91" s="313">
        <f>IF($BI91&lt;&gt;"",IF('Capacity summary'!$D$14="Yes",IF(COUNTBLANK('Capacity summary'!$H210:$BG210)&lt;52,IF('Capacity summary'!AP210&lt;&gt;"",IF(LOWER('Capacity summary'!AP210)="x",$BI91*AP91,VALUE('Capacity summary'!AP210)),0),AP91*$BI91),AP91*$BI91),0)</f>
        <v>0</v>
      </c>
      <c r="CT91" s="313">
        <f>IF($BI91&lt;&gt;"",IF('Capacity summary'!$D$14="Yes",IF(COUNTBLANK('Capacity summary'!$H210:$BG210)&lt;52,IF('Capacity summary'!AQ210&lt;&gt;"",IF(LOWER('Capacity summary'!AQ210)="x",$BI91*AQ91,VALUE('Capacity summary'!AQ210)),0),AQ91*$BI91),AQ91*$BI91),0)</f>
        <v>0</v>
      </c>
      <c r="CU91" s="313">
        <f>IF($BI91&lt;&gt;"",IF('Capacity summary'!$D$14="Yes",IF(COUNTBLANK('Capacity summary'!$H210:$BG210)&lt;52,IF('Capacity summary'!AR210&lt;&gt;"",IF(LOWER('Capacity summary'!AR210)="x",$BI91*AR91,VALUE('Capacity summary'!AR210)),0),AR91*$BI91),AR91*$BI91),0)</f>
        <v>0</v>
      </c>
      <c r="CV91" s="313">
        <f>IF($BI91&lt;&gt;"",IF('Capacity summary'!$D$14="Yes",IF(COUNTBLANK('Capacity summary'!$H210:$BG210)&lt;52,IF('Capacity summary'!AS210&lt;&gt;"",IF(LOWER('Capacity summary'!AS210)="x",$BI91*AS91,VALUE('Capacity summary'!AS210)),0),AS91*$BI91),AS91*$BI91),0)</f>
        <v>0</v>
      </c>
      <c r="CW91" s="313">
        <f>IF($BI91&lt;&gt;"",IF('Capacity summary'!$D$14="Yes",IF(COUNTBLANK('Capacity summary'!$H210:$BG210)&lt;52,IF('Capacity summary'!AT210&lt;&gt;"",IF(LOWER('Capacity summary'!AT210)="x",$BI91*AT91,VALUE('Capacity summary'!AT210)),0),AT91*$BI91),AT91*$BI91),0)</f>
        <v>0</v>
      </c>
      <c r="CX91" s="313">
        <f>IF($BI91&lt;&gt;"",IF('Capacity summary'!$D$14="Yes",IF(COUNTBLANK('Capacity summary'!$H210:$BG210)&lt;52,IF('Capacity summary'!AU210&lt;&gt;"",IF(LOWER('Capacity summary'!AU210)="x",$BI91*AU91,VALUE('Capacity summary'!AU210)),0),AU91*$BI91),AU91*$BI91),0)</f>
        <v>0</v>
      </c>
      <c r="CY91" s="313">
        <f>IF($BI91&lt;&gt;"",IF('Capacity summary'!$D$14="Yes",IF(COUNTBLANK('Capacity summary'!$H210:$BG210)&lt;52,IF('Capacity summary'!AV210&lt;&gt;"",IF(LOWER('Capacity summary'!AV210)="x",$BI91*AV91,VALUE('Capacity summary'!AV210)),0),AV91*$BI91),AV91*$BI91),0)</f>
        <v>0</v>
      </c>
      <c r="CZ91" s="313">
        <f>IF($BI91&lt;&gt;"",IF('Capacity summary'!$D$14="Yes",IF(COUNTBLANK('Capacity summary'!$H210:$BG210)&lt;52,IF('Capacity summary'!AW210&lt;&gt;"",IF(LOWER('Capacity summary'!AW210)="x",$BI91*AW91,VALUE('Capacity summary'!AW210)),0),AW91*$BI91),AW91*$BI91),0)</f>
        <v>0</v>
      </c>
      <c r="DA91" s="313">
        <f>IF($BI91&lt;&gt;"",IF('Capacity summary'!$D$14="Yes",IF(COUNTBLANK('Capacity summary'!$H210:$BG210)&lt;52,IF('Capacity summary'!AX210&lt;&gt;"",IF(LOWER('Capacity summary'!AX210)="x",$BI91*AX91,VALUE('Capacity summary'!AX210)),0),AX91*$BI91),AX91*$BI91),0)</f>
        <v>0</v>
      </c>
      <c r="DB91" s="313">
        <f>IF($BI91&lt;&gt;"",IF('Capacity summary'!$D$14="Yes",IF(COUNTBLANK('Capacity summary'!$H210:$BG210)&lt;52,IF('Capacity summary'!AY210&lt;&gt;"",IF(LOWER('Capacity summary'!AY210)="x",$BI91*AY91,VALUE('Capacity summary'!AY210)),0),AY91*$BI91),AY91*$BI91),0)</f>
        <v>0</v>
      </c>
      <c r="DC91" s="313">
        <f>IF($BI91&lt;&gt;"",IF('Capacity summary'!$D$14="Yes",IF(COUNTBLANK('Capacity summary'!$H210:$BG210)&lt;52,IF('Capacity summary'!AZ210&lt;&gt;"",IF(LOWER('Capacity summary'!AZ210)="x",$BI91*AZ91,VALUE('Capacity summary'!AZ210)),0),AZ91*$BI91),AZ91*$BI91),0)</f>
        <v>0</v>
      </c>
      <c r="DD91" s="313">
        <f>IF($BI91&lt;&gt;"",IF('Capacity summary'!$D$14="Yes",IF(COUNTBLANK('Capacity summary'!$H210:$BG210)&lt;52,IF('Capacity summary'!BA210&lt;&gt;"",IF(LOWER('Capacity summary'!BA210)="x",$BI91*BA91,VALUE('Capacity summary'!BA210)),0),BA91*$BI91),BA91*$BI91),0)</f>
        <v>0</v>
      </c>
      <c r="DE91" s="313">
        <f>IF($BI91&lt;&gt;"",IF('Capacity summary'!$D$14="Yes",IF(COUNTBLANK('Capacity summary'!$H210:$BG210)&lt;52,IF('Capacity summary'!BB210&lt;&gt;"",IF(LOWER('Capacity summary'!BB210)="x",$BI91*BB91,VALUE('Capacity summary'!BB210)),0),BB91*$BI91),BB91*$BI91),0)</f>
        <v>0</v>
      </c>
      <c r="DF91" s="313">
        <f>IF($BI91&lt;&gt;"",IF('Capacity summary'!$D$14="Yes",IF(COUNTBLANK('Capacity summary'!$H210:$BG210)&lt;52,IF('Capacity summary'!BC210&lt;&gt;"",IF(LOWER('Capacity summary'!BC210)="x",$BI91*BC91,VALUE('Capacity summary'!BC210)),0),BC91*$BI91),BC91*$BI91),0)</f>
        <v>0</v>
      </c>
      <c r="DG91" s="313">
        <f>IF($BI91&lt;&gt;"",IF('Capacity summary'!$D$14="Yes",IF(COUNTBLANK('Capacity summary'!$H210:$BG210)&lt;52,IF('Capacity summary'!BD210&lt;&gt;"",IF(LOWER('Capacity summary'!BD210)="x",$BI91*BD91,VALUE('Capacity summary'!BD210)),0),BD91*$BI91),BD91*$BI91),0)</f>
        <v>0</v>
      </c>
      <c r="DH91" s="313">
        <f>IF($BI91&lt;&gt;"",IF('Capacity summary'!$D$14="Yes",IF(COUNTBLANK('Capacity summary'!$H210:$BG210)&lt;52,IF('Capacity summary'!BE210&lt;&gt;"",IF(LOWER('Capacity summary'!BE210)="x",$BI91*BE91,VALUE('Capacity summary'!BE210)),0),BE91*$BI91),BE91*$BI91),0)</f>
        <v>0</v>
      </c>
      <c r="DI91" s="313">
        <f>IF($BI91&lt;&gt;"",IF('Capacity summary'!$D$14="Yes",IF(COUNTBLANK('Capacity summary'!$H210:$BG210)&lt;52,IF('Capacity summary'!BF210&lt;&gt;"",IF(LOWER('Capacity summary'!BF210)="x",$BI91*BF91,VALUE('Capacity summary'!BF210)),0),BF91*$BI91),BF91*$BI91),0)</f>
        <v>0</v>
      </c>
      <c r="DJ91" s="313">
        <f>IF($BI91&lt;&gt;"",IF('Capacity summary'!$D$14="Yes",IF(COUNTBLANK('Capacity summary'!$H210:$BG210)&lt;52,IF('Capacity summary'!BG210&lt;&gt;"",IF(LOWER('Capacity summary'!BG210)="x",$BI91*BG91,VALUE('Capacity summary'!BG210)),0),BG91*$BI91),BG91*$BI91),0)</f>
        <v>0</v>
      </c>
      <c r="DK91" s="137">
        <f t="shared" si="3"/>
        <v>0</v>
      </c>
      <c r="DL91" s="313" t="str">
        <f>Capacity!H103</f>
        <v/>
      </c>
    </row>
    <row r="92" spans="2:116" x14ac:dyDescent="0.25">
      <c r="B92" s="67"/>
      <c r="C92" s="67" t="str">
        <f>ROW(A88)&amp;". "&amp;Capacity!B104</f>
        <v xml:space="preserve">88. </v>
      </c>
      <c r="D92" s="67">
        <f>'Capacity setup'!C99</f>
        <v>0</v>
      </c>
      <c r="E92" s="67">
        <f>'Capacity setup'!D99</f>
        <v>0</v>
      </c>
      <c r="F92" s="67">
        <f>'Capacity setup'!E99</f>
        <v>0</v>
      </c>
      <c r="H92" s="67">
        <f ca="1">IF(AND(SUMIF(Capacity_Resource,$D92,'Critical resources (hide)'!U$6:U$105)+SUMIF(Capacity_Resource,$E92,'Critical resources (hide)'!U$6:U$105)+SUMIF(Capacity_Resource,$F92,'Critical resources (hide)'!U$6:U$105)&gt;0,$E$1=2),0,1)</f>
        <v>1</v>
      </c>
      <c r="I92" s="67">
        <f ca="1">IF(AND(SUMIF(Capacity_Resource,$D92,'Critical resources (hide)'!V$6:V$105)+SUMIF(Capacity_Resource,$E92,'Critical resources (hide)'!V$6:V$105)+SUMIF(Capacity_Resource,$F92,'Critical resources (hide)'!V$6:V$105)&gt;0,$E$1=2),0,1)</f>
        <v>1</v>
      </c>
      <c r="J92" s="67">
        <f ca="1">IF(AND(SUMIF(Capacity_Resource,$D92,'Critical resources (hide)'!W$6:W$105)+SUMIF(Capacity_Resource,$E92,'Critical resources (hide)'!W$6:W$105)+SUMIF(Capacity_Resource,$F92,'Critical resources (hide)'!W$6:W$105)&gt;0,$E$1=2),0,1)</f>
        <v>1</v>
      </c>
      <c r="K92" s="67">
        <f ca="1">IF(AND(SUMIF(Capacity_Resource,$D92,'Critical resources (hide)'!X$6:X$105)+SUMIF(Capacity_Resource,$E92,'Critical resources (hide)'!X$6:X$105)+SUMIF(Capacity_Resource,$F92,'Critical resources (hide)'!X$6:X$105)&gt;0,$E$1=2),0,1)</f>
        <v>1</v>
      </c>
      <c r="L92" s="67">
        <f ca="1">IF(AND(SUMIF(Capacity_Resource,$D92,'Critical resources (hide)'!Y$6:Y$105)+SUMIF(Capacity_Resource,$E92,'Critical resources (hide)'!Y$6:Y$105)+SUMIF(Capacity_Resource,$F92,'Critical resources (hide)'!Y$6:Y$105)&gt;0,$E$1=2),0,1)</f>
        <v>1</v>
      </c>
      <c r="M92" s="67">
        <f ca="1">IF(AND(SUMIF(Capacity_Resource,$D92,'Critical resources (hide)'!Z$6:Z$105)+SUMIF(Capacity_Resource,$E92,'Critical resources (hide)'!Z$6:Z$105)+SUMIF(Capacity_Resource,$F92,'Critical resources (hide)'!Z$6:Z$105)&gt;0,$E$1=2),0,1)</f>
        <v>1</v>
      </c>
      <c r="N92" s="67">
        <f ca="1">IF(AND(SUMIF(Capacity_Resource,$D92,'Critical resources (hide)'!AA$6:AA$105)+SUMIF(Capacity_Resource,$E92,'Critical resources (hide)'!AA$6:AA$105)+SUMIF(Capacity_Resource,$F92,'Critical resources (hide)'!AA$6:AA$105)&gt;0,$E$1=2),0,1)</f>
        <v>1</v>
      </c>
      <c r="O92" s="67">
        <f ca="1">IF(AND(SUMIF(Capacity_Resource,$D92,'Critical resources (hide)'!AB$6:AB$105)+SUMIF(Capacity_Resource,$E92,'Critical resources (hide)'!AB$6:AB$105)+SUMIF(Capacity_Resource,$F92,'Critical resources (hide)'!AB$6:AB$105)&gt;0,$E$1=2),0,1)</f>
        <v>1</v>
      </c>
      <c r="P92" s="67">
        <f ca="1">IF(AND(SUMIF(Capacity_Resource,$D92,'Critical resources (hide)'!AC$6:AC$105)+SUMIF(Capacity_Resource,$E92,'Critical resources (hide)'!AC$6:AC$105)+SUMIF(Capacity_Resource,$F92,'Critical resources (hide)'!AC$6:AC$105)&gt;0,$E$1=2),0,1)</f>
        <v>1</v>
      </c>
      <c r="Q92" s="67">
        <f ca="1">IF(AND(SUMIF(Capacity_Resource,$D92,'Critical resources (hide)'!AD$6:AD$105)+SUMIF(Capacity_Resource,$E92,'Critical resources (hide)'!AD$6:AD$105)+SUMIF(Capacity_Resource,$F92,'Critical resources (hide)'!AD$6:AD$105)&gt;0,$E$1=2),0,1)</f>
        <v>1</v>
      </c>
      <c r="R92" s="67">
        <f ca="1">IF(AND(SUMIF(Capacity_Resource,$D92,'Critical resources (hide)'!AE$6:AE$105)+SUMIF(Capacity_Resource,$E92,'Critical resources (hide)'!AE$6:AE$105)+SUMIF(Capacity_Resource,$F92,'Critical resources (hide)'!AE$6:AE$105)&gt;0,$E$1=2),0,1)</f>
        <v>1</v>
      </c>
      <c r="S92" s="67">
        <f ca="1">IF(AND(SUMIF(Capacity_Resource,$D92,'Critical resources (hide)'!AF$6:AF$105)+SUMIF(Capacity_Resource,$E92,'Critical resources (hide)'!AF$6:AF$105)+SUMIF(Capacity_Resource,$F92,'Critical resources (hide)'!AF$6:AF$105)&gt;0,$E$1=2),0,1)</f>
        <v>1</v>
      </c>
      <c r="T92" s="67">
        <f ca="1">IF(AND(SUMIF(Capacity_Resource,$D92,'Critical resources (hide)'!AG$6:AG$105)+SUMIF(Capacity_Resource,$E92,'Critical resources (hide)'!AG$6:AG$105)+SUMIF(Capacity_Resource,$F92,'Critical resources (hide)'!AG$6:AG$105)&gt;0,$E$1=2),0,1)</f>
        <v>1</v>
      </c>
      <c r="U92" s="67">
        <f ca="1">IF(AND(SUMIF(Capacity_Resource,$D92,'Critical resources (hide)'!AH$6:AH$105)+SUMIF(Capacity_Resource,$E92,'Critical resources (hide)'!AH$6:AH$105)+SUMIF(Capacity_Resource,$F92,'Critical resources (hide)'!AH$6:AH$105)&gt;0,$E$1=2),0,1)</f>
        <v>1</v>
      </c>
      <c r="V92" s="67">
        <f ca="1">IF(AND(SUMIF(Capacity_Resource,$D92,'Critical resources (hide)'!AI$6:AI$105)+SUMIF(Capacity_Resource,$E92,'Critical resources (hide)'!AI$6:AI$105)+SUMIF(Capacity_Resource,$F92,'Critical resources (hide)'!AI$6:AI$105)&gt;0,$E$1=2),0,1)</f>
        <v>1</v>
      </c>
      <c r="W92" s="67">
        <f ca="1">IF(AND(SUMIF(Capacity_Resource,$D92,'Critical resources (hide)'!AJ$6:AJ$105)+SUMIF(Capacity_Resource,$E92,'Critical resources (hide)'!AJ$6:AJ$105)+SUMIF(Capacity_Resource,$F92,'Critical resources (hide)'!AJ$6:AJ$105)&gt;0,$E$1=2),0,1)</f>
        <v>1</v>
      </c>
      <c r="X92" s="67">
        <f ca="1">IF(AND(SUMIF(Capacity_Resource,$D92,'Critical resources (hide)'!AK$6:AK$105)+SUMIF(Capacity_Resource,$E92,'Critical resources (hide)'!AK$6:AK$105)+SUMIF(Capacity_Resource,$F92,'Critical resources (hide)'!AK$6:AK$105)&gt;0,$E$1=2),0,1)</f>
        <v>1</v>
      </c>
      <c r="Y92" s="67">
        <f ca="1">IF(AND(SUMIF(Capacity_Resource,$D92,'Critical resources (hide)'!AL$6:AL$105)+SUMIF(Capacity_Resource,$E92,'Critical resources (hide)'!AL$6:AL$105)+SUMIF(Capacity_Resource,$F92,'Critical resources (hide)'!AL$6:AL$105)&gt;0,$E$1=2),0,1)</f>
        <v>1</v>
      </c>
      <c r="Z92" s="67">
        <f ca="1">IF(AND(SUMIF(Capacity_Resource,$D92,'Critical resources (hide)'!AM$6:AM$105)+SUMIF(Capacity_Resource,$E92,'Critical resources (hide)'!AM$6:AM$105)+SUMIF(Capacity_Resource,$F92,'Critical resources (hide)'!AM$6:AM$105)&gt;0,$E$1=2),0,1)</f>
        <v>1</v>
      </c>
      <c r="AA92" s="67">
        <f ca="1">IF(AND(SUMIF(Capacity_Resource,$D92,'Critical resources (hide)'!AN$6:AN$105)+SUMIF(Capacity_Resource,$E92,'Critical resources (hide)'!AN$6:AN$105)+SUMIF(Capacity_Resource,$F92,'Critical resources (hide)'!AN$6:AN$105)&gt;0,$E$1=2),0,1)</f>
        <v>1</v>
      </c>
      <c r="AB92" s="67">
        <f ca="1">IF(AND(SUMIF(Capacity_Resource,$D92,'Critical resources (hide)'!AO$6:AO$105)+SUMIF(Capacity_Resource,$E92,'Critical resources (hide)'!AO$6:AO$105)+SUMIF(Capacity_Resource,$F92,'Critical resources (hide)'!AO$6:AO$105)&gt;0,$E$1=2),0,1)</f>
        <v>1</v>
      </c>
      <c r="AC92" s="67">
        <f ca="1">IF(AND(SUMIF(Capacity_Resource,$D92,'Critical resources (hide)'!AP$6:AP$105)+SUMIF(Capacity_Resource,$E92,'Critical resources (hide)'!AP$6:AP$105)+SUMIF(Capacity_Resource,$F92,'Critical resources (hide)'!AP$6:AP$105)&gt;0,$E$1=2),0,1)</f>
        <v>1</v>
      </c>
      <c r="AD92" s="67">
        <f ca="1">IF(AND(SUMIF(Capacity_Resource,$D92,'Critical resources (hide)'!AQ$6:AQ$105)+SUMIF(Capacity_Resource,$E92,'Critical resources (hide)'!AQ$6:AQ$105)+SUMIF(Capacity_Resource,$F92,'Critical resources (hide)'!AQ$6:AQ$105)&gt;0,$E$1=2),0,1)</f>
        <v>1</v>
      </c>
      <c r="AE92" s="67">
        <f ca="1">IF(AND(SUMIF(Capacity_Resource,$D92,'Critical resources (hide)'!AR$6:AR$105)+SUMIF(Capacity_Resource,$E92,'Critical resources (hide)'!AR$6:AR$105)+SUMIF(Capacity_Resource,$F92,'Critical resources (hide)'!AR$6:AR$105)&gt;0,$E$1=2),0,1)</f>
        <v>1</v>
      </c>
      <c r="AF92" s="67">
        <f ca="1">IF(AND(SUMIF(Capacity_Resource,$D92,'Critical resources (hide)'!AS$6:AS$105)+SUMIF(Capacity_Resource,$E92,'Critical resources (hide)'!AS$6:AS$105)+SUMIF(Capacity_Resource,$F92,'Critical resources (hide)'!AS$6:AS$105)&gt;0,$E$1=2),0,1)</f>
        <v>1</v>
      </c>
      <c r="AG92" s="67">
        <f ca="1">IF(AND(SUMIF(Capacity_Resource,$D92,'Critical resources (hide)'!AT$6:AT$105)+SUMIF(Capacity_Resource,$E92,'Critical resources (hide)'!AT$6:AT$105)+SUMIF(Capacity_Resource,$F92,'Critical resources (hide)'!AT$6:AT$105)&gt;0,$E$1=2),0,1)</f>
        <v>1</v>
      </c>
      <c r="AH92" s="67">
        <f ca="1">IF(AND(SUMIF(Capacity_Resource,$D92,'Critical resources (hide)'!AU$6:AU$105)+SUMIF(Capacity_Resource,$E92,'Critical resources (hide)'!AU$6:AU$105)+SUMIF(Capacity_Resource,$F92,'Critical resources (hide)'!AU$6:AU$105)&gt;0,$E$1=2),0,1)</f>
        <v>1</v>
      </c>
      <c r="AI92" s="67">
        <f ca="1">IF(AND(SUMIF(Capacity_Resource,$D92,'Critical resources (hide)'!AV$6:AV$105)+SUMIF(Capacity_Resource,$E92,'Critical resources (hide)'!AV$6:AV$105)+SUMIF(Capacity_Resource,$F92,'Critical resources (hide)'!AV$6:AV$105)&gt;0,$E$1=2),0,1)</f>
        <v>1</v>
      </c>
      <c r="AJ92" s="67">
        <f ca="1">IF(AND(SUMIF(Capacity_Resource,$D92,'Critical resources (hide)'!AW$6:AW$105)+SUMIF(Capacity_Resource,$E92,'Critical resources (hide)'!AW$6:AW$105)+SUMIF(Capacity_Resource,$F92,'Critical resources (hide)'!AW$6:AW$105)&gt;0,$E$1=2),0,1)</f>
        <v>1</v>
      </c>
      <c r="AK92" s="67">
        <f ca="1">IF(AND(SUMIF(Capacity_Resource,$D92,'Critical resources (hide)'!AX$6:AX$105)+SUMIF(Capacity_Resource,$E92,'Critical resources (hide)'!AX$6:AX$105)+SUMIF(Capacity_Resource,$F92,'Critical resources (hide)'!AX$6:AX$105)&gt;0,$E$1=2),0,1)</f>
        <v>1</v>
      </c>
      <c r="AL92" s="67">
        <f ca="1">IF(AND(SUMIF(Capacity_Resource,$D92,'Critical resources (hide)'!AY$6:AY$105)+SUMIF(Capacity_Resource,$E92,'Critical resources (hide)'!AY$6:AY$105)+SUMIF(Capacity_Resource,$F92,'Critical resources (hide)'!AY$6:AY$105)&gt;0,$E$1=2),0,1)</f>
        <v>1</v>
      </c>
      <c r="AM92" s="67">
        <f ca="1">IF(AND(SUMIF(Capacity_Resource,$D92,'Critical resources (hide)'!AZ$6:AZ$105)+SUMIF(Capacity_Resource,$E92,'Critical resources (hide)'!AZ$6:AZ$105)+SUMIF(Capacity_Resource,$F92,'Critical resources (hide)'!AZ$6:AZ$105)&gt;0,$E$1=2),0,1)</f>
        <v>1</v>
      </c>
      <c r="AN92" s="67">
        <f ca="1">IF(AND(SUMIF(Capacity_Resource,$D92,'Critical resources (hide)'!BA$6:BA$105)+SUMIF(Capacity_Resource,$E92,'Critical resources (hide)'!BA$6:BA$105)+SUMIF(Capacity_Resource,$F92,'Critical resources (hide)'!BA$6:BA$105)&gt;0,$E$1=2),0,1)</f>
        <v>1</v>
      </c>
      <c r="AO92" s="67">
        <f ca="1">IF(AND(SUMIF(Capacity_Resource,$D92,'Critical resources (hide)'!BB$6:BB$105)+SUMIF(Capacity_Resource,$E92,'Critical resources (hide)'!BB$6:BB$105)+SUMIF(Capacity_Resource,$F92,'Critical resources (hide)'!BB$6:BB$105)&gt;0,$E$1=2),0,1)</f>
        <v>1</v>
      </c>
      <c r="AP92" s="67">
        <f ca="1">IF(AND(SUMIF(Capacity_Resource,$D92,'Critical resources (hide)'!BC$6:BC$105)+SUMIF(Capacity_Resource,$E92,'Critical resources (hide)'!BC$6:BC$105)+SUMIF(Capacity_Resource,$F92,'Critical resources (hide)'!BC$6:BC$105)&gt;0,$E$1=2),0,1)</f>
        <v>1</v>
      </c>
      <c r="AQ92" s="67">
        <f ca="1">IF(AND(SUMIF(Capacity_Resource,$D92,'Critical resources (hide)'!BD$6:BD$105)+SUMIF(Capacity_Resource,$E92,'Critical resources (hide)'!BD$6:BD$105)+SUMIF(Capacity_Resource,$F92,'Critical resources (hide)'!BD$6:BD$105)&gt;0,$E$1=2),0,1)</f>
        <v>1</v>
      </c>
      <c r="AR92" s="67">
        <f ca="1">IF(AND(SUMIF(Capacity_Resource,$D92,'Critical resources (hide)'!BE$6:BE$105)+SUMIF(Capacity_Resource,$E92,'Critical resources (hide)'!BE$6:BE$105)+SUMIF(Capacity_Resource,$F92,'Critical resources (hide)'!BE$6:BE$105)&gt;0,$E$1=2),0,1)</f>
        <v>1</v>
      </c>
      <c r="AS92" s="67">
        <f ca="1">IF(AND(SUMIF(Capacity_Resource,$D92,'Critical resources (hide)'!BF$6:BF$105)+SUMIF(Capacity_Resource,$E92,'Critical resources (hide)'!BF$6:BF$105)+SUMIF(Capacity_Resource,$F92,'Critical resources (hide)'!BF$6:BF$105)&gt;0,$E$1=2),0,1)</f>
        <v>1</v>
      </c>
      <c r="AT92" s="67">
        <f ca="1">IF(AND(SUMIF(Capacity_Resource,$D92,'Critical resources (hide)'!BG$6:BG$105)+SUMIF(Capacity_Resource,$E92,'Critical resources (hide)'!BG$6:BG$105)+SUMIF(Capacity_Resource,$F92,'Critical resources (hide)'!BG$6:BG$105)&gt;0,$E$1=2),0,1)</f>
        <v>1</v>
      </c>
      <c r="AU92" s="67">
        <f ca="1">IF(AND(SUMIF(Capacity_Resource,$D92,'Critical resources (hide)'!BH$6:BH$105)+SUMIF(Capacity_Resource,$E92,'Critical resources (hide)'!BH$6:BH$105)+SUMIF(Capacity_Resource,$F92,'Critical resources (hide)'!BH$6:BH$105)&gt;0,$E$1=2),0,1)</f>
        <v>1</v>
      </c>
      <c r="AV92" s="67">
        <f ca="1">IF(AND(SUMIF(Capacity_Resource,$D92,'Critical resources (hide)'!BI$6:BI$105)+SUMIF(Capacity_Resource,$E92,'Critical resources (hide)'!BI$6:BI$105)+SUMIF(Capacity_Resource,$F92,'Critical resources (hide)'!BI$6:BI$105)&gt;0,$E$1=2),0,1)</f>
        <v>1</v>
      </c>
      <c r="AW92" s="67">
        <f ca="1">IF(AND(SUMIF(Capacity_Resource,$D92,'Critical resources (hide)'!BJ$6:BJ$105)+SUMIF(Capacity_Resource,$E92,'Critical resources (hide)'!BJ$6:BJ$105)+SUMIF(Capacity_Resource,$F92,'Critical resources (hide)'!BJ$6:BJ$105)&gt;0,$E$1=2),0,1)</f>
        <v>1</v>
      </c>
      <c r="AX92" s="67">
        <f ca="1">IF(AND(SUMIF(Capacity_Resource,$D92,'Critical resources (hide)'!BK$6:BK$105)+SUMIF(Capacity_Resource,$E92,'Critical resources (hide)'!BK$6:BK$105)+SUMIF(Capacity_Resource,$F92,'Critical resources (hide)'!BK$6:BK$105)&gt;0,$E$1=2),0,1)</f>
        <v>1</v>
      </c>
      <c r="AY92" s="67">
        <f ca="1">IF(AND(SUMIF(Capacity_Resource,$D92,'Critical resources (hide)'!BL$6:BL$105)+SUMIF(Capacity_Resource,$E92,'Critical resources (hide)'!BL$6:BL$105)+SUMIF(Capacity_Resource,$F92,'Critical resources (hide)'!BL$6:BL$105)&gt;0,$E$1=2),0,1)</f>
        <v>1</v>
      </c>
      <c r="AZ92" s="67">
        <f ca="1">IF(AND(SUMIF(Capacity_Resource,$D92,'Critical resources (hide)'!BM$6:BM$105)+SUMIF(Capacity_Resource,$E92,'Critical resources (hide)'!BM$6:BM$105)+SUMIF(Capacity_Resource,$F92,'Critical resources (hide)'!BM$6:BM$105)&gt;0,$E$1=2),0,1)</f>
        <v>1</v>
      </c>
      <c r="BA92" s="67">
        <f ca="1">IF(AND(SUMIF(Capacity_Resource,$D92,'Critical resources (hide)'!BN$6:BN$105)+SUMIF(Capacity_Resource,$E92,'Critical resources (hide)'!BN$6:BN$105)+SUMIF(Capacity_Resource,$F92,'Critical resources (hide)'!BN$6:BN$105)&gt;0,$E$1=2),0,1)</f>
        <v>1</v>
      </c>
      <c r="BB92" s="67">
        <f ca="1">IF(AND(SUMIF(Capacity_Resource,$D92,'Critical resources (hide)'!BO$6:BO$105)+SUMIF(Capacity_Resource,$E92,'Critical resources (hide)'!BO$6:BO$105)+SUMIF(Capacity_Resource,$F92,'Critical resources (hide)'!BO$6:BO$105)&gt;0,$E$1=2),0,1)</f>
        <v>1</v>
      </c>
      <c r="BC92" s="67">
        <f ca="1">IF(AND(SUMIF(Capacity_Resource,$D92,'Critical resources (hide)'!BP$6:BP$105)+SUMIF(Capacity_Resource,$E92,'Critical resources (hide)'!BP$6:BP$105)+SUMIF(Capacity_Resource,$F92,'Critical resources (hide)'!BP$6:BP$105)&gt;0,$E$1=2),0,1)</f>
        <v>1</v>
      </c>
      <c r="BD92" s="67">
        <f ca="1">IF(AND(SUMIF(Capacity_Resource,$D92,'Critical resources (hide)'!BQ$6:BQ$105)+SUMIF(Capacity_Resource,$E92,'Critical resources (hide)'!BQ$6:BQ$105)+SUMIF(Capacity_Resource,$F92,'Critical resources (hide)'!BQ$6:BQ$105)&gt;0,$E$1=2),0,1)</f>
        <v>1</v>
      </c>
      <c r="BE92" s="67">
        <f ca="1">IF(AND(SUMIF(Capacity_Resource,$D92,'Critical resources (hide)'!BR$6:BR$105)+SUMIF(Capacity_Resource,$E92,'Critical resources (hide)'!BR$6:BR$105)+SUMIF(Capacity_Resource,$F92,'Critical resources (hide)'!BR$6:BR$105)&gt;0,$E$1=2),0,1)</f>
        <v>1</v>
      </c>
      <c r="BF92" s="67">
        <f ca="1">IF(AND(SUMIF(Capacity_Resource,$D92,'Critical resources (hide)'!BS$6:BS$105)+SUMIF(Capacity_Resource,$E92,'Critical resources (hide)'!BS$6:BS$105)+SUMIF(Capacity_Resource,$F92,'Critical resources (hide)'!BS$6:BS$105)&gt;0,$E$1=2),0,1)</f>
        <v>1</v>
      </c>
      <c r="BG92" s="67">
        <f ca="1">IF(AND(SUMIF(Capacity_Resource,$D92,'Critical resources (hide)'!BT$6:BT$105)+SUMIF(Capacity_Resource,$E92,'Critical resources (hide)'!BT$6:BT$105)+SUMIF(Capacity_Resource,$F92,'Critical resources (hide)'!BT$6:BT$105)&gt;0,$E$1=2),0,1)</f>
        <v>1</v>
      </c>
      <c r="BH92" s="67">
        <f>IF(ROW(C88)&lt;=Capacity!$A$16,IF('Capacity summary'!$D$14="No",SUM(H92:BG92),'Capacity summary'!$E211),0)</f>
        <v>0</v>
      </c>
      <c r="BI92" s="5" t="str">
        <f>IF(BH92&gt;0,IF(BH92&lt;Capacity!E104,Capacity!F104,Capacity!H104/'Capacity calculation (hide)'!BH92),"")</f>
        <v/>
      </c>
      <c r="BK92" s="313">
        <f>IF($BI92&lt;&gt;"",IF('Capacity summary'!$D$14="Yes",IF(COUNTBLANK('Capacity summary'!$H211:$BG211)&lt;52,IF('Capacity summary'!H211&lt;&gt;"",IF(LOWER('Capacity summary'!H211)="x",$BI92*H92,VALUE('Capacity summary'!H211)),0),H92*$BI92),H92*$BI92),0)</f>
        <v>0</v>
      </c>
      <c r="BL92" s="313">
        <f>IF($BI92&lt;&gt;"",IF('Capacity summary'!$D$14="Yes",IF(COUNTBLANK('Capacity summary'!$H211:$BG211)&lt;52,IF('Capacity summary'!I211&lt;&gt;"",IF(LOWER('Capacity summary'!I211)="x",$BI92*I92,VALUE('Capacity summary'!I211)),0),I92*$BI92),I92*$BI92),0)</f>
        <v>0</v>
      </c>
      <c r="BM92" s="313">
        <f>IF($BI92&lt;&gt;"",IF('Capacity summary'!$D$14="Yes",IF(COUNTBLANK('Capacity summary'!$H211:$BG211)&lt;52,IF('Capacity summary'!J211&lt;&gt;"",IF(LOWER('Capacity summary'!J211)="x",$BI92*J92,VALUE('Capacity summary'!J211)),0),J92*$BI92),J92*$BI92),0)</f>
        <v>0</v>
      </c>
      <c r="BN92" s="313">
        <f>IF($BI92&lt;&gt;"",IF('Capacity summary'!$D$14="Yes",IF(COUNTBLANK('Capacity summary'!$H211:$BG211)&lt;52,IF('Capacity summary'!K211&lt;&gt;"",IF(LOWER('Capacity summary'!K211)="x",$BI92*K92,VALUE('Capacity summary'!K211)),0),K92*$BI92),K92*$BI92),0)</f>
        <v>0</v>
      </c>
      <c r="BO92" s="313">
        <f>IF($BI92&lt;&gt;"",IF('Capacity summary'!$D$14="Yes",IF(COUNTBLANK('Capacity summary'!$H211:$BG211)&lt;52,IF('Capacity summary'!L211&lt;&gt;"",IF(LOWER('Capacity summary'!L211)="x",$BI92*L92,VALUE('Capacity summary'!L211)),0),L92*$BI92),L92*$BI92),0)</f>
        <v>0</v>
      </c>
      <c r="BP92" s="313">
        <f>IF($BI92&lt;&gt;"",IF('Capacity summary'!$D$14="Yes",IF(COUNTBLANK('Capacity summary'!$H211:$BG211)&lt;52,IF('Capacity summary'!M211&lt;&gt;"",IF(LOWER('Capacity summary'!M211)="x",$BI92*M92,VALUE('Capacity summary'!M211)),0),M92*$BI92),M92*$BI92),0)</f>
        <v>0</v>
      </c>
      <c r="BQ92" s="313">
        <f>IF($BI92&lt;&gt;"",IF('Capacity summary'!$D$14="Yes",IF(COUNTBLANK('Capacity summary'!$H211:$BG211)&lt;52,IF('Capacity summary'!N211&lt;&gt;"",IF(LOWER('Capacity summary'!N211)="x",$BI92*N92,VALUE('Capacity summary'!N211)),0),N92*$BI92),N92*$BI92),0)</f>
        <v>0</v>
      </c>
      <c r="BR92" s="313">
        <f>IF($BI92&lt;&gt;"",IF('Capacity summary'!$D$14="Yes",IF(COUNTBLANK('Capacity summary'!$H211:$BG211)&lt;52,IF('Capacity summary'!O211&lt;&gt;"",IF(LOWER('Capacity summary'!O211)="x",$BI92*O92,VALUE('Capacity summary'!O211)),0),O92*$BI92),O92*$BI92),0)</f>
        <v>0</v>
      </c>
      <c r="BS92" s="313">
        <f>IF($BI92&lt;&gt;"",IF('Capacity summary'!$D$14="Yes",IF(COUNTBLANK('Capacity summary'!$H211:$BG211)&lt;52,IF('Capacity summary'!P211&lt;&gt;"",IF(LOWER('Capacity summary'!P211)="x",$BI92*P92,VALUE('Capacity summary'!P211)),0),P92*$BI92),P92*$BI92),0)</f>
        <v>0</v>
      </c>
      <c r="BT92" s="313">
        <f>IF($BI92&lt;&gt;"",IF('Capacity summary'!$D$14="Yes",IF(COUNTBLANK('Capacity summary'!$H211:$BG211)&lt;52,IF('Capacity summary'!Q211&lt;&gt;"",IF(LOWER('Capacity summary'!Q211)="x",$BI92*Q92,VALUE('Capacity summary'!Q211)),0),Q92*$BI92),Q92*$BI92),0)</f>
        <v>0</v>
      </c>
      <c r="BU92" s="313">
        <f>IF($BI92&lt;&gt;"",IF('Capacity summary'!$D$14="Yes",IF(COUNTBLANK('Capacity summary'!$H211:$BG211)&lt;52,IF('Capacity summary'!R211&lt;&gt;"",IF(LOWER('Capacity summary'!R211)="x",$BI92*R92,VALUE('Capacity summary'!R211)),0),R92*$BI92),R92*$BI92),0)</f>
        <v>0</v>
      </c>
      <c r="BV92" s="313">
        <f>IF($BI92&lt;&gt;"",IF('Capacity summary'!$D$14="Yes",IF(COUNTBLANK('Capacity summary'!$H211:$BG211)&lt;52,IF('Capacity summary'!S211&lt;&gt;"",IF(LOWER('Capacity summary'!S211)="x",$BI92*S92,VALUE('Capacity summary'!S211)),0),S92*$BI92),S92*$BI92),0)</f>
        <v>0</v>
      </c>
      <c r="BW92" s="313">
        <f>IF($BI92&lt;&gt;"",IF('Capacity summary'!$D$14="Yes",IF(COUNTBLANK('Capacity summary'!$H211:$BG211)&lt;52,IF('Capacity summary'!T211&lt;&gt;"",IF(LOWER('Capacity summary'!T211)="x",$BI92*T92,VALUE('Capacity summary'!T211)),0),T92*$BI92),T92*$BI92),0)</f>
        <v>0</v>
      </c>
      <c r="BX92" s="313">
        <f>IF($BI92&lt;&gt;"",IF('Capacity summary'!$D$14="Yes",IF(COUNTBLANK('Capacity summary'!$H211:$BG211)&lt;52,IF('Capacity summary'!U211&lt;&gt;"",IF(LOWER('Capacity summary'!U211)="x",$BI92*U92,VALUE('Capacity summary'!U211)),0),U92*$BI92),U92*$BI92),0)</f>
        <v>0</v>
      </c>
      <c r="BY92" s="313">
        <f>IF($BI92&lt;&gt;"",IF('Capacity summary'!$D$14="Yes",IF(COUNTBLANK('Capacity summary'!$H211:$BG211)&lt;52,IF('Capacity summary'!V211&lt;&gt;"",IF(LOWER('Capacity summary'!V211)="x",$BI92*V92,VALUE('Capacity summary'!V211)),0),V92*$BI92),V92*$BI92),0)</f>
        <v>0</v>
      </c>
      <c r="BZ92" s="313">
        <f>IF($BI92&lt;&gt;"",IF('Capacity summary'!$D$14="Yes",IF(COUNTBLANK('Capacity summary'!$H211:$BG211)&lt;52,IF('Capacity summary'!W211&lt;&gt;"",IF(LOWER('Capacity summary'!W211)="x",$BI92*W92,VALUE('Capacity summary'!W211)),0),W92*$BI92),W92*$BI92),0)</f>
        <v>0</v>
      </c>
      <c r="CA92" s="313">
        <f>IF($BI92&lt;&gt;"",IF('Capacity summary'!$D$14="Yes",IF(COUNTBLANK('Capacity summary'!$H211:$BG211)&lt;52,IF('Capacity summary'!X211&lt;&gt;"",IF(LOWER('Capacity summary'!X211)="x",$BI92*X92,VALUE('Capacity summary'!X211)),0),X92*$BI92),X92*$BI92),0)</f>
        <v>0</v>
      </c>
      <c r="CB92" s="313">
        <f>IF($BI92&lt;&gt;"",IF('Capacity summary'!$D$14="Yes",IF(COUNTBLANK('Capacity summary'!$H211:$BG211)&lt;52,IF('Capacity summary'!Y211&lt;&gt;"",IF(LOWER('Capacity summary'!Y211)="x",$BI92*Y92,VALUE('Capacity summary'!Y211)),0),Y92*$BI92),Y92*$BI92),0)</f>
        <v>0</v>
      </c>
      <c r="CC92" s="313">
        <f>IF($BI92&lt;&gt;"",IF('Capacity summary'!$D$14="Yes",IF(COUNTBLANK('Capacity summary'!$H211:$BG211)&lt;52,IF('Capacity summary'!Z211&lt;&gt;"",IF(LOWER('Capacity summary'!Z211)="x",$BI92*Z92,VALUE('Capacity summary'!Z211)),0),Z92*$BI92),Z92*$BI92),0)</f>
        <v>0</v>
      </c>
      <c r="CD92" s="313">
        <f>IF($BI92&lt;&gt;"",IF('Capacity summary'!$D$14="Yes",IF(COUNTBLANK('Capacity summary'!$H211:$BG211)&lt;52,IF('Capacity summary'!AA211&lt;&gt;"",IF(LOWER('Capacity summary'!AA211)="x",$BI92*AA92,VALUE('Capacity summary'!AA211)),0),AA92*$BI92),AA92*$BI92),0)</f>
        <v>0</v>
      </c>
      <c r="CE92" s="313">
        <f>IF($BI92&lt;&gt;"",IF('Capacity summary'!$D$14="Yes",IF(COUNTBLANK('Capacity summary'!$H211:$BG211)&lt;52,IF('Capacity summary'!AB211&lt;&gt;"",IF(LOWER('Capacity summary'!AB211)="x",$BI92*AB92,VALUE('Capacity summary'!AB211)),0),AB92*$BI92),AB92*$BI92),0)</f>
        <v>0</v>
      </c>
      <c r="CF92" s="313">
        <f>IF($BI92&lt;&gt;"",IF('Capacity summary'!$D$14="Yes",IF(COUNTBLANK('Capacity summary'!$H211:$BG211)&lt;52,IF('Capacity summary'!AC211&lt;&gt;"",IF(LOWER('Capacity summary'!AC211)="x",$BI92*AC92,VALUE('Capacity summary'!AC211)),0),AC92*$BI92),AC92*$BI92),0)</f>
        <v>0</v>
      </c>
      <c r="CG92" s="313">
        <f>IF($BI92&lt;&gt;"",IF('Capacity summary'!$D$14="Yes",IF(COUNTBLANK('Capacity summary'!$H211:$BG211)&lt;52,IF('Capacity summary'!AD211&lt;&gt;"",IF(LOWER('Capacity summary'!AD211)="x",$BI92*AD92,VALUE('Capacity summary'!AD211)),0),AD92*$BI92),AD92*$BI92),0)</f>
        <v>0</v>
      </c>
      <c r="CH92" s="313">
        <f>IF($BI92&lt;&gt;"",IF('Capacity summary'!$D$14="Yes",IF(COUNTBLANK('Capacity summary'!$H211:$BG211)&lt;52,IF('Capacity summary'!AE211&lt;&gt;"",IF(LOWER('Capacity summary'!AE211)="x",$BI92*AE92,VALUE('Capacity summary'!AE211)),0),AE92*$BI92),AE92*$BI92),0)</f>
        <v>0</v>
      </c>
      <c r="CI92" s="313">
        <f>IF($BI92&lt;&gt;"",IF('Capacity summary'!$D$14="Yes",IF(COUNTBLANK('Capacity summary'!$H211:$BG211)&lt;52,IF('Capacity summary'!AF211&lt;&gt;"",IF(LOWER('Capacity summary'!AF211)="x",$BI92*AF92,VALUE('Capacity summary'!AF211)),0),AF92*$BI92),AF92*$BI92),0)</f>
        <v>0</v>
      </c>
      <c r="CJ92" s="313">
        <f>IF($BI92&lt;&gt;"",IF('Capacity summary'!$D$14="Yes",IF(COUNTBLANK('Capacity summary'!$H211:$BG211)&lt;52,IF('Capacity summary'!AG211&lt;&gt;"",IF(LOWER('Capacity summary'!AG211)="x",$BI92*AG92,VALUE('Capacity summary'!AG211)),0),AG92*$BI92),AG92*$BI92),0)</f>
        <v>0</v>
      </c>
      <c r="CK92" s="313">
        <f>IF($BI92&lt;&gt;"",IF('Capacity summary'!$D$14="Yes",IF(COUNTBLANK('Capacity summary'!$H211:$BG211)&lt;52,IF('Capacity summary'!AH211&lt;&gt;"",IF(LOWER('Capacity summary'!AH211)="x",$BI92*AH92,VALUE('Capacity summary'!AH211)),0),AH92*$BI92),AH92*$BI92),0)</f>
        <v>0</v>
      </c>
      <c r="CL92" s="313">
        <f>IF($BI92&lt;&gt;"",IF('Capacity summary'!$D$14="Yes",IF(COUNTBLANK('Capacity summary'!$H211:$BG211)&lt;52,IF('Capacity summary'!AI211&lt;&gt;"",IF(LOWER('Capacity summary'!AI211)="x",$BI92*AI92,VALUE('Capacity summary'!AI211)),0),AI92*$BI92),AI92*$BI92),0)</f>
        <v>0</v>
      </c>
      <c r="CM92" s="313">
        <f>IF($BI92&lt;&gt;"",IF('Capacity summary'!$D$14="Yes",IF(COUNTBLANK('Capacity summary'!$H211:$BG211)&lt;52,IF('Capacity summary'!AJ211&lt;&gt;"",IF(LOWER('Capacity summary'!AJ211)="x",$BI92*AJ92,VALUE('Capacity summary'!AJ211)),0),AJ92*$BI92),AJ92*$BI92),0)</f>
        <v>0</v>
      </c>
      <c r="CN92" s="313">
        <f>IF($BI92&lt;&gt;"",IF('Capacity summary'!$D$14="Yes",IF(COUNTBLANK('Capacity summary'!$H211:$BG211)&lt;52,IF('Capacity summary'!AK211&lt;&gt;"",IF(LOWER('Capacity summary'!AK211)="x",$BI92*AK92,VALUE('Capacity summary'!AK211)),0),AK92*$BI92),AK92*$BI92),0)</f>
        <v>0</v>
      </c>
      <c r="CO92" s="313">
        <f>IF($BI92&lt;&gt;"",IF('Capacity summary'!$D$14="Yes",IF(COUNTBLANK('Capacity summary'!$H211:$BG211)&lt;52,IF('Capacity summary'!AL211&lt;&gt;"",IF(LOWER('Capacity summary'!AL211)="x",$BI92*AL92,VALUE('Capacity summary'!AL211)),0),AL92*$BI92),AL92*$BI92),0)</f>
        <v>0</v>
      </c>
      <c r="CP92" s="313">
        <f>IF($BI92&lt;&gt;"",IF('Capacity summary'!$D$14="Yes",IF(COUNTBLANK('Capacity summary'!$H211:$BG211)&lt;52,IF('Capacity summary'!AM211&lt;&gt;"",IF(LOWER('Capacity summary'!AM211)="x",$BI92*AM92,VALUE('Capacity summary'!AM211)),0),AM92*$BI92),AM92*$BI92),0)</f>
        <v>0</v>
      </c>
      <c r="CQ92" s="313">
        <f>IF($BI92&lt;&gt;"",IF('Capacity summary'!$D$14="Yes",IF(COUNTBLANK('Capacity summary'!$H211:$BG211)&lt;52,IF('Capacity summary'!AN211&lt;&gt;"",IF(LOWER('Capacity summary'!AN211)="x",$BI92*AN92,VALUE('Capacity summary'!AN211)),0),AN92*$BI92),AN92*$BI92),0)</f>
        <v>0</v>
      </c>
      <c r="CR92" s="313">
        <f>IF($BI92&lt;&gt;"",IF('Capacity summary'!$D$14="Yes",IF(COUNTBLANK('Capacity summary'!$H211:$BG211)&lt;52,IF('Capacity summary'!AO211&lt;&gt;"",IF(LOWER('Capacity summary'!AO211)="x",$BI92*AO92,VALUE('Capacity summary'!AO211)),0),AO92*$BI92),AO92*$BI92),0)</f>
        <v>0</v>
      </c>
      <c r="CS92" s="313">
        <f>IF($BI92&lt;&gt;"",IF('Capacity summary'!$D$14="Yes",IF(COUNTBLANK('Capacity summary'!$H211:$BG211)&lt;52,IF('Capacity summary'!AP211&lt;&gt;"",IF(LOWER('Capacity summary'!AP211)="x",$BI92*AP92,VALUE('Capacity summary'!AP211)),0),AP92*$BI92),AP92*$BI92),0)</f>
        <v>0</v>
      </c>
      <c r="CT92" s="313">
        <f>IF($BI92&lt;&gt;"",IF('Capacity summary'!$D$14="Yes",IF(COUNTBLANK('Capacity summary'!$H211:$BG211)&lt;52,IF('Capacity summary'!AQ211&lt;&gt;"",IF(LOWER('Capacity summary'!AQ211)="x",$BI92*AQ92,VALUE('Capacity summary'!AQ211)),0),AQ92*$BI92),AQ92*$BI92),0)</f>
        <v>0</v>
      </c>
      <c r="CU92" s="313">
        <f>IF($BI92&lt;&gt;"",IF('Capacity summary'!$D$14="Yes",IF(COUNTBLANK('Capacity summary'!$H211:$BG211)&lt;52,IF('Capacity summary'!AR211&lt;&gt;"",IF(LOWER('Capacity summary'!AR211)="x",$BI92*AR92,VALUE('Capacity summary'!AR211)),0),AR92*$BI92),AR92*$BI92),0)</f>
        <v>0</v>
      </c>
      <c r="CV92" s="313">
        <f>IF($BI92&lt;&gt;"",IF('Capacity summary'!$D$14="Yes",IF(COUNTBLANK('Capacity summary'!$H211:$BG211)&lt;52,IF('Capacity summary'!AS211&lt;&gt;"",IF(LOWER('Capacity summary'!AS211)="x",$BI92*AS92,VALUE('Capacity summary'!AS211)),0),AS92*$BI92),AS92*$BI92),0)</f>
        <v>0</v>
      </c>
      <c r="CW92" s="313">
        <f>IF($BI92&lt;&gt;"",IF('Capacity summary'!$D$14="Yes",IF(COUNTBLANK('Capacity summary'!$H211:$BG211)&lt;52,IF('Capacity summary'!AT211&lt;&gt;"",IF(LOWER('Capacity summary'!AT211)="x",$BI92*AT92,VALUE('Capacity summary'!AT211)),0),AT92*$BI92),AT92*$BI92),0)</f>
        <v>0</v>
      </c>
      <c r="CX92" s="313">
        <f>IF($BI92&lt;&gt;"",IF('Capacity summary'!$D$14="Yes",IF(COUNTBLANK('Capacity summary'!$H211:$BG211)&lt;52,IF('Capacity summary'!AU211&lt;&gt;"",IF(LOWER('Capacity summary'!AU211)="x",$BI92*AU92,VALUE('Capacity summary'!AU211)),0),AU92*$BI92),AU92*$BI92),0)</f>
        <v>0</v>
      </c>
      <c r="CY92" s="313">
        <f>IF($BI92&lt;&gt;"",IF('Capacity summary'!$D$14="Yes",IF(COUNTBLANK('Capacity summary'!$H211:$BG211)&lt;52,IF('Capacity summary'!AV211&lt;&gt;"",IF(LOWER('Capacity summary'!AV211)="x",$BI92*AV92,VALUE('Capacity summary'!AV211)),0),AV92*$BI92),AV92*$BI92),0)</f>
        <v>0</v>
      </c>
      <c r="CZ92" s="313">
        <f>IF($BI92&lt;&gt;"",IF('Capacity summary'!$D$14="Yes",IF(COUNTBLANK('Capacity summary'!$H211:$BG211)&lt;52,IF('Capacity summary'!AW211&lt;&gt;"",IF(LOWER('Capacity summary'!AW211)="x",$BI92*AW92,VALUE('Capacity summary'!AW211)),0),AW92*$BI92),AW92*$BI92),0)</f>
        <v>0</v>
      </c>
      <c r="DA92" s="313">
        <f>IF($BI92&lt;&gt;"",IF('Capacity summary'!$D$14="Yes",IF(COUNTBLANK('Capacity summary'!$H211:$BG211)&lt;52,IF('Capacity summary'!AX211&lt;&gt;"",IF(LOWER('Capacity summary'!AX211)="x",$BI92*AX92,VALUE('Capacity summary'!AX211)),0),AX92*$BI92),AX92*$BI92),0)</f>
        <v>0</v>
      </c>
      <c r="DB92" s="313">
        <f>IF($BI92&lt;&gt;"",IF('Capacity summary'!$D$14="Yes",IF(COUNTBLANK('Capacity summary'!$H211:$BG211)&lt;52,IF('Capacity summary'!AY211&lt;&gt;"",IF(LOWER('Capacity summary'!AY211)="x",$BI92*AY92,VALUE('Capacity summary'!AY211)),0),AY92*$BI92),AY92*$BI92),0)</f>
        <v>0</v>
      </c>
      <c r="DC92" s="313">
        <f>IF($BI92&lt;&gt;"",IF('Capacity summary'!$D$14="Yes",IF(COUNTBLANK('Capacity summary'!$H211:$BG211)&lt;52,IF('Capacity summary'!AZ211&lt;&gt;"",IF(LOWER('Capacity summary'!AZ211)="x",$BI92*AZ92,VALUE('Capacity summary'!AZ211)),0),AZ92*$BI92),AZ92*$BI92),0)</f>
        <v>0</v>
      </c>
      <c r="DD92" s="313">
        <f>IF($BI92&lt;&gt;"",IF('Capacity summary'!$D$14="Yes",IF(COUNTBLANK('Capacity summary'!$H211:$BG211)&lt;52,IF('Capacity summary'!BA211&lt;&gt;"",IF(LOWER('Capacity summary'!BA211)="x",$BI92*BA92,VALUE('Capacity summary'!BA211)),0),BA92*$BI92),BA92*$BI92),0)</f>
        <v>0</v>
      </c>
      <c r="DE92" s="313">
        <f>IF($BI92&lt;&gt;"",IF('Capacity summary'!$D$14="Yes",IF(COUNTBLANK('Capacity summary'!$H211:$BG211)&lt;52,IF('Capacity summary'!BB211&lt;&gt;"",IF(LOWER('Capacity summary'!BB211)="x",$BI92*BB92,VALUE('Capacity summary'!BB211)),0),BB92*$BI92),BB92*$BI92),0)</f>
        <v>0</v>
      </c>
      <c r="DF92" s="313">
        <f>IF($BI92&lt;&gt;"",IF('Capacity summary'!$D$14="Yes",IF(COUNTBLANK('Capacity summary'!$H211:$BG211)&lt;52,IF('Capacity summary'!BC211&lt;&gt;"",IF(LOWER('Capacity summary'!BC211)="x",$BI92*BC92,VALUE('Capacity summary'!BC211)),0),BC92*$BI92),BC92*$BI92),0)</f>
        <v>0</v>
      </c>
      <c r="DG92" s="313">
        <f>IF($BI92&lt;&gt;"",IF('Capacity summary'!$D$14="Yes",IF(COUNTBLANK('Capacity summary'!$H211:$BG211)&lt;52,IF('Capacity summary'!BD211&lt;&gt;"",IF(LOWER('Capacity summary'!BD211)="x",$BI92*BD92,VALUE('Capacity summary'!BD211)),0),BD92*$BI92),BD92*$BI92),0)</f>
        <v>0</v>
      </c>
      <c r="DH92" s="313">
        <f>IF($BI92&lt;&gt;"",IF('Capacity summary'!$D$14="Yes",IF(COUNTBLANK('Capacity summary'!$H211:$BG211)&lt;52,IF('Capacity summary'!BE211&lt;&gt;"",IF(LOWER('Capacity summary'!BE211)="x",$BI92*BE92,VALUE('Capacity summary'!BE211)),0),BE92*$BI92),BE92*$BI92),0)</f>
        <v>0</v>
      </c>
      <c r="DI92" s="313">
        <f>IF($BI92&lt;&gt;"",IF('Capacity summary'!$D$14="Yes",IF(COUNTBLANK('Capacity summary'!$H211:$BG211)&lt;52,IF('Capacity summary'!BF211&lt;&gt;"",IF(LOWER('Capacity summary'!BF211)="x",$BI92*BF92,VALUE('Capacity summary'!BF211)),0),BF92*$BI92),BF92*$BI92),0)</f>
        <v>0</v>
      </c>
      <c r="DJ92" s="313">
        <f>IF($BI92&lt;&gt;"",IF('Capacity summary'!$D$14="Yes",IF(COUNTBLANK('Capacity summary'!$H211:$BG211)&lt;52,IF('Capacity summary'!BG211&lt;&gt;"",IF(LOWER('Capacity summary'!BG211)="x",$BI92*BG92,VALUE('Capacity summary'!BG211)),0),BG92*$BI92),BG92*$BI92),0)</f>
        <v>0</v>
      </c>
      <c r="DK92" s="137">
        <f t="shared" si="3"/>
        <v>0</v>
      </c>
      <c r="DL92" s="313" t="str">
        <f>Capacity!H104</f>
        <v/>
      </c>
    </row>
    <row r="93" spans="2:116" x14ac:dyDescent="0.25">
      <c r="B93" s="67"/>
      <c r="C93" s="67" t="str">
        <f>ROW(A89)&amp;". "&amp;Capacity!B105</f>
        <v xml:space="preserve">89. </v>
      </c>
      <c r="D93" s="67">
        <f>'Capacity setup'!C100</f>
        <v>0</v>
      </c>
      <c r="E93" s="67">
        <f>'Capacity setup'!D100</f>
        <v>0</v>
      </c>
      <c r="F93" s="67">
        <f>'Capacity setup'!E100</f>
        <v>0</v>
      </c>
      <c r="H93" s="67">
        <f ca="1">IF(AND(SUMIF(Capacity_Resource,$D93,'Critical resources (hide)'!U$6:U$105)+SUMIF(Capacity_Resource,$E93,'Critical resources (hide)'!U$6:U$105)+SUMIF(Capacity_Resource,$F93,'Critical resources (hide)'!U$6:U$105)&gt;0,$E$1=2),0,1)</f>
        <v>1</v>
      </c>
      <c r="I93" s="67">
        <f ca="1">IF(AND(SUMIF(Capacity_Resource,$D93,'Critical resources (hide)'!V$6:V$105)+SUMIF(Capacity_Resource,$E93,'Critical resources (hide)'!V$6:V$105)+SUMIF(Capacity_Resource,$F93,'Critical resources (hide)'!V$6:V$105)&gt;0,$E$1=2),0,1)</f>
        <v>1</v>
      </c>
      <c r="J93" s="67">
        <f ca="1">IF(AND(SUMIF(Capacity_Resource,$D93,'Critical resources (hide)'!W$6:W$105)+SUMIF(Capacity_Resource,$E93,'Critical resources (hide)'!W$6:W$105)+SUMIF(Capacity_Resource,$F93,'Critical resources (hide)'!W$6:W$105)&gt;0,$E$1=2),0,1)</f>
        <v>1</v>
      </c>
      <c r="K93" s="67">
        <f ca="1">IF(AND(SUMIF(Capacity_Resource,$D93,'Critical resources (hide)'!X$6:X$105)+SUMIF(Capacity_Resource,$E93,'Critical resources (hide)'!X$6:X$105)+SUMIF(Capacity_Resource,$F93,'Critical resources (hide)'!X$6:X$105)&gt;0,$E$1=2),0,1)</f>
        <v>1</v>
      </c>
      <c r="L93" s="67">
        <f ca="1">IF(AND(SUMIF(Capacity_Resource,$D93,'Critical resources (hide)'!Y$6:Y$105)+SUMIF(Capacity_Resource,$E93,'Critical resources (hide)'!Y$6:Y$105)+SUMIF(Capacity_Resource,$F93,'Critical resources (hide)'!Y$6:Y$105)&gt;0,$E$1=2),0,1)</f>
        <v>1</v>
      </c>
      <c r="M93" s="67">
        <f ca="1">IF(AND(SUMIF(Capacity_Resource,$D93,'Critical resources (hide)'!Z$6:Z$105)+SUMIF(Capacity_Resource,$E93,'Critical resources (hide)'!Z$6:Z$105)+SUMIF(Capacity_Resource,$F93,'Critical resources (hide)'!Z$6:Z$105)&gt;0,$E$1=2),0,1)</f>
        <v>1</v>
      </c>
      <c r="N93" s="67">
        <f ca="1">IF(AND(SUMIF(Capacity_Resource,$D93,'Critical resources (hide)'!AA$6:AA$105)+SUMIF(Capacity_Resource,$E93,'Critical resources (hide)'!AA$6:AA$105)+SUMIF(Capacity_Resource,$F93,'Critical resources (hide)'!AA$6:AA$105)&gt;0,$E$1=2),0,1)</f>
        <v>1</v>
      </c>
      <c r="O93" s="67">
        <f ca="1">IF(AND(SUMIF(Capacity_Resource,$D93,'Critical resources (hide)'!AB$6:AB$105)+SUMIF(Capacity_Resource,$E93,'Critical resources (hide)'!AB$6:AB$105)+SUMIF(Capacity_Resource,$F93,'Critical resources (hide)'!AB$6:AB$105)&gt;0,$E$1=2),0,1)</f>
        <v>1</v>
      </c>
      <c r="P93" s="67">
        <f ca="1">IF(AND(SUMIF(Capacity_Resource,$D93,'Critical resources (hide)'!AC$6:AC$105)+SUMIF(Capacity_Resource,$E93,'Critical resources (hide)'!AC$6:AC$105)+SUMIF(Capacity_Resource,$F93,'Critical resources (hide)'!AC$6:AC$105)&gt;0,$E$1=2),0,1)</f>
        <v>1</v>
      </c>
      <c r="Q93" s="67">
        <f ca="1">IF(AND(SUMIF(Capacity_Resource,$D93,'Critical resources (hide)'!AD$6:AD$105)+SUMIF(Capacity_Resource,$E93,'Critical resources (hide)'!AD$6:AD$105)+SUMIF(Capacity_Resource,$F93,'Critical resources (hide)'!AD$6:AD$105)&gt;0,$E$1=2),0,1)</f>
        <v>1</v>
      </c>
      <c r="R93" s="67">
        <f ca="1">IF(AND(SUMIF(Capacity_Resource,$D93,'Critical resources (hide)'!AE$6:AE$105)+SUMIF(Capacity_Resource,$E93,'Critical resources (hide)'!AE$6:AE$105)+SUMIF(Capacity_Resource,$F93,'Critical resources (hide)'!AE$6:AE$105)&gt;0,$E$1=2),0,1)</f>
        <v>1</v>
      </c>
      <c r="S93" s="67">
        <f ca="1">IF(AND(SUMIF(Capacity_Resource,$D93,'Critical resources (hide)'!AF$6:AF$105)+SUMIF(Capacity_Resource,$E93,'Critical resources (hide)'!AF$6:AF$105)+SUMIF(Capacity_Resource,$F93,'Critical resources (hide)'!AF$6:AF$105)&gt;0,$E$1=2),0,1)</f>
        <v>1</v>
      </c>
      <c r="T93" s="67">
        <f ca="1">IF(AND(SUMIF(Capacity_Resource,$D93,'Critical resources (hide)'!AG$6:AG$105)+SUMIF(Capacity_Resource,$E93,'Critical resources (hide)'!AG$6:AG$105)+SUMIF(Capacity_Resource,$F93,'Critical resources (hide)'!AG$6:AG$105)&gt;0,$E$1=2),0,1)</f>
        <v>1</v>
      </c>
      <c r="U93" s="67">
        <f ca="1">IF(AND(SUMIF(Capacity_Resource,$D93,'Critical resources (hide)'!AH$6:AH$105)+SUMIF(Capacity_Resource,$E93,'Critical resources (hide)'!AH$6:AH$105)+SUMIF(Capacity_Resource,$F93,'Critical resources (hide)'!AH$6:AH$105)&gt;0,$E$1=2),0,1)</f>
        <v>1</v>
      </c>
      <c r="V93" s="67">
        <f ca="1">IF(AND(SUMIF(Capacity_Resource,$D93,'Critical resources (hide)'!AI$6:AI$105)+SUMIF(Capacity_Resource,$E93,'Critical resources (hide)'!AI$6:AI$105)+SUMIF(Capacity_Resource,$F93,'Critical resources (hide)'!AI$6:AI$105)&gt;0,$E$1=2),0,1)</f>
        <v>1</v>
      </c>
      <c r="W93" s="67">
        <f ca="1">IF(AND(SUMIF(Capacity_Resource,$D93,'Critical resources (hide)'!AJ$6:AJ$105)+SUMIF(Capacity_Resource,$E93,'Critical resources (hide)'!AJ$6:AJ$105)+SUMIF(Capacity_Resource,$F93,'Critical resources (hide)'!AJ$6:AJ$105)&gt;0,$E$1=2),0,1)</f>
        <v>1</v>
      </c>
      <c r="X93" s="67">
        <f ca="1">IF(AND(SUMIF(Capacity_Resource,$D93,'Critical resources (hide)'!AK$6:AK$105)+SUMIF(Capacity_Resource,$E93,'Critical resources (hide)'!AK$6:AK$105)+SUMIF(Capacity_Resource,$F93,'Critical resources (hide)'!AK$6:AK$105)&gt;0,$E$1=2),0,1)</f>
        <v>1</v>
      </c>
      <c r="Y93" s="67">
        <f ca="1">IF(AND(SUMIF(Capacity_Resource,$D93,'Critical resources (hide)'!AL$6:AL$105)+SUMIF(Capacity_Resource,$E93,'Critical resources (hide)'!AL$6:AL$105)+SUMIF(Capacity_Resource,$F93,'Critical resources (hide)'!AL$6:AL$105)&gt;0,$E$1=2),0,1)</f>
        <v>1</v>
      </c>
      <c r="Z93" s="67">
        <f ca="1">IF(AND(SUMIF(Capacity_Resource,$D93,'Critical resources (hide)'!AM$6:AM$105)+SUMIF(Capacity_Resource,$E93,'Critical resources (hide)'!AM$6:AM$105)+SUMIF(Capacity_Resource,$F93,'Critical resources (hide)'!AM$6:AM$105)&gt;0,$E$1=2),0,1)</f>
        <v>1</v>
      </c>
      <c r="AA93" s="67">
        <f ca="1">IF(AND(SUMIF(Capacity_Resource,$D93,'Critical resources (hide)'!AN$6:AN$105)+SUMIF(Capacity_Resource,$E93,'Critical resources (hide)'!AN$6:AN$105)+SUMIF(Capacity_Resource,$F93,'Critical resources (hide)'!AN$6:AN$105)&gt;0,$E$1=2),0,1)</f>
        <v>1</v>
      </c>
      <c r="AB93" s="67">
        <f ca="1">IF(AND(SUMIF(Capacity_Resource,$D93,'Critical resources (hide)'!AO$6:AO$105)+SUMIF(Capacity_Resource,$E93,'Critical resources (hide)'!AO$6:AO$105)+SUMIF(Capacity_Resource,$F93,'Critical resources (hide)'!AO$6:AO$105)&gt;0,$E$1=2),0,1)</f>
        <v>1</v>
      </c>
      <c r="AC93" s="67">
        <f ca="1">IF(AND(SUMIF(Capacity_Resource,$D93,'Critical resources (hide)'!AP$6:AP$105)+SUMIF(Capacity_Resource,$E93,'Critical resources (hide)'!AP$6:AP$105)+SUMIF(Capacity_Resource,$F93,'Critical resources (hide)'!AP$6:AP$105)&gt;0,$E$1=2),0,1)</f>
        <v>1</v>
      </c>
      <c r="AD93" s="67">
        <f ca="1">IF(AND(SUMIF(Capacity_Resource,$D93,'Critical resources (hide)'!AQ$6:AQ$105)+SUMIF(Capacity_Resource,$E93,'Critical resources (hide)'!AQ$6:AQ$105)+SUMIF(Capacity_Resource,$F93,'Critical resources (hide)'!AQ$6:AQ$105)&gt;0,$E$1=2),0,1)</f>
        <v>1</v>
      </c>
      <c r="AE93" s="67">
        <f ca="1">IF(AND(SUMIF(Capacity_Resource,$D93,'Critical resources (hide)'!AR$6:AR$105)+SUMIF(Capacity_Resource,$E93,'Critical resources (hide)'!AR$6:AR$105)+SUMIF(Capacity_Resource,$F93,'Critical resources (hide)'!AR$6:AR$105)&gt;0,$E$1=2),0,1)</f>
        <v>1</v>
      </c>
      <c r="AF93" s="67">
        <f ca="1">IF(AND(SUMIF(Capacity_Resource,$D93,'Critical resources (hide)'!AS$6:AS$105)+SUMIF(Capacity_Resource,$E93,'Critical resources (hide)'!AS$6:AS$105)+SUMIF(Capacity_Resource,$F93,'Critical resources (hide)'!AS$6:AS$105)&gt;0,$E$1=2),0,1)</f>
        <v>1</v>
      </c>
      <c r="AG93" s="67">
        <f ca="1">IF(AND(SUMIF(Capacity_Resource,$D93,'Critical resources (hide)'!AT$6:AT$105)+SUMIF(Capacity_Resource,$E93,'Critical resources (hide)'!AT$6:AT$105)+SUMIF(Capacity_Resource,$F93,'Critical resources (hide)'!AT$6:AT$105)&gt;0,$E$1=2),0,1)</f>
        <v>1</v>
      </c>
      <c r="AH93" s="67">
        <f ca="1">IF(AND(SUMIF(Capacity_Resource,$D93,'Critical resources (hide)'!AU$6:AU$105)+SUMIF(Capacity_Resource,$E93,'Critical resources (hide)'!AU$6:AU$105)+SUMIF(Capacity_Resource,$F93,'Critical resources (hide)'!AU$6:AU$105)&gt;0,$E$1=2),0,1)</f>
        <v>1</v>
      </c>
      <c r="AI93" s="67">
        <f ca="1">IF(AND(SUMIF(Capacity_Resource,$D93,'Critical resources (hide)'!AV$6:AV$105)+SUMIF(Capacity_Resource,$E93,'Critical resources (hide)'!AV$6:AV$105)+SUMIF(Capacity_Resource,$F93,'Critical resources (hide)'!AV$6:AV$105)&gt;0,$E$1=2),0,1)</f>
        <v>1</v>
      </c>
      <c r="AJ93" s="67">
        <f ca="1">IF(AND(SUMIF(Capacity_Resource,$D93,'Critical resources (hide)'!AW$6:AW$105)+SUMIF(Capacity_Resource,$E93,'Critical resources (hide)'!AW$6:AW$105)+SUMIF(Capacity_Resource,$F93,'Critical resources (hide)'!AW$6:AW$105)&gt;0,$E$1=2),0,1)</f>
        <v>1</v>
      </c>
      <c r="AK93" s="67">
        <f ca="1">IF(AND(SUMIF(Capacity_Resource,$D93,'Critical resources (hide)'!AX$6:AX$105)+SUMIF(Capacity_Resource,$E93,'Critical resources (hide)'!AX$6:AX$105)+SUMIF(Capacity_Resource,$F93,'Critical resources (hide)'!AX$6:AX$105)&gt;0,$E$1=2),0,1)</f>
        <v>1</v>
      </c>
      <c r="AL93" s="67">
        <f ca="1">IF(AND(SUMIF(Capacity_Resource,$D93,'Critical resources (hide)'!AY$6:AY$105)+SUMIF(Capacity_Resource,$E93,'Critical resources (hide)'!AY$6:AY$105)+SUMIF(Capacity_Resource,$F93,'Critical resources (hide)'!AY$6:AY$105)&gt;0,$E$1=2),0,1)</f>
        <v>1</v>
      </c>
      <c r="AM93" s="67">
        <f ca="1">IF(AND(SUMIF(Capacity_Resource,$D93,'Critical resources (hide)'!AZ$6:AZ$105)+SUMIF(Capacity_Resource,$E93,'Critical resources (hide)'!AZ$6:AZ$105)+SUMIF(Capacity_Resource,$F93,'Critical resources (hide)'!AZ$6:AZ$105)&gt;0,$E$1=2),0,1)</f>
        <v>1</v>
      </c>
      <c r="AN93" s="67">
        <f ca="1">IF(AND(SUMIF(Capacity_Resource,$D93,'Critical resources (hide)'!BA$6:BA$105)+SUMIF(Capacity_Resource,$E93,'Critical resources (hide)'!BA$6:BA$105)+SUMIF(Capacity_Resource,$F93,'Critical resources (hide)'!BA$6:BA$105)&gt;0,$E$1=2),0,1)</f>
        <v>1</v>
      </c>
      <c r="AO93" s="67">
        <f ca="1">IF(AND(SUMIF(Capacity_Resource,$D93,'Critical resources (hide)'!BB$6:BB$105)+SUMIF(Capacity_Resource,$E93,'Critical resources (hide)'!BB$6:BB$105)+SUMIF(Capacity_Resource,$F93,'Critical resources (hide)'!BB$6:BB$105)&gt;0,$E$1=2),0,1)</f>
        <v>1</v>
      </c>
      <c r="AP93" s="67">
        <f ca="1">IF(AND(SUMIF(Capacity_Resource,$D93,'Critical resources (hide)'!BC$6:BC$105)+SUMIF(Capacity_Resource,$E93,'Critical resources (hide)'!BC$6:BC$105)+SUMIF(Capacity_Resource,$F93,'Critical resources (hide)'!BC$6:BC$105)&gt;0,$E$1=2),0,1)</f>
        <v>1</v>
      </c>
      <c r="AQ93" s="67">
        <f ca="1">IF(AND(SUMIF(Capacity_Resource,$D93,'Critical resources (hide)'!BD$6:BD$105)+SUMIF(Capacity_Resource,$E93,'Critical resources (hide)'!BD$6:BD$105)+SUMIF(Capacity_Resource,$F93,'Critical resources (hide)'!BD$6:BD$105)&gt;0,$E$1=2),0,1)</f>
        <v>1</v>
      </c>
      <c r="AR93" s="67">
        <f ca="1">IF(AND(SUMIF(Capacity_Resource,$D93,'Critical resources (hide)'!BE$6:BE$105)+SUMIF(Capacity_Resource,$E93,'Critical resources (hide)'!BE$6:BE$105)+SUMIF(Capacity_Resource,$F93,'Critical resources (hide)'!BE$6:BE$105)&gt;0,$E$1=2),0,1)</f>
        <v>1</v>
      </c>
      <c r="AS93" s="67">
        <f ca="1">IF(AND(SUMIF(Capacity_Resource,$D93,'Critical resources (hide)'!BF$6:BF$105)+SUMIF(Capacity_Resource,$E93,'Critical resources (hide)'!BF$6:BF$105)+SUMIF(Capacity_Resource,$F93,'Critical resources (hide)'!BF$6:BF$105)&gt;0,$E$1=2),0,1)</f>
        <v>1</v>
      </c>
      <c r="AT93" s="67">
        <f ca="1">IF(AND(SUMIF(Capacity_Resource,$D93,'Critical resources (hide)'!BG$6:BG$105)+SUMIF(Capacity_Resource,$E93,'Critical resources (hide)'!BG$6:BG$105)+SUMIF(Capacity_Resource,$F93,'Critical resources (hide)'!BG$6:BG$105)&gt;0,$E$1=2),0,1)</f>
        <v>1</v>
      </c>
      <c r="AU93" s="67">
        <f ca="1">IF(AND(SUMIF(Capacity_Resource,$D93,'Critical resources (hide)'!BH$6:BH$105)+SUMIF(Capacity_Resource,$E93,'Critical resources (hide)'!BH$6:BH$105)+SUMIF(Capacity_Resource,$F93,'Critical resources (hide)'!BH$6:BH$105)&gt;0,$E$1=2),0,1)</f>
        <v>1</v>
      </c>
      <c r="AV93" s="67">
        <f ca="1">IF(AND(SUMIF(Capacity_Resource,$D93,'Critical resources (hide)'!BI$6:BI$105)+SUMIF(Capacity_Resource,$E93,'Critical resources (hide)'!BI$6:BI$105)+SUMIF(Capacity_Resource,$F93,'Critical resources (hide)'!BI$6:BI$105)&gt;0,$E$1=2),0,1)</f>
        <v>1</v>
      </c>
      <c r="AW93" s="67">
        <f ca="1">IF(AND(SUMIF(Capacity_Resource,$D93,'Critical resources (hide)'!BJ$6:BJ$105)+SUMIF(Capacity_Resource,$E93,'Critical resources (hide)'!BJ$6:BJ$105)+SUMIF(Capacity_Resource,$F93,'Critical resources (hide)'!BJ$6:BJ$105)&gt;0,$E$1=2),0,1)</f>
        <v>1</v>
      </c>
      <c r="AX93" s="67">
        <f ca="1">IF(AND(SUMIF(Capacity_Resource,$D93,'Critical resources (hide)'!BK$6:BK$105)+SUMIF(Capacity_Resource,$E93,'Critical resources (hide)'!BK$6:BK$105)+SUMIF(Capacity_Resource,$F93,'Critical resources (hide)'!BK$6:BK$105)&gt;0,$E$1=2),0,1)</f>
        <v>1</v>
      </c>
      <c r="AY93" s="67">
        <f ca="1">IF(AND(SUMIF(Capacity_Resource,$D93,'Critical resources (hide)'!BL$6:BL$105)+SUMIF(Capacity_Resource,$E93,'Critical resources (hide)'!BL$6:BL$105)+SUMIF(Capacity_Resource,$F93,'Critical resources (hide)'!BL$6:BL$105)&gt;0,$E$1=2),0,1)</f>
        <v>1</v>
      </c>
      <c r="AZ93" s="67">
        <f ca="1">IF(AND(SUMIF(Capacity_Resource,$D93,'Critical resources (hide)'!BM$6:BM$105)+SUMIF(Capacity_Resource,$E93,'Critical resources (hide)'!BM$6:BM$105)+SUMIF(Capacity_Resource,$F93,'Critical resources (hide)'!BM$6:BM$105)&gt;0,$E$1=2),0,1)</f>
        <v>1</v>
      </c>
      <c r="BA93" s="67">
        <f ca="1">IF(AND(SUMIF(Capacity_Resource,$D93,'Critical resources (hide)'!BN$6:BN$105)+SUMIF(Capacity_Resource,$E93,'Critical resources (hide)'!BN$6:BN$105)+SUMIF(Capacity_Resource,$F93,'Critical resources (hide)'!BN$6:BN$105)&gt;0,$E$1=2),0,1)</f>
        <v>1</v>
      </c>
      <c r="BB93" s="67">
        <f ca="1">IF(AND(SUMIF(Capacity_Resource,$D93,'Critical resources (hide)'!BO$6:BO$105)+SUMIF(Capacity_Resource,$E93,'Critical resources (hide)'!BO$6:BO$105)+SUMIF(Capacity_Resource,$F93,'Critical resources (hide)'!BO$6:BO$105)&gt;0,$E$1=2),0,1)</f>
        <v>1</v>
      </c>
      <c r="BC93" s="67">
        <f ca="1">IF(AND(SUMIF(Capacity_Resource,$D93,'Critical resources (hide)'!BP$6:BP$105)+SUMIF(Capacity_Resource,$E93,'Critical resources (hide)'!BP$6:BP$105)+SUMIF(Capacity_Resource,$F93,'Critical resources (hide)'!BP$6:BP$105)&gt;0,$E$1=2),0,1)</f>
        <v>1</v>
      </c>
      <c r="BD93" s="67">
        <f ca="1">IF(AND(SUMIF(Capacity_Resource,$D93,'Critical resources (hide)'!BQ$6:BQ$105)+SUMIF(Capacity_Resource,$E93,'Critical resources (hide)'!BQ$6:BQ$105)+SUMIF(Capacity_Resource,$F93,'Critical resources (hide)'!BQ$6:BQ$105)&gt;0,$E$1=2),0,1)</f>
        <v>1</v>
      </c>
      <c r="BE93" s="67">
        <f ca="1">IF(AND(SUMIF(Capacity_Resource,$D93,'Critical resources (hide)'!BR$6:BR$105)+SUMIF(Capacity_Resource,$E93,'Critical resources (hide)'!BR$6:BR$105)+SUMIF(Capacity_Resource,$F93,'Critical resources (hide)'!BR$6:BR$105)&gt;0,$E$1=2),0,1)</f>
        <v>1</v>
      </c>
      <c r="BF93" s="67">
        <f ca="1">IF(AND(SUMIF(Capacity_Resource,$D93,'Critical resources (hide)'!BS$6:BS$105)+SUMIF(Capacity_Resource,$E93,'Critical resources (hide)'!BS$6:BS$105)+SUMIF(Capacity_Resource,$F93,'Critical resources (hide)'!BS$6:BS$105)&gt;0,$E$1=2),0,1)</f>
        <v>1</v>
      </c>
      <c r="BG93" s="67">
        <f ca="1">IF(AND(SUMIF(Capacity_Resource,$D93,'Critical resources (hide)'!BT$6:BT$105)+SUMIF(Capacity_Resource,$E93,'Critical resources (hide)'!BT$6:BT$105)+SUMIF(Capacity_Resource,$F93,'Critical resources (hide)'!BT$6:BT$105)&gt;0,$E$1=2),0,1)</f>
        <v>1</v>
      </c>
      <c r="BH93" s="67">
        <f>IF(ROW(C89)&lt;=Capacity!$A$16,IF('Capacity summary'!$D$14="No",SUM(H93:BG93),'Capacity summary'!$E212),0)</f>
        <v>0</v>
      </c>
      <c r="BI93" s="5" t="str">
        <f>IF(BH93&gt;0,IF(BH93&lt;Capacity!E105,Capacity!F105,Capacity!H105/'Capacity calculation (hide)'!BH93),"")</f>
        <v/>
      </c>
      <c r="BK93" s="313">
        <f>IF($BI93&lt;&gt;"",IF('Capacity summary'!$D$14="Yes",IF(COUNTBLANK('Capacity summary'!$H212:$BG212)&lt;52,IF('Capacity summary'!H212&lt;&gt;"",IF(LOWER('Capacity summary'!H212)="x",$BI93*H93,VALUE('Capacity summary'!H212)),0),H93*$BI93),H93*$BI93),0)</f>
        <v>0</v>
      </c>
      <c r="BL93" s="313">
        <f>IF($BI93&lt;&gt;"",IF('Capacity summary'!$D$14="Yes",IF(COUNTBLANK('Capacity summary'!$H212:$BG212)&lt;52,IF('Capacity summary'!I212&lt;&gt;"",IF(LOWER('Capacity summary'!I212)="x",$BI93*I93,VALUE('Capacity summary'!I212)),0),I93*$BI93),I93*$BI93),0)</f>
        <v>0</v>
      </c>
      <c r="BM93" s="313">
        <f>IF($BI93&lt;&gt;"",IF('Capacity summary'!$D$14="Yes",IF(COUNTBLANK('Capacity summary'!$H212:$BG212)&lt;52,IF('Capacity summary'!J212&lt;&gt;"",IF(LOWER('Capacity summary'!J212)="x",$BI93*J93,VALUE('Capacity summary'!J212)),0),J93*$BI93),J93*$BI93),0)</f>
        <v>0</v>
      </c>
      <c r="BN93" s="313">
        <f>IF($BI93&lt;&gt;"",IF('Capacity summary'!$D$14="Yes",IF(COUNTBLANK('Capacity summary'!$H212:$BG212)&lt;52,IF('Capacity summary'!K212&lt;&gt;"",IF(LOWER('Capacity summary'!K212)="x",$BI93*K93,VALUE('Capacity summary'!K212)),0),K93*$BI93),K93*$BI93),0)</f>
        <v>0</v>
      </c>
      <c r="BO93" s="313">
        <f>IF($BI93&lt;&gt;"",IF('Capacity summary'!$D$14="Yes",IF(COUNTBLANK('Capacity summary'!$H212:$BG212)&lt;52,IF('Capacity summary'!L212&lt;&gt;"",IF(LOWER('Capacity summary'!L212)="x",$BI93*L93,VALUE('Capacity summary'!L212)),0),L93*$BI93),L93*$BI93),0)</f>
        <v>0</v>
      </c>
      <c r="BP93" s="313">
        <f>IF($BI93&lt;&gt;"",IF('Capacity summary'!$D$14="Yes",IF(COUNTBLANK('Capacity summary'!$H212:$BG212)&lt;52,IF('Capacity summary'!M212&lt;&gt;"",IF(LOWER('Capacity summary'!M212)="x",$BI93*M93,VALUE('Capacity summary'!M212)),0),M93*$BI93),M93*$BI93),0)</f>
        <v>0</v>
      </c>
      <c r="BQ93" s="313">
        <f>IF($BI93&lt;&gt;"",IF('Capacity summary'!$D$14="Yes",IF(COUNTBLANK('Capacity summary'!$H212:$BG212)&lt;52,IF('Capacity summary'!N212&lt;&gt;"",IF(LOWER('Capacity summary'!N212)="x",$BI93*N93,VALUE('Capacity summary'!N212)),0),N93*$BI93),N93*$BI93),0)</f>
        <v>0</v>
      </c>
      <c r="BR93" s="313">
        <f>IF($BI93&lt;&gt;"",IF('Capacity summary'!$D$14="Yes",IF(COUNTBLANK('Capacity summary'!$H212:$BG212)&lt;52,IF('Capacity summary'!O212&lt;&gt;"",IF(LOWER('Capacity summary'!O212)="x",$BI93*O93,VALUE('Capacity summary'!O212)),0),O93*$BI93),O93*$BI93),0)</f>
        <v>0</v>
      </c>
      <c r="BS93" s="313">
        <f>IF($BI93&lt;&gt;"",IF('Capacity summary'!$D$14="Yes",IF(COUNTBLANK('Capacity summary'!$H212:$BG212)&lt;52,IF('Capacity summary'!P212&lt;&gt;"",IF(LOWER('Capacity summary'!P212)="x",$BI93*P93,VALUE('Capacity summary'!P212)),0),P93*$BI93),P93*$BI93),0)</f>
        <v>0</v>
      </c>
      <c r="BT93" s="313">
        <f>IF($BI93&lt;&gt;"",IF('Capacity summary'!$D$14="Yes",IF(COUNTBLANK('Capacity summary'!$H212:$BG212)&lt;52,IF('Capacity summary'!Q212&lt;&gt;"",IF(LOWER('Capacity summary'!Q212)="x",$BI93*Q93,VALUE('Capacity summary'!Q212)),0),Q93*$BI93),Q93*$BI93),0)</f>
        <v>0</v>
      </c>
      <c r="BU93" s="313">
        <f>IF($BI93&lt;&gt;"",IF('Capacity summary'!$D$14="Yes",IF(COUNTBLANK('Capacity summary'!$H212:$BG212)&lt;52,IF('Capacity summary'!R212&lt;&gt;"",IF(LOWER('Capacity summary'!R212)="x",$BI93*R93,VALUE('Capacity summary'!R212)),0),R93*$BI93),R93*$BI93),0)</f>
        <v>0</v>
      </c>
      <c r="BV93" s="313">
        <f>IF($BI93&lt;&gt;"",IF('Capacity summary'!$D$14="Yes",IF(COUNTBLANK('Capacity summary'!$H212:$BG212)&lt;52,IF('Capacity summary'!S212&lt;&gt;"",IF(LOWER('Capacity summary'!S212)="x",$BI93*S93,VALUE('Capacity summary'!S212)),0),S93*$BI93),S93*$BI93),0)</f>
        <v>0</v>
      </c>
      <c r="BW93" s="313">
        <f>IF($BI93&lt;&gt;"",IF('Capacity summary'!$D$14="Yes",IF(COUNTBLANK('Capacity summary'!$H212:$BG212)&lt;52,IF('Capacity summary'!T212&lt;&gt;"",IF(LOWER('Capacity summary'!T212)="x",$BI93*T93,VALUE('Capacity summary'!T212)),0),T93*$BI93),T93*$BI93),0)</f>
        <v>0</v>
      </c>
      <c r="BX93" s="313">
        <f>IF($BI93&lt;&gt;"",IF('Capacity summary'!$D$14="Yes",IF(COUNTBLANK('Capacity summary'!$H212:$BG212)&lt;52,IF('Capacity summary'!U212&lt;&gt;"",IF(LOWER('Capacity summary'!U212)="x",$BI93*U93,VALUE('Capacity summary'!U212)),0),U93*$BI93),U93*$BI93),0)</f>
        <v>0</v>
      </c>
      <c r="BY93" s="313">
        <f>IF($BI93&lt;&gt;"",IF('Capacity summary'!$D$14="Yes",IF(COUNTBLANK('Capacity summary'!$H212:$BG212)&lt;52,IF('Capacity summary'!V212&lt;&gt;"",IF(LOWER('Capacity summary'!V212)="x",$BI93*V93,VALUE('Capacity summary'!V212)),0),V93*$BI93),V93*$BI93),0)</f>
        <v>0</v>
      </c>
      <c r="BZ93" s="313">
        <f>IF($BI93&lt;&gt;"",IF('Capacity summary'!$D$14="Yes",IF(COUNTBLANK('Capacity summary'!$H212:$BG212)&lt;52,IF('Capacity summary'!W212&lt;&gt;"",IF(LOWER('Capacity summary'!W212)="x",$BI93*W93,VALUE('Capacity summary'!W212)),0),W93*$BI93),W93*$BI93),0)</f>
        <v>0</v>
      </c>
      <c r="CA93" s="313">
        <f>IF($BI93&lt;&gt;"",IF('Capacity summary'!$D$14="Yes",IF(COUNTBLANK('Capacity summary'!$H212:$BG212)&lt;52,IF('Capacity summary'!X212&lt;&gt;"",IF(LOWER('Capacity summary'!X212)="x",$BI93*X93,VALUE('Capacity summary'!X212)),0),X93*$BI93),X93*$BI93),0)</f>
        <v>0</v>
      </c>
      <c r="CB93" s="313">
        <f>IF($BI93&lt;&gt;"",IF('Capacity summary'!$D$14="Yes",IF(COUNTBLANK('Capacity summary'!$H212:$BG212)&lt;52,IF('Capacity summary'!Y212&lt;&gt;"",IF(LOWER('Capacity summary'!Y212)="x",$BI93*Y93,VALUE('Capacity summary'!Y212)),0),Y93*$BI93),Y93*$BI93),0)</f>
        <v>0</v>
      </c>
      <c r="CC93" s="313">
        <f>IF($BI93&lt;&gt;"",IF('Capacity summary'!$D$14="Yes",IF(COUNTBLANK('Capacity summary'!$H212:$BG212)&lt;52,IF('Capacity summary'!Z212&lt;&gt;"",IF(LOWER('Capacity summary'!Z212)="x",$BI93*Z93,VALUE('Capacity summary'!Z212)),0),Z93*$BI93),Z93*$BI93),0)</f>
        <v>0</v>
      </c>
      <c r="CD93" s="313">
        <f>IF($BI93&lt;&gt;"",IF('Capacity summary'!$D$14="Yes",IF(COUNTBLANK('Capacity summary'!$H212:$BG212)&lt;52,IF('Capacity summary'!AA212&lt;&gt;"",IF(LOWER('Capacity summary'!AA212)="x",$BI93*AA93,VALUE('Capacity summary'!AA212)),0),AA93*$BI93),AA93*$BI93),0)</f>
        <v>0</v>
      </c>
      <c r="CE93" s="313">
        <f>IF($BI93&lt;&gt;"",IF('Capacity summary'!$D$14="Yes",IF(COUNTBLANK('Capacity summary'!$H212:$BG212)&lt;52,IF('Capacity summary'!AB212&lt;&gt;"",IF(LOWER('Capacity summary'!AB212)="x",$BI93*AB93,VALUE('Capacity summary'!AB212)),0),AB93*$BI93),AB93*$BI93),0)</f>
        <v>0</v>
      </c>
      <c r="CF93" s="313">
        <f>IF($BI93&lt;&gt;"",IF('Capacity summary'!$D$14="Yes",IF(COUNTBLANK('Capacity summary'!$H212:$BG212)&lt;52,IF('Capacity summary'!AC212&lt;&gt;"",IF(LOWER('Capacity summary'!AC212)="x",$BI93*AC93,VALUE('Capacity summary'!AC212)),0),AC93*$BI93),AC93*$BI93),0)</f>
        <v>0</v>
      </c>
      <c r="CG93" s="313">
        <f>IF($BI93&lt;&gt;"",IF('Capacity summary'!$D$14="Yes",IF(COUNTBLANK('Capacity summary'!$H212:$BG212)&lt;52,IF('Capacity summary'!AD212&lt;&gt;"",IF(LOWER('Capacity summary'!AD212)="x",$BI93*AD93,VALUE('Capacity summary'!AD212)),0),AD93*$BI93),AD93*$BI93),0)</f>
        <v>0</v>
      </c>
      <c r="CH93" s="313">
        <f>IF($BI93&lt;&gt;"",IF('Capacity summary'!$D$14="Yes",IF(COUNTBLANK('Capacity summary'!$H212:$BG212)&lt;52,IF('Capacity summary'!AE212&lt;&gt;"",IF(LOWER('Capacity summary'!AE212)="x",$BI93*AE93,VALUE('Capacity summary'!AE212)),0),AE93*$BI93),AE93*$BI93),0)</f>
        <v>0</v>
      </c>
      <c r="CI93" s="313">
        <f>IF($BI93&lt;&gt;"",IF('Capacity summary'!$D$14="Yes",IF(COUNTBLANK('Capacity summary'!$H212:$BG212)&lt;52,IF('Capacity summary'!AF212&lt;&gt;"",IF(LOWER('Capacity summary'!AF212)="x",$BI93*AF93,VALUE('Capacity summary'!AF212)),0),AF93*$BI93),AF93*$BI93),0)</f>
        <v>0</v>
      </c>
      <c r="CJ93" s="313">
        <f>IF($BI93&lt;&gt;"",IF('Capacity summary'!$D$14="Yes",IF(COUNTBLANK('Capacity summary'!$H212:$BG212)&lt;52,IF('Capacity summary'!AG212&lt;&gt;"",IF(LOWER('Capacity summary'!AG212)="x",$BI93*AG93,VALUE('Capacity summary'!AG212)),0),AG93*$BI93),AG93*$BI93),0)</f>
        <v>0</v>
      </c>
      <c r="CK93" s="313">
        <f>IF($BI93&lt;&gt;"",IF('Capacity summary'!$D$14="Yes",IF(COUNTBLANK('Capacity summary'!$H212:$BG212)&lt;52,IF('Capacity summary'!AH212&lt;&gt;"",IF(LOWER('Capacity summary'!AH212)="x",$BI93*AH93,VALUE('Capacity summary'!AH212)),0),AH93*$BI93),AH93*$BI93),0)</f>
        <v>0</v>
      </c>
      <c r="CL93" s="313">
        <f>IF($BI93&lt;&gt;"",IF('Capacity summary'!$D$14="Yes",IF(COUNTBLANK('Capacity summary'!$H212:$BG212)&lt;52,IF('Capacity summary'!AI212&lt;&gt;"",IF(LOWER('Capacity summary'!AI212)="x",$BI93*AI93,VALUE('Capacity summary'!AI212)),0),AI93*$BI93),AI93*$BI93),0)</f>
        <v>0</v>
      </c>
      <c r="CM93" s="313">
        <f>IF($BI93&lt;&gt;"",IF('Capacity summary'!$D$14="Yes",IF(COUNTBLANK('Capacity summary'!$H212:$BG212)&lt;52,IF('Capacity summary'!AJ212&lt;&gt;"",IF(LOWER('Capacity summary'!AJ212)="x",$BI93*AJ93,VALUE('Capacity summary'!AJ212)),0),AJ93*$BI93),AJ93*$BI93),0)</f>
        <v>0</v>
      </c>
      <c r="CN93" s="313">
        <f>IF($BI93&lt;&gt;"",IF('Capacity summary'!$D$14="Yes",IF(COUNTBLANK('Capacity summary'!$H212:$BG212)&lt;52,IF('Capacity summary'!AK212&lt;&gt;"",IF(LOWER('Capacity summary'!AK212)="x",$BI93*AK93,VALUE('Capacity summary'!AK212)),0),AK93*$BI93),AK93*$BI93),0)</f>
        <v>0</v>
      </c>
      <c r="CO93" s="313">
        <f>IF($BI93&lt;&gt;"",IF('Capacity summary'!$D$14="Yes",IF(COUNTBLANK('Capacity summary'!$H212:$BG212)&lt;52,IF('Capacity summary'!AL212&lt;&gt;"",IF(LOWER('Capacity summary'!AL212)="x",$BI93*AL93,VALUE('Capacity summary'!AL212)),0),AL93*$BI93),AL93*$BI93),0)</f>
        <v>0</v>
      </c>
      <c r="CP93" s="313">
        <f>IF($BI93&lt;&gt;"",IF('Capacity summary'!$D$14="Yes",IF(COUNTBLANK('Capacity summary'!$H212:$BG212)&lt;52,IF('Capacity summary'!AM212&lt;&gt;"",IF(LOWER('Capacity summary'!AM212)="x",$BI93*AM93,VALUE('Capacity summary'!AM212)),0),AM93*$BI93),AM93*$BI93),0)</f>
        <v>0</v>
      </c>
      <c r="CQ93" s="313">
        <f>IF($BI93&lt;&gt;"",IF('Capacity summary'!$D$14="Yes",IF(COUNTBLANK('Capacity summary'!$H212:$BG212)&lt;52,IF('Capacity summary'!AN212&lt;&gt;"",IF(LOWER('Capacity summary'!AN212)="x",$BI93*AN93,VALUE('Capacity summary'!AN212)),0),AN93*$BI93),AN93*$BI93),0)</f>
        <v>0</v>
      </c>
      <c r="CR93" s="313">
        <f>IF($BI93&lt;&gt;"",IF('Capacity summary'!$D$14="Yes",IF(COUNTBLANK('Capacity summary'!$H212:$BG212)&lt;52,IF('Capacity summary'!AO212&lt;&gt;"",IF(LOWER('Capacity summary'!AO212)="x",$BI93*AO93,VALUE('Capacity summary'!AO212)),0),AO93*$BI93),AO93*$BI93),0)</f>
        <v>0</v>
      </c>
      <c r="CS93" s="313">
        <f>IF($BI93&lt;&gt;"",IF('Capacity summary'!$D$14="Yes",IF(COUNTBLANK('Capacity summary'!$H212:$BG212)&lt;52,IF('Capacity summary'!AP212&lt;&gt;"",IF(LOWER('Capacity summary'!AP212)="x",$BI93*AP93,VALUE('Capacity summary'!AP212)),0),AP93*$BI93),AP93*$BI93),0)</f>
        <v>0</v>
      </c>
      <c r="CT93" s="313">
        <f>IF($BI93&lt;&gt;"",IF('Capacity summary'!$D$14="Yes",IF(COUNTBLANK('Capacity summary'!$H212:$BG212)&lt;52,IF('Capacity summary'!AQ212&lt;&gt;"",IF(LOWER('Capacity summary'!AQ212)="x",$BI93*AQ93,VALUE('Capacity summary'!AQ212)),0),AQ93*$BI93),AQ93*$BI93),0)</f>
        <v>0</v>
      </c>
      <c r="CU93" s="313">
        <f>IF($BI93&lt;&gt;"",IF('Capacity summary'!$D$14="Yes",IF(COUNTBLANK('Capacity summary'!$H212:$BG212)&lt;52,IF('Capacity summary'!AR212&lt;&gt;"",IF(LOWER('Capacity summary'!AR212)="x",$BI93*AR93,VALUE('Capacity summary'!AR212)),0),AR93*$BI93),AR93*$BI93),0)</f>
        <v>0</v>
      </c>
      <c r="CV93" s="313">
        <f>IF($BI93&lt;&gt;"",IF('Capacity summary'!$D$14="Yes",IF(COUNTBLANK('Capacity summary'!$H212:$BG212)&lt;52,IF('Capacity summary'!AS212&lt;&gt;"",IF(LOWER('Capacity summary'!AS212)="x",$BI93*AS93,VALUE('Capacity summary'!AS212)),0),AS93*$BI93),AS93*$BI93),0)</f>
        <v>0</v>
      </c>
      <c r="CW93" s="313">
        <f>IF($BI93&lt;&gt;"",IF('Capacity summary'!$D$14="Yes",IF(COUNTBLANK('Capacity summary'!$H212:$BG212)&lt;52,IF('Capacity summary'!AT212&lt;&gt;"",IF(LOWER('Capacity summary'!AT212)="x",$BI93*AT93,VALUE('Capacity summary'!AT212)),0),AT93*$BI93),AT93*$BI93),0)</f>
        <v>0</v>
      </c>
      <c r="CX93" s="313">
        <f>IF($BI93&lt;&gt;"",IF('Capacity summary'!$D$14="Yes",IF(COUNTBLANK('Capacity summary'!$H212:$BG212)&lt;52,IF('Capacity summary'!AU212&lt;&gt;"",IF(LOWER('Capacity summary'!AU212)="x",$BI93*AU93,VALUE('Capacity summary'!AU212)),0),AU93*$BI93),AU93*$BI93),0)</f>
        <v>0</v>
      </c>
      <c r="CY93" s="313">
        <f>IF($BI93&lt;&gt;"",IF('Capacity summary'!$D$14="Yes",IF(COUNTBLANK('Capacity summary'!$H212:$BG212)&lt;52,IF('Capacity summary'!AV212&lt;&gt;"",IF(LOWER('Capacity summary'!AV212)="x",$BI93*AV93,VALUE('Capacity summary'!AV212)),0),AV93*$BI93),AV93*$BI93),0)</f>
        <v>0</v>
      </c>
      <c r="CZ93" s="313">
        <f>IF($BI93&lt;&gt;"",IF('Capacity summary'!$D$14="Yes",IF(COUNTBLANK('Capacity summary'!$H212:$BG212)&lt;52,IF('Capacity summary'!AW212&lt;&gt;"",IF(LOWER('Capacity summary'!AW212)="x",$BI93*AW93,VALUE('Capacity summary'!AW212)),0),AW93*$BI93),AW93*$BI93),0)</f>
        <v>0</v>
      </c>
      <c r="DA93" s="313">
        <f>IF($BI93&lt;&gt;"",IF('Capacity summary'!$D$14="Yes",IF(COUNTBLANK('Capacity summary'!$H212:$BG212)&lt;52,IF('Capacity summary'!AX212&lt;&gt;"",IF(LOWER('Capacity summary'!AX212)="x",$BI93*AX93,VALUE('Capacity summary'!AX212)),0),AX93*$BI93),AX93*$BI93),0)</f>
        <v>0</v>
      </c>
      <c r="DB93" s="313">
        <f>IF($BI93&lt;&gt;"",IF('Capacity summary'!$D$14="Yes",IF(COUNTBLANK('Capacity summary'!$H212:$BG212)&lt;52,IF('Capacity summary'!AY212&lt;&gt;"",IF(LOWER('Capacity summary'!AY212)="x",$BI93*AY93,VALUE('Capacity summary'!AY212)),0),AY93*$BI93),AY93*$BI93),0)</f>
        <v>0</v>
      </c>
      <c r="DC93" s="313">
        <f>IF($BI93&lt;&gt;"",IF('Capacity summary'!$D$14="Yes",IF(COUNTBLANK('Capacity summary'!$H212:$BG212)&lt;52,IF('Capacity summary'!AZ212&lt;&gt;"",IF(LOWER('Capacity summary'!AZ212)="x",$BI93*AZ93,VALUE('Capacity summary'!AZ212)),0),AZ93*$BI93),AZ93*$BI93),0)</f>
        <v>0</v>
      </c>
      <c r="DD93" s="313">
        <f>IF($BI93&lt;&gt;"",IF('Capacity summary'!$D$14="Yes",IF(COUNTBLANK('Capacity summary'!$H212:$BG212)&lt;52,IF('Capacity summary'!BA212&lt;&gt;"",IF(LOWER('Capacity summary'!BA212)="x",$BI93*BA93,VALUE('Capacity summary'!BA212)),0),BA93*$BI93),BA93*$BI93),0)</f>
        <v>0</v>
      </c>
      <c r="DE93" s="313">
        <f>IF($BI93&lt;&gt;"",IF('Capacity summary'!$D$14="Yes",IF(COUNTBLANK('Capacity summary'!$H212:$BG212)&lt;52,IF('Capacity summary'!BB212&lt;&gt;"",IF(LOWER('Capacity summary'!BB212)="x",$BI93*BB93,VALUE('Capacity summary'!BB212)),0),BB93*$BI93),BB93*$BI93),0)</f>
        <v>0</v>
      </c>
      <c r="DF93" s="313">
        <f>IF($BI93&lt;&gt;"",IF('Capacity summary'!$D$14="Yes",IF(COUNTBLANK('Capacity summary'!$H212:$BG212)&lt;52,IF('Capacity summary'!BC212&lt;&gt;"",IF(LOWER('Capacity summary'!BC212)="x",$BI93*BC93,VALUE('Capacity summary'!BC212)),0),BC93*$BI93),BC93*$BI93),0)</f>
        <v>0</v>
      </c>
      <c r="DG93" s="313">
        <f>IF($BI93&lt;&gt;"",IF('Capacity summary'!$D$14="Yes",IF(COUNTBLANK('Capacity summary'!$H212:$BG212)&lt;52,IF('Capacity summary'!BD212&lt;&gt;"",IF(LOWER('Capacity summary'!BD212)="x",$BI93*BD93,VALUE('Capacity summary'!BD212)),0),BD93*$BI93),BD93*$BI93),0)</f>
        <v>0</v>
      </c>
      <c r="DH93" s="313">
        <f>IF($BI93&lt;&gt;"",IF('Capacity summary'!$D$14="Yes",IF(COUNTBLANK('Capacity summary'!$H212:$BG212)&lt;52,IF('Capacity summary'!BE212&lt;&gt;"",IF(LOWER('Capacity summary'!BE212)="x",$BI93*BE93,VALUE('Capacity summary'!BE212)),0),BE93*$BI93),BE93*$BI93),0)</f>
        <v>0</v>
      </c>
      <c r="DI93" s="313">
        <f>IF($BI93&lt;&gt;"",IF('Capacity summary'!$D$14="Yes",IF(COUNTBLANK('Capacity summary'!$H212:$BG212)&lt;52,IF('Capacity summary'!BF212&lt;&gt;"",IF(LOWER('Capacity summary'!BF212)="x",$BI93*BF93,VALUE('Capacity summary'!BF212)),0),BF93*$BI93),BF93*$BI93),0)</f>
        <v>0</v>
      </c>
      <c r="DJ93" s="313">
        <f>IF($BI93&lt;&gt;"",IF('Capacity summary'!$D$14="Yes",IF(COUNTBLANK('Capacity summary'!$H212:$BG212)&lt;52,IF('Capacity summary'!BG212&lt;&gt;"",IF(LOWER('Capacity summary'!BG212)="x",$BI93*BG93,VALUE('Capacity summary'!BG212)),0),BG93*$BI93),BG93*$BI93),0)</f>
        <v>0</v>
      </c>
      <c r="DK93" s="137">
        <f t="shared" si="3"/>
        <v>0</v>
      </c>
      <c r="DL93" s="313" t="str">
        <f>Capacity!H105</f>
        <v/>
      </c>
    </row>
    <row r="94" spans="2:116" x14ac:dyDescent="0.25">
      <c r="B94" s="67"/>
      <c r="C94" s="67" t="str">
        <f>ROW(A90)&amp;". "&amp;Capacity!B106</f>
        <v xml:space="preserve">90. </v>
      </c>
      <c r="D94" s="67">
        <f>'Capacity setup'!C101</f>
        <v>0</v>
      </c>
      <c r="E94" s="67">
        <f>'Capacity setup'!D101</f>
        <v>0</v>
      </c>
      <c r="F94" s="67">
        <f>'Capacity setup'!E101</f>
        <v>0</v>
      </c>
      <c r="H94" s="67">
        <f ca="1">IF(AND(SUMIF(Capacity_Resource,$D94,'Critical resources (hide)'!U$6:U$105)+SUMIF(Capacity_Resource,$E94,'Critical resources (hide)'!U$6:U$105)+SUMIF(Capacity_Resource,$F94,'Critical resources (hide)'!U$6:U$105)&gt;0,$E$1=2),0,1)</f>
        <v>1</v>
      </c>
      <c r="I94" s="67">
        <f ca="1">IF(AND(SUMIF(Capacity_Resource,$D94,'Critical resources (hide)'!V$6:V$105)+SUMIF(Capacity_Resource,$E94,'Critical resources (hide)'!V$6:V$105)+SUMIF(Capacity_Resource,$F94,'Critical resources (hide)'!V$6:V$105)&gt;0,$E$1=2),0,1)</f>
        <v>1</v>
      </c>
      <c r="J94" s="67">
        <f ca="1">IF(AND(SUMIF(Capacity_Resource,$D94,'Critical resources (hide)'!W$6:W$105)+SUMIF(Capacity_Resource,$E94,'Critical resources (hide)'!W$6:W$105)+SUMIF(Capacity_Resource,$F94,'Critical resources (hide)'!W$6:W$105)&gt;0,$E$1=2),0,1)</f>
        <v>1</v>
      </c>
      <c r="K94" s="67">
        <f ca="1">IF(AND(SUMIF(Capacity_Resource,$D94,'Critical resources (hide)'!X$6:X$105)+SUMIF(Capacity_Resource,$E94,'Critical resources (hide)'!X$6:X$105)+SUMIF(Capacity_Resource,$F94,'Critical resources (hide)'!X$6:X$105)&gt;0,$E$1=2),0,1)</f>
        <v>1</v>
      </c>
      <c r="L94" s="67">
        <f ca="1">IF(AND(SUMIF(Capacity_Resource,$D94,'Critical resources (hide)'!Y$6:Y$105)+SUMIF(Capacity_Resource,$E94,'Critical resources (hide)'!Y$6:Y$105)+SUMIF(Capacity_Resource,$F94,'Critical resources (hide)'!Y$6:Y$105)&gt;0,$E$1=2),0,1)</f>
        <v>1</v>
      </c>
      <c r="M94" s="67">
        <f ca="1">IF(AND(SUMIF(Capacity_Resource,$D94,'Critical resources (hide)'!Z$6:Z$105)+SUMIF(Capacity_Resource,$E94,'Critical resources (hide)'!Z$6:Z$105)+SUMIF(Capacity_Resource,$F94,'Critical resources (hide)'!Z$6:Z$105)&gt;0,$E$1=2),0,1)</f>
        <v>1</v>
      </c>
      <c r="N94" s="67">
        <f ca="1">IF(AND(SUMIF(Capacity_Resource,$D94,'Critical resources (hide)'!AA$6:AA$105)+SUMIF(Capacity_Resource,$E94,'Critical resources (hide)'!AA$6:AA$105)+SUMIF(Capacity_Resource,$F94,'Critical resources (hide)'!AA$6:AA$105)&gt;0,$E$1=2),0,1)</f>
        <v>1</v>
      </c>
      <c r="O94" s="67">
        <f ca="1">IF(AND(SUMIF(Capacity_Resource,$D94,'Critical resources (hide)'!AB$6:AB$105)+SUMIF(Capacity_Resource,$E94,'Critical resources (hide)'!AB$6:AB$105)+SUMIF(Capacity_Resource,$F94,'Critical resources (hide)'!AB$6:AB$105)&gt;0,$E$1=2),0,1)</f>
        <v>1</v>
      </c>
      <c r="P94" s="67">
        <f ca="1">IF(AND(SUMIF(Capacity_Resource,$D94,'Critical resources (hide)'!AC$6:AC$105)+SUMIF(Capacity_Resource,$E94,'Critical resources (hide)'!AC$6:AC$105)+SUMIF(Capacity_Resource,$F94,'Critical resources (hide)'!AC$6:AC$105)&gt;0,$E$1=2),0,1)</f>
        <v>1</v>
      </c>
      <c r="Q94" s="67">
        <f ca="1">IF(AND(SUMIF(Capacity_Resource,$D94,'Critical resources (hide)'!AD$6:AD$105)+SUMIF(Capacity_Resource,$E94,'Critical resources (hide)'!AD$6:AD$105)+SUMIF(Capacity_Resource,$F94,'Critical resources (hide)'!AD$6:AD$105)&gt;0,$E$1=2),0,1)</f>
        <v>1</v>
      </c>
      <c r="R94" s="67">
        <f ca="1">IF(AND(SUMIF(Capacity_Resource,$D94,'Critical resources (hide)'!AE$6:AE$105)+SUMIF(Capacity_Resource,$E94,'Critical resources (hide)'!AE$6:AE$105)+SUMIF(Capacity_Resource,$F94,'Critical resources (hide)'!AE$6:AE$105)&gt;0,$E$1=2),0,1)</f>
        <v>1</v>
      </c>
      <c r="S94" s="67">
        <f ca="1">IF(AND(SUMIF(Capacity_Resource,$D94,'Critical resources (hide)'!AF$6:AF$105)+SUMIF(Capacity_Resource,$E94,'Critical resources (hide)'!AF$6:AF$105)+SUMIF(Capacity_Resource,$F94,'Critical resources (hide)'!AF$6:AF$105)&gt;0,$E$1=2),0,1)</f>
        <v>1</v>
      </c>
      <c r="T94" s="67">
        <f ca="1">IF(AND(SUMIF(Capacity_Resource,$D94,'Critical resources (hide)'!AG$6:AG$105)+SUMIF(Capacity_Resource,$E94,'Critical resources (hide)'!AG$6:AG$105)+SUMIF(Capacity_Resource,$F94,'Critical resources (hide)'!AG$6:AG$105)&gt;0,$E$1=2),0,1)</f>
        <v>1</v>
      </c>
      <c r="U94" s="67">
        <f ca="1">IF(AND(SUMIF(Capacity_Resource,$D94,'Critical resources (hide)'!AH$6:AH$105)+SUMIF(Capacity_Resource,$E94,'Critical resources (hide)'!AH$6:AH$105)+SUMIF(Capacity_Resource,$F94,'Critical resources (hide)'!AH$6:AH$105)&gt;0,$E$1=2),0,1)</f>
        <v>1</v>
      </c>
      <c r="V94" s="67">
        <f ca="1">IF(AND(SUMIF(Capacity_Resource,$D94,'Critical resources (hide)'!AI$6:AI$105)+SUMIF(Capacity_Resource,$E94,'Critical resources (hide)'!AI$6:AI$105)+SUMIF(Capacity_Resource,$F94,'Critical resources (hide)'!AI$6:AI$105)&gt;0,$E$1=2),0,1)</f>
        <v>1</v>
      </c>
      <c r="W94" s="67">
        <f ca="1">IF(AND(SUMIF(Capacity_Resource,$D94,'Critical resources (hide)'!AJ$6:AJ$105)+SUMIF(Capacity_Resource,$E94,'Critical resources (hide)'!AJ$6:AJ$105)+SUMIF(Capacity_Resource,$F94,'Critical resources (hide)'!AJ$6:AJ$105)&gt;0,$E$1=2),0,1)</f>
        <v>1</v>
      </c>
      <c r="X94" s="67">
        <f ca="1">IF(AND(SUMIF(Capacity_Resource,$D94,'Critical resources (hide)'!AK$6:AK$105)+SUMIF(Capacity_Resource,$E94,'Critical resources (hide)'!AK$6:AK$105)+SUMIF(Capacity_Resource,$F94,'Critical resources (hide)'!AK$6:AK$105)&gt;0,$E$1=2),0,1)</f>
        <v>1</v>
      </c>
      <c r="Y94" s="67">
        <f ca="1">IF(AND(SUMIF(Capacity_Resource,$D94,'Critical resources (hide)'!AL$6:AL$105)+SUMIF(Capacity_Resource,$E94,'Critical resources (hide)'!AL$6:AL$105)+SUMIF(Capacity_Resource,$F94,'Critical resources (hide)'!AL$6:AL$105)&gt;0,$E$1=2),0,1)</f>
        <v>1</v>
      </c>
      <c r="Z94" s="67">
        <f ca="1">IF(AND(SUMIF(Capacity_Resource,$D94,'Critical resources (hide)'!AM$6:AM$105)+SUMIF(Capacity_Resource,$E94,'Critical resources (hide)'!AM$6:AM$105)+SUMIF(Capacity_Resource,$F94,'Critical resources (hide)'!AM$6:AM$105)&gt;0,$E$1=2),0,1)</f>
        <v>1</v>
      </c>
      <c r="AA94" s="67">
        <f ca="1">IF(AND(SUMIF(Capacity_Resource,$D94,'Critical resources (hide)'!AN$6:AN$105)+SUMIF(Capacity_Resource,$E94,'Critical resources (hide)'!AN$6:AN$105)+SUMIF(Capacity_Resource,$F94,'Critical resources (hide)'!AN$6:AN$105)&gt;0,$E$1=2),0,1)</f>
        <v>1</v>
      </c>
      <c r="AB94" s="67">
        <f ca="1">IF(AND(SUMIF(Capacity_Resource,$D94,'Critical resources (hide)'!AO$6:AO$105)+SUMIF(Capacity_Resource,$E94,'Critical resources (hide)'!AO$6:AO$105)+SUMIF(Capacity_Resource,$F94,'Critical resources (hide)'!AO$6:AO$105)&gt;0,$E$1=2),0,1)</f>
        <v>1</v>
      </c>
      <c r="AC94" s="67">
        <f ca="1">IF(AND(SUMIF(Capacity_Resource,$D94,'Critical resources (hide)'!AP$6:AP$105)+SUMIF(Capacity_Resource,$E94,'Critical resources (hide)'!AP$6:AP$105)+SUMIF(Capacity_Resource,$F94,'Critical resources (hide)'!AP$6:AP$105)&gt;0,$E$1=2),0,1)</f>
        <v>1</v>
      </c>
      <c r="AD94" s="67">
        <f ca="1">IF(AND(SUMIF(Capacity_Resource,$D94,'Critical resources (hide)'!AQ$6:AQ$105)+SUMIF(Capacity_Resource,$E94,'Critical resources (hide)'!AQ$6:AQ$105)+SUMIF(Capacity_Resource,$F94,'Critical resources (hide)'!AQ$6:AQ$105)&gt;0,$E$1=2),0,1)</f>
        <v>1</v>
      </c>
      <c r="AE94" s="67">
        <f ca="1">IF(AND(SUMIF(Capacity_Resource,$D94,'Critical resources (hide)'!AR$6:AR$105)+SUMIF(Capacity_Resource,$E94,'Critical resources (hide)'!AR$6:AR$105)+SUMIF(Capacity_Resource,$F94,'Critical resources (hide)'!AR$6:AR$105)&gt;0,$E$1=2),0,1)</f>
        <v>1</v>
      </c>
      <c r="AF94" s="67">
        <f ca="1">IF(AND(SUMIF(Capacity_Resource,$D94,'Critical resources (hide)'!AS$6:AS$105)+SUMIF(Capacity_Resource,$E94,'Critical resources (hide)'!AS$6:AS$105)+SUMIF(Capacity_Resource,$F94,'Critical resources (hide)'!AS$6:AS$105)&gt;0,$E$1=2),0,1)</f>
        <v>1</v>
      </c>
      <c r="AG94" s="67">
        <f ca="1">IF(AND(SUMIF(Capacity_Resource,$D94,'Critical resources (hide)'!AT$6:AT$105)+SUMIF(Capacity_Resource,$E94,'Critical resources (hide)'!AT$6:AT$105)+SUMIF(Capacity_Resource,$F94,'Critical resources (hide)'!AT$6:AT$105)&gt;0,$E$1=2),0,1)</f>
        <v>1</v>
      </c>
      <c r="AH94" s="67">
        <f ca="1">IF(AND(SUMIF(Capacity_Resource,$D94,'Critical resources (hide)'!AU$6:AU$105)+SUMIF(Capacity_Resource,$E94,'Critical resources (hide)'!AU$6:AU$105)+SUMIF(Capacity_Resource,$F94,'Critical resources (hide)'!AU$6:AU$105)&gt;0,$E$1=2),0,1)</f>
        <v>1</v>
      </c>
      <c r="AI94" s="67">
        <f ca="1">IF(AND(SUMIF(Capacity_Resource,$D94,'Critical resources (hide)'!AV$6:AV$105)+SUMIF(Capacity_Resource,$E94,'Critical resources (hide)'!AV$6:AV$105)+SUMIF(Capacity_Resource,$F94,'Critical resources (hide)'!AV$6:AV$105)&gt;0,$E$1=2),0,1)</f>
        <v>1</v>
      </c>
      <c r="AJ94" s="67">
        <f ca="1">IF(AND(SUMIF(Capacity_Resource,$D94,'Critical resources (hide)'!AW$6:AW$105)+SUMIF(Capacity_Resource,$E94,'Critical resources (hide)'!AW$6:AW$105)+SUMIF(Capacity_Resource,$F94,'Critical resources (hide)'!AW$6:AW$105)&gt;0,$E$1=2),0,1)</f>
        <v>1</v>
      </c>
      <c r="AK94" s="67">
        <f ca="1">IF(AND(SUMIF(Capacity_Resource,$D94,'Critical resources (hide)'!AX$6:AX$105)+SUMIF(Capacity_Resource,$E94,'Critical resources (hide)'!AX$6:AX$105)+SUMIF(Capacity_Resource,$F94,'Critical resources (hide)'!AX$6:AX$105)&gt;0,$E$1=2),0,1)</f>
        <v>1</v>
      </c>
      <c r="AL94" s="67">
        <f ca="1">IF(AND(SUMIF(Capacity_Resource,$D94,'Critical resources (hide)'!AY$6:AY$105)+SUMIF(Capacity_Resource,$E94,'Critical resources (hide)'!AY$6:AY$105)+SUMIF(Capacity_Resource,$F94,'Critical resources (hide)'!AY$6:AY$105)&gt;0,$E$1=2),0,1)</f>
        <v>1</v>
      </c>
      <c r="AM94" s="67">
        <f ca="1">IF(AND(SUMIF(Capacity_Resource,$D94,'Critical resources (hide)'!AZ$6:AZ$105)+SUMIF(Capacity_Resource,$E94,'Critical resources (hide)'!AZ$6:AZ$105)+SUMIF(Capacity_Resource,$F94,'Critical resources (hide)'!AZ$6:AZ$105)&gt;0,$E$1=2),0,1)</f>
        <v>1</v>
      </c>
      <c r="AN94" s="67">
        <f ca="1">IF(AND(SUMIF(Capacity_Resource,$D94,'Critical resources (hide)'!BA$6:BA$105)+SUMIF(Capacity_Resource,$E94,'Critical resources (hide)'!BA$6:BA$105)+SUMIF(Capacity_Resource,$F94,'Critical resources (hide)'!BA$6:BA$105)&gt;0,$E$1=2),0,1)</f>
        <v>1</v>
      </c>
      <c r="AO94" s="67">
        <f ca="1">IF(AND(SUMIF(Capacity_Resource,$D94,'Critical resources (hide)'!BB$6:BB$105)+SUMIF(Capacity_Resource,$E94,'Critical resources (hide)'!BB$6:BB$105)+SUMIF(Capacity_Resource,$F94,'Critical resources (hide)'!BB$6:BB$105)&gt;0,$E$1=2),0,1)</f>
        <v>1</v>
      </c>
      <c r="AP94" s="67">
        <f ca="1">IF(AND(SUMIF(Capacity_Resource,$D94,'Critical resources (hide)'!BC$6:BC$105)+SUMIF(Capacity_Resource,$E94,'Critical resources (hide)'!BC$6:BC$105)+SUMIF(Capacity_Resource,$F94,'Critical resources (hide)'!BC$6:BC$105)&gt;0,$E$1=2),0,1)</f>
        <v>1</v>
      </c>
      <c r="AQ94" s="67">
        <f ca="1">IF(AND(SUMIF(Capacity_Resource,$D94,'Critical resources (hide)'!BD$6:BD$105)+SUMIF(Capacity_Resource,$E94,'Critical resources (hide)'!BD$6:BD$105)+SUMIF(Capacity_Resource,$F94,'Critical resources (hide)'!BD$6:BD$105)&gt;0,$E$1=2),0,1)</f>
        <v>1</v>
      </c>
      <c r="AR94" s="67">
        <f ca="1">IF(AND(SUMIF(Capacity_Resource,$D94,'Critical resources (hide)'!BE$6:BE$105)+SUMIF(Capacity_Resource,$E94,'Critical resources (hide)'!BE$6:BE$105)+SUMIF(Capacity_Resource,$F94,'Critical resources (hide)'!BE$6:BE$105)&gt;0,$E$1=2),0,1)</f>
        <v>1</v>
      </c>
      <c r="AS94" s="67">
        <f ca="1">IF(AND(SUMIF(Capacity_Resource,$D94,'Critical resources (hide)'!BF$6:BF$105)+SUMIF(Capacity_Resource,$E94,'Critical resources (hide)'!BF$6:BF$105)+SUMIF(Capacity_Resource,$F94,'Critical resources (hide)'!BF$6:BF$105)&gt;0,$E$1=2),0,1)</f>
        <v>1</v>
      </c>
      <c r="AT94" s="67">
        <f ca="1">IF(AND(SUMIF(Capacity_Resource,$D94,'Critical resources (hide)'!BG$6:BG$105)+SUMIF(Capacity_Resource,$E94,'Critical resources (hide)'!BG$6:BG$105)+SUMIF(Capacity_Resource,$F94,'Critical resources (hide)'!BG$6:BG$105)&gt;0,$E$1=2),0,1)</f>
        <v>1</v>
      </c>
      <c r="AU94" s="67">
        <f ca="1">IF(AND(SUMIF(Capacity_Resource,$D94,'Critical resources (hide)'!BH$6:BH$105)+SUMIF(Capacity_Resource,$E94,'Critical resources (hide)'!BH$6:BH$105)+SUMIF(Capacity_Resource,$F94,'Critical resources (hide)'!BH$6:BH$105)&gt;0,$E$1=2),0,1)</f>
        <v>1</v>
      </c>
      <c r="AV94" s="67">
        <f ca="1">IF(AND(SUMIF(Capacity_Resource,$D94,'Critical resources (hide)'!BI$6:BI$105)+SUMIF(Capacity_Resource,$E94,'Critical resources (hide)'!BI$6:BI$105)+SUMIF(Capacity_Resource,$F94,'Critical resources (hide)'!BI$6:BI$105)&gt;0,$E$1=2),0,1)</f>
        <v>1</v>
      </c>
      <c r="AW94" s="67">
        <f ca="1">IF(AND(SUMIF(Capacity_Resource,$D94,'Critical resources (hide)'!BJ$6:BJ$105)+SUMIF(Capacity_Resource,$E94,'Critical resources (hide)'!BJ$6:BJ$105)+SUMIF(Capacity_Resource,$F94,'Critical resources (hide)'!BJ$6:BJ$105)&gt;0,$E$1=2),0,1)</f>
        <v>1</v>
      </c>
      <c r="AX94" s="67">
        <f ca="1">IF(AND(SUMIF(Capacity_Resource,$D94,'Critical resources (hide)'!BK$6:BK$105)+SUMIF(Capacity_Resource,$E94,'Critical resources (hide)'!BK$6:BK$105)+SUMIF(Capacity_Resource,$F94,'Critical resources (hide)'!BK$6:BK$105)&gt;0,$E$1=2),0,1)</f>
        <v>1</v>
      </c>
      <c r="AY94" s="67">
        <f ca="1">IF(AND(SUMIF(Capacity_Resource,$D94,'Critical resources (hide)'!BL$6:BL$105)+SUMIF(Capacity_Resource,$E94,'Critical resources (hide)'!BL$6:BL$105)+SUMIF(Capacity_Resource,$F94,'Critical resources (hide)'!BL$6:BL$105)&gt;0,$E$1=2),0,1)</f>
        <v>1</v>
      </c>
      <c r="AZ94" s="67">
        <f ca="1">IF(AND(SUMIF(Capacity_Resource,$D94,'Critical resources (hide)'!BM$6:BM$105)+SUMIF(Capacity_Resource,$E94,'Critical resources (hide)'!BM$6:BM$105)+SUMIF(Capacity_Resource,$F94,'Critical resources (hide)'!BM$6:BM$105)&gt;0,$E$1=2),0,1)</f>
        <v>1</v>
      </c>
      <c r="BA94" s="67">
        <f ca="1">IF(AND(SUMIF(Capacity_Resource,$D94,'Critical resources (hide)'!BN$6:BN$105)+SUMIF(Capacity_Resource,$E94,'Critical resources (hide)'!BN$6:BN$105)+SUMIF(Capacity_Resource,$F94,'Critical resources (hide)'!BN$6:BN$105)&gt;0,$E$1=2),0,1)</f>
        <v>1</v>
      </c>
      <c r="BB94" s="67">
        <f ca="1">IF(AND(SUMIF(Capacity_Resource,$D94,'Critical resources (hide)'!BO$6:BO$105)+SUMIF(Capacity_Resource,$E94,'Critical resources (hide)'!BO$6:BO$105)+SUMIF(Capacity_Resource,$F94,'Critical resources (hide)'!BO$6:BO$105)&gt;0,$E$1=2),0,1)</f>
        <v>1</v>
      </c>
      <c r="BC94" s="67">
        <f ca="1">IF(AND(SUMIF(Capacity_Resource,$D94,'Critical resources (hide)'!BP$6:BP$105)+SUMIF(Capacity_Resource,$E94,'Critical resources (hide)'!BP$6:BP$105)+SUMIF(Capacity_Resource,$F94,'Critical resources (hide)'!BP$6:BP$105)&gt;0,$E$1=2),0,1)</f>
        <v>1</v>
      </c>
      <c r="BD94" s="67">
        <f ca="1">IF(AND(SUMIF(Capacity_Resource,$D94,'Critical resources (hide)'!BQ$6:BQ$105)+SUMIF(Capacity_Resource,$E94,'Critical resources (hide)'!BQ$6:BQ$105)+SUMIF(Capacity_Resource,$F94,'Critical resources (hide)'!BQ$6:BQ$105)&gt;0,$E$1=2),0,1)</f>
        <v>1</v>
      </c>
      <c r="BE94" s="67">
        <f ca="1">IF(AND(SUMIF(Capacity_Resource,$D94,'Critical resources (hide)'!BR$6:BR$105)+SUMIF(Capacity_Resource,$E94,'Critical resources (hide)'!BR$6:BR$105)+SUMIF(Capacity_Resource,$F94,'Critical resources (hide)'!BR$6:BR$105)&gt;0,$E$1=2),0,1)</f>
        <v>1</v>
      </c>
      <c r="BF94" s="67">
        <f ca="1">IF(AND(SUMIF(Capacity_Resource,$D94,'Critical resources (hide)'!BS$6:BS$105)+SUMIF(Capacity_Resource,$E94,'Critical resources (hide)'!BS$6:BS$105)+SUMIF(Capacity_Resource,$F94,'Critical resources (hide)'!BS$6:BS$105)&gt;0,$E$1=2),0,1)</f>
        <v>1</v>
      </c>
      <c r="BG94" s="67">
        <f ca="1">IF(AND(SUMIF(Capacity_Resource,$D94,'Critical resources (hide)'!BT$6:BT$105)+SUMIF(Capacity_Resource,$E94,'Critical resources (hide)'!BT$6:BT$105)+SUMIF(Capacity_Resource,$F94,'Critical resources (hide)'!BT$6:BT$105)&gt;0,$E$1=2),0,1)</f>
        <v>1</v>
      </c>
      <c r="BH94" s="67">
        <f>IF(ROW(C90)&lt;=Capacity!$A$16,IF('Capacity summary'!$D$14="No",SUM(H94:BG94),'Capacity summary'!$E213),0)</f>
        <v>0</v>
      </c>
      <c r="BI94" s="5" t="str">
        <f>IF(BH94&gt;0,IF(BH94&lt;Capacity!E106,Capacity!F106,Capacity!H106/'Capacity calculation (hide)'!BH94),"")</f>
        <v/>
      </c>
      <c r="BK94" s="313">
        <f>IF($BI94&lt;&gt;"",IF('Capacity summary'!$D$14="Yes",IF(COUNTBLANK('Capacity summary'!$H213:$BG213)&lt;52,IF('Capacity summary'!H213&lt;&gt;"",IF(LOWER('Capacity summary'!H213)="x",$BI94*H94,VALUE('Capacity summary'!H213)),0),H94*$BI94),H94*$BI94),0)</f>
        <v>0</v>
      </c>
      <c r="BL94" s="313">
        <f>IF($BI94&lt;&gt;"",IF('Capacity summary'!$D$14="Yes",IF(COUNTBLANK('Capacity summary'!$H213:$BG213)&lt;52,IF('Capacity summary'!I213&lt;&gt;"",IF(LOWER('Capacity summary'!I213)="x",$BI94*I94,VALUE('Capacity summary'!I213)),0),I94*$BI94),I94*$BI94),0)</f>
        <v>0</v>
      </c>
      <c r="BM94" s="313">
        <f>IF($BI94&lt;&gt;"",IF('Capacity summary'!$D$14="Yes",IF(COUNTBLANK('Capacity summary'!$H213:$BG213)&lt;52,IF('Capacity summary'!J213&lt;&gt;"",IF(LOWER('Capacity summary'!J213)="x",$BI94*J94,VALUE('Capacity summary'!J213)),0),J94*$BI94),J94*$BI94),0)</f>
        <v>0</v>
      </c>
      <c r="BN94" s="313">
        <f>IF($BI94&lt;&gt;"",IF('Capacity summary'!$D$14="Yes",IF(COUNTBLANK('Capacity summary'!$H213:$BG213)&lt;52,IF('Capacity summary'!K213&lt;&gt;"",IF(LOWER('Capacity summary'!K213)="x",$BI94*K94,VALUE('Capacity summary'!K213)),0),K94*$BI94),K94*$BI94),0)</f>
        <v>0</v>
      </c>
      <c r="BO94" s="313">
        <f>IF($BI94&lt;&gt;"",IF('Capacity summary'!$D$14="Yes",IF(COUNTBLANK('Capacity summary'!$H213:$BG213)&lt;52,IF('Capacity summary'!L213&lt;&gt;"",IF(LOWER('Capacity summary'!L213)="x",$BI94*L94,VALUE('Capacity summary'!L213)),0),L94*$BI94),L94*$BI94),0)</f>
        <v>0</v>
      </c>
      <c r="BP94" s="313">
        <f>IF($BI94&lt;&gt;"",IF('Capacity summary'!$D$14="Yes",IF(COUNTBLANK('Capacity summary'!$H213:$BG213)&lt;52,IF('Capacity summary'!M213&lt;&gt;"",IF(LOWER('Capacity summary'!M213)="x",$BI94*M94,VALUE('Capacity summary'!M213)),0),M94*$BI94),M94*$BI94),0)</f>
        <v>0</v>
      </c>
      <c r="BQ94" s="313">
        <f>IF($BI94&lt;&gt;"",IF('Capacity summary'!$D$14="Yes",IF(COUNTBLANK('Capacity summary'!$H213:$BG213)&lt;52,IF('Capacity summary'!N213&lt;&gt;"",IF(LOWER('Capacity summary'!N213)="x",$BI94*N94,VALUE('Capacity summary'!N213)),0),N94*$BI94),N94*$BI94),0)</f>
        <v>0</v>
      </c>
      <c r="BR94" s="313">
        <f>IF($BI94&lt;&gt;"",IF('Capacity summary'!$D$14="Yes",IF(COUNTBLANK('Capacity summary'!$H213:$BG213)&lt;52,IF('Capacity summary'!O213&lt;&gt;"",IF(LOWER('Capacity summary'!O213)="x",$BI94*O94,VALUE('Capacity summary'!O213)),0),O94*$BI94),O94*$BI94),0)</f>
        <v>0</v>
      </c>
      <c r="BS94" s="313">
        <f>IF($BI94&lt;&gt;"",IF('Capacity summary'!$D$14="Yes",IF(COUNTBLANK('Capacity summary'!$H213:$BG213)&lt;52,IF('Capacity summary'!P213&lt;&gt;"",IF(LOWER('Capacity summary'!P213)="x",$BI94*P94,VALUE('Capacity summary'!P213)),0),P94*$BI94),P94*$BI94),0)</f>
        <v>0</v>
      </c>
      <c r="BT94" s="313">
        <f>IF($BI94&lt;&gt;"",IF('Capacity summary'!$D$14="Yes",IF(COUNTBLANK('Capacity summary'!$H213:$BG213)&lt;52,IF('Capacity summary'!Q213&lt;&gt;"",IF(LOWER('Capacity summary'!Q213)="x",$BI94*Q94,VALUE('Capacity summary'!Q213)),0),Q94*$BI94),Q94*$BI94),0)</f>
        <v>0</v>
      </c>
      <c r="BU94" s="313">
        <f>IF($BI94&lt;&gt;"",IF('Capacity summary'!$D$14="Yes",IF(COUNTBLANK('Capacity summary'!$H213:$BG213)&lt;52,IF('Capacity summary'!R213&lt;&gt;"",IF(LOWER('Capacity summary'!R213)="x",$BI94*R94,VALUE('Capacity summary'!R213)),0),R94*$BI94),R94*$BI94),0)</f>
        <v>0</v>
      </c>
      <c r="BV94" s="313">
        <f>IF($BI94&lt;&gt;"",IF('Capacity summary'!$D$14="Yes",IF(COUNTBLANK('Capacity summary'!$H213:$BG213)&lt;52,IF('Capacity summary'!S213&lt;&gt;"",IF(LOWER('Capacity summary'!S213)="x",$BI94*S94,VALUE('Capacity summary'!S213)),0),S94*$BI94),S94*$BI94),0)</f>
        <v>0</v>
      </c>
      <c r="BW94" s="313">
        <f>IF($BI94&lt;&gt;"",IF('Capacity summary'!$D$14="Yes",IF(COUNTBLANK('Capacity summary'!$H213:$BG213)&lt;52,IF('Capacity summary'!T213&lt;&gt;"",IF(LOWER('Capacity summary'!T213)="x",$BI94*T94,VALUE('Capacity summary'!T213)),0),T94*$BI94),T94*$BI94),0)</f>
        <v>0</v>
      </c>
      <c r="BX94" s="313">
        <f>IF($BI94&lt;&gt;"",IF('Capacity summary'!$D$14="Yes",IF(COUNTBLANK('Capacity summary'!$H213:$BG213)&lt;52,IF('Capacity summary'!U213&lt;&gt;"",IF(LOWER('Capacity summary'!U213)="x",$BI94*U94,VALUE('Capacity summary'!U213)),0),U94*$BI94),U94*$BI94),0)</f>
        <v>0</v>
      </c>
      <c r="BY94" s="313">
        <f>IF($BI94&lt;&gt;"",IF('Capacity summary'!$D$14="Yes",IF(COUNTBLANK('Capacity summary'!$H213:$BG213)&lt;52,IF('Capacity summary'!V213&lt;&gt;"",IF(LOWER('Capacity summary'!V213)="x",$BI94*V94,VALUE('Capacity summary'!V213)),0),V94*$BI94),V94*$BI94),0)</f>
        <v>0</v>
      </c>
      <c r="BZ94" s="313">
        <f>IF($BI94&lt;&gt;"",IF('Capacity summary'!$D$14="Yes",IF(COUNTBLANK('Capacity summary'!$H213:$BG213)&lt;52,IF('Capacity summary'!W213&lt;&gt;"",IF(LOWER('Capacity summary'!W213)="x",$BI94*W94,VALUE('Capacity summary'!W213)),0),W94*$BI94),W94*$BI94),0)</f>
        <v>0</v>
      </c>
      <c r="CA94" s="313">
        <f>IF($BI94&lt;&gt;"",IF('Capacity summary'!$D$14="Yes",IF(COUNTBLANK('Capacity summary'!$H213:$BG213)&lt;52,IF('Capacity summary'!X213&lt;&gt;"",IF(LOWER('Capacity summary'!X213)="x",$BI94*X94,VALUE('Capacity summary'!X213)),0),X94*$BI94),X94*$BI94),0)</f>
        <v>0</v>
      </c>
      <c r="CB94" s="313">
        <f>IF($BI94&lt;&gt;"",IF('Capacity summary'!$D$14="Yes",IF(COUNTBLANK('Capacity summary'!$H213:$BG213)&lt;52,IF('Capacity summary'!Y213&lt;&gt;"",IF(LOWER('Capacity summary'!Y213)="x",$BI94*Y94,VALUE('Capacity summary'!Y213)),0),Y94*$BI94),Y94*$BI94),0)</f>
        <v>0</v>
      </c>
      <c r="CC94" s="313">
        <f>IF($BI94&lt;&gt;"",IF('Capacity summary'!$D$14="Yes",IF(COUNTBLANK('Capacity summary'!$H213:$BG213)&lt;52,IF('Capacity summary'!Z213&lt;&gt;"",IF(LOWER('Capacity summary'!Z213)="x",$BI94*Z94,VALUE('Capacity summary'!Z213)),0),Z94*$BI94),Z94*$BI94),0)</f>
        <v>0</v>
      </c>
      <c r="CD94" s="313">
        <f>IF($BI94&lt;&gt;"",IF('Capacity summary'!$D$14="Yes",IF(COUNTBLANK('Capacity summary'!$H213:$BG213)&lt;52,IF('Capacity summary'!AA213&lt;&gt;"",IF(LOWER('Capacity summary'!AA213)="x",$BI94*AA94,VALUE('Capacity summary'!AA213)),0),AA94*$BI94),AA94*$BI94),0)</f>
        <v>0</v>
      </c>
      <c r="CE94" s="313">
        <f>IF($BI94&lt;&gt;"",IF('Capacity summary'!$D$14="Yes",IF(COUNTBLANK('Capacity summary'!$H213:$BG213)&lt;52,IF('Capacity summary'!AB213&lt;&gt;"",IF(LOWER('Capacity summary'!AB213)="x",$BI94*AB94,VALUE('Capacity summary'!AB213)),0),AB94*$BI94),AB94*$BI94),0)</f>
        <v>0</v>
      </c>
      <c r="CF94" s="313">
        <f>IF($BI94&lt;&gt;"",IF('Capacity summary'!$D$14="Yes",IF(COUNTBLANK('Capacity summary'!$H213:$BG213)&lt;52,IF('Capacity summary'!AC213&lt;&gt;"",IF(LOWER('Capacity summary'!AC213)="x",$BI94*AC94,VALUE('Capacity summary'!AC213)),0),AC94*$BI94),AC94*$BI94),0)</f>
        <v>0</v>
      </c>
      <c r="CG94" s="313">
        <f>IF($BI94&lt;&gt;"",IF('Capacity summary'!$D$14="Yes",IF(COUNTBLANK('Capacity summary'!$H213:$BG213)&lt;52,IF('Capacity summary'!AD213&lt;&gt;"",IF(LOWER('Capacity summary'!AD213)="x",$BI94*AD94,VALUE('Capacity summary'!AD213)),0),AD94*$BI94),AD94*$BI94),0)</f>
        <v>0</v>
      </c>
      <c r="CH94" s="313">
        <f>IF($BI94&lt;&gt;"",IF('Capacity summary'!$D$14="Yes",IF(COUNTBLANK('Capacity summary'!$H213:$BG213)&lt;52,IF('Capacity summary'!AE213&lt;&gt;"",IF(LOWER('Capacity summary'!AE213)="x",$BI94*AE94,VALUE('Capacity summary'!AE213)),0),AE94*$BI94),AE94*$BI94),0)</f>
        <v>0</v>
      </c>
      <c r="CI94" s="313">
        <f>IF($BI94&lt;&gt;"",IF('Capacity summary'!$D$14="Yes",IF(COUNTBLANK('Capacity summary'!$H213:$BG213)&lt;52,IF('Capacity summary'!AF213&lt;&gt;"",IF(LOWER('Capacity summary'!AF213)="x",$BI94*AF94,VALUE('Capacity summary'!AF213)),0),AF94*$BI94),AF94*$BI94),0)</f>
        <v>0</v>
      </c>
      <c r="CJ94" s="313">
        <f>IF($BI94&lt;&gt;"",IF('Capacity summary'!$D$14="Yes",IF(COUNTBLANK('Capacity summary'!$H213:$BG213)&lt;52,IF('Capacity summary'!AG213&lt;&gt;"",IF(LOWER('Capacity summary'!AG213)="x",$BI94*AG94,VALUE('Capacity summary'!AG213)),0),AG94*$BI94),AG94*$BI94),0)</f>
        <v>0</v>
      </c>
      <c r="CK94" s="313">
        <f>IF($BI94&lt;&gt;"",IF('Capacity summary'!$D$14="Yes",IF(COUNTBLANK('Capacity summary'!$H213:$BG213)&lt;52,IF('Capacity summary'!AH213&lt;&gt;"",IF(LOWER('Capacity summary'!AH213)="x",$BI94*AH94,VALUE('Capacity summary'!AH213)),0),AH94*$BI94),AH94*$BI94),0)</f>
        <v>0</v>
      </c>
      <c r="CL94" s="313">
        <f>IF($BI94&lt;&gt;"",IF('Capacity summary'!$D$14="Yes",IF(COUNTBLANK('Capacity summary'!$H213:$BG213)&lt;52,IF('Capacity summary'!AI213&lt;&gt;"",IF(LOWER('Capacity summary'!AI213)="x",$BI94*AI94,VALUE('Capacity summary'!AI213)),0),AI94*$BI94),AI94*$BI94),0)</f>
        <v>0</v>
      </c>
      <c r="CM94" s="313">
        <f>IF($BI94&lt;&gt;"",IF('Capacity summary'!$D$14="Yes",IF(COUNTBLANK('Capacity summary'!$H213:$BG213)&lt;52,IF('Capacity summary'!AJ213&lt;&gt;"",IF(LOWER('Capacity summary'!AJ213)="x",$BI94*AJ94,VALUE('Capacity summary'!AJ213)),0),AJ94*$BI94),AJ94*$BI94),0)</f>
        <v>0</v>
      </c>
      <c r="CN94" s="313">
        <f>IF($BI94&lt;&gt;"",IF('Capacity summary'!$D$14="Yes",IF(COUNTBLANK('Capacity summary'!$H213:$BG213)&lt;52,IF('Capacity summary'!AK213&lt;&gt;"",IF(LOWER('Capacity summary'!AK213)="x",$BI94*AK94,VALUE('Capacity summary'!AK213)),0),AK94*$BI94),AK94*$BI94),0)</f>
        <v>0</v>
      </c>
      <c r="CO94" s="313">
        <f>IF($BI94&lt;&gt;"",IF('Capacity summary'!$D$14="Yes",IF(COUNTBLANK('Capacity summary'!$H213:$BG213)&lt;52,IF('Capacity summary'!AL213&lt;&gt;"",IF(LOWER('Capacity summary'!AL213)="x",$BI94*AL94,VALUE('Capacity summary'!AL213)),0),AL94*$BI94),AL94*$BI94),0)</f>
        <v>0</v>
      </c>
      <c r="CP94" s="313">
        <f>IF($BI94&lt;&gt;"",IF('Capacity summary'!$D$14="Yes",IF(COUNTBLANK('Capacity summary'!$H213:$BG213)&lt;52,IF('Capacity summary'!AM213&lt;&gt;"",IF(LOWER('Capacity summary'!AM213)="x",$BI94*AM94,VALUE('Capacity summary'!AM213)),0),AM94*$BI94),AM94*$BI94),0)</f>
        <v>0</v>
      </c>
      <c r="CQ94" s="313">
        <f>IF($BI94&lt;&gt;"",IF('Capacity summary'!$D$14="Yes",IF(COUNTBLANK('Capacity summary'!$H213:$BG213)&lt;52,IF('Capacity summary'!AN213&lt;&gt;"",IF(LOWER('Capacity summary'!AN213)="x",$BI94*AN94,VALUE('Capacity summary'!AN213)),0),AN94*$BI94),AN94*$BI94),0)</f>
        <v>0</v>
      </c>
      <c r="CR94" s="313">
        <f>IF($BI94&lt;&gt;"",IF('Capacity summary'!$D$14="Yes",IF(COUNTBLANK('Capacity summary'!$H213:$BG213)&lt;52,IF('Capacity summary'!AO213&lt;&gt;"",IF(LOWER('Capacity summary'!AO213)="x",$BI94*AO94,VALUE('Capacity summary'!AO213)),0),AO94*$BI94),AO94*$BI94),0)</f>
        <v>0</v>
      </c>
      <c r="CS94" s="313">
        <f>IF($BI94&lt;&gt;"",IF('Capacity summary'!$D$14="Yes",IF(COUNTBLANK('Capacity summary'!$H213:$BG213)&lt;52,IF('Capacity summary'!AP213&lt;&gt;"",IF(LOWER('Capacity summary'!AP213)="x",$BI94*AP94,VALUE('Capacity summary'!AP213)),0),AP94*$BI94),AP94*$BI94),0)</f>
        <v>0</v>
      </c>
      <c r="CT94" s="313">
        <f>IF($BI94&lt;&gt;"",IF('Capacity summary'!$D$14="Yes",IF(COUNTBLANK('Capacity summary'!$H213:$BG213)&lt;52,IF('Capacity summary'!AQ213&lt;&gt;"",IF(LOWER('Capacity summary'!AQ213)="x",$BI94*AQ94,VALUE('Capacity summary'!AQ213)),0),AQ94*$BI94),AQ94*$BI94),0)</f>
        <v>0</v>
      </c>
      <c r="CU94" s="313">
        <f>IF($BI94&lt;&gt;"",IF('Capacity summary'!$D$14="Yes",IF(COUNTBLANK('Capacity summary'!$H213:$BG213)&lt;52,IF('Capacity summary'!AR213&lt;&gt;"",IF(LOWER('Capacity summary'!AR213)="x",$BI94*AR94,VALUE('Capacity summary'!AR213)),0),AR94*$BI94),AR94*$BI94),0)</f>
        <v>0</v>
      </c>
      <c r="CV94" s="313">
        <f>IF($BI94&lt;&gt;"",IF('Capacity summary'!$D$14="Yes",IF(COUNTBLANK('Capacity summary'!$H213:$BG213)&lt;52,IF('Capacity summary'!AS213&lt;&gt;"",IF(LOWER('Capacity summary'!AS213)="x",$BI94*AS94,VALUE('Capacity summary'!AS213)),0),AS94*$BI94),AS94*$BI94),0)</f>
        <v>0</v>
      </c>
      <c r="CW94" s="313">
        <f>IF($BI94&lt;&gt;"",IF('Capacity summary'!$D$14="Yes",IF(COUNTBLANK('Capacity summary'!$H213:$BG213)&lt;52,IF('Capacity summary'!AT213&lt;&gt;"",IF(LOWER('Capacity summary'!AT213)="x",$BI94*AT94,VALUE('Capacity summary'!AT213)),0),AT94*$BI94),AT94*$BI94),0)</f>
        <v>0</v>
      </c>
      <c r="CX94" s="313">
        <f>IF($BI94&lt;&gt;"",IF('Capacity summary'!$D$14="Yes",IF(COUNTBLANK('Capacity summary'!$H213:$BG213)&lt;52,IF('Capacity summary'!AU213&lt;&gt;"",IF(LOWER('Capacity summary'!AU213)="x",$BI94*AU94,VALUE('Capacity summary'!AU213)),0),AU94*$BI94),AU94*$BI94),0)</f>
        <v>0</v>
      </c>
      <c r="CY94" s="313">
        <f>IF($BI94&lt;&gt;"",IF('Capacity summary'!$D$14="Yes",IF(COUNTBLANK('Capacity summary'!$H213:$BG213)&lt;52,IF('Capacity summary'!AV213&lt;&gt;"",IF(LOWER('Capacity summary'!AV213)="x",$BI94*AV94,VALUE('Capacity summary'!AV213)),0),AV94*$BI94),AV94*$BI94),0)</f>
        <v>0</v>
      </c>
      <c r="CZ94" s="313">
        <f>IF($BI94&lt;&gt;"",IF('Capacity summary'!$D$14="Yes",IF(COUNTBLANK('Capacity summary'!$H213:$BG213)&lt;52,IF('Capacity summary'!AW213&lt;&gt;"",IF(LOWER('Capacity summary'!AW213)="x",$BI94*AW94,VALUE('Capacity summary'!AW213)),0),AW94*$BI94),AW94*$BI94),0)</f>
        <v>0</v>
      </c>
      <c r="DA94" s="313">
        <f>IF($BI94&lt;&gt;"",IF('Capacity summary'!$D$14="Yes",IF(COUNTBLANK('Capacity summary'!$H213:$BG213)&lt;52,IF('Capacity summary'!AX213&lt;&gt;"",IF(LOWER('Capacity summary'!AX213)="x",$BI94*AX94,VALUE('Capacity summary'!AX213)),0),AX94*$BI94),AX94*$BI94),0)</f>
        <v>0</v>
      </c>
      <c r="DB94" s="313">
        <f>IF($BI94&lt;&gt;"",IF('Capacity summary'!$D$14="Yes",IF(COUNTBLANK('Capacity summary'!$H213:$BG213)&lt;52,IF('Capacity summary'!AY213&lt;&gt;"",IF(LOWER('Capacity summary'!AY213)="x",$BI94*AY94,VALUE('Capacity summary'!AY213)),0),AY94*$BI94),AY94*$BI94),0)</f>
        <v>0</v>
      </c>
      <c r="DC94" s="313">
        <f>IF($BI94&lt;&gt;"",IF('Capacity summary'!$D$14="Yes",IF(COUNTBLANK('Capacity summary'!$H213:$BG213)&lt;52,IF('Capacity summary'!AZ213&lt;&gt;"",IF(LOWER('Capacity summary'!AZ213)="x",$BI94*AZ94,VALUE('Capacity summary'!AZ213)),0),AZ94*$BI94),AZ94*$BI94),0)</f>
        <v>0</v>
      </c>
      <c r="DD94" s="313">
        <f>IF($BI94&lt;&gt;"",IF('Capacity summary'!$D$14="Yes",IF(COUNTBLANK('Capacity summary'!$H213:$BG213)&lt;52,IF('Capacity summary'!BA213&lt;&gt;"",IF(LOWER('Capacity summary'!BA213)="x",$BI94*BA94,VALUE('Capacity summary'!BA213)),0),BA94*$BI94),BA94*$BI94),0)</f>
        <v>0</v>
      </c>
      <c r="DE94" s="313">
        <f>IF($BI94&lt;&gt;"",IF('Capacity summary'!$D$14="Yes",IF(COUNTBLANK('Capacity summary'!$H213:$BG213)&lt;52,IF('Capacity summary'!BB213&lt;&gt;"",IF(LOWER('Capacity summary'!BB213)="x",$BI94*BB94,VALUE('Capacity summary'!BB213)),0),BB94*$BI94),BB94*$BI94),0)</f>
        <v>0</v>
      </c>
      <c r="DF94" s="313">
        <f>IF($BI94&lt;&gt;"",IF('Capacity summary'!$D$14="Yes",IF(COUNTBLANK('Capacity summary'!$H213:$BG213)&lt;52,IF('Capacity summary'!BC213&lt;&gt;"",IF(LOWER('Capacity summary'!BC213)="x",$BI94*BC94,VALUE('Capacity summary'!BC213)),0),BC94*$BI94),BC94*$BI94),0)</f>
        <v>0</v>
      </c>
      <c r="DG94" s="313">
        <f>IF($BI94&lt;&gt;"",IF('Capacity summary'!$D$14="Yes",IF(COUNTBLANK('Capacity summary'!$H213:$BG213)&lt;52,IF('Capacity summary'!BD213&lt;&gt;"",IF(LOWER('Capacity summary'!BD213)="x",$BI94*BD94,VALUE('Capacity summary'!BD213)),0),BD94*$BI94),BD94*$BI94),0)</f>
        <v>0</v>
      </c>
      <c r="DH94" s="313">
        <f>IF($BI94&lt;&gt;"",IF('Capacity summary'!$D$14="Yes",IF(COUNTBLANK('Capacity summary'!$H213:$BG213)&lt;52,IF('Capacity summary'!BE213&lt;&gt;"",IF(LOWER('Capacity summary'!BE213)="x",$BI94*BE94,VALUE('Capacity summary'!BE213)),0),BE94*$BI94),BE94*$BI94),0)</f>
        <v>0</v>
      </c>
      <c r="DI94" s="313">
        <f>IF($BI94&lt;&gt;"",IF('Capacity summary'!$D$14="Yes",IF(COUNTBLANK('Capacity summary'!$H213:$BG213)&lt;52,IF('Capacity summary'!BF213&lt;&gt;"",IF(LOWER('Capacity summary'!BF213)="x",$BI94*BF94,VALUE('Capacity summary'!BF213)),0),BF94*$BI94),BF94*$BI94),0)</f>
        <v>0</v>
      </c>
      <c r="DJ94" s="313">
        <f>IF($BI94&lt;&gt;"",IF('Capacity summary'!$D$14="Yes",IF(COUNTBLANK('Capacity summary'!$H213:$BG213)&lt;52,IF('Capacity summary'!BG213&lt;&gt;"",IF(LOWER('Capacity summary'!BG213)="x",$BI94*BG94,VALUE('Capacity summary'!BG213)),0),BG94*$BI94),BG94*$BI94),0)</f>
        <v>0</v>
      </c>
      <c r="DK94" s="137">
        <f t="shared" si="3"/>
        <v>0</v>
      </c>
      <c r="DL94" s="313" t="str">
        <f>Capacity!H106</f>
        <v/>
      </c>
    </row>
    <row r="95" spans="2:116" x14ac:dyDescent="0.25">
      <c r="B95" s="67"/>
      <c r="C95" s="67" t="str">
        <f>ROW(A91)&amp;". "&amp;Capacity!B107</f>
        <v xml:space="preserve">91. </v>
      </c>
      <c r="D95" s="67">
        <f>'Capacity setup'!C102</f>
        <v>0</v>
      </c>
      <c r="E95" s="67">
        <f>'Capacity setup'!D102</f>
        <v>0</v>
      </c>
      <c r="F95" s="67">
        <f>'Capacity setup'!E102</f>
        <v>0</v>
      </c>
      <c r="H95" s="67">
        <f ca="1">IF(AND(SUMIF(Capacity_Resource,$D95,'Critical resources (hide)'!U$6:U$105)+SUMIF(Capacity_Resource,$E95,'Critical resources (hide)'!U$6:U$105)+SUMIF(Capacity_Resource,$F95,'Critical resources (hide)'!U$6:U$105)&gt;0,$E$1=2),0,1)</f>
        <v>1</v>
      </c>
      <c r="I95" s="67">
        <f ca="1">IF(AND(SUMIF(Capacity_Resource,$D95,'Critical resources (hide)'!V$6:V$105)+SUMIF(Capacity_Resource,$E95,'Critical resources (hide)'!V$6:V$105)+SUMIF(Capacity_Resource,$F95,'Critical resources (hide)'!V$6:V$105)&gt;0,$E$1=2),0,1)</f>
        <v>1</v>
      </c>
      <c r="J95" s="67">
        <f ca="1">IF(AND(SUMIF(Capacity_Resource,$D95,'Critical resources (hide)'!W$6:W$105)+SUMIF(Capacity_Resource,$E95,'Critical resources (hide)'!W$6:W$105)+SUMIF(Capacity_Resource,$F95,'Critical resources (hide)'!W$6:W$105)&gt;0,$E$1=2),0,1)</f>
        <v>1</v>
      </c>
      <c r="K95" s="67">
        <f ca="1">IF(AND(SUMIF(Capacity_Resource,$D95,'Critical resources (hide)'!X$6:X$105)+SUMIF(Capacity_Resource,$E95,'Critical resources (hide)'!X$6:X$105)+SUMIF(Capacity_Resource,$F95,'Critical resources (hide)'!X$6:X$105)&gt;0,$E$1=2),0,1)</f>
        <v>1</v>
      </c>
      <c r="L95" s="67">
        <f ca="1">IF(AND(SUMIF(Capacity_Resource,$D95,'Critical resources (hide)'!Y$6:Y$105)+SUMIF(Capacity_Resource,$E95,'Critical resources (hide)'!Y$6:Y$105)+SUMIF(Capacity_Resource,$F95,'Critical resources (hide)'!Y$6:Y$105)&gt;0,$E$1=2),0,1)</f>
        <v>1</v>
      </c>
      <c r="M95" s="67">
        <f ca="1">IF(AND(SUMIF(Capacity_Resource,$D95,'Critical resources (hide)'!Z$6:Z$105)+SUMIF(Capacity_Resource,$E95,'Critical resources (hide)'!Z$6:Z$105)+SUMIF(Capacity_Resource,$F95,'Critical resources (hide)'!Z$6:Z$105)&gt;0,$E$1=2),0,1)</f>
        <v>1</v>
      </c>
      <c r="N95" s="67">
        <f ca="1">IF(AND(SUMIF(Capacity_Resource,$D95,'Critical resources (hide)'!AA$6:AA$105)+SUMIF(Capacity_Resource,$E95,'Critical resources (hide)'!AA$6:AA$105)+SUMIF(Capacity_Resource,$F95,'Critical resources (hide)'!AA$6:AA$105)&gt;0,$E$1=2),0,1)</f>
        <v>1</v>
      </c>
      <c r="O95" s="67">
        <f ca="1">IF(AND(SUMIF(Capacity_Resource,$D95,'Critical resources (hide)'!AB$6:AB$105)+SUMIF(Capacity_Resource,$E95,'Critical resources (hide)'!AB$6:AB$105)+SUMIF(Capacity_Resource,$F95,'Critical resources (hide)'!AB$6:AB$105)&gt;0,$E$1=2),0,1)</f>
        <v>1</v>
      </c>
      <c r="P95" s="67">
        <f ca="1">IF(AND(SUMIF(Capacity_Resource,$D95,'Critical resources (hide)'!AC$6:AC$105)+SUMIF(Capacity_Resource,$E95,'Critical resources (hide)'!AC$6:AC$105)+SUMIF(Capacity_Resource,$F95,'Critical resources (hide)'!AC$6:AC$105)&gt;0,$E$1=2),0,1)</f>
        <v>1</v>
      </c>
      <c r="Q95" s="67">
        <f ca="1">IF(AND(SUMIF(Capacity_Resource,$D95,'Critical resources (hide)'!AD$6:AD$105)+SUMIF(Capacity_Resource,$E95,'Critical resources (hide)'!AD$6:AD$105)+SUMIF(Capacity_Resource,$F95,'Critical resources (hide)'!AD$6:AD$105)&gt;0,$E$1=2),0,1)</f>
        <v>1</v>
      </c>
      <c r="R95" s="67">
        <f ca="1">IF(AND(SUMIF(Capacity_Resource,$D95,'Critical resources (hide)'!AE$6:AE$105)+SUMIF(Capacity_Resource,$E95,'Critical resources (hide)'!AE$6:AE$105)+SUMIF(Capacity_Resource,$F95,'Critical resources (hide)'!AE$6:AE$105)&gt;0,$E$1=2),0,1)</f>
        <v>1</v>
      </c>
      <c r="S95" s="67">
        <f ca="1">IF(AND(SUMIF(Capacity_Resource,$D95,'Critical resources (hide)'!AF$6:AF$105)+SUMIF(Capacity_Resource,$E95,'Critical resources (hide)'!AF$6:AF$105)+SUMIF(Capacity_Resource,$F95,'Critical resources (hide)'!AF$6:AF$105)&gt;0,$E$1=2),0,1)</f>
        <v>1</v>
      </c>
      <c r="T95" s="67">
        <f ca="1">IF(AND(SUMIF(Capacity_Resource,$D95,'Critical resources (hide)'!AG$6:AG$105)+SUMIF(Capacity_Resource,$E95,'Critical resources (hide)'!AG$6:AG$105)+SUMIF(Capacity_Resource,$F95,'Critical resources (hide)'!AG$6:AG$105)&gt;0,$E$1=2),0,1)</f>
        <v>1</v>
      </c>
      <c r="U95" s="67">
        <f ca="1">IF(AND(SUMIF(Capacity_Resource,$D95,'Critical resources (hide)'!AH$6:AH$105)+SUMIF(Capacity_Resource,$E95,'Critical resources (hide)'!AH$6:AH$105)+SUMIF(Capacity_Resource,$F95,'Critical resources (hide)'!AH$6:AH$105)&gt;0,$E$1=2),0,1)</f>
        <v>1</v>
      </c>
      <c r="V95" s="67">
        <f ca="1">IF(AND(SUMIF(Capacity_Resource,$D95,'Critical resources (hide)'!AI$6:AI$105)+SUMIF(Capacity_Resource,$E95,'Critical resources (hide)'!AI$6:AI$105)+SUMIF(Capacity_Resource,$F95,'Critical resources (hide)'!AI$6:AI$105)&gt;0,$E$1=2),0,1)</f>
        <v>1</v>
      </c>
      <c r="W95" s="67">
        <f ca="1">IF(AND(SUMIF(Capacity_Resource,$D95,'Critical resources (hide)'!AJ$6:AJ$105)+SUMIF(Capacity_Resource,$E95,'Critical resources (hide)'!AJ$6:AJ$105)+SUMIF(Capacity_Resource,$F95,'Critical resources (hide)'!AJ$6:AJ$105)&gt;0,$E$1=2),0,1)</f>
        <v>1</v>
      </c>
      <c r="X95" s="67">
        <f ca="1">IF(AND(SUMIF(Capacity_Resource,$D95,'Critical resources (hide)'!AK$6:AK$105)+SUMIF(Capacity_Resource,$E95,'Critical resources (hide)'!AK$6:AK$105)+SUMIF(Capacity_Resource,$F95,'Critical resources (hide)'!AK$6:AK$105)&gt;0,$E$1=2),0,1)</f>
        <v>1</v>
      </c>
      <c r="Y95" s="67">
        <f ca="1">IF(AND(SUMIF(Capacity_Resource,$D95,'Critical resources (hide)'!AL$6:AL$105)+SUMIF(Capacity_Resource,$E95,'Critical resources (hide)'!AL$6:AL$105)+SUMIF(Capacity_Resource,$F95,'Critical resources (hide)'!AL$6:AL$105)&gt;0,$E$1=2),0,1)</f>
        <v>1</v>
      </c>
      <c r="Z95" s="67">
        <f ca="1">IF(AND(SUMIF(Capacity_Resource,$D95,'Critical resources (hide)'!AM$6:AM$105)+SUMIF(Capacity_Resource,$E95,'Critical resources (hide)'!AM$6:AM$105)+SUMIF(Capacity_Resource,$F95,'Critical resources (hide)'!AM$6:AM$105)&gt;0,$E$1=2),0,1)</f>
        <v>1</v>
      </c>
      <c r="AA95" s="67">
        <f ca="1">IF(AND(SUMIF(Capacity_Resource,$D95,'Critical resources (hide)'!AN$6:AN$105)+SUMIF(Capacity_Resource,$E95,'Critical resources (hide)'!AN$6:AN$105)+SUMIF(Capacity_Resource,$F95,'Critical resources (hide)'!AN$6:AN$105)&gt;0,$E$1=2),0,1)</f>
        <v>1</v>
      </c>
      <c r="AB95" s="67">
        <f ca="1">IF(AND(SUMIF(Capacity_Resource,$D95,'Critical resources (hide)'!AO$6:AO$105)+SUMIF(Capacity_Resource,$E95,'Critical resources (hide)'!AO$6:AO$105)+SUMIF(Capacity_Resource,$F95,'Critical resources (hide)'!AO$6:AO$105)&gt;0,$E$1=2),0,1)</f>
        <v>1</v>
      </c>
      <c r="AC95" s="67">
        <f ca="1">IF(AND(SUMIF(Capacity_Resource,$D95,'Critical resources (hide)'!AP$6:AP$105)+SUMIF(Capacity_Resource,$E95,'Critical resources (hide)'!AP$6:AP$105)+SUMIF(Capacity_Resource,$F95,'Critical resources (hide)'!AP$6:AP$105)&gt;0,$E$1=2),0,1)</f>
        <v>1</v>
      </c>
      <c r="AD95" s="67">
        <f ca="1">IF(AND(SUMIF(Capacity_Resource,$D95,'Critical resources (hide)'!AQ$6:AQ$105)+SUMIF(Capacity_Resource,$E95,'Critical resources (hide)'!AQ$6:AQ$105)+SUMIF(Capacity_Resource,$F95,'Critical resources (hide)'!AQ$6:AQ$105)&gt;0,$E$1=2),0,1)</f>
        <v>1</v>
      </c>
      <c r="AE95" s="67">
        <f ca="1">IF(AND(SUMIF(Capacity_Resource,$D95,'Critical resources (hide)'!AR$6:AR$105)+SUMIF(Capacity_Resource,$E95,'Critical resources (hide)'!AR$6:AR$105)+SUMIF(Capacity_Resource,$F95,'Critical resources (hide)'!AR$6:AR$105)&gt;0,$E$1=2),0,1)</f>
        <v>1</v>
      </c>
      <c r="AF95" s="67">
        <f ca="1">IF(AND(SUMIF(Capacity_Resource,$D95,'Critical resources (hide)'!AS$6:AS$105)+SUMIF(Capacity_Resource,$E95,'Critical resources (hide)'!AS$6:AS$105)+SUMIF(Capacity_Resource,$F95,'Critical resources (hide)'!AS$6:AS$105)&gt;0,$E$1=2),0,1)</f>
        <v>1</v>
      </c>
      <c r="AG95" s="67">
        <f ca="1">IF(AND(SUMIF(Capacity_Resource,$D95,'Critical resources (hide)'!AT$6:AT$105)+SUMIF(Capacity_Resource,$E95,'Critical resources (hide)'!AT$6:AT$105)+SUMIF(Capacity_Resource,$F95,'Critical resources (hide)'!AT$6:AT$105)&gt;0,$E$1=2),0,1)</f>
        <v>1</v>
      </c>
      <c r="AH95" s="67">
        <f ca="1">IF(AND(SUMIF(Capacity_Resource,$D95,'Critical resources (hide)'!AU$6:AU$105)+SUMIF(Capacity_Resource,$E95,'Critical resources (hide)'!AU$6:AU$105)+SUMIF(Capacity_Resource,$F95,'Critical resources (hide)'!AU$6:AU$105)&gt;0,$E$1=2),0,1)</f>
        <v>1</v>
      </c>
      <c r="AI95" s="67">
        <f ca="1">IF(AND(SUMIF(Capacity_Resource,$D95,'Critical resources (hide)'!AV$6:AV$105)+SUMIF(Capacity_Resource,$E95,'Critical resources (hide)'!AV$6:AV$105)+SUMIF(Capacity_Resource,$F95,'Critical resources (hide)'!AV$6:AV$105)&gt;0,$E$1=2),0,1)</f>
        <v>1</v>
      </c>
      <c r="AJ95" s="67">
        <f ca="1">IF(AND(SUMIF(Capacity_Resource,$D95,'Critical resources (hide)'!AW$6:AW$105)+SUMIF(Capacity_Resource,$E95,'Critical resources (hide)'!AW$6:AW$105)+SUMIF(Capacity_Resource,$F95,'Critical resources (hide)'!AW$6:AW$105)&gt;0,$E$1=2),0,1)</f>
        <v>1</v>
      </c>
      <c r="AK95" s="67">
        <f ca="1">IF(AND(SUMIF(Capacity_Resource,$D95,'Critical resources (hide)'!AX$6:AX$105)+SUMIF(Capacity_Resource,$E95,'Critical resources (hide)'!AX$6:AX$105)+SUMIF(Capacity_Resource,$F95,'Critical resources (hide)'!AX$6:AX$105)&gt;0,$E$1=2),0,1)</f>
        <v>1</v>
      </c>
      <c r="AL95" s="67">
        <f ca="1">IF(AND(SUMIF(Capacity_Resource,$D95,'Critical resources (hide)'!AY$6:AY$105)+SUMIF(Capacity_Resource,$E95,'Critical resources (hide)'!AY$6:AY$105)+SUMIF(Capacity_Resource,$F95,'Critical resources (hide)'!AY$6:AY$105)&gt;0,$E$1=2),0,1)</f>
        <v>1</v>
      </c>
      <c r="AM95" s="67">
        <f ca="1">IF(AND(SUMIF(Capacity_Resource,$D95,'Critical resources (hide)'!AZ$6:AZ$105)+SUMIF(Capacity_Resource,$E95,'Critical resources (hide)'!AZ$6:AZ$105)+SUMIF(Capacity_Resource,$F95,'Critical resources (hide)'!AZ$6:AZ$105)&gt;0,$E$1=2),0,1)</f>
        <v>1</v>
      </c>
      <c r="AN95" s="67">
        <f ca="1">IF(AND(SUMIF(Capacity_Resource,$D95,'Critical resources (hide)'!BA$6:BA$105)+SUMIF(Capacity_Resource,$E95,'Critical resources (hide)'!BA$6:BA$105)+SUMIF(Capacity_Resource,$F95,'Critical resources (hide)'!BA$6:BA$105)&gt;0,$E$1=2),0,1)</f>
        <v>1</v>
      </c>
      <c r="AO95" s="67">
        <f ca="1">IF(AND(SUMIF(Capacity_Resource,$D95,'Critical resources (hide)'!BB$6:BB$105)+SUMIF(Capacity_Resource,$E95,'Critical resources (hide)'!BB$6:BB$105)+SUMIF(Capacity_Resource,$F95,'Critical resources (hide)'!BB$6:BB$105)&gt;0,$E$1=2),0,1)</f>
        <v>1</v>
      </c>
      <c r="AP95" s="67">
        <f ca="1">IF(AND(SUMIF(Capacity_Resource,$D95,'Critical resources (hide)'!BC$6:BC$105)+SUMIF(Capacity_Resource,$E95,'Critical resources (hide)'!BC$6:BC$105)+SUMIF(Capacity_Resource,$F95,'Critical resources (hide)'!BC$6:BC$105)&gt;0,$E$1=2),0,1)</f>
        <v>1</v>
      </c>
      <c r="AQ95" s="67">
        <f ca="1">IF(AND(SUMIF(Capacity_Resource,$D95,'Critical resources (hide)'!BD$6:BD$105)+SUMIF(Capacity_Resource,$E95,'Critical resources (hide)'!BD$6:BD$105)+SUMIF(Capacity_Resource,$F95,'Critical resources (hide)'!BD$6:BD$105)&gt;0,$E$1=2),0,1)</f>
        <v>1</v>
      </c>
      <c r="AR95" s="67">
        <f ca="1">IF(AND(SUMIF(Capacity_Resource,$D95,'Critical resources (hide)'!BE$6:BE$105)+SUMIF(Capacity_Resource,$E95,'Critical resources (hide)'!BE$6:BE$105)+SUMIF(Capacity_Resource,$F95,'Critical resources (hide)'!BE$6:BE$105)&gt;0,$E$1=2),0,1)</f>
        <v>1</v>
      </c>
      <c r="AS95" s="67">
        <f ca="1">IF(AND(SUMIF(Capacity_Resource,$D95,'Critical resources (hide)'!BF$6:BF$105)+SUMIF(Capacity_Resource,$E95,'Critical resources (hide)'!BF$6:BF$105)+SUMIF(Capacity_Resource,$F95,'Critical resources (hide)'!BF$6:BF$105)&gt;0,$E$1=2),0,1)</f>
        <v>1</v>
      </c>
      <c r="AT95" s="67">
        <f ca="1">IF(AND(SUMIF(Capacity_Resource,$D95,'Critical resources (hide)'!BG$6:BG$105)+SUMIF(Capacity_Resource,$E95,'Critical resources (hide)'!BG$6:BG$105)+SUMIF(Capacity_Resource,$F95,'Critical resources (hide)'!BG$6:BG$105)&gt;0,$E$1=2),0,1)</f>
        <v>1</v>
      </c>
      <c r="AU95" s="67">
        <f ca="1">IF(AND(SUMIF(Capacity_Resource,$D95,'Critical resources (hide)'!BH$6:BH$105)+SUMIF(Capacity_Resource,$E95,'Critical resources (hide)'!BH$6:BH$105)+SUMIF(Capacity_Resource,$F95,'Critical resources (hide)'!BH$6:BH$105)&gt;0,$E$1=2),0,1)</f>
        <v>1</v>
      </c>
      <c r="AV95" s="67">
        <f ca="1">IF(AND(SUMIF(Capacity_Resource,$D95,'Critical resources (hide)'!BI$6:BI$105)+SUMIF(Capacity_Resource,$E95,'Critical resources (hide)'!BI$6:BI$105)+SUMIF(Capacity_Resource,$F95,'Critical resources (hide)'!BI$6:BI$105)&gt;0,$E$1=2),0,1)</f>
        <v>1</v>
      </c>
      <c r="AW95" s="67">
        <f ca="1">IF(AND(SUMIF(Capacity_Resource,$D95,'Critical resources (hide)'!BJ$6:BJ$105)+SUMIF(Capacity_Resource,$E95,'Critical resources (hide)'!BJ$6:BJ$105)+SUMIF(Capacity_Resource,$F95,'Critical resources (hide)'!BJ$6:BJ$105)&gt;0,$E$1=2),0,1)</f>
        <v>1</v>
      </c>
      <c r="AX95" s="67">
        <f ca="1">IF(AND(SUMIF(Capacity_Resource,$D95,'Critical resources (hide)'!BK$6:BK$105)+SUMIF(Capacity_Resource,$E95,'Critical resources (hide)'!BK$6:BK$105)+SUMIF(Capacity_Resource,$F95,'Critical resources (hide)'!BK$6:BK$105)&gt;0,$E$1=2),0,1)</f>
        <v>1</v>
      </c>
      <c r="AY95" s="67">
        <f ca="1">IF(AND(SUMIF(Capacity_Resource,$D95,'Critical resources (hide)'!BL$6:BL$105)+SUMIF(Capacity_Resource,$E95,'Critical resources (hide)'!BL$6:BL$105)+SUMIF(Capacity_Resource,$F95,'Critical resources (hide)'!BL$6:BL$105)&gt;0,$E$1=2),0,1)</f>
        <v>1</v>
      </c>
      <c r="AZ95" s="67">
        <f ca="1">IF(AND(SUMIF(Capacity_Resource,$D95,'Critical resources (hide)'!BM$6:BM$105)+SUMIF(Capacity_Resource,$E95,'Critical resources (hide)'!BM$6:BM$105)+SUMIF(Capacity_Resource,$F95,'Critical resources (hide)'!BM$6:BM$105)&gt;0,$E$1=2),0,1)</f>
        <v>1</v>
      </c>
      <c r="BA95" s="67">
        <f ca="1">IF(AND(SUMIF(Capacity_Resource,$D95,'Critical resources (hide)'!BN$6:BN$105)+SUMIF(Capacity_Resource,$E95,'Critical resources (hide)'!BN$6:BN$105)+SUMIF(Capacity_Resource,$F95,'Critical resources (hide)'!BN$6:BN$105)&gt;0,$E$1=2),0,1)</f>
        <v>1</v>
      </c>
      <c r="BB95" s="67">
        <f ca="1">IF(AND(SUMIF(Capacity_Resource,$D95,'Critical resources (hide)'!BO$6:BO$105)+SUMIF(Capacity_Resource,$E95,'Critical resources (hide)'!BO$6:BO$105)+SUMIF(Capacity_Resource,$F95,'Critical resources (hide)'!BO$6:BO$105)&gt;0,$E$1=2),0,1)</f>
        <v>1</v>
      </c>
      <c r="BC95" s="67">
        <f ca="1">IF(AND(SUMIF(Capacity_Resource,$D95,'Critical resources (hide)'!BP$6:BP$105)+SUMIF(Capacity_Resource,$E95,'Critical resources (hide)'!BP$6:BP$105)+SUMIF(Capacity_Resource,$F95,'Critical resources (hide)'!BP$6:BP$105)&gt;0,$E$1=2),0,1)</f>
        <v>1</v>
      </c>
      <c r="BD95" s="67">
        <f ca="1">IF(AND(SUMIF(Capacity_Resource,$D95,'Critical resources (hide)'!BQ$6:BQ$105)+SUMIF(Capacity_Resource,$E95,'Critical resources (hide)'!BQ$6:BQ$105)+SUMIF(Capacity_Resource,$F95,'Critical resources (hide)'!BQ$6:BQ$105)&gt;0,$E$1=2),0,1)</f>
        <v>1</v>
      </c>
      <c r="BE95" s="67">
        <f ca="1">IF(AND(SUMIF(Capacity_Resource,$D95,'Critical resources (hide)'!BR$6:BR$105)+SUMIF(Capacity_Resource,$E95,'Critical resources (hide)'!BR$6:BR$105)+SUMIF(Capacity_Resource,$F95,'Critical resources (hide)'!BR$6:BR$105)&gt;0,$E$1=2),0,1)</f>
        <v>1</v>
      </c>
      <c r="BF95" s="67">
        <f ca="1">IF(AND(SUMIF(Capacity_Resource,$D95,'Critical resources (hide)'!BS$6:BS$105)+SUMIF(Capacity_Resource,$E95,'Critical resources (hide)'!BS$6:BS$105)+SUMIF(Capacity_Resource,$F95,'Critical resources (hide)'!BS$6:BS$105)&gt;0,$E$1=2),0,1)</f>
        <v>1</v>
      </c>
      <c r="BG95" s="67">
        <f ca="1">IF(AND(SUMIF(Capacity_Resource,$D95,'Critical resources (hide)'!BT$6:BT$105)+SUMIF(Capacity_Resource,$E95,'Critical resources (hide)'!BT$6:BT$105)+SUMIF(Capacity_Resource,$F95,'Critical resources (hide)'!BT$6:BT$105)&gt;0,$E$1=2),0,1)</f>
        <v>1</v>
      </c>
      <c r="BH95" s="67">
        <f>IF(ROW(C91)&lt;=Capacity!$A$16,IF('Capacity summary'!$D$14="No",SUM(H95:BG95),'Capacity summary'!$E214),0)</f>
        <v>0</v>
      </c>
      <c r="BI95" s="5" t="str">
        <f>IF(BH95&gt;0,IF(BH95&lt;Capacity!E107,Capacity!F107,Capacity!H107/'Capacity calculation (hide)'!BH95),"")</f>
        <v/>
      </c>
      <c r="BK95" s="313">
        <f>IF($BI95&lt;&gt;"",IF('Capacity summary'!$D$14="Yes",IF(COUNTBLANK('Capacity summary'!$H214:$BG214)&lt;52,IF('Capacity summary'!H214&lt;&gt;"",IF(LOWER('Capacity summary'!H214)="x",$BI95*H95,VALUE('Capacity summary'!H214)),0),H95*$BI95),H95*$BI95),0)</f>
        <v>0</v>
      </c>
      <c r="BL95" s="313">
        <f>IF($BI95&lt;&gt;"",IF('Capacity summary'!$D$14="Yes",IF(COUNTBLANK('Capacity summary'!$H214:$BG214)&lt;52,IF('Capacity summary'!I214&lt;&gt;"",IF(LOWER('Capacity summary'!I214)="x",$BI95*I95,VALUE('Capacity summary'!I214)),0),I95*$BI95),I95*$BI95),0)</f>
        <v>0</v>
      </c>
      <c r="BM95" s="313">
        <f>IF($BI95&lt;&gt;"",IF('Capacity summary'!$D$14="Yes",IF(COUNTBLANK('Capacity summary'!$H214:$BG214)&lt;52,IF('Capacity summary'!J214&lt;&gt;"",IF(LOWER('Capacity summary'!J214)="x",$BI95*J95,VALUE('Capacity summary'!J214)),0),J95*$BI95),J95*$BI95),0)</f>
        <v>0</v>
      </c>
      <c r="BN95" s="313">
        <f>IF($BI95&lt;&gt;"",IF('Capacity summary'!$D$14="Yes",IF(COUNTBLANK('Capacity summary'!$H214:$BG214)&lt;52,IF('Capacity summary'!K214&lt;&gt;"",IF(LOWER('Capacity summary'!K214)="x",$BI95*K95,VALUE('Capacity summary'!K214)),0),K95*$BI95),K95*$BI95),0)</f>
        <v>0</v>
      </c>
      <c r="BO95" s="313">
        <f>IF($BI95&lt;&gt;"",IF('Capacity summary'!$D$14="Yes",IF(COUNTBLANK('Capacity summary'!$H214:$BG214)&lt;52,IF('Capacity summary'!L214&lt;&gt;"",IF(LOWER('Capacity summary'!L214)="x",$BI95*L95,VALUE('Capacity summary'!L214)),0),L95*$BI95),L95*$BI95),0)</f>
        <v>0</v>
      </c>
      <c r="BP95" s="313">
        <f>IF($BI95&lt;&gt;"",IF('Capacity summary'!$D$14="Yes",IF(COUNTBLANK('Capacity summary'!$H214:$BG214)&lt;52,IF('Capacity summary'!M214&lt;&gt;"",IF(LOWER('Capacity summary'!M214)="x",$BI95*M95,VALUE('Capacity summary'!M214)),0),M95*$BI95),M95*$BI95),0)</f>
        <v>0</v>
      </c>
      <c r="BQ95" s="313">
        <f>IF($BI95&lt;&gt;"",IF('Capacity summary'!$D$14="Yes",IF(COUNTBLANK('Capacity summary'!$H214:$BG214)&lt;52,IF('Capacity summary'!N214&lt;&gt;"",IF(LOWER('Capacity summary'!N214)="x",$BI95*N95,VALUE('Capacity summary'!N214)),0),N95*$BI95),N95*$BI95),0)</f>
        <v>0</v>
      </c>
      <c r="BR95" s="313">
        <f>IF($BI95&lt;&gt;"",IF('Capacity summary'!$D$14="Yes",IF(COUNTBLANK('Capacity summary'!$H214:$BG214)&lt;52,IF('Capacity summary'!O214&lt;&gt;"",IF(LOWER('Capacity summary'!O214)="x",$BI95*O95,VALUE('Capacity summary'!O214)),0),O95*$BI95),O95*$BI95),0)</f>
        <v>0</v>
      </c>
      <c r="BS95" s="313">
        <f>IF($BI95&lt;&gt;"",IF('Capacity summary'!$D$14="Yes",IF(COUNTBLANK('Capacity summary'!$H214:$BG214)&lt;52,IF('Capacity summary'!P214&lt;&gt;"",IF(LOWER('Capacity summary'!P214)="x",$BI95*P95,VALUE('Capacity summary'!P214)),0),P95*$BI95),P95*$BI95),0)</f>
        <v>0</v>
      </c>
      <c r="BT95" s="313">
        <f>IF($BI95&lt;&gt;"",IF('Capacity summary'!$D$14="Yes",IF(COUNTBLANK('Capacity summary'!$H214:$BG214)&lt;52,IF('Capacity summary'!Q214&lt;&gt;"",IF(LOWER('Capacity summary'!Q214)="x",$BI95*Q95,VALUE('Capacity summary'!Q214)),0),Q95*$BI95),Q95*$BI95),0)</f>
        <v>0</v>
      </c>
      <c r="BU95" s="313">
        <f>IF($BI95&lt;&gt;"",IF('Capacity summary'!$D$14="Yes",IF(COUNTBLANK('Capacity summary'!$H214:$BG214)&lt;52,IF('Capacity summary'!R214&lt;&gt;"",IF(LOWER('Capacity summary'!R214)="x",$BI95*R95,VALUE('Capacity summary'!R214)),0),R95*$BI95),R95*$BI95),0)</f>
        <v>0</v>
      </c>
      <c r="BV95" s="313">
        <f>IF($BI95&lt;&gt;"",IF('Capacity summary'!$D$14="Yes",IF(COUNTBLANK('Capacity summary'!$H214:$BG214)&lt;52,IF('Capacity summary'!S214&lt;&gt;"",IF(LOWER('Capacity summary'!S214)="x",$BI95*S95,VALUE('Capacity summary'!S214)),0),S95*$BI95),S95*$BI95),0)</f>
        <v>0</v>
      </c>
      <c r="BW95" s="313">
        <f>IF($BI95&lt;&gt;"",IF('Capacity summary'!$D$14="Yes",IF(COUNTBLANK('Capacity summary'!$H214:$BG214)&lt;52,IF('Capacity summary'!T214&lt;&gt;"",IF(LOWER('Capacity summary'!T214)="x",$BI95*T95,VALUE('Capacity summary'!T214)),0),T95*$BI95),T95*$BI95),0)</f>
        <v>0</v>
      </c>
      <c r="BX95" s="313">
        <f>IF($BI95&lt;&gt;"",IF('Capacity summary'!$D$14="Yes",IF(COUNTBLANK('Capacity summary'!$H214:$BG214)&lt;52,IF('Capacity summary'!U214&lt;&gt;"",IF(LOWER('Capacity summary'!U214)="x",$BI95*U95,VALUE('Capacity summary'!U214)),0),U95*$BI95),U95*$BI95),0)</f>
        <v>0</v>
      </c>
      <c r="BY95" s="313">
        <f>IF($BI95&lt;&gt;"",IF('Capacity summary'!$D$14="Yes",IF(COUNTBLANK('Capacity summary'!$H214:$BG214)&lt;52,IF('Capacity summary'!V214&lt;&gt;"",IF(LOWER('Capacity summary'!V214)="x",$BI95*V95,VALUE('Capacity summary'!V214)),0),V95*$BI95),V95*$BI95),0)</f>
        <v>0</v>
      </c>
      <c r="BZ95" s="313">
        <f>IF($BI95&lt;&gt;"",IF('Capacity summary'!$D$14="Yes",IF(COUNTBLANK('Capacity summary'!$H214:$BG214)&lt;52,IF('Capacity summary'!W214&lt;&gt;"",IF(LOWER('Capacity summary'!W214)="x",$BI95*W95,VALUE('Capacity summary'!W214)),0),W95*$BI95),W95*$BI95),0)</f>
        <v>0</v>
      </c>
      <c r="CA95" s="313">
        <f>IF($BI95&lt;&gt;"",IF('Capacity summary'!$D$14="Yes",IF(COUNTBLANK('Capacity summary'!$H214:$BG214)&lt;52,IF('Capacity summary'!X214&lt;&gt;"",IF(LOWER('Capacity summary'!X214)="x",$BI95*X95,VALUE('Capacity summary'!X214)),0),X95*$BI95),X95*$BI95),0)</f>
        <v>0</v>
      </c>
      <c r="CB95" s="313">
        <f>IF($BI95&lt;&gt;"",IF('Capacity summary'!$D$14="Yes",IF(COUNTBLANK('Capacity summary'!$H214:$BG214)&lt;52,IF('Capacity summary'!Y214&lt;&gt;"",IF(LOWER('Capacity summary'!Y214)="x",$BI95*Y95,VALUE('Capacity summary'!Y214)),0),Y95*$BI95),Y95*$BI95),0)</f>
        <v>0</v>
      </c>
      <c r="CC95" s="313">
        <f>IF($BI95&lt;&gt;"",IF('Capacity summary'!$D$14="Yes",IF(COUNTBLANK('Capacity summary'!$H214:$BG214)&lt;52,IF('Capacity summary'!Z214&lt;&gt;"",IF(LOWER('Capacity summary'!Z214)="x",$BI95*Z95,VALUE('Capacity summary'!Z214)),0),Z95*$BI95),Z95*$BI95),0)</f>
        <v>0</v>
      </c>
      <c r="CD95" s="313">
        <f>IF($BI95&lt;&gt;"",IF('Capacity summary'!$D$14="Yes",IF(COUNTBLANK('Capacity summary'!$H214:$BG214)&lt;52,IF('Capacity summary'!AA214&lt;&gt;"",IF(LOWER('Capacity summary'!AA214)="x",$BI95*AA95,VALUE('Capacity summary'!AA214)),0),AA95*$BI95),AA95*$BI95),0)</f>
        <v>0</v>
      </c>
      <c r="CE95" s="313">
        <f>IF($BI95&lt;&gt;"",IF('Capacity summary'!$D$14="Yes",IF(COUNTBLANK('Capacity summary'!$H214:$BG214)&lt;52,IF('Capacity summary'!AB214&lt;&gt;"",IF(LOWER('Capacity summary'!AB214)="x",$BI95*AB95,VALUE('Capacity summary'!AB214)),0),AB95*$BI95),AB95*$BI95),0)</f>
        <v>0</v>
      </c>
      <c r="CF95" s="313">
        <f>IF($BI95&lt;&gt;"",IF('Capacity summary'!$D$14="Yes",IF(COUNTBLANK('Capacity summary'!$H214:$BG214)&lt;52,IF('Capacity summary'!AC214&lt;&gt;"",IF(LOWER('Capacity summary'!AC214)="x",$BI95*AC95,VALUE('Capacity summary'!AC214)),0),AC95*$BI95),AC95*$BI95),0)</f>
        <v>0</v>
      </c>
      <c r="CG95" s="313">
        <f>IF($BI95&lt;&gt;"",IF('Capacity summary'!$D$14="Yes",IF(COUNTBLANK('Capacity summary'!$H214:$BG214)&lt;52,IF('Capacity summary'!AD214&lt;&gt;"",IF(LOWER('Capacity summary'!AD214)="x",$BI95*AD95,VALUE('Capacity summary'!AD214)),0),AD95*$BI95),AD95*$BI95),0)</f>
        <v>0</v>
      </c>
      <c r="CH95" s="313">
        <f>IF($BI95&lt;&gt;"",IF('Capacity summary'!$D$14="Yes",IF(COUNTBLANK('Capacity summary'!$H214:$BG214)&lt;52,IF('Capacity summary'!AE214&lt;&gt;"",IF(LOWER('Capacity summary'!AE214)="x",$BI95*AE95,VALUE('Capacity summary'!AE214)),0),AE95*$BI95),AE95*$BI95),0)</f>
        <v>0</v>
      </c>
      <c r="CI95" s="313">
        <f>IF($BI95&lt;&gt;"",IF('Capacity summary'!$D$14="Yes",IF(COUNTBLANK('Capacity summary'!$H214:$BG214)&lt;52,IF('Capacity summary'!AF214&lt;&gt;"",IF(LOWER('Capacity summary'!AF214)="x",$BI95*AF95,VALUE('Capacity summary'!AF214)),0),AF95*$BI95),AF95*$BI95),0)</f>
        <v>0</v>
      </c>
      <c r="CJ95" s="313">
        <f>IF($BI95&lt;&gt;"",IF('Capacity summary'!$D$14="Yes",IF(COUNTBLANK('Capacity summary'!$H214:$BG214)&lt;52,IF('Capacity summary'!AG214&lt;&gt;"",IF(LOWER('Capacity summary'!AG214)="x",$BI95*AG95,VALUE('Capacity summary'!AG214)),0),AG95*$BI95),AG95*$BI95),0)</f>
        <v>0</v>
      </c>
      <c r="CK95" s="313">
        <f>IF($BI95&lt;&gt;"",IF('Capacity summary'!$D$14="Yes",IF(COUNTBLANK('Capacity summary'!$H214:$BG214)&lt;52,IF('Capacity summary'!AH214&lt;&gt;"",IF(LOWER('Capacity summary'!AH214)="x",$BI95*AH95,VALUE('Capacity summary'!AH214)),0),AH95*$BI95),AH95*$BI95),0)</f>
        <v>0</v>
      </c>
      <c r="CL95" s="313">
        <f>IF($BI95&lt;&gt;"",IF('Capacity summary'!$D$14="Yes",IF(COUNTBLANK('Capacity summary'!$H214:$BG214)&lt;52,IF('Capacity summary'!AI214&lt;&gt;"",IF(LOWER('Capacity summary'!AI214)="x",$BI95*AI95,VALUE('Capacity summary'!AI214)),0),AI95*$BI95),AI95*$BI95),0)</f>
        <v>0</v>
      </c>
      <c r="CM95" s="313">
        <f>IF($BI95&lt;&gt;"",IF('Capacity summary'!$D$14="Yes",IF(COUNTBLANK('Capacity summary'!$H214:$BG214)&lt;52,IF('Capacity summary'!AJ214&lt;&gt;"",IF(LOWER('Capacity summary'!AJ214)="x",$BI95*AJ95,VALUE('Capacity summary'!AJ214)),0),AJ95*$BI95),AJ95*$BI95),0)</f>
        <v>0</v>
      </c>
      <c r="CN95" s="313">
        <f>IF($BI95&lt;&gt;"",IF('Capacity summary'!$D$14="Yes",IF(COUNTBLANK('Capacity summary'!$H214:$BG214)&lt;52,IF('Capacity summary'!AK214&lt;&gt;"",IF(LOWER('Capacity summary'!AK214)="x",$BI95*AK95,VALUE('Capacity summary'!AK214)),0),AK95*$BI95),AK95*$BI95),0)</f>
        <v>0</v>
      </c>
      <c r="CO95" s="313">
        <f>IF($BI95&lt;&gt;"",IF('Capacity summary'!$D$14="Yes",IF(COUNTBLANK('Capacity summary'!$H214:$BG214)&lt;52,IF('Capacity summary'!AL214&lt;&gt;"",IF(LOWER('Capacity summary'!AL214)="x",$BI95*AL95,VALUE('Capacity summary'!AL214)),0),AL95*$BI95),AL95*$BI95),0)</f>
        <v>0</v>
      </c>
      <c r="CP95" s="313">
        <f>IF($BI95&lt;&gt;"",IF('Capacity summary'!$D$14="Yes",IF(COUNTBLANK('Capacity summary'!$H214:$BG214)&lt;52,IF('Capacity summary'!AM214&lt;&gt;"",IF(LOWER('Capacity summary'!AM214)="x",$BI95*AM95,VALUE('Capacity summary'!AM214)),0),AM95*$BI95),AM95*$BI95),0)</f>
        <v>0</v>
      </c>
      <c r="CQ95" s="313">
        <f>IF($BI95&lt;&gt;"",IF('Capacity summary'!$D$14="Yes",IF(COUNTBLANK('Capacity summary'!$H214:$BG214)&lt;52,IF('Capacity summary'!AN214&lt;&gt;"",IF(LOWER('Capacity summary'!AN214)="x",$BI95*AN95,VALUE('Capacity summary'!AN214)),0),AN95*$BI95),AN95*$BI95),0)</f>
        <v>0</v>
      </c>
      <c r="CR95" s="313">
        <f>IF($BI95&lt;&gt;"",IF('Capacity summary'!$D$14="Yes",IF(COUNTBLANK('Capacity summary'!$H214:$BG214)&lt;52,IF('Capacity summary'!AO214&lt;&gt;"",IF(LOWER('Capacity summary'!AO214)="x",$BI95*AO95,VALUE('Capacity summary'!AO214)),0),AO95*$BI95),AO95*$BI95),0)</f>
        <v>0</v>
      </c>
      <c r="CS95" s="313">
        <f>IF($BI95&lt;&gt;"",IF('Capacity summary'!$D$14="Yes",IF(COUNTBLANK('Capacity summary'!$H214:$BG214)&lt;52,IF('Capacity summary'!AP214&lt;&gt;"",IF(LOWER('Capacity summary'!AP214)="x",$BI95*AP95,VALUE('Capacity summary'!AP214)),0),AP95*$BI95),AP95*$BI95),0)</f>
        <v>0</v>
      </c>
      <c r="CT95" s="313">
        <f>IF($BI95&lt;&gt;"",IF('Capacity summary'!$D$14="Yes",IF(COUNTBLANK('Capacity summary'!$H214:$BG214)&lt;52,IF('Capacity summary'!AQ214&lt;&gt;"",IF(LOWER('Capacity summary'!AQ214)="x",$BI95*AQ95,VALUE('Capacity summary'!AQ214)),0),AQ95*$BI95),AQ95*$BI95),0)</f>
        <v>0</v>
      </c>
      <c r="CU95" s="313">
        <f>IF($BI95&lt;&gt;"",IF('Capacity summary'!$D$14="Yes",IF(COUNTBLANK('Capacity summary'!$H214:$BG214)&lt;52,IF('Capacity summary'!AR214&lt;&gt;"",IF(LOWER('Capacity summary'!AR214)="x",$BI95*AR95,VALUE('Capacity summary'!AR214)),0),AR95*$BI95),AR95*$BI95),0)</f>
        <v>0</v>
      </c>
      <c r="CV95" s="313">
        <f>IF($BI95&lt;&gt;"",IF('Capacity summary'!$D$14="Yes",IF(COUNTBLANK('Capacity summary'!$H214:$BG214)&lt;52,IF('Capacity summary'!AS214&lt;&gt;"",IF(LOWER('Capacity summary'!AS214)="x",$BI95*AS95,VALUE('Capacity summary'!AS214)),0),AS95*$BI95),AS95*$BI95),0)</f>
        <v>0</v>
      </c>
      <c r="CW95" s="313">
        <f>IF($BI95&lt;&gt;"",IF('Capacity summary'!$D$14="Yes",IF(COUNTBLANK('Capacity summary'!$H214:$BG214)&lt;52,IF('Capacity summary'!AT214&lt;&gt;"",IF(LOWER('Capacity summary'!AT214)="x",$BI95*AT95,VALUE('Capacity summary'!AT214)),0),AT95*$BI95),AT95*$BI95),0)</f>
        <v>0</v>
      </c>
      <c r="CX95" s="313">
        <f>IF($BI95&lt;&gt;"",IF('Capacity summary'!$D$14="Yes",IF(COUNTBLANK('Capacity summary'!$H214:$BG214)&lt;52,IF('Capacity summary'!AU214&lt;&gt;"",IF(LOWER('Capacity summary'!AU214)="x",$BI95*AU95,VALUE('Capacity summary'!AU214)),0),AU95*$BI95),AU95*$BI95),0)</f>
        <v>0</v>
      </c>
      <c r="CY95" s="313">
        <f>IF($BI95&lt;&gt;"",IF('Capacity summary'!$D$14="Yes",IF(COUNTBLANK('Capacity summary'!$H214:$BG214)&lt;52,IF('Capacity summary'!AV214&lt;&gt;"",IF(LOWER('Capacity summary'!AV214)="x",$BI95*AV95,VALUE('Capacity summary'!AV214)),0),AV95*$BI95),AV95*$BI95),0)</f>
        <v>0</v>
      </c>
      <c r="CZ95" s="313">
        <f>IF($BI95&lt;&gt;"",IF('Capacity summary'!$D$14="Yes",IF(COUNTBLANK('Capacity summary'!$H214:$BG214)&lt;52,IF('Capacity summary'!AW214&lt;&gt;"",IF(LOWER('Capacity summary'!AW214)="x",$BI95*AW95,VALUE('Capacity summary'!AW214)),0),AW95*$BI95),AW95*$BI95),0)</f>
        <v>0</v>
      </c>
      <c r="DA95" s="313">
        <f>IF($BI95&lt;&gt;"",IF('Capacity summary'!$D$14="Yes",IF(COUNTBLANK('Capacity summary'!$H214:$BG214)&lt;52,IF('Capacity summary'!AX214&lt;&gt;"",IF(LOWER('Capacity summary'!AX214)="x",$BI95*AX95,VALUE('Capacity summary'!AX214)),0),AX95*$BI95),AX95*$BI95),0)</f>
        <v>0</v>
      </c>
      <c r="DB95" s="313">
        <f>IF($BI95&lt;&gt;"",IF('Capacity summary'!$D$14="Yes",IF(COUNTBLANK('Capacity summary'!$H214:$BG214)&lt;52,IF('Capacity summary'!AY214&lt;&gt;"",IF(LOWER('Capacity summary'!AY214)="x",$BI95*AY95,VALUE('Capacity summary'!AY214)),0),AY95*$BI95),AY95*$BI95),0)</f>
        <v>0</v>
      </c>
      <c r="DC95" s="313">
        <f>IF($BI95&lt;&gt;"",IF('Capacity summary'!$D$14="Yes",IF(COUNTBLANK('Capacity summary'!$H214:$BG214)&lt;52,IF('Capacity summary'!AZ214&lt;&gt;"",IF(LOWER('Capacity summary'!AZ214)="x",$BI95*AZ95,VALUE('Capacity summary'!AZ214)),0),AZ95*$BI95),AZ95*$BI95),0)</f>
        <v>0</v>
      </c>
      <c r="DD95" s="313">
        <f>IF($BI95&lt;&gt;"",IF('Capacity summary'!$D$14="Yes",IF(COUNTBLANK('Capacity summary'!$H214:$BG214)&lt;52,IF('Capacity summary'!BA214&lt;&gt;"",IF(LOWER('Capacity summary'!BA214)="x",$BI95*BA95,VALUE('Capacity summary'!BA214)),0),BA95*$BI95),BA95*$BI95),0)</f>
        <v>0</v>
      </c>
      <c r="DE95" s="313">
        <f>IF($BI95&lt;&gt;"",IF('Capacity summary'!$D$14="Yes",IF(COUNTBLANK('Capacity summary'!$H214:$BG214)&lt;52,IF('Capacity summary'!BB214&lt;&gt;"",IF(LOWER('Capacity summary'!BB214)="x",$BI95*BB95,VALUE('Capacity summary'!BB214)),0),BB95*$BI95),BB95*$BI95),0)</f>
        <v>0</v>
      </c>
      <c r="DF95" s="313">
        <f>IF($BI95&lt;&gt;"",IF('Capacity summary'!$D$14="Yes",IF(COUNTBLANK('Capacity summary'!$H214:$BG214)&lt;52,IF('Capacity summary'!BC214&lt;&gt;"",IF(LOWER('Capacity summary'!BC214)="x",$BI95*BC95,VALUE('Capacity summary'!BC214)),0),BC95*$BI95),BC95*$BI95),0)</f>
        <v>0</v>
      </c>
      <c r="DG95" s="313">
        <f>IF($BI95&lt;&gt;"",IF('Capacity summary'!$D$14="Yes",IF(COUNTBLANK('Capacity summary'!$H214:$BG214)&lt;52,IF('Capacity summary'!BD214&lt;&gt;"",IF(LOWER('Capacity summary'!BD214)="x",$BI95*BD95,VALUE('Capacity summary'!BD214)),0),BD95*$BI95),BD95*$BI95),0)</f>
        <v>0</v>
      </c>
      <c r="DH95" s="313">
        <f>IF($BI95&lt;&gt;"",IF('Capacity summary'!$D$14="Yes",IF(COUNTBLANK('Capacity summary'!$H214:$BG214)&lt;52,IF('Capacity summary'!BE214&lt;&gt;"",IF(LOWER('Capacity summary'!BE214)="x",$BI95*BE95,VALUE('Capacity summary'!BE214)),0),BE95*$BI95),BE95*$BI95),0)</f>
        <v>0</v>
      </c>
      <c r="DI95" s="313">
        <f>IF($BI95&lt;&gt;"",IF('Capacity summary'!$D$14="Yes",IF(COUNTBLANK('Capacity summary'!$H214:$BG214)&lt;52,IF('Capacity summary'!BF214&lt;&gt;"",IF(LOWER('Capacity summary'!BF214)="x",$BI95*BF95,VALUE('Capacity summary'!BF214)),0),BF95*$BI95),BF95*$BI95),0)</f>
        <v>0</v>
      </c>
      <c r="DJ95" s="313">
        <f>IF($BI95&lt;&gt;"",IF('Capacity summary'!$D$14="Yes",IF(COUNTBLANK('Capacity summary'!$H214:$BG214)&lt;52,IF('Capacity summary'!BG214&lt;&gt;"",IF(LOWER('Capacity summary'!BG214)="x",$BI95*BG95,VALUE('Capacity summary'!BG214)),0),BG95*$BI95),BG95*$BI95),0)</f>
        <v>0</v>
      </c>
      <c r="DK95" s="137">
        <f t="shared" si="3"/>
        <v>0</v>
      </c>
      <c r="DL95" s="313" t="str">
        <f>Capacity!H107</f>
        <v/>
      </c>
    </row>
    <row r="96" spans="2:116" x14ac:dyDescent="0.25">
      <c r="B96" s="67"/>
      <c r="C96" s="67" t="str">
        <f>ROW(A92)&amp;". "&amp;Capacity!B108</f>
        <v xml:space="preserve">92. </v>
      </c>
      <c r="D96" s="67">
        <f>'Capacity setup'!C103</f>
        <v>0</v>
      </c>
      <c r="E96" s="67">
        <f>'Capacity setup'!D103</f>
        <v>0</v>
      </c>
      <c r="F96" s="67">
        <f>'Capacity setup'!E103</f>
        <v>0</v>
      </c>
      <c r="H96" s="67">
        <f ca="1">IF(AND(SUMIF(Capacity_Resource,$D96,'Critical resources (hide)'!U$6:U$105)+SUMIF(Capacity_Resource,$E96,'Critical resources (hide)'!U$6:U$105)+SUMIF(Capacity_Resource,$F96,'Critical resources (hide)'!U$6:U$105)&gt;0,$E$1=2),0,1)</f>
        <v>1</v>
      </c>
      <c r="I96" s="67">
        <f ca="1">IF(AND(SUMIF(Capacity_Resource,$D96,'Critical resources (hide)'!V$6:V$105)+SUMIF(Capacity_Resource,$E96,'Critical resources (hide)'!V$6:V$105)+SUMIF(Capacity_Resource,$F96,'Critical resources (hide)'!V$6:V$105)&gt;0,$E$1=2),0,1)</f>
        <v>1</v>
      </c>
      <c r="J96" s="67">
        <f ca="1">IF(AND(SUMIF(Capacity_Resource,$D96,'Critical resources (hide)'!W$6:W$105)+SUMIF(Capacity_Resource,$E96,'Critical resources (hide)'!W$6:W$105)+SUMIF(Capacity_Resource,$F96,'Critical resources (hide)'!W$6:W$105)&gt;0,$E$1=2),0,1)</f>
        <v>1</v>
      </c>
      <c r="K96" s="67">
        <f ca="1">IF(AND(SUMIF(Capacity_Resource,$D96,'Critical resources (hide)'!X$6:X$105)+SUMIF(Capacity_Resource,$E96,'Critical resources (hide)'!X$6:X$105)+SUMIF(Capacity_Resource,$F96,'Critical resources (hide)'!X$6:X$105)&gt;0,$E$1=2),0,1)</f>
        <v>1</v>
      </c>
      <c r="L96" s="67">
        <f ca="1">IF(AND(SUMIF(Capacity_Resource,$D96,'Critical resources (hide)'!Y$6:Y$105)+SUMIF(Capacity_Resource,$E96,'Critical resources (hide)'!Y$6:Y$105)+SUMIF(Capacity_Resource,$F96,'Critical resources (hide)'!Y$6:Y$105)&gt;0,$E$1=2),0,1)</f>
        <v>1</v>
      </c>
      <c r="M96" s="67">
        <f ca="1">IF(AND(SUMIF(Capacity_Resource,$D96,'Critical resources (hide)'!Z$6:Z$105)+SUMIF(Capacity_Resource,$E96,'Critical resources (hide)'!Z$6:Z$105)+SUMIF(Capacity_Resource,$F96,'Critical resources (hide)'!Z$6:Z$105)&gt;0,$E$1=2),0,1)</f>
        <v>1</v>
      </c>
      <c r="N96" s="67">
        <f ca="1">IF(AND(SUMIF(Capacity_Resource,$D96,'Critical resources (hide)'!AA$6:AA$105)+SUMIF(Capacity_Resource,$E96,'Critical resources (hide)'!AA$6:AA$105)+SUMIF(Capacity_Resource,$F96,'Critical resources (hide)'!AA$6:AA$105)&gt;0,$E$1=2),0,1)</f>
        <v>1</v>
      </c>
      <c r="O96" s="67">
        <f ca="1">IF(AND(SUMIF(Capacity_Resource,$D96,'Critical resources (hide)'!AB$6:AB$105)+SUMIF(Capacity_Resource,$E96,'Critical resources (hide)'!AB$6:AB$105)+SUMIF(Capacity_Resource,$F96,'Critical resources (hide)'!AB$6:AB$105)&gt;0,$E$1=2),0,1)</f>
        <v>1</v>
      </c>
      <c r="P96" s="67">
        <f ca="1">IF(AND(SUMIF(Capacity_Resource,$D96,'Critical resources (hide)'!AC$6:AC$105)+SUMIF(Capacity_Resource,$E96,'Critical resources (hide)'!AC$6:AC$105)+SUMIF(Capacity_Resource,$F96,'Critical resources (hide)'!AC$6:AC$105)&gt;0,$E$1=2),0,1)</f>
        <v>1</v>
      </c>
      <c r="Q96" s="67">
        <f ca="1">IF(AND(SUMIF(Capacity_Resource,$D96,'Critical resources (hide)'!AD$6:AD$105)+SUMIF(Capacity_Resource,$E96,'Critical resources (hide)'!AD$6:AD$105)+SUMIF(Capacity_Resource,$F96,'Critical resources (hide)'!AD$6:AD$105)&gt;0,$E$1=2),0,1)</f>
        <v>1</v>
      </c>
      <c r="R96" s="67">
        <f ca="1">IF(AND(SUMIF(Capacity_Resource,$D96,'Critical resources (hide)'!AE$6:AE$105)+SUMIF(Capacity_Resource,$E96,'Critical resources (hide)'!AE$6:AE$105)+SUMIF(Capacity_Resource,$F96,'Critical resources (hide)'!AE$6:AE$105)&gt;0,$E$1=2),0,1)</f>
        <v>1</v>
      </c>
      <c r="S96" s="67">
        <f ca="1">IF(AND(SUMIF(Capacity_Resource,$D96,'Critical resources (hide)'!AF$6:AF$105)+SUMIF(Capacity_Resource,$E96,'Critical resources (hide)'!AF$6:AF$105)+SUMIF(Capacity_Resource,$F96,'Critical resources (hide)'!AF$6:AF$105)&gt;0,$E$1=2),0,1)</f>
        <v>1</v>
      </c>
      <c r="T96" s="67">
        <f ca="1">IF(AND(SUMIF(Capacity_Resource,$D96,'Critical resources (hide)'!AG$6:AG$105)+SUMIF(Capacity_Resource,$E96,'Critical resources (hide)'!AG$6:AG$105)+SUMIF(Capacity_Resource,$F96,'Critical resources (hide)'!AG$6:AG$105)&gt;0,$E$1=2),0,1)</f>
        <v>1</v>
      </c>
      <c r="U96" s="67">
        <f ca="1">IF(AND(SUMIF(Capacity_Resource,$D96,'Critical resources (hide)'!AH$6:AH$105)+SUMIF(Capacity_Resource,$E96,'Critical resources (hide)'!AH$6:AH$105)+SUMIF(Capacity_Resource,$F96,'Critical resources (hide)'!AH$6:AH$105)&gt;0,$E$1=2),0,1)</f>
        <v>1</v>
      </c>
      <c r="V96" s="67">
        <f ca="1">IF(AND(SUMIF(Capacity_Resource,$D96,'Critical resources (hide)'!AI$6:AI$105)+SUMIF(Capacity_Resource,$E96,'Critical resources (hide)'!AI$6:AI$105)+SUMIF(Capacity_Resource,$F96,'Critical resources (hide)'!AI$6:AI$105)&gt;0,$E$1=2),0,1)</f>
        <v>1</v>
      </c>
      <c r="W96" s="67">
        <f ca="1">IF(AND(SUMIF(Capacity_Resource,$D96,'Critical resources (hide)'!AJ$6:AJ$105)+SUMIF(Capacity_Resource,$E96,'Critical resources (hide)'!AJ$6:AJ$105)+SUMIF(Capacity_Resource,$F96,'Critical resources (hide)'!AJ$6:AJ$105)&gt;0,$E$1=2),0,1)</f>
        <v>1</v>
      </c>
      <c r="X96" s="67">
        <f ca="1">IF(AND(SUMIF(Capacity_Resource,$D96,'Critical resources (hide)'!AK$6:AK$105)+SUMIF(Capacity_Resource,$E96,'Critical resources (hide)'!AK$6:AK$105)+SUMIF(Capacity_Resource,$F96,'Critical resources (hide)'!AK$6:AK$105)&gt;0,$E$1=2),0,1)</f>
        <v>1</v>
      </c>
      <c r="Y96" s="67">
        <f ca="1">IF(AND(SUMIF(Capacity_Resource,$D96,'Critical resources (hide)'!AL$6:AL$105)+SUMIF(Capacity_Resource,$E96,'Critical resources (hide)'!AL$6:AL$105)+SUMIF(Capacity_Resource,$F96,'Critical resources (hide)'!AL$6:AL$105)&gt;0,$E$1=2),0,1)</f>
        <v>1</v>
      </c>
      <c r="Z96" s="67">
        <f ca="1">IF(AND(SUMIF(Capacity_Resource,$D96,'Critical resources (hide)'!AM$6:AM$105)+SUMIF(Capacity_Resource,$E96,'Critical resources (hide)'!AM$6:AM$105)+SUMIF(Capacity_Resource,$F96,'Critical resources (hide)'!AM$6:AM$105)&gt;0,$E$1=2),0,1)</f>
        <v>1</v>
      </c>
      <c r="AA96" s="67">
        <f ca="1">IF(AND(SUMIF(Capacity_Resource,$D96,'Critical resources (hide)'!AN$6:AN$105)+SUMIF(Capacity_Resource,$E96,'Critical resources (hide)'!AN$6:AN$105)+SUMIF(Capacity_Resource,$F96,'Critical resources (hide)'!AN$6:AN$105)&gt;0,$E$1=2),0,1)</f>
        <v>1</v>
      </c>
      <c r="AB96" s="67">
        <f ca="1">IF(AND(SUMIF(Capacity_Resource,$D96,'Critical resources (hide)'!AO$6:AO$105)+SUMIF(Capacity_Resource,$E96,'Critical resources (hide)'!AO$6:AO$105)+SUMIF(Capacity_Resource,$F96,'Critical resources (hide)'!AO$6:AO$105)&gt;0,$E$1=2),0,1)</f>
        <v>1</v>
      </c>
      <c r="AC96" s="67">
        <f ca="1">IF(AND(SUMIF(Capacity_Resource,$D96,'Critical resources (hide)'!AP$6:AP$105)+SUMIF(Capacity_Resource,$E96,'Critical resources (hide)'!AP$6:AP$105)+SUMIF(Capacity_Resource,$F96,'Critical resources (hide)'!AP$6:AP$105)&gt;0,$E$1=2),0,1)</f>
        <v>1</v>
      </c>
      <c r="AD96" s="67">
        <f ca="1">IF(AND(SUMIF(Capacity_Resource,$D96,'Critical resources (hide)'!AQ$6:AQ$105)+SUMIF(Capacity_Resource,$E96,'Critical resources (hide)'!AQ$6:AQ$105)+SUMIF(Capacity_Resource,$F96,'Critical resources (hide)'!AQ$6:AQ$105)&gt;0,$E$1=2),0,1)</f>
        <v>1</v>
      </c>
      <c r="AE96" s="67">
        <f ca="1">IF(AND(SUMIF(Capacity_Resource,$D96,'Critical resources (hide)'!AR$6:AR$105)+SUMIF(Capacity_Resource,$E96,'Critical resources (hide)'!AR$6:AR$105)+SUMIF(Capacity_Resource,$F96,'Critical resources (hide)'!AR$6:AR$105)&gt;0,$E$1=2),0,1)</f>
        <v>1</v>
      </c>
      <c r="AF96" s="67">
        <f ca="1">IF(AND(SUMIF(Capacity_Resource,$D96,'Critical resources (hide)'!AS$6:AS$105)+SUMIF(Capacity_Resource,$E96,'Critical resources (hide)'!AS$6:AS$105)+SUMIF(Capacity_Resource,$F96,'Critical resources (hide)'!AS$6:AS$105)&gt;0,$E$1=2),0,1)</f>
        <v>1</v>
      </c>
      <c r="AG96" s="67">
        <f ca="1">IF(AND(SUMIF(Capacity_Resource,$D96,'Critical resources (hide)'!AT$6:AT$105)+SUMIF(Capacity_Resource,$E96,'Critical resources (hide)'!AT$6:AT$105)+SUMIF(Capacity_Resource,$F96,'Critical resources (hide)'!AT$6:AT$105)&gt;0,$E$1=2),0,1)</f>
        <v>1</v>
      </c>
      <c r="AH96" s="67">
        <f ca="1">IF(AND(SUMIF(Capacity_Resource,$D96,'Critical resources (hide)'!AU$6:AU$105)+SUMIF(Capacity_Resource,$E96,'Critical resources (hide)'!AU$6:AU$105)+SUMIF(Capacity_Resource,$F96,'Critical resources (hide)'!AU$6:AU$105)&gt;0,$E$1=2),0,1)</f>
        <v>1</v>
      </c>
      <c r="AI96" s="67">
        <f ca="1">IF(AND(SUMIF(Capacity_Resource,$D96,'Critical resources (hide)'!AV$6:AV$105)+SUMIF(Capacity_Resource,$E96,'Critical resources (hide)'!AV$6:AV$105)+SUMIF(Capacity_Resource,$F96,'Critical resources (hide)'!AV$6:AV$105)&gt;0,$E$1=2),0,1)</f>
        <v>1</v>
      </c>
      <c r="AJ96" s="67">
        <f ca="1">IF(AND(SUMIF(Capacity_Resource,$D96,'Critical resources (hide)'!AW$6:AW$105)+SUMIF(Capacity_Resource,$E96,'Critical resources (hide)'!AW$6:AW$105)+SUMIF(Capacity_Resource,$F96,'Critical resources (hide)'!AW$6:AW$105)&gt;0,$E$1=2),0,1)</f>
        <v>1</v>
      </c>
      <c r="AK96" s="67">
        <f ca="1">IF(AND(SUMIF(Capacity_Resource,$D96,'Critical resources (hide)'!AX$6:AX$105)+SUMIF(Capacity_Resource,$E96,'Critical resources (hide)'!AX$6:AX$105)+SUMIF(Capacity_Resource,$F96,'Critical resources (hide)'!AX$6:AX$105)&gt;0,$E$1=2),0,1)</f>
        <v>1</v>
      </c>
      <c r="AL96" s="67">
        <f ca="1">IF(AND(SUMIF(Capacity_Resource,$D96,'Critical resources (hide)'!AY$6:AY$105)+SUMIF(Capacity_Resource,$E96,'Critical resources (hide)'!AY$6:AY$105)+SUMIF(Capacity_Resource,$F96,'Critical resources (hide)'!AY$6:AY$105)&gt;0,$E$1=2),0,1)</f>
        <v>1</v>
      </c>
      <c r="AM96" s="67">
        <f ca="1">IF(AND(SUMIF(Capacity_Resource,$D96,'Critical resources (hide)'!AZ$6:AZ$105)+SUMIF(Capacity_Resource,$E96,'Critical resources (hide)'!AZ$6:AZ$105)+SUMIF(Capacity_Resource,$F96,'Critical resources (hide)'!AZ$6:AZ$105)&gt;0,$E$1=2),0,1)</f>
        <v>1</v>
      </c>
      <c r="AN96" s="67">
        <f ca="1">IF(AND(SUMIF(Capacity_Resource,$D96,'Critical resources (hide)'!BA$6:BA$105)+SUMIF(Capacity_Resource,$E96,'Critical resources (hide)'!BA$6:BA$105)+SUMIF(Capacity_Resource,$F96,'Critical resources (hide)'!BA$6:BA$105)&gt;0,$E$1=2),0,1)</f>
        <v>1</v>
      </c>
      <c r="AO96" s="67">
        <f ca="1">IF(AND(SUMIF(Capacity_Resource,$D96,'Critical resources (hide)'!BB$6:BB$105)+SUMIF(Capacity_Resource,$E96,'Critical resources (hide)'!BB$6:BB$105)+SUMIF(Capacity_Resource,$F96,'Critical resources (hide)'!BB$6:BB$105)&gt;0,$E$1=2),0,1)</f>
        <v>1</v>
      </c>
      <c r="AP96" s="67">
        <f ca="1">IF(AND(SUMIF(Capacity_Resource,$D96,'Critical resources (hide)'!BC$6:BC$105)+SUMIF(Capacity_Resource,$E96,'Critical resources (hide)'!BC$6:BC$105)+SUMIF(Capacity_Resource,$F96,'Critical resources (hide)'!BC$6:BC$105)&gt;0,$E$1=2),0,1)</f>
        <v>1</v>
      </c>
      <c r="AQ96" s="67">
        <f ca="1">IF(AND(SUMIF(Capacity_Resource,$D96,'Critical resources (hide)'!BD$6:BD$105)+SUMIF(Capacity_Resource,$E96,'Critical resources (hide)'!BD$6:BD$105)+SUMIF(Capacity_Resource,$F96,'Critical resources (hide)'!BD$6:BD$105)&gt;0,$E$1=2),0,1)</f>
        <v>1</v>
      </c>
      <c r="AR96" s="67">
        <f ca="1">IF(AND(SUMIF(Capacity_Resource,$D96,'Critical resources (hide)'!BE$6:BE$105)+SUMIF(Capacity_Resource,$E96,'Critical resources (hide)'!BE$6:BE$105)+SUMIF(Capacity_Resource,$F96,'Critical resources (hide)'!BE$6:BE$105)&gt;0,$E$1=2),0,1)</f>
        <v>1</v>
      </c>
      <c r="AS96" s="67">
        <f ca="1">IF(AND(SUMIF(Capacity_Resource,$D96,'Critical resources (hide)'!BF$6:BF$105)+SUMIF(Capacity_Resource,$E96,'Critical resources (hide)'!BF$6:BF$105)+SUMIF(Capacity_Resource,$F96,'Critical resources (hide)'!BF$6:BF$105)&gt;0,$E$1=2),0,1)</f>
        <v>1</v>
      </c>
      <c r="AT96" s="67">
        <f ca="1">IF(AND(SUMIF(Capacity_Resource,$D96,'Critical resources (hide)'!BG$6:BG$105)+SUMIF(Capacity_Resource,$E96,'Critical resources (hide)'!BG$6:BG$105)+SUMIF(Capacity_Resource,$F96,'Critical resources (hide)'!BG$6:BG$105)&gt;0,$E$1=2),0,1)</f>
        <v>1</v>
      </c>
      <c r="AU96" s="67">
        <f ca="1">IF(AND(SUMIF(Capacity_Resource,$D96,'Critical resources (hide)'!BH$6:BH$105)+SUMIF(Capacity_Resource,$E96,'Critical resources (hide)'!BH$6:BH$105)+SUMIF(Capacity_Resource,$F96,'Critical resources (hide)'!BH$6:BH$105)&gt;0,$E$1=2),0,1)</f>
        <v>1</v>
      </c>
      <c r="AV96" s="67">
        <f ca="1">IF(AND(SUMIF(Capacity_Resource,$D96,'Critical resources (hide)'!BI$6:BI$105)+SUMIF(Capacity_Resource,$E96,'Critical resources (hide)'!BI$6:BI$105)+SUMIF(Capacity_Resource,$F96,'Critical resources (hide)'!BI$6:BI$105)&gt;0,$E$1=2),0,1)</f>
        <v>1</v>
      </c>
      <c r="AW96" s="67">
        <f ca="1">IF(AND(SUMIF(Capacity_Resource,$D96,'Critical resources (hide)'!BJ$6:BJ$105)+SUMIF(Capacity_Resource,$E96,'Critical resources (hide)'!BJ$6:BJ$105)+SUMIF(Capacity_Resource,$F96,'Critical resources (hide)'!BJ$6:BJ$105)&gt;0,$E$1=2),0,1)</f>
        <v>1</v>
      </c>
      <c r="AX96" s="67">
        <f ca="1">IF(AND(SUMIF(Capacity_Resource,$D96,'Critical resources (hide)'!BK$6:BK$105)+SUMIF(Capacity_Resource,$E96,'Critical resources (hide)'!BK$6:BK$105)+SUMIF(Capacity_Resource,$F96,'Critical resources (hide)'!BK$6:BK$105)&gt;0,$E$1=2),0,1)</f>
        <v>1</v>
      </c>
      <c r="AY96" s="67">
        <f ca="1">IF(AND(SUMIF(Capacity_Resource,$D96,'Critical resources (hide)'!BL$6:BL$105)+SUMIF(Capacity_Resource,$E96,'Critical resources (hide)'!BL$6:BL$105)+SUMIF(Capacity_Resource,$F96,'Critical resources (hide)'!BL$6:BL$105)&gt;0,$E$1=2),0,1)</f>
        <v>1</v>
      </c>
      <c r="AZ96" s="67">
        <f ca="1">IF(AND(SUMIF(Capacity_Resource,$D96,'Critical resources (hide)'!BM$6:BM$105)+SUMIF(Capacity_Resource,$E96,'Critical resources (hide)'!BM$6:BM$105)+SUMIF(Capacity_Resource,$F96,'Critical resources (hide)'!BM$6:BM$105)&gt;0,$E$1=2),0,1)</f>
        <v>1</v>
      </c>
      <c r="BA96" s="67">
        <f ca="1">IF(AND(SUMIF(Capacity_Resource,$D96,'Critical resources (hide)'!BN$6:BN$105)+SUMIF(Capacity_Resource,$E96,'Critical resources (hide)'!BN$6:BN$105)+SUMIF(Capacity_Resource,$F96,'Critical resources (hide)'!BN$6:BN$105)&gt;0,$E$1=2),0,1)</f>
        <v>1</v>
      </c>
      <c r="BB96" s="67">
        <f ca="1">IF(AND(SUMIF(Capacity_Resource,$D96,'Critical resources (hide)'!BO$6:BO$105)+SUMIF(Capacity_Resource,$E96,'Critical resources (hide)'!BO$6:BO$105)+SUMIF(Capacity_Resource,$F96,'Critical resources (hide)'!BO$6:BO$105)&gt;0,$E$1=2),0,1)</f>
        <v>1</v>
      </c>
      <c r="BC96" s="67">
        <f ca="1">IF(AND(SUMIF(Capacity_Resource,$D96,'Critical resources (hide)'!BP$6:BP$105)+SUMIF(Capacity_Resource,$E96,'Critical resources (hide)'!BP$6:BP$105)+SUMIF(Capacity_Resource,$F96,'Critical resources (hide)'!BP$6:BP$105)&gt;0,$E$1=2),0,1)</f>
        <v>1</v>
      </c>
      <c r="BD96" s="67">
        <f ca="1">IF(AND(SUMIF(Capacity_Resource,$D96,'Critical resources (hide)'!BQ$6:BQ$105)+SUMIF(Capacity_Resource,$E96,'Critical resources (hide)'!BQ$6:BQ$105)+SUMIF(Capacity_Resource,$F96,'Critical resources (hide)'!BQ$6:BQ$105)&gt;0,$E$1=2),0,1)</f>
        <v>1</v>
      </c>
      <c r="BE96" s="67">
        <f ca="1">IF(AND(SUMIF(Capacity_Resource,$D96,'Critical resources (hide)'!BR$6:BR$105)+SUMIF(Capacity_Resource,$E96,'Critical resources (hide)'!BR$6:BR$105)+SUMIF(Capacity_Resource,$F96,'Critical resources (hide)'!BR$6:BR$105)&gt;0,$E$1=2),0,1)</f>
        <v>1</v>
      </c>
      <c r="BF96" s="67">
        <f ca="1">IF(AND(SUMIF(Capacity_Resource,$D96,'Critical resources (hide)'!BS$6:BS$105)+SUMIF(Capacity_Resource,$E96,'Critical resources (hide)'!BS$6:BS$105)+SUMIF(Capacity_Resource,$F96,'Critical resources (hide)'!BS$6:BS$105)&gt;0,$E$1=2),0,1)</f>
        <v>1</v>
      </c>
      <c r="BG96" s="67">
        <f ca="1">IF(AND(SUMIF(Capacity_Resource,$D96,'Critical resources (hide)'!BT$6:BT$105)+SUMIF(Capacity_Resource,$E96,'Critical resources (hide)'!BT$6:BT$105)+SUMIF(Capacity_Resource,$F96,'Critical resources (hide)'!BT$6:BT$105)&gt;0,$E$1=2),0,1)</f>
        <v>1</v>
      </c>
      <c r="BH96" s="67">
        <f>IF(ROW(C92)&lt;=Capacity!$A$16,IF('Capacity summary'!$D$14="No",SUM(H96:BG96),'Capacity summary'!$E215),0)</f>
        <v>0</v>
      </c>
      <c r="BI96" s="5" t="str">
        <f>IF(BH96&gt;0,IF(BH96&lt;Capacity!E108,Capacity!F108,Capacity!H108/'Capacity calculation (hide)'!BH96),"")</f>
        <v/>
      </c>
      <c r="BK96" s="313">
        <f>IF($BI96&lt;&gt;"",IF('Capacity summary'!$D$14="Yes",IF(COUNTBLANK('Capacity summary'!$H215:$BG215)&lt;52,IF('Capacity summary'!H215&lt;&gt;"",IF(LOWER('Capacity summary'!H215)="x",$BI96*H96,VALUE('Capacity summary'!H215)),0),H96*$BI96),H96*$BI96),0)</f>
        <v>0</v>
      </c>
      <c r="BL96" s="313">
        <f>IF($BI96&lt;&gt;"",IF('Capacity summary'!$D$14="Yes",IF(COUNTBLANK('Capacity summary'!$H215:$BG215)&lt;52,IF('Capacity summary'!I215&lt;&gt;"",IF(LOWER('Capacity summary'!I215)="x",$BI96*I96,VALUE('Capacity summary'!I215)),0),I96*$BI96),I96*$BI96),0)</f>
        <v>0</v>
      </c>
      <c r="BM96" s="313">
        <f>IF($BI96&lt;&gt;"",IF('Capacity summary'!$D$14="Yes",IF(COUNTBLANK('Capacity summary'!$H215:$BG215)&lt;52,IF('Capacity summary'!J215&lt;&gt;"",IF(LOWER('Capacity summary'!J215)="x",$BI96*J96,VALUE('Capacity summary'!J215)),0),J96*$BI96),J96*$BI96),0)</f>
        <v>0</v>
      </c>
      <c r="BN96" s="313">
        <f>IF($BI96&lt;&gt;"",IF('Capacity summary'!$D$14="Yes",IF(COUNTBLANK('Capacity summary'!$H215:$BG215)&lt;52,IF('Capacity summary'!K215&lt;&gt;"",IF(LOWER('Capacity summary'!K215)="x",$BI96*K96,VALUE('Capacity summary'!K215)),0),K96*$BI96),K96*$BI96),0)</f>
        <v>0</v>
      </c>
      <c r="BO96" s="313">
        <f>IF($BI96&lt;&gt;"",IF('Capacity summary'!$D$14="Yes",IF(COUNTBLANK('Capacity summary'!$H215:$BG215)&lt;52,IF('Capacity summary'!L215&lt;&gt;"",IF(LOWER('Capacity summary'!L215)="x",$BI96*L96,VALUE('Capacity summary'!L215)),0),L96*$BI96),L96*$BI96),0)</f>
        <v>0</v>
      </c>
      <c r="BP96" s="313">
        <f>IF($BI96&lt;&gt;"",IF('Capacity summary'!$D$14="Yes",IF(COUNTBLANK('Capacity summary'!$H215:$BG215)&lt;52,IF('Capacity summary'!M215&lt;&gt;"",IF(LOWER('Capacity summary'!M215)="x",$BI96*M96,VALUE('Capacity summary'!M215)),0),M96*$BI96),M96*$BI96),0)</f>
        <v>0</v>
      </c>
      <c r="BQ96" s="313">
        <f>IF($BI96&lt;&gt;"",IF('Capacity summary'!$D$14="Yes",IF(COUNTBLANK('Capacity summary'!$H215:$BG215)&lt;52,IF('Capacity summary'!N215&lt;&gt;"",IF(LOWER('Capacity summary'!N215)="x",$BI96*N96,VALUE('Capacity summary'!N215)),0),N96*$BI96),N96*$BI96),0)</f>
        <v>0</v>
      </c>
      <c r="BR96" s="313">
        <f>IF($BI96&lt;&gt;"",IF('Capacity summary'!$D$14="Yes",IF(COUNTBLANK('Capacity summary'!$H215:$BG215)&lt;52,IF('Capacity summary'!O215&lt;&gt;"",IF(LOWER('Capacity summary'!O215)="x",$BI96*O96,VALUE('Capacity summary'!O215)),0),O96*$BI96),O96*$BI96),0)</f>
        <v>0</v>
      </c>
      <c r="BS96" s="313">
        <f>IF($BI96&lt;&gt;"",IF('Capacity summary'!$D$14="Yes",IF(COUNTBLANK('Capacity summary'!$H215:$BG215)&lt;52,IF('Capacity summary'!P215&lt;&gt;"",IF(LOWER('Capacity summary'!P215)="x",$BI96*P96,VALUE('Capacity summary'!P215)),0),P96*$BI96),P96*$BI96),0)</f>
        <v>0</v>
      </c>
      <c r="BT96" s="313">
        <f>IF($BI96&lt;&gt;"",IF('Capacity summary'!$D$14="Yes",IF(COUNTBLANK('Capacity summary'!$H215:$BG215)&lt;52,IF('Capacity summary'!Q215&lt;&gt;"",IF(LOWER('Capacity summary'!Q215)="x",$BI96*Q96,VALUE('Capacity summary'!Q215)),0),Q96*$BI96),Q96*$BI96),0)</f>
        <v>0</v>
      </c>
      <c r="BU96" s="313">
        <f>IF($BI96&lt;&gt;"",IF('Capacity summary'!$D$14="Yes",IF(COUNTBLANK('Capacity summary'!$H215:$BG215)&lt;52,IF('Capacity summary'!R215&lt;&gt;"",IF(LOWER('Capacity summary'!R215)="x",$BI96*R96,VALUE('Capacity summary'!R215)),0),R96*$BI96),R96*$BI96),0)</f>
        <v>0</v>
      </c>
      <c r="BV96" s="313">
        <f>IF($BI96&lt;&gt;"",IF('Capacity summary'!$D$14="Yes",IF(COUNTBLANK('Capacity summary'!$H215:$BG215)&lt;52,IF('Capacity summary'!S215&lt;&gt;"",IF(LOWER('Capacity summary'!S215)="x",$BI96*S96,VALUE('Capacity summary'!S215)),0),S96*$BI96),S96*$BI96),0)</f>
        <v>0</v>
      </c>
      <c r="BW96" s="313">
        <f>IF($BI96&lt;&gt;"",IF('Capacity summary'!$D$14="Yes",IF(COUNTBLANK('Capacity summary'!$H215:$BG215)&lt;52,IF('Capacity summary'!T215&lt;&gt;"",IF(LOWER('Capacity summary'!T215)="x",$BI96*T96,VALUE('Capacity summary'!T215)),0),T96*$BI96),T96*$BI96),0)</f>
        <v>0</v>
      </c>
      <c r="BX96" s="313">
        <f>IF($BI96&lt;&gt;"",IF('Capacity summary'!$D$14="Yes",IF(COUNTBLANK('Capacity summary'!$H215:$BG215)&lt;52,IF('Capacity summary'!U215&lt;&gt;"",IF(LOWER('Capacity summary'!U215)="x",$BI96*U96,VALUE('Capacity summary'!U215)),0),U96*$BI96),U96*$BI96),0)</f>
        <v>0</v>
      </c>
      <c r="BY96" s="313">
        <f>IF($BI96&lt;&gt;"",IF('Capacity summary'!$D$14="Yes",IF(COUNTBLANK('Capacity summary'!$H215:$BG215)&lt;52,IF('Capacity summary'!V215&lt;&gt;"",IF(LOWER('Capacity summary'!V215)="x",$BI96*V96,VALUE('Capacity summary'!V215)),0),V96*$BI96),V96*$BI96),0)</f>
        <v>0</v>
      </c>
      <c r="BZ96" s="313">
        <f>IF($BI96&lt;&gt;"",IF('Capacity summary'!$D$14="Yes",IF(COUNTBLANK('Capacity summary'!$H215:$BG215)&lt;52,IF('Capacity summary'!W215&lt;&gt;"",IF(LOWER('Capacity summary'!W215)="x",$BI96*W96,VALUE('Capacity summary'!W215)),0),W96*$BI96),W96*$BI96),0)</f>
        <v>0</v>
      </c>
      <c r="CA96" s="313">
        <f>IF($BI96&lt;&gt;"",IF('Capacity summary'!$D$14="Yes",IF(COUNTBLANK('Capacity summary'!$H215:$BG215)&lt;52,IF('Capacity summary'!X215&lt;&gt;"",IF(LOWER('Capacity summary'!X215)="x",$BI96*X96,VALUE('Capacity summary'!X215)),0),X96*$BI96),X96*$BI96),0)</f>
        <v>0</v>
      </c>
      <c r="CB96" s="313">
        <f>IF($BI96&lt;&gt;"",IF('Capacity summary'!$D$14="Yes",IF(COUNTBLANK('Capacity summary'!$H215:$BG215)&lt;52,IF('Capacity summary'!Y215&lt;&gt;"",IF(LOWER('Capacity summary'!Y215)="x",$BI96*Y96,VALUE('Capacity summary'!Y215)),0),Y96*$BI96),Y96*$BI96),0)</f>
        <v>0</v>
      </c>
      <c r="CC96" s="313">
        <f>IF($BI96&lt;&gt;"",IF('Capacity summary'!$D$14="Yes",IF(COUNTBLANK('Capacity summary'!$H215:$BG215)&lt;52,IF('Capacity summary'!Z215&lt;&gt;"",IF(LOWER('Capacity summary'!Z215)="x",$BI96*Z96,VALUE('Capacity summary'!Z215)),0),Z96*$BI96),Z96*$BI96),0)</f>
        <v>0</v>
      </c>
      <c r="CD96" s="313">
        <f>IF($BI96&lt;&gt;"",IF('Capacity summary'!$D$14="Yes",IF(COUNTBLANK('Capacity summary'!$H215:$BG215)&lt;52,IF('Capacity summary'!AA215&lt;&gt;"",IF(LOWER('Capacity summary'!AA215)="x",$BI96*AA96,VALUE('Capacity summary'!AA215)),0),AA96*$BI96),AA96*$BI96),0)</f>
        <v>0</v>
      </c>
      <c r="CE96" s="313">
        <f>IF($BI96&lt;&gt;"",IF('Capacity summary'!$D$14="Yes",IF(COUNTBLANK('Capacity summary'!$H215:$BG215)&lt;52,IF('Capacity summary'!AB215&lt;&gt;"",IF(LOWER('Capacity summary'!AB215)="x",$BI96*AB96,VALUE('Capacity summary'!AB215)),0),AB96*$BI96),AB96*$BI96),0)</f>
        <v>0</v>
      </c>
      <c r="CF96" s="313">
        <f>IF($BI96&lt;&gt;"",IF('Capacity summary'!$D$14="Yes",IF(COUNTBLANK('Capacity summary'!$H215:$BG215)&lt;52,IF('Capacity summary'!AC215&lt;&gt;"",IF(LOWER('Capacity summary'!AC215)="x",$BI96*AC96,VALUE('Capacity summary'!AC215)),0),AC96*$BI96),AC96*$BI96),0)</f>
        <v>0</v>
      </c>
      <c r="CG96" s="313">
        <f>IF($BI96&lt;&gt;"",IF('Capacity summary'!$D$14="Yes",IF(COUNTBLANK('Capacity summary'!$H215:$BG215)&lt;52,IF('Capacity summary'!AD215&lt;&gt;"",IF(LOWER('Capacity summary'!AD215)="x",$BI96*AD96,VALUE('Capacity summary'!AD215)),0),AD96*$BI96),AD96*$BI96),0)</f>
        <v>0</v>
      </c>
      <c r="CH96" s="313">
        <f>IF($BI96&lt;&gt;"",IF('Capacity summary'!$D$14="Yes",IF(COUNTBLANK('Capacity summary'!$H215:$BG215)&lt;52,IF('Capacity summary'!AE215&lt;&gt;"",IF(LOWER('Capacity summary'!AE215)="x",$BI96*AE96,VALUE('Capacity summary'!AE215)),0),AE96*$BI96),AE96*$BI96),0)</f>
        <v>0</v>
      </c>
      <c r="CI96" s="313">
        <f>IF($BI96&lt;&gt;"",IF('Capacity summary'!$D$14="Yes",IF(COUNTBLANK('Capacity summary'!$H215:$BG215)&lt;52,IF('Capacity summary'!AF215&lt;&gt;"",IF(LOWER('Capacity summary'!AF215)="x",$BI96*AF96,VALUE('Capacity summary'!AF215)),0),AF96*$BI96),AF96*$BI96),0)</f>
        <v>0</v>
      </c>
      <c r="CJ96" s="313">
        <f>IF($BI96&lt;&gt;"",IF('Capacity summary'!$D$14="Yes",IF(COUNTBLANK('Capacity summary'!$H215:$BG215)&lt;52,IF('Capacity summary'!AG215&lt;&gt;"",IF(LOWER('Capacity summary'!AG215)="x",$BI96*AG96,VALUE('Capacity summary'!AG215)),0),AG96*$BI96),AG96*$BI96),0)</f>
        <v>0</v>
      </c>
      <c r="CK96" s="313">
        <f>IF($BI96&lt;&gt;"",IF('Capacity summary'!$D$14="Yes",IF(COUNTBLANK('Capacity summary'!$H215:$BG215)&lt;52,IF('Capacity summary'!AH215&lt;&gt;"",IF(LOWER('Capacity summary'!AH215)="x",$BI96*AH96,VALUE('Capacity summary'!AH215)),0),AH96*$BI96),AH96*$BI96),0)</f>
        <v>0</v>
      </c>
      <c r="CL96" s="313">
        <f>IF($BI96&lt;&gt;"",IF('Capacity summary'!$D$14="Yes",IF(COUNTBLANK('Capacity summary'!$H215:$BG215)&lt;52,IF('Capacity summary'!AI215&lt;&gt;"",IF(LOWER('Capacity summary'!AI215)="x",$BI96*AI96,VALUE('Capacity summary'!AI215)),0),AI96*$BI96),AI96*$BI96),0)</f>
        <v>0</v>
      </c>
      <c r="CM96" s="313">
        <f>IF($BI96&lt;&gt;"",IF('Capacity summary'!$D$14="Yes",IF(COUNTBLANK('Capacity summary'!$H215:$BG215)&lt;52,IF('Capacity summary'!AJ215&lt;&gt;"",IF(LOWER('Capacity summary'!AJ215)="x",$BI96*AJ96,VALUE('Capacity summary'!AJ215)),0),AJ96*$BI96),AJ96*$BI96),0)</f>
        <v>0</v>
      </c>
      <c r="CN96" s="313">
        <f>IF($BI96&lt;&gt;"",IF('Capacity summary'!$D$14="Yes",IF(COUNTBLANK('Capacity summary'!$H215:$BG215)&lt;52,IF('Capacity summary'!AK215&lt;&gt;"",IF(LOWER('Capacity summary'!AK215)="x",$BI96*AK96,VALUE('Capacity summary'!AK215)),0),AK96*$BI96),AK96*$BI96),0)</f>
        <v>0</v>
      </c>
      <c r="CO96" s="313">
        <f>IF($BI96&lt;&gt;"",IF('Capacity summary'!$D$14="Yes",IF(COUNTBLANK('Capacity summary'!$H215:$BG215)&lt;52,IF('Capacity summary'!AL215&lt;&gt;"",IF(LOWER('Capacity summary'!AL215)="x",$BI96*AL96,VALUE('Capacity summary'!AL215)),0),AL96*$BI96),AL96*$BI96),0)</f>
        <v>0</v>
      </c>
      <c r="CP96" s="313">
        <f>IF($BI96&lt;&gt;"",IF('Capacity summary'!$D$14="Yes",IF(COUNTBLANK('Capacity summary'!$H215:$BG215)&lt;52,IF('Capacity summary'!AM215&lt;&gt;"",IF(LOWER('Capacity summary'!AM215)="x",$BI96*AM96,VALUE('Capacity summary'!AM215)),0),AM96*$BI96),AM96*$BI96),0)</f>
        <v>0</v>
      </c>
      <c r="CQ96" s="313">
        <f>IF($BI96&lt;&gt;"",IF('Capacity summary'!$D$14="Yes",IF(COUNTBLANK('Capacity summary'!$H215:$BG215)&lt;52,IF('Capacity summary'!AN215&lt;&gt;"",IF(LOWER('Capacity summary'!AN215)="x",$BI96*AN96,VALUE('Capacity summary'!AN215)),0),AN96*$BI96),AN96*$BI96),0)</f>
        <v>0</v>
      </c>
      <c r="CR96" s="313">
        <f>IF($BI96&lt;&gt;"",IF('Capacity summary'!$D$14="Yes",IF(COUNTBLANK('Capacity summary'!$H215:$BG215)&lt;52,IF('Capacity summary'!AO215&lt;&gt;"",IF(LOWER('Capacity summary'!AO215)="x",$BI96*AO96,VALUE('Capacity summary'!AO215)),0),AO96*$BI96),AO96*$BI96),0)</f>
        <v>0</v>
      </c>
      <c r="CS96" s="313">
        <f>IF($BI96&lt;&gt;"",IF('Capacity summary'!$D$14="Yes",IF(COUNTBLANK('Capacity summary'!$H215:$BG215)&lt;52,IF('Capacity summary'!AP215&lt;&gt;"",IF(LOWER('Capacity summary'!AP215)="x",$BI96*AP96,VALUE('Capacity summary'!AP215)),0),AP96*$BI96),AP96*$BI96),0)</f>
        <v>0</v>
      </c>
      <c r="CT96" s="313">
        <f>IF($BI96&lt;&gt;"",IF('Capacity summary'!$D$14="Yes",IF(COUNTBLANK('Capacity summary'!$H215:$BG215)&lt;52,IF('Capacity summary'!AQ215&lt;&gt;"",IF(LOWER('Capacity summary'!AQ215)="x",$BI96*AQ96,VALUE('Capacity summary'!AQ215)),0),AQ96*$BI96),AQ96*$BI96),0)</f>
        <v>0</v>
      </c>
      <c r="CU96" s="313">
        <f>IF($BI96&lt;&gt;"",IF('Capacity summary'!$D$14="Yes",IF(COUNTBLANK('Capacity summary'!$H215:$BG215)&lt;52,IF('Capacity summary'!AR215&lt;&gt;"",IF(LOWER('Capacity summary'!AR215)="x",$BI96*AR96,VALUE('Capacity summary'!AR215)),0),AR96*$BI96),AR96*$BI96),0)</f>
        <v>0</v>
      </c>
      <c r="CV96" s="313">
        <f>IF($BI96&lt;&gt;"",IF('Capacity summary'!$D$14="Yes",IF(COUNTBLANK('Capacity summary'!$H215:$BG215)&lt;52,IF('Capacity summary'!AS215&lt;&gt;"",IF(LOWER('Capacity summary'!AS215)="x",$BI96*AS96,VALUE('Capacity summary'!AS215)),0),AS96*$BI96),AS96*$BI96),0)</f>
        <v>0</v>
      </c>
      <c r="CW96" s="313">
        <f>IF($BI96&lt;&gt;"",IF('Capacity summary'!$D$14="Yes",IF(COUNTBLANK('Capacity summary'!$H215:$BG215)&lt;52,IF('Capacity summary'!AT215&lt;&gt;"",IF(LOWER('Capacity summary'!AT215)="x",$BI96*AT96,VALUE('Capacity summary'!AT215)),0),AT96*$BI96),AT96*$BI96),0)</f>
        <v>0</v>
      </c>
      <c r="CX96" s="313">
        <f>IF($BI96&lt;&gt;"",IF('Capacity summary'!$D$14="Yes",IF(COUNTBLANK('Capacity summary'!$H215:$BG215)&lt;52,IF('Capacity summary'!AU215&lt;&gt;"",IF(LOWER('Capacity summary'!AU215)="x",$BI96*AU96,VALUE('Capacity summary'!AU215)),0),AU96*$BI96),AU96*$BI96),0)</f>
        <v>0</v>
      </c>
      <c r="CY96" s="313">
        <f>IF($BI96&lt;&gt;"",IF('Capacity summary'!$D$14="Yes",IF(COUNTBLANK('Capacity summary'!$H215:$BG215)&lt;52,IF('Capacity summary'!AV215&lt;&gt;"",IF(LOWER('Capacity summary'!AV215)="x",$BI96*AV96,VALUE('Capacity summary'!AV215)),0),AV96*$BI96),AV96*$BI96),0)</f>
        <v>0</v>
      </c>
      <c r="CZ96" s="313">
        <f>IF($BI96&lt;&gt;"",IF('Capacity summary'!$D$14="Yes",IF(COUNTBLANK('Capacity summary'!$H215:$BG215)&lt;52,IF('Capacity summary'!AW215&lt;&gt;"",IF(LOWER('Capacity summary'!AW215)="x",$BI96*AW96,VALUE('Capacity summary'!AW215)),0),AW96*$BI96),AW96*$BI96),0)</f>
        <v>0</v>
      </c>
      <c r="DA96" s="313">
        <f>IF($BI96&lt;&gt;"",IF('Capacity summary'!$D$14="Yes",IF(COUNTBLANK('Capacity summary'!$H215:$BG215)&lt;52,IF('Capacity summary'!AX215&lt;&gt;"",IF(LOWER('Capacity summary'!AX215)="x",$BI96*AX96,VALUE('Capacity summary'!AX215)),0),AX96*$BI96),AX96*$BI96),0)</f>
        <v>0</v>
      </c>
      <c r="DB96" s="313">
        <f>IF($BI96&lt;&gt;"",IF('Capacity summary'!$D$14="Yes",IF(COUNTBLANK('Capacity summary'!$H215:$BG215)&lt;52,IF('Capacity summary'!AY215&lt;&gt;"",IF(LOWER('Capacity summary'!AY215)="x",$BI96*AY96,VALUE('Capacity summary'!AY215)),0),AY96*$BI96),AY96*$BI96),0)</f>
        <v>0</v>
      </c>
      <c r="DC96" s="313">
        <f>IF($BI96&lt;&gt;"",IF('Capacity summary'!$D$14="Yes",IF(COUNTBLANK('Capacity summary'!$H215:$BG215)&lt;52,IF('Capacity summary'!AZ215&lt;&gt;"",IF(LOWER('Capacity summary'!AZ215)="x",$BI96*AZ96,VALUE('Capacity summary'!AZ215)),0),AZ96*$BI96),AZ96*$BI96),0)</f>
        <v>0</v>
      </c>
      <c r="DD96" s="313">
        <f>IF($BI96&lt;&gt;"",IF('Capacity summary'!$D$14="Yes",IF(COUNTBLANK('Capacity summary'!$H215:$BG215)&lt;52,IF('Capacity summary'!BA215&lt;&gt;"",IF(LOWER('Capacity summary'!BA215)="x",$BI96*BA96,VALUE('Capacity summary'!BA215)),0),BA96*$BI96),BA96*$BI96),0)</f>
        <v>0</v>
      </c>
      <c r="DE96" s="313">
        <f>IF($BI96&lt;&gt;"",IF('Capacity summary'!$D$14="Yes",IF(COUNTBLANK('Capacity summary'!$H215:$BG215)&lt;52,IF('Capacity summary'!BB215&lt;&gt;"",IF(LOWER('Capacity summary'!BB215)="x",$BI96*BB96,VALUE('Capacity summary'!BB215)),0),BB96*$BI96),BB96*$BI96),0)</f>
        <v>0</v>
      </c>
      <c r="DF96" s="313">
        <f>IF($BI96&lt;&gt;"",IF('Capacity summary'!$D$14="Yes",IF(COUNTBLANK('Capacity summary'!$H215:$BG215)&lt;52,IF('Capacity summary'!BC215&lt;&gt;"",IF(LOWER('Capacity summary'!BC215)="x",$BI96*BC96,VALUE('Capacity summary'!BC215)),0),BC96*$BI96),BC96*$BI96),0)</f>
        <v>0</v>
      </c>
      <c r="DG96" s="313">
        <f>IF($BI96&lt;&gt;"",IF('Capacity summary'!$D$14="Yes",IF(COUNTBLANK('Capacity summary'!$H215:$BG215)&lt;52,IF('Capacity summary'!BD215&lt;&gt;"",IF(LOWER('Capacity summary'!BD215)="x",$BI96*BD96,VALUE('Capacity summary'!BD215)),0),BD96*$BI96),BD96*$BI96),0)</f>
        <v>0</v>
      </c>
      <c r="DH96" s="313">
        <f>IF($BI96&lt;&gt;"",IF('Capacity summary'!$D$14="Yes",IF(COUNTBLANK('Capacity summary'!$H215:$BG215)&lt;52,IF('Capacity summary'!BE215&lt;&gt;"",IF(LOWER('Capacity summary'!BE215)="x",$BI96*BE96,VALUE('Capacity summary'!BE215)),0),BE96*$BI96),BE96*$BI96),0)</f>
        <v>0</v>
      </c>
      <c r="DI96" s="313">
        <f>IF($BI96&lt;&gt;"",IF('Capacity summary'!$D$14="Yes",IF(COUNTBLANK('Capacity summary'!$H215:$BG215)&lt;52,IF('Capacity summary'!BF215&lt;&gt;"",IF(LOWER('Capacity summary'!BF215)="x",$BI96*BF96,VALUE('Capacity summary'!BF215)),0),BF96*$BI96),BF96*$BI96),0)</f>
        <v>0</v>
      </c>
      <c r="DJ96" s="313">
        <f>IF($BI96&lt;&gt;"",IF('Capacity summary'!$D$14="Yes",IF(COUNTBLANK('Capacity summary'!$H215:$BG215)&lt;52,IF('Capacity summary'!BG215&lt;&gt;"",IF(LOWER('Capacity summary'!BG215)="x",$BI96*BG96,VALUE('Capacity summary'!BG215)),0),BG96*$BI96),BG96*$BI96),0)</f>
        <v>0</v>
      </c>
      <c r="DK96" s="137">
        <f t="shared" si="3"/>
        <v>0</v>
      </c>
      <c r="DL96" s="313" t="str">
        <f>Capacity!H108</f>
        <v/>
      </c>
    </row>
    <row r="97" spans="2:116" x14ac:dyDescent="0.25">
      <c r="B97" s="67"/>
      <c r="C97" s="67" t="str">
        <f>ROW(A93)&amp;". "&amp;Capacity!B109</f>
        <v xml:space="preserve">93. </v>
      </c>
      <c r="D97" s="67">
        <f>'Capacity setup'!C104</f>
        <v>0</v>
      </c>
      <c r="E97" s="67">
        <f>'Capacity setup'!D104</f>
        <v>0</v>
      </c>
      <c r="F97" s="67">
        <f>'Capacity setup'!E104</f>
        <v>0</v>
      </c>
      <c r="H97" s="67">
        <f ca="1">IF(AND(SUMIF(Capacity_Resource,$D97,'Critical resources (hide)'!U$6:U$105)+SUMIF(Capacity_Resource,$E97,'Critical resources (hide)'!U$6:U$105)+SUMIF(Capacity_Resource,$F97,'Critical resources (hide)'!U$6:U$105)&gt;0,$E$1=2),0,1)</f>
        <v>1</v>
      </c>
      <c r="I97" s="67">
        <f ca="1">IF(AND(SUMIF(Capacity_Resource,$D97,'Critical resources (hide)'!V$6:V$105)+SUMIF(Capacity_Resource,$E97,'Critical resources (hide)'!V$6:V$105)+SUMIF(Capacity_Resource,$F97,'Critical resources (hide)'!V$6:V$105)&gt;0,$E$1=2),0,1)</f>
        <v>1</v>
      </c>
      <c r="J97" s="67">
        <f ca="1">IF(AND(SUMIF(Capacity_Resource,$D97,'Critical resources (hide)'!W$6:W$105)+SUMIF(Capacity_Resource,$E97,'Critical resources (hide)'!W$6:W$105)+SUMIF(Capacity_Resource,$F97,'Critical resources (hide)'!W$6:W$105)&gt;0,$E$1=2),0,1)</f>
        <v>1</v>
      </c>
      <c r="K97" s="67">
        <f ca="1">IF(AND(SUMIF(Capacity_Resource,$D97,'Critical resources (hide)'!X$6:X$105)+SUMIF(Capacity_Resource,$E97,'Critical resources (hide)'!X$6:X$105)+SUMIF(Capacity_Resource,$F97,'Critical resources (hide)'!X$6:X$105)&gt;0,$E$1=2),0,1)</f>
        <v>1</v>
      </c>
      <c r="L97" s="67">
        <f ca="1">IF(AND(SUMIF(Capacity_Resource,$D97,'Critical resources (hide)'!Y$6:Y$105)+SUMIF(Capacity_Resource,$E97,'Critical resources (hide)'!Y$6:Y$105)+SUMIF(Capacity_Resource,$F97,'Critical resources (hide)'!Y$6:Y$105)&gt;0,$E$1=2),0,1)</f>
        <v>1</v>
      </c>
      <c r="M97" s="67">
        <f ca="1">IF(AND(SUMIF(Capacity_Resource,$D97,'Critical resources (hide)'!Z$6:Z$105)+SUMIF(Capacity_Resource,$E97,'Critical resources (hide)'!Z$6:Z$105)+SUMIF(Capacity_Resource,$F97,'Critical resources (hide)'!Z$6:Z$105)&gt;0,$E$1=2),0,1)</f>
        <v>1</v>
      </c>
      <c r="N97" s="67">
        <f ca="1">IF(AND(SUMIF(Capacity_Resource,$D97,'Critical resources (hide)'!AA$6:AA$105)+SUMIF(Capacity_Resource,$E97,'Critical resources (hide)'!AA$6:AA$105)+SUMIF(Capacity_Resource,$F97,'Critical resources (hide)'!AA$6:AA$105)&gt;0,$E$1=2),0,1)</f>
        <v>1</v>
      </c>
      <c r="O97" s="67">
        <f ca="1">IF(AND(SUMIF(Capacity_Resource,$D97,'Critical resources (hide)'!AB$6:AB$105)+SUMIF(Capacity_Resource,$E97,'Critical resources (hide)'!AB$6:AB$105)+SUMIF(Capacity_Resource,$F97,'Critical resources (hide)'!AB$6:AB$105)&gt;0,$E$1=2),0,1)</f>
        <v>1</v>
      </c>
      <c r="P97" s="67">
        <f ca="1">IF(AND(SUMIF(Capacity_Resource,$D97,'Critical resources (hide)'!AC$6:AC$105)+SUMIF(Capacity_Resource,$E97,'Critical resources (hide)'!AC$6:AC$105)+SUMIF(Capacity_Resource,$F97,'Critical resources (hide)'!AC$6:AC$105)&gt;0,$E$1=2),0,1)</f>
        <v>1</v>
      </c>
      <c r="Q97" s="67">
        <f ca="1">IF(AND(SUMIF(Capacity_Resource,$D97,'Critical resources (hide)'!AD$6:AD$105)+SUMIF(Capacity_Resource,$E97,'Critical resources (hide)'!AD$6:AD$105)+SUMIF(Capacity_Resource,$F97,'Critical resources (hide)'!AD$6:AD$105)&gt;0,$E$1=2),0,1)</f>
        <v>1</v>
      </c>
      <c r="R97" s="67">
        <f ca="1">IF(AND(SUMIF(Capacity_Resource,$D97,'Critical resources (hide)'!AE$6:AE$105)+SUMIF(Capacity_Resource,$E97,'Critical resources (hide)'!AE$6:AE$105)+SUMIF(Capacity_Resource,$F97,'Critical resources (hide)'!AE$6:AE$105)&gt;0,$E$1=2),0,1)</f>
        <v>1</v>
      </c>
      <c r="S97" s="67">
        <f ca="1">IF(AND(SUMIF(Capacity_Resource,$D97,'Critical resources (hide)'!AF$6:AF$105)+SUMIF(Capacity_Resource,$E97,'Critical resources (hide)'!AF$6:AF$105)+SUMIF(Capacity_Resource,$F97,'Critical resources (hide)'!AF$6:AF$105)&gt;0,$E$1=2),0,1)</f>
        <v>1</v>
      </c>
      <c r="T97" s="67">
        <f ca="1">IF(AND(SUMIF(Capacity_Resource,$D97,'Critical resources (hide)'!AG$6:AG$105)+SUMIF(Capacity_Resource,$E97,'Critical resources (hide)'!AG$6:AG$105)+SUMIF(Capacity_Resource,$F97,'Critical resources (hide)'!AG$6:AG$105)&gt;0,$E$1=2),0,1)</f>
        <v>1</v>
      </c>
      <c r="U97" s="67">
        <f ca="1">IF(AND(SUMIF(Capacity_Resource,$D97,'Critical resources (hide)'!AH$6:AH$105)+SUMIF(Capacity_Resource,$E97,'Critical resources (hide)'!AH$6:AH$105)+SUMIF(Capacity_Resource,$F97,'Critical resources (hide)'!AH$6:AH$105)&gt;0,$E$1=2),0,1)</f>
        <v>1</v>
      </c>
      <c r="V97" s="67">
        <f ca="1">IF(AND(SUMIF(Capacity_Resource,$D97,'Critical resources (hide)'!AI$6:AI$105)+SUMIF(Capacity_Resource,$E97,'Critical resources (hide)'!AI$6:AI$105)+SUMIF(Capacity_Resource,$F97,'Critical resources (hide)'!AI$6:AI$105)&gt;0,$E$1=2),0,1)</f>
        <v>1</v>
      </c>
      <c r="W97" s="67">
        <f ca="1">IF(AND(SUMIF(Capacity_Resource,$D97,'Critical resources (hide)'!AJ$6:AJ$105)+SUMIF(Capacity_Resource,$E97,'Critical resources (hide)'!AJ$6:AJ$105)+SUMIF(Capacity_Resource,$F97,'Critical resources (hide)'!AJ$6:AJ$105)&gt;0,$E$1=2),0,1)</f>
        <v>1</v>
      </c>
      <c r="X97" s="67">
        <f ca="1">IF(AND(SUMIF(Capacity_Resource,$D97,'Critical resources (hide)'!AK$6:AK$105)+SUMIF(Capacity_Resource,$E97,'Critical resources (hide)'!AK$6:AK$105)+SUMIF(Capacity_Resource,$F97,'Critical resources (hide)'!AK$6:AK$105)&gt;0,$E$1=2),0,1)</f>
        <v>1</v>
      </c>
      <c r="Y97" s="67">
        <f ca="1">IF(AND(SUMIF(Capacity_Resource,$D97,'Critical resources (hide)'!AL$6:AL$105)+SUMIF(Capacity_Resource,$E97,'Critical resources (hide)'!AL$6:AL$105)+SUMIF(Capacity_Resource,$F97,'Critical resources (hide)'!AL$6:AL$105)&gt;0,$E$1=2),0,1)</f>
        <v>1</v>
      </c>
      <c r="Z97" s="67">
        <f ca="1">IF(AND(SUMIF(Capacity_Resource,$D97,'Critical resources (hide)'!AM$6:AM$105)+SUMIF(Capacity_Resource,$E97,'Critical resources (hide)'!AM$6:AM$105)+SUMIF(Capacity_Resource,$F97,'Critical resources (hide)'!AM$6:AM$105)&gt;0,$E$1=2),0,1)</f>
        <v>1</v>
      </c>
      <c r="AA97" s="67">
        <f ca="1">IF(AND(SUMIF(Capacity_Resource,$D97,'Critical resources (hide)'!AN$6:AN$105)+SUMIF(Capacity_Resource,$E97,'Critical resources (hide)'!AN$6:AN$105)+SUMIF(Capacity_Resource,$F97,'Critical resources (hide)'!AN$6:AN$105)&gt;0,$E$1=2),0,1)</f>
        <v>1</v>
      </c>
      <c r="AB97" s="67">
        <f ca="1">IF(AND(SUMIF(Capacity_Resource,$D97,'Critical resources (hide)'!AO$6:AO$105)+SUMIF(Capacity_Resource,$E97,'Critical resources (hide)'!AO$6:AO$105)+SUMIF(Capacity_Resource,$F97,'Critical resources (hide)'!AO$6:AO$105)&gt;0,$E$1=2),0,1)</f>
        <v>1</v>
      </c>
      <c r="AC97" s="67">
        <f ca="1">IF(AND(SUMIF(Capacity_Resource,$D97,'Critical resources (hide)'!AP$6:AP$105)+SUMIF(Capacity_Resource,$E97,'Critical resources (hide)'!AP$6:AP$105)+SUMIF(Capacity_Resource,$F97,'Critical resources (hide)'!AP$6:AP$105)&gt;0,$E$1=2),0,1)</f>
        <v>1</v>
      </c>
      <c r="AD97" s="67">
        <f ca="1">IF(AND(SUMIF(Capacity_Resource,$D97,'Critical resources (hide)'!AQ$6:AQ$105)+SUMIF(Capacity_Resource,$E97,'Critical resources (hide)'!AQ$6:AQ$105)+SUMIF(Capacity_Resource,$F97,'Critical resources (hide)'!AQ$6:AQ$105)&gt;0,$E$1=2),0,1)</f>
        <v>1</v>
      </c>
      <c r="AE97" s="67">
        <f ca="1">IF(AND(SUMIF(Capacity_Resource,$D97,'Critical resources (hide)'!AR$6:AR$105)+SUMIF(Capacity_Resource,$E97,'Critical resources (hide)'!AR$6:AR$105)+SUMIF(Capacity_Resource,$F97,'Critical resources (hide)'!AR$6:AR$105)&gt;0,$E$1=2),0,1)</f>
        <v>1</v>
      </c>
      <c r="AF97" s="67">
        <f ca="1">IF(AND(SUMIF(Capacity_Resource,$D97,'Critical resources (hide)'!AS$6:AS$105)+SUMIF(Capacity_Resource,$E97,'Critical resources (hide)'!AS$6:AS$105)+SUMIF(Capacity_Resource,$F97,'Critical resources (hide)'!AS$6:AS$105)&gt;0,$E$1=2),0,1)</f>
        <v>1</v>
      </c>
      <c r="AG97" s="67">
        <f ca="1">IF(AND(SUMIF(Capacity_Resource,$D97,'Critical resources (hide)'!AT$6:AT$105)+SUMIF(Capacity_Resource,$E97,'Critical resources (hide)'!AT$6:AT$105)+SUMIF(Capacity_Resource,$F97,'Critical resources (hide)'!AT$6:AT$105)&gt;0,$E$1=2),0,1)</f>
        <v>1</v>
      </c>
      <c r="AH97" s="67">
        <f ca="1">IF(AND(SUMIF(Capacity_Resource,$D97,'Critical resources (hide)'!AU$6:AU$105)+SUMIF(Capacity_Resource,$E97,'Critical resources (hide)'!AU$6:AU$105)+SUMIF(Capacity_Resource,$F97,'Critical resources (hide)'!AU$6:AU$105)&gt;0,$E$1=2),0,1)</f>
        <v>1</v>
      </c>
      <c r="AI97" s="67">
        <f ca="1">IF(AND(SUMIF(Capacity_Resource,$D97,'Critical resources (hide)'!AV$6:AV$105)+SUMIF(Capacity_Resource,$E97,'Critical resources (hide)'!AV$6:AV$105)+SUMIF(Capacity_Resource,$F97,'Critical resources (hide)'!AV$6:AV$105)&gt;0,$E$1=2),0,1)</f>
        <v>1</v>
      </c>
      <c r="AJ97" s="67">
        <f ca="1">IF(AND(SUMIF(Capacity_Resource,$D97,'Critical resources (hide)'!AW$6:AW$105)+SUMIF(Capacity_Resource,$E97,'Critical resources (hide)'!AW$6:AW$105)+SUMIF(Capacity_Resource,$F97,'Critical resources (hide)'!AW$6:AW$105)&gt;0,$E$1=2),0,1)</f>
        <v>1</v>
      </c>
      <c r="AK97" s="67">
        <f ca="1">IF(AND(SUMIF(Capacity_Resource,$D97,'Critical resources (hide)'!AX$6:AX$105)+SUMIF(Capacity_Resource,$E97,'Critical resources (hide)'!AX$6:AX$105)+SUMIF(Capacity_Resource,$F97,'Critical resources (hide)'!AX$6:AX$105)&gt;0,$E$1=2),0,1)</f>
        <v>1</v>
      </c>
      <c r="AL97" s="67">
        <f ca="1">IF(AND(SUMIF(Capacity_Resource,$D97,'Critical resources (hide)'!AY$6:AY$105)+SUMIF(Capacity_Resource,$E97,'Critical resources (hide)'!AY$6:AY$105)+SUMIF(Capacity_Resource,$F97,'Critical resources (hide)'!AY$6:AY$105)&gt;0,$E$1=2),0,1)</f>
        <v>1</v>
      </c>
      <c r="AM97" s="67">
        <f ca="1">IF(AND(SUMIF(Capacity_Resource,$D97,'Critical resources (hide)'!AZ$6:AZ$105)+SUMIF(Capacity_Resource,$E97,'Critical resources (hide)'!AZ$6:AZ$105)+SUMIF(Capacity_Resource,$F97,'Critical resources (hide)'!AZ$6:AZ$105)&gt;0,$E$1=2),0,1)</f>
        <v>1</v>
      </c>
      <c r="AN97" s="67">
        <f ca="1">IF(AND(SUMIF(Capacity_Resource,$D97,'Critical resources (hide)'!BA$6:BA$105)+SUMIF(Capacity_Resource,$E97,'Critical resources (hide)'!BA$6:BA$105)+SUMIF(Capacity_Resource,$F97,'Critical resources (hide)'!BA$6:BA$105)&gt;0,$E$1=2),0,1)</f>
        <v>1</v>
      </c>
      <c r="AO97" s="67">
        <f ca="1">IF(AND(SUMIF(Capacity_Resource,$D97,'Critical resources (hide)'!BB$6:BB$105)+SUMIF(Capacity_Resource,$E97,'Critical resources (hide)'!BB$6:BB$105)+SUMIF(Capacity_Resource,$F97,'Critical resources (hide)'!BB$6:BB$105)&gt;0,$E$1=2),0,1)</f>
        <v>1</v>
      </c>
      <c r="AP97" s="67">
        <f ca="1">IF(AND(SUMIF(Capacity_Resource,$D97,'Critical resources (hide)'!BC$6:BC$105)+SUMIF(Capacity_Resource,$E97,'Critical resources (hide)'!BC$6:BC$105)+SUMIF(Capacity_Resource,$F97,'Critical resources (hide)'!BC$6:BC$105)&gt;0,$E$1=2),0,1)</f>
        <v>1</v>
      </c>
      <c r="AQ97" s="67">
        <f ca="1">IF(AND(SUMIF(Capacity_Resource,$D97,'Critical resources (hide)'!BD$6:BD$105)+SUMIF(Capacity_Resource,$E97,'Critical resources (hide)'!BD$6:BD$105)+SUMIF(Capacity_Resource,$F97,'Critical resources (hide)'!BD$6:BD$105)&gt;0,$E$1=2),0,1)</f>
        <v>1</v>
      </c>
      <c r="AR97" s="67">
        <f ca="1">IF(AND(SUMIF(Capacity_Resource,$D97,'Critical resources (hide)'!BE$6:BE$105)+SUMIF(Capacity_Resource,$E97,'Critical resources (hide)'!BE$6:BE$105)+SUMIF(Capacity_Resource,$F97,'Critical resources (hide)'!BE$6:BE$105)&gt;0,$E$1=2),0,1)</f>
        <v>1</v>
      </c>
      <c r="AS97" s="67">
        <f ca="1">IF(AND(SUMIF(Capacity_Resource,$D97,'Critical resources (hide)'!BF$6:BF$105)+SUMIF(Capacity_Resource,$E97,'Critical resources (hide)'!BF$6:BF$105)+SUMIF(Capacity_Resource,$F97,'Critical resources (hide)'!BF$6:BF$105)&gt;0,$E$1=2),0,1)</f>
        <v>1</v>
      </c>
      <c r="AT97" s="67">
        <f ca="1">IF(AND(SUMIF(Capacity_Resource,$D97,'Critical resources (hide)'!BG$6:BG$105)+SUMIF(Capacity_Resource,$E97,'Critical resources (hide)'!BG$6:BG$105)+SUMIF(Capacity_Resource,$F97,'Critical resources (hide)'!BG$6:BG$105)&gt;0,$E$1=2),0,1)</f>
        <v>1</v>
      </c>
      <c r="AU97" s="67">
        <f ca="1">IF(AND(SUMIF(Capacity_Resource,$D97,'Critical resources (hide)'!BH$6:BH$105)+SUMIF(Capacity_Resource,$E97,'Critical resources (hide)'!BH$6:BH$105)+SUMIF(Capacity_Resource,$F97,'Critical resources (hide)'!BH$6:BH$105)&gt;0,$E$1=2),0,1)</f>
        <v>1</v>
      </c>
      <c r="AV97" s="67">
        <f ca="1">IF(AND(SUMIF(Capacity_Resource,$D97,'Critical resources (hide)'!BI$6:BI$105)+SUMIF(Capacity_Resource,$E97,'Critical resources (hide)'!BI$6:BI$105)+SUMIF(Capacity_Resource,$F97,'Critical resources (hide)'!BI$6:BI$105)&gt;0,$E$1=2),0,1)</f>
        <v>1</v>
      </c>
      <c r="AW97" s="67">
        <f ca="1">IF(AND(SUMIF(Capacity_Resource,$D97,'Critical resources (hide)'!BJ$6:BJ$105)+SUMIF(Capacity_Resource,$E97,'Critical resources (hide)'!BJ$6:BJ$105)+SUMIF(Capacity_Resource,$F97,'Critical resources (hide)'!BJ$6:BJ$105)&gt;0,$E$1=2),0,1)</f>
        <v>1</v>
      </c>
      <c r="AX97" s="67">
        <f ca="1">IF(AND(SUMIF(Capacity_Resource,$D97,'Critical resources (hide)'!BK$6:BK$105)+SUMIF(Capacity_Resource,$E97,'Critical resources (hide)'!BK$6:BK$105)+SUMIF(Capacity_Resource,$F97,'Critical resources (hide)'!BK$6:BK$105)&gt;0,$E$1=2),0,1)</f>
        <v>1</v>
      </c>
      <c r="AY97" s="67">
        <f ca="1">IF(AND(SUMIF(Capacity_Resource,$D97,'Critical resources (hide)'!BL$6:BL$105)+SUMIF(Capacity_Resource,$E97,'Critical resources (hide)'!BL$6:BL$105)+SUMIF(Capacity_Resource,$F97,'Critical resources (hide)'!BL$6:BL$105)&gt;0,$E$1=2),0,1)</f>
        <v>1</v>
      </c>
      <c r="AZ97" s="67">
        <f ca="1">IF(AND(SUMIF(Capacity_Resource,$D97,'Critical resources (hide)'!BM$6:BM$105)+SUMIF(Capacity_Resource,$E97,'Critical resources (hide)'!BM$6:BM$105)+SUMIF(Capacity_Resource,$F97,'Critical resources (hide)'!BM$6:BM$105)&gt;0,$E$1=2),0,1)</f>
        <v>1</v>
      </c>
      <c r="BA97" s="67">
        <f ca="1">IF(AND(SUMIF(Capacity_Resource,$D97,'Critical resources (hide)'!BN$6:BN$105)+SUMIF(Capacity_Resource,$E97,'Critical resources (hide)'!BN$6:BN$105)+SUMIF(Capacity_Resource,$F97,'Critical resources (hide)'!BN$6:BN$105)&gt;0,$E$1=2),0,1)</f>
        <v>1</v>
      </c>
      <c r="BB97" s="67">
        <f ca="1">IF(AND(SUMIF(Capacity_Resource,$D97,'Critical resources (hide)'!BO$6:BO$105)+SUMIF(Capacity_Resource,$E97,'Critical resources (hide)'!BO$6:BO$105)+SUMIF(Capacity_Resource,$F97,'Critical resources (hide)'!BO$6:BO$105)&gt;0,$E$1=2),0,1)</f>
        <v>1</v>
      </c>
      <c r="BC97" s="67">
        <f ca="1">IF(AND(SUMIF(Capacity_Resource,$D97,'Critical resources (hide)'!BP$6:BP$105)+SUMIF(Capacity_Resource,$E97,'Critical resources (hide)'!BP$6:BP$105)+SUMIF(Capacity_Resource,$F97,'Critical resources (hide)'!BP$6:BP$105)&gt;0,$E$1=2),0,1)</f>
        <v>1</v>
      </c>
      <c r="BD97" s="67">
        <f ca="1">IF(AND(SUMIF(Capacity_Resource,$D97,'Critical resources (hide)'!BQ$6:BQ$105)+SUMIF(Capacity_Resource,$E97,'Critical resources (hide)'!BQ$6:BQ$105)+SUMIF(Capacity_Resource,$F97,'Critical resources (hide)'!BQ$6:BQ$105)&gt;0,$E$1=2),0,1)</f>
        <v>1</v>
      </c>
      <c r="BE97" s="67">
        <f ca="1">IF(AND(SUMIF(Capacity_Resource,$D97,'Critical resources (hide)'!BR$6:BR$105)+SUMIF(Capacity_Resource,$E97,'Critical resources (hide)'!BR$6:BR$105)+SUMIF(Capacity_Resource,$F97,'Critical resources (hide)'!BR$6:BR$105)&gt;0,$E$1=2),0,1)</f>
        <v>1</v>
      </c>
      <c r="BF97" s="67">
        <f ca="1">IF(AND(SUMIF(Capacity_Resource,$D97,'Critical resources (hide)'!BS$6:BS$105)+SUMIF(Capacity_Resource,$E97,'Critical resources (hide)'!BS$6:BS$105)+SUMIF(Capacity_Resource,$F97,'Critical resources (hide)'!BS$6:BS$105)&gt;0,$E$1=2),0,1)</f>
        <v>1</v>
      </c>
      <c r="BG97" s="67">
        <f ca="1">IF(AND(SUMIF(Capacity_Resource,$D97,'Critical resources (hide)'!BT$6:BT$105)+SUMIF(Capacity_Resource,$E97,'Critical resources (hide)'!BT$6:BT$105)+SUMIF(Capacity_Resource,$F97,'Critical resources (hide)'!BT$6:BT$105)&gt;0,$E$1=2),0,1)</f>
        <v>1</v>
      </c>
      <c r="BH97" s="67">
        <f>IF(ROW(C93)&lt;=Capacity!$A$16,IF('Capacity summary'!$D$14="No",SUM(H97:BG97),'Capacity summary'!$E216),0)</f>
        <v>0</v>
      </c>
      <c r="BI97" s="5" t="str">
        <f>IF(BH97&gt;0,IF(BH97&lt;Capacity!E109,Capacity!F109,Capacity!H109/'Capacity calculation (hide)'!BH97),"")</f>
        <v/>
      </c>
      <c r="BK97" s="313">
        <f>IF($BI97&lt;&gt;"",IF('Capacity summary'!$D$14="Yes",IF(COUNTBLANK('Capacity summary'!$H216:$BG216)&lt;52,IF('Capacity summary'!H216&lt;&gt;"",IF(LOWER('Capacity summary'!H216)="x",$BI97*H97,VALUE('Capacity summary'!H216)),0),H97*$BI97),H97*$BI97),0)</f>
        <v>0</v>
      </c>
      <c r="BL97" s="313">
        <f>IF($BI97&lt;&gt;"",IF('Capacity summary'!$D$14="Yes",IF(COUNTBLANK('Capacity summary'!$H216:$BG216)&lt;52,IF('Capacity summary'!I216&lt;&gt;"",IF(LOWER('Capacity summary'!I216)="x",$BI97*I97,VALUE('Capacity summary'!I216)),0),I97*$BI97),I97*$BI97),0)</f>
        <v>0</v>
      </c>
      <c r="BM97" s="313">
        <f>IF($BI97&lt;&gt;"",IF('Capacity summary'!$D$14="Yes",IF(COUNTBLANK('Capacity summary'!$H216:$BG216)&lt;52,IF('Capacity summary'!J216&lt;&gt;"",IF(LOWER('Capacity summary'!J216)="x",$BI97*J97,VALUE('Capacity summary'!J216)),0),J97*$BI97),J97*$BI97),0)</f>
        <v>0</v>
      </c>
      <c r="BN97" s="313">
        <f>IF($BI97&lt;&gt;"",IF('Capacity summary'!$D$14="Yes",IF(COUNTBLANK('Capacity summary'!$H216:$BG216)&lt;52,IF('Capacity summary'!K216&lt;&gt;"",IF(LOWER('Capacity summary'!K216)="x",$BI97*K97,VALUE('Capacity summary'!K216)),0),K97*$BI97),K97*$BI97),0)</f>
        <v>0</v>
      </c>
      <c r="BO97" s="313">
        <f>IF($BI97&lt;&gt;"",IF('Capacity summary'!$D$14="Yes",IF(COUNTBLANK('Capacity summary'!$H216:$BG216)&lt;52,IF('Capacity summary'!L216&lt;&gt;"",IF(LOWER('Capacity summary'!L216)="x",$BI97*L97,VALUE('Capacity summary'!L216)),0),L97*$BI97),L97*$BI97),0)</f>
        <v>0</v>
      </c>
      <c r="BP97" s="313">
        <f>IF($BI97&lt;&gt;"",IF('Capacity summary'!$D$14="Yes",IF(COUNTBLANK('Capacity summary'!$H216:$BG216)&lt;52,IF('Capacity summary'!M216&lt;&gt;"",IF(LOWER('Capacity summary'!M216)="x",$BI97*M97,VALUE('Capacity summary'!M216)),0),M97*$BI97),M97*$BI97),0)</f>
        <v>0</v>
      </c>
      <c r="BQ97" s="313">
        <f>IF($BI97&lt;&gt;"",IF('Capacity summary'!$D$14="Yes",IF(COUNTBLANK('Capacity summary'!$H216:$BG216)&lt;52,IF('Capacity summary'!N216&lt;&gt;"",IF(LOWER('Capacity summary'!N216)="x",$BI97*N97,VALUE('Capacity summary'!N216)),0),N97*$BI97),N97*$BI97),0)</f>
        <v>0</v>
      </c>
      <c r="BR97" s="313">
        <f>IF($BI97&lt;&gt;"",IF('Capacity summary'!$D$14="Yes",IF(COUNTBLANK('Capacity summary'!$H216:$BG216)&lt;52,IF('Capacity summary'!O216&lt;&gt;"",IF(LOWER('Capacity summary'!O216)="x",$BI97*O97,VALUE('Capacity summary'!O216)),0),O97*$BI97),O97*$BI97),0)</f>
        <v>0</v>
      </c>
      <c r="BS97" s="313">
        <f>IF($BI97&lt;&gt;"",IF('Capacity summary'!$D$14="Yes",IF(COUNTBLANK('Capacity summary'!$H216:$BG216)&lt;52,IF('Capacity summary'!P216&lt;&gt;"",IF(LOWER('Capacity summary'!P216)="x",$BI97*P97,VALUE('Capacity summary'!P216)),0),P97*$BI97),P97*$BI97),0)</f>
        <v>0</v>
      </c>
      <c r="BT97" s="313">
        <f>IF($BI97&lt;&gt;"",IF('Capacity summary'!$D$14="Yes",IF(COUNTBLANK('Capacity summary'!$H216:$BG216)&lt;52,IF('Capacity summary'!Q216&lt;&gt;"",IF(LOWER('Capacity summary'!Q216)="x",$BI97*Q97,VALUE('Capacity summary'!Q216)),0),Q97*$BI97),Q97*$BI97),0)</f>
        <v>0</v>
      </c>
      <c r="BU97" s="313">
        <f>IF($BI97&lt;&gt;"",IF('Capacity summary'!$D$14="Yes",IF(COUNTBLANK('Capacity summary'!$H216:$BG216)&lt;52,IF('Capacity summary'!R216&lt;&gt;"",IF(LOWER('Capacity summary'!R216)="x",$BI97*R97,VALUE('Capacity summary'!R216)),0),R97*$BI97),R97*$BI97),0)</f>
        <v>0</v>
      </c>
      <c r="BV97" s="313">
        <f>IF($BI97&lt;&gt;"",IF('Capacity summary'!$D$14="Yes",IF(COUNTBLANK('Capacity summary'!$H216:$BG216)&lt;52,IF('Capacity summary'!S216&lt;&gt;"",IF(LOWER('Capacity summary'!S216)="x",$BI97*S97,VALUE('Capacity summary'!S216)),0),S97*$BI97),S97*$BI97),0)</f>
        <v>0</v>
      </c>
      <c r="BW97" s="313">
        <f>IF($BI97&lt;&gt;"",IF('Capacity summary'!$D$14="Yes",IF(COUNTBLANK('Capacity summary'!$H216:$BG216)&lt;52,IF('Capacity summary'!T216&lt;&gt;"",IF(LOWER('Capacity summary'!T216)="x",$BI97*T97,VALUE('Capacity summary'!T216)),0),T97*$BI97),T97*$BI97),0)</f>
        <v>0</v>
      </c>
      <c r="BX97" s="313">
        <f>IF($BI97&lt;&gt;"",IF('Capacity summary'!$D$14="Yes",IF(COUNTBLANK('Capacity summary'!$H216:$BG216)&lt;52,IF('Capacity summary'!U216&lt;&gt;"",IF(LOWER('Capacity summary'!U216)="x",$BI97*U97,VALUE('Capacity summary'!U216)),0),U97*$BI97),U97*$BI97),0)</f>
        <v>0</v>
      </c>
      <c r="BY97" s="313">
        <f>IF($BI97&lt;&gt;"",IF('Capacity summary'!$D$14="Yes",IF(COUNTBLANK('Capacity summary'!$H216:$BG216)&lt;52,IF('Capacity summary'!V216&lt;&gt;"",IF(LOWER('Capacity summary'!V216)="x",$BI97*V97,VALUE('Capacity summary'!V216)),0),V97*$BI97),V97*$BI97),0)</f>
        <v>0</v>
      </c>
      <c r="BZ97" s="313">
        <f>IF($BI97&lt;&gt;"",IF('Capacity summary'!$D$14="Yes",IF(COUNTBLANK('Capacity summary'!$H216:$BG216)&lt;52,IF('Capacity summary'!W216&lt;&gt;"",IF(LOWER('Capacity summary'!W216)="x",$BI97*W97,VALUE('Capacity summary'!W216)),0),W97*$BI97),W97*$BI97),0)</f>
        <v>0</v>
      </c>
      <c r="CA97" s="313">
        <f>IF($BI97&lt;&gt;"",IF('Capacity summary'!$D$14="Yes",IF(COUNTBLANK('Capacity summary'!$H216:$BG216)&lt;52,IF('Capacity summary'!X216&lt;&gt;"",IF(LOWER('Capacity summary'!X216)="x",$BI97*X97,VALUE('Capacity summary'!X216)),0),X97*$BI97),X97*$BI97),0)</f>
        <v>0</v>
      </c>
      <c r="CB97" s="313">
        <f>IF($BI97&lt;&gt;"",IF('Capacity summary'!$D$14="Yes",IF(COUNTBLANK('Capacity summary'!$H216:$BG216)&lt;52,IF('Capacity summary'!Y216&lt;&gt;"",IF(LOWER('Capacity summary'!Y216)="x",$BI97*Y97,VALUE('Capacity summary'!Y216)),0),Y97*$BI97),Y97*$BI97),0)</f>
        <v>0</v>
      </c>
      <c r="CC97" s="313">
        <f>IF($BI97&lt;&gt;"",IF('Capacity summary'!$D$14="Yes",IF(COUNTBLANK('Capacity summary'!$H216:$BG216)&lt;52,IF('Capacity summary'!Z216&lt;&gt;"",IF(LOWER('Capacity summary'!Z216)="x",$BI97*Z97,VALUE('Capacity summary'!Z216)),0),Z97*$BI97),Z97*$BI97),0)</f>
        <v>0</v>
      </c>
      <c r="CD97" s="313">
        <f>IF($BI97&lt;&gt;"",IF('Capacity summary'!$D$14="Yes",IF(COUNTBLANK('Capacity summary'!$H216:$BG216)&lt;52,IF('Capacity summary'!AA216&lt;&gt;"",IF(LOWER('Capacity summary'!AA216)="x",$BI97*AA97,VALUE('Capacity summary'!AA216)),0),AA97*$BI97),AA97*$BI97),0)</f>
        <v>0</v>
      </c>
      <c r="CE97" s="313">
        <f>IF($BI97&lt;&gt;"",IF('Capacity summary'!$D$14="Yes",IF(COUNTBLANK('Capacity summary'!$H216:$BG216)&lt;52,IF('Capacity summary'!AB216&lt;&gt;"",IF(LOWER('Capacity summary'!AB216)="x",$BI97*AB97,VALUE('Capacity summary'!AB216)),0),AB97*$BI97),AB97*$BI97),0)</f>
        <v>0</v>
      </c>
      <c r="CF97" s="313">
        <f>IF($BI97&lt;&gt;"",IF('Capacity summary'!$D$14="Yes",IF(COUNTBLANK('Capacity summary'!$H216:$BG216)&lt;52,IF('Capacity summary'!AC216&lt;&gt;"",IF(LOWER('Capacity summary'!AC216)="x",$BI97*AC97,VALUE('Capacity summary'!AC216)),0),AC97*$BI97),AC97*$BI97),0)</f>
        <v>0</v>
      </c>
      <c r="CG97" s="313">
        <f>IF($BI97&lt;&gt;"",IF('Capacity summary'!$D$14="Yes",IF(COUNTBLANK('Capacity summary'!$H216:$BG216)&lt;52,IF('Capacity summary'!AD216&lt;&gt;"",IF(LOWER('Capacity summary'!AD216)="x",$BI97*AD97,VALUE('Capacity summary'!AD216)),0),AD97*$BI97),AD97*$BI97),0)</f>
        <v>0</v>
      </c>
      <c r="CH97" s="313">
        <f>IF($BI97&lt;&gt;"",IF('Capacity summary'!$D$14="Yes",IF(COUNTBLANK('Capacity summary'!$H216:$BG216)&lt;52,IF('Capacity summary'!AE216&lt;&gt;"",IF(LOWER('Capacity summary'!AE216)="x",$BI97*AE97,VALUE('Capacity summary'!AE216)),0),AE97*$BI97),AE97*$BI97),0)</f>
        <v>0</v>
      </c>
      <c r="CI97" s="313">
        <f>IF($BI97&lt;&gt;"",IF('Capacity summary'!$D$14="Yes",IF(COUNTBLANK('Capacity summary'!$H216:$BG216)&lt;52,IF('Capacity summary'!AF216&lt;&gt;"",IF(LOWER('Capacity summary'!AF216)="x",$BI97*AF97,VALUE('Capacity summary'!AF216)),0),AF97*$BI97),AF97*$BI97),0)</f>
        <v>0</v>
      </c>
      <c r="CJ97" s="313">
        <f>IF($BI97&lt;&gt;"",IF('Capacity summary'!$D$14="Yes",IF(COUNTBLANK('Capacity summary'!$H216:$BG216)&lt;52,IF('Capacity summary'!AG216&lt;&gt;"",IF(LOWER('Capacity summary'!AG216)="x",$BI97*AG97,VALUE('Capacity summary'!AG216)),0),AG97*$BI97),AG97*$BI97),0)</f>
        <v>0</v>
      </c>
      <c r="CK97" s="313">
        <f>IF($BI97&lt;&gt;"",IF('Capacity summary'!$D$14="Yes",IF(COUNTBLANK('Capacity summary'!$H216:$BG216)&lt;52,IF('Capacity summary'!AH216&lt;&gt;"",IF(LOWER('Capacity summary'!AH216)="x",$BI97*AH97,VALUE('Capacity summary'!AH216)),0),AH97*$BI97),AH97*$BI97),0)</f>
        <v>0</v>
      </c>
      <c r="CL97" s="313">
        <f>IF($BI97&lt;&gt;"",IF('Capacity summary'!$D$14="Yes",IF(COUNTBLANK('Capacity summary'!$H216:$BG216)&lt;52,IF('Capacity summary'!AI216&lt;&gt;"",IF(LOWER('Capacity summary'!AI216)="x",$BI97*AI97,VALUE('Capacity summary'!AI216)),0),AI97*$BI97),AI97*$BI97),0)</f>
        <v>0</v>
      </c>
      <c r="CM97" s="313">
        <f>IF($BI97&lt;&gt;"",IF('Capacity summary'!$D$14="Yes",IF(COUNTBLANK('Capacity summary'!$H216:$BG216)&lt;52,IF('Capacity summary'!AJ216&lt;&gt;"",IF(LOWER('Capacity summary'!AJ216)="x",$BI97*AJ97,VALUE('Capacity summary'!AJ216)),0),AJ97*$BI97),AJ97*$BI97),0)</f>
        <v>0</v>
      </c>
      <c r="CN97" s="313">
        <f>IF($BI97&lt;&gt;"",IF('Capacity summary'!$D$14="Yes",IF(COUNTBLANK('Capacity summary'!$H216:$BG216)&lt;52,IF('Capacity summary'!AK216&lt;&gt;"",IF(LOWER('Capacity summary'!AK216)="x",$BI97*AK97,VALUE('Capacity summary'!AK216)),0),AK97*$BI97),AK97*$BI97),0)</f>
        <v>0</v>
      </c>
      <c r="CO97" s="313">
        <f>IF($BI97&lt;&gt;"",IF('Capacity summary'!$D$14="Yes",IF(COUNTBLANK('Capacity summary'!$H216:$BG216)&lt;52,IF('Capacity summary'!AL216&lt;&gt;"",IF(LOWER('Capacity summary'!AL216)="x",$BI97*AL97,VALUE('Capacity summary'!AL216)),0),AL97*$BI97),AL97*$BI97),0)</f>
        <v>0</v>
      </c>
      <c r="CP97" s="313">
        <f>IF($BI97&lt;&gt;"",IF('Capacity summary'!$D$14="Yes",IF(COUNTBLANK('Capacity summary'!$H216:$BG216)&lt;52,IF('Capacity summary'!AM216&lt;&gt;"",IF(LOWER('Capacity summary'!AM216)="x",$BI97*AM97,VALUE('Capacity summary'!AM216)),0),AM97*$BI97),AM97*$BI97),0)</f>
        <v>0</v>
      </c>
      <c r="CQ97" s="313">
        <f>IF($BI97&lt;&gt;"",IF('Capacity summary'!$D$14="Yes",IF(COUNTBLANK('Capacity summary'!$H216:$BG216)&lt;52,IF('Capacity summary'!AN216&lt;&gt;"",IF(LOWER('Capacity summary'!AN216)="x",$BI97*AN97,VALUE('Capacity summary'!AN216)),0),AN97*$BI97),AN97*$BI97),0)</f>
        <v>0</v>
      </c>
      <c r="CR97" s="313">
        <f>IF($BI97&lt;&gt;"",IF('Capacity summary'!$D$14="Yes",IF(COUNTBLANK('Capacity summary'!$H216:$BG216)&lt;52,IF('Capacity summary'!AO216&lt;&gt;"",IF(LOWER('Capacity summary'!AO216)="x",$BI97*AO97,VALUE('Capacity summary'!AO216)),0),AO97*$BI97),AO97*$BI97),0)</f>
        <v>0</v>
      </c>
      <c r="CS97" s="313">
        <f>IF($BI97&lt;&gt;"",IF('Capacity summary'!$D$14="Yes",IF(COUNTBLANK('Capacity summary'!$H216:$BG216)&lt;52,IF('Capacity summary'!AP216&lt;&gt;"",IF(LOWER('Capacity summary'!AP216)="x",$BI97*AP97,VALUE('Capacity summary'!AP216)),0),AP97*$BI97),AP97*$BI97),0)</f>
        <v>0</v>
      </c>
      <c r="CT97" s="313">
        <f>IF($BI97&lt;&gt;"",IF('Capacity summary'!$D$14="Yes",IF(COUNTBLANK('Capacity summary'!$H216:$BG216)&lt;52,IF('Capacity summary'!AQ216&lt;&gt;"",IF(LOWER('Capacity summary'!AQ216)="x",$BI97*AQ97,VALUE('Capacity summary'!AQ216)),0),AQ97*$BI97),AQ97*$BI97),0)</f>
        <v>0</v>
      </c>
      <c r="CU97" s="313">
        <f>IF($BI97&lt;&gt;"",IF('Capacity summary'!$D$14="Yes",IF(COUNTBLANK('Capacity summary'!$H216:$BG216)&lt;52,IF('Capacity summary'!AR216&lt;&gt;"",IF(LOWER('Capacity summary'!AR216)="x",$BI97*AR97,VALUE('Capacity summary'!AR216)),0),AR97*$BI97),AR97*$BI97),0)</f>
        <v>0</v>
      </c>
      <c r="CV97" s="313">
        <f>IF($BI97&lt;&gt;"",IF('Capacity summary'!$D$14="Yes",IF(COUNTBLANK('Capacity summary'!$H216:$BG216)&lt;52,IF('Capacity summary'!AS216&lt;&gt;"",IF(LOWER('Capacity summary'!AS216)="x",$BI97*AS97,VALUE('Capacity summary'!AS216)),0),AS97*$BI97),AS97*$BI97),0)</f>
        <v>0</v>
      </c>
      <c r="CW97" s="313">
        <f>IF($BI97&lt;&gt;"",IF('Capacity summary'!$D$14="Yes",IF(COUNTBLANK('Capacity summary'!$H216:$BG216)&lt;52,IF('Capacity summary'!AT216&lt;&gt;"",IF(LOWER('Capacity summary'!AT216)="x",$BI97*AT97,VALUE('Capacity summary'!AT216)),0),AT97*$BI97),AT97*$BI97),0)</f>
        <v>0</v>
      </c>
      <c r="CX97" s="313">
        <f>IF($BI97&lt;&gt;"",IF('Capacity summary'!$D$14="Yes",IF(COUNTBLANK('Capacity summary'!$H216:$BG216)&lt;52,IF('Capacity summary'!AU216&lt;&gt;"",IF(LOWER('Capacity summary'!AU216)="x",$BI97*AU97,VALUE('Capacity summary'!AU216)),0),AU97*$BI97),AU97*$BI97),0)</f>
        <v>0</v>
      </c>
      <c r="CY97" s="313">
        <f>IF($BI97&lt;&gt;"",IF('Capacity summary'!$D$14="Yes",IF(COUNTBLANK('Capacity summary'!$H216:$BG216)&lt;52,IF('Capacity summary'!AV216&lt;&gt;"",IF(LOWER('Capacity summary'!AV216)="x",$BI97*AV97,VALUE('Capacity summary'!AV216)),0),AV97*$BI97),AV97*$BI97),0)</f>
        <v>0</v>
      </c>
      <c r="CZ97" s="313">
        <f>IF($BI97&lt;&gt;"",IF('Capacity summary'!$D$14="Yes",IF(COUNTBLANK('Capacity summary'!$H216:$BG216)&lt;52,IF('Capacity summary'!AW216&lt;&gt;"",IF(LOWER('Capacity summary'!AW216)="x",$BI97*AW97,VALUE('Capacity summary'!AW216)),0),AW97*$BI97),AW97*$BI97),0)</f>
        <v>0</v>
      </c>
      <c r="DA97" s="313">
        <f>IF($BI97&lt;&gt;"",IF('Capacity summary'!$D$14="Yes",IF(COUNTBLANK('Capacity summary'!$H216:$BG216)&lt;52,IF('Capacity summary'!AX216&lt;&gt;"",IF(LOWER('Capacity summary'!AX216)="x",$BI97*AX97,VALUE('Capacity summary'!AX216)),0),AX97*$BI97),AX97*$BI97),0)</f>
        <v>0</v>
      </c>
      <c r="DB97" s="313">
        <f>IF($BI97&lt;&gt;"",IF('Capacity summary'!$D$14="Yes",IF(COUNTBLANK('Capacity summary'!$H216:$BG216)&lt;52,IF('Capacity summary'!AY216&lt;&gt;"",IF(LOWER('Capacity summary'!AY216)="x",$BI97*AY97,VALUE('Capacity summary'!AY216)),0),AY97*$BI97),AY97*$BI97),0)</f>
        <v>0</v>
      </c>
      <c r="DC97" s="313">
        <f>IF($BI97&lt;&gt;"",IF('Capacity summary'!$D$14="Yes",IF(COUNTBLANK('Capacity summary'!$H216:$BG216)&lt;52,IF('Capacity summary'!AZ216&lt;&gt;"",IF(LOWER('Capacity summary'!AZ216)="x",$BI97*AZ97,VALUE('Capacity summary'!AZ216)),0),AZ97*$BI97),AZ97*$BI97),0)</f>
        <v>0</v>
      </c>
      <c r="DD97" s="313">
        <f>IF($BI97&lt;&gt;"",IF('Capacity summary'!$D$14="Yes",IF(COUNTBLANK('Capacity summary'!$H216:$BG216)&lt;52,IF('Capacity summary'!BA216&lt;&gt;"",IF(LOWER('Capacity summary'!BA216)="x",$BI97*BA97,VALUE('Capacity summary'!BA216)),0),BA97*$BI97),BA97*$BI97),0)</f>
        <v>0</v>
      </c>
      <c r="DE97" s="313">
        <f>IF($BI97&lt;&gt;"",IF('Capacity summary'!$D$14="Yes",IF(COUNTBLANK('Capacity summary'!$H216:$BG216)&lt;52,IF('Capacity summary'!BB216&lt;&gt;"",IF(LOWER('Capacity summary'!BB216)="x",$BI97*BB97,VALUE('Capacity summary'!BB216)),0),BB97*$BI97),BB97*$BI97),0)</f>
        <v>0</v>
      </c>
      <c r="DF97" s="313">
        <f>IF($BI97&lt;&gt;"",IF('Capacity summary'!$D$14="Yes",IF(COUNTBLANK('Capacity summary'!$H216:$BG216)&lt;52,IF('Capacity summary'!BC216&lt;&gt;"",IF(LOWER('Capacity summary'!BC216)="x",$BI97*BC97,VALUE('Capacity summary'!BC216)),0),BC97*$BI97),BC97*$BI97),0)</f>
        <v>0</v>
      </c>
      <c r="DG97" s="313">
        <f>IF($BI97&lt;&gt;"",IF('Capacity summary'!$D$14="Yes",IF(COUNTBLANK('Capacity summary'!$H216:$BG216)&lt;52,IF('Capacity summary'!BD216&lt;&gt;"",IF(LOWER('Capacity summary'!BD216)="x",$BI97*BD97,VALUE('Capacity summary'!BD216)),0),BD97*$BI97),BD97*$BI97),0)</f>
        <v>0</v>
      </c>
      <c r="DH97" s="313">
        <f>IF($BI97&lt;&gt;"",IF('Capacity summary'!$D$14="Yes",IF(COUNTBLANK('Capacity summary'!$H216:$BG216)&lt;52,IF('Capacity summary'!BE216&lt;&gt;"",IF(LOWER('Capacity summary'!BE216)="x",$BI97*BE97,VALUE('Capacity summary'!BE216)),0),BE97*$BI97),BE97*$BI97),0)</f>
        <v>0</v>
      </c>
      <c r="DI97" s="313">
        <f>IF($BI97&lt;&gt;"",IF('Capacity summary'!$D$14="Yes",IF(COUNTBLANK('Capacity summary'!$H216:$BG216)&lt;52,IF('Capacity summary'!BF216&lt;&gt;"",IF(LOWER('Capacity summary'!BF216)="x",$BI97*BF97,VALUE('Capacity summary'!BF216)),0),BF97*$BI97),BF97*$BI97),0)</f>
        <v>0</v>
      </c>
      <c r="DJ97" s="313">
        <f>IF($BI97&lt;&gt;"",IF('Capacity summary'!$D$14="Yes",IF(COUNTBLANK('Capacity summary'!$H216:$BG216)&lt;52,IF('Capacity summary'!BG216&lt;&gt;"",IF(LOWER('Capacity summary'!BG216)="x",$BI97*BG97,VALUE('Capacity summary'!BG216)),0),BG97*$BI97),BG97*$BI97),0)</f>
        <v>0</v>
      </c>
      <c r="DK97" s="137">
        <f t="shared" si="3"/>
        <v>0</v>
      </c>
      <c r="DL97" s="313" t="str">
        <f>Capacity!H109</f>
        <v/>
      </c>
    </row>
    <row r="98" spans="2:116" x14ac:dyDescent="0.25">
      <c r="B98" s="67"/>
      <c r="C98" s="67" t="str">
        <f>ROW(A94)&amp;". "&amp;Capacity!B110</f>
        <v xml:space="preserve">94. </v>
      </c>
      <c r="D98" s="67">
        <f>'Capacity setup'!C105</f>
        <v>0</v>
      </c>
      <c r="E98" s="67">
        <f>'Capacity setup'!D105</f>
        <v>0</v>
      </c>
      <c r="F98" s="67">
        <f>'Capacity setup'!E105</f>
        <v>0</v>
      </c>
      <c r="H98" s="67">
        <f ca="1">IF(AND(SUMIF(Capacity_Resource,$D98,'Critical resources (hide)'!U$6:U$105)+SUMIF(Capacity_Resource,$E98,'Critical resources (hide)'!U$6:U$105)+SUMIF(Capacity_Resource,$F98,'Critical resources (hide)'!U$6:U$105)&gt;0,$E$1=2),0,1)</f>
        <v>1</v>
      </c>
      <c r="I98" s="67">
        <f ca="1">IF(AND(SUMIF(Capacity_Resource,$D98,'Critical resources (hide)'!V$6:V$105)+SUMIF(Capacity_Resource,$E98,'Critical resources (hide)'!V$6:V$105)+SUMIF(Capacity_Resource,$F98,'Critical resources (hide)'!V$6:V$105)&gt;0,$E$1=2),0,1)</f>
        <v>1</v>
      </c>
      <c r="J98" s="67">
        <f ca="1">IF(AND(SUMIF(Capacity_Resource,$D98,'Critical resources (hide)'!W$6:W$105)+SUMIF(Capacity_Resource,$E98,'Critical resources (hide)'!W$6:W$105)+SUMIF(Capacity_Resource,$F98,'Critical resources (hide)'!W$6:W$105)&gt;0,$E$1=2),0,1)</f>
        <v>1</v>
      </c>
      <c r="K98" s="67">
        <f ca="1">IF(AND(SUMIF(Capacity_Resource,$D98,'Critical resources (hide)'!X$6:X$105)+SUMIF(Capacity_Resource,$E98,'Critical resources (hide)'!X$6:X$105)+SUMIF(Capacity_Resource,$F98,'Critical resources (hide)'!X$6:X$105)&gt;0,$E$1=2),0,1)</f>
        <v>1</v>
      </c>
      <c r="L98" s="67">
        <f ca="1">IF(AND(SUMIF(Capacity_Resource,$D98,'Critical resources (hide)'!Y$6:Y$105)+SUMIF(Capacity_Resource,$E98,'Critical resources (hide)'!Y$6:Y$105)+SUMIF(Capacity_Resource,$F98,'Critical resources (hide)'!Y$6:Y$105)&gt;0,$E$1=2),0,1)</f>
        <v>1</v>
      </c>
      <c r="M98" s="67">
        <f ca="1">IF(AND(SUMIF(Capacity_Resource,$D98,'Critical resources (hide)'!Z$6:Z$105)+SUMIF(Capacity_Resource,$E98,'Critical resources (hide)'!Z$6:Z$105)+SUMIF(Capacity_Resource,$F98,'Critical resources (hide)'!Z$6:Z$105)&gt;0,$E$1=2),0,1)</f>
        <v>1</v>
      </c>
      <c r="N98" s="67">
        <f ca="1">IF(AND(SUMIF(Capacity_Resource,$D98,'Critical resources (hide)'!AA$6:AA$105)+SUMIF(Capacity_Resource,$E98,'Critical resources (hide)'!AA$6:AA$105)+SUMIF(Capacity_Resource,$F98,'Critical resources (hide)'!AA$6:AA$105)&gt;0,$E$1=2),0,1)</f>
        <v>1</v>
      </c>
      <c r="O98" s="67">
        <f ca="1">IF(AND(SUMIF(Capacity_Resource,$D98,'Critical resources (hide)'!AB$6:AB$105)+SUMIF(Capacity_Resource,$E98,'Critical resources (hide)'!AB$6:AB$105)+SUMIF(Capacity_Resource,$F98,'Critical resources (hide)'!AB$6:AB$105)&gt;0,$E$1=2),0,1)</f>
        <v>1</v>
      </c>
      <c r="P98" s="67">
        <f ca="1">IF(AND(SUMIF(Capacity_Resource,$D98,'Critical resources (hide)'!AC$6:AC$105)+SUMIF(Capacity_Resource,$E98,'Critical resources (hide)'!AC$6:AC$105)+SUMIF(Capacity_Resource,$F98,'Critical resources (hide)'!AC$6:AC$105)&gt;0,$E$1=2),0,1)</f>
        <v>1</v>
      </c>
      <c r="Q98" s="67">
        <f ca="1">IF(AND(SUMIF(Capacity_Resource,$D98,'Critical resources (hide)'!AD$6:AD$105)+SUMIF(Capacity_Resource,$E98,'Critical resources (hide)'!AD$6:AD$105)+SUMIF(Capacity_Resource,$F98,'Critical resources (hide)'!AD$6:AD$105)&gt;0,$E$1=2),0,1)</f>
        <v>1</v>
      </c>
      <c r="R98" s="67">
        <f ca="1">IF(AND(SUMIF(Capacity_Resource,$D98,'Critical resources (hide)'!AE$6:AE$105)+SUMIF(Capacity_Resource,$E98,'Critical resources (hide)'!AE$6:AE$105)+SUMIF(Capacity_Resource,$F98,'Critical resources (hide)'!AE$6:AE$105)&gt;0,$E$1=2),0,1)</f>
        <v>1</v>
      </c>
      <c r="S98" s="67">
        <f ca="1">IF(AND(SUMIF(Capacity_Resource,$D98,'Critical resources (hide)'!AF$6:AF$105)+SUMIF(Capacity_Resource,$E98,'Critical resources (hide)'!AF$6:AF$105)+SUMIF(Capacity_Resource,$F98,'Critical resources (hide)'!AF$6:AF$105)&gt;0,$E$1=2),0,1)</f>
        <v>1</v>
      </c>
      <c r="T98" s="67">
        <f ca="1">IF(AND(SUMIF(Capacity_Resource,$D98,'Critical resources (hide)'!AG$6:AG$105)+SUMIF(Capacity_Resource,$E98,'Critical resources (hide)'!AG$6:AG$105)+SUMIF(Capacity_Resource,$F98,'Critical resources (hide)'!AG$6:AG$105)&gt;0,$E$1=2),0,1)</f>
        <v>1</v>
      </c>
      <c r="U98" s="67">
        <f ca="1">IF(AND(SUMIF(Capacity_Resource,$D98,'Critical resources (hide)'!AH$6:AH$105)+SUMIF(Capacity_Resource,$E98,'Critical resources (hide)'!AH$6:AH$105)+SUMIF(Capacity_Resource,$F98,'Critical resources (hide)'!AH$6:AH$105)&gt;0,$E$1=2),0,1)</f>
        <v>1</v>
      </c>
      <c r="V98" s="67">
        <f ca="1">IF(AND(SUMIF(Capacity_Resource,$D98,'Critical resources (hide)'!AI$6:AI$105)+SUMIF(Capacity_Resource,$E98,'Critical resources (hide)'!AI$6:AI$105)+SUMIF(Capacity_Resource,$F98,'Critical resources (hide)'!AI$6:AI$105)&gt;0,$E$1=2),0,1)</f>
        <v>1</v>
      </c>
      <c r="W98" s="67">
        <f ca="1">IF(AND(SUMIF(Capacity_Resource,$D98,'Critical resources (hide)'!AJ$6:AJ$105)+SUMIF(Capacity_Resource,$E98,'Critical resources (hide)'!AJ$6:AJ$105)+SUMIF(Capacity_Resource,$F98,'Critical resources (hide)'!AJ$6:AJ$105)&gt;0,$E$1=2),0,1)</f>
        <v>1</v>
      </c>
      <c r="X98" s="67">
        <f ca="1">IF(AND(SUMIF(Capacity_Resource,$D98,'Critical resources (hide)'!AK$6:AK$105)+SUMIF(Capacity_Resource,$E98,'Critical resources (hide)'!AK$6:AK$105)+SUMIF(Capacity_Resource,$F98,'Critical resources (hide)'!AK$6:AK$105)&gt;0,$E$1=2),0,1)</f>
        <v>1</v>
      </c>
      <c r="Y98" s="67">
        <f ca="1">IF(AND(SUMIF(Capacity_Resource,$D98,'Critical resources (hide)'!AL$6:AL$105)+SUMIF(Capacity_Resource,$E98,'Critical resources (hide)'!AL$6:AL$105)+SUMIF(Capacity_Resource,$F98,'Critical resources (hide)'!AL$6:AL$105)&gt;0,$E$1=2),0,1)</f>
        <v>1</v>
      </c>
      <c r="Z98" s="67">
        <f ca="1">IF(AND(SUMIF(Capacity_Resource,$D98,'Critical resources (hide)'!AM$6:AM$105)+SUMIF(Capacity_Resource,$E98,'Critical resources (hide)'!AM$6:AM$105)+SUMIF(Capacity_Resource,$F98,'Critical resources (hide)'!AM$6:AM$105)&gt;0,$E$1=2),0,1)</f>
        <v>1</v>
      </c>
      <c r="AA98" s="67">
        <f ca="1">IF(AND(SUMIF(Capacity_Resource,$D98,'Critical resources (hide)'!AN$6:AN$105)+SUMIF(Capacity_Resource,$E98,'Critical resources (hide)'!AN$6:AN$105)+SUMIF(Capacity_Resource,$F98,'Critical resources (hide)'!AN$6:AN$105)&gt;0,$E$1=2),0,1)</f>
        <v>1</v>
      </c>
      <c r="AB98" s="67">
        <f ca="1">IF(AND(SUMIF(Capacity_Resource,$D98,'Critical resources (hide)'!AO$6:AO$105)+SUMIF(Capacity_Resource,$E98,'Critical resources (hide)'!AO$6:AO$105)+SUMIF(Capacity_Resource,$F98,'Critical resources (hide)'!AO$6:AO$105)&gt;0,$E$1=2),0,1)</f>
        <v>1</v>
      </c>
      <c r="AC98" s="67">
        <f ca="1">IF(AND(SUMIF(Capacity_Resource,$D98,'Critical resources (hide)'!AP$6:AP$105)+SUMIF(Capacity_Resource,$E98,'Critical resources (hide)'!AP$6:AP$105)+SUMIF(Capacity_Resource,$F98,'Critical resources (hide)'!AP$6:AP$105)&gt;0,$E$1=2),0,1)</f>
        <v>1</v>
      </c>
      <c r="AD98" s="67">
        <f ca="1">IF(AND(SUMIF(Capacity_Resource,$D98,'Critical resources (hide)'!AQ$6:AQ$105)+SUMIF(Capacity_Resource,$E98,'Critical resources (hide)'!AQ$6:AQ$105)+SUMIF(Capacity_Resource,$F98,'Critical resources (hide)'!AQ$6:AQ$105)&gt;0,$E$1=2),0,1)</f>
        <v>1</v>
      </c>
      <c r="AE98" s="67">
        <f ca="1">IF(AND(SUMIF(Capacity_Resource,$D98,'Critical resources (hide)'!AR$6:AR$105)+SUMIF(Capacity_Resource,$E98,'Critical resources (hide)'!AR$6:AR$105)+SUMIF(Capacity_Resource,$F98,'Critical resources (hide)'!AR$6:AR$105)&gt;0,$E$1=2),0,1)</f>
        <v>1</v>
      </c>
      <c r="AF98" s="67">
        <f ca="1">IF(AND(SUMIF(Capacity_Resource,$D98,'Critical resources (hide)'!AS$6:AS$105)+SUMIF(Capacity_Resource,$E98,'Critical resources (hide)'!AS$6:AS$105)+SUMIF(Capacity_Resource,$F98,'Critical resources (hide)'!AS$6:AS$105)&gt;0,$E$1=2),0,1)</f>
        <v>1</v>
      </c>
      <c r="AG98" s="67">
        <f ca="1">IF(AND(SUMIF(Capacity_Resource,$D98,'Critical resources (hide)'!AT$6:AT$105)+SUMIF(Capacity_Resource,$E98,'Critical resources (hide)'!AT$6:AT$105)+SUMIF(Capacity_Resource,$F98,'Critical resources (hide)'!AT$6:AT$105)&gt;0,$E$1=2),0,1)</f>
        <v>1</v>
      </c>
      <c r="AH98" s="67">
        <f ca="1">IF(AND(SUMIF(Capacity_Resource,$D98,'Critical resources (hide)'!AU$6:AU$105)+SUMIF(Capacity_Resource,$E98,'Critical resources (hide)'!AU$6:AU$105)+SUMIF(Capacity_Resource,$F98,'Critical resources (hide)'!AU$6:AU$105)&gt;0,$E$1=2),0,1)</f>
        <v>1</v>
      </c>
      <c r="AI98" s="67">
        <f ca="1">IF(AND(SUMIF(Capacity_Resource,$D98,'Critical resources (hide)'!AV$6:AV$105)+SUMIF(Capacity_Resource,$E98,'Critical resources (hide)'!AV$6:AV$105)+SUMIF(Capacity_Resource,$F98,'Critical resources (hide)'!AV$6:AV$105)&gt;0,$E$1=2),0,1)</f>
        <v>1</v>
      </c>
      <c r="AJ98" s="67">
        <f ca="1">IF(AND(SUMIF(Capacity_Resource,$D98,'Critical resources (hide)'!AW$6:AW$105)+SUMIF(Capacity_Resource,$E98,'Critical resources (hide)'!AW$6:AW$105)+SUMIF(Capacity_Resource,$F98,'Critical resources (hide)'!AW$6:AW$105)&gt;0,$E$1=2),0,1)</f>
        <v>1</v>
      </c>
      <c r="AK98" s="67">
        <f ca="1">IF(AND(SUMIF(Capacity_Resource,$D98,'Critical resources (hide)'!AX$6:AX$105)+SUMIF(Capacity_Resource,$E98,'Critical resources (hide)'!AX$6:AX$105)+SUMIF(Capacity_Resource,$F98,'Critical resources (hide)'!AX$6:AX$105)&gt;0,$E$1=2),0,1)</f>
        <v>1</v>
      </c>
      <c r="AL98" s="67">
        <f ca="1">IF(AND(SUMIF(Capacity_Resource,$D98,'Critical resources (hide)'!AY$6:AY$105)+SUMIF(Capacity_Resource,$E98,'Critical resources (hide)'!AY$6:AY$105)+SUMIF(Capacity_Resource,$F98,'Critical resources (hide)'!AY$6:AY$105)&gt;0,$E$1=2),0,1)</f>
        <v>1</v>
      </c>
      <c r="AM98" s="67">
        <f ca="1">IF(AND(SUMIF(Capacity_Resource,$D98,'Critical resources (hide)'!AZ$6:AZ$105)+SUMIF(Capacity_Resource,$E98,'Critical resources (hide)'!AZ$6:AZ$105)+SUMIF(Capacity_Resource,$F98,'Critical resources (hide)'!AZ$6:AZ$105)&gt;0,$E$1=2),0,1)</f>
        <v>1</v>
      </c>
      <c r="AN98" s="67">
        <f ca="1">IF(AND(SUMIF(Capacity_Resource,$D98,'Critical resources (hide)'!BA$6:BA$105)+SUMIF(Capacity_Resource,$E98,'Critical resources (hide)'!BA$6:BA$105)+SUMIF(Capacity_Resource,$F98,'Critical resources (hide)'!BA$6:BA$105)&gt;0,$E$1=2),0,1)</f>
        <v>1</v>
      </c>
      <c r="AO98" s="67">
        <f ca="1">IF(AND(SUMIF(Capacity_Resource,$D98,'Critical resources (hide)'!BB$6:BB$105)+SUMIF(Capacity_Resource,$E98,'Critical resources (hide)'!BB$6:BB$105)+SUMIF(Capacity_Resource,$F98,'Critical resources (hide)'!BB$6:BB$105)&gt;0,$E$1=2),0,1)</f>
        <v>1</v>
      </c>
      <c r="AP98" s="67">
        <f ca="1">IF(AND(SUMIF(Capacity_Resource,$D98,'Critical resources (hide)'!BC$6:BC$105)+SUMIF(Capacity_Resource,$E98,'Critical resources (hide)'!BC$6:BC$105)+SUMIF(Capacity_Resource,$F98,'Critical resources (hide)'!BC$6:BC$105)&gt;0,$E$1=2),0,1)</f>
        <v>1</v>
      </c>
      <c r="AQ98" s="67">
        <f ca="1">IF(AND(SUMIF(Capacity_Resource,$D98,'Critical resources (hide)'!BD$6:BD$105)+SUMIF(Capacity_Resource,$E98,'Critical resources (hide)'!BD$6:BD$105)+SUMIF(Capacity_Resource,$F98,'Critical resources (hide)'!BD$6:BD$105)&gt;0,$E$1=2),0,1)</f>
        <v>1</v>
      </c>
      <c r="AR98" s="67">
        <f ca="1">IF(AND(SUMIF(Capacity_Resource,$D98,'Critical resources (hide)'!BE$6:BE$105)+SUMIF(Capacity_Resource,$E98,'Critical resources (hide)'!BE$6:BE$105)+SUMIF(Capacity_Resource,$F98,'Critical resources (hide)'!BE$6:BE$105)&gt;0,$E$1=2),0,1)</f>
        <v>1</v>
      </c>
      <c r="AS98" s="67">
        <f ca="1">IF(AND(SUMIF(Capacity_Resource,$D98,'Critical resources (hide)'!BF$6:BF$105)+SUMIF(Capacity_Resource,$E98,'Critical resources (hide)'!BF$6:BF$105)+SUMIF(Capacity_Resource,$F98,'Critical resources (hide)'!BF$6:BF$105)&gt;0,$E$1=2),0,1)</f>
        <v>1</v>
      </c>
      <c r="AT98" s="67">
        <f ca="1">IF(AND(SUMIF(Capacity_Resource,$D98,'Critical resources (hide)'!BG$6:BG$105)+SUMIF(Capacity_Resource,$E98,'Critical resources (hide)'!BG$6:BG$105)+SUMIF(Capacity_Resource,$F98,'Critical resources (hide)'!BG$6:BG$105)&gt;0,$E$1=2),0,1)</f>
        <v>1</v>
      </c>
      <c r="AU98" s="67">
        <f ca="1">IF(AND(SUMIF(Capacity_Resource,$D98,'Critical resources (hide)'!BH$6:BH$105)+SUMIF(Capacity_Resource,$E98,'Critical resources (hide)'!BH$6:BH$105)+SUMIF(Capacity_Resource,$F98,'Critical resources (hide)'!BH$6:BH$105)&gt;0,$E$1=2),0,1)</f>
        <v>1</v>
      </c>
      <c r="AV98" s="67">
        <f ca="1">IF(AND(SUMIF(Capacity_Resource,$D98,'Critical resources (hide)'!BI$6:BI$105)+SUMIF(Capacity_Resource,$E98,'Critical resources (hide)'!BI$6:BI$105)+SUMIF(Capacity_Resource,$F98,'Critical resources (hide)'!BI$6:BI$105)&gt;0,$E$1=2),0,1)</f>
        <v>1</v>
      </c>
      <c r="AW98" s="67">
        <f ca="1">IF(AND(SUMIF(Capacity_Resource,$D98,'Critical resources (hide)'!BJ$6:BJ$105)+SUMIF(Capacity_Resource,$E98,'Critical resources (hide)'!BJ$6:BJ$105)+SUMIF(Capacity_Resource,$F98,'Critical resources (hide)'!BJ$6:BJ$105)&gt;0,$E$1=2),0,1)</f>
        <v>1</v>
      </c>
      <c r="AX98" s="67">
        <f ca="1">IF(AND(SUMIF(Capacity_Resource,$D98,'Critical resources (hide)'!BK$6:BK$105)+SUMIF(Capacity_Resource,$E98,'Critical resources (hide)'!BK$6:BK$105)+SUMIF(Capacity_Resource,$F98,'Critical resources (hide)'!BK$6:BK$105)&gt;0,$E$1=2),0,1)</f>
        <v>1</v>
      </c>
      <c r="AY98" s="67">
        <f ca="1">IF(AND(SUMIF(Capacity_Resource,$D98,'Critical resources (hide)'!BL$6:BL$105)+SUMIF(Capacity_Resource,$E98,'Critical resources (hide)'!BL$6:BL$105)+SUMIF(Capacity_Resource,$F98,'Critical resources (hide)'!BL$6:BL$105)&gt;0,$E$1=2),0,1)</f>
        <v>1</v>
      </c>
      <c r="AZ98" s="67">
        <f ca="1">IF(AND(SUMIF(Capacity_Resource,$D98,'Critical resources (hide)'!BM$6:BM$105)+SUMIF(Capacity_Resource,$E98,'Critical resources (hide)'!BM$6:BM$105)+SUMIF(Capacity_Resource,$F98,'Critical resources (hide)'!BM$6:BM$105)&gt;0,$E$1=2),0,1)</f>
        <v>1</v>
      </c>
      <c r="BA98" s="67">
        <f ca="1">IF(AND(SUMIF(Capacity_Resource,$D98,'Critical resources (hide)'!BN$6:BN$105)+SUMIF(Capacity_Resource,$E98,'Critical resources (hide)'!BN$6:BN$105)+SUMIF(Capacity_Resource,$F98,'Critical resources (hide)'!BN$6:BN$105)&gt;0,$E$1=2),0,1)</f>
        <v>1</v>
      </c>
      <c r="BB98" s="67">
        <f ca="1">IF(AND(SUMIF(Capacity_Resource,$D98,'Critical resources (hide)'!BO$6:BO$105)+SUMIF(Capacity_Resource,$E98,'Critical resources (hide)'!BO$6:BO$105)+SUMIF(Capacity_Resource,$F98,'Critical resources (hide)'!BO$6:BO$105)&gt;0,$E$1=2),0,1)</f>
        <v>1</v>
      </c>
      <c r="BC98" s="67">
        <f ca="1">IF(AND(SUMIF(Capacity_Resource,$D98,'Critical resources (hide)'!BP$6:BP$105)+SUMIF(Capacity_Resource,$E98,'Critical resources (hide)'!BP$6:BP$105)+SUMIF(Capacity_Resource,$F98,'Critical resources (hide)'!BP$6:BP$105)&gt;0,$E$1=2),0,1)</f>
        <v>1</v>
      </c>
      <c r="BD98" s="67">
        <f ca="1">IF(AND(SUMIF(Capacity_Resource,$D98,'Critical resources (hide)'!BQ$6:BQ$105)+SUMIF(Capacity_Resource,$E98,'Critical resources (hide)'!BQ$6:BQ$105)+SUMIF(Capacity_Resource,$F98,'Critical resources (hide)'!BQ$6:BQ$105)&gt;0,$E$1=2),0,1)</f>
        <v>1</v>
      </c>
      <c r="BE98" s="67">
        <f ca="1">IF(AND(SUMIF(Capacity_Resource,$D98,'Critical resources (hide)'!BR$6:BR$105)+SUMIF(Capacity_Resource,$E98,'Critical resources (hide)'!BR$6:BR$105)+SUMIF(Capacity_Resource,$F98,'Critical resources (hide)'!BR$6:BR$105)&gt;0,$E$1=2),0,1)</f>
        <v>1</v>
      </c>
      <c r="BF98" s="67">
        <f ca="1">IF(AND(SUMIF(Capacity_Resource,$D98,'Critical resources (hide)'!BS$6:BS$105)+SUMIF(Capacity_Resource,$E98,'Critical resources (hide)'!BS$6:BS$105)+SUMIF(Capacity_Resource,$F98,'Critical resources (hide)'!BS$6:BS$105)&gt;0,$E$1=2),0,1)</f>
        <v>1</v>
      </c>
      <c r="BG98" s="67">
        <f ca="1">IF(AND(SUMIF(Capacity_Resource,$D98,'Critical resources (hide)'!BT$6:BT$105)+SUMIF(Capacity_Resource,$E98,'Critical resources (hide)'!BT$6:BT$105)+SUMIF(Capacity_Resource,$F98,'Critical resources (hide)'!BT$6:BT$105)&gt;0,$E$1=2),0,1)</f>
        <v>1</v>
      </c>
      <c r="BH98" s="67">
        <f>IF(ROW(C94)&lt;=Capacity!$A$16,IF('Capacity summary'!$D$14="No",SUM(H98:BG98),'Capacity summary'!$E217),0)</f>
        <v>0</v>
      </c>
      <c r="BI98" s="5" t="str">
        <f>IF(BH98&gt;0,IF(BH98&lt;Capacity!E110,Capacity!F110,Capacity!H110/'Capacity calculation (hide)'!BH98),"")</f>
        <v/>
      </c>
      <c r="BK98" s="313">
        <f>IF($BI98&lt;&gt;"",IF('Capacity summary'!$D$14="Yes",IF(COUNTBLANK('Capacity summary'!$H217:$BG217)&lt;52,IF('Capacity summary'!H217&lt;&gt;"",IF(LOWER('Capacity summary'!H217)="x",$BI98*H98,VALUE('Capacity summary'!H217)),0),H98*$BI98),H98*$BI98),0)</f>
        <v>0</v>
      </c>
      <c r="BL98" s="313">
        <f>IF($BI98&lt;&gt;"",IF('Capacity summary'!$D$14="Yes",IF(COUNTBLANK('Capacity summary'!$H217:$BG217)&lt;52,IF('Capacity summary'!I217&lt;&gt;"",IF(LOWER('Capacity summary'!I217)="x",$BI98*I98,VALUE('Capacity summary'!I217)),0),I98*$BI98),I98*$BI98),0)</f>
        <v>0</v>
      </c>
      <c r="BM98" s="313">
        <f>IF($BI98&lt;&gt;"",IF('Capacity summary'!$D$14="Yes",IF(COUNTBLANK('Capacity summary'!$H217:$BG217)&lt;52,IF('Capacity summary'!J217&lt;&gt;"",IF(LOWER('Capacity summary'!J217)="x",$BI98*J98,VALUE('Capacity summary'!J217)),0),J98*$BI98),J98*$BI98),0)</f>
        <v>0</v>
      </c>
      <c r="BN98" s="313">
        <f>IF($BI98&lt;&gt;"",IF('Capacity summary'!$D$14="Yes",IF(COUNTBLANK('Capacity summary'!$H217:$BG217)&lt;52,IF('Capacity summary'!K217&lt;&gt;"",IF(LOWER('Capacity summary'!K217)="x",$BI98*K98,VALUE('Capacity summary'!K217)),0),K98*$BI98),K98*$BI98),0)</f>
        <v>0</v>
      </c>
      <c r="BO98" s="313">
        <f>IF($BI98&lt;&gt;"",IF('Capacity summary'!$D$14="Yes",IF(COUNTBLANK('Capacity summary'!$H217:$BG217)&lt;52,IF('Capacity summary'!L217&lt;&gt;"",IF(LOWER('Capacity summary'!L217)="x",$BI98*L98,VALUE('Capacity summary'!L217)),0),L98*$BI98),L98*$BI98),0)</f>
        <v>0</v>
      </c>
      <c r="BP98" s="313">
        <f>IF($BI98&lt;&gt;"",IF('Capacity summary'!$D$14="Yes",IF(COUNTBLANK('Capacity summary'!$H217:$BG217)&lt;52,IF('Capacity summary'!M217&lt;&gt;"",IF(LOWER('Capacity summary'!M217)="x",$BI98*M98,VALUE('Capacity summary'!M217)),0),M98*$BI98),M98*$BI98),0)</f>
        <v>0</v>
      </c>
      <c r="BQ98" s="313">
        <f>IF($BI98&lt;&gt;"",IF('Capacity summary'!$D$14="Yes",IF(COUNTBLANK('Capacity summary'!$H217:$BG217)&lt;52,IF('Capacity summary'!N217&lt;&gt;"",IF(LOWER('Capacity summary'!N217)="x",$BI98*N98,VALUE('Capacity summary'!N217)),0),N98*$BI98),N98*$BI98),0)</f>
        <v>0</v>
      </c>
      <c r="BR98" s="313">
        <f>IF($BI98&lt;&gt;"",IF('Capacity summary'!$D$14="Yes",IF(COUNTBLANK('Capacity summary'!$H217:$BG217)&lt;52,IF('Capacity summary'!O217&lt;&gt;"",IF(LOWER('Capacity summary'!O217)="x",$BI98*O98,VALUE('Capacity summary'!O217)),0),O98*$BI98),O98*$BI98),0)</f>
        <v>0</v>
      </c>
      <c r="BS98" s="313">
        <f>IF($BI98&lt;&gt;"",IF('Capacity summary'!$D$14="Yes",IF(COUNTBLANK('Capacity summary'!$H217:$BG217)&lt;52,IF('Capacity summary'!P217&lt;&gt;"",IF(LOWER('Capacity summary'!P217)="x",$BI98*P98,VALUE('Capacity summary'!P217)),0),P98*$BI98),P98*$BI98),0)</f>
        <v>0</v>
      </c>
      <c r="BT98" s="313">
        <f>IF($BI98&lt;&gt;"",IF('Capacity summary'!$D$14="Yes",IF(COUNTBLANK('Capacity summary'!$H217:$BG217)&lt;52,IF('Capacity summary'!Q217&lt;&gt;"",IF(LOWER('Capacity summary'!Q217)="x",$BI98*Q98,VALUE('Capacity summary'!Q217)),0),Q98*$BI98),Q98*$BI98),0)</f>
        <v>0</v>
      </c>
      <c r="BU98" s="313">
        <f>IF($BI98&lt;&gt;"",IF('Capacity summary'!$D$14="Yes",IF(COUNTBLANK('Capacity summary'!$H217:$BG217)&lt;52,IF('Capacity summary'!R217&lt;&gt;"",IF(LOWER('Capacity summary'!R217)="x",$BI98*R98,VALUE('Capacity summary'!R217)),0),R98*$BI98),R98*$BI98),0)</f>
        <v>0</v>
      </c>
      <c r="BV98" s="313">
        <f>IF($BI98&lt;&gt;"",IF('Capacity summary'!$D$14="Yes",IF(COUNTBLANK('Capacity summary'!$H217:$BG217)&lt;52,IF('Capacity summary'!S217&lt;&gt;"",IF(LOWER('Capacity summary'!S217)="x",$BI98*S98,VALUE('Capacity summary'!S217)),0),S98*$BI98),S98*$BI98),0)</f>
        <v>0</v>
      </c>
      <c r="BW98" s="313">
        <f>IF($BI98&lt;&gt;"",IF('Capacity summary'!$D$14="Yes",IF(COUNTBLANK('Capacity summary'!$H217:$BG217)&lt;52,IF('Capacity summary'!T217&lt;&gt;"",IF(LOWER('Capacity summary'!T217)="x",$BI98*T98,VALUE('Capacity summary'!T217)),0),T98*$BI98),T98*$BI98),0)</f>
        <v>0</v>
      </c>
      <c r="BX98" s="313">
        <f>IF($BI98&lt;&gt;"",IF('Capacity summary'!$D$14="Yes",IF(COUNTBLANK('Capacity summary'!$H217:$BG217)&lt;52,IF('Capacity summary'!U217&lt;&gt;"",IF(LOWER('Capacity summary'!U217)="x",$BI98*U98,VALUE('Capacity summary'!U217)),0),U98*$BI98),U98*$BI98),0)</f>
        <v>0</v>
      </c>
      <c r="BY98" s="313">
        <f>IF($BI98&lt;&gt;"",IF('Capacity summary'!$D$14="Yes",IF(COUNTBLANK('Capacity summary'!$H217:$BG217)&lt;52,IF('Capacity summary'!V217&lt;&gt;"",IF(LOWER('Capacity summary'!V217)="x",$BI98*V98,VALUE('Capacity summary'!V217)),0),V98*$BI98),V98*$BI98),0)</f>
        <v>0</v>
      </c>
      <c r="BZ98" s="313">
        <f>IF($BI98&lt;&gt;"",IF('Capacity summary'!$D$14="Yes",IF(COUNTBLANK('Capacity summary'!$H217:$BG217)&lt;52,IF('Capacity summary'!W217&lt;&gt;"",IF(LOWER('Capacity summary'!W217)="x",$BI98*W98,VALUE('Capacity summary'!W217)),0),W98*$BI98),W98*$BI98),0)</f>
        <v>0</v>
      </c>
      <c r="CA98" s="313">
        <f>IF($BI98&lt;&gt;"",IF('Capacity summary'!$D$14="Yes",IF(COUNTBLANK('Capacity summary'!$H217:$BG217)&lt;52,IF('Capacity summary'!X217&lt;&gt;"",IF(LOWER('Capacity summary'!X217)="x",$BI98*X98,VALUE('Capacity summary'!X217)),0),X98*$BI98),X98*$BI98),0)</f>
        <v>0</v>
      </c>
      <c r="CB98" s="313">
        <f>IF($BI98&lt;&gt;"",IF('Capacity summary'!$D$14="Yes",IF(COUNTBLANK('Capacity summary'!$H217:$BG217)&lt;52,IF('Capacity summary'!Y217&lt;&gt;"",IF(LOWER('Capacity summary'!Y217)="x",$BI98*Y98,VALUE('Capacity summary'!Y217)),0),Y98*$BI98),Y98*$BI98),0)</f>
        <v>0</v>
      </c>
      <c r="CC98" s="313">
        <f>IF($BI98&lt;&gt;"",IF('Capacity summary'!$D$14="Yes",IF(COUNTBLANK('Capacity summary'!$H217:$BG217)&lt;52,IF('Capacity summary'!Z217&lt;&gt;"",IF(LOWER('Capacity summary'!Z217)="x",$BI98*Z98,VALUE('Capacity summary'!Z217)),0),Z98*$BI98),Z98*$BI98),0)</f>
        <v>0</v>
      </c>
      <c r="CD98" s="313">
        <f>IF($BI98&lt;&gt;"",IF('Capacity summary'!$D$14="Yes",IF(COUNTBLANK('Capacity summary'!$H217:$BG217)&lt;52,IF('Capacity summary'!AA217&lt;&gt;"",IF(LOWER('Capacity summary'!AA217)="x",$BI98*AA98,VALUE('Capacity summary'!AA217)),0),AA98*$BI98),AA98*$BI98),0)</f>
        <v>0</v>
      </c>
      <c r="CE98" s="313">
        <f>IF($BI98&lt;&gt;"",IF('Capacity summary'!$D$14="Yes",IF(COUNTBLANK('Capacity summary'!$H217:$BG217)&lt;52,IF('Capacity summary'!AB217&lt;&gt;"",IF(LOWER('Capacity summary'!AB217)="x",$BI98*AB98,VALUE('Capacity summary'!AB217)),0),AB98*$BI98),AB98*$BI98),0)</f>
        <v>0</v>
      </c>
      <c r="CF98" s="313">
        <f>IF($BI98&lt;&gt;"",IF('Capacity summary'!$D$14="Yes",IF(COUNTBLANK('Capacity summary'!$H217:$BG217)&lt;52,IF('Capacity summary'!AC217&lt;&gt;"",IF(LOWER('Capacity summary'!AC217)="x",$BI98*AC98,VALUE('Capacity summary'!AC217)),0),AC98*$BI98),AC98*$BI98),0)</f>
        <v>0</v>
      </c>
      <c r="CG98" s="313">
        <f>IF($BI98&lt;&gt;"",IF('Capacity summary'!$D$14="Yes",IF(COUNTBLANK('Capacity summary'!$H217:$BG217)&lt;52,IF('Capacity summary'!AD217&lt;&gt;"",IF(LOWER('Capacity summary'!AD217)="x",$BI98*AD98,VALUE('Capacity summary'!AD217)),0),AD98*$BI98),AD98*$BI98),0)</f>
        <v>0</v>
      </c>
      <c r="CH98" s="313">
        <f>IF($BI98&lt;&gt;"",IF('Capacity summary'!$D$14="Yes",IF(COUNTBLANK('Capacity summary'!$H217:$BG217)&lt;52,IF('Capacity summary'!AE217&lt;&gt;"",IF(LOWER('Capacity summary'!AE217)="x",$BI98*AE98,VALUE('Capacity summary'!AE217)),0),AE98*$BI98),AE98*$BI98),0)</f>
        <v>0</v>
      </c>
      <c r="CI98" s="313">
        <f>IF($BI98&lt;&gt;"",IF('Capacity summary'!$D$14="Yes",IF(COUNTBLANK('Capacity summary'!$H217:$BG217)&lt;52,IF('Capacity summary'!AF217&lt;&gt;"",IF(LOWER('Capacity summary'!AF217)="x",$BI98*AF98,VALUE('Capacity summary'!AF217)),0),AF98*$BI98),AF98*$BI98),0)</f>
        <v>0</v>
      </c>
      <c r="CJ98" s="313">
        <f>IF($BI98&lt;&gt;"",IF('Capacity summary'!$D$14="Yes",IF(COUNTBLANK('Capacity summary'!$H217:$BG217)&lt;52,IF('Capacity summary'!AG217&lt;&gt;"",IF(LOWER('Capacity summary'!AG217)="x",$BI98*AG98,VALUE('Capacity summary'!AG217)),0),AG98*$BI98),AG98*$BI98),0)</f>
        <v>0</v>
      </c>
      <c r="CK98" s="313">
        <f>IF($BI98&lt;&gt;"",IF('Capacity summary'!$D$14="Yes",IF(COUNTBLANK('Capacity summary'!$H217:$BG217)&lt;52,IF('Capacity summary'!AH217&lt;&gt;"",IF(LOWER('Capacity summary'!AH217)="x",$BI98*AH98,VALUE('Capacity summary'!AH217)),0),AH98*$BI98),AH98*$BI98),0)</f>
        <v>0</v>
      </c>
      <c r="CL98" s="313">
        <f>IF($BI98&lt;&gt;"",IF('Capacity summary'!$D$14="Yes",IF(COUNTBLANK('Capacity summary'!$H217:$BG217)&lt;52,IF('Capacity summary'!AI217&lt;&gt;"",IF(LOWER('Capacity summary'!AI217)="x",$BI98*AI98,VALUE('Capacity summary'!AI217)),0),AI98*$BI98),AI98*$BI98),0)</f>
        <v>0</v>
      </c>
      <c r="CM98" s="313">
        <f>IF($BI98&lt;&gt;"",IF('Capacity summary'!$D$14="Yes",IF(COUNTBLANK('Capacity summary'!$H217:$BG217)&lt;52,IF('Capacity summary'!AJ217&lt;&gt;"",IF(LOWER('Capacity summary'!AJ217)="x",$BI98*AJ98,VALUE('Capacity summary'!AJ217)),0),AJ98*$BI98),AJ98*$BI98),0)</f>
        <v>0</v>
      </c>
      <c r="CN98" s="313">
        <f>IF($BI98&lt;&gt;"",IF('Capacity summary'!$D$14="Yes",IF(COUNTBLANK('Capacity summary'!$H217:$BG217)&lt;52,IF('Capacity summary'!AK217&lt;&gt;"",IF(LOWER('Capacity summary'!AK217)="x",$BI98*AK98,VALUE('Capacity summary'!AK217)),0),AK98*$BI98),AK98*$BI98),0)</f>
        <v>0</v>
      </c>
      <c r="CO98" s="313">
        <f>IF($BI98&lt;&gt;"",IF('Capacity summary'!$D$14="Yes",IF(COUNTBLANK('Capacity summary'!$H217:$BG217)&lt;52,IF('Capacity summary'!AL217&lt;&gt;"",IF(LOWER('Capacity summary'!AL217)="x",$BI98*AL98,VALUE('Capacity summary'!AL217)),0),AL98*$BI98),AL98*$BI98),0)</f>
        <v>0</v>
      </c>
      <c r="CP98" s="313">
        <f>IF($BI98&lt;&gt;"",IF('Capacity summary'!$D$14="Yes",IF(COUNTBLANK('Capacity summary'!$H217:$BG217)&lt;52,IF('Capacity summary'!AM217&lt;&gt;"",IF(LOWER('Capacity summary'!AM217)="x",$BI98*AM98,VALUE('Capacity summary'!AM217)),0),AM98*$BI98),AM98*$BI98),0)</f>
        <v>0</v>
      </c>
      <c r="CQ98" s="313">
        <f>IF($BI98&lt;&gt;"",IF('Capacity summary'!$D$14="Yes",IF(COUNTBLANK('Capacity summary'!$H217:$BG217)&lt;52,IF('Capacity summary'!AN217&lt;&gt;"",IF(LOWER('Capacity summary'!AN217)="x",$BI98*AN98,VALUE('Capacity summary'!AN217)),0),AN98*$BI98),AN98*$BI98),0)</f>
        <v>0</v>
      </c>
      <c r="CR98" s="313">
        <f>IF($BI98&lt;&gt;"",IF('Capacity summary'!$D$14="Yes",IF(COUNTBLANK('Capacity summary'!$H217:$BG217)&lt;52,IF('Capacity summary'!AO217&lt;&gt;"",IF(LOWER('Capacity summary'!AO217)="x",$BI98*AO98,VALUE('Capacity summary'!AO217)),0),AO98*$BI98),AO98*$BI98),0)</f>
        <v>0</v>
      </c>
      <c r="CS98" s="313">
        <f>IF($BI98&lt;&gt;"",IF('Capacity summary'!$D$14="Yes",IF(COUNTBLANK('Capacity summary'!$H217:$BG217)&lt;52,IF('Capacity summary'!AP217&lt;&gt;"",IF(LOWER('Capacity summary'!AP217)="x",$BI98*AP98,VALUE('Capacity summary'!AP217)),0),AP98*$BI98),AP98*$BI98),0)</f>
        <v>0</v>
      </c>
      <c r="CT98" s="313">
        <f>IF($BI98&lt;&gt;"",IF('Capacity summary'!$D$14="Yes",IF(COUNTBLANK('Capacity summary'!$H217:$BG217)&lt;52,IF('Capacity summary'!AQ217&lt;&gt;"",IF(LOWER('Capacity summary'!AQ217)="x",$BI98*AQ98,VALUE('Capacity summary'!AQ217)),0),AQ98*$BI98),AQ98*$BI98),0)</f>
        <v>0</v>
      </c>
      <c r="CU98" s="313">
        <f>IF($BI98&lt;&gt;"",IF('Capacity summary'!$D$14="Yes",IF(COUNTBLANK('Capacity summary'!$H217:$BG217)&lt;52,IF('Capacity summary'!AR217&lt;&gt;"",IF(LOWER('Capacity summary'!AR217)="x",$BI98*AR98,VALUE('Capacity summary'!AR217)),0),AR98*$BI98),AR98*$BI98),0)</f>
        <v>0</v>
      </c>
      <c r="CV98" s="313">
        <f>IF($BI98&lt;&gt;"",IF('Capacity summary'!$D$14="Yes",IF(COUNTBLANK('Capacity summary'!$H217:$BG217)&lt;52,IF('Capacity summary'!AS217&lt;&gt;"",IF(LOWER('Capacity summary'!AS217)="x",$BI98*AS98,VALUE('Capacity summary'!AS217)),0),AS98*$BI98),AS98*$BI98),0)</f>
        <v>0</v>
      </c>
      <c r="CW98" s="313">
        <f>IF($BI98&lt;&gt;"",IF('Capacity summary'!$D$14="Yes",IF(COUNTBLANK('Capacity summary'!$H217:$BG217)&lt;52,IF('Capacity summary'!AT217&lt;&gt;"",IF(LOWER('Capacity summary'!AT217)="x",$BI98*AT98,VALUE('Capacity summary'!AT217)),0),AT98*$BI98),AT98*$BI98),0)</f>
        <v>0</v>
      </c>
      <c r="CX98" s="313">
        <f>IF($BI98&lt;&gt;"",IF('Capacity summary'!$D$14="Yes",IF(COUNTBLANK('Capacity summary'!$H217:$BG217)&lt;52,IF('Capacity summary'!AU217&lt;&gt;"",IF(LOWER('Capacity summary'!AU217)="x",$BI98*AU98,VALUE('Capacity summary'!AU217)),0),AU98*$BI98),AU98*$BI98),0)</f>
        <v>0</v>
      </c>
      <c r="CY98" s="313">
        <f>IF($BI98&lt;&gt;"",IF('Capacity summary'!$D$14="Yes",IF(COUNTBLANK('Capacity summary'!$H217:$BG217)&lt;52,IF('Capacity summary'!AV217&lt;&gt;"",IF(LOWER('Capacity summary'!AV217)="x",$BI98*AV98,VALUE('Capacity summary'!AV217)),0),AV98*$BI98),AV98*$BI98),0)</f>
        <v>0</v>
      </c>
      <c r="CZ98" s="313">
        <f>IF($BI98&lt;&gt;"",IF('Capacity summary'!$D$14="Yes",IF(COUNTBLANK('Capacity summary'!$H217:$BG217)&lt;52,IF('Capacity summary'!AW217&lt;&gt;"",IF(LOWER('Capacity summary'!AW217)="x",$BI98*AW98,VALUE('Capacity summary'!AW217)),0),AW98*$BI98),AW98*$BI98),0)</f>
        <v>0</v>
      </c>
      <c r="DA98" s="313">
        <f>IF($BI98&lt;&gt;"",IF('Capacity summary'!$D$14="Yes",IF(COUNTBLANK('Capacity summary'!$H217:$BG217)&lt;52,IF('Capacity summary'!AX217&lt;&gt;"",IF(LOWER('Capacity summary'!AX217)="x",$BI98*AX98,VALUE('Capacity summary'!AX217)),0),AX98*$BI98),AX98*$BI98),0)</f>
        <v>0</v>
      </c>
      <c r="DB98" s="313">
        <f>IF($BI98&lt;&gt;"",IF('Capacity summary'!$D$14="Yes",IF(COUNTBLANK('Capacity summary'!$H217:$BG217)&lt;52,IF('Capacity summary'!AY217&lt;&gt;"",IF(LOWER('Capacity summary'!AY217)="x",$BI98*AY98,VALUE('Capacity summary'!AY217)),0),AY98*$BI98),AY98*$BI98),0)</f>
        <v>0</v>
      </c>
      <c r="DC98" s="313">
        <f>IF($BI98&lt;&gt;"",IF('Capacity summary'!$D$14="Yes",IF(COUNTBLANK('Capacity summary'!$H217:$BG217)&lt;52,IF('Capacity summary'!AZ217&lt;&gt;"",IF(LOWER('Capacity summary'!AZ217)="x",$BI98*AZ98,VALUE('Capacity summary'!AZ217)),0),AZ98*$BI98),AZ98*$BI98),0)</f>
        <v>0</v>
      </c>
      <c r="DD98" s="313">
        <f>IF($BI98&lt;&gt;"",IF('Capacity summary'!$D$14="Yes",IF(COUNTBLANK('Capacity summary'!$H217:$BG217)&lt;52,IF('Capacity summary'!BA217&lt;&gt;"",IF(LOWER('Capacity summary'!BA217)="x",$BI98*BA98,VALUE('Capacity summary'!BA217)),0),BA98*$BI98),BA98*$BI98),0)</f>
        <v>0</v>
      </c>
      <c r="DE98" s="313">
        <f>IF($BI98&lt;&gt;"",IF('Capacity summary'!$D$14="Yes",IF(COUNTBLANK('Capacity summary'!$H217:$BG217)&lt;52,IF('Capacity summary'!BB217&lt;&gt;"",IF(LOWER('Capacity summary'!BB217)="x",$BI98*BB98,VALUE('Capacity summary'!BB217)),0),BB98*$BI98),BB98*$BI98),0)</f>
        <v>0</v>
      </c>
      <c r="DF98" s="313">
        <f>IF($BI98&lt;&gt;"",IF('Capacity summary'!$D$14="Yes",IF(COUNTBLANK('Capacity summary'!$H217:$BG217)&lt;52,IF('Capacity summary'!BC217&lt;&gt;"",IF(LOWER('Capacity summary'!BC217)="x",$BI98*BC98,VALUE('Capacity summary'!BC217)),0),BC98*$BI98),BC98*$BI98),0)</f>
        <v>0</v>
      </c>
      <c r="DG98" s="313">
        <f>IF($BI98&lt;&gt;"",IF('Capacity summary'!$D$14="Yes",IF(COUNTBLANK('Capacity summary'!$H217:$BG217)&lt;52,IF('Capacity summary'!BD217&lt;&gt;"",IF(LOWER('Capacity summary'!BD217)="x",$BI98*BD98,VALUE('Capacity summary'!BD217)),0),BD98*$BI98),BD98*$BI98),0)</f>
        <v>0</v>
      </c>
      <c r="DH98" s="313">
        <f>IF($BI98&lt;&gt;"",IF('Capacity summary'!$D$14="Yes",IF(COUNTBLANK('Capacity summary'!$H217:$BG217)&lt;52,IF('Capacity summary'!BE217&lt;&gt;"",IF(LOWER('Capacity summary'!BE217)="x",$BI98*BE98,VALUE('Capacity summary'!BE217)),0),BE98*$BI98),BE98*$BI98),0)</f>
        <v>0</v>
      </c>
      <c r="DI98" s="313">
        <f>IF($BI98&lt;&gt;"",IF('Capacity summary'!$D$14="Yes",IF(COUNTBLANK('Capacity summary'!$H217:$BG217)&lt;52,IF('Capacity summary'!BF217&lt;&gt;"",IF(LOWER('Capacity summary'!BF217)="x",$BI98*BF98,VALUE('Capacity summary'!BF217)),0),BF98*$BI98),BF98*$BI98),0)</f>
        <v>0</v>
      </c>
      <c r="DJ98" s="313">
        <f>IF($BI98&lt;&gt;"",IF('Capacity summary'!$D$14="Yes",IF(COUNTBLANK('Capacity summary'!$H217:$BG217)&lt;52,IF('Capacity summary'!BG217&lt;&gt;"",IF(LOWER('Capacity summary'!BG217)="x",$BI98*BG98,VALUE('Capacity summary'!BG217)),0),BG98*$BI98),BG98*$BI98),0)</f>
        <v>0</v>
      </c>
      <c r="DK98" s="137">
        <f t="shared" si="3"/>
        <v>0</v>
      </c>
      <c r="DL98" s="313" t="str">
        <f>Capacity!H110</f>
        <v/>
      </c>
    </row>
    <row r="99" spans="2:116" x14ac:dyDescent="0.25">
      <c r="B99" s="67"/>
      <c r="C99" s="67" t="str">
        <f>ROW(A95)&amp;". "&amp;Capacity!B111</f>
        <v xml:space="preserve">95. </v>
      </c>
      <c r="D99" s="67">
        <f>'Capacity setup'!C106</f>
        <v>0</v>
      </c>
      <c r="E99" s="67">
        <f>'Capacity setup'!D106</f>
        <v>0</v>
      </c>
      <c r="F99" s="67">
        <f>'Capacity setup'!E106</f>
        <v>0</v>
      </c>
      <c r="H99" s="67">
        <f ca="1">IF(AND(SUMIF(Capacity_Resource,$D99,'Critical resources (hide)'!U$6:U$105)+SUMIF(Capacity_Resource,$E99,'Critical resources (hide)'!U$6:U$105)+SUMIF(Capacity_Resource,$F99,'Critical resources (hide)'!U$6:U$105)&gt;0,$E$1=2),0,1)</f>
        <v>1</v>
      </c>
      <c r="I99" s="67">
        <f ca="1">IF(AND(SUMIF(Capacity_Resource,$D99,'Critical resources (hide)'!V$6:V$105)+SUMIF(Capacity_Resource,$E99,'Critical resources (hide)'!V$6:V$105)+SUMIF(Capacity_Resource,$F99,'Critical resources (hide)'!V$6:V$105)&gt;0,$E$1=2),0,1)</f>
        <v>1</v>
      </c>
      <c r="J99" s="67">
        <f ca="1">IF(AND(SUMIF(Capacity_Resource,$D99,'Critical resources (hide)'!W$6:W$105)+SUMIF(Capacity_Resource,$E99,'Critical resources (hide)'!W$6:W$105)+SUMIF(Capacity_Resource,$F99,'Critical resources (hide)'!W$6:W$105)&gt;0,$E$1=2),0,1)</f>
        <v>1</v>
      </c>
      <c r="K99" s="67">
        <f ca="1">IF(AND(SUMIF(Capacity_Resource,$D99,'Critical resources (hide)'!X$6:X$105)+SUMIF(Capacity_Resource,$E99,'Critical resources (hide)'!X$6:X$105)+SUMIF(Capacity_Resource,$F99,'Critical resources (hide)'!X$6:X$105)&gt;0,$E$1=2),0,1)</f>
        <v>1</v>
      </c>
      <c r="L99" s="67">
        <f ca="1">IF(AND(SUMIF(Capacity_Resource,$D99,'Critical resources (hide)'!Y$6:Y$105)+SUMIF(Capacity_Resource,$E99,'Critical resources (hide)'!Y$6:Y$105)+SUMIF(Capacity_Resource,$F99,'Critical resources (hide)'!Y$6:Y$105)&gt;0,$E$1=2),0,1)</f>
        <v>1</v>
      </c>
      <c r="M99" s="67">
        <f ca="1">IF(AND(SUMIF(Capacity_Resource,$D99,'Critical resources (hide)'!Z$6:Z$105)+SUMIF(Capacity_Resource,$E99,'Critical resources (hide)'!Z$6:Z$105)+SUMIF(Capacity_Resource,$F99,'Critical resources (hide)'!Z$6:Z$105)&gt;0,$E$1=2),0,1)</f>
        <v>1</v>
      </c>
      <c r="N99" s="67">
        <f ca="1">IF(AND(SUMIF(Capacity_Resource,$D99,'Critical resources (hide)'!AA$6:AA$105)+SUMIF(Capacity_Resource,$E99,'Critical resources (hide)'!AA$6:AA$105)+SUMIF(Capacity_Resource,$F99,'Critical resources (hide)'!AA$6:AA$105)&gt;0,$E$1=2),0,1)</f>
        <v>1</v>
      </c>
      <c r="O99" s="67">
        <f ca="1">IF(AND(SUMIF(Capacity_Resource,$D99,'Critical resources (hide)'!AB$6:AB$105)+SUMIF(Capacity_Resource,$E99,'Critical resources (hide)'!AB$6:AB$105)+SUMIF(Capacity_Resource,$F99,'Critical resources (hide)'!AB$6:AB$105)&gt;0,$E$1=2),0,1)</f>
        <v>1</v>
      </c>
      <c r="P99" s="67">
        <f ca="1">IF(AND(SUMIF(Capacity_Resource,$D99,'Critical resources (hide)'!AC$6:AC$105)+SUMIF(Capacity_Resource,$E99,'Critical resources (hide)'!AC$6:AC$105)+SUMIF(Capacity_Resource,$F99,'Critical resources (hide)'!AC$6:AC$105)&gt;0,$E$1=2),0,1)</f>
        <v>1</v>
      </c>
      <c r="Q99" s="67">
        <f ca="1">IF(AND(SUMIF(Capacity_Resource,$D99,'Critical resources (hide)'!AD$6:AD$105)+SUMIF(Capacity_Resource,$E99,'Critical resources (hide)'!AD$6:AD$105)+SUMIF(Capacity_Resource,$F99,'Critical resources (hide)'!AD$6:AD$105)&gt;0,$E$1=2),0,1)</f>
        <v>1</v>
      </c>
      <c r="R99" s="67">
        <f ca="1">IF(AND(SUMIF(Capacity_Resource,$D99,'Critical resources (hide)'!AE$6:AE$105)+SUMIF(Capacity_Resource,$E99,'Critical resources (hide)'!AE$6:AE$105)+SUMIF(Capacity_Resource,$F99,'Critical resources (hide)'!AE$6:AE$105)&gt;0,$E$1=2),0,1)</f>
        <v>1</v>
      </c>
      <c r="S99" s="67">
        <f ca="1">IF(AND(SUMIF(Capacity_Resource,$D99,'Critical resources (hide)'!AF$6:AF$105)+SUMIF(Capacity_Resource,$E99,'Critical resources (hide)'!AF$6:AF$105)+SUMIF(Capacity_Resource,$F99,'Critical resources (hide)'!AF$6:AF$105)&gt;0,$E$1=2),0,1)</f>
        <v>1</v>
      </c>
      <c r="T99" s="67">
        <f ca="1">IF(AND(SUMIF(Capacity_Resource,$D99,'Critical resources (hide)'!AG$6:AG$105)+SUMIF(Capacity_Resource,$E99,'Critical resources (hide)'!AG$6:AG$105)+SUMIF(Capacity_Resource,$F99,'Critical resources (hide)'!AG$6:AG$105)&gt;0,$E$1=2),0,1)</f>
        <v>1</v>
      </c>
      <c r="U99" s="67">
        <f ca="1">IF(AND(SUMIF(Capacity_Resource,$D99,'Critical resources (hide)'!AH$6:AH$105)+SUMIF(Capacity_Resource,$E99,'Critical resources (hide)'!AH$6:AH$105)+SUMIF(Capacity_Resource,$F99,'Critical resources (hide)'!AH$6:AH$105)&gt;0,$E$1=2),0,1)</f>
        <v>1</v>
      </c>
      <c r="V99" s="67">
        <f ca="1">IF(AND(SUMIF(Capacity_Resource,$D99,'Critical resources (hide)'!AI$6:AI$105)+SUMIF(Capacity_Resource,$E99,'Critical resources (hide)'!AI$6:AI$105)+SUMIF(Capacity_Resource,$F99,'Critical resources (hide)'!AI$6:AI$105)&gt;0,$E$1=2),0,1)</f>
        <v>1</v>
      </c>
      <c r="W99" s="67">
        <f ca="1">IF(AND(SUMIF(Capacity_Resource,$D99,'Critical resources (hide)'!AJ$6:AJ$105)+SUMIF(Capacity_Resource,$E99,'Critical resources (hide)'!AJ$6:AJ$105)+SUMIF(Capacity_Resource,$F99,'Critical resources (hide)'!AJ$6:AJ$105)&gt;0,$E$1=2),0,1)</f>
        <v>1</v>
      </c>
      <c r="X99" s="67">
        <f ca="1">IF(AND(SUMIF(Capacity_Resource,$D99,'Critical resources (hide)'!AK$6:AK$105)+SUMIF(Capacity_Resource,$E99,'Critical resources (hide)'!AK$6:AK$105)+SUMIF(Capacity_Resource,$F99,'Critical resources (hide)'!AK$6:AK$105)&gt;0,$E$1=2),0,1)</f>
        <v>1</v>
      </c>
      <c r="Y99" s="67">
        <f ca="1">IF(AND(SUMIF(Capacity_Resource,$D99,'Critical resources (hide)'!AL$6:AL$105)+SUMIF(Capacity_Resource,$E99,'Critical resources (hide)'!AL$6:AL$105)+SUMIF(Capacity_Resource,$F99,'Critical resources (hide)'!AL$6:AL$105)&gt;0,$E$1=2),0,1)</f>
        <v>1</v>
      </c>
      <c r="Z99" s="67">
        <f ca="1">IF(AND(SUMIF(Capacity_Resource,$D99,'Critical resources (hide)'!AM$6:AM$105)+SUMIF(Capacity_Resource,$E99,'Critical resources (hide)'!AM$6:AM$105)+SUMIF(Capacity_Resource,$F99,'Critical resources (hide)'!AM$6:AM$105)&gt;0,$E$1=2),0,1)</f>
        <v>1</v>
      </c>
      <c r="AA99" s="67">
        <f ca="1">IF(AND(SUMIF(Capacity_Resource,$D99,'Critical resources (hide)'!AN$6:AN$105)+SUMIF(Capacity_Resource,$E99,'Critical resources (hide)'!AN$6:AN$105)+SUMIF(Capacity_Resource,$F99,'Critical resources (hide)'!AN$6:AN$105)&gt;0,$E$1=2),0,1)</f>
        <v>1</v>
      </c>
      <c r="AB99" s="67">
        <f ca="1">IF(AND(SUMIF(Capacity_Resource,$D99,'Critical resources (hide)'!AO$6:AO$105)+SUMIF(Capacity_Resource,$E99,'Critical resources (hide)'!AO$6:AO$105)+SUMIF(Capacity_Resource,$F99,'Critical resources (hide)'!AO$6:AO$105)&gt;0,$E$1=2),0,1)</f>
        <v>1</v>
      </c>
      <c r="AC99" s="67">
        <f ca="1">IF(AND(SUMIF(Capacity_Resource,$D99,'Critical resources (hide)'!AP$6:AP$105)+SUMIF(Capacity_Resource,$E99,'Critical resources (hide)'!AP$6:AP$105)+SUMIF(Capacity_Resource,$F99,'Critical resources (hide)'!AP$6:AP$105)&gt;0,$E$1=2),0,1)</f>
        <v>1</v>
      </c>
      <c r="AD99" s="67">
        <f ca="1">IF(AND(SUMIF(Capacity_Resource,$D99,'Critical resources (hide)'!AQ$6:AQ$105)+SUMIF(Capacity_Resource,$E99,'Critical resources (hide)'!AQ$6:AQ$105)+SUMIF(Capacity_Resource,$F99,'Critical resources (hide)'!AQ$6:AQ$105)&gt;0,$E$1=2),0,1)</f>
        <v>1</v>
      </c>
      <c r="AE99" s="67">
        <f ca="1">IF(AND(SUMIF(Capacity_Resource,$D99,'Critical resources (hide)'!AR$6:AR$105)+SUMIF(Capacity_Resource,$E99,'Critical resources (hide)'!AR$6:AR$105)+SUMIF(Capacity_Resource,$F99,'Critical resources (hide)'!AR$6:AR$105)&gt;0,$E$1=2),0,1)</f>
        <v>1</v>
      </c>
      <c r="AF99" s="67">
        <f ca="1">IF(AND(SUMIF(Capacity_Resource,$D99,'Critical resources (hide)'!AS$6:AS$105)+SUMIF(Capacity_Resource,$E99,'Critical resources (hide)'!AS$6:AS$105)+SUMIF(Capacity_Resource,$F99,'Critical resources (hide)'!AS$6:AS$105)&gt;0,$E$1=2),0,1)</f>
        <v>1</v>
      </c>
      <c r="AG99" s="67">
        <f ca="1">IF(AND(SUMIF(Capacity_Resource,$D99,'Critical resources (hide)'!AT$6:AT$105)+SUMIF(Capacity_Resource,$E99,'Critical resources (hide)'!AT$6:AT$105)+SUMIF(Capacity_Resource,$F99,'Critical resources (hide)'!AT$6:AT$105)&gt;0,$E$1=2),0,1)</f>
        <v>1</v>
      </c>
      <c r="AH99" s="67">
        <f ca="1">IF(AND(SUMIF(Capacity_Resource,$D99,'Critical resources (hide)'!AU$6:AU$105)+SUMIF(Capacity_Resource,$E99,'Critical resources (hide)'!AU$6:AU$105)+SUMIF(Capacity_Resource,$F99,'Critical resources (hide)'!AU$6:AU$105)&gt;0,$E$1=2),0,1)</f>
        <v>1</v>
      </c>
      <c r="AI99" s="67">
        <f ca="1">IF(AND(SUMIF(Capacity_Resource,$D99,'Critical resources (hide)'!AV$6:AV$105)+SUMIF(Capacity_Resource,$E99,'Critical resources (hide)'!AV$6:AV$105)+SUMIF(Capacity_Resource,$F99,'Critical resources (hide)'!AV$6:AV$105)&gt;0,$E$1=2),0,1)</f>
        <v>1</v>
      </c>
      <c r="AJ99" s="67">
        <f ca="1">IF(AND(SUMIF(Capacity_Resource,$D99,'Critical resources (hide)'!AW$6:AW$105)+SUMIF(Capacity_Resource,$E99,'Critical resources (hide)'!AW$6:AW$105)+SUMIF(Capacity_Resource,$F99,'Critical resources (hide)'!AW$6:AW$105)&gt;0,$E$1=2),0,1)</f>
        <v>1</v>
      </c>
      <c r="AK99" s="67">
        <f ca="1">IF(AND(SUMIF(Capacity_Resource,$D99,'Critical resources (hide)'!AX$6:AX$105)+SUMIF(Capacity_Resource,$E99,'Critical resources (hide)'!AX$6:AX$105)+SUMIF(Capacity_Resource,$F99,'Critical resources (hide)'!AX$6:AX$105)&gt;0,$E$1=2),0,1)</f>
        <v>1</v>
      </c>
      <c r="AL99" s="67">
        <f ca="1">IF(AND(SUMIF(Capacity_Resource,$D99,'Critical resources (hide)'!AY$6:AY$105)+SUMIF(Capacity_Resource,$E99,'Critical resources (hide)'!AY$6:AY$105)+SUMIF(Capacity_Resource,$F99,'Critical resources (hide)'!AY$6:AY$105)&gt;0,$E$1=2),0,1)</f>
        <v>1</v>
      </c>
      <c r="AM99" s="67">
        <f ca="1">IF(AND(SUMIF(Capacity_Resource,$D99,'Critical resources (hide)'!AZ$6:AZ$105)+SUMIF(Capacity_Resource,$E99,'Critical resources (hide)'!AZ$6:AZ$105)+SUMIF(Capacity_Resource,$F99,'Critical resources (hide)'!AZ$6:AZ$105)&gt;0,$E$1=2),0,1)</f>
        <v>1</v>
      </c>
      <c r="AN99" s="67">
        <f ca="1">IF(AND(SUMIF(Capacity_Resource,$D99,'Critical resources (hide)'!BA$6:BA$105)+SUMIF(Capacity_Resource,$E99,'Critical resources (hide)'!BA$6:BA$105)+SUMIF(Capacity_Resource,$F99,'Critical resources (hide)'!BA$6:BA$105)&gt;0,$E$1=2),0,1)</f>
        <v>1</v>
      </c>
      <c r="AO99" s="67">
        <f ca="1">IF(AND(SUMIF(Capacity_Resource,$D99,'Critical resources (hide)'!BB$6:BB$105)+SUMIF(Capacity_Resource,$E99,'Critical resources (hide)'!BB$6:BB$105)+SUMIF(Capacity_Resource,$F99,'Critical resources (hide)'!BB$6:BB$105)&gt;0,$E$1=2),0,1)</f>
        <v>1</v>
      </c>
      <c r="AP99" s="67">
        <f ca="1">IF(AND(SUMIF(Capacity_Resource,$D99,'Critical resources (hide)'!BC$6:BC$105)+SUMIF(Capacity_Resource,$E99,'Critical resources (hide)'!BC$6:BC$105)+SUMIF(Capacity_Resource,$F99,'Critical resources (hide)'!BC$6:BC$105)&gt;0,$E$1=2),0,1)</f>
        <v>1</v>
      </c>
      <c r="AQ99" s="67">
        <f ca="1">IF(AND(SUMIF(Capacity_Resource,$D99,'Critical resources (hide)'!BD$6:BD$105)+SUMIF(Capacity_Resource,$E99,'Critical resources (hide)'!BD$6:BD$105)+SUMIF(Capacity_Resource,$F99,'Critical resources (hide)'!BD$6:BD$105)&gt;0,$E$1=2),0,1)</f>
        <v>1</v>
      </c>
      <c r="AR99" s="67">
        <f ca="1">IF(AND(SUMIF(Capacity_Resource,$D99,'Critical resources (hide)'!BE$6:BE$105)+SUMIF(Capacity_Resource,$E99,'Critical resources (hide)'!BE$6:BE$105)+SUMIF(Capacity_Resource,$F99,'Critical resources (hide)'!BE$6:BE$105)&gt;0,$E$1=2),0,1)</f>
        <v>1</v>
      </c>
      <c r="AS99" s="67">
        <f ca="1">IF(AND(SUMIF(Capacity_Resource,$D99,'Critical resources (hide)'!BF$6:BF$105)+SUMIF(Capacity_Resource,$E99,'Critical resources (hide)'!BF$6:BF$105)+SUMIF(Capacity_Resource,$F99,'Critical resources (hide)'!BF$6:BF$105)&gt;0,$E$1=2),0,1)</f>
        <v>1</v>
      </c>
      <c r="AT99" s="67">
        <f ca="1">IF(AND(SUMIF(Capacity_Resource,$D99,'Critical resources (hide)'!BG$6:BG$105)+SUMIF(Capacity_Resource,$E99,'Critical resources (hide)'!BG$6:BG$105)+SUMIF(Capacity_Resource,$F99,'Critical resources (hide)'!BG$6:BG$105)&gt;0,$E$1=2),0,1)</f>
        <v>1</v>
      </c>
      <c r="AU99" s="67">
        <f ca="1">IF(AND(SUMIF(Capacity_Resource,$D99,'Critical resources (hide)'!BH$6:BH$105)+SUMIF(Capacity_Resource,$E99,'Critical resources (hide)'!BH$6:BH$105)+SUMIF(Capacity_Resource,$F99,'Critical resources (hide)'!BH$6:BH$105)&gt;0,$E$1=2),0,1)</f>
        <v>1</v>
      </c>
      <c r="AV99" s="67">
        <f ca="1">IF(AND(SUMIF(Capacity_Resource,$D99,'Critical resources (hide)'!BI$6:BI$105)+SUMIF(Capacity_Resource,$E99,'Critical resources (hide)'!BI$6:BI$105)+SUMIF(Capacity_Resource,$F99,'Critical resources (hide)'!BI$6:BI$105)&gt;0,$E$1=2),0,1)</f>
        <v>1</v>
      </c>
      <c r="AW99" s="67">
        <f ca="1">IF(AND(SUMIF(Capacity_Resource,$D99,'Critical resources (hide)'!BJ$6:BJ$105)+SUMIF(Capacity_Resource,$E99,'Critical resources (hide)'!BJ$6:BJ$105)+SUMIF(Capacity_Resource,$F99,'Critical resources (hide)'!BJ$6:BJ$105)&gt;0,$E$1=2),0,1)</f>
        <v>1</v>
      </c>
      <c r="AX99" s="67">
        <f ca="1">IF(AND(SUMIF(Capacity_Resource,$D99,'Critical resources (hide)'!BK$6:BK$105)+SUMIF(Capacity_Resource,$E99,'Critical resources (hide)'!BK$6:BK$105)+SUMIF(Capacity_Resource,$F99,'Critical resources (hide)'!BK$6:BK$105)&gt;0,$E$1=2),0,1)</f>
        <v>1</v>
      </c>
      <c r="AY99" s="67">
        <f ca="1">IF(AND(SUMIF(Capacity_Resource,$D99,'Critical resources (hide)'!BL$6:BL$105)+SUMIF(Capacity_Resource,$E99,'Critical resources (hide)'!BL$6:BL$105)+SUMIF(Capacity_Resource,$F99,'Critical resources (hide)'!BL$6:BL$105)&gt;0,$E$1=2),0,1)</f>
        <v>1</v>
      </c>
      <c r="AZ99" s="67">
        <f ca="1">IF(AND(SUMIF(Capacity_Resource,$D99,'Critical resources (hide)'!BM$6:BM$105)+SUMIF(Capacity_Resource,$E99,'Critical resources (hide)'!BM$6:BM$105)+SUMIF(Capacity_Resource,$F99,'Critical resources (hide)'!BM$6:BM$105)&gt;0,$E$1=2),0,1)</f>
        <v>1</v>
      </c>
      <c r="BA99" s="67">
        <f ca="1">IF(AND(SUMIF(Capacity_Resource,$D99,'Critical resources (hide)'!BN$6:BN$105)+SUMIF(Capacity_Resource,$E99,'Critical resources (hide)'!BN$6:BN$105)+SUMIF(Capacity_Resource,$F99,'Critical resources (hide)'!BN$6:BN$105)&gt;0,$E$1=2),0,1)</f>
        <v>1</v>
      </c>
      <c r="BB99" s="67">
        <f ca="1">IF(AND(SUMIF(Capacity_Resource,$D99,'Critical resources (hide)'!BO$6:BO$105)+SUMIF(Capacity_Resource,$E99,'Critical resources (hide)'!BO$6:BO$105)+SUMIF(Capacity_Resource,$F99,'Critical resources (hide)'!BO$6:BO$105)&gt;0,$E$1=2),0,1)</f>
        <v>1</v>
      </c>
      <c r="BC99" s="67">
        <f ca="1">IF(AND(SUMIF(Capacity_Resource,$D99,'Critical resources (hide)'!BP$6:BP$105)+SUMIF(Capacity_Resource,$E99,'Critical resources (hide)'!BP$6:BP$105)+SUMIF(Capacity_Resource,$F99,'Critical resources (hide)'!BP$6:BP$105)&gt;0,$E$1=2),0,1)</f>
        <v>1</v>
      </c>
      <c r="BD99" s="67">
        <f ca="1">IF(AND(SUMIF(Capacity_Resource,$D99,'Critical resources (hide)'!BQ$6:BQ$105)+SUMIF(Capacity_Resource,$E99,'Critical resources (hide)'!BQ$6:BQ$105)+SUMIF(Capacity_Resource,$F99,'Critical resources (hide)'!BQ$6:BQ$105)&gt;0,$E$1=2),0,1)</f>
        <v>1</v>
      </c>
      <c r="BE99" s="67">
        <f ca="1">IF(AND(SUMIF(Capacity_Resource,$D99,'Critical resources (hide)'!BR$6:BR$105)+SUMIF(Capacity_Resource,$E99,'Critical resources (hide)'!BR$6:BR$105)+SUMIF(Capacity_Resource,$F99,'Critical resources (hide)'!BR$6:BR$105)&gt;0,$E$1=2),0,1)</f>
        <v>1</v>
      </c>
      <c r="BF99" s="67">
        <f ca="1">IF(AND(SUMIF(Capacity_Resource,$D99,'Critical resources (hide)'!BS$6:BS$105)+SUMIF(Capacity_Resource,$E99,'Critical resources (hide)'!BS$6:BS$105)+SUMIF(Capacity_Resource,$F99,'Critical resources (hide)'!BS$6:BS$105)&gt;0,$E$1=2),0,1)</f>
        <v>1</v>
      </c>
      <c r="BG99" s="67">
        <f ca="1">IF(AND(SUMIF(Capacity_Resource,$D99,'Critical resources (hide)'!BT$6:BT$105)+SUMIF(Capacity_Resource,$E99,'Critical resources (hide)'!BT$6:BT$105)+SUMIF(Capacity_Resource,$F99,'Critical resources (hide)'!BT$6:BT$105)&gt;0,$E$1=2),0,1)</f>
        <v>1</v>
      </c>
      <c r="BH99" s="67">
        <f>IF(ROW(C95)&lt;=Capacity!$A$16,IF('Capacity summary'!$D$14="No",SUM(H99:BG99),'Capacity summary'!$E218),0)</f>
        <v>0</v>
      </c>
      <c r="BI99" s="5" t="str">
        <f>IF(BH99&gt;0,IF(BH99&lt;Capacity!E111,Capacity!F111,Capacity!H111/'Capacity calculation (hide)'!BH99),"")</f>
        <v/>
      </c>
      <c r="BK99" s="313">
        <f>IF($BI99&lt;&gt;"",IF('Capacity summary'!$D$14="Yes",IF(COUNTBLANK('Capacity summary'!$H218:$BG218)&lt;52,IF('Capacity summary'!H218&lt;&gt;"",IF(LOWER('Capacity summary'!H218)="x",$BI99*H99,VALUE('Capacity summary'!H218)),0),H99*$BI99),H99*$BI99),0)</f>
        <v>0</v>
      </c>
      <c r="BL99" s="313">
        <f>IF($BI99&lt;&gt;"",IF('Capacity summary'!$D$14="Yes",IF(COUNTBLANK('Capacity summary'!$H218:$BG218)&lt;52,IF('Capacity summary'!I218&lt;&gt;"",IF(LOWER('Capacity summary'!I218)="x",$BI99*I99,VALUE('Capacity summary'!I218)),0),I99*$BI99),I99*$BI99),0)</f>
        <v>0</v>
      </c>
      <c r="BM99" s="313">
        <f>IF($BI99&lt;&gt;"",IF('Capacity summary'!$D$14="Yes",IF(COUNTBLANK('Capacity summary'!$H218:$BG218)&lt;52,IF('Capacity summary'!J218&lt;&gt;"",IF(LOWER('Capacity summary'!J218)="x",$BI99*J99,VALUE('Capacity summary'!J218)),0),J99*$BI99),J99*$BI99),0)</f>
        <v>0</v>
      </c>
      <c r="BN99" s="313">
        <f>IF($BI99&lt;&gt;"",IF('Capacity summary'!$D$14="Yes",IF(COUNTBLANK('Capacity summary'!$H218:$BG218)&lt;52,IF('Capacity summary'!K218&lt;&gt;"",IF(LOWER('Capacity summary'!K218)="x",$BI99*K99,VALUE('Capacity summary'!K218)),0),K99*$BI99),K99*$BI99),0)</f>
        <v>0</v>
      </c>
      <c r="BO99" s="313">
        <f>IF($BI99&lt;&gt;"",IF('Capacity summary'!$D$14="Yes",IF(COUNTBLANK('Capacity summary'!$H218:$BG218)&lt;52,IF('Capacity summary'!L218&lt;&gt;"",IF(LOWER('Capacity summary'!L218)="x",$BI99*L99,VALUE('Capacity summary'!L218)),0),L99*$BI99),L99*$BI99),0)</f>
        <v>0</v>
      </c>
      <c r="BP99" s="313">
        <f>IF($BI99&lt;&gt;"",IF('Capacity summary'!$D$14="Yes",IF(COUNTBLANK('Capacity summary'!$H218:$BG218)&lt;52,IF('Capacity summary'!M218&lt;&gt;"",IF(LOWER('Capacity summary'!M218)="x",$BI99*M99,VALUE('Capacity summary'!M218)),0),M99*$BI99),M99*$BI99),0)</f>
        <v>0</v>
      </c>
      <c r="BQ99" s="313">
        <f>IF($BI99&lt;&gt;"",IF('Capacity summary'!$D$14="Yes",IF(COUNTBLANK('Capacity summary'!$H218:$BG218)&lt;52,IF('Capacity summary'!N218&lt;&gt;"",IF(LOWER('Capacity summary'!N218)="x",$BI99*N99,VALUE('Capacity summary'!N218)),0),N99*$BI99),N99*$BI99),0)</f>
        <v>0</v>
      </c>
      <c r="BR99" s="313">
        <f>IF($BI99&lt;&gt;"",IF('Capacity summary'!$D$14="Yes",IF(COUNTBLANK('Capacity summary'!$H218:$BG218)&lt;52,IF('Capacity summary'!O218&lt;&gt;"",IF(LOWER('Capacity summary'!O218)="x",$BI99*O99,VALUE('Capacity summary'!O218)),0),O99*$BI99),O99*$BI99),0)</f>
        <v>0</v>
      </c>
      <c r="BS99" s="313">
        <f>IF($BI99&lt;&gt;"",IF('Capacity summary'!$D$14="Yes",IF(COUNTBLANK('Capacity summary'!$H218:$BG218)&lt;52,IF('Capacity summary'!P218&lt;&gt;"",IF(LOWER('Capacity summary'!P218)="x",$BI99*P99,VALUE('Capacity summary'!P218)),0),P99*$BI99),P99*$BI99),0)</f>
        <v>0</v>
      </c>
      <c r="BT99" s="313">
        <f>IF($BI99&lt;&gt;"",IF('Capacity summary'!$D$14="Yes",IF(COUNTBLANK('Capacity summary'!$H218:$BG218)&lt;52,IF('Capacity summary'!Q218&lt;&gt;"",IF(LOWER('Capacity summary'!Q218)="x",$BI99*Q99,VALUE('Capacity summary'!Q218)),0),Q99*$BI99),Q99*$BI99),0)</f>
        <v>0</v>
      </c>
      <c r="BU99" s="313">
        <f>IF($BI99&lt;&gt;"",IF('Capacity summary'!$D$14="Yes",IF(COUNTBLANK('Capacity summary'!$H218:$BG218)&lt;52,IF('Capacity summary'!R218&lt;&gt;"",IF(LOWER('Capacity summary'!R218)="x",$BI99*R99,VALUE('Capacity summary'!R218)),0),R99*$BI99),R99*$BI99),0)</f>
        <v>0</v>
      </c>
      <c r="BV99" s="313">
        <f>IF($BI99&lt;&gt;"",IF('Capacity summary'!$D$14="Yes",IF(COUNTBLANK('Capacity summary'!$H218:$BG218)&lt;52,IF('Capacity summary'!S218&lt;&gt;"",IF(LOWER('Capacity summary'!S218)="x",$BI99*S99,VALUE('Capacity summary'!S218)),0),S99*$BI99),S99*$BI99),0)</f>
        <v>0</v>
      </c>
      <c r="BW99" s="313">
        <f>IF($BI99&lt;&gt;"",IF('Capacity summary'!$D$14="Yes",IF(COUNTBLANK('Capacity summary'!$H218:$BG218)&lt;52,IF('Capacity summary'!T218&lt;&gt;"",IF(LOWER('Capacity summary'!T218)="x",$BI99*T99,VALUE('Capacity summary'!T218)),0),T99*$BI99),T99*$BI99),0)</f>
        <v>0</v>
      </c>
      <c r="BX99" s="313">
        <f>IF($BI99&lt;&gt;"",IF('Capacity summary'!$D$14="Yes",IF(COUNTBLANK('Capacity summary'!$H218:$BG218)&lt;52,IF('Capacity summary'!U218&lt;&gt;"",IF(LOWER('Capacity summary'!U218)="x",$BI99*U99,VALUE('Capacity summary'!U218)),0),U99*$BI99),U99*$BI99),0)</f>
        <v>0</v>
      </c>
      <c r="BY99" s="313">
        <f>IF($BI99&lt;&gt;"",IF('Capacity summary'!$D$14="Yes",IF(COUNTBLANK('Capacity summary'!$H218:$BG218)&lt;52,IF('Capacity summary'!V218&lt;&gt;"",IF(LOWER('Capacity summary'!V218)="x",$BI99*V99,VALUE('Capacity summary'!V218)),0),V99*$BI99),V99*$BI99),0)</f>
        <v>0</v>
      </c>
      <c r="BZ99" s="313">
        <f>IF($BI99&lt;&gt;"",IF('Capacity summary'!$D$14="Yes",IF(COUNTBLANK('Capacity summary'!$H218:$BG218)&lt;52,IF('Capacity summary'!W218&lt;&gt;"",IF(LOWER('Capacity summary'!W218)="x",$BI99*W99,VALUE('Capacity summary'!W218)),0),W99*$BI99),W99*$BI99),0)</f>
        <v>0</v>
      </c>
      <c r="CA99" s="313">
        <f>IF($BI99&lt;&gt;"",IF('Capacity summary'!$D$14="Yes",IF(COUNTBLANK('Capacity summary'!$H218:$BG218)&lt;52,IF('Capacity summary'!X218&lt;&gt;"",IF(LOWER('Capacity summary'!X218)="x",$BI99*X99,VALUE('Capacity summary'!X218)),0),X99*$BI99),X99*$BI99),0)</f>
        <v>0</v>
      </c>
      <c r="CB99" s="313">
        <f>IF($BI99&lt;&gt;"",IF('Capacity summary'!$D$14="Yes",IF(COUNTBLANK('Capacity summary'!$H218:$BG218)&lt;52,IF('Capacity summary'!Y218&lt;&gt;"",IF(LOWER('Capacity summary'!Y218)="x",$BI99*Y99,VALUE('Capacity summary'!Y218)),0),Y99*$BI99),Y99*$BI99),0)</f>
        <v>0</v>
      </c>
      <c r="CC99" s="313">
        <f>IF($BI99&lt;&gt;"",IF('Capacity summary'!$D$14="Yes",IF(COUNTBLANK('Capacity summary'!$H218:$BG218)&lt;52,IF('Capacity summary'!Z218&lt;&gt;"",IF(LOWER('Capacity summary'!Z218)="x",$BI99*Z99,VALUE('Capacity summary'!Z218)),0),Z99*$BI99),Z99*$BI99),0)</f>
        <v>0</v>
      </c>
      <c r="CD99" s="313">
        <f>IF($BI99&lt;&gt;"",IF('Capacity summary'!$D$14="Yes",IF(COUNTBLANK('Capacity summary'!$H218:$BG218)&lt;52,IF('Capacity summary'!AA218&lt;&gt;"",IF(LOWER('Capacity summary'!AA218)="x",$BI99*AA99,VALUE('Capacity summary'!AA218)),0),AA99*$BI99),AA99*$BI99),0)</f>
        <v>0</v>
      </c>
      <c r="CE99" s="313">
        <f>IF($BI99&lt;&gt;"",IF('Capacity summary'!$D$14="Yes",IF(COUNTBLANK('Capacity summary'!$H218:$BG218)&lt;52,IF('Capacity summary'!AB218&lt;&gt;"",IF(LOWER('Capacity summary'!AB218)="x",$BI99*AB99,VALUE('Capacity summary'!AB218)),0),AB99*$BI99),AB99*$BI99),0)</f>
        <v>0</v>
      </c>
      <c r="CF99" s="313">
        <f>IF($BI99&lt;&gt;"",IF('Capacity summary'!$D$14="Yes",IF(COUNTBLANK('Capacity summary'!$H218:$BG218)&lt;52,IF('Capacity summary'!AC218&lt;&gt;"",IF(LOWER('Capacity summary'!AC218)="x",$BI99*AC99,VALUE('Capacity summary'!AC218)),0),AC99*$BI99),AC99*$BI99),0)</f>
        <v>0</v>
      </c>
      <c r="CG99" s="313">
        <f>IF($BI99&lt;&gt;"",IF('Capacity summary'!$D$14="Yes",IF(COUNTBLANK('Capacity summary'!$H218:$BG218)&lt;52,IF('Capacity summary'!AD218&lt;&gt;"",IF(LOWER('Capacity summary'!AD218)="x",$BI99*AD99,VALUE('Capacity summary'!AD218)),0),AD99*$BI99),AD99*$BI99),0)</f>
        <v>0</v>
      </c>
      <c r="CH99" s="313">
        <f>IF($BI99&lt;&gt;"",IF('Capacity summary'!$D$14="Yes",IF(COUNTBLANK('Capacity summary'!$H218:$BG218)&lt;52,IF('Capacity summary'!AE218&lt;&gt;"",IF(LOWER('Capacity summary'!AE218)="x",$BI99*AE99,VALUE('Capacity summary'!AE218)),0),AE99*$BI99),AE99*$BI99),0)</f>
        <v>0</v>
      </c>
      <c r="CI99" s="313">
        <f>IF($BI99&lt;&gt;"",IF('Capacity summary'!$D$14="Yes",IF(COUNTBLANK('Capacity summary'!$H218:$BG218)&lt;52,IF('Capacity summary'!AF218&lt;&gt;"",IF(LOWER('Capacity summary'!AF218)="x",$BI99*AF99,VALUE('Capacity summary'!AF218)),0),AF99*$BI99),AF99*$BI99),0)</f>
        <v>0</v>
      </c>
      <c r="CJ99" s="313">
        <f>IF($BI99&lt;&gt;"",IF('Capacity summary'!$D$14="Yes",IF(COUNTBLANK('Capacity summary'!$H218:$BG218)&lt;52,IF('Capacity summary'!AG218&lt;&gt;"",IF(LOWER('Capacity summary'!AG218)="x",$BI99*AG99,VALUE('Capacity summary'!AG218)),0),AG99*$BI99),AG99*$BI99),0)</f>
        <v>0</v>
      </c>
      <c r="CK99" s="313">
        <f>IF($BI99&lt;&gt;"",IF('Capacity summary'!$D$14="Yes",IF(COUNTBLANK('Capacity summary'!$H218:$BG218)&lt;52,IF('Capacity summary'!AH218&lt;&gt;"",IF(LOWER('Capacity summary'!AH218)="x",$BI99*AH99,VALUE('Capacity summary'!AH218)),0),AH99*$BI99),AH99*$BI99),0)</f>
        <v>0</v>
      </c>
      <c r="CL99" s="313">
        <f>IF($BI99&lt;&gt;"",IF('Capacity summary'!$D$14="Yes",IF(COUNTBLANK('Capacity summary'!$H218:$BG218)&lt;52,IF('Capacity summary'!AI218&lt;&gt;"",IF(LOWER('Capacity summary'!AI218)="x",$BI99*AI99,VALUE('Capacity summary'!AI218)),0),AI99*$BI99),AI99*$BI99),0)</f>
        <v>0</v>
      </c>
      <c r="CM99" s="313">
        <f>IF($BI99&lt;&gt;"",IF('Capacity summary'!$D$14="Yes",IF(COUNTBLANK('Capacity summary'!$H218:$BG218)&lt;52,IF('Capacity summary'!AJ218&lt;&gt;"",IF(LOWER('Capacity summary'!AJ218)="x",$BI99*AJ99,VALUE('Capacity summary'!AJ218)),0),AJ99*$BI99),AJ99*$BI99),0)</f>
        <v>0</v>
      </c>
      <c r="CN99" s="313">
        <f>IF($BI99&lt;&gt;"",IF('Capacity summary'!$D$14="Yes",IF(COUNTBLANK('Capacity summary'!$H218:$BG218)&lt;52,IF('Capacity summary'!AK218&lt;&gt;"",IF(LOWER('Capacity summary'!AK218)="x",$BI99*AK99,VALUE('Capacity summary'!AK218)),0),AK99*$BI99),AK99*$BI99),0)</f>
        <v>0</v>
      </c>
      <c r="CO99" s="313">
        <f>IF($BI99&lt;&gt;"",IF('Capacity summary'!$D$14="Yes",IF(COUNTBLANK('Capacity summary'!$H218:$BG218)&lt;52,IF('Capacity summary'!AL218&lt;&gt;"",IF(LOWER('Capacity summary'!AL218)="x",$BI99*AL99,VALUE('Capacity summary'!AL218)),0),AL99*$BI99),AL99*$BI99),0)</f>
        <v>0</v>
      </c>
      <c r="CP99" s="313">
        <f>IF($BI99&lt;&gt;"",IF('Capacity summary'!$D$14="Yes",IF(COUNTBLANK('Capacity summary'!$H218:$BG218)&lt;52,IF('Capacity summary'!AM218&lt;&gt;"",IF(LOWER('Capacity summary'!AM218)="x",$BI99*AM99,VALUE('Capacity summary'!AM218)),0),AM99*$BI99),AM99*$BI99),0)</f>
        <v>0</v>
      </c>
      <c r="CQ99" s="313">
        <f>IF($BI99&lt;&gt;"",IF('Capacity summary'!$D$14="Yes",IF(COUNTBLANK('Capacity summary'!$H218:$BG218)&lt;52,IF('Capacity summary'!AN218&lt;&gt;"",IF(LOWER('Capacity summary'!AN218)="x",$BI99*AN99,VALUE('Capacity summary'!AN218)),0),AN99*$BI99),AN99*$BI99),0)</f>
        <v>0</v>
      </c>
      <c r="CR99" s="313">
        <f>IF($BI99&lt;&gt;"",IF('Capacity summary'!$D$14="Yes",IF(COUNTBLANK('Capacity summary'!$H218:$BG218)&lt;52,IF('Capacity summary'!AO218&lt;&gt;"",IF(LOWER('Capacity summary'!AO218)="x",$BI99*AO99,VALUE('Capacity summary'!AO218)),0),AO99*$BI99),AO99*$BI99),0)</f>
        <v>0</v>
      </c>
      <c r="CS99" s="313">
        <f>IF($BI99&lt;&gt;"",IF('Capacity summary'!$D$14="Yes",IF(COUNTBLANK('Capacity summary'!$H218:$BG218)&lt;52,IF('Capacity summary'!AP218&lt;&gt;"",IF(LOWER('Capacity summary'!AP218)="x",$BI99*AP99,VALUE('Capacity summary'!AP218)),0),AP99*$BI99),AP99*$BI99),0)</f>
        <v>0</v>
      </c>
      <c r="CT99" s="313">
        <f>IF($BI99&lt;&gt;"",IF('Capacity summary'!$D$14="Yes",IF(COUNTBLANK('Capacity summary'!$H218:$BG218)&lt;52,IF('Capacity summary'!AQ218&lt;&gt;"",IF(LOWER('Capacity summary'!AQ218)="x",$BI99*AQ99,VALUE('Capacity summary'!AQ218)),0),AQ99*$BI99),AQ99*$BI99),0)</f>
        <v>0</v>
      </c>
      <c r="CU99" s="313">
        <f>IF($BI99&lt;&gt;"",IF('Capacity summary'!$D$14="Yes",IF(COUNTBLANK('Capacity summary'!$H218:$BG218)&lt;52,IF('Capacity summary'!AR218&lt;&gt;"",IF(LOWER('Capacity summary'!AR218)="x",$BI99*AR99,VALUE('Capacity summary'!AR218)),0),AR99*$BI99),AR99*$BI99),0)</f>
        <v>0</v>
      </c>
      <c r="CV99" s="313">
        <f>IF($BI99&lt;&gt;"",IF('Capacity summary'!$D$14="Yes",IF(COUNTBLANK('Capacity summary'!$H218:$BG218)&lt;52,IF('Capacity summary'!AS218&lt;&gt;"",IF(LOWER('Capacity summary'!AS218)="x",$BI99*AS99,VALUE('Capacity summary'!AS218)),0),AS99*$BI99),AS99*$BI99),0)</f>
        <v>0</v>
      </c>
      <c r="CW99" s="313">
        <f>IF($BI99&lt;&gt;"",IF('Capacity summary'!$D$14="Yes",IF(COUNTBLANK('Capacity summary'!$H218:$BG218)&lt;52,IF('Capacity summary'!AT218&lt;&gt;"",IF(LOWER('Capacity summary'!AT218)="x",$BI99*AT99,VALUE('Capacity summary'!AT218)),0),AT99*$BI99),AT99*$BI99),0)</f>
        <v>0</v>
      </c>
      <c r="CX99" s="313">
        <f>IF($BI99&lt;&gt;"",IF('Capacity summary'!$D$14="Yes",IF(COUNTBLANK('Capacity summary'!$H218:$BG218)&lt;52,IF('Capacity summary'!AU218&lt;&gt;"",IF(LOWER('Capacity summary'!AU218)="x",$BI99*AU99,VALUE('Capacity summary'!AU218)),0),AU99*$BI99),AU99*$BI99),0)</f>
        <v>0</v>
      </c>
      <c r="CY99" s="313">
        <f>IF($BI99&lt;&gt;"",IF('Capacity summary'!$D$14="Yes",IF(COUNTBLANK('Capacity summary'!$H218:$BG218)&lt;52,IF('Capacity summary'!AV218&lt;&gt;"",IF(LOWER('Capacity summary'!AV218)="x",$BI99*AV99,VALUE('Capacity summary'!AV218)),0),AV99*$BI99),AV99*$BI99),0)</f>
        <v>0</v>
      </c>
      <c r="CZ99" s="313">
        <f>IF($BI99&lt;&gt;"",IF('Capacity summary'!$D$14="Yes",IF(COUNTBLANK('Capacity summary'!$H218:$BG218)&lt;52,IF('Capacity summary'!AW218&lt;&gt;"",IF(LOWER('Capacity summary'!AW218)="x",$BI99*AW99,VALUE('Capacity summary'!AW218)),0),AW99*$BI99),AW99*$BI99),0)</f>
        <v>0</v>
      </c>
      <c r="DA99" s="313">
        <f>IF($BI99&lt;&gt;"",IF('Capacity summary'!$D$14="Yes",IF(COUNTBLANK('Capacity summary'!$H218:$BG218)&lt;52,IF('Capacity summary'!AX218&lt;&gt;"",IF(LOWER('Capacity summary'!AX218)="x",$BI99*AX99,VALUE('Capacity summary'!AX218)),0),AX99*$BI99),AX99*$BI99),0)</f>
        <v>0</v>
      </c>
      <c r="DB99" s="313">
        <f>IF($BI99&lt;&gt;"",IF('Capacity summary'!$D$14="Yes",IF(COUNTBLANK('Capacity summary'!$H218:$BG218)&lt;52,IF('Capacity summary'!AY218&lt;&gt;"",IF(LOWER('Capacity summary'!AY218)="x",$BI99*AY99,VALUE('Capacity summary'!AY218)),0),AY99*$BI99),AY99*$BI99),0)</f>
        <v>0</v>
      </c>
      <c r="DC99" s="313">
        <f>IF($BI99&lt;&gt;"",IF('Capacity summary'!$D$14="Yes",IF(COUNTBLANK('Capacity summary'!$H218:$BG218)&lt;52,IF('Capacity summary'!AZ218&lt;&gt;"",IF(LOWER('Capacity summary'!AZ218)="x",$BI99*AZ99,VALUE('Capacity summary'!AZ218)),0),AZ99*$BI99),AZ99*$BI99),0)</f>
        <v>0</v>
      </c>
      <c r="DD99" s="313">
        <f>IF($BI99&lt;&gt;"",IF('Capacity summary'!$D$14="Yes",IF(COUNTBLANK('Capacity summary'!$H218:$BG218)&lt;52,IF('Capacity summary'!BA218&lt;&gt;"",IF(LOWER('Capacity summary'!BA218)="x",$BI99*BA99,VALUE('Capacity summary'!BA218)),0),BA99*$BI99),BA99*$BI99),0)</f>
        <v>0</v>
      </c>
      <c r="DE99" s="313">
        <f>IF($BI99&lt;&gt;"",IF('Capacity summary'!$D$14="Yes",IF(COUNTBLANK('Capacity summary'!$H218:$BG218)&lt;52,IF('Capacity summary'!BB218&lt;&gt;"",IF(LOWER('Capacity summary'!BB218)="x",$BI99*BB99,VALUE('Capacity summary'!BB218)),0),BB99*$BI99),BB99*$BI99),0)</f>
        <v>0</v>
      </c>
      <c r="DF99" s="313">
        <f>IF($BI99&lt;&gt;"",IF('Capacity summary'!$D$14="Yes",IF(COUNTBLANK('Capacity summary'!$H218:$BG218)&lt;52,IF('Capacity summary'!BC218&lt;&gt;"",IF(LOWER('Capacity summary'!BC218)="x",$BI99*BC99,VALUE('Capacity summary'!BC218)),0),BC99*$BI99),BC99*$BI99),0)</f>
        <v>0</v>
      </c>
      <c r="DG99" s="313">
        <f>IF($BI99&lt;&gt;"",IF('Capacity summary'!$D$14="Yes",IF(COUNTBLANK('Capacity summary'!$H218:$BG218)&lt;52,IF('Capacity summary'!BD218&lt;&gt;"",IF(LOWER('Capacity summary'!BD218)="x",$BI99*BD99,VALUE('Capacity summary'!BD218)),0),BD99*$BI99),BD99*$BI99),0)</f>
        <v>0</v>
      </c>
      <c r="DH99" s="313">
        <f>IF($BI99&lt;&gt;"",IF('Capacity summary'!$D$14="Yes",IF(COUNTBLANK('Capacity summary'!$H218:$BG218)&lt;52,IF('Capacity summary'!BE218&lt;&gt;"",IF(LOWER('Capacity summary'!BE218)="x",$BI99*BE99,VALUE('Capacity summary'!BE218)),0),BE99*$BI99),BE99*$BI99),0)</f>
        <v>0</v>
      </c>
      <c r="DI99" s="313">
        <f>IF($BI99&lt;&gt;"",IF('Capacity summary'!$D$14="Yes",IF(COUNTBLANK('Capacity summary'!$H218:$BG218)&lt;52,IF('Capacity summary'!BF218&lt;&gt;"",IF(LOWER('Capacity summary'!BF218)="x",$BI99*BF99,VALUE('Capacity summary'!BF218)),0),BF99*$BI99),BF99*$BI99),0)</f>
        <v>0</v>
      </c>
      <c r="DJ99" s="313">
        <f>IF($BI99&lt;&gt;"",IF('Capacity summary'!$D$14="Yes",IF(COUNTBLANK('Capacity summary'!$H218:$BG218)&lt;52,IF('Capacity summary'!BG218&lt;&gt;"",IF(LOWER('Capacity summary'!BG218)="x",$BI99*BG99,VALUE('Capacity summary'!BG218)),0),BG99*$BI99),BG99*$BI99),0)</f>
        <v>0</v>
      </c>
      <c r="DK99" s="137">
        <f t="shared" si="3"/>
        <v>0</v>
      </c>
      <c r="DL99" s="313" t="str">
        <f>Capacity!H111</f>
        <v/>
      </c>
    </row>
    <row r="100" spans="2:116" x14ac:dyDescent="0.25">
      <c r="B100" s="67"/>
      <c r="C100" s="67" t="str">
        <f>ROW(A96)&amp;". "&amp;Capacity!B112</f>
        <v xml:space="preserve">96. </v>
      </c>
      <c r="D100" s="67">
        <f>'Capacity setup'!C107</f>
        <v>0</v>
      </c>
      <c r="E100" s="67">
        <f>'Capacity setup'!D107</f>
        <v>0</v>
      </c>
      <c r="F100" s="67">
        <f>'Capacity setup'!E107</f>
        <v>0</v>
      </c>
      <c r="H100" s="67">
        <f ca="1">IF(AND(SUMIF(Capacity_Resource,$D100,'Critical resources (hide)'!U$6:U$105)+SUMIF(Capacity_Resource,$E100,'Critical resources (hide)'!U$6:U$105)+SUMIF(Capacity_Resource,$F100,'Critical resources (hide)'!U$6:U$105)&gt;0,$E$1=2),0,1)</f>
        <v>1</v>
      </c>
      <c r="I100" s="67">
        <f ca="1">IF(AND(SUMIF(Capacity_Resource,$D100,'Critical resources (hide)'!V$6:V$105)+SUMIF(Capacity_Resource,$E100,'Critical resources (hide)'!V$6:V$105)+SUMIF(Capacity_Resource,$F100,'Critical resources (hide)'!V$6:V$105)&gt;0,$E$1=2),0,1)</f>
        <v>1</v>
      </c>
      <c r="J100" s="67">
        <f ca="1">IF(AND(SUMIF(Capacity_Resource,$D100,'Critical resources (hide)'!W$6:W$105)+SUMIF(Capacity_Resource,$E100,'Critical resources (hide)'!W$6:W$105)+SUMIF(Capacity_Resource,$F100,'Critical resources (hide)'!W$6:W$105)&gt;0,$E$1=2),0,1)</f>
        <v>1</v>
      </c>
      <c r="K100" s="67">
        <f ca="1">IF(AND(SUMIF(Capacity_Resource,$D100,'Critical resources (hide)'!X$6:X$105)+SUMIF(Capacity_Resource,$E100,'Critical resources (hide)'!X$6:X$105)+SUMIF(Capacity_Resource,$F100,'Critical resources (hide)'!X$6:X$105)&gt;0,$E$1=2),0,1)</f>
        <v>1</v>
      </c>
      <c r="L100" s="67">
        <f ca="1">IF(AND(SUMIF(Capacity_Resource,$D100,'Critical resources (hide)'!Y$6:Y$105)+SUMIF(Capacity_Resource,$E100,'Critical resources (hide)'!Y$6:Y$105)+SUMIF(Capacity_Resource,$F100,'Critical resources (hide)'!Y$6:Y$105)&gt;0,$E$1=2),0,1)</f>
        <v>1</v>
      </c>
      <c r="M100" s="67">
        <f ca="1">IF(AND(SUMIF(Capacity_Resource,$D100,'Critical resources (hide)'!Z$6:Z$105)+SUMIF(Capacity_Resource,$E100,'Critical resources (hide)'!Z$6:Z$105)+SUMIF(Capacity_Resource,$F100,'Critical resources (hide)'!Z$6:Z$105)&gt;0,$E$1=2),0,1)</f>
        <v>1</v>
      </c>
      <c r="N100" s="67">
        <f ca="1">IF(AND(SUMIF(Capacity_Resource,$D100,'Critical resources (hide)'!AA$6:AA$105)+SUMIF(Capacity_Resource,$E100,'Critical resources (hide)'!AA$6:AA$105)+SUMIF(Capacity_Resource,$F100,'Critical resources (hide)'!AA$6:AA$105)&gt;0,$E$1=2),0,1)</f>
        <v>1</v>
      </c>
      <c r="O100" s="67">
        <f ca="1">IF(AND(SUMIF(Capacity_Resource,$D100,'Critical resources (hide)'!AB$6:AB$105)+SUMIF(Capacity_Resource,$E100,'Critical resources (hide)'!AB$6:AB$105)+SUMIF(Capacity_Resource,$F100,'Critical resources (hide)'!AB$6:AB$105)&gt;0,$E$1=2),0,1)</f>
        <v>1</v>
      </c>
      <c r="P100" s="67">
        <f ca="1">IF(AND(SUMIF(Capacity_Resource,$D100,'Critical resources (hide)'!AC$6:AC$105)+SUMIF(Capacity_Resource,$E100,'Critical resources (hide)'!AC$6:AC$105)+SUMIF(Capacity_Resource,$F100,'Critical resources (hide)'!AC$6:AC$105)&gt;0,$E$1=2),0,1)</f>
        <v>1</v>
      </c>
      <c r="Q100" s="67">
        <f ca="1">IF(AND(SUMIF(Capacity_Resource,$D100,'Critical resources (hide)'!AD$6:AD$105)+SUMIF(Capacity_Resource,$E100,'Critical resources (hide)'!AD$6:AD$105)+SUMIF(Capacity_Resource,$F100,'Critical resources (hide)'!AD$6:AD$105)&gt;0,$E$1=2),0,1)</f>
        <v>1</v>
      </c>
      <c r="R100" s="67">
        <f ca="1">IF(AND(SUMIF(Capacity_Resource,$D100,'Critical resources (hide)'!AE$6:AE$105)+SUMIF(Capacity_Resource,$E100,'Critical resources (hide)'!AE$6:AE$105)+SUMIF(Capacity_Resource,$F100,'Critical resources (hide)'!AE$6:AE$105)&gt;0,$E$1=2),0,1)</f>
        <v>1</v>
      </c>
      <c r="S100" s="67">
        <f ca="1">IF(AND(SUMIF(Capacity_Resource,$D100,'Critical resources (hide)'!AF$6:AF$105)+SUMIF(Capacity_Resource,$E100,'Critical resources (hide)'!AF$6:AF$105)+SUMIF(Capacity_Resource,$F100,'Critical resources (hide)'!AF$6:AF$105)&gt;0,$E$1=2),0,1)</f>
        <v>1</v>
      </c>
      <c r="T100" s="67">
        <f ca="1">IF(AND(SUMIF(Capacity_Resource,$D100,'Critical resources (hide)'!AG$6:AG$105)+SUMIF(Capacity_Resource,$E100,'Critical resources (hide)'!AG$6:AG$105)+SUMIF(Capacity_Resource,$F100,'Critical resources (hide)'!AG$6:AG$105)&gt;0,$E$1=2),0,1)</f>
        <v>1</v>
      </c>
      <c r="U100" s="67">
        <f ca="1">IF(AND(SUMIF(Capacity_Resource,$D100,'Critical resources (hide)'!AH$6:AH$105)+SUMIF(Capacity_Resource,$E100,'Critical resources (hide)'!AH$6:AH$105)+SUMIF(Capacity_Resource,$F100,'Critical resources (hide)'!AH$6:AH$105)&gt;0,$E$1=2),0,1)</f>
        <v>1</v>
      </c>
      <c r="V100" s="67">
        <f ca="1">IF(AND(SUMIF(Capacity_Resource,$D100,'Critical resources (hide)'!AI$6:AI$105)+SUMIF(Capacity_Resource,$E100,'Critical resources (hide)'!AI$6:AI$105)+SUMIF(Capacity_Resource,$F100,'Critical resources (hide)'!AI$6:AI$105)&gt;0,$E$1=2),0,1)</f>
        <v>1</v>
      </c>
      <c r="W100" s="67">
        <f ca="1">IF(AND(SUMIF(Capacity_Resource,$D100,'Critical resources (hide)'!AJ$6:AJ$105)+SUMIF(Capacity_Resource,$E100,'Critical resources (hide)'!AJ$6:AJ$105)+SUMIF(Capacity_Resource,$F100,'Critical resources (hide)'!AJ$6:AJ$105)&gt;0,$E$1=2),0,1)</f>
        <v>1</v>
      </c>
      <c r="X100" s="67">
        <f ca="1">IF(AND(SUMIF(Capacity_Resource,$D100,'Critical resources (hide)'!AK$6:AK$105)+SUMIF(Capacity_Resource,$E100,'Critical resources (hide)'!AK$6:AK$105)+SUMIF(Capacity_Resource,$F100,'Critical resources (hide)'!AK$6:AK$105)&gt;0,$E$1=2),0,1)</f>
        <v>1</v>
      </c>
      <c r="Y100" s="67">
        <f ca="1">IF(AND(SUMIF(Capacity_Resource,$D100,'Critical resources (hide)'!AL$6:AL$105)+SUMIF(Capacity_Resource,$E100,'Critical resources (hide)'!AL$6:AL$105)+SUMIF(Capacity_Resource,$F100,'Critical resources (hide)'!AL$6:AL$105)&gt;0,$E$1=2),0,1)</f>
        <v>1</v>
      </c>
      <c r="Z100" s="67">
        <f ca="1">IF(AND(SUMIF(Capacity_Resource,$D100,'Critical resources (hide)'!AM$6:AM$105)+SUMIF(Capacity_Resource,$E100,'Critical resources (hide)'!AM$6:AM$105)+SUMIF(Capacity_Resource,$F100,'Critical resources (hide)'!AM$6:AM$105)&gt;0,$E$1=2),0,1)</f>
        <v>1</v>
      </c>
      <c r="AA100" s="67">
        <f ca="1">IF(AND(SUMIF(Capacity_Resource,$D100,'Critical resources (hide)'!AN$6:AN$105)+SUMIF(Capacity_Resource,$E100,'Critical resources (hide)'!AN$6:AN$105)+SUMIF(Capacity_Resource,$F100,'Critical resources (hide)'!AN$6:AN$105)&gt;0,$E$1=2),0,1)</f>
        <v>1</v>
      </c>
      <c r="AB100" s="67">
        <f ca="1">IF(AND(SUMIF(Capacity_Resource,$D100,'Critical resources (hide)'!AO$6:AO$105)+SUMIF(Capacity_Resource,$E100,'Critical resources (hide)'!AO$6:AO$105)+SUMIF(Capacity_Resource,$F100,'Critical resources (hide)'!AO$6:AO$105)&gt;0,$E$1=2),0,1)</f>
        <v>1</v>
      </c>
      <c r="AC100" s="67">
        <f ca="1">IF(AND(SUMIF(Capacity_Resource,$D100,'Critical resources (hide)'!AP$6:AP$105)+SUMIF(Capacity_Resource,$E100,'Critical resources (hide)'!AP$6:AP$105)+SUMIF(Capacity_Resource,$F100,'Critical resources (hide)'!AP$6:AP$105)&gt;0,$E$1=2),0,1)</f>
        <v>1</v>
      </c>
      <c r="AD100" s="67">
        <f ca="1">IF(AND(SUMIF(Capacity_Resource,$D100,'Critical resources (hide)'!AQ$6:AQ$105)+SUMIF(Capacity_Resource,$E100,'Critical resources (hide)'!AQ$6:AQ$105)+SUMIF(Capacity_Resource,$F100,'Critical resources (hide)'!AQ$6:AQ$105)&gt;0,$E$1=2),0,1)</f>
        <v>1</v>
      </c>
      <c r="AE100" s="67">
        <f ca="1">IF(AND(SUMIF(Capacity_Resource,$D100,'Critical resources (hide)'!AR$6:AR$105)+SUMIF(Capacity_Resource,$E100,'Critical resources (hide)'!AR$6:AR$105)+SUMIF(Capacity_Resource,$F100,'Critical resources (hide)'!AR$6:AR$105)&gt;0,$E$1=2),0,1)</f>
        <v>1</v>
      </c>
      <c r="AF100" s="67">
        <f ca="1">IF(AND(SUMIF(Capacity_Resource,$D100,'Critical resources (hide)'!AS$6:AS$105)+SUMIF(Capacity_Resource,$E100,'Critical resources (hide)'!AS$6:AS$105)+SUMIF(Capacity_Resource,$F100,'Critical resources (hide)'!AS$6:AS$105)&gt;0,$E$1=2),0,1)</f>
        <v>1</v>
      </c>
      <c r="AG100" s="67">
        <f ca="1">IF(AND(SUMIF(Capacity_Resource,$D100,'Critical resources (hide)'!AT$6:AT$105)+SUMIF(Capacity_Resource,$E100,'Critical resources (hide)'!AT$6:AT$105)+SUMIF(Capacity_Resource,$F100,'Critical resources (hide)'!AT$6:AT$105)&gt;0,$E$1=2),0,1)</f>
        <v>1</v>
      </c>
      <c r="AH100" s="67">
        <f ca="1">IF(AND(SUMIF(Capacity_Resource,$D100,'Critical resources (hide)'!AU$6:AU$105)+SUMIF(Capacity_Resource,$E100,'Critical resources (hide)'!AU$6:AU$105)+SUMIF(Capacity_Resource,$F100,'Critical resources (hide)'!AU$6:AU$105)&gt;0,$E$1=2),0,1)</f>
        <v>1</v>
      </c>
      <c r="AI100" s="67">
        <f ca="1">IF(AND(SUMIF(Capacity_Resource,$D100,'Critical resources (hide)'!AV$6:AV$105)+SUMIF(Capacity_Resource,$E100,'Critical resources (hide)'!AV$6:AV$105)+SUMIF(Capacity_Resource,$F100,'Critical resources (hide)'!AV$6:AV$105)&gt;0,$E$1=2),0,1)</f>
        <v>1</v>
      </c>
      <c r="AJ100" s="67">
        <f ca="1">IF(AND(SUMIF(Capacity_Resource,$D100,'Critical resources (hide)'!AW$6:AW$105)+SUMIF(Capacity_Resource,$E100,'Critical resources (hide)'!AW$6:AW$105)+SUMIF(Capacity_Resource,$F100,'Critical resources (hide)'!AW$6:AW$105)&gt;0,$E$1=2),0,1)</f>
        <v>1</v>
      </c>
      <c r="AK100" s="67">
        <f ca="1">IF(AND(SUMIF(Capacity_Resource,$D100,'Critical resources (hide)'!AX$6:AX$105)+SUMIF(Capacity_Resource,$E100,'Critical resources (hide)'!AX$6:AX$105)+SUMIF(Capacity_Resource,$F100,'Critical resources (hide)'!AX$6:AX$105)&gt;0,$E$1=2),0,1)</f>
        <v>1</v>
      </c>
      <c r="AL100" s="67">
        <f ca="1">IF(AND(SUMIF(Capacity_Resource,$D100,'Critical resources (hide)'!AY$6:AY$105)+SUMIF(Capacity_Resource,$E100,'Critical resources (hide)'!AY$6:AY$105)+SUMIF(Capacity_Resource,$F100,'Critical resources (hide)'!AY$6:AY$105)&gt;0,$E$1=2),0,1)</f>
        <v>1</v>
      </c>
      <c r="AM100" s="67">
        <f ca="1">IF(AND(SUMIF(Capacity_Resource,$D100,'Critical resources (hide)'!AZ$6:AZ$105)+SUMIF(Capacity_Resource,$E100,'Critical resources (hide)'!AZ$6:AZ$105)+SUMIF(Capacity_Resource,$F100,'Critical resources (hide)'!AZ$6:AZ$105)&gt;0,$E$1=2),0,1)</f>
        <v>1</v>
      </c>
      <c r="AN100" s="67">
        <f ca="1">IF(AND(SUMIF(Capacity_Resource,$D100,'Critical resources (hide)'!BA$6:BA$105)+SUMIF(Capacity_Resource,$E100,'Critical resources (hide)'!BA$6:BA$105)+SUMIF(Capacity_Resource,$F100,'Critical resources (hide)'!BA$6:BA$105)&gt;0,$E$1=2),0,1)</f>
        <v>1</v>
      </c>
      <c r="AO100" s="67">
        <f ca="1">IF(AND(SUMIF(Capacity_Resource,$D100,'Critical resources (hide)'!BB$6:BB$105)+SUMIF(Capacity_Resource,$E100,'Critical resources (hide)'!BB$6:BB$105)+SUMIF(Capacity_Resource,$F100,'Critical resources (hide)'!BB$6:BB$105)&gt;0,$E$1=2),0,1)</f>
        <v>1</v>
      </c>
      <c r="AP100" s="67">
        <f ca="1">IF(AND(SUMIF(Capacity_Resource,$D100,'Critical resources (hide)'!BC$6:BC$105)+SUMIF(Capacity_Resource,$E100,'Critical resources (hide)'!BC$6:BC$105)+SUMIF(Capacity_Resource,$F100,'Critical resources (hide)'!BC$6:BC$105)&gt;0,$E$1=2),0,1)</f>
        <v>1</v>
      </c>
      <c r="AQ100" s="67">
        <f ca="1">IF(AND(SUMIF(Capacity_Resource,$D100,'Critical resources (hide)'!BD$6:BD$105)+SUMIF(Capacity_Resource,$E100,'Critical resources (hide)'!BD$6:BD$105)+SUMIF(Capacity_Resource,$F100,'Critical resources (hide)'!BD$6:BD$105)&gt;0,$E$1=2),0,1)</f>
        <v>1</v>
      </c>
      <c r="AR100" s="67">
        <f ca="1">IF(AND(SUMIF(Capacity_Resource,$D100,'Critical resources (hide)'!BE$6:BE$105)+SUMIF(Capacity_Resource,$E100,'Critical resources (hide)'!BE$6:BE$105)+SUMIF(Capacity_Resource,$F100,'Critical resources (hide)'!BE$6:BE$105)&gt;0,$E$1=2),0,1)</f>
        <v>1</v>
      </c>
      <c r="AS100" s="67">
        <f ca="1">IF(AND(SUMIF(Capacity_Resource,$D100,'Critical resources (hide)'!BF$6:BF$105)+SUMIF(Capacity_Resource,$E100,'Critical resources (hide)'!BF$6:BF$105)+SUMIF(Capacity_Resource,$F100,'Critical resources (hide)'!BF$6:BF$105)&gt;0,$E$1=2),0,1)</f>
        <v>1</v>
      </c>
      <c r="AT100" s="67">
        <f ca="1">IF(AND(SUMIF(Capacity_Resource,$D100,'Critical resources (hide)'!BG$6:BG$105)+SUMIF(Capacity_Resource,$E100,'Critical resources (hide)'!BG$6:BG$105)+SUMIF(Capacity_Resource,$F100,'Critical resources (hide)'!BG$6:BG$105)&gt;0,$E$1=2),0,1)</f>
        <v>1</v>
      </c>
      <c r="AU100" s="67">
        <f ca="1">IF(AND(SUMIF(Capacity_Resource,$D100,'Critical resources (hide)'!BH$6:BH$105)+SUMIF(Capacity_Resource,$E100,'Critical resources (hide)'!BH$6:BH$105)+SUMIF(Capacity_Resource,$F100,'Critical resources (hide)'!BH$6:BH$105)&gt;0,$E$1=2),0,1)</f>
        <v>1</v>
      </c>
      <c r="AV100" s="67">
        <f ca="1">IF(AND(SUMIF(Capacity_Resource,$D100,'Critical resources (hide)'!BI$6:BI$105)+SUMIF(Capacity_Resource,$E100,'Critical resources (hide)'!BI$6:BI$105)+SUMIF(Capacity_Resource,$F100,'Critical resources (hide)'!BI$6:BI$105)&gt;0,$E$1=2),0,1)</f>
        <v>1</v>
      </c>
      <c r="AW100" s="67">
        <f ca="1">IF(AND(SUMIF(Capacity_Resource,$D100,'Critical resources (hide)'!BJ$6:BJ$105)+SUMIF(Capacity_Resource,$E100,'Critical resources (hide)'!BJ$6:BJ$105)+SUMIF(Capacity_Resource,$F100,'Critical resources (hide)'!BJ$6:BJ$105)&gt;0,$E$1=2),0,1)</f>
        <v>1</v>
      </c>
      <c r="AX100" s="67">
        <f ca="1">IF(AND(SUMIF(Capacity_Resource,$D100,'Critical resources (hide)'!BK$6:BK$105)+SUMIF(Capacity_Resource,$E100,'Critical resources (hide)'!BK$6:BK$105)+SUMIF(Capacity_Resource,$F100,'Critical resources (hide)'!BK$6:BK$105)&gt;0,$E$1=2),0,1)</f>
        <v>1</v>
      </c>
      <c r="AY100" s="67">
        <f ca="1">IF(AND(SUMIF(Capacity_Resource,$D100,'Critical resources (hide)'!BL$6:BL$105)+SUMIF(Capacity_Resource,$E100,'Critical resources (hide)'!BL$6:BL$105)+SUMIF(Capacity_Resource,$F100,'Critical resources (hide)'!BL$6:BL$105)&gt;0,$E$1=2),0,1)</f>
        <v>1</v>
      </c>
      <c r="AZ100" s="67">
        <f ca="1">IF(AND(SUMIF(Capacity_Resource,$D100,'Critical resources (hide)'!BM$6:BM$105)+SUMIF(Capacity_Resource,$E100,'Critical resources (hide)'!BM$6:BM$105)+SUMIF(Capacity_Resource,$F100,'Critical resources (hide)'!BM$6:BM$105)&gt;0,$E$1=2),0,1)</f>
        <v>1</v>
      </c>
      <c r="BA100" s="67">
        <f ca="1">IF(AND(SUMIF(Capacity_Resource,$D100,'Critical resources (hide)'!BN$6:BN$105)+SUMIF(Capacity_Resource,$E100,'Critical resources (hide)'!BN$6:BN$105)+SUMIF(Capacity_Resource,$F100,'Critical resources (hide)'!BN$6:BN$105)&gt;0,$E$1=2),0,1)</f>
        <v>1</v>
      </c>
      <c r="BB100" s="67">
        <f ca="1">IF(AND(SUMIF(Capacity_Resource,$D100,'Critical resources (hide)'!BO$6:BO$105)+SUMIF(Capacity_Resource,$E100,'Critical resources (hide)'!BO$6:BO$105)+SUMIF(Capacity_Resource,$F100,'Critical resources (hide)'!BO$6:BO$105)&gt;0,$E$1=2),0,1)</f>
        <v>1</v>
      </c>
      <c r="BC100" s="67">
        <f ca="1">IF(AND(SUMIF(Capacity_Resource,$D100,'Critical resources (hide)'!BP$6:BP$105)+SUMIF(Capacity_Resource,$E100,'Critical resources (hide)'!BP$6:BP$105)+SUMIF(Capacity_Resource,$F100,'Critical resources (hide)'!BP$6:BP$105)&gt;0,$E$1=2),0,1)</f>
        <v>1</v>
      </c>
      <c r="BD100" s="67">
        <f ca="1">IF(AND(SUMIF(Capacity_Resource,$D100,'Critical resources (hide)'!BQ$6:BQ$105)+SUMIF(Capacity_Resource,$E100,'Critical resources (hide)'!BQ$6:BQ$105)+SUMIF(Capacity_Resource,$F100,'Critical resources (hide)'!BQ$6:BQ$105)&gt;0,$E$1=2),0,1)</f>
        <v>1</v>
      </c>
      <c r="BE100" s="67">
        <f ca="1">IF(AND(SUMIF(Capacity_Resource,$D100,'Critical resources (hide)'!BR$6:BR$105)+SUMIF(Capacity_Resource,$E100,'Critical resources (hide)'!BR$6:BR$105)+SUMIF(Capacity_Resource,$F100,'Critical resources (hide)'!BR$6:BR$105)&gt;0,$E$1=2),0,1)</f>
        <v>1</v>
      </c>
      <c r="BF100" s="67">
        <f ca="1">IF(AND(SUMIF(Capacity_Resource,$D100,'Critical resources (hide)'!BS$6:BS$105)+SUMIF(Capacity_Resource,$E100,'Critical resources (hide)'!BS$6:BS$105)+SUMIF(Capacity_Resource,$F100,'Critical resources (hide)'!BS$6:BS$105)&gt;0,$E$1=2),0,1)</f>
        <v>1</v>
      </c>
      <c r="BG100" s="67">
        <f ca="1">IF(AND(SUMIF(Capacity_Resource,$D100,'Critical resources (hide)'!BT$6:BT$105)+SUMIF(Capacity_Resource,$E100,'Critical resources (hide)'!BT$6:BT$105)+SUMIF(Capacity_Resource,$F100,'Critical resources (hide)'!BT$6:BT$105)&gt;0,$E$1=2),0,1)</f>
        <v>1</v>
      </c>
      <c r="BH100" s="67">
        <f>IF(ROW(C96)&lt;=Capacity!$A$16,IF('Capacity summary'!$D$14="No",SUM(H100:BG100),'Capacity summary'!$E219),0)</f>
        <v>0</v>
      </c>
      <c r="BI100" s="5" t="str">
        <f>IF(BH100&gt;0,IF(BH100&lt;Capacity!E112,Capacity!F112,Capacity!H112/'Capacity calculation (hide)'!BH100),"")</f>
        <v/>
      </c>
      <c r="BK100" s="313">
        <f>IF($BI100&lt;&gt;"",IF('Capacity summary'!$D$14="Yes",IF(COUNTBLANK('Capacity summary'!$H219:$BG219)&lt;52,IF('Capacity summary'!H219&lt;&gt;"",IF(LOWER('Capacity summary'!H219)="x",$BI100*H100,VALUE('Capacity summary'!H219)),0),H100*$BI100),H100*$BI100),0)</f>
        <v>0</v>
      </c>
      <c r="BL100" s="313">
        <f>IF($BI100&lt;&gt;"",IF('Capacity summary'!$D$14="Yes",IF(COUNTBLANK('Capacity summary'!$H219:$BG219)&lt;52,IF('Capacity summary'!I219&lt;&gt;"",IF(LOWER('Capacity summary'!I219)="x",$BI100*I100,VALUE('Capacity summary'!I219)),0),I100*$BI100),I100*$BI100),0)</f>
        <v>0</v>
      </c>
      <c r="BM100" s="313">
        <f>IF($BI100&lt;&gt;"",IF('Capacity summary'!$D$14="Yes",IF(COUNTBLANK('Capacity summary'!$H219:$BG219)&lt;52,IF('Capacity summary'!J219&lt;&gt;"",IF(LOWER('Capacity summary'!J219)="x",$BI100*J100,VALUE('Capacity summary'!J219)),0),J100*$BI100),J100*$BI100),0)</f>
        <v>0</v>
      </c>
      <c r="BN100" s="313">
        <f>IF($BI100&lt;&gt;"",IF('Capacity summary'!$D$14="Yes",IF(COUNTBLANK('Capacity summary'!$H219:$BG219)&lt;52,IF('Capacity summary'!K219&lt;&gt;"",IF(LOWER('Capacity summary'!K219)="x",$BI100*K100,VALUE('Capacity summary'!K219)),0),K100*$BI100),K100*$BI100),0)</f>
        <v>0</v>
      </c>
      <c r="BO100" s="313">
        <f>IF($BI100&lt;&gt;"",IF('Capacity summary'!$D$14="Yes",IF(COUNTBLANK('Capacity summary'!$H219:$BG219)&lt;52,IF('Capacity summary'!L219&lt;&gt;"",IF(LOWER('Capacity summary'!L219)="x",$BI100*L100,VALUE('Capacity summary'!L219)),0),L100*$BI100),L100*$BI100),0)</f>
        <v>0</v>
      </c>
      <c r="BP100" s="313">
        <f>IF($BI100&lt;&gt;"",IF('Capacity summary'!$D$14="Yes",IF(COUNTBLANK('Capacity summary'!$H219:$BG219)&lt;52,IF('Capacity summary'!M219&lt;&gt;"",IF(LOWER('Capacity summary'!M219)="x",$BI100*M100,VALUE('Capacity summary'!M219)),0),M100*$BI100),M100*$BI100),0)</f>
        <v>0</v>
      </c>
      <c r="BQ100" s="313">
        <f>IF($BI100&lt;&gt;"",IF('Capacity summary'!$D$14="Yes",IF(COUNTBLANK('Capacity summary'!$H219:$BG219)&lt;52,IF('Capacity summary'!N219&lt;&gt;"",IF(LOWER('Capacity summary'!N219)="x",$BI100*N100,VALUE('Capacity summary'!N219)),0),N100*$BI100),N100*$BI100),0)</f>
        <v>0</v>
      </c>
      <c r="BR100" s="313">
        <f>IF($BI100&lt;&gt;"",IF('Capacity summary'!$D$14="Yes",IF(COUNTBLANK('Capacity summary'!$H219:$BG219)&lt;52,IF('Capacity summary'!O219&lt;&gt;"",IF(LOWER('Capacity summary'!O219)="x",$BI100*O100,VALUE('Capacity summary'!O219)),0),O100*$BI100),O100*$BI100),0)</f>
        <v>0</v>
      </c>
      <c r="BS100" s="313">
        <f>IF($BI100&lt;&gt;"",IF('Capacity summary'!$D$14="Yes",IF(COUNTBLANK('Capacity summary'!$H219:$BG219)&lt;52,IF('Capacity summary'!P219&lt;&gt;"",IF(LOWER('Capacity summary'!P219)="x",$BI100*P100,VALUE('Capacity summary'!P219)),0),P100*$BI100),P100*$BI100),0)</f>
        <v>0</v>
      </c>
      <c r="BT100" s="313">
        <f>IF($BI100&lt;&gt;"",IF('Capacity summary'!$D$14="Yes",IF(COUNTBLANK('Capacity summary'!$H219:$BG219)&lt;52,IF('Capacity summary'!Q219&lt;&gt;"",IF(LOWER('Capacity summary'!Q219)="x",$BI100*Q100,VALUE('Capacity summary'!Q219)),0),Q100*$BI100),Q100*$BI100),0)</f>
        <v>0</v>
      </c>
      <c r="BU100" s="313">
        <f>IF($BI100&lt;&gt;"",IF('Capacity summary'!$D$14="Yes",IF(COUNTBLANK('Capacity summary'!$H219:$BG219)&lt;52,IF('Capacity summary'!R219&lt;&gt;"",IF(LOWER('Capacity summary'!R219)="x",$BI100*R100,VALUE('Capacity summary'!R219)),0),R100*$BI100),R100*$BI100),0)</f>
        <v>0</v>
      </c>
      <c r="BV100" s="313">
        <f>IF($BI100&lt;&gt;"",IF('Capacity summary'!$D$14="Yes",IF(COUNTBLANK('Capacity summary'!$H219:$BG219)&lt;52,IF('Capacity summary'!S219&lt;&gt;"",IF(LOWER('Capacity summary'!S219)="x",$BI100*S100,VALUE('Capacity summary'!S219)),0),S100*$BI100),S100*$BI100),0)</f>
        <v>0</v>
      </c>
      <c r="BW100" s="313">
        <f>IF($BI100&lt;&gt;"",IF('Capacity summary'!$D$14="Yes",IF(COUNTBLANK('Capacity summary'!$H219:$BG219)&lt;52,IF('Capacity summary'!T219&lt;&gt;"",IF(LOWER('Capacity summary'!T219)="x",$BI100*T100,VALUE('Capacity summary'!T219)),0),T100*$BI100),T100*$BI100),0)</f>
        <v>0</v>
      </c>
      <c r="BX100" s="313">
        <f>IF($BI100&lt;&gt;"",IF('Capacity summary'!$D$14="Yes",IF(COUNTBLANK('Capacity summary'!$H219:$BG219)&lt;52,IF('Capacity summary'!U219&lt;&gt;"",IF(LOWER('Capacity summary'!U219)="x",$BI100*U100,VALUE('Capacity summary'!U219)),0),U100*$BI100),U100*$BI100),0)</f>
        <v>0</v>
      </c>
      <c r="BY100" s="313">
        <f>IF($BI100&lt;&gt;"",IF('Capacity summary'!$D$14="Yes",IF(COUNTBLANK('Capacity summary'!$H219:$BG219)&lt;52,IF('Capacity summary'!V219&lt;&gt;"",IF(LOWER('Capacity summary'!V219)="x",$BI100*V100,VALUE('Capacity summary'!V219)),0),V100*$BI100),V100*$BI100),0)</f>
        <v>0</v>
      </c>
      <c r="BZ100" s="313">
        <f>IF($BI100&lt;&gt;"",IF('Capacity summary'!$D$14="Yes",IF(COUNTBLANK('Capacity summary'!$H219:$BG219)&lt;52,IF('Capacity summary'!W219&lt;&gt;"",IF(LOWER('Capacity summary'!W219)="x",$BI100*W100,VALUE('Capacity summary'!W219)),0),W100*$BI100),W100*$BI100),0)</f>
        <v>0</v>
      </c>
      <c r="CA100" s="313">
        <f>IF($BI100&lt;&gt;"",IF('Capacity summary'!$D$14="Yes",IF(COUNTBLANK('Capacity summary'!$H219:$BG219)&lt;52,IF('Capacity summary'!X219&lt;&gt;"",IF(LOWER('Capacity summary'!X219)="x",$BI100*X100,VALUE('Capacity summary'!X219)),0),X100*$BI100),X100*$BI100),0)</f>
        <v>0</v>
      </c>
      <c r="CB100" s="313">
        <f>IF($BI100&lt;&gt;"",IF('Capacity summary'!$D$14="Yes",IF(COUNTBLANK('Capacity summary'!$H219:$BG219)&lt;52,IF('Capacity summary'!Y219&lt;&gt;"",IF(LOWER('Capacity summary'!Y219)="x",$BI100*Y100,VALUE('Capacity summary'!Y219)),0),Y100*$BI100),Y100*$BI100),0)</f>
        <v>0</v>
      </c>
      <c r="CC100" s="313">
        <f>IF($BI100&lt;&gt;"",IF('Capacity summary'!$D$14="Yes",IF(COUNTBLANK('Capacity summary'!$H219:$BG219)&lt;52,IF('Capacity summary'!Z219&lt;&gt;"",IF(LOWER('Capacity summary'!Z219)="x",$BI100*Z100,VALUE('Capacity summary'!Z219)),0),Z100*$BI100),Z100*$BI100),0)</f>
        <v>0</v>
      </c>
      <c r="CD100" s="313">
        <f>IF($BI100&lt;&gt;"",IF('Capacity summary'!$D$14="Yes",IF(COUNTBLANK('Capacity summary'!$H219:$BG219)&lt;52,IF('Capacity summary'!AA219&lt;&gt;"",IF(LOWER('Capacity summary'!AA219)="x",$BI100*AA100,VALUE('Capacity summary'!AA219)),0),AA100*$BI100),AA100*$BI100),0)</f>
        <v>0</v>
      </c>
      <c r="CE100" s="313">
        <f>IF($BI100&lt;&gt;"",IF('Capacity summary'!$D$14="Yes",IF(COUNTBLANK('Capacity summary'!$H219:$BG219)&lt;52,IF('Capacity summary'!AB219&lt;&gt;"",IF(LOWER('Capacity summary'!AB219)="x",$BI100*AB100,VALUE('Capacity summary'!AB219)),0),AB100*$BI100),AB100*$BI100),0)</f>
        <v>0</v>
      </c>
      <c r="CF100" s="313">
        <f>IF($BI100&lt;&gt;"",IF('Capacity summary'!$D$14="Yes",IF(COUNTBLANK('Capacity summary'!$H219:$BG219)&lt;52,IF('Capacity summary'!AC219&lt;&gt;"",IF(LOWER('Capacity summary'!AC219)="x",$BI100*AC100,VALUE('Capacity summary'!AC219)),0),AC100*$BI100),AC100*$BI100),0)</f>
        <v>0</v>
      </c>
      <c r="CG100" s="313">
        <f>IF($BI100&lt;&gt;"",IF('Capacity summary'!$D$14="Yes",IF(COUNTBLANK('Capacity summary'!$H219:$BG219)&lt;52,IF('Capacity summary'!AD219&lt;&gt;"",IF(LOWER('Capacity summary'!AD219)="x",$BI100*AD100,VALUE('Capacity summary'!AD219)),0),AD100*$BI100),AD100*$BI100),0)</f>
        <v>0</v>
      </c>
      <c r="CH100" s="313">
        <f>IF($BI100&lt;&gt;"",IF('Capacity summary'!$D$14="Yes",IF(COUNTBLANK('Capacity summary'!$H219:$BG219)&lt;52,IF('Capacity summary'!AE219&lt;&gt;"",IF(LOWER('Capacity summary'!AE219)="x",$BI100*AE100,VALUE('Capacity summary'!AE219)),0),AE100*$BI100),AE100*$BI100),0)</f>
        <v>0</v>
      </c>
      <c r="CI100" s="313">
        <f>IF($BI100&lt;&gt;"",IF('Capacity summary'!$D$14="Yes",IF(COUNTBLANK('Capacity summary'!$H219:$BG219)&lt;52,IF('Capacity summary'!AF219&lt;&gt;"",IF(LOWER('Capacity summary'!AF219)="x",$BI100*AF100,VALUE('Capacity summary'!AF219)),0),AF100*$BI100),AF100*$BI100),0)</f>
        <v>0</v>
      </c>
      <c r="CJ100" s="313">
        <f>IF($BI100&lt;&gt;"",IF('Capacity summary'!$D$14="Yes",IF(COUNTBLANK('Capacity summary'!$H219:$BG219)&lt;52,IF('Capacity summary'!AG219&lt;&gt;"",IF(LOWER('Capacity summary'!AG219)="x",$BI100*AG100,VALUE('Capacity summary'!AG219)),0),AG100*$BI100),AG100*$BI100),0)</f>
        <v>0</v>
      </c>
      <c r="CK100" s="313">
        <f>IF($BI100&lt;&gt;"",IF('Capacity summary'!$D$14="Yes",IF(COUNTBLANK('Capacity summary'!$H219:$BG219)&lt;52,IF('Capacity summary'!AH219&lt;&gt;"",IF(LOWER('Capacity summary'!AH219)="x",$BI100*AH100,VALUE('Capacity summary'!AH219)),0),AH100*$BI100),AH100*$BI100),0)</f>
        <v>0</v>
      </c>
      <c r="CL100" s="313">
        <f>IF($BI100&lt;&gt;"",IF('Capacity summary'!$D$14="Yes",IF(COUNTBLANK('Capacity summary'!$H219:$BG219)&lt;52,IF('Capacity summary'!AI219&lt;&gt;"",IF(LOWER('Capacity summary'!AI219)="x",$BI100*AI100,VALUE('Capacity summary'!AI219)),0),AI100*$BI100),AI100*$BI100),0)</f>
        <v>0</v>
      </c>
      <c r="CM100" s="313">
        <f>IF($BI100&lt;&gt;"",IF('Capacity summary'!$D$14="Yes",IF(COUNTBLANK('Capacity summary'!$H219:$BG219)&lt;52,IF('Capacity summary'!AJ219&lt;&gt;"",IF(LOWER('Capacity summary'!AJ219)="x",$BI100*AJ100,VALUE('Capacity summary'!AJ219)),0),AJ100*$BI100),AJ100*$BI100),0)</f>
        <v>0</v>
      </c>
      <c r="CN100" s="313">
        <f>IF($BI100&lt;&gt;"",IF('Capacity summary'!$D$14="Yes",IF(COUNTBLANK('Capacity summary'!$H219:$BG219)&lt;52,IF('Capacity summary'!AK219&lt;&gt;"",IF(LOWER('Capacity summary'!AK219)="x",$BI100*AK100,VALUE('Capacity summary'!AK219)),0),AK100*$BI100),AK100*$BI100),0)</f>
        <v>0</v>
      </c>
      <c r="CO100" s="313">
        <f>IF($BI100&lt;&gt;"",IF('Capacity summary'!$D$14="Yes",IF(COUNTBLANK('Capacity summary'!$H219:$BG219)&lt;52,IF('Capacity summary'!AL219&lt;&gt;"",IF(LOWER('Capacity summary'!AL219)="x",$BI100*AL100,VALUE('Capacity summary'!AL219)),0),AL100*$BI100),AL100*$BI100),0)</f>
        <v>0</v>
      </c>
      <c r="CP100" s="313">
        <f>IF($BI100&lt;&gt;"",IF('Capacity summary'!$D$14="Yes",IF(COUNTBLANK('Capacity summary'!$H219:$BG219)&lt;52,IF('Capacity summary'!AM219&lt;&gt;"",IF(LOWER('Capacity summary'!AM219)="x",$BI100*AM100,VALUE('Capacity summary'!AM219)),0),AM100*$BI100),AM100*$BI100),0)</f>
        <v>0</v>
      </c>
      <c r="CQ100" s="313">
        <f>IF($BI100&lt;&gt;"",IF('Capacity summary'!$D$14="Yes",IF(COUNTBLANK('Capacity summary'!$H219:$BG219)&lt;52,IF('Capacity summary'!AN219&lt;&gt;"",IF(LOWER('Capacity summary'!AN219)="x",$BI100*AN100,VALUE('Capacity summary'!AN219)),0),AN100*$BI100),AN100*$BI100),0)</f>
        <v>0</v>
      </c>
      <c r="CR100" s="313">
        <f>IF($BI100&lt;&gt;"",IF('Capacity summary'!$D$14="Yes",IF(COUNTBLANK('Capacity summary'!$H219:$BG219)&lt;52,IF('Capacity summary'!AO219&lt;&gt;"",IF(LOWER('Capacity summary'!AO219)="x",$BI100*AO100,VALUE('Capacity summary'!AO219)),0),AO100*$BI100),AO100*$BI100),0)</f>
        <v>0</v>
      </c>
      <c r="CS100" s="313">
        <f>IF($BI100&lt;&gt;"",IF('Capacity summary'!$D$14="Yes",IF(COUNTBLANK('Capacity summary'!$H219:$BG219)&lt;52,IF('Capacity summary'!AP219&lt;&gt;"",IF(LOWER('Capacity summary'!AP219)="x",$BI100*AP100,VALUE('Capacity summary'!AP219)),0),AP100*$BI100),AP100*$BI100),0)</f>
        <v>0</v>
      </c>
      <c r="CT100" s="313">
        <f>IF($BI100&lt;&gt;"",IF('Capacity summary'!$D$14="Yes",IF(COUNTBLANK('Capacity summary'!$H219:$BG219)&lt;52,IF('Capacity summary'!AQ219&lt;&gt;"",IF(LOWER('Capacity summary'!AQ219)="x",$BI100*AQ100,VALUE('Capacity summary'!AQ219)),0),AQ100*$BI100),AQ100*$BI100),0)</f>
        <v>0</v>
      </c>
      <c r="CU100" s="313">
        <f>IF($BI100&lt;&gt;"",IF('Capacity summary'!$D$14="Yes",IF(COUNTBLANK('Capacity summary'!$H219:$BG219)&lt;52,IF('Capacity summary'!AR219&lt;&gt;"",IF(LOWER('Capacity summary'!AR219)="x",$BI100*AR100,VALUE('Capacity summary'!AR219)),0),AR100*$BI100),AR100*$BI100),0)</f>
        <v>0</v>
      </c>
      <c r="CV100" s="313">
        <f>IF($BI100&lt;&gt;"",IF('Capacity summary'!$D$14="Yes",IF(COUNTBLANK('Capacity summary'!$H219:$BG219)&lt;52,IF('Capacity summary'!AS219&lt;&gt;"",IF(LOWER('Capacity summary'!AS219)="x",$BI100*AS100,VALUE('Capacity summary'!AS219)),0),AS100*$BI100),AS100*$BI100),0)</f>
        <v>0</v>
      </c>
      <c r="CW100" s="313">
        <f>IF($BI100&lt;&gt;"",IF('Capacity summary'!$D$14="Yes",IF(COUNTBLANK('Capacity summary'!$H219:$BG219)&lt;52,IF('Capacity summary'!AT219&lt;&gt;"",IF(LOWER('Capacity summary'!AT219)="x",$BI100*AT100,VALUE('Capacity summary'!AT219)),0),AT100*$BI100),AT100*$BI100),0)</f>
        <v>0</v>
      </c>
      <c r="CX100" s="313">
        <f>IF($BI100&lt;&gt;"",IF('Capacity summary'!$D$14="Yes",IF(COUNTBLANK('Capacity summary'!$H219:$BG219)&lt;52,IF('Capacity summary'!AU219&lt;&gt;"",IF(LOWER('Capacity summary'!AU219)="x",$BI100*AU100,VALUE('Capacity summary'!AU219)),0),AU100*$BI100),AU100*$BI100),0)</f>
        <v>0</v>
      </c>
      <c r="CY100" s="313">
        <f>IF($BI100&lt;&gt;"",IF('Capacity summary'!$D$14="Yes",IF(COUNTBLANK('Capacity summary'!$H219:$BG219)&lt;52,IF('Capacity summary'!AV219&lt;&gt;"",IF(LOWER('Capacity summary'!AV219)="x",$BI100*AV100,VALUE('Capacity summary'!AV219)),0),AV100*$BI100),AV100*$BI100),0)</f>
        <v>0</v>
      </c>
      <c r="CZ100" s="313">
        <f>IF($BI100&lt;&gt;"",IF('Capacity summary'!$D$14="Yes",IF(COUNTBLANK('Capacity summary'!$H219:$BG219)&lt;52,IF('Capacity summary'!AW219&lt;&gt;"",IF(LOWER('Capacity summary'!AW219)="x",$BI100*AW100,VALUE('Capacity summary'!AW219)),0),AW100*$BI100),AW100*$BI100),0)</f>
        <v>0</v>
      </c>
      <c r="DA100" s="313">
        <f>IF($BI100&lt;&gt;"",IF('Capacity summary'!$D$14="Yes",IF(COUNTBLANK('Capacity summary'!$H219:$BG219)&lt;52,IF('Capacity summary'!AX219&lt;&gt;"",IF(LOWER('Capacity summary'!AX219)="x",$BI100*AX100,VALUE('Capacity summary'!AX219)),0),AX100*$BI100),AX100*$BI100),0)</f>
        <v>0</v>
      </c>
      <c r="DB100" s="313">
        <f>IF($BI100&lt;&gt;"",IF('Capacity summary'!$D$14="Yes",IF(COUNTBLANK('Capacity summary'!$H219:$BG219)&lt;52,IF('Capacity summary'!AY219&lt;&gt;"",IF(LOWER('Capacity summary'!AY219)="x",$BI100*AY100,VALUE('Capacity summary'!AY219)),0),AY100*$BI100),AY100*$BI100),0)</f>
        <v>0</v>
      </c>
      <c r="DC100" s="313">
        <f>IF($BI100&lt;&gt;"",IF('Capacity summary'!$D$14="Yes",IF(COUNTBLANK('Capacity summary'!$H219:$BG219)&lt;52,IF('Capacity summary'!AZ219&lt;&gt;"",IF(LOWER('Capacity summary'!AZ219)="x",$BI100*AZ100,VALUE('Capacity summary'!AZ219)),0),AZ100*$BI100),AZ100*$BI100),0)</f>
        <v>0</v>
      </c>
      <c r="DD100" s="313">
        <f>IF($BI100&lt;&gt;"",IF('Capacity summary'!$D$14="Yes",IF(COUNTBLANK('Capacity summary'!$H219:$BG219)&lt;52,IF('Capacity summary'!BA219&lt;&gt;"",IF(LOWER('Capacity summary'!BA219)="x",$BI100*BA100,VALUE('Capacity summary'!BA219)),0),BA100*$BI100),BA100*$BI100),0)</f>
        <v>0</v>
      </c>
      <c r="DE100" s="313">
        <f>IF($BI100&lt;&gt;"",IF('Capacity summary'!$D$14="Yes",IF(COUNTBLANK('Capacity summary'!$H219:$BG219)&lt;52,IF('Capacity summary'!BB219&lt;&gt;"",IF(LOWER('Capacity summary'!BB219)="x",$BI100*BB100,VALUE('Capacity summary'!BB219)),0),BB100*$BI100),BB100*$BI100),0)</f>
        <v>0</v>
      </c>
      <c r="DF100" s="313">
        <f>IF($BI100&lt;&gt;"",IF('Capacity summary'!$D$14="Yes",IF(COUNTBLANK('Capacity summary'!$H219:$BG219)&lt;52,IF('Capacity summary'!BC219&lt;&gt;"",IF(LOWER('Capacity summary'!BC219)="x",$BI100*BC100,VALUE('Capacity summary'!BC219)),0),BC100*$BI100),BC100*$BI100),0)</f>
        <v>0</v>
      </c>
      <c r="DG100" s="313">
        <f>IF($BI100&lt;&gt;"",IF('Capacity summary'!$D$14="Yes",IF(COUNTBLANK('Capacity summary'!$H219:$BG219)&lt;52,IF('Capacity summary'!BD219&lt;&gt;"",IF(LOWER('Capacity summary'!BD219)="x",$BI100*BD100,VALUE('Capacity summary'!BD219)),0),BD100*$BI100),BD100*$BI100),0)</f>
        <v>0</v>
      </c>
      <c r="DH100" s="313">
        <f>IF($BI100&lt;&gt;"",IF('Capacity summary'!$D$14="Yes",IF(COUNTBLANK('Capacity summary'!$H219:$BG219)&lt;52,IF('Capacity summary'!BE219&lt;&gt;"",IF(LOWER('Capacity summary'!BE219)="x",$BI100*BE100,VALUE('Capacity summary'!BE219)),0),BE100*$BI100),BE100*$BI100),0)</f>
        <v>0</v>
      </c>
      <c r="DI100" s="313">
        <f>IF($BI100&lt;&gt;"",IF('Capacity summary'!$D$14="Yes",IF(COUNTBLANK('Capacity summary'!$H219:$BG219)&lt;52,IF('Capacity summary'!BF219&lt;&gt;"",IF(LOWER('Capacity summary'!BF219)="x",$BI100*BF100,VALUE('Capacity summary'!BF219)),0),BF100*$BI100),BF100*$BI100),0)</f>
        <v>0</v>
      </c>
      <c r="DJ100" s="313">
        <f>IF($BI100&lt;&gt;"",IF('Capacity summary'!$D$14="Yes",IF(COUNTBLANK('Capacity summary'!$H219:$BG219)&lt;52,IF('Capacity summary'!BG219&lt;&gt;"",IF(LOWER('Capacity summary'!BG219)="x",$BI100*BG100,VALUE('Capacity summary'!BG219)),0),BG100*$BI100),BG100*$BI100),0)</f>
        <v>0</v>
      </c>
      <c r="DK100" s="137">
        <f t="shared" si="3"/>
        <v>0</v>
      </c>
      <c r="DL100" s="313" t="str">
        <f>Capacity!H112</f>
        <v/>
      </c>
    </row>
    <row r="101" spans="2:116" x14ac:dyDescent="0.25">
      <c r="B101" s="67"/>
      <c r="C101" s="67" t="str">
        <f>ROW(A97)&amp;". "&amp;Capacity!B113</f>
        <v xml:space="preserve">97. </v>
      </c>
      <c r="D101" s="67">
        <f>'Capacity setup'!C108</f>
        <v>0</v>
      </c>
      <c r="E101" s="67">
        <f>'Capacity setup'!D108</f>
        <v>0</v>
      </c>
      <c r="F101" s="67">
        <f>'Capacity setup'!E108</f>
        <v>0</v>
      </c>
      <c r="H101" s="67">
        <f ca="1">IF(AND(SUMIF(Capacity_Resource,$D101,'Critical resources (hide)'!U$6:U$105)+SUMIF(Capacity_Resource,$E101,'Critical resources (hide)'!U$6:U$105)+SUMIF(Capacity_Resource,$F101,'Critical resources (hide)'!U$6:U$105)&gt;0,$E$1=2),0,1)</f>
        <v>1</v>
      </c>
      <c r="I101" s="67">
        <f ca="1">IF(AND(SUMIF(Capacity_Resource,$D101,'Critical resources (hide)'!V$6:V$105)+SUMIF(Capacity_Resource,$E101,'Critical resources (hide)'!V$6:V$105)+SUMIF(Capacity_Resource,$F101,'Critical resources (hide)'!V$6:V$105)&gt;0,$E$1=2),0,1)</f>
        <v>1</v>
      </c>
      <c r="J101" s="67">
        <f ca="1">IF(AND(SUMIF(Capacity_Resource,$D101,'Critical resources (hide)'!W$6:W$105)+SUMIF(Capacity_Resource,$E101,'Critical resources (hide)'!W$6:W$105)+SUMIF(Capacity_Resource,$F101,'Critical resources (hide)'!W$6:W$105)&gt;0,$E$1=2),0,1)</f>
        <v>1</v>
      </c>
      <c r="K101" s="67">
        <f ca="1">IF(AND(SUMIF(Capacity_Resource,$D101,'Critical resources (hide)'!X$6:X$105)+SUMIF(Capacity_Resource,$E101,'Critical resources (hide)'!X$6:X$105)+SUMIF(Capacity_Resource,$F101,'Critical resources (hide)'!X$6:X$105)&gt;0,$E$1=2),0,1)</f>
        <v>1</v>
      </c>
      <c r="L101" s="67">
        <f ca="1">IF(AND(SUMIF(Capacity_Resource,$D101,'Critical resources (hide)'!Y$6:Y$105)+SUMIF(Capacity_Resource,$E101,'Critical resources (hide)'!Y$6:Y$105)+SUMIF(Capacity_Resource,$F101,'Critical resources (hide)'!Y$6:Y$105)&gt;0,$E$1=2),0,1)</f>
        <v>1</v>
      </c>
      <c r="M101" s="67">
        <f ca="1">IF(AND(SUMIF(Capacity_Resource,$D101,'Critical resources (hide)'!Z$6:Z$105)+SUMIF(Capacity_Resource,$E101,'Critical resources (hide)'!Z$6:Z$105)+SUMIF(Capacity_Resource,$F101,'Critical resources (hide)'!Z$6:Z$105)&gt;0,$E$1=2),0,1)</f>
        <v>1</v>
      </c>
      <c r="N101" s="67">
        <f ca="1">IF(AND(SUMIF(Capacity_Resource,$D101,'Critical resources (hide)'!AA$6:AA$105)+SUMIF(Capacity_Resource,$E101,'Critical resources (hide)'!AA$6:AA$105)+SUMIF(Capacity_Resource,$F101,'Critical resources (hide)'!AA$6:AA$105)&gt;0,$E$1=2),0,1)</f>
        <v>1</v>
      </c>
      <c r="O101" s="67">
        <f ca="1">IF(AND(SUMIF(Capacity_Resource,$D101,'Critical resources (hide)'!AB$6:AB$105)+SUMIF(Capacity_Resource,$E101,'Critical resources (hide)'!AB$6:AB$105)+SUMIF(Capacity_Resource,$F101,'Critical resources (hide)'!AB$6:AB$105)&gt;0,$E$1=2),0,1)</f>
        <v>1</v>
      </c>
      <c r="P101" s="67">
        <f ca="1">IF(AND(SUMIF(Capacity_Resource,$D101,'Critical resources (hide)'!AC$6:AC$105)+SUMIF(Capacity_Resource,$E101,'Critical resources (hide)'!AC$6:AC$105)+SUMIF(Capacity_Resource,$F101,'Critical resources (hide)'!AC$6:AC$105)&gt;0,$E$1=2),0,1)</f>
        <v>1</v>
      </c>
      <c r="Q101" s="67">
        <f ca="1">IF(AND(SUMIF(Capacity_Resource,$D101,'Critical resources (hide)'!AD$6:AD$105)+SUMIF(Capacity_Resource,$E101,'Critical resources (hide)'!AD$6:AD$105)+SUMIF(Capacity_Resource,$F101,'Critical resources (hide)'!AD$6:AD$105)&gt;0,$E$1=2),0,1)</f>
        <v>1</v>
      </c>
      <c r="R101" s="67">
        <f ca="1">IF(AND(SUMIF(Capacity_Resource,$D101,'Critical resources (hide)'!AE$6:AE$105)+SUMIF(Capacity_Resource,$E101,'Critical resources (hide)'!AE$6:AE$105)+SUMIF(Capacity_Resource,$F101,'Critical resources (hide)'!AE$6:AE$105)&gt;0,$E$1=2),0,1)</f>
        <v>1</v>
      </c>
      <c r="S101" s="67">
        <f ca="1">IF(AND(SUMIF(Capacity_Resource,$D101,'Critical resources (hide)'!AF$6:AF$105)+SUMIF(Capacity_Resource,$E101,'Critical resources (hide)'!AF$6:AF$105)+SUMIF(Capacity_Resource,$F101,'Critical resources (hide)'!AF$6:AF$105)&gt;0,$E$1=2),0,1)</f>
        <v>1</v>
      </c>
      <c r="T101" s="67">
        <f ca="1">IF(AND(SUMIF(Capacity_Resource,$D101,'Critical resources (hide)'!AG$6:AG$105)+SUMIF(Capacity_Resource,$E101,'Critical resources (hide)'!AG$6:AG$105)+SUMIF(Capacity_Resource,$F101,'Critical resources (hide)'!AG$6:AG$105)&gt;0,$E$1=2),0,1)</f>
        <v>1</v>
      </c>
      <c r="U101" s="67">
        <f ca="1">IF(AND(SUMIF(Capacity_Resource,$D101,'Critical resources (hide)'!AH$6:AH$105)+SUMIF(Capacity_Resource,$E101,'Critical resources (hide)'!AH$6:AH$105)+SUMIF(Capacity_Resource,$F101,'Critical resources (hide)'!AH$6:AH$105)&gt;0,$E$1=2),0,1)</f>
        <v>1</v>
      </c>
      <c r="V101" s="67">
        <f ca="1">IF(AND(SUMIF(Capacity_Resource,$D101,'Critical resources (hide)'!AI$6:AI$105)+SUMIF(Capacity_Resource,$E101,'Critical resources (hide)'!AI$6:AI$105)+SUMIF(Capacity_Resource,$F101,'Critical resources (hide)'!AI$6:AI$105)&gt;0,$E$1=2),0,1)</f>
        <v>1</v>
      </c>
      <c r="W101" s="67">
        <f ca="1">IF(AND(SUMIF(Capacity_Resource,$D101,'Critical resources (hide)'!AJ$6:AJ$105)+SUMIF(Capacity_Resource,$E101,'Critical resources (hide)'!AJ$6:AJ$105)+SUMIF(Capacity_Resource,$F101,'Critical resources (hide)'!AJ$6:AJ$105)&gt;0,$E$1=2),0,1)</f>
        <v>1</v>
      </c>
      <c r="X101" s="67">
        <f ca="1">IF(AND(SUMIF(Capacity_Resource,$D101,'Critical resources (hide)'!AK$6:AK$105)+SUMIF(Capacity_Resource,$E101,'Critical resources (hide)'!AK$6:AK$105)+SUMIF(Capacity_Resource,$F101,'Critical resources (hide)'!AK$6:AK$105)&gt;0,$E$1=2),0,1)</f>
        <v>1</v>
      </c>
      <c r="Y101" s="67">
        <f ca="1">IF(AND(SUMIF(Capacity_Resource,$D101,'Critical resources (hide)'!AL$6:AL$105)+SUMIF(Capacity_Resource,$E101,'Critical resources (hide)'!AL$6:AL$105)+SUMIF(Capacity_Resource,$F101,'Critical resources (hide)'!AL$6:AL$105)&gt;0,$E$1=2),0,1)</f>
        <v>1</v>
      </c>
      <c r="Z101" s="67">
        <f ca="1">IF(AND(SUMIF(Capacity_Resource,$D101,'Critical resources (hide)'!AM$6:AM$105)+SUMIF(Capacity_Resource,$E101,'Critical resources (hide)'!AM$6:AM$105)+SUMIF(Capacity_Resource,$F101,'Critical resources (hide)'!AM$6:AM$105)&gt;0,$E$1=2),0,1)</f>
        <v>1</v>
      </c>
      <c r="AA101" s="67">
        <f ca="1">IF(AND(SUMIF(Capacity_Resource,$D101,'Critical resources (hide)'!AN$6:AN$105)+SUMIF(Capacity_Resource,$E101,'Critical resources (hide)'!AN$6:AN$105)+SUMIF(Capacity_Resource,$F101,'Critical resources (hide)'!AN$6:AN$105)&gt;0,$E$1=2),0,1)</f>
        <v>1</v>
      </c>
      <c r="AB101" s="67">
        <f ca="1">IF(AND(SUMIF(Capacity_Resource,$D101,'Critical resources (hide)'!AO$6:AO$105)+SUMIF(Capacity_Resource,$E101,'Critical resources (hide)'!AO$6:AO$105)+SUMIF(Capacity_Resource,$F101,'Critical resources (hide)'!AO$6:AO$105)&gt;0,$E$1=2),0,1)</f>
        <v>1</v>
      </c>
      <c r="AC101" s="67">
        <f ca="1">IF(AND(SUMIF(Capacity_Resource,$D101,'Critical resources (hide)'!AP$6:AP$105)+SUMIF(Capacity_Resource,$E101,'Critical resources (hide)'!AP$6:AP$105)+SUMIF(Capacity_Resource,$F101,'Critical resources (hide)'!AP$6:AP$105)&gt;0,$E$1=2),0,1)</f>
        <v>1</v>
      </c>
      <c r="AD101" s="67">
        <f ca="1">IF(AND(SUMIF(Capacity_Resource,$D101,'Critical resources (hide)'!AQ$6:AQ$105)+SUMIF(Capacity_Resource,$E101,'Critical resources (hide)'!AQ$6:AQ$105)+SUMIF(Capacity_Resource,$F101,'Critical resources (hide)'!AQ$6:AQ$105)&gt;0,$E$1=2),0,1)</f>
        <v>1</v>
      </c>
      <c r="AE101" s="67">
        <f ca="1">IF(AND(SUMIF(Capacity_Resource,$D101,'Critical resources (hide)'!AR$6:AR$105)+SUMIF(Capacity_Resource,$E101,'Critical resources (hide)'!AR$6:AR$105)+SUMIF(Capacity_Resource,$F101,'Critical resources (hide)'!AR$6:AR$105)&gt;0,$E$1=2),0,1)</f>
        <v>1</v>
      </c>
      <c r="AF101" s="67">
        <f ca="1">IF(AND(SUMIF(Capacity_Resource,$D101,'Critical resources (hide)'!AS$6:AS$105)+SUMIF(Capacity_Resource,$E101,'Critical resources (hide)'!AS$6:AS$105)+SUMIF(Capacity_Resource,$F101,'Critical resources (hide)'!AS$6:AS$105)&gt;0,$E$1=2),0,1)</f>
        <v>1</v>
      </c>
      <c r="AG101" s="67">
        <f ca="1">IF(AND(SUMIF(Capacity_Resource,$D101,'Critical resources (hide)'!AT$6:AT$105)+SUMIF(Capacity_Resource,$E101,'Critical resources (hide)'!AT$6:AT$105)+SUMIF(Capacity_Resource,$F101,'Critical resources (hide)'!AT$6:AT$105)&gt;0,$E$1=2),0,1)</f>
        <v>1</v>
      </c>
      <c r="AH101" s="67">
        <f ca="1">IF(AND(SUMIF(Capacity_Resource,$D101,'Critical resources (hide)'!AU$6:AU$105)+SUMIF(Capacity_Resource,$E101,'Critical resources (hide)'!AU$6:AU$105)+SUMIF(Capacity_Resource,$F101,'Critical resources (hide)'!AU$6:AU$105)&gt;0,$E$1=2),0,1)</f>
        <v>1</v>
      </c>
      <c r="AI101" s="67">
        <f ca="1">IF(AND(SUMIF(Capacity_Resource,$D101,'Critical resources (hide)'!AV$6:AV$105)+SUMIF(Capacity_Resource,$E101,'Critical resources (hide)'!AV$6:AV$105)+SUMIF(Capacity_Resource,$F101,'Critical resources (hide)'!AV$6:AV$105)&gt;0,$E$1=2),0,1)</f>
        <v>1</v>
      </c>
      <c r="AJ101" s="67">
        <f ca="1">IF(AND(SUMIF(Capacity_Resource,$D101,'Critical resources (hide)'!AW$6:AW$105)+SUMIF(Capacity_Resource,$E101,'Critical resources (hide)'!AW$6:AW$105)+SUMIF(Capacity_Resource,$F101,'Critical resources (hide)'!AW$6:AW$105)&gt;0,$E$1=2),0,1)</f>
        <v>1</v>
      </c>
      <c r="AK101" s="67">
        <f ca="1">IF(AND(SUMIF(Capacity_Resource,$D101,'Critical resources (hide)'!AX$6:AX$105)+SUMIF(Capacity_Resource,$E101,'Critical resources (hide)'!AX$6:AX$105)+SUMIF(Capacity_Resource,$F101,'Critical resources (hide)'!AX$6:AX$105)&gt;0,$E$1=2),0,1)</f>
        <v>1</v>
      </c>
      <c r="AL101" s="67">
        <f ca="1">IF(AND(SUMIF(Capacity_Resource,$D101,'Critical resources (hide)'!AY$6:AY$105)+SUMIF(Capacity_Resource,$E101,'Critical resources (hide)'!AY$6:AY$105)+SUMIF(Capacity_Resource,$F101,'Critical resources (hide)'!AY$6:AY$105)&gt;0,$E$1=2),0,1)</f>
        <v>1</v>
      </c>
      <c r="AM101" s="67">
        <f ca="1">IF(AND(SUMIF(Capacity_Resource,$D101,'Critical resources (hide)'!AZ$6:AZ$105)+SUMIF(Capacity_Resource,$E101,'Critical resources (hide)'!AZ$6:AZ$105)+SUMIF(Capacity_Resource,$F101,'Critical resources (hide)'!AZ$6:AZ$105)&gt;0,$E$1=2),0,1)</f>
        <v>1</v>
      </c>
      <c r="AN101" s="67">
        <f ca="1">IF(AND(SUMIF(Capacity_Resource,$D101,'Critical resources (hide)'!BA$6:BA$105)+SUMIF(Capacity_Resource,$E101,'Critical resources (hide)'!BA$6:BA$105)+SUMIF(Capacity_Resource,$F101,'Critical resources (hide)'!BA$6:BA$105)&gt;0,$E$1=2),0,1)</f>
        <v>1</v>
      </c>
      <c r="AO101" s="67">
        <f ca="1">IF(AND(SUMIF(Capacity_Resource,$D101,'Critical resources (hide)'!BB$6:BB$105)+SUMIF(Capacity_Resource,$E101,'Critical resources (hide)'!BB$6:BB$105)+SUMIF(Capacity_Resource,$F101,'Critical resources (hide)'!BB$6:BB$105)&gt;0,$E$1=2),0,1)</f>
        <v>1</v>
      </c>
      <c r="AP101" s="67">
        <f ca="1">IF(AND(SUMIF(Capacity_Resource,$D101,'Critical resources (hide)'!BC$6:BC$105)+SUMIF(Capacity_Resource,$E101,'Critical resources (hide)'!BC$6:BC$105)+SUMIF(Capacity_Resource,$F101,'Critical resources (hide)'!BC$6:BC$105)&gt;0,$E$1=2),0,1)</f>
        <v>1</v>
      </c>
      <c r="AQ101" s="67">
        <f ca="1">IF(AND(SUMIF(Capacity_Resource,$D101,'Critical resources (hide)'!BD$6:BD$105)+SUMIF(Capacity_Resource,$E101,'Critical resources (hide)'!BD$6:BD$105)+SUMIF(Capacity_Resource,$F101,'Critical resources (hide)'!BD$6:BD$105)&gt;0,$E$1=2),0,1)</f>
        <v>1</v>
      </c>
      <c r="AR101" s="67">
        <f ca="1">IF(AND(SUMIF(Capacity_Resource,$D101,'Critical resources (hide)'!BE$6:BE$105)+SUMIF(Capacity_Resource,$E101,'Critical resources (hide)'!BE$6:BE$105)+SUMIF(Capacity_Resource,$F101,'Critical resources (hide)'!BE$6:BE$105)&gt;0,$E$1=2),0,1)</f>
        <v>1</v>
      </c>
      <c r="AS101" s="67">
        <f ca="1">IF(AND(SUMIF(Capacity_Resource,$D101,'Critical resources (hide)'!BF$6:BF$105)+SUMIF(Capacity_Resource,$E101,'Critical resources (hide)'!BF$6:BF$105)+SUMIF(Capacity_Resource,$F101,'Critical resources (hide)'!BF$6:BF$105)&gt;0,$E$1=2),0,1)</f>
        <v>1</v>
      </c>
      <c r="AT101" s="67">
        <f ca="1">IF(AND(SUMIF(Capacity_Resource,$D101,'Critical resources (hide)'!BG$6:BG$105)+SUMIF(Capacity_Resource,$E101,'Critical resources (hide)'!BG$6:BG$105)+SUMIF(Capacity_Resource,$F101,'Critical resources (hide)'!BG$6:BG$105)&gt;0,$E$1=2),0,1)</f>
        <v>1</v>
      </c>
      <c r="AU101" s="67">
        <f ca="1">IF(AND(SUMIF(Capacity_Resource,$D101,'Critical resources (hide)'!BH$6:BH$105)+SUMIF(Capacity_Resource,$E101,'Critical resources (hide)'!BH$6:BH$105)+SUMIF(Capacity_Resource,$F101,'Critical resources (hide)'!BH$6:BH$105)&gt;0,$E$1=2),0,1)</f>
        <v>1</v>
      </c>
      <c r="AV101" s="67">
        <f ca="1">IF(AND(SUMIF(Capacity_Resource,$D101,'Critical resources (hide)'!BI$6:BI$105)+SUMIF(Capacity_Resource,$E101,'Critical resources (hide)'!BI$6:BI$105)+SUMIF(Capacity_Resource,$F101,'Critical resources (hide)'!BI$6:BI$105)&gt;0,$E$1=2),0,1)</f>
        <v>1</v>
      </c>
      <c r="AW101" s="67">
        <f ca="1">IF(AND(SUMIF(Capacity_Resource,$D101,'Critical resources (hide)'!BJ$6:BJ$105)+SUMIF(Capacity_Resource,$E101,'Critical resources (hide)'!BJ$6:BJ$105)+SUMIF(Capacity_Resource,$F101,'Critical resources (hide)'!BJ$6:BJ$105)&gt;0,$E$1=2),0,1)</f>
        <v>1</v>
      </c>
      <c r="AX101" s="67">
        <f ca="1">IF(AND(SUMIF(Capacity_Resource,$D101,'Critical resources (hide)'!BK$6:BK$105)+SUMIF(Capacity_Resource,$E101,'Critical resources (hide)'!BK$6:BK$105)+SUMIF(Capacity_Resource,$F101,'Critical resources (hide)'!BK$6:BK$105)&gt;0,$E$1=2),0,1)</f>
        <v>1</v>
      </c>
      <c r="AY101" s="67">
        <f ca="1">IF(AND(SUMIF(Capacity_Resource,$D101,'Critical resources (hide)'!BL$6:BL$105)+SUMIF(Capacity_Resource,$E101,'Critical resources (hide)'!BL$6:BL$105)+SUMIF(Capacity_Resource,$F101,'Critical resources (hide)'!BL$6:BL$105)&gt;0,$E$1=2),0,1)</f>
        <v>1</v>
      </c>
      <c r="AZ101" s="67">
        <f ca="1">IF(AND(SUMIF(Capacity_Resource,$D101,'Critical resources (hide)'!BM$6:BM$105)+SUMIF(Capacity_Resource,$E101,'Critical resources (hide)'!BM$6:BM$105)+SUMIF(Capacity_Resource,$F101,'Critical resources (hide)'!BM$6:BM$105)&gt;0,$E$1=2),0,1)</f>
        <v>1</v>
      </c>
      <c r="BA101" s="67">
        <f ca="1">IF(AND(SUMIF(Capacity_Resource,$D101,'Critical resources (hide)'!BN$6:BN$105)+SUMIF(Capacity_Resource,$E101,'Critical resources (hide)'!BN$6:BN$105)+SUMIF(Capacity_Resource,$F101,'Critical resources (hide)'!BN$6:BN$105)&gt;0,$E$1=2),0,1)</f>
        <v>1</v>
      </c>
      <c r="BB101" s="67">
        <f ca="1">IF(AND(SUMIF(Capacity_Resource,$D101,'Critical resources (hide)'!BO$6:BO$105)+SUMIF(Capacity_Resource,$E101,'Critical resources (hide)'!BO$6:BO$105)+SUMIF(Capacity_Resource,$F101,'Critical resources (hide)'!BO$6:BO$105)&gt;0,$E$1=2),0,1)</f>
        <v>1</v>
      </c>
      <c r="BC101" s="67">
        <f ca="1">IF(AND(SUMIF(Capacity_Resource,$D101,'Critical resources (hide)'!BP$6:BP$105)+SUMIF(Capacity_Resource,$E101,'Critical resources (hide)'!BP$6:BP$105)+SUMIF(Capacity_Resource,$F101,'Critical resources (hide)'!BP$6:BP$105)&gt;0,$E$1=2),0,1)</f>
        <v>1</v>
      </c>
      <c r="BD101" s="67">
        <f ca="1">IF(AND(SUMIF(Capacity_Resource,$D101,'Critical resources (hide)'!BQ$6:BQ$105)+SUMIF(Capacity_Resource,$E101,'Critical resources (hide)'!BQ$6:BQ$105)+SUMIF(Capacity_Resource,$F101,'Critical resources (hide)'!BQ$6:BQ$105)&gt;0,$E$1=2),0,1)</f>
        <v>1</v>
      </c>
      <c r="BE101" s="67">
        <f ca="1">IF(AND(SUMIF(Capacity_Resource,$D101,'Critical resources (hide)'!BR$6:BR$105)+SUMIF(Capacity_Resource,$E101,'Critical resources (hide)'!BR$6:BR$105)+SUMIF(Capacity_Resource,$F101,'Critical resources (hide)'!BR$6:BR$105)&gt;0,$E$1=2),0,1)</f>
        <v>1</v>
      </c>
      <c r="BF101" s="67">
        <f ca="1">IF(AND(SUMIF(Capacity_Resource,$D101,'Critical resources (hide)'!BS$6:BS$105)+SUMIF(Capacity_Resource,$E101,'Critical resources (hide)'!BS$6:BS$105)+SUMIF(Capacity_Resource,$F101,'Critical resources (hide)'!BS$6:BS$105)&gt;0,$E$1=2),0,1)</f>
        <v>1</v>
      </c>
      <c r="BG101" s="67">
        <f ca="1">IF(AND(SUMIF(Capacity_Resource,$D101,'Critical resources (hide)'!BT$6:BT$105)+SUMIF(Capacity_Resource,$E101,'Critical resources (hide)'!BT$6:BT$105)+SUMIF(Capacity_Resource,$F101,'Critical resources (hide)'!BT$6:BT$105)&gt;0,$E$1=2),0,1)</f>
        <v>1</v>
      </c>
      <c r="BH101" s="67">
        <f>IF(ROW(C97)&lt;=Capacity!$A$16,IF('Capacity summary'!$D$14="No",SUM(H101:BG101),'Capacity summary'!$E220),0)</f>
        <v>0</v>
      </c>
      <c r="BI101" s="5" t="str">
        <f>IF(BH101&gt;0,IF(BH101&lt;Capacity!E113,Capacity!F113,Capacity!H113/'Capacity calculation (hide)'!BH101),"")</f>
        <v/>
      </c>
      <c r="BK101" s="313">
        <f>IF($BI101&lt;&gt;"",IF('Capacity summary'!$D$14="Yes",IF(COUNTBLANK('Capacity summary'!$H220:$BG220)&lt;52,IF('Capacity summary'!H220&lt;&gt;"",IF(LOWER('Capacity summary'!H220)="x",$BI101*H101,VALUE('Capacity summary'!H220)),0),H101*$BI101),H101*$BI101),0)</f>
        <v>0</v>
      </c>
      <c r="BL101" s="313">
        <f>IF($BI101&lt;&gt;"",IF('Capacity summary'!$D$14="Yes",IF(COUNTBLANK('Capacity summary'!$H220:$BG220)&lt;52,IF('Capacity summary'!I220&lt;&gt;"",IF(LOWER('Capacity summary'!I220)="x",$BI101*I101,VALUE('Capacity summary'!I220)),0),I101*$BI101),I101*$BI101),0)</f>
        <v>0</v>
      </c>
      <c r="BM101" s="313">
        <f>IF($BI101&lt;&gt;"",IF('Capacity summary'!$D$14="Yes",IF(COUNTBLANK('Capacity summary'!$H220:$BG220)&lt;52,IF('Capacity summary'!J220&lt;&gt;"",IF(LOWER('Capacity summary'!J220)="x",$BI101*J101,VALUE('Capacity summary'!J220)),0),J101*$BI101),J101*$BI101),0)</f>
        <v>0</v>
      </c>
      <c r="BN101" s="313">
        <f>IF($BI101&lt;&gt;"",IF('Capacity summary'!$D$14="Yes",IF(COUNTBLANK('Capacity summary'!$H220:$BG220)&lt;52,IF('Capacity summary'!K220&lt;&gt;"",IF(LOWER('Capacity summary'!K220)="x",$BI101*K101,VALUE('Capacity summary'!K220)),0),K101*$BI101),K101*$BI101),0)</f>
        <v>0</v>
      </c>
      <c r="BO101" s="313">
        <f>IF($BI101&lt;&gt;"",IF('Capacity summary'!$D$14="Yes",IF(COUNTBLANK('Capacity summary'!$H220:$BG220)&lt;52,IF('Capacity summary'!L220&lt;&gt;"",IF(LOWER('Capacity summary'!L220)="x",$BI101*L101,VALUE('Capacity summary'!L220)),0),L101*$BI101),L101*$BI101),0)</f>
        <v>0</v>
      </c>
      <c r="BP101" s="313">
        <f>IF($BI101&lt;&gt;"",IF('Capacity summary'!$D$14="Yes",IF(COUNTBLANK('Capacity summary'!$H220:$BG220)&lt;52,IF('Capacity summary'!M220&lt;&gt;"",IF(LOWER('Capacity summary'!M220)="x",$BI101*M101,VALUE('Capacity summary'!M220)),0),M101*$BI101),M101*$BI101),0)</f>
        <v>0</v>
      </c>
      <c r="BQ101" s="313">
        <f>IF($BI101&lt;&gt;"",IF('Capacity summary'!$D$14="Yes",IF(COUNTBLANK('Capacity summary'!$H220:$BG220)&lt;52,IF('Capacity summary'!N220&lt;&gt;"",IF(LOWER('Capacity summary'!N220)="x",$BI101*N101,VALUE('Capacity summary'!N220)),0),N101*$BI101),N101*$BI101),0)</f>
        <v>0</v>
      </c>
      <c r="BR101" s="313">
        <f>IF($BI101&lt;&gt;"",IF('Capacity summary'!$D$14="Yes",IF(COUNTBLANK('Capacity summary'!$H220:$BG220)&lt;52,IF('Capacity summary'!O220&lt;&gt;"",IF(LOWER('Capacity summary'!O220)="x",$BI101*O101,VALUE('Capacity summary'!O220)),0),O101*$BI101),O101*$BI101),0)</f>
        <v>0</v>
      </c>
      <c r="BS101" s="313">
        <f>IF($BI101&lt;&gt;"",IF('Capacity summary'!$D$14="Yes",IF(COUNTBLANK('Capacity summary'!$H220:$BG220)&lt;52,IF('Capacity summary'!P220&lt;&gt;"",IF(LOWER('Capacity summary'!P220)="x",$BI101*P101,VALUE('Capacity summary'!P220)),0),P101*$BI101),P101*$BI101),0)</f>
        <v>0</v>
      </c>
      <c r="BT101" s="313">
        <f>IF($BI101&lt;&gt;"",IF('Capacity summary'!$D$14="Yes",IF(COUNTBLANK('Capacity summary'!$H220:$BG220)&lt;52,IF('Capacity summary'!Q220&lt;&gt;"",IF(LOWER('Capacity summary'!Q220)="x",$BI101*Q101,VALUE('Capacity summary'!Q220)),0),Q101*$BI101),Q101*$BI101),0)</f>
        <v>0</v>
      </c>
      <c r="BU101" s="313">
        <f>IF($BI101&lt;&gt;"",IF('Capacity summary'!$D$14="Yes",IF(COUNTBLANK('Capacity summary'!$H220:$BG220)&lt;52,IF('Capacity summary'!R220&lt;&gt;"",IF(LOWER('Capacity summary'!R220)="x",$BI101*R101,VALUE('Capacity summary'!R220)),0),R101*$BI101),R101*$BI101),0)</f>
        <v>0</v>
      </c>
      <c r="BV101" s="313">
        <f>IF($BI101&lt;&gt;"",IF('Capacity summary'!$D$14="Yes",IF(COUNTBLANK('Capacity summary'!$H220:$BG220)&lt;52,IF('Capacity summary'!S220&lt;&gt;"",IF(LOWER('Capacity summary'!S220)="x",$BI101*S101,VALUE('Capacity summary'!S220)),0),S101*$BI101),S101*$BI101),0)</f>
        <v>0</v>
      </c>
      <c r="BW101" s="313">
        <f>IF($BI101&lt;&gt;"",IF('Capacity summary'!$D$14="Yes",IF(COUNTBLANK('Capacity summary'!$H220:$BG220)&lt;52,IF('Capacity summary'!T220&lt;&gt;"",IF(LOWER('Capacity summary'!T220)="x",$BI101*T101,VALUE('Capacity summary'!T220)),0),T101*$BI101),T101*$BI101),0)</f>
        <v>0</v>
      </c>
      <c r="BX101" s="313">
        <f>IF($BI101&lt;&gt;"",IF('Capacity summary'!$D$14="Yes",IF(COUNTBLANK('Capacity summary'!$H220:$BG220)&lt;52,IF('Capacity summary'!U220&lt;&gt;"",IF(LOWER('Capacity summary'!U220)="x",$BI101*U101,VALUE('Capacity summary'!U220)),0),U101*$BI101),U101*$BI101),0)</f>
        <v>0</v>
      </c>
      <c r="BY101" s="313">
        <f>IF($BI101&lt;&gt;"",IF('Capacity summary'!$D$14="Yes",IF(COUNTBLANK('Capacity summary'!$H220:$BG220)&lt;52,IF('Capacity summary'!V220&lt;&gt;"",IF(LOWER('Capacity summary'!V220)="x",$BI101*V101,VALUE('Capacity summary'!V220)),0),V101*$BI101),V101*$BI101),0)</f>
        <v>0</v>
      </c>
      <c r="BZ101" s="313">
        <f>IF($BI101&lt;&gt;"",IF('Capacity summary'!$D$14="Yes",IF(COUNTBLANK('Capacity summary'!$H220:$BG220)&lt;52,IF('Capacity summary'!W220&lt;&gt;"",IF(LOWER('Capacity summary'!W220)="x",$BI101*W101,VALUE('Capacity summary'!W220)),0),W101*$BI101),W101*$BI101),0)</f>
        <v>0</v>
      </c>
      <c r="CA101" s="313">
        <f>IF($BI101&lt;&gt;"",IF('Capacity summary'!$D$14="Yes",IF(COUNTBLANK('Capacity summary'!$H220:$BG220)&lt;52,IF('Capacity summary'!X220&lt;&gt;"",IF(LOWER('Capacity summary'!X220)="x",$BI101*X101,VALUE('Capacity summary'!X220)),0),X101*$BI101),X101*$BI101),0)</f>
        <v>0</v>
      </c>
      <c r="CB101" s="313">
        <f>IF($BI101&lt;&gt;"",IF('Capacity summary'!$D$14="Yes",IF(COUNTBLANK('Capacity summary'!$H220:$BG220)&lt;52,IF('Capacity summary'!Y220&lt;&gt;"",IF(LOWER('Capacity summary'!Y220)="x",$BI101*Y101,VALUE('Capacity summary'!Y220)),0),Y101*$BI101),Y101*$BI101),0)</f>
        <v>0</v>
      </c>
      <c r="CC101" s="313">
        <f>IF($BI101&lt;&gt;"",IF('Capacity summary'!$D$14="Yes",IF(COUNTBLANK('Capacity summary'!$H220:$BG220)&lt;52,IF('Capacity summary'!Z220&lt;&gt;"",IF(LOWER('Capacity summary'!Z220)="x",$BI101*Z101,VALUE('Capacity summary'!Z220)),0),Z101*$BI101),Z101*$BI101),0)</f>
        <v>0</v>
      </c>
      <c r="CD101" s="313">
        <f>IF($BI101&lt;&gt;"",IF('Capacity summary'!$D$14="Yes",IF(COUNTBLANK('Capacity summary'!$H220:$BG220)&lt;52,IF('Capacity summary'!AA220&lt;&gt;"",IF(LOWER('Capacity summary'!AA220)="x",$BI101*AA101,VALUE('Capacity summary'!AA220)),0),AA101*$BI101),AA101*$BI101),0)</f>
        <v>0</v>
      </c>
      <c r="CE101" s="313">
        <f>IF($BI101&lt;&gt;"",IF('Capacity summary'!$D$14="Yes",IF(COUNTBLANK('Capacity summary'!$H220:$BG220)&lt;52,IF('Capacity summary'!AB220&lt;&gt;"",IF(LOWER('Capacity summary'!AB220)="x",$BI101*AB101,VALUE('Capacity summary'!AB220)),0),AB101*$BI101),AB101*$BI101),0)</f>
        <v>0</v>
      </c>
      <c r="CF101" s="313">
        <f>IF($BI101&lt;&gt;"",IF('Capacity summary'!$D$14="Yes",IF(COUNTBLANK('Capacity summary'!$H220:$BG220)&lt;52,IF('Capacity summary'!AC220&lt;&gt;"",IF(LOWER('Capacity summary'!AC220)="x",$BI101*AC101,VALUE('Capacity summary'!AC220)),0),AC101*$BI101),AC101*$BI101),0)</f>
        <v>0</v>
      </c>
      <c r="CG101" s="313">
        <f>IF($BI101&lt;&gt;"",IF('Capacity summary'!$D$14="Yes",IF(COUNTBLANK('Capacity summary'!$H220:$BG220)&lt;52,IF('Capacity summary'!AD220&lt;&gt;"",IF(LOWER('Capacity summary'!AD220)="x",$BI101*AD101,VALUE('Capacity summary'!AD220)),0),AD101*$BI101),AD101*$BI101),0)</f>
        <v>0</v>
      </c>
      <c r="CH101" s="313">
        <f>IF($BI101&lt;&gt;"",IF('Capacity summary'!$D$14="Yes",IF(COUNTBLANK('Capacity summary'!$H220:$BG220)&lt;52,IF('Capacity summary'!AE220&lt;&gt;"",IF(LOWER('Capacity summary'!AE220)="x",$BI101*AE101,VALUE('Capacity summary'!AE220)),0),AE101*$BI101),AE101*$BI101),0)</f>
        <v>0</v>
      </c>
      <c r="CI101" s="313">
        <f>IF($BI101&lt;&gt;"",IF('Capacity summary'!$D$14="Yes",IF(COUNTBLANK('Capacity summary'!$H220:$BG220)&lt;52,IF('Capacity summary'!AF220&lt;&gt;"",IF(LOWER('Capacity summary'!AF220)="x",$BI101*AF101,VALUE('Capacity summary'!AF220)),0),AF101*$BI101),AF101*$BI101),0)</f>
        <v>0</v>
      </c>
      <c r="CJ101" s="313">
        <f>IF($BI101&lt;&gt;"",IF('Capacity summary'!$D$14="Yes",IF(COUNTBLANK('Capacity summary'!$H220:$BG220)&lt;52,IF('Capacity summary'!AG220&lt;&gt;"",IF(LOWER('Capacity summary'!AG220)="x",$BI101*AG101,VALUE('Capacity summary'!AG220)),0),AG101*$BI101),AG101*$BI101),0)</f>
        <v>0</v>
      </c>
      <c r="CK101" s="313">
        <f>IF($BI101&lt;&gt;"",IF('Capacity summary'!$D$14="Yes",IF(COUNTBLANK('Capacity summary'!$H220:$BG220)&lt;52,IF('Capacity summary'!AH220&lt;&gt;"",IF(LOWER('Capacity summary'!AH220)="x",$BI101*AH101,VALUE('Capacity summary'!AH220)),0),AH101*$BI101),AH101*$BI101),0)</f>
        <v>0</v>
      </c>
      <c r="CL101" s="313">
        <f>IF($BI101&lt;&gt;"",IF('Capacity summary'!$D$14="Yes",IF(COUNTBLANK('Capacity summary'!$H220:$BG220)&lt;52,IF('Capacity summary'!AI220&lt;&gt;"",IF(LOWER('Capacity summary'!AI220)="x",$BI101*AI101,VALUE('Capacity summary'!AI220)),0),AI101*$BI101),AI101*$BI101),0)</f>
        <v>0</v>
      </c>
      <c r="CM101" s="313">
        <f>IF($BI101&lt;&gt;"",IF('Capacity summary'!$D$14="Yes",IF(COUNTBLANK('Capacity summary'!$H220:$BG220)&lt;52,IF('Capacity summary'!AJ220&lt;&gt;"",IF(LOWER('Capacity summary'!AJ220)="x",$BI101*AJ101,VALUE('Capacity summary'!AJ220)),0),AJ101*$BI101),AJ101*$BI101),0)</f>
        <v>0</v>
      </c>
      <c r="CN101" s="313">
        <f>IF($BI101&lt;&gt;"",IF('Capacity summary'!$D$14="Yes",IF(COUNTBLANK('Capacity summary'!$H220:$BG220)&lt;52,IF('Capacity summary'!AK220&lt;&gt;"",IF(LOWER('Capacity summary'!AK220)="x",$BI101*AK101,VALUE('Capacity summary'!AK220)),0),AK101*$BI101),AK101*$BI101),0)</f>
        <v>0</v>
      </c>
      <c r="CO101" s="313">
        <f>IF($BI101&lt;&gt;"",IF('Capacity summary'!$D$14="Yes",IF(COUNTBLANK('Capacity summary'!$H220:$BG220)&lt;52,IF('Capacity summary'!AL220&lt;&gt;"",IF(LOWER('Capacity summary'!AL220)="x",$BI101*AL101,VALUE('Capacity summary'!AL220)),0),AL101*$BI101),AL101*$BI101),0)</f>
        <v>0</v>
      </c>
      <c r="CP101" s="313">
        <f>IF($BI101&lt;&gt;"",IF('Capacity summary'!$D$14="Yes",IF(COUNTBLANK('Capacity summary'!$H220:$BG220)&lt;52,IF('Capacity summary'!AM220&lt;&gt;"",IF(LOWER('Capacity summary'!AM220)="x",$BI101*AM101,VALUE('Capacity summary'!AM220)),0),AM101*$BI101),AM101*$BI101),0)</f>
        <v>0</v>
      </c>
      <c r="CQ101" s="313">
        <f>IF($BI101&lt;&gt;"",IF('Capacity summary'!$D$14="Yes",IF(COUNTBLANK('Capacity summary'!$H220:$BG220)&lt;52,IF('Capacity summary'!AN220&lt;&gt;"",IF(LOWER('Capacity summary'!AN220)="x",$BI101*AN101,VALUE('Capacity summary'!AN220)),0),AN101*$BI101),AN101*$BI101),0)</f>
        <v>0</v>
      </c>
      <c r="CR101" s="313">
        <f>IF($BI101&lt;&gt;"",IF('Capacity summary'!$D$14="Yes",IF(COUNTBLANK('Capacity summary'!$H220:$BG220)&lt;52,IF('Capacity summary'!AO220&lt;&gt;"",IF(LOWER('Capacity summary'!AO220)="x",$BI101*AO101,VALUE('Capacity summary'!AO220)),0),AO101*$BI101),AO101*$BI101),0)</f>
        <v>0</v>
      </c>
      <c r="CS101" s="313">
        <f>IF($BI101&lt;&gt;"",IF('Capacity summary'!$D$14="Yes",IF(COUNTBLANK('Capacity summary'!$H220:$BG220)&lt;52,IF('Capacity summary'!AP220&lt;&gt;"",IF(LOWER('Capacity summary'!AP220)="x",$BI101*AP101,VALUE('Capacity summary'!AP220)),0),AP101*$BI101),AP101*$BI101),0)</f>
        <v>0</v>
      </c>
      <c r="CT101" s="313">
        <f>IF($BI101&lt;&gt;"",IF('Capacity summary'!$D$14="Yes",IF(COUNTBLANK('Capacity summary'!$H220:$BG220)&lt;52,IF('Capacity summary'!AQ220&lt;&gt;"",IF(LOWER('Capacity summary'!AQ220)="x",$BI101*AQ101,VALUE('Capacity summary'!AQ220)),0),AQ101*$BI101),AQ101*$BI101),0)</f>
        <v>0</v>
      </c>
      <c r="CU101" s="313">
        <f>IF($BI101&lt;&gt;"",IF('Capacity summary'!$D$14="Yes",IF(COUNTBLANK('Capacity summary'!$H220:$BG220)&lt;52,IF('Capacity summary'!AR220&lt;&gt;"",IF(LOWER('Capacity summary'!AR220)="x",$BI101*AR101,VALUE('Capacity summary'!AR220)),0),AR101*$BI101),AR101*$BI101),0)</f>
        <v>0</v>
      </c>
      <c r="CV101" s="313">
        <f>IF($BI101&lt;&gt;"",IF('Capacity summary'!$D$14="Yes",IF(COUNTBLANK('Capacity summary'!$H220:$BG220)&lt;52,IF('Capacity summary'!AS220&lt;&gt;"",IF(LOWER('Capacity summary'!AS220)="x",$BI101*AS101,VALUE('Capacity summary'!AS220)),0),AS101*$BI101),AS101*$BI101),0)</f>
        <v>0</v>
      </c>
      <c r="CW101" s="313">
        <f>IF($BI101&lt;&gt;"",IF('Capacity summary'!$D$14="Yes",IF(COUNTBLANK('Capacity summary'!$H220:$BG220)&lt;52,IF('Capacity summary'!AT220&lt;&gt;"",IF(LOWER('Capacity summary'!AT220)="x",$BI101*AT101,VALUE('Capacity summary'!AT220)),0),AT101*$BI101),AT101*$BI101),0)</f>
        <v>0</v>
      </c>
      <c r="CX101" s="313">
        <f>IF($BI101&lt;&gt;"",IF('Capacity summary'!$D$14="Yes",IF(COUNTBLANK('Capacity summary'!$H220:$BG220)&lt;52,IF('Capacity summary'!AU220&lt;&gt;"",IF(LOWER('Capacity summary'!AU220)="x",$BI101*AU101,VALUE('Capacity summary'!AU220)),0),AU101*$BI101),AU101*$BI101),0)</f>
        <v>0</v>
      </c>
      <c r="CY101" s="313">
        <f>IF($BI101&lt;&gt;"",IF('Capacity summary'!$D$14="Yes",IF(COUNTBLANK('Capacity summary'!$H220:$BG220)&lt;52,IF('Capacity summary'!AV220&lt;&gt;"",IF(LOWER('Capacity summary'!AV220)="x",$BI101*AV101,VALUE('Capacity summary'!AV220)),0),AV101*$BI101),AV101*$BI101),0)</f>
        <v>0</v>
      </c>
      <c r="CZ101" s="313">
        <f>IF($BI101&lt;&gt;"",IF('Capacity summary'!$D$14="Yes",IF(COUNTBLANK('Capacity summary'!$H220:$BG220)&lt;52,IF('Capacity summary'!AW220&lt;&gt;"",IF(LOWER('Capacity summary'!AW220)="x",$BI101*AW101,VALUE('Capacity summary'!AW220)),0),AW101*$BI101),AW101*$BI101),0)</f>
        <v>0</v>
      </c>
      <c r="DA101" s="313">
        <f>IF($BI101&lt;&gt;"",IF('Capacity summary'!$D$14="Yes",IF(COUNTBLANK('Capacity summary'!$H220:$BG220)&lt;52,IF('Capacity summary'!AX220&lt;&gt;"",IF(LOWER('Capacity summary'!AX220)="x",$BI101*AX101,VALUE('Capacity summary'!AX220)),0),AX101*$BI101),AX101*$BI101),0)</f>
        <v>0</v>
      </c>
      <c r="DB101" s="313">
        <f>IF($BI101&lt;&gt;"",IF('Capacity summary'!$D$14="Yes",IF(COUNTBLANK('Capacity summary'!$H220:$BG220)&lt;52,IF('Capacity summary'!AY220&lt;&gt;"",IF(LOWER('Capacity summary'!AY220)="x",$BI101*AY101,VALUE('Capacity summary'!AY220)),0),AY101*$BI101),AY101*$BI101),0)</f>
        <v>0</v>
      </c>
      <c r="DC101" s="313">
        <f>IF($BI101&lt;&gt;"",IF('Capacity summary'!$D$14="Yes",IF(COUNTBLANK('Capacity summary'!$H220:$BG220)&lt;52,IF('Capacity summary'!AZ220&lt;&gt;"",IF(LOWER('Capacity summary'!AZ220)="x",$BI101*AZ101,VALUE('Capacity summary'!AZ220)),0),AZ101*$BI101),AZ101*$BI101),0)</f>
        <v>0</v>
      </c>
      <c r="DD101" s="313">
        <f>IF($BI101&lt;&gt;"",IF('Capacity summary'!$D$14="Yes",IF(COUNTBLANK('Capacity summary'!$H220:$BG220)&lt;52,IF('Capacity summary'!BA220&lt;&gt;"",IF(LOWER('Capacity summary'!BA220)="x",$BI101*BA101,VALUE('Capacity summary'!BA220)),0),BA101*$BI101),BA101*$BI101),0)</f>
        <v>0</v>
      </c>
      <c r="DE101" s="313">
        <f>IF($BI101&lt;&gt;"",IF('Capacity summary'!$D$14="Yes",IF(COUNTBLANK('Capacity summary'!$H220:$BG220)&lt;52,IF('Capacity summary'!BB220&lt;&gt;"",IF(LOWER('Capacity summary'!BB220)="x",$BI101*BB101,VALUE('Capacity summary'!BB220)),0),BB101*$BI101),BB101*$BI101),0)</f>
        <v>0</v>
      </c>
      <c r="DF101" s="313">
        <f>IF($BI101&lt;&gt;"",IF('Capacity summary'!$D$14="Yes",IF(COUNTBLANK('Capacity summary'!$H220:$BG220)&lt;52,IF('Capacity summary'!BC220&lt;&gt;"",IF(LOWER('Capacity summary'!BC220)="x",$BI101*BC101,VALUE('Capacity summary'!BC220)),0),BC101*$BI101),BC101*$BI101),0)</f>
        <v>0</v>
      </c>
      <c r="DG101" s="313">
        <f>IF($BI101&lt;&gt;"",IF('Capacity summary'!$D$14="Yes",IF(COUNTBLANK('Capacity summary'!$H220:$BG220)&lt;52,IF('Capacity summary'!BD220&lt;&gt;"",IF(LOWER('Capacity summary'!BD220)="x",$BI101*BD101,VALUE('Capacity summary'!BD220)),0),BD101*$BI101),BD101*$BI101),0)</f>
        <v>0</v>
      </c>
      <c r="DH101" s="313">
        <f>IF($BI101&lt;&gt;"",IF('Capacity summary'!$D$14="Yes",IF(COUNTBLANK('Capacity summary'!$H220:$BG220)&lt;52,IF('Capacity summary'!BE220&lt;&gt;"",IF(LOWER('Capacity summary'!BE220)="x",$BI101*BE101,VALUE('Capacity summary'!BE220)),0),BE101*$BI101),BE101*$BI101),0)</f>
        <v>0</v>
      </c>
      <c r="DI101" s="313">
        <f>IF($BI101&lt;&gt;"",IF('Capacity summary'!$D$14="Yes",IF(COUNTBLANK('Capacity summary'!$H220:$BG220)&lt;52,IF('Capacity summary'!BF220&lt;&gt;"",IF(LOWER('Capacity summary'!BF220)="x",$BI101*BF101,VALUE('Capacity summary'!BF220)),0),BF101*$BI101),BF101*$BI101),0)</f>
        <v>0</v>
      </c>
      <c r="DJ101" s="313">
        <f>IF($BI101&lt;&gt;"",IF('Capacity summary'!$D$14="Yes",IF(COUNTBLANK('Capacity summary'!$H220:$BG220)&lt;52,IF('Capacity summary'!BG220&lt;&gt;"",IF(LOWER('Capacity summary'!BG220)="x",$BI101*BG101,VALUE('Capacity summary'!BG220)),0),BG101*$BI101),BG101*$BI101),0)</f>
        <v>0</v>
      </c>
      <c r="DK101" s="137">
        <f t="shared" si="3"/>
        <v>0</v>
      </c>
      <c r="DL101" s="313" t="str">
        <f>Capacity!H113</f>
        <v/>
      </c>
    </row>
    <row r="102" spans="2:116" x14ac:dyDescent="0.25">
      <c r="B102" s="67"/>
      <c r="C102" s="67" t="str">
        <f>ROW(A98)&amp;". "&amp;Capacity!B114</f>
        <v xml:space="preserve">98. </v>
      </c>
      <c r="D102" s="67">
        <f>'Capacity setup'!C109</f>
        <v>0</v>
      </c>
      <c r="E102" s="67">
        <f>'Capacity setup'!D109</f>
        <v>0</v>
      </c>
      <c r="F102" s="67">
        <f>'Capacity setup'!E109</f>
        <v>0</v>
      </c>
      <c r="H102" s="67">
        <f ca="1">IF(AND(SUMIF(Capacity_Resource,$D102,'Critical resources (hide)'!U$6:U$105)+SUMIF(Capacity_Resource,$E102,'Critical resources (hide)'!U$6:U$105)+SUMIF(Capacity_Resource,$F102,'Critical resources (hide)'!U$6:U$105)&gt;0,$E$1=2),0,1)</f>
        <v>1</v>
      </c>
      <c r="I102" s="67">
        <f ca="1">IF(AND(SUMIF(Capacity_Resource,$D102,'Critical resources (hide)'!V$6:V$105)+SUMIF(Capacity_Resource,$E102,'Critical resources (hide)'!V$6:V$105)+SUMIF(Capacity_Resource,$F102,'Critical resources (hide)'!V$6:V$105)&gt;0,$E$1=2),0,1)</f>
        <v>1</v>
      </c>
      <c r="J102" s="67">
        <f ca="1">IF(AND(SUMIF(Capacity_Resource,$D102,'Critical resources (hide)'!W$6:W$105)+SUMIF(Capacity_Resource,$E102,'Critical resources (hide)'!W$6:W$105)+SUMIF(Capacity_Resource,$F102,'Critical resources (hide)'!W$6:W$105)&gt;0,$E$1=2),0,1)</f>
        <v>1</v>
      </c>
      <c r="K102" s="67">
        <f ca="1">IF(AND(SUMIF(Capacity_Resource,$D102,'Critical resources (hide)'!X$6:X$105)+SUMIF(Capacity_Resource,$E102,'Critical resources (hide)'!X$6:X$105)+SUMIF(Capacity_Resource,$F102,'Critical resources (hide)'!X$6:X$105)&gt;0,$E$1=2),0,1)</f>
        <v>1</v>
      </c>
      <c r="L102" s="67">
        <f ca="1">IF(AND(SUMIF(Capacity_Resource,$D102,'Critical resources (hide)'!Y$6:Y$105)+SUMIF(Capacity_Resource,$E102,'Critical resources (hide)'!Y$6:Y$105)+SUMIF(Capacity_Resource,$F102,'Critical resources (hide)'!Y$6:Y$105)&gt;0,$E$1=2),0,1)</f>
        <v>1</v>
      </c>
      <c r="M102" s="67">
        <f ca="1">IF(AND(SUMIF(Capacity_Resource,$D102,'Critical resources (hide)'!Z$6:Z$105)+SUMIF(Capacity_Resource,$E102,'Critical resources (hide)'!Z$6:Z$105)+SUMIF(Capacity_Resource,$F102,'Critical resources (hide)'!Z$6:Z$105)&gt;0,$E$1=2),0,1)</f>
        <v>1</v>
      </c>
      <c r="N102" s="67">
        <f ca="1">IF(AND(SUMIF(Capacity_Resource,$D102,'Critical resources (hide)'!AA$6:AA$105)+SUMIF(Capacity_Resource,$E102,'Critical resources (hide)'!AA$6:AA$105)+SUMIF(Capacity_Resource,$F102,'Critical resources (hide)'!AA$6:AA$105)&gt;0,$E$1=2),0,1)</f>
        <v>1</v>
      </c>
      <c r="O102" s="67">
        <f ca="1">IF(AND(SUMIF(Capacity_Resource,$D102,'Critical resources (hide)'!AB$6:AB$105)+SUMIF(Capacity_Resource,$E102,'Critical resources (hide)'!AB$6:AB$105)+SUMIF(Capacity_Resource,$F102,'Critical resources (hide)'!AB$6:AB$105)&gt;0,$E$1=2),0,1)</f>
        <v>1</v>
      </c>
      <c r="P102" s="67">
        <f ca="1">IF(AND(SUMIF(Capacity_Resource,$D102,'Critical resources (hide)'!AC$6:AC$105)+SUMIF(Capacity_Resource,$E102,'Critical resources (hide)'!AC$6:AC$105)+SUMIF(Capacity_Resource,$F102,'Critical resources (hide)'!AC$6:AC$105)&gt;0,$E$1=2),0,1)</f>
        <v>1</v>
      </c>
      <c r="Q102" s="67">
        <f ca="1">IF(AND(SUMIF(Capacity_Resource,$D102,'Critical resources (hide)'!AD$6:AD$105)+SUMIF(Capacity_Resource,$E102,'Critical resources (hide)'!AD$6:AD$105)+SUMIF(Capacity_Resource,$F102,'Critical resources (hide)'!AD$6:AD$105)&gt;0,$E$1=2),0,1)</f>
        <v>1</v>
      </c>
      <c r="R102" s="67">
        <f ca="1">IF(AND(SUMIF(Capacity_Resource,$D102,'Critical resources (hide)'!AE$6:AE$105)+SUMIF(Capacity_Resource,$E102,'Critical resources (hide)'!AE$6:AE$105)+SUMIF(Capacity_Resource,$F102,'Critical resources (hide)'!AE$6:AE$105)&gt;0,$E$1=2),0,1)</f>
        <v>1</v>
      </c>
      <c r="S102" s="67">
        <f ca="1">IF(AND(SUMIF(Capacity_Resource,$D102,'Critical resources (hide)'!AF$6:AF$105)+SUMIF(Capacity_Resource,$E102,'Critical resources (hide)'!AF$6:AF$105)+SUMIF(Capacity_Resource,$F102,'Critical resources (hide)'!AF$6:AF$105)&gt;0,$E$1=2),0,1)</f>
        <v>1</v>
      </c>
      <c r="T102" s="67">
        <f ca="1">IF(AND(SUMIF(Capacity_Resource,$D102,'Critical resources (hide)'!AG$6:AG$105)+SUMIF(Capacity_Resource,$E102,'Critical resources (hide)'!AG$6:AG$105)+SUMIF(Capacity_Resource,$F102,'Critical resources (hide)'!AG$6:AG$105)&gt;0,$E$1=2),0,1)</f>
        <v>1</v>
      </c>
      <c r="U102" s="67">
        <f ca="1">IF(AND(SUMIF(Capacity_Resource,$D102,'Critical resources (hide)'!AH$6:AH$105)+SUMIF(Capacity_Resource,$E102,'Critical resources (hide)'!AH$6:AH$105)+SUMIF(Capacity_Resource,$F102,'Critical resources (hide)'!AH$6:AH$105)&gt;0,$E$1=2),0,1)</f>
        <v>1</v>
      </c>
      <c r="V102" s="67">
        <f ca="1">IF(AND(SUMIF(Capacity_Resource,$D102,'Critical resources (hide)'!AI$6:AI$105)+SUMIF(Capacity_Resource,$E102,'Critical resources (hide)'!AI$6:AI$105)+SUMIF(Capacity_Resource,$F102,'Critical resources (hide)'!AI$6:AI$105)&gt;0,$E$1=2),0,1)</f>
        <v>1</v>
      </c>
      <c r="W102" s="67">
        <f ca="1">IF(AND(SUMIF(Capacity_Resource,$D102,'Critical resources (hide)'!AJ$6:AJ$105)+SUMIF(Capacity_Resource,$E102,'Critical resources (hide)'!AJ$6:AJ$105)+SUMIF(Capacity_Resource,$F102,'Critical resources (hide)'!AJ$6:AJ$105)&gt;0,$E$1=2),0,1)</f>
        <v>1</v>
      </c>
      <c r="X102" s="67">
        <f ca="1">IF(AND(SUMIF(Capacity_Resource,$D102,'Critical resources (hide)'!AK$6:AK$105)+SUMIF(Capacity_Resource,$E102,'Critical resources (hide)'!AK$6:AK$105)+SUMIF(Capacity_Resource,$F102,'Critical resources (hide)'!AK$6:AK$105)&gt;0,$E$1=2),0,1)</f>
        <v>1</v>
      </c>
      <c r="Y102" s="67">
        <f ca="1">IF(AND(SUMIF(Capacity_Resource,$D102,'Critical resources (hide)'!AL$6:AL$105)+SUMIF(Capacity_Resource,$E102,'Critical resources (hide)'!AL$6:AL$105)+SUMIF(Capacity_Resource,$F102,'Critical resources (hide)'!AL$6:AL$105)&gt;0,$E$1=2),0,1)</f>
        <v>1</v>
      </c>
      <c r="Z102" s="67">
        <f ca="1">IF(AND(SUMIF(Capacity_Resource,$D102,'Critical resources (hide)'!AM$6:AM$105)+SUMIF(Capacity_Resource,$E102,'Critical resources (hide)'!AM$6:AM$105)+SUMIF(Capacity_Resource,$F102,'Critical resources (hide)'!AM$6:AM$105)&gt;0,$E$1=2),0,1)</f>
        <v>1</v>
      </c>
      <c r="AA102" s="67">
        <f ca="1">IF(AND(SUMIF(Capacity_Resource,$D102,'Critical resources (hide)'!AN$6:AN$105)+SUMIF(Capacity_Resource,$E102,'Critical resources (hide)'!AN$6:AN$105)+SUMIF(Capacity_Resource,$F102,'Critical resources (hide)'!AN$6:AN$105)&gt;0,$E$1=2),0,1)</f>
        <v>1</v>
      </c>
      <c r="AB102" s="67">
        <f ca="1">IF(AND(SUMIF(Capacity_Resource,$D102,'Critical resources (hide)'!AO$6:AO$105)+SUMIF(Capacity_Resource,$E102,'Critical resources (hide)'!AO$6:AO$105)+SUMIF(Capacity_Resource,$F102,'Critical resources (hide)'!AO$6:AO$105)&gt;0,$E$1=2),0,1)</f>
        <v>1</v>
      </c>
      <c r="AC102" s="67">
        <f ca="1">IF(AND(SUMIF(Capacity_Resource,$D102,'Critical resources (hide)'!AP$6:AP$105)+SUMIF(Capacity_Resource,$E102,'Critical resources (hide)'!AP$6:AP$105)+SUMIF(Capacity_Resource,$F102,'Critical resources (hide)'!AP$6:AP$105)&gt;0,$E$1=2),0,1)</f>
        <v>1</v>
      </c>
      <c r="AD102" s="67">
        <f ca="1">IF(AND(SUMIF(Capacity_Resource,$D102,'Critical resources (hide)'!AQ$6:AQ$105)+SUMIF(Capacity_Resource,$E102,'Critical resources (hide)'!AQ$6:AQ$105)+SUMIF(Capacity_Resource,$F102,'Critical resources (hide)'!AQ$6:AQ$105)&gt;0,$E$1=2),0,1)</f>
        <v>1</v>
      </c>
      <c r="AE102" s="67">
        <f ca="1">IF(AND(SUMIF(Capacity_Resource,$D102,'Critical resources (hide)'!AR$6:AR$105)+SUMIF(Capacity_Resource,$E102,'Critical resources (hide)'!AR$6:AR$105)+SUMIF(Capacity_Resource,$F102,'Critical resources (hide)'!AR$6:AR$105)&gt;0,$E$1=2),0,1)</f>
        <v>1</v>
      </c>
      <c r="AF102" s="67">
        <f ca="1">IF(AND(SUMIF(Capacity_Resource,$D102,'Critical resources (hide)'!AS$6:AS$105)+SUMIF(Capacity_Resource,$E102,'Critical resources (hide)'!AS$6:AS$105)+SUMIF(Capacity_Resource,$F102,'Critical resources (hide)'!AS$6:AS$105)&gt;0,$E$1=2),0,1)</f>
        <v>1</v>
      </c>
      <c r="AG102" s="67">
        <f ca="1">IF(AND(SUMIF(Capacity_Resource,$D102,'Critical resources (hide)'!AT$6:AT$105)+SUMIF(Capacity_Resource,$E102,'Critical resources (hide)'!AT$6:AT$105)+SUMIF(Capacity_Resource,$F102,'Critical resources (hide)'!AT$6:AT$105)&gt;0,$E$1=2),0,1)</f>
        <v>1</v>
      </c>
      <c r="AH102" s="67">
        <f ca="1">IF(AND(SUMIF(Capacity_Resource,$D102,'Critical resources (hide)'!AU$6:AU$105)+SUMIF(Capacity_Resource,$E102,'Critical resources (hide)'!AU$6:AU$105)+SUMIF(Capacity_Resource,$F102,'Critical resources (hide)'!AU$6:AU$105)&gt;0,$E$1=2),0,1)</f>
        <v>1</v>
      </c>
      <c r="AI102" s="67">
        <f ca="1">IF(AND(SUMIF(Capacity_Resource,$D102,'Critical resources (hide)'!AV$6:AV$105)+SUMIF(Capacity_Resource,$E102,'Critical resources (hide)'!AV$6:AV$105)+SUMIF(Capacity_Resource,$F102,'Critical resources (hide)'!AV$6:AV$105)&gt;0,$E$1=2),0,1)</f>
        <v>1</v>
      </c>
      <c r="AJ102" s="67">
        <f ca="1">IF(AND(SUMIF(Capacity_Resource,$D102,'Critical resources (hide)'!AW$6:AW$105)+SUMIF(Capacity_Resource,$E102,'Critical resources (hide)'!AW$6:AW$105)+SUMIF(Capacity_Resource,$F102,'Critical resources (hide)'!AW$6:AW$105)&gt;0,$E$1=2),0,1)</f>
        <v>1</v>
      </c>
      <c r="AK102" s="67">
        <f ca="1">IF(AND(SUMIF(Capacity_Resource,$D102,'Critical resources (hide)'!AX$6:AX$105)+SUMIF(Capacity_Resource,$E102,'Critical resources (hide)'!AX$6:AX$105)+SUMIF(Capacity_Resource,$F102,'Critical resources (hide)'!AX$6:AX$105)&gt;0,$E$1=2),0,1)</f>
        <v>1</v>
      </c>
      <c r="AL102" s="67">
        <f ca="1">IF(AND(SUMIF(Capacity_Resource,$D102,'Critical resources (hide)'!AY$6:AY$105)+SUMIF(Capacity_Resource,$E102,'Critical resources (hide)'!AY$6:AY$105)+SUMIF(Capacity_Resource,$F102,'Critical resources (hide)'!AY$6:AY$105)&gt;0,$E$1=2),0,1)</f>
        <v>1</v>
      </c>
      <c r="AM102" s="67">
        <f ca="1">IF(AND(SUMIF(Capacity_Resource,$D102,'Critical resources (hide)'!AZ$6:AZ$105)+SUMIF(Capacity_Resource,$E102,'Critical resources (hide)'!AZ$6:AZ$105)+SUMIF(Capacity_Resource,$F102,'Critical resources (hide)'!AZ$6:AZ$105)&gt;0,$E$1=2),0,1)</f>
        <v>1</v>
      </c>
      <c r="AN102" s="67">
        <f ca="1">IF(AND(SUMIF(Capacity_Resource,$D102,'Critical resources (hide)'!BA$6:BA$105)+SUMIF(Capacity_Resource,$E102,'Critical resources (hide)'!BA$6:BA$105)+SUMIF(Capacity_Resource,$F102,'Critical resources (hide)'!BA$6:BA$105)&gt;0,$E$1=2),0,1)</f>
        <v>1</v>
      </c>
      <c r="AO102" s="67">
        <f ca="1">IF(AND(SUMIF(Capacity_Resource,$D102,'Critical resources (hide)'!BB$6:BB$105)+SUMIF(Capacity_Resource,$E102,'Critical resources (hide)'!BB$6:BB$105)+SUMIF(Capacity_Resource,$F102,'Critical resources (hide)'!BB$6:BB$105)&gt;0,$E$1=2),0,1)</f>
        <v>1</v>
      </c>
      <c r="AP102" s="67">
        <f ca="1">IF(AND(SUMIF(Capacity_Resource,$D102,'Critical resources (hide)'!BC$6:BC$105)+SUMIF(Capacity_Resource,$E102,'Critical resources (hide)'!BC$6:BC$105)+SUMIF(Capacity_Resource,$F102,'Critical resources (hide)'!BC$6:BC$105)&gt;0,$E$1=2),0,1)</f>
        <v>1</v>
      </c>
      <c r="AQ102" s="67">
        <f ca="1">IF(AND(SUMIF(Capacity_Resource,$D102,'Critical resources (hide)'!BD$6:BD$105)+SUMIF(Capacity_Resource,$E102,'Critical resources (hide)'!BD$6:BD$105)+SUMIF(Capacity_Resource,$F102,'Critical resources (hide)'!BD$6:BD$105)&gt;0,$E$1=2),0,1)</f>
        <v>1</v>
      </c>
      <c r="AR102" s="67">
        <f ca="1">IF(AND(SUMIF(Capacity_Resource,$D102,'Critical resources (hide)'!BE$6:BE$105)+SUMIF(Capacity_Resource,$E102,'Critical resources (hide)'!BE$6:BE$105)+SUMIF(Capacity_Resource,$F102,'Critical resources (hide)'!BE$6:BE$105)&gt;0,$E$1=2),0,1)</f>
        <v>1</v>
      </c>
      <c r="AS102" s="67">
        <f ca="1">IF(AND(SUMIF(Capacity_Resource,$D102,'Critical resources (hide)'!BF$6:BF$105)+SUMIF(Capacity_Resource,$E102,'Critical resources (hide)'!BF$6:BF$105)+SUMIF(Capacity_Resource,$F102,'Critical resources (hide)'!BF$6:BF$105)&gt;0,$E$1=2),0,1)</f>
        <v>1</v>
      </c>
      <c r="AT102" s="67">
        <f ca="1">IF(AND(SUMIF(Capacity_Resource,$D102,'Critical resources (hide)'!BG$6:BG$105)+SUMIF(Capacity_Resource,$E102,'Critical resources (hide)'!BG$6:BG$105)+SUMIF(Capacity_Resource,$F102,'Critical resources (hide)'!BG$6:BG$105)&gt;0,$E$1=2),0,1)</f>
        <v>1</v>
      </c>
      <c r="AU102" s="67">
        <f ca="1">IF(AND(SUMIF(Capacity_Resource,$D102,'Critical resources (hide)'!BH$6:BH$105)+SUMIF(Capacity_Resource,$E102,'Critical resources (hide)'!BH$6:BH$105)+SUMIF(Capacity_Resource,$F102,'Critical resources (hide)'!BH$6:BH$105)&gt;0,$E$1=2),0,1)</f>
        <v>1</v>
      </c>
      <c r="AV102" s="67">
        <f ca="1">IF(AND(SUMIF(Capacity_Resource,$D102,'Critical resources (hide)'!BI$6:BI$105)+SUMIF(Capacity_Resource,$E102,'Critical resources (hide)'!BI$6:BI$105)+SUMIF(Capacity_Resource,$F102,'Critical resources (hide)'!BI$6:BI$105)&gt;0,$E$1=2),0,1)</f>
        <v>1</v>
      </c>
      <c r="AW102" s="67">
        <f ca="1">IF(AND(SUMIF(Capacity_Resource,$D102,'Critical resources (hide)'!BJ$6:BJ$105)+SUMIF(Capacity_Resource,$E102,'Critical resources (hide)'!BJ$6:BJ$105)+SUMIF(Capacity_Resource,$F102,'Critical resources (hide)'!BJ$6:BJ$105)&gt;0,$E$1=2),0,1)</f>
        <v>1</v>
      </c>
      <c r="AX102" s="67">
        <f ca="1">IF(AND(SUMIF(Capacity_Resource,$D102,'Critical resources (hide)'!BK$6:BK$105)+SUMIF(Capacity_Resource,$E102,'Critical resources (hide)'!BK$6:BK$105)+SUMIF(Capacity_Resource,$F102,'Critical resources (hide)'!BK$6:BK$105)&gt;0,$E$1=2),0,1)</f>
        <v>1</v>
      </c>
      <c r="AY102" s="67">
        <f ca="1">IF(AND(SUMIF(Capacity_Resource,$D102,'Critical resources (hide)'!BL$6:BL$105)+SUMIF(Capacity_Resource,$E102,'Critical resources (hide)'!BL$6:BL$105)+SUMIF(Capacity_Resource,$F102,'Critical resources (hide)'!BL$6:BL$105)&gt;0,$E$1=2),0,1)</f>
        <v>1</v>
      </c>
      <c r="AZ102" s="67">
        <f ca="1">IF(AND(SUMIF(Capacity_Resource,$D102,'Critical resources (hide)'!BM$6:BM$105)+SUMIF(Capacity_Resource,$E102,'Critical resources (hide)'!BM$6:BM$105)+SUMIF(Capacity_Resource,$F102,'Critical resources (hide)'!BM$6:BM$105)&gt;0,$E$1=2),0,1)</f>
        <v>1</v>
      </c>
      <c r="BA102" s="67">
        <f ca="1">IF(AND(SUMIF(Capacity_Resource,$D102,'Critical resources (hide)'!BN$6:BN$105)+SUMIF(Capacity_Resource,$E102,'Critical resources (hide)'!BN$6:BN$105)+SUMIF(Capacity_Resource,$F102,'Critical resources (hide)'!BN$6:BN$105)&gt;0,$E$1=2),0,1)</f>
        <v>1</v>
      </c>
      <c r="BB102" s="67">
        <f ca="1">IF(AND(SUMIF(Capacity_Resource,$D102,'Critical resources (hide)'!BO$6:BO$105)+SUMIF(Capacity_Resource,$E102,'Critical resources (hide)'!BO$6:BO$105)+SUMIF(Capacity_Resource,$F102,'Critical resources (hide)'!BO$6:BO$105)&gt;0,$E$1=2),0,1)</f>
        <v>1</v>
      </c>
      <c r="BC102" s="67">
        <f ca="1">IF(AND(SUMIF(Capacity_Resource,$D102,'Critical resources (hide)'!BP$6:BP$105)+SUMIF(Capacity_Resource,$E102,'Critical resources (hide)'!BP$6:BP$105)+SUMIF(Capacity_Resource,$F102,'Critical resources (hide)'!BP$6:BP$105)&gt;0,$E$1=2),0,1)</f>
        <v>1</v>
      </c>
      <c r="BD102" s="67">
        <f ca="1">IF(AND(SUMIF(Capacity_Resource,$D102,'Critical resources (hide)'!BQ$6:BQ$105)+SUMIF(Capacity_Resource,$E102,'Critical resources (hide)'!BQ$6:BQ$105)+SUMIF(Capacity_Resource,$F102,'Critical resources (hide)'!BQ$6:BQ$105)&gt;0,$E$1=2),0,1)</f>
        <v>1</v>
      </c>
      <c r="BE102" s="67">
        <f ca="1">IF(AND(SUMIF(Capacity_Resource,$D102,'Critical resources (hide)'!BR$6:BR$105)+SUMIF(Capacity_Resource,$E102,'Critical resources (hide)'!BR$6:BR$105)+SUMIF(Capacity_Resource,$F102,'Critical resources (hide)'!BR$6:BR$105)&gt;0,$E$1=2),0,1)</f>
        <v>1</v>
      </c>
      <c r="BF102" s="67">
        <f ca="1">IF(AND(SUMIF(Capacity_Resource,$D102,'Critical resources (hide)'!BS$6:BS$105)+SUMIF(Capacity_Resource,$E102,'Critical resources (hide)'!BS$6:BS$105)+SUMIF(Capacity_Resource,$F102,'Critical resources (hide)'!BS$6:BS$105)&gt;0,$E$1=2),0,1)</f>
        <v>1</v>
      </c>
      <c r="BG102" s="67">
        <f ca="1">IF(AND(SUMIF(Capacity_Resource,$D102,'Critical resources (hide)'!BT$6:BT$105)+SUMIF(Capacity_Resource,$E102,'Critical resources (hide)'!BT$6:BT$105)+SUMIF(Capacity_Resource,$F102,'Critical resources (hide)'!BT$6:BT$105)&gt;0,$E$1=2),0,1)</f>
        <v>1</v>
      </c>
      <c r="BH102" s="67">
        <f>IF(ROW(C98)&lt;=Capacity!$A$16,IF('Capacity summary'!$D$14="No",SUM(H102:BG102),'Capacity summary'!$E221),0)</f>
        <v>0</v>
      </c>
      <c r="BI102" s="5" t="str">
        <f>IF(BH102&gt;0,IF(BH102&lt;Capacity!E114,Capacity!F114,Capacity!H114/'Capacity calculation (hide)'!BH102),"")</f>
        <v/>
      </c>
      <c r="BK102" s="313">
        <f>IF($BI102&lt;&gt;"",IF('Capacity summary'!$D$14="Yes",IF(COUNTBLANK('Capacity summary'!$H221:$BG221)&lt;52,IF('Capacity summary'!H221&lt;&gt;"",IF(LOWER('Capacity summary'!H221)="x",$BI102*H102,VALUE('Capacity summary'!H221)),0),H102*$BI102),H102*$BI102),0)</f>
        <v>0</v>
      </c>
      <c r="BL102" s="313">
        <f>IF($BI102&lt;&gt;"",IF('Capacity summary'!$D$14="Yes",IF(COUNTBLANK('Capacity summary'!$H221:$BG221)&lt;52,IF('Capacity summary'!I221&lt;&gt;"",IF(LOWER('Capacity summary'!I221)="x",$BI102*I102,VALUE('Capacity summary'!I221)),0),I102*$BI102),I102*$BI102),0)</f>
        <v>0</v>
      </c>
      <c r="BM102" s="313">
        <f>IF($BI102&lt;&gt;"",IF('Capacity summary'!$D$14="Yes",IF(COUNTBLANK('Capacity summary'!$H221:$BG221)&lt;52,IF('Capacity summary'!J221&lt;&gt;"",IF(LOWER('Capacity summary'!J221)="x",$BI102*J102,VALUE('Capacity summary'!J221)),0),J102*$BI102),J102*$BI102),0)</f>
        <v>0</v>
      </c>
      <c r="BN102" s="313">
        <f>IF($BI102&lt;&gt;"",IF('Capacity summary'!$D$14="Yes",IF(COUNTBLANK('Capacity summary'!$H221:$BG221)&lt;52,IF('Capacity summary'!K221&lt;&gt;"",IF(LOWER('Capacity summary'!K221)="x",$BI102*K102,VALUE('Capacity summary'!K221)),0),K102*$BI102),K102*$BI102),0)</f>
        <v>0</v>
      </c>
      <c r="BO102" s="313">
        <f>IF($BI102&lt;&gt;"",IF('Capacity summary'!$D$14="Yes",IF(COUNTBLANK('Capacity summary'!$H221:$BG221)&lt;52,IF('Capacity summary'!L221&lt;&gt;"",IF(LOWER('Capacity summary'!L221)="x",$BI102*L102,VALUE('Capacity summary'!L221)),0),L102*$BI102),L102*$BI102),0)</f>
        <v>0</v>
      </c>
      <c r="BP102" s="313">
        <f>IF($BI102&lt;&gt;"",IF('Capacity summary'!$D$14="Yes",IF(COUNTBLANK('Capacity summary'!$H221:$BG221)&lt;52,IF('Capacity summary'!M221&lt;&gt;"",IF(LOWER('Capacity summary'!M221)="x",$BI102*M102,VALUE('Capacity summary'!M221)),0),M102*$BI102),M102*$BI102),0)</f>
        <v>0</v>
      </c>
      <c r="BQ102" s="313">
        <f>IF($BI102&lt;&gt;"",IF('Capacity summary'!$D$14="Yes",IF(COUNTBLANK('Capacity summary'!$H221:$BG221)&lt;52,IF('Capacity summary'!N221&lt;&gt;"",IF(LOWER('Capacity summary'!N221)="x",$BI102*N102,VALUE('Capacity summary'!N221)),0),N102*$BI102),N102*$BI102),0)</f>
        <v>0</v>
      </c>
      <c r="BR102" s="313">
        <f>IF($BI102&lt;&gt;"",IF('Capacity summary'!$D$14="Yes",IF(COUNTBLANK('Capacity summary'!$H221:$BG221)&lt;52,IF('Capacity summary'!O221&lt;&gt;"",IF(LOWER('Capacity summary'!O221)="x",$BI102*O102,VALUE('Capacity summary'!O221)),0),O102*$BI102),O102*$BI102),0)</f>
        <v>0</v>
      </c>
      <c r="BS102" s="313">
        <f>IF($BI102&lt;&gt;"",IF('Capacity summary'!$D$14="Yes",IF(COUNTBLANK('Capacity summary'!$H221:$BG221)&lt;52,IF('Capacity summary'!P221&lt;&gt;"",IF(LOWER('Capacity summary'!P221)="x",$BI102*P102,VALUE('Capacity summary'!P221)),0),P102*$BI102),P102*$BI102),0)</f>
        <v>0</v>
      </c>
      <c r="BT102" s="313">
        <f>IF($BI102&lt;&gt;"",IF('Capacity summary'!$D$14="Yes",IF(COUNTBLANK('Capacity summary'!$H221:$BG221)&lt;52,IF('Capacity summary'!Q221&lt;&gt;"",IF(LOWER('Capacity summary'!Q221)="x",$BI102*Q102,VALUE('Capacity summary'!Q221)),0),Q102*$BI102),Q102*$BI102),0)</f>
        <v>0</v>
      </c>
      <c r="BU102" s="313">
        <f>IF($BI102&lt;&gt;"",IF('Capacity summary'!$D$14="Yes",IF(COUNTBLANK('Capacity summary'!$H221:$BG221)&lt;52,IF('Capacity summary'!R221&lt;&gt;"",IF(LOWER('Capacity summary'!R221)="x",$BI102*R102,VALUE('Capacity summary'!R221)),0),R102*$BI102),R102*$BI102),0)</f>
        <v>0</v>
      </c>
      <c r="BV102" s="313">
        <f>IF($BI102&lt;&gt;"",IF('Capacity summary'!$D$14="Yes",IF(COUNTBLANK('Capacity summary'!$H221:$BG221)&lt;52,IF('Capacity summary'!S221&lt;&gt;"",IF(LOWER('Capacity summary'!S221)="x",$BI102*S102,VALUE('Capacity summary'!S221)),0),S102*$BI102),S102*$BI102),0)</f>
        <v>0</v>
      </c>
      <c r="BW102" s="313">
        <f>IF($BI102&lt;&gt;"",IF('Capacity summary'!$D$14="Yes",IF(COUNTBLANK('Capacity summary'!$H221:$BG221)&lt;52,IF('Capacity summary'!T221&lt;&gt;"",IF(LOWER('Capacity summary'!T221)="x",$BI102*T102,VALUE('Capacity summary'!T221)),0),T102*$BI102),T102*$BI102),0)</f>
        <v>0</v>
      </c>
      <c r="BX102" s="313">
        <f>IF($BI102&lt;&gt;"",IF('Capacity summary'!$D$14="Yes",IF(COUNTBLANK('Capacity summary'!$H221:$BG221)&lt;52,IF('Capacity summary'!U221&lt;&gt;"",IF(LOWER('Capacity summary'!U221)="x",$BI102*U102,VALUE('Capacity summary'!U221)),0),U102*$BI102),U102*$BI102),0)</f>
        <v>0</v>
      </c>
      <c r="BY102" s="313">
        <f>IF($BI102&lt;&gt;"",IF('Capacity summary'!$D$14="Yes",IF(COUNTBLANK('Capacity summary'!$H221:$BG221)&lt;52,IF('Capacity summary'!V221&lt;&gt;"",IF(LOWER('Capacity summary'!V221)="x",$BI102*V102,VALUE('Capacity summary'!V221)),0),V102*$BI102),V102*$BI102),0)</f>
        <v>0</v>
      </c>
      <c r="BZ102" s="313">
        <f>IF($BI102&lt;&gt;"",IF('Capacity summary'!$D$14="Yes",IF(COUNTBLANK('Capacity summary'!$H221:$BG221)&lt;52,IF('Capacity summary'!W221&lt;&gt;"",IF(LOWER('Capacity summary'!W221)="x",$BI102*W102,VALUE('Capacity summary'!W221)),0),W102*$BI102),W102*$BI102),0)</f>
        <v>0</v>
      </c>
      <c r="CA102" s="313">
        <f>IF($BI102&lt;&gt;"",IF('Capacity summary'!$D$14="Yes",IF(COUNTBLANK('Capacity summary'!$H221:$BG221)&lt;52,IF('Capacity summary'!X221&lt;&gt;"",IF(LOWER('Capacity summary'!X221)="x",$BI102*X102,VALUE('Capacity summary'!X221)),0),X102*$BI102),X102*$BI102),0)</f>
        <v>0</v>
      </c>
      <c r="CB102" s="313">
        <f>IF($BI102&lt;&gt;"",IF('Capacity summary'!$D$14="Yes",IF(COUNTBLANK('Capacity summary'!$H221:$BG221)&lt;52,IF('Capacity summary'!Y221&lt;&gt;"",IF(LOWER('Capacity summary'!Y221)="x",$BI102*Y102,VALUE('Capacity summary'!Y221)),0),Y102*$BI102),Y102*$BI102),0)</f>
        <v>0</v>
      </c>
      <c r="CC102" s="313">
        <f>IF($BI102&lt;&gt;"",IF('Capacity summary'!$D$14="Yes",IF(COUNTBLANK('Capacity summary'!$H221:$BG221)&lt;52,IF('Capacity summary'!Z221&lt;&gt;"",IF(LOWER('Capacity summary'!Z221)="x",$BI102*Z102,VALUE('Capacity summary'!Z221)),0),Z102*$BI102),Z102*$BI102),0)</f>
        <v>0</v>
      </c>
      <c r="CD102" s="313">
        <f>IF($BI102&lt;&gt;"",IF('Capacity summary'!$D$14="Yes",IF(COUNTBLANK('Capacity summary'!$H221:$BG221)&lt;52,IF('Capacity summary'!AA221&lt;&gt;"",IF(LOWER('Capacity summary'!AA221)="x",$BI102*AA102,VALUE('Capacity summary'!AA221)),0),AA102*$BI102),AA102*$BI102),0)</f>
        <v>0</v>
      </c>
      <c r="CE102" s="313">
        <f>IF($BI102&lt;&gt;"",IF('Capacity summary'!$D$14="Yes",IF(COUNTBLANK('Capacity summary'!$H221:$BG221)&lt;52,IF('Capacity summary'!AB221&lt;&gt;"",IF(LOWER('Capacity summary'!AB221)="x",$BI102*AB102,VALUE('Capacity summary'!AB221)),0),AB102*$BI102),AB102*$BI102),0)</f>
        <v>0</v>
      </c>
      <c r="CF102" s="313">
        <f>IF($BI102&lt;&gt;"",IF('Capacity summary'!$D$14="Yes",IF(COUNTBLANK('Capacity summary'!$H221:$BG221)&lt;52,IF('Capacity summary'!AC221&lt;&gt;"",IF(LOWER('Capacity summary'!AC221)="x",$BI102*AC102,VALUE('Capacity summary'!AC221)),0),AC102*$BI102),AC102*$BI102),0)</f>
        <v>0</v>
      </c>
      <c r="CG102" s="313">
        <f>IF($BI102&lt;&gt;"",IF('Capacity summary'!$D$14="Yes",IF(COUNTBLANK('Capacity summary'!$H221:$BG221)&lt;52,IF('Capacity summary'!AD221&lt;&gt;"",IF(LOWER('Capacity summary'!AD221)="x",$BI102*AD102,VALUE('Capacity summary'!AD221)),0),AD102*$BI102),AD102*$BI102),0)</f>
        <v>0</v>
      </c>
      <c r="CH102" s="313">
        <f>IF($BI102&lt;&gt;"",IF('Capacity summary'!$D$14="Yes",IF(COUNTBLANK('Capacity summary'!$H221:$BG221)&lt;52,IF('Capacity summary'!AE221&lt;&gt;"",IF(LOWER('Capacity summary'!AE221)="x",$BI102*AE102,VALUE('Capacity summary'!AE221)),0),AE102*$BI102),AE102*$BI102),0)</f>
        <v>0</v>
      </c>
      <c r="CI102" s="313">
        <f>IF($BI102&lt;&gt;"",IF('Capacity summary'!$D$14="Yes",IF(COUNTBLANK('Capacity summary'!$H221:$BG221)&lt;52,IF('Capacity summary'!AF221&lt;&gt;"",IF(LOWER('Capacity summary'!AF221)="x",$BI102*AF102,VALUE('Capacity summary'!AF221)),0),AF102*$BI102),AF102*$BI102),0)</f>
        <v>0</v>
      </c>
      <c r="CJ102" s="313">
        <f>IF($BI102&lt;&gt;"",IF('Capacity summary'!$D$14="Yes",IF(COUNTBLANK('Capacity summary'!$H221:$BG221)&lt;52,IF('Capacity summary'!AG221&lt;&gt;"",IF(LOWER('Capacity summary'!AG221)="x",$BI102*AG102,VALUE('Capacity summary'!AG221)),0),AG102*$BI102),AG102*$BI102),0)</f>
        <v>0</v>
      </c>
      <c r="CK102" s="313">
        <f>IF($BI102&lt;&gt;"",IF('Capacity summary'!$D$14="Yes",IF(COUNTBLANK('Capacity summary'!$H221:$BG221)&lt;52,IF('Capacity summary'!AH221&lt;&gt;"",IF(LOWER('Capacity summary'!AH221)="x",$BI102*AH102,VALUE('Capacity summary'!AH221)),0),AH102*$BI102),AH102*$BI102),0)</f>
        <v>0</v>
      </c>
      <c r="CL102" s="313">
        <f>IF($BI102&lt;&gt;"",IF('Capacity summary'!$D$14="Yes",IF(COUNTBLANK('Capacity summary'!$H221:$BG221)&lt;52,IF('Capacity summary'!AI221&lt;&gt;"",IF(LOWER('Capacity summary'!AI221)="x",$BI102*AI102,VALUE('Capacity summary'!AI221)),0),AI102*$BI102),AI102*$BI102),0)</f>
        <v>0</v>
      </c>
      <c r="CM102" s="313">
        <f>IF($BI102&lt;&gt;"",IF('Capacity summary'!$D$14="Yes",IF(COUNTBLANK('Capacity summary'!$H221:$BG221)&lt;52,IF('Capacity summary'!AJ221&lt;&gt;"",IF(LOWER('Capacity summary'!AJ221)="x",$BI102*AJ102,VALUE('Capacity summary'!AJ221)),0),AJ102*$BI102),AJ102*$BI102),0)</f>
        <v>0</v>
      </c>
      <c r="CN102" s="313">
        <f>IF($BI102&lt;&gt;"",IF('Capacity summary'!$D$14="Yes",IF(COUNTBLANK('Capacity summary'!$H221:$BG221)&lt;52,IF('Capacity summary'!AK221&lt;&gt;"",IF(LOWER('Capacity summary'!AK221)="x",$BI102*AK102,VALUE('Capacity summary'!AK221)),0),AK102*$BI102),AK102*$BI102),0)</f>
        <v>0</v>
      </c>
      <c r="CO102" s="313">
        <f>IF($BI102&lt;&gt;"",IF('Capacity summary'!$D$14="Yes",IF(COUNTBLANK('Capacity summary'!$H221:$BG221)&lt;52,IF('Capacity summary'!AL221&lt;&gt;"",IF(LOWER('Capacity summary'!AL221)="x",$BI102*AL102,VALUE('Capacity summary'!AL221)),0),AL102*$BI102),AL102*$BI102),0)</f>
        <v>0</v>
      </c>
      <c r="CP102" s="313">
        <f>IF($BI102&lt;&gt;"",IF('Capacity summary'!$D$14="Yes",IF(COUNTBLANK('Capacity summary'!$H221:$BG221)&lt;52,IF('Capacity summary'!AM221&lt;&gt;"",IF(LOWER('Capacity summary'!AM221)="x",$BI102*AM102,VALUE('Capacity summary'!AM221)),0),AM102*$BI102),AM102*$BI102),0)</f>
        <v>0</v>
      </c>
      <c r="CQ102" s="313">
        <f>IF($BI102&lt;&gt;"",IF('Capacity summary'!$D$14="Yes",IF(COUNTBLANK('Capacity summary'!$H221:$BG221)&lt;52,IF('Capacity summary'!AN221&lt;&gt;"",IF(LOWER('Capacity summary'!AN221)="x",$BI102*AN102,VALUE('Capacity summary'!AN221)),0),AN102*$BI102),AN102*$BI102),0)</f>
        <v>0</v>
      </c>
      <c r="CR102" s="313">
        <f>IF($BI102&lt;&gt;"",IF('Capacity summary'!$D$14="Yes",IF(COUNTBLANK('Capacity summary'!$H221:$BG221)&lt;52,IF('Capacity summary'!AO221&lt;&gt;"",IF(LOWER('Capacity summary'!AO221)="x",$BI102*AO102,VALUE('Capacity summary'!AO221)),0),AO102*$BI102),AO102*$BI102),0)</f>
        <v>0</v>
      </c>
      <c r="CS102" s="313">
        <f>IF($BI102&lt;&gt;"",IF('Capacity summary'!$D$14="Yes",IF(COUNTBLANK('Capacity summary'!$H221:$BG221)&lt;52,IF('Capacity summary'!AP221&lt;&gt;"",IF(LOWER('Capacity summary'!AP221)="x",$BI102*AP102,VALUE('Capacity summary'!AP221)),0),AP102*$BI102),AP102*$BI102),0)</f>
        <v>0</v>
      </c>
      <c r="CT102" s="313">
        <f>IF($BI102&lt;&gt;"",IF('Capacity summary'!$D$14="Yes",IF(COUNTBLANK('Capacity summary'!$H221:$BG221)&lt;52,IF('Capacity summary'!AQ221&lt;&gt;"",IF(LOWER('Capacity summary'!AQ221)="x",$BI102*AQ102,VALUE('Capacity summary'!AQ221)),0),AQ102*$BI102),AQ102*$BI102),0)</f>
        <v>0</v>
      </c>
      <c r="CU102" s="313">
        <f>IF($BI102&lt;&gt;"",IF('Capacity summary'!$D$14="Yes",IF(COUNTBLANK('Capacity summary'!$H221:$BG221)&lt;52,IF('Capacity summary'!AR221&lt;&gt;"",IF(LOWER('Capacity summary'!AR221)="x",$BI102*AR102,VALUE('Capacity summary'!AR221)),0),AR102*$BI102),AR102*$BI102),0)</f>
        <v>0</v>
      </c>
      <c r="CV102" s="313">
        <f>IF($BI102&lt;&gt;"",IF('Capacity summary'!$D$14="Yes",IF(COUNTBLANK('Capacity summary'!$H221:$BG221)&lt;52,IF('Capacity summary'!AS221&lt;&gt;"",IF(LOWER('Capacity summary'!AS221)="x",$BI102*AS102,VALUE('Capacity summary'!AS221)),0),AS102*$BI102),AS102*$BI102),0)</f>
        <v>0</v>
      </c>
      <c r="CW102" s="313">
        <f>IF($BI102&lt;&gt;"",IF('Capacity summary'!$D$14="Yes",IF(COUNTBLANK('Capacity summary'!$H221:$BG221)&lt;52,IF('Capacity summary'!AT221&lt;&gt;"",IF(LOWER('Capacity summary'!AT221)="x",$BI102*AT102,VALUE('Capacity summary'!AT221)),0),AT102*$BI102),AT102*$BI102),0)</f>
        <v>0</v>
      </c>
      <c r="CX102" s="313">
        <f>IF($BI102&lt;&gt;"",IF('Capacity summary'!$D$14="Yes",IF(COUNTBLANK('Capacity summary'!$H221:$BG221)&lt;52,IF('Capacity summary'!AU221&lt;&gt;"",IF(LOWER('Capacity summary'!AU221)="x",$BI102*AU102,VALUE('Capacity summary'!AU221)),0),AU102*$BI102),AU102*$BI102),0)</f>
        <v>0</v>
      </c>
      <c r="CY102" s="313">
        <f>IF($BI102&lt;&gt;"",IF('Capacity summary'!$D$14="Yes",IF(COUNTBLANK('Capacity summary'!$H221:$BG221)&lt;52,IF('Capacity summary'!AV221&lt;&gt;"",IF(LOWER('Capacity summary'!AV221)="x",$BI102*AV102,VALUE('Capacity summary'!AV221)),0),AV102*$BI102),AV102*$BI102),0)</f>
        <v>0</v>
      </c>
      <c r="CZ102" s="313">
        <f>IF($BI102&lt;&gt;"",IF('Capacity summary'!$D$14="Yes",IF(COUNTBLANK('Capacity summary'!$H221:$BG221)&lt;52,IF('Capacity summary'!AW221&lt;&gt;"",IF(LOWER('Capacity summary'!AW221)="x",$BI102*AW102,VALUE('Capacity summary'!AW221)),0),AW102*$BI102),AW102*$BI102),0)</f>
        <v>0</v>
      </c>
      <c r="DA102" s="313">
        <f>IF($BI102&lt;&gt;"",IF('Capacity summary'!$D$14="Yes",IF(COUNTBLANK('Capacity summary'!$H221:$BG221)&lt;52,IF('Capacity summary'!AX221&lt;&gt;"",IF(LOWER('Capacity summary'!AX221)="x",$BI102*AX102,VALUE('Capacity summary'!AX221)),0),AX102*$BI102),AX102*$BI102),0)</f>
        <v>0</v>
      </c>
      <c r="DB102" s="313">
        <f>IF($BI102&lt;&gt;"",IF('Capacity summary'!$D$14="Yes",IF(COUNTBLANK('Capacity summary'!$H221:$BG221)&lt;52,IF('Capacity summary'!AY221&lt;&gt;"",IF(LOWER('Capacity summary'!AY221)="x",$BI102*AY102,VALUE('Capacity summary'!AY221)),0),AY102*$BI102),AY102*$BI102),0)</f>
        <v>0</v>
      </c>
      <c r="DC102" s="313">
        <f>IF($BI102&lt;&gt;"",IF('Capacity summary'!$D$14="Yes",IF(COUNTBLANK('Capacity summary'!$H221:$BG221)&lt;52,IF('Capacity summary'!AZ221&lt;&gt;"",IF(LOWER('Capacity summary'!AZ221)="x",$BI102*AZ102,VALUE('Capacity summary'!AZ221)),0),AZ102*$BI102),AZ102*$BI102),0)</f>
        <v>0</v>
      </c>
      <c r="DD102" s="313">
        <f>IF($BI102&lt;&gt;"",IF('Capacity summary'!$D$14="Yes",IF(COUNTBLANK('Capacity summary'!$H221:$BG221)&lt;52,IF('Capacity summary'!BA221&lt;&gt;"",IF(LOWER('Capacity summary'!BA221)="x",$BI102*BA102,VALUE('Capacity summary'!BA221)),0),BA102*$BI102),BA102*$BI102),0)</f>
        <v>0</v>
      </c>
      <c r="DE102" s="313">
        <f>IF($BI102&lt;&gt;"",IF('Capacity summary'!$D$14="Yes",IF(COUNTBLANK('Capacity summary'!$H221:$BG221)&lt;52,IF('Capacity summary'!BB221&lt;&gt;"",IF(LOWER('Capacity summary'!BB221)="x",$BI102*BB102,VALUE('Capacity summary'!BB221)),0),BB102*$BI102),BB102*$BI102),0)</f>
        <v>0</v>
      </c>
      <c r="DF102" s="313">
        <f>IF($BI102&lt;&gt;"",IF('Capacity summary'!$D$14="Yes",IF(COUNTBLANK('Capacity summary'!$H221:$BG221)&lt;52,IF('Capacity summary'!BC221&lt;&gt;"",IF(LOWER('Capacity summary'!BC221)="x",$BI102*BC102,VALUE('Capacity summary'!BC221)),0),BC102*$BI102),BC102*$BI102),0)</f>
        <v>0</v>
      </c>
      <c r="DG102" s="313">
        <f>IF($BI102&lt;&gt;"",IF('Capacity summary'!$D$14="Yes",IF(COUNTBLANK('Capacity summary'!$H221:$BG221)&lt;52,IF('Capacity summary'!BD221&lt;&gt;"",IF(LOWER('Capacity summary'!BD221)="x",$BI102*BD102,VALUE('Capacity summary'!BD221)),0),BD102*$BI102),BD102*$BI102),0)</f>
        <v>0</v>
      </c>
      <c r="DH102" s="313">
        <f>IF($BI102&lt;&gt;"",IF('Capacity summary'!$D$14="Yes",IF(COUNTBLANK('Capacity summary'!$H221:$BG221)&lt;52,IF('Capacity summary'!BE221&lt;&gt;"",IF(LOWER('Capacity summary'!BE221)="x",$BI102*BE102,VALUE('Capacity summary'!BE221)),0),BE102*$BI102),BE102*$BI102),0)</f>
        <v>0</v>
      </c>
      <c r="DI102" s="313">
        <f>IF($BI102&lt;&gt;"",IF('Capacity summary'!$D$14="Yes",IF(COUNTBLANK('Capacity summary'!$H221:$BG221)&lt;52,IF('Capacity summary'!BF221&lt;&gt;"",IF(LOWER('Capacity summary'!BF221)="x",$BI102*BF102,VALUE('Capacity summary'!BF221)),0),BF102*$BI102),BF102*$BI102),0)</f>
        <v>0</v>
      </c>
      <c r="DJ102" s="313">
        <f>IF($BI102&lt;&gt;"",IF('Capacity summary'!$D$14="Yes",IF(COUNTBLANK('Capacity summary'!$H221:$BG221)&lt;52,IF('Capacity summary'!BG221&lt;&gt;"",IF(LOWER('Capacity summary'!BG221)="x",$BI102*BG102,VALUE('Capacity summary'!BG221)),0),BG102*$BI102),BG102*$BI102),0)</f>
        <v>0</v>
      </c>
      <c r="DK102" s="137">
        <f t="shared" si="3"/>
        <v>0</v>
      </c>
      <c r="DL102" s="313" t="str">
        <f>Capacity!H114</f>
        <v/>
      </c>
    </row>
    <row r="103" spans="2:116" x14ac:dyDescent="0.25">
      <c r="B103" s="67"/>
      <c r="C103" s="67" t="str">
        <f>ROW(A99)&amp;". "&amp;Capacity!B115</f>
        <v xml:space="preserve">99. </v>
      </c>
      <c r="D103" s="67">
        <f>'Capacity setup'!C110</f>
        <v>0</v>
      </c>
      <c r="E103" s="67">
        <f>'Capacity setup'!D110</f>
        <v>0</v>
      </c>
      <c r="F103" s="67">
        <f>'Capacity setup'!E110</f>
        <v>0</v>
      </c>
      <c r="H103" s="67">
        <f ca="1">IF(AND(SUMIF(Capacity_Resource,$D103,'Critical resources (hide)'!U$6:U$105)+SUMIF(Capacity_Resource,$E103,'Critical resources (hide)'!U$6:U$105)+SUMIF(Capacity_Resource,$F103,'Critical resources (hide)'!U$6:U$105)&gt;0,$E$1=2),0,1)</f>
        <v>1</v>
      </c>
      <c r="I103" s="67">
        <f ca="1">IF(AND(SUMIF(Capacity_Resource,$D103,'Critical resources (hide)'!V$6:V$105)+SUMIF(Capacity_Resource,$E103,'Critical resources (hide)'!V$6:V$105)+SUMIF(Capacity_Resource,$F103,'Critical resources (hide)'!V$6:V$105)&gt;0,$E$1=2),0,1)</f>
        <v>1</v>
      </c>
      <c r="J103" s="67">
        <f ca="1">IF(AND(SUMIF(Capacity_Resource,$D103,'Critical resources (hide)'!W$6:W$105)+SUMIF(Capacity_Resource,$E103,'Critical resources (hide)'!W$6:W$105)+SUMIF(Capacity_Resource,$F103,'Critical resources (hide)'!W$6:W$105)&gt;0,$E$1=2),0,1)</f>
        <v>1</v>
      </c>
      <c r="K103" s="67">
        <f ca="1">IF(AND(SUMIF(Capacity_Resource,$D103,'Critical resources (hide)'!X$6:X$105)+SUMIF(Capacity_Resource,$E103,'Critical resources (hide)'!X$6:X$105)+SUMIF(Capacity_Resource,$F103,'Critical resources (hide)'!X$6:X$105)&gt;0,$E$1=2),0,1)</f>
        <v>1</v>
      </c>
      <c r="L103" s="67">
        <f ca="1">IF(AND(SUMIF(Capacity_Resource,$D103,'Critical resources (hide)'!Y$6:Y$105)+SUMIF(Capacity_Resource,$E103,'Critical resources (hide)'!Y$6:Y$105)+SUMIF(Capacity_Resource,$F103,'Critical resources (hide)'!Y$6:Y$105)&gt;0,$E$1=2),0,1)</f>
        <v>1</v>
      </c>
      <c r="M103" s="67">
        <f ca="1">IF(AND(SUMIF(Capacity_Resource,$D103,'Critical resources (hide)'!Z$6:Z$105)+SUMIF(Capacity_Resource,$E103,'Critical resources (hide)'!Z$6:Z$105)+SUMIF(Capacity_Resource,$F103,'Critical resources (hide)'!Z$6:Z$105)&gt;0,$E$1=2),0,1)</f>
        <v>1</v>
      </c>
      <c r="N103" s="67">
        <f ca="1">IF(AND(SUMIF(Capacity_Resource,$D103,'Critical resources (hide)'!AA$6:AA$105)+SUMIF(Capacity_Resource,$E103,'Critical resources (hide)'!AA$6:AA$105)+SUMIF(Capacity_Resource,$F103,'Critical resources (hide)'!AA$6:AA$105)&gt;0,$E$1=2),0,1)</f>
        <v>1</v>
      </c>
      <c r="O103" s="67">
        <f ca="1">IF(AND(SUMIF(Capacity_Resource,$D103,'Critical resources (hide)'!AB$6:AB$105)+SUMIF(Capacity_Resource,$E103,'Critical resources (hide)'!AB$6:AB$105)+SUMIF(Capacity_Resource,$F103,'Critical resources (hide)'!AB$6:AB$105)&gt;0,$E$1=2),0,1)</f>
        <v>1</v>
      </c>
      <c r="P103" s="67">
        <f ca="1">IF(AND(SUMIF(Capacity_Resource,$D103,'Critical resources (hide)'!AC$6:AC$105)+SUMIF(Capacity_Resource,$E103,'Critical resources (hide)'!AC$6:AC$105)+SUMIF(Capacity_Resource,$F103,'Critical resources (hide)'!AC$6:AC$105)&gt;0,$E$1=2),0,1)</f>
        <v>1</v>
      </c>
      <c r="Q103" s="67">
        <f ca="1">IF(AND(SUMIF(Capacity_Resource,$D103,'Critical resources (hide)'!AD$6:AD$105)+SUMIF(Capacity_Resource,$E103,'Critical resources (hide)'!AD$6:AD$105)+SUMIF(Capacity_Resource,$F103,'Critical resources (hide)'!AD$6:AD$105)&gt;0,$E$1=2),0,1)</f>
        <v>1</v>
      </c>
      <c r="R103" s="67">
        <f ca="1">IF(AND(SUMIF(Capacity_Resource,$D103,'Critical resources (hide)'!AE$6:AE$105)+SUMIF(Capacity_Resource,$E103,'Critical resources (hide)'!AE$6:AE$105)+SUMIF(Capacity_Resource,$F103,'Critical resources (hide)'!AE$6:AE$105)&gt;0,$E$1=2),0,1)</f>
        <v>1</v>
      </c>
      <c r="S103" s="67">
        <f ca="1">IF(AND(SUMIF(Capacity_Resource,$D103,'Critical resources (hide)'!AF$6:AF$105)+SUMIF(Capacity_Resource,$E103,'Critical resources (hide)'!AF$6:AF$105)+SUMIF(Capacity_Resource,$F103,'Critical resources (hide)'!AF$6:AF$105)&gt;0,$E$1=2),0,1)</f>
        <v>1</v>
      </c>
      <c r="T103" s="67">
        <f ca="1">IF(AND(SUMIF(Capacity_Resource,$D103,'Critical resources (hide)'!AG$6:AG$105)+SUMIF(Capacity_Resource,$E103,'Critical resources (hide)'!AG$6:AG$105)+SUMIF(Capacity_Resource,$F103,'Critical resources (hide)'!AG$6:AG$105)&gt;0,$E$1=2),0,1)</f>
        <v>1</v>
      </c>
      <c r="U103" s="67">
        <f ca="1">IF(AND(SUMIF(Capacity_Resource,$D103,'Critical resources (hide)'!AH$6:AH$105)+SUMIF(Capacity_Resource,$E103,'Critical resources (hide)'!AH$6:AH$105)+SUMIF(Capacity_Resource,$F103,'Critical resources (hide)'!AH$6:AH$105)&gt;0,$E$1=2),0,1)</f>
        <v>1</v>
      </c>
      <c r="V103" s="67">
        <f ca="1">IF(AND(SUMIF(Capacity_Resource,$D103,'Critical resources (hide)'!AI$6:AI$105)+SUMIF(Capacity_Resource,$E103,'Critical resources (hide)'!AI$6:AI$105)+SUMIF(Capacity_Resource,$F103,'Critical resources (hide)'!AI$6:AI$105)&gt;0,$E$1=2),0,1)</f>
        <v>1</v>
      </c>
      <c r="W103" s="67">
        <f ca="1">IF(AND(SUMIF(Capacity_Resource,$D103,'Critical resources (hide)'!AJ$6:AJ$105)+SUMIF(Capacity_Resource,$E103,'Critical resources (hide)'!AJ$6:AJ$105)+SUMIF(Capacity_Resource,$F103,'Critical resources (hide)'!AJ$6:AJ$105)&gt;0,$E$1=2),0,1)</f>
        <v>1</v>
      </c>
      <c r="X103" s="67">
        <f ca="1">IF(AND(SUMIF(Capacity_Resource,$D103,'Critical resources (hide)'!AK$6:AK$105)+SUMIF(Capacity_Resource,$E103,'Critical resources (hide)'!AK$6:AK$105)+SUMIF(Capacity_Resource,$F103,'Critical resources (hide)'!AK$6:AK$105)&gt;0,$E$1=2),0,1)</f>
        <v>1</v>
      </c>
      <c r="Y103" s="67">
        <f ca="1">IF(AND(SUMIF(Capacity_Resource,$D103,'Critical resources (hide)'!AL$6:AL$105)+SUMIF(Capacity_Resource,$E103,'Critical resources (hide)'!AL$6:AL$105)+SUMIF(Capacity_Resource,$F103,'Critical resources (hide)'!AL$6:AL$105)&gt;0,$E$1=2),0,1)</f>
        <v>1</v>
      </c>
      <c r="Z103" s="67">
        <f ca="1">IF(AND(SUMIF(Capacity_Resource,$D103,'Critical resources (hide)'!AM$6:AM$105)+SUMIF(Capacity_Resource,$E103,'Critical resources (hide)'!AM$6:AM$105)+SUMIF(Capacity_Resource,$F103,'Critical resources (hide)'!AM$6:AM$105)&gt;0,$E$1=2),0,1)</f>
        <v>1</v>
      </c>
      <c r="AA103" s="67">
        <f ca="1">IF(AND(SUMIF(Capacity_Resource,$D103,'Critical resources (hide)'!AN$6:AN$105)+SUMIF(Capacity_Resource,$E103,'Critical resources (hide)'!AN$6:AN$105)+SUMIF(Capacity_Resource,$F103,'Critical resources (hide)'!AN$6:AN$105)&gt;0,$E$1=2),0,1)</f>
        <v>1</v>
      </c>
      <c r="AB103" s="67">
        <f ca="1">IF(AND(SUMIF(Capacity_Resource,$D103,'Critical resources (hide)'!AO$6:AO$105)+SUMIF(Capacity_Resource,$E103,'Critical resources (hide)'!AO$6:AO$105)+SUMIF(Capacity_Resource,$F103,'Critical resources (hide)'!AO$6:AO$105)&gt;0,$E$1=2),0,1)</f>
        <v>1</v>
      </c>
      <c r="AC103" s="67">
        <f ca="1">IF(AND(SUMIF(Capacity_Resource,$D103,'Critical resources (hide)'!AP$6:AP$105)+SUMIF(Capacity_Resource,$E103,'Critical resources (hide)'!AP$6:AP$105)+SUMIF(Capacity_Resource,$F103,'Critical resources (hide)'!AP$6:AP$105)&gt;0,$E$1=2),0,1)</f>
        <v>1</v>
      </c>
      <c r="AD103" s="67">
        <f ca="1">IF(AND(SUMIF(Capacity_Resource,$D103,'Critical resources (hide)'!AQ$6:AQ$105)+SUMIF(Capacity_Resource,$E103,'Critical resources (hide)'!AQ$6:AQ$105)+SUMIF(Capacity_Resource,$F103,'Critical resources (hide)'!AQ$6:AQ$105)&gt;0,$E$1=2),0,1)</f>
        <v>1</v>
      </c>
      <c r="AE103" s="67">
        <f ca="1">IF(AND(SUMIF(Capacity_Resource,$D103,'Critical resources (hide)'!AR$6:AR$105)+SUMIF(Capacity_Resource,$E103,'Critical resources (hide)'!AR$6:AR$105)+SUMIF(Capacity_Resource,$F103,'Critical resources (hide)'!AR$6:AR$105)&gt;0,$E$1=2),0,1)</f>
        <v>1</v>
      </c>
      <c r="AF103" s="67">
        <f ca="1">IF(AND(SUMIF(Capacity_Resource,$D103,'Critical resources (hide)'!AS$6:AS$105)+SUMIF(Capacity_Resource,$E103,'Critical resources (hide)'!AS$6:AS$105)+SUMIF(Capacity_Resource,$F103,'Critical resources (hide)'!AS$6:AS$105)&gt;0,$E$1=2),0,1)</f>
        <v>1</v>
      </c>
      <c r="AG103" s="67">
        <f ca="1">IF(AND(SUMIF(Capacity_Resource,$D103,'Critical resources (hide)'!AT$6:AT$105)+SUMIF(Capacity_Resource,$E103,'Critical resources (hide)'!AT$6:AT$105)+SUMIF(Capacity_Resource,$F103,'Critical resources (hide)'!AT$6:AT$105)&gt;0,$E$1=2),0,1)</f>
        <v>1</v>
      </c>
      <c r="AH103" s="67">
        <f ca="1">IF(AND(SUMIF(Capacity_Resource,$D103,'Critical resources (hide)'!AU$6:AU$105)+SUMIF(Capacity_Resource,$E103,'Critical resources (hide)'!AU$6:AU$105)+SUMIF(Capacity_Resource,$F103,'Critical resources (hide)'!AU$6:AU$105)&gt;0,$E$1=2),0,1)</f>
        <v>1</v>
      </c>
      <c r="AI103" s="67">
        <f ca="1">IF(AND(SUMIF(Capacity_Resource,$D103,'Critical resources (hide)'!AV$6:AV$105)+SUMIF(Capacity_Resource,$E103,'Critical resources (hide)'!AV$6:AV$105)+SUMIF(Capacity_Resource,$F103,'Critical resources (hide)'!AV$6:AV$105)&gt;0,$E$1=2),0,1)</f>
        <v>1</v>
      </c>
      <c r="AJ103" s="67">
        <f ca="1">IF(AND(SUMIF(Capacity_Resource,$D103,'Critical resources (hide)'!AW$6:AW$105)+SUMIF(Capacity_Resource,$E103,'Critical resources (hide)'!AW$6:AW$105)+SUMIF(Capacity_Resource,$F103,'Critical resources (hide)'!AW$6:AW$105)&gt;0,$E$1=2),0,1)</f>
        <v>1</v>
      </c>
      <c r="AK103" s="67">
        <f ca="1">IF(AND(SUMIF(Capacity_Resource,$D103,'Critical resources (hide)'!AX$6:AX$105)+SUMIF(Capacity_Resource,$E103,'Critical resources (hide)'!AX$6:AX$105)+SUMIF(Capacity_Resource,$F103,'Critical resources (hide)'!AX$6:AX$105)&gt;0,$E$1=2),0,1)</f>
        <v>1</v>
      </c>
      <c r="AL103" s="67">
        <f ca="1">IF(AND(SUMIF(Capacity_Resource,$D103,'Critical resources (hide)'!AY$6:AY$105)+SUMIF(Capacity_Resource,$E103,'Critical resources (hide)'!AY$6:AY$105)+SUMIF(Capacity_Resource,$F103,'Critical resources (hide)'!AY$6:AY$105)&gt;0,$E$1=2),0,1)</f>
        <v>1</v>
      </c>
      <c r="AM103" s="67">
        <f ca="1">IF(AND(SUMIF(Capacity_Resource,$D103,'Critical resources (hide)'!AZ$6:AZ$105)+SUMIF(Capacity_Resource,$E103,'Critical resources (hide)'!AZ$6:AZ$105)+SUMIF(Capacity_Resource,$F103,'Critical resources (hide)'!AZ$6:AZ$105)&gt;0,$E$1=2),0,1)</f>
        <v>1</v>
      </c>
      <c r="AN103" s="67">
        <f ca="1">IF(AND(SUMIF(Capacity_Resource,$D103,'Critical resources (hide)'!BA$6:BA$105)+SUMIF(Capacity_Resource,$E103,'Critical resources (hide)'!BA$6:BA$105)+SUMIF(Capacity_Resource,$F103,'Critical resources (hide)'!BA$6:BA$105)&gt;0,$E$1=2),0,1)</f>
        <v>1</v>
      </c>
      <c r="AO103" s="67">
        <f ca="1">IF(AND(SUMIF(Capacity_Resource,$D103,'Critical resources (hide)'!BB$6:BB$105)+SUMIF(Capacity_Resource,$E103,'Critical resources (hide)'!BB$6:BB$105)+SUMIF(Capacity_Resource,$F103,'Critical resources (hide)'!BB$6:BB$105)&gt;0,$E$1=2),0,1)</f>
        <v>1</v>
      </c>
      <c r="AP103" s="67">
        <f ca="1">IF(AND(SUMIF(Capacity_Resource,$D103,'Critical resources (hide)'!BC$6:BC$105)+SUMIF(Capacity_Resource,$E103,'Critical resources (hide)'!BC$6:BC$105)+SUMIF(Capacity_Resource,$F103,'Critical resources (hide)'!BC$6:BC$105)&gt;0,$E$1=2),0,1)</f>
        <v>1</v>
      </c>
      <c r="AQ103" s="67">
        <f ca="1">IF(AND(SUMIF(Capacity_Resource,$D103,'Critical resources (hide)'!BD$6:BD$105)+SUMIF(Capacity_Resource,$E103,'Critical resources (hide)'!BD$6:BD$105)+SUMIF(Capacity_Resource,$F103,'Critical resources (hide)'!BD$6:BD$105)&gt;0,$E$1=2),0,1)</f>
        <v>1</v>
      </c>
      <c r="AR103" s="67">
        <f ca="1">IF(AND(SUMIF(Capacity_Resource,$D103,'Critical resources (hide)'!BE$6:BE$105)+SUMIF(Capacity_Resource,$E103,'Critical resources (hide)'!BE$6:BE$105)+SUMIF(Capacity_Resource,$F103,'Critical resources (hide)'!BE$6:BE$105)&gt;0,$E$1=2),0,1)</f>
        <v>1</v>
      </c>
      <c r="AS103" s="67">
        <f ca="1">IF(AND(SUMIF(Capacity_Resource,$D103,'Critical resources (hide)'!BF$6:BF$105)+SUMIF(Capacity_Resource,$E103,'Critical resources (hide)'!BF$6:BF$105)+SUMIF(Capacity_Resource,$F103,'Critical resources (hide)'!BF$6:BF$105)&gt;0,$E$1=2),0,1)</f>
        <v>1</v>
      </c>
      <c r="AT103" s="67">
        <f ca="1">IF(AND(SUMIF(Capacity_Resource,$D103,'Critical resources (hide)'!BG$6:BG$105)+SUMIF(Capacity_Resource,$E103,'Critical resources (hide)'!BG$6:BG$105)+SUMIF(Capacity_Resource,$F103,'Critical resources (hide)'!BG$6:BG$105)&gt;0,$E$1=2),0,1)</f>
        <v>1</v>
      </c>
      <c r="AU103" s="67">
        <f ca="1">IF(AND(SUMIF(Capacity_Resource,$D103,'Critical resources (hide)'!BH$6:BH$105)+SUMIF(Capacity_Resource,$E103,'Critical resources (hide)'!BH$6:BH$105)+SUMIF(Capacity_Resource,$F103,'Critical resources (hide)'!BH$6:BH$105)&gt;0,$E$1=2),0,1)</f>
        <v>1</v>
      </c>
      <c r="AV103" s="67">
        <f ca="1">IF(AND(SUMIF(Capacity_Resource,$D103,'Critical resources (hide)'!BI$6:BI$105)+SUMIF(Capacity_Resource,$E103,'Critical resources (hide)'!BI$6:BI$105)+SUMIF(Capacity_Resource,$F103,'Critical resources (hide)'!BI$6:BI$105)&gt;0,$E$1=2),0,1)</f>
        <v>1</v>
      </c>
      <c r="AW103" s="67">
        <f ca="1">IF(AND(SUMIF(Capacity_Resource,$D103,'Critical resources (hide)'!BJ$6:BJ$105)+SUMIF(Capacity_Resource,$E103,'Critical resources (hide)'!BJ$6:BJ$105)+SUMIF(Capacity_Resource,$F103,'Critical resources (hide)'!BJ$6:BJ$105)&gt;0,$E$1=2),0,1)</f>
        <v>1</v>
      </c>
      <c r="AX103" s="67">
        <f ca="1">IF(AND(SUMIF(Capacity_Resource,$D103,'Critical resources (hide)'!BK$6:BK$105)+SUMIF(Capacity_Resource,$E103,'Critical resources (hide)'!BK$6:BK$105)+SUMIF(Capacity_Resource,$F103,'Critical resources (hide)'!BK$6:BK$105)&gt;0,$E$1=2),0,1)</f>
        <v>1</v>
      </c>
      <c r="AY103" s="67">
        <f ca="1">IF(AND(SUMIF(Capacity_Resource,$D103,'Critical resources (hide)'!BL$6:BL$105)+SUMIF(Capacity_Resource,$E103,'Critical resources (hide)'!BL$6:BL$105)+SUMIF(Capacity_Resource,$F103,'Critical resources (hide)'!BL$6:BL$105)&gt;0,$E$1=2),0,1)</f>
        <v>1</v>
      </c>
      <c r="AZ103" s="67">
        <f ca="1">IF(AND(SUMIF(Capacity_Resource,$D103,'Critical resources (hide)'!BM$6:BM$105)+SUMIF(Capacity_Resource,$E103,'Critical resources (hide)'!BM$6:BM$105)+SUMIF(Capacity_Resource,$F103,'Critical resources (hide)'!BM$6:BM$105)&gt;0,$E$1=2),0,1)</f>
        <v>1</v>
      </c>
      <c r="BA103" s="67">
        <f ca="1">IF(AND(SUMIF(Capacity_Resource,$D103,'Critical resources (hide)'!BN$6:BN$105)+SUMIF(Capacity_Resource,$E103,'Critical resources (hide)'!BN$6:BN$105)+SUMIF(Capacity_Resource,$F103,'Critical resources (hide)'!BN$6:BN$105)&gt;0,$E$1=2),0,1)</f>
        <v>1</v>
      </c>
      <c r="BB103" s="67">
        <f ca="1">IF(AND(SUMIF(Capacity_Resource,$D103,'Critical resources (hide)'!BO$6:BO$105)+SUMIF(Capacity_Resource,$E103,'Critical resources (hide)'!BO$6:BO$105)+SUMIF(Capacity_Resource,$F103,'Critical resources (hide)'!BO$6:BO$105)&gt;0,$E$1=2),0,1)</f>
        <v>1</v>
      </c>
      <c r="BC103" s="67">
        <f ca="1">IF(AND(SUMIF(Capacity_Resource,$D103,'Critical resources (hide)'!BP$6:BP$105)+SUMIF(Capacity_Resource,$E103,'Critical resources (hide)'!BP$6:BP$105)+SUMIF(Capacity_Resource,$F103,'Critical resources (hide)'!BP$6:BP$105)&gt;0,$E$1=2),0,1)</f>
        <v>1</v>
      </c>
      <c r="BD103" s="67">
        <f ca="1">IF(AND(SUMIF(Capacity_Resource,$D103,'Critical resources (hide)'!BQ$6:BQ$105)+SUMIF(Capacity_Resource,$E103,'Critical resources (hide)'!BQ$6:BQ$105)+SUMIF(Capacity_Resource,$F103,'Critical resources (hide)'!BQ$6:BQ$105)&gt;0,$E$1=2),0,1)</f>
        <v>1</v>
      </c>
      <c r="BE103" s="67">
        <f ca="1">IF(AND(SUMIF(Capacity_Resource,$D103,'Critical resources (hide)'!BR$6:BR$105)+SUMIF(Capacity_Resource,$E103,'Critical resources (hide)'!BR$6:BR$105)+SUMIF(Capacity_Resource,$F103,'Critical resources (hide)'!BR$6:BR$105)&gt;0,$E$1=2),0,1)</f>
        <v>1</v>
      </c>
      <c r="BF103" s="67">
        <f ca="1">IF(AND(SUMIF(Capacity_Resource,$D103,'Critical resources (hide)'!BS$6:BS$105)+SUMIF(Capacity_Resource,$E103,'Critical resources (hide)'!BS$6:BS$105)+SUMIF(Capacity_Resource,$F103,'Critical resources (hide)'!BS$6:BS$105)&gt;0,$E$1=2),0,1)</f>
        <v>1</v>
      </c>
      <c r="BG103" s="67">
        <f ca="1">IF(AND(SUMIF(Capacity_Resource,$D103,'Critical resources (hide)'!BT$6:BT$105)+SUMIF(Capacity_Resource,$E103,'Critical resources (hide)'!BT$6:BT$105)+SUMIF(Capacity_Resource,$F103,'Critical resources (hide)'!BT$6:BT$105)&gt;0,$E$1=2),0,1)</f>
        <v>1</v>
      </c>
      <c r="BH103" s="67">
        <f>IF(ROW(C99)&lt;=Capacity!$A$16,IF('Capacity summary'!$D$14="No",SUM(H103:BG103),'Capacity summary'!$E222),0)</f>
        <v>0</v>
      </c>
      <c r="BI103" s="5" t="str">
        <f>IF(BH103&gt;0,IF(BH103&lt;Capacity!E115,Capacity!F115,Capacity!H115/'Capacity calculation (hide)'!BH103),"")</f>
        <v/>
      </c>
      <c r="BK103" s="313">
        <f>IF($BI103&lt;&gt;"",IF('Capacity summary'!$D$14="Yes",IF(COUNTBLANK('Capacity summary'!$H222:$BG222)&lt;52,IF('Capacity summary'!H222&lt;&gt;"",IF(LOWER('Capacity summary'!H222)="x",$BI103*H103,VALUE('Capacity summary'!H222)),0),H103*$BI103),H103*$BI103),0)</f>
        <v>0</v>
      </c>
      <c r="BL103" s="313">
        <f>IF($BI103&lt;&gt;"",IF('Capacity summary'!$D$14="Yes",IF(COUNTBLANK('Capacity summary'!$H222:$BG222)&lt;52,IF('Capacity summary'!I222&lt;&gt;"",IF(LOWER('Capacity summary'!I222)="x",$BI103*I103,VALUE('Capacity summary'!I222)),0),I103*$BI103),I103*$BI103),0)</f>
        <v>0</v>
      </c>
      <c r="BM103" s="313">
        <f>IF($BI103&lt;&gt;"",IF('Capacity summary'!$D$14="Yes",IF(COUNTBLANK('Capacity summary'!$H222:$BG222)&lt;52,IF('Capacity summary'!J222&lt;&gt;"",IF(LOWER('Capacity summary'!J222)="x",$BI103*J103,VALUE('Capacity summary'!J222)),0),J103*$BI103),J103*$BI103),0)</f>
        <v>0</v>
      </c>
      <c r="BN103" s="313">
        <f>IF($BI103&lt;&gt;"",IF('Capacity summary'!$D$14="Yes",IF(COUNTBLANK('Capacity summary'!$H222:$BG222)&lt;52,IF('Capacity summary'!K222&lt;&gt;"",IF(LOWER('Capacity summary'!K222)="x",$BI103*K103,VALUE('Capacity summary'!K222)),0),K103*$BI103),K103*$BI103),0)</f>
        <v>0</v>
      </c>
      <c r="BO103" s="313">
        <f>IF($BI103&lt;&gt;"",IF('Capacity summary'!$D$14="Yes",IF(COUNTBLANK('Capacity summary'!$H222:$BG222)&lt;52,IF('Capacity summary'!L222&lt;&gt;"",IF(LOWER('Capacity summary'!L222)="x",$BI103*L103,VALUE('Capacity summary'!L222)),0),L103*$BI103),L103*$BI103),0)</f>
        <v>0</v>
      </c>
      <c r="BP103" s="313">
        <f>IF($BI103&lt;&gt;"",IF('Capacity summary'!$D$14="Yes",IF(COUNTBLANK('Capacity summary'!$H222:$BG222)&lt;52,IF('Capacity summary'!M222&lt;&gt;"",IF(LOWER('Capacity summary'!M222)="x",$BI103*M103,VALUE('Capacity summary'!M222)),0),M103*$BI103),M103*$BI103),0)</f>
        <v>0</v>
      </c>
      <c r="BQ103" s="313">
        <f>IF($BI103&lt;&gt;"",IF('Capacity summary'!$D$14="Yes",IF(COUNTBLANK('Capacity summary'!$H222:$BG222)&lt;52,IF('Capacity summary'!N222&lt;&gt;"",IF(LOWER('Capacity summary'!N222)="x",$BI103*N103,VALUE('Capacity summary'!N222)),0),N103*$BI103),N103*$BI103),0)</f>
        <v>0</v>
      </c>
      <c r="BR103" s="313">
        <f>IF($BI103&lt;&gt;"",IF('Capacity summary'!$D$14="Yes",IF(COUNTBLANK('Capacity summary'!$H222:$BG222)&lt;52,IF('Capacity summary'!O222&lt;&gt;"",IF(LOWER('Capacity summary'!O222)="x",$BI103*O103,VALUE('Capacity summary'!O222)),0),O103*$BI103),O103*$BI103),0)</f>
        <v>0</v>
      </c>
      <c r="BS103" s="313">
        <f>IF($BI103&lt;&gt;"",IF('Capacity summary'!$D$14="Yes",IF(COUNTBLANK('Capacity summary'!$H222:$BG222)&lt;52,IF('Capacity summary'!P222&lt;&gt;"",IF(LOWER('Capacity summary'!P222)="x",$BI103*P103,VALUE('Capacity summary'!P222)),0),P103*$BI103),P103*$BI103),0)</f>
        <v>0</v>
      </c>
      <c r="BT103" s="313">
        <f>IF($BI103&lt;&gt;"",IF('Capacity summary'!$D$14="Yes",IF(COUNTBLANK('Capacity summary'!$H222:$BG222)&lt;52,IF('Capacity summary'!Q222&lt;&gt;"",IF(LOWER('Capacity summary'!Q222)="x",$BI103*Q103,VALUE('Capacity summary'!Q222)),0),Q103*$BI103),Q103*$BI103),0)</f>
        <v>0</v>
      </c>
      <c r="BU103" s="313">
        <f>IF($BI103&lt;&gt;"",IF('Capacity summary'!$D$14="Yes",IF(COUNTBLANK('Capacity summary'!$H222:$BG222)&lt;52,IF('Capacity summary'!R222&lt;&gt;"",IF(LOWER('Capacity summary'!R222)="x",$BI103*R103,VALUE('Capacity summary'!R222)),0),R103*$BI103),R103*$BI103),0)</f>
        <v>0</v>
      </c>
      <c r="BV103" s="313">
        <f>IF($BI103&lt;&gt;"",IF('Capacity summary'!$D$14="Yes",IF(COUNTBLANK('Capacity summary'!$H222:$BG222)&lt;52,IF('Capacity summary'!S222&lt;&gt;"",IF(LOWER('Capacity summary'!S222)="x",$BI103*S103,VALUE('Capacity summary'!S222)),0),S103*$BI103),S103*$BI103),0)</f>
        <v>0</v>
      </c>
      <c r="BW103" s="313">
        <f>IF($BI103&lt;&gt;"",IF('Capacity summary'!$D$14="Yes",IF(COUNTBLANK('Capacity summary'!$H222:$BG222)&lt;52,IF('Capacity summary'!T222&lt;&gt;"",IF(LOWER('Capacity summary'!T222)="x",$BI103*T103,VALUE('Capacity summary'!T222)),0),T103*$BI103),T103*$BI103),0)</f>
        <v>0</v>
      </c>
      <c r="BX103" s="313">
        <f>IF($BI103&lt;&gt;"",IF('Capacity summary'!$D$14="Yes",IF(COUNTBLANK('Capacity summary'!$H222:$BG222)&lt;52,IF('Capacity summary'!U222&lt;&gt;"",IF(LOWER('Capacity summary'!U222)="x",$BI103*U103,VALUE('Capacity summary'!U222)),0),U103*$BI103),U103*$BI103),0)</f>
        <v>0</v>
      </c>
      <c r="BY103" s="313">
        <f>IF($BI103&lt;&gt;"",IF('Capacity summary'!$D$14="Yes",IF(COUNTBLANK('Capacity summary'!$H222:$BG222)&lt;52,IF('Capacity summary'!V222&lt;&gt;"",IF(LOWER('Capacity summary'!V222)="x",$BI103*V103,VALUE('Capacity summary'!V222)),0),V103*$BI103),V103*$BI103),0)</f>
        <v>0</v>
      </c>
      <c r="BZ103" s="313">
        <f>IF($BI103&lt;&gt;"",IF('Capacity summary'!$D$14="Yes",IF(COUNTBLANK('Capacity summary'!$H222:$BG222)&lt;52,IF('Capacity summary'!W222&lt;&gt;"",IF(LOWER('Capacity summary'!W222)="x",$BI103*W103,VALUE('Capacity summary'!W222)),0),W103*$BI103),W103*$BI103),0)</f>
        <v>0</v>
      </c>
      <c r="CA103" s="313">
        <f>IF($BI103&lt;&gt;"",IF('Capacity summary'!$D$14="Yes",IF(COUNTBLANK('Capacity summary'!$H222:$BG222)&lt;52,IF('Capacity summary'!X222&lt;&gt;"",IF(LOWER('Capacity summary'!X222)="x",$BI103*X103,VALUE('Capacity summary'!X222)),0),X103*$BI103),X103*$BI103),0)</f>
        <v>0</v>
      </c>
      <c r="CB103" s="313">
        <f>IF($BI103&lt;&gt;"",IF('Capacity summary'!$D$14="Yes",IF(COUNTBLANK('Capacity summary'!$H222:$BG222)&lt;52,IF('Capacity summary'!Y222&lt;&gt;"",IF(LOWER('Capacity summary'!Y222)="x",$BI103*Y103,VALUE('Capacity summary'!Y222)),0),Y103*$BI103),Y103*$BI103),0)</f>
        <v>0</v>
      </c>
      <c r="CC103" s="313">
        <f>IF($BI103&lt;&gt;"",IF('Capacity summary'!$D$14="Yes",IF(COUNTBLANK('Capacity summary'!$H222:$BG222)&lt;52,IF('Capacity summary'!Z222&lt;&gt;"",IF(LOWER('Capacity summary'!Z222)="x",$BI103*Z103,VALUE('Capacity summary'!Z222)),0),Z103*$BI103),Z103*$BI103),0)</f>
        <v>0</v>
      </c>
      <c r="CD103" s="313">
        <f>IF($BI103&lt;&gt;"",IF('Capacity summary'!$D$14="Yes",IF(COUNTBLANK('Capacity summary'!$H222:$BG222)&lt;52,IF('Capacity summary'!AA222&lt;&gt;"",IF(LOWER('Capacity summary'!AA222)="x",$BI103*AA103,VALUE('Capacity summary'!AA222)),0),AA103*$BI103),AA103*$BI103),0)</f>
        <v>0</v>
      </c>
      <c r="CE103" s="313">
        <f>IF($BI103&lt;&gt;"",IF('Capacity summary'!$D$14="Yes",IF(COUNTBLANK('Capacity summary'!$H222:$BG222)&lt;52,IF('Capacity summary'!AB222&lt;&gt;"",IF(LOWER('Capacity summary'!AB222)="x",$BI103*AB103,VALUE('Capacity summary'!AB222)),0),AB103*$BI103),AB103*$BI103),0)</f>
        <v>0</v>
      </c>
      <c r="CF103" s="313">
        <f>IF($BI103&lt;&gt;"",IF('Capacity summary'!$D$14="Yes",IF(COUNTBLANK('Capacity summary'!$H222:$BG222)&lt;52,IF('Capacity summary'!AC222&lt;&gt;"",IF(LOWER('Capacity summary'!AC222)="x",$BI103*AC103,VALUE('Capacity summary'!AC222)),0),AC103*$BI103),AC103*$BI103),0)</f>
        <v>0</v>
      </c>
      <c r="CG103" s="313">
        <f>IF($BI103&lt;&gt;"",IF('Capacity summary'!$D$14="Yes",IF(COUNTBLANK('Capacity summary'!$H222:$BG222)&lt;52,IF('Capacity summary'!AD222&lt;&gt;"",IF(LOWER('Capacity summary'!AD222)="x",$BI103*AD103,VALUE('Capacity summary'!AD222)),0),AD103*$BI103),AD103*$BI103),0)</f>
        <v>0</v>
      </c>
      <c r="CH103" s="313">
        <f>IF($BI103&lt;&gt;"",IF('Capacity summary'!$D$14="Yes",IF(COUNTBLANK('Capacity summary'!$H222:$BG222)&lt;52,IF('Capacity summary'!AE222&lt;&gt;"",IF(LOWER('Capacity summary'!AE222)="x",$BI103*AE103,VALUE('Capacity summary'!AE222)),0),AE103*$BI103),AE103*$BI103),0)</f>
        <v>0</v>
      </c>
      <c r="CI103" s="313">
        <f>IF($BI103&lt;&gt;"",IF('Capacity summary'!$D$14="Yes",IF(COUNTBLANK('Capacity summary'!$H222:$BG222)&lt;52,IF('Capacity summary'!AF222&lt;&gt;"",IF(LOWER('Capacity summary'!AF222)="x",$BI103*AF103,VALUE('Capacity summary'!AF222)),0),AF103*$BI103),AF103*$BI103),0)</f>
        <v>0</v>
      </c>
      <c r="CJ103" s="313">
        <f>IF($BI103&lt;&gt;"",IF('Capacity summary'!$D$14="Yes",IF(COUNTBLANK('Capacity summary'!$H222:$BG222)&lt;52,IF('Capacity summary'!AG222&lt;&gt;"",IF(LOWER('Capacity summary'!AG222)="x",$BI103*AG103,VALUE('Capacity summary'!AG222)),0),AG103*$BI103),AG103*$BI103),0)</f>
        <v>0</v>
      </c>
      <c r="CK103" s="313">
        <f>IF($BI103&lt;&gt;"",IF('Capacity summary'!$D$14="Yes",IF(COUNTBLANK('Capacity summary'!$H222:$BG222)&lt;52,IF('Capacity summary'!AH222&lt;&gt;"",IF(LOWER('Capacity summary'!AH222)="x",$BI103*AH103,VALUE('Capacity summary'!AH222)),0),AH103*$BI103),AH103*$BI103),0)</f>
        <v>0</v>
      </c>
      <c r="CL103" s="313">
        <f>IF($BI103&lt;&gt;"",IF('Capacity summary'!$D$14="Yes",IF(COUNTBLANK('Capacity summary'!$H222:$BG222)&lt;52,IF('Capacity summary'!AI222&lt;&gt;"",IF(LOWER('Capacity summary'!AI222)="x",$BI103*AI103,VALUE('Capacity summary'!AI222)),0),AI103*$BI103),AI103*$BI103),0)</f>
        <v>0</v>
      </c>
      <c r="CM103" s="313">
        <f>IF($BI103&lt;&gt;"",IF('Capacity summary'!$D$14="Yes",IF(COUNTBLANK('Capacity summary'!$H222:$BG222)&lt;52,IF('Capacity summary'!AJ222&lt;&gt;"",IF(LOWER('Capacity summary'!AJ222)="x",$BI103*AJ103,VALUE('Capacity summary'!AJ222)),0),AJ103*$BI103),AJ103*$BI103),0)</f>
        <v>0</v>
      </c>
      <c r="CN103" s="313">
        <f>IF($BI103&lt;&gt;"",IF('Capacity summary'!$D$14="Yes",IF(COUNTBLANK('Capacity summary'!$H222:$BG222)&lt;52,IF('Capacity summary'!AK222&lt;&gt;"",IF(LOWER('Capacity summary'!AK222)="x",$BI103*AK103,VALUE('Capacity summary'!AK222)),0),AK103*$BI103),AK103*$BI103),0)</f>
        <v>0</v>
      </c>
      <c r="CO103" s="313">
        <f>IF($BI103&lt;&gt;"",IF('Capacity summary'!$D$14="Yes",IF(COUNTBLANK('Capacity summary'!$H222:$BG222)&lt;52,IF('Capacity summary'!AL222&lt;&gt;"",IF(LOWER('Capacity summary'!AL222)="x",$BI103*AL103,VALUE('Capacity summary'!AL222)),0),AL103*$BI103),AL103*$BI103),0)</f>
        <v>0</v>
      </c>
      <c r="CP103" s="313">
        <f>IF($BI103&lt;&gt;"",IF('Capacity summary'!$D$14="Yes",IF(COUNTBLANK('Capacity summary'!$H222:$BG222)&lt;52,IF('Capacity summary'!AM222&lt;&gt;"",IF(LOWER('Capacity summary'!AM222)="x",$BI103*AM103,VALUE('Capacity summary'!AM222)),0),AM103*$BI103),AM103*$BI103),0)</f>
        <v>0</v>
      </c>
      <c r="CQ103" s="313">
        <f>IF($BI103&lt;&gt;"",IF('Capacity summary'!$D$14="Yes",IF(COUNTBLANK('Capacity summary'!$H222:$BG222)&lt;52,IF('Capacity summary'!AN222&lt;&gt;"",IF(LOWER('Capacity summary'!AN222)="x",$BI103*AN103,VALUE('Capacity summary'!AN222)),0),AN103*$BI103),AN103*$BI103),0)</f>
        <v>0</v>
      </c>
      <c r="CR103" s="313">
        <f>IF($BI103&lt;&gt;"",IF('Capacity summary'!$D$14="Yes",IF(COUNTBLANK('Capacity summary'!$H222:$BG222)&lt;52,IF('Capacity summary'!AO222&lt;&gt;"",IF(LOWER('Capacity summary'!AO222)="x",$BI103*AO103,VALUE('Capacity summary'!AO222)),0),AO103*$BI103),AO103*$BI103),0)</f>
        <v>0</v>
      </c>
      <c r="CS103" s="313">
        <f>IF($BI103&lt;&gt;"",IF('Capacity summary'!$D$14="Yes",IF(COUNTBLANK('Capacity summary'!$H222:$BG222)&lt;52,IF('Capacity summary'!AP222&lt;&gt;"",IF(LOWER('Capacity summary'!AP222)="x",$BI103*AP103,VALUE('Capacity summary'!AP222)),0),AP103*$BI103),AP103*$BI103),0)</f>
        <v>0</v>
      </c>
      <c r="CT103" s="313">
        <f>IF($BI103&lt;&gt;"",IF('Capacity summary'!$D$14="Yes",IF(COUNTBLANK('Capacity summary'!$H222:$BG222)&lt;52,IF('Capacity summary'!AQ222&lt;&gt;"",IF(LOWER('Capacity summary'!AQ222)="x",$BI103*AQ103,VALUE('Capacity summary'!AQ222)),0),AQ103*$BI103),AQ103*$BI103),0)</f>
        <v>0</v>
      </c>
      <c r="CU103" s="313">
        <f>IF($BI103&lt;&gt;"",IF('Capacity summary'!$D$14="Yes",IF(COUNTBLANK('Capacity summary'!$H222:$BG222)&lt;52,IF('Capacity summary'!AR222&lt;&gt;"",IF(LOWER('Capacity summary'!AR222)="x",$BI103*AR103,VALUE('Capacity summary'!AR222)),0),AR103*$BI103),AR103*$BI103),0)</f>
        <v>0</v>
      </c>
      <c r="CV103" s="313">
        <f>IF($BI103&lt;&gt;"",IF('Capacity summary'!$D$14="Yes",IF(COUNTBLANK('Capacity summary'!$H222:$BG222)&lt;52,IF('Capacity summary'!AS222&lt;&gt;"",IF(LOWER('Capacity summary'!AS222)="x",$BI103*AS103,VALUE('Capacity summary'!AS222)),0),AS103*$BI103),AS103*$BI103),0)</f>
        <v>0</v>
      </c>
      <c r="CW103" s="313">
        <f>IF($BI103&lt;&gt;"",IF('Capacity summary'!$D$14="Yes",IF(COUNTBLANK('Capacity summary'!$H222:$BG222)&lt;52,IF('Capacity summary'!AT222&lt;&gt;"",IF(LOWER('Capacity summary'!AT222)="x",$BI103*AT103,VALUE('Capacity summary'!AT222)),0),AT103*$BI103),AT103*$BI103),0)</f>
        <v>0</v>
      </c>
      <c r="CX103" s="313">
        <f>IF($BI103&lt;&gt;"",IF('Capacity summary'!$D$14="Yes",IF(COUNTBLANK('Capacity summary'!$H222:$BG222)&lt;52,IF('Capacity summary'!AU222&lt;&gt;"",IF(LOWER('Capacity summary'!AU222)="x",$BI103*AU103,VALUE('Capacity summary'!AU222)),0),AU103*$BI103),AU103*$BI103),0)</f>
        <v>0</v>
      </c>
      <c r="CY103" s="313">
        <f>IF($BI103&lt;&gt;"",IF('Capacity summary'!$D$14="Yes",IF(COUNTBLANK('Capacity summary'!$H222:$BG222)&lt;52,IF('Capacity summary'!AV222&lt;&gt;"",IF(LOWER('Capacity summary'!AV222)="x",$BI103*AV103,VALUE('Capacity summary'!AV222)),0),AV103*$BI103),AV103*$BI103),0)</f>
        <v>0</v>
      </c>
      <c r="CZ103" s="313">
        <f>IF($BI103&lt;&gt;"",IF('Capacity summary'!$D$14="Yes",IF(COUNTBLANK('Capacity summary'!$H222:$BG222)&lt;52,IF('Capacity summary'!AW222&lt;&gt;"",IF(LOWER('Capacity summary'!AW222)="x",$BI103*AW103,VALUE('Capacity summary'!AW222)),0),AW103*$BI103),AW103*$BI103),0)</f>
        <v>0</v>
      </c>
      <c r="DA103" s="313">
        <f>IF($BI103&lt;&gt;"",IF('Capacity summary'!$D$14="Yes",IF(COUNTBLANK('Capacity summary'!$H222:$BG222)&lt;52,IF('Capacity summary'!AX222&lt;&gt;"",IF(LOWER('Capacity summary'!AX222)="x",$BI103*AX103,VALUE('Capacity summary'!AX222)),0),AX103*$BI103),AX103*$BI103),0)</f>
        <v>0</v>
      </c>
      <c r="DB103" s="313">
        <f>IF($BI103&lt;&gt;"",IF('Capacity summary'!$D$14="Yes",IF(COUNTBLANK('Capacity summary'!$H222:$BG222)&lt;52,IF('Capacity summary'!AY222&lt;&gt;"",IF(LOWER('Capacity summary'!AY222)="x",$BI103*AY103,VALUE('Capacity summary'!AY222)),0),AY103*$BI103),AY103*$BI103),0)</f>
        <v>0</v>
      </c>
      <c r="DC103" s="313">
        <f>IF($BI103&lt;&gt;"",IF('Capacity summary'!$D$14="Yes",IF(COUNTBLANK('Capacity summary'!$H222:$BG222)&lt;52,IF('Capacity summary'!AZ222&lt;&gt;"",IF(LOWER('Capacity summary'!AZ222)="x",$BI103*AZ103,VALUE('Capacity summary'!AZ222)),0),AZ103*$BI103),AZ103*$BI103),0)</f>
        <v>0</v>
      </c>
      <c r="DD103" s="313">
        <f>IF($BI103&lt;&gt;"",IF('Capacity summary'!$D$14="Yes",IF(COUNTBLANK('Capacity summary'!$H222:$BG222)&lt;52,IF('Capacity summary'!BA222&lt;&gt;"",IF(LOWER('Capacity summary'!BA222)="x",$BI103*BA103,VALUE('Capacity summary'!BA222)),0),BA103*$BI103),BA103*$BI103),0)</f>
        <v>0</v>
      </c>
      <c r="DE103" s="313">
        <f>IF($BI103&lt;&gt;"",IF('Capacity summary'!$D$14="Yes",IF(COUNTBLANK('Capacity summary'!$H222:$BG222)&lt;52,IF('Capacity summary'!BB222&lt;&gt;"",IF(LOWER('Capacity summary'!BB222)="x",$BI103*BB103,VALUE('Capacity summary'!BB222)),0),BB103*$BI103),BB103*$BI103),0)</f>
        <v>0</v>
      </c>
      <c r="DF103" s="313">
        <f>IF($BI103&lt;&gt;"",IF('Capacity summary'!$D$14="Yes",IF(COUNTBLANK('Capacity summary'!$H222:$BG222)&lt;52,IF('Capacity summary'!BC222&lt;&gt;"",IF(LOWER('Capacity summary'!BC222)="x",$BI103*BC103,VALUE('Capacity summary'!BC222)),0),BC103*$BI103),BC103*$BI103),0)</f>
        <v>0</v>
      </c>
      <c r="DG103" s="313">
        <f>IF($BI103&lt;&gt;"",IF('Capacity summary'!$D$14="Yes",IF(COUNTBLANK('Capacity summary'!$H222:$BG222)&lt;52,IF('Capacity summary'!BD222&lt;&gt;"",IF(LOWER('Capacity summary'!BD222)="x",$BI103*BD103,VALUE('Capacity summary'!BD222)),0),BD103*$BI103),BD103*$BI103),0)</f>
        <v>0</v>
      </c>
      <c r="DH103" s="313">
        <f>IF($BI103&lt;&gt;"",IF('Capacity summary'!$D$14="Yes",IF(COUNTBLANK('Capacity summary'!$H222:$BG222)&lt;52,IF('Capacity summary'!BE222&lt;&gt;"",IF(LOWER('Capacity summary'!BE222)="x",$BI103*BE103,VALUE('Capacity summary'!BE222)),0),BE103*$BI103),BE103*$BI103),0)</f>
        <v>0</v>
      </c>
      <c r="DI103" s="313">
        <f>IF($BI103&lt;&gt;"",IF('Capacity summary'!$D$14="Yes",IF(COUNTBLANK('Capacity summary'!$H222:$BG222)&lt;52,IF('Capacity summary'!BF222&lt;&gt;"",IF(LOWER('Capacity summary'!BF222)="x",$BI103*BF103,VALUE('Capacity summary'!BF222)),0),BF103*$BI103),BF103*$BI103),0)</f>
        <v>0</v>
      </c>
      <c r="DJ103" s="313">
        <f>IF($BI103&lt;&gt;"",IF('Capacity summary'!$D$14="Yes",IF(COUNTBLANK('Capacity summary'!$H222:$BG222)&lt;52,IF('Capacity summary'!BG222&lt;&gt;"",IF(LOWER('Capacity summary'!BG222)="x",$BI103*BG103,VALUE('Capacity summary'!BG222)),0),BG103*$BI103),BG103*$BI103),0)</f>
        <v>0</v>
      </c>
      <c r="DK103" s="137">
        <f t="shared" si="3"/>
        <v>0</v>
      </c>
      <c r="DL103" s="313" t="str">
        <f>Capacity!H115</f>
        <v/>
      </c>
    </row>
    <row r="104" spans="2:116" x14ac:dyDescent="0.25">
      <c r="B104" s="67"/>
      <c r="C104" s="67" t="str">
        <f>ROW(A100)&amp;". "&amp;Capacity!B116</f>
        <v xml:space="preserve">100. </v>
      </c>
      <c r="D104" s="67">
        <f>'Capacity setup'!C111</f>
        <v>0</v>
      </c>
      <c r="E104" s="67">
        <f>'Capacity setup'!D111</f>
        <v>0</v>
      </c>
      <c r="F104" s="67">
        <f>'Capacity setup'!E111</f>
        <v>0</v>
      </c>
      <c r="H104" s="67">
        <f ca="1">IF(AND(SUMIF(Capacity_Resource,$D104,'Critical resources (hide)'!U$6:U$105)+SUMIF(Capacity_Resource,$E104,'Critical resources (hide)'!U$6:U$105)+SUMIF(Capacity_Resource,$F104,'Critical resources (hide)'!U$6:U$105)&gt;0,$E$1=2),0,1)</f>
        <v>1</v>
      </c>
      <c r="I104" s="67">
        <f ca="1">IF(AND(SUMIF(Capacity_Resource,$D104,'Critical resources (hide)'!V$6:V$105)+SUMIF(Capacity_Resource,$E104,'Critical resources (hide)'!V$6:V$105)+SUMIF(Capacity_Resource,$F104,'Critical resources (hide)'!V$6:V$105)&gt;0,$E$1=2),0,1)</f>
        <v>1</v>
      </c>
      <c r="J104" s="67">
        <f ca="1">IF(AND(SUMIF(Capacity_Resource,$D104,'Critical resources (hide)'!W$6:W$105)+SUMIF(Capacity_Resource,$E104,'Critical resources (hide)'!W$6:W$105)+SUMIF(Capacity_Resource,$F104,'Critical resources (hide)'!W$6:W$105)&gt;0,$E$1=2),0,1)</f>
        <v>1</v>
      </c>
      <c r="K104" s="67">
        <f ca="1">IF(AND(SUMIF(Capacity_Resource,$D104,'Critical resources (hide)'!X$6:X$105)+SUMIF(Capacity_Resource,$E104,'Critical resources (hide)'!X$6:X$105)+SUMIF(Capacity_Resource,$F104,'Critical resources (hide)'!X$6:X$105)&gt;0,$E$1=2),0,1)</f>
        <v>1</v>
      </c>
      <c r="L104" s="67">
        <f ca="1">IF(AND(SUMIF(Capacity_Resource,$D104,'Critical resources (hide)'!Y$6:Y$105)+SUMIF(Capacity_Resource,$E104,'Critical resources (hide)'!Y$6:Y$105)+SUMIF(Capacity_Resource,$F104,'Critical resources (hide)'!Y$6:Y$105)&gt;0,$E$1=2),0,1)</f>
        <v>1</v>
      </c>
      <c r="M104" s="67">
        <f ca="1">IF(AND(SUMIF(Capacity_Resource,$D104,'Critical resources (hide)'!Z$6:Z$105)+SUMIF(Capacity_Resource,$E104,'Critical resources (hide)'!Z$6:Z$105)+SUMIF(Capacity_Resource,$F104,'Critical resources (hide)'!Z$6:Z$105)&gt;0,$E$1=2),0,1)</f>
        <v>1</v>
      </c>
      <c r="N104" s="67">
        <f ca="1">IF(AND(SUMIF(Capacity_Resource,$D104,'Critical resources (hide)'!AA$6:AA$105)+SUMIF(Capacity_Resource,$E104,'Critical resources (hide)'!AA$6:AA$105)+SUMIF(Capacity_Resource,$F104,'Critical resources (hide)'!AA$6:AA$105)&gt;0,$E$1=2),0,1)</f>
        <v>1</v>
      </c>
      <c r="O104" s="67">
        <f ca="1">IF(AND(SUMIF(Capacity_Resource,$D104,'Critical resources (hide)'!AB$6:AB$105)+SUMIF(Capacity_Resource,$E104,'Critical resources (hide)'!AB$6:AB$105)+SUMIF(Capacity_Resource,$F104,'Critical resources (hide)'!AB$6:AB$105)&gt;0,$E$1=2),0,1)</f>
        <v>1</v>
      </c>
      <c r="P104" s="67">
        <f ca="1">IF(AND(SUMIF(Capacity_Resource,$D104,'Critical resources (hide)'!AC$6:AC$105)+SUMIF(Capacity_Resource,$E104,'Critical resources (hide)'!AC$6:AC$105)+SUMIF(Capacity_Resource,$F104,'Critical resources (hide)'!AC$6:AC$105)&gt;0,$E$1=2),0,1)</f>
        <v>1</v>
      </c>
      <c r="Q104" s="67">
        <f ca="1">IF(AND(SUMIF(Capacity_Resource,$D104,'Critical resources (hide)'!AD$6:AD$105)+SUMIF(Capacity_Resource,$E104,'Critical resources (hide)'!AD$6:AD$105)+SUMIF(Capacity_Resource,$F104,'Critical resources (hide)'!AD$6:AD$105)&gt;0,$E$1=2),0,1)</f>
        <v>1</v>
      </c>
      <c r="R104" s="67">
        <f ca="1">IF(AND(SUMIF(Capacity_Resource,$D104,'Critical resources (hide)'!AE$6:AE$105)+SUMIF(Capacity_Resource,$E104,'Critical resources (hide)'!AE$6:AE$105)+SUMIF(Capacity_Resource,$F104,'Critical resources (hide)'!AE$6:AE$105)&gt;0,$E$1=2),0,1)</f>
        <v>1</v>
      </c>
      <c r="S104" s="67">
        <f ca="1">IF(AND(SUMIF(Capacity_Resource,$D104,'Critical resources (hide)'!AF$6:AF$105)+SUMIF(Capacity_Resource,$E104,'Critical resources (hide)'!AF$6:AF$105)+SUMIF(Capacity_Resource,$F104,'Critical resources (hide)'!AF$6:AF$105)&gt;0,$E$1=2),0,1)</f>
        <v>1</v>
      </c>
      <c r="T104" s="67">
        <f ca="1">IF(AND(SUMIF(Capacity_Resource,$D104,'Critical resources (hide)'!AG$6:AG$105)+SUMIF(Capacity_Resource,$E104,'Critical resources (hide)'!AG$6:AG$105)+SUMIF(Capacity_Resource,$F104,'Critical resources (hide)'!AG$6:AG$105)&gt;0,$E$1=2),0,1)</f>
        <v>1</v>
      </c>
      <c r="U104" s="67">
        <f ca="1">IF(AND(SUMIF(Capacity_Resource,$D104,'Critical resources (hide)'!AH$6:AH$105)+SUMIF(Capacity_Resource,$E104,'Critical resources (hide)'!AH$6:AH$105)+SUMIF(Capacity_Resource,$F104,'Critical resources (hide)'!AH$6:AH$105)&gt;0,$E$1=2),0,1)</f>
        <v>1</v>
      </c>
      <c r="V104" s="67">
        <f ca="1">IF(AND(SUMIF(Capacity_Resource,$D104,'Critical resources (hide)'!AI$6:AI$105)+SUMIF(Capacity_Resource,$E104,'Critical resources (hide)'!AI$6:AI$105)+SUMIF(Capacity_Resource,$F104,'Critical resources (hide)'!AI$6:AI$105)&gt;0,$E$1=2),0,1)</f>
        <v>1</v>
      </c>
      <c r="W104" s="67">
        <f ca="1">IF(AND(SUMIF(Capacity_Resource,$D104,'Critical resources (hide)'!AJ$6:AJ$105)+SUMIF(Capacity_Resource,$E104,'Critical resources (hide)'!AJ$6:AJ$105)+SUMIF(Capacity_Resource,$F104,'Critical resources (hide)'!AJ$6:AJ$105)&gt;0,$E$1=2),0,1)</f>
        <v>1</v>
      </c>
      <c r="X104" s="67">
        <f ca="1">IF(AND(SUMIF(Capacity_Resource,$D104,'Critical resources (hide)'!AK$6:AK$105)+SUMIF(Capacity_Resource,$E104,'Critical resources (hide)'!AK$6:AK$105)+SUMIF(Capacity_Resource,$F104,'Critical resources (hide)'!AK$6:AK$105)&gt;0,$E$1=2),0,1)</f>
        <v>1</v>
      </c>
      <c r="Y104" s="67">
        <f ca="1">IF(AND(SUMIF(Capacity_Resource,$D104,'Critical resources (hide)'!AL$6:AL$105)+SUMIF(Capacity_Resource,$E104,'Critical resources (hide)'!AL$6:AL$105)+SUMIF(Capacity_Resource,$F104,'Critical resources (hide)'!AL$6:AL$105)&gt;0,$E$1=2),0,1)</f>
        <v>1</v>
      </c>
      <c r="Z104" s="67">
        <f ca="1">IF(AND(SUMIF(Capacity_Resource,$D104,'Critical resources (hide)'!AM$6:AM$105)+SUMIF(Capacity_Resource,$E104,'Critical resources (hide)'!AM$6:AM$105)+SUMIF(Capacity_Resource,$F104,'Critical resources (hide)'!AM$6:AM$105)&gt;0,$E$1=2),0,1)</f>
        <v>1</v>
      </c>
      <c r="AA104" s="67">
        <f ca="1">IF(AND(SUMIF(Capacity_Resource,$D104,'Critical resources (hide)'!AN$6:AN$105)+SUMIF(Capacity_Resource,$E104,'Critical resources (hide)'!AN$6:AN$105)+SUMIF(Capacity_Resource,$F104,'Critical resources (hide)'!AN$6:AN$105)&gt;0,$E$1=2),0,1)</f>
        <v>1</v>
      </c>
      <c r="AB104" s="67">
        <f ca="1">IF(AND(SUMIF(Capacity_Resource,$D104,'Critical resources (hide)'!AO$6:AO$105)+SUMIF(Capacity_Resource,$E104,'Critical resources (hide)'!AO$6:AO$105)+SUMIF(Capacity_Resource,$F104,'Critical resources (hide)'!AO$6:AO$105)&gt;0,$E$1=2),0,1)</f>
        <v>1</v>
      </c>
      <c r="AC104" s="67">
        <f ca="1">IF(AND(SUMIF(Capacity_Resource,$D104,'Critical resources (hide)'!AP$6:AP$105)+SUMIF(Capacity_Resource,$E104,'Critical resources (hide)'!AP$6:AP$105)+SUMIF(Capacity_Resource,$F104,'Critical resources (hide)'!AP$6:AP$105)&gt;0,$E$1=2),0,1)</f>
        <v>1</v>
      </c>
      <c r="AD104" s="67">
        <f ca="1">IF(AND(SUMIF(Capacity_Resource,$D104,'Critical resources (hide)'!AQ$6:AQ$105)+SUMIF(Capacity_Resource,$E104,'Critical resources (hide)'!AQ$6:AQ$105)+SUMIF(Capacity_Resource,$F104,'Critical resources (hide)'!AQ$6:AQ$105)&gt;0,$E$1=2),0,1)</f>
        <v>1</v>
      </c>
      <c r="AE104" s="67">
        <f ca="1">IF(AND(SUMIF(Capacity_Resource,$D104,'Critical resources (hide)'!AR$6:AR$105)+SUMIF(Capacity_Resource,$E104,'Critical resources (hide)'!AR$6:AR$105)+SUMIF(Capacity_Resource,$F104,'Critical resources (hide)'!AR$6:AR$105)&gt;0,$E$1=2),0,1)</f>
        <v>1</v>
      </c>
      <c r="AF104" s="67">
        <f ca="1">IF(AND(SUMIF(Capacity_Resource,$D104,'Critical resources (hide)'!AS$6:AS$105)+SUMIF(Capacity_Resource,$E104,'Critical resources (hide)'!AS$6:AS$105)+SUMIF(Capacity_Resource,$F104,'Critical resources (hide)'!AS$6:AS$105)&gt;0,$E$1=2),0,1)</f>
        <v>1</v>
      </c>
      <c r="AG104" s="67">
        <f ca="1">IF(AND(SUMIF(Capacity_Resource,$D104,'Critical resources (hide)'!AT$6:AT$105)+SUMIF(Capacity_Resource,$E104,'Critical resources (hide)'!AT$6:AT$105)+SUMIF(Capacity_Resource,$F104,'Critical resources (hide)'!AT$6:AT$105)&gt;0,$E$1=2),0,1)</f>
        <v>1</v>
      </c>
      <c r="AH104" s="67">
        <f ca="1">IF(AND(SUMIF(Capacity_Resource,$D104,'Critical resources (hide)'!AU$6:AU$105)+SUMIF(Capacity_Resource,$E104,'Critical resources (hide)'!AU$6:AU$105)+SUMIF(Capacity_Resource,$F104,'Critical resources (hide)'!AU$6:AU$105)&gt;0,$E$1=2),0,1)</f>
        <v>1</v>
      </c>
      <c r="AI104" s="67">
        <f ca="1">IF(AND(SUMIF(Capacity_Resource,$D104,'Critical resources (hide)'!AV$6:AV$105)+SUMIF(Capacity_Resource,$E104,'Critical resources (hide)'!AV$6:AV$105)+SUMIF(Capacity_Resource,$F104,'Critical resources (hide)'!AV$6:AV$105)&gt;0,$E$1=2),0,1)</f>
        <v>1</v>
      </c>
      <c r="AJ104" s="67">
        <f ca="1">IF(AND(SUMIF(Capacity_Resource,$D104,'Critical resources (hide)'!AW$6:AW$105)+SUMIF(Capacity_Resource,$E104,'Critical resources (hide)'!AW$6:AW$105)+SUMIF(Capacity_Resource,$F104,'Critical resources (hide)'!AW$6:AW$105)&gt;0,$E$1=2),0,1)</f>
        <v>1</v>
      </c>
      <c r="AK104" s="67">
        <f ca="1">IF(AND(SUMIF(Capacity_Resource,$D104,'Critical resources (hide)'!AX$6:AX$105)+SUMIF(Capacity_Resource,$E104,'Critical resources (hide)'!AX$6:AX$105)+SUMIF(Capacity_Resource,$F104,'Critical resources (hide)'!AX$6:AX$105)&gt;0,$E$1=2),0,1)</f>
        <v>1</v>
      </c>
      <c r="AL104" s="67">
        <f ca="1">IF(AND(SUMIF(Capacity_Resource,$D104,'Critical resources (hide)'!AY$6:AY$105)+SUMIF(Capacity_Resource,$E104,'Critical resources (hide)'!AY$6:AY$105)+SUMIF(Capacity_Resource,$F104,'Critical resources (hide)'!AY$6:AY$105)&gt;0,$E$1=2),0,1)</f>
        <v>1</v>
      </c>
      <c r="AM104" s="67">
        <f ca="1">IF(AND(SUMIF(Capacity_Resource,$D104,'Critical resources (hide)'!AZ$6:AZ$105)+SUMIF(Capacity_Resource,$E104,'Critical resources (hide)'!AZ$6:AZ$105)+SUMIF(Capacity_Resource,$F104,'Critical resources (hide)'!AZ$6:AZ$105)&gt;0,$E$1=2),0,1)</f>
        <v>1</v>
      </c>
      <c r="AN104" s="67">
        <f ca="1">IF(AND(SUMIF(Capacity_Resource,$D104,'Critical resources (hide)'!BA$6:BA$105)+SUMIF(Capacity_Resource,$E104,'Critical resources (hide)'!BA$6:BA$105)+SUMIF(Capacity_Resource,$F104,'Critical resources (hide)'!BA$6:BA$105)&gt;0,$E$1=2),0,1)</f>
        <v>1</v>
      </c>
      <c r="AO104" s="67">
        <f ca="1">IF(AND(SUMIF(Capacity_Resource,$D104,'Critical resources (hide)'!BB$6:BB$105)+SUMIF(Capacity_Resource,$E104,'Critical resources (hide)'!BB$6:BB$105)+SUMIF(Capacity_Resource,$F104,'Critical resources (hide)'!BB$6:BB$105)&gt;0,$E$1=2),0,1)</f>
        <v>1</v>
      </c>
      <c r="AP104" s="67">
        <f ca="1">IF(AND(SUMIF(Capacity_Resource,$D104,'Critical resources (hide)'!BC$6:BC$105)+SUMIF(Capacity_Resource,$E104,'Critical resources (hide)'!BC$6:BC$105)+SUMIF(Capacity_Resource,$F104,'Critical resources (hide)'!BC$6:BC$105)&gt;0,$E$1=2),0,1)</f>
        <v>1</v>
      </c>
      <c r="AQ104" s="67">
        <f ca="1">IF(AND(SUMIF(Capacity_Resource,$D104,'Critical resources (hide)'!BD$6:BD$105)+SUMIF(Capacity_Resource,$E104,'Critical resources (hide)'!BD$6:BD$105)+SUMIF(Capacity_Resource,$F104,'Critical resources (hide)'!BD$6:BD$105)&gt;0,$E$1=2),0,1)</f>
        <v>1</v>
      </c>
      <c r="AR104" s="67">
        <f ca="1">IF(AND(SUMIF(Capacity_Resource,$D104,'Critical resources (hide)'!BE$6:BE$105)+SUMIF(Capacity_Resource,$E104,'Critical resources (hide)'!BE$6:BE$105)+SUMIF(Capacity_Resource,$F104,'Critical resources (hide)'!BE$6:BE$105)&gt;0,$E$1=2),0,1)</f>
        <v>1</v>
      </c>
      <c r="AS104" s="67">
        <f ca="1">IF(AND(SUMIF(Capacity_Resource,$D104,'Critical resources (hide)'!BF$6:BF$105)+SUMIF(Capacity_Resource,$E104,'Critical resources (hide)'!BF$6:BF$105)+SUMIF(Capacity_Resource,$F104,'Critical resources (hide)'!BF$6:BF$105)&gt;0,$E$1=2),0,1)</f>
        <v>1</v>
      </c>
      <c r="AT104" s="67">
        <f ca="1">IF(AND(SUMIF(Capacity_Resource,$D104,'Critical resources (hide)'!BG$6:BG$105)+SUMIF(Capacity_Resource,$E104,'Critical resources (hide)'!BG$6:BG$105)+SUMIF(Capacity_Resource,$F104,'Critical resources (hide)'!BG$6:BG$105)&gt;0,$E$1=2),0,1)</f>
        <v>1</v>
      </c>
      <c r="AU104" s="67">
        <f ca="1">IF(AND(SUMIF(Capacity_Resource,$D104,'Critical resources (hide)'!BH$6:BH$105)+SUMIF(Capacity_Resource,$E104,'Critical resources (hide)'!BH$6:BH$105)+SUMIF(Capacity_Resource,$F104,'Critical resources (hide)'!BH$6:BH$105)&gt;0,$E$1=2),0,1)</f>
        <v>1</v>
      </c>
      <c r="AV104" s="67">
        <f ca="1">IF(AND(SUMIF(Capacity_Resource,$D104,'Critical resources (hide)'!BI$6:BI$105)+SUMIF(Capacity_Resource,$E104,'Critical resources (hide)'!BI$6:BI$105)+SUMIF(Capacity_Resource,$F104,'Critical resources (hide)'!BI$6:BI$105)&gt;0,$E$1=2),0,1)</f>
        <v>1</v>
      </c>
      <c r="AW104" s="67">
        <f ca="1">IF(AND(SUMIF(Capacity_Resource,$D104,'Critical resources (hide)'!BJ$6:BJ$105)+SUMIF(Capacity_Resource,$E104,'Critical resources (hide)'!BJ$6:BJ$105)+SUMIF(Capacity_Resource,$F104,'Critical resources (hide)'!BJ$6:BJ$105)&gt;0,$E$1=2),0,1)</f>
        <v>1</v>
      </c>
      <c r="AX104" s="67">
        <f ca="1">IF(AND(SUMIF(Capacity_Resource,$D104,'Critical resources (hide)'!BK$6:BK$105)+SUMIF(Capacity_Resource,$E104,'Critical resources (hide)'!BK$6:BK$105)+SUMIF(Capacity_Resource,$F104,'Critical resources (hide)'!BK$6:BK$105)&gt;0,$E$1=2),0,1)</f>
        <v>1</v>
      </c>
      <c r="AY104" s="67">
        <f ca="1">IF(AND(SUMIF(Capacity_Resource,$D104,'Critical resources (hide)'!BL$6:BL$105)+SUMIF(Capacity_Resource,$E104,'Critical resources (hide)'!BL$6:BL$105)+SUMIF(Capacity_Resource,$F104,'Critical resources (hide)'!BL$6:BL$105)&gt;0,$E$1=2),0,1)</f>
        <v>1</v>
      </c>
      <c r="AZ104" s="67">
        <f ca="1">IF(AND(SUMIF(Capacity_Resource,$D104,'Critical resources (hide)'!BM$6:BM$105)+SUMIF(Capacity_Resource,$E104,'Critical resources (hide)'!BM$6:BM$105)+SUMIF(Capacity_Resource,$F104,'Critical resources (hide)'!BM$6:BM$105)&gt;0,$E$1=2),0,1)</f>
        <v>1</v>
      </c>
      <c r="BA104" s="67">
        <f ca="1">IF(AND(SUMIF(Capacity_Resource,$D104,'Critical resources (hide)'!BN$6:BN$105)+SUMIF(Capacity_Resource,$E104,'Critical resources (hide)'!BN$6:BN$105)+SUMIF(Capacity_Resource,$F104,'Critical resources (hide)'!BN$6:BN$105)&gt;0,$E$1=2),0,1)</f>
        <v>1</v>
      </c>
      <c r="BB104" s="67">
        <f ca="1">IF(AND(SUMIF(Capacity_Resource,$D104,'Critical resources (hide)'!BO$6:BO$105)+SUMIF(Capacity_Resource,$E104,'Critical resources (hide)'!BO$6:BO$105)+SUMIF(Capacity_Resource,$F104,'Critical resources (hide)'!BO$6:BO$105)&gt;0,$E$1=2),0,1)</f>
        <v>1</v>
      </c>
      <c r="BC104" s="67">
        <f ca="1">IF(AND(SUMIF(Capacity_Resource,$D104,'Critical resources (hide)'!BP$6:BP$105)+SUMIF(Capacity_Resource,$E104,'Critical resources (hide)'!BP$6:BP$105)+SUMIF(Capacity_Resource,$F104,'Critical resources (hide)'!BP$6:BP$105)&gt;0,$E$1=2),0,1)</f>
        <v>1</v>
      </c>
      <c r="BD104" s="67">
        <f ca="1">IF(AND(SUMIF(Capacity_Resource,$D104,'Critical resources (hide)'!BQ$6:BQ$105)+SUMIF(Capacity_Resource,$E104,'Critical resources (hide)'!BQ$6:BQ$105)+SUMIF(Capacity_Resource,$F104,'Critical resources (hide)'!BQ$6:BQ$105)&gt;0,$E$1=2),0,1)</f>
        <v>1</v>
      </c>
      <c r="BE104" s="67">
        <f ca="1">IF(AND(SUMIF(Capacity_Resource,$D104,'Critical resources (hide)'!BR$6:BR$105)+SUMIF(Capacity_Resource,$E104,'Critical resources (hide)'!BR$6:BR$105)+SUMIF(Capacity_Resource,$F104,'Critical resources (hide)'!BR$6:BR$105)&gt;0,$E$1=2),0,1)</f>
        <v>1</v>
      </c>
      <c r="BF104" s="67">
        <f ca="1">IF(AND(SUMIF(Capacity_Resource,$D104,'Critical resources (hide)'!BS$6:BS$105)+SUMIF(Capacity_Resource,$E104,'Critical resources (hide)'!BS$6:BS$105)+SUMIF(Capacity_Resource,$F104,'Critical resources (hide)'!BS$6:BS$105)&gt;0,$E$1=2),0,1)</f>
        <v>1</v>
      </c>
      <c r="BG104" s="67">
        <f ca="1">IF(AND(SUMIF(Capacity_Resource,$D104,'Critical resources (hide)'!BT$6:BT$105)+SUMIF(Capacity_Resource,$E104,'Critical resources (hide)'!BT$6:BT$105)+SUMIF(Capacity_Resource,$F104,'Critical resources (hide)'!BT$6:BT$105)&gt;0,$E$1=2),0,1)</f>
        <v>1</v>
      </c>
      <c r="BH104" s="67">
        <f>IF(ROW(C100)&lt;=Capacity!$A$16,IF('Capacity summary'!$D$14="No",SUM(H104:BG104),'Capacity summary'!$E223),0)</f>
        <v>0</v>
      </c>
      <c r="BI104" s="5" t="str">
        <f>IF(BH104&gt;0,IF(BH104&lt;Capacity!E116,Capacity!F116,Capacity!H116/'Capacity calculation (hide)'!BH104),"")</f>
        <v/>
      </c>
      <c r="BK104" s="313">
        <f>IF($BI104&lt;&gt;"",IF('Capacity summary'!$D$14="Yes",IF(COUNTBLANK('Capacity summary'!$H223:$BG223)&lt;52,IF('Capacity summary'!H223&lt;&gt;"",IF(LOWER('Capacity summary'!H223)="x",$BI104*H104,VALUE('Capacity summary'!H223)),0),H104*$BI104),H104*$BI104),0)</f>
        <v>0</v>
      </c>
      <c r="BL104" s="313">
        <f>IF($BI104&lt;&gt;"",IF('Capacity summary'!$D$14="Yes",IF(COUNTBLANK('Capacity summary'!$H223:$BG223)&lt;52,IF('Capacity summary'!I223&lt;&gt;"",IF(LOWER('Capacity summary'!I223)="x",$BI104*I104,VALUE('Capacity summary'!I223)),0),I104*$BI104),I104*$BI104),0)</f>
        <v>0</v>
      </c>
      <c r="BM104" s="313">
        <f>IF($BI104&lt;&gt;"",IF('Capacity summary'!$D$14="Yes",IF(COUNTBLANK('Capacity summary'!$H223:$BG223)&lt;52,IF('Capacity summary'!J223&lt;&gt;"",IF(LOWER('Capacity summary'!J223)="x",$BI104*J104,VALUE('Capacity summary'!J223)),0),J104*$BI104),J104*$BI104),0)</f>
        <v>0</v>
      </c>
      <c r="BN104" s="313">
        <f>IF($BI104&lt;&gt;"",IF('Capacity summary'!$D$14="Yes",IF(COUNTBLANK('Capacity summary'!$H223:$BG223)&lt;52,IF('Capacity summary'!K223&lt;&gt;"",IF(LOWER('Capacity summary'!K223)="x",$BI104*K104,VALUE('Capacity summary'!K223)),0),K104*$BI104),K104*$BI104),0)</f>
        <v>0</v>
      </c>
      <c r="BO104" s="313">
        <f>IF($BI104&lt;&gt;"",IF('Capacity summary'!$D$14="Yes",IF(COUNTBLANK('Capacity summary'!$H223:$BG223)&lt;52,IF('Capacity summary'!L223&lt;&gt;"",IF(LOWER('Capacity summary'!L223)="x",$BI104*L104,VALUE('Capacity summary'!L223)),0),L104*$BI104),L104*$BI104),0)</f>
        <v>0</v>
      </c>
      <c r="BP104" s="313">
        <f>IF($BI104&lt;&gt;"",IF('Capacity summary'!$D$14="Yes",IF(COUNTBLANK('Capacity summary'!$H223:$BG223)&lt;52,IF('Capacity summary'!M223&lt;&gt;"",IF(LOWER('Capacity summary'!M223)="x",$BI104*M104,VALUE('Capacity summary'!M223)),0),M104*$BI104),M104*$BI104),0)</f>
        <v>0</v>
      </c>
      <c r="BQ104" s="313">
        <f>IF($BI104&lt;&gt;"",IF('Capacity summary'!$D$14="Yes",IF(COUNTBLANK('Capacity summary'!$H223:$BG223)&lt;52,IF('Capacity summary'!N223&lt;&gt;"",IF(LOWER('Capacity summary'!N223)="x",$BI104*N104,VALUE('Capacity summary'!N223)),0),N104*$BI104),N104*$BI104),0)</f>
        <v>0</v>
      </c>
      <c r="BR104" s="313">
        <f>IF($BI104&lt;&gt;"",IF('Capacity summary'!$D$14="Yes",IF(COUNTBLANK('Capacity summary'!$H223:$BG223)&lt;52,IF('Capacity summary'!O223&lt;&gt;"",IF(LOWER('Capacity summary'!O223)="x",$BI104*O104,VALUE('Capacity summary'!O223)),0),O104*$BI104),O104*$BI104),0)</f>
        <v>0</v>
      </c>
      <c r="BS104" s="313">
        <f>IF($BI104&lt;&gt;"",IF('Capacity summary'!$D$14="Yes",IF(COUNTBLANK('Capacity summary'!$H223:$BG223)&lt;52,IF('Capacity summary'!P223&lt;&gt;"",IF(LOWER('Capacity summary'!P223)="x",$BI104*P104,VALUE('Capacity summary'!P223)),0),P104*$BI104),P104*$BI104),0)</f>
        <v>0</v>
      </c>
      <c r="BT104" s="313">
        <f>IF($BI104&lt;&gt;"",IF('Capacity summary'!$D$14="Yes",IF(COUNTBLANK('Capacity summary'!$H223:$BG223)&lt;52,IF('Capacity summary'!Q223&lt;&gt;"",IF(LOWER('Capacity summary'!Q223)="x",$BI104*Q104,VALUE('Capacity summary'!Q223)),0),Q104*$BI104),Q104*$BI104),0)</f>
        <v>0</v>
      </c>
      <c r="BU104" s="313">
        <f>IF($BI104&lt;&gt;"",IF('Capacity summary'!$D$14="Yes",IF(COUNTBLANK('Capacity summary'!$H223:$BG223)&lt;52,IF('Capacity summary'!R223&lt;&gt;"",IF(LOWER('Capacity summary'!R223)="x",$BI104*R104,VALUE('Capacity summary'!R223)),0),R104*$BI104),R104*$BI104),0)</f>
        <v>0</v>
      </c>
      <c r="BV104" s="313">
        <f>IF($BI104&lt;&gt;"",IF('Capacity summary'!$D$14="Yes",IF(COUNTBLANK('Capacity summary'!$H223:$BG223)&lt;52,IF('Capacity summary'!S223&lt;&gt;"",IF(LOWER('Capacity summary'!S223)="x",$BI104*S104,VALUE('Capacity summary'!S223)),0),S104*$BI104),S104*$BI104),0)</f>
        <v>0</v>
      </c>
      <c r="BW104" s="313">
        <f>IF($BI104&lt;&gt;"",IF('Capacity summary'!$D$14="Yes",IF(COUNTBLANK('Capacity summary'!$H223:$BG223)&lt;52,IF('Capacity summary'!T223&lt;&gt;"",IF(LOWER('Capacity summary'!T223)="x",$BI104*T104,VALUE('Capacity summary'!T223)),0),T104*$BI104),T104*$BI104),0)</f>
        <v>0</v>
      </c>
      <c r="BX104" s="313">
        <f>IF($BI104&lt;&gt;"",IF('Capacity summary'!$D$14="Yes",IF(COUNTBLANK('Capacity summary'!$H223:$BG223)&lt;52,IF('Capacity summary'!U223&lt;&gt;"",IF(LOWER('Capacity summary'!U223)="x",$BI104*U104,VALUE('Capacity summary'!U223)),0),U104*$BI104),U104*$BI104),0)</f>
        <v>0</v>
      </c>
      <c r="BY104" s="313">
        <f>IF($BI104&lt;&gt;"",IF('Capacity summary'!$D$14="Yes",IF(COUNTBLANK('Capacity summary'!$H223:$BG223)&lt;52,IF('Capacity summary'!V223&lt;&gt;"",IF(LOWER('Capacity summary'!V223)="x",$BI104*V104,VALUE('Capacity summary'!V223)),0),V104*$BI104),V104*$BI104),0)</f>
        <v>0</v>
      </c>
      <c r="BZ104" s="313">
        <f>IF($BI104&lt;&gt;"",IF('Capacity summary'!$D$14="Yes",IF(COUNTBLANK('Capacity summary'!$H223:$BG223)&lt;52,IF('Capacity summary'!W223&lt;&gt;"",IF(LOWER('Capacity summary'!W223)="x",$BI104*W104,VALUE('Capacity summary'!W223)),0),W104*$BI104),W104*$BI104),0)</f>
        <v>0</v>
      </c>
      <c r="CA104" s="313">
        <f>IF($BI104&lt;&gt;"",IF('Capacity summary'!$D$14="Yes",IF(COUNTBLANK('Capacity summary'!$H223:$BG223)&lt;52,IF('Capacity summary'!X223&lt;&gt;"",IF(LOWER('Capacity summary'!X223)="x",$BI104*X104,VALUE('Capacity summary'!X223)),0),X104*$BI104),X104*$BI104),0)</f>
        <v>0</v>
      </c>
      <c r="CB104" s="313">
        <f>IF($BI104&lt;&gt;"",IF('Capacity summary'!$D$14="Yes",IF(COUNTBLANK('Capacity summary'!$H223:$BG223)&lt;52,IF('Capacity summary'!Y223&lt;&gt;"",IF(LOWER('Capacity summary'!Y223)="x",$BI104*Y104,VALUE('Capacity summary'!Y223)),0),Y104*$BI104),Y104*$BI104),0)</f>
        <v>0</v>
      </c>
      <c r="CC104" s="313">
        <f>IF($BI104&lt;&gt;"",IF('Capacity summary'!$D$14="Yes",IF(COUNTBLANK('Capacity summary'!$H223:$BG223)&lt;52,IF('Capacity summary'!Z223&lt;&gt;"",IF(LOWER('Capacity summary'!Z223)="x",$BI104*Z104,VALUE('Capacity summary'!Z223)),0),Z104*$BI104),Z104*$BI104),0)</f>
        <v>0</v>
      </c>
      <c r="CD104" s="313">
        <f>IF($BI104&lt;&gt;"",IF('Capacity summary'!$D$14="Yes",IF(COUNTBLANK('Capacity summary'!$H223:$BG223)&lt;52,IF('Capacity summary'!AA223&lt;&gt;"",IF(LOWER('Capacity summary'!AA223)="x",$BI104*AA104,VALUE('Capacity summary'!AA223)),0),AA104*$BI104),AA104*$BI104),0)</f>
        <v>0</v>
      </c>
      <c r="CE104" s="313">
        <f>IF($BI104&lt;&gt;"",IF('Capacity summary'!$D$14="Yes",IF(COUNTBLANK('Capacity summary'!$H223:$BG223)&lt;52,IF('Capacity summary'!AB223&lt;&gt;"",IF(LOWER('Capacity summary'!AB223)="x",$BI104*AB104,VALUE('Capacity summary'!AB223)),0),AB104*$BI104),AB104*$BI104),0)</f>
        <v>0</v>
      </c>
      <c r="CF104" s="313">
        <f>IF($BI104&lt;&gt;"",IF('Capacity summary'!$D$14="Yes",IF(COUNTBLANK('Capacity summary'!$H223:$BG223)&lt;52,IF('Capacity summary'!AC223&lt;&gt;"",IF(LOWER('Capacity summary'!AC223)="x",$BI104*AC104,VALUE('Capacity summary'!AC223)),0),AC104*$BI104),AC104*$BI104),0)</f>
        <v>0</v>
      </c>
      <c r="CG104" s="313">
        <f>IF($BI104&lt;&gt;"",IF('Capacity summary'!$D$14="Yes",IF(COUNTBLANK('Capacity summary'!$H223:$BG223)&lt;52,IF('Capacity summary'!AD223&lt;&gt;"",IF(LOWER('Capacity summary'!AD223)="x",$BI104*AD104,VALUE('Capacity summary'!AD223)),0),AD104*$BI104),AD104*$BI104),0)</f>
        <v>0</v>
      </c>
      <c r="CH104" s="313">
        <f>IF($BI104&lt;&gt;"",IF('Capacity summary'!$D$14="Yes",IF(COUNTBLANK('Capacity summary'!$H223:$BG223)&lt;52,IF('Capacity summary'!AE223&lt;&gt;"",IF(LOWER('Capacity summary'!AE223)="x",$BI104*AE104,VALUE('Capacity summary'!AE223)),0),AE104*$BI104),AE104*$BI104),0)</f>
        <v>0</v>
      </c>
      <c r="CI104" s="313">
        <f>IF($BI104&lt;&gt;"",IF('Capacity summary'!$D$14="Yes",IF(COUNTBLANK('Capacity summary'!$H223:$BG223)&lt;52,IF('Capacity summary'!AF223&lt;&gt;"",IF(LOWER('Capacity summary'!AF223)="x",$BI104*AF104,VALUE('Capacity summary'!AF223)),0),AF104*$BI104),AF104*$BI104),0)</f>
        <v>0</v>
      </c>
      <c r="CJ104" s="313">
        <f>IF($BI104&lt;&gt;"",IF('Capacity summary'!$D$14="Yes",IF(COUNTBLANK('Capacity summary'!$H223:$BG223)&lt;52,IF('Capacity summary'!AG223&lt;&gt;"",IF(LOWER('Capacity summary'!AG223)="x",$BI104*AG104,VALUE('Capacity summary'!AG223)),0),AG104*$BI104),AG104*$BI104),0)</f>
        <v>0</v>
      </c>
      <c r="CK104" s="313">
        <f>IF($BI104&lt;&gt;"",IF('Capacity summary'!$D$14="Yes",IF(COUNTBLANK('Capacity summary'!$H223:$BG223)&lt;52,IF('Capacity summary'!AH223&lt;&gt;"",IF(LOWER('Capacity summary'!AH223)="x",$BI104*AH104,VALUE('Capacity summary'!AH223)),0),AH104*$BI104),AH104*$BI104),0)</f>
        <v>0</v>
      </c>
      <c r="CL104" s="313">
        <f>IF($BI104&lt;&gt;"",IF('Capacity summary'!$D$14="Yes",IF(COUNTBLANK('Capacity summary'!$H223:$BG223)&lt;52,IF('Capacity summary'!AI223&lt;&gt;"",IF(LOWER('Capacity summary'!AI223)="x",$BI104*AI104,VALUE('Capacity summary'!AI223)),0),AI104*$BI104),AI104*$BI104),0)</f>
        <v>0</v>
      </c>
      <c r="CM104" s="313">
        <f>IF($BI104&lt;&gt;"",IF('Capacity summary'!$D$14="Yes",IF(COUNTBLANK('Capacity summary'!$H223:$BG223)&lt;52,IF('Capacity summary'!AJ223&lt;&gt;"",IF(LOWER('Capacity summary'!AJ223)="x",$BI104*AJ104,VALUE('Capacity summary'!AJ223)),0),AJ104*$BI104),AJ104*$BI104),0)</f>
        <v>0</v>
      </c>
      <c r="CN104" s="313">
        <f>IF($BI104&lt;&gt;"",IF('Capacity summary'!$D$14="Yes",IF(COUNTBLANK('Capacity summary'!$H223:$BG223)&lt;52,IF('Capacity summary'!AK223&lt;&gt;"",IF(LOWER('Capacity summary'!AK223)="x",$BI104*AK104,VALUE('Capacity summary'!AK223)),0),AK104*$BI104),AK104*$BI104),0)</f>
        <v>0</v>
      </c>
      <c r="CO104" s="313">
        <f>IF($BI104&lt;&gt;"",IF('Capacity summary'!$D$14="Yes",IF(COUNTBLANK('Capacity summary'!$H223:$BG223)&lt;52,IF('Capacity summary'!AL223&lt;&gt;"",IF(LOWER('Capacity summary'!AL223)="x",$BI104*AL104,VALUE('Capacity summary'!AL223)),0),AL104*$BI104),AL104*$BI104),0)</f>
        <v>0</v>
      </c>
      <c r="CP104" s="313">
        <f>IF($BI104&lt;&gt;"",IF('Capacity summary'!$D$14="Yes",IF(COUNTBLANK('Capacity summary'!$H223:$BG223)&lt;52,IF('Capacity summary'!AM223&lt;&gt;"",IF(LOWER('Capacity summary'!AM223)="x",$BI104*AM104,VALUE('Capacity summary'!AM223)),0),AM104*$BI104),AM104*$BI104),0)</f>
        <v>0</v>
      </c>
      <c r="CQ104" s="313">
        <f>IF($BI104&lt;&gt;"",IF('Capacity summary'!$D$14="Yes",IF(COUNTBLANK('Capacity summary'!$H223:$BG223)&lt;52,IF('Capacity summary'!AN223&lt;&gt;"",IF(LOWER('Capacity summary'!AN223)="x",$BI104*AN104,VALUE('Capacity summary'!AN223)),0),AN104*$BI104),AN104*$BI104),0)</f>
        <v>0</v>
      </c>
      <c r="CR104" s="313">
        <f>IF($BI104&lt;&gt;"",IF('Capacity summary'!$D$14="Yes",IF(COUNTBLANK('Capacity summary'!$H223:$BG223)&lt;52,IF('Capacity summary'!AO223&lt;&gt;"",IF(LOWER('Capacity summary'!AO223)="x",$BI104*AO104,VALUE('Capacity summary'!AO223)),0),AO104*$BI104),AO104*$BI104),0)</f>
        <v>0</v>
      </c>
      <c r="CS104" s="313">
        <f>IF($BI104&lt;&gt;"",IF('Capacity summary'!$D$14="Yes",IF(COUNTBLANK('Capacity summary'!$H223:$BG223)&lt;52,IF('Capacity summary'!AP223&lt;&gt;"",IF(LOWER('Capacity summary'!AP223)="x",$BI104*AP104,VALUE('Capacity summary'!AP223)),0),AP104*$BI104),AP104*$BI104),0)</f>
        <v>0</v>
      </c>
      <c r="CT104" s="313">
        <f>IF($BI104&lt;&gt;"",IF('Capacity summary'!$D$14="Yes",IF(COUNTBLANK('Capacity summary'!$H223:$BG223)&lt;52,IF('Capacity summary'!AQ223&lt;&gt;"",IF(LOWER('Capacity summary'!AQ223)="x",$BI104*AQ104,VALUE('Capacity summary'!AQ223)),0),AQ104*$BI104),AQ104*$BI104),0)</f>
        <v>0</v>
      </c>
      <c r="CU104" s="313">
        <f>IF($BI104&lt;&gt;"",IF('Capacity summary'!$D$14="Yes",IF(COUNTBLANK('Capacity summary'!$H223:$BG223)&lt;52,IF('Capacity summary'!AR223&lt;&gt;"",IF(LOWER('Capacity summary'!AR223)="x",$BI104*AR104,VALUE('Capacity summary'!AR223)),0),AR104*$BI104),AR104*$BI104),0)</f>
        <v>0</v>
      </c>
      <c r="CV104" s="313">
        <f>IF($BI104&lt;&gt;"",IF('Capacity summary'!$D$14="Yes",IF(COUNTBLANK('Capacity summary'!$H223:$BG223)&lt;52,IF('Capacity summary'!AS223&lt;&gt;"",IF(LOWER('Capacity summary'!AS223)="x",$BI104*AS104,VALUE('Capacity summary'!AS223)),0),AS104*$BI104),AS104*$BI104),0)</f>
        <v>0</v>
      </c>
      <c r="CW104" s="313">
        <f>IF($BI104&lt;&gt;"",IF('Capacity summary'!$D$14="Yes",IF(COUNTBLANK('Capacity summary'!$H223:$BG223)&lt;52,IF('Capacity summary'!AT223&lt;&gt;"",IF(LOWER('Capacity summary'!AT223)="x",$BI104*AT104,VALUE('Capacity summary'!AT223)),0),AT104*$BI104),AT104*$BI104),0)</f>
        <v>0</v>
      </c>
      <c r="CX104" s="313">
        <f>IF($BI104&lt;&gt;"",IF('Capacity summary'!$D$14="Yes",IF(COUNTBLANK('Capacity summary'!$H223:$BG223)&lt;52,IF('Capacity summary'!AU223&lt;&gt;"",IF(LOWER('Capacity summary'!AU223)="x",$BI104*AU104,VALUE('Capacity summary'!AU223)),0),AU104*$BI104),AU104*$BI104),0)</f>
        <v>0</v>
      </c>
      <c r="CY104" s="313">
        <f>IF($BI104&lt;&gt;"",IF('Capacity summary'!$D$14="Yes",IF(COUNTBLANK('Capacity summary'!$H223:$BG223)&lt;52,IF('Capacity summary'!AV223&lt;&gt;"",IF(LOWER('Capacity summary'!AV223)="x",$BI104*AV104,VALUE('Capacity summary'!AV223)),0),AV104*$BI104),AV104*$BI104),0)</f>
        <v>0</v>
      </c>
      <c r="CZ104" s="313">
        <f>IF($BI104&lt;&gt;"",IF('Capacity summary'!$D$14="Yes",IF(COUNTBLANK('Capacity summary'!$H223:$BG223)&lt;52,IF('Capacity summary'!AW223&lt;&gt;"",IF(LOWER('Capacity summary'!AW223)="x",$BI104*AW104,VALUE('Capacity summary'!AW223)),0),AW104*$BI104),AW104*$BI104),0)</f>
        <v>0</v>
      </c>
      <c r="DA104" s="313">
        <f>IF($BI104&lt;&gt;"",IF('Capacity summary'!$D$14="Yes",IF(COUNTBLANK('Capacity summary'!$H223:$BG223)&lt;52,IF('Capacity summary'!AX223&lt;&gt;"",IF(LOWER('Capacity summary'!AX223)="x",$BI104*AX104,VALUE('Capacity summary'!AX223)),0),AX104*$BI104),AX104*$BI104),0)</f>
        <v>0</v>
      </c>
      <c r="DB104" s="313">
        <f>IF($BI104&lt;&gt;"",IF('Capacity summary'!$D$14="Yes",IF(COUNTBLANK('Capacity summary'!$H223:$BG223)&lt;52,IF('Capacity summary'!AY223&lt;&gt;"",IF(LOWER('Capacity summary'!AY223)="x",$BI104*AY104,VALUE('Capacity summary'!AY223)),0),AY104*$BI104),AY104*$BI104),0)</f>
        <v>0</v>
      </c>
      <c r="DC104" s="313">
        <f>IF($BI104&lt;&gt;"",IF('Capacity summary'!$D$14="Yes",IF(COUNTBLANK('Capacity summary'!$H223:$BG223)&lt;52,IF('Capacity summary'!AZ223&lt;&gt;"",IF(LOWER('Capacity summary'!AZ223)="x",$BI104*AZ104,VALUE('Capacity summary'!AZ223)),0),AZ104*$BI104),AZ104*$BI104),0)</f>
        <v>0</v>
      </c>
      <c r="DD104" s="313">
        <f>IF($BI104&lt;&gt;"",IF('Capacity summary'!$D$14="Yes",IF(COUNTBLANK('Capacity summary'!$H223:$BG223)&lt;52,IF('Capacity summary'!BA223&lt;&gt;"",IF(LOWER('Capacity summary'!BA223)="x",$BI104*BA104,VALUE('Capacity summary'!BA223)),0),BA104*$BI104),BA104*$BI104),0)</f>
        <v>0</v>
      </c>
      <c r="DE104" s="313">
        <f>IF($BI104&lt;&gt;"",IF('Capacity summary'!$D$14="Yes",IF(COUNTBLANK('Capacity summary'!$H223:$BG223)&lt;52,IF('Capacity summary'!BB223&lt;&gt;"",IF(LOWER('Capacity summary'!BB223)="x",$BI104*BB104,VALUE('Capacity summary'!BB223)),0),BB104*$BI104),BB104*$BI104),0)</f>
        <v>0</v>
      </c>
      <c r="DF104" s="313">
        <f>IF($BI104&lt;&gt;"",IF('Capacity summary'!$D$14="Yes",IF(COUNTBLANK('Capacity summary'!$H223:$BG223)&lt;52,IF('Capacity summary'!BC223&lt;&gt;"",IF(LOWER('Capacity summary'!BC223)="x",$BI104*BC104,VALUE('Capacity summary'!BC223)),0),BC104*$BI104),BC104*$BI104),0)</f>
        <v>0</v>
      </c>
      <c r="DG104" s="313">
        <f>IF($BI104&lt;&gt;"",IF('Capacity summary'!$D$14="Yes",IF(COUNTBLANK('Capacity summary'!$H223:$BG223)&lt;52,IF('Capacity summary'!BD223&lt;&gt;"",IF(LOWER('Capacity summary'!BD223)="x",$BI104*BD104,VALUE('Capacity summary'!BD223)),0),BD104*$BI104),BD104*$BI104),0)</f>
        <v>0</v>
      </c>
      <c r="DH104" s="313">
        <f>IF($BI104&lt;&gt;"",IF('Capacity summary'!$D$14="Yes",IF(COUNTBLANK('Capacity summary'!$H223:$BG223)&lt;52,IF('Capacity summary'!BE223&lt;&gt;"",IF(LOWER('Capacity summary'!BE223)="x",$BI104*BE104,VALUE('Capacity summary'!BE223)),0),BE104*$BI104),BE104*$BI104),0)</f>
        <v>0</v>
      </c>
      <c r="DI104" s="313">
        <f>IF($BI104&lt;&gt;"",IF('Capacity summary'!$D$14="Yes",IF(COUNTBLANK('Capacity summary'!$H223:$BG223)&lt;52,IF('Capacity summary'!BF223&lt;&gt;"",IF(LOWER('Capacity summary'!BF223)="x",$BI104*BF104,VALUE('Capacity summary'!BF223)),0),BF104*$BI104),BF104*$BI104),0)</f>
        <v>0</v>
      </c>
      <c r="DJ104" s="313">
        <f>IF($BI104&lt;&gt;"",IF('Capacity summary'!$D$14="Yes",IF(COUNTBLANK('Capacity summary'!$H223:$BG223)&lt;52,IF('Capacity summary'!BG223&lt;&gt;"",IF(LOWER('Capacity summary'!BG223)="x",$BI104*BG104,VALUE('Capacity summary'!BG223)),0),BG104*$BI104),BG104*$BI104),0)</f>
        <v>0</v>
      </c>
      <c r="DK104" s="137">
        <f t="shared" si="3"/>
        <v>0</v>
      </c>
      <c r="DL104" s="313" t="str">
        <f>Capacity!H116</f>
        <v/>
      </c>
    </row>
    <row r="105" spans="2:116" x14ac:dyDescent="0.25">
      <c r="B105" s="67"/>
    </row>
    <row r="106" spans="2:116" x14ac:dyDescent="0.25">
      <c r="B106" s="67"/>
    </row>
    <row r="107" spans="2:116" x14ac:dyDescent="0.25">
      <c r="B107" s="67"/>
    </row>
    <row r="108" spans="2:116" x14ac:dyDescent="0.25">
      <c r="B108" s="67"/>
      <c r="H108" s="67" t="s">
        <v>455</v>
      </c>
      <c r="I108" s="67"/>
      <c r="J108" s="67"/>
      <c r="K108" s="67"/>
      <c r="L108" s="67"/>
      <c r="M108" s="67"/>
      <c r="N108" s="67"/>
      <c r="O108" s="67"/>
      <c r="P108" s="67"/>
      <c r="Q108" s="67"/>
      <c r="R108" s="67"/>
      <c r="S108" s="67"/>
      <c r="T108" s="67"/>
      <c r="U108" s="67"/>
      <c r="V108" s="67"/>
      <c r="W108" s="67"/>
      <c r="X108" s="67"/>
      <c r="Y108" s="67"/>
      <c r="Z108" s="67"/>
      <c r="AA108" s="67"/>
      <c r="AB108" s="67"/>
      <c r="AC108" s="67"/>
      <c r="AD108" s="67"/>
      <c r="AE108" s="67"/>
      <c r="AF108" s="67"/>
      <c r="AG108" s="67"/>
      <c r="AH108" s="67"/>
      <c r="AI108" s="67"/>
      <c r="AJ108" s="67"/>
      <c r="AK108" s="67"/>
      <c r="AL108" s="67"/>
      <c r="AM108" s="67"/>
      <c r="AN108" s="67"/>
      <c r="AO108" s="67"/>
      <c r="AP108" s="67"/>
      <c r="AQ108" s="67"/>
      <c r="AR108" s="67"/>
      <c r="AS108" s="67"/>
      <c r="AT108" s="67"/>
      <c r="AU108" s="67"/>
      <c r="AV108" s="67"/>
      <c r="AW108" s="67"/>
      <c r="AX108" s="67"/>
      <c r="AY108" s="67"/>
      <c r="AZ108" s="67"/>
      <c r="BA108" s="67"/>
      <c r="BB108" s="67"/>
      <c r="BC108" s="67"/>
      <c r="BD108" s="67"/>
      <c r="BE108" s="67"/>
      <c r="BF108" s="67"/>
      <c r="BG108" s="67"/>
      <c r="BH108" s="67"/>
      <c r="BI108" s="67"/>
    </row>
    <row r="109" spans="2:116" x14ac:dyDescent="0.25">
      <c r="B109" s="67"/>
      <c r="D109" s="2">
        <v>1</v>
      </c>
      <c r="E109" s="2">
        <v>2</v>
      </c>
      <c r="F109" s="2">
        <v>3</v>
      </c>
      <c r="H109" s="2">
        <v>1</v>
      </c>
      <c r="I109" s="2">
        <v>2</v>
      </c>
      <c r="J109" s="2">
        <v>3</v>
      </c>
      <c r="K109" s="2">
        <v>4</v>
      </c>
      <c r="L109" s="2">
        <v>5</v>
      </c>
      <c r="M109" s="2">
        <v>6</v>
      </c>
      <c r="N109" s="2">
        <v>7</v>
      </c>
      <c r="O109" s="2">
        <v>8</v>
      </c>
      <c r="P109" s="2">
        <v>9</v>
      </c>
      <c r="Q109" s="2">
        <v>10</v>
      </c>
      <c r="R109" s="2">
        <v>11</v>
      </c>
      <c r="S109" s="2">
        <v>12</v>
      </c>
      <c r="T109" s="2">
        <v>13</v>
      </c>
      <c r="U109" s="2">
        <v>14</v>
      </c>
      <c r="V109" s="2">
        <v>15</v>
      </c>
      <c r="W109" s="2">
        <v>16</v>
      </c>
      <c r="X109" s="2">
        <v>17</v>
      </c>
      <c r="Y109" s="2">
        <v>18</v>
      </c>
      <c r="Z109" s="2">
        <v>19</v>
      </c>
      <c r="AA109" s="2">
        <v>20</v>
      </c>
      <c r="AB109" s="2">
        <v>21</v>
      </c>
      <c r="AC109" s="2">
        <v>22</v>
      </c>
      <c r="AD109" s="2">
        <v>23</v>
      </c>
      <c r="AE109" s="2">
        <v>24</v>
      </c>
      <c r="AF109" s="2">
        <v>25</v>
      </c>
      <c r="AG109" s="2">
        <v>26</v>
      </c>
      <c r="AH109" s="2">
        <v>27</v>
      </c>
      <c r="AI109" s="2">
        <v>28</v>
      </c>
      <c r="AJ109" s="2">
        <v>29</v>
      </c>
      <c r="AK109" s="2">
        <v>30</v>
      </c>
      <c r="AL109" s="2">
        <v>31</v>
      </c>
      <c r="AM109" s="2">
        <v>32</v>
      </c>
      <c r="AN109" s="2">
        <v>33</v>
      </c>
      <c r="AO109" s="2">
        <v>34</v>
      </c>
      <c r="AP109" s="2">
        <v>35</v>
      </c>
      <c r="AQ109" s="2">
        <v>36</v>
      </c>
      <c r="AR109" s="2">
        <v>37</v>
      </c>
      <c r="AS109" s="2">
        <v>38</v>
      </c>
      <c r="AT109" s="2">
        <v>39</v>
      </c>
      <c r="AU109" s="2">
        <v>40</v>
      </c>
      <c r="AV109" s="2">
        <v>41</v>
      </c>
      <c r="AW109" s="2">
        <v>42</v>
      </c>
      <c r="AX109" s="2">
        <v>43</v>
      </c>
      <c r="AY109" s="2">
        <v>44</v>
      </c>
      <c r="AZ109" s="2">
        <v>45</v>
      </c>
      <c r="BA109" s="2">
        <v>46</v>
      </c>
      <c r="BB109" s="2">
        <v>47</v>
      </c>
      <c r="BC109" s="2">
        <v>48</v>
      </c>
      <c r="BD109" s="2">
        <v>49</v>
      </c>
      <c r="BE109" s="2">
        <v>50</v>
      </c>
      <c r="BF109" s="2">
        <v>51</v>
      </c>
      <c r="BG109" s="2">
        <v>52</v>
      </c>
      <c r="BH109" t="s">
        <v>488</v>
      </c>
      <c r="BI109" s="2" t="s">
        <v>456</v>
      </c>
      <c r="BJ109" s="2" t="s">
        <v>457</v>
      </c>
      <c r="BK109" s="2">
        <v>1</v>
      </c>
      <c r="BL109" s="2">
        <v>2</v>
      </c>
      <c r="BM109" s="2">
        <v>3</v>
      </c>
      <c r="BN109" s="2">
        <v>4</v>
      </c>
      <c r="BO109" s="2">
        <v>5</v>
      </c>
      <c r="BP109" s="2">
        <v>6</v>
      </c>
      <c r="BQ109" s="2">
        <v>7</v>
      </c>
      <c r="BR109" s="2">
        <v>8</v>
      </c>
      <c r="BS109" s="2">
        <v>9</v>
      </c>
      <c r="BT109" s="2">
        <v>10</v>
      </c>
      <c r="BU109" s="2">
        <v>11</v>
      </c>
      <c r="BV109" s="2">
        <v>12</v>
      </c>
      <c r="BW109" s="2">
        <v>13</v>
      </c>
      <c r="BX109" s="2">
        <v>14</v>
      </c>
      <c r="BY109" s="2">
        <v>15</v>
      </c>
      <c r="BZ109" s="2">
        <v>16</v>
      </c>
      <c r="CA109" s="2">
        <v>17</v>
      </c>
      <c r="CB109" s="2">
        <v>18</v>
      </c>
      <c r="CC109" s="2">
        <v>19</v>
      </c>
      <c r="CD109" s="2">
        <v>20</v>
      </c>
      <c r="CE109" s="2">
        <v>21</v>
      </c>
      <c r="CF109" s="2">
        <v>22</v>
      </c>
      <c r="CG109" s="2">
        <v>23</v>
      </c>
      <c r="CH109" s="2">
        <v>24</v>
      </c>
      <c r="CI109" s="2">
        <v>25</v>
      </c>
      <c r="CJ109" s="2">
        <v>26</v>
      </c>
      <c r="CK109" s="2">
        <v>27</v>
      </c>
      <c r="CL109" s="2">
        <v>28</v>
      </c>
      <c r="CM109" s="2">
        <v>29</v>
      </c>
      <c r="CN109" s="2">
        <v>30</v>
      </c>
      <c r="CO109" s="2">
        <v>31</v>
      </c>
      <c r="CP109" s="2">
        <v>32</v>
      </c>
      <c r="CQ109" s="2">
        <v>33</v>
      </c>
      <c r="CR109" s="2">
        <v>34</v>
      </c>
      <c r="CS109" s="2">
        <v>35</v>
      </c>
      <c r="CT109" s="2">
        <v>36</v>
      </c>
      <c r="CU109" s="2">
        <v>37</v>
      </c>
      <c r="CV109" s="2">
        <v>38</v>
      </c>
      <c r="CW109" s="2">
        <v>39</v>
      </c>
      <c r="CX109" s="2">
        <v>40</v>
      </c>
      <c r="CY109" s="2">
        <v>41</v>
      </c>
      <c r="CZ109" s="2">
        <v>42</v>
      </c>
      <c r="DA109" s="2">
        <v>43</v>
      </c>
      <c r="DB109" s="2">
        <v>44</v>
      </c>
      <c r="DC109" s="2">
        <v>45</v>
      </c>
      <c r="DD109" s="2">
        <v>46</v>
      </c>
      <c r="DE109" s="2">
        <v>47</v>
      </c>
      <c r="DF109" s="2">
        <v>48</v>
      </c>
      <c r="DG109" s="2">
        <v>49</v>
      </c>
      <c r="DH109" s="2">
        <v>50</v>
      </c>
      <c r="DI109" s="2">
        <v>51</v>
      </c>
      <c r="DJ109" s="2">
        <v>52</v>
      </c>
      <c r="DK109" s="2" t="s">
        <v>462</v>
      </c>
    </row>
    <row r="110" spans="2:116" x14ac:dyDescent="0.25">
      <c r="C110" t="s">
        <v>466</v>
      </c>
      <c r="H110" s="67"/>
      <c r="BJ110"/>
      <c r="BK110">
        <f ca="1">BK3</f>
        <v>16</v>
      </c>
      <c r="BL110" s="67">
        <f t="shared" ref="BL110:DJ110" ca="1" si="4">BL3</f>
        <v>17</v>
      </c>
      <c r="BM110" s="67">
        <f t="shared" ca="1" si="4"/>
        <v>18</v>
      </c>
      <c r="BN110" s="67">
        <f t="shared" ca="1" si="4"/>
        <v>19</v>
      </c>
      <c r="BO110" s="67">
        <f t="shared" ca="1" si="4"/>
        <v>20</v>
      </c>
      <c r="BP110" s="67">
        <f t="shared" ca="1" si="4"/>
        <v>21</v>
      </c>
      <c r="BQ110" s="67">
        <f t="shared" ca="1" si="4"/>
        <v>22</v>
      </c>
      <c r="BR110" s="67">
        <f t="shared" ca="1" si="4"/>
        <v>23</v>
      </c>
      <c r="BS110" s="67">
        <f t="shared" ca="1" si="4"/>
        <v>24</v>
      </c>
      <c r="BT110" s="67">
        <f t="shared" ca="1" si="4"/>
        <v>25</v>
      </c>
      <c r="BU110" s="67">
        <f t="shared" ca="1" si="4"/>
        <v>26</v>
      </c>
      <c r="BV110" s="67">
        <f t="shared" ca="1" si="4"/>
        <v>27</v>
      </c>
      <c r="BW110" s="67">
        <f t="shared" ca="1" si="4"/>
        <v>28</v>
      </c>
      <c r="BX110" s="67">
        <f t="shared" ca="1" si="4"/>
        <v>29</v>
      </c>
      <c r="BY110" s="67">
        <f t="shared" ca="1" si="4"/>
        <v>30</v>
      </c>
      <c r="BZ110" s="67">
        <f t="shared" ca="1" si="4"/>
        <v>31</v>
      </c>
      <c r="CA110" s="67">
        <f t="shared" ca="1" si="4"/>
        <v>32</v>
      </c>
      <c r="CB110" s="67">
        <f t="shared" ca="1" si="4"/>
        <v>33</v>
      </c>
      <c r="CC110" s="67">
        <f t="shared" ca="1" si="4"/>
        <v>34</v>
      </c>
      <c r="CD110" s="67">
        <f t="shared" ca="1" si="4"/>
        <v>35</v>
      </c>
      <c r="CE110" s="67">
        <f t="shared" ca="1" si="4"/>
        <v>36</v>
      </c>
      <c r="CF110" s="67">
        <f t="shared" ca="1" si="4"/>
        <v>37</v>
      </c>
      <c r="CG110" s="67">
        <f t="shared" ca="1" si="4"/>
        <v>38</v>
      </c>
      <c r="CH110" s="67">
        <f t="shared" ca="1" si="4"/>
        <v>39</v>
      </c>
      <c r="CI110" s="67">
        <f t="shared" ca="1" si="4"/>
        <v>40</v>
      </c>
      <c r="CJ110" s="67">
        <f t="shared" ca="1" si="4"/>
        <v>41</v>
      </c>
      <c r="CK110" s="67">
        <f t="shared" ca="1" si="4"/>
        <v>42</v>
      </c>
      <c r="CL110" s="67">
        <f t="shared" ca="1" si="4"/>
        <v>43</v>
      </c>
      <c r="CM110" s="67">
        <f t="shared" ca="1" si="4"/>
        <v>44</v>
      </c>
      <c r="CN110" s="67">
        <f t="shared" ca="1" si="4"/>
        <v>45</v>
      </c>
      <c r="CO110" s="67">
        <f t="shared" ca="1" si="4"/>
        <v>46</v>
      </c>
      <c r="CP110" s="67">
        <f t="shared" ca="1" si="4"/>
        <v>47</v>
      </c>
      <c r="CQ110" s="67">
        <f t="shared" ca="1" si="4"/>
        <v>48</v>
      </c>
      <c r="CR110" s="67">
        <f t="shared" ca="1" si="4"/>
        <v>49</v>
      </c>
      <c r="CS110" s="67">
        <f t="shared" ca="1" si="4"/>
        <v>50</v>
      </c>
      <c r="CT110" s="67">
        <f t="shared" ca="1" si="4"/>
        <v>51</v>
      </c>
      <c r="CU110" s="67">
        <f t="shared" ca="1" si="4"/>
        <v>52</v>
      </c>
      <c r="CV110" s="67">
        <f t="shared" ca="1" si="4"/>
        <v>53</v>
      </c>
      <c r="CW110" s="67">
        <f t="shared" ca="1" si="4"/>
        <v>1</v>
      </c>
      <c r="CX110" s="67">
        <f t="shared" ca="1" si="4"/>
        <v>2</v>
      </c>
      <c r="CY110" s="67">
        <f t="shared" ca="1" si="4"/>
        <v>3</v>
      </c>
      <c r="CZ110" s="67">
        <f t="shared" ca="1" si="4"/>
        <v>4</v>
      </c>
      <c r="DA110" s="67">
        <f t="shared" ca="1" si="4"/>
        <v>5</v>
      </c>
      <c r="DB110" s="67">
        <f t="shared" ca="1" si="4"/>
        <v>6</v>
      </c>
      <c r="DC110" s="67">
        <f t="shared" ca="1" si="4"/>
        <v>7</v>
      </c>
      <c r="DD110" s="67">
        <f t="shared" ca="1" si="4"/>
        <v>8</v>
      </c>
      <c r="DE110" s="67">
        <f t="shared" ca="1" si="4"/>
        <v>9</v>
      </c>
      <c r="DF110" s="67">
        <f t="shared" ca="1" si="4"/>
        <v>10</v>
      </c>
      <c r="DG110" s="67">
        <f t="shared" ca="1" si="4"/>
        <v>11</v>
      </c>
      <c r="DH110" s="67">
        <f t="shared" ca="1" si="4"/>
        <v>12</v>
      </c>
      <c r="DI110" s="67">
        <f t="shared" ca="1" si="4"/>
        <v>13</v>
      </c>
      <c r="DJ110" s="67">
        <f t="shared" ca="1" si="4"/>
        <v>14</v>
      </c>
    </row>
    <row r="111" spans="2:116" x14ac:dyDescent="0.25">
      <c r="C111" t="s">
        <v>57</v>
      </c>
      <c r="H111" s="67"/>
      <c r="I111" s="67"/>
      <c r="J111" s="67"/>
      <c r="K111" s="67"/>
      <c r="L111" s="67"/>
      <c r="M111" s="67"/>
      <c r="N111" s="67"/>
      <c r="O111" s="67"/>
      <c r="P111" s="67"/>
      <c r="Q111" s="67"/>
      <c r="R111" s="67"/>
      <c r="S111" s="67"/>
      <c r="T111" s="67"/>
      <c r="U111" s="67"/>
      <c r="V111" s="67"/>
      <c r="W111" s="67"/>
      <c r="X111" s="67"/>
      <c r="Y111" s="67"/>
      <c r="Z111" s="67"/>
      <c r="AA111" s="67"/>
      <c r="AB111" s="67"/>
      <c r="AC111" s="67"/>
      <c r="AD111" s="67"/>
      <c r="AE111" s="67"/>
      <c r="AF111" s="67"/>
      <c r="AG111" s="67"/>
      <c r="AH111" s="67"/>
      <c r="AI111" s="67"/>
      <c r="AJ111" s="67"/>
      <c r="AK111" s="67"/>
      <c r="AL111" s="67"/>
      <c r="AM111" s="67"/>
      <c r="AN111" s="67"/>
      <c r="AO111" s="67"/>
      <c r="AP111" s="67"/>
      <c r="AQ111" s="67"/>
      <c r="AR111" s="67"/>
      <c r="AS111" s="67"/>
      <c r="AT111" s="67"/>
      <c r="AU111" s="67"/>
      <c r="AV111" s="67"/>
      <c r="AW111" s="67"/>
      <c r="AX111" s="67"/>
      <c r="AY111" s="67"/>
      <c r="AZ111" s="67"/>
      <c r="BA111" s="67"/>
      <c r="BB111" s="67"/>
      <c r="BC111" s="67"/>
      <c r="BD111" s="67"/>
      <c r="BE111" s="67"/>
      <c r="BF111" s="67"/>
      <c r="BG111" s="67"/>
      <c r="BJ111"/>
      <c r="BK111" s="5">
        <f>SUM(BK112:BK211)</f>
        <v>0</v>
      </c>
      <c r="BL111" s="5">
        <f t="shared" ref="BL111:DK111" si="5">SUM(BL112:BL211)</f>
        <v>0</v>
      </c>
      <c r="BM111" s="5">
        <f t="shared" si="5"/>
        <v>0</v>
      </c>
      <c r="BN111" s="5">
        <f t="shared" si="5"/>
        <v>0</v>
      </c>
      <c r="BO111" s="5">
        <f t="shared" si="5"/>
        <v>0</v>
      </c>
      <c r="BP111" s="5">
        <f t="shared" si="5"/>
        <v>0</v>
      </c>
      <c r="BQ111" s="5">
        <f t="shared" si="5"/>
        <v>0</v>
      </c>
      <c r="BR111" s="5">
        <f t="shared" si="5"/>
        <v>0</v>
      </c>
      <c r="BS111" s="5">
        <f t="shared" si="5"/>
        <v>0</v>
      </c>
      <c r="BT111" s="5">
        <f t="shared" si="5"/>
        <v>0</v>
      </c>
      <c r="BU111" s="5">
        <f t="shared" si="5"/>
        <v>0</v>
      </c>
      <c r="BV111" s="5">
        <f t="shared" si="5"/>
        <v>0</v>
      </c>
      <c r="BW111" s="5">
        <f t="shared" si="5"/>
        <v>10</v>
      </c>
      <c r="BX111" s="5">
        <f t="shared" si="5"/>
        <v>10</v>
      </c>
      <c r="BY111" s="5">
        <f t="shared" si="5"/>
        <v>10</v>
      </c>
      <c r="BZ111" s="5">
        <f t="shared" si="5"/>
        <v>0</v>
      </c>
      <c r="CA111" s="5">
        <f t="shared" si="5"/>
        <v>10</v>
      </c>
      <c r="CB111" s="5">
        <f t="shared" si="5"/>
        <v>10</v>
      </c>
      <c r="CC111" s="5">
        <f t="shared" si="5"/>
        <v>0</v>
      </c>
      <c r="CD111" s="5">
        <f t="shared" si="5"/>
        <v>0</v>
      </c>
      <c r="CE111" s="5">
        <f t="shared" si="5"/>
        <v>0</v>
      </c>
      <c r="CF111" s="5">
        <f t="shared" si="5"/>
        <v>0</v>
      </c>
      <c r="CG111" s="5">
        <f t="shared" si="5"/>
        <v>0</v>
      </c>
      <c r="CH111" s="5">
        <f t="shared" si="5"/>
        <v>0</v>
      </c>
      <c r="CI111" s="5">
        <f t="shared" si="5"/>
        <v>0</v>
      </c>
      <c r="CJ111" s="5">
        <f t="shared" si="5"/>
        <v>0</v>
      </c>
      <c r="CK111" s="5">
        <f t="shared" si="5"/>
        <v>0</v>
      </c>
      <c r="CL111" s="5">
        <f t="shared" si="5"/>
        <v>0</v>
      </c>
      <c r="CM111" s="5">
        <f t="shared" si="5"/>
        <v>0</v>
      </c>
      <c r="CN111" s="5">
        <f t="shared" si="5"/>
        <v>0</v>
      </c>
      <c r="CO111" s="5">
        <f t="shared" si="5"/>
        <v>0</v>
      </c>
      <c r="CP111" s="5">
        <f t="shared" si="5"/>
        <v>0</v>
      </c>
      <c r="CQ111" s="5">
        <f t="shared" si="5"/>
        <v>0</v>
      </c>
      <c r="CR111" s="5">
        <f t="shared" si="5"/>
        <v>0</v>
      </c>
      <c r="CS111" s="5">
        <f t="shared" si="5"/>
        <v>0</v>
      </c>
      <c r="CT111" s="5">
        <f t="shared" si="5"/>
        <v>0</v>
      </c>
      <c r="CU111" s="5">
        <f t="shared" si="5"/>
        <v>0</v>
      </c>
      <c r="CV111" s="5">
        <f t="shared" si="5"/>
        <v>0</v>
      </c>
      <c r="CW111" s="5">
        <f t="shared" si="5"/>
        <v>0</v>
      </c>
      <c r="CX111" s="5">
        <f t="shared" si="5"/>
        <v>0</v>
      </c>
      <c r="CY111" s="5">
        <f t="shared" si="5"/>
        <v>0</v>
      </c>
      <c r="CZ111" s="5">
        <f t="shared" si="5"/>
        <v>0</v>
      </c>
      <c r="DA111" s="5">
        <f t="shared" si="5"/>
        <v>0</v>
      </c>
      <c r="DB111" s="5">
        <f t="shared" si="5"/>
        <v>0</v>
      </c>
      <c r="DC111" s="5">
        <f t="shared" si="5"/>
        <v>0</v>
      </c>
      <c r="DD111" s="5">
        <f t="shared" si="5"/>
        <v>0</v>
      </c>
      <c r="DE111" s="5">
        <f t="shared" si="5"/>
        <v>0</v>
      </c>
      <c r="DF111" s="5">
        <f t="shared" si="5"/>
        <v>0</v>
      </c>
      <c r="DG111" s="5">
        <f t="shared" si="5"/>
        <v>0</v>
      </c>
      <c r="DH111" s="5">
        <f t="shared" si="5"/>
        <v>0</v>
      </c>
      <c r="DI111" s="5">
        <f t="shared" si="5"/>
        <v>0</v>
      </c>
      <c r="DJ111" s="5">
        <f t="shared" si="5"/>
        <v>0</v>
      </c>
      <c r="DK111" s="5">
        <f t="shared" si="5"/>
        <v>0</v>
      </c>
    </row>
    <row r="112" spans="2:116" x14ac:dyDescent="0.25">
      <c r="C112" t="str">
        <f>ROW(A1)&amp;". "&amp;Capacity!N17</f>
        <v>1. Ad hoc clinic 1</v>
      </c>
      <c r="D112">
        <f>'Capacity setup'!C118</f>
        <v>0</v>
      </c>
      <c r="E112" s="67">
        <f>'Capacity setup'!D118</f>
        <v>0</v>
      </c>
      <c r="F112" s="67">
        <f>'Capacity setup'!E118</f>
        <v>0</v>
      </c>
      <c r="H112" s="67">
        <f ca="1">IF(AND(SUMIF(Capacity_Resource,$D112,'Critical resources (hide)'!U$6:U$105)+SUMIF(Capacity_Resource,$E112,'Critical resources (hide)'!U$6:U$105)+SUMIF(Capacity_Resource,$F112,'Critical resources (hide)'!U$6:U$105)&gt;0,$E$1=2),0,1)</f>
        <v>1</v>
      </c>
      <c r="I112" s="67">
        <f ca="1">IF(AND(SUMIF(Capacity_Resource,$D112,'Critical resources (hide)'!V$6:V$105)+SUMIF(Capacity_Resource,$E112,'Critical resources (hide)'!V$6:V$105)+SUMIF(Capacity_Resource,$F112,'Critical resources (hide)'!V$6:V$105)&gt;0,$E$1=2),0,1)</f>
        <v>1</v>
      </c>
      <c r="J112" s="67">
        <f ca="1">IF(AND(SUMIF(Capacity_Resource,$D112,'Critical resources (hide)'!W$6:W$105)+SUMIF(Capacity_Resource,$E112,'Critical resources (hide)'!W$6:W$105)+SUMIF(Capacity_Resource,$F112,'Critical resources (hide)'!W$6:W$105)&gt;0,$E$1=2),0,1)</f>
        <v>1</v>
      </c>
      <c r="K112" s="67">
        <f ca="1">IF(AND(SUMIF(Capacity_Resource,$D112,'Critical resources (hide)'!X$6:X$105)+SUMIF(Capacity_Resource,$E112,'Critical resources (hide)'!X$6:X$105)+SUMIF(Capacity_Resource,$F112,'Critical resources (hide)'!X$6:X$105)&gt;0,$E$1=2),0,1)</f>
        <v>1</v>
      </c>
      <c r="L112" s="67">
        <f ca="1">IF(AND(SUMIF(Capacity_Resource,$D112,'Critical resources (hide)'!Y$6:Y$105)+SUMIF(Capacity_Resource,$E112,'Critical resources (hide)'!Y$6:Y$105)+SUMIF(Capacity_Resource,$F112,'Critical resources (hide)'!Y$6:Y$105)&gt;0,$E$1=2),0,1)</f>
        <v>1</v>
      </c>
      <c r="M112" s="67">
        <f ca="1">IF(AND(SUMIF(Capacity_Resource,$D112,'Critical resources (hide)'!Z$6:Z$105)+SUMIF(Capacity_Resource,$E112,'Critical resources (hide)'!Z$6:Z$105)+SUMIF(Capacity_Resource,$F112,'Critical resources (hide)'!Z$6:Z$105)&gt;0,$E$1=2),0,1)</f>
        <v>1</v>
      </c>
      <c r="N112" s="67">
        <f ca="1">IF(AND(SUMIF(Capacity_Resource,$D112,'Critical resources (hide)'!AA$6:AA$105)+SUMIF(Capacity_Resource,$E112,'Critical resources (hide)'!AA$6:AA$105)+SUMIF(Capacity_Resource,$F112,'Critical resources (hide)'!AA$6:AA$105)&gt;0,$E$1=2),0,1)</f>
        <v>1</v>
      </c>
      <c r="O112" s="67">
        <f ca="1">IF(AND(SUMIF(Capacity_Resource,$D112,'Critical resources (hide)'!AB$6:AB$105)+SUMIF(Capacity_Resource,$E112,'Critical resources (hide)'!AB$6:AB$105)+SUMIF(Capacity_Resource,$F112,'Critical resources (hide)'!AB$6:AB$105)&gt;0,$E$1=2),0,1)</f>
        <v>1</v>
      </c>
      <c r="P112" s="67">
        <f ca="1">IF(AND(SUMIF(Capacity_Resource,$D112,'Critical resources (hide)'!AC$6:AC$105)+SUMIF(Capacity_Resource,$E112,'Critical resources (hide)'!AC$6:AC$105)+SUMIF(Capacity_Resource,$F112,'Critical resources (hide)'!AC$6:AC$105)&gt;0,$E$1=2),0,1)</f>
        <v>1</v>
      </c>
      <c r="Q112" s="67">
        <f ca="1">IF(AND(SUMIF(Capacity_Resource,$D112,'Critical resources (hide)'!AD$6:AD$105)+SUMIF(Capacity_Resource,$E112,'Critical resources (hide)'!AD$6:AD$105)+SUMIF(Capacity_Resource,$F112,'Critical resources (hide)'!AD$6:AD$105)&gt;0,$E$1=2),0,1)</f>
        <v>1</v>
      </c>
      <c r="R112" s="67">
        <f ca="1">IF(AND(SUMIF(Capacity_Resource,$D112,'Critical resources (hide)'!AE$6:AE$105)+SUMIF(Capacity_Resource,$E112,'Critical resources (hide)'!AE$6:AE$105)+SUMIF(Capacity_Resource,$F112,'Critical resources (hide)'!AE$6:AE$105)&gt;0,$E$1=2),0,1)</f>
        <v>1</v>
      </c>
      <c r="S112" s="67">
        <f ca="1">IF(AND(SUMIF(Capacity_Resource,$D112,'Critical resources (hide)'!AF$6:AF$105)+SUMIF(Capacity_Resource,$E112,'Critical resources (hide)'!AF$6:AF$105)+SUMIF(Capacity_Resource,$F112,'Critical resources (hide)'!AF$6:AF$105)&gt;0,$E$1=2),0,1)</f>
        <v>1</v>
      </c>
      <c r="T112" s="67">
        <f ca="1">IF(AND(SUMIF(Capacity_Resource,$D112,'Critical resources (hide)'!AG$6:AG$105)+SUMIF(Capacity_Resource,$E112,'Critical resources (hide)'!AG$6:AG$105)+SUMIF(Capacity_Resource,$F112,'Critical resources (hide)'!AG$6:AG$105)&gt;0,$E$1=2),0,1)</f>
        <v>1</v>
      </c>
      <c r="U112" s="67">
        <f ca="1">IF(AND(SUMIF(Capacity_Resource,$D112,'Critical resources (hide)'!AH$6:AH$105)+SUMIF(Capacity_Resource,$E112,'Critical resources (hide)'!AH$6:AH$105)+SUMIF(Capacity_Resource,$F112,'Critical resources (hide)'!AH$6:AH$105)&gt;0,$E$1=2),0,1)</f>
        <v>1</v>
      </c>
      <c r="V112" s="67">
        <f ca="1">IF(AND(SUMIF(Capacity_Resource,$D112,'Critical resources (hide)'!AI$6:AI$105)+SUMIF(Capacity_Resource,$E112,'Critical resources (hide)'!AI$6:AI$105)+SUMIF(Capacity_Resource,$F112,'Critical resources (hide)'!AI$6:AI$105)&gt;0,$E$1=2),0,1)</f>
        <v>1</v>
      </c>
      <c r="W112" s="67">
        <f ca="1">IF(AND(SUMIF(Capacity_Resource,$D112,'Critical resources (hide)'!AJ$6:AJ$105)+SUMIF(Capacity_Resource,$E112,'Critical resources (hide)'!AJ$6:AJ$105)+SUMIF(Capacity_Resource,$F112,'Critical resources (hide)'!AJ$6:AJ$105)&gt;0,$E$1=2),0,1)</f>
        <v>1</v>
      </c>
      <c r="X112" s="67">
        <f ca="1">IF(AND(SUMIF(Capacity_Resource,$D112,'Critical resources (hide)'!AK$6:AK$105)+SUMIF(Capacity_Resource,$E112,'Critical resources (hide)'!AK$6:AK$105)+SUMIF(Capacity_Resource,$F112,'Critical resources (hide)'!AK$6:AK$105)&gt;0,$E$1=2),0,1)</f>
        <v>1</v>
      </c>
      <c r="Y112" s="67">
        <f ca="1">IF(AND(SUMIF(Capacity_Resource,$D112,'Critical resources (hide)'!AL$6:AL$105)+SUMIF(Capacity_Resource,$E112,'Critical resources (hide)'!AL$6:AL$105)+SUMIF(Capacity_Resource,$F112,'Critical resources (hide)'!AL$6:AL$105)&gt;0,$E$1=2),0,1)</f>
        <v>1</v>
      </c>
      <c r="Z112" s="67">
        <f ca="1">IF(AND(SUMIF(Capacity_Resource,$D112,'Critical resources (hide)'!AM$6:AM$105)+SUMIF(Capacity_Resource,$E112,'Critical resources (hide)'!AM$6:AM$105)+SUMIF(Capacity_Resource,$F112,'Critical resources (hide)'!AM$6:AM$105)&gt;0,$E$1=2),0,1)</f>
        <v>1</v>
      </c>
      <c r="AA112" s="67">
        <f ca="1">IF(AND(SUMIF(Capacity_Resource,$D112,'Critical resources (hide)'!AN$6:AN$105)+SUMIF(Capacity_Resource,$E112,'Critical resources (hide)'!AN$6:AN$105)+SUMIF(Capacity_Resource,$F112,'Critical resources (hide)'!AN$6:AN$105)&gt;0,$E$1=2),0,1)</f>
        <v>1</v>
      </c>
      <c r="AB112" s="67">
        <f ca="1">IF(AND(SUMIF(Capacity_Resource,$D112,'Critical resources (hide)'!AO$6:AO$105)+SUMIF(Capacity_Resource,$E112,'Critical resources (hide)'!AO$6:AO$105)+SUMIF(Capacity_Resource,$F112,'Critical resources (hide)'!AO$6:AO$105)&gt;0,$E$1=2),0,1)</f>
        <v>1</v>
      </c>
      <c r="AC112" s="67">
        <f ca="1">IF(AND(SUMIF(Capacity_Resource,$D112,'Critical resources (hide)'!AP$6:AP$105)+SUMIF(Capacity_Resource,$E112,'Critical resources (hide)'!AP$6:AP$105)+SUMIF(Capacity_Resource,$F112,'Critical resources (hide)'!AP$6:AP$105)&gt;0,$E$1=2),0,1)</f>
        <v>1</v>
      </c>
      <c r="AD112" s="67">
        <f ca="1">IF(AND(SUMIF(Capacity_Resource,$D112,'Critical resources (hide)'!AQ$6:AQ$105)+SUMIF(Capacity_Resource,$E112,'Critical resources (hide)'!AQ$6:AQ$105)+SUMIF(Capacity_Resource,$F112,'Critical resources (hide)'!AQ$6:AQ$105)&gt;0,$E$1=2),0,1)</f>
        <v>1</v>
      </c>
      <c r="AE112" s="67">
        <f ca="1">IF(AND(SUMIF(Capacity_Resource,$D112,'Critical resources (hide)'!AR$6:AR$105)+SUMIF(Capacity_Resource,$E112,'Critical resources (hide)'!AR$6:AR$105)+SUMIF(Capacity_Resource,$F112,'Critical resources (hide)'!AR$6:AR$105)&gt;0,$E$1=2),0,1)</f>
        <v>1</v>
      </c>
      <c r="AF112" s="67">
        <f ca="1">IF(AND(SUMIF(Capacity_Resource,$D112,'Critical resources (hide)'!AS$6:AS$105)+SUMIF(Capacity_Resource,$E112,'Critical resources (hide)'!AS$6:AS$105)+SUMIF(Capacity_Resource,$F112,'Critical resources (hide)'!AS$6:AS$105)&gt;0,$E$1=2),0,1)</f>
        <v>1</v>
      </c>
      <c r="AG112" s="67">
        <f ca="1">IF(AND(SUMIF(Capacity_Resource,$D112,'Critical resources (hide)'!AT$6:AT$105)+SUMIF(Capacity_Resource,$E112,'Critical resources (hide)'!AT$6:AT$105)+SUMIF(Capacity_Resource,$F112,'Critical resources (hide)'!AT$6:AT$105)&gt;0,$E$1=2),0,1)</f>
        <v>1</v>
      </c>
      <c r="AH112" s="67">
        <f ca="1">IF(AND(SUMIF(Capacity_Resource,$D112,'Critical resources (hide)'!AU$6:AU$105)+SUMIF(Capacity_Resource,$E112,'Critical resources (hide)'!AU$6:AU$105)+SUMIF(Capacity_Resource,$F112,'Critical resources (hide)'!AU$6:AU$105)&gt;0,$E$1=2),0,1)</f>
        <v>1</v>
      </c>
      <c r="AI112" s="67">
        <f ca="1">IF(AND(SUMIF(Capacity_Resource,$D112,'Critical resources (hide)'!AV$6:AV$105)+SUMIF(Capacity_Resource,$E112,'Critical resources (hide)'!AV$6:AV$105)+SUMIF(Capacity_Resource,$F112,'Critical resources (hide)'!AV$6:AV$105)&gt;0,$E$1=2),0,1)</f>
        <v>1</v>
      </c>
      <c r="AJ112" s="67">
        <f ca="1">IF(AND(SUMIF(Capacity_Resource,$D112,'Critical resources (hide)'!AW$6:AW$105)+SUMIF(Capacity_Resource,$E112,'Critical resources (hide)'!AW$6:AW$105)+SUMIF(Capacity_Resource,$F112,'Critical resources (hide)'!AW$6:AW$105)&gt;0,$E$1=2),0,1)</f>
        <v>1</v>
      </c>
      <c r="AK112" s="67">
        <f ca="1">IF(AND(SUMIF(Capacity_Resource,$D112,'Critical resources (hide)'!AX$6:AX$105)+SUMIF(Capacity_Resource,$E112,'Critical resources (hide)'!AX$6:AX$105)+SUMIF(Capacity_Resource,$F112,'Critical resources (hide)'!AX$6:AX$105)&gt;0,$E$1=2),0,1)</f>
        <v>1</v>
      </c>
      <c r="AL112" s="67">
        <f ca="1">IF(AND(SUMIF(Capacity_Resource,$D112,'Critical resources (hide)'!AY$6:AY$105)+SUMIF(Capacity_Resource,$E112,'Critical resources (hide)'!AY$6:AY$105)+SUMIF(Capacity_Resource,$F112,'Critical resources (hide)'!AY$6:AY$105)&gt;0,$E$1=2),0,1)</f>
        <v>1</v>
      </c>
      <c r="AM112" s="67">
        <f ca="1">IF(AND(SUMIF(Capacity_Resource,$D112,'Critical resources (hide)'!AZ$6:AZ$105)+SUMIF(Capacity_Resource,$E112,'Critical resources (hide)'!AZ$6:AZ$105)+SUMIF(Capacity_Resource,$F112,'Critical resources (hide)'!AZ$6:AZ$105)&gt;0,$E$1=2),0,1)</f>
        <v>1</v>
      </c>
      <c r="AN112" s="67">
        <f ca="1">IF(AND(SUMIF(Capacity_Resource,$D112,'Critical resources (hide)'!BA$6:BA$105)+SUMIF(Capacity_Resource,$E112,'Critical resources (hide)'!BA$6:BA$105)+SUMIF(Capacity_Resource,$F112,'Critical resources (hide)'!BA$6:BA$105)&gt;0,$E$1=2),0,1)</f>
        <v>1</v>
      </c>
      <c r="AO112" s="67">
        <f ca="1">IF(AND(SUMIF(Capacity_Resource,$D112,'Critical resources (hide)'!BB$6:BB$105)+SUMIF(Capacity_Resource,$E112,'Critical resources (hide)'!BB$6:BB$105)+SUMIF(Capacity_Resource,$F112,'Critical resources (hide)'!BB$6:BB$105)&gt;0,$E$1=2),0,1)</f>
        <v>1</v>
      </c>
      <c r="AP112" s="67">
        <f ca="1">IF(AND(SUMIF(Capacity_Resource,$D112,'Critical resources (hide)'!BC$6:BC$105)+SUMIF(Capacity_Resource,$E112,'Critical resources (hide)'!BC$6:BC$105)+SUMIF(Capacity_Resource,$F112,'Critical resources (hide)'!BC$6:BC$105)&gt;0,$E$1=2),0,1)</f>
        <v>1</v>
      </c>
      <c r="AQ112" s="67">
        <f ca="1">IF(AND(SUMIF(Capacity_Resource,$D112,'Critical resources (hide)'!BD$6:BD$105)+SUMIF(Capacity_Resource,$E112,'Critical resources (hide)'!BD$6:BD$105)+SUMIF(Capacity_Resource,$F112,'Critical resources (hide)'!BD$6:BD$105)&gt;0,$E$1=2),0,1)</f>
        <v>1</v>
      </c>
      <c r="AR112" s="67">
        <f ca="1">IF(AND(SUMIF(Capacity_Resource,$D112,'Critical resources (hide)'!BE$6:BE$105)+SUMIF(Capacity_Resource,$E112,'Critical resources (hide)'!BE$6:BE$105)+SUMIF(Capacity_Resource,$F112,'Critical resources (hide)'!BE$6:BE$105)&gt;0,$E$1=2),0,1)</f>
        <v>1</v>
      </c>
      <c r="AS112" s="67">
        <f ca="1">IF(AND(SUMIF(Capacity_Resource,$D112,'Critical resources (hide)'!BF$6:BF$105)+SUMIF(Capacity_Resource,$E112,'Critical resources (hide)'!BF$6:BF$105)+SUMIF(Capacity_Resource,$F112,'Critical resources (hide)'!BF$6:BF$105)&gt;0,$E$1=2),0,1)</f>
        <v>1</v>
      </c>
      <c r="AT112" s="67">
        <f ca="1">IF(AND(SUMIF(Capacity_Resource,$D112,'Critical resources (hide)'!BG$6:BG$105)+SUMIF(Capacity_Resource,$E112,'Critical resources (hide)'!BG$6:BG$105)+SUMIF(Capacity_Resource,$F112,'Critical resources (hide)'!BG$6:BG$105)&gt;0,$E$1=2),0,1)</f>
        <v>1</v>
      </c>
      <c r="AU112" s="67">
        <f ca="1">IF(AND(SUMIF(Capacity_Resource,$D112,'Critical resources (hide)'!BH$6:BH$105)+SUMIF(Capacity_Resource,$E112,'Critical resources (hide)'!BH$6:BH$105)+SUMIF(Capacity_Resource,$F112,'Critical resources (hide)'!BH$6:BH$105)&gt;0,$E$1=2),0,1)</f>
        <v>1</v>
      </c>
      <c r="AV112" s="67">
        <f ca="1">IF(AND(SUMIF(Capacity_Resource,$D112,'Critical resources (hide)'!BI$6:BI$105)+SUMIF(Capacity_Resource,$E112,'Critical resources (hide)'!BI$6:BI$105)+SUMIF(Capacity_Resource,$F112,'Critical resources (hide)'!BI$6:BI$105)&gt;0,$E$1=2),0,1)</f>
        <v>1</v>
      </c>
      <c r="AW112" s="67">
        <f ca="1">IF(AND(SUMIF(Capacity_Resource,$D112,'Critical resources (hide)'!BJ$6:BJ$105)+SUMIF(Capacity_Resource,$E112,'Critical resources (hide)'!BJ$6:BJ$105)+SUMIF(Capacity_Resource,$F112,'Critical resources (hide)'!BJ$6:BJ$105)&gt;0,$E$1=2),0,1)</f>
        <v>1</v>
      </c>
      <c r="AX112" s="67">
        <f ca="1">IF(AND(SUMIF(Capacity_Resource,$D112,'Critical resources (hide)'!BK$6:BK$105)+SUMIF(Capacity_Resource,$E112,'Critical resources (hide)'!BK$6:BK$105)+SUMIF(Capacity_Resource,$F112,'Critical resources (hide)'!BK$6:BK$105)&gt;0,$E$1=2),0,1)</f>
        <v>1</v>
      </c>
      <c r="AY112" s="67">
        <f ca="1">IF(AND(SUMIF(Capacity_Resource,$D112,'Critical resources (hide)'!BL$6:BL$105)+SUMIF(Capacity_Resource,$E112,'Critical resources (hide)'!BL$6:BL$105)+SUMIF(Capacity_Resource,$F112,'Critical resources (hide)'!BL$6:BL$105)&gt;0,$E$1=2),0,1)</f>
        <v>1</v>
      </c>
      <c r="AZ112" s="67">
        <f ca="1">IF(AND(SUMIF(Capacity_Resource,$D112,'Critical resources (hide)'!BM$6:BM$105)+SUMIF(Capacity_Resource,$E112,'Critical resources (hide)'!BM$6:BM$105)+SUMIF(Capacity_Resource,$F112,'Critical resources (hide)'!BM$6:BM$105)&gt;0,$E$1=2),0,1)</f>
        <v>1</v>
      </c>
      <c r="BA112" s="67">
        <f ca="1">IF(AND(SUMIF(Capacity_Resource,$D112,'Critical resources (hide)'!BN$6:BN$105)+SUMIF(Capacity_Resource,$E112,'Critical resources (hide)'!BN$6:BN$105)+SUMIF(Capacity_Resource,$F112,'Critical resources (hide)'!BN$6:BN$105)&gt;0,$E$1=2),0,1)</f>
        <v>1</v>
      </c>
      <c r="BB112" s="67">
        <f ca="1">IF(AND(SUMIF(Capacity_Resource,$D112,'Critical resources (hide)'!BO$6:BO$105)+SUMIF(Capacity_Resource,$E112,'Critical resources (hide)'!BO$6:BO$105)+SUMIF(Capacity_Resource,$F112,'Critical resources (hide)'!BO$6:BO$105)&gt;0,$E$1=2),0,1)</f>
        <v>1</v>
      </c>
      <c r="BC112" s="67">
        <f ca="1">IF(AND(SUMIF(Capacity_Resource,$D112,'Critical resources (hide)'!BP$6:BP$105)+SUMIF(Capacity_Resource,$E112,'Critical resources (hide)'!BP$6:BP$105)+SUMIF(Capacity_Resource,$F112,'Critical resources (hide)'!BP$6:BP$105)&gt;0,$E$1=2),0,1)</f>
        <v>1</v>
      </c>
      <c r="BD112" s="67">
        <f ca="1">IF(AND(SUMIF(Capacity_Resource,$D112,'Critical resources (hide)'!BQ$6:BQ$105)+SUMIF(Capacity_Resource,$E112,'Critical resources (hide)'!BQ$6:BQ$105)+SUMIF(Capacity_Resource,$F112,'Critical resources (hide)'!BQ$6:BQ$105)&gt;0,$E$1=2),0,1)</f>
        <v>1</v>
      </c>
      <c r="BE112" s="67">
        <f ca="1">IF(AND(SUMIF(Capacity_Resource,$D112,'Critical resources (hide)'!BR$6:BR$105)+SUMIF(Capacity_Resource,$E112,'Critical resources (hide)'!BR$6:BR$105)+SUMIF(Capacity_Resource,$F112,'Critical resources (hide)'!BR$6:BR$105)&gt;0,$E$1=2),0,1)</f>
        <v>1</v>
      </c>
      <c r="BF112" s="67">
        <f ca="1">IF(AND(SUMIF(Capacity_Resource,$D112,'Critical resources (hide)'!BS$6:BS$105)+SUMIF(Capacity_Resource,$E112,'Critical resources (hide)'!BS$6:BS$105)+SUMIF(Capacity_Resource,$F112,'Critical resources (hide)'!BS$6:BS$105)&gt;0,$E$1=2),0,1)</f>
        <v>1</v>
      </c>
      <c r="BG112" s="67">
        <f ca="1">IF(AND(SUMIF(Capacity_Resource,$D112,'Critical resources (hide)'!BT$6:BT$105)+SUMIF(Capacity_Resource,$E112,'Critical resources (hide)'!BT$6:BT$105)+SUMIF(Capacity_Resource,$F112,'Critical resources (hide)'!BT$6:BT$105)&gt;0,$E$1=2),0,1)</f>
        <v>1</v>
      </c>
      <c r="BH112">
        <f>IF(ROW(A1)&lt;=Capacity!$M$16,IF('Capacity summary'!$C$14="No",SUM(H112:BG112),'Capacity summary'!$E24),0)</f>
        <v>5</v>
      </c>
      <c r="BI112">
        <f>IF(BH112&gt;0,IF(BH112&lt;Capacity!Q17,Capacity!R17,Capacity!T17/'Capacity calculation (hide)'!BH112),"")</f>
        <v>0</v>
      </c>
      <c r="BJ112" s="5"/>
      <c r="BK112" s="5">
        <f>IF($BI112&lt;&gt;"",IF('Capacity summary'!$C$14="Yes",IF(COUNTBLANK('Capacity summary'!$H24:$BG24)&lt;52,IF('Capacity summary'!H24&lt;&gt;"",IF(LOWER('Capacity summary'!H24)="x",$BI112*H112,VALUE('Capacity summary'!H24)),0),H112*$BI112),H112*$BI112),0)</f>
        <v>0</v>
      </c>
      <c r="BL112" s="5">
        <f>IF($BI112&lt;&gt;"",IF('Capacity summary'!$C$14="Yes",IF(COUNTBLANK('Capacity summary'!$H24:$BG24)&lt;52,IF('Capacity summary'!I24&lt;&gt;"",IF(LOWER('Capacity summary'!I24)="x",$BI112*I112,VALUE('Capacity summary'!I24)),0),I112*$BI112),I112*$BI112),0)</f>
        <v>0</v>
      </c>
      <c r="BM112" s="5">
        <f>IF($BI112&lt;&gt;"",IF('Capacity summary'!$C$14="Yes",IF(COUNTBLANK('Capacity summary'!$H24:$BG24)&lt;52,IF('Capacity summary'!J24&lt;&gt;"",IF(LOWER('Capacity summary'!J24)="x",$BI112*J112,VALUE('Capacity summary'!J24)),0),J112*$BI112),J112*$BI112),0)</f>
        <v>0</v>
      </c>
      <c r="BN112" s="5">
        <f>IF($BI112&lt;&gt;"",IF('Capacity summary'!$C$14="Yes",IF(COUNTBLANK('Capacity summary'!$H24:$BG24)&lt;52,IF('Capacity summary'!K24&lt;&gt;"",IF(LOWER('Capacity summary'!K24)="x",$BI112*K112,VALUE('Capacity summary'!K24)),0),K112*$BI112),K112*$BI112),0)</f>
        <v>0</v>
      </c>
      <c r="BO112" s="5">
        <f>IF($BI112&lt;&gt;"",IF('Capacity summary'!$C$14="Yes",IF(COUNTBLANK('Capacity summary'!$H24:$BG24)&lt;52,IF('Capacity summary'!L24&lt;&gt;"",IF(LOWER('Capacity summary'!L24)="x",$BI112*L112,VALUE('Capacity summary'!L24)),0),L112*$BI112),L112*$BI112),0)</f>
        <v>0</v>
      </c>
      <c r="BP112" s="5">
        <f>IF($BI112&lt;&gt;"",IF('Capacity summary'!$C$14="Yes",IF(COUNTBLANK('Capacity summary'!$H24:$BG24)&lt;52,IF('Capacity summary'!M24&lt;&gt;"",IF(LOWER('Capacity summary'!M24)="x",$BI112*M112,VALUE('Capacity summary'!M24)),0),M112*$BI112),M112*$BI112),0)</f>
        <v>0</v>
      </c>
      <c r="BQ112" s="5">
        <f>IF($BI112&lt;&gt;"",IF('Capacity summary'!$C$14="Yes",IF(COUNTBLANK('Capacity summary'!$H24:$BG24)&lt;52,IF('Capacity summary'!N24&lt;&gt;"",IF(LOWER('Capacity summary'!N24)="x",$BI112*N112,VALUE('Capacity summary'!N24)),0),N112*$BI112),N112*$BI112),0)</f>
        <v>0</v>
      </c>
      <c r="BR112" s="5">
        <f>IF($BI112&lt;&gt;"",IF('Capacity summary'!$C$14="Yes",IF(COUNTBLANK('Capacity summary'!$H24:$BG24)&lt;52,IF('Capacity summary'!O24&lt;&gt;"",IF(LOWER('Capacity summary'!O24)="x",$BI112*O112,VALUE('Capacity summary'!O24)),0),O112*$BI112),O112*$BI112),0)</f>
        <v>0</v>
      </c>
      <c r="BS112" s="5">
        <f>IF($BI112&lt;&gt;"",IF('Capacity summary'!$C$14="Yes",IF(COUNTBLANK('Capacity summary'!$H24:$BG24)&lt;52,IF('Capacity summary'!P24&lt;&gt;"",IF(LOWER('Capacity summary'!P24)="x",$BI112*P112,VALUE('Capacity summary'!P24)),0),P112*$BI112),P112*$BI112),0)</f>
        <v>0</v>
      </c>
      <c r="BT112" s="5">
        <f>IF($BI112&lt;&gt;"",IF('Capacity summary'!$C$14="Yes",IF(COUNTBLANK('Capacity summary'!$H24:$BG24)&lt;52,IF('Capacity summary'!Q24&lt;&gt;"",IF(LOWER('Capacity summary'!Q24)="x",$BI112*Q112,VALUE('Capacity summary'!Q24)),0),Q112*$BI112),Q112*$BI112),0)</f>
        <v>0</v>
      </c>
      <c r="BU112" s="5">
        <f>IF($BI112&lt;&gt;"",IF('Capacity summary'!$C$14="Yes",IF(COUNTBLANK('Capacity summary'!$H24:$BG24)&lt;52,IF('Capacity summary'!R24&lt;&gt;"",IF(LOWER('Capacity summary'!R24)="x",$BI112*R112,VALUE('Capacity summary'!R24)),0),R112*$BI112),R112*$BI112),0)</f>
        <v>0</v>
      </c>
      <c r="BV112" s="5">
        <f>IF($BI112&lt;&gt;"",IF('Capacity summary'!$C$14="Yes",IF(COUNTBLANK('Capacity summary'!$H24:$BG24)&lt;52,IF('Capacity summary'!S24&lt;&gt;"",IF(LOWER('Capacity summary'!S24)="x",$BI112*S112,VALUE('Capacity summary'!S24)),0),S112*$BI112),S112*$BI112),0)</f>
        <v>0</v>
      </c>
      <c r="BW112" s="5">
        <f>IF($BI112&lt;&gt;"",IF('Capacity summary'!$C$14="Yes",IF(COUNTBLANK('Capacity summary'!$H24:$BG24)&lt;52,IF('Capacity summary'!T24&lt;&gt;"",IF(LOWER('Capacity summary'!T24)="x",$BI112*T112,VALUE('Capacity summary'!T24)),0),T112*$BI112),T112*$BI112),0)</f>
        <v>10</v>
      </c>
      <c r="BX112" s="5">
        <f>IF($BI112&lt;&gt;"",IF('Capacity summary'!$C$14="Yes",IF(COUNTBLANK('Capacity summary'!$H24:$BG24)&lt;52,IF('Capacity summary'!U24&lt;&gt;"",IF(LOWER('Capacity summary'!U24)="x",$BI112*U112,VALUE('Capacity summary'!U24)),0),U112*$BI112),U112*$BI112),0)</f>
        <v>10</v>
      </c>
      <c r="BY112" s="5">
        <f>IF($BI112&lt;&gt;"",IF('Capacity summary'!$C$14="Yes",IF(COUNTBLANK('Capacity summary'!$H24:$BG24)&lt;52,IF('Capacity summary'!V24&lt;&gt;"",IF(LOWER('Capacity summary'!V24)="x",$BI112*V112,VALUE('Capacity summary'!V24)),0),V112*$BI112),V112*$BI112),0)</f>
        <v>10</v>
      </c>
      <c r="BZ112" s="5">
        <f>IF($BI112&lt;&gt;"",IF('Capacity summary'!$C$14="Yes",IF(COUNTBLANK('Capacity summary'!$H24:$BG24)&lt;52,IF('Capacity summary'!W24&lt;&gt;"",IF(LOWER('Capacity summary'!W24)="x",$BI112*W112,VALUE('Capacity summary'!W24)),0),W112*$BI112),W112*$BI112),0)</f>
        <v>0</v>
      </c>
      <c r="CA112" s="5">
        <f>IF($BI112&lt;&gt;"",IF('Capacity summary'!$C$14="Yes",IF(COUNTBLANK('Capacity summary'!$H24:$BG24)&lt;52,IF('Capacity summary'!X24&lt;&gt;"",IF(LOWER('Capacity summary'!X24)="x",$BI112*X112,VALUE('Capacity summary'!X24)),0),X112*$BI112),X112*$BI112),0)</f>
        <v>10</v>
      </c>
      <c r="CB112" s="5">
        <f>IF($BI112&lt;&gt;"",IF('Capacity summary'!$C$14="Yes",IF(COUNTBLANK('Capacity summary'!$H24:$BG24)&lt;52,IF('Capacity summary'!Y24&lt;&gt;"",IF(LOWER('Capacity summary'!Y24)="x",$BI112*Y112,VALUE('Capacity summary'!Y24)),0),Y112*$BI112),Y112*$BI112),0)</f>
        <v>10</v>
      </c>
      <c r="CC112" s="5">
        <f>IF($BI112&lt;&gt;"",IF('Capacity summary'!$C$14="Yes",IF(COUNTBLANK('Capacity summary'!$H24:$BG24)&lt;52,IF('Capacity summary'!Z24&lt;&gt;"",IF(LOWER('Capacity summary'!Z24)="x",$BI112*Z112,VALUE('Capacity summary'!Z24)),0),Z112*$BI112),Z112*$BI112),0)</f>
        <v>0</v>
      </c>
      <c r="CD112" s="5">
        <f>IF($BI112&lt;&gt;"",IF('Capacity summary'!$C$14="Yes",IF(COUNTBLANK('Capacity summary'!$H24:$BG24)&lt;52,IF('Capacity summary'!AA24&lt;&gt;"",IF(LOWER('Capacity summary'!AA24)="x",$BI112*AA112,VALUE('Capacity summary'!AA24)),0),AA112*$BI112),AA112*$BI112),0)</f>
        <v>0</v>
      </c>
      <c r="CE112" s="5">
        <f>IF($BI112&lt;&gt;"",IF('Capacity summary'!$C$14="Yes",IF(COUNTBLANK('Capacity summary'!$H24:$BG24)&lt;52,IF('Capacity summary'!AB24&lt;&gt;"",IF(LOWER('Capacity summary'!AB24)="x",$BI112*AB112,VALUE('Capacity summary'!AB24)),0),AB112*$BI112),AB112*$BI112),0)</f>
        <v>0</v>
      </c>
      <c r="CF112" s="5">
        <f>IF($BI112&lt;&gt;"",IF('Capacity summary'!$C$14="Yes",IF(COUNTBLANK('Capacity summary'!$H24:$BG24)&lt;52,IF('Capacity summary'!AC24&lt;&gt;"",IF(LOWER('Capacity summary'!AC24)="x",$BI112*AC112,VALUE('Capacity summary'!AC24)),0),AC112*$BI112),AC112*$BI112),0)</f>
        <v>0</v>
      </c>
      <c r="CG112" s="5">
        <f>IF($BI112&lt;&gt;"",IF('Capacity summary'!$C$14="Yes",IF(COUNTBLANK('Capacity summary'!$H24:$BG24)&lt;52,IF('Capacity summary'!AD24&lt;&gt;"",IF(LOWER('Capacity summary'!AD24)="x",$BI112*AD112,VALUE('Capacity summary'!AD24)),0),AD112*$BI112),AD112*$BI112),0)</f>
        <v>0</v>
      </c>
      <c r="CH112" s="5">
        <f>IF($BI112&lt;&gt;"",IF('Capacity summary'!$C$14="Yes",IF(COUNTBLANK('Capacity summary'!$H24:$BG24)&lt;52,IF('Capacity summary'!AE24&lt;&gt;"",IF(LOWER('Capacity summary'!AE24)="x",$BI112*AE112,VALUE('Capacity summary'!AE24)),0),AE112*$BI112),AE112*$BI112),0)</f>
        <v>0</v>
      </c>
      <c r="CI112" s="5">
        <f>IF($BI112&lt;&gt;"",IF('Capacity summary'!$C$14="Yes",IF(COUNTBLANK('Capacity summary'!$H24:$BG24)&lt;52,IF('Capacity summary'!AF24&lt;&gt;"",IF(LOWER('Capacity summary'!AF24)="x",$BI112*AF112,VALUE('Capacity summary'!AF24)),0),AF112*$BI112),AF112*$BI112),0)</f>
        <v>0</v>
      </c>
      <c r="CJ112" s="5">
        <f>IF($BI112&lt;&gt;"",IF('Capacity summary'!$C$14="Yes",IF(COUNTBLANK('Capacity summary'!$H24:$BG24)&lt;52,IF('Capacity summary'!AG24&lt;&gt;"",IF(LOWER('Capacity summary'!AG24)="x",$BI112*AG112,VALUE('Capacity summary'!AG24)),0),AG112*$BI112),AG112*$BI112),0)</f>
        <v>0</v>
      </c>
      <c r="CK112" s="5">
        <f>IF($BI112&lt;&gt;"",IF('Capacity summary'!$C$14="Yes",IF(COUNTBLANK('Capacity summary'!$H24:$BG24)&lt;52,IF('Capacity summary'!AH24&lt;&gt;"",IF(LOWER('Capacity summary'!AH24)="x",$BI112*AH112,VALUE('Capacity summary'!AH24)),0),AH112*$BI112),AH112*$BI112),0)</f>
        <v>0</v>
      </c>
      <c r="CL112" s="5">
        <f>IF($BI112&lt;&gt;"",IF('Capacity summary'!$C$14="Yes",IF(COUNTBLANK('Capacity summary'!$H24:$BG24)&lt;52,IF('Capacity summary'!AI24&lt;&gt;"",IF(LOWER('Capacity summary'!AI24)="x",$BI112*AI112,VALUE('Capacity summary'!AI24)),0),AI112*$BI112),AI112*$BI112),0)</f>
        <v>0</v>
      </c>
      <c r="CM112" s="5">
        <f>IF($BI112&lt;&gt;"",IF('Capacity summary'!$C$14="Yes",IF(COUNTBLANK('Capacity summary'!$H24:$BG24)&lt;52,IF('Capacity summary'!AJ24&lt;&gt;"",IF(LOWER('Capacity summary'!AJ24)="x",$BI112*AJ112,VALUE('Capacity summary'!AJ24)),0),AJ112*$BI112),AJ112*$BI112),0)</f>
        <v>0</v>
      </c>
      <c r="CN112" s="5">
        <f>IF($BI112&lt;&gt;"",IF('Capacity summary'!$C$14="Yes",IF(COUNTBLANK('Capacity summary'!$H24:$BG24)&lt;52,IF('Capacity summary'!AK24&lt;&gt;"",IF(LOWER('Capacity summary'!AK24)="x",$BI112*AK112,VALUE('Capacity summary'!AK24)),0),AK112*$BI112),AK112*$BI112),0)</f>
        <v>0</v>
      </c>
      <c r="CO112" s="5">
        <f>IF($BI112&lt;&gt;"",IF('Capacity summary'!$C$14="Yes",IF(COUNTBLANK('Capacity summary'!$H24:$BG24)&lt;52,IF('Capacity summary'!AL24&lt;&gt;"",IF(LOWER('Capacity summary'!AL24)="x",$BI112*AL112,VALUE('Capacity summary'!AL24)),0),AL112*$BI112),AL112*$BI112),0)</f>
        <v>0</v>
      </c>
      <c r="CP112" s="5">
        <f>IF($BI112&lt;&gt;"",IF('Capacity summary'!$C$14="Yes",IF(COUNTBLANK('Capacity summary'!$H24:$BG24)&lt;52,IF('Capacity summary'!AM24&lt;&gt;"",IF(LOWER('Capacity summary'!AM24)="x",$BI112*AM112,VALUE('Capacity summary'!AM24)),0),AM112*$BI112),AM112*$BI112),0)</f>
        <v>0</v>
      </c>
      <c r="CQ112" s="5">
        <f>IF($BI112&lt;&gt;"",IF('Capacity summary'!$C$14="Yes",IF(COUNTBLANK('Capacity summary'!$H24:$BG24)&lt;52,IF('Capacity summary'!AN24&lt;&gt;"",IF(LOWER('Capacity summary'!AN24)="x",$BI112*AN112,VALUE('Capacity summary'!AN24)),0),AN112*$BI112),AN112*$BI112),0)</f>
        <v>0</v>
      </c>
      <c r="CR112" s="5">
        <f>IF($BI112&lt;&gt;"",IF('Capacity summary'!$C$14="Yes",IF(COUNTBLANK('Capacity summary'!$H24:$BG24)&lt;52,IF('Capacity summary'!AO24&lt;&gt;"",IF(LOWER('Capacity summary'!AO24)="x",$BI112*AO112,VALUE('Capacity summary'!AO24)),0),AO112*$BI112),AO112*$BI112),0)</f>
        <v>0</v>
      </c>
      <c r="CS112" s="5">
        <f>IF($BI112&lt;&gt;"",IF('Capacity summary'!$C$14="Yes",IF(COUNTBLANK('Capacity summary'!$H24:$BG24)&lt;52,IF('Capacity summary'!AP24&lt;&gt;"",IF(LOWER('Capacity summary'!AP24)="x",$BI112*AP112,VALUE('Capacity summary'!AP24)),0),AP112*$BI112),AP112*$BI112),0)</f>
        <v>0</v>
      </c>
      <c r="CT112" s="5">
        <f>IF($BI112&lt;&gt;"",IF('Capacity summary'!$C$14="Yes",IF(COUNTBLANK('Capacity summary'!$H24:$BG24)&lt;52,IF('Capacity summary'!AQ24&lt;&gt;"",IF(LOWER('Capacity summary'!AQ24)="x",$BI112*AQ112,VALUE('Capacity summary'!AQ24)),0),AQ112*$BI112),AQ112*$BI112),0)</f>
        <v>0</v>
      </c>
      <c r="CU112" s="5">
        <f>IF($BI112&lt;&gt;"",IF('Capacity summary'!$C$14="Yes",IF(COUNTBLANK('Capacity summary'!$H24:$BG24)&lt;52,IF('Capacity summary'!AR24&lt;&gt;"",IF(LOWER('Capacity summary'!AR24)="x",$BI112*AR112,VALUE('Capacity summary'!AR24)),0),AR112*$BI112),AR112*$BI112),0)</f>
        <v>0</v>
      </c>
      <c r="CV112" s="5">
        <f>IF($BI112&lt;&gt;"",IF('Capacity summary'!$C$14="Yes",IF(COUNTBLANK('Capacity summary'!$H24:$BG24)&lt;52,IF('Capacity summary'!AS24&lt;&gt;"",IF(LOWER('Capacity summary'!AS24)="x",$BI112*AS112,VALUE('Capacity summary'!AS24)),0),AS112*$BI112),AS112*$BI112),0)</f>
        <v>0</v>
      </c>
      <c r="CW112" s="5">
        <f>IF($BI112&lt;&gt;"",IF('Capacity summary'!$C$14="Yes",IF(COUNTBLANK('Capacity summary'!$H24:$BG24)&lt;52,IF('Capacity summary'!AT24&lt;&gt;"",IF(LOWER('Capacity summary'!AT24)="x",$BI112*AT112,VALUE('Capacity summary'!AT24)),0),AT112*$BI112),AT112*$BI112),0)</f>
        <v>0</v>
      </c>
      <c r="CX112" s="5">
        <f>IF($BI112&lt;&gt;"",IF('Capacity summary'!$C$14="Yes",IF(COUNTBLANK('Capacity summary'!$H24:$BG24)&lt;52,IF('Capacity summary'!AU24&lt;&gt;"",IF(LOWER('Capacity summary'!AU24)="x",$BI112*AU112,VALUE('Capacity summary'!AU24)),0),AU112*$BI112),AU112*$BI112),0)</f>
        <v>0</v>
      </c>
      <c r="CY112" s="5">
        <f>IF($BI112&lt;&gt;"",IF('Capacity summary'!$C$14="Yes",IF(COUNTBLANK('Capacity summary'!$H24:$BG24)&lt;52,IF('Capacity summary'!AV24&lt;&gt;"",IF(LOWER('Capacity summary'!AV24)="x",$BI112*AV112,VALUE('Capacity summary'!AV24)),0),AV112*$BI112),AV112*$BI112),0)</f>
        <v>0</v>
      </c>
      <c r="CZ112" s="5">
        <f>IF($BI112&lt;&gt;"",IF('Capacity summary'!$C$14="Yes",IF(COUNTBLANK('Capacity summary'!$H24:$BG24)&lt;52,IF('Capacity summary'!AW24&lt;&gt;"",IF(LOWER('Capacity summary'!AW24)="x",$BI112*AW112,VALUE('Capacity summary'!AW24)),0),AW112*$BI112),AW112*$BI112),0)</f>
        <v>0</v>
      </c>
      <c r="DA112" s="5">
        <f>IF($BI112&lt;&gt;"",IF('Capacity summary'!$C$14="Yes",IF(COUNTBLANK('Capacity summary'!$H24:$BG24)&lt;52,IF('Capacity summary'!AX24&lt;&gt;"",IF(LOWER('Capacity summary'!AX24)="x",$BI112*AX112,VALUE('Capacity summary'!AX24)),0),AX112*$BI112),AX112*$BI112),0)</f>
        <v>0</v>
      </c>
      <c r="DB112" s="5">
        <f>IF($BI112&lt;&gt;"",IF('Capacity summary'!$C$14="Yes",IF(COUNTBLANK('Capacity summary'!$H24:$BG24)&lt;52,IF('Capacity summary'!AY24&lt;&gt;"",IF(LOWER('Capacity summary'!AY24)="x",$BI112*AY112,VALUE('Capacity summary'!AY24)),0),AY112*$BI112),AY112*$BI112),0)</f>
        <v>0</v>
      </c>
      <c r="DC112" s="5">
        <f>IF($BI112&lt;&gt;"",IF('Capacity summary'!$C$14="Yes",IF(COUNTBLANK('Capacity summary'!$H24:$BG24)&lt;52,IF('Capacity summary'!AZ24&lt;&gt;"",IF(LOWER('Capacity summary'!AZ24)="x",$BI112*AZ112,VALUE('Capacity summary'!AZ24)),0),AZ112*$BI112),AZ112*$BI112),0)</f>
        <v>0</v>
      </c>
      <c r="DD112" s="5">
        <f>IF($BI112&lt;&gt;"",IF('Capacity summary'!$C$14="Yes",IF(COUNTBLANK('Capacity summary'!$H24:$BG24)&lt;52,IF('Capacity summary'!BA24&lt;&gt;"",IF(LOWER('Capacity summary'!BA24)="x",$BI112*BA112,VALUE('Capacity summary'!BA24)),0),BA112*$BI112),BA112*$BI112),0)</f>
        <v>0</v>
      </c>
      <c r="DE112" s="5">
        <f>IF($BI112&lt;&gt;"",IF('Capacity summary'!$C$14="Yes",IF(COUNTBLANK('Capacity summary'!$H24:$BG24)&lt;52,IF('Capacity summary'!BB24&lt;&gt;"",IF(LOWER('Capacity summary'!BB24)="x",$BI112*BB112,VALUE('Capacity summary'!BB24)),0),BB112*$BI112),BB112*$BI112),0)</f>
        <v>0</v>
      </c>
      <c r="DF112" s="5">
        <f>IF($BI112&lt;&gt;"",IF('Capacity summary'!$C$14="Yes",IF(COUNTBLANK('Capacity summary'!$H24:$BG24)&lt;52,IF('Capacity summary'!BC24&lt;&gt;"",IF(LOWER('Capacity summary'!BC24)="x",$BI112*BC112,VALUE('Capacity summary'!BC24)),0),BC112*$BI112),BC112*$BI112),0)</f>
        <v>0</v>
      </c>
      <c r="DG112" s="5">
        <f>IF($BI112&lt;&gt;"",IF('Capacity summary'!$C$14="Yes",IF(COUNTBLANK('Capacity summary'!$H24:$BG24)&lt;52,IF('Capacity summary'!BD24&lt;&gt;"",IF(LOWER('Capacity summary'!BD24)="x",$BI112*BD112,VALUE('Capacity summary'!BD24)),0),BD112*$BI112),BD112*$BI112),0)</f>
        <v>0</v>
      </c>
      <c r="DH112" s="5">
        <f>IF($BI112&lt;&gt;"",IF('Capacity summary'!$C$14="Yes",IF(COUNTBLANK('Capacity summary'!$H24:$BG24)&lt;52,IF('Capacity summary'!BE24&lt;&gt;"",IF(LOWER('Capacity summary'!BE24)="x",$BI112*BE112,VALUE('Capacity summary'!BE24)),0),BE112*$BI112),BE112*$BI112),0)</f>
        <v>0</v>
      </c>
      <c r="DI112" s="5">
        <f>IF($BI112&lt;&gt;"",IF('Capacity summary'!$C$14="Yes",IF(COUNTBLANK('Capacity summary'!$H24:$BG24)&lt;52,IF('Capacity summary'!BF24&lt;&gt;"",IF(LOWER('Capacity summary'!BF24)="x",$BI112*BF112,VALUE('Capacity summary'!BF24)),0),BF112*$BI112),BF112*$BI112),0)</f>
        <v>0</v>
      </c>
      <c r="DJ112" s="5">
        <f>IF($BI112&lt;&gt;"",IF('Capacity summary'!$C$14="Yes",IF(COUNTBLANK('Capacity summary'!$H24:$BG24)&lt;52,IF('Capacity summary'!BG24&lt;&gt;"",IF(LOWER('Capacity summary'!BG24)="x",$BI112*BG112,VALUE('Capacity summary'!BG24)),0),BG112*$BI112),BG112*$BI112),0)</f>
        <v>0</v>
      </c>
      <c r="DK112" s="5">
        <f t="shared" ref="DK112" si="6">SUM(DK113:DK212)</f>
        <v>0</v>
      </c>
    </row>
    <row r="113" spans="3:115" x14ac:dyDescent="0.25">
      <c r="C113" s="67" t="str">
        <f>ROW(A2)&amp;". "&amp;Capacity!N18</f>
        <v xml:space="preserve">2. </v>
      </c>
      <c r="D113" s="67">
        <f>'Capacity setup'!C119</f>
        <v>0</v>
      </c>
      <c r="E113" s="67">
        <f>'Capacity setup'!D119</f>
        <v>0</v>
      </c>
      <c r="F113" s="67">
        <f>'Capacity setup'!E119</f>
        <v>0</v>
      </c>
      <c r="H113" s="67">
        <f ca="1">IF(AND(SUMIF(Capacity_Resource,$D113,'Critical resources (hide)'!U$6:U$105)+SUMIF(Capacity_Resource,$E113,'Critical resources (hide)'!U$6:U$105)+SUMIF(Capacity_Resource,$F113,'Critical resources (hide)'!U$6:U$105)&gt;0,$E$1=2),0,1)</f>
        <v>1</v>
      </c>
      <c r="I113" s="67">
        <f ca="1">IF(AND(SUMIF(Capacity_Resource,$D113,'Critical resources (hide)'!V$6:V$105)+SUMIF(Capacity_Resource,$E113,'Critical resources (hide)'!V$6:V$105)+SUMIF(Capacity_Resource,$F113,'Critical resources (hide)'!V$6:V$105)&gt;0,$E$1=2),0,1)</f>
        <v>1</v>
      </c>
      <c r="J113" s="67">
        <f ca="1">IF(AND(SUMIF(Capacity_Resource,$D113,'Critical resources (hide)'!W$6:W$105)+SUMIF(Capacity_Resource,$E113,'Critical resources (hide)'!W$6:W$105)+SUMIF(Capacity_Resource,$F113,'Critical resources (hide)'!W$6:W$105)&gt;0,$E$1=2),0,1)</f>
        <v>1</v>
      </c>
      <c r="K113" s="67">
        <f ca="1">IF(AND(SUMIF(Capacity_Resource,$D113,'Critical resources (hide)'!X$6:X$105)+SUMIF(Capacity_Resource,$E113,'Critical resources (hide)'!X$6:X$105)+SUMIF(Capacity_Resource,$F113,'Critical resources (hide)'!X$6:X$105)&gt;0,$E$1=2),0,1)</f>
        <v>1</v>
      </c>
      <c r="L113" s="67">
        <f ca="1">IF(AND(SUMIF(Capacity_Resource,$D113,'Critical resources (hide)'!Y$6:Y$105)+SUMIF(Capacity_Resource,$E113,'Critical resources (hide)'!Y$6:Y$105)+SUMIF(Capacity_Resource,$F113,'Critical resources (hide)'!Y$6:Y$105)&gt;0,$E$1=2),0,1)</f>
        <v>1</v>
      </c>
      <c r="M113" s="67">
        <f ca="1">IF(AND(SUMIF(Capacity_Resource,$D113,'Critical resources (hide)'!Z$6:Z$105)+SUMIF(Capacity_Resource,$E113,'Critical resources (hide)'!Z$6:Z$105)+SUMIF(Capacity_Resource,$F113,'Critical resources (hide)'!Z$6:Z$105)&gt;0,$E$1=2),0,1)</f>
        <v>1</v>
      </c>
      <c r="N113" s="67">
        <f ca="1">IF(AND(SUMIF(Capacity_Resource,$D113,'Critical resources (hide)'!AA$6:AA$105)+SUMIF(Capacity_Resource,$E113,'Critical resources (hide)'!AA$6:AA$105)+SUMIF(Capacity_Resource,$F113,'Critical resources (hide)'!AA$6:AA$105)&gt;0,$E$1=2),0,1)</f>
        <v>1</v>
      </c>
      <c r="O113" s="67">
        <f ca="1">IF(AND(SUMIF(Capacity_Resource,$D113,'Critical resources (hide)'!AB$6:AB$105)+SUMIF(Capacity_Resource,$E113,'Critical resources (hide)'!AB$6:AB$105)+SUMIF(Capacity_Resource,$F113,'Critical resources (hide)'!AB$6:AB$105)&gt;0,$E$1=2),0,1)</f>
        <v>1</v>
      </c>
      <c r="P113" s="67">
        <f ca="1">IF(AND(SUMIF(Capacity_Resource,$D113,'Critical resources (hide)'!AC$6:AC$105)+SUMIF(Capacity_Resource,$E113,'Critical resources (hide)'!AC$6:AC$105)+SUMIF(Capacity_Resource,$F113,'Critical resources (hide)'!AC$6:AC$105)&gt;0,$E$1=2),0,1)</f>
        <v>1</v>
      </c>
      <c r="Q113" s="67">
        <f ca="1">IF(AND(SUMIF(Capacity_Resource,$D113,'Critical resources (hide)'!AD$6:AD$105)+SUMIF(Capacity_Resource,$E113,'Critical resources (hide)'!AD$6:AD$105)+SUMIF(Capacity_Resource,$F113,'Critical resources (hide)'!AD$6:AD$105)&gt;0,$E$1=2),0,1)</f>
        <v>1</v>
      </c>
      <c r="R113" s="67">
        <f ca="1">IF(AND(SUMIF(Capacity_Resource,$D113,'Critical resources (hide)'!AE$6:AE$105)+SUMIF(Capacity_Resource,$E113,'Critical resources (hide)'!AE$6:AE$105)+SUMIF(Capacity_Resource,$F113,'Critical resources (hide)'!AE$6:AE$105)&gt;0,$E$1=2),0,1)</f>
        <v>1</v>
      </c>
      <c r="S113" s="67">
        <f ca="1">IF(AND(SUMIF(Capacity_Resource,$D113,'Critical resources (hide)'!AF$6:AF$105)+SUMIF(Capacity_Resource,$E113,'Critical resources (hide)'!AF$6:AF$105)+SUMIF(Capacity_Resource,$F113,'Critical resources (hide)'!AF$6:AF$105)&gt;0,$E$1=2),0,1)</f>
        <v>1</v>
      </c>
      <c r="T113" s="67">
        <f ca="1">IF(AND(SUMIF(Capacity_Resource,$D113,'Critical resources (hide)'!AG$6:AG$105)+SUMIF(Capacity_Resource,$E113,'Critical resources (hide)'!AG$6:AG$105)+SUMIF(Capacity_Resource,$F113,'Critical resources (hide)'!AG$6:AG$105)&gt;0,$E$1=2),0,1)</f>
        <v>1</v>
      </c>
      <c r="U113" s="67">
        <f ca="1">IF(AND(SUMIF(Capacity_Resource,$D113,'Critical resources (hide)'!AH$6:AH$105)+SUMIF(Capacity_Resource,$E113,'Critical resources (hide)'!AH$6:AH$105)+SUMIF(Capacity_Resource,$F113,'Critical resources (hide)'!AH$6:AH$105)&gt;0,$E$1=2),0,1)</f>
        <v>1</v>
      </c>
      <c r="V113" s="67">
        <f ca="1">IF(AND(SUMIF(Capacity_Resource,$D113,'Critical resources (hide)'!AI$6:AI$105)+SUMIF(Capacity_Resource,$E113,'Critical resources (hide)'!AI$6:AI$105)+SUMIF(Capacity_Resource,$F113,'Critical resources (hide)'!AI$6:AI$105)&gt;0,$E$1=2),0,1)</f>
        <v>1</v>
      </c>
      <c r="W113" s="67">
        <f ca="1">IF(AND(SUMIF(Capacity_Resource,$D113,'Critical resources (hide)'!AJ$6:AJ$105)+SUMIF(Capacity_Resource,$E113,'Critical resources (hide)'!AJ$6:AJ$105)+SUMIF(Capacity_Resource,$F113,'Critical resources (hide)'!AJ$6:AJ$105)&gt;0,$E$1=2),0,1)</f>
        <v>1</v>
      </c>
      <c r="X113" s="67">
        <f ca="1">IF(AND(SUMIF(Capacity_Resource,$D113,'Critical resources (hide)'!AK$6:AK$105)+SUMIF(Capacity_Resource,$E113,'Critical resources (hide)'!AK$6:AK$105)+SUMIF(Capacity_Resource,$F113,'Critical resources (hide)'!AK$6:AK$105)&gt;0,$E$1=2),0,1)</f>
        <v>1</v>
      </c>
      <c r="Y113" s="67">
        <f ca="1">IF(AND(SUMIF(Capacity_Resource,$D113,'Critical resources (hide)'!AL$6:AL$105)+SUMIF(Capacity_Resource,$E113,'Critical resources (hide)'!AL$6:AL$105)+SUMIF(Capacity_Resource,$F113,'Critical resources (hide)'!AL$6:AL$105)&gt;0,$E$1=2),0,1)</f>
        <v>1</v>
      </c>
      <c r="Z113" s="67">
        <f ca="1">IF(AND(SUMIF(Capacity_Resource,$D113,'Critical resources (hide)'!AM$6:AM$105)+SUMIF(Capacity_Resource,$E113,'Critical resources (hide)'!AM$6:AM$105)+SUMIF(Capacity_Resource,$F113,'Critical resources (hide)'!AM$6:AM$105)&gt;0,$E$1=2),0,1)</f>
        <v>1</v>
      </c>
      <c r="AA113" s="67">
        <f ca="1">IF(AND(SUMIF(Capacity_Resource,$D113,'Critical resources (hide)'!AN$6:AN$105)+SUMIF(Capacity_Resource,$E113,'Critical resources (hide)'!AN$6:AN$105)+SUMIF(Capacity_Resource,$F113,'Critical resources (hide)'!AN$6:AN$105)&gt;0,$E$1=2),0,1)</f>
        <v>1</v>
      </c>
      <c r="AB113" s="67">
        <f ca="1">IF(AND(SUMIF(Capacity_Resource,$D113,'Critical resources (hide)'!AO$6:AO$105)+SUMIF(Capacity_Resource,$E113,'Critical resources (hide)'!AO$6:AO$105)+SUMIF(Capacity_Resource,$F113,'Critical resources (hide)'!AO$6:AO$105)&gt;0,$E$1=2),0,1)</f>
        <v>1</v>
      </c>
      <c r="AC113" s="67">
        <f ca="1">IF(AND(SUMIF(Capacity_Resource,$D113,'Critical resources (hide)'!AP$6:AP$105)+SUMIF(Capacity_Resource,$E113,'Critical resources (hide)'!AP$6:AP$105)+SUMIF(Capacity_Resource,$F113,'Critical resources (hide)'!AP$6:AP$105)&gt;0,$E$1=2),0,1)</f>
        <v>1</v>
      </c>
      <c r="AD113" s="67">
        <f ca="1">IF(AND(SUMIF(Capacity_Resource,$D113,'Critical resources (hide)'!AQ$6:AQ$105)+SUMIF(Capacity_Resource,$E113,'Critical resources (hide)'!AQ$6:AQ$105)+SUMIF(Capacity_Resource,$F113,'Critical resources (hide)'!AQ$6:AQ$105)&gt;0,$E$1=2),0,1)</f>
        <v>1</v>
      </c>
      <c r="AE113" s="67">
        <f ca="1">IF(AND(SUMIF(Capacity_Resource,$D113,'Critical resources (hide)'!AR$6:AR$105)+SUMIF(Capacity_Resource,$E113,'Critical resources (hide)'!AR$6:AR$105)+SUMIF(Capacity_Resource,$F113,'Critical resources (hide)'!AR$6:AR$105)&gt;0,$E$1=2),0,1)</f>
        <v>1</v>
      </c>
      <c r="AF113" s="67">
        <f ca="1">IF(AND(SUMIF(Capacity_Resource,$D113,'Critical resources (hide)'!AS$6:AS$105)+SUMIF(Capacity_Resource,$E113,'Critical resources (hide)'!AS$6:AS$105)+SUMIF(Capacity_Resource,$F113,'Critical resources (hide)'!AS$6:AS$105)&gt;0,$E$1=2),0,1)</f>
        <v>1</v>
      </c>
      <c r="AG113" s="67">
        <f ca="1">IF(AND(SUMIF(Capacity_Resource,$D113,'Critical resources (hide)'!AT$6:AT$105)+SUMIF(Capacity_Resource,$E113,'Critical resources (hide)'!AT$6:AT$105)+SUMIF(Capacity_Resource,$F113,'Critical resources (hide)'!AT$6:AT$105)&gt;0,$E$1=2),0,1)</f>
        <v>1</v>
      </c>
      <c r="AH113" s="67">
        <f ca="1">IF(AND(SUMIF(Capacity_Resource,$D113,'Critical resources (hide)'!AU$6:AU$105)+SUMIF(Capacity_Resource,$E113,'Critical resources (hide)'!AU$6:AU$105)+SUMIF(Capacity_Resource,$F113,'Critical resources (hide)'!AU$6:AU$105)&gt;0,$E$1=2),0,1)</f>
        <v>1</v>
      </c>
      <c r="AI113" s="67">
        <f ca="1">IF(AND(SUMIF(Capacity_Resource,$D113,'Critical resources (hide)'!AV$6:AV$105)+SUMIF(Capacity_Resource,$E113,'Critical resources (hide)'!AV$6:AV$105)+SUMIF(Capacity_Resource,$F113,'Critical resources (hide)'!AV$6:AV$105)&gt;0,$E$1=2),0,1)</f>
        <v>1</v>
      </c>
      <c r="AJ113" s="67">
        <f ca="1">IF(AND(SUMIF(Capacity_Resource,$D113,'Critical resources (hide)'!AW$6:AW$105)+SUMIF(Capacity_Resource,$E113,'Critical resources (hide)'!AW$6:AW$105)+SUMIF(Capacity_Resource,$F113,'Critical resources (hide)'!AW$6:AW$105)&gt;0,$E$1=2),0,1)</f>
        <v>1</v>
      </c>
      <c r="AK113" s="67">
        <f ca="1">IF(AND(SUMIF(Capacity_Resource,$D113,'Critical resources (hide)'!AX$6:AX$105)+SUMIF(Capacity_Resource,$E113,'Critical resources (hide)'!AX$6:AX$105)+SUMIF(Capacity_Resource,$F113,'Critical resources (hide)'!AX$6:AX$105)&gt;0,$E$1=2),0,1)</f>
        <v>1</v>
      </c>
      <c r="AL113" s="67">
        <f ca="1">IF(AND(SUMIF(Capacity_Resource,$D113,'Critical resources (hide)'!AY$6:AY$105)+SUMIF(Capacity_Resource,$E113,'Critical resources (hide)'!AY$6:AY$105)+SUMIF(Capacity_Resource,$F113,'Critical resources (hide)'!AY$6:AY$105)&gt;0,$E$1=2),0,1)</f>
        <v>1</v>
      </c>
      <c r="AM113" s="67">
        <f ca="1">IF(AND(SUMIF(Capacity_Resource,$D113,'Critical resources (hide)'!AZ$6:AZ$105)+SUMIF(Capacity_Resource,$E113,'Critical resources (hide)'!AZ$6:AZ$105)+SUMIF(Capacity_Resource,$F113,'Critical resources (hide)'!AZ$6:AZ$105)&gt;0,$E$1=2),0,1)</f>
        <v>1</v>
      </c>
      <c r="AN113" s="67">
        <f ca="1">IF(AND(SUMIF(Capacity_Resource,$D113,'Critical resources (hide)'!BA$6:BA$105)+SUMIF(Capacity_Resource,$E113,'Critical resources (hide)'!BA$6:BA$105)+SUMIF(Capacity_Resource,$F113,'Critical resources (hide)'!BA$6:BA$105)&gt;0,$E$1=2),0,1)</f>
        <v>1</v>
      </c>
      <c r="AO113" s="67">
        <f ca="1">IF(AND(SUMIF(Capacity_Resource,$D113,'Critical resources (hide)'!BB$6:BB$105)+SUMIF(Capacity_Resource,$E113,'Critical resources (hide)'!BB$6:BB$105)+SUMIF(Capacity_Resource,$F113,'Critical resources (hide)'!BB$6:BB$105)&gt;0,$E$1=2),0,1)</f>
        <v>1</v>
      </c>
      <c r="AP113" s="67">
        <f ca="1">IF(AND(SUMIF(Capacity_Resource,$D113,'Critical resources (hide)'!BC$6:BC$105)+SUMIF(Capacity_Resource,$E113,'Critical resources (hide)'!BC$6:BC$105)+SUMIF(Capacity_Resource,$F113,'Critical resources (hide)'!BC$6:BC$105)&gt;0,$E$1=2),0,1)</f>
        <v>1</v>
      </c>
      <c r="AQ113" s="67">
        <f ca="1">IF(AND(SUMIF(Capacity_Resource,$D113,'Critical resources (hide)'!BD$6:BD$105)+SUMIF(Capacity_Resource,$E113,'Critical resources (hide)'!BD$6:BD$105)+SUMIF(Capacity_Resource,$F113,'Critical resources (hide)'!BD$6:BD$105)&gt;0,$E$1=2),0,1)</f>
        <v>1</v>
      </c>
      <c r="AR113" s="67">
        <f ca="1">IF(AND(SUMIF(Capacity_Resource,$D113,'Critical resources (hide)'!BE$6:BE$105)+SUMIF(Capacity_Resource,$E113,'Critical resources (hide)'!BE$6:BE$105)+SUMIF(Capacity_Resource,$F113,'Critical resources (hide)'!BE$6:BE$105)&gt;0,$E$1=2),0,1)</f>
        <v>1</v>
      </c>
      <c r="AS113" s="67">
        <f ca="1">IF(AND(SUMIF(Capacity_Resource,$D113,'Critical resources (hide)'!BF$6:BF$105)+SUMIF(Capacity_Resource,$E113,'Critical resources (hide)'!BF$6:BF$105)+SUMIF(Capacity_Resource,$F113,'Critical resources (hide)'!BF$6:BF$105)&gt;0,$E$1=2),0,1)</f>
        <v>1</v>
      </c>
      <c r="AT113" s="67">
        <f ca="1">IF(AND(SUMIF(Capacity_Resource,$D113,'Critical resources (hide)'!BG$6:BG$105)+SUMIF(Capacity_Resource,$E113,'Critical resources (hide)'!BG$6:BG$105)+SUMIF(Capacity_Resource,$F113,'Critical resources (hide)'!BG$6:BG$105)&gt;0,$E$1=2),0,1)</f>
        <v>1</v>
      </c>
      <c r="AU113" s="67">
        <f ca="1">IF(AND(SUMIF(Capacity_Resource,$D113,'Critical resources (hide)'!BH$6:BH$105)+SUMIF(Capacity_Resource,$E113,'Critical resources (hide)'!BH$6:BH$105)+SUMIF(Capacity_Resource,$F113,'Critical resources (hide)'!BH$6:BH$105)&gt;0,$E$1=2),0,1)</f>
        <v>1</v>
      </c>
      <c r="AV113" s="67">
        <f ca="1">IF(AND(SUMIF(Capacity_Resource,$D113,'Critical resources (hide)'!BI$6:BI$105)+SUMIF(Capacity_Resource,$E113,'Critical resources (hide)'!BI$6:BI$105)+SUMIF(Capacity_Resource,$F113,'Critical resources (hide)'!BI$6:BI$105)&gt;0,$E$1=2),0,1)</f>
        <v>1</v>
      </c>
      <c r="AW113" s="67">
        <f ca="1">IF(AND(SUMIF(Capacity_Resource,$D113,'Critical resources (hide)'!BJ$6:BJ$105)+SUMIF(Capacity_Resource,$E113,'Critical resources (hide)'!BJ$6:BJ$105)+SUMIF(Capacity_Resource,$F113,'Critical resources (hide)'!BJ$6:BJ$105)&gt;0,$E$1=2),0,1)</f>
        <v>1</v>
      </c>
      <c r="AX113" s="67">
        <f ca="1">IF(AND(SUMIF(Capacity_Resource,$D113,'Critical resources (hide)'!BK$6:BK$105)+SUMIF(Capacity_Resource,$E113,'Critical resources (hide)'!BK$6:BK$105)+SUMIF(Capacity_Resource,$F113,'Critical resources (hide)'!BK$6:BK$105)&gt;0,$E$1=2),0,1)</f>
        <v>1</v>
      </c>
      <c r="AY113" s="67">
        <f ca="1">IF(AND(SUMIF(Capacity_Resource,$D113,'Critical resources (hide)'!BL$6:BL$105)+SUMIF(Capacity_Resource,$E113,'Critical resources (hide)'!BL$6:BL$105)+SUMIF(Capacity_Resource,$F113,'Critical resources (hide)'!BL$6:BL$105)&gt;0,$E$1=2),0,1)</f>
        <v>1</v>
      </c>
      <c r="AZ113" s="67">
        <f ca="1">IF(AND(SUMIF(Capacity_Resource,$D113,'Critical resources (hide)'!BM$6:BM$105)+SUMIF(Capacity_Resource,$E113,'Critical resources (hide)'!BM$6:BM$105)+SUMIF(Capacity_Resource,$F113,'Critical resources (hide)'!BM$6:BM$105)&gt;0,$E$1=2),0,1)</f>
        <v>1</v>
      </c>
      <c r="BA113" s="67">
        <f ca="1">IF(AND(SUMIF(Capacity_Resource,$D113,'Critical resources (hide)'!BN$6:BN$105)+SUMIF(Capacity_Resource,$E113,'Critical resources (hide)'!BN$6:BN$105)+SUMIF(Capacity_Resource,$F113,'Critical resources (hide)'!BN$6:BN$105)&gt;0,$E$1=2),0,1)</f>
        <v>1</v>
      </c>
      <c r="BB113" s="67">
        <f ca="1">IF(AND(SUMIF(Capacity_Resource,$D113,'Critical resources (hide)'!BO$6:BO$105)+SUMIF(Capacity_Resource,$E113,'Critical resources (hide)'!BO$6:BO$105)+SUMIF(Capacity_Resource,$F113,'Critical resources (hide)'!BO$6:BO$105)&gt;0,$E$1=2),0,1)</f>
        <v>1</v>
      </c>
      <c r="BC113" s="67">
        <f ca="1">IF(AND(SUMIF(Capacity_Resource,$D113,'Critical resources (hide)'!BP$6:BP$105)+SUMIF(Capacity_Resource,$E113,'Critical resources (hide)'!BP$6:BP$105)+SUMIF(Capacity_Resource,$F113,'Critical resources (hide)'!BP$6:BP$105)&gt;0,$E$1=2),0,1)</f>
        <v>1</v>
      </c>
      <c r="BD113" s="67">
        <f ca="1">IF(AND(SUMIF(Capacity_Resource,$D113,'Critical resources (hide)'!BQ$6:BQ$105)+SUMIF(Capacity_Resource,$E113,'Critical resources (hide)'!BQ$6:BQ$105)+SUMIF(Capacity_Resource,$F113,'Critical resources (hide)'!BQ$6:BQ$105)&gt;0,$E$1=2),0,1)</f>
        <v>1</v>
      </c>
      <c r="BE113" s="67">
        <f ca="1">IF(AND(SUMIF(Capacity_Resource,$D113,'Critical resources (hide)'!BR$6:BR$105)+SUMIF(Capacity_Resource,$E113,'Critical resources (hide)'!BR$6:BR$105)+SUMIF(Capacity_Resource,$F113,'Critical resources (hide)'!BR$6:BR$105)&gt;0,$E$1=2),0,1)</f>
        <v>1</v>
      </c>
      <c r="BF113" s="67">
        <f ca="1">IF(AND(SUMIF(Capacity_Resource,$D113,'Critical resources (hide)'!BS$6:BS$105)+SUMIF(Capacity_Resource,$E113,'Critical resources (hide)'!BS$6:BS$105)+SUMIF(Capacity_Resource,$F113,'Critical resources (hide)'!BS$6:BS$105)&gt;0,$E$1=2),0,1)</f>
        <v>1</v>
      </c>
      <c r="BG113" s="67">
        <f ca="1">IF(AND(SUMIF(Capacity_Resource,$D113,'Critical resources (hide)'!BT$6:BT$105)+SUMIF(Capacity_Resource,$E113,'Critical resources (hide)'!BT$6:BT$105)+SUMIF(Capacity_Resource,$F113,'Critical resources (hide)'!BT$6:BT$105)&gt;0,$E$1=2),0,1)</f>
        <v>1</v>
      </c>
      <c r="BH113" s="67">
        <f>IF(ROW(A2)&lt;=Capacity!$M$16,IF('Capacity summary'!$C$14="No",SUM(H113:BG113),'Capacity summary'!$E25),0)</f>
        <v>0</v>
      </c>
      <c r="BI113" s="67" t="str">
        <f>IF(BH113&gt;0,IF(BH113&lt;Capacity!Q18,Capacity!R18,Capacity!T18/'Capacity calculation (hide)'!BH113),"")</f>
        <v/>
      </c>
      <c r="BJ113" s="5"/>
      <c r="BK113" s="5">
        <f>IF($BI113&lt;&gt;"",IF('Capacity summary'!$C$14="Yes",IF(COUNTBLANK('Capacity summary'!$H25:$BG25)&lt;52,IF('Capacity summary'!H25&lt;&gt;"",IF(LOWER('Capacity summary'!H25)="x",$BI113*H113,VALUE('Capacity summary'!H25)),0),H113*$BI113),H113*$BI113),0)</f>
        <v>0</v>
      </c>
      <c r="BL113" s="5">
        <f>IF($BI113&lt;&gt;"",IF('Capacity summary'!$C$14="Yes",IF(COUNTBLANK('Capacity summary'!$H25:$BG25)&lt;52,IF('Capacity summary'!I25&lt;&gt;"",IF(LOWER('Capacity summary'!I25)="x",$BI113*I113,VALUE('Capacity summary'!I25)),0),I113*$BI113),I113*$BI113),0)</f>
        <v>0</v>
      </c>
      <c r="BM113" s="5">
        <f>IF($BI113&lt;&gt;"",IF('Capacity summary'!$C$14="Yes",IF(COUNTBLANK('Capacity summary'!$H25:$BG25)&lt;52,IF('Capacity summary'!J25&lt;&gt;"",IF(LOWER('Capacity summary'!J25)="x",$BI113*J113,VALUE('Capacity summary'!J25)),0),J113*$BI113),J113*$BI113),0)</f>
        <v>0</v>
      </c>
      <c r="BN113" s="5">
        <f>IF($BI113&lt;&gt;"",IF('Capacity summary'!$C$14="Yes",IF(COUNTBLANK('Capacity summary'!$H25:$BG25)&lt;52,IF('Capacity summary'!K25&lt;&gt;"",IF(LOWER('Capacity summary'!K25)="x",$BI113*K113,VALUE('Capacity summary'!K25)),0),K113*$BI113),K113*$BI113),0)</f>
        <v>0</v>
      </c>
      <c r="BO113" s="5">
        <f>IF($BI113&lt;&gt;"",IF('Capacity summary'!$C$14="Yes",IF(COUNTBLANK('Capacity summary'!$H25:$BG25)&lt;52,IF('Capacity summary'!L25&lt;&gt;"",IF(LOWER('Capacity summary'!L25)="x",$BI113*L113,VALUE('Capacity summary'!L25)),0),L113*$BI113),L113*$BI113),0)</f>
        <v>0</v>
      </c>
      <c r="BP113" s="5">
        <f>IF($BI113&lt;&gt;"",IF('Capacity summary'!$C$14="Yes",IF(COUNTBLANK('Capacity summary'!$H25:$BG25)&lt;52,IF('Capacity summary'!M25&lt;&gt;"",IF(LOWER('Capacity summary'!M25)="x",$BI113*M113,VALUE('Capacity summary'!M25)),0),M113*$BI113),M113*$BI113),0)</f>
        <v>0</v>
      </c>
      <c r="BQ113" s="5">
        <f>IF($BI113&lt;&gt;"",IF('Capacity summary'!$C$14="Yes",IF(COUNTBLANK('Capacity summary'!$H25:$BG25)&lt;52,IF('Capacity summary'!N25&lt;&gt;"",IF(LOWER('Capacity summary'!N25)="x",$BI113*N113,VALUE('Capacity summary'!N25)),0),N113*$BI113),N113*$BI113),0)</f>
        <v>0</v>
      </c>
      <c r="BR113" s="5">
        <f>IF($BI113&lt;&gt;"",IF('Capacity summary'!$C$14="Yes",IF(COUNTBLANK('Capacity summary'!$H25:$BG25)&lt;52,IF('Capacity summary'!O25&lt;&gt;"",IF(LOWER('Capacity summary'!O25)="x",$BI113*O113,VALUE('Capacity summary'!O25)),0),O113*$BI113),O113*$BI113),0)</f>
        <v>0</v>
      </c>
      <c r="BS113" s="5">
        <f>IF($BI113&lt;&gt;"",IF('Capacity summary'!$C$14="Yes",IF(COUNTBLANK('Capacity summary'!$H25:$BG25)&lt;52,IF('Capacity summary'!P25&lt;&gt;"",IF(LOWER('Capacity summary'!P25)="x",$BI113*P113,VALUE('Capacity summary'!P25)),0),P113*$BI113),P113*$BI113),0)</f>
        <v>0</v>
      </c>
      <c r="BT113" s="5">
        <f>IF($BI113&lt;&gt;"",IF('Capacity summary'!$C$14="Yes",IF(COUNTBLANK('Capacity summary'!$H25:$BG25)&lt;52,IF('Capacity summary'!Q25&lt;&gt;"",IF(LOWER('Capacity summary'!Q25)="x",$BI113*Q113,VALUE('Capacity summary'!Q25)),0),Q113*$BI113),Q113*$BI113),0)</f>
        <v>0</v>
      </c>
      <c r="BU113" s="5">
        <f>IF($BI113&lt;&gt;"",IF('Capacity summary'!$C$14="Yes",IF(COUNTBLANK('Capacity summary'!$H25:$BG25)&lt;52,IF('Capacity summary'!R25&lt;&gt;"",IF(LOWER('Capacity summary'!R25)="x",$BI113*R113,VALUE('Capacity summary'!R25)),0),R113*$BI113),R113*$BI113),0)</f>
        <v>0</v>
      </c>
      <c r="BV113" s="5">
        <f>IF($BI113&lt;&gt;"",IF('Capacity summary'!$C$14="Yes",IF(COUNTBLANK('Capacity summary'!$H25:$BG25)&lt;52,IF('Capacity summary'!S25&lt;&gt;"",IF(LOWER('Capacity summary'!S25)="x",$BI113*S113,VALUE('Capacity summary'!S25)),0),S113*$BI113),S113*$BI113),0)</f>
        <v>0</v>
      </c>
      <c r="BW113" s="5">
        <f>IF($BI113&lt;&gt;"",IF('Capacity summary'!$C$14="Yes",IF(COUNTBLANK('Capacity summary'!$H25:$BG25)&lt;52,IF('Capacity summary'!T25&lt;&gt;"",IF(LOWER('Capacity summary'!T25)="x",$BI113*T113,VALUE('Capacity summary'!T25)),0),T113*$BI113),T113*$BI113),0)</f>
        <v>0</v>
      </c>
      <c r="BX113" s="5">
        <f>IF($BI113&lt;&gt;"",IF('Capacity summary'!$C$14="Yes",IF(COUNTBLANK('Capacity summary'!$H25:$BG25)&lt;52,IF('Capacity summary'!U25&lt;&gt;"",IF(LOWER('Capacity summary'!U25)="x",$BI113*U113,VALUE('Capacity summary'!U25)),0),U113*$BI113),U113*$BI113),0)</f>
        <v>0</v>
      </c>
      <c r="BY113" s="5">
        <f>IF($BI113&lt;&gt;"",IF('Capacity summary'!$C$14="Yes",IF(COUNTBLANK('Capacity summary'!$H25:$BG25)&lt;52,IF('Capacity summary'!V25&lt;&gt;"",IF(LOWER('Capacity summary'!V25)="x",$BI113*V113,VALUE('Capacity summary'!V25)),0),V113*$BI113),V113*$BI113),0)</f>
        <v>0</v>
      </c>
      <c r="BZ113" s="5">
        <f>IF($BI113&lt;&gt;"",IF('Capacity summary'!$C$14="Yes",IF(COUNTBLANK('Capacity summary'!$H25:$BG25)&lt;52,IF('Capacity summary'!W25&lt;&gt;"",IF(LOWER('Capacity summary'!W25)="x",$BI113*W113,VALUE('Capacity summary'!W25)),0),W113*$BI113),W113*$BI113),0)</f>
        <v>0</v>
      </c>
      <c r="CA113" s="5">
        <f>IF($BI113&lt;&gt;"",IF('Capacity summary'!$C$14="Yes",IF(COUNTBLANK('Capacity summary'!$H25:$BG25)&lt;52,IF('Capacity summary'!X25&lt;&gt;"",IF(LOWER('Capacity summary'!X25)="x",$BI113*X113,VALUE('Capacity summary'!X25)),0),X113*$BI113),X113*$BI113),0)</f>
        <v>0</v>
      </c>
      <c r="CB113" s="5">
        <f>IF($BI113&lt;&gt;"",IF('Capacity summary'!$C$14="Yes",IF(COUNTBLANK('Capacity summary'!$H25:$BG25)&lt;52,IF('Capacity summary'!Y25&lt;&gt;"",IF(LOWER('Capacity summary'!Y25)="x",$BI113*Y113,VALUE('Capacity summary'!Y25)),0),Y113*$BI113),Y113*$BI113),0)</f>
        <v>0</v>
      </c>
      <c r="CC113" s="5">
        <f>IF($BI113&lt;&gt;"",IF('Capacity summary'!$C$14="Yes",IF(COUNTBLANK('Capacity summary'!$H25:$BG25)&lt;52,IF('Capacity summary'!Z25&lt;&gt;"",IF(LOWER('Capacity summary'!Z25)="x",$BI113*Z113,VALUE('Capacity summary'!Z25)),0),Z113*$BI113),Z113*$BI113),0)</f>
        <v>0</v>
      </c>
      <c r="CD113" s="5">
        <f>IF($BI113&lt;&gt;"",IF('Capacity summary'!$C$14="Yes",IF(COUNTBLANK('Capacity summary'!$H25:$BG25)&lt;52,IF('Capacity summary'!AA25&lt;&gt;"",IF(LOWER('Capacity summary'!AA25)="x",$BI113*AA113,VALUE('Capacity summary'!AA25)),0),AA113*$BI113),AA113*$BI113),0)</f>
        <v>0</v>
      </c>
      <c r="CE113" s="5">
        <f>IF($BI113&lt;&gt;"",IF('Capacity summary'!$C$14="Yes",IF(COUNTBLANK('Capacity summary'!$H25:$BG25)&lt;52,IF('Capacity summary'!AB25&lt;&gt;"",IF(LOWER('Capacity summary'!AB25)="x",$BI113*AB113,VALUE('Capacity summary'!AB25)),0),AB113*$BI113),AB113*$BI113),0)</f>
        <v>0</v>
      </c>
      <c r="CF113" s="5">
        <f>IF($BI113&lt;&gt;"",IF('Capacity summary'!$C$14="Yes",IF(COUNTBLANK('Capacity summary'!$H25:$BG25)&lt;52,IF('Capacity summary'!AC25&lt;&gt;"",IF(LOWER('Capacity summary'!AC25)="x",$BI113*AC113,VALUE('Capacity summary'!AC25)),0),AC113*$BI113),AC113*$BI113),0)</f>
        <v>0</v>
      </c>
      <c r="CG113" s="5">
        <f>IF($BI113&lt;&gt;"",IF('Capacity summary'!$C$14="Yes",IF(COUNTBLANK('Capacity summary'!$H25:$BG25)&lt;52,IF('Capacity summary'!AD25&lt;&gt;"",IF(LOWER('Capacity summary'!AD25)="x",$BI113*AD113,VALUE('Capacity summary'!AD25)),0),AD113*$BI113),AD113*$BI113),0)</f>
        <v>0</v>
      </c>
      <c r="CH113" s="5">
        <f>IF($BI113&lt;&gt;"",IF('Capacity summary'!$C$14="Yes",IF(COUNTBLANK('Capacity summary'!$H25:$BG25)&lt;52,IF('Capacity summary'!AE25&lt;&gt;"",IF(LOWER('Capacity summary'!AE25)="x",$BI113*AE113,VALUE('Capacity summary'!AE25)),0),AE113*$BI113),AE113*$BI113),0)</f>
        <v>0</v>
      </c>
      <c r="CI113" s="5">
        <f>IF($BI113&lt;&gt;"",IF('Capacity summary'!$C$14="Yes",IF(COUNTBLANK('Capacity summary'!$H25:$BG25)&lt;52,IF('Capacity summary'!AF25&lt;&gt;"",IF(LOWER('Capacity summary'!AF25)="x",$BI113*AF113,VALUE('Capacity summary'!AF25)),0),AF113*$BI113),AF113*$BI113),0)</f>
        <v>0</v>
      </c>
      <c r="CJ113" s="5">
        <f>IF($BI113&lt;&gt;"",IF('Capacity summary'!$C$14="Yes",IF(COUNTBLANK('Capacity summary'!$H25:$BG25)&lt;52,IF('Capacity summary'!AG25&lt;&gt;"",IF(LOWER('Capacity summary'!AG25)="x",$BI113*AG113,VALUE('Capacity summary'!AG25)),0),AG113*$BI113),AG113*$BI113),0)</f>
        <v>0</v>
      </c>
      <c r="CK113" s="5">
        <f>IF($BI113&lt;&gt;"",IF('Capacity summary'!$C$14="Yes",IF(COUNTBLANK('Capacity summary'!$H25:$BG25)&lt;52,IF('Capacity summary'!AH25&lt;&gt;"",IF(LOWER('Capacity summary'!AH25)="x",$BI113*AH113,VALUE('Capacity summary'!AH25)),0),AH113*$BI113),AH113*$BI113),0)</f>
        <v>0</v>
      </c>
      <c r="CL113" s="5">
        <f>IF($BI113&lt;&gt;"",IF('Capacity summary'!$C$14="Yes",IF(COUNTBLANK('Capacity summary'!$H25:$BG25)&lt;52,IF('Capacity summary'!AI25&lt;&gt;"",IF(LOWER('Capacity summary'!AI25)="x",$BI113*AI113,VALUE('Capacity summary'!AI25)),0),AI113*$BI113),AI113*$BI113),0)</f>
        <v>0</v>
      </c>
      <c r="CM113" s="5">
        <f>IF($BI113&lt;&gt;"",IF('Capacity summary'!$C$14="Yes",IF(COUNTBLANK('Capacity summary'!$H25:$BG25)&lt;52,IF('Capacity summary'!AJ25&lt;&gt;"",IF(LOWER('Capacity summary'!AJ25)="x",$BI113*AJ113,VALUE('Capacity summary'!AJ25)),0),AJ113*$BI113),AJ113*$BI113),0)</f>
        <v>0</v>
      </c>
      <c r="CN113" s="5">
        <f>IF($BI113&lt;&gt;"",IF('Capacity summary'!$C$14="Yes",IF(COUNTBLANK('Capacity summary'!$H25:$BG25)&lt;52,IF('Capacity summary'!AK25&lt;&gt;"",IF(LOWER('Capacity summary'!AK25)="x",$BI113*AK113,VALUE('Capacity summary'!AK25)),0),AK113*$BI113),AK113*$BI113),0)</f>
        <v>0</v>
      </c>
      <c r="CO113" s="5">
        <f>IF($BI113&lt;&gt;"",IF('Capacity summary'!$C$14="Yes",IF(COUNTBLANK('Capacity summary'!$H25:$BG25)&lt;52,IF('Capacity summary'!AL25&lt;&gt;"",IF(LOWER('Capacity summary'!AL25)="x",$BI113*AL113,VALUE('Capacity summary'!AL25)),0),AL113*$BI113),AL113*$BI113),0)</f>
        <v>0</v>
      </c>
      <c r="CP113" s="5">
        <f>IF($BI113&lt;&gt;"",IF('Capacity summary'!$C$14="Yes",IF(COUNTBLANK('Capacity summary'!$H25:$BG25)&lt;52,IF('Capacity summary'!AM25&lt;&gt;"",IF(LOWER('Capacity summary'!AM25)="x",$BI113*AM113,VALUE('Capacity summary'!AM25)),0),AM113*$BI113),AM113*$BI113),0)</f>
        <v>0</v>
      </c>
      <c r="CQ113" s="5">
        <f>IF($BI113&lt;&gt;"",IF('Capacity summary'!$C$14="Yes",IF(COUNTBLANK('Capacity summary'!$H25:$BG25)&lt;52,IF('Capacity summary'!AN25&lt;&gt;"",IF(LOWER('Capacity summary'!AN25)="x",$BI113*AN113,VALUE('Capacity summary'!AN25)),0),AN113*$BI113),AN113*$BI113),0)</f>
        <v>0</v>
      </c>
      <c r="CR113" s="5">
        <f>IF($BI113&lt;&gt;"",IF('Capacity summary'!$C$14="Yes",IF(COUNTBLANK('Capacity summary'!$H25:$BG25)&lt;52,IF('Capacity summary'!AO25&lt;&gt;"",IF(LOWER('Capacity summary'!AO25)="x",$BI113*AO113,VALUE('Capacity summary'!AO25)),0),AO113*$BI113),AO113*$BI113),0)</f>
        <v>0</v>
      </c>
      <c r="CS113" s="5">
        <f>IF($BI113&lt;&gt;"",IF('Capacity summary'!$C$14="Yes",IF(COUNTBLANK('Capacity summary'!$H25:$BG25)&lt;52,IF('Capacity summary'!AP25&lt;&gt;"",IF(LOWER('Capacity summary'!AP25)="x",$BI113*AP113,VALUE('Capacity summary'!AP25)),0),AP113*$BI113),AP113*$BI113),0)</f>
        <v>0</v>
      </c>
      <c r="CT113" s="5">
        <f>IF($BI113&lt;&gt;"",IF('Capacity summary'!$C$14="Yes",IF(COUNTBLANK('Capacity summary'!$H25:$BG25)&lt;52,IF('Capacity summary'!AQ25&lt;&gt;"",IF(LOWER('Capacity summary'!AQ25)="x",$BI113*AQ113,VALUE('Capacity summary'!AQ25)),0),AQ113*$BI113),AQ113*$BI113),0)</f>
        <v>0</v>
      </c>
      <c r="CU113" s="5">
        <f>IF($BI113&lt;&gt;"",IF('Capacity summary'!$C$14="Yes",IF(COUNTBLANK('Capacity summary'!$H25:$BG25)&lt;52,IF('Capacity summary'!AR25&lt;&gt;"",IF(LOWER('Capacity summary'!AR25)="x",$BI113*AR113,VALUE('Capacity summary'!AR25)),0),AR113*$BI113),AR113*$BI113),0)</f>
        <v>0</v>
      </c>
      <c r="CV113" s="5">
        <f>IF($BI113&lt;&gt;"",IF('Capacity summary'!$C$14="Yes",IF(COUNTBLANK('Capacity summary'!$H25:$BG25)&lt;52,IF('Capacity summary'!AS25&lt;&gt;"",IF(LOWER('Capacity summary'!AS25)="x",$BI113*AS113,VALUE('Capacity summary'!AS25)),0),AS113*$BI113),AS113*$BI113),0)</f>
        <v>0</v>
      </c>
      <c r="CW113" s="5">
        <f>IF($BI113&lt;&gt;"",IF('Capacity summary'!$C$14="Yes",IF(COUNTBLANK('Capacity summary'!$H25:$BG25)&lt;52,IF('Capacity summary'!AT25&lt;&gt;"",IF(LOWER('Capacity summary'!AT25)="x",$BI113*AT113,VALUE('Capacity summary'!AT25)),0),AT113*$BI113),AT113*$BI113),0)</f>
        <v>0</v>
      </c>
      <c r="CX113" s="5">
        <f>IF($BI113&lt;&gt;"",IF('Capacity summary'!$C$14="Yes",IF(COUNTBLANK('Capacity summary'!$H25:$BG25)&lt;52,IF('Capacity summary'!AU25&lt;&gt;"",IF(LOWER('Capacity summary'!AU25)="x",$BI113*AU113,VALUE('Capacity summary'!AU25)),0),AU113*$BI113),AU113*$BI113),0)</f>
        <v>0</v>
      </c>
      <c r="CY113" s="5">
        <f>IF($BI113&lt;&gt;"",IF('Capacity summary'!$C$14="Yes",IF(COUNTBLANK('Capacity summary'!$H25:$BG25)&lt;52,IF('Capacity summary'!AV25&lt;&gt;"",IF(LOWER('Capacity summary'!AV25)="x",$BI113*AV113,VALUE('Capacity summary'!AV25)),0),AV113*$BI113),AV113*$BI113),0)</f>
        <v>0</v>
      </c>
      <c r="CZ113" s="5">
        <f>IF($BI113&lt;&gt;"",IF('Capacity summary'!$C$14="Yes",IF(COUNTBLANK('Capacity summary'!$H25:$BG25)&lt;52,IF('Capacity summary'!AW25&lt;&gt;"",IF(LOWER('Capacity summary'!AW25)="x",$BI113*AW113,VALUE('Capacity summary'!AW25)),0),AW113*$BI113),AW113*$BI113),0)</f>
        <v>0</v>
      </c>
      <c r="DA113" s="5">
        <f>IF($BI113&lt;&gt;"",IF('Capacity summary'!$C$14="Yes",IF(COUNTBLANK('Capacity summary'!$H25:$BG25)&lt;52,IF('Capacity summary'!AX25&lt;&gt;"",IF(LOWER('Capacity summary'!AX25)="x",$BI113*AX113,VALUE('Capacity summary'!AX25)),0),AX113*$BI113),AX113*$BI113),0)</f>
        <v>0</v>
      </c>
      <c r="DB113" s="5">
        <f>IF($BI113&lt;&gt;"",IF('Capacity summary'!$C$14="Yes",IF(COUNTBLANK('Capacity summary'!$H25:$BG25)&lt;52,IF('Capacity summary'!AY25&lt;&gt;"",IF(LOWER('Capacity summary'!AY25)="x",$BI113*AY113,VALUE('Capacity summary'!AY25)),0),AY113*$BI113),AY113*$BI113),0)</f>
        <v>0</v>
      </c>
      <c r="DC113" s="5">
        <f>IF($BI113&lt;&gt;"",IF('Capacity summary'!$C$14="Yes",IF(COUNTBLANK('Capacity summary'!$H25:$BG25)&lt;52,IF('Capacity summary'!AZ25&lt;&gt;"",IF(LOWER('Capacity summary'!AZ25)="x",$BI113*AZ113,VALUE('Capacity summary'!AZ25)),0),AZ113*$BI113),AZ113*$BI113),0)</f>
        <v>0</v>
      </c>
      <c r="DD113" s="5">
        <f>IF($BI113&lt;&gt;"",IF('Capacity summary'!$C$14="Yes",IF(COUNTBLANK('Capacity summary'!$H25:$BG25)&lt;52,IF('Capacity summary'!BA25&lt;&gt;"",IF(LOWER('Capacity summary'!BA25)="x",$BI113*BA113,VALUE('Capacity summary'!BA25)),0),BA113*$BI113),BA113*$BI113),0)</f>
        <v>0</v>
      </c>
      <c r="DE113" s="5">
        <f>IF($BI113&lt;&gt;"",IF('Capacity summary'!$C$14="Yes",IF(COUNTBLANK('Capacity summary'!$H25:$BG25)&lt;52,IF('Capacity summary'!BB25&lt;&gt;"",IF(LOWER('Capacity summary'!BB25)="x",$BI113*BB113,VALUE('Capacity summary'!BB25)),0),BB113*$BI113),BB113*$BI113),0)</f>
        <v>0</v>
      </c>
      <c r="DF113" s="5">
        <f>IF($BI113&lt;&gt;"",IF('Capacity summary'!$C$14="Yes",IF(COUNTBLANK('Capacity summary'!$H25:$BG25)&lt;52,IF('Capacity summary'!BC25&lt;&gt;"",IF(LOWER('Capacity summary'!BC25)="x",$BI113*BC113,VALUE('Capacity summary'!BC25)),0),BC113*$BI113),BC113*$BI113),0)</f>
        <v>0</v>
      </c>
      <c r="DG113" s="5">
        <f>IF($BI113&lt;&gt;"",IF('Capacity summary'!$C$14="Yes",IF(COUNTBLANK('Capacity summary'!$H25:$BG25)&lt;52,IF('Capacity summary'!BD25&lt;&gt;"",IF(LOWER('Capacity summary'!BD25)="x",$BI113*BD113,VALUE('Capacity summary'!BD25)),0),BD113*$BI113),BD113*$BI113),0)</f>
        <v>0</v>
      </c>
      <c r="DH113" s="5">
        <f>IF($BI113&lt;&gt;"",IF('Capacity summary'!$C$14="Yes",IF(COUNTBLANK('Capacity summary'!$H25:$BG25)&lt;52,IF('Capacity summary'!BE25&lt;&gt;"",IF(LOWER('Capacity summary'!BE25)="x",$BI113*BE113,VALUE('Capacity summary'!BE25)),0),BE113*$BI113),BE113*$BI113),0)</f>
        <v>0</v>
      </c>
      <c r="DI113" s="5">
        <f>IF($BI113&lt;&gt;"",IF('Capacity summary'!$C$14="Yes",IF(COUNTBLANK('Capacity summary'!$H25:$BG25)&lt;52,IF('Capacity summary'!BF25&lt;&gt;"",IF(LOWER('Capacity summary'!BF25)="x",$BI113*BF113,VALUE('Capacity summary'!BF25)),0),BF113*$BI113),BF113*$BI113),0)</f>
        <v>0</v>
      </c>
      <c r="DJ113" s="5">
        <f>IF($BI113&lt;&gt;"",IF('Capacity summary'!$C$14="Yes",IF(COUNTBLANK('Capacity summary'!$H25:$BG25)&lt;52,IF('Capacity summary'!BG25&lt;&gt;"",IF(LOWER('Capacity summary'!BG25)="x",$BI113*BG113,VALUE('Capacity summary'!BG25)),0),BG113*$BI113),BG113*$BI113),0)</f>
        <v>0</v>
      </c>
      <c r="DK113" s="5">
        <f t="shared" ref="DK113" si="7">SUM(DK114:DK213)</f>
        <v>0</v>
      </c>
    </row>
    <row r="114" spans="3:115" x14ac:dyDescent="0.25">
      <c r="C114" s="67" t="str">
        <f>ROW(A3)&amp;". "&amp;Capacity!N19</f>
        <v xml:space="preserve">3. </v>
      </c>
      <c r="D114" s="67">
        <f>'Capacity setup'!C120</f>
        <v>0</v>
      </c>
      <c r="E114" s="67">
        <f>'Capacity setup'!D120</f>
        <v>0</v>
      </c>
      <c r="F114" s="67">
        <f>'Capacity setup'!E120</f>
        <v>0</v>
      </c>
      <c r="H114" s="67">
        <f ca="1">IF(AND(SUMIF(Capacity_Resource,$D114,'Critical resources (hide)'!U$6:U$105)+SUMIF(Capacity_Resource,$E114,'Critical resources (hide)'!U$6:U$105)+SUMIF(Capacity_Resource,$F114,'Critical resources (hide)'!U$6:U$105)&gt;0,$E$1=2),0,1)</f>
        <v>1</v>
      </c>
      <c r="I114" s="67">
        <f ca="1">IF(AND(SUMIF(Capacity_Resource,$D114,'Critical resources (hide)'!V$6:V$105)+SUMIF(Capacity_Resource,$E114,'Critical resources (hide)'!V$6:V$105)+SUMIF(Capacity_Resource,$F114,'Critical resources (hide)'!V$6:V$105)&gt;0,$E$1=2),0,1)</f>
        <v>1</v>
      </c>
      <c r="J114" s="67">
        <f ca="1">IF(AND(SUMIF(Capacity_Resource,$D114,'Critical resources (hide)'!W$6:W$105)+SUMIF(Capacity_Resource,$E114,'Critical resources (hide)'!W$6:W$105)+SUMIF(Capacity_Resource,$F114,'Critical resources (hide)'!W$6:W$105)&gt;0,$E$1=2),0,1)</f>
        <v>1</v>
      </c>
      <c r="K114" s="67">
        <f ca="1">IF(AND(SUMIF(Capacity_Resource,$D114,'Critical resources (hide)'!X$6:X$105)+SUMIF(Capacity_Resource,$E114,'Critical resources (hide)'!X$6:X$105)+SUMIF(Capacity_Resource,$F114,'Critical resources (hide)'!X$6:X$105)&gt;0,$E$1=2),0,1)</f>
        <v>1</v>
      </c>
      <c r="L114" s="67">
        <f ca="1">IF(AND(SUMIF(Capacity_Resource,$D114,'Critical resources (hide)'!Y$6:Y$105)+SUMIF(Capacity_Resource,$E114,'Critical resources (hide)'!Y$6:Y$105)+SUMIF(Capacity_Resource,$F114,'Critical resources (hide)'!Y$6:Y$105)&gt;0,$E$1=2),0,1)</f>
        <v>1</v>
      </c>
      <c r="M114" s="67">
        <f ca="1">IF(AND(SUMIF(Capacity_Resource,$D114,'Critical resources (hide)'!Z$6:Z$105)+SUMIF(Capacity_Resource,$E114,'Critical resources (hide)'!Z$6:Z$105)+SUMIF(Capacity_Resource,$F114,'Critical resources (hide)'!Z$6:Z$105)&gt;0,$E$1=2),0,1)</f>
        <v>1</v>
      </c>
      <c r="N114" s="67">
        <f ca="1">IF(AND(SUMIF(Capacity_Resource,$D114,'Critical resources (hide)'!AA$6:AA$105)+SUMIF(Capacity_Resource,$E114,'Critical resources (hide)'!AA$6:AA$105)+SUMIF(Capacity_Resource,$F114,'Critical resources (hide)'!AA$6:AA$105)&gt;0,$E$1=2),0,1)</f>
        <v>1</v>
      </c>
      <c r="O114" s="67">
        <f ca="1">IF(AND(SUMIF(Capacity_Resource,$D114,'Critical resources (hide)'!AB$6:AB$105)+SUMIF(Capacity_Resource,$E114,'Critical resources (hide)'!AB$6:AB$105)+SUMIF(Capacity_Resource,$F114,'Critical resources (hide)'!AB$6:AB$105)&gt;0,$E$1=2),0,1)</f>
        <v>1</v>
      </c>
      <c r="P114" s="67">
        <f ca="1">IF(AND(SUMIF(Capacity_Resource,$D114,'Critical resources (hide)'!AC$6:AC$105)+SUMIF(Capacity_Resource,$E114,'Critical resources (hide)'!AC$6:AC$105)+SUMIF(Capacity_Resource,$F114,'Critical resources (hide)'!AC$6:AC$105)&gt;0,$E$1=2),0,1)</f>
        <v>1</v>
      </c>
      <c r="Q114" s="67">
        <f ca="1">IF(AND(SUMIF(Capacity_Resource,$D114,'Critical resources (hide)'!AD$6:AD$105)+SUMIF(Capacity_Resource,$E114,'Critical resources (hide)'!AD$6:AD$105)+SUMIF(Capacity_Resource,$F114,'Critical resources (hide)'!AD$6:AD$105)&gt;0,$E$1=2),0,1)</f>
        <v>1</v>
      </c>
      <c r="R114" s="67">
        <f ca="1">IF(AND(SUMIF(Capacity_Resource,$D114,'Critical resources (hide)'!AE$6:AE$105)+SUMIF(Capacity_Resource,$E114,'Critical resources (hide)'!AE$6:AE$105)+SUMIF(Capacity_Resource,$F114,'Critical resources (hide)'!AE$6:AE$105)&gt;0,$E$1=2),0,1)</f>
        <v>1</v>
      </c>
      <c r="S114" s="67">
        <f ca="1">IF(AND(SUMIF(Capacity_Resource,$D114,'Critical resources (hide)'!AF$6:AF$105)+SUMIF(Capacity_Resource,$E114,'Critical resources (hide)'!AF$6:AF$105)+SUMIF(Capacity_Resource,$F114,'Critical resources (hide)'!AF$6:AF$105)&gt;0,$E$1=2),0,1)</f>
        <v>1</v>
      </c>
      <c r="T114" s="67">
        <f ca="1">IF(AND(SUMIF(Capacity_Resource,$D114,'Critical resources (hide)'!AG$6:AG$105)+SUMIF(Capacity_Resource,$E114,'Critical resources (hide)'!AG$6:AG$105)+SUMIF(Capacity_Resource,$F114,'Critical resources (hide)'!AG$6:AG$105)&gt;0,$E$1=2),0,1)</f>
        <v>1</v>
      </c>
      <c r="U114" s="67">
        <f ca="1">IF(AND(SUMIF(Capacity_Resource,$D114,'Critical resources (hide)'!AH$6:AH$105)+SUMIF(Capacity_Resource,$E114,'Critical resources (hide)'!AH$6:AH$105)+SUMIF(Capacity_Resource,$F114,'Critical resources (hide)'!AH$6:AH$105)&gt;0,$E$1=2),0,1)</f>
        <v>1</v>
      </c>
      <c r="V114" s="67">
        <f ca="1">IF(AND(SUMIF(Capacity_Resource,$D114,'Critical resources (hide)'!AI$6:AI$105)+SUMIF(Capacity_Resource,$E114,'Critical resources (hide)'!AI$6:AI$105)+SUMIF(Capacity_Resource,$F114,'Critical resources (hide)'!AI$6:AI$105)&gt;0,$E$1=2),0,1)</f>
        <v>1</v>
      </c>
      <c r="W114" s="67">
        <f ca="1">IF(AND(SUMIF(Capacity_Resource,$D114,'Critical resources (hide)'!AJ$6:AJ$105)+SUMIF(Capacity_Resource,$E114,'Critical resources (hide)'!AJ$6:AJ$105)+SUMIF(Capacity_Resource,$F114,'Critical resources (hide)'!AJ$6:AJ$105)&gt;0,$E$1=2),0,1)</f>
        <v>1</v>
      </c>
      <c r="X114" s="67">
        <f ca="1">IF(AND(SUMIF(Capacity_Resource,$D114,'Critical resources (hide)'!AK$6:AK$105)+SUMIF(Capacity_Resource,$E114,'Critical resources (hide)'!AK$6:AK$105)+SUMIF(Capacity_Resource,$F114,'Critical resources (hide)'!AK$6:AK$105)&gt;0,$E$1=2),0,1)</f>
        <v>1</v>
      </c>
      <c r="Y114" s="67">
        <f ca="1">IF(AND(SUMIF(Capacity_Resource,$D114,'Critical resources (hide)'!AL$6:AL$105)+SUMIF(Capacity_Resource,$E114,'Critical resources (hide)'!AL$6:AL$105)+SUMIF(Capacity_Resource,$F114,'Critical resources (hide)'!AL$6:AL$105)&gt;0,$E$1=2),0,1)</f>
        <v>1</v>
      </c>
      <c r="Z114" s="67">
        <f ca="1">IF(AND(SUMIF(Capacity_Resource,$D114,'Critical resources (hide)'!AM$6:AM$105)+SUMIF(Capacity_Resource,$E114,'Critical resources (hide)'!AM$6:AM$105)+SUMIF(Capacity_Resource,$F114,'Critical resources (hide)'!AM$6:AM$105)&gt;0,$E$1=2),0,1)</f>
        <v>1</v>
      </c>
      <c r="AA114" s="67">
        <f ca="1">IF(AND(SUMIF(Capacity_Resource,$D114,'Critical resources (hide)'!AN$6:AN$105)+SUMIF(Capacity_Resource,$E114,'Critical resources (hide)'!AN$6:AN$105)+SUMIF(Capacity_Resource,$F114,'Critical resources (hide)'!AN$6:AN$105)&gt;0,$E$1=2),0,1)</f>
        <v>1</v>
      </c>
      <c r="AB114" s="67">
        <f ca="1">IF(AND(SUMIF(Capacity_Resource,$D114,'Critical resources (hide)'!AO$6:AO$105)+SUMIF(Capacity_Resource,$E114,'Critical resources (hide)'!AO$6:AO$105)+SUMIF(Capacity_Resource,$F114,'Critical resources (hide)'!AO$6:AO$105)&gt;0,$E$1=2),0,1)</f>
        <v>1</v>
      </c>
      <c r="AC114" s="67">
        <f ca="1">IF(AND(SUMIF(Capacity_Resource,$D114,'Critical resources (hide)'!AP$6:AP$105)+SUMIF(Capacity_Resource,$E114,'Critical resources (hide)'!AP$6:AP$105)+SUMIF(Capacity_Resource,$F114,'Critical resources (hide)'!AP$6:AP$105)&gt;0,$E$1=2),0,1)</f>
        <v>1</v>
      </c>
      <c r="AD114" s="67">
        <f ca="1">IF(AND(SUMIF(Capacity_Resource,$D114,'Critical resources (hide)'!AQ$6:AQ$105)+SUMIF(Capacity_Resource,$E114,'Critical resources (hide)'!AQ$6:AQ$105)+SUMIF(Capacity_Resource,$F114,'Critical resources (hide)'!AQ$6:AQ$105)&gt;0,$E$1=2),0,1)</f>
        <v>1</v>
      </c>
      <c r="AE114" s="67">
        <f ca="1">IF(AND(SUMIF(Capacity_Resource,$D114,'Critical resources (hide)'!AR$6:AR$105)+SUMIF(Capacity_Resource,$E114,'Critical resources (hide)'!AR$6:AR$105)+SUMIF(Capacity_Resource,$F114,'Critical resources (hide)'!AR$6:AR$105)&gt;0,$E$1=2),0,1)</f>
        <v>1</v>
      </c>
      <c r="AF114" s="67">
        <f ca="1">IF(AND(SUMIF(Capacity_Resource,$D114,'Critical resources (hide)'!AS$6:AS$105)+SUMIF(Capacity_Resource,$E114,'Critical resources (hide)'!AS$6:AS$105)+SUMIF(Capacity_Resource,$F114,'Critical resources (hide)'!AS$6:AS$105)&gt;0,$E$1=2),0,1)</f>
        <v>1</v>
      </c>
      <c r="AG114" s="67">
        <f ca="1">IF(AND(SUMIF(Capacity_Resource,$D114,'Critical resources (hide)'!AT$6:AT$105)+SUMIF(Capacity_Resource,$E114,'Critical resources (hide)'!AT$6:AT$105)+SUMIF(Capacity_Resource,$F114,'Critical resources (hide)'!AT$6:AT$105)&gt;0,$E$1=2),0,1)</f>
        <v>1</v>
      </c>
      <c r="AH114" s="67">
        <f ca="1">IF(AND(SUMIF(Capacity_Resource,$D114,'Critical resources (hide)'!AU$6:AU$105)+SUMIF(Capacity_Resource,$E114,'Critical resources (hide)'!AU$6:AU$105)+SUMIF(Capacity_Resource,$F114,'Critical resources (hide)'!AU$6:AU$105)&gt;0,$E$1=2),0,1)</f>
        <v>1</v>
      </c>
      <c r="AI114" s="67">
        <f ca="1">IF(AND(SUMIF(Capacity_Resource,$D114,'Critical resources (hide)'!AV$6:AV$105)+SUMIF(Capacity_Resource,$E114,'Critical resources (hide)'!AV$6:AV$105)+SUMIF(Capacity_Resource,$F114,'Critical resources (hide)'!AV$6:AV$105)&gt;0,$E$1=2),0,1)</f>
        <v>1</v>
      </c>
      <c r="AJ114" s="67">
        <f ca="1">IF(AND(SUMIF(Capacity_Resource,$D114,'Critical resources (hide)'!AW$6:AW$105)+SUMIF(Capacity_Resource,$E114,'Critical resources (hide)'!AW$6:AW$105)+SUMIF(Capacity_Resource,$F114,'Critical resources (hide)'!AW$6:AW$105)&gt;0,$E$1=2),0,1)</f>
        <v>1</v>
      </c>
      <c r="AK114" s="67">
        <f ca="1">IF(AND(SUMIF(Capacity_Resource,$D114,'Critical resources (hide)'!AX$6:AX$105)+SUMIF(Capacity_Resource,$E114,'Critical resources (hide)'!AX$6:AX$105)+SUMIF(Capacity_Resource,$F114,'Critical resources (hide)'!AX$6:AX$105)&gt;0,$E$1=2),0,1)</f>
        <v>1</v>
      </c>
      <c r="AL114" s="67">
        <f ca="1">IF(AND(SUMIF(Capacity_Resource,$D114,'Critical resources (hide)'!AY$6:AY$105)+SUMIF(Capacity_Resource,$E114,'Critical resources (hide)'!AY$6:AY$105)+SUMIF(Capacity_Resource,$F114,'Critical resources (hide)'!AY$6:AY$105)&gt;0,$E$1=2),0,1)</f>
        <v>1</v>
      </c>
      <c r="AM114" s="67">
        <f ca="1">IF(AND(SUMIF(Capacity_Resource,$D114,'Critical resources (hide)'!AZ$6:AZ$105)+SUMIF(Capacity_Resource,$E114,'Critical resources (hide)'!AZ$6:AZ$105)+SUMIF(Capacity_Resource,$F114,'Critical resources (hide)'!AZ$6:AZ$105)&gt;0,$E$1=2),0,1)</f>
        <v>1</v>
      </c>
      <c r="AN114" s="67">
        <f ca="1">IF(AND(SUMIF(Capacity_Resource,$D114,'Critical resources (hide)'!BA$6:BA$105)+SUMIF(Capacity_Resource,$E114,'Critical resources (hide)'!BA$6:BA$105)+SUMIF(Capacity_Resource,$F114,'Critical resources (hide)'!BA$6:BA$105)&gt;0,$E$1=2),0,1)</f>
        <v>1</v>
      </c>
      <c r="AO114" s="67">
        <f ca="1">IF(AND(SUMIF(Capacity_Resource,$D114,'Critical resources (hide)'!BB$6:BB$105)+SUMIF(Capacity_Resource,$E114,'Critical resources (hide)'!BB$6:BB$105)+SUMIF(Capacity_Resource,$F114,'Critical resources (hide)'!BB$6:BB$105)&gt;0,$E$1=2),0,1)</f>
        <v>1</v>
      </c>
      <c r="AP114" s="67">
        <f ca="1">IF(AND(SUMIF(Capacity_Resource,$D114,'Critical resources (hide)'!BC$6:BC$105)+SUMIF(Capacity_Resource,$E114,'Critical resources (hide)'!BC$6:BC$105)+SUMIF(Capacity_Resource,$F114,'Critical resources (hide)'!BC$6:BC$105)&gt;0,$E$1=2),0,1)</f>
        <v>1</v>
      </c>
      <c r="AQ114" s="67">
        <f ca="1">IF(AND(SUMIF(Capacity_Resource,$D114,'Critical resources (hide)'!BD$6:BD$105)+SUMIF(Capacity_Resource,$E114,'Critical resources (hide)'!BD$6:BD$105)+SUMIF(Capacity_Resource,$F114,'Critical resources (hide)'!BD$6:BD$105)&gt;0,$E$1=2),0,1)</f>
        <v>1</v>
      </c>
      <c r="AR114" s="67">
        <f ca="1">IF(AND(SUMIF(Capacity_Resource,$D114,'Critical resources (hide)'!BE$6:BE$105)+SUMIF(Capacity_Resource,$E114,'Critical resources (hide)'!BE$6:BE$105)+SUMIF(Capacity_Resource,$F114,'Critical resources (hide)'!BE$6:BE$105)&gt;0,$E$1=2),0,1)</f>
        <v>1</v>
      </c>
      <c r="AS114" s="67">
        <f ca="1">IF(AND(SUMIF(Capacity_Resource,$D114,'Critical resources (hide)'!BF$6:BF$105)+SUMIF(Capacity_Resource,$E114,'Critical resources (hide)'!BF$6:BF$105)+SUMIF(Capacity_Resource,$F114,'Critical resources (hide)'!BF$6:BF$105)&gt;0,$E$1=2),0,1)</f>
        <v>1</v>
      </c>
      <c r="AT114" s="67">
        <f ca="1">IF(AND(SUMIF(Capacity_Resource,$D114,'Critical resources (hide)'!BG$6:BG$105)+SUMIF(Capacity_Resource,$E114,'Critical resources (hide)'!BG$6:BG$105)+SUMIF(Capacity_Resource,$F114,'Critical resources (hide)'!BG$6:BG$105)&gt;0,$E$1=2),0,1)</f>
        <v>1</v>
      </c>
      <c r="AU114" s="67">
        <f ca="1">IF(AND(SUMIF(Capacity_Resource,$D114,'Critical resources (hide)'!BH$6:BH$105)+SUMIF(Capacity_Resource,$E114,'Critical resources (hide)'!BH$6:BH$105)+SUMIF(Capacity_Resource,$F114,'Critical resources (hide)'!BH$6:BH$105)&gt;0,$E$1=2),0,1)</f>
        <v>1</v>
      </c>
      <c r="AV114" s="67">
        <f ca="1">IF(AND(SUMIF(Capacity_Resource,$D114,'Critical resources (hide)'!BI$6:BI$105)+SUMIF(Capacity_Resource,$E114,'Critical resources (hide)'!BI$6:BI$105)+SUMIF(Capacity_Resource,$F114,'Critical resources (hide)'!BI$6:BI$105)&gt;0,$E$1=2),0,1)</f>
        <v>1</v>
      </c>
      <c r="AW114" s="67">
        <f ca="1">IF(AND(SUMIF(Capacity_Resource,$D114,'Critical resources (hide)'!BJ$6:BJ$105)+SUMIF(Capacity_Resource,$E114,'Critical resources (hide)'!BJ$6:BJ$105)+SUMIF(Capacity_Resource,$F114,'Critical resources (hide)'!BJ$6:BJ$105)&gt;0,$E$1=2),0,1)</f>
        <v>1</v>
      </c>
      <c r="AX114" s="67">
        <f ca="1">IF(AND(SUMIF(Capacity_Resource,$D114,'Critical resources (hide)'!BK$6:BK$105)+SUMIF(Capacity_Resource,$E114,'Critical resources (hide)'!BK$6:BK$105)+SUMIF(Capacity_Resource,$F114,'Critical resources (hide)'!BK$6:BK$105)&gt;0,$E$1=2),0,1)</f>
        <v>1</v>
      </c>
      <c r="AY114" s="67">
        <f ca="1">IF(AND(SUMIF(Capacity_Resource,$D114,'Critical resources (hide)'!BL$6:BL$105)+SUMIF(Capacity_Resource,$E114,'Critical resources (hide)'!BL$6:BL$105)+SUMIF(Capacity_Resource,$F114,'Critical resources (hide)'!BL$6:BL$105)&gt;0,$E$1=2),0,1)</f>
        <v>1</v>
      </c>
      <c r="AZ114" s="67">
        <f ca="1">IF(AND(SUMIF(Capacity_Resource,$D114,'Critical resources (hide)'!BM$6:BM$105)+SUMIF(Capacity_Resource,$E114,'Critical resources (hide)'!BM$6:BM$105)+SUMIF(Capacity_Resource,$F114,'Critical resources (hide)'!BM$6:BM$105)&gt;0,$E$1=2),0,1)</f>
        <v>1</v>
      </c>
      <c r="BA114" s="67">
        <f ca="1">IF(AND(SUMIF(Capacity_Resource,$D114,'Critical resources (hide)'!BN$6:BN$105)+SUMIF(Capacity_Resource,$E114,'Critical resources (hide)'!BN$6:BN$105)+SUMIF(Capacity_Resource,$F114,'Critical resources (hide)'!BN$6:BN$105)&gt;0,$E$1=2),0,1)</f>
        <v>1</v>
      </c>
      <c r="BB114" s="67">
        <f ca="1">IF(AND(SUMIF(Capacity_Resource,$D114,'Critical resources (hide)'!BO$6:BO$105)+SUMIF(Capacity_Resource,$E114,'Critical resources (hide)'!BO$6:BO$105)+SUMIF(Capacity_Resource,$F114,'Critical resources (hide)'!BO$6:BO$105)&gt;0,$E$1=2),0,1)</f>
        <v>1</v>
      </c>
      <c r="BC114" s="67">
        <f ca="1">IF(AND(SUMIF(Capacity_Resource,$D114,'Critical resources (hide)'!BP$6:BP$105)+SUMIF(Capacity_Resource,$E114,'Critical resources (hide)'!BP$6:BP$105)+SUMIF(Capacity_Resource,$F114,'Critical resources (hide)'!BP$6:BP$105)&gt;0,$E$1=2),0,1)</f>
        <v>1</v>
      </c>
      <c r="BD114" s="67">
        <f ca="1">IF(AND(SUMIF(Capacity_Resource,$D114,'Critical resources (hide)'!BQ$6:BQ$105)+SUMIF(Capacity_Resource,$E114,'Critical resources (hide)'!BQ$6:BQ$105)+SUMIF(Capacity_Resource,$F114,'Critical resources (hide)'!BQ$6:BQ$105)&gt;0,$E$1=2),0,1)</f>
        <v>1</v>
      </c>
      <c r="BE114" s="67">
        <f ca="1">IF(AND(SUMIF(Capacity_Resource,$D114,'Critical resources (hide)'!BR$6:BR$105)+SUMIF(Capacity_Resource,$E114,'Critical resources (hide)'!BR$6:BR$105)+SUMIF(Capacity_Resource,$F114,'Critical resources (hide)'!BR$6:BR$105)&gt;0,$E$1=2),0,1)</f>
        <v>1</v>
      </c>
      <c r="BF114" s="67">
        <f ca="1">IF(AND(SUMIF(Capacity_Resource,$D114,'Critical resources (hide)'!BS$6:BS$105)+SUMIF(Capacity_Resource,$E114,'Critical resources (hide)'!BS$6:BS$105)+SUMIF(Capacity_Resource,$F114,'Critical resources (hide)'!BS$6:BS$105)&gt;0,$E$1=2),0,1)</f>
        <v>1</v>
      </c>
      <c r="BG114" s="67">
        <f ca="1">IF(AND(SUMIF(Capacity_Resource,$D114,'Critical resources (hide)'!BT$6:BT$105)+SUMIF(Capacity_Resource,$E114,'Critical resources (hide)'!BT$6:BT$105)+SUMIF(Capacity_Resource,$F114,'Critical resources (hide)'!BT$6:BT$105)&gt;0,$E$1=2),0,1)</f>
        <v>1</v>
      </c>
      <c r="BH114" s="67">
        <f>IF(ROW(A3)&lt;=Capacity!$M$16,IF('Capacity summary'!$C$14="No",SUM(H114:BG114),'Capacity summary'!$E26),0)</f>
        <v>0</v>
      </c>
      <c r="BI114" s="67" t="str">
        <f>IF(BH114&gt;0,IF(BH114&lt;Capacity!Q19,Capacity!R19,Capacity!T19/'Capacity calculation (hide)'!BH114),"")</f>
        <v/>
      </c>
      <c r="BJ114" s="5"/>
      <c r="BK114" s="5">
        <f>IF($BI114&lt;&gt;"",IF('Capacity summary'!$C$14="Yes",IF(COUNTBLANK('Capacity summary'!$H26:$BG26)&lt;52,IF('Capacity summary'!H26&lt;&gt;"",IF(LOWER('Capacity summary'!H26)="x",$BI114*H114,VALUE('Capacity summary'!H26)),0),H114*$BI114),H114*$BI114),0)</f>
        <v>0</v>
      </c>
      <c r="BL114" s="5">
        <f>IF($BI114&lt;&gt;"",IF('Capacity summary'!$C$14="Yes",IF(COUNTBLANK('Capacity summary'!$H26:$BG26)&lt;52,IF('Capacity summary'!I26&lt;&gt;"",IF(LOWER('Capacity summary'!I26)="x",$BI114*I114,VALUE('Capacity summary'!I26)),0),I114*$BI114),I114*$BI114),0)</f>
        <v>0</v>
      </c>
      <c r="BM114" s="5">
        <f>IF($BI114&lt;&gt;"",IF('Capacity summary'!$C$14="Yes",IF(COUNTBLANK('Capacity summary'!$H26:$BG26)&lt;52,IF('Capacity summary'!J26&lt;&gt;"",IF(LOWER('Capacity summary'!J26)="x",$BI114*J114,VALUE('Capacity summary'!J26)),0),J114*$BI114),J114*$BI114),0)</f>
        <v>0</v>
      </c>
      <c r="BN114" s="5">
        <f>IF($BI114&lt;&gt;"",IF('Capacity summary'!$C$14="Yes",IF(COUNTBLANK('Capacity summary'!$H26:$BG26)&lt;52,IF('Capacity summary'!K26&lt;&gt;"",IF(LOWER('Capacity summary'!K26)="x",$BI114*K114,VALUE('Capacity summary'!K26)),0),K114*$BI114),K114*$BI114),0)</f>
        <v>0</v>
      </c>
      <c r="BO114" s="5">
        <f>IF($BI114&lt;&gt;"",IF('Capacity summary'!$C$14="Yes",IF(COUNTBLANK('Capacity summary'!$H26:$BG26)&lt;52,IF('Capacity summary'!L26&lt;&gt;"",IF(LOWER('Capacity summary'!L26)="x",$BI114*L114,VALUE('Capacity summary'!L26)),0),L114*$BI114),L114*$BI114),0)</f>
        <v>0</v>
      </c>
      <c r="BP114" s="5">
        <f>IF($BI114&lt;&gt;"",IF('Capacity summary'!$C$14="Yes",IF(COUNTBLANK('Capacity summary'!$H26:$BG26)&lt;52,IF('Capacity summary'!M26&lt;&gt;"",IF(LOWER('Capacity summary'!M26)="x",$BI114*M114,VALUE('Capacity summary'!M26)),0),M114*$BI114),M114*$BI114),0)</f>
        <v>0</v>
      </c>
      <c r="BQ114" s="5">
        <f>IF($BI114&lt;&gt;"",IF('Capacity summary'!$C$14="Yes",IF(COUNTBLANK('Capacity summary'!$H26:$BG26)&lt;52,IF('Capacity summary'!N26&lt;&gt;"",IF(LOWER('Capacity summary'!N26)="x",$BI114*N114,VALUE('Capacity summary'!N26)),0),N114*$BI114),N114*$BI114),0)</f>
        <v>0</v>
      </c>
      <c r="BR114" s="5">
        <f>IF($BI114&lt;&gt;"",IF('Capacity summary'!$C$14="Yes",IF(COUNTBLANK('Capacity summary'!$H26:$BG26)&lt;52,IF('Capacity summary'!O26&lt;&gt;"",IF(LOWER('Capacity summary'!O26)="x",$BI114*O114,VALUE('Capacity summary'!O26)),0),O114*$BI114),O114*$BI114),0)</f>
        <v>0</v>
      </c>
      <c r="BS114" s="5">
        <f>IF($BI114&lt;&gt;"",IF('Capacity summary'!$C$14="Yes",IF(COUNTBLANK('Capacity summary'!$H26:$BG26)&lt;52,IF('Capacity summary'!P26&lt;&gt;"",IF(LOWER('Capacity summary'!P26)="x",$BI114*P114,VALUE('Capacity summary'!P26)),0),P114*$BI114),P114*$BI114),0)</f>
        <v>0</v>
      </c>
      <c r="BT114" s="5">
        <f>IF($BI114&lt;&gt;"",IF('Capacity summary'!$C$14="Yes",IF(COUNTBLANK('Capacity summary'!$H26:$BG26)&lt;52,IF('Capacity summary'!Q26&lt;&gt;"",IF(LOWER('Capacity summary'!Q26)="x",$BI114*Q114,VALUE('Capacity summary'!Q26)),0),Q114*$BI114),Q114*$BI114),0)</f>
        <v>0</v>
      </c>
      <c r="BU114" s="5">
        <f>IF($BI114&lt;&gt;"",IF('Capacity summary'!$C$14="Yes",IF(COUNTBLANK('Capacity summary'!$H26:$BG26)&lt;52,IF('Capacity summary'!R26&lt;&gt;"",IF(LOWER('Capacity summary'!R26)="x",$BI114*R114,VALUE('Capacity summary'!R26)),0),R114*$BI114),R114*$BI114),0)</f>
        <v>0</v>
      </c>
      <c r="BV114" s="5">
        <f>IF($BI114&lt;&gt;"",IF('Capacity summary'!$C$14="Yes",IF(COUNTBLANK('Capacity summary'!$H26:$BG26)&lt;52,IF('Capacity summary'!S26&lt;&gt;"",IF(LOWER('Capacity summary'!S26)="x",$BI114*S114,VALUE('Capacity summary'!S26)),0),S114*$BI114),S114*$BI114),0)</f>
        <v>0</v>
      </c>
      <c r="BW114" s="5">
        <f>IF($BI114&lt;&gt;"",IF('Capacity summary'!$C$14="Yes",IF(COUNTBLANK('Capacity summary'!$H26:$BG26)&lt;52,IF('Capacity summary'!T26&lt;&gt;"",IF(LOWER('Capacity summary'!T26)="x",$BI114*T114,VALUE('Capacity summary'!T26)),0),T114*$BI114),T114*$BI114),0)</f>
        <v>0</v>
      </c>
      <c r="BX114" s="5">
        <f>IF($BI114&lt;&gt;"",IF('Capacity summary'!$C$14="Yes",IF(COUNTBLANK('Capacity summary'!$H26:$BG26)&lt;52,IF('Capacity summary'!U26&lt;&gt;"",IF(LOWER('Capacity summary'!U26)="x",$BI114*U114,VALUE('Capacity summary'!U26)),0),U114*$BI114),U114*$BI114),0)</f>
        <v>0</v>
      </c>
      <c r="BY114" s="5">
        <f>IF($BI114&lt;&gt;"",IF('Capacity summary'!$C$14="Yes",IF(COUNTBLANK('Capacity summary'!$H26:$BG26)&lt;52,IF('Capacity summary'!V26&lt;&gt;"",IF(LOWER('Capacity summary'!V26)="x",$BI114*V114,VALUE('Capacity summary'!V26)),0),V114*$BI114),V114*$BI114),0)</f>
        <v>0</v>
      </c>
      <c r="BZ114" s="5">
        <f>IF($BI114&lt;&gt;"",IF('Capacity summary'!$C$14="Yes",IF(COUNTBLANK('Capacity summary'!$H26:$BG26)&lt;52,IF('Capacity summary'!W26&lt;&gt;"",IF(LOWER('Capacity summary'!W26)="x",$BI114*W114,VALUE('Capacity summary'!W26)),0),W114*$BI114),W114*$BI114),0)</f>
        <v>0</v>
      </c>
      <c r="CA114" s="5">
        <f>IF($BI114&lt;&gt;"",IF('Capacity summary'!$C$14="Yes",IF(COUNTBLANK('Capacity summary'!$H26:$BG26)&lt;52,IF('Capacity summary'!X26&lt;&gt;"",IF(LOWER('Capacity summary'!X26)="x",$BI114*X114,VALUE('Capacity summary'!X26)),0),X114*$BI114),X114*$BI114),0)</f>
        <v>0</v>
      </c>
      <c r="CB114" s="5">
        <f>IF($BI114&lt;&gt;"",IF('Capacity summary'!$C$14="Yes",IF(COUNTBLANK('Capacity summary'!$H26:$BG26)&lt;52,IF('Capacity summary'!Y26&lt;&gt;"",IF(LOWER('Capacity summary'!Y26)="x",$BI114*Y114,VALUE('Capacity summary'!Y26)),0),Y114*$BI114),Y114*$BI114),0)</f>
        <v>0</v>
      </c>
      <c r="CC114" s="5">
        <f>IF($BI114&lt;&gt;"",IF('Capacity summary'!$C$14="Yes",IF(COUNTBLANK('Capacity summary'!$H26:$BG26)&lt;52,IF('Capacity summary'!Z26&lt;&gt;"",IF(LOWER('Capacity summary'!Z26)="x",$BI114*Z114,VALUE('Capacity summary'!Z26)),0),Z114*$BI114),Z114*$BI114),0)</f>
        <v>0</v>
      </c>
      <c r="CD114" s="5">
        <f>IF($BI114&lt;&gt;"",IF('Capacity summary'!$C$14="Yes",IF(COUNTBLANK('Capacity summary'!$H26:$BG26)&lt;52,IF('Capacity summary'!AA26&lt;&gt;"",IF(LOWER('Capacity summary'!AA26)="x",$BI114*AA114,VALUE('Capacity summary'!AA26)),0),AA114*$BI114),AA114*$BI114),0)</f>
        <v>0</v>
      </c>
      <c r="CE114" s="5">
        <f>IF($BI114&lt;&gt;"",IF('Capacity summary'!$C$14="Yes",IF(COUNTBLANK('Capacity summary'!$H26:$BG26)&lt;52,IF('Capacity summary'!AB26&lt;&gt;"",IF(LOWER('Capacity summary'!AB26)="x",$BI114*AB114,VALUE('Capacity summary'!AB26)),0),AB114*$BI114),AB114*$BI114),0)</f>
        <v>0</v>
      </c>
      <c r="CF114" s="5">
        <f>IF($BI114&lt;&gt;"",IF('Capacity summary'!$C$14="Yes",IF(COUNTBLANK('Capacity summary'!$H26:$BG26)&lt;52,IF('Capacity summary'!AC26&lt;&gt;"",IF(LOWER('Capacity summary'!AC26)="x",$BI114*AC114,VALUE('Capacity summary'!AC26)),0),AC114*$BI114),AC114*$BI114),0)</f>
        <v>0</v>
      </c>
      <c r="CG114" s="5">
        <f>IF($BI114&lt;&gt;"",IF('Capacity summary'!$C$14="Yes",IF(COUNTBLANK('Capacity summary'!$H26:$BG26)&lt;52,IF('Capacity summary'!AD26&lt;&gt;"",IF(LOWER('Capacity summary'!AD26)="x",$BI114*AD114,VALUE('Capacity summary'!AD26)),0),AD114*$BI114),AD114*$BI114),0)</f>
        <v>0</v>
      </c>
      <c r="CH114" s="5">
        <f>IF($BI114&lt;&gt;"",IF('Capacity summary'!$C$14="Yes",IF(COUNTBLANK('Capacity summary'!$H26:$BG26)&lt;52,IF('Capacity summary'!AE26&lt;&gt;"",IF(LOWER('Capacity summary'!AE26)="x",$BI114*AE114,VALUE('Capacity summary'!AE26)),0),AE114*$BI114),AE114*$BI114),0)</f>
        <v>0</v>
      </c>
      <c r="CI114" s="5">
        <f>IF($BI114&lt;&gt;"",IF('Capacity summary'!$C$14="Yes",IF(COUNTBLANK('Capacity summary'!$H26:$BG26)&lt;52,IF('Capacity summary'!AF26&lt;&gt;"",IF(LOWER('Capacity summary'!AF26)="x",$BI114*AF114,VALUE('Capacity summary'!AF26)),0),AF114*$BI114),AF114*$BI114),0)</f>
        <v>0</v>
      </c>
      <c r="CJ114" s="5">
        <f>IF($BI114&lt;&gt;"",IF('Capacity summary'!$C$14="Yes",IF(COUNTBLANK('Capacity summary'!$H26:$BG26)&lt;52,IF('Capacity summary'!AG26&lt;&gt;"",IF(LOWER('Capacity summary'!AG26)="x",$BI114*AG114,VALUE('Capacity summary'!AG26)),0),AG114*$BI114),AG114*$BI114),0)</f>
        <v>0</v>
      </c>
      <c r="CK114" s="5">
        <f>IF($BI114&lt;&gt;"",IF('Capacity summary'!$C$14="Yes",IF(COUNTBLANK('Capacity summary'!$H26:$BG26)&lt;52,IF('Capacity summary'!AH26&lt;&gt;"",IF(LOWER('Capacity summary'!AH26)="x",$BI114*AH114,VALUE('Capacity summary'!AH26)),0),AH114*$BI114),AH114*$BI114),0)</f>
        <v>0</v>
      </c>
      <c r="CL114" s="5">
        <f>IF($BI114&lt;&gt;"",IF('Capacity summary'!$C$14="Yes",IF(COUNTBLANK('Capacity summary'!$H26:$BG26)&lt;52,IF('Capacity summary'!AI26&lt;&gt;"",IF(LOWER('Capacity summary'!AI26)="x",$BI114*AI114,VALUE('Capacity summary'!AI26)),0),AI114*$BI114),AI114*$BI114),0)</f>
        <v>0</v>
      </c>
      <c r="CM114" s="5">
        <f>IF($BI114&lt;&gt;"",IF('Capacity summary'!$C$14="Yes",IF(COUNTBLANK('Capacity summary'!$H26:$BG26)&lt;52,IF('Capacity summary'!AJ26&lt;&gt;"",IF(LOWER('Capacity summary'!AJ26)="x",$BI114*AJ114,VALUE('Capacity summary'!AJ26)),0),AJ114*$BI114),AJ114*$BI114),0)</f>
        <v>0</v>
      </c>
      <c r="CN114" s="5">
        <f>IF($BI114&lt;&gt;"",IF('Capacity summary'!$C$14="Yes",IF(COUNTBLANK('Capacity summary'!$H26:$BG26)&lt;52,IF('Capacity summary'!AK26&lt;&gt;"",IF(LOWER('Capacity summary'!AK26)="x",$BI114*AK114,VALUE('Capacity summary'!AK26)),0),AK114*$BI114),AK114*$BI114),0)</f>
        <v>0</v>
      </c>
      <c r="CO114" s="5">
        <f>IF($BI114&lt;&gt;"",IF('Capacity summary'!$C$14="Yes",IF(COUNTBLANK('Capacity summary'!$H26:$BG26)&lt;52,IF('Capacity summary'!AL26&lt;&gt;"",IF(LOWER('Capacity summary'!AL26)="x",$BI114*AL114,VALUE('Capacity summary'!AL26)),0),AL114*$BI114),AL114*$BI114),0)</f>
        <v>0</v>
      </c>
      <c r="CP114" s="5">
        <f>IF($BI114&lt;&gt;"",IF('Capacity summary'!$C$14="Yes",IF(COUNTBLANK('Capacity summary'!$H26:$BG26)&lt;52,IF('Capacity summary'!AM26&lt;&gt;"",IF(LOWER('Capacity summary'!AM26)="x",$BI114*AM114,VALUE('Capacity summary'!AM26)),0),AM114*$BI114),AM114*$BI114),0)</f>
        <v>0</v>
      </c>
      <c r="CQ114" s="5">
        <f>IF($BI114&lt;&gt;"",IF('Capacity summary'!$C$14="Yes",IF(COUNTBLANK('Capacity summary'!$H26:$BG26)&lt;52,IF('Capacity summary'!AN26&lt;&gt;"",IF(LOWER('Capacity summary'!AN26)="x",$BI114*AN114,VALUE('Capacity summary'!AN26)),0),AN114*$BI114),AN114*$BI114),0)</f>
        <v>0</v>
      </c>
      <c r="CR114" s="5">
        <f>IF($BI114&lt;&gt;"",IF('Capacity summary'!$C$14="Yes",IF(COUNTBLANK('Capacity summary'!$H26:$BG26)&lt;52,IF('Capacity summary'!AO26&lt;&gt;"",IF(LOWER('Capacity summary'!AO26)="x",$BI114*AO114,VALUE('Capacity summary'!AO26)),0),AO114*$BI114),AO114*$BI114),0)</f>
        <v>0</v>
      </c>
      <c r="CS114" s="5">
        <f>IF($BI114&lt;&gt;"",IF('Capacity summary'!$C$14="Yes",IF(COUNTBLANK('Capacity summary'!$H26:$BG26)&lt;52,IF('Capacity summary'!AP26&lt;&gt;"",IF(LOWER('Capacity summary'!AP26)="x",$BI114*AP114,VALUE('Capacity summary'!AP26)),0),AP114*$BI114),AP114*$BI114),0)</f>
        <v>0</v>
      </c>
      <c r="CT114" s="5">
        <f>IF($BI114&lt;&gt;"",IF('Capacity summary'!$C$14="Yes",IF(COUNTBLANK('Capacity summary'!$H26:$BG26)&lt;52,IF('Capacity summary'!AQ26&lt;&gt;"",IF(LOWER('Capacity summary'!AQ26)="x",$BI114*AQ114,VALUE('Capacity summary'!AQ26)),0),AQ114*$BI114),AQ114*$BI114),0)</f>
        <v>0</v>
      </c>
      <c r="CU114" s="5">
        <f>IF($BI114&lt;&gt;"",IF('Capacity summary'!$C$14="Yes",IF(COUNTBLANK('Capacity summary'!$H26:$BG26)&lt;52,IF('Capacity summary'!AR26&lt;&gt;"",IF(LOWER('Capacity summary'!AR26)="x",$BI114*AR114,VALUE('Capacity summary'!AR26)),0),AR114*$BI114),AR114*$BI114),0)</f>
        <v>0</v>
      </c>
      <c r="CV114" s="5">
        <f>IF($BI114&lt;&gt;"",IF('Capacity summary'!$C$14="Yes",IF(COUNTBLANK('Capacity summary'!$H26:$BG26)&lt;52,IF('Capacity summary'!AS26&lt;&gt;"",IF(LOWER('Capacity summary'!AS26)="x",$BI114*AS114,VALUE('Capacity summary'!AS26)),0),AS114*$BI114),AS114*$BI114),0)</f>
        <v>0</v>
      </c>
      <c r="CW114" s="5">
        <f>IF($BI114&lt;&gt;"",IF('Capacity summary'!$C$14="Yes",IF(COUNTBLANK('Capacity summary'!$H26:$BG26)&lt;52,IF('Capacity summary'!AT26&lt;&gt;"",IF(LOWER('Capacity summary'!AT26)="x",$BI114*AT114,VALUE('Capacity summary'!AT26)),0),AT114*$BI114),AT114*$BI114),0)</f>
        <v>0</v>
      </c>
      <c r="CX114" s="5">
        <f>IF($BI114&lt;&gt;"",IF('Capacity summary'!$C$14="Yes",IF(COUNTBLANK('Capacity summary'!$H26:$BG26)&lt;52,IF('Capacity summary'!AU26&lt;&gt;"",IF(LOWER('Capacity summary'!AU26)="x",$BI114*AU114,VALUE('Capacity summary'!AU26)),0),AU114*$BI114),AU114*$BI114),0)</f>
        <v>0</v>
      </c>
      <c r="CY114" s="5">
        <f>IF($BI114&lt;&gt;"",IF('Capacity summary'!$C$14="Yes",IF(COUNTBLANK('Capacity summary'!$H26:$BG26)&lt;52,IF('Capacity summary'!AV26&lt;&gt;"",IF(LOWER('Capacity summary'!AV26)="x",$BI114*AV114,VALUE('Capacity summary'!AV26)),0),AV114*$BI114),AV114*$BI114),0)</f>
        <v>0</v>
      </c>
      <c r="CZ114" s="5">
        <f>IF($BI114&lt;&gt;"",IF('Capacity summary'!$C$14="Yes",IF(COUNTBLANK('Capacity summary'!$H26:$BG26)&lt;52,IF('Capacity summary'!AW26&lt;&gt;"",IF(LOWER('Capacity summary'!AW26)="x",$BI114*AW114,VALUE('Capacity summary'!AW26)),0),AW114*$BI114),AW114*$BI114),0)</f>
        <v>0</v>
      </c>
      <c r="DA114" s="5">
        <f>IF($BI114&lt;&gt;"",IF('Capacity summary'!$C$14="Yes",IF(COUNTBLANK('Capacity summary'!$H26:$BG26)&lt;52,IF('Capacity summary'!AX26&lt;&gt;"",IF(LOWER('Capacity summary'!AX26)="x",$BI114*AX114,VALUE('Capacity summary'!AX26)),0),AX114*$BI114),AX114*$BI114),0)</f>
        <v>0</v>
      </c>
      <c r="DB114" s="5">
        <f>IF($BI114&lt;&gt;"",IF('Capacity summary'!$C$14="Yes",IF(COUNTBLANK('Capacity summary'!$H26:$BG26)&lt;52,IF('Capacity summary'!AY26&lt;&gt;"",IF(LOWER('Capacity summary'!AY26)="x",$BI114*AY114,VALUE('Capacity summary'!AY26)),0),AY114*$BI114),AY114*$BI114),0)</f>
        <v>0</v>
      </c>
      <c r="DC114" s="5">
        <f>IF($BI114&lt;&gt;"",IF('Capacity summary'!$C$14="Yes",IF(COUNTBLANK('Capacity summary'!$H26:$BG26)&lt;52,IF('Capacity summary'!AZ26&lt;&gt;"",IF(LOWER('Capacity summary'!AZ26)="x",$BI114*AZ114,VALUE('Capacity summary'!AZ26)),0),AZ114*$BI114),AZ114*$BI114),0)</f>
        <v>0</v>
      </c>
      <c r="DD114" s="5">
        <f>IF($BI114&lt;&gt;"",IF('Capacity summary'!$C$14="Yes",IF(COUNTBLANK('Capacity summary'!$H26:$BG26)&lt;52,IF('Capacity summary'!BA26&lt;&gt;"",IF(LOWER('Capacity summary'!BA26)="x",$BI114*BA114,VALUE('Capacity summary'!BA26)),0),BA114*$BI114),BA114*$BI114),0)</f>
        <v>0</v>
      </c>
      <c r="DE114" s="5">
        <f>IF($BI114&lt;&gt;"",IF('Capacity summary'!$C$14="Yes",IF(COUNTBLANK('Capacity summary'!$H26:$BG26)&lt;52,IF('Capacity summary'!BB26&lt;&gt;"",IF(LOWER('Capacity summary'!BB26)="x",$BI114*BB114,VALUE('Capacity summary'!BB26)),0),BB114*$BI114),BB114*$BI114),0)</f>
        <v>0</v>
      </c>
      <c r="DF114" s="5">
        <f>IF($BI114&lt;&gt;"",IF('Capacity summary'!$C$14="Yes",IF(COUNTBLANK('Capacity summary'!$H26:$BG26)&lt;52,IF('Capacity summary'!BC26&lt;&gt;"",IF(LOWER('Capacity summary'!BC26)="x",$BI114*BC114,VALUE('Capacity summary'!BC26)),0),BC114*$BI114),BC114*$BI114),0)</f>
        <v>0</v>
      </c>
      <c r="DG114" s="5">
        <f>IF($BI114&lt;&gt;"",IF('Capacity summary'!$C$14="Yes",IF(COUNTBLANK('Capacity summary'!$H26:$BG26)&lt;52,IF('Capacity summary'!BD26&lt;&gt;"",IF(LOWER('Capacity summary'!BD26)="x",$BI114*BD114,VALUE('Capacity summary'!BD26)),0),BD114*$BI114),BD114*$BI114),0)</f>
        <v>0</v>
      </c>
      <c r="DH114" s="5">
        <f>IF($BI114&lt;&gt;"",IF('Capacity summary'!$C$14="Yes",IF(COUNTBLANK('Capacity summary'!$H26:$BG26)&lt;52,IF('Capacity summary'!BE26&lt;&gt;"",IF(LOWER('Capacity summary'!BE26)="x",$BI114*BE114,VALUE('Capacity summary'!BE26)),0),BE114*$BI114),BE114*$BI114),0)</f>
        <v>0</v>
      </c>
      <c r="DI114" s="5">
        <f>IF($BI114&lt;&gt;"",IF('Capacity summary'!$C$14="Yes",IF(COUNTBLANK('Capacity summary'!$H26:$BG26)&lt;52,IF('Capacity summary'!BF26&lt;&gt;"",IF(LOWER('Capacity summary'!BF26)="x",$BI114*BF114,VALUE('Capacity summary'!BF26)),0),BF114*$BI114),BF114*$BI114),0)</f>
        <v>0</v>
      </c>
      <c r="DJ114" s="5">
        <f>IF($BI114&lt;&gt;"",IF('Capacity summary'!$C$14="Yes",IF(COUNTBLANK('Capacity summary'!$H26:$BG26)&lt;52,IF('Capacity summary'!BG26&lt;&gt;"",IF(LOWER('Capacity summary'!BG26)="x",$BI114*BG114,VALUE('Capacity summary'!BG26)),0),BG114*$BI114),BG114*$BI114),0)</f>
        <v>0</v>
      </c>
      <c r="DK114" s="5">
        <f t="shared" ref="DK114" si="8">SUM(DK115:DK214)</f>
        <v>0</v>
      </c>
    </row>
    <row r="115" spans="3:115" x14ac:dyDescent="0.25">
      <c r="C115" s="67" t="str">
        <f>ROW(A4)&amp;". "&amp;Capacity!N20</f>
        <v xml:space="preserve">4. </v>
      </c>
      <c r="D115" s="67">
        <f>'Capacity setup'!C121</f>
        <v>0</v>
      </c>
      <c r="E115" s="67">
        <f>'Capacity setup'!D121</f>
        <v>0</v>
      </c>
      <c r="F115" s="67">
        <f>'Capacity setup'!E121</f>
        <v>0</v>
      </c>
      <c r="H115" s="67">
        <f ca="1">IF(AND(SUMIF(Capacity_Resource,$D115,'Critical resources (hide)'!U$6:U$105)+SUMIF(Capacity_Resource,$E115,'Critical resources (hide)'!U$6:U$105)+SUMIF(Capacity_Resource,$F115,'Critical resources (hide)'!U$6:U$105)&gt;0,$E$1=2),0,1)</f>
        <v>1</v>
      </c>
      <c r="I115" s="67">
        <f ca="1">IF(AND(SUMIF(Capacity_Resource,$D115,'Critical resources (hide)'!V$6:V$105)+SUMIF(Capacity_Resource,$E115,'Critical resources (hide)'!V$6:V$105)+SUMIF(Capacity_Resource,$F115,'Critical resources (hide)'!V$6:V$105)&gt;0,$E$1=2),0,1)</f>
        <v>1</v>
      </c>
      <c r="J115" s="67">
        <f ca="1">IF(AND(SUMIF(Capacity_Resource,$D115,'Critical resources (hide)'!W$6:W$105)+SUMIF(Capacity_Resource,$E115,'Critical resources (hide)'!W$6:W$105)+SUMIF(Capacity_Resource,$F115,'Critical resources (hide)'!W$6:W$105)&gt;0,$E$1=2),0,1)</f>
        <v>1</v>
      </c>
      <c r="K115" s="67">
        <f ca="1">IF(AND(SUMIF(Capacity_Resource,$D115,'Critical resources (hide)'!X$6:X$105)+SUMIF(Capacity_Resource,$E115,'Critical resources (hide)'!X$6:X$105)+SUMIF(Capacity_Resource,$F115,'Critical resources (hide)'!X$6:X$105)&gt;0,$E$1=2),0,1)</f>
        <v>1</v>
      </c>
      <c r="L115" s="67">
        <f ca="1">IF(AND(SUMIF(Capacity_Resource,$D115,'Critical resources (hide)'!Y$6:Y$105)+SUMIF(Capacity_Resource,$E115,'Critical resources (hide)'!Y$6:Y$105)+SUMIF(Capacity_Resource,$F115,'Critical resources (hide)'!Y$6:Y$105)&gt;0,$E$1=2),0,1)</f>
        <v>1</v>
      </c>
      <c r="M115" s="67">
        <f ca="1">IF(AND(SUMIF(Capacity_Resource,$D115,'Critical resources (hide)'!Z$6:Z$105)+SUMIF(Capacity_Resource,$E115,'Critical resources (hide)'!Z$6:Z$105)+SUMIF(Capacity_Resource,$F115,'Critical resources (hide)'!Z$6:Z$105)&gt;0,$E$1=2),0,1)</f>
        <v>1</v>
      </c>
      <c r="N115" s="67">
        <f ca="1">IF(AND(SUMIF(Capacity_Resource,$D115,'Critical resources (hide)'!AA$6:AA$105)+SUMIF(Capacity_Resource,$E115,'Critical resources (hide)'!AA$6:AA$105)+SUMIF(Capacity_Resource,$F115,'Critical resources (hide)'!AA$6:AA$105)&gt;0,$E$1=2),0,1)</f>
        <v>1</v>
      </c>
      <c r="O115" s="67">
        <f ca="1">IF(AND(SUMIF(Capacity_Resource,$D115,'Critical resources (hide)'!AB$6:AB$105)+SUMIF(Capacity_Resource,$E115,'Critical resources (hide)'!AB$6:AB$105)+SUMIF(Capacity_Resource,$F115,'Critical resources (hide)'!AB$6:AB$105)&gt;0,$E$1=2),0,1)</f>
        <v>1</v>
      </c>
      <c r="P115" s="67">
        <f ca="1">IF(AND(SUMIF(Capacity_Resource,$D115,'Critical resources (hide)'!AC$6:AC$105)+SUMIF(Capacity_Resource,$E115,'Critical resources (hide)'!AC$6:AC$105)+SUMIF(Capacity_Resource,$F115,'Critical resources (hide)'!AC$6:AC$105)&gt;0,$E$1=2),0,1)</f>
        <v>1</v>
      </c>
      <c r="Q115" s="67">
        <f ca="1">IF(AND(SUMIF(Capacity_Resource,$D115,'Critical resources (hide)'!AD$6:AD$105)+SUMIF(Capacity_Resource,$E115,'Critical resources (hide)'!AD$6:AD$105)+SUMIF(Capacity_Resource,$F115,'Critical resources (hide)'!AD$6:AD$105)&gt;0,$E$1=2),0,1)</f>
        <v>1</v>
      </c>
      <c r="R115" s="67">
        <f ca="1">IF(AND(SUMIF(Capacity_Resource,$D115,'Critical resources (hide)'!AE$6:AE$105)+SUMIF(Capacity_Resource,$E115,'Critical resources (hide)'!AE$6:AE$105)+SUMIF(Capacity_Resource,$F115,'Critical resources (hide)'!AE$6:AE$105)&gt;0,$E$1=2),0,1)</f>
        <v>1</v>
      </c>
      <c r="S115" s="67">
        <f ca="1">IF(AND(SUMIF(Capacity_Resource,$D115,'Critical resources (hide)'!AF$6:AF$105)+SUMIF(Capacity_Resource,$E115,'Critical resources (hide)'!AF$6:AF$105)+SUMIF(Capacity_Resource,$F115,'Critical resources (hide)'!AF$6:AF$105)&gt;0,$E$1=2),0,1)</f>
        <v>1</v>
      </c>
      <c r="T115" s="67">
        <f ca="1">IF(AND(SUMIF(Capacity_Resource,$D115,'Critical resources (hide)'!AG$6:AG$105)+SUMIF(Capacity_Resource,$E115,'Critical resources (hide)'!AG$6:AG$105)+SUMIF(Capacity_Resource,$F115,'Critical resources (hide)'!AG$6:AG$105)&gt;0,$E$1=2),0,1)</f>
        <v>1</v>
      </c>
      <c r="U115" s="67">
        <f ca="1">IF(AND(SUMIF(Capacity_Resource,$D115,'Critical resources (hide)'!AH$6:AH$105)+SUMIF(Capacity_Resource,$E115,'Critical resources (hide)'!AH$6:AH$105)+SUMIF(Capacity_Resource,$F115,'Critical resources (hide)'!AH$6:AH$105)&gt;0,$E$1=2),0,1)</f>
        <v>1</v>
      </c>
      <c r="V115" s="67">
        <f ca="1">IF(AND(SUMIF(Capacity_Resource,$D115,'Critical resources (hide)'!AI$6:AI$105)+SUMIF(Capacity_Resource,$E115,'Critical resources (hide)'!AI$6:AI$105)+SUMIF(Capacity_Resource,$F115,'Critical resources (hide)'!AI$6:AI$105)&gt;0,$E$1=2),0,1)</f>
        <v>1</v>
      </c>
      <c r="W115" s="67">
        <f ca="1">IF(AND(SUMIF(Capacity_Resource,$D115,'Critical resources (hide)'!AJ$6:AJ$105)+SUMIF(Capacity_Resource,$E115,'Critical resources (hide)'!AJ$6:AJ$105)+SUMIF(Capacity_Resource,$F115,'Critical resources (hide)'!AJ$6:AJ$105)&gt;0,$E$1=2),0,1)</f>
        <v>1</v>
      </c>
      <c r="X115" s="67">
        <f ca="1">IF(AND(SUMIF(Capacity_Resource,$D115,'Critical resources (hide)'!AK$6:AK$105)+SUMIF(Capacity_Resource,$E115,'Critical resources (hide)'!AK$6:AK$105)+SUMIF(Capacity_Resource,$F115,'Critical resources (hide)'!AK$6:AK$105)&gt;0,$E$1=2),0,1)</f>
        <v>1</v>
      </c>
      <c r="Y115" s="67">
        <f ca="1">IF(AND(SUMIF(Capacity_Resource,$D115,'Critical resources (hide)'!AL$6:AL$105)+SUMIF(Capacity_Resource,$E115,'Critical resources (hide)'!AL$6:AL$105)+SUMIF(Capacity_Resource,$F115,'Critical resources (hide)'!AL$6:AL$105)&gt;0,$E$1=2),0,1)</f>
        <v>1</v>
      </c>
      <c r="Z115" s="67">
        <f ca="1">IF(AND(SUMIF(Capacity_Resource,$D115,'Critical resources (hide)'!AM$6:AM$105)+SUMIF(Capacity_Resource,$E115,'Critical resources (hide)'!AM$6:AM$105)+SUMIF(Capacity_Resource,$F115,'Critical resources (hide)'!AM$6:AM$105)&gt;0,$E$1=2),0,1)</f>
        <v>1</v>
      </c>
      <c r="AA115" s="67">
        <f ca="1">IF(AND(SUMIF(Capacity_Resource,$D115,'Critical resources (hide)'!AN$6:AN$105)+SUMIF(Capacity_Resource,$E115,'Critical resources (hide)'!AN$6:AN$105)+SUMIF(Capacity_Resource,$F115,'Critical resources (hide)'!AN$6:AN$105)&gt;0,$E$1=2),0,1)</f>
        <v>1</v>
      </c>
      <c r="AB115" s="67">
        <f ca="1">IF(AND(SUMIF(Capacity_Resource,$D115,'Critical resources (hide)'!AO$6:AO$105)+SUMIF(Capacity_Resource,$E115,'Critical resources (hide)'!AO$6:AO$105)+SUMIF(Capacity_Resource,$F115,'Critical resources (hide)'!AO$6:AO$105)&gt;0,$E$1=2),0,1)</f>
        <v>1</v>
      </c>
      <c r="AC115" s="67">
        <f ca="1">IF(AND(SUMIF(Capacity_Resource,$D115,'Critical resources (hide)'!AP$6:AP$105)+SUMIF(Capacity_Resource,$E115,'Critical resources (hide)'!AP$6:AP$105)+SUMIF(Capacity_Resource,$F115,'Critical resources (hide)'!AP$6:AP$105)&gt;0,$E$1=2),0,1)</f>
        <v>1</v>
      </c>
      <c r="AD115" s="67">
        <f ca="1">IF(AND(SUMIF(Capacity_Resource,$D115,'Critical resources (hide)'!AQ$6:AQ$105)+SUMIF(Capacity_Resource,$E115,'Critical resources (hide)'!AQ$6:AQ$105)+SUMIF(Capacity_Resource,$F115,'Critical resources (hide)'!AQ$6:AQ$105)&gt;0,$E$1=2),0,1)</f>
        <v>1</v>
      </c>
      <c r="AE115" s="67">
        <f ca="1">IF(AND(SUMIF(Capacity_Resource,$D115,'Critical resources (hide)'!AR$6:AR$105)+SUMIF(Capacity_Resource,$E115,'Critical resources (hide)'!AR$6:AR$105)+SUMIF(Capacity_Resource,$F115,'Critical resources (hide)'!AR$6:AR$105)&gt;0,$E$1=2),0,1)</f>
        <v>1</v>
      </c>
      <c r="AF115" s="67">
        <f ca="1">IF(AND(SUMIF(Capacity_Resource,$D115,'Critical resources (hide)'!AS$6:AS$105)+SUMIF(Capacity_Resource,$E115,'Critical resources (hide)'!AS$6:AS$105)+SUMIF(Capacity_Resource,$F115,'Critical resources (hide)'!AS$6:AS$105)&gt;0,$E$1=2),0,1)</f>
        <v>1</v>
      </c>
      <c r="AG115" s="67">
        <f ca="1">IF(AND(SUMIF(Capacity_Resource,$D115,'Critical resources (hide)'!AT$6:AT$105)+SUMIF(Capacity_Resource,$E115,'Critical resources (hide)'!AT$6:AT$105)+SUMIF(Capacity_Resource,$F115,'Critical resources (hide)'!AT$6:AT$105)&gt;0,$E$1=2),0,1)</f>
        <v>1</v>
      </c>
      <c r="AH115" s="67">
        <f ca="1">IF(AND(SUMIF(Capacity_Resource,$D115,'Critical resources (hide)'!AU$6:AU$105)+SUMIF(Capacity_Resource,$E115,'Critical resources (hide)'!AU$6:AU$105)+SUMIF(Capacity_Resource,$F115,'Critical resources (hide)'!AU$6:AU$105)&gt;0,$E$1=2),0,1)</f>
        <v>1</v>
      </c>
      <c r="AI115" s="67">
        <f ca="1">IF(AND(SUMIF(Capacity_Resource,$D115,'Critical resources (hide)'!AV$6:AV$105)+SUMIF(Capacity_Resource,$E115,'Critical resources (hide)'!AV$6:AV$105)+SUMIF(Capacity_Resource,$F115,'Critical resources (hide)'!AV$6:AV$105)&gt;0,$E$1=2),0,1)</f>
        <v>1</v>
      </c>
      <c r="AJ115" s="67">
        <f ca="1">IF(AND(SUMIF(Capacity_Resource,$D115,'Critical resources (hide)'!AW$6:AW$105)+SUMIF(Capacity_Resource,$E115,'Critical resources (hide)'!AW$6:AW$105)+SUMIF(Capacity_Resource,$F115,'Critical resources (hide)'!AW$6:AW$105)&gt;0,$E$1=2),0,1)</f>
        <v>1</v>
      </c>
      <c r="AK115" s="67">
        <f ca="1">IF(AND(SUMIF(Capacity_Resource,$D115,'Critical resources (hide)'!AX$6:AX$105)+SUMIF(Capacity_Resource,$E115,'Critical resources (hide)'!AX$6:AX$105)+SUMIF(Capacity_Resource,$F115,'Critical resources (hide)'!AX$6:AX$105)&gt;0,$E$1=2),0,1)</f>
        <v>1</v>
      </c>
      <c r="AL115" s="67">
        <f ca="1">IF(AND(SUMIF(Capacity_Resource,$D115,'Critical resources (hide)'!AY$6:AY$105)+SUMIF(Capacity_Resource,$E115,'Critical resources (hide)'!AY$6:AY$105)+SUMIF(Capacity_Resource,$F115,'Critical resources (hide)'!AY$6:AY$105)&gt;0,$E$1=2),0,1)</f>
        <v>1</v>
      </c>
      <c r="AM115" s="67">
        <f ca="1">IF(AND(SUMIF(Capacity_Resource,$D115,'Critical resources (hide)'!AZ$6:AZ$105)+SUMIF(Capacity_Resource,$E115,'Critical resources (hide)'!AZ$6:AZ$105)+SUMIF(Capacity_Resource,$F115,'Critical resources (hide)'!AZ$6:AZ$105)&gt;0,$E$1=2),0,1)</f>
        <v>1</v>
      </c>
      <c r="AN115" s="67">
        <f ca="1">IF(AND(SUMIF(Capacity_Resource,$D115,'Critical resources (hide)'!BA$6:BA$105)+SUMIF(Capacity_Resource,$E115,'Critical resources (hide)'!BA$6:BA$105)+SUMIF(Capacity_Resource,$F115,'Critical resources (hide)'!BA$6:BA$105)&gt;0,$E$1=2),0,1)</f>
        <v>1</v>
      </c>
      <c r="AO115" s="67">
        <f ca="1">IF(AND(SUMIF(Capacity_Resource,$D115,'Critical resources (hide)'!BB$6:BB$105)+SUMIF(Capacity_Resource,$E115,'Critical resources (hide)'!BB$6:BB$105)+SUMIF(Capacity_Resource,$F115,'Critical resources (hide)'!BB$6:BB$105)&gt;0,$E$1=2),0,1)</f>
        <v>1</v>
      </c>
      <c r="AP115" s="67">
        <f ca="1">IF(AND(SUMIF(Capacity_Resource,$D115,'Critical resources (hide)'!BC$6:BC$105)+SUMIF(Capacity_Resource,$E115,'Critical resources (hide)'!BC$6:BC$105)+SUMIF(Capacity_Resource,$F115,'Critical resources (hide)'!BC$6:BC$105)&gt;0,$E$1=2),0,1)</f>
        <v>1</v>
      </c>
      <c r="AQ115" s="67">
        <f ca="1">IF(AND(SUMIF(Capacity_Resource,$D115,'Critical resources (hide)'!BD$6:BD$105)+SUMIF(Capacity_Resource,$E115,'Critical resources (hide)'!BD$6:BD$105)+SUMIF(Capacity_Resource,$F115,'Critical resources (hide)'!BD$6:BD$105)&gt;0,$E$1=2),0,1)</f>
        <v>1</v>
      </c>
      <c r="AR115" s="67">
        <f ca="1">IF(AND(SUMIF(Capacity_Resource,$D115,'Critical resources (hide)'!BE$6:BE$105)+SUMIF(Capacity_Resource,$E115,'Critical resources (hide)'!BE$6:BE$105)+SUMIF(Capacity_Resource,$F115,'Critical resources (hide)'!BE$6:BE$105)&gt;0,$E$1=2),0,1)</f>
        <v>1</v>
      </c>
      <c r="AS115" s="67">
        <f ca="1">IF(AND(SUMIF(Capacity_Resource,$D115,'Critical resources (hide)'!BF$6:BF$105)+SUMIF(Capacity_Resource,$E115,'Critical resources (hide)'!BF$6:BF$105)+SUMIF(Capacity_Resource,$F115,'Critical resources (hide)'!BF$6:BF$105)&gt;0,$E$1=2),0,1)</f>
        <v>1</v>
      </c>
      <c r="AT115" s="67">
        <f ca="1">IF(AND(SUMIF(Capacity_Resource,$D115,'Critical resources (hide)'!BG$6:BG$105)+SUMIF(Capacity_Resource,$E115,'Critical resources (hide)'!BG$6:BG$105)+SUMIF(Capacity_Resource,$F115,'Critical resources (hide)'!BG$6:BG$105)&gt;0,$E$1=2),0,1)</f>
        <v>1</v>
      </c>
      <c r="AU115" s="67">
        <f ca="1">IF(AND(SUMIF(Capacity_Resource,$D115,'Critical resources (hide)'!BH$6:BH$105)+SUMIF(Capacity_Resource,$E115,'Critical resources (hide)'!BH$6:BH$105)+SUMIF(Capacity_Resource,$F115,'Critical resources (hide)'!BH$6:BH$105)&gt;0,$E$1=2),0,1)</f>
        <v>1</v>
      </c>
      <c r="AV115" s="67">
        <f ca="1">IF(AND(SUMIF(Capacity_Resource,$D115,'Critical resources (hide)'!BI$6:BI$105)+SUMIF(Capacity_Resource,$E115,'Critical resources (hide)'!BI$6:BI$105)+SUMIF(Capacity_Resource,$F115,'Critical resources (hide)'!BI$6:BI$105)&gt;0,$E$1=2),0,1)</f>
        <v>1</v>
      </c>
      <c r="AW115" s="67">
        <f ca="1">IF(AND(SUMIF(Capacity_Resource,$D115,'Critical resources (hide)'!BJ$6:BJ$105)+SUMIF(Capacity_Resource,$E115,'Critical resources (hide)'!BJ$6:BJ$105)+SUMIF(Capacity_Resource,$F115,'Critical resources (hide)'!BJ$6:BJ$105)&gt;0,$E$1=2),0,1)</f>
        <v>1</v>
      </c>
      <c r="AX115" s="67">
        <f ca="1">IF(AND(SUMIF(Capacity_Resource,$D115,'Critical resources (hide)'!BK$6:BK$105)+SUMIF(Capacity_Resource,$E115,'Critical resources (hide)'!BK$6:BK$105)+SUMIF(Capacity_Resource,$F115,'Critical resources (hide)'!BK$6:BK$105)&gt;0,$E$1=2),0,1)</f>
        <v>1</v>
      </c>
      <c r="AY115" s="67">
        <f ca="1">IF(AND(SUMIF(Capacity_Resource,$D115,'Critical resources (hide)'!BL$6:BL$105)+SUMIF(Capacity_Resource,$E115,'Critical resources (hide)'!BL$6:BL$105)+SUMIF(Capacity_Resource,$F115,'Critical resources (hide)'!BL$6:BL$105)&gt;0,$E$1=2),0,1)</f>
        <v>1</v>
      </c>
      <c r="AZ115" s="67">
        <f ca="1">IF(AND(SUMIF(Capacity_Resource,$D115,'Critical resources (hide)'!BM$6:BM$105)+SUMIF(Capacity_Resource,$E115,'Critical resources (hide)'!BM$6:BM$105)+SUMIF(Capacity_Resource,$F115,'Critical resources (hide)'!BM$6:BM$105)&gt;0,$E$1=2),0,1)</f>
        <v>1</v>
      </c>
      <c r="BA115" s="67">
        <f ca="1">IF(AND(SUMIF(Capacity_Resource,$D115,'Critical resources (hide)'!BN$6:BN$105)+SUMIF(Capacity_Resource,$E115,'Critical resources (hide)'!BN$6:BN$105)+SUMIF(Capacity_Resource,$F115,'Critical resources (hide)'!BN$6:BN$105)&gt;0,$E$1=2),0,1)</f>
        <v>1</v>
      </c>
      <c r="BB115" s="67">
        <f ca="1">IF(AND(SUMIF(Capacity_Resource,$D115,'Critical resources (hide)'!BO$6:BO$105)+SUMIF(Capacity_Resource,$E115,'Critical resources (hide)'!BO$6:BO$105)+SUMIF(Capacity_Resource,$F115,'Critical resources (hide)'!BO$6:BO$105)&gt;0,$E$1=2),0,1)</f>
        <v>1</v>
      </c>
      <c r="BC115" s="67">
        <f ca="1">IF(AND(SUMIF(Capacity_Resource,$D115,'Critical resources (hide)'!BP$6:BP$105)+SUMIF(Capacity_Resource,$E115,'Critical resources (hide)'!BP$6:BP$105)+SUMIF(Capacity_Resource,$F115,'Critical resources (hide)'!BP$6:BP$105)&gt;0,$E$1=2),0,1)</f>
        <v>1</v>
      </c>
      <c r="BD115" s="67">
        <f ca="1">IF(AND(SUMIF(Capacity_Resource,$D115,'Critical resources (hide)'!BQ$6:BQ$105)+SUMIF(Capacity_Resource,$E115,'Critical resources (hide)'!BQ$6:BQ$105)+SUMIF(Capacity_Resource,$F115,'Critical resources (hide)'!BQ$6:BQ$105)&gt;0,$E$1=2),0,1)</f>
        <v>1</v>
      </c>
      <c r="BE115" s="67">
        <f ca="1">IF(AND(SUMIF(Capacity_Resource,$D115,'Critical resources (hide)'!BR$6:BR$105)+SUMIF(Capacity_Resource,$E115,'Critical resources (hide)'!BR$6:BR$105)+SUMIF(Capacity_Resource,$F115,'Critical resources (hide)'!BR$6:BR$105)&gt;0,$E$1=2),0,1)</f>
        <v>1</v>
      </c>
      <c r="BF115" s="67">
        <f ca="1">IF(AND(SUMIF(Capacity_Resource,$D115,'Critical resources (hide)'!BS$6:BS$105)+SUMIF(Capacity_Resource,$E115,'Critical resources (hide)'!BS$6:BS$105)+SUMIF(Capacity_Resource,$F115,'Critical resources (hide)'!BS$6:BS$105)&gt;0,$E$1=2),0,1)</f>
        <v>1</v>
      </c>
      <c r="BG115" s="67">
        <f ca="1">IF(AND(SUMIF(Capacity_Resource,$D115,'Critical resources (hide)'!BT$6:BT$105)+SUMIF(Capacity_Resource,$E115,'Critical resources (hide)'!BT$6:BT$105)+SUMIF(Capacity_Resource,$F115,'Critical resources (hide)'!BT$6:BT$105)&gt;0,$E$1=2),0,1)</f>
        <v>1</v>
      </c>
      <c r="BH115" s="67">
        <f>IF(ROW(A4)&lt;=Capacity!$M$16,IF('Capacity summary'!$C$14="No",SUM(H115:BG115),'Capacity summary'!$E27),0)</f>
        <v>0</v>
      </c>
      <c r="BI115" s="67" t="str">
        <f>IF(BH115&gt;0,IF(BH115&lt;Capacity!Q20,Capacity!R20,Capacity!T20/'Capacity calculation (hide)'!BH115),"")</f>
        <v/>
      </c>
      <c r="BJ115" s="5"/>
      <c r="BK115" s="5">
        <f>IF($BI115&lt;&gt;"",IF('Capacity summary'!$C$14="Yes",IF(COUNTBLANK('Capacity summary'!$H27:$BG27)&lt;52,IF('Capacity summary'!H27&lt;&gt;"",IF(LOWER('Capacity summary'!H27)="x",$BI115*H115,VALUE('Capacity summary'!H27)),0),H115*$BI115),H115*$BI115),0)</f>
        <v>0</v>
      </c>
      <c r="BL115" s="5">
        <f>IF($BI115&lt;&gt;"",IF('Capacity summary'!$C$14="Yes",IF(COUNTBLANK('Capacity summary'!$H27:$BG27)&lt;52,IF('Capacity summary'!I27&lt;&gt;"",IF(LOWER('Capacity summary'!I27)="x",$BI115*I115,VALUE('Capacity summary'!I27)),0),I115*$BI115),I115*$BI115),0)</f>
        <v>0</v>
      </c>
      <c r="BM115" s="5">
        <f>IF($BI115&lt;&gt;"",IF('Capacity summary'!$C$14="Yes",IF(COUNTBLANK('Capacity summary'!$H27:$BG27)&lt;52,IF('Capacity summary'!J27&lt;&gt;"",IF(LOWER('Capacity summary'!J27)="x",$BI115*J115,VALUE('Capacity summary'!J27)),0),J115*$BI115),J115*$BI115),0)</f>
        <v>0</v>
      </c>
      <c r="BN115" s="5">
        <f>IF($BI115&lt;&gt;"",IF('Capacity summary'!$C$14="Yes",IF(COUNTBLANK('Capacity summary'!$H27:$BG27)&lt;52,IF('Capacity summary'!K27&lt;&gt;"",IF(LOWER('Capacity summary'!K27)="x",$BI115*K115,VALUE('Capacity summary'!K27)),0),K115*$BI115),K115*$BI115),0)</f>
        <v>0</v>
      </c>
      <c r="BO115" s="5">
        <f>IF($BI115&lt;&gt;"",IF('Capacity summary'!$C$14="Yes",IF(COUNTBLANK('Capacity summary'!$H27:$BG27)&lt;52,IF('Capacity summary'!L27&lt;&gt;"",IF(LOWER('Capacity summary'!L27)="x",$BI115*L115,VALUE('Capacity summary'!L27)),0),L115*$BI115),L115*$BI115),0)</f>
        <v>0</v>
      </c>
      <c r="BP115" s="5">
        <f>IF($BI115&lt;&gt;"",IF('Capacity summary'!$C$14="Yes",IF(COUNTBLANK('Capacity summary'!$H27:$BG27)&lt;52,IF('Capacity summary'!M27&lt;&gt;"",IF(LOWER('Capacity summary'!M27)="x",$BI115*M115,VALUE('Capacity summary'!M27)),0),M115*$BI115),M115*$BI115),0)</f>
        <v>0</v>
      </c>
      <c r="BQ115" s="5">
        <f>IF($BI115&lt;&gt;"",IF('Capacity summary'!$C$14="Yes",IF(COUNTBLANK('Capacity summary'!$H27:$BG27)&lt;52,IF('Capacity summary'!N27&lt;&gt;"",IF(LOWER('Capacity summary'!N27)="x",$BI115*N115,VALUE('Capacity summary'!N27)),0),N115*$BI115),N115*$BI115),0)</f>
        <v>0</v>
      </c>
      <c r="BR115" s="5">
        <f>IF($BI115&lt;&gt;"",IF('Capacity summary'!$C$14="Yes",IF(COUNTBLANK('Capacity summary'!$H27:$BG27)&lt;52,IF('Capacity summary'!O27&lt;&gt;"",IF(LOWER('Capacity summary'!O27)="x",$BI115*O115,VALUE('Capacity summary'!O27)),0),O115*$BI115),O115*$BI115),0)</f>
        <v>0</v>
      </c>
      <c r="BS115" s="5">
        <f>IF($BI115&lt;&gt;"",IF('Capacity summary'!$C$14="Yes",IF(COUNTBLANK('Capacity summary'!$H27:$BG27)&lt;52,IF('Capacity summary'!P27&lt;&gt;"",IF(LOWER('Capacity summary'!P27)="x",$BI115*P115,VALUE('Capacity summary'!P27)),0),P115*$BI115),P115*$BI115),0)</f>
        <v>0</v>
      </c>
      <c r="BT115" s="5">
        <f>IF($BI115&lt;&gt;"",IF('Capacity summary'!$C$14="Yes",IF(COUNTBLANK('Capacity summary'!$H27:$BG27)&lt;52,IF('Capacity summary'!Q27&lt;&gt;"",IF(LOWER('Capacity summary'!Q27)="x",$BI115*Q115,VALUE('Capacity summary'!Q27)),0),Q115*$BI115),Q115*$BI115),0)</f>
        <v>0</v>
      </c>
      <c r="BU115" s="5">
        <f>IF($BI115&lt;&gt;"",IF('Capacity summary'!$C$14="Yes",IF(COUNTBLANK('Capacity summary'!$H27:$BG27)&lt;52,IF('Capacity summary'!R27&lt;&gt;"",IF(LOWER('Capacity summary'!R27)="x",$BI115*R115,VALUE('Capacity summary'!R27)),0),R115*$BI115),R115*$BI115),0)</f>
        <v>0</v>
      </c>
      <c r="BV115" s="5">
        <f>IF($BI115&lt;&gt;"",IF('Capacity summary'!$C$14="Yes",IF(COUNTBLANK('Capacity summary'!$H27:$BG27)&lt;52,IF('Capacity summary'!S27&lt;&gt;"",IF(LOWER('Capacity summary'!S27)="x",$BI115*S115,VALUE('Capacity summary'!S27)),0),S115*$BI115),S115*$BI115),0)</f>
        <v>0</v>
      </c>
      <c r="BW115" s="5">
        <f>IF($BI115&lt;&gt;"",IF('Capacity summary'!$C$14="Yes",IF(COUNTBLANK('Capacity summary'!$H27:$BG27)&lt;52,IF('Capacity summary'!T27&lt;&gt;"",IF(LOWER('Capacity summary'!T27)="x",$BI115*T115,VALUE('Capacity summary'!T27)),0),T115*$BI115),T115*$BI115),0)</f>
        <v>0</v>
      </c>
      <c r="BX115" s="5">
        <f>IF($BI115&lt;&gt;"",IF('Capacity summary'!$C$14="Yes",IF(COUNTBLANK('Capacity summary'!$H27:$BG27)&lt;52,IF('Capacity summary'!U27&lt;&gt;"",IF(LOWER('Capacity summary'!U27)="x",$BI115*U115,VALUE('Capacity summary'!U27)),0),U115*$BI115),U115*$BI115),0)</f>
        <v>0</v>
      </c>
      <c r="BY115" s="5">
        <f>IF($BI115&lt;&gt;"",IF('Capacity summary'!$C$14="Yes",IF(COUNTBLANK('Capacity summary'!$H27:$BG27)&lt;52,IF('Capacity summary'!V27&lt;&gt;"",IF(LOWER('Capacity summary'!V27)="x",$BI115*V115,VALUE('Capacity summary'!V27)),0),V115*$BI115),V115*$BI115),0)</f>
        <v>0</v>
      </c>
      <c r="BZ115" s="5">
        <f>IF($BI115&lt;&gt;"",IF('Capacity summary'!$C$14="Yes",IF(COUNTBLANK('Capacity summary'!$H27:$BG27)&lt;52,IF('Capacity summary'!W27&lt;&gt;"",IF(LOWER('Capacity summary'!W27)="x",$BI115*W115,VALUE('Capacity summary'!W27)),0),W115*$BI115),W115*$BI115),0)</f>
        <v>0</v>
      </c>
      <c r="CA115" s="5">
        <f>IF($BI115&lt;&gt;"",IF('Capacity summary'!$C$14="Yes",IF(COUNTBLANK('Capacity summary'!$H27:$BG27)&lt;52,IF('Capacity summary'!X27&lt;&gt;"",IF(LOWER('Capacity summary'!X27)="x",$BI115*X115,VALUE('Capacity summary'!X27)),0),X115*$BI115),X115*$BI115),0)</f>
        <v>0</v>
      </c>
      <c r="CB115" s="5">
        <f>IF($BI115&lt;&gt;"",IF('Capacity summary'!$C$14="Yes",IF(COUNTBLANK('Capacity summary'!$H27:$BG27)&lt;52,IF('Capacity summary'!Y27&lt;&gt;"",IF(LOWER('Capacity summary'!Y27)="x",$BI115*Y115,VALUE('Capacity summary'!Y27)),0),Y115*$BI115),Y115*$BI115),0)</f>
        <v>0</v>
      </c>
      <c r="CC115" s="5">
        <f>IF($BI115&lt;&gt;"",IF('Capacity summary'!$C$14="Yes",IF(COUNTBLANK('Capacity summary'!$H27:$BG27)&lt;52,IF('Capacity summary'!Z27&lt;&gt;"",IF(LOWER('Capacity summary'!Z27)="x",$BI115*Z115,VALUE('Capacity summary'!Z27)),0),Z115*$BI115),Z115*$BI115),0)</f>
        <v>0</v>
      </c>
      <c r="CD115" s="5">
        <f>IF($BI115&lt;&gt;"",IF('Capacity summary'!$C$14="Yes",IF(COUNTBLANK('Capacity summary'!$H27:$BG27)&lt;52,IF('Capacity summary'!AA27&lt;&gt;"",IF(LOWER('Capacity summary'!AA27)="x",$BI115*AA115,VALUE('Capacity summary'!AA27)),0),AA115*$BI115),AA115*$BI115),0)</f>
        <v>0</v>
      </c>
      <c r="CE115" s="5">
        <f>IF($BI115&lt;&gt;"",IF('Capacity summary'!$C$14="Yes",IF(COUNTBLANK('Capacity summary'!$H27:$BG27)&lt;52,IF('Capacity summary'!AB27&lt;&gt;"",IF(LOWER('Capacity summary'!AB27)="x",$BI115*AB115,VALUE('Capacity summary'!AB27)),0),AB115*$BI115),AB115*$BI115),0)</f>
        <v>0</v>
      </c>
      <c r="CF115" s="5">
        <f>IF($BI115&lt;&gt;"",IF('Capacity summary'!$C$14="Yes",IF(COUNTBLANK('Capacity summary'!$H27:$BG27)&lt;52,IF('Capacity summary'!AC27&lt;&gt;"",IF(LOWER('Capacity summary'!AC27)="x",$BI115*AC115,VALUE('Capacity summary'!AC27)),0),AC115*$BI115),AC115*$BI115),0)</f>
        <v>0</v>
      </c>
      <c r="CG115" s="5">
        <f>IF($BI115&lt;&gt;"",IF('Capacity summary'!$C$14="Yes",IF(COUNTBLANK('Capacity summary'!$H27:$BG27)&lt;52,IF('Capacity summary'!AD27&lt;&gt;"",IF(LOWER('Capacity summary'!AD27)="x",$BI115*AD115,VALUE('Capacity summary'!AD27)),0),AD115*$BI115),AD115*$BI115),0)</f>
        <v>0</v>
      </c>
      <c r="CH115" s="5">
        <f>IF($BI115&lt;&gt;"",IF('Capacity summary'!$C$14="Yes",IF(COUNTBLANK('Capacity summary'!$H27:$BG27)&lt;52,IF('Capacity summary'!AE27&lt;&gt;"",IF(LOWER('Capacity summary'!AE27)="x",$BI115*AE115,VALUE('Capacity summary'!AE27)),0),AE115*$BI115),AE115*$BI115),0)</f>
        <v>0</v>
      </c>
      <c r="CI115" s="5">
        <f>IF($BI115&lt;&gt;"",IF('Capacity summary'!$C$14="Yes",IF(COUNTBLANK('Capacity summary'!$H27:$BG27)&lt;52,IF('Capacity summary'!AF27&lt;&gt;"",IF(LOWER('Capacity summary'!AF27)="x",$BI115*AF115,VALUE('Capacity summary'!AF27)),0),AF115*$BI115),AF115*$BI115),0)</f>
        <v>0</v>
      </c>
      <c r="CJ115" s="5">
        <f>IF($BI115&lt;&gt;"",IF('Capacity summary'!$C$14="Yes",IF(COUNTBLANK('Capacity summary'!$H27:$BG27)&lt;52,IF('Capacity summary'!AG27&lt;&gt;"",IF(LOWER('Capacity summary'!AG27)="x",$BI115*AG115,VALUE('Capacity summary'!AG27)),0),AG115*$BI115),AG115*$BI115),0)</f>
        <v>0</v>
      </c>
      <c r="CK115" s="5">
        <f>IF($BI115&lt;&gt;"",IF('Capacity summary'!$C$14="Yes",IF(COUNTBLANK('Capacity summary'!$H27:$BG27)&lt;52,IF('Capacity summary'!AH27&lt;&gt;"",IF(LOWER('Capacity summary'!AH27)="x",$BI115*AH115,VALUE('Capacity summary'!AH27)),0),AH115*$BI115),AH115*$BI115),0)</f>
        <v>0</v>
      </c>
      <c r="CL115" s="5">
        <f>IF($BI115&lt;&gt;"",IF('Capacity summary'!$C$14="Yes",IF(COUNTBLANK('Capacity summary'!$H27:$BG27)&lt;52,IF('Capacity summary'!AI27&lt;&gt;"",IF(LOWER('Capacity summary'!AI27)="x",$BI115*AI115,VALUE('Capacity summary'!AI27)),0),AI115*$BI115),AI115*$BI115),0)</f>
        <v>0</v>
      </c>
      <c r="CM115" s="5">
        <f>IF($BI115&lt;&gt;"",IF('Capacity summary'!$C$14="Yes",IF(COUNTBLANK('Capacity summary'!$H27:$BG27)&lt;52,IF('Capacity summary'!AJ27&lt;&gt;"",IF(LOWER('Capacity summary'!AJ27)="x",$BI115*AJ115,VALUE('Capacity summary'!AJ27)),0),AJ115*$BI115),AJ115*$BI115),0)</f>
        <v>0</v>
      </c>
      <c r="CN115" s="5">
        <f>IF($BI115&lt;&gt;"",IF('Capacity summary'!$C$14="Yes",IF(COUNTBLANK('Capacity summary'!$H27:$BG27)&lt;52,IF('Capacity summary'!AK27&lt;&gt;"",IF(LOWER('Capacity summary'!AK27)="x",$BI115*AK115,VALUE('Capacity summary'!AK27)),0),AK115*$BI115),AK115*$BI115),0)</f>
        <v>0</v>
      </c>
      <c r="CO115" s="5">
        <f>IF($BI115&lt;&gt;"",IF('Capacity summary'!$C$14="Yes",IF(COUNTBLANK('Capacity summary'!$H27:$BG27)&lt;52,IF('Capacity summary'!AL27&lt;&gt;"",IF(LOWER('Capacity summary'!AL27)="x",$BI115*AL115,VALUE('Capacity summary'!AL27)),0),AL115*$BI115),AL115*$BI115),0)</f>
        <v>0</v>
      </c>
      <c r="CP115" s="5">
        <f>IF($BI115&lt;&gt;"",IF('Capacity summary'!$C$14="Yes",IF(COUNTBLANK('Capacity summary'!$H27:$BG27)&lt;52,IF('Capacity summary'!AM27&lt;&gt;"",IF(LOWER('Capacity summary'!AM27)="x",$BI115*AM115,VALUE('Capacity summary'!AM27)),0),AM115*$BI115),AM115*$BI115),0)</f>
        <v>0</v>
      </c>
      <c r="CQ115" s="5">
        <f>IF($BI115&lt;&gt;"",IF('Capacity summary'!$C$14="Yes",IF(COUNTBLANK('Capacity summary'!$H27:$BG27)&lt;52,IF('Capacity summary'!AN27&lt;&gt;"",IF(LOWER('Capacity summary'!AN27)="x",$BI115*AN115,VALUE('Capacity summary'!AN27)),0),AN115*$BI115),AN115*$BI115),0)</f>
        <v>0</v>
      </c>
      <c r="CR115" s="5">
        <f>IF($BI115&lt;&gt;"",IF('Capacity summary'!$C$14="Yes",IF(COUNTBLANK('Capacity summary'!$H27:$BG27)&lt;52,IF('Capacity summary'!AO27&lt;&gt;"",IF(LOWER('Capacity summary'!AO27)="x",$BI115*AO115,VALUE('Capacity summary'!AO27)),0),AO115*$BI115),AO115*$BI115),0)</f>
        <v>0</v>
      </c>
      <c r="CS115" s="5">
        <f>IF($BI115&lt;&gt;"",IF('Capacity summary'!$C$14="Yes",IF(COUNTBLANK('Capacity summary'!$H27:$BG27)&lt;52,IF('Capacity summary'!AP27&lt;&gt;"",IF(LOWER('Capacity summary'!AP27)="x",$BI115*AP115,VALUE('Capacity summary'!AP27)),0),AP115*$BI115),AP115*$BI115),0)</f>
        <v>0</v>
      </c>
      <c r="CT115" s="5">
        <f>IF($BI115&lt;&gt;"",IF('Capacity summary'!$C$14="Yes",IF(COUNTBLANK('Capacity summary'!$H27:$BG27)&lt;52,IF('Capacity summary'!AQ27&lt;&gt;"",IF(LOWER('Capacity summary'!AQ27)="x",$BI115*AQ115,VALUE('Capacity summary'!AQ27)),0),AQ115*$BI115),AQ115*$BI115),0)</f>
        <v>0</v>
      </c>
      <c r="CU115" s="5">
        <f>IF($BI115&lt;&gt;"",IF('Capacity summary'!$C$14="Yes",IF(COUNTBLANK('Capacity summary'!$H27:$BG27)&lt;52,IF('Capacity summary'!AR27&lt;&gt;"",IF(LOWER('Capacity summary'!AR27)="x",$BI115*AR115,VALUE('Capacity summary'!AR27)),0),AR115*$BI115),AR115*$BI115),0)</f>
        <v>0</v>
      </c>
      <c r="CV115" s="5">
        <f>IF($BI115&lt;&gt;"",IF('Capacity summary'!$C$14="Yes",IF(COUNTBLANK('Capacity summary'!$H27:$BG27)&lt;52,IF('Capacity summary'!AS27&lt;&gt;"",IF(LOWER('Capacity summary'!AS27)="x",$BI115*AS115,VALUE('Capacity summary'!AS27)),0),AS115*$BI115),AS115*$BI115),0)</f>
        <v>0</v>
      </c>
      <c r="CW115" s="5">
        <f>IF($BI115&lt;&gt;"",IF('Capacity summary'!$C$14="Yes",IF(COUNTBLANK('Capacity summary'!$H27:$BG27)&lt;52,IF('Capacity summary'!AT27&lt;&gt;"",IF(LOWER('Capacity summary'!AT27)="x",$BI115*AT115,VALUE('Capacity summary'!AT27)),0),AT115*$BI115),AT115*$BI115),0)</f>
        <v>0</v>
      </c>
      <c r="CX115" s="5">
        <f>IF($BI115&lt;&gt;"",IF('Capacity summary'!$C$14="Yes",IF(COUNTBLANK('Capacity summary'!$H27:$BG27)&lt;52,IF('Capacity summary'!AU27&lt;&gt;"",IF(LOWER('Capacity summary'!AU27)="x",$BI115*AU115,VALUE('Capacity summary'!AU27)),0),AU115*$BI115),AU115*$BI115),0)</f>
        <v>0</v>
      </c>
      <c r="CY115" s="5">
        <f>IF($BI115&lt;&gt;"",IF('Capacity summary'!$C$14="Yes",IF(COUNTBLANK('Capacity summary'!$H27:$BG27)&lt;52,IF('Capacity summary'!AV27&lt;&gt;"",IF(LOWER('Capacity summary'!AV27)="x",$BI115*AV115,VALUE('Capacity summary'!AV27)),0),AV115*$BI115),AV115*$BI115),0)</f>
        <v>0</v>
      </c>
      <c r="CZ115" s="5">
        <f>IF($BI115&lt;&gt;"",IF('Capacity summary'!$C$14="Yes",IF(COUNTBLANK('Capacity summary'!$H27:$BG27)&lt;52,IF('Capacity summary'!AW27&lt;&gt;"",IF(LOWER('Capacity summary'!AW27)="x",$BI115*AW115,VALUE('Capacity summary'!AW27)),0),AW115*$BI115),AW115*$BI115),0)</f>
        <v>0</v>
      </c>
      <c r="DA115" s="5">
        <f>IF($BI115&lt;&gt;"",IF('Capacity summary'!$C$14="Yes",IF(COUNTBLANK('Capacity summary'!$H27:$BG27)&lt;52,IF('Capacity summary'!AX27&lt;&gt;"",IF(LOWER('Capacity summary'!AX27)="x",$BI115*AX115,VALUE('Capacity summary'!AX27)),0),AX115*$BI115),AX115*$BI115),0)</f>
        <v>0</v>
      </c>
      <c r="DB115" s="5">
        <f>IF($BI115&lt;&gt;"",IF('Capacity summary'!$C$14="Yes",IF(COUNTBLANK('Capacity summary'!$H27:$BG27)&lt;52,IF('Capacity summary'!AY27&lt;&gt;"",IF(LOWER('Capacity summary'!AY27)="x",$BI115*AY115,VALUE('Capacity summary'!AY27)),0),AY115*$BI115),AY115*$BI115),0)</f>
        <v>0</v>
      </c>
      <c r="DC115" s="5">
        <f>IF($BI115&lt;&gt;"",IF('Capacity summary'!$C$14="Yes",IF(COUNTBLANK('Capacity summary'!$H27:$BG27)&lt;52,IF('Capacity summary'!AZ27&lt;&gt;"",IF(LOWER('Capacity summary'!AZ27)="x",$BI115*AZ115,VALUE('Capacity summary'!AZ27)),0),AZ115*$BI115),AZ115*$BI115),0)</f>
        <v>0</v>
      </c>
      <c r="DD115" s="5">
        <f>IF($BI115&lt;&gt;"",IF('Capacity summary'!$C$14="Yes",IF(COUNTBLANK('Capacity summary'!$H27:$BG27)&lt;52,IF('Capacity summary'!BA27&lt;&gt;"",IF(LOWER('Capacity summary'!BA27)="x",$BI115*BA115,VALUE('Capacity summary'!BA27)),0),BA115*$BI115),BA115*$BI115),0)</f>
        <v>0</v>
      </c>
      <c r="DE115" s="5">
        <f>IF($BI115&lt;&gt;"",IF('Capacity summary'!$C$14="Yes",IF(COUNTBLANK('Capacity summary'!$H27:$BG27)&lt;52,IF('Capacity summary'!BB27&lt;&gt;"",IF(LOWER('Capacity summary'!BB27)="x",$BI115*BB115,VALUE('Capacity summary'!BB27)),0),BB115*$BI115),BB115*$BI115),0)</f>
        <v>0</v>
      </c>
      <c r="DF115" s="5">
        <f>IF($BI115&lt;&gt;"",IF('Capacity summary'!$C$14="Yes",IF(COUNTBLANK('Capacity summary'!$H27:$BG27)&lt;52,IF('Capacity summary'!BC27&lt;&gt;"",IF(LOWER('Capacity summary'!BC27)="x",$BI115*BC115,VALUE('Capacity summary'!BC27)),0),BC115*$BI115),BC115*$BI115),0)</f>
        <v>0</v>
      </c>
      <c r="DG115" s="5">
        <f>IF($BI115&lt;&gt;"",IF('Capacity summary'!$C$14="Yes",IF(COUNTBLANK('Capacity summary'!$H27:$BG27)&lt;52,IF('Capacity summary'!BD27&lt;&gt;"",IF(LOWER('Capacity summary'!BD27)="x",$BI115*BD115,VALUE('Capacity summary'!BD27)),0),BD115*$BI115),BD115*$BI115),0)</f>
        <v>0</v>
      </c>
      <c r="DH115" s="5">
        <f>IF($BI115&lt;&gt;"",IF('Capacity summary'!$C$14="Yes",IF(COUNTBLANK('Capacity summary'!$H27:$BG27)&lt;52,IF('Capacity summary'!BE27&lt;&gt;"",IF(LOWER('Capacity summary'!BE27)="x",$BI115*BE115,VALUE('Capacity summary'!BE27)),0),BE115*$BI115),BE115*$BI115),0)</f>
        <v>0</v>
      </c>
      <c r="DI115" s="5">
        <f>IF($BI115&lt;&gt;"",IF('Capacity summary'!$C$14="Yes",IF(COUNTBLANK('Capacity summary'!$H27:$BG27)&lt;52,IF('Capacity summary'!BF27&lt;&gt;"",IF(LOWER('Capacity summary'!BF27)="x",$BI115*BF115,VALUE('Capacity summary'!BF27)),0),BF115*$BI115),BF115*$BI115),0)</f>
        <v>0</v>
      </c>
      <c r="DJ115" s="5">
        <f>IF($BI115&lt;&gt;"",IF('Capacity summary'!$C$14="Yes",IF(COUNTBLANK('Capacity summary'!$H27:$BG27)&lt;52,IF('Capacity summary'!BG27&lt;&gt;"",IF(LOWER('Capacity summary'!BG27)="x",$BI115*BG115,VALUE('Capacity summary'!BG27)),0),BG115*$BI115),BG115*$BI115),0)</f>
        <v>0</v>
      </c>
      <c r="DK115" s="5">
        <f t="shared" ref="DK115" si="9">SUM(DK116:DK215)</f>
        <v>0</v>
      </c>
    </row>
    <row r="116" spans="3:115" x14ac:dyDescent="0.25">
      <c r="C116" s="67" t="str">
        <f>ROW(A5)&amp;". "&amp;Capacity!N21</f>
        <v xml:space="preserve">5. </v>
      </c>
      <c r="D116" s="67">
        <f>'Capacity setup'!C122</f>
        <v>0</v>
      </c>
      <c r="E116" s="67">
        <f>'Capacity setup'!D122</f>
        <v>0</v>
      </c>
      <c r="F116" s="67">
        <f>'Capacity setup'!E122</f>
        <v>0</v>
      </c>
      <c r="H116" s="67">
        <f ca="1">IF(AND(SUMIF(Capacity_Resource,$D116,'Critical resources (hide)'!U$6:U$105)+SUMIF(Capacity_Resource,$E116,'Critical resources (hide)'!U$6:U$105)+SUMIF(Capacity_Resource,$F116,'Critical resources (hide)'!U$6:U$105)&gt;0,$E$1=2),0,1)</f>
        <v>1</v>
      </c>
      <c r="I116" s="67">
        <f ca="1">IF(AND(SUMIF(Capacity_Resource,$D116,'Critical resources (hide)'!V$6:V$105)+SUMIF(Capacity_Resource,$E116,'Critical resources (hide)'!V$6:V$105)+SUMIF(Capacity_Resource,$F116,'Critical resources (hide)'!V$6:V$105)&gt;0,$E$1=2),0,1)</f>
        <v>1</v>
      </c>
      <c r="J116" s="67">
        <f ca="1">IF(AND(SUMIF(Capacity_Resource,$D116,'Critical resources (hide)'!W$6:W$105)+SUMIF(Capacity_Resource,$E116,'Critical resources (hide)'!W$6:W$105)+SUMIF(Capacity_Resource,$F116,'Critical resources (hide)'!W$6:W$105)&gt;0,$E$1=2),0,1)</f>
        <v>1</v>
      </c>
      <c r="K116" s="67">
        <f ca="1">IF(AND(SUMIF(Capacity_Resource,$D116,'Critical resources (hide)'!X$6:X$105)+SUMIF(Capacity_Resource,$E116,'Critical resources (hide)'!X$6:X$105)+SUMIF(Capacity_Resource,$F116,'Critical resources (hide)'!X$6:X$105)&gt;0,$E$1=2),0,1)</f>
        <v>1</v>
      </c>
      <c r="L116" s="67">
        <f ca="1">IF(AND(SUMIF(Capacity_Resource,$D116,'Critical resources (hide)'!Y$6:Y$105)+SUMIF(Capacity_Resource,$E116,'Critical resources (hide)'!Y$6:Y$105)+SUMIF(Capacity_Resource,$F116,'Critical resources (hide)'!Y$6:Y$105)&gt;0,$E$1=2),0,1)</f>
        <v>1</v>
      </c>
      <c r="M116" s="67">
        <f ca="1">IF(AND(SUMIF(Capacity_Resource,$D116,'Critical resources (hide)'!Z$6:Z$105)+SUMIF(Capacity_Resource,$E116,'Critical resources (hide)'!Z$6:Z$105)+SUMIF(Capacity_Resource,$F116,'Critical resources (hide)'!Z$6:Z$105)&gt;0,$E$1=2),0,1)</f>
        <v>1</v>
      </c>
      <c r="N116" s="67">
        <f ca="1">IF(AND(SUMIF(Capacity_Resource,$D116,'Critical resources (hide)'!AA$6:AA$105)+SUMIF(Capacity_Resource,$E116,'Critical resources (hide)'!AA$6:AA$105)+SUMIF(Capacity_Resource,$F116,'Critical resources (hide)'!AA$6:AA$105)&gt;0,$E$1=2),0,1)</f>
        <v>1</v>
      </c>
      <c r="O116" s="67">
        <f ca="1">IF(AND(SUMIF(Capacity_Resource,$D116,'Critical resources (hide)'!AB$6:AB$105)+SUMIF(Capacity_Resource,$E116,'Critical resources (hide)'!AB$6:AB$105)+SUMIF(Capacity_Resource,$F116,'Critical resources (hide)'!AB$6:AB$105)&gt;0,$E$1=2),0,1)</f>
        <v>1</v>
      </c>
      <c r="P116" s="67">
        <f ca="1">IF(AND(SUMIF(Capacity_Resource,$D116,'Critical resources (hide)'!AC$6:AC$105)+SUMIF(Capacity_Resource,$E116,'Critical resources (hide)'!AC$6:AC$105)+SUMIF(Capacity_Resource,$F116,'Critical resources (hide)'!AC$6:AC$105)&gt;0,$E$1=2),0,1)</f>
        <v>1</v>
      </c>
      <c r="Q116" s="67">
        <f ca="1">IF(AND(SUMIF(Capacity_Resource,$D116,'Critical resources (hide)'!AD$6:AD$105)+SUMIF(Capacity_Resource,$E116,'Critical resources (hide)'!AD$6:AD$105)+SUMIF(Capacity_Resource,$F116,'Critical resources (hide)'!AD$6:AD$105)&gt;0,$E$1=2),0,1)</f>
        <v>1</v>
      </c>
      <c r="R116" s="67">
        <f ca="1">IF(AND(SUMIF(Capacity_Resource,$D116,'Critical resources (hide)'!AE$6:AE$105)+SUMIF(Capacity_Resource,$E116,'Critical resources (hide)'!AE$6:AE$105)+SUMIF(Capacity_Resource,$F116,'Critical resources (hide)'!AE$6:AE$105)&gt;0,$E$1=2),0,1)</f>
        <v>1</v>
      </c>
      <c r="S116" s="67">
        <f ca="1">IF(AND(SUMIF(Capacity_Resource,$D116,'Critical resources (hide)'!AF$6:AF$105)+SUMIF(Capacity_Resource,$E116,'Critical resources (hide)'!AF$6:AF$105)+SUMIF(Capacity_Resource,$F116,'Critical resources (hide)'!AF$6:AF$105)&gt;0,$E$1=2),0,1)</f>
        <v>1</v>
      </c>
      <c r="T116" s="67">
        <f ca="1">IF(AND(SUMIF(Capacity_Resource,$D116,'Critical resources (hide)'!AG$6:AG$105)+SUMIF(Capacity_Resource,$E116,'Critical resources (hide)'!AG$6:AG$105)+SUMIF(Capacity_Resource,$F116,'Critical resources (hide)'!AG$6:AG$105)&gt;0,$E$1=2),0,1)</f>
        <v>1</v>
      </c>
      <c r="U116" s="67">
        <f ca="1">IF(AND(SUMIF(Capacity_Resource,$D116,'Critical resources (hide)'!AH$6:AH$105)+SUMIF(Capacity_Resource,$E116,'Critical resources (hide)'!AH$6:AH$105)+SUMIF(Capacity_Resource,$F116,'Critical resources (hide)'!AH$6:AH$105)&gt;0,$E$1=2),0,1)</f>
        <v>1</v>
      </c>
      <c r="V116" s="67">
        <f ca="1">IF(AND(SUMIF(Capacity_Resource,$D116,'Critical resources (hide)'!AI$6:AI$105)+SUMIF(Capacity_Resource,$E116,'Critical resources (hide)'!AI$6:AI$105)+SUMIF(Capacity_Resource,$F116,'Critical resources (hide)'!AI$6:AI$105)&gt;0,$E$1=2),0,1)</f>
        <v>1</v>
      </c>
      <c r="W116" s="67">
        <f ca="1">IF(AND(SUMIF(Capacity_Resource,$D116,'Critical resources (hide)'!AJ$6:AJ$105)+SUMIF(Capacity_Resource,$E116,'Critical resources (hide)'!AJ$6:AJ$105)+SUMIF(Capacity_Resource,$F116,'Critical resources (hide)'!AJ$6:AJ$105)&gt;0,$E$1=2),0,1)</f>
        <v>1</v>
      </c>
      <c r="X116" s="67">
        <f ca="1">IF(AND(SUMIF(Capacity_Resource,$D116,'Critical resources (hide)'!AK$6:AK$105)+SUMIF(Capacity_Resource,$E116,'Critical resources (hide)'!AK$6:AK$105)+SUMIF(Capacity_Resource,$F116,'Critical resources (hide)'!AK$6:AK$105)&gt;0,$E$1=2),0,1)</f>
        <v>1</v>
      </c>
      <c r="Y116" s="67">
        <f ca="1">IF(AND(SUMIF(Capacity_Resource,$D116,'Critical resources (hide)'!AL$6:AL$105)+SUMIF(Capacity_Resource,$E116,'Critical resources (hide)'!AL$6:AL$105)+SUMIF(Capacity_Resource,$F116,'Critical resources (hide)'!AL$6:AL$105)&gt;0,$E$1=2),0,1)</f>
        <v>1</v>
      </c>
      <c r="Z116" s="67">
        <f ca="1">IF(AND(SUMIF(Capacity_Resource,$D116,'Critical resources (hide)'!AM$6:AM$105)+SUMIF(Capacity_Resource,$E116,'Critical resources (hide)'!AM$6:AM$105)+SUMIF(Capacity_Resource,$F116,'Critical resources (hide)'!AM$6:AM$105)&gt;0,$E$1=2),0,1)</f>
        <v>1</v>
      </c>
      <c r="AA116" s="67">
        <f ca="1">IF(AND(SUMIF(Capacity_Resource,$D116,'Critical resources (hide)'!AN$6:AN$105)+SUMIF(Capacity_Resource,$E116,'Critical resources (hide)'!AN$6:AN$105)+SUMIF(Capacity_Resource,$F116,'Critical resources (hide)'!AN$6:AN$105)&gt;0,$E$1=2),0,1)</f>
        <v>1</v>
      </c>
      <c r="AB116" s="67">
        <f ca="1">IF(AND(SUMIF(Capacity_Resource,$D116,'Critical resources (hide)'!AO$6:AO$105)+SUMIF(Capacity_Resource,$E116,'Critical resources (hide)'!AO$6:AO$105)+SUMIF(Capacity_Resource,$F116,'Critical resources (hide)'!AO$6:AO$105)&gt;0,$E$1=2),0,1)</f>
        <v>1</v>
      </c>
      <c r="AC116" s="67">
        <f ca="1">IF(AND(SUMIF(Capacity_Resource,$D116,'Critical resources (hide)'!AP$6:AP$105)+SUMIF(Capacity_Resource,$E116,'Critical resources (hide)'!AP$6:AP$105)+SUMIF(Capacity_Resource,$F116,'Critical resources (hide)'!AP$6:AP$105)&gt;0,$E$1=2),0,1)</f>
        <v>1</v>
      </c>
      <c r="AD116" s="67">
        <f ca="1">IF(AND(SUMIF(Capacity_Resource,$D116,'Critical resources (hide)'!AQ$6:AQ$105)+SUMIF(Capacity_Resource,$E116,'Critical resources (hide)'!AQ$6:AQ$105)+SUMIF(Capacity_Resource,$F116,'Critical resources (hide)'!AQ$6:AQ$105)&gt;0,$E$1=2),0,1)</f>
        <v>1</v>
      </c>
      <c r="AE116" s="67">
        <f ca="1">IF(AND(SUMIF(Capacity_Resource,$D116,'Critical resources (hide)'!AR$6:AR$105)+SUMIF(Capacity_Resource,$E116,'Critical resources (hide)'!AR$6:AR$105)+SUMIF(Capacity_Resource,$F116,'Critical resources (hide)'!AR$6:AR$105)&gt;0,$E$1=2),0,1)</f>
        <v>1</v>
      </c>
      <c r="AF116" s="67">
        <f ca="1">IF(AND(SUMIF(Capacity_Resource,$D116,'Critical resources (hide)'!AS$6:AS$105)+SUMIF(Capacity_Resource,$E116,'Critical resources (hide)'!AS$6:AS$105)+SUMIF(Capacity_Resource,$F116,'Critical resources (hide)'!AS$6:AS$105)&gt;0,$E$1=2),0,1)</f>
        <v>1</v>
      </c>
      <c r="AG116" s="67">
        <f ca="1">IF(AND(SUMIF(Capacity_Resource,$D116,'Critical resources (hide)'!AT$6:AT$105)+SUMIF(Capacity_Resource,$E116,'Critical resources (hide)'!AT$6:AT$105)+SUMIF(Capacity_Resource,$F116,'Critical resources (hide)'!AT$6:AT$105)&gt;0,$E$1=2),0,1)</f>
        <v>1</v>
      </c>
      <c r="AH116" s="67">
        <f ca="1">IF(AND(SUMIF(Capacity_Resource,$D116,'Critical resources (hide)'!AU$6:AU$105)+SUMIF(Capacity_Resource,$E116,'Critical resources (hide)'!AU$6:AU$105)+SUMIF(Capacity_Resource,$F116,'Critical resources (hide)'!AU$6:AU$105)&gt;0,$E$1=2),0,1)</f>
        <v>1</v>
      </c>
      <c r="AI116" s="67">
        <f ca="1">IF(AND(SUMIF(Capacity_Resource,$D116,'Critical resources (hide)'!AV$6:AV$105)+SUMIF(Capacity_Resource,$E116,'Critical resources (hide)'!AV$6:AV$105)+SUMIF(Capacity_Resource,$F116,'Critical resources (hide)'!AV$6:AV$105)&gt;0,$E$1=2),0,1)</f>
        <v>1</v>
      </c>
      <c r="AJ116" s="67">
        <f ca="1">IF(AND(SUMIF(Capacity_Resource,$D116,'Critical resources (hide)'!AW$6:AW$105)+SUMIF(Capacity_Resource,$E116,'Critical resources (hide)'!AW$6:AW$105)+SUMIF(Capacity_Resource,$F116,'Critical resources (hide)'!AW$6:AW$105)&gt;0,$E$1=2),0,1)</f>
        <v>1</v>
      </c>
      <c r="AK116" s="67">
        <f ca="1">IF(AND(SUMIF(Capacity_Resource,$D116,'Critical resources (hide)'!AX$6:AX$105)+SUMIF(Capacity_Resource,$E116,'Critical resources (hide)'!AX$6:AX$105)+SUMIF(Capacity_Resource,$F116,'Critical resources (hide)'!AX$6:AX$105)&gt;0,$E$1=2),0,1)</f>
        <v>1</v>
      </c>
      <c r="AL116" s="67">
        <f ca="1">IF(AND(SUMIF(Capacity_Resource,$D116,'Critical resources (hide)'!AY$6:AY$105)+SUMIF(Capacity_Resource,$E116,'Critical resources (hide)'!AY$6:AY$105)+SUMIF(Capacity_Resource,$F116,'Critical resources (hide)'!AY$6:AY$105)&gt;0,$E$1=2),0,1)</f>
        <v>1</v>
      </c>
      <c r="AM116" s="67">
        <f ca="1">IF(AND(SUMIF(Capacity_Resource,$D116,'Critical resources (hide)'!AZ$6:AZ$105)+SUMIF(Capacity_Resource,$E116,'Critical resources (hide)'!AZ$6:AZ$105)+SUMIF(Capacity_Resource,$F116,'Critical resources (hide)'!AZ$6:AZ$105)&gt;0,$E$1=2),0,1)</f>
        <v>1</v>
      </c>
      <c r="AN116" s="67">
        <f ca="1">IF(AND(SUMIF(Capacity_Resource,$D116,'Critical resources (hide)'!BA$6:BA$105)+SUMIF(Capacity_Resource,$E116,'Critical resources (hide)'!BA$6:BA$105)+SUMIF(Capacity_Resource,$F116,'Critical resources (hide)'!BA$6:BA$105)&gt;0,$E$1=2),0,1)</f>
        <v>1</v>
      </c>
      <c r="AO116" s="67">
        <f ca="1">IF(AND(SUMIF(Capacity_Resource,$D116,'Critical resources (hide)'!BB$6:BB$105)+SUMIF(Capacity_Resource,$E116,'Critical resources (hide)'!BB$6:BB$105)+SUMIF(Capacity_Resource,$F116,'Critical resources (hide)'!BB$6:BB$105)&gt;0,$E$1=2),0,1)</f>
        <v>1</v>
      </c>
      <c r="AP116" s="67">
        <f ca="1">IF(AND(SUMIF(Capacity_Resource,$D116,'Critical resources (hide)'!BC$6:BC$105)+SUMIF(Capacity_Resource,$E116,'Critical resources (hide)'!BC$6:BC$105)+SUMIF(Capacity_Resource,$F116,'Critical resources (hide)'!BC$6:BC$105)&gt;0,$E$1=2),0,1)</f>
        <v>1</v>
      </c>
      <c r="AQ116" s="67">
        <f ca="1">IF(AND(SUMIF(Capacity_Resource,$D116,'Critical resources (hide)'!BD$6:BD$105)+SUMIF(Capacity_Resource,$E116,'Critical resources (hide)'!BD$6:BD$105)+SUMIF(Capacity_Resource,$F116,'Critical resources (hide)'!BD$6:BD$105)&gt;0,$E$1=2),0,1)</f>
        <v>1</v>
      </c>
      <c r="AR116" s="67">
        <f ca="1">IF(AND(SUMIF(Capacity_Resource,$D116,'Critical resources (hide)'!BE$6:BE$105)+SUMIF(Capacity_Resource,$E116,'Critical resources (hide)'!BE$6:BE$105)+SUMIF(Capacity_Resource,$F116,'Critical resources (hide)'!BE$6:BE$105)&gt;0,$E$1=2),0,1)</f>
        <v>1</v>
      </c>
      <c r="AS116" s="67">
        <f ca="1">IF(AND(SUMIF(Capacity_Resource,$D116,'Critical resources (hide)'!BF$6:BF$105)+SUMIF(Capacity_Resource,$E116,'Critical resources (hide)'!BF$6:BF$105)+SUMIF(Capacity_Resource,$F116,'Critical resources (hide)'!BF$6:BF$105)&gt;0,$E$1=2),0,1)</f>
        <v>1</v>
      </c>
      <c r="AT116" s="67">
        <f ca="1">IF(AND(SUMIF(Capacity_Resource,$D116,'Critical resources (hide)'!BG$6:BG$105)+SUMIF(Capacity_Resource,$E116,'Critical resources (hide)'!BG$6:BG$105)+SUMIF(Capacity_Resource,$F116,'Critical resources (hide)'!BG$6:BG$105)&gt;0,$E$1=2),0,1)</f>
        <v>1</v>
      </c>
      <c r="AU116" s="67">
        <f ca="1">IF(AND(SUMIF(Capacity_Resource,$D116,'Critical resources (hide)'!BH$6:BH$105)+SUMIF(Capacity_Resource,$E116,'Critical resources (hide)'!BH$6:BH$105)+SUMIF(Capacity_Resource,$F116,'Critical resources (hide)'!BH$6:BH$105)&gt;0,$E$1=2),0,1)</f>
        <v>1</v>
      </c>
      <c r="AV116" s="67">
        <f ca="1">IF(AND(SUMIF(Capacity_Resource,$D116,'Critical resources (hide)'!BI$6:BI$105)+SUMIF(Capacity_Resource,$E116,'Critical resources (hide)'!BI$6:BI$105)+SUMIF(Capacity_Resource,$F116,'Critical resources (hide)'!BI$6:BI$105)&gt;0,$E$1=2),0,1)</f>
        <v>1</v>
      </c>
      <c r="AW116" s="67">
        <f ca="1">IF(AND(SUMIF(Capacity_Resource,$D116,'Critical resources (hide)'!BJ$6:BJ$105)+SUMIF(Capacity_Resource,$E116,'Critical resources (hide)'!BJ$6:BJ$105)+SUMIF(Capacity_Resource,$F116,'Critical resources (hide)'!BJ$6:BJ$105)&gt;0,$E$1=2),0,1)</f>
        <v>1</v>
      </c>
      <c r="AX116" s="67">
        <f ca="1">IF(AND(SUMIF(Capacity_Resource,$D116,'Critical resources (hide)'!BK$6:BK$105)+SUMIF(Capacity_Resource,$E116,'Critical resources (hide)'!BK$6:BK$105)+SUMIF(Capacity_Resource,$F116,'Critical resources (hide)'!BK$6:BK$105)&gt;0,$E$1=2),0,1)</f>
        <v>1</v>
      </c>
      <c r="AY116" s="67">
        <f ca="1">IF(AND(SUMIF(Capacity_Resource,$D116,'Critical resources (hide)'!BL$6:BL$105)+SUMIF(Capacity_Resource,$E116,'Critical resources (hide)'!BL$6:BL$105)+SUMIF(Capacity_Resource,$F116,'Critical resources (hide)'!BL$6:BL$105)&gt;0,$E$1=2),0,1)</f>
        <v>1</v>
      </c>
      <c r="AZ116" s="67">
        <f ca="1">IF(AND(SUMIF(Capacity_Resource,$D116,'Critical resources (hide)'!BM$6:BM$105)+SUMIF(Capacity_Resource,$E116,'Critical resources (hide)'!BM$6:BM$105)+SUMIF(Capacity_Resource,$F116,'Critical resources (hide)'!BM$6:BM$105)&gt;0,$E$1=2),0,1)</f>
        <v>1</v>
      </c>
      <c r="BA116" s="67">
        <f ca="1">IF(AND(SUMIF(Capacity_Resource,$D116,'Critical resources (hide)'!BN$6:BN$105)+SUMIF(Capacity_Resource,$E116,'Critical resources (hide)'!BN$6:BN$105)+SUMIF(Capacity_Resource,$F116,'Critical resources (hide)'!BN$6:BN$105)&gt;0,$E$1=2),0,1)</f>
        <v>1</v>
      </c>
      <c r="BB116" s="67">
        <f ca="1">IF(AND(SUMIF(Capacity_Resource,$D116,'Critical resources (hide)'!BO$6:BO$105)+SUMIF(Capacity_Resource,$E116,'Critical resources (hide)'!BO$6:BO$105)+SUMIF(Capacity_Resource,$F116,'Critical resources (hide)'!BO$6:BO$105)&gt;0,$E$1=2),0,1)</f>
        <v>1</v>
      </c>
      <c r="BC116" s="67">
        <f ca="1">IF(AND(SUMIF(Capacity_Resource,$D116,'Critical resources (hide)'!BP$6:BP$105)+SUMIF(Capacity_Resource,$E116,'Critical resources (hide)'!BP$6:BP$105)+SUMIF(Capacity_Resource,$F116,'Critical resources (hide)'!BP$6:BP$105)&gt;0,$E$1=2),0,1)</f>
        <v>1</v>
      </c>
      <c r="BD116" s="67">
        <f ca="1">IF(AND(SUMIF(Capacity_Resource,$D116,'Critical resources (hide)'!BQ$6:BQ$105)+SUMIF(Capacity_Resource,$E116,'Critical resources (hide)'!BQ$6:BQ$105)+SUMIF(Capacity_Resource,$F116,'Critical resources (hide)'!BQ$6:BQ$105)&gt;0,$E$1=2),0,1)</f>
        <v>1</v>
      </c>
      <c r="BE116" s="67">
        <f ca="1">IF(AND(SUMIF(Capacity_Resource,$D116,'Critical resources (hide)'!BR$6:BR$105)+SUMIF(Capacity_Resource,$E116,'Critical resources (hide)'!BR$6:BR$105)+SUMIF(Capacity_Resource,$F116,'Critical resources (hide)'!BR$6:BR$105)&gt;0,$E$1=2),0,1)</f>
        <v>1</v>
      </c>
      <c r="BF116" s="67">
        <f ca="1">IF(AND(SUMIF(Capacity_Resource,$D116,'Critical resources (hide)'!BS$6:BS$105)+SUMIF(Capacity_Resource,$E116,'Critical resources (hide)'!BS$6:BS$105)+SUMIF(Capacity_Resource,$F116,'Critical resources (hide)'!BS$6:BS$105)&gt;0,$E$1=2),0,1)</f>
        <v>1</v>
      </c>
      <c r="BG116" s="67">
        <f ca="1">IF(AND(SUMIF(Capacity_Resource,$D116,'Critical resources (hide)'!BT$6:BT$105)+SUMIF(Capacity_Resource,$E116,'Critical resources (hide)'!BT$6:BT$105)+SUMIF(Capacity_Resource,$F116,'Critical resources (hide)'!BT$6:BT$105)&gt;0,$E$1=2),0,1)</f>
        <v>1</v>
      </c>
      <c r="BH116" s="67">
        <f>IF(ROW(A5)&lt;=Capacity!$M$16,IF('Capacity summary'!$C$14="No",SUM(H116:BG116),'Capacity summary'!$E28),0)</f>
        <v>0</v>
      </c>
      <c r="BI116" s="67" t="str">
        <f>IF(BH116&gt;0,IF(BH116&lt;Capacity!Q21,Capacity!R21,Capacity!T21/'Capacity calculation (hide)'!BH116),"")</f>
        <v/>
      </c>
      <c r="BJ116" s="5"/>
      <c r="BK116" s="5">
        <f>IF($BI116&lt;&gt;"",IF('Capacity summary'!$C$14="Yes",IF(COUNTBLANK('Capacity summary'!$H28:$BG28)&lt;52,IF('Capacity summary'!H28&lt;&gt;"",IF(LOWER('Capacity summary'!H28)="x",$BI116*H116,VALUE('Capacity summary'!H28)),0),H116*$BI116),H116*$BI116),0)</f>
        <v>0</v>
      </c>
      <c r="BL116" s="5">
        <f>IF($BI116&lt;&gt;"",IF('Capacity summary'!$C$14="Yes",IF(COUNTBLANK('Capacity summary'!$H28:$BG28)&lt;52,IF('Capacity summary'!I28&lt;&gt;"",IF(LOWER('Capacity summary'!I28)="x",$BI116*I116,VALUE('Capacity summary'!I28)),0),I116*$BI116),I116*$BI116),0)</f>
        <v>0</v>
      </c>
      <c r="BM116" s="5">
        <f>IF($BI116&lt;&gt;"",IF('Capacity summary'!$C$14="Yes",IF(COUNTBLANK('Capacity summary'!$H28:$BG28)&lt;52,IF('Capacity summary'!J28&lt;&gt;"",IF(LOWER('Capacity summary'!J28)="x",$BI116*J116,VALUE('Capacity summary'!J28)),0),J116*$BI116),J116*$BI116),0)</f>
        <v>0</v>
      </c>
      <c r="BN116" s="5">
        <f>IF($BI116&lt;&gt;"",IF('Capacity summary'!$C$14="Yes",IF(COUNTBLANK('Capacity summary'!$H28:$BG28)&lt;52,IF('Capacity summary'!K28&lt;&gt;"",IF(LOWER('Capacity summary'!K28)="x",$BI116*K116,VALUE('Capacity summary'!K28)),0),K116*$BI116),K116*$BI116),0)</f>
        <v>0</v>
      </c>
      <c r="BO116" s="5">
        <f>IF($BI116&lt;&gt;"",IF('Capacity summary'!$C$14="Yes",IF(COUNTBLANK('Capacity summary'!$H28:$BG28)&lt;52,IF('Capacity summary'!L28&lt;&gt;"",IF(LOWER('Capacity summary'!L28)="x",$BI116*L116,VALUE('Capacity summary'!L28)),0),L116*$BI116),L116*$BI116),0)</f>
        <v>0</v>
      </c>
      <c r="BP116" s="5">
        <f>IF($BI116&lt;&gt;"",IF('Capacity summary'!$C$14="Yes",IF(COUNTBLANK('Capacity summary'!$H28:$BG28)&lt;52,IF('Capacity summary'!M28&lt;&gt;"",IF(LOWER('Capacity summary'!M28)="x",$BI116*M116,VALUE('Capacity summary'!M28)),0),M116*$BI116),M116*$BI116),0)</f>
        <v>0</v>
      </c>
      <c r="BQ116" s="5">
        <f>IF($BI116&lt;&gt;"",IF('Capacity summary'!$C$14="Yes",IF(COUNTBLANK('Capacity summary'!$H28:$BG28)&lt;52,IF('Capacity summary'!N28&lt;&gt;"",IF(LOWER('Capacity summary'!N28)="x",$BI116*N116,VALUE('Capacity summary'!N28)),0),N116*$BI116),N116*$BI116),0)</f>
        <v>0</v>
      </c>
      <c r="BR116" s="5">
        <f>IF($BI116&lt;&gt;"",IF('Capacity summary'!$C$14="Yes",IF(COUNTBLANK('Capacity summary'!$H28:$BG28)&lt;52,IF('Capacity summary'!O28&lt;&gt;"",IF(LOWER('Capacity summary'!O28)="x",$BI116*O116,VALUE('Capacity summary'!O28)),0),O116*$BI116),O116*$BI116),0)</f>
        <v>0</v>
      </c>
      <c r="BS116" s="5">
        <f>IF($BI116&lt;&gt;"",IF('Capacity summary'!$C$14="Yes",IF(COUNTBLANK('Capacity summary'!$H28:$BG28)&lt;52,IF('Capacity summary'!P28&lt;&gt;"",IF(LOWER('Capacity summary'!P28)="x",$BI116*P116,VALUE('Capacity summary'!P28)),0),P116*$BI116),P116*$BI116),0)</f>
        <v>0</v>
      </c>
      <c r="BT116" s="5">
        <f>IF($BI116&lt;&gt;"",IF('Capacity summary'!$C$14="Yes",IF(COUNTBLANK('Capacity summary'!$H28:$BG28)&lt;52,IF('Capacity summary'!Q28&lt;&gt;"",IF(LOWER('Capacity summary'!Q28)="x",$BI116*Q116,VALUE('Capacity summary'!Q28)),0),Q116*$BI116),Q116*$BI116),0)</f>
        <v>0</v>
      </c>
      <c r="BU116" s="5">
        <f>IF($BI116&lt;&gt;"",IF('Capacity summary'!$C$14="Yes",IF(COUNTBLANK('Capacity summary'!$H28:$BG28)&lt;52,IF('Capacity summary'!R28&lt;&gt;"",IF(LOWER('Capacity summary'!R28)="x",$BI116*R116,VALUE('Capacity summary'!R28)),0),R116*$BI116),R116*$BI116),0)</f>
        <v>0</v>
      </c>
      <c r="BV116" s="5">
        <f>IF($BI116&lt;&gt;"",IF('Capacity summary'!$C$14="Yes",IF(COUNTBLANK('Capacity summary'!$H28:$BG28)&lt;52,IF('Capacity summary'!S28&lt;&gt;"",IF(LOWER('Capacity summary'!S28)="x",$BI116*S116,VALUE('Capacity summary'!S28)),0),S116*$BI116),S116*$BI116),0)</f>
        <v>0</v>
      </c>
      <c r="BW116" s="5">
        <f>IF($BI116&lt;&gt;"",IF('Capacity summary'!$C$14="Yes",IF(COUNTBLANK('Capacity summary'!$H28:$BG28)&lt;52,IF('Capacity summary'!T28&lt;&gt;"",IF(LOWER('Capacity summary'!T28)="x",$BI116*T116,VALUE('Capacity summary'!T28)),0),T116*$BI116),T116*$BI116),0)</f>
        <v>0</v>
      </c>
      <c r="BX116" s="5">
        <f>IF($BI116&lt;&gt;"",IF('Capacity summary'!$C$14="Yes",IF(COUNTBLANK('Capacity summary'!$H28:$BG28)&lt;52,IF('Capacity summary'!U28&lt;&gt;"",IF(LOWER('Capacity summary'!U28)="x",$BI116*U116,VALUE('Capacity summary'!U28)),0),U116*$BI116),U116*$BI116),0)</f>
        <v>0</v>
      </c>
      <c r="BY116" s="5">
        <f>IF($BI116&lt;&gt;"",IF('Capacity summary'!$C$14="Yes",IF(COUNTBLANK('Capacity summary'!$H28:$BG28)&lt;52,IF('Capacity summary'!V28&lt;&gt;"",IF(LOWER('Capacity summary'!V28)="x",$BI116*V116,VALUE('Capacity summary'!V28)),0),V116*$BI116),V116*$BI116),0)</f>
        <v>0</v>
      </c>
      <c r="BZ116" s="5">
        <f>IF($BI116&lt;&gt;"",IF('Capacity summary'!$C$14="Yes",IF(COUNTBLANK('Capacity summary'!$H28:$BG28)&lt;52,IF('Capacity summary'!W28&lt;&gt;"",IF(LOWER('Capacity summary'!W28)="x",$BI116*W116,VALUE('Capacity summary'!W28)),0),W116*$BI116),W116*$BI116),0)</f>
        <v>0</v>
      </c>
      <c r="CA116" s="5">
        <f>IF($BI116&lt;&gt;"",IF('Capacity summary'!$C$14="Yes",IF(COUNTBLANK('Capacity summary'!$H28:$BG28)&lt;52,IF('Capacity summary'!X28&lt;&gt;"",IF(LOWER('Capacity summary'!X28)="x",$BI116*X116,VALUE('Capacity summary'!X28)),0),X116*$BI116),X116*$BI116),0)</f>
        <v>0</v>
      </c>
      <c r="CB116" s="5">
        <f>IF($BI116&lt;&gt;"",IF('Capacity summary'!$C$14="Yes",IF(COUNTBLANK('Capacity summary'!$H28:$BG28)&lt;52,IF('Capacity summary'!Y28&lt;&gt;"",IF(LOWER('Capacity summary'!Y28)="x",$BI116*Y116,VALUE('Capacity summary'!Y28)),0),Y116*$BI116),Y116*$BI116),0)</f>
        <v>0</v>
      </c>
      <c r="CC116" s="5">
        <f>IF($BI116&lt;&gt;"",IF('Capacity summary'!$C$14="Yes",IF(COUNTBLANK('Capacity summary'!$H28:$BG28)&lt;52,IF('Capacity summary'!Z28&lt;&gt;"",IF(LOWER('Capacity summary'!Z28)="x",$BI116*Z116,VALUE('Capacity summary'!Z28)),0),Z116*$BI116),Z116*$BI116),0)</f>
        <v>0</v>
      </c>
      <c r="CD116" s="5">
        <f>IF($BI116&lt;&gt;"",IF('Capacity summary'!$C$14="Yes",IF(COUNTBLANK('Capacity summary'!$H28:$BG28)&lt;52,IF('Capacity summary'!AA28&lt;&gt;"",IF(LOWER('Capacity summary'!AA28)="x",$BI116*AA116,VALUE('Capacity summary'!AA28)),0),AA116*$BI116),AA116*$BI116),0)</f>
        <v>0</v>
      </c>
      <c r="CE116" s="5">
        <f>IF($BI116&lt;&gt;"",IF('Capacity summary'!$C$14="Yes",IF(COUNTBLANK('Capacity summary'!$H28:$BG28)&lt;52,IF('Capacity summary'!AB28&lt;&gt;"",IF(LOWER('Capacity summary'!AB28)="x",$BI116*AB116,VALUE('Capacity summary'!AB28)),0),AB116*$BI116),AB116*$BI116),0)</f>
        <v>0</v>
      </c>
      <c r="CF116" s="5">
        <f>IF($BI116&lt;&gt;"",IF('Capacity summary'!$C$14="Yes",IF(COUNTBLANK('Capacity summary'!$H28:$BG28)&lt;52,IF('Capacity summary'!AC28&lt;&gt;"",IF(LOWER('Capacity summary'!AC28)="x",$BI116*AC116,VALUE('Capacity summary'!AC28)),0),AC116*$BI116),AC116*$BI116),0)</f>
        <v>0</v>
      </c>
      <c r="CG116" s="5">
        <f>IF($BI116&lt;&gt;"",IF('Capacity summary'!$C$14="Yes",IF(COUNTBLANK('Capacity summary'!$H28:$BG28)&lt;52,IF('Capacity summary'!AD28&lt;&gt;"",IF(LOWER('Capacity summary'!AD28)="x",$BI116*AD116,VALUE('Capacity summary'!AD28)),0),AD116*$BI116),AD116*$BI116),0)</f>
        <v>0</v>
      </c>
      <c r="CH116" s="5">
        <f>IF($BI116&lt;&gt;"",IF('Capacity summary'!$C$14="Yes",IF(COUNTBLANK('Capacity summary'!$H28:$BG28)&lt;52,IF('Capacity summary'!AE28&lt;&gt;"",IF(LOWER('Capacity summary'!AE28)="x",$BI116*AE116,VALUE('Capacity summary'!AE28)),0),AE116*$BI116),AE116*$BI116),0)</f>
        <v>0</v>
      </c>
      <c r="CI116" s="5">
        <f>IF($BI116&lt;&gt;"",IF('Capacity summary'!$C$14="Yes",IF(COUNTBLANK('Capacity summary'!$H28:$BG28)&lt;52,IF('Capacity summary'!AF28&lt;&gt;"",IF(LOWER('Capacity summary'!AF28)="x",$BI116*AF116,VALUE('Capacity summary'!AF28)),0),AF116*$BI116),AF116*$BI116),0)</f>
        <v>0</v>
      </c>
      <c r="CJ116" s="5">
        <f>IF($BI116&lt;&gt;"",IF('Capacity summary'!$C$14="Yes",IF(COUNTBLANK('Capacity summary'!$H28:$BG28)&lt;52,IF('Capacity summary'!AG28&lt;&gt;"",IF(LOWER('Capacity summary'!AG28)="x",$BI116*AG116,VALUE('Capacity summary'!AG28)),0),AG116*$BI116),AG116*$BI116),0)</f>
        <v>0</v>
      </c>
      <c r="CK116" s="5">
        <f>IF($BI116&lt;&gt;"",IF('Capacity summary'!$C$14="Yes",IF(COUNTBLANK('Capacity summary'!$H28:$BG28)&lt;52,IF('Capacity summary'!AH28&lt;&gt;"",IF(LOWER('Capacity summary'!AH28)="x",$BI116*AH116,VALUE('Capacity summary'!AH28)),0),AH116*$BI116),AH116*$BI116),0)</f>
        <v>0</v>
      </c>
      <c r="CL116" s="5">
        <f>IF($BI116&lt;&gt;"",IF('Capacity summary'!$C$14="Yes",IF(COUNTBLANK('Capacity summary'!$H28:$BG28)&lt;52,IF('Capacity summary'!AI28&lt;&gt;"",IF(LOWER('Capacity summary'!AI28)="x",$BI116*AI116,VALUE('Capacity summary'!AI28)),0),AI116*$BI116),AI116*$BI116),0)</f>
        <v>0</v>
      </c>
      <c r="CM116" s="5">
        <f>IF($BI116&lt;&gt;"",IF('Capacity summary'!$C$14="Yes",IF(COUNTBLANK('Capacity summary'!$H28:$BG28)&lt;52,IF('Capacity summary'!AJ28&lt;&gt;"",IF(LOWER('Capacity summary'!AJ28)="x",$BI116*AJ116,VALUE('Capacity summary'!AJ28)),0),AJ116*$BI116),AJ116*$BI116),0)</f>
        <v>0</v>
      </c>
      <c r="CN116" s="5">
        <f>IF($BI116&lt;&gt;"",IF('Capacity summary'!$C$14="Yes",IF(COUNTBLANK('Capacity summary'!$H28:$BG28)&lt;52,IF('Capacity summary'!AK28&lt;&gt;"",IF(LOWER('Capacity summary'!AK28)="x",$BI116*AK116,VALUE('Capacity summary'!AK28)),0),AK116*$BI116),AK116*$BI116),0)</f>
        <v>0</v>
      </c>
      <c r="CO116" s="5">
        <f>IF($BI116&lt;&gt;"",IF('Capacity summary'!$C$14="Yes",IF(COUNTBLANK('Capacity summary'!$H28:$BG28)&lt;52,IF('Capacity summary'!AL28&lt;&gt;"",IF(LOWER('Capacity summary'!AL28)="x",$BI116*AL116,VALUE('Capacity summary'!AL28)),0),AL116*$BI116),AL116*$BI116),0)</f>
        <v>0</v>
      </c>
      <c r="CP116" s="5">
        <f>IF($BI116&lt;&gt;"",IF('Capacity summary'!$C$14="Yes",IF(COUNTBLANK('Capacity summary'!$H28:$BG28)&lt;52,IF('Capacity summary'!AM28&lt;&gt;"",IF(LOWER('Capacity summary'!AM28)="x",$BI116*AM116,VALUE('Capacity summary'!AM28)),0),AM116*$BI116),AM116*$BI116),0)</f>
        <v>0</v>
      </c>
      <c r="CQ116" s="5">
        <f>IF($BI116&lt;&gt;"",IF('Capacity summary'!$C$14="Yes",IF(COUNTBLANK('Capacity summary'!$H28:$BG28)&lt;52,IF('Capacity summary'!AN28&lt;&gt;"",IF(LOWER('Capacity summary'!AN28)="x",$BI116*AN116,VALUE('Capacity summary'!AN28)),0),AN116*$BI116),AN116*$BI116),0)</f>
        <v>0</v>
      </c>
      <c r="CR116" s="5">
        <f>IF($BI116&lt;&gt;"",IF('Capacity summary'!$C$14="Yes",IF(COUNTBLANK('Capacity summary'!$H28:$BG28)&lt;52,IF('Capacity summary'!AO28&lt;&gt;"",IF(LOWER('Capacity summary'!AO28)="x",$BI116*AO116,VALUE('Capacity summary'!AO28)),0),AO116*$BI116),AO116*$BI116),0)</f>
        <v>0</v>
      </c>
      <c r="CS116" s="5">
        <f>IF($BI116&lt;&gt;"",IF('Capacity summary'!$C$14="Yes",IF(COUNTBLANK('Capacity summary'!$H28:$BG28)&lt;52,IF('Capacity summary'!AP28&lt;&gt;"",IF(LOWER('Capacity summary'!AP28)="x",$BI116*AP116,VALUE('Capacity summary'!AP28)),0),AP116*$BI116),AP116*$BI116),0)</f>
        <v>0</v>
      </c>
      <c r="CT116" s="5">
        <f>IF($BI116&lt;&gt;"",IF('Capacity summary'!$C$14="Yes",IF(COUNTBLANK('Capacity summary'!$H28:$BG28)&lt;52,IF('Capacity summary'!AQ28&lt;&gt;"",IF(LOWER('Capacity summary'!AQ28)="x",$BI116*AQ116,VALUE('Capacity summary'!AQ28)),0),AQ116*$BI116),AQ116*$BI116),0)</f>
        <v>0</v>
      </c>
      <c r="CU116" s="5">
        <f>IF($BI116&lt;&gt;"",IF('Capacity summary'!$C$14="Yes",IF(COUNTBLANK('Capacity summary'!$H28:$BG28)&lt;52,IF('Capacity summary'!AR28&lt;&gt;"",IF(LOWER('Capacity summary'!AR28)="x",$BI116*AR116,VALUE('Capacity summary'!AR28)),0),AR116*$BI116),AR116*$BI116),0)</f>
        <v>0</v>
      </c>
      <c r="CV116" s="5">
        <f>IF($BI116&lt;&gt;"",IF('Capacity summary'!$C$14="Yes",IF(COUNTBLANK('Capacity summary'!$H28:$BG28)&lt;52,IF('Capacity summary'!AS28&lt;&gt;"",IF(LOWER('Capacity summary'!AS28)="x",$BI116*AS116,VALUE('Capacity summary'!AS28)),0),AS116*$BI116),AS116*$BI116),0)</f>
        <v>0</v>
      </c>
      <c r="CW116" s="5">
        <f>IF($BI116&lt;&gt;"",IF('Capacity summary'!$C$14="Yes",IF(COUNTBLANK('Capacity summary'!$H28:$BG28)&lt;52,IF('Capacity summary'!AT28&lt;&gt;"",IF(LOWER('Capacity summary'!AT28)="x",$BI116*AT116,VALUE('Capacity summary'!AT28)),0),AT116*$BI116),AT116*$BI116),0)</f>
        <v>0</v>
      </c>
      <c r="CX116" s="5">
        <f>IF($BI116&lt;&gt;"",IF('Capacity summary'!$C$14="Yes",IF(COUNTBLANK('Capacity summary'!$H28:$BG28)&lt;52,IF('Capacity summary'!AU28&lt;&gt;"",IF(LOWER('Capacity summary'!AU28)="x",$BI116*AU116,VALUE('Capacity summary'!AU28)),0),AU116*$BI116),AU116*$BI116),0)</f>
        <v>0</v>
      </c>
      <c r="CY116" s="5">
        <f>IF($BI116&lt;&gt;"",IF('Capacity summary'!$C$14="Yes",IF(COUNTBLANK('Capacity summary'!$H28:$BG28)&lt;52,IF('Capacity summary'!AV28&lt;&gt;"",IF(LOWER('Capacity summary'!AV28)="x",$BI116*AV116,VALUE('Capacity summary'!AV28)),0),AV116*$BI116),AV116*$BI116),0)</f>
        <v>0</v>
      </c>
      <c r="CZ116" s="5">
        <f>IF($BI116&lt;&gt;"",IF('Capacity summary'!$C$14="Yes",IF(COUNTBLANK('Capacity summary'!$H28:$BG28)&lt;52,IF('Capacity summary'!AW28&lt;&gt;"",IF(LOWER('Capacity summary'!AW28)="x",$BI116*AW116,VALUE('Capacity summary'!AW28)),0),AW116*$BI116),AW116*$BI116),0)</f>
        <v>0</v>
      </c>
      <c r="DA116" s="5">
        <f>IF($BI116&lt;&gt;"",IF('Capacity summary'!$C$14="Yes",IF(COUNTBLANK('Capacity summary'!$H28:$BG28)&lt;52,IF('Capacity summary'!AX28&lt;&gt;"",IF(LOWER('Capacity summary'!AX28)="x",$BI116*AX116,VALUE('Capacity summary'!AX28)),0),AX116*$BI116),AX116*$BI116),0)</f>
        <v>0</v>
      </c>
      <c r="DB116" s="5">
        <f>IF($BI116&lt;&gt;"",IF('Capacity summary'!$C$14="Yes",IF(COUNTBLANK('Capacity summary'!$H28:$BG28)&lt;52,IF('Capacity summary'!AY28&lt;&gt;"",IF(LOWER('Capacity summary'!AY28)="x",$BI116*AY116,VALUE('Capacity summary'!AY28)),0),AY116*$BI116),AY116*$BI116),0)</f>
        <v>0</v>
      </c>
      <c r="DC116" s="5">
        <f>IF($BI116&lt;&gt;"",IF('Capacity summary'!$C$14="Yes",IF(COUNTBLANK('Capacity summary'!$H28:$BG28)&lt;52,IF('Capacity summary'!AZ28&lt;&gt;"",IF(LOWER('Capacity summary'!AZ28)="x",$BI116*AZ116,VALUE('Capacity summary'!AZ28)),0),AZ116*$BI116),AZ116*$BI116),0)</f>
        <v>0</v>
      </c>
      <c r="DD116" s="5">
        <f>IF($BI116&lt;&gt;"",IF('Capacity summary'!$C$14="Yes",IF(COUNTBLANK('Capacity summary'!$H28:$BG28)&lt;52,IF('Capacity summary'!BA28&lt;&gt;"",IF(LOWER('Capacity summary'!BA28)="x",$BI116*BA116,VALUE('Capacity summary'!BA28)),0),BA116*$BI116),BA116*$BI116),0)</f>
        <v>0</v>
      </c>
      <c r="DE116" s="5">
        <f>IF($BI116&lt;&gt;"",IF('Capacity summary'!$C$14="Yes",IF(COUNTBLANK('Capacity summary'!$H28:$BG28)&lt;52,IF('Capacity summary'!BB28&lt;&gt;"",IF(LOWER('Capacity summary'!BB28)="x",$BI116*BB116,VALUE('Capacity summary'!BB28)),0),BB116*$BI116),BB116*$BI116),0)</f>
        <v>0</v>
      </c>
      <c r="DF116" s="5">
        <f>IF($BI116&lt;&gt;"",IF('Capacity summary'!$C$14="Yes",IF(COUNTBLANK('Capacity summary'!$H28:$BG28)&lt;52,IF('Capacity summary'!BC28&lt;&gt;"",IF(LOWER('Capacity summary'!BC28)="x",$BI116*BC116,VALUE('Capacity summary'!BC28)),0),BC116*$BI116),BC116*$BI116),0)</f>
        <v>0</v>
      </c>
      <c r="DG116" s="5">
        <f>IF($BI116&lt;&gt;"",IF('Capacity summary'!$C$14="Yes",IF(COUNTBLANK('Capacity summary'!$H28:$BG28)&lt;52,IF('Capacity summary'!BD28&lt;&gt;"",IF(LOWER('Capacity summary'!BD28)="x",$BI116*BD116,VALUE('Capacity summary'!BD28)),0),BD116*$BI116),BD116*$BI116),0)</f>
        <v>0</v>
      </c>
      <c r="DH116" s="5">
        <f>IF($BI116&lt;&gt;"",IF('Capacity summary'!$C$14="Yes",IF(COUNTBLANK('Capacity summary'!$H28:$BG28)&lt;52,IF('Capacity summary'!BE28&lt;&gt;"",IF(LOWER('Capacity summary'!BE28)="x",$BI116*BE116,VALUE('Capacity summary'!BE28)),0),BE116*$BI116),BE116*$BI116),0)</f>
        <v>0</v>
      </c>
      <c r="DI116" s="5">
        <f>IF($BI116&lt;&gt;"",IF('Capacity summary'!$C$14="Yes",IF(COUNTBLANK('Capacity summary'!$H28:$BG28)&lt;52,IF('Capacity summary'!BF28&lt;&gt;"",IF(LOWER('Capacity summary'!BF28)="x",$BI116*BF116,VALUE('Capacity summary'!BF28)),0),BF116*$BI116),BF116*$BI116),0)</f>
        <v>0</v>
      </c>
      <c r="DJ116" s="5">
        <f>IF($BI116&lt;&gt;"",IF('Capacity summary'!$C$14="Yes",IF(COUNTBLANK('Capacity summary'!$H28:$BG28)&lt;52,IF('Capacity summary'!BG28&lt;&gt;"",IF(LOWER('Capacity summary'!BG28)="x",$BI116*BG116,VALUE('Capacity summary'!BG28)),0),BG116*$BI116),BG116*$BI116),0)</f>
        <v>0</v>
      </c>
      <c r="DK116" s="5">
        <f t="shared" ref="DK116" si="10">SUM(DK117:DK216)</f>
        <v>0</v>
      </c>
    </row>
    <row r="117" spans="3:115" x14ac:dyDescent="0.25">
      <c r="C117" s="67" t="str">
        <f>ROW(A6)&amp;". "&amp;Capacity!N22</f>
        <v xml:space="preserve">6. </v>
      </c>
      <c r="D117" s="67">
        <f>'Capacity setup'!C123</f>
        <v>0</v>
      </c>
      <c r="E117" s="67">
        <f>'Capacity setup'!D123</f>
        <v>0</v>
      </c>
      <c r="F117" s="67">
        <f>'Capacity setup'!E123</f>
        <v>0</v>
      </c>
      <c r="H117" s="67">
        <f ca="1">IF(AND(SUMIF(Capacity_Resource,$D117,'Critical resources (hide)'!U$6:U$105)+SUMIF(Capacity_Resource,$E117,'Critical resources (hide)'!U$6:U$105)+SUMIF(Capacity_Resource,$F117,'Critical resources (hide)'!U$6:U$105)&gt;0,$E$1=2),0,1)</f>
        <v>1</v>
      </c>
      <c r="I117" s="67">
        <f ca="1">IF(AND(SUMIF(Capacity_Resource,$D117,'Critical resources (hide)'!V$6:V$105)+SUMIF(Capacity_Resource,$E117,'Critical resources (hide)'!V$6:V$105)+SUMIF(Capacity_Resource,$F117,'Critical resources (hide)'!V$6:V$105)&gt;0,$E$1=2),0,1)</f>
        <v>1</v>
      </c>
      <c r="J117" s="67">
        <f ca="1">IF(AND(SUMIF(Capacity_Resource,$D117,'Critical resources (hide)'!W$6:W$105)+SUMIF(Capacity_Resource,$E117,'Critical resources (hide)'!W$6:W$105)+SUMIF(Capacity_Resource,$F117,'Critical resources (hide)'!W$6:W$105)&gt;0,$E$1=2),0,1)</f>
        <v>1</v>
      </c>
      <c r="K117" s="67">
        <f ca="1">IF(AND(SUMIF(Capacity_Resource,$D117,'Critical resources (hide)'!X$6:X$105)+SUMIF(Capacity_Resource,$E117,'Critical resources (hide)'!X$6:X$105)+SUMIF(Capacity_Resource,$F117,'Critical resources (hide)'!X$6:X$105)&gt;0,$E$1=2),0,1)</f>
        <v>1</v>
      </c>
      <c r="L117" s="67">
        <f ca="1">IF(AND(SUMIF(Capacity_Resource,$D117,'Critical resources (hide)'!Y$6:Y$105)+SUMIF(Capacity_Resource,$E117,'Critical resources (hide)'!Y$6:Y$105)+SUMIF(Capacity_Resource,$F117,'Critical resources (hide)'!Y$6:Y$105)&gt;0,$E$1=2),0,1)</f>
        <v>1</v>
      </c>
      <c r="M117" s="67">
        <f ca="1">IF(AND(SUMIF(Capacity_Resource,$D117,'Critical resources (hide)'!Z$6:Z$105)+SUMIF(Capacity_Resource,$E117,'Critical resources (hide)'!Z$6:Z$105)+SUMIF(Capacity_Resource,$F117,'Critical resources (hide)'!Z$6:Z$105)&gt;0,$E$1=2),0,1)</f>
        <v>1</v>
      </c>
      <c r="N117" s="67">
        <f ca="1">IF(AND(SUMIF(Capacity_Resource,$D117,'Critical resources (hide)'!AA$6:AA$105)+SUMIF(Capacity_Resource,$E117,'Critical resources (hide)'!AA$6:AA$105)+SUMIF(Capacity_Resource,$F117,'Critical resources (hide)'!AA$6:AA$105)&gt;0,$E$1=2),0,1)</f>
        <v>1</v>
      </c>
      <c r="O117" s="67">
        <f ca="1">IF(AND(SUMIF(Capacity_Resource,$D117,'Critical resources (hide)'!AB$6:AB$105)+SUMIF(Capacity_Resource,$E117,'Critical resources (hide)'!AB$6:AB$105)+SUMIF(Capacity_Resource,$F117,'Critical resources (hide)'!AB$6:AB$105)&gt;0,$E$1=2),0,1)</f>
        <v>1</v>
      </c>
      <c r="P117" s="67">
        <f ca="1">IF(AND(SUMIF(Capacity_Resource,$D117,'Critical resources (hide)'!AC$6:AC$105)+SUMIF(Capacity_Resource,$E117,'Critical resources (hide)'!AC$6:AC$105)+SUMIF(Capacity_Resource,$F117,'Critical resources (hide)'!AC$6:AC$105)&gt;0,$E$1=2),0,1)</f>
        <v>1</v>
      </c>
      <c r="Q117" s="67">
        <f ca="1">IF(AND(SUMIF(Capacity_Resource,$D117,'Critical resources (hide)'!AD$6:AD$105)+SUMIF(Capacity_Resource,$E117,'Critical resources (hide)'!AD$6:AD$105)+SUMIF(Capacity_Resource,$F117,'Critical resources (hide)'!AD$6:AD$105)&gt;0,$E$1=2),0,1)</f>
        <v>1</v>
      </c>
      <c r="R117" s="67">
        <f ca="1">IF(AND(SUMIF(Capacity_Resource,$D117,'Critical resources (hide)'!AE$6:AE$105)+SUMIF(Capacity_Resource,$E117,'Critical resources (hide)'!AE$6:AE$105)+SUMIF(Capacity_Resource,$F117,'Critical resources (hide)'!AE$6:AE$105)&gt;0,$E$1=2),0,1)</f>
        <v>1</v>
      </c>
      <c r="S117" s="67">
        <f ca="1">IF(AND(SUMIF(Capacity_Resource,$D117,'Critical resources (hide)'!AF$6:AF$105)+SUMIF(Capacity_Resource,$E117,'Critical resources (hide)'!AF$6:AF$105)+SUMIF(Capacity_Resource,$F117,'Critical resources (hide)'!AF$6:AF$105)&gt;0,$E$1=2),0,1)</f>
        <v>1</v>
      </c>
      <c r="T117" s="67">
        <f ca="1">IF(AND(SUMIF(Capacity_Resource,$D117,'Critical resources (hide)'!AG$6:AG$105)+SUMIF(Capacity_Resource,$E117,'Critical resources (hide)'!AG$6:AG$105)+SUMIF(Capacity_Resource,$F117,'Critical resources (hide)'!AG$6:AG$105)&gt;0,$E$1=2),0,1)</f>
        <v>1</v>
      </c>
      <c r="U117" s="67">
        <f ca="1">IF(AND(SUMIF(Capacity_Resource,$D117,'Critical resources (hide)'!AH$6:AH$105)+SUMIF(Capacity_Resource,$E117,'Critical resources (hide)'!AH$6:AH$105)+SUMIF(Capacity_Resource,$F117,'Critical resources (hide)'!AH$6:AH$105)&gt;0,$E$1=2),0,1)</f>
        <v>1</v>
      </c>
      <c r="V117" s="67">
        <f ca="1">IF(AND(SUMIF(Capacity_Resource,$D117,'Critical resources (hide)'!AI$6:AI$105)+SUMIF(Capacity_Resource,$E117,'Critical resources (hide)'!AI$6:AI$105)+SUMIF(Capacity_Resource,$F117,'Critical resources (hide)'!AI$6:AI$105)&gt;0,$E$1=2),0,1)</f>
        <v>1</v>
      </c>
      <c r="W117" s="67">
        <f ca="1">IF(AND(SUMIF(Capacity_Resource,$D117,'Critical resources (hide)'!AJ$6:AJ$105)+SUMIF(Capacity_Resource,$E117,'Critical resources (hide)'!AJ$6:AJ$105)+SUMIF(Capacity_Resource,$F117,'Critical resources (hide)'!AJ$6:AJ$105)&gt;0,$E$1=2),0,1)</f>
        <v>1</v>
      </c>
      <c r="X117" s="67">
        <f ca="1">IF(AND(SUMIF(Capacity_Resource,$D117,'Critical resources (hide)'!AK$6:AK$105)+SUMIF(Capacity_Resource,$E117,'Critical resources (hide)'!AK$6:AK$105)+SUMIF(Capacity_Resource,$F117,'Critical resources (hide)'!AK$6:AK$105)&gt;0,$E$1=2),0,1)</f>
        <v>1</v>
      </c>
      <c r="Y117" s="67">
        <f ca="1">IF(AND(SUMIF(Capacity_Resource,$D117,'Critical resources (hide)'!AL$6:AL$105)+SUMIF(Capacity_Resource,$E117,'Critical resources (hide)'!AL$6:AL$105)+SUMIF(Capacity_Resource,$F117,'Critical resources (hide)'!AL$6:AL$105)&gt;0,$E$1=2),0,1)</f>
        <v>1</v>
      </c>
      <c r="Z117" s="67">
        <f ca="1">IF(AND(SUMIF(Capacity_Resource,$D117,'Critical resources (hide)'!AM$6:AM$105)+SUMIF(Capacity_Resource,$E117,'Critical resources (hide)'!AM$6:AM$105)+SUMIF(Capacity_Resource,$F117,'Critical resources (hide)'!AM$6:AM$105)&gt;0,$E$1=2),0,1)</f>
        <v>1</v>
      </c>
      <c r="AA117" s="67">
        <f ca="1">IF(AND(SUMIF(Capacity_Resource,$D117,'Critical resources (hide)'!AN$6:AN$105)+SUMIF(Capacity_Resource,$E117,'Critical resources (hide)'!AN$6:AN$105)+SUMIF(Capacity_Resource,$F117,'Critical resources (hide)'!AN$6:AN$105)&gt;0,$E$1=2),0,1)</f>
        <v>1</v>
      </c>
      <c r="AB117" s="67">
        <f ca="1">IF(AND(SUMIF(Capacity_Resource,$D117,'Critical resources (hide)'!AO$6:AO$105)+SUMIF(Capacity_Resource,$E117,'Critical resources (hide)'!AO$6:AO$105)+SUMIF(Capacity_Resource,$F117,'Critical resources (hide)'!AO$6:AO$105)&gt;0,$E$1=2),0,1)</f>
        <v>1</v>
      </c>
      <c r="AC117" s="67">
        <f ca="1">IF(AND(SUMIF(Capacity_Resource,$D117,'Critical resources (hide)'!AP$6:AP$105)+SUMIF(Capacity_Resource,$E117,'Critical resources (hide)'!AP$6:AP$105)+SUMIF(Capacity_Resource,$F117,'Critical resources (hide)'!AP$6:AP$105)&gt;0,$E$1=2),0,1)</f>
        <v>1</v>
      </c>
      <c r="AD117" s="67">
        <f ca="1">IF(AND(SUMIF(Capacity_Resource,$D117,'Critical resources (hide)'!AQ$6:AQ$105)+SUMIF(Capacity_Resource,$E117,'Critical resources (hide)'!AQ$6:AQ$105)+SUMIF(Capacity_Resource,$F117,'Critical resources (hide)'!AQ$6:AQ$105)&gt;0,$E$1=2),0,1)</f>
        <v>1</v>
      </c>
      <c r="AE117" s="67">
        <f ca="1">IF(AND(SUMIF(Capacity_Resource,$D117,'Critical resources (hide)'!AR$6:AR$105)+SUMIF(Capacity_Resource,$E117,'Critical resources (hide)'!AR$6:AR$105)+SUMIF(Capacity_Resource,$F117,'Critical resources (hide)'!AR$6:AR$105)&gt;0,$E$1=2),0,1)</f>
        <v>1</v>
      </c>
      <c r="AF117" s="67">
        <f ca="1">IF(AND(SUMIF(Capacity_Resource,$D117,'Critical resources (hide)'!AS$6:AS$105)+SUMIF(Capacity_Resource,$E117,'Critical resources (hide)'!AS$6:AS$105)+SUMIF(Capacity_Resource,$F117,'Critical resources (hide)'!AS$6:AS$105)&gt;0,$E$1=2),0,1)</f>
        <v>1</v>
      </c>
      <c r="AG117" s="67">
        <f ca="1">IF(AND(SUMIF(Capacity_Resource,$D117,'Critical resources (hide)'!AT$6:AT$105)+SUMIF(Capacity_Resource,$E117,'Critical resources (hide)'!AT$6:AT$105)+SUMIF(Capacity_Resource,$F117,'Critical resources (hide)'!AT$6:AT$105)&gt;0,$E$1=2),0,1)</f>
        <v>1</v>
      </c>
      <c r="AH117" s="67">
        <f ca="1">IF(AND(SUMIF(Capacity_Resource,$D117,'Critical resources (hide)'!AU$6:AU$105)+SUMIF(Capacity_Resource,$E117,'Critical resources (hide)'!AU$6:AU$105)+SUMIF(Capacity_Resource,$F117,'Critical resources (hide)'!AU$6:AU$105)&gt;0,$E$1=2),0,1)</f>
        <v>1</v>
      </c>
      <c r="AI117" s="67">
        <f ca="1">IF(AND(SUMIF(Capacity_Resource,$D117,'Critical resources (hide)'!AV$6:AV$105)+SUMIF(Capacity_Resource,$E117,'Critical resources (hide)'!AV$6:AV$105)+SUMIF(Capacity_Resource,$F117,'Critical resources (hide)'!AV$6:AV$105)&gt;0,$E$1=2),0,1)</f>
        <v>1</v>
      </c>
      <c r="AJ117" s="67">
        <f ca="1">IF(AND(SUMIF(Capacity_Resource,$D117,'Critical resources (hide)'!AW$6:AW$105)+SUMIF(Capacity_Resource,$E117,'Critical resources (hide)'!AW$6:AW$105)+SUMIF(Capacity_Resource,$F117,'Critical resources (hide)'!AW$6:AW$105)&gt;0,$E$1=2),0,1)</f>
        <v>1</v>
      </c>
      <c r="AK117" s="67">
        <f ca="1">IF(AND(SUMIF(Capacity_Resource,$D117,'Critical resources (hide)'!AX$6:AX$105)+SUMIF(Capacity_Resource,$E117,'Critical resources (hide)'!AX$6:AX$105)+SUMIF(Capacity_Resource,$F117,'Critical resources (hide)'!AX$6:AX$105)&gt;0,$E$1=2),0,1)</f>
        <v>1</v>
      </c>
      <c r="AL117" s="67">
        <f ca="1">IF(AND(SUMIF(Capacity_Resource,$D117,'Critical resources (hide)'!AY$6:AY$105)+SUMIF(Capacity_Resource,$E117,'Critical resources (hide)'!AY$6:AY$105)+SUMIF(Capacity_Resource,$F117,'Critical resources (hide)'!AY$6:AY$105)&gt;0,$E$1=2),0,1)</f>
        <v>1</v>
      </c>
      <c r="AM117" s="67">
        <f ca="1">IF(AND(SUMIF(Capacity_Resource,$D117,'Critical resources (hide)'!AZ$6:AZ$105)+SUMIF(Capacity_Resource,$E117,'Critical resources (hide)'!AZ$6:AZ$105)+SUMIF(Capacity_Resource,$F117,'Critical resources (hide)'!AZ$6:AZ$105)&gt;0,$E$1=2),0,1)</f>
        <v>1</v>
      </c>
      <c r="AN117" s="67">
        <f ca="1">IF(AND(SUMIF(Capacity_Resource,$D117,'Critical resources (hide)'!BA$6:BA$105)+SUMIF(Capacity_Resource,$E117,'Critical resources (hide)'!BA$6:BA$105)+SUMIF(Capacity_Resource,$F117,'Critical resources (hide)'!BA$6:BA$105)&gt;0,$E$1=2),0,1)</f>
        <v>1</v>
      </c>
      <c r="AO117" s="67">
        <f ca="1">IF(AND(SUMIF(Capacity_Resource,$D117,'Critical resources (hide)'!BB$6:BB$105)+SUMIF(Capacity_Resource,$E117,'Critical resources (hide)'!BB$6:BB$105)+SUMIF(Capacity_Resource,$F117,'Critical resources (hide)'!BB$6:BB$105)&gt;0,$E$1=2),0,1)</f>
        <v>1</v>
      </c>
      <c r="AP117" s="67">
        <f ca="1">IF(AND(SUMIF(Capacity_Resource,$D117,'Critical resources (hide)'!BC$6:BC$105)+SUMIF(Capacity_Resource,$E117,'Critical resources (hide)'!BC$6:BC$105)+SUMIF(Capacity_Resource,$F117,'Critical resources (hide)'!BC$6:BC$105)&gt;0,$E$1=2),0,1)</f>
        <v>1</v>
      </c>
      <c r="AQ117" s="67">
        <f ca="1">IF(AND(SUMIF(Capacity_Resource,$D117,'Critical resources (hide)'!BD$6:BD$105)+SUMIF(Capacity_Resource,$E117,'Critical resources (hide)'!BD$6:BD$105)+SUMIF(Capacity_Resource,$F117,'Critical resources (hide)'!BD$6:BD$105)&gt;0,$E$1=2),0,1)</f>
        <v>1</v>
      </c>
      <c r="AR117" s="67">
        <f ca="1">IF(AND(SUMIF(Capacity_Resource,$D117,'Critical resources (hide)'!BE$6:BE$105)+SUMIF(Capacity_Resource,$E117,'Critical resources (hide)'!BE$6:BE$105)+SUMIF(Capacity_Resource,$F117,'Critical resources (hide)'!BE$6:BE$105)&gt;0,$E$1=2),0,1)</f>
        <v>1</v>
      </c>
      <c r="AS117" s="67">
        <f ca="1">IF(AND(SUMIF(Capacity_Resource,$D117,'Critical resources (hide)'!BF$6:BF$105)+SUMIF(Capacity_Resource,$E117,'Critical resources (hide)'!BF$6:BF$105)+SUMIF(Capacity_Resource,$F117,'Critical resources (hide)'!BF$6:BF$105)&gt;0,$E$1=2),0,1)</f>
        <v>1</v>
      </c>
      <c r="AT117" s="67">
        <f ca="1">IF(AND(SUMIF(Capacity_Resource,$D117,'Critical resources (hide)'!BG$6:BG$105)+SUMIF(Capacity_Resource,$E117,'Critical resources (hide)'!BG$6:BG$105)+SUMIF(Capacity_Resource,$F117,'Critical resources (hide)'!BG$6:BG$105)&gt;0,$E$1=2),0,1)</f>
        <v>1</v>
      </c>
      <c r="AU117" s="67">
        <f ca="1">IF(AND(SUMIF(Capacity_Resource,$D117,'Critical resources (hide)'!BH$6:BH$105)+SUMIF(Capacity_Resource,$E117,'Critical resources (hide)'!BH$6:BH$105)+SUMIF(Capacity_Resource,$F117,'Critical resources (hide)'!BH$6:BH$105)&gt;0,$E$1=2),0,1)</f>
        <v>1</v>
      </c>
      <c r="AV117" s="67">
        <f ca="1">IF(AND(SUMIF(Capacity_Resource,$D117,'Critical resources (hide)'!BI$6:BI$105)+SUMIF(Capacity_Resource,$E117,'Critical resources (hide)'!BI$6:BI$105)+SUMIF(Capacity_Resource,$F117,'Critical resources (hide)'!BI$6:BI$105)&gt;0,$E$1=2),0,1)</f>
        <v>1</v>
      </c>
      <c r="AW117" s="67">
        <f ca="1">IF(AND(SUMIF(Capacity_Resource,$D117,'Critical resources (hide)'!BJ$6:BJ$105)+SUMIF(Capacity_Resource,$E117,'Critical resources (hide)'!BJ$6:BJ$105)+SUMIF(Capacity_Resource,$F117,'Critical resources (hide)'!BJ$6:BJ$105)&gt;0,$E$1=2),0,1)</f>
        <v>1</v>
      </c>
      <c r="AX117" s="67">
        <f ca="1">IF(AND(SUMIF(Capacity_Resource,$D117,'Critical resources (hide)'!BK$6:BK$105)+SUMIF(Capacity_Resource,$E117,'Critical resources (hide)'!BK$6:BK$105)+SUMIF(Capacity_Resource,$F117,'Critical resources (hide)'!BK$6:BK$105)&gt;0,$E$1=2),0,1)</f>
        <v>1</v>
      </c>
      <c r="AY117" s="67">
        <f ca="1">IF(AND(SUMIF(Capacity_Resource,$D117,'Critical resources (hide)'!BL$6:BL$105)+SUMIF(Capacity_Resource,$E117,'Critical resources (hide)'!BL$6:BL$105)+SUMIF(Capacity_Resource,$F117,'Critical resources (hide)'!BL$6:BL$105)&gt;0,$E$1=2),0,1)</f>
        <v>1</v>
      </c>
      <c r="AZ117" s="67">
        <f ca="1">IF(AND(SUMIF(Capacity_Resource,$D117,'Critical resources (hide)'!BM$6:BM$105)+SUMIF(Capacity_Resource,$E117,'Critical resources (hide)'!BM$6:BM$105)+SUMIF(Capacity_Resource,$F117,'Critical resources (hide)'!BM$6:BM$105)&gt;0,$E$1=2),0,1)</f>
        <v>1</v>
      </c>
      <c r="BA117" s="67">
        <f ca="1">IF(AND(SUMIF(Capacity_Resource,$D117,'Critical resources (hide)'!BN$6:BN$105)+SUMIF(Capacity_Resource,$E117,'Critical resources (hide)'!BN$6:BN$105)+SUMIF(Capacity_Resource,$F117,'Critical resources (hide)'!BN$6:BN$105)&gt;0,$E$1=2),0,1)</f>
        <v>1</v>
      </c>
      <c r="BB117" s="67">
        <f ca="1">IF(AND(SUMIF(Capacity_Resource,$D117,'Critical resources (hide)'!BO$6:BO$105)+SUMIF(Capacity_Resource,$E117,'Critical resources (hide)'!BO$6:BO$105)+SUMIF(Capacity_Resource,$F117,'Critical resources (hide)'!BO$6:BO$105)&gt;0,$E$1=2),0,1)</f>
        <v>1</v>
      </c>
      <c r="BC117" s="67">
        <f ca="1">IF(AND(SUMIF(Capacity_Resource,$D117,'Critical resources (hide)'!BP$6:BP$105)+SUMIF(Capacity_Resource,$E117,'Critical resources (hide)'!BP$6:BP$105)+SUMIF(Capacity_Resource,$F117,'Critical resources (hide)'!BP$6:BP$105)&gt;0,$E$1=2),0,1)</f>
        <v>1</v>
      </c>
      <c r="BD117" s="67">
        <f ca="1">IF(AND(SUMIF(Capacity_Resource,$D117,'Critical resources (hide)'!BQ$6:BQ$105)+SUMIF(Capacity_Resource,$E117,'Critical resources (hide)'!BQ$6:BQ$105)+SUMIF(Capacity_Resource,$F117,'Critical resources (hide)'!BQ$6:BQ$105)&gt;0,$E$1=2),0,1)</f>
        <v>1</v>
      </c>
      <c r="BE117" s="67">
        <f ca="1">IF(AND(SUMIF(Capacity_Resource,$D117,'Critical resources (hide)'!BR$6:BR$105)+SUMIF(Capacity_Resource,$E117,'Critical resources (hide)'!BR$6:BR$105)+SUMIF(Capacity_Resource,$F117,'Critical resources (hide)'!BR$6:BR$105)&gt;0,$E$1=2),0,1)</f>
        <v>1</v>
      </c>
      <c r="BF117" s="67">
        <f ca="1">IF(AND(SUMIF(Capacity_Resource,$D117,'Critical resources (hide)'!BS$6:BS$105)+SUMIF(Capacity_Resource,$E117,'Critical resources (hide)'!BS$6:BS$105)+SUMIF(Capacity_Resource,$F117,'Critical resources (hide)'!BS$6:BS$105)&gt;0,$E$1=2),0,1)</f>
        <v>1</v>
      </c>
      <c r="BG117" s="67">
        <f ca="1">IF(AND(SUMIF(Capacity_Resource,$D117,'Critical resources (hide)'!BT$6:BT$105)+SUMIF(Capacity_Resource,$E117,'Critical resources (hide)'!BT$6:BT$105)+SUMIF(Capacity_Resource,$F117,'Critical resources (hide)'!BT$6:BT$105)&gt;0,$E$1=2),0,1)</f>
        <v>1</v>
      </c>
      <c r="BH117" s="67">
        <f>IF(ROW(A6)&lt;=Capacity!$M$16,IF('Capacity summary'!$C$14="No",SUM(H117:BG117),'Capacity summary'!$E29),0)</f>
        <v>0</v>
      </c>
      <c r="BI117" s="67" t="str">
        <f>IF(BH117&gt;0,IF(BH117&lt;Capacity!Q22,Capacity!R22,Capacity!T22/'Capacity calculation (hide)'!BH117),"")</f>
        <v/>
      </c>
      <c r="BJ117" s="5"/>
      <c r="BK117" s="5">
        <f>IF($BI117&lt;&gt;"",IF('Capacity summary'!$C$14="Yes",IF(COUNTBLANK('Capacity summary'!$H29:$BG29)&lt;52,IF('Capacity summary'!H29&lt;&gt;"",IF(LOWER('Capacity summary'!H29)="x",$BI117*H117,VALUE('Capacity summary'!H29)),0),H117*$BI117),H117*$BI117),0)</f>
        <v>0</v>
      </c>
      <c r="BL117" s="5">
        <f>IF($BI117&lt;&gt;"",IF('Capacity summary'!$C$14="Yes",IF(COUNTBLANK('Capacity summary'!$H29:$BG29)&lt;52,IF('Capacity summary'!I29&lt;&gt;"",IF(LOWER('Capacity summary'!I29)="x",$BI117*I117,VALUE('Capacity summary'!I29)),0),I117*$BI117),I117*$BI117),0)</f>
        <v>0</v>
      </c>
      <c r="BM117" s="5">
        <f>IF($BI117&lt;&gt;"",IF('Capacity summary'!$C$14="Yes",IF(COUNTBLANK('Capacity summary'!$H29:$BG29)&lt;52,IF('Capacity summary'!J29&lt;&gt;"",IF(LOWER('Capacity summary'!J29)="x",$BI117*J117,VALUE('Capacity summary'!J29)),0),J117*$BI117),J117*$BI117),0)</f>
        <v>0</v>
      </c>
      <c r="BN117" s="5">
        <f>IF($BI117&lt;&gt;"",IF('Capacity summary'!$C$14="Yes",IF(COUNTBLANK('Capacity summary'!$H29:$BG29)&lt;52,IF('Capacity summary'!K29&lt;&gt;"",IF(LOWER('Capacity summary'!K29)="x",$BI117*K117,VALUE('Capacity summary'!K29)),0),K117*$BI117),K117*$BI117),0)</f>
        <v>0</v>
      </c>
      <c r="BO117" s="5">
        <f>IF($BI117&lt;&gt;"",IF('Capacity summary'!$C$14="Yes",IF(COUNTBLANK('Capacity summary'!$H29:$BG29)&lt;52,IF('Capacity summary'!L29&lt;&gt;"",IF(LOWER('Capacity summary'!L29)="x",$BI117*L117,VALUE('Capacity summary'!L29)),0),L117*$BI117),L117*$BI117),0)</f>
        <v>0</v>
      </c>
      <c r="BP117" s="5">
        <f>IF($BI117&lt;&gt;"",IF('Capacity summary'!$C$14="Yes",IF(COUNTBLANK('Capacity summary'!$H29:$BG29)&lt;52,IF('Capacity summary'!M29&lt;&gt;"",IF(LOWER('Capacity summary'!M29)="x",$BI117*M117,VALUE('Capacity summary'!M29)),0),M117*$BI117),M117*$BI117),0)</f>
        <v>0</v>
      </c>
      <c r="BQ117" s="5">
        <f>IF($BI117&lt;&gt;"",IF('Capacity summary'!$C$14="Yes",IF(COUNTBLANK('Capacity summary'!$H29:$BG29)&lt;52,IF('Capacity summary'!N29&lt;&gt;"",IF(LOWER('Capacity summary'!N29)="x",$BI117*N117,VALUE('Capacity summary'!N29)),0),N117*$BI117),N117*$BI117),0)</f>
        <v>0</v>
      </c>
      <c r="BR117" s="5">
        <f>IF($BI117&lt;&gt;"",IF('Capacity summary'!$C$14="Yes",IF(COUNTBLANK('Capacity summary'!$H29:$BG29)&lt;52,IF('Capacity summary'!O29&lt;&gt;"",IF(LOWER('Capacity summary'!O29)="x",$BI117*O117,VALUE('Capacity summary'!O29)),0),O117*$BI117),O117*$BI117),0)</f>
        <v>0</v>
      </c>
      <c r="BS117" s="5">
        <f>IF($BI117&lt;&gt;"",IF('Capacity summary'!$C$14="Yes",IF(COUNTBLANK('Capacity summary'!$H29:$BG29)&lt;52,IF('Capacity summary'!P29&lt;&gt;"",IF(LOWER('Capacity summary'!P29)="x",$BI117*P117,VALUE('Capacity summary'!P29)),0),P117*$BI117),P117*$BI117),0)</f>
        <v>0</v>
      </c>
      <c r="BT117" s="5">
        <f>IF($BI117&lt;&gt;"",IF('Capacity summary'!$C$14="Yes",IF(COUNTBLANK('Capacity summary'!$H29:$BG29)&lt;52,IF('Capacity summary'!Q29&lt;&gt;"",IF(LOWER('Capacity summary'!Q29)="x",$BI117*Q117,VALUE('Capacity summary'!Q29)),0),Q117*$BI117),Q117*$BI117),0)</f>
        <v>0</v>
      </c>
      <c r="BU117" s="5">
        <f>IF($BI117&lt;&gt;"",IF('Capacity summary'!$C$14="Yes",IF(COUNTBLANK('Capacity summary'!$H29:$BG29)&lt;52,IF('Capacity summary'!R29&lt;&gt;"",IF(LOWER('Capacity summary'!R29)="x",$BI117*R117,VALUE('Capacity summary'!R29)),0),R117*$BI117),R117*$BI117),0)</f>
        <v>0</v>
      </c>
      <c r="BV117" s="5">
        <f>IF($BI117&lt;&gt;"",IF('Capacity summary'!$C$14="Yes",IF(COUNTBLANK('Capacity summary'!$H29:$BG29)&lt;52,IF('Capacity summary'!S29&lt;&gt;"",IF(LOWER('Capacity summary'!S29)="x",$BI117*S117,VALUE('Capacity summary'!S29)),0),S117*$BI117),S117*$BI117),0)</f>
        <v>0</v>
      </c>
      <c r="BW117" s="5">
        <f>IF($BI117&lt;&gt;"",IF('Capacity summary'!$C$14="Yes",IF(COUNTBLANK('Capacity summary'!$H29:$BG29)&lt;52,IF('Capacity summary'!T29&lt;&gt;"",IF(LOWER('Capacity summary'!T29)="x",$BI117*T117,VALUE('Capacity summary'!T29)),0),T117*$BI117),T117*$BI117),0)</f>
        <v>0</v>
      </c>
      <c r="BX117" s="5">
        <f>IF($BI117&lt;&gt;"",IF('Capacity summary'!$C$14="Yes",IF(COUNTBLANK('Capacity summary'!$H29:$BG29)&lt;52,IF('Capacity summary'!U29&lt;&gt;"",IF(LOWER('Capacity summary'!U29)="x",$BI117*U117,VALUE('Capacity summary'!U29)),0),U117*$BI117),U117*$BI117),0)</f>
        <v>0</v>
      </c>
      <c r="BY117" s="5">
        <f>IF($BI117&lt;&gt;"",IF('Capacity summary'!$C$14="Yes",IF(COUNTBLANK('Capacity summary'!$H29:$BG29)&lt;52,IF('Capacity summary'!V29&lt;&gt;"",IF(LOWER('Capacity summary'!V29)="x",$BI117*V117,VALUE('Capacity summary'!V29)),0),V117*$BI117),V117*$BI117),0)</f>
        <v>0</v>
      </c>
      <c r="BZ117" s="5">
        <f>IF($BI117&lt;&gt;"",IF('Capacity summary'!$C$14="Yes",IF(COUNTBLANK('Capacity summary'!$H29:$BG29)&lt;52,IF('Capacity summary'!W29&lt;&gt;"",IF(LOWER('Capacity summary'!W29)="x",$BI117*W117,VALUE('Capacity summary'!W29)),0),W117*$BI117),W117*$BI117),0)</f>
        <v>0</v>
      </c>
      <c r="CA117" s="5">
        <f>IF($BI117&lt;&gt;"",IF('Capacity summary'!$C$14="Yes",IF(COUNTBLANK('Capacity summary'!$H29:$BG29)&lt;52,IF('Capacity summary'!X29&lt;&gt;"",IF(LOWER('Capacity summary'!X29)="x",$BI117*X117,VALUE('Capacity summary'!X29)),0),X117*$BI117),X117*$BI117),0)</f>
        <v>0</v>
      </c>
      <c r="CB117" s="5">
        <f>IF($BI117&lt;&gt;"",IF('Capacity summary'!$C$14="Yes",IF(COUNTBLANK('Capacity summary'!$H29:$BG29)&lt;52,IF('Capacity summary'!Y29&lt;&gt;"",IF(LOWER('Capacity summary'!Y29)="x",$BI117*Y117,VALUE('Capacity summary'!Y29)),0),Y117*$BI117),Y117*$BI117),0)</f>
        <v>0</v>
      </c>
      <c r="CC117" s="5">
        <f>IF($BI117&lt;&gt;"",IF('Capacity summary'!$C$14="Yes",IF(COUNTBLANK('Capacity summary'!$H29:$BG29)&lt;52,IF('Capacity summary'!Z29&lt;&gt;"",IF(LOWER('Capacity summary'!Z29)="x",$BI117*Z117,VALUE('Capacity summary'!Z29)),0),Z117*$BI117),Z117*$BI117),0)</f>
        <v>0</v>
      </c>
      <c r="CD117" s="5">
        <f>IF($BI117&lt;&gt;"",IF('Capacity summary'!$C$14="Yes",IF(COUNTBLANK('Capacity summary'!$H29:$BG29)&lt;52,IF('Capacity summary'!AA29&lt;&gt;"",IF(LOWER('Capacity summary'!AA29)="x",$BI117*AA117,VALUE('Capacity summary'!AA29)),0),AA117*$BI117),AA117*$BI117),0)</f>
        <v>0</v>
      </c>
      <c r="CE117" s="5">
        <f>IF($BI117&lt;&gt;"",IF('Capacity summary'!$C$14="Yes",IF(COUNTBLANK('Capacity summary'!$H29:$BG29)&lt;52,IF('Capacity summary'!AB29&lt;&gt;"",IF(LOWER('Capacity summary'!AB29)="x",$BI117*AB117,VALUE('Capacity summary'!AB29)),0),AB117*$BI117),AB117*$BI117),0)</f>
        <v>0</v>
      </c>
      <c r="CF117" s="5">
        <f>IF($BI117&lt;&gt;"",IF('Capacity summary'!$C$14="Yes",IF(COUNTBLANK('Capacity summary'!$H29:$BG29)&lt;52,IF('Capacity summary'!AC29&lt;&gt;"",IF(LOWER('Capacity summary'!AC29)="x",$BI117*AC117,VALUE('Capacity summary'!AC29)),0),AC117*$BI117),AC117*$BI117),0)</f>
        <v>0</v>
      </c>
      <c r="CG117" s="5">
        <f>IF($BI117&lt;&gt;"",IF('Capacity summary'!$C$14="Yes",IF(COUNTBLANK('Capacity summary'!$H29:$BG29)&lt;52,IF('Capacity summary'!AD29&lt;&gt;"",IF(LOWER('Capacity summary'!AD29)="x",$BI117*AD117,VALUE('Capacity summary'!AD29)),0),AD117*$BI117),AD117*$BI117),0)</f>
        <v>0</v>
      </c>
      <c r="CH117" s="5">
        <f>IF($BI117&lt;&gt;"",IF('Capacity summary'!$C$14="Yes",IF(COUNTBLANK('Capacity summary'!$H29:$BG29)&lt;52,IF('Capacity summary'!AE29&lt;&gt;"",IF(LOWER('Capacity summary'!AE29)="x",$BI117*AE117,VALUE('Capacity summary'!AE29)),0),AE117*$BI117),AE117*$BI117),0)</f>
        <v>0</v>
      </c>
      <c r="CI117" s="5">
        <f>IF($BI117&lt;&gt;"",IF('Capacity summary'!$C$14="Yes",IF(COUNTBLANK('Capacity summary'!$H29:$BG29)&lt;52,IF('Capacity summary'!AF29&lt;&gt;"",IF(LOWER('Capacity summary'!AF29)="x",$BI117*AF117,VALUE('Capacity summary'!AF29)),0),AF117*$BI117),AF117*$BI117),0)</f>
        <v>0</v>
      </c>
      <c r="CJ117" s="5">
        <f>IF($BI117&lt;&gt;"",IF('Capacity summary'!$C$14="Yes",IF(COUNTBLANK('Capacity summary'!$H29:$BG29)&lt;52,IF('Capacity summary'!AG29&lt;&gt;"",IF(LOWER('Capacity summary'!AG29)="x",$BI117*AG117,VALUE('Capacity summary'!AG29)),0),AG117*$BI117),AG117*$BI117),0)</f>
        <v>0</v>
      </c>
      <c r="CK117" s="5">
        <f>IF($BI117&lt;&gt;"",IF('Capacity summary'!$C$14="Yes",IF(COUNTBLANK('Capacity summary'!$H29:$BG29)&lt;52,IF('Capacity summary'!AH29&lt;&gt;"",IF(LOWER('Capacity summary'!AH29)="x",$BI117*AH117,VALUE('Capacity summary'!AH29)),0),AH117*$BI117),AH117*$BI117),0)</f>
        <v>0</v>
      </c>
      <c r="CL117" s="5">
        <f>IF($BI117&lt;&gt;"",IF('Capacity summary'!$C$14="Yes",IF(COUNTBLANK('Capacity summary'!$H29:$BG29)&lt;52,IF('Capacity summary'!AI29&lt;&gt;"",IF(LOWER('Capacity summary'!AI29)="x",$BI117*AI117,VALUE('Capacity summary'!AI29)),0),AI117*$BI117),AI117*$BI117),0)</f>
        <v>0</v>
      </c>
      <c r="CM117" s="5">
        <f>IF($BI117&lt;&gt;"",IF('Capacity summary'!$C$14="Yes",IF(COUNTBLANK('Capacity summary'!$H29:$BG29)&lt;52,IF('Capacity summary'!AJ29&lt;&gt;"",IF(LOWER('Capacity summary'!AJ29)="x",$BI117*AJ117,VALUE('Capacity summary'!AJ29)),0),AJ117*$BI117),AJ117*$BI117),0)</f>
        <v>0</v>
      </c>
      <c r="CN117" s="5">
        <f>IF($BI117&lt;&gt;"",IF('Capacity summary'!$C$14="Yes",IF(COUNTBLANK('Capacity summary'!$H29:$BG29)&lt;52,IF('Capacity summary'!AK29&lt;&gt;"",IF(LOWER('Capacity summary'!AK29)="x",$BI117*AK117,VALUE('Capacity summary'!AK29)),0),AK117*$BI117),AK117*$BI117),0)</f>
        <v>0</v>
      </c>
      <c r="CO117" s="5">
        <f>IF($BI117&lt;&gt;"",IF('Capacity summary'!$C$14="Yes",IF(COUNTBLANK('Capacity summary'!$H29:$BG29)&lt;52,IF('Capacity summary'!AL29&lt;&gt;"",IF(LOWER('Capacity summary'!AL29)="x",$BI117*AL117,VALUE('Capacity summary'!AL29)),0),AL117*$BI117),AL117*$BI117),0)</f>
        <v>0</v>
      </c>
      <c r="CP117" s="5">
        <f>IF($BI117&lt;&gt;"",IF('Capacity summary'!$C$14="Yes",IF(COUNTBLANK('Capacity summary'!$H29:$BG29)&lt;52,IF('Capacity summary'!AM29&lt;&gt;"",IF(LOWER('Capacity summary'!AM29)="x",$BI117*AM117,VALUE('Capacity summary'!AM29)),0),AM117*$BI117),AM117*$BI117),0)</f>
        <v>0</v>
      </c>
      <c r="CQ117" s="5">
        <f>IF($BI117&lt;&gt;"",IF('Capacity summary'!$C$14="Yes",IF(COUNTBLANK('Capacity summary'!$H29:$BG29)&lt;52,IF('Capacity summary'!AN29&lt;&gt;"",IF(LOWER('Capacity summary'!AN29)="x",$BI117*AN117,VALUE('Capacity summary'!AN29)),0),AN117*$BI117),AN117*$BI117),0)</f>
        <v>0</v>
      </c>
      <c r="CR117" s="5">
        <f>IF($BI117&lt;&gt;"",IF('Capacity summary'!$C$14="Yes",IF(COUNTBLANK('Capacity summary'!$H29:$BG29)&lt;52,IF('Capacity summary'!AO29&lt;&gt;"",IF(LOWER('Capacity summary'!AO29)="x",$BI117*AO117,VALUE('Capacity summary'!AO29)),0),AO117*$BI117),AO117*$BI117),0)</f>
        <v>0</v>
      </c>
      <c r="CS117" s="5">
        <f>IF($BI117&lt;&gt;"",IF('Capacity summary'!$C$14="Yes",IF(COUNTBLANK('Capacity summary'!$H29:$BG29)&lt;52,IF('Capacity summary'!AP29&lt;&gt;"",IF(LOWER('Capacity summary'!AP29)="x",$BI117*AP117,VALUE('Capacity summary'!AP29)),0),AP117*$BI117),AP117*$BI117),0)</f>
        <v>0</v>
      </c>
      <c r="CT117" s="5">
        <f>IF($BI117&lt;&gt;"",IF('Capacity summary'!$C$14="Yes",IF(COUNTBLANK('Capacity summary'!$H29:$BG29)&lt;52,IF('Capacity summary'!AQ29&lt;&gt;"",IF(LOWER('Capacity summary'!AQ29)="x",$BI117*AQ117,VALUE('Capacity summary'!AQ29)),0),AQ117*$BI117),AQ117*$BI117),0)</f>
        <v>0</v>
      </c>
      <c r="CU117" s="5">
        <f>IF($BI117&lt;&gt;"",IF('Capacity summary'!$C$14="Yes",IF(COUNTBLANK('Capacity summary'!$H29:$BG29)&lt;52,IF('Capacity summary'!AR29&lt;&gt;"",IF(LOWER('Capacity summary'!AR29)="x",$BI117*AR117,VALUE('Capacity summary'!AR29)),0),AR117*$BI117),AR117*$BI117),0)</f>
        <v>0</v>
      </c>
      <c r="CV117" s="5">
        <f>IF($BI117&lt;&gt;"",IF('Capacity summary'!$C$14="Yes",IF(COUNTBLANK('Capacity summary'!$H29:$BG29)&lt;52,IF('Capacity summary'!AS29&lt;&gt;"",IF(LOWER('Capacity summary'!AS29)="x",$BI117*AS117,VALUE('Capacity summary'!AS29)),0),AS117*$BI117),AS117*$BI117),0)</f>
        <v>0</v>
      </c>
      <c r="CW117" s="5">
        <f>IF($BI117&lt;&gt;"",IF('Capacity summary'!$C$14="Yes",IF(COUNTBLANK('Capacity summary'!$H29:$BG29)&lt;52,IF('Capacity summary'!AT29&lt;&gt;"",IF(LOWER('Capacity summary'!AT29)="x",$BI117*AT117,VALUE('Capacity summary'!AT29)),0),AT117*$BI117),AT117*$BI117),0)</f>
        <v>0</v>
      </c>
      <c r="CX117" s="5">
        <f>IF($BI117&lt;&gt;"",IF('Capacity summary'!$C$14="Yes",IF(COUNTBLANK('Capacity summary'!$H29:$BG29)&lt;52,IF('Capacity summary'!AU29&lt;&gt;"",IF(LOWER('Capacity summary'!AU29)="x",$BI117*AU117,VALUE('Capacity summary'!AU29)),0),AU117*$BI117),AU117*$BI117),0)</f>
        <v>0</v>
      </c>
      <c r="CY117" s="5">
        <f>IF($BI117&lt;&gt;"",IF('Capacity summary'!$C$14="Yes",IF(COUNTBLANK('Capacity summary'!$H29:$BG29)&lt;52,IF('Capacity summary'!AV29&lt;&gt;"",IF(LOWER('Capacity summary'!AV29)="x",$BI117*AV117,VALUE('Capacity summary'!AV29)),0),AV117*$BI117),AV117*$BI117),0)</f>
        <v>0</v>
      </c>
      <c r="CZ117" s="5">
        <f>IF($BI117&lt;&gt;"",IF('Capacity summary'!$C$14="Yes",IF(COUNTBLANK('Capacity summary'!$H29:$BG29)&lt;52,IF('Capacity summary'!AW29&lt;&gt;"",IF(LOWER('Capacity summary'!AW29)="x",$BI117*AW117,VALUE('Capacity summary'!AW29)),0),AW117*$BI117),AW117*$BI117),0)</f>
        <v>0</v>
      </c>
      <c r="DA117" s="5">
        <f>IF($BI117&lt;&gt;"",IF('Capacity summary'!$C$14="Yes",IF(COUNTBLANK('Capacity summary'!$H29:$BG29)&lt;52,IF('Capacity summary'!AX29&lt;&gt;"",IF(LOWER('Capacity summary'!AX29)="x",$BI117*AX117,VALUE('Capacity summary'!AX29)),0),AX117*$BI117),AX117*$BI117),0)</f>
        <v>0</v>
      </c>
      <c r="DB117" s="5">
        <f>IF($BI117&lt;&gt;"",IF('Capacity summary'!$C$14="Yes",IF(COUNTBLANK('Capacity summary'!$H29:$BG29)&lt;52,IF('Capacity summary'!AY29&lt;&gt;"",IF(LOWER('Capacity summary'!AY29)="x",$BI117*AY117,VALUE('Capacity summary'!AY29)),0),AY117*$BI117),AY117*$BI117),0)</f>
        <v>0</v>
      </c>
      <c r="DC117" s="5">
        <f>IF($BI117&lt;&gt;"",IF('Capacity summary'!$C$14="Yes",IF(COUNTBLANK('Capacity summary'!$H29:$BG29)&lt;52,IF('Capacity summary'!AZ29&lt;&gt;"",IF(LOWER('Capacity summary'!AZ29)="x",$BI117*AZ117,VALUE('Capacity summary'!AZ29)),0),AZ117*$BI117),AZ117*$BI117),0)</f>
        <v>0</v>
      </c>
      <c r="DD117" s="5">
        <f>IF($BI117&lt;&gt;"",IF('Capacity summary'!$C$14="Yes",IF(COUNTBLANK('Capacity summary'!$H29:$BG29)&lt;52,IF('Capacity summary'!BA29&lt;&gt;"",IF(LOWER('Capacity summary'!BA29)="x",$BI117*BA117,VALUE('Capacity summary'!BA29)),0),BA117*$BI117),BA117*$BI117),0)</f>
        <v>0</v>
      </c>
      <c r="DE117" s="5">
        <f>IF($BI117&lt;&gt;"",IF('Capacity summary'!$C$14="Yes",IF(COUNTBLANK('Capacity summary'!$H29:$BG29)&lt;52,IF('Capacity summary'!BB29&lt;&gt;"",IF(LOWER('Capacity summary'!BB29)="x",$BI117*BB117,VALUE('Capacity summary'!BB29)),0),BB117*$BI117),BB117*$BI117),0)</f>
        <v>0</v>
      </c>
      <c r="DF117" s="5">
        <f>IF($BI117&lt;&gt;"",IF('Capacity summary'!$C$14="Yes",IF(COUNTBLANK('Capacity summary'!$H29:$BG29)&lt;52,IF('Capacity summary'!BC29&lt;&gt;"",IF(LOWER('Capacity summary'!BC29)="x",$BI117*BC117,VALUE('Capacity summary'!BC29)),0),BC117*$BI117),BC117*$BI117),0)</f>
        <v>0</v>
      </c>
      <c r="DG117" s="5">
        <f>IF($BI117&lt;&gt;"",IF('Capacity summary'!$C$14="Yes",IF(COUNTBLANK('Capacity summary'!$H29:$BG29)&lt;52,IF('Capacity summary'!BD29&lt;&gt;"",IF(LOWER('Capacity summary'!BD29)="x",$BI117*BD117,VALUE('Capacity summary'!BD29)),0),BD117*$BI117),BD117*$BI117),0)</f>
        <v>0</v>
      </c>
      <c r="DH117" s="5">
        <f>IF($BI117&lt;&gt;"",IF('Capacity summary'!$C$14="Yes",IF(COUNTBLANK('Capacity summary'!$H29:$BG29)&lt;52,IF('Capacity summary'!BE29&lt;&gt;"",IF(LOWER('Capacity summary'!BE29)="x",$BI117*BE117,VALUE('Capacity summary'!BE29)),0),BE117*$BI117),BE117*$BI117),0)</f>
        <v>0</v>
      </c>
      <c r="DI117" s="5">
        <f>IF($BI117&lt;&gt;"",IF('Capacity summary'!$C$14="Yes",IF(COUNTBLANK('Capacity summary'!$H29:$BG29)&lt;52,IF('Capacity summary'!BF29&lt;&gt;"",IF(LOWER('Capacity summary'!BF29)="x",$BI117*BF117,VALUE('Capacity summary'!BF29)),0),BF117*$BI117),BF117*$BI117),0)</f>
        <v>0</v>
      </c>
      <c r="DJ117" s="5">
        <f>IF($BI117&lt;&gt;"",IF('Capacity summary'!$C$14="Yes",IF(COUNTBLANK('Capacity summary'!$H29:$BG29)&lt;52,IF('Capacity summary'!BG29&lt;&gt;"",IF(LOWER('Capacity summary'!BG29)="x",$BI117*BG117,VALUE('Capacity summary'!BG29)),0),BG117*$BI117),BG117*$BI117),0)</f>
        <v>0</v>
      </c>
      <c r="DK117" s="5">
        <f t="shared" ref="DK117" si="11">SUM(DK118:DK217)</f>
        <v>0</v>
      </c>
    </row>
    <row r="118" spans="3:115" x14ac:dyDescent="0.25">
      <c r="C118" s="67" t="str">
        <f>ROW(A7)&amp;". "&amp;Capacity!N23</f>
        <v xml:space="preserve">7. </v>
      </c>
      <c r="D118" s="67">
        <f>'Capacity setup'!C124</f>
        <v>0</v>
      </c>
      <c r="E118" s="67">
        <f>'Capacity setup'!D124</f>
        <v>0</v>
      </c>
      <c r="F118" s="67">
        <f>'Capacity setup'!E124</f>
        <v>0</v>
      </c>
      <c r="H118" s="67">
        <f ca="1">IF(AND(SUMIF(Capacity_Resource,$D118,'Critical resources (hide)'!U$6:U$105)+SUMIF(Capacity_Resource,$E118,'Critical resources (hide)'!U$6:U$105)+SUMIF(Capacity_Resource,$F118,'Critical resources (hide)'!U$6:U$105)&gt;0,$E$1=2),0,1)</f>
        <v>1</v>
      </c>
      <c r="I118" s="67">
        <f ca="1">IF(AND(SUMIF(Capacity_Resource,$D118,'Critical resources (hide)'!V$6:V$105)+SUMIF(Capacity_Resource,$E118,'Critical resources (hide)'!V$6:V$105)+SUMIF(Capacity_Resource,$F118,'Critical resources (hide)'!V$6:V$105)&gt;0,$E$1=2),0,1)</f>
        <v>1</v>
      </c>
      <c r="J118" s="67">
        <f ca="1">IF(AND(SUMIF(Capacity_Resource,$D118,'Critical resources (hide)'!W$6:W$105)+SUMIF(Capacity_Resource,$E118,'Critical resources (hide)'!W$6:W$105)+SUMIF(Capacity_Resource,$F118,'Critical resources (hide)'!W$6:W$105)&gt;0,$E$1=2),0,1)</f>
        <v>1</v>
      </c>
      <c r="K118" s="67">
        <f ca="1">IF(AND(SUMIF(Capacity_Resource,$D118,'Critical resources (hide)'!X$6:X$105)+SUMIF(Capacity_Resource,$E118,'Critical resources (hide)'!X$6:X$105)+SUMIF(Capacity_Resource,$F118,'Critical resources (hide)'!X$6:X$105)&gt;0,$E$1=2),0,1)</f>
        <v>1</v>
      </c>
      <c r="L118" s="67">
        <f ca="1">IF(AND(SUMIF(Capacity_Resource,$D118,'Critical resources (hide)'!Y$6:Y$105)+SUMIF(Capacity_Resource,$E118,'Critical resources (hide)'!Y$6:Y$105)+SUMIF(Capacity_Resource,$F118,'Critical resources (hide)'!Y$6:Y$105)&gt;0,$E$1=2),0,1)</f>
        <v>1</v>
      </c>
      <c r="M118" s="67">
        <f ca="1">IF(AND(SUMIF(Capacity_Resource,$D118,'Critical resources (hide)'!Z$6:Z$105)+SUMIF(Capacity_Resource,$E118,'Critical resources (hide)'!Z$6:Z$105)+SUMIF(Capacity_Resource,$F118,'Critical resources (hide)'!Z$6:Z$105)&gt;0,$E$1=2),0,1)</f>
        <v>1</v>
      </c>
      <c r="N118" s="67">
        <f ca="1">IF(AND(SUMIF(Capacity_Resource,$D118,'Critical resources (hide)'!AA$6:AA$105)+SUMIF(Capacity_Resource,$E118,'Critical resources (hide)'!AA$6:AA$105)+SUMIF(Capacity_Resource,$F118,'Critical resources (hide)'!AA$6:AA$105)&gt;0,$E$1=2),0,1)</f>
        <v>1</v>
      </c>
      <c r="O118" s="67">
        <f ca="1">IF(AND(SUMIF(Capacity_Resource,$D118,'Critical resources (hide)'!AB$6:AB$105)+SUMIF(Capacity_Resource,$E118,'Critical resources (hide)'!AB$6:AB$105)+SUMIF(Capacity_Resource,$F118,'Critical resources (hide)'!AB$6:AB$105)&gt;0,$E$1=2),0,1)</f>
        <v>1</v>
      </c>
      <c r="P118" s="67">
        <f ca="1">IF(AND(SUMIF(Capacity_Resource,$D118,'Critical resources (hide)'!AC$6:AC$105)+SUMIF(Capacity_Resource,$E118,'Critical resources (hide)'!AC$6:AC$105)+SUMIF(Capacity_Resource,$F118,'Critical resources (hide)'!AC$6:AC$105)&gt;0,$E$1=2),0,1)</f>
        <v>1</v>
      </c>
      <c r="Q118" s="67">
        <f ca="1">IF(AND(SUMIF(Capacity_Resource,$D118,'Critical resources (hide)'!AD$6:AD$105)+SUMIF(Capacity_Resource,$E118,'Critical resources (hide)'!AD$6:AD$105)+SUMIF(Capacity_Resource,$F118,'Critical resources (hide)'!AD$6:AD$105)&gt;0,$E$1=2),0,1)</f>
        <v>1</v>
      </c>
      <c r="R118" s="67">
        <f ca="1">IF(AND(SUMIF(Capacity_Resource,$D118,'Critical resources (hide)'!AE$6:AE$105)+SUMIF(Capacity_Resource,$E118,'Critical resources (hide)'!AE$6:AE$105)+SUMIF(Capacity_Resource,$F118,'Critical resources (hide)'!AE$6:AE$105)&gt;0,$E$1=2),0,1)</f>
        <v>1</v>
      </c>
      <c r="S118" s="67">
        <f ca="1">IF(AND(SUMIF(Capacity_Resource,$D118,'Critical resources (hide)'!AF$6:AF$105)+SUMIF(Capacity_Resource,$E118,'Critical resources (hide)'!AF$6:AF$105)+SUMIF(Capacity_Resource,$F118,'Critical resources (hide)'!AF$6:AF$105)&gt;0,$E$1=2),0,1)</f>
        <v>1</v>
      </c>
      <c r="T118" s="67">
        <f ca="1">IF(AND(SUMIF(Capacity_Resource,$D118,'Critical resources (hide)'!AG$6:AG$105)+SUMIF(Capacity_Resource,$E118,'Critical resources (hide)'!AG$6:AG$105)+SUMIF(Capacity_Resource,$F118,'Critical resources (hide)'!AG$6:AG$105)&gt;0,$E$1=2),0,1)</f>
        <v>1</v>
      </c>
      <c r="U118" s="67">
        <f ca="1">IF(AND(SUMIF(Capacity_Resource,$D118,'Critical resources (hide)'!AH$6:AH$105)+SUMIF(Capacity_Resource,$E118,'Critical resources (hide)'!AH$6:AH$105)+SUMIF(Capacity_Resource,$F118,'Critical resources (hide)'!AH$6:AH$105)&gt;0,$E$1=2),0,1)</f>
        <v>1</v>
      </c>
      <c r="V118" s="67">
        <f ca="1">IF(AND(SUMIF(Capacity_Resource,$D118,'Critical resources (hide)'!AI$6:AI$105)+SUMIF(Capacity_Resource,$E118,'Critical resources (hide)'!AI$6:AI$105)+SUMIF(Capacity_Resource,$F118,'Critical resources (hide)'!AI$6:AI$105)&gt;0,$E$1=2),0,1)</f>
        <v>1</v>
      </c>
      <c r="W118" s="67">
        <f ca="1">IF(AND(SUMIF(Capacity_Resource,$D118,'Critical resources (hide)'!AJ$6:AJ$105)+SUMIF(Capacity_Resource,$E118,'Critical resources (hide)'!AJ$6:AJ$105)+SUMIF(Capacity_Resource,$F118,'Critical resources (hide)'!AJ$6:AJ$105)&gt;0,$E$1=2),0,1)</f>
        <v>1</v>
      </c>
      <c r="X118" s="67">
        <f ca="1">IF(AND(SUMIF(Capacity_Resource,$D118,'Critical resources (hide)'!AK$6:AK$105)+SUMIF(Capacity_Resource,$E118,'Critical resources (hide)'!AK$6:AK$105)+SUMIF(Capacity_Resource,$F118,'Critical resources (hide)'!AK$6:AK$105)&gt;0,$E$1=2),0,1)</f>
        <v>1</v>
      </c>
      <c r="Y118" s="67">
        <f ca="1">IF(AND(SUMIF(Capacity_Resource,$D118,'Critical resources (hide)'!AL$6:AL$105)+SUMIF(Capacity_Resource,$E118,'Critical resources (hide)'!AL$6:AL$105)+SUMIF(Capacity_Resource,$F118,'Critical resources (hide)'!AL$6:AL$105)&gt;0,$E$1=2),0,1)</f>
        <v>1</v>
      </c>
      <c r="Z118" s="67">
        <f ca="1">IF(AND(SUMIF(Capacity_Resource,$D118,'Critical resources (hide)'!AM$6:AM$105)+SUMIF(Capacity_Resource,$E118,'Critical resources (hide)'!AM$6:AM$105)+SUMIF(Capacity_Resource,$F118,'Critical resources (hide)'!AM$6:AM$105)&gt;0,$E$1=2),0,1)</f>
        <v>1</v>
      </c>
      <c r="AA118" s="67">
        <f ca="1">IF(AND(SUMIF(Capacity_Resource,$D118,'Critical resources (hide)'!AN$6:AN$105)+SUMIF(Capacity_Resource,$E118,'Critical resources (hide)'!AN$6:AN$105)+SUMIF(Capacity_Resource,$F118,'Critical resources (hide)'!AN$6:AN$105)&gt;0,$E$1=2),0,1)</f>
        <v>1</v>
      </c>
      <c r="AB118" s="67">
        <f ca="1">IF(AND(SUMIF(Capacity_Resource,$D118,'Critical resources (hide)'!AO$6:AO$105)+SUMIF(Capacity_Resource,$E118,'Critical resources (hide)'!AO$6:AO$105)+SUMIF(Capacity_Resource,$F118,'Critical resources (hide)'!AO$6:AO$105)&gt;0,$E$1=2),0,1)</f>
        <v>1</v>
      </c>
      <c r="AC118" s="67">
        <f ca="1">IF(AND(SUMIF(Capacity_Resource,$D118,'Critical resources (hide)'!AP$6:AP$105)+SUMIF(Capacity_Resource,$E118,'Critical resources (hide)'!AP$6:AP$105)+SUMIF(Capacity_Resource,$F118,'Critical resources (hide)'!AP$6:AP$105)&gt;0,$E$1=2),0,1)</f>
        <v>1</v>
      </c>
      <c r="AD118" s="67">
        <f ca="1">IF(AND(SUMIF(Capacity_Resource,$D118,'Critical resources (hide)'!AQ$6:AQ$105)+SUMIF(Capacity_Resource,$E118,'Critical resources (hide)'!AQ$6:AQ$105)+SUMIF(Capacity_Resource,$F118,'Critical resources (hide)'!AQ$6:AQ$105)&gt;0,$E$1=2),0,1)</f>
        <v>1</v>
      </c>
      <c r="AE118" s="67">
        <f ca="1">IF(AND(SUMIF(Capacity_Resource,$D118,'Critical resources (hide)'!AR$6:AR$105)+SUMIF(Capacity_Resource,$E118,'Critical resources (hide)'!AR$6:AR$105)+SUMIF(Capacity_Resource,$F118,'Critical resources (hide)'!AR$6:AR$105)&gt;0,$E$1=2),0,1)</f>
        <v>1</v>
      </c>
      <c r="AF118" s="67">
        <f ca="1">IF(AND(SUMIF(Capacity_Resource,$D118,'Critical resources (hide)'!AS$6:AS$105)+SUMIF(Capacity_Resource,$E118,'Critical resources (hide)'!AS$6:AS$105)+SUMIF(Capacity_Resource,$F118,'Critical resources (hide)'!AS$6:AS$105)&gt;0,$E$1=2),0,1)</f>
        <v>1</v>
      </c>
      <c r="AG118" s="67">
        <f ca="1">IF(AND(SUMIF(Capacity_Resource,$D118,'Critical resources (hide)'!AT$6:AT$105)+SUMIF(Capacity_Resource,$E118,'Critical resources (hide)'!AT$6:AT$105)+SUMIF(Capacity_Resource,$F118,'Critical resources (hide)'!AT$6:AT$105)&gt;0,$E$1=2),0,1)</f>
        <v>1</v>
      </c>
      <c r="AH118" s="67">
        <f ca="1">IF(AND(SUMIF(Capacity_Resource,$D118,'Critical resources (hide)'!AU$6:AU$105)+SUMIF(Capacity_Resource,$E118,'Critical resources (hide)'!AU$6:AU$105)+SUMIF(Capacity_Resource,$F118,'Critical resources (hide)'!AU$6:AU$105)&gt;0,$E$1=2),0,1)</f>
        <v>1</v>
      </c>
      <c r="AI118" s="67">
        <f ca="1">IF(AND(SUMIF(Capacity_Resource,$D118,'Critical resources (hide)'!AV$6:AV$105)+SUMIF(Capacity_Resource,$E118,'Critical resources (hide)'!AV$6:AV$105)+SUMIF(Capacity_Resource,$F118,'Critical resources (hide)'!AV$6:AV$105)&gt;0,$E$1=2),0,1)</f>
        <v>1</v>
      </c>
      <c r="AJ118" s="67">
        <f ca="1">IF(AND(SUMIF(Capacity_Resource,$D118,'Critical resources (hide)'!AW$6:AW$105)+SUMIF(Capacity_Resource,$E118,'Critical resources (hide)'!AW$6:AW$105)+SUMIF(Capacity_Resource,$F118,'Critical resources (hide)'!AW$6:AW$105)&gt;0,$E$1=2),0,1)</f>
        <v>1</v>
      </c>
      <c r="AK118" s="67">
        <f ca="1">IF(AND(SUMIF(Capacity_Resource,$D118,'Critical resources (hide)'!AX$6:AX$105)+SUMIF(Capacity_Resource,$E118,'Critical resources (hide)'!AX$6:AX$105)+SUMIF(Capacity_Resource,$F118,'Critical resources (hide)'!AX$6:AX$105)&gt;0,$E$1=2),0,1)</f>
        <v>1</v>
      </c>
      <c r="AL118" s="67">
        <f ca="1">IF(AND(SUMIF(Capacity_Resource,$D118,'Critical resources (hide)'!AY$6:AY$105)+SUMIF(Capacity_Resource,$E118,'Critical resources (hide)'!AY$6:AY$105)+SUMIF(Capacity_Resource,$F118,'Critical resources (hide)'!AY$6:AY$105)&gt;0,$E$1=2),0,1)</f>
        <v>1</v>
      </c>
      <c r="AM118" s="67">
        <f ca="1">IF(AND(SUMIF(Capacity_Resource,$D118,'Critical resources (hide)'!AZ$6:AZ$105)+SUMIF(Capacity_Resource,$E118,'Critical resources (hide)'!AZ$6:AZ$105)+SUMIF(Capacity_Resource,$F118,'Critical resources (hide)'!AZ$6:AZ$105)&gt;0,$E$1=2),0,1)</f>
        <v>1</v>
      </c>
      <c r="AN118" s="67">
        <f ca="1">IF(AND(SUMIF(Capacity_Resource,$D118,'Critical resources (hide)'!BA$6:BA$105)+SUMIF(Capacity_Resource,$E118,'Critical resources (hide)'!BA$6:BA$105)+SUMIF(Capacity_Resource,$F118,'Critical resources (hide)'!BA$6:BA$105)&gt;0,$E$1=2),0,1)</f>
        <v>1</v>
      </c>
      <c r="AO118" s="67">
        <f ca="1">IF(AND(SUMIF(Capacity_Resource,$D118,'Critical resources (hide)'!BB$6:BB$105)+SUMIF(Capacity_Resource,$E118,'Critical resources (hide)'!BB$6:BB$105)+SUMIF(Capacity_Resource,$F118,'Critical resources (hide)'!BB$6:BB$105)&gt;0,$E$1=2),0,1)</f>
        <v>1</v>
      </c>
      <c r="AP118" s="67">
        <f ca="1">IF(AND(SUMIF(Capacity_Resource,$D118,'Critical resources (hide)'!BC$6:BC$105)+SUMIF(Capacity_Resource,$E118,'Critical resources (hide)'!BC$6:BC$105)+SUMIF(Capacity_Resource,$F118,'Critical resources (hide)'!BC$6:BC$105)&gt;0,$E$1=2),0,1)</f>
        <v>1</v>
      </c>
      <c r="AQ118" s="67">
        <f ca="1">IF(AND(SUMIF(Capacity_Resource,$D118,'Critical resources (hide)'!BD$6:BD$105)+SUMIF(Capacity_Resource,$E118,'Critical resources (hide)'!BD$6:BD$105)+SUMIF(Capacity_Resource,$F118,'Critical resources (hide)'!BD$6:BD$105)&gt;0,$E$1=2),0,1)</f>
        <v>1</v>
      </c>
      <c r="AR118" s="67">
        <f ca="1">IF(AND(SUMIF(Capacity_Resource,$D118,'Critical resources (hide)'!BE$6:BE$105)+SUMIF(Capacity_Resource,$E118,'Critical resources (hide)'!BE$6:BE$105)+SUMIF(Capacity_Resource,$F118,'Critical resources (hide)'!BE$6:BE$105)&gt;0,$E$1=2),0,1)</f>
        <v>1</v>
      </c>
      <c r="AS118" s="67">
        <f ca="1">IF(AND(SUMIF(Capacity_Resource,$D118,'Critical resources (hide)'!BF$6:BF$105)+SUMIF(Capacity_Resource,$E118,'Critical resources (hide)'!BF$6:BF$105)+SUMIF(Capacity_Resource,$F118,'Critical resources (hide)'!BF$6:BF$105)&gt;0,$E$1=2),0,1)</f>
        <v>1</v>
      </c>
      <c r="AT118" s="67">
        <f ca="1">IF(AND(SUMIF(Capacity_Resource,$D118,'Critical resources (hide)'!BG$6:BG$105)+SUMIF(Capacity_Resource,$E118,'Critical resources (hide)'!BG$6:BG$105)+SUMIF(Capacity_Resource,$F118,'Critical resources (hide)'!BG$6:BG$105)&gt;0,$E$1=2),0,1)</f>
        <v>1</v>
      </c>
      <c r="AU118" s="67">
        <f ca="1">IF(AND(SUMIF(Capacity_Resource,$D118,'Critical resources (hide)'!BH$6:BH$105)+SUMIF(Capacity_Resource,$E118,'Critical resources (hide)'!BH$6:BH$105)+SUMIF(Capacity_Resource,$F118,'Critical resources (hide)'!BH$6:BH$105)&gt;0,$E$1=2),0,1)</f>
        <v>1</v>
      </c>
      <c r="AV118" s="67">
        <f ca="1">IF(AND(SUMIF(Capacity_Resource,$D118,'Critical resources (hide)'!BI$6:BI$105)+SUMIF(Capacity_Resource,$E118,'Critical resources (hide)'!BI$6:BI$105)+SUMIF(Capacity_Resource,$F118,'Critical resources (hide)'!BI$6:BI$105)&gt;0,$E$1=2),0,1)</f>
        <v>1</v>
      </c>
      <c r="AW118" s="67">
        <f ca="1">IF(AND(SUMIF(Capacity_Resource,$D118,'Critical resources (hide)'!BJ$6:BJ$105)+SUMIF(Capacity_Resource,$E118,'Critical resources (hide)'!BJ$6:BJ$105)+SUMIF(Capacity_Resource,$F118,'Critical resources (hide)'!BJ$6:BJ$105)&gt;0,$E$1=2),0,1)</f>
        <v>1</v>
      </c>
      <c r="AX118" s="67">
        <f ca="1">IF(AND(SUMIF(Capacity_Resource,$D118,'Critical resources (hide)'!BK$6:BK$105)+SUMIF(Capacity_Resource,$E118,'Critical resources (hide)'!BK$6:BK$105)+SUMIF(Capacity_Resource,$F118,'Critical resources (hide)'!BK$6:BK$105)&gt;0,$E$1=2),0,1)</f>
        <v>1</v>
      </c>
      <c r="AY118" s="67">
        <f ca="1">IF(AND(SUMIF(Capacity_Resource,$D118,'Critical resources (hide)'!BL$6:BL$105)+SUMIF(Capacity_Resource,$E118,'Critical resources (hide)'!BL$6:BL$105)+SUMIF(Capacity_Resource,$F118,'Critical resources (hide)'!BL$6:BL$105)&gt;0,$E$1=2),0,1)</f>
        <v>1</v>
      </c>
      <c r="AZ118" s="67">
        <f ca="1">IF(AND(SUMIF(Capacity_Resource,$D118,'Critical resources (hide)'!BM$6:BM$105)+SUMIF(Capacity_Resource,$E118,'Critical resources (hide)'!BM$6:BM$105)+SUMIF(Capacity_Resource,$F118,'Critical resources (hide)'!BM$6:BM$105)&gt;0,$E$1=2),0,1)</f>
        <v>1</v>
      </c>
      <c r="BA118" s="67">
        <f ca="1">IF(AND(SUMIF(Capacity_Resource,$D118,'Critical resources (hide)'!BN$6:BN$105)+SUMIF(Capacity_Resource,$E118,'Critical resources (hide)'!BN$6:BN$105)+SUMIF(Capacity_Resource,$F118,'Critical resources (hide)'!BN$6:BN$105)&gt;0,$E$1=2),0,1)</f>
        <v>1</v>
      </c>
      <c r="BB118" s="67">
        <f ca="1">IF(AND(SUMIF(Capacity_Resource,$D118,'Critical resources (hide)'!BO$6:BO$105)+SUMIF(Capacity_Resource,$E118,'Critical resources (hide)'!BO$6:BO$105)+SUMIF(Capacity_Resource,$F118,'Critical resources (hide)'!BO$6:BO$105)&gt;0,$E$1=2),0,1)</f>
        <v>1</v>
      </c>
      <c r="BC118" s="67">
        <f ca="1">IF(AND(SUMIF(Capacity_Resource,$D118,'Critical resources (hide)'!BP$6:BP$105)+SUMIF(Capacity_Resource,$E118,'Critical resources (hide)'!BP$6:BP$105)+SUMIF(Capacity_Resource,$F118,'Critical resources (hide)'!BP$6:BP$105)&gt;0,$E$1=2),0,1)</f>
        <v>1</v>
      </c>
      <c r="BD118" s="67">
        <f ca="1">IF(AND(SUMIF(Capacity_Resource,$D118,'Critical resources (hide)'!BQ$6:BQ$105)+SUMIF(Capacity_Resource,$E118,'Critical resources (hide)'!BQ$6:BQ$105)+SUMIF(Capacity_Resource,$F118,'Critical resources (hide)'!BQ$6:BQ$105)&gt;0,$E$1=2),0,1)</f>
        <v>1</v>
      </c>
      <c r="BE118" s="67">
        <f ca="1">IF(AND(SUMIF(Capacity_Resource,$D118,'Critical resources (hide)'!BR$6:BR$105)+SUMIF(Capacity_Resource,$E118,'Critical resources (hide)'!BR$6:BR$105)+SUMIF(Capacity_Resource,$F118,'Critical resources (hide)'!BR$6:BR$105)&gt;0,$E$1=2),0,1)</f>
        <v>1</v>
      </c>
      <c r="BF118" s="67">
        <f ca="1">IF(AND(SUMIF(Capacity_Resource,$D118,'Critical resources (hide)'!BS$6:BS$105)+SUMIF(Capacity_Resource,$E118,'Critical resources (hide)'!BS$6:BS$105)+SUMIF(Capacity_Resource,$F118,'Critical resources (hide)'!BS$6:BS$105)&gt;0,$E$1=2),0,1)</f>
        <v>1</v>
      </c>
      <c r="BG118" s="67">
        <f ca="1">IF(AND(SUMIF(Capacity_Resource,$D118,'Critical resources (hide)'!BT$6:BT$105)+SUMIF(Capacity_Resource,$E118,'Critical resources (hide)'!BT$6:BT$105)+SUMIF(Capacity_Resource,$F118,'Critical resources (hide)'!BT$6:BT$105)&gt;0,$E$1=2),0,1)</f>
        <v>1</v>
      </c>
      <c r="BH118" s="67">
        <f>IF(ROW(A7)&lt;=Capacity!$M$16,IF('Capacity summary'!$C$14="No",SUM(H118:BG118),'Capacity summary'!$E30),0)</f>
        <v>0</v>
      </c>
      <c r="BI118" s="67" t="str">
        <f>IF(BH118&gt;0,IF(BH118&lt;Capacity!Q23,Capacity!R23,Capacity!T23/'Capacity calculation (hide)'!BH118),"")</f>
        <v/>
      </c>
      <c r="BJ118" s="5"/>
      <c r="BK118" s="5">
        <f>IF($BI118&lt;&gt;"",IF('Capacity summary'!$C$14="Yes",IF(COUNTBLANK('Capacity summary'!$H30:$BG30)&lt;52,IF('Capacity summary'!H30&lt;&gt;"",IF(LOWER('Capacity summary'!H30)="x",$BI118*H118,VALUE('Capacity summary'!H30)),0),H118*$BI118),H118*$BI118),0)</f>
        <v>0</v>
      </c>
      <c r="BL118" s="5">
        <f>IF($BI118&lt;&gt;"",IF('Capacity summary'!$C$14="Yes",IF(COUNTBLANK('Capacity summary'!$H30:$BG30)&lt;52,IF('Capacity summary'!I30&lt;&gt;"",IF(LOWER('Capacity summary'!I30)="x",$BI118*I118,VALUE('Capacity summary'!I30)),0),I118*$BI118),I118*$BI118),0)</f>
        <v>0</v>
      </c>
      <c r="BM118" s="5">
        <f>IF($BI118&lt;&gt;"",IF('Capacity summary'!$C$14="Yes",IF(COUNTBLANK('Capacity summary'!$H30:$BG30)&lt;52,IF('Capacity summary'!J30&lt;&gt;"",IF(LOWER('Capacity summary'!J30)="x",$BI118*J118,VALUE('Capacity summary'!J30)),0),J118*$BI118),J118*$BI118),0)</f>
        <v>0</v>
      </c>
      <c r="BN118" s="5">
        <f>IF($BI118&lt;&gt;"",IF('Capacity summary'!$C$14="Yes",IF(COUNTBLANK('Capacity summary'!$H30:$BG30)&lt;52,IF('Capacity summary'!K30&lt;&gt;"",IF(LOWER('Capacity summary'!K30)="x",$BI118*K118,VALUE('Capacity summary'!K30)),0),K118*$BI118),K118*$BI118),0)</f>
        <v>0</v>
      </c>
      <c r="BO118" s="5">
        <f>IF($BI118&lt;&gt;"",IF('Capacity summary'!$C$14="Yes",IF(COUNTBLANK('Capacity summary'!$H30:$BG30)&lt;52,IF('Capacity summary'!L30&lt;&gt;"",IF(LOWER('Capacity summary'!L30)="x",$BI118*L118,VALUE('Capacity summary'!L30)),0),L118*$BI118),L118*$BI118),0)</f>
        <v>0</v>
      </c>
      <c r="BP118" s="5">
        <f>IF($BI118&lt;&gt;"",IF('Capacity summary'!$C$14="Yes",IF(COUNTBLANK('Capacity summary'!$H30:$BG30)&lt;52,IF('Capacity summary'!M30&lt;&gt;"",IF(LOWER('Capacity summary'!M30)="x",$BI118*M118,VALUE('Capacity summary'!M30)),0),M118*$BI118),M118*$BI118),0)</f>
        <v>0</v>
      </c>
      <c r="BQ118" s="5">
        <f>IF($BI118&lt;&gt;"",IF('Capacity summary'!$C$14="Yes",IF(COUNTBLANK('Capacity summary'!$H30:$BG30)&lt;52,IF('Capacity summary'!N30&lt;&gt;"",IF(LOWER('Capacity summary'!N30)="x",$BI118*N118,VALUE('Capacity summary'!N30)),0),N118*$BI118),N118*$BI118),0)</f>
        <v>0</v>
      </c>
      <c r="BR118" s="5">
        <f>IF($BI118&lt;&gt;"",IF('Capacity summary'!$C$14="Yes",IF(COUNTBLANK('Capacity summary'!$H30:$BG30)&lt;52,IF('Capacity summary'!O30&lt;&gt;"",IF(LOWER('Capacity summary'!O30)="x",$BI118*O118,VALUE('Capacity summary'!O30)),0),O118*$BI118),O118*$BI118),0)</f>
        <v>0</v>
      </c>
      <c r="BS118" s="5">
        <f>IF($BI118&lt;&gt;"",IF('Capacity summary'!$C$14="Yes",IF(COUNTBLANK('Capacity summary'!$H30:$BG30)&lt;52,IF('Capacity summary'!P30&lt;&gt;"",IF(LOWER('Capacity summary'!P30)="x",$BI118*P118,VALUE('Capacity summary'!P30)),0),P118*$BI118),P118*$BI118),0)</f>
        <v>0</v>
      </c>
      <c r="BT118" s="5">
        <f>IF($BI118&lt;&gt;"",IF('Capacity summary'!$C$14="Yes",IF(COUNTBLANK('Capacity summary'!$H30:$BG30)&lt;52,IF('Capacity summary'!Q30&lt;&gt;"",IF(LOWER('Capacity summary'!Q30)="x",$BI118*Q118,VALUE('Capacity summary'!Q30)),0),Q118*$BI118),Q118*$BI118),0)</f>
        <v>0</v>
      </c>
      <c r="BU118" s="5">
        <f>IF($BI118&lt;&gt;"",IF('Capacity summary'!$C$14="Yes",IF(COUNTBLANK('Capacity summary'!$H30:$BG30)&lt;52,IF('Capacity summary'!R30&lt;&gt;"",IF(LOWER('Capacity summary'!R30)="x",$BI118*R118,VALUE('Capacity summary'!R30)),0),R118*$BI118),R118*$BI118),0)</f>
        <v>0</v>
      </c>
      <c r="BV118" s="5">
        <f>IF($BI118&lt;&gt;"",IF('Capacity summary'!$C$14="Yes",IF(COUNTBLANK('Capacity summary'!$H30:$BG30)&lt;52,IF('Capacity summary'!S30&lt;&gt;"",IF(LOWER('Capacity summary'!S30)="x",$BI118*S118,VALUE('Capacity summary'!S30)),0),S118*$BI118),S118*$BI118),0)</f>
        <v>0</v>
      </c>
      <c r="BW118" s="5">
        <f>IF($BI118&lt;&gt;"",IF('Capacity summary'!$C$14="Yes",IF(COUNTBLANK('Capacity summary'!$H30:$BG30)&lt;52,IF('Capacity summary'!T30&lt;&gt;"",IF(LOWER('Capacity summary'!T30)="x",$BI118*T118,VALUE('Capacity summary'!T30)),0),T118*$BI118),T118*$BI118),0)</f>
        <v>0</v>
      </c>
      <c r="BX118" s="5">
        <f>IF($BI118&lt;&gt;"",IF('Capacity summary'!$C$14="Yes",IF(COUNTBLANK('Capacity summary'!$H30:$BG30)&lt;52,IF('Capacity summary'!U30&lt;&gt;"",IF(LOWER('Capacity summary'!U30)="x",$BI118*U118,VALUE('Capacity summary'!U30)),0),U118*$BI118),U118*$BI118),0)</f>
        <v>0</v>
      </c>
      <c r="BY118" s="5">
        <f>IF($BI118&lt;&gt;"",IF('Capacity summary'!$C$14="Yes",IF(COUNTBLANK('Capacity summary'!$H30:$BG30)&lt;52,IF('Capacity summary'!V30&lt;&gt;"",IF(LOWER('Capacity summary'!V30)="x",$BI118*V118,VALUE('Capacity summary'!V30)),0),V118*$BI118),V118*$BI118),0)</f>
        <v>0</v>
      </c>
      <c r="BZ118" s="5">
        <f>IF($BI118&lt;&gt;"",IF('Capacity summary'!$C$14="Yes",IF(COUNTBLANK('Capacity summary'!$H30:$BG30)&lt;52,IF('Capacity summary'!W30&lt;&gt;"",IF(LOWER('Capacity summary'!W30)="x",$BI118*W118,VALUE('Capacity summary'!W30)),0),W118*$BI118),W118*$BI118),0)</f>
        <v>0</v>
      </c>
      <c r="CA118" s="5">
        <f>IF($BI118&lt;&gt;"",IF('Capacity summary'!$C$14="Yes",IF(COUNTBLANK('Capacity summary'!$H30:$BG30)&lt;52,IF('Capacity summary'!X30&lt;&gt;"",IF(LOWER('Capacity summary'!X30)="x",$BI118*X118,VALUE('Capacity summary'!X30)),0),X118*$BI118),X118*$BI118),0)</f>
        <v>0</v>
      </c>
      <c r="CB118" s="5">
        <f>IF($BI118&lt;&gt;"",IF('Capacity summary'!$C$14="Yes",IF(COUNTBLANK('Capacity summary'!$H30:$BG30)&lt;52,IF('Capacity summary'!Y30&lt;&gt;"",IF(LOWER('Capacity summary'!Y30)="x",$BI118*Y118,VALUE('Capacity summary'!Y30)),0),Y118*$BI118),Y118*$BI118),0)</f>
        <v>0</v>
      </c>
      <c r="CC118" s="5">
        <f>IF($BI118&lt;&gt;"",IF('Capacity summary'!$C$14="Yes",IF(COUNTBLANK('Capacity summary'!$H30:$BG30)&lt;52,IF('Capacity summary'!Z30&lt;&gt;"",IF(LOWER('Capacity summary'!Z30)="x",$BI118*Z118,VALUE('Capacity summary'!Z30)),0),Z118*$BI118),Z118*$BI118),0)</f>
        <v>0</v>
      </c>
      <c r="CD118" s="5">
        <f>IF($BI118&lt;&gt;"",IF('Capacity summary'!$C$14="Yes",IF(COUNTBLANK('Capacity summary'!$H30:$BG30)&lt;52,IF('Capacity summary'!AA30&lt;&gt;"",IF(LOWER('Capacity summary'!AA30)="x",$BI118*AA118,VALUE('Capacity summary'!AA30)),0),AA118*$BI118),AA118*$BI118),0)</f>
        <v>0</v>
      </c>
      <c r="CE118" s="5">
        <f>IF($BI118&lt;&gt;"",IF('Capacity summary'!$C$14="Yes",IF(COUNTBLANK('Capacity summary'!$H30:$BG30)&lt;52,IF('Capacity summary'!AB30&lt;&gt;"",IF(LOWER('Capacity summary'!AB30)="x",$BI118*AB118,VALUE('Capacity summary'!AB30)),0),AB118*$BI118),AB118*$BI118),0)</f>
        <v>0</v>
      </c>
      <c r="CF118" s="5">
        <f>IF($BI118&lt;&gt;"",IF('Capacity summary'!$C$14="Yes",IF(COUNTBLANK('Capacity summary'!$H30:$BG30)&lt;52,IF('Capacity summary'!AC30&lt;&gt;"",IF(LOWER('Capacity summary'!AC30)="x",$BI118*AC118,VALUE('Capacity summary'!AC30)),0),AC118*$BI118),AC118*$BI118),0)</f>
        <v>0</v>
      </c>
      <c r="CG118" s="5">
        <f>IF($BI118&lt;&gt;"",IF('Capacity summary'!$C$14="Yes",IF(COUNTBLANK('Capacity summary'!$H30:$BG30)&lt;52,IF('Capacity summary'!AD30&lt;&gt;"",IF(LOWER('Capacity summary'!AD30)="x",$BI118*AD118,VALUE('Capacity summary'!AD30)),0),AD118*$BI118),AD118*$BI118),0)</f>
        <v>0</v>
      </c>
      <c r="CH118" s="5">
        <f>IF($BI118&lt;&gt;"",IF('Capacity summary'!$C$14="Yes",IF(COUNTBLANK('Capacity summary'!$H30:$BG30)&lt;52,IF('Capacity summary'!AE30&lt;&gt;"",IF(LOWER('Capacity summary'!AE30)="x",$BI118*AE118,VALUE('Capacity summary'!AE30)),0),AE118*$BI118),AE118*$BI118),0)</f>
        <v>0</v>
      </c>
      <c r="CI118" s="5">
        <f>IF($BI118&lt;&gt;"",IF('Capacity summary'!$C$14="Yes",IF(COUNTBLANK('Capacity summary'!$H30:$BG30)&lt;52,IF('Capacity summary'!AF30&lt;&gt;"",IF(LOWER('Capacity summary'!AF30)="x",$BI118*AF118,VALUE('Capacity summary'!AF30)),0),AF118*$BI118),AF118*$BI118),0)</f>
        <v>0</v>
      </c>
      <c r="CJ118" s="5">
        <f>IF($BI118&lt;&gt;"",IF('Capacity summary'!$C$14="Yes",IF(COUNTBLANK('Capacity summary'!$H30:$BG30)&lt;52,IF('Capacity summary'!AG30&lt;&gt;"",IF(LOWER('Capacity summary'!AG30)="x",$BI118*AG118,VALUE('Capacity summary'!AG30)),0),AG118*$BI118),AG118*$BI118),0)</f>
        <v>0</v>
      </c>
      <c r="CK118" s="5">
        <f>IF($BI118&lt;&gt;"",IF('Capacity summary'!$C$14="Yes",IF(COUNTBLANK('Capacity summary'!$H30:$BG30)&lt;52,IF('Capacity summary'!AH30&lt;&gt;"",IF(LOWER('Capacity summary'!AH30)="x",$BI118*AH118,VALUE('Capacity summary'!AH30)),0),AH118*$BI118),AH118*$BI118),0)</f>
        <v>0</v>
      </c>
      <c r="CL118" s="5">
        <f>IF($BI118&lt;&gt;"",IF('Capacity summary'!$C$14="Yes",IF(COUNTBLANK('Capacity summary'!$H30:$BG30)&lt;52,IF('Capacity summary'!AI30&lt;&gt;"",IF(LOWER('Capacity summary'!AI30)="x",$BI118*AI118,VALUE('Capacity summary'!AI30)),0),AI118*$BI118),AI118*$BI118),0)</f>
        <v>0</v>
      </c>
      <c r="CM118" s="5">
        <f>IF($BI118&lt;&gt;"",IF('Capacity summary'!$C$14="Yes",IF(COUNTBLANK('Capacity summary'!$H30:$BG30)&lt;52,IF('Capacity summary'!AJ30&lt;&gt;"",IF(LOWER('Capacity summary'!AJ30)="x",$BI118*AJ118,VALUE('Capacity summary'!AJ30)),0),AJ118*$BI118),AJ118*$BI118),0)</f>
        <v>0</v>
      </c>
      <c r="CN118" s="5">
        <f>IF($BI118&lt;&gt;"",IF('Capacity summary'!$C$14="Yes",IF(COUNTBLANK('Capacity summary'!$H30:$BG30)&lt;52,IF('Capacity summary'!AK30&lt;&gt;"",IF(LOWER('Capacity summary'!AK30)="x",$BI118*AK118,VALUE('Capacity summary'!AK30)),0),AK118*$BI118),AK118*$BI118),0)</f>
        <v>0</v>
      </c>
      <c r="CO118" s="5">
        <f>IF($BI118&lt;&gt;"",IF('Capacity summary'!$C$14="Yes",IF(COUNTBLANK('Capacity summary'!$H30:$BG30)&lt;52,IF('Capacity summary'!AL30&lt;&gt;"",IF(LOWER('Capacity summary'!AL30)="x",$BI118*AL118,VALUE('Capacity summary'!AL30)),0),AL118*$BI118),AL118*$BI118),0)</f>
        <v>0</v>
      </c>
      <c r="CP118" s="5">
        <f>IF($BI118&lt;&gt;"",IF('Capacity summary'!$C$14="Yes",IF(COUNTBLANK('Capacity summary'!$H30:$BG30)&lt;52,IF('Capacity summary'!AM30&lt;&gt;"",IF(LOWER('Capacity summary'!AM30)="x",$BI118*AM118,VALUE('Capacity summary'!AM30)),0),AM118*$BI118),AM118*$BI118),0)</f>
        <v>0</v>
      </c>
      <c r="CQ118" s="5">
        <f>IF($BI118&lt;&gt;"",IF('Capacity summary'!$C$14="Yes",IF(COUNTBLANK('Capacity summary'!$H30:$BG30)&lt;52,IF('Capacity summary'!AN30&lt;&gt;"",IF(LOWER('Capacity summary'!AN30)="x",$BI118*AN118,VALUE('Capacity summary'!AN30)),0),AN118*$BI118),AN118*$BI118),0)</f>
        <v>0</v>
      </c>
      <c r="CR118" s="5">
        <f>IF($BI118&lt;&gt;"",IF('Capacity summary'!$C$14="Yes",IF(COUNTBLANK('Capacity summary'!$H30:$BG30)&lt;52,IF('Capacity summary'!AO30&lt;&gt;"",IF(LOWER('Capacity summary'!AO30)="x",$BI118*AO118,VALUE('Capacity summary'!AO30)),0),AO118*$BI118),AO118*$BI118),0)</f>
        <v>0</v>
      </c>
      <c r="CS118" s="5">
        <f>IF($BI118&lt;&gt;"",IF('Capacity summary'!$C$14="Yes",IF(COUNTBLANK('Capacity summary'!$H30:$BG30)&lt;52,IF('Capacity summary'!AP30&lt;&gt;"",IF(LOWER('Capacity summary'!AP30)="x",$BI118*AP118,VALUE('Capacity summary'!AP30)),0),AP118*$BI118),AP118*$BI118),0)</f>
        <v>0</v>
      </c>
      <c r="CT118" s="5">
        <f>IF($BI118&lt;&gt;"",IF('Capacity summary'!$C$14="Yes",IF(COUNTBLANK('Capacity summary'!$H30:$BG30)&lt;52,IF('Capacity summary'!AQ30&lt;&gt;"",IF(LOWER('Capacity summary'!AQ30)="x",$BI118*AQ118,VALUE('Capacity summary'!AQ30)),0),AQ118*$BI118),AQ118*$BI118),0)</f>
        <v>0</v>
      </c>
      <c r="CU118" s="5">
        <f>IF($BI118&lt;&gt;"",IF('Capacity summary'!$C$14="Yes",IF(COUNTBLANK('Capacity summary'!$H30:$BG30)&lt;52,IF('Capacity summary'!AR30&lt;&gt;"",IF(LOWER('Capacity summary'!AR30)="x",$BI118*AR118,VALUE('Capacity summary'!AR30)),0),AR118*$BI118),AR118*$BI118),0)</f>
        <v>0</v>
      </c>
      <c r="CV118" s="5">
        <f>IF($BI118&lt;&gt;"",IF('Capacity summary'!$C$14="Yes",IF(COUNTBLANK('Capacity summary'!$H30:$BG30)&lt;52,IF('Capacity summary'!AS30&lt;&gt;"",IF(LOWER('Capacity summary'!AS30)="x",$BI118*AS118,VALUE('Capacity summary'!AS30)),0),AS118*$BI118),AS118*$BI118),0)</f>
        <v>0</v>
      </c>
      <c r="CW118" s="5">
        <f>IF($BI118&lt;&gt;"",IF('Capacity summary'!$C$14="Yes",IF(COUNTBLANK('Capacity summary'!$H30:$BG30)&lt;52,IF('Capacity summary'!AT30&lt;&gt;"",IF(LOWER('Capacity summary'!AT30)="x",$BI118*AT118,VALUE('Capacity summary'!AT30)),0),AT118*$BI118),AT118*$BI118),0)</f>
        <v>0</v>
      </c>
      <c r="CX118" s="5">
        <f>IF($BI118&lt;&gt;"",IF('Capacity summary'!$C$14="Yes",IF(COUNTBLANK('Capacity summary'!$H30:$BG30)&lt;52,IF('Capacity summary'!AU30&lt;&gt;"",IF(LOWER('Capacity summary'!AU30)="x",$BI118*AU118,VALUE('Capacity summary'!AU30)),0),AU118*$BI118),AU118*$BI118),0)</f>
        <v>0</v>
      </c>
      <c r="CY118" s="5">
        <f>IF($BI118&lt;&gt;"",IF('Capacity summary'!$C$14="Yes",IF(COUNTBLANK('Capacity summary'!$H30:$BG30)&lt;52,IF('Capacity summary'!AV30&lt;&gt;"",IF(LOWER('Capacity summary'!AV30)="x",$BI118*AV118,VALUE('Capacity summary'!AV30)),0),AV118*$BI118),AV118*$BI118),0)</f>
        <v>0</v>
      </c>
      <c r="CZ118" s="5">
        <f>IF($BI118&lt;&gt;"",IF('Capacity summary'!$C$14="Yes",IF(COUNTBLANK('Capacity summary'!$H30:$BG30)&lt;52,IF('Capacity summary'!AW30&lt;&gt;"",IF(LOWER('Capacity summary'!AW30)="x",$BI118*AW118,VALUE('Capacity summary'!AW30)),0),AW118*$BI118),AW118*$BI118),0)</f>
        <v>0</v>
      </c>
      <c r="DA118" s="5">
        <f>IF($BI118&lt;&gt;"",IF('Capacity summary'!$C$14="Yes",IF(COUNTBLANK('Capacity summary'!$H30:$BG30)&lt;52,IF('Capacity summary'!AX30&lt;&gt;"",IF(LOWER('Capacity summary'!AX30)="x",$BI118*AX118,VALUE('Capacity summary'!AX30)),0),AX118*$BI118),AX118*$BI118),0)</f>
        <v>0</v>
      </c>
      <c r="DB118" s="5">
        <f>IF($BI118&lt;&gt;"",IF('Capacity summary'!$C$14="Yes",IF(COUNTBLANK('Capacity summary'!$H30:$BG30)&lt;52,IF('Capacity summary'!AY30&lt;&gt;"",IF(LOWER('Capacity summary'!AY30)="x",$BI118*AY118,VALUE('Capacity summary'!AY30)),0),AY118*$BI118),AY118*$BI118),0)</f>
        <v>0</v>
      </c>
      <c r="DC118" s="5">
        <f>IF($BI118&lt;&gt;"",IF('Capacity summary'!$C$14="Yes",IF(COUNTBLANK('Capacity summary'!$H30:$BG30)&lt;52,IF('Capacity summary'!AZ30&lt;&gt;"",IF(LOWER('Capacity summary'!AZ30)="x",$BI118*AZ118,VALUE('Capacity summary'!AZ30)),0),AZ118*$BI118),AZ118*$BI118),0)</f>
        <v>0</v>
      </c>
      <c r="DD118" s="5">
        <f>IF($BI118&lt;&gt;"",IF('Capacity summary'!$C$14="Yes",IF(COUNTBLANK('Capacity summary'!$H30:$BG30)&lt;52,IF('Capacity summary'!BA30&lt;&gt;"",IF(LOWER('Capacity summary'!BA30)="x",$BI118*BA118,VALUE('Capacity summary'!BA30)),0),BA118*$BI118),BA118*$BI118),0)</f>
        <v>0</v>
      </c>
      <c r="DE118" s="5">
        <f>IF($BI118&lt;&gt;"",IF('Capacity summary'!$C$14="Yes",IF(COUNTBLANK('Capacity summary'!$H30:$BG30)&lt;52,IF('Capacity summary'!BB30&lt;&gt;"",IF(LOWER('Capacity summary'!BB30)="x",$BI118*BB118,VALUE('Capacity summary'!BB30)),0),BB118*$BI118),BB118*$BI118),0)</f>
        <v>0</v>
      </c>
      <c r="DF118" s="5">
        <f>IF($BI118&lt;&gt;"",IF('Capacity summary'!$C$14="Yes",IF(COUNTBLANK('Capacity summary'!$H30:$BG30)&lt;52,IF('Capacity summary'!BC30&lt;&gt;"",IF(LOWER('Capacity summary'!BC30)="x",$BI118*BC118,VALUE('Capacity summary'!BC30)),0),BC118*$BI118),BC118*$BI118),0)</f>
        <v>0</v>
      </c>
      <c r="DG118" s="5">
        <f>IF($BI118&lt;&gt;"",IF('Capacity summary'!$C$14="Yes",IF(COUNTBLANK('Capacity summary'!$H30:$BG30)&lt;52,IF('Capacity summary'!BD30&lt;&gt;"",IF(LOWER('Capacity summary'!BD30)="x",$BI118*BD118,VALUE('Capacity summary'!BD30)),0),BD118*$BI118),BD118*$BI118),0)</f>
        <v>0</v>
      </c>
      <c r="DH118" s="5">
        <f>IF($BI118&lt;&gt;"",IF('Capacity summary'!$C$14="Yes",IF(COUNTBLANK('Capacity summary'!$H30:$BG30)&lt;52,IF('Capacity summary'!BE30&lt;&gt;"",IF(LOWER('Capacity summary'!BE30)="x",$BI118*BE118,VALUE('Capacity summary'!BE30)),0),BE118*$BI118),BE118*$BI118),0)</f>
        <v>0</v>
      </c>
      <c r="DI118" s="5">
        <f>IF($BI118&lt;&gt;"",IF('Capacity summary'!$C$14="Yes",IF(COUNTBLANK('Capacity summary'!$H30:$BG30)&lt;52,IF('Capacity summary'!BF30&lt;&gt;"",IF(LOWER('Capacity summary'!BF30)="x",$BI118*BF118,VALUE('Capacity summary'!BF30)),0),BF118*$BI118),BF118*$BI118),0)</f>
        <v>0</v>
      </c>
      <c r="DJ118" s="5">
        <f>IF($BI118&lt;&gt;"",IF('Capacity summary'!$C$14="Yes",IF(COUNTBLANK('Capacity summary'!$H30:$BG30)&lt;52,IF('Capacity summary'!BG30&lt;&gt;"",IF(LOWER('Capacity summary'!BG30)="x",$BI118*BG118,VALUE('Capacity summary'!BG30)),0),BG118*$BI118),BG118*$BI118),0)</f>
        <v>0</v>
      </c>
      <c r="DK118" s="5">
        <f t="shared" ref="DK118" si="12">SUM(DK119:DK218)</f>
        <v>0</v>
      </c>
    </row>
    <row r="119" spans="3:115" x14ac:dyDescent="0.25">
      <c r="C119" s="67" t="str">
        <f>ROW(A8)&amp;". "&amp;Capacity!N24</f>
        <v xml:space="preserve">8. </v>
      </c>
      <c r="D119" s="67">
        <f>'Capacity setup'!C125</f>
        <v>0</v>
      </c>
      <c r="E119" s="67">
        <f>'Capacity setup'!D125</f>
        <v>0</v>
      </c>
      <c r="F119" s="67">
        <f>'Capacity setup'!E125</f>
        <v>0</v>
      </c>
      <c r="H119" s="67">
        <f ca="1">IF(AND(SUMIF(Capacity_Resource,$D119,'Critical resources (hide)'!U$6:U$105)+SUMIF(Capacity_Resource,$E119,'Critical resources (hide)'!U$6:U$105)+SUMIF(Capacity_Resource,$F119,'Critical resources (hide)'!U$6:U$105)&gt;0,$E$1=2),0,1)</f>
        <v>1</v>
      </c>
      <c r="I119" s="67">
        <f ca="1">IF(AND(SUMIF(Capacity_Resource,$D119,'Critical resources (hide)'!V$6:V$105)+SUMIF(Capacity_Resource,$E119,'Critical resources (hide)'!V$6:V$105)+SUMIF(Capacity_Resource,$F119,'Critical resources (hide)'!V$6:V$105)&gt;0,$E$1=2),0,1)</f>
        <v>1</v>
      </c>
      <c r="J119" s="67">
        <f ca="1">IF(AND(SUMIF(Capacity_Resource,$D119,'Critical resources (hide)'!W$6:W$105)+SUMIF(Capacity_Resource,$E119,'Critical resources (hide)'!W$6:W$105)+SUMIF(Capacity_Resource,$F119,'Critical resources (hide)'!W$6:W$105)&gt;0,$E$1=2),0,1)</f>
        <v>1</v>
      </c>
      <c r="K119" s="67">
        <f ca="1">IF(AND(SUMIF(Capacity_Resource,$D119,'Critical resources (hide)'!X$6:X$105)+SUMIF(Capacity_Resource,$E119,'Critical resources (hide)'!X$6:X$105)+SUMIF(Capacity_Resource,$F119,'Critical resources (hide)'!X$6:X$105)&gt;0,$E$1=2),0,1)</f>
        <v>1</v>
      </c>
      <c r="L119" s="67">
        <f ca="1">IF(AND(SUMIF(Capacity_Resource,$D119,'Critical resources (hide)'!Y$6:Y$105)+SUMIF(Capacity_Resource,$E119,'Critical resources (hide)'!Y$6:Y$105)+SUMIF(Capacity_Resource,$F119,'Critical resources (hide)'!Y$6:Y$105)&gt;0,$E$1=2),0,1)</f>
        <v>1</v>
      </c>
      <c r="M119" s="67">
        <f ca="1">IF(AND(SUMIF(Capacity_Resource,$D119,'Critical resources (hide)'!Z$6:Z$105)+SUMIF(Capacity_Resource,$E119,'Critical resources (hide)'!Z$6:Z$105)+SUMIF(Capacity_Resource,$F119,'Critical resources (hide)'!Z$6:Z$105)&gt;0,$E$1=2),0,1)</f>
        <v>1</v>
      </c>
      <c r="N119" s="67">
        <f ca="1">IF(AND(SUMIF(Capacity_Resource,$D119,'Critical resources (hide)'!AA$6:AA$105)+SUMIF(Capacity_Resource,$E119,'Critical resources (hide)'!AA$6:AA$105)+SUMIF(Capacity_Resource,$F119,'Critical resources (hide)'!AA$6:AA$105)&gt;0,$E$1=2),0,1)</f>
        <v>1</v>
      </c>
      <c r="O119" s="67">
        <f ca="1">IF(AND(SUMIF(Capacity_Resource,$D119,'Critical resources (hide)'!AB$6:AB$105)+SUMIF(Capacity_Resource,$E119,'Critical resources (hide)'!AB$6:AB$105)+SUMIF(Capacity_Resource,$F119,'Critical resources (hide)'!AB$6:AB$105)&gt;0,$E$1=2),0,1)</f>
        <v>1</v>
      </c>
      <c r="P119" s="67">
        <f ca="1">IF(AND(SUMIF(Capacity_Resource,$D119,'Critical resources (hide)'!AC$6:AC$105)+SUMIF(Capacity_Resource,$E119,'Critical resources (hide)'!AC$6:AC$105)+SUMIF(Capacity_Resource,$F119,'Critical resources (hide)'!AC$6:AC$105)&gt;0,$E$1=2),0,1)</f>
        <v>1</v>
      </c>
      <c r="Q119" s="67">
        <f ca="1">IF(AND(SUMIF(Capacity_Resource,$D119,'Critical resources (hide)'!AD$6:AD$105)+SUMIF(Capacity_Resource,$E119,'Critical resources (hide)'!AD$6:AD$105)+SUMIF(Capacity_Resource,$F119,'Critical resources (hide)'!AD$6:AD$105)&gt;0,$E$1=2),0,1)</f>
        <v>1</v>
      </c>
      <c r="R119" s="67">
        <f ca="1">IF(AND(SUMIF(Capacity_Resource,$D119,'Critical resources (hide)'!AE$6:AE$105)+SUMIF(Capacity_Resource,$E119,'Critical resources (hide)'!AE$6:AE$105)+SUMIF(Capacity_Resource,$F119,'Critical resources (hide)'!AE$6:AE$105)&gt;0,$E$1=2),0,1)</f>
        <v>1</v>
      </c>
      <c r="S119" s="67">
        <f ca="1">IF(AND(SUMIF(Capacity_Resource,$D119,'Critical resources (hide)'!AF$6:AF$105)+SUMIF(Capacity_Resource,$E119,'Critical resources (hide)'!AF$6:AF$105)+SUMIF(Capacity_Resource,$F119,'Critical resources (hide)'!AF$6:AF$105)&gt;0,$E$1=2),0,1)</f>
        <v>1</v>
      </c>
      <c r="T119" s="67">
        <f ca="1">IF(AND(SUMIF(Capacity_Resource,$D119,'Critical resources (hide)'!AG$6:AG$105)+SUMIF(Capacity_Resource,$E119,'Critical resources (hide)'!AG$6:AG$105)+SUMIF(Capacity_Resource,$F119,'Critical resources (hide)'!AG$6:AG$105)&gt;0,$E$1=2),0,1)</f>
        <v>1</v>
      </c>
      <c r="U119" s="67">
        <f ca="1">IF(AND(SUMIF(Capacity_Resource,$D119,'Critical resources (hide)'!AH$6:AH$105)+SUMIF(Capacity_Resource,$E119,'Critical resources (hide)'!AH$6:AH$105)+SUMIF(Capacity_Resource,$F119,'Critical resources (hide)'!AH$6:AH$105)&gt;0,$E$1=2),0,1)</f>
        <v>1</v>
      </c>
      <c r="V119" s="67">
        <f ca="1">IF(AND(SUMIF(Capacity_Resource,$D119,'Critical resources (hide)'!AI$6:AI$105)+SUMIF(Capacity_Resource,$E119,'Critical resources (hide)'!AI$6:AI$105)+SUMIF(Capacity_Resource,$F119,'Critical resources (hide)'!AI$6:AI$105)&gt;0,$E$1=2),0,1)</f>
        <v>1</v>
      </c>
      <c r="W119" s="67">
        <f ca="1">IF(AND(SUMIF(Capacity_Resource,$D119,'Critical resources (hide)'!AJ$6:AJ$105)+SUMIF(Capacity_Resource,$E119,'Critical resources (hide)'!AJ$6:AJ$105)+SUMIF(Capacity_Resource,$F119,'Critical resources (hide)'!AJ$6:AJ$105)&gt;0,$E$1=2),0,1)</f>
        <v>1</v>
      </c>
      <c r="X119" s="67">
        <f ca="1">IF(AND(SUMIF(Capacity_Resource,$D119,'Critical resources (hide)'!AK$6:AK$105)+SUMIF(Capacity_Resource,$E119,'Critical resources (hide)'!AK$6:AK$105)+SUMIF(Capacity_Resource,$F119,'Critical resources (hide)'!AK$6:AK$105)&gt;0,$E$1=2),0,1)</f>
        <v>1</v>
      </c>
      <c r="Y119" s="67">
        <f ca="1">IF(AND(SUMIF(Capacity_Resource,$D119,'Critical resources (hide)'!AL$6:AL$105)+SUMIF(Capacity_Resource,$E119,'Critical resources (hide)'!AL$6:AL$105)+SUMIF(Capacity_Resource,$F119,'Critical resources (hide)'!AL$6:AL$105)&gt;0,$E$1=2),0,1)</f>
        <v>1</v>
      </c>
      <c r="Z119" s="67">
        <f ca="1">IF(AND(SUMIF(Capacity_Resource,$D119,'Critical resources (hide)'!AM$6:AM$105)+SUMIF(Capacity_Resource,$E119,'Critical resources (hide)'!AM$6:AM$105)+SUMIF(Capacity_Resource,$F119,'Critical resources (hide)'!AM$6:AM$105)&gt;0,$E$1=2),0,1)</f>
        <v>1</v>
      </c>
      <c r="AA119" s="67">
        <f ca="1">IF(AND(SUMIF(Capacity_Resource,$D119,'Critical resources (hide)'!AN$6:AN$105)+SUMIF(Capacity_Resource,$E119,'Critical resources (hide)'!AN$6:AN$105)+SUMIF(Capacity_Resource,$F119,'Critical resources (hide)'!AN$6:AN$105)&gt;0,$E$1=2),0,1)</f>
        <v>1</v>
      </c>
      <c r="AB119" s="67">
        <f ca="1">IF(AND(SUMIF(Capacity_Resource,$D119,'Critical resources (hide)'!AO$6:AO$105)+SUMIF(Capacity_Resource,$E119,'Critical resources (hide)'!AO$6:AO$105)+SUMIF(Capacity_Resource,$F119,'Critical resources (hide)'!AO$6:AO$105)&gt;0,$E$1=2),0,1)</f>
        <v>1</v>
      </c>
      <c r="AC119" s="67">
        <f ca="1">IF(AND(SUMIF(Capacity_Resource,$D119,'Critical resources (hide)'!AP$6:AP$105)+SUMIF(Capacity_Resource,$E119,'Critical resources (hide)'!AP$6:AP$105)+SUMIF(Capacity_Resource,$F119,'Critical resources (hide)'!AP$6:AP$105)&gt;0,$E$1=2),0,1)</f>
        <v>1</v>
      </c>
      <c r="AD119" s="67">
        <f ca="1">IF(AND(SUMIF(Capacity_Resource,$D119,'Critical resources (hide)'!AQ$6:AQ$105)+SUMIF(Capacity_Resource,$E119,'Critical resources (hide)'!AQ$6:AQ$105)+SUMIF(Capacity_Resource,$F119,'Critical resources (hide)'!AQ$6:AQ$105)&gt;0,$E$1=2),0,1)</f>
        <v>1</v>
      </c>
      <c r="AE119" s="67">
        <f ca="1">IF(AND(SUMIF(Capacity_Resource,$D119,'Critical resources (hide)'!AR$6:AR$105)+SUMIF(Capacity_Resource,$E119,'Critical resources (hide)'!AR$6:AR$105)+SUMIF(Capacity_Resource,$F119,'Critical resources (hide)'!AR$6:AR$105)&gt;0,$E$1=2),0,1)</f>
        <v>1</v>
      </c>
      <c r="AF119" s="67">
        <f ca="1">IF(AND(SUMIF(Capacity_Resource,$D119,'Critical resources (hide)'!AS$6:AS$105)+SUMIF(Capacity_Resource,$E119,'Critical resources (hide)'!AS$6:AS$105)+SUMIF(Capacity_Resource,$F119,'Critical resources (hide)'!AS$6:AS$105)&gt;0,$E$1=2),0,1)</f>
        <v>1</v>
      </c>
      <c r="AG119" s="67">
        <f ca="1">IF(AND(SUMIF(Capacity_Resource,$D119,'Critical resources (hide)'!AT$6:AT$105)+SUMIF(Capacity_Resource,$E119,'Critical resources (hide)'!AT$6:AT$105)+SUMIF(Capacity_Resource,$F119,'Critical resources (hide)'!AT$6:AT$105)&gt;0,$E$1=2),0,1)</f>
        <v>1</v>
      </c>
      <c r="AH119" s="67">
        <f ca="1">IF(AND(SUMIF(Capacity_Resource,$D119,'Critical resources (hide)'!AU$6:AU$105)+SUMIF(Capacity_Resource,$E119,'Critical resources (hide)'!AU$6:AU$105)+SUMIF(Capacity_Resource,$F119,'Critical resources (hide)'!AU$6:AU$105)&gt;0,$E$1=2),0,1)</f>
        <v>1</v>
      </c>
      <c r="AI119" s="67">
        <f ca="1">IF(AND(SUMIF(Capacity_Resource,$D119,'Critical resources (hide)'!AV$6:AV$105)+SUMIF(Capacity_Resource,$E119,'Critical resources (hide)'!AV$6:AV$105)+SUMIF(Capacity_Resource,$F119,'Critical resources (hide)'!AV$6:AV$105)&gt;0,$E$1=2),0,1)</f>
        <v>1</v>
      </c>
      <c r="AJ119" s="67">
        <f ca="1">IF(AND(SUMIF(Capacity_Resource,$D119,'Critical resources (hide)'!AW$6:AW$105)+SUMIF(Capacity_Resource,$E119,'Critical resources (hide)'!AW$6:AW$105)+SUMIF(Capacity_Resource,$F119,'Critical resources (hide)'!AW$6:AW$105)&gt;0,$E$1=2),0,1)</f>
        <v>1</v>
      </c>
      <c r="AK119" s="67">
        <f ca="1">IF(AND(SUMIF(Capacity_Resource,$D119,'Critical resources (hide)'!AX$6:AX$105)+SUMIF(Capacity_Resource,$E119,'Critical resources (hide)'!AX$6:AX$105)+SUMIF(Capacity_Resource,$F119,'Critical resources (hide)'!AX$6:AX$105)&gt;0,$E$1=2),0,1)</f>
        <v>1</v>
      </c>
      <c r="AL119" s="67">
        <f ca="1">IF(AND(SUMIF(Capacity_Resource,$D119,'Critical resources (hide)'!AY$6:AY$105)+SUMIF(Capacity_Resource,$E119,'Critical resources (hide)'!AY$6:AY$105)+SUMIF(Capacity_Resource,$F119,'Critical resources (hide)'!AY$6:AY$105)&gt;0,$E$1=2),0,1)</f>
        <v>1</v>
      </c>
      <c r="AM119" s="67">
        <f ca="1">IF(AND(SUMIF(Capacity_Resource,$D119,'Critical resources (hide)'!AZ$6:AZ$105)+SUMIF(Capacity_Resource,$E119,'Critical resources (hide)'!AZ$6:AZ$105)+SUMIF(Capacity_Resource,$F119,'Critical resources (hide)'!AZ$6:AZ$105)&gt;0,$E$1=2),0,1)</f>
        <v>1</v>
      </c>
      <c r="AN119" s="67">
        <f ca="1">IF(AND(SUMIF(Capacity_Resource,$D119,'Critical resources (hide)'!BA$6:BA$105)+SUMIF(Capacity_Resource,$E119,'Critical resources (hide)'!BA$6:BA$105)+SUMIF(Capacity_Resource,$F119,'Critical resources (hide)'!BA$6:BA$105)&gt;0,$E$1=2),0,1)</f>
        <v>1</v>
      </c>
      <c r="AO119" s="67">
        <f ca="1">IF(AND(SUMIF(Capacity_Resource,$D119,'Critical resources (hide)'!BB$6:BB$105)+SUMIF(Capacity_Resource,$E119,'Critical resources (hide)'!BB$6:BB$105)+SUMIF(Capacity_Resource,$F119,'Critical resources (hide)'!BB$6:BB$105)&gt;0,$E$1=2),0,1)</f>
        <v>1</v>
      </c>
      <c r="AP119" s="67">
        <f ca="1">IF(AND(SUMIF(Capacity_Resource,$D119,'Critical resources (hide)'!BC$6:BC$105)+SUMIF(Capacity_Resource,$E119,'Critical resources (hide)'!BC$6:BC$105)+SUMIF(Capacity_Resource,$F119,'Critical resources (hide)'!BC$6:BC$105)&gt;0,$E$1=2),0,1)</f>
        <v>1</v>
      </c>
      <c r="AQ119" s="67">
        <f ca="1">IF(AND(SUMIF(Capacity_Resource,$D119,'Critical resources (hide)'!BD$6:BD$105)+SUMIF(Capacity_Resource,$E119,'Critical resources (hide)'!BD$6:BD$105)+SUMIF(Capacity_Resource,$F119,'Critical resources (hide)'!BD$6:BD$105)&gt;0,$E$1=2),0,1)</f>
        <v>1</v>
      </c>
      <c r="AR119" s="67">
        <f ca="1">IF(AND(SUMIF(Capacity_Resource,$D119,'Critical resources (hide)'!BE$6:BE$105)+SUMIF(Capacity_Resource,$E119,'Critical resources (hide)'!BE$6:BE$105)+SUMIF(Capacity_Resource,$F119,'Critical resources (hide)'!BE$6:BE$105)&gt;0,$E$1=2),0,1)</f>
        <v>1</v>
      </c>
      <c r="AS119" s="67">
        <f ca="1">IF(AND(SUMIF(Capacity_Resource,$D119,'Critical resources (hide)'!BF$6:BF$105)+SUMIF(Capacity_Resource,$E119,'Critical resources (hide)'!BF$6:BF$105)+SUMIF(Capacity_Resource,$F119,'Critical resources (hide)'!BF$6:BF$105)&gt;0,$E$1=2),0,1)</f>
        <v>1</v>
      </c>
      <c r="AT119" s="67">
        <f ca="1">IF(AND(SUMIF(Capacity_Resource,$D119,'Critical resources (hide)'!BG$6:BG$105)+SUMIF(Capacity_Resource,$E119,'Critical resources (hide)'!BG$6:BG$105)+SUMIF(Capacity_Resource,$F119,'Critical resources (hide)'!BG$6:BG$105)&gt;0,$E$1=2),0,1)</f>
        <v>1</v>
      </c>
      <c r="AU119" s="67">
        <f ca="1">IF(AND(SUMIF(Capacity_Resource,$D119,'Critical resources (hide)'!BH$6:BH$105)+SUMIF(Capacity_Resource,$E119,'Critical resources (hide)'!BH$6:BH$105)+SUMIF(Capacity_Resource,$F119,'Critical resources (hide)'!BH$6:BH$105)&gt;0,$E$1=2),0,1)</f>
        <v>1</v>
      </c>
      <c r="AV119" s="67">
        <f ca="1">IF(AND(SUMIF(Capacity_Resource,$D119,'Critical resources (hide)'!BI$6:BI$105)+SUMIF(Capacity_Resource,$E119,'Critical resources (hide)'!BI$6:BI$105)+SUMIF(Capacity_Resource,$F119,'Critical resources (hide)'!BI$6:BI$105)&gt;0,$E$1=2),0,1)</f>
        <v>1</v>
      </c>
      <c r="AW119" s="67">
        <f ca="1">IF(AND(SUMIF(Capacity_Resource,$D119,'Critical resources (hide)'!BJ$6:BJ$105)+SUMIF(Capacity_Resource,$E119,'Critical resources (hide)'!BJ$6:BJ$105)+SUMIF(Capacity_Resource,$F119,'Critical resources (hide)'!BJ$6:BJ$105)&gt;0,$E$1=2),0,1)</f>
        <v>1</v>
      </c>
      <c r="AX119" s="67">
        <f ca="1">IF(AND(SUMIF(Capacity_Resource,$D119,'Critical resources (hide)'!BK$6:BK$105)+SUMIF(Capacity_Resource,$E119,'Critical resources (hide)'!BK$6:BK$105)+SUMIF(Capacity_Resource,$F119,'Critical resources (hide)'!BK$6:BK$105)&gt;0,$E$1=2),0,1)</f>
        <v>1</v>
      </c>
      <c r="AY119" s="67">
        <f ca="1">IF(AND(SUMIF(Capacity_Resource,$D119,'Critical resources (hide)'!BL$6:BL$105)+SUMIF(Capacity_Resource,$E119,'Critical resources (hide)'!BL$6:BL$105)+SUMIF(Capacity_Resource,$F119,'Critical resources (hide)'!BL$6:BL$105)&gt;0,$E$1=2),0,1)</f>
        <v>1</v>
      </c>
      <c r="AZ119" s="67">
        <f ca="1">IF(AND(SUMIF(Capacity_Resource,$D119,'Critical resources (hide)'!BM$6:BM$105)+SUMIF(Capacity_Resource,$E119,'Critical resources (hide)'!BM$6:BM$105)+SUMIF(Capacity_Resource,$F119,'Critical resources (hide)'!BM$6:BM$105)&gt;0,$E$1=2),0,1)</f>
        <v>1</v>
      </c>
      <c r="BA119" s="67">
        <f ca="1">IF(AND(SUMIF(Capacity_Resource,$D119,'Critical resources (hide)'!BN$6:BN$105)+SUMIF(Capacity_Resource,$E119,'Critical resources (hide)'!BN$6:BN$105)+SUMIF(Capacity_Resource,$F119,'Critical resources (hide)'!BN$6:BN$105)&gt;0,$E$1=2),0,1)</f>
        <v>1</v>
      </c>
      <c r="BB119" s="67">
        <f ca="1">IF(AND(SUMIF(Capacity_Resource,$D119,'Critical resources (hide)'!BO$6:BO$105)+SUMIF(Capacity_Resource,$E119,'Critical resources (hide)'!BO$6:BO$105)+SUMIF(Capacity_Resource,$F119,'Critical resources (hide)'!BO$6:BO$105)&gt;0,$E$1=2),0,1)</f>
        <v>1</v>
      </c>
      <c r="BC119" s="67">
        <f ca="1">IF(AND(SUMIF(Capacity_Resource,$D119,'Critical resources (hide)'!BP$6:BP$105)+SUMIF(Capacity_Resource,$E119,'Critical resources (hide)'!BP$6:BP$105)+SUMIF(Capacity_Resource,$F119,'Critical resources (hide)'!BP$6:BP$105)&gt;0,$E$1=2),0,1)</f>
        <v>1</v>
      </c>
      <c r="BD119" s="67">
        <f ca="1">IF(AND(SUMIF(Capacity_Resource,$D119,'Critical resources (hide)'!BQ$6:BQ$105)+SUMIF(Capacity_Resource,$E119,'Critical resources (hide)'!BQ$6:BQ$105)+SUMIF(Capacity_Resource,$F119,'Critical resources (hide)'!BQ$6:BQ$105)&gt;0,$E$1=2),0,1)</f>
        <v>1</v>
      </c>
      <c r="BE119" s="67">
        <f ca="1">IF(AND(SUMIF(Capacity_Resource,$D119,'Critical resources (hide)'!BR$6:BR$105)+SUMIF(Capacity_Resource,$E119,'Critical resources (hide)'!BR$6:BR$105)+SUMIF(Capacity_Resource,$F119,'Critical resources (hide)'!BR$6:BR$105)&gt;0,$E$1=2),0,1)</f>
        <v>1</v>
      </c>
      <c r="BF119" s="67">
        <f ca="1">IF(AND(SUMIF(Capacity_Resource,$D119,'Critical resources (hide)'!BS$6:BS$105)+SUMIF(Capacity_Resource,$E119,'Critical resources (hide)'!BS$6:BS$105)+SUMIF(Capacity_Resource,$F119,'Critical resources (hide)'!BS$6:BS$105)&gt;0,$E$1=2),0,1)</f>
        <v>1</v>
      </c>
      <c r="BG119" s="67">
        <f ca="1">IF(AND(SUMIF(Capacity_Resource,$D119,'Critical resources (hide)'!BT$6:BT$105)+SUMIF(Capacity_Resource,$E119,'Critical resources (hide)'!BT$6:BT$105)+SUMIF(Capacity_Resource,$F119,'Critical resources (hide)'!BT$6:BT$105)&gt;0,$E$1=2),0,1)</f>
        <v>1</v>
      </c>
      <c r="BH119" s="67">
        <f>IF(ROW(A8)&lt;=Capacity!$M$16,IF('Capacity summary'!$C$14="No",SUM(H119:BG119),'Capacity summary'!$E31),0)</f>
        <v>0</v>
      </c>
      <c r="BI119" s="67" t="str">
        <f>IF(BH119&gt;0,IF(BH119&lt;Capacity!Q24,Capacity!R24,Capacity!T24/'Capacity calculation (hide)'!BH119),"")</f>
        <v/>
      </c>
      <c r="BJ119" s="5"/>
      <c r="BK119" s="5">
        <f>IF($BI119&lt;&gt;"",IF('Capacity summary'!$C$14="Yes",IF(COUNTBLANK('Capacity summary'!$H31:$BG31)&lt;52,IF('Capacity summary'!H31&lt;&gt;"",IF(LOWER('Capacity summary'!H31)="x",$BI119*H119,VALUE('Capacity summary'!H31)),0),H119*$BI119),H119*$BI119),0)</f>
        <v>0</v>
      </c>
      <c r="BL119" s="5">
        <f>IF($BI119&lt;&gt;"",IF('Capacity summary'!$C$14="Yes",IF(COUNTBLANK('Capacity summary'!$H31:$BG31)&lt;52,IF('Capacity summary'!I31&lt;&gt;"",IF(LOWER('Capacity summary'!I31)="x",$BI119*I119,VALUE('Capacity summary'!I31)),0),I119*$BI119),I119*$BI119),0)</f>
        <v>0</v>
      </c>
      <c r="BM119" s="5">
        <f>IF($BI119&lt;&gt;"",IF('Capacity summary'!$C$14="Yes",IF(COUNTBLANK('Capacity summary'!$H31:$BG31)&lt;52,IF('Capacity summary'!J31&lt;&gt;"",IF(LOWER('Capacity summary'!J31)="x",$BI119*J119,VALUE('Capacity summary'!J31)),0),J119*$BI119),J119*$BI119),0)</f>
        <v>0</v>
      </c>
      <c r="BN119" s="5">
        <f>IF($BI119&lt;&gt;"",IF('Capacity summary'!$C$14="Yes",IF(COUNTBLANK('Capacity summary'!$H31:$BG31)&lt;52,IF('Capacity summary'!K31&lt;&gt;"",IF(LOWER('Capacity summary'!K31)="x",$BI119*K119,VALUE('Capacity summary'!K31)),0),K119*$BI119),K119*$BI119),0)</f>
        <v>0</v>
      </c>
      <c r="BO119" s="5">
        <f>IF($BI119&lt;&gt;"",IF('Capacity summary'!$C$14="Yes",IF(COUNTBLANK('Capacity summary'!$H31:$BG31)&lt;52,IF('Capacity summary'!L31&lt;&gt;"",IF(LOWER('Capacity summary'!L31)="x",$BI119*L119,VALUE('Capacity summary'!L31)),0),L119*$BI119),L119*$BI119),0)</f>
        <v>0</v>
      </c>
      <c r="BP119" s="5">
        <f>IF($BI119&lt;&gt;"",IF('Capacity summary'!$C$14="Yes",IF(COUNTBLANK('Capacity summary'!$H31:$BG31)&lt;52,IF('Capacity summary'!M31&lt;&gt;"",IF(LOWER('Capacity summary'!M31)="x",$BI119*M119,VALUE('Capacity summary'!M31)),0),M119*$BI119),M119*$BI119),0)</f>
        <v>0</v>
      </c>
      <c r="BQ119" s="5">
        <f>IF($BI119&lt;&gt;"",IF('Capacity summary'!$C$14="Yes",IF(COUNTBLANK('Capacity summary'!$H31:$BG31)&lt;52,IF('Capacity summary'!N31&lt;&gt;"",IF(LOWER('Capacity summary'!N31)="x",$BI119*N119,VALUE('Capacity summary'!N31)),0),N119*$BI119),N119*$BI119),0)</f>
        <v>0</v>
      </c>
      <c r="BR119" s="5">
        <f>IF($BI119&lt;&gt;"",IF('Capacity summary'!$C$14="Yes",IF(COUNTBLANK('Capacity summary'!$H31:$BG31)&lt;52,IF('Capacity summary'!O31&lt;&gt;"",IF(LOWER('Capacity summary'!O31)="x",$BI119*O119,VALUE('Capacity summary'!O31)),0),O119*$BI119),O119*$BI119),0)</f>
        <v>0</v>
      </c>
      <c r="BS119" s="5">
        <f>IF($BI119&lt;&gt;"",IF('Capacity summary'!$C$14="Yes",IF(COUNTBLANK('Capacity summary'!$H31:$BG31)&lt;52,IF('Capacity summary'!P31&lt;&gt;"",IF(LOWER('Capacity summary'!P31)="x",$BI119*P119,VALUE('Capacity summary'!P31)),0),P119*$BI119),P119*$BI119),0)</f>
        <v>0</v>
      </c>
      <c r="BT119" s="5">
        <f>IF($BI119&lt;&gt;"",IF('Capacity summary'!$C$14="Yes",IF(COUNTBLANK('Capacity summary'!$H31:$BG31)&lt;52,IF('Capacity summary'!Q31&lt;&gt;"",IF(LOWER('Capacity summary'!Q31)="x",$BI119*Q119,VALUE('Capacity summary'!Q31)),0),Q119*$BI119),Q119*$BI119),0)</f>
        <v>0</v>
      </c>
      <c r="BU119" s="5">
        <f>IF($BI119&lt;&gt;"",IF('Capacity summary'!$C$14="Yes",IF(COUNTBLANK('Capacity summary'!$H31:$BG31)&lt;52,IF('Capacity summary'!R31&lt;&gt;"",IF(LOWER('Capacity summary'!R31)="x",$BI119*R119,VALUE('Capacity summary'!R31)),0),R119*$BI119),R119*$BI119),0)</f>
        <v>0</v>
      </c>
      <c r="BV119" s="5">
        <f>IF($BI119&lt;&gt;"",IF('Capacity summary'!$C$14="Yes",IF(COUNTBLANK('Capacity summary'!$H31:$BG31)&lt;52,IF('Capacity summary'!S31&lt;&gt;"",IF(LOWER('Capacity summary'!S31)="x",$BI119*S119,VALUE('Capacity summary'!S31)),0),S119*$BI119),S119*$BI119),0)</f>
        <v>0</v>
      </c>
      <c r="BW119" s="5">
        <f>IF($BI119&lt;&gt;"",IF('Capacity summary'!$C$14="Yes",IF(COUNTBLANK('Capacity summary'!$H31:$BG31)&lt;52,IF('Capacity summary'!T31&lt;&gt;"",IF(LOWER('Capacity summary'!T31)="x",$BI119*T119,VALUE('Capacity summary'!T31)),0),T119*$BI119),T119*$BI119),0)</f>
        <v>0</v>
      </c>
      <c r="BX119" s="5">
        <f>IF($BI119&lt;&gt;"",IF('Capacity summary'!$C$14="Yes",IF(COUNTBLANK('Capacity summary'!$H31:$BG31)&lt;52,IF('Capacity summary'!U31&lt;&gt;"",IF(LOWER('Capacity summary'!U31)="x",$BI119*U119,VALUE('Capacity summary'!U31)),0),U119*$BI119),U119*$BI119),0)</f>
        <v>0</v>
      </c>
      <c r="BY119" s="5">
        <f>IF($BI119&lt;&gt;"",IF('Capacity summary'!$C$14="Yes",IF(COUNTBLANK('Capacity summary'!$H31:$BG31)&lt;52,IF('Capacity summary'!V31&lt;&gt;"",IF(LOWER('Capacity summary'!V31)="x",$BI119*V119,VALUE('Capacity summary'!V31)),0),V119*$BI119),V119*$BI119),0)</f>
        <v>0</v>
      </c>
      <c r="BZ119" s="5">
        <f>IF($BI119&lt;&gt;"",IF('Capacity summary'!$C$14="Yes",IF(COUNTBLANK('Capacity summary'!$H31:$BG31)&lt;52,IF('Capacity summary'!W31&lt;&gt;"",IF(LOWER('Capacity summary'!W31)="x",$BI119*W119,VALUE('Capacity summary'!W31)),0),W119*$BI119),W119*$BI119),0)</f>
        <v>0</v>
      </c>
      <c r="CA119" s="5">
        <f>IF($BI119&lt;&gt;"",IF('Capacity summary'!$C$14="Yes",IF(COUNTBLANK('Capacity summary'!$H31:$BG31)&lt;52,IF('Capacity summary'!X31&lt;&gt;"",IF(LOWER('Capacity summary'!X31)="x",$BI119*X119,VALUE('Capacity summary'!X31)),0),X119*$BI119),X119*$BI119),0)</f>
        <v>0</v>
      </c>
      <c r="CB119" s="5">
        <f>IF($BI119&lt;&gt;"",IF('Capacity summary'!$C$14="Yes",IF(COUNTBLANK('Capacity summary'!$H31:$BG31)&lt;52,IF('Capacity summary'!Y31&lt;&gt;"",IF(LOWER('Capacity summary'!Y31)="x",$BI119*Y119,VALUE('Capacity summary'!Y31)),0),Y119*$BI119),Y119*$BI119),0)</f>
        <v>0</v>
      </c>
      <c r="CC119" s="5">
        <f>IF($BI119&lt;&gt;"",IF('Capacity summary'!$C$14="Yes",IF(COUNTBLANK('Capacity summary'!$H31:$BG31)&lt;52,IF('Capacity summary'!Z31&lt;&gt;"",IF(LOWER('Capacity summary'!Z31)="x",$BI119*Z119,VALUE('Capacity summary'!Z31)),0),Z119*$BI119),Z119*$BI119),0)</f>
        <v>0</v>
      </c>
      <c r="CD119" s="5">
        <f>IF($BI119&lt;&gt;"",IF('Capacity summary'!$C$14="Yes",IF(COUNTBLANK('Capacity summary'!$H31:$BG31)&lt;52,IF('Capacity summary'!AA31&lt;&gt;"",IF(LOWER('Capacity summary'!AA31)="x",$BI119*AA119,VALUE('Capacity summary'!AA31)),0),AA119*$BI119),AA119*$BI119),0)</f>
        <v>0</v>
      </c>
      <c r="CE119" s="5">
        <f>IF($BI119&lt;&gt;"",IF('Capacity summary'!$C$14="Yes",IF(COUNTBLANK('Capacity summary'!$H31:$BG31)&lt;52,IF('Capacity summary'!AB31&lt;&gt;"",IF(LOWER('Capacity summary'!AB31)="x",$BI119*AB119,VALUE('Capacity summary'!AB31)),0),AB119*$BI119),AB119*$BI119),0)</f>
        <v>0</v>
      </c>
      <c r="CF119" s="5">
        <f>IF($BI119&lt;&gt;"",IF('Capacity summary'!$C$14="Yes",IF(COUNTBLANK('Capacity summary'!$H31:$BG31)&lt;52,IF('Capacity summary'!AC31&lt;&gt;"",IF(LOWER('Capacity summary'!AC31)="x",$BI119*AC119,VALUE('Capacity summary'!AC31)),0),AC119*$BI119),AC119*$BI119),0)</f>
        <v>0</v>
      </c>
      <c r="CG119" s="5">
        <f>IF($BI119&lt;&gt;"",IF('Capacity summary'!$C$14="Yes",IF(COUNTBLANK('Capacity summary'!$H31:$BG31)&lt;52,IF('Capacity summary'!AD31&lt;&gt;"",IF(LOWER('Capacity summary'!AD31)="x",$BI119*AD119,VALUE('Capacity summary'!AD31)),0),AD119*$BI119),AD119*$BI119),0)</f>
        <v>0</v>
      </c>
      <c r="CH119" s="5">
        <f>IF($BI119&lt;&gt;"",IF('Capacity summary'!$C$14="Yes",IF(COUNTBLANK('Capacity summary'!$H31:$BG31)&lt;52,IF('Capacity summary'!AE31&lt;&gt;"",IF(LOWER('Capacity summary'!AE31)="x",$BI119*AE119,VALUE('Capacity summary'!AE31)),0),AE119*$BI119),AE119*$BI119),0)</f>
        <v>0</v>
      </c>
      <c r="CI119" s="5">
        <f>IF($BI119&lt;&gt;"",IF('Capacity summary'!$C$14="Yes",IF(COUNTBLANK('Capacity summary'!$H31:$BG31)&lt;52,IF('Capacity summary'!AF31&lt;&gt;"",IF(LOWER('Capacity summary'!AF31)="x",$BI119*AF119,VALUE('Capacity summary'!AF31)),0),AF119*$BI119),AF119*$BI119),0)</f>
        <v>0</v>
      </c>
      <c r="CJ119" s="5">
        <f>IF($BI119&lt;&gt;"",IF('Capacity summary'!$C$14="Yes",IF(COUNTBLANK('Capacity summary'!$H31:$BG31)&lt;52,IF('Capacity summary'!AG31&lt;&gt;"",IF(LOWER('Capacity summary'!AG31)="x",$BI119*AG119,VALUE('Capacity summary'!AG31)),0),AG119*$BI119),AG119*$BI119),0)</f>
        <v>0</v>
      </c>
      <c r="CK119" s="5">
        <f>IF($BI119&lt;&gt;"",IF('Capacity summary'!$C$14="Yes",IF(COUNTBLANK('Capacity summary'!$H31:$BG31)&lt;52,IF('Capacity summary'!AH31&lt;&gt;"",IF(LOWER('Capacity summary'!AH31)="x",$BI119*AH119,VALUE('Capacity summary'!AH31)),0),AH119*$BI119),AH119*$BI119),0)</f>
        <v>0</v>
      </c>
      <c r="CL119" s="5">
        <f>IF($BI119&lt;&gt;"",IF('Capacity summary'!$C$14="Yes",IF(COUNTBLANK('Capacity summary'!$H31:$BG31)&lt;52,IF('Capacity summary'!AI31&lt;&gt;"",IF(LOWER('Capacity summary'!AI31)="x",$BI119*AI119,VALUE('Capacity summary'!AI31)),0),AI119*$BI119),AI119*$BI119),0)</f>
        <v>0</v>
      </c>
      <c r="CM119" s="5">
        <f>IF($BI119&lt;&gt;"",IF('Capacity summary'!$C$14="Yes",IF(COUNTBLANK('Capacity summary'!$H31:$BG31)&lt;52,IF('Capacity summary'!AJ31&lt;&gt;"",IF(LOWER('Capacity summary'!AJ31)="x",$BI119*AJ119,VALUE('Capacity summary'!AJ31)),0),AJ119*$BI119),AJ119*$BI119),0)</f>
        <v>0</v>
      </c>
      <c r="CN119" s="5">
        <f>IF($BI119&lt;&gt;"",IF('Capacity summary'!$C$14="Yes",IF(COUNTBLANK('Capacity summary'!$H31:$BG31)&lt;52,IF('Capacity summary'!AK31&lt;&gt;"",IF(LOWER('Capacity summary'!AK31)="x",$BI119*AK119,VALUE('Capacity summary'!AK31)),0),AK119*$BI119),AK119*$BI119),0)</f>
        <v>0</v>
      </c>
      <c r="CO119" s="5">
        <f>IF($BI119&lt;&gt;"",IF('Capacity summary'!$C$14="Yes",IF(COUNTBLANK('Capacity summary'!$H31:$BG31)&lt;52,IF('Capacity summary'!AL31&lt;&gt;"",IF(LOWER('Capacity summary'!AL31)="x",$BI119*AL119,VALUE('Capacity summary'!AL31)),0),AL119*$BI119),AL119*$BI119),0)</f>
        <v>0</v>
      </c>
      <c r="CP119" s="5">
        <f>IF($BI119&lt;&gt;"",IF('Capacity summary'!$C$14="Yes",IF(COUNTBLANK('Capacity summary'!$H31:$BG31)&lt;52,IF('Capacity summary'!AM31&lt;&gt;"",IF(LOWER('Capacity summary'!AM31)="x",$BI119*AM119,VALUE('Capacity summary'!AM31)),0),AM119*$BI119),AM119*$BI119),0)</f>
        <v>0</v>
      </c>
      <c r="CQ119" s="5">
        <f>IF($BI119&lt;&gt;"",IF('Capacity summary'!$C$14="Yes",IF(COUNTBLANK('Capacity summary'!$H31:$BG31)&lt;52,IF('Capacity summary'!AN31&lt;&gt;"",IF(LOWER('Capacity summary'!AN31)="x",$BI119*AN119,VALUE('Capacity summary'!AN31)),0),AN119*$BI119),AN119*$BI119),0)</f>
        <v>0</v>
      </c>
      <c r="CR119" s="5">
        <f>IF($BI119&lt;&gt;"",IF('Capacity summary'!$C$14="Yes",IF(COUNTBLANK('Capacity summary'!$H31:$BG31)&lt;52,IF('Capacity summary'!AO31&lt;&gt;"",IF(LOWER('Capacity summary'!AO31)="x",$BI119*AO119,VALUE('Capacity summary'!AO31)),0),AO119*$BI119),AO119*$BI119),0)</f>
        <v>0</v>
      </c>
      <c r="CS119" s="5">
        <f>IF($BI119&lt;&gt;"",IF('Capacity summary'!$C$14="Yes",IF(COUNTBLANK('Capacity summary'!$H31:$BG31)&lt;52,IF('Capacity summary'!AP31&lt;&gt;"",IF(LOWER('Capacity summary'!AP31)="x",$BI119*AP119,VALUE('Capacity summary'!AP31)),0),AP119*$BI119),AP119*$BI119),0)</f>
        <v>0</v>
      </c>
      <c r="CT119" s="5">
        <f>IF($BI119&lt;&gt;"",IF('Capacity summary'!$C$14="Yes",IF(COUNTBLANK('Capacity summary'!$H31:$BG31)&lt;52,IF('Capacity summary'!AQ31&lt;&gt;"",IF(LOWER('Capacity summary'!AQ31)="x",$BI119*AQ119,VALUE('Capacity summary'!AQ31)),0),AQ119*$BI119),AQ119*$BI119),0)</f>
        <v>0</v>
      </c>
      <c r="CU119" s="5">
        <f>IF($BI119&lt;&gt;"",IF('Capacity summary'!$C$14="Yes",IF(COUNTBLANK('Capacity summary'!$H31:$BG31)&lt;52,IF('Capacity summary'!AR31&lt;&gt;"",IF(LOWER('Capacity summary'!AR31)="x",$BI119*AR119,VALUE('Capacity summary'!AR31)),0),AR119*$BI119),AR119*$BI119),0)</f>
        <v>0</v>
      </c>
      <c r="CV119" s="5">
        <f>IF($BI119&lt;&gt;"",IF('Capacity summary'!$C$14="Yes",IF(COUNTBLANK('Capacity summary'!$H31:$BG31)&lt;52,IF('Capacity summary'!AS31&lt;&gt;"",IF(LOWER('Capacity summary'!AS31)="x",$BI119*AS119,VALUE('Capacity summary'!AS31)),0),AS119*$BI119),AS119*$BI119),0)</f>
        <v>0</v>
      </c>
      <c r="CW119" s="5">
        <f>IF($BI119&lt;&gt;"",IF('Capacity summary'!$C$14="Yes",IF(COUNTBLANK('Capacity summary'!$H31:$BG31)&lt;52,IF('Capacity summary'!AT31&lt;&gt;"",IF(LOWER('Capacity summary'!AT31)="x",$BI119*AT119,VALUE('Capacity summary'!AT31)),0),AT119*$BI119),AT119*$BI119),0)</f>
        <v>0</v>
      </c>
      <c r="CX119" s="5">
        <f>IF($BI119&lt;&gt;"",IF('Capacity summary'!$C$14="Yes",IF(COUNTBLANK('Capacity summary'!$H31:$BG31)&lt;52,IF('Capacity summary'!AU31&lt;&gt;"",IF(LOWER('Capacity summary'!AU31)="x",$BI119*AU119,VALUE('Capacity summary'!AU31)),0),AU119*$BI119),AU119*$BI119),0)</f>
        <v>0</v>
      </c>
      <c r="CY119" s="5">
        <f>IF($BI119&lt;&gt;"",IF('Capacity summary'!$C$14="Yes",IF(COUNTBLANK('Capacity summary'!$H31:$BG31)&lt;52,IF('Capacity summary'!AV31&lt;&gt;"",IF(LOWER('Capacity summary'!AV31)="x",$BI119*AV119,VALUE('Capacity summary'!AV31)),0),AV119*$BI119),AV119*$BI119),0)</f>
        <v>0</v>
      </c>
      <c r="CZ119" s="5">
        <f>IF($BI119&lt;&gt;"",IF('Capacity summary'!$C$14="Yes",IF(COUNTBLANK('Capacity summary'!$H31:$BG31)&lt;52,IF('Capacity summary'!AW31&lt;&gt;"",IF(LOWER('Capacity summary'!AW31)="x",$BI119*AW119,VALUE('Capacity summary'!AW31)),0),AW119*$BI119),AW119*$BI119),0)</f>
        <v>0</v>
      </c>
      <c r="DA119" s="5">
        <f>IF($BI119&lt;&gt;"",IF('Capacity summary'!$C$14="Yes",IF(COUNTBLANK('Capacity summary'!$H31:$BG31)&lt;52,IF('Capacity summary'!AX31&lt;&gt;"",IF(LOWER('Capacity summary'!AX31)="x",$BI119*AX119,VALUE('Capacity summary'!AX31)),0),AX119*$BI119),AX119*$BI119),0)</f>
        <v>0</v>
      </c>
      <c r="DB119" s="5">
        <f>IF($BI119&lt;&gt;"",IF('Capacity summary'!$C$14="Yes",IF(COUNTBLANK('Capacity summary'!$H31:$BG31)&lt;52,IF('Capacity summary'!AY31&lt;&gt;"",IF(LOWER('Capacity summary'!AY31)="x",$BI119*AY119,VALUE('Capacity summary'!AY31)),0),AY119*$BI119),AY119*$BI119),0)</f>
        <v>0</v>
      </c>
      <c r="DC119" s="5">
        <f>IF($BI119&lt;&gt;"",IF('Capacity summary'!$C$14="Yes",IF(COUNTBLANK('Capacity summary'!$H31:$BG31)&lt;52,IF('Capacity summary'!AZ31&lt;&gt;"",IF(LOWER('Capacity summary'!AZ31)="x",$BI119*AZ119,VALUE('Capacity summary'!AZ31)),0),AZ119*$BI119),AZ119*$BI119),0)</f>
        <v>0</v>
      </c>
      <c r="DD119" s="5">
        <f>IF($BI119&lt;&gt;"",IF('Capacity summary'!$C$14="Yes",IF(COUNTBLANK('Capacity summary'!$H31:$BG31)&lt;52,IF('Capacity summary'!BA31&lt;&gt;"",IF(LOWER('Capacity summary'!BA31)="x",$BI119*BA119,VALUE('Capacity summary'!BA31)),0),BA119*$BI119),BA119*$BI119),0)</f>
        <v>0</v>
      </c>
      <c r="DE119" s="5">
        <f>IF($BI119&lt;&gt;"",IF('Capacity summary'!$C$14="Yes",IF(COUNTBLANK('Capacity summary'!$H31:$BG31)&lt;52,IF('Capacity summary'!BB31&lt;&gt;"",IF(LOWER('Capacity summary'!BB31)="x",$BI119*BB119,VALUE('Capacity summary'!BB31)),0),BB119*$BI119),BB119*$BI119),0)</f>
        <v>0</v>
      </c>
      <c r="DF119" s="5">
        <f>IF($BI119&lt;&gt;"",IF('Capacity summary'!$C$14="Yes",IF(COUNTBLANK('Capacity summary'!$H31:$BG31)&lt;52,IF('Capacity summary'!BC31&lt;&gt;"",IF(LOWER('Capacity summary'!BC31)="x",$BI119*BC119,VALUE('Capacity summary'!BC31)),0),BC119*$BI119),BC119*$BI119),0)</f>
        <v>0</v>
      </c>
      <c r="DG119" s="5">
        <f>IF($BI119&lt;&gt;"",IF('Capacity summary'!$C$14="Yes",IF(COUNTBLANK('Capacity summary'!$H31:$BG31)&lt;52,IF('Capacity summary'!BD31&lt;&gt;"",IF(LOWER('Capacity summary'!BD31)="x",$BI119*BD119,VALUE('Capacity summary'!BD31)),0),BD119*$BI119),BD119*$BI119),0)</f>
        <v>0</v>
      </c>
      <c r="DH119" s="5">
        <f>IF($BI119&lt;&gt;"",IF('Capacity summary'!$C$14="Yes",IF(COUNTBLANK('Capacity summary'!$H31:$BG31)&lt;52,IF('Capacity summary'!BE31&lt;&gt;"",IF(LOWER('Capacity summary'!BE31)="x",$BI119*BE119,VALUE('Capacity summary'!BE31)),0),BE119*$BI119),BE119*$BI119),0)</f>
        <v>0</v>
      </c>
      <c r="DI119" s="5">
        <f>IF($BI119&lt;&gt;"",IF('Capacity summary'!$C$14="Yes",IF(COUNTBLANK('Capacity summary'!$H31:$BG31)&lt;52,IF('Capacity summary'!BF31&lt;&gt;"",IF(LOWER('Capacity summary'!BF31)="x",$BI119*BF119,VALUE('Capacity summary'!BF31)),0),BF119*$BI119),BF119*$BI119),0)</f>
        <v>0</v>
      </c>
      <c r="DJ119" s="5">
        <f>IF($BI119&lt;&gt;"",IF('Capacity summary'!$C$14="Yes",IF(COUNTBLANK('Capacity summary'!$H31:$BG31)&lt;52,IF('Capacity summary'!BG31&lt;&gt;"",IF(LOWER('Capacity summary'!BG31)="x",$BI119*BG119,VALUE('Capacity summary'!BG31)),0),BG119*$BI119),BG119*$BI119),0)</f>
        <v>0</v>
      </c>
      <c r="DK119" s="5">
        <f t="shared" ref="DK119" si="13">SUM(DK120:DK219)</f>
        <v>0</v>
      </c>
    </row>
    <row r="120" spans="3:115" x14ac:dyDescent="0.25">
      <c r="C120" s="67" t="str">
        <f>ROW(A9)&amp;". "&amp;Capacity!N25</f>
        <v xml:space="preserve">9. </v>
      </c>
      <c r="D120" s="67">
        <f>'Capacity setup'!C126</f>
        <v>0</v>
      </c>
      <c r="E120" s="67">
        <f>'Capacity setup'!D126</f>
        <v>0</v>
      </c>
      <c r="F120" s="67">
        <f>'Capacity setup'!E126</f>
        <v>0</v>
      </c>
      <c r="H120" s="67">
        <f ca="1">IF(AND(SUMIF(Capacity_Resource,$D120,'Critical resources (hide)'!U$6:U$105)+SUMIF(Capacity_Resource,$E120,'Critical resources (hide)'!U$6:U$105)+SUMIF(Capacity_Resource,$F120,'Critical resources (hide)'!U$6:U$105)&gt;0,$E$1=2),0,1)</f>
        <v>1</v>
      </c>
      <c r="I120" s="67">
        <f ca="1">IF(AND(SUMIF(Capacity_Resource,$D120,'Critical resources (hide)'!V$6:V$105)+SUMIF(Capacity_Resource,$E120,'Critical resources (hide)'!V$6:V$105)+SUMIF(Capacity_Resource,$F120,'Critical resources (hide)'!V$6:V$105)&gt;0,$E$1=2),0,1)</f>
        <v>1</v>
      </c>
      <c r="J120" s="67">
        <f ca="1">IF(AND(SUMIF(Capacity_Resource,$D120,'Critical resources (hide)'!W$6:W$105)+SUMIF(Capacity_Resource,$E120,'Critical resources (hide)'!W$6:W$105)+SUMIF(Capacity_Resource,$F120,'Critical resources (hide)'!W$6:W$105)&gt;0,$E$1=2),0,1)</f>
        <v>1</v>
      </c>
      <c r="K120" s="67">
        <f ca="1">IF(AND(SUMIF(Capacity_Resource,$D120,'Critical resources (hide)'!X$6:X$105)+SUMIF(Capacity_Resource,$E120,'Critical resources (hide)'!X$6:X$105)+SUMIF(Capacity_Resource,$F120,'Critical resources (hide)'!X$6:X$105)&gt;0,$E$1=2),0,1)</f>
        <v>1</v>
      </c>
      <c r="L120" s="67">
        <f ca="1">IF(AND(SUMIF(Capacity_Resource,$D120,'Critical resources (hide)'!Y$6:Y$105)+SUMIF(Capacity_Resource,$E120,'Critical resources (hide)'!Y$6:Y$105)+SUMIF(Capacity_Resource,$F120,'Critical resources (hide)'!Y$6:Y$105)&gt;0,$E$1=2),0,1)</f>
        <v>1</v>
      </c>
      <c r="M120" s="67">
        <f ca="1">IF(AND(SUMIF(Capacity_Resource,$D120,'Critical resources (hide)'!Z$6:Z$105)+SUMIF(Capacity_Resource,$E120,'Critical resources (hide)'!Z$6:Z$105)+SUMIF(Capacity_Resource,$F120,'Critical resources (hide)'!Z$6:Z$105)&gt;0,$E$1=2),0,1)</f>
        <v>1</v>
      </c>
      <c r="N120" s="67">
        <f ca="1">IF(AND(SUMIF(Capacity_Resource,$D120,'Critical resources (hide)'!AA$6:AA$105)+SUMIF(Capacity_Resource,$E120,'Critical resources (hide)'!AA$6:AA$105)+SUMIF(Capacity_Resource,$F120,'Critical resources (hide)'!AA$6:AA$105)&gt;0,$E$1=2),0,1)</f>
        <v>1</v>
      </c>
      <c r="O120" s="67">
        <f ca="1">IF(AND(SUMIF(Capacity_Resource,$D120,'Critical resources (hide)'!AB$6:AB$105)+SUMIF(Capacity_Resource,$E120,'Critical resources (hide)'!AB$6:AB$105)+SUMIF(Capacity_Resource,$F120,'Critical resources (hide)'!AB$6:AB$105)&gt;0,$E$1=2),0,1)</f>
        <v>1</v>
      </c>
      <c r="P120" s="67">
        <f ca="1">IF(AND(SUMIF(Capacity_Resource,$D120,'Critical resources (hide)'!AC$6:AC$105)+SUMIF(Capacity_Resource,$E120,'Critical resources (hide)'!AC$6:AC$105)+SUMIF(Capacity_Resource,$F120,'Critical resources (hide)'!AC$6:AC$105)&gt;0,$E$1=2),0,1)</f>
        <v>1</v>
      </c>
      <c r="Q120" s="67">
        <f ca="1">IF(AND(SUMIF(Capacity_Resource,$D120,'Critical resources (hide)'!AD$6:AD$105)+SUMIF(Capacity_Resource,$E120,'Critical resources (hide)'!AD$6:AD$105)+SUMIF(Capacity_Resource,$F120,'Critical resources (hide)'!AD$6:AD$105)&gt;0,$E$1=2),0,1)</f>
        <v>1</v>
      </c>
      <c r="R120" s="67">
        <f ca="1">IF(AND(SUMIF(Capacity_Resource,$D120,'Critical resources (hide)'!AE$6:AE$105)+SUMIF(Capacity_Resource,$E120,'Critical resources (hide)'!AE$6:AE$105)+SUMIF(Capacity_Resource,$F120,'Critical resources (hide)'!AE$6:AE$105)&gt;0,$E$1=2),0,1)</f>
        <v>1</v>
      </c>
      <c r="S120" s="67">
        <f ca="1">IF(AND(SUMIF(Capacity_Resource,$D120,'Critical resources (hide)'!AF$6:AF$105)+SUMIF(Capacity_Resource,$E120,'Critical resources (hide)'!AF$6:AF$105)+SUMIF(Capacity_Resource,$F120,'Critical resources (hide)'!AF$6:AF$105)&gt;0,$E$1=2),0,1)</f>
        <v>1</v>
      </c>
      <c r="T120" s="67">
        <f ca="1">IF(AND(SUMIF(Capacity_Resource,$D120,'Critical resources (hide)'!AG$6:AG$105)+SUMIF(Capacity_Resource,$E120,'Critical resources (hide)'!AG$6:AG$105)+SUMIF(Capacity_Resource,$F120,'Critical resources (hide)'!AG$6:AG$105)&gt;0,$E$1=2),0,1)</f>
        <v>1</v>
      </c>
      <c r="U120" s="67">
        <f ca="1">IF(AND(SUMIF(Capacity_Resource,$D120,'Critical resources (hide)'!AH$6:AH$105)+SUMIF(Capacity_Resource,$E120,'Critical resources (hide)'!AH$6:AH$105)+SUMIF(Capacity_Resource,$F120,'Critical resources (hide)'!AH$6:AH$105)&gt;0,$E$1=2),0,1)</f>
        <v>1</v>
      </c>
      <c r="V120" s="67">
        <f ca="1">IF(AND(SUMIF(Capacity_Resource,$D120,'Critical resources (hide)'!AI$6:AI$105)+SUMIF(Capacity_Resource,$E120,'Critical resources (hide)'!AI$6:AI$105)+SUMIF(Capacity_Resource,$F120,'Critical resources (hide)'!AI$6:AI$105)&gt;0,$E$1=2),0,1)</f>
        <v>1</v>
      </c>
      <c r="W120" s="67">
        <f ca="1">IF(AND(SUMIF(Capacity_Resource,$D120,'Critical resources (hide)'!AJ$6:AJ$105)+SUMIF(Capacity_Resource,$E120,'Critical resources (hide)'!AJ$6:AJ$105)+SUMIF(Capacity_Resource,$F120,'Critical resources (hide)'!AJ$6:AJ$105)&gt;0,$E$1=2),0,1)</f>
        <v>1</v>
      </c>
      <c r="X120" s="67">
        <f ca="1">IF(AND(SUMIF(Capacity_Resource,$D120,'Critical resources (hide)'!AK$6:AK$105)+SUMIF(Capacity_Resource,$E120,'Critical resources (hide)'!AK$6:AK$105)+SUMIF(Capacity_Resource,$F120,'Critical resources (hide)'!AK$6:AK$105)&gt;0,$E$1=2),0,1)</f>
        <v>1</v>
      </c>
      <c r="Y120" s="67">
        <f ca="1">IF(AND(SUMIF(Capacity_Resource,$D120,'Critical resources (hide)'!AL$6:AL$105)+SUMIF(Capacity_Resource,$E120,'Critical resources (hide)'!AL$6:AL$105)+SUMIF(Capacity_Resource,$F120,'Critical resources (hide)'!AL$6:AL$105)&gt;0,$E$1=2),0,1)</f>
        <v>1</v>
      </c>
      <c r="Z120" s="67">
        <f ca="1">IF(AND(SUMIF(Capacity_Resource,$D120,'Critical resources (hide)'!AM$6:AM$105)+SUMIF(Capacity_Resource,$E120,'Critical resources (hide)'!AM$6:AM$105)+SUMIF(Capacity_Resource,$F120,'Critical resources (hide)'!AM$6:AM$105)&gt;0,$E$1=2),0,1)</f>
        <v>1</v>
      </c>
      <c r="AA120" s="67">
        <f ca="1">IF(AND(SUMIF(Capacity_Resource,$D120,'Critical resources (hide)'!AN$6:AN$105)+SUMIF(Capacity_Resource,$E120,'Critical resources (hide)'!AN$6:AN$105)+SUMIF(Capacity_Resource,$F120,'Critical resources (hide)'!AN$6:AN$105)&gt;0,$E$1=2),0,1)</f>
        <v>1</v>
      </c>
      <c r="AB120" s="67">
        <f ca="1">IF(AND(SUMIF(Capacity_Resource,$D120,'Critical resources (hide)'!AO$6:AO$105)+SUMIF(Capacity_Resource,$E120,'Critical resources (hide)'!AO$6:AO$105)+SUMIF(Capacity_Resource,$F120,'Critical resources (hide)'!AO$6:AO$105)&gt;0,$E$1=2),0,1)</f>
        <v>1</v>
      </c>
      <c r="AC120" s="67">
        <f ca="1">IF(AND(SUMIF(Capacity_Resource,$D120,'Critical resources (hide)'!AP$6:AP$105)+SUMIF(Capacity_Resource,$E120,'Critical resources (hide)'!AP$6:AP$105)+SUMIF(Capacity_Resource,$F120,'Critical resources (hide)'!AP$6:AP$105)&gt;0,$E$1=2),0,1)</f>
        <v>1</v>
      </c>
      <c r="AD120" s="67">
        <f ca="1">IF(AND(SUMIF(Capacity_Resource,$D120,'Critical resources (hide)'!AQ$6:AQ$105)+SUMIF(Capacity_Resource,$E120,'Critical resources (hide)'!AQ$6:AQ$105)+SUMIF(Capacity_Resource,$F120,'Critical resources (hide)'!AQ$6:AQ$105)&gt;0,$E$1=2),0,1)</f>
        <v>1</v>
      </c>
      <c r="AE120" s="67">
        <f ca="1">IF(AND(SUMIF(Capacity_Resource,$D120,'Critical resources (hide)'!AR$6:AR$105)+SUMIF(Capacity_Resource,$E120,'Critical resources (hide)'!AR$6:AR$105)+SUMIF(Capacity_Resource,$F120,'Critical resources (hide)'!AR$6:AR$105)&gt;0,$E$1=2),0,1)</f>
        <v>1</v>
      </c>
      <c r="AF120" s="67">
        <f ca="1">IF(AND(SUMIF(Capacity_Resource,$D120,'Critical resources (hide)'!AS$6:AS$105)+SUMIF(Capacity_Resource,$E120,'Critical resources (hide)'!AS$6:AS$105)+SUMIF(Capacity_Resource,$F120,'Critical resources (hide)'!AS$6:AS$105)&gt;0,$E$1=2),0,1)</f>
        <v>1</v>
      </c>
      <c r="AG120" s="67">
        <f ca="1">IF(AND(SUMIF(Capacity_Resource,$D120,'Critical resources (hide)'!AT$6:AT$105)+SUMIF(Capacity_Resource,$E120,'Critical resources (hide)'!AT$6:AT$105)+SUMIF(Capacity_Resource,$F120,'Critical resources (hide)'!AT$6:AT$105)&gt;0,$E$1=2),0,1)</f>
        <v>1</v>
      </c>
      <c r="AH120" s="67">
        <f ca="1">IF(AND(SUMIF(Capacity_Resource,$D120,'Critical resources (hide)'!AU$6:AU$105)+SUMIF(Capacity_Resource,$E120,'Critical resources (hide)'!AU$6:AU$105)+SUMIF(Capacity_Resource,$F120,'Critical resources (hide)'!AU$6:AU$105)&gt;0,$E$1=2),0,1)</f>
        <v>1</v>
      </c>
      <c r="AI120" s="67">
        <f ca="1">IF(AND(SUMIF(Capacity_Resource,$D120,'Critical resources (hide)'!AV$6:AV$105)+SUMIF(Capacity_Resource,$E120,'Critical resources (hide)'!AV$6:AV$105)+SUMIF(Capacity_Resource,$F120,'Critical resources (hide)'!AV$6:AV$105)&gt;0,$E$1=2),0,1)</f>
        <v>1</v>
      </c>
      <c r="AJ120" s="67">
        <f ca="1">IF(AND(SUMIF(Capacity_Resource,$D120,'Critical resources (hide)'!AW$6:AW$105)+SUMIF(Capacity_Resource,$E120,'Critical resources (hide)'!AW$6:AW$105)+SUMIF(Capacity_Resource,$F120,'Critical resources (hide)'!AW$6:AW$105)&gt;0,$E$1=2),0,1)</f>
        <v>1</v>
      </c>
      <c r="AK120" s="67">
        <f ca="1">IF(AND(SUMIF(Capacity_Resource,$D120,'Critical resources (hide)'!AX$6:AX$105)+SUMIF(Capacity_Resource,$E120,'Critical resources (hide)'!AX$6:AX$105)+SUMIF(Capacity_Resource,$F120,'Critical resources (hide)'!AX$6:AX$105)&gt;0,$E$1=2),0,1)</f>
        <v>1</v>
      </c>
      <c r="AL120" s="67">
        <f ca="1">IF(AND(SUMIF(Capacity_Resource,$D120,'Critical resources (hide)'!AY$6:AY$105)+SUMIF(Capacity_Resource,$E120,'Critical resources (hide)'!AY$6:AY$105)+SUMIF(Capacity_Resource,$F120,'Critical resources (hide)'!AY$6:AY$105)&gt;0,$E$1=2),0,1)</f>
        <v>1</v>
      </c>
      <c r="AM120" s="67">
        <f ca="1">IF(AND(SUMIF(Capacity_Resource,$D120,'Critical resources (hide)'!AZ$6:AZ$105)+SUMIF(Capacity_Resource,$E120,'Critical resources (hide)'!AZ$6:AZ$105)+SUMIF(Capacity_Resource,$F120,'Critical resources (hide)'!AZ$6:AZ$105)&gt;0,$E$1=2),0,1)</f>
        <v>1</v>
      </c>
      <c r="AN120" s="67">
        <f ca="1">IF(AND(SUMIF(Capacity_Resource,$D120,'Critical resources (hide)'!BA$6:BA$105)+SUMIF(Capacity_Resource,$E120,'Critical resources (hide)'!BA$6:BA$105)+SUMIF(Capacity_Resource,$F120,'Critical resources (hide)'!BA$6:BA$105)&gt;0,$E$1=2),0,1)</f>
        <v>1</v>
      </c>
      <c r="AO120" s="67">
        <f ca="1">IF(AND(SUMIF(Capacity_Resource,$D120,'Critical resources (hide)'!BB$6:BB$105)+SUMIF(Capacity_Resource,$E120,'Critical resources (hide)'!BB$6:BB$105)+SUMIF(Capacity_Resource,$F120,'Critical resources (hide)'!BB$6:BB$105)&gt;0,$E$1=2),0,1)</f>
        <v>1</v>
      </c>
      <c r="AP120" s="67">
        <f ca="1">IF(AND(SUMIF(Capacity_Resource,$D120,'Critical resources (hide)'!BC$6:BC$105)+SUMIF(Capacity_Resource,$E120,'Critical resources (hide)'!BC$6:BC$105)+SUMIF(Capacity_Resource,$F120,'Critical resources (hide)'!BC$6:BC$105)&gt;0,$E$1=2),0,1)</f>
        <v>1</v>
      </c>
      <c r="AQ120" s="67">
        <f ca="1">IF(AND(SUMIF(Capacity_Resource,$D120,'Critical resources (hide)'!BD$6:BD$105)+SUMIF(Capacity_Resource,$E120,'Critical resources (hide)'!BD$6:BD$105)+SUMIF(Capacity_Resource,$F120,'Critical resources (hide)'!BD$6:BD$105)&gt;0,$E$1=2),0,1)</f>
        <v>1</v>
      </c>
      <c r="AR120" s="67">
        <f ca="1">IF(AND(SUMIF(Capacity_Resource,$D120,'Critical resources (hide)'!BE$6:BE$105)+SUMIF(Capacity_Resource,$E120,'Critical resources (hide)'!BE$6:BE$105)+SUMIF(Capacity_Resource,$F120,'Critical resources (hide)'!BE$6:BE$105)&gt;0,$E$1=2),0,1)</f>
        <v>1</v>
      </c>
      <c r="AS120" s="67">
        <f ca="1">IF(AND(SUMIF(Capacity_Resource,$D120,'Critical resources (hide)'!BF$6:BF$105)+SUMIF(Capacity_Resource,$E120,'Critical resources (hide)'!BF$6:BF$105)+SUMIF(Capacity_Resource,$F120,'Critical resources (hide)'!BF$6:BF$105)&gt;0,$E$1=2),0,1)</f>
        <v>1</v>
      </c>
      <c r="AT120" s="67">
        <f ca="1">IF(AND(SUMIF(Capacity_Resource,$D120,'Critical resources (hide)'!BG$6:BG$105)+SUMIF(Capacity_Resource,$E120,'Critical resources (hide)'!BG$6:BG$105)+SUMIF(Capacity_Resource,$F120,'Critical resources (hide)'!BG$6:BG$105)&gt;0,$E$1=2),0,1)</f>
        <v>1</v>
      </c>
      <c r="AU120" s="67">
        <f ca="1">IF(AND(SUMIF(Capacity_Resource,$D120,'Critical resources (hide)'!BH$6:BH$105)+SUMIF(Capacity_Resource,$E120,'Critical resources (hide)'!BH$6:BH$105)+SUMIF(Capacity_Resource,$F120,'Critical resources (hide)'!BH$6:BH$105)&gt;0,$E$1=2),0,1)</f>
        <v>1</v>
      </c>
      <c r="AV120" s="67">
        <f ca="1">IF(AND(SUMIF(Capacity_Resource,$D120,'Critical resources (hide)'!BI$6:BI$105)+SUMIF(Capacity_Resource,$E120,'Critical resources (hide)'!BI$6:BI$105)+SUMIF(Capacity_Resource,$F120,'Critical resources (hide)'!BI$6:BI$105)&gt;0,$E$1=2),0,1)</f>
        <v>1</v>
      </c>
      <c r="AW120" s="67">
        <f ca="1">IF(AND(SUMIF(Capacity_Resource,$D120,'Critical resources (hide)'!BJ$6:BJ$105)+SUMIF(Capacity_Resource,$E120,'Critical resources (hide)'!BJ$6:BJ$105)+SUMIF(Capacity_Resource,$F120,'Critical resources (hide)'!BJ$6:BJ$105)&gt;0,$E$1=2),0,1)</f>
        <v>1</v>
      </c>
      <c r="AX120" s="67">
        <f ca="1">IF(AND(SUMIF(Capacity_Resource,$D120,'Critical resources (hide)'!BK$6:BK$105)+SUMIF(Capacity_Resource,$E120,'Critical resources (hide)'!BK$6:BK$105)+SUMIF(Capacity_Resource,$F120,'Critical resources (hide)'!BK$6:BK$105)&gt;0,$E$1=2),0,1)</f>
        <v>1</v>
      </c>
      <c r="AY120" s="67">
        <f ca="1">IF(AND(SUMIF(Capacity_Resource,$D120,'Critical resources (hide)'!BL$6:BL$105)+SUMIF(Capacity_Resource,$E120,'Critical resources (hide)'!BL$6:BL$105)+SUMIF(Capacity_Resource,$F120,'Critical resources (hide)'!BL$6:BL$105)&gt;0,$E$1=2),0,1)</f>
        <v>1</v>
      </c>
      <c r="AZ120" s="67">
        <f ca="1">IF(AND(SUMIF(Capacity_Resource,$D120,'Critical resources (hide)'!BM$6:BM$105)+SUMIF(Capacity_Resource,$E120,'Critical resources (hide)'!BM$6:BM$105)+SUMIF(Capacity_Resource,$F120,'Critical resources (hide)'!BM$6:BM$105)&gt;0,$E$1=2),0,1)</f>
        <v>1</v>
      </c>
      <c r="BA120" s="67">
        <f ca="1">IF(AND(SUMIF(Capacity_Resource,$D120,'Critical resources (hide)'!BN$6:BN$105)+SUMIF(Capacity_Resource,$E120,'Critical resources (hide)'!BN$6:BN$105)+SUMIF(Capacity_Resource,$F120,'Critical resources (hide)'!BN$6:BN$105)&gt;0,$E$1=2),0,1)</f>
        <v>1</v>
      </c>
      <c r="BB120" s="67">
        <f ca="1">IF(AND(SUMIF(Capacity_Resource,$D120,'Critical resources (hide)'!BO$6:BO$105)+SUMIF(Capacity_Resource,$E120,'Critical resources (hide)'!BO$6:BO$105)+SUMIF(Capacity_Resource,$F120,'Critical resources (hide)'!BO$6:BO$105)&gt;0,$E$1=2),0,1)</f>
        <v>1</v>
      </c>
      <c r="BC120" s="67">
        <f ca="1">IF(AND(SUMIF(Capacity_Resource,$D120,'Critical resources (hide)'!BP$6:BP$105)+SUMIF(Capacity_Resource,$E120,'Critical resources (hide)'!BP$6:BP$105)+SUMIF(Capacity_Resource,$F120,'Critical resources (hide)'!BP$6:BP$105)&gt;0,$E$1=2),0,1)</f>
        <v>1</v>
      </c>
      <c r="BD120" s="67">
        <f ca="1">IF(AND(SUMIF(Capacity_Resource,$D120,'Critical resources (hide)'!BQ$6:BQ$105)+SUMIF(Capacity_Resource,$E120,'Critical resources (hide)'!BQ$6:BQ$105)+SUMIF(Capacity_Resource,$F120,'Critical resources (hide)'!BQ$6:BQ$105)&gt;0,$E$1=2),0,1)</f>
        <v>1</v>
      </c>
      <c r="BE120" s="67">
        <f ca="1">IF(AND(SUMIF(Capacity_Resource,$D120,'Critical resources (hide)'!BR$6:BR$105)+SUMIF(Capacity_Resource,$E120,'Critical resources (hide)'!BR$6:BR$105)+SUMIF(Capacity_Resource,$F120,'Critical resources (hide)'!BR$6:BR$105)&gt;0,$E$1=2),0,1)</f>
        <v>1</v>
      </c>
      <c r="BF120" s="67">
        <f ca="1">IF(AND(SUMIF(Capacity_Resource,$D120,'Critical resources (hide)'!BS$6:BS$105)+SUMIF(Capacity_Resource,$E120,'Critical resources (hide)'!BS$6:BS$105)+SUMIF(Capacity_Resource,$F120,'Critical resources (hide)'!BS$6:BS$105)&gt;0,$E$1=2),0,1)</f>
        <v>1</v>
      </c>
      <c r="BG120" s="67">
        <f ca="1">IF(AND(SUMIF(Capacity_Resource,$D120,'Critical resources (hide)'!BT$6:BT$105)+SUMIF(Capacity_Resource,$E120,'Critical resources (hide)'!BT$6:BT$105)+SUMIF(Capacity_Resource,$F120,'Critical resources (hide)'!BT$6:BT$105)&gt;0,$E$1=2),0,1)</f>
        <v>1</v>
      </c>
      <c r="BH120" s="67">
        <f>IF(ROW(A9)&lt;=Capacity!$M$16,IF('Capacity summary'!$C$14="No",SUM(H120:BG120),'Capacity summary'!$E32),0)</f>
        <v>0</v>
      </c>
      <c r="BI120" s="67" t="str">
        <f>IF(BH120&gt;0,IF(BH120&lt;Capacity!Q25,Capacity!R25,Capacity!T25/'Capacity calculation (hide)'!BH120),"")</f>
        <v/>
      </c>
      <c r="BJ120" s="5"/>
      <c r="BK120" s="5">
        <f>IF($BI120&lt;&gt;"",IF('Capacity summary'!$C$14="Yes",IF(COUNTBLANK('Capacity summary'!$H32:$BG32)&lt;52,IF('Capacity summary'!H32&lt;&gt;"",IF(LOWER('Capacity summary'!H32)="x",$BI120*H120,VALUE('Capacity summary'!H32)),0),H120*$BI120),H120*$BI120),0)</f>
        <v>0</v>
      </c>
      <c r="BL120" s="5">
        <f>IF($BI120&lt;&gt;"",IF('Capacity summary'!$C$14="Yes",IF(COUNTBLANK('Capacity summary'!$H32:$BG32)&lt;52,IF('Capacity summary'!I32&lt;&gt;"",IF(LOWER('Capacity summary'!I32)="x",$BI120*I120,VALUE('Capacity summary'!I32)),0),I120*$BI120),I120*$BI120),0)</f>
        <v>0</v>
      </c>
      <c r="BM120" s="5">
        <f>IF($BI120&lt;&gt;"",IF('Capacity summary'!$C$14="Yes",IF(COUNTBLANK('Capacity summary'!$H32:$BG32)&lt;52,IF('Capacity summary'!J32&lt;&gt;"",IF(LOWER('Capacity summary'!J32)="x",$BI120*J120,VALUE('Capacity summary'!J32)),0),J120*$BI120),J120*$BI120),0)</f>
        <v>0</v>
      </c>
      <c r="BN120" s="5">
        <f>IF($BI120&lt;&gt;"",IF('Capacity summary'!$C$14="Yes",IF(COUNTBLANK('Capacity summary'!$H32:$BG32)&lt;52,IF('Capacity summary'!K32&lt;&gt;"",IF(LOWER('Capacity summary'!K32)="x",$BI120*K120,VALUE('Capacity summary'!K32)),0),K120*$BI120),K120*$BI120),0)</f>
        <v>0</v>
      </c>
      <c r="BO120" s="5">
        <f>IF($BI120&lt;&gt;"",IF('Capacity summary'!$C$14="Yes",IF(COUNTBLANK('Capacity summary'!$H32:$BG32)&lt;52,IF('Capacity summary'!L32&lt;&gt;"",IF(LOWER('Capacity summary'!L32)="x",$BI120*L120,VALUE('Capacity summary'!L32)),0),L120*$BI120),L120*$BI120),0)</f>
        <v>0</v>
      </c>
      <c r="BP120" s="5">
        <f>IF($BI120&lt;&gt;"",IF('Capacity summary'!$C$14="Yes",IF(COUNTBLANK('Capacity summary'!$H32:$BG32)&lt;52,IF('Capacity summary'!M32&lt;&gt;"",IF(LOWER('Capacity summary'!M32)="x",$BI120*M120,VALUE('Capacity summary'!M32)),0),M120*$BI120),M120*$BI120),0)</f>
        <v>0</v>
      </c>
      <c r="BQ120" s="5">
        <f>IF($BI120&lt;&gt;"",IF('Capacity summary'!$C$14="Yes",IF(COUNTBLANK('Capacity summary'!$H32:$BG32)&lt;52,IF('Capacity summary'!N32&lt;&gt;"",IF(LOWER('Capacity summary'!N32)="x",$BI120*N120,VALUE('Capacity summary'!N32)),0),N120*$BI120),N120*$BI120),0)</f>
        <v>0</v>
      </c>
      <c r="BR120" s="5">
        <f>IF($BI120&lt;&gt;"",IF('Capacity summary'!$C$14="Yes",IF(COUNTBLANK('Capacity summary'!$H32:$BG32)&lt;52,IF('Capacity summary'!O32&lt;&gt;"",IF(LOWER('Capacity summary'!O32)="x",$BI120*O120,VALUE('Capacity summary'!O32)),0),O120*$BI120),O120*$BI120),0)</f>
        <v>0</v>
      </c>
      <c r="BS120" s="5">
        <f>IF($BI120&lt;&gt;"",IF('Capacity summary'!$C$14="Yes",IF(COUNTBLANK('Capacity summary'!$H32:$BG32)&lt;52,IF('Capacity summary'!P32&lt;&gt;"",IF(LOWER('Capacity summary'!P32)="x",$BI120*P120,VALUE('Capacity summary'!P32)),0),P120*$BI120),P120*$BI120),0)</f>
        <v>0</v>
      </c>
      <c r="BT120" s="5">
        <f>IF($BI120&lt;&gt;"",IF('Capacity summary'!$C$14="Yes",IF(COUNTBLANK('Capacity summary'!$H32:$BG32)&lt;52,IF('Capacity summary'!Q32&lt;&gt;"",IF(LOWER('Capacity summary'!Q32)="x",$BI120*Q120,VALUE('Capacity summary'!Q32)),0),Q120*$BI120),Q120*$BI120),0)</f>
        <v>0</v>
      </c>
      <c r="BU120" s="5">
        <f>IF($BI120&lt;&gt;"",IF('Capacity summary'!$C$14="Yes",IF(COUNTBLANK('Capacity summary'!$H32:$BG32)&lt;52,IF('Capacity summary'!R32&lt;&gt;"",IF(LOWER('Capacity summary'!R32)="x",$BI120*R120,VALUE('Capacity summary'!R32)),0),R120*$BI120),R120*$BI120),0)</f>
        <v>0</v>
      </c>
      <c r="BV120" s="5">
        <f>IF($BI120&lt;&gt;"",IF('Capacity summary'!$C$14="Yes",IF(COUNTBLANK('Capacity summary'!$H32:$BG32)&lt;52,IF('Capacity summary'!S32&lt;&gt;"",IF(LOWER('Capacity summary'!S32)="x",$BI120*S120,VALUE('Capacity summary'!S32)),0),S120*$BI120),S120*$BI120),0)</f>
        <v>0</v>
      </c>
      <c r="BW120" s="5">
        <f>IF($BI120&lt;&gt;"",IF('Capacity summary'!$C$14="Yes",IF(COUNTBLANK('Capacity summary'!$H32:$BG32)&lt;52,IF('Capacity summary'!T32&lt;&gt;"",IF(LOWER('Capacity summary'!T32)="x",$BI120*T120,VALUE('Capacity summary'!T32)),0),T120*$BI120),T120*$BI120),0)</f>
        <v>0</v>
      </c>
      <c r="BX120" s="5">
        <f>IF($BI120&lt;&gt;"",IF('Capacity summary'!$C$14="Yes",IF(COUNTBLANK('Capacity summary'!$H32:$BG32)&lt;52,IF('Capacity summary'!U32&lt;&gt;"",IF(LOWER('Capacity summary'!U32)="x",$BI120*U120,VALUE('Capacity summary'!U32)),0),U120*$BI120),U120*$BI120),0)</f>
        <v>0</v>
      </c>
      <c r="BY120" s="5">
        <f>IF($BI120&lt;&gt;"",IF('Capacity summary'!$C$14="Yes",IF(COUNTBLANK('Capacity summary'!$H32:$BG32)&lt;52,IF('Capacity summary'!V32&lt;&gt;"",IF(LOWER('Capacity summary'!V32)="x",$BI120*V120,VALUE('Capacity summary'!V32)),0),V120*$BI120),V120*$BI120),0)</f>
        <v>0</v>
      </c>
      <c r="BZ120" s="5">
        <f>IF($BI120&lt;&gt;"",IF('Capacity summary'!$C$14="Yes",IF(COUNTBLANK('Capacity summary'!$H32:$BG32)&lt;52,IF('Capacity summary'!W32&lt;&gt;"",IF(LOWER('Capacity summary'!W32)="x",$BI120*W120,VALUE('Capacity summary'!W32)),0),W120*$BI120),W120*$BI120),0)</f>
        <v>0</v>
      </c>
      <c r="CA120" s="5">
        <f>IF($BI120&lt;&gt;"",IF('Capacity summary'!$C$14="Yes",IF(COUNTBLANK('Capacity summary'!$H32:$BG32)&lt;52,IF('Capacity summary'!X32&lt;&gt;"",IF(LOWER('Capacity summary'!X32)="x",$BI120*X120,VALUE('Capacity summary'!X32)),0),X120*$BI120),X120*$BI120),0)</f>
        <v>0</v>
      </c>
      <c r="CB120" s="5">
        <f>IF($BI120&lt;&gt;"",IF('Capacity summary'!$C$14="Yes",IF(COUNTBLANK('Capacity summary'!$H32:$BG32)&lt;52,IF('Capacity summary'!Y32&lt;&gt;"",IF(LOWER('Capacity summary'!Y32)="x",$BI120*Y120,VALUE('Capacity summary'!Y32)),0),Y120*$BI120),Y120*$BI120),0)</f>
        <v>0</v>
      </c>
      <c r="CC120" s="5">
        <f>IF($BI120&lt;&gt;"",IF('Capacity summary'!$C$14="Yes",IF(COUNTBLANK('Capacity summary'!$H32:$BG32)&lt;52,IF('Capacity summary'!Z32&lt;&gt;"",IF(LOWER('Capacity summary'!Z32)="x",$BI120*Z120,VALUE('Capacity summary'!Z32)),0),Z120*$BI120),Z120*$BI120),0)</f>
        <v>0</v>
      </c>
      <c r="CD120" s="5">
        <f>IF($BI120&lt;&gt;"",IF('Capacity summary'!$C$14="Yes",IF(COUNTBLANK('Capacity summary'!$H32:$BG32)&lt;52,IF('Capacity summary'!AA32&lt;&gt;"",IF(LOWER('Capacity summary'!AA32)="x",$BI120*AA120,VALUE('Capacity summary'!AA32)),0),AA120*$BI120),AA120*$BI120),0)</f>
        <v>0</v>
      </c>
      <c r="CE120" s="5">
        <f>IF($BI120&lt;&gt;"",IF('Capacity summary'!$C$14="Yes",IF(COUNTBLANK('Capacity summary'!$H32:$BG32)&lt;52,IF('Capacity summary'!AB32&lt;&gt;"",IF(LOWER('Capacity summary'!AB32)="x",$BI120*AB120,VALUE('Capacity summary'!AB32)),0),AB120*$BI120),AB120*$BI120),0)</f>
        <v>0</v>
      </c>
      <c r="CF120" s="5">
        <f>IF($BI120&lt;&gt;"",IF('Capacity summary'!$C$14="Yes",IF(COUNTBLANK('Capacity summary'!$H32:$BG32)&lt;52,IF('Capacity summary'!AC32&lt;&gt;"",IF(LOWER('Capacity summary'!AC32)="x",$BI120*AC120,VALUE('Capacity summary'!AC32)),0),AC120*$BI120),AC120*$BI120),0)</f>
        <v>0</v>
      </c>
      <c r="CG120" s="5">
        <f>IF($BI120&lt;&gt;"",IF('Capacity summary'!$C$14="Yes",IF(COUNTBLANK('Capacity summary'!$H32:$BG32)&lt;52,IF('Capacity summary'!AD32&lt;&gt;"",IF(LOWER('Capacity summary'!AD32)="x",$BI120*AD120,VALUE('Capacity summary'!AD32)),0),AD120*$BI120),AD120*$BI120),0)</f>
        <v>0</v>
      </c>
      <c r="CH120" s="5">
        <f>IF($BI120&lt;&gt;"",IF('Capacity summary'!$C$14="Yes",IF(COUNTBLANK('Capacity summary'!$H32:$BG32)&lt;52,IF('Capacity summary'!AE32&lt;&gt;"",IF(LOWER('Capacity summary'!AE32)="x",$BI120*AE120,VALUE('Capacity summary'!AE32)),0),AE120*$BI120),AE120*$BI120),0)</f>
        <v>0</v>
      </c>
      <c r="CI120" s="5">
        <f>IF($BI120&lt;&gt;"",IF('Capacity summary'!$C$14="Yes",IF(COUNTBLANK('Capacity summary'!$H32:$BG32)&lt;52,IF('Capacity summary'!AF32&lt;&gt;"",IF(LOWER('Capacity summary'!AF32)="x",$BI120*AF120,VALUE('Capacity summary'!AF32)),0),AF120*$BI120),AF120*$BI120),0)</f>
        <v>0</v>
      </c>
      <c r="CJ120" s="5">
        <f>IF($BI120&lt;&gt;"",IF('Capacity summary'!$C$14="Yes",IF(COUNTBLANK('Capacity summary'!$H32:$BG32)&lt;52,IF('Capacity summary'!AG32&lt;&gt;"",IF(LOWER('Capacity summary'!AG32)="x",$BI120*AG120,VALUE('Capacity summary'!AG32)),0),AG120*$BI120),AG120*$BI120),0)</f>
        <v>0</v>
      </c>
      <c r="CK120" s="5">
        <f>IF($BI120&lt;&gt;"",IF('Capacity summary'!$C$14="Yes",IF(COUNTBLANK('Capacity summary'!$H32:$BG32)&lt;52,IF('Capacity summary'!AH32&lt;&gt;"",IF(LOWER('Capacity summary'!AH32)="x",$BI120*AH120,VALUE('Capacity summary'!AH32)),0),AH120*$BI120),AH120*$BI120),0)</f>
        <v>0</v>
      </c>
      <c r="CL120" s="5">
        <f>IF($BI120&lt;&gt;"",IF('Capacity summary'!$C$14="Yes",IF(COUNTBLANK('Capacity summary'!$H32:$BG32)&lt;52,IF('Capacity summary'!AI32&lt;&gt;"",IF(LOWER('Capacity summary'!AI32)="x",$BI120*AI120,VALUE('Capacity summary'!AI32)),0),AI120*$BI120),AI120*$BI120),0)</f>
        <v>0</v>
      </c>
      <c r="CM120" s="5">
        <f>IF($BI120&lt;&gt;"",IF('Capacity summary'!$C$14="Yes",IF(COUNTBLANK('Capacity summary'!$H32:$BG32)&lt;52,IF('Capacity summary'!AJ32&lt;&gt;"",IF(LOWER('Capacity summary'!AJ32)="x",$BI120*AJ120,VALUE('Capacity summary'!AJ32)),0),AJ120*$BI120),AJ120*$BI120),0)</f>
        <v>0</v>
      </c>
      <c r="CN120" s="5">
        <f>IF($BI120&lt;&gt;"",IF('Capacity summary'!$C$14="Yes",IF(COUNTBLANK('Capacity summary'!$H32:$BG32)&lt;52,IF('Capacity summary'!AK32&lt;&gt;"",IF(LOWER('Capacity summary'!AK32)="x",$BI120*AK120,VALUE('Capacity summary'!AK32)),0),AK120*$BI120),AK120*$BI120),0)</f>
        <v>0</v>
      </c>
      <c r="CO120" s="5">
        <f>IF($BI120&lt;&gt;"",IF('Capacity summary'!$C$14="Yes",IF(COUNTBLANK('Capacity summary'!$H32:$BG32)&lt;52,IF('Capacity summary'!AL32&lt;&gt;"",IF(LOWER('Capacity summary'!AL32)="x",$BI120*AL120,VALUE('Capacity summary'!AL32)),0),AL120*$BI120),AL120*$BI120),0)</f>
        <v>0</v>
      </c>
      <c r="CP120" s="5">
        <f>IF($BI120&lt;&gt;"",IF('Capacity summary'!$C$14="Yes",IF(COUNTBLANK('Capacity summary'!$H32:$BG32)&lt;52,IF('Capacity summary'!AM32&lt;&gt;"",IF(LOWER('Capacity summary'!AM32)="x",$BI120*AM120,VALUE('Capacity summary'!AM32)),0),AM120*$BI120),AM120*$BI120),0)</f>
        <v>0</v>
      </c>
      <c r="CQ120" s="5">
        <f>IF($BI120&lt;&gt;"",IF('Capacity summary'!$C$14="Yes",IF(COUNTBLANK('Capacity summary'!$H32:$BG32)&lt;52,IF('Capacity summary'!AN32&lt;&gt;"",IF(LOWER('Capacity summary'!AN32)="x",$BI120*AN120,VALUE('Capacity summary'!AN32)),0),AN120*$BI120),AN120*$BI120),0)</f>
        <v>0</v>
      </c>
      <c r="CR120" s="5">
        <f>IF($BI120&lt;&gt;"",IF('Capacity summary'!$C$14="Yes",IF(COUNTBLANK('Capacity summary'!$H32:$BG32)&lt;52,IF('Capacity summary'!AO32&lt;&gt;"",IF(LOWER('Capacity summary'!AO32)="x",$BI120*AO120,VALUE('Capacity summary'!AO32)),0),AO120*$BI120),AO120*$BI120),0)</f>
        <v>0</v>
      </c>
      <c r="CS120" s="5">
        <f>IF($BI120&lt;&gt;"",IF('Capacity summary'!$C$14="Yes",IF(COUNTBLANK('Capacity summary'!$H32:$BG32)&lt;52,IF('Capacity summary'!AP32&lt;&gt;"",IF(LOWER('Capacity summary'!AP32)="x",$BI120*AP120,VALUE('Capacity summary'!AP32)),0),AP120*$BI120),AP120*$BI120),0)</f>
        <v>0</v>
      </c>
      <c r="CT120" s="5">
        <f>IF($BI120&lt;&gt;"",IF('Capacity summary'!$C$14="Yes",IF(COUNTBLANK('Capacity summary'!$H32:$BG32)&lt;52,IF('Capacity summary'!AQ32&lt;&gt;"",IF(LOWER('Capacity summary'!AQ32)="x",$BI120*AQ120,VALUE('Capacity summary'!AQ32)),0),AQ120*$BI120),AQ120*$BI120),0)</f>
        <v>0</v>
      </c>
      <c r="CU120" s="5">
        <f>IF($BI120&lt;&gt;"",IF('Capacity summary'!$C$14="Yes",IF(COUNTBLANK('Capacity summary'!$H32:$BG32)&lt;52,IF('Capacity summary'!AR32&lt;&gt;"",IF(LOWER('Capacity summary'!AR32)="x",$BI120*AR120,VALUE('Capacity summary'!AR32)),0),AR120*$BI120),AR120*$BI120),0)</f>
        <v>0</v>
      </c>
      <c r="CV120" s="5">
        <f>IF($BI120&lt;&gt;"",IF('Capacity summary'!$C$14="Yes",IF(COUNTBLANK('Capacity summary'!$H32:$BG32)&lt;52,IF('Capacity summary'!AS32&lt;&gt;"",IF(LOWER('Capacity summary'!AS32)="x",$BI120*AS120,VALUE('Capacity summary'!AS32)),0),AS120*$BI120),AS120*$BI120),0)</f>
        <v>0</v>
      </c>
      <c r="CW120" s="5">
        <f>IF($BI120&lt;&gt;"",IF('Capacity summary'!$C$14="Yes",IF(COUNTBLANK('Capacity summary'!$H32:$BG32)&lt;52,IF('Capacity summary'!AT32&lt;&gt;"",IF(LOWER('Capacity summary'!AT32)="x",$BI120*AT120,VALUE('Capacity summary'!AT32)),0),AT120*$BI120),AT120*$BI120),0)</f>
        <v>0</v>
      </c>
      <c r="CX120" s="5">
        <f>IF($BI120&lt;&gt;"",IF('Capacity summary'!$C$14="Yes",IF(COUNTBLANK('Capacity summary'!$H32:$BG32)&lt;52,IF('Capacity summary'!AU32&lt;&gt;"",IF(LOWER('Capacity summary'!AU32)="x",$BI120*AU120,VALUE('Capacity summary'!AU32)),0),AU120*$BI120),AU120*$BI120),0)</f>
        <v>0</v>
      </c>
      <c r="CY120" s="5">
        <f>IF($BI120&lt;&gt;"",IF('Capacity summary'!$C$14="Yes",IF(COUNTBLANK('Capacity summary'!$H32:$BG32)&lt;52,IF('Capacity summary'!AV32&lt;&gt;"",IF(LOWER('Capacity summary'!AV32)="x",$BI120*AV120,VALUE('Capacity summary'!AV32)),0),AV120*$BI120),AV120*$BI120),0)</f>
        <v>0</v>
      </c>
      <c r="CZ120" s="5">
        <f>IF($BI120&lt;&gt;"",IF('Capacity summary'!$C$14="Yes",IF(COUNTBLANK('Capacity summary'!$H32:$BG32)&lt;52,IF('Capacity summary'!AW32&lt;&gt;"",IF(LOWER('Capacity summary'!AW32)="x",$BI120*AW120,VALUE('Capacity summary'!AW32)),0),AW120*$BI120),AW120*$BI120),0)</f>
        <v>0</v>
      </c>
      <c r="DA120" s="5">
        <f>IF($BI120&lt;&gt;"",IF('Capacity summary'!$C$14="Yes",IF(COUNTBLANK('Capacity summary'!$H32:$BG32)&lt;52,IF('Capacity summary'!AX32&lt;&gt;"",IF(LOWER('Capacity summary'!AX32)="x",$BI120*AX120,VALUE('Capacity summary'!AX32)),0),AX120*$BI120),AX120*$BI120),0)</f>
        <v>0</v>
      </c>
      <c r="DB120" s="5">
        <f>IF($BI120&lt;&gt;"",IF('Capacity summary'!$C$14="Yes",IF(COUNTBLANK('Capacity summary'!$H32:$BG32)&lt;52,IF('Capacity summary'!AY32&lt;&gt;"",IF(LOWER('Capacity summary'!AY32)="x",$BI120*AY120,VALUE('Capacity summary'!AY32)),0),AY120*$BI120),AY120*$BI120),0)</f>
        <v>0</v>
      </c>
      <c r="DC120" s="5">
        <f>IF($BI120&lt;&gt;"",IF('Capacity summary'!$C$14="Yes",IF(COUNTBLANK('Capacity summary'!$H32:$BG32)&lt;52,IF('Capacity summary'!AZ32&lt;&gt;"",IF(LOWER('Capacity summary'!AZ32)="x",$BI120*AZ120,VALUE('Capacity summary'!AZ32)),0),AZ120*$BI120),AZ120*$BI120),0)</f>
        <v>0</v>
      </c>
      <c r="DD120" s="5">
        <f>IF($BI120&lt;&gt;"",IF('Capacity summary'!$C$14="Yes",IF(COUNTBLANK('Capacity summary'!$H32:$BG32)&lt;52,IF('Capacity summary'!BA32&lt;&gt;"",IF(LOWER('Capacity summary'!BA32)="x",$BI120*BA120,VALUE('Capacity summary'!BA32)),0),BA120*$BI120),BA120*$BI120),0)</f>
        <v>0</v>
      </c>
      <c r="DE120" s="5">
        <f>IF($BI120&lt;&gt;"",IF('Capacity summary'!$C$14="Yes",IF(COUNTBLANK('Capacity summary'!$H32:$BG32)&lt;52,IF('Capacity summary'!BB32&lt;&gt;"",IF(LOWER('Capacity summary'!BB32)="x",$BI120*BB120,VALUE('Capacity summary'!BB32)),0),BB120*$BI120),BB120*$BI120),0)</f>
        <v>0</v>
      </c>
      <c r="DF120" s="5">
        <f>IF($BI120&lt;&gt;"",IF('Capacity summary'!$C$14="Yes",IF(COUNTBLANK('Capacity summary'!$H32:$BG32)&lt;52,IF('Capacity summary'!BC32&lt;&gt;"",IF(LOWER('Capacity summary'!BC32)="x",$BI120*BC120,VALUE('Capacity summary'!BC32)),0),BC120*$BI120),BC120*$BI120),0)</f>
        <v>0</v>
      </c>
      <c r="DG120" s="5">
        <f>IF($BI120&lt;&gt;"",IF('Capacity summary'!$C$14="Yes",IF(COUNTBLANK('Capacity summary'!$H32:$BG32)&lt;52,IF('Capacity summary'!BD32&lt;&gt;"",IF(LOWER('Capacity summary'!BD32)="x",$BI120*BD120,VALUE('Capacity summary'!BD32)),0),BD120*$BI120),BD120*$BI120),0)</f>
        <v>0</v>
      </c>
      <c r="DH120" s="5">
        <f>IF($BI120&lt;&gt;"",IF('Capacity summary'!$C$14="Yes",IF(COUNTBLANK('Capacity summary'!$H32:$BG32)&lt;52,IF('Capacity summary'!BE32&lt;&gt;"",IF(LOWER('Capacity summary'!BE32)="x",$BI120*BE120,VALUE('Capacity summary'!BE32)),0),BE120*$BI120),BE120*$BI120),0)</f>
        <v>0</v>
      </c>
      <c r="DI120" s="5">
        <f>IF($BI120&lt;&gt;"",IF('Capacity summary'!$C$14="Yes",IF(COUNTBLANK('Capacity summary'!$H32:$BG32)&lt;52,IF('Capacity summary'!BF32&lt;&gt;"",IF(LOWER('Capacity summary'!BF32)="x",$BI120*BF120,VALUE('Capacity summary'!BF32)),0),BF120*$BI120),BF120*$BI120),0)</f>
        <v>0</v>
      </c>
      <c r="DJ120" s="5">
        <f>IF($BI120&lt;&gt;"",IF('Capacity summary'!$C$14="Yes",IF(COUNTBLANK('Capacity summary'!$H32:$BG32)&lt;52,IF('Capacity summary'!BG32&lt;&gt;"",IF(LOWER('Capacity summary'!BG32)="x",$BI120*BG120,VALUE('Capacity summary'!BG32)),0),BG120*$BI120),BG120*$BI120),0)</f>
        <v>0</v>
      </c>
      <c r="DK120" s="5">
        <f t="shared" ref="DK120" si="14">SUM(DK121:DK220)</f>
        <v>0</v>
      </c>
    </row>
    <row r="121" spans="3:115" x14ac:dyDescent="0.25">
      <c r="C121" s="67" t="str">
        <f>ROW(A10)&amp;". "&amp;Capacity!N26</f>
        <v xml:space="preserve">10. </v>
      </c>
      <c r="D121" s="67">
        <f>'Capacity setup'!C127</f>
        <v>0</v>
      </c>
      <c r="E121" s="67">
        <f>'Capacity setup'!D127</f>
        <v>0</v>
      </c>
      <c r="F121" s="67">
        <f>'Capacity setup'!E127</f>
        <v>0</v>
      </c>
      <c r="H121" s="67">
        <f ca="1">IF(AND(SUMIF(Capacity_Resource,$D121,'Critical resources (hide)'!U$6:U$105)+SUMIF(Capacity_Resource,$E121,'Critical resources (hide)'!U$6:U$105)+SUMIF(Capacity_Resource,$F121,'Critical resources (hide)'!U$6:U$105)&gt;0,$E$1=2),0,1)</f>
        <v>1</v>
      </c>
      <c r="I121" s="67">
        <f ca="1">IF(AND(SUMIF(Capacity_Resource,$D121,'Critical resources (hide)'!V$6:V$105)+SUMIF(Capacity_Resource,$E121,'Critical resources (hide)'!V$6:V$105)+SUMIF(Capacity_Resource,$F121,'Critical resources (hide)'!V$6:V$105)&gt;0,$E$1=2),0,1)</f>
        <v>1</v>
      </c>
      <c r="J121" s="67">
        <f ca="1">IF(AND(SUMIF(Capacity_Resource,$D121,'Critical resources (hide)'!W$6:W$105)+SUMIF(Capacity_Resource,$E121,'Critical resources (hide)'!W$6:W$105)+SUMIF(Capacity_Resource,$F121,'Critical resources (hide)'!W$6:W$105)&gt;0,$E$1=2),0,1)</f>
        <v>1</v>
      </c>
      <c r="K121" s="67">
        <f ca="1">IF(AND(SUMIF(Capacity_Resource,$D121,'Critical resources (hide)'!X$6:X$105)+SUMIF(Capacity_Resource,$E121,'Critical resources (hide)'!X$6:X$105)+SUMIF(Capacity_Resource,$F121,'Critical resources (hide)'!X$6:X$105)&gt;0,$E$1=2),0,1)</f>
        <v>1</v>
      </c>
      <c r="L121" s="67">
        <f ca="1">IF(AND(SUMIF(Capacity_Resource,$D121,'Critical resources (hide)'!Y$6:Y$105)+SUMIF(Capacity_Resource,$E121,'Critical resources (hide)'!Y$6:Y$105)+SUMIF(Capacity_Resource,$F121,'Critical resources (hide)'!Y$6:Y$105)&gt;0,$E$1=2),0,1)</f>
        <v>1</v>
      </c>
      <c r="M121" s="67">
        <f ca="1">IF(AND(SUMIF(Capacity_Resource,$D121,'Critical resources (hide)'!Z$6:Z$105)+SUMIF(Capacity_Resource,$E121,'Critical resources (hide)'!Z$6:Z$105)+SUMIF(Capacity_Resource,$F121,'Critical resources (hide)'!Z$6:Z$105)&gt;0,$E$1=2),0,1)</f>
        <v>1</v>
      </c>
      <c r="N121" s="67">
        <f ca="1">IF(AND(SUMIF(Capacity_Resource,$D121,'Critical resources (hide)'!AA$6:AA$105)+SUMIF(Capacity_Resource,$E121,'Critical resources (hide)'!AA$6:AA$105)+SUMIF(Capacity_Resource,$F121,'Critical resources (hide)'!AA$6:AA$105)&gt;0,$E$1=2),0,1)</f>
        <v>1</v>
      </c>
      <c r="O121" s="67">
        <f ca="1">IF(AND(SUMIF(Capacity_Resource,$D121,'Critical resources (hide)'!AB$6:AB$105)+SUMIF(Capacity_Resource,$E121,'Critical resources (hide)'!AB$6:AB$105)+SUMIF(Capacity_Resource,$F121,'Critical resources (hide)'!AB$6:AB$105)&gt;0,$E$1=2),0,1)</f>
        <v>1</v>
      </c>
      <c r="P121" s="67">
        <f ca="1">IF(AND(SUMIF(Capacity_Resource,$D121,'Critical resources (hide)'!AC$6:AC$105)+SUMIF(Capacity_Resource,$E121,'Critical resources (hide)'!AC$6:AC$105)+SUMIF(Capacity_Resource,$F121,'Critical resources (hide)'!AC$6:AC$105)&gt;0,$E$1=2),0,1)</f>
        <v>1</v>
      </c>
      <c r="Q121" s="67">
        <f ca="1">IF(AND(SUMIF(Capacity_Resource,$D121,'Critical resources (hide)'!AD$6:AD$105)+SUMIF(Capacity_Resource,$E121,'Critical resources (hide)'!AD$6:AD$105)+SUMIF(Capacity_Resource,$F121,'Critical resources (hide)'!AD$6:AD$105)&gt;0,$E$1=2),0,1)</f>
        <v>1</v>
      </c>
      <c r="R121" s="67">
        <f ca="1">IF(AND(SUMIF(Capacity_Resource,$D121,'Critical resources (hide)'!AE$6:AE$105)+SUMIF(Capacity_Resource,$E121,'Critical resources (hide)'!AE$6:AE$105)+SUMIF(Capacity_Resource,$F121,'Critical resources (hide)'!AE$6:AE$105)&gt;0,$E$1=2),0,1)</f>
        <v>1</v>
      </c>
      <c r="S121" s="67">
        <f ca="1">IF(AND(SUMIF(Capacity_Resource,$D121,'Critical resources (hide)'!AF$6:AF$105)+SUMIF(Capacity_Resource,$E121,'Critical resources (hide)'!AF$6:AF$105)+SUMIF(Capacity_Resource,$F121,'Critical resources (hide)'!AF$6:AF$105)&gt;0,$E$1=2),0,1)</f>
        <v>1</v>
      </c>
      <c r="T121" s="67">
        <f ca="1">IF(AND(SUMIF(Capacity_Resource,$D121,'Critical resources (hide)'!AG$6:AG$105)+SUMIF(Capacity_Resource,$E121,'Critical resources (hide)'!AG$6:AG$105)+SUMIF(Capacity_Resource,$F121,'Critical resources (hide)'!AG$6:AG$105)&gt;0,$E$1=2),0,1)</f>
        <v>1</v>
      </c>
      <c r="U121" s="67">
        <f ca="1">IF(AND(SUMIF(Capacity_Resource,$D121,'Critical resources (hide)'!AH$6:AH$105)+SUMIF(Capacity_Resource,$E121,'Critical resources (hide)'!AH$6:AH$105)+SUMIF(Capacity_Resource,$F121,'Critical resources (hide)'!AH$6:AH$105)&gt;0,$E$1=2),0,1)</f>
        <v>1</v>
      </c>
      <c r="V121" s="67">
        <f ca="1">IF(AND(SUMIF(Capacity_Resource,$D121,'Critical resources (hide)'!AI$6:AI$105)+SUMIF(Capacity_Resource,$E121,'Critical resources (hide)'!AI$6:AI$105)+SUMIF(Capacity_Resource,$F121,'Critical resources (hide)'!AI$6:AI$105)&gt;0,$E$1=2),0,1)</f>
        <v>1</v>
      </c>
      <c r="W121" s="67">
        <f ca="1">IF(AND(SUMIF(Capacity_Resource,$D121,'Critical resources (hide)'!AJ$6:AJ$105)+SUMIF(Capacity_Resource,$E121,'Critical resources (hide)'!AJ$6:AJ$105)+SUMIF(Capacity_Resource,$F121,'Critical resources (hide)'!AJ$6:AJ$105)&gt;0,$E$1=2),0,1)</f>
        <v>1</v>
      </c>
      <c r="X121" s="67">
        <f ca="1">IF(AND(SUMIF(Capacity_Resource,$D121,'Critical resources (hide)'!AK$6:AK$105)+SUMIF(Capacity_Resource,$E121,'Critical resources (hide)'!AK$6:AK$105)+SUMIF(Capacity_Resource,$F121,'Critical resources (hide)'!AK$6:AK$105)&gt;0,$E$1=2),0,1)</f>
        <v>1</v>
      </c>
      <c r="Y121" s="67">
        <f ca="1">IF(AND(SUMIF(Capacity_Resource,$D121,'Critical resources (hide)'!AL$6:AL$105)+SUMIF(Capacity_Resource,$E121,'Critical resources (hide)'!AL$6:AL$105)+SUMIF(Capacity_Resource,$F121,'Critical resources (hide)'!AL$6:AL$105)&gt;0,$E$1=2),0,1)</f>
        <v>1</v>
      </c>
      <c r="Z121" s="67">
        <f ca="1">IF(AND(SUMIF(Capacity_Resource,$D121,'Critical resources (hide)'!AM$6:AM$105)+SUMIF(Capacity_Resource,$E121,'Critical resources (hide)'!AM$6:AM$105)+SUMIF(Capacity_Resource,$F121,'Critical resources (hide)'!AM$6:AM$105)&gt;0,$E$1=2),0,1)</f>
        <v>1</v>
      </c>
      <c r="AA121" s="67">
        <f ca="1">IF(AND(SUMIF(Capacity_Resource,$D121,'Critical resources (hide)'!AN$6:AN$105)+SUMIF(Capacity_Resource,$E121,'Critical resources (hide)'!AN$6:AN$105)+SUMIF(Capacity_Resource,$F121,'Critical resources (hide)'!AN$6:AN$105)&gt;0,$E$1=2),0,1)</f>
        <v>1</v>
      </c>
      <c r="AB121" s="67">
        <f ca="1">IF(AND(SUMIF(Capacity_Resource,$D121,'Critical resources (hide)'!AO$6:AO$105)+SUMIF(Capacity_Resource,$E121,'Critical resources (hide)'!AO$6:AO$105)+SUMIF(Capacity_Resource,$F121,'Critical resources (hide)'!AO$6:AO$105)&gt;0,$E$1=2),0,1)</f>
        <v>1</v>
      </c>
      <c r="AC121" s="67">
        <f ca="1">IF(AND(SUMIF(Capacity_Resource,$D121,'Critical resources (hide)'!AP$6:AP$105)+SUMIF(Capacity_Resource,$E121,'Critical resources (hide)'!AP$6:AP$105)+SUMIF(Capacity_Resource,$F121,'Critical resources (hide)'!AP$6:AP$105)&gt;0,$E$1=2),0,1)</f>
        <v>1</v>
      </c>
      <c r="AD121" s="67">
        <f ca="1">IF(AND(SUMIF(Capacity_Resource,$D121,'Critical resources (hide)'!AQ$6:AQ$105)+SUMIF(Capacity_Resource,$E121,'Critical resources (hide)'!AQ$6:AQ$105)+SUMIF(Capacity_Resource,$F121,'Critical resources (hide)'!AQ$6:AQ$105)&gt;0,$E$1=2),0,1)</f>
        <v>1</v>
      </c>
      <c r="AE121" s="67">
        <f ca="1">IF(AND(SUMIF(Capacity_Resource,$D121,'Critical resources (hide)'!AR$6:AR$105)+SUMIF(Capacity_Resource,$E121,'Critical resources (hide)'!AR$6:AR$105)+SUMIF(Capacity_Resource,$F121,'Critical resources (hide)'!AR$6:AR$105)&gt;0,$E$1=2),0,1)</f>
        <v>1</v>
      </c>
      <c r="AF121" s="67">
        <f ca="1">IF(AND(SUMIF(Capacity_Resource,$D121,'Critical resources (hide)'!AS$6:AS$105)+SUMIF(Capacity_Resource,$E121,'Critical resources (hide)'!AS$6:AS$105)+SUMIF(Capacity_Resource,$F121,'Critical resources (hide)'!AS$6:AS$105)&gt;0,$E$1=2),0,1)</f>
        <v>1</v>
      </c>
      <c r="AG121" s="67">
        <f ca="1">IF(AND(SUMIF(Capacity_Resource,$D121,'Critical resources (hide)'!AT$6:AT$105)+SUMIF(Capacity_Resource,$E121,'Critical resources (hide)'!AT$6:AT$105)+SUMIF(Capacity_Resource,$F121,'Critical resources (hide)'!AT$6:AT$105)&gt;0,$E$1=2),0,1)</f>
        <v>1</v>
      </c>
      <c r="AH121" s="67">
        <f ca="1">IF(AND(SUMIF(Capacity_Resource,$D121,'Critical resources (hide)'!AU$6:AU$105)+SUMIF(Capacity_Resource,$E121,'Critical resources (hide)'!AU$6:AU$105)+SUMIF(Capacity_Resource,$F121,'Critical resources (hide)'!AU$6:AU$105)&gt;0,$E$1=2),0,1)</f>
        <v>1</v>
      </c>
      <c r="AI121" s="67">
        <f ca="1">IF(AND(SUMIF(Capacity_Resource,$D121,'Critical resources (hide)'!AV$6:AV$105)+SUMIF(Capacity_Resource,$E121,'Critical resources (hide)'!AV$6:AV$105)+SUMIF(Capacity_Resource,$F121,'Critical resources (hide)'!AV$6:AV$105)&gt;0,$E$1=2),0,1)</f>
        <v>1</v>
      </c>
      <c r="AJ121" s="67">
        <f ca="1">IF(AND(SUMIF(Capacity_Resource,$D121,'Critical resources (hide)'!AW$6:AW$105)+SUMIF(Capacity_Resource,$E121,'Critical resources (hide)'!AW$6:AW$105)+SUMIF(Capacity_Resource,$F121,'Critical resources (hide)'!AW$6:AW$105)&gt;0,$E$1=2),0,1)</f>
        <v>1</v>
      </c>
      <c r="AK121" s="67">
        <f ca="1">IF(AND(SUMIF(Capacity_Resource,$D121,'Critical resources (hide)'!AX$6:AX$105)+SUMIF(Capacity_Resource,$E121,'Critical resources (hide)'!AX$6:AX$105)+SUMIF(Capacity_Resource,$F121,'Critical resources (hide)'!AX$6:AX$105)&gt;0,$E$1=2),0,1)</f>
        <v>1</v>
      </c>
      <c r="AL121" s="67">
        <f ca="1">IF(AND(SUMIF(Capacity_Resource,$D121,'Critical resources (hide)'!AY$6:AY$105)+SUMIF(Capacity_Resource,$E121,'Critical resources (hide)'!AY$6:AY$105)+SUMIF(Capacity_Resource,$F121,'Critical resources (hide)'!AY$6:AY$105)&gt;0,$E$1=2),0,1)</f>
        <v>1</v>
      </c>
      <c r="AM121" s="67">
        <f ca="1">IF(AND(SUMIF(Capacity_Resource,$D121,'Critical resources (hide)'!AZ$6:AZ$105)+SUMIF(Capacity_Resource,$E121,'Critical resources (hide)'!AZ$6:AZ$105)+SUMIF(Capacity_Resource,$F121,'Critical resources (hide)'!AZ$6:AZ$105)&gt;0,$E$1=2),0,1)</f>
        <v>1</v>
      </c>
      <c r="AN121" s="67">
        <f ca="1">IF(AND(SUMIF(Capacity_Resource,$D121,'Critical resources (hide)'!BA$6:BA$105)+SUMIF(Capacity_Resource,$E121,'Critical resources (hide)'!BA$6:BA$105)+SUMIF(Capacity_Resource,$F121,'Critical resources (hide)'!BA$6:BA$105)&gt;0,$E$1=2),0,1)</f>
        <v>1</v>
      </c>
      <c r="AO121" s="67">
        <f ca="1">IF(AND(SUMIF(Capacity_Resource,$D121,'Critical resources (hide)'!BB$6:BB$105)+SUMIF(Capacity_Resource,$E121,'Critical resources (hide)'!BB$6:BB$105)+SUMIF(Capacity_Resource,$F121,'Critical resources (hide)'!BB$6:BB$105)&gt;0,$E$1=2),0,1)</f>
        <v>1</v>
      </c>
      <c r="AP121" s="67">
        <f ca="1">IF(AND(SUMIF(Capacity_Resource,$D121,'Critical resources (hide)'!BC$6:BC$105)+SUMIF(Capacity_Resource,$E121,'Critical resources (hide)'!BC$6:BC$105)+SUMIF(Capacity_Resource,$F121,'Critical resources (hide)'!BC$6:BC$105)&gt;0,$E$1=2),0,1)</f>
        <v>1</v>
      </c>
      <c r="AQ121" s="67">
        <f ca="1">IF(AND(SUMIF(Capacity_Resource,$D121,'Critical resources (hide)'!BD$6:BD$105)+SUMIF(Capacity_Resource,$E121,'Critical resources (hide)'!BD$6:BD$105)+SUMIF(Capacity_Resource,$F121,'Critical resources (hide)'!BD$6:BD$105)&gt;0,$E$1=2),0,1)</f>
        <v>1</v>
      </c>
      <c r="AR121" s="67">
        <f ca="1">IF(AND(SUMIF(Capacity_Resource,$D121,'Critical resources (hide)'!BE$6:BE$105)+SUMIF(Capacity_Resource,$E121,'Critical resources (hide)'!BE$6:BE$105)+SUMIF(Capacity_Resource,$F121,'Critical resources (hide)'!BE$6:BE$105)&gt;0,$E$1=2),0,1)</f>
        <v>1</v>
      </c>
      <c r="AS121" s="67">
        <f ca="1">IF(AND(SUMIF(Capacity_Resource,$D121,'Critical resources (hide)'!BF$6:BF$105)+SUMIF(Capacity_Resource,$E121,'Critical resources (hide)'!BF$6:BF$105)+SUMIF(Capacity_Resource,$F121,'Critical resources (hide)'!BF$6:BF$105)&gt;0,$E$1=2),0,1)</f>
        <v>1</v>
      </c>
      <c r="AT121" s="67">
        <f ca="1">IF(AND(SUMIF(Capacity_Resource,$D121,'Critical resources (hide)'!BG$6:BG$105)+SUMIF(Capacity_Resource,$E121,'Critical resources (hide)'!BG$6:BG$105)+SUMIF(Capacity_Resource,$F121,'Critical resources (hide)'!BG$6:BG$105)&gt;0,$E$1=2),0,1)</f>
        <v>1</v>
      </c>
      <c r="AU121" s="67">
        <f ca="1">IF(AND(SUMIF(Capacity_Resource,$D121,'Critical resources (hide)'!BH$6:BH$105)+SUMIF(Capacity_Resource,$E121,'Critical resources (hide)'!BH$6:BH$105)+SUMIF(Capacity_Resource,$F121,'Critical resources (hide)'!BH$6:BH$105)&gt;0,$E$1=2),0,1)</f>
        <v>1</v>
      </c>
      <c r="AV121" s="67">
        <f ca="1">IF(AND(SUMIF(Capacity_Resource,$D121,'Critical resources (hide)'!BI$6:BI$105)+SUMIF(Capacity_Resource,$E121,'Critical resources (hide)'!BI$6:BI$105)+SUMIF(Capacity_Resource,$F121,'Critical resources (hide)'!BI$6:BI$105)&gt;0,$E$1=2),0,1)</f>
        <v>1</v>
      </c>
      <c r="AW121" s="67">
        <f ca="1">IF(AND(SUMIF(Capacity_Resource,$D121,'Critical resources (hide)'!BJ$6:BJ$105)+SUMIF(Capacity_Resource,$E121,'Critical resources (hide)'!BJ$6:BJ$105)+SUMIF(Capacity_Resource,$F121,'Critical resources (hide)'!BJ$6:BJ$105)&gt;0,$E$1=2),0,1)</f>
        <v>1</v>
      </c>
      <c r="AX121" s="67">
        <f ca="1">IF(AND(SUMIF(Capacity_Resource,$D121,'Critical resources (hide)'!BK$6:BK$105)+SUMIF(Capacity_Resource,$E121,'Critical resources (hide)'!BK$6:BK$105)+SUMIF(Capacity_Resource,$F121,'Critical resources (hide)'!BK$6:BK$105)&gt;0,$E$1=2),0,1)</f>
        <v>1</v>
      </c>
      <c r="AY121" s="67">
        <f ca="1">IF(AND(SUMIF(Capacity_Resource,$D121,'Critical resources (hide)'!BL$6:BL$105)+SUMIF(Capacity_Resource,$E121,'Critical resources (hide)'!BL$6:BL$105)+SUMIF(Capacity_Resource,$F121,'Critical resources (hide)'!BL$6:BL$105)&gt;0,$E$1=2),0,1)</f>
        <v>1</v>
      </c>
      <c r="AZ121" s="67">
        <f ca="1">IF(AND(SUMIF(Capacity_Resource,$D121,'Critical resources (hide)'!BM$6:BM$105)+SUMIF(Capacity_Resource,$E121,'Critical resources (hide)'!BM$6:BM$105)+SUMIF(Capacity_Resource,$F121,'Critical resources (hide)'!BM$6:BM$105)&gt;0,$E$1=2),0,1)</f>
        <v>1</v>
      </c>
      <c r="BA121" s="67">
        <f ca="1">IF(AND(SUMIF(Capacity_Resource,$D121,'Critical resources (hide)'!BN$6:BN$105)+SUMIF(Capacity_Resource,$E121,'Critical resources (hide)'!BN$6:BN$105)+SUMIF(Capacity_Resource,$F121,'Critical resources (hide)'!BN$6:BN$105)&gt;0,$E$1=2),0,1)</f>
        <v>1</v>
      </c>
      <c r="BB121" s="67">
        <f ca="1">IF(AND(SUMIF(Capacity_Resource,$D121,'Critical resources (hide)'!BO$6:BO$105)+SUMIF(Capacity_Resource,$E121,'Critical resources (hide)'!BO$6:BO$105)+SUMIF(Capacity_Resource,$F121,'Critical resources (hide)'!BO$6:BO$105)&gt;0,$E$1=2),0,1)</f>
        <v>1</v>
      </c>
      <c r="BC121" s="67">
        <f ca="1">IF(AND(SUMIF(Capacity_Resource,$D121,'Critical resources (hide)'!BP$6:BP$105)+SUMIF(Capacity_Resource,$E121,'Critical resources (hide)'!BP$6:BP$105)+SUMIF(Capacity_Resource,$F121,'Critical resources (hide)'!BP$6:BP$105)&gt;0,$E$1=2),0,1)</f>
        <v>1</v>
      </c>
      <c r="BD121" s="67">
        <f ca="1">IF(AND(SUMIF(Capacity_Resource,$D121,'Critical resources (hide)'!BQ$6:BQ$105)+SUMIF(Capacity_Resource,$E121,'Critical resources (hide)'!BQ$6:BQ$105)+SUMIF(Capacity_Resource,$F121,'Critical resources (hide)'!BQ$6:BQ$105)&gt;0,$E$1=2),0,1)</f>
        <v>1</v>
      </c>
      <c r="BE121" s="67">
        <f ca="1">IF(AND(SUMIF(Capacity_Resource,$D121,'Critical resources (hide)'!BR$6:BR$105)+SUMIF(Capacity_Resource,$E121,'Critical resources (hide)'!BR$6:BR$105)+SUMIF(Capacity_Resource,$F121,'Critical resources (hide)'!BR$6:BR$105)&gt;0,$E$1=2),0,1)</f>
        <v>1</v>
      </c>
      <c r="BF121" s="67">
        <f ca="1">IF(AND(SUMIF(Capacity_Resource,$D121,'Critical resources (hide)'!BS$6:BS$105)+SUMIF(Capacity_Resource,$E121,'Critical resources (hide)'!BS$6:BS$105)+SUMIF(Capacity_Resource,$F121,'Critical resources (hide)'!BS$6:BS$105)&gt;0,$E$1=2),0,1)</f>
        <v>1</v>
      </c>
      <c r="BG121" s="67">
        <f ca="1">IF(AND(SUMIF(Capacity_Resource,$D121,'Critical resources (hide)'!BT$6:BT$105)+SUMIF(Capacity_Resource,$E121,'Critical resources (hide)'!BT$6:BT$105)+SUMIF(Capacity_Resource,$F121,'Critical resources (hide)'!BT$6:BT$105)&gt;0,$E$1=2),0,1)</f>
        <v>1</v>
      </c>
      <c r="BH121" s="67">
        <f>IF(ROW(A10)&lt;=Capacity!$M$16,IF('Capacity summary'!$C$14="No",SUM(H121:BG121),'Capacity summary'!$E33),0)</f>
        <v>0</v>
      </c>
      <c r="BI121" s="67" t="str">
        <f>IF(BH121&gt;0,IF(BH121&lt;Capacity!Q26,Capacity!R26,Capacity!T26/'Capacity calculation (hide)'!BH121),"")</f>
        <v/>
      </c>
      <c r="BJ121" s="5"/>
      <c r="BK121" s="5">
        <f>IF($BI121&lt;&gt;"",IF('Capacity summary'!$C$14="Yes",IF(COUNTBLANK('Capacity summary'!$H33:$BG33)&lt;52,IF('Capacity summary'!H33&lt;&gt;"",IF(LOWER('Capacity summary'!H33)="x",$BI121*H121,VALUE('Capacity summary'!H33)),0),H121*$BI121),H121*$BI121),0)</f>
        <v>0</v>
      </c>
      <c r="BL121" s="5">
        <f>IF($BI121&lt;&gt;"",IF('Capacity summary'!$C$14="Yes",IF(COUNTBLANK('Capacity summary'!$H33:$BG33)&lt;52,IF('Capacity summary'!I33&lt;&gt;"",IF(LOWER('Capacity summary'!I33)="x",$BI121*I121,VALUE('Capacity summary'!I33)),0),I121*$BI121),I121*$BI121),0)</f>
        <v>0</v>
      </c>
      <c r="BM121" s="5">
        <f>IF($BI121&lt;&gt;"",IF('Capacity summary'!$C$14="Yes",IF(COUNTBLANK('Capacity summary'!$H33:$BG33)&lt;52,IF('Capacity summary'!J33&lt;&gt;"",IF(LOWER('Capacity summary'!J33)="x",$BI121*J121,VALUE('Capacity summary'!J33)),0),J121*$BI121),J121*$BI121),0)</f>
        <v>0</v>
      </c>
      <c r="BN121" s="5">
        <f>IF($BI121&lt;&gt;"",IF('Capacity summary'!$C$14="Yes",IF(COUNTBLANK('Capacity summary'!$H33:$BG33)&lt;52,IF('Capacity summary'!K33&lt;&gt;"",IF(LOWER('Capacity summary'!K33)="x",$BI121*K121,VALUE('Capacity summary'!K33)),0),K121*$BI121),K121*$BI121),0)</f>
        <v>0</v>
      </c>
      <c r="BO121" s="5">
        <f>IF($BI121&lt;&gt;"",IF('Capacity summary'!$C$14="Yes",IF(COUNTBLANK('Capacity summary'!$H33:$BG33)&lt;52,IF('Capacity summary'!L33&lt;&gt;"",IF(LOWER('Capacity summary'!L33)="x",$BI121*L121,VALUE('Capacity summary'!L33)),0),L121*$BI121),L121*$BI121),0)</f>
        <v>0</v>
      </c>
      <c r="BP121" s="5">
        <f>IF($BI121&lt;&gt;"",IF('Capacity summary'!$C$14="Yes",IF(COUNTBLANK('Capacity summary'!$H33:$BG33)&lt;52,IF('Capacity summary'!M33&lt;&gt;"",IF(LOWER('Capacity summary'!M33)="x",$BI121*M121,VALUE('Capacity summary'!M33)),0),M121*$BI121),M121*$BI121),0)</f>
        <v>0</v>
      </c>
      <c r="BQ121" s="5">
        <f>IF($BI121&lt;&gt;"",IF('Capacity summary'!$C$14="Yes",IF(COUNTBLANK('Capacity summary'!$H33:$BG33)&lt;52,IF('Capacity summary'!N33&lt;&gt;"",IF(LOWER('Capacity summary'!N33)="x",$BI121*N121,VALUE('Capacity summary'!N33)),0),N121*$BI121),N121*$BI121),0)</f>
        <v>0</v>
      </c>
      <c r="BR121" s="5">
        <f>IF($BI121&lt;&gt;"",IF('Capacity summary'!$C$14="Yes",IF(COUNTBLANK('Capacity summary'!$H33:$BG33)&lt;52,IF('Capacity summary'!O33&lt;&gt;"",IF(LOWER('Capacity summary'!O33)="x",$BI121*O121,VALUE('Capacity summary'!O33)),0),O121*$BI121),O121*$BI121),0)</f>
        <v>0</v>
      </c>
      <c r="BS121" s="5">
        <f>IF($BI121&lt;&gt;"",IF('Capacity summary'!$C$14="Yes",IF(COUNTBLANK('Capacity summary'!$H33:$BG33)&lt;52,IF('Capacity summary'!P33&lt;&gt;"",IF(LOWER('Capacity summary'!P33)="x",$BI121*P121,VALUE('Capacity summary'!P33)),0),P121*$BI121),P121*$BI121),0)</f>
        <v>0</v>
      </c>
      <c r="BT121" s="5">
        <f>IF($BI121&lt;&gt;"",IF('Capacity summary'!$C$14="Yes",IF(COUNTBLANK('Capacity summary'!$H33:$BG33)&lt;52,IF('Capacity summary'!Q33&lt;&gt;"",IF(LOWER('Capacity summary'!Q33)="x",$BI121*Q121,VALUE('Capacity summary'!Q33)),0),Q121*$BI121),Q121*$BI121),0)</f>
        <v>0</v>
      </c>
      <c r="BU121" s="5">
        <f>IF($BI121&lt;&gt;"",IF('Capacity summary'!$C$14="Yes",IF(COUNTBLANK('Capacity summary'!$H33:$BG33)&lt;52,IF('Capacity summary'!R33&lt;&gt;"",IF(LOWER('Capacity summary'!R33)="x",$BI121*R121,VALUE('Capacity summary'!R33)),0),R121*$BI121),R121*$BI121),0)</f>
        <v>0</v>
      </c>
      <c r="BV121" s="5">
        <f>IF($BI121&lt;&gt;"",IF('Capacity summary'!$C$14="Yes",IF(COUNTBLANK('Capacity summary'!$H33:$BG33)&lt;52,IF('Capacity summary'!S33&lt;&gt;"",IF(LOWER('Capacity summary'!S33)="x",$BI121*S121,VALUE('Capacity summary'!S33)),0),S121*$BI121),S121*$BI121),0)</f>
        <v>0</v>
      </c>
      <c r="BW121" s="5">
        <f>IF($BI121&lt;&gt;"",IF('Capacity summary'!$C$14="Yes",IF(COUNTBLANK('Capacity summary'!$H33:$BG33)&lt;52,IF('Capacity summary'!T33&lt;&gt;"",IF(LOWER('Capacity summary'!T33)="x",$BI121*T121,VALUE('Capacity summary'!T33)),0),T121*$BI121),T121*$BI121),0)</f>
        <v>0</v>
      </c>
      <c r="BX121" s="5">
        <f>IF($BI121&lt;&gt;"",IF('Capacity summary'!$C$14="Yes",IF(COUNTBLANK('Capacity summary'!$H33:$BG33)&lt;52,IF('Capacity summary'!U33&lt;&gt;"",IF(LOWER('Capacity summary'!U33)="x",$BI121*U121,VALUE('Capacity summary'!U33)),0),U121*$BI121),U121*$BI121),0)</f>
        <v>0</v>
      </c>
      <c r="BY121" s="5">
        <f>IF($BI121&lt;&gt;"",IF('Capacity summary'!$C$14="Yes",IF(COUNTBLANK('Capacity summary'!$H33:$BG33)&lt;52,IF('Capacity summary'!V33&lt;&gt;"",IF(LOWER('Capacity summary'!V33)="x",$BI121*V121,VALUE('Capacity summary'!V33)),0),V121*$BI121),V121*$BI121),0)</f>
        <v>0</v>
      </c>
      <c r="BZ121" s="5">
        <f>IF($BI121&lt;&gt;"",IF('Capacity summary'!$C$14="Yes",IF(COUNTBLANK('Capacity summary'!$H33:$BG33)&lt;52,IF('Capacity summary'!W33&lt;&gt;"",IF(LOWER('Capacity summary'!W33)="x",$BI121*W121,VALUE('Capacity summary'!W33)),0),W121*$BI121),W121*$BI121),0)</f>
        <v>0</v>
      </c>
      <c r="CA121" s="5">
        <f>IF($BI121&lt;&gt;"",IF('Capacity summary'!$C$14="Yes",IF(COUNTBLANK('Capacity summary'!$H33:$BG33)&lt;52,IF('Capacity summary'!X33&lt;&gt;"",IF(LOWER('Capacity summary'!X33)="x",$BI121*X121,VALUE('Capacity summary'!X33)),0),X121*$BI121),X121*$BI121),0)</f>
        <v>0</v>
      </c>
      <c r="CB121" s="5">
        <f>IF($BI121&lt;&gt;"",IF('Capacity summary'!$C$14="Yes",IF(COUNTBLANK('Capacity summary'!$H33:$BG33)&lt;52,IF('Capacity summary'!Y33&lt;&gt;"",IF(LOWER('Capacity summary'!Y33)="x",$BI121*Y121,VALUE('Capacity summary'!Y33)),0),Y121*$BI121),Y121*$BI121),0)</f>
        <v>0</v>
      </c>
      <c r="CC121" s="5">
        <f>IF($BI121&lt;&gt;"",IF('Capacity summary'!$C$14="Yes",IF(COUNTBLANK('Capacity summary'!$H33:$BG33)&lt;52,IF('Capacity summary'!Z33&lt;&gt;"",IF(LOWER('Capacity summary'!Z33)="x",$BI121*Z121,VALUE('Capacity summary'!Z33)),0),Z121*$BI121),Z121*$BI121),0)</f>
        <v>0</v>
      </c>
      <c r="CD121" s="5">
        <f>IF($BI121&lt;&gt;"",IF('Capacity summary'!$C$14="Yes",IF(COUNTBLANK('Capacity summary'!$H33:$BG33)&lt;52,IF('Capacity summary'!AA33&lt;&gt;"",IF(LOWER('Capacity summary'!AA33)="x",$BI121*AA121,VALUE('Capacity summary'!AA33)),0),AA121*$BI121),AA121*$BI121),0)</f>
        <v>0</v>
      </c>
      <c r="CE121" s="5">
        <f>IF($BI121&lt;&gt;"",IF('Capacity summary'!$C$14="Yes",IF(COUNTBLANK('Capacity summary'!$H33:$BG33)&lt;52,IF('Capacity summary'!AB33&lt;&gt;"",IF(LOWER('Capacity summary'!AB33)="x",$BI121*AB121,VALUE('Capacity summary'!AB33)),0),AB121*$BI121),AB121*$BI121),0)</f>
        <v>0</v>
      </c>
      <c r="CF121" s="5">
        <f>IF($BI121&lt;&gt;"",IF('Capacity summary'!$C$14="Yes",IF(COUNTBLANK('Capacity summary'!$H33:$BG33)&lt;52,IF('Capacity summary'!AC33&lt;&gt;"",IF(LOWER('Capacity summary'!AC33)="x",$BI121*AC121,VALUE('Capacity summary'!AC33)),0),AC121*$BI121),AC121*$BI121),0)</f>
        <v>0</v>
      </c>
      <c r="CG121" s="5">
        <f>IF($BI121&lt;&gt;"",IF('Capacity summary'!$C$14="Yes",IF(COUNTBLANK('Capacity summary'!$H33:$BG33)&lt;52,IF('Capacity summary'!AD33&lt;&gt;"",IF(LOWER('Capacity summary'!AD33)="x",$BI121*AD121,VALUE('Capacity summary'!AD33)),0),AD121*$BI121),AD121*$BI121),0)</f>
        <v>0</v>
      </c>
      <c r="CH121" s="5">
        <f>IF($BI121&lt;&gt;"",IF('Capacity summary'!$C$14="Yes",IF(COUNTBLANK('Capacity summary'!$H33:$BG33)&lt;52,IF('Capacity summary'!AE33&lt;&gt;"",IF(LOWER('Capacity summary'!AE33)="x",$BI121*AE121,VALUE('Capacity summary'!AE33)),0),AE121*$BI121),AE121*$BI121),0)</f>
        <v>0</v>
      </c>
      <c r="CI121" s="5">
        <f>IF($BI121&lt;&gt;"",IF('Capacity summary'!$C$14="Yes",IF(COUNTBLANK('Capacity summary'!$H33:$BG33)&lt;52,IF('Capacity summary'!AF33&lt;&gt;"",IF(LOWER('Capacity summary'!AF33)="x",$BI121*AF121,VALUE('Capacity summary'!AF33)),0),AF121*$BI121),AF121*$BI121),0)</f>
        <v>0</v>
      </c>
      <c r="CJ121" s="5">
        <f>IF($BI121&lt;&gt;"",IF('Capacity summary'!$C$14="Yes",IF(COUNTBLANK('Capacity summary'!$H33:$BG33)&lt;52,IF('Capacity summary'!AG33&lt;&gt;"",IF(LOWER('Capacity summary'!AG33)="x",$BI121*AG121,VALUE('Capacity summary'!AG33)),0),AG121*$BI121),AG121*$BI121),0)</f>
        <v>0</v>
      </c>
      <c r="CK121" s="5">
        <f>IF($BI121&lt;&gt;"",IF('Capacity summary'!$C$14="Yes",IF(COUNTBLANK('Capacity summary'!$H33:$BG33)&lt;52,IF('Capacity summary'!AH33&lt;&gt;"",IF(LOWER('Capacity summary'!AH33)="x",$BI121*AH121,VALUE('Capacity summary'!AH33)),0),AH121*$BI121),AH121*$BI121),0)</f>
        <v>0</v>
      </c>
      <c r="CL121" s="5">
        <f>IF($BI121&lt;&gt;"",IF('Capacity summary'!$C$14="Yes",IF(COUNTBLANK('Capacity summary'!$H33:$BG33)&lt;52,IF('Capacity summary'!AI33&lt;&gt;"",IF(LOWER('Capacity summary'!AI33)="x",$BI121*AI121,VALUE('Capacity summary'!AI33)),0),AI121*$BI121),AI121*$BI121),0)</f>
        <v>0</v>
      </c>
      <c r="CM121" s="5">
        <f>IF($BI121&lt;&gt;"",IF('Capacity summary'!$C$14="Yes",IF(COUNTBLANK('Capacity summary'!$H33:$BG33)&lt;52,IF('Capacity summary'!AJ33&lt;&gt;"",IF(LOWER('Capacity summary'!AJ33)="x",$BI121*AJ121,VALUE('Capacity summary'!AJ33)),0),AJ121*$BI121),AJ121*$BI121),0)</f>
        <v>0</v>
      </c>
      <c r="CN121" s="5">
        <f>IF($BI121&lt;&gt;"",IF('Capacity summary'!$C$14="Yes",IF(COUNTBLANK('Capacity summary'!$H33:$BG33)&lt;52,IF('Capacity summary'!AK33&lt;&gt;"",IF(LOWER('Capacity summary'!AK33)="x",$BI121*AK121,VALUE('Capacity summary'!AK33)),0),AK121*$BI121),AK121*$BI121),0)</f>
        <v>0</v>
      </c>
      <c r="CO121" s="5">
        <f>IF($BI121&lt;&gt;"",IF('Capacity summary'!$C$14="Yes",IF(COUNTBLANK('Capacity summary'!$H33:$BG33)&lt;52,IF('Capacity summary'!AL33&lt;&gt;"",IF(LOWER('Capacity summary'!AL33)="x",$BI121*AL121,VALUE('Capacity summary'!AL33)),0),AL121*$BI121),AL121*$BI121),0)</f>
        <v>0</v>
      </c>
      <c r="CP121" s="5">
        <f>IF($BI121&lt;&gt;"",IF('Capacity summary'!$C$14="Yes",IF(COUNTBLANK('Capacity summary'!$H33:$BG33)&lt;52,IF('Capacity summary'!AM33&lt;&gt;"",IF(LOWER('Capacity summary'!AM33)="x",$BI121*AM121,VALUE('Capacity summary'!AM33)),0),AM121*$BI121),AM121*$BI121),0)</f>
        <v>0</v>
      </c>
      <c r="CQ121" s="5">
        <f>IF($BI121&lt;&gt;"",IF('Capacity summary'!$C$14="Yes",IF(COUNTBLANK('Capacity summary'!$H33:$BG33)&lt;52,IF('Capacity summary'!AN33&lt;&gt;"",IF(LOWER('Capacity summary'!AN33)="x",$BI121*AN121,VALUE('Capacity summary'!AN33)),0),AN121*$BI121),AN121*$BI121),0)</f>
        <v>0</v>
      </c>
      <c r="CR121" s="5">
        <f>IF($BI121&lt;&gt;"",IF('Capacity summary'!$C$14="Yes",IF(COUNTBLANK('Capacity summary'!$H33:$BG33)&lt;52,IF('Capacity summary'!AO33&lt;&gt;"",IF(LOWER('Capacity summary'!AO33)="x",$BI121*AO121,VALUE('Capacity summary'!AO33)),0),AO121*$BI121),AO121*$BI121),0)</f>
        <v>0</v>
      </c>
      <c r="CS121" s="5">
        <f>IF($BI121&lt;&gt;"",IF('Capacity summary'!$C$14="Yes",IF(COUNTBLANK('Capacity summary'!$H33:$BG33)&lt;52,IF('Capacity summary'!AP33&lt;&gt;"",IF(LOWER('Capacity summary'!AP33)="x",$BI121*AP121,VALUE('Capacity summary'!AP33)),0),AP121*$BI121),AP121*$BI121),0)</f>
        <v>0</v>
      </c>
      <c r="CT121" s="5">
        <f>IF($BI121&lt;&gt;"",IF('Capacity summary'!$C$14="Yes",IF(COUNTBLANK('Capacity summary'!$H33:$BG33)&lt;52,IF('Capacity summary'!AQ33&lt;&gt;"",IF(LOWER('Capacity summary'!AQ33)="x",$BI121*AQ121,VALUE('Capacity summary'!AQ33)),0),AQ121*$BI121),AQ121*$BI121),0)</f>
        <v>0</v>
      </c>
      <c r="CU121" s="5">
        <f>IF($BI121&lt;&gt;"",IF('Capacity summary'!$C$14="Yes",IF(COUNTBLANK('Capacity summary'!$H33:$BG33)&lt;52,IF('Capacity summary'!AR33&lt;&gt;"",IF(LOWER('Capacity summary'!AR33)="x",$BI121*AR121,VALUE('Capacity summary'!AR33)),0),AR121*$BI121),AR121*$BI121),0)</f>
        <v>0</v>
      </c>
      <c r="CV121" s="5">
        <f>IF($BI121&lt;&gt;"",IF('Capacity summary'!$C$14="Yes",IF(COUNTBLANK('Capacity summary'!$H33:$BG33)&lt;52,IF('Capacity summary'!AS33&lt;&gt;"",IF(LOWER('Capacity summary'!AS33)="x",$BI121*AS121,VALUE('Capacity summary'!AS33)),0),AS121*$BI121),AS121*$BI121),0)</f>
        <v>0</v>
      </c>
      <c r="CW121" s="5">
        <f>IF($BI121&lt;&gt;"",IF('Capacity summary'!$C$14="Yes",IF(COUNTBLANK('Capacity summary'!$H33:$BG33)&lt;52,IF('Capacity summary'!AT33&lt;&gt;"",IF(LOWER('Capacity summary'!AT33)="x",$BI121*AT121,VALUE('Capacity summary'!AT33)),0),AT121*$BI121),AT121*$BI121),0)</f>
        <v>0</v>
      </c>
      <c r="CX121" s="5">
        <f>IF($BI121&lt;&gt;"",IF('Capacity summary'!$C$14="Yes",IF(COUNTBLANK('Capacity summary'!$H33:$BG33)&lt;52,IF('Capacity summary'!AU33&lt;&gt;"",IF(LOWER('Capacity summary'!AU33)="x",$BI121*AU121,VALUE('Capacity summary'!AU33)),0),AU121*$BI121),AU121*$BI121),0)</f>
        <v>0</v>
      </c>
      <c r="CY121" s="5">
        <f>IF($BI121&lt;&gt;"",IF('Capacity summary'!$C$14="Yes",IF(COUNTBLANK('Capacity summary'!$H33:$BG33)&lt;52,IF('Capacity summary'!AV33&lt;&gt;"",IF(LOWER('Capacity summary'!AV33)="x",$BI121*AV121,VALUE('Capacity summary'!AV33)),0),AV121*$BI121),AV121*$BI121),0)</f>
        <v>0</v>
      </c>
      <c r="CZ121" s="5">
        <f>IF($BI121&lt;&gt;"",IF('Capacity summary'!$C$14="Yes",IF(COUNTBLANK('Capacity summary'!$H33:$BG33)&lt;52,IF('Capacity summary'!AW33&lt;&gt;"",IF(LOWER('Capacity summary'!AW33)="x",$BI121*AW121,VALUE('Capacity summary'!AW33)),0),AW121*$BI121),AW121*$BI121),0)</f>
        <v>0</v>
      </c>
      <c r="DA121" s="5">
        <f>IF($BI121&lt;&gt;"",IF('Capacity summary'!$C$14="Yes",IF(COUNTBLANK('Capacity summary'!$H33:$BG33)&lt;52,IF('Capacity summary'!AX33&lt;&gt;"",IF(LOWER('Capacity summary'!AX33)="x",$BI121*AX121,VALUE('Capacity summary'!AX33)),0),AX121*$BI121),AX121*$BI121),0)</f>
        <v>0</v>
      </c>
      <c r="DB121" s="5">
        <f>IF($BI121&lt;&gt;"",IF('Capacity summary'!$C$14="Yes",IF(COUNTBLANK('Capacity summary'!$H33:$BG33)&lt;52,IF('Capacity summary'!AY33&lt;&gt;"",IF(LOWER('Capacity summary'!AY33)="x",$BI121*AY121,VALUE('Capacity summary'!AY33)),0),AY121*$BI121),AY121*$BI121),0)</f>
        <v>0</v>
      </c>
      <c r="DC121" s="5">
        <f>IF($BI121&lt;&gt;"",IF('Capacity summary'!$C$14="Yes",IF(COUNTBLANK('Capacity summary'!$H33:$BG33)&lt;52,IF('Capacity summary'!AZ33&lt;&gt;"",IF(LOWER('Capacity summary'!AZ33)="x",$BI121*AZ121,VALUE('Capacity summary'!AZ33)),0),AZ121*$BI121),AZ121*$BI121),0)</f>
        <v>0</v>
      </c>
      <c r="DD121" s="5">
        <f>IF($BI121&lt;&gt;"",IF('Capacity summary'!$C$14="Yes",IF(COUNTBLANK('Capacity summary'!$H33:$BG33)&lt;52,IF('Capacity summary'!BA33&lt;&gt;"",IF(LOWER('Capacity summary'!BA33)="x",$BI121*BA121,VALUE('Capacity summary'!BA33)),0),BA121*$BI121),BA121*$BI121),0)</f>
        <v>0</v>
      </c>
      <c r="DE121" s="5">
        <f>IF($BI121&lt;&gt;"",IF('Capacity summary'!$C$14="Yes",IF(COUNTBLANK('Capacity summary'!$H33:$BG33)&lt;52,IF('Capacity summary'!BB33&lt;&gt;"",IF(LOWER('Capacity summary'!BB33)="x",$BI121*BB121,VALUE('Capacity summary'!BB33)),0),BB121*$BI121),BB121*$BI121),0)</f>
        <v>0</v>
      </c>
      <c r="DF121" s="5">
        <f>IF($BI121&lt;&gt;"",IF('Capacity summary'!$C$14="Yes",IF(COUNTBLANK('Capacity summary'!$H33:$BG33)&lt;52,IF('Capacity summary'!BC33&lt;&gt;"",IF(LOWER('Capacity summary'!BC33)="x",$BI121*BC121,VALUE('Capacity summary'!BC33)),0),BC121*$BI121),BC121*$BI121),0)</f>
        <v>0</v>
      </c>
      <c r="DG121" s="5">
        <f>IF($BI121&lt;&gt;"",IF('Capacity summary'!$C$14="Yes",IF(COUNTBLANK('Capacity summary'!$H33:$BG33)&lt;52,IF('Capacity summary'!BD33&lt;&gt;"",IF(LOWER('Capacity summary'!BD33)="x",$BI121*BD121,VALUE('Capacity summary'!BD33)),0),BD121*$BI121),BD121*$BI121),0)</f>
        <v>0</v>
      </c>
      <c r="DH121" s="5">
        <f>IF($BI121&lt;&gt;"",IF('Capacity summary'!$C$14="Yes",IF(COUNTBLANK('Capacity summary'!$H33:$BG33)&lt;52,IF('Capacity summary'!BE33&lt;&gt;"",IF(LOWER('Capacity summary'!BE33)="x",$BI121*BE121,VALUE('Capacity summary'!BE33)),0),BE121*$BI121),BE121*$BI121),0)</f>
        <v>0</v>
      </c>
      <c r="DI121" s="5">
        <f>IF($BI121&lt;&gt;"",IF('Capacity summary'!$C$14="Yes",IF(COUNTBLANK('Capacity summary'!$H33:$BG33)&lt;52,IF('Capacity summary'!BF33&lt;&gt;"",IF(LOWER('Capacity summary'!BF33)="x",$BI121*BF121,VALUE('Capacity summary'!BF33)),0),BF121*$BI121),BF121*$BI121),0)</f>
        <v>0</v>
      </c>
      <c r="DJ121" s="5">
        <f>IF($BI121&lt;&gt;"",IF('Capacity summary'!$C$14="Yes",IF(COUNTBLANK('Capacity summary'!$H33:$BG33)&lt;52,IF('Capacity summary'!BG33&lt;&gt;"",IF(LOWER('Capacity summary'!BG33)="x",$BI121*BG121,VALUE('Capacity summary'!BG33)),0),BG121*$BI121),BG121*$BI121),0)</f>
        <v>0</v>
      </c>
      <c r="DK121" s="5">
        <f t="shared" ref="DK121" si="15">SUM(DK122:DK221)</f>
        <v>0</v>
      </c>
    </row>
    <row r="122" spans="3:115" x14ac:dyDescent="0.25">
      <c r="C122" s="67" t="str">
        <f>ROW(A11)&amp;". "&amp;Capacity!N27</f>
        <v xml:space="preserve">11. </v>
      </c>
      <c r="D122" s="67">
        <f>'Capacity setup'!C128</f>
        <v>0</v>
      </c>
      <c r="E122" s="67">
        <f>'Capacity setup'!D128</f>
        <v>0</v>
      </c>
      <c r="F122" s="67">
        <f>'Capacity setup'!E128</f>
        <v>0</v>
      </c>
      <c r="H122" s="67">
        <f ca="1">IF(AND(SUMIF(Capacity_Resource,$D122,'Critical resources (hide)'!U$6:U$105)+SUMIF(Capacity_Resource,$E122,'Critical resources (hide)'!U$6:U$105)+SUMIF(Capacity_Resource,$F122,'Critical resources (hide)'!U$6:U$105)&gt;0,$E$1=2),0,1)</f>
        <v>1</v>
      </c>
      <c r="I122" s="67">
        <f ca="1">IF(AND(SUMIF(Capacity_Resource,$D122,'Critical resources (hide)'!V$6:V$105)+SUMIF(Capacity_Resource,$E122,'Critical resources (hide)'!V$6:V$105)+SUMIF(Capacity_Resource,$F122,'Critical resources (hide)'!V$6:V$105)&gt;0,$E$1=2),0,1)</f>
        <v>1</v>
      </c>
      <c r="J122" s="67">
        <f ca="1">IF(AND(SUMIF(Capacity_Resource,$D122,'Critical resources (hide)'!W$6:W$105)+SUMIF(Capacity_Resource,$E122,'Critical resources (hide)'!W$6:W$105)+SUMIF(Capacity_Resource,$F122,'Critical resources (hide)'!W$6:W$105)&gt;0,$E$1=2),0,1)</f>
        <v>1</v>
      </c>
      <c r="K122" s="67">
        <f ca="1">IF(AND(SUMIF(Capacity_Resource,$D122,'Critical resources (hide)'!X$6:X$105)+SUMIF(Capacity_Resource,$E122,'Critical resources (hide)'!X$6:X$105)+SUMIF(Capacity_Resource,$F122,'Critical resources (hide)'!X$6:X$105)&gt;0,$E$1=2),0,1)</f>
        <v>1</v>
      </c>
      <c r="L122" s="67">
        <f ca="1">IF(AND(SUMIF(Capacity_Resource,$D122,'Critical resources (hide)'!Y$6:Y$105)+SUMIF(Capacity_Resource,$E122,'Critical resources (hide)'!Y$6:Y$105)+SUMIF(Capacity_Resource,$F122,'Critical resources (hide)'!Y$6:Y$105)&gt;0,$E$1=2),0,1)</f>
        <v>1</v>
      </c>
      <c r="M122" s="67">
        <f ca="1">IF(AND(SUMIF(Capacity_Resource,$D122,'Critical resources (hide)'!Z$6:Z$105)+SUMIF(Capacity_Resource,$E122,'Critical resources (hide)'!Z$6:Z$105)+SUMIF(Capacity_Resource,$F122,'Critical resources (hide)'!Z$6:Z$105)&gt;0,$E$1=2),0,1)</f>
        <v>1</v>
      </c>
      <c r="N122" s="67">
        <f ca="1">IF(AND(SUMIF(Capacity_Resource,$D122,'Critical resources (hide)'!AA$6:AA$105)+SUMIF(Capacity_Resource,$E122,'Critical resources (hide)'!AA$6:AA$105)+SUMIF(Capacity_Resource,$F122,'Critical resources (hide)'!AA$6:AA$105)&gt;0,$E$1=2),0,1)</f>
        <v>1</v>
      </c>
      <c r="O122" s="67">
        <f ca="1">IF(AND(SUMIF(Capacity_Resource,$D122,'Critical resources (hide)'!AB$6:AB$105)+SUMIF(Capacity_Resource,$E122,'Critical resources (hide)'!AB$6:AB$105)+SUMIF(Capacity_Resource,$F122,'Critical resources (hide)'!AB$6:AB$105)&gt;0,$E$1=2),0,1)</f>
        <v>1</v>
      </c>
      <c r="P122" s="67">
        <f ca="1">IF(AND(SUMIF(Capacity_Resource,$D122,'Critical resources (hide)'!AC$6:AC$105)+SUMIF(Capacity_Resource,$E122,'Critical resources (hide)'!AC$6:AC$105)+SUMIF(Capacity_Resource,$F122,'Critical resources (hide)'!AC$6:AC$105)&gt;0,$E$1=2),0,1)</f>
        <v>1</v>
      </c>
      <c r="Q122" s="67">
        <f ca="1">IF(AND(SUMIF(Capacity_Resource,$D122,'Critical resources (hide)'!AD$6:AD$105)+SUMIF(Capacity_Resource,$E122,'Critical resources (hide)'!AD$6:AD$105)+SUMIF(Capacity_Resource,$F122,'Critical resources (hide)'!AD$6:AD$105)&gt;0,$E$1=2),0,1)</f>
        <v>1</v>
      </c>
      <c r="R122" s="67">
        <f ca="1">IF(AND(SUMIF(Capacity_Resource,$D122,'Critical resources (hide)'!AE$6:AE$105)+SUMIF(Capacity_Resource,$E122,'Critical resources (hide)'!AE$6:AE$105)+SUMIF(Capacity_Resource,$F122,'Critical resources (hide)'!AE$6:AE$105)&gt;0,$E$1=2),0,1)</f>
        <v>1</v>
      </c>
      <c r="S122" s="67">
        <f ca="1">IF(AND(SUMIF(Capacity_Resource,$D122,'Critical resources (hide)'!AF$6:AF$105)+SUMIF(Capacity_Resource,$E122,'Critical resources (hide)'!AF$6:AF$105)+SUMIF(Capacity_Resource,$F122,'Critical resources (hide)'!AF$6:AF$105)&gt;0,$E$1=2),0,1)</f>
        <v>1</v>
      </c>
      <c r="T122" s="67">
        <f ca="1">IF(AND(SUMIF(Capacity_Resource,$D122,'Critical resources (hide)'!AG$6:AG$105)+SUMIF(Capacity_Resource,$E122,'Critical resources (hide)'!AG$6:AG$105)+SUMIF(Capacity_Resource,$F122,'Critical resources (hide)'!AG$6:AG$105)&gt;0,$E$1=2),0,1)</f>
        <v>1</v>
      </c>
      <c r="U122" s="67">
        <f ca="1">IF(AND(SUMIF(Capacity_Resource,$D122,'Critical resources (hide)'!AH$6:AH$105)+SUMIF(Capacity_Resource,$E122,'Critical resources (hide)'!AH$6:AH$105)+SUMIF(Capacity_Resource,$F122,'Critical resources (hide)'!AH$6:AH$105)&gt;0,$E$1=2),0,1)</f>
        <v>1</v>
      </c>
      <c r="V122" s="67">
        <f ca="1">IF(AND(SUMIF(Capacity_Resource,$D122,'Critical resources (hide)'!AI$6:AI$105)+SUMIF(Capacity_Resource,$E122,'Critical resources (hide)'!AI$6:AI$105)+SUMIF(Capacity_Resource,$F122,'Critical resources (hide)'!AI$6:AI$105)&gt;0,$E$1=2),0,1)</f>
        <v>1</v>
      </c>
      <c r="W122" s="67">
        <f ca="1">IF(AND(SUMIF(Capacity_Resource,$D122,'Critical resources (hide)'!AJ$6:AJ$105)+SUMIF(Capacity_Resource,$E122,'Critical resources (hide)'!AJ$6:AJ$105)+SUMIF(Capacity_Resource,$F122,'Critical resources (hide)'!AJ$6:AJ$105)&gt;0,$E$1=2),0,1)</f>
        <v>1</v>
      </c>
      <c r="X122" s="67">
        <f ca="1">IF(AND(SUMIF(Capacity_Resource,$D122,'Critical resources (hide)'!AK$6:AK$105)+SUMIF(Capacity_Resource,$E122,'Critical resources (hide)'!AK$6:AK$105)+SUMIF(Capacity_Resource,$F122,'Critical resources (hide)'!AK$6:AK$105)&gt;0,$E$1=2),0,1)</f>
        <v>1</v>
      </c>
      <c r="Y122" s="67">
        <f ca="1">IF(AND(SUMIF(Capacity_Resource,$D122,'Critical resources (hide)'!AL$6:AL$105)+SUMIF(Capacity_Resource,$E122,'Critical resources (hide)'!AL$6:AL$105)+SUMIF(Capacity_Resource,$F122,'Critical resources (hide)'!AL$6:AL$105)&gt;0,$E$1=2),0,1)</f>
        <v>1</v>
      </c>
      <c r="Z122" s="67">
        <f ca="1">IF(AND(SUMIF(Capacity_Resource,$D122,'Critical resources (hide)'!AM$6:AM$105)+SUMIF(Capacity_Resource,$E122,'Critical resources (hide)'!AM$6:AM$105)+SUMIF(Capacity_Resource,$F122,'Critical resources (hide)'!AM$6:AM$105)&gt;0,$E$1=2),0,1)</f>
        <v>1</v>
      </c>
      <c r="AA122" s="67">
        <f ca="1">IF(AND(SUMIF(Capacity_Resource,$D122,'Critical resources (hide)'!AN$6:AN$105)+SUMIF(Capacity_Resource,$E122,'Critical resources (hide)'!AN$6:AN$105)+SUMIF(Capacity_Resource,$F122,'Critical resources (hide)'!AN$6:AN$105)&gt;0,$E$1=2),0,1)</f>
        <v>1</v>
      </c>
      <c r="AB122" s="67">
        <f ca="1">IF(AND(SUMIF(Capacity_Resource,$D122,'Critical resources (hide)'!AO$6:AO$105)+SUMIF(Capacity_Resource,$E122,'Critical resources (hide)'!AO$6:AO$105)+SUMIF(Capacity_Resource,$F122,'Critical resources (hide)'!AO$6:AO$105)&gt;0,$E$1=2),0,1)</f>
        <v>1</v>
      </c>
      <c r="AC122" s="67">
        <f ca="1">IF(AND(SUMIF(Capacity_Resource,$D122,'Critical resources (hide)'!AP$6:AP$105)+SUMIF(Capacity_Resource,$E122,'Critical resources (hide)'!AP$6:AP$105)+SUMIF(Capacity_Resource,$F122,'Critical resources (hide)'!AP$6:AP$105)&gt;0,$E$1=2),0,1)</f>
        <v>1</v>
      </c>
      <c r="AD122" s="67">
        <f ca="1">IF(AND(SUMIF(Capacity_Resource,$D122,'Critical resources (hide)'!AQ$6:AQ$105)+SUMIF(Capacity_Resource,$E122,'Critical resources (hide)'!AQ$6:AQ$105)+SUMIF(Capacity_Resource,$F122,'Critical resources (hide)'!AQ$6:AQ$105)&gt;0,$E$1=2),0,1)</f>
        <v>1</v>
      </c>
      <c r="AE122" s="67">
        <f ca="1">IF(AND(SUMIF(Capacity_Resource,$D122,'Critical resources (hide)'!AR$6:AR$105)+SUMIF(Capacity_Resource,$E122,'Critical resources (hide)'!AR$6:AR$105)+SUMIF(Capacity_Resource,$F122,'Critical resources (hide)'!AR$6:AR$105)&gt;0,$E$1=2),0,1)</f>
        <v>1</v>
      </c>
      <c r="AF122" s="67">
        <f ca="1">IF(AND(SUMIF(Capacity_Resource,$D122,'Critical resources (hide)'!AS$6:AS$105)+SUMIF(Capacity_Resource,$E122,'Critical resources (hide)'!AS$6:AS$105)+SUMIF(Capacity_Resource,$F122,'Critical resources (hide)'!AS$6:AS$105)&gt;0,$E$1=2),0,1)</f>
        <v>1</v>
      </c>
      <c r="AG122" s="67">
        <f ca="1">IF(AND(SUMIF(Capacity_Resource,$D122,'Critical resources (hide)'!AT$6:AT$105)+SUMIF(Capacity_Resource,$E122,'Critical resources (hide)'!AT$6:AT$105)+SUMIF(Capacity_Resource,$F122,'Critical resources (hide)'!AT$6:AT$105)&gt;0,$E$1=2),0,1)</f>
        <v>1</v>
      </c>
      <c r="AH122" s="67">
        <f ca="1">IF(AND(SUMIF(Capacity_Resource,$D122,'Critical resources (hide)'!AU$6:AU$105)+SUMIF(Capacity_Resource,$E122,'Critical resources (hide)'!AU$6:AU$105)+SUMIF(Capacity_Resource,$F122,'Critical resources (hide)'!AU$6:AU$105)&gt;0,$E$1=2),0,1)</f>
        <v>1</v>
      </c>
      <c r="AI122" s="67">
        <f ca="1">IF(AND(SUMIF(Capacity_Resource,$D122,'Critical resources (hide)'!AV$6:AV$105)+SUMIF(Capacity_Resource,$E122,'Critical resources (hide)'!AV$6:AV$105)+SUMIF(Capacity_Resource,$F122,'Critical resources (hide)'!AV$6:AV$105)&gt;0,$E$1=2),0,1)</f>
        <v>1</v>
      </c>
      <c r="AJ122" s="67">
        <f ca="1">IF(AND(SUMIF(Capacity_Resource,$D122,'Critical resources (hide)'!AW$6:AW$105)+SUMIF(Capacity_Resource,$E122,'Critical resources (hide)'!AW$6:AW$105)+SUMIF(Capacity_Resource,$F122,'Critical resources (hide)'!AW$6:AW$105)&gt;0,$E$1=2),0,1)</f>
        <v>1</v>
      </c>
      <c r="AK122" s="67">
        <f ca="1">IF(AND(SUMIF(Capacity_Resource,$D122,'Critical resources (hide)'!AX$6:AX$105)+SUMIF(Capacity_Resource,$E122,'Critical resources (hide)'!AX$6:AX$105)+SUMIF(Capacity_Resource,$F122,'Critical resources (hide)'!AX$6:AX$105)&gt;0,$E$1=2),0,1)</f>
        <v>1</v>
      </c>
      <c r="AL122" s="67">
        <f ca="1">IF(AND(SUMIF(Capacity_Resource,$D122,'Critical resources (hide)'!AY$6:AY$105)+SUMIF(Capacity_Resource,$E122,'Critical resources (hide)'!AY$6:AY$105)+SUMIF(Capacity_Resource,$F122,'Critical resources (hide)'!AY$6:AY$105)&gt;0,$E$1=2),0,1)</f>
        <v>1</v>
      </c>
      <c r="AM122" s="67">
        <f ca="1">IF(AND(SUMIF(Capacity_Resource,$D122,'Critical resources (hide)'!AZ$6:AZ$105)+SUMIF(Capacity_Resource,$E122,'Critical resources (hide)'!AZ$6:AZ$105)+SUMIF(Capacity_Resource,$F122,'Critical resources (hide)'!AZ$6:AZ$105)&gt;0,$E$1=2),0,1)</f>
        <v>1</v>
      </c>
      <c r="AN122" s="67">
        <f ca="1">IF(AND(SUMIF(Capacity_Resource,$D122,'Critical resources (hide)'!BA$6:BA$105)+SUMIF(Capacity_Resource,$E122,'Critical resources (hide)'!BA$6:BA$105)+SUMIF(Capacity_Resource,$F122,'Critical resources (hide)'!BA$6:BA$105)&gt;0,$E$1=2),0,1)</f>
        <v>1</v>
      </c>
      <c r="AO122" s="67">
        <f ca="1">IF(AND(SUMIF(Capacity_Resource,$D122,'Critical resources (hide)'!BB$6:BB$105)+SUMIF(Capacity_Resource,$E122,'Critical resources (hide)'!BB$6:BB$105)+SUMIF(Capacity_Resource,$F122,'Critical resources (hide)'!BB$6:BB$105)&gt;0,$E$1=2),0,1)</f>
        <v>1</v>
      </c>
      <c r="AP122" s="67">
        <f ca="1">IF(AND(SUMIF(Capacity_Resource,$D122,'Critical resources (hide)'!BC$6:BC$105)+SUMIF(Capacity_Resource,$E122,'Critical resources (hide)'!BC$6:BC$105)+SUMIF(Capacity_Resource,$F122,'Critical resources (hide)'!BC$6:BC$105)&gt;0,$E$1=2),0,1)</f>
        <v>1</v>
      </c>
      <c r="AQ122" s="67">
        <f ca="1">IF(AND(SUMIF(Capacity_Resource,$D122,'Critical resources (hide)'!BD$6:BD$105)+SUMIF(Capacity_Resource,$E122,'Critical resources (hide)'!BD$6:BD$105)+SUMIF(Capacity_Resource,$F122,'Critical resources (hide)'!BD$6:BD$105)&gt;0,$E$1=2),0,1)</f>
        <v>1</v>
      </c>
      <c r="AR122" s="67">
        <f ca="1">IF(AND(SUMIF(Capacity_Resource,$D122,'Critical resources (hide)'!BE$6:BE$105)+SUMIF(Capacity_Resource,$E122,'Critical resources (hide)'!BE$6:BE$105)+SUMIF(Capacity_Resource,$F122,'Critical resources (hide)'!BE$6:BE$105)&gt;0,$E$1=2),0,1)</f>
        <v>1</v>
      </c>
      <c r="AS122" s="67">
        <f ca="1">IF(AND(SUMIF(Capacity_Resource,$D122,'Critical resources (hide)'!BF$6:BF$105)+SUMIF(Capacity_Resource,$E122,'Critical resources (hide)'!BF$6:BF$105)+SUMIF(Capacity_Resource,$F122,'Critical resources (hide)'!BF$6:BF$105)&gt;0,$E$1=2),0,1)</f>
        <v>1</v>
      </c>
      <c r="AT122" s="67">
        <f ca="1">IF(AND(SUMIF(Capacity_Resource,$D122,'Critical resources (hide)'!BG$6:BG$105)+SUMIF(Capacity_Resource,$E122,'Critical resources (hide)'!BG$6:BG$105)+SUMIF(Capacity_Resource,$F122,'Critical resources (hide)'!BG$6:BG$105)&gt;0,$E$1=2),0,1)</f>
        <v>1</v>
      </c>
      <c r="AU122" s="67">
        <f ca="1">IF(AND(SUMIF(Capacity_Resource,$D122,'Critical resources (hide)'!BH$6:BH$105)+SUMIF(Capacity_Resource,$E122,'Critical resources (hide)'!BH$6:BH$105)+SUMIF(Capacity_Resource,$F122,'Critical resources (hide)'!BH$6:BH$105)&gt;0,$E$1=2),0,1)</f>
        <v>1</v>
      </c>
      <c r="AV122" s="67">
        <f ca="1">IF(AND(SUMIF(Capacity_Resource,$D122,'Critical resources (hide)'!BI$6:BI$105)+SUMIF(Capacity_Resource,$E122,'Critical resources (hide)'!BI$6:BI$105)+SUMIF(Capacity_Resource,$F122,'Critical resources (hide)'!BI$6:BI$105)&gt;0,$E$1=2),0,1)</f>
        <v>1</v>
      </c>
      <c r="AW122" s="67">
        <f ca="1">IF(AND(SUMIF(Capacity_Resource,$D122,'Critical resources (hide)'!BJ$6:BJ$105)+SUMIF(Capacity_Resource,$E122,'Critical resources (hide)'!BJ$6:BJ$105)+SUMIF(Capacity_Resource,$F122,'Critical resources (hide)'!BJ$6:BJ$105)&gt;0,$E$1=2),0,1)</f>
        <v>1</v>
      </c>
      <c r="AX122" s="67">
        <f ca="1">IF(AND(SUMIF(Capacity_Resource,$D122,'Critical resources (hide)'!BK$6:BK$105)+SUMIF(Capacity_Resource,$E122,'Critical resources (hide)'!BK$6:BK$105)+SUMIF(Capacity_Resource,$F122,'Critical resources (hide)'!BK$6:BK$105)&gt;0,$E$1=2),0,1)</f>
        <v>1</v>
      </c>
      <c r="AY122" s="67">
        <f ca="1">IF(AND(SUMIF(Capacity_Resource,$D122,'Critical resources (hide)'!BL$6:BL$105)+SUMIF(Capacity_Resource,$E122,'Critical resources (hide)'!BL$6:BL$105)+SUMIF(Capacity_Resource,$F122,'Critical resources (hide)'!BL$6:BL$105)&gt;0,$E$1=2),0,1)</f>
        <v>1</v>
      </c>
      <c r="AZ122" s="67">
        <f ca="1">IF(AND(SUMIF(Capacity_Resource,$D122,'Critical resources (hide)'!BM$6:BM$105)+SUMIF(Capacity_Resource,$E122,'Critical resources (hide)'!BM$6:BM$105)+SUMIF(Capacity_Resource,$F122,'Critical resources (hide)'!BM$6:BM$105)&gt;0,$E$1=2),0,1)</f>
        <v>1</v>
      </c>
      <c r="BA122" s="67">
        <f ca="1">IF(AND(SUMIF(Capacity_Resource,$D122,'Critical resources (hide)'!BN$6:BN$105)+SUMIF(Capacity_Resource,$E122,'Critical resources (hide)'!BN$6:BN$105)+SUMIF(Capacity_Resource,$F122,'Critical resources (hide)'!BN$6:BN$105)&gt;0,$E$1=2),0,1)</f>
        <v>1</v>
      </c>
      <c r="BB122" s="67">
        <f ca="1">IF(AND(SUMIF(Capacity_Resource,$D122,'Critical resources (hide)'!BO$6:BO$105)+SUMIF(Capacity_Resource,$E122,'Critical resources (hide)'!BO$6:BO$105)+SUMIF(Capacity_Resource,$F122,'Critical resources (hide)'!BO$6:BO$105)&gt;0,$E$1=2),0,1)</f>
        <v>1</v>
      </c>
      <c r="BC122" s="67">
        <f ca="1">IF(AND(SUMIF(Capacity_Resource,$D122,'Critical resources (hide)'!BP$6:BP$105)+SUMIF(Capacity_Resource,$E122,'Critical resources (hide)'!BP$6:BP$105)+SUMIF(Capacity_Resource,$F122,'Critical resources (hide)'!BP$6:BP$105)&gt;0,$E$1=2),0,1)</f>
        <v>1</v>
      </c>
      <c r="BD122" s="67">
        <f ca="1">IF(AND(SUMIF(Capacity_Resource,$D122,'Critical resources (hide)'!BQ$6:BQ$105)+SUMIF(Capacity_Resource,$E122,'Critical resources (hide)'!BQ$6:BQ$105)+SUMIF(Capacity_Resource,$F122,'Critical resources (hide)'!BQ$6:BQ$105)&gt;0,$E$1=2),0,1)</f>
        <v>1</v>
      </c>
      <c r="BE122" s="67">
        <f ca="1">IF(AND(SUMIF(Capacity_Resource,$D122,'Critical resources (hide)'!BR$6:BR$105)+SUMIF(Capacity_Resource,$E122,'Critical resources (hide)'!BR$6:BR$105)+SUMIF(Capacity_Resource,$F122,'Critical resources (hide)'!BR$6:BR$105)&gt;0,$E$1=2),0,1)</f>
        <v>1</v>
      </c>
      <c r="BF122" s="67">
        <f ca="1">IF(AND(SUMIF(Capacity_Resource,$D122,'Critical resources (hide)'!BS$6:BS$105)+SUMIF(Capacity_Resource,$E122,'Critical resources (hide)'!BS$6:BS$105)+SUMIF(Capacity_Resource,$F122,'Critical resources (hide)'!BS$6:BS$105)&gt;0,$E$1=2),0,1)</f>
        <v>1</v>
      </c>
      <c r="BG122" s="67">
        <f ca="1">IF(AND(SUMIF(Capacity_Resource,$D122,'Critical resources (hide)'!BT$6:BT$105)+SUMIF(Capacity_Resource,$E122,'Critical resources (hide)'!BT$6:BT$105)+SUMIF(Capacity_Resource,$F122,'Critical resources (hide)'!BT$6:BT$105)&gt;0,$E$1=2),0,1)</f>
        <v>1</v>
      </c>
      <c r="BH122" s="67">
        <f>IF(ROW(A11)&lt;=Capacity!$M$16,IF('Capacity summary'!$C$14="No",SUM(H122:BG122),'Capacity summary'!$E34),0)</f>
        <v>0</v>
      </c>
      <c r="BI122" s="67" t="str">
        <f>IF(BH122&gt;0,IF(BH122&lt;Capacity!Q27,Capacity!R27,Capacity!T27/'Capacity calculation (hide)'!BH122),"")</f>
        <v/>
      </c>
      <c r="BJ122" s="5"/>
      <c r="BK122" s="5">
        <f>IF($BI122&lt;&gt;"",IF('Capacity summary'!$C$14="Yes",IF(COUNTBLANK('Capacity summary'!$H34:$BG34)&lt;52,IF('Capacity summary'!H34&lt;&gt;"",IF(LOWER('Capacity summary'!H34)="x",$BI122*H122,VALUE('Capacity summary'!H34)),0),H122*$BI122),H122*$BI122),0)</f>
        <v>0</v>
      </c>
      <c r="BL122" s="5">
        <f>IF($BI122&lt;&gt;"",IF('Capacity summary'!$C$14="Yes",IF(COUNTBLANK('Capacity summary'!$H34:$BG34)&lt;52,IF('Capacity summary'!I34&lt;&gt;"",IF(LOWER('Capacity summary'!I34)="x",$BI122*I122,VALUE('Capacity summary'!I34)),0),I122*$BI122),I122*$BI122),0)</f>
        <v>0</v>
      </c>
      <c r="BM122" s="5">
        <f>IF($BI122&lt;&gt;"",IF('Capacity summary'!$C$14="Yes",IF(COUNTBLANK('Capacity summary'!$H34:$BG34)&lt;52,IF('Capacity summary'!J34&lt;&gt;"",IF(LOWER('Capacity summary'!J34)="x",$BI122*J122,VALUE('Capacity summary'!J34)),0),J122*$BI122),J122*$BI122),0)</f>
        <v>0</v>
      </c>
      <c r="BN122" s="5">
        <f>IF($BI122&lt;&gt;"",IF('Capacity summary'!$C$14="Yes",IF(COUNTBLANK('Capacity summary'!$H34:$BG34)&lt;52,IF('Capacity summary'!K34&lt;&gt;"",IF(LOWER('Capacity summary'!K34)="x",$BI122*K122,VALUE('Capacity summary'!K34)),0),K122*$BI122),K122*$BI122),0)</f>
        <v>0</v>
      </c>
      <c r="BO122" s="5">
        <f>IF($BI122&lt;&gt;"",IF('Capacity summary'!$C$14="Yes",IF(COUNTBLANK('Capacity summary'!$H34:$BG34)&lt;52,IF('Capacity summary'!L34&lt;&gt;"",IF(LOWER('Capacity summary'!L34)="x",$BI122*L122,VALUE('Capacity summary'!L34)),0),L122*$BI122),L122*$BI122),0)</f>
        <v>0</v>
      </c>
      <c r="BP122" s="5">
        <f>IF($BI122&lt;&gt;"",IF('Capacity summary'!$C$14="Yes",IF(COUNTBLANK('Capacity summary'!$H34:$BG34)&lt;52,IF('Capacity summary'!M34&lt;&gt;"",IF(LOWER('Capacity summary'!M34)="x",$BI122*M122,VALUE('Capacity summary'!M34)),0),M122*$BI122),M122*$BI122),0)</f>
        <v>0</v>
      </c>
      <c r="BQ122" s="5">
        <f>IF($BI122&lt;&gt;"",IF('Capacity summary'!$C$14="Yes",IF(COUNTBLANK('Capacity summary'!$H34:$BG34)&lt;52,IF('Capacity summary'!N34&lt;&gt;"",IF(LOWER('Capacity summary'!N34)="x",$BI122*N122,VALUE('Capacity summary'!N34)),0),N122*$BI122),N122*$BI122),0)</f>
        <v>0</v>
      </c>
      <c r="BR122" s="5">
        <f>IF($BI122&lt;&gt;"",IF('Capacity summary'!$C$14="Yes",IF(COUNTBLANK('Capacity summary'!$H34:$BG34)&lt;52,IF('Capacity summary'!O34&lt;&gt;"",IF(LOWER('Capacity summary'!O34)="x",$BI122*O122,VALUE('Capacity summary'!O34)),0),O122*$BI122),O122*$BI122),0)</f>
        <v>0</v>
      </c>
      <c r="BS122" s="5">
        <f>IF($BI122&lt;&gt;"",IF('Capacity summary'!$C$14="Yes",IF(COUNTBLANK('Capacity summary'!$H34:$BG34)&lt;52,IF('Capacity summary'!P34&lt;&gt;"",IF(LOWER('Capacity summary'!P34)="x",$BI122*P122,VALUE('Capacity summary'!P34)),0),P122*$BI122),P122*$BI122),0)</f>
        <v>0</v>
      </c>
      <c r="BT122" s="5">
        <f>IF($BI122&lt;&gt;"",IF('Capacity summary'!$C$14="Yes",IF(COUNTBLANK('Capacity summary'!$H34:$BG34)&lt;52,IF('Capacity summary'!Q34&lt;&gt;"",IF(LOWER('Capacity summary'!Q34)="x",$BI122*Q122,VALUE('Capacity summary'!Q34)),0),Q122*$BI122),Q122*$BI122),0)</f>
        <v>0</v>
      </c>
      <c r="BU122" s="5">
        <f>IF($BI122&lt;&gt;"",IF('Capacity summary'!$C$14="Yes",IF(COUNTBLANK('Capacity summary'!$H34:$BG34)&lt;52,IF('Capacity summary'!R34&lt;&gt;"",IF(LOWER('Capacity summary'!R34)="x",$BI122*R122,VALUE('Capacity summary'!R34)),0),R122*$BI122),R122*$BI122),0)</f>
        <v>0</v>
      </c>
      <c r="BV122" s="5">
        <f>IF($BI122&lt;&gt;"",IF('Capacity summary'!$C$14="Yes",IF(COUNTBLANK('Capacity summary'!$H34:$BG34)&lt;52,IF('Capacity summary'!S34&lt;&gt;"",IF(LOWER('Capacity summary'!S34)="x",$BI122*S122,VALUE('Capacity summary'!S34)),0),S122*$BI122),S122*$BI122),0)</f>
        <v>0</v>
      </c>
      <c r="BW122" s="5">
        <f>IF($BI122&lt;&gt;"",IF('Capacity summary'!$C$14="Yes",IF(COUNTBLANK('Capacity summary'!$H34:$BG34)&lt;52,IF('Capacity summary'!T34&lt;&gt;"",IF(LOWER('Capacity summary'!T34)="x",$BI122*T122,VALUE('Capacity summary'!T34)),0),T122*$BI122),T122*$BI122),0)</f>
        <v>0</v>
      </c>
      <c r="BX122" s="5">
        <f>IF($BI122&lt;&gt;"",IF('Capacity summary'!$C$14="Yes",IF(COUNTBLANK('Capacity summary'!$H34:$BG34)&lt;52,IF('Capacity summary'!U34&lt;&gt;"",IF(LOWER('Capacity summary'!U34)="x",$BI122*U122,VALUE('Capacity summary'!U34)),0),U122*$BI122),U122*$BI122),0)</f>
        <v>0</v>
      </c>
      <c r="BY122" s="5">
        <f>IF($BI122&lt;&gt;"",IF('Capacity summary'!$C$14="Yes",IF(COUNTBLANK('Capacity summary'!$H34:$BG34)&lt;52,IF('Capacity summary'!V34&lt;&gt;"",IF(LOWER('Capacity summary'!V34)="x",$BI122*V122,VALUE('Capacity summary'!V34)),0),V122*$BI122),V122*$BI122),0)</f>
        <v>0</v>
      </c>
      <c r="BZ122" s="5">
        <f>IF($BI122&lt;&gt;"",IF('Capacity summary'!$C$14="Yes",IF(COUNTBLANK('Capacity summary'!$H34:$BG34)&lt;52,IF('Capacity summary'!W34&lt;&gt;"",IF(LOWER('Capacity summary'!W34)="x",$BI122*W122,VALUE('Capacity summary'!W34)),0),W122*$BI122),W122*$BI122),0)</f>
        <v>0</v>
      </c>
      <c r="CA122" s="5">
        <f>IF($BI122&lt;&gt;"",IF('Capacity summary'!$C$14="Yes",IF(COUNTBLANK('Capacity summary'!$H34:$BG34)&lt;52,IF('Capacity summary'!X34&lt;&gt;"",IF(LOWER('Capacity summary'!X34)="x",$BI122*X122,VALUE('Capacity summary'!X34)),0),X122*$BI122),X122*$BI122),0)</f>
        <v>0</v>
      </c>
      <c r="CB122" s="5">
        <f>IF($BI122&lt;&gt;"",IF('Capacity summary'!$C$14="Yes",IF(COUNTBLANK('Capacity summary'!$H34:$BG34)&lt;52,IF('Capacity summary'!Y34&lt;&gt;"",IF(LOWER('Capacity summary'!Y34)="x",$BI122*Y122,VALUE('Capacity summary'!Y34)),0),Y122*$BI122),Y122*$BI122),0)</f>
        <v>0</v>
      </c>
      <c r="CC122" s="5">
        <f>IF($BI122&lt;&gt;"",IF('Capacity summary'!$C$14="Yes",IF(COUNTBLANK('Capacity summary'!$H34:$BG34)&lt;52,IF('Capacity summary'!Z34&lt;&gt;"",IF(LOWER('Capacity summary'!Z34)="x",$BI122*Z122,VALUE('Capacity summary'!Z34)),0),Z122*$BI122),Z122*$BI122),0)</f>
        <v>0</v>
      </c>
      <c r="CD122" s="5">
        <f>IF($BI122&lt;&gt;"",IF('Capacity summary'!$C$14="Yes",IF(COUNTBLANK('Capacity summary'!$H34:$BG34)&lt;52,IF('Capacity summary'!AA34&lt;&gt;"",IF(LOWER('Capacity summary'!AA34)="x",$BI122*AA122,VALUE('Capacity summary'!AA34)),0),AA122*$BI122),AA122*$BI122),0)</f>
        <v>0</v>
      </c>
      <c r="CE122" s="5">
        <f>IF($BI122&lt;&gt;"",IF('Capacity summary'!$C$14="Yes",IF(COUNTBLANK('Capacity summary'!$H34:$BG34)&lt;52,IF('Capacity summary'!AB34&lt;&gt;"",IF(LOWER('Capacity summary'!AB34)="x",$BI122*AB122,VALUE('Capacity summary'!AB34)),0),AB122*$BI122),AB122*$BI122),0)</f>
        <v>0</v>
      </c>
      <c r="CF122" s="5">
        <f>IF($BI122&lt;&gt;"",IF('Capacity summary'!$C$14="Yes",IF(COUNTBLANK('Capacity summary'!$H34:$BG34)&lt;52,IF('Capacity summary'!AC34&lt;&gt;"",IF(LOWER('Capacity summary'!AC34)="x",$BI122*AC122,VALUE('Capacity summary'!AC34)),0),AC122*$BI122),AC122*$BI122),0)</f>
        <v>0</v>
      </c>
      <c r="CG122" s="5">
        <f>IF($BI122&lt;&gt;"",IF('Capacity summary'!$C$14="Yes",IF(COUNTBLANK('Capacity summary'!$H34:$BG34)&lt;52,IF('Capacity summary'!AD34&lt;&gt;"",IF(LOWER('Capacity summary'!AD34)="x",$BI122*AD122,VALUE('Capacity summary'!AD34)),0),AD122*$BI122),AD122*$BI122),0)</f>
        <v>0</v>
      </c>
      <c r="CH122" s="5">
        <f>IF($BI122&lt;&gt;"",IF('Capacity summary'!$C$14="Yes",IF(COUNTBLANK('Capacity summary'!$H34:$BG34)&lt;52,IF('Capacity summary'!AE34&lt;&gt;"",IF(LOWER('Capacity summary'!AE34)="x",$BI122*AE122,VALUE('Capacity summary'!AE34)),0),AE122*$BI122),AE122*$BI122),0)</f>
        <v>0</v>
      </c>
      <c r="CI122" s="5">
        <f>IF($BI122&lt;&gt;"",IF('Capacity summary'!$C$14="Yes",IF(COUNTBLANK('Capacity summary'!$H34:$BG34)&lt;52,IF('Capacity summary'!AF34&lt;&gt;"",IF(LOWER('Capacity summary'!AF34)="x",$BI122*AF122,VALUE('Capacity summary'!AF34)),0),AF122*$BI122),AF122*$BI122),0)</f>
        <v>0</v>
      </c>
      <c r="CJ122" s="5">
        <f>IF($BI122&lt;&gt;"",IF('Capacity summary'!$C$14="Yes",IF(COUNTBLANK('Capacity summary'!$H34:$BG34)&lt;52,IF('Capacity summary'!AG34&lt;&gt;"",IF(LOWER('Capacity summary'!AG34)="x",$BI122*AG122,VALUE('Capacity summary'!AG34)),0),AG122*$BI122),AG122*$BI122),0)</f>
        <v>0</v>
      </c>
      <c r="CK122" s="5">
        <f>IF($BI122&lt;&gt;"",IF('Capacity summary'!$C$14="Yes",IF(COUNTBLANK('Capacity summary'!$H34:$BG34)&lt;52,IF('Capacity summary'!AH34&lt;&gt;"",IF(LOWER('Capacity summary'!AH34)="x",$BI122*AH122,VALUE('Capacity summary'!AH34)),0),AH122*$BI122),AH122*$BI122),0)</f>
        <v>0</v>
      </c>
      <c r="CL122" s="5">
        <f>IF($BI122&lt;&gt;"",IF('Capacity summary'!$C$14="Yes",IF(COUNTBLANK('Capacity summary'!$H34:$BG34)&lt;52,IF('Capacity summary'!AI34&lt;&gt;"",IF(LOWER('Capacity summary'!AI34)="x",$BI122*AI122,VALUE('Capacity summary'!AI34)),0),AI122*$BI122),AI122*$BI122),0)</f>
        <v>0</v>
      </c>
      <c r="CM122" s="5">
        <f>IF($BI122&lt;&gt;"",IF('Capacity summary'!$C$14="Yes",IF(COUNTBLANK('Capacity summary'!$H34:$BG34)&lt;52,IF('Capacity summary'!AJ34&lt;&gt;"",IF(LOWER('Capacity summary'!AJ34)="x",$BI122*AJ122,VALUE('Capacity summary'!AJ34)),0),AJ122*$BI122),AJ122*$BI122),0)</f>
        <v>0</v>
      </c>
      <c r="CN122" s="5">
        <f>IF($BI122&lt;&gt;"",IF('Capacity summary'!$C$14="Yes",IF(COUNTBLANK('Capacity summary'!$H34:$BG34)&lt;52,IF('Capacity summary'!AK34&lt;&gt;"",IF(LOWER('Capacity summary'!AK34)="x",$BI122*AK122,VALUE('Capacity summary'!AK34)),0),AK122*$BI122),AK122*$BI122),0)</f>
        <v>0</v>
      </c>
      <c r="CO122" s="5">
        <f>IF($BI122&lt;&gt;"",IF('Capacity summary'!$C$14="Yes",IF(COUNTBLANK('Capacity summary'!$H34:$BG34)&lt;52,IF('Capacity summary'!AL34&lt;&gt;"",IF(LOWER('Capacity summary'!AL34)="x",$BI122*AL122,VALUE('Capacity summary'!AL34)),0),AL122*$BI122),AL122*$BI122),0)</f>
        <v>0</v>
      </c>
      <c r="CP122" s="5">
        <f>IF($BI122&lt;&gt;"",IF('Capacity summary'!$C$14="Yes",IF(COUNTBLANK('Capacity summary'!$H34:$BG34)&lt;52,IF('Capacity summary'!AM34&lt;&gt;"",IF(LOWER('Capacity summary'!AM34)="x",$BI122*AM122,VALUE('Capacity summary'!AM34)),0),AM122*$BI122),AM122*$BI122),0)</f>
        <v>0</v>
      </c>
      <c r="CQ122" s="5">
        <f>IF($BI122&lt;&gt;"",IF('Capacity summary'!$C$14="Yes",IF(COUNTBLANK('Capacity summary'!$H34:$BG34)&lt;52,IF('Capacity summary'!AN34&lt;&gt;"",IF(LOWER('Capacity summary'!AN34)="x",$BI122*AN122,VALUE('Capacity summary'!AN34)),0),AN122*$BI122),AN122*$BI122),0)</f>
        <v>0</v>
      </c>
      <c r="CR122" s="5">
        <f>IF($BI122&lt;&gt;"",IF('Capacity summary'!$C$14="Yes",IF(COUNTBLANK('Capacity summary'!$H34:$BG34)&lt;52,IF('Capacity summary'!AO34&lt;&gt;"",IF(LOWER('Capacity summary'!AO34)="x",$BI122*AO122,VALUE('Capacity summary'!AO34)),0),AO122*$BI122),AO122*$BI122),0)</f>
        <v>0</v>
      </c>
      <c r="CS122" s="5">
        <f>IF($BI122&lt;&gt;"",IF('Capacity summary'!$C$14="Yes",IF(COUNTBLANK('Capacity summary'!$H34:$BG34)&lt;52,IF('Capacity summary'!AP34&lt;&gt;"",IF(LOWER('Capacity summary'!AP34)="x",$BI122*AP122,VALUE('Capacity summary'!AP34)),0),AP122*$BI122),AP122*$BI122),0)</f>
        <v>0</v>
      </c>
      <c r="CT122" s="5">
        <f>IF($BI122&lt;&gt;"",IF('Capacity summary'!$C$14="Yes",IF(COUNTBLANK('Capacity summary'!$H34:$BG34)&lt;52,IF('Capacity summary'!AQ34&lt;&gt;"",IF(LOWER('Capacity summary'!AQ34)="x",$BI122*AQ122,VALUE('Capacity summary'!AQ34)),0),AQ122*$BI122),AQ122*$BI122),0)</f>
        <v>0</v>
      </c>
      <c r="CU122" s="5">
        <f>IF($BI122&lt;&gt;"",IF('Capacity summary'!$C$14="Yes",IF(COUNTBLANK('Capacity summary'!$H34:$BG34)&lt;52,IF('Capacity summary'!AR34&lt;&gt;"",IF(LOWER('Capacity summary'!AR34)="x",$BI122*AR122,VALUE('Capacity summary'!AR34)),0),AR122*$BI122),AR122*$BI122),0)</f>
        <v>0</v>
      </c>
      <c r="CV122" s="5">
        <f>IF($BI122&lt;&gt;"",IF('Capacity summary'!$C$14="Yes",IF(COUNTBLANK('Capacity summary'!$H34:$BG34)&lt;52,IF('Capacity summary'!AS34&lt;&gt;"",IF(LOWER('Capacity summary'!AS34)="x",$BI122*AS122,VALUE('Capacity summary'!AS34)),0),AS122*$BI122),AS122*$BI122),0)</f>
        <v>0</v>
      </c>
      <c r="CW122" s="5">
        <f>IF($BI122&lt;&gt;"",IF('Capacity summary'!$C$14="Yes",IF(COUNTBLANK('Capacity summary'!$H34:$BG34)&lt;52,IF('Capacity summary'!AT34&lt;&gt;"",IF(LOWER('Capacity summary'!AT34)="x",$BI122*AT122,VALUE('Capacity summary'!AT34)),0),AT122*$BI122),AT122*$BI122),0)</f>
        <v>0</v>
      </c>
      <c r="CX122" s="5">
        <f>IF($BI122&lt;&gt;"",IF('Capacity summary'!$C$14="Yes",IF(COUNTBLANK('Capacity summary'!$H34:$BG34)&lt;52,IF('Capacity summary'!AU34&lt;&gt;"",IF(LOWER('Capacity summary'!AU34)="x",$BI122*AU122,VALUE('Capacity summary'!AU34)),0),AU122*$BI122),AU122*$BI122),0)</f>
        <v>0</v>
      </c>
      <c r="CY122" s="5">
        <f>IF($BI122&lt;&gt;"",IF('Capacity summary'!$C$14="Yes",IF(COUNTBLANK('Capacity summary'!$H34:$BG34)&lt;52,IF('Capacity summary'!AV34&lt;&gt;"",IF(LOWER('Capacity summary'!AV34)="x",$BI122*AV122,VALUE('Capacity summary'!AV34)),0),AV122*$BI122),AV122*$BI122),0)</f>
        <v>0</v>
      </c>
      <c r="CZ122" s="5">
        <f>IF($BI122&lt;&gt;"",IF('Capacity summary'!$C$14="Yes",IF(COUNTBLANK('Capacity summary'!$H34:$BG34)&lt;52,IF('Capacity summary'!AW34&lt;&gt;"",IF(LOWER('Capacity summary'!AW34)="x",$BI122*AW122,VALUE('Capacity summary'!AW34)),0),AW122*$BI122),AW122*$BI122),0)</f>
        <v>0</v>
      </c>
      <c r="DA122" s="5">
        <f>IF($BI122&lt;&gt;"",IF('Capacity summary'!$C$14="Yes",IF(COUNTBLANK('Capacity summary'!$H34:$BG34)&lt;52,IF('Capacity summary'!AX34&lt;&gt;"",IF(LOWER('Capacity summary'!AX34)="x",$BI122*AX122,VALUE('Capacity summary'!AX34)),0),AX122*$BI122),AX122*$BI122),0)</f>
        <v>0</v>
      </c>
      <c r="DB122" s="5">
        <f>IF($BI122&lt;&gt;"",IF('Capacity summary'!$C$14="Yes",IF(COUNTBLANK('Capacity summary'!$H34:$BG34)&lt;52,IF('Capacity summary'!AY34&lt;&gt;"",IF(LOWER('Capacity summary'!AY34)="x",$BI122*AY122,VALUE('Capacity summary'!AY34)),0),AY122*$BI122),AY122*$BI122),0)</f>
        <v>0</v>
      </c>
      <c r="DC122" s="5">
        <f>IF($BI122&lt;&gt;"",IF('Capacity summary'!$C$14="Yes",IF(COUNTBLANK('Capacity summary'!$H34:$BG34)&lt;52,IF('Capacity summary'!AZ34&lt;&gt;"",IF(LOWER('Capacity summary'!AZ34)="x",$BI122*AZ122,VALUE('Capacity summary'!AZ34)),0),AZ122*$BI122),AZ122*$BI122),0)</f>
        <v>0</v>
      </c>
      <c r="DD122" s="5">
        <f>IF($BI122&lt;&gt;"",IF('Capacity summary'!$C$14="Yes",IF(COUNTBLANK('Capacity summary'!$H34:$BG34)&lt;52,IF('Capacity summary'!BA34&lt;&gt;"",IF(LOWER('Capacity summary'!BA34)="x",$BI122*BA122,VALUE('Capacity summary'!BA34)),0),BA122*$BI122),BA122*$BI122),0)</f>
        <v>0</v>
      </c>
      <c r="DE122" s="5">
        <f>IF($BI122&lt;&gt;"",IF('Capacity summary'!$C$14="Yes",IF(COUNTBLANK('Capacity summary'!$H34:$BG34)&lt;52,IF('Capacity summary'!BB34&lt;&gt;"",IF(LOWER('Capacity summary'!BB34)="x",$BI122*BB122,VALUE('Capacity summary'!BB34)),0),BB122*$BI122),BB122*$BI122),0)</f>
        <v>0</v>
      </c>
      <c r="DF122" s="5">
        <f>IF($BI122&lt;&gt;"",IF('Capacity summary'!$C$14="Yes",IF(COUNTBLANK('Capacity summary'!$H34:$BG34)&lt;52,IF('Capacity summary'!BC34&lt;&gt;"",IF(LOWER('Capacity summary'!BC34)="x",$BI122*BC122,VALUE('Capacity summary'!BC34)),0),BC122*$BI122),BC122*$BI122),0)</f>
        <v>0</v>
      </c>
      <c r="DG122" s="5">
        <f>IF($BI122&lt;&gt;"",IF('Capacity summary'!$C$14="Yes",IF(COUNTBLANK('Capacity summary'!$H34:$BG34)&lt;52,IF('Capacity summary'!BD34&lt;&gt;"",IF(LOWER('Capacity summary'!BD34)="x",$BI122*BD122,VALUE('Capacity summary'!BD34)),0),BD122*$BI122),BD122*$BI122),0)</f>
        <v>0</v>
      </c>
      <c r="DH122" s="5">
        <f>IF($BI122&lt;&gt;"",IF('Capacity summary'!$C$14="Yes",IF(COUNTBLANK('Capacity summary'!$H34:$BG34)&lt;52,IF('Capacity summary'!BE34&lt;&gt;"",IF(LOWER('Capacity summary'!BE34)="x",$BI122*BE122,VALUE('Capacity summary'!BE34)),0),BE122*$BI122),BE122*$BI122),0)</f>
        <v>0</v>
      </c>
      <c r="DI122" s="5">
        <f>IF($BI122&lt;&gt;"",IF('Capacity summary'!$C$14="Yes",IF(COUNTBLANK('Capacity summary'!$H34:$BG34)&lt;52,IF('Capacity summary'!BF34&lt;&gt;"",IF(LOWER('Capacity summary'!BF34)="x",$BI122*BF122,VALUE('Capacity summary'!BF34)),0),BF122*$BI122),BF122*$BI122),0)</f>
        <v>0</v>
      </c>
      <c r="DJ122" s="5">
        <f>IF($BI122&lt;&gt;"",IF('Capacity summary'!$C$14="Yes",IF(COUNTBLANK('Capacity summary'!$H34:$BG34)&lt;52,IF('Capacity summary'!BG34&lt;&gt;"",IF(LOWER('Capacity summary'!BG34)="x",$BI122*BG122,VALUE('Capacity summary'!BG34)),0),BG122*$BI122),BG122*$BI122),0)</f>
        <v>0</v>
      </c>
      <c r="DK122" s="5">
        <f t="shared" ref="DK122" si="16">SUM(DK123:DK222)</f>
        <v>0</v>
      </c>
    </row>
    <row r="123" spans="3:115" x14ac:dyDescent="0.25">
      <c r="C123" s="67" t="str">
        <f>ROW(A12)&amp;". "&amp;Capacity!N28</f>
        <v xml:space="preserve">12. </v>
      </c>
      <c r="D123" s="67">
        <f>'Capacity setup'!C129</f>
        <v>0</v>
      </c>
      <c r="E123" s="67">
        <f>'Capacity setup'!D129</f>
        <v>0</v>
      </c>
      <c r="F123" s="67">
        <f>'Capacity setup'!E129</f>
        <v>0</v>
      </c>
      <c r="H123" s="67">
        <f ca="1">IF(AND(SUMIF(Capacity_Resource,$D123,'Critical resources (hide)'!U$6:U$105)+SUMIF(Capacity_Resource,$E123,'Critical resources (hide)'!U$6:U$105)+SUMIF(Capacity_Resource,$F123,'Critical resources (hide)'!U$6:U$105)&gt;0,$E$1=2),0,1)</f>
        <v>1</v>
      </c>
      <c r="I123" s="67">
        <f ca="1">IF(AND(SUMIF(Capacity_Resource,$D123,'Critical resources (hide)'!V$6:V$105)+SUMIF(Capacity_Resource,$E123,'Critical resources (hide)'!V$6:V$105)+SUMIF(Capacity_Resource,$F123,'Critical resources (hide)'!V$6:V$105)&gt;0,$E$1=2),0,1)</f>
        <v>1</v>
      </c>
      <c r="J123" s="67">
        <f ca="1">IF(AND(SUMIF(Capacity_Resource,$D123,'Critical resources (hide)'!W$6:W$105)+SUMIF(Capacity_Resource,$E123,'Critical resources (hide)'!W$6:W$105)+SUMIF(Capacity_Resource,$F123,'Critical resources (hide)'!W$6:W$105)&gt;0,$E$1=2),0,1)</f>
        <v>1</v>
      </c>
      <c r="K123" s="67">
        <f ca="1">IF(AND(SUMIF(Capacity_Resource,$D123,'Critical resources (hide)'!X$6:X$105)+SUMIF(Capacity_Resource,$E123,'Critical resources (hide)'!X$6:X$105)+SUMIF(Capacity_Resource,$F123,'Critical resources (hide)'!X$6:X$105)&gt;0,$E$1=2),0,1)</f>
        <v>1</v>
      </c>
      <c r="L123" s="67">
        <f ca="1">IF(AND(SUMIF(Capacity_Resource,$D123,'Critical resources (hide)'!Y$6:Y$105)+SUMIF(Capacity_Resource,$E123,'Critical resources (hide)'!Y$6:Y$105)+SUMIF(Capacity_Resource,$F123,'Critical resources (hide)'!Y$6:Y$105)&gt;0,$E$1=2),0,1)</f>
        <v>1</v>
      </c>
      <c r="M123" s="67">
        <f ca="1">IF(AND(SUMIF(Capacity_Resource,$D123,'Critical resources (hide)'!Z$6:Z$105)+SUMIF(Capacity_Resource,$E123,'Critical resources (hide)'!Z$6:Z$105)+SUMIF(Capacity_Resource,$F123,'Critical resources (hide)'!Z$6:Z$105)&gt;0,$E$1=2),0,1)</f>
        <v>1</v>
      </c>
      <c r="N123" s="67">
        <f ca="1">IF(AND(SUMIF(Capacity_Resource,$D123,'Critical resources (hide)'!AA$6:AA$105)+SUMIF(Capacity_Resource,$E123,'Critical resources (hide)'!AA$6:AA$105)+SUMIF(Capacity_Resource,$F123,'Critical resources (hide)'!AA$6:AA$105)&gt;0,$E$1=2),0,1)</f>
        <v>1</v>
      </c>
      <c r="O123" s="67">
        <f ca="1">IF(AND(SUMIF(Capacity_Resource,$D123,'Critical resources (hide)'!AB$6:AB$105)+SUMIF(Capacity_Resource,$E123,'Critical resources (hide)'!AB$6:AB$105)+SUMIF(Capacity_Resource,$F123,'Critical resources (hide)'!AB$6:AB$105)&gt;0,$E$1=2),0,1)</f>
        <v>1</v>
      </c>
      <c r="P123" s="67">
        <f ca="1">IF(AND(SUMIF(Capacity_Resource,$D123,'Critical resources (hide)'!AC$6:AC$105)+SUMIF(Capacity_Resource,$E123,'Critical resources (hide)'!AC$6:AC$105)+SUMIF(Capacity_Resource,$F123,'Critical resources (hide)'!AC$6:AC$105)&gt;0,$E$1=2),0,1)</f>
        <v>1</v>
      </c>
      <c r="Q123" s="67">
        <f ca="1">IF(AND(SUMIF(Capacity_Resource,$D123,'Critical resources (hide)'!AD$6:AD$105)+SUMIF(Capacity_Resource,$E123,'Critical resources (hide)'!AD$6:AD$105)+SUMIF(Capacity_Resource,$F123,'Critical resources (hide)'!AD$6:AD$105)&gt;0,$E$1=2),0,1)</f>
        <v>1</v>
      </c>
      <c r="R123" s="67">
        <f ca="1">IF(AND(SUMIF(Capacity_Resource,$D123,'Critical resources (hide)'!AE$6:AE$105)+SUMIF(Capacity_Resource,$E123,'Critical resources (hide)'!AE$6:AE$105)+SUMIF(Capacity_Resource,$F123,'Critical resources (hide)'!AE$6:AE$105)&gt;0,$E$1=2),0,1)</f>
        <v>1</v>
      </c>
      <c r="S123" s="67">
        <f ca="1">IF(AND(SUMIF(Capacity_Resource,$D123,'Critical resources (hide)'!AF$6:AF$105)+SUMIF(Capacity_Resource,$E123,'Critical resources (hide)'!AF$6:AF$105)+SUMIF(Capacity_Resource,$F123,'Critical resources (hide)'!AF$6:AF$105)&gt;0,$E$1=2),0,1)</f>
        <v>1</v>
      </c>
      <c r="T123" s="67">
        <f ca="1">IF(AND(SUMIF(Capacity_Resource,$D123,'Critical resources (hide)'!AG$6:AG$105)+SUMIF(Capacity_Resource,$E123,'Critical resources (hide)'!AG$6:AG$105)+SUMIF(Capacity_Resource,$F123,'Critical resources (hide)'!AG$6:AG$105)&gt;0,$E$1=2),0,1)</f>
        <v>1</v>
      </c>
      <c r="U123" s="67">
        <f ca="1">IF(AND(SUMIF(Capacity_Resource,$D123,'Critical resources (hide)'!AH$6:AH$105)+SUMIF(Capacity_Resource,$E123,'Critical resources (hide)'!AH$6:AH$105)+SUMIF(Capacity_Resource,$F123,'Critical resources (hide)'!AH$6:AH$105)&gt;0,$E$1=2),0,1)</f>
        <v>1</v>
      </c>
      <c r="V123" s="67">
        <f ca="1">IF(AND(SUMIF(Capacity_Resource,$D123,'Critical resources (hide)'!AI$6:AI$105)+SUMIF(Capacity_Resource,$E123,'Critical resources (hide)'!AI$6:AI$105)+SUMIF(Capacity_Resource,$F123,'Critical resources (hide)'!AI$6:AI$105)&gt;0,$E$1=2),0,1)</f>
        <v>1</v>
      </c>
      <c r="W123" s="67">
        <f ca="1">IF(AND(SUMIF(Capacity_Resource,$D123,'Critical resources (hide)'!AJ$6:AJ$105)+SUMIF(Capacity_Resource,$E123,'Critical resources (hide)'!AJ$6:AJ$105)+SUMIF(Capacity_Resource,$F123,'Critical resources (hide)'!AJ$6:AJ$105)&gt;0,$E$1=2),0,1)</f>
        <v>1</v>
      </c>
      <c r="X123" s="67">
        <f ca="1">IF(AND(SUMIF(Capacity_Resource,$D123,'Critical resources (hide)'!AK$6:AK$105)+SUMIF(Capacity_Resource,$E123,'Critical resources (hide)'!AK$6:AK$105)+SUMIF(Capacity_Resource,$F123,'Critical resources (hide)'!AK$6:AK$105)&gt;0,$E$1=2),0,1)</f>
        <v>1</v>
      </c>
      <c r="Y123" s="67">
        <f ca="1">IF(AND(SUMIF(Capacity_Resource,$D123,'Critical resources (hide)'!AL$6:AL$105)+SUMIF(Capacity_Resource,$E123,'Critical resources (hide)'!AL$6:AL$105)+SUMIF(Capacity_Resource,$F123,'Critical resources (hide)'!AL$6:AL$105)&gt;0,$E$1=2),0,1)</f>
        <v>1</v>
      </c>
      <c r="Z123" s="67">
        <f ca="1">IF(AND(SUMIF(Capacity_Resource,$D123,'Critical resources (hide)'!AM$6:AM$105)+SUMIF(Capacity_Resource,$E123,'Critical resources (hide)'!AM$6:AM$105)+SUMIF(Capacity_Resource,$F123,'Critical resources (hide)'!AM$6:AM$105)&gt;0,$E$1=2),0,1)</f>
        <v>1</v>
      </c>
      <c r="AA123" s="67">
        <f ca="1">IF(AND(SUMIF(Capacity_Resource,$D123,'Critical resources (hide)'!AN$6:AN$105)+SUMIF(Capacity_Resource,$E123,'Critical resources (hide)'!AN$6:AN$105)+SUMIF(Capacity_Resource,$F123,'Critical resources (hide)'!AN$6:AN$105)&gt;0,$E$1=2),0,1)</f>
        <v>1</v>
      </c>
      <c r="AB123" s="67">
        <f ca="1">IF(AND(SUMIF(Capacity_Resource,$D123,'Critical resources (hide)'!AO$6:AO$105)+SUMIF(Capacity_Resource,$E123,'Critical resources (hide)'!AO$6:AO$105)+SUMIF(Capacity_Resource,$F123,'Critical resources (hide)'!AO$6:AO$105)&gt;0,$E$1=2),0,1)</f>
        <v>1</v>
      </c>
      <c r="AC123" s="67">
        <f ca="1">IF(AND(SUMIF(Capacity_Resource,$D123,'Critical resources (hide)'!AP$6:AP$105)+SUMIF(Capacity_Resource,$E123,'Critical resources (hide)'!AP$6:AP$105)+SUMIF(Capacity_Resource,$F123,'Critical resources (hide)'!AP$6:AP$105)&gt;0,$E$1=2),0,1)</f>
        <v>1</v>
      </c>
      <c r="AD123" s="67">
        <f ca="1">IF(AND(SUMIF(Capacity_Resource,$D123,'Critical resources (hide)'!AQ$6:AQ$105)+SUMIF(Capacity_Resource,$E123,'Critical resources (hide)'!AQ$6:AQ$105)+SUMIF(Capacity_Resource,$F123,'Critical resources (hide)'!AQ$6:AQ$105)&gt;0,$E$1=2),0,1)</f>
        <v>1</v>
      </c>
      <c r="AE123" s="67">
        <f ca="1">IF(AND(SUMIF(Capacity_Resource,$D123,'Critical resources (hide)'!AR$6:AR$105)+SUMIF(Capacity_Resource,$E123,'Critical resources (hide)'!AR$6:AR$105)+SUMIF(Capacity_Resource,$F123,'Critical resources (hide)'!AR$6:AR$105)&gt;0,$E$1=2),0,1)</f>
        <v>1</v>
      </c>
      <c r="AF123" s="67">
        <f ca="1">IF(AND(SUMIF(Capacity_Resource,$D123,'Critical resources (hide)'!AS$6:AS$105)+SUMIF(Capacity_Resource,$E123,'Critical resources (hide)'!AS$6:AS$105)+SUMIF(Capacity_Resource,$F123,'Critical resources (hide)'!AS$6:AS$105)&gt;0,$E$1=2),0,1)</f>
        <v>1</v>
      </c>
      <c r="AG123" s="67">
        <f ca="1">IF(AND(SUMIF(Capacity_Resource,$D123,'Critical resources (hide)'!AT$6:AT$105)+SUMIF(Capacity_Resource,$E123,'Critical resources (hide)'!AT$6:AT$105)+SUMIF(Capacity_Resource,$F123,'Critical resources (hide)'!AT$6:AT$105)&gt;0,$E$1=2),0,1)</f>
        <v>1</v>
      </c>
      <c r="AH123" s="67">
        <f ca="1">IF(AND(SUMIF(Capacity_Resource,$D123,'Critical resources (hide)'!AU$6:AU$105)+SUMIF(Capacity_Resource,$E123,'Critical resources (hide)'!AU$6:AU$105)+SUMIF(Capacity_Resource,$F123,'Critical resources (hide)'!AU$6:AU$105)&gt;0,$E$1=2),0,1)</f>
        <v>1</v>
      </c>
      <c r="AI123" s="67">
        <f ca="1">IF(AND(SUMIF(Capacity_Resource,$D123,'Critical resources (hide)'!AV$6:AV$105)+SUMIF(Capacity_Resource,$E123,'Critical resources (hide)'!AV$6:AV$105)+SUMIF(Capacity_Resource,$F123,'Critical resources (hide)'!AV$6:AV$105)&gt;0,$E$1=2),0,1)</f>
        <v>1</v>
      </c>
      <c r="AJ123" s="67">
        <f ca="1">IF(AND(SUMIF(Capacity_Resource,$D123,'Critical resources (hide)'!AW$6:AW$105)+SUMIF(Capacity_Resource,$E123,'Critical resources (hide)'!AW$6:AW$105)+SUMIF(Capacity_Resource,$F123,'Critical resources (hide)'!AW$6:AW$105)&gt;0,$E$1=2),0,1)</f>
        <v>1</v>
      </c>
      <c r="AK123" s="67">
        <f ca="1">IF(AND(SUMIF(Capacity_Resource,$D123,'Critical resources (hide)'!AX$6:AX$105)+SUMIF(Capacity_Resource,$E123,'Critical resources (hide)'!AX$6:AX$105)+SUMIF(Capacity_Resource,$F123,'Critical resources (hide)'!AX$6:AX$105)&gt;0,$E$1=2),0,1)</f>
        <v>1</v>
      </c>
      <c r="AL123" s="67">
        <f ca="1">IF(AND(SUMIF(Capacity_Resource,$D123,'Critical resources (hide)'!AY$6:AY$105)+SUMIF(Capacity_Resource,$E123,'Critical resources (hide)'!AY$6:AY$105)+SUMIF(Capacity_Resource,$F123,'Critical resources (hide)'!AY$6:AY$105)&gt;0,$E$1=2),0,1)</f>
        <v>1</v>
      </c>
      <c r="AM123" s="67">
        <f ca="1">IF(AND(SUMIF(Capacity_Resource,$D123,'Critical resources (hide)'!AZ$6:AZ$105)+SUMIF(Capacity_Resource,$E123,'Critical resources (hide)'!AZ$6:AZ$105)+SUMIF(Capacity_Resource,$F123,'Critical resources (hide)'!AZ$6:AZ$105)&gt;0,$E$1=2),0,1)</f>
        <v>1</v>
      </c>
      <c r="AN123" s="67">
        <f ca="1">IF(AND(SUMIF(Capacity_Resource,$D123,'Critical resources (hide)'!BA$6:BA$105)+SUMIF(Capacity_Resource,$E123,'Critical resources (hide)'!BA$6:BA$105)+SUMIF(Capacity_Resource,$F123,'Critical resources (hide)'!BA$6:BA$105)&gt;0,$E$1=2),0,1)</f>
        <v>1</v>
      </c>
      <c r="AO123" s="67">
        <f ca="1">IF(AND(SUMIF(Capacity_Resource,$D123,'Critical resources (hide)'!BB$6:BB$105)+SUMIF(Capacity_Resource,$E123,'Critical resources (hide)'!BB$6:BB$105)+SUMIF(Capacity_Resource,$F123,'Critical resources (hide)'!BB$6:BB$105)&gt;0,$E$1=2),0,1)</f>
        <v>1</v>
      </c>
      <c r="AP123" s="67">
        <f ca="1">IF(AND(SUMIF(Capacity_Resource,$D123,'Critical resources (hide)'!BC$6:BC$105)+SUMIF(Capacity_Resource,$E123,'Critical resources (hide)'!BC$6:BC$105)+SUMIF(Capacity_Resource,$F123,'Critical resources (hide)'!BC$6:BC$105)&gt;0,$E$1=2),0,1)</f>
        <v>1</v>
      </c>
      <c r="AQ123" s="67">
        <f ca="1">IF(AND(SUMIF(Capacity_Resource,$D123,'Critical resources (hide)'!BD$6:BD$105)+SUMIF(Capacity_Resource,$E123,'Critical resources (hide)'!BD$6:BD$105)+SUMIF(Capacity_Resource,$F123,'Critical resources (hide)'!BD$6:BD$105)&gt;0,$E$1=2),0,1)</f>
        <v>1</v>
      </c>
      <c r="AR123" s="67">
        <f ca="1">IF(AND(SUMIF(Capacity_Resource,$D123,'Critical resources (hide)'!BE$6:BE$105)+SUMIF(Capacity_Resource,$E123,'Critical resources (hide)'!BE$6:BE$105)+SUMIF(Capacity_Resource,$F123,'Critical resources (hide)'!BE$6:BE$105)&gt;0,$E$1=2),0,1)</f>
        <v>1</v>
      </c>
      <c r="AS123" s="67">
        <f ca="1">IF(AND(SUMIF(Capacity_Resource,$D123,'Critical resources (hide)'!BF$6:BF$105)+SUMIF(Capacity_Resource,$E123,'Critical resources (hide)'!BF$6:BF$105)+SUMIF(Capacity_Resource,$F123,'Critical resources (hide)'!BF$6:BF$105)&gt;0,$E$1=2),0,1)</f>
        <v>1</v>
      </c>
      <c r="AT123" s="67">
        <f ca="1">IF(AND(SUMIF(Capacity_Resource,$D123,'Critical resources (hide)'!BG$6:BG$105)+SUMIF(Capacity_Resource,$E123,'Critical resources (hide)'!BG$6:BG$105)+SUMIF(Capacity_Resource,$F123,'Critical resources (hide)'!BG$6:BG$105)&gt;0,$E$1=2),0,1)</f>
        <v>1</v>
      </c>
      <c r="AU123" s="67">
        <f ca="1">IF(AND(SUMIF(Capacity_Resource,$D123,'Critical resources (hide)'!BH$6:BH$105)+SUMIF(Capacity_Resource,$E123,'Critical resources (hide)'!BH$6:BH$105)+SUMIF(Capacity_Resource,$F123,'Critical resources (hide)'!BH$6:BH$105)&gt;0,$E$1=2),0,1)</f>
        <v>1</v>
      </c>
      <c r="AV123" s="67">
        <f ca="1">IF(AND(SUMIF(Capacity_Resource,$D123,'Critical resources (hide)'!BI$6:BI$105)+SUMIF(Capacity_Resource,$E123,'Critical resources (hide)'!BI$6:BI$105)+SUMIF(Capacity_Resource,$F123,'Critical resources (hide)'!BI$6:BI$105)&gt;0,$E$1=2),0,1)</f>
        <v>1</v>
      </c>
      <c r="AW123" s="67">
        <f ca="1">IF(AND(SUMIF(Capacity_Resource,$D123,'Critical resources (hide)'!BJ$6:BJ$105)+SUMIF(Capacity_Resource,$E123,'Critical resources (hide)'!BJ$6:BJ$105)+SUMIF(Capacity_Resource,$F123,'Critical resources (hide)'!BJ$6:BJ$105)&gt;0,$E$1=2),0,1)</f>
        <v>1</v>
      </c>
      <c r="AX123" s="67">
        <f ca="1">IF(AND(SUMIF(Capacity_Resource,$D123,'Critical resources (hide)'!BK$6:BK$105)+SUMIF(Capacity_Resource,$E123,'Critical resources (hide)'!BK$6:BK$105)+SUMIF(Capacity_Resource,$F123,'Critical resources (hide)'!BK$6:BK$105)&gt;0,$E$1=2),0,1)</f>
        <v>1</v>
      </c>
      <c r="AY123" s="67">
        <f ca="1">IF(AND(SUMIF(Capacity_Resource,$D123,'Critical resources (hide)'!BL$6:BL$105)+SUMIF(Capacity_Resource,$E123,'Critical resources (hide)'!BL$6:BL$105)+SUMIF(Capacity_Resource,$F123,'Critical resources (hide)'!BL$6:BL$105)&gt;0,$E$1=2),0,1)</f>
        <v>1</v>
      </c>
      <c r="AZ123" s="67">
        <f ca="1">IF(AND(SUMIF(Capacity_Resource,$D123,'Critical resources (hide)'!BM$6:BM$105)+SUMIF(Capacity_Resource,$E123,'Critical resources (hide)'!BM$6:BM$105)+SUMIF(Capacity_Resource,$F123,'Critical resources (hide)'!BM$6:BM$105)&gt;0,$E$1=2),0,1)</f>
        <v>1</v>
      </c>
      <c r="BA123" s="67">
        <f ca="1">IF(AND(SUMIF(Capacity_Resource,$D123,'Critical resources (hide)'!BN$6:BN$105)+SUMIF(Capacity_Resource,$E123,'Critical resources (hide)'!BN$6:BN$105)+SUMIF(Capacity_Resource,$F123,'Critical resources (hide)'!BN$6:BN$105)&gt;0,$E$1=2),0,1)</f>
        <v>1</v>
      </c>
      <c r="BB123" s="67">
        <f ca="1">IF(AND(SUMIF(Capacity_Resource,$D123,'Critical resources (hide)'!BO$6:BO$105)+SUMIF(Capacity_Resource,$E123,'Critical resources (hide)'!BO$6:BO$105)+SUMIF(Capacity_Resource,$F123,'Critical resources (hide)'!BO$6:BO$105)&gt;0,$E$1=2),0,1)</f>
        <v>1</v>
      </c>
      <c r="BC123" s="67">
        <f ca="1">IF(AND(SUMIF(Capacity_Resource,$D123,'Critical resources (hide)'!BP$6:BP$105)+SUMIF(Capacity_Resource,$E123,'Critical resources (hide)'!BP$6:BP$105)+SUMIF(Capacity_Resource,$F123,'Critical resources (hide)'!BP$6:BP$105)&gt;0,$E$1=2),0,1)</f>
        <v>1</v>
      </c>
      <c r="BD123" s="67">
        <f ca="1">IF(AND(SUMIF(Capacity_Resource,$D123,'Critical resources (hide)'!BQ$6:BQ$105)+SUMIF(Capacity_Resource,$E123,'Critical resources (hide)'!BQ$6:BQ$105)+SUMIF(Capacity_Resource,$F123,'Critical resources (hide)'!BQ$6:BQ$105)&gt;0,$E$1=2),0,1)</f>
        <v>1</v>
      </c>
      <c r="BE123" s="67">
        <f ca="1">IF(AND(SUMIF(Capacity_Resource,$D123,'Critical resources (hide)'!BR$6:BR$105)+SUMIF(Capacity_Resource,$E123,'Critical resources (hide)'!BR$6:BR$105)+SUMIF(Capacity_Resource,$F123,'Critical resources (hide)'!BR$6:BR$105)&gt;0,$E$1=2),0,1)</f>
        <v>1</v>
      </c>
      <c r="BF123" s="67">
        <f ca="1">IF(AND(SUMIF(Capacity_Resource,$D123,'Critical resources (hide)'!BS$6:BS$105)+SUMIF(Capacity_Resource,$E123,'Critical resources (hide)'!BS$6:BS$105)+SUMIF(Capacity_Resource,$F123,'Critical resources (hide)'!BS$6:BS$105)&gt;0,$E$1=2),0,1)</f>
        <v>1</v>
      </c>
      <c r="BG123" s="67">
        <f ca="1">IF(AND(SUMIF(Capacity_Resource,$D123,'Critical resources (hide)'!BT$6:BT$105)+SUMIF(Capacity_Resource,$E123,'Critical resources (hide)'!BT$6:BT$105)+SUMIF(Capacity_Resource,$F123,'Critical resources (hide)'!BT$6:BT$105)&gt;0,$E$1=2),0,1)</f>
        <v>1</v>
      </c>
      <c r="BH123" s="67">
        <f>IF(ROW(A12)&lt;=Capacity!$M$16,IF('Capacity summary'!$C$14="No",SUM(H123:BG123),'Capacity summary'!$E35),0)</f>
        <v>0</v>
      </c>
      <c r="BI123" s="67" t="str">
        <f>IF(BH123&gt;0,IF(BH123&lt;Capacity!Q28,Capacity!R28,Capacity!T28/'Capacity calculation (hide)'!BH123),"")</f>
        <v/>
      </c>
      <c r="BJ123" s="5"/>
      <c r="BK123" s="5">
        <f>IF($BI123&lt;&gt;"",IF('Capacity summary'!$C$14="Yes",IF(COUNTBLANK('Capacity summary'!$H35:$BG35)&lt;52,IF('Capacity summary'!H35&lt;&gt;"",IF(LOWER('Capacity summary'!H35)="x",$BI123*H123,VALUE('Capacity summary'!H35)),0),H123*$BI123),H123*$BI123),0)</f>
        <v>0</v>
      </c>
      <c r="BL123" s="5">
        <f>IF($BI123&lt;&gt;"",IF('Capacity summary'!$C$14="Yes",IF(COUNTBLANK('Capacity summary'!$H35:$BG35)&lt;52,IF('Capacity summary'!I35&lt;&gt;"",IF(LOWER('Capacity summary'!I35)="x",$BI123*I123,VALUE('Capacity summary'!I35)),0),I123*$BI123),I123*$BI123),0)</f>
        <v>0</v>
      </c>
      <c r="BM123" s="5">
        <f>IF($BI123&lt;&gt;"",IF('Capacity summary'!$C$14="Yes",IF(COUNTBLANK('Capacity summary'!$H35:$BG35)&lt;52,IF('Capacity summary'!J35&lt;&gt;"",IF(LOWER('Capacity summary'!J35)="x",$BI123*J123,VALUE('Capacity summary'!J35)),0),J123*$BI123),J123*$BI123),0)</f>
        <v>0</v>
      </c>
      <c r="BN123" s="5">
        <f>IF($BI123&lt;&gt;"",IF('Capacity summary'!$C$14="Yes",IF(COUNTBLANK('Capacity summary'!$H35:$BG35)&lt;52,IF('Capacity summary'!K35&lt;&gt;"",IF(LOWER('Capacity summary'!K35)="x",$BI123*K123,VALUE('Capacity summary'!K35)),0),K123*$BI123),K123*$BI123),0)</f>
        <v>0</v>
      </c>
      <c r="BO123" s="5">
        <f>IF($BI123&lt;&gt;"",IF('Capacity summary'!$C$14="Yes",IF(COUNTBLANK('Capacity summary'!$H35:$BG35)&lt;52,IF('Capacity summary'!L35&lt;&gt;"",IF(LOWER('Capacity summary'!L35)="x",$BI123*L123,VALUE('Capacity summary'!L35)),0),L123*$BI123),L123*$BI123),0)</f>
        <v>0</v>
      </c>
      <c r="BP123" s="5">
        <f>IF($BI123&lt;&gt;"",IF('Capacity summary'!$C$14="Yes",IF(COUNTBLANK('Capacity summary'!$H35:$BG35)&lt;52,IF('Capacity summary'!M35&lt;&gt;"",IF(LOWER('Capacity summary'!M35)="x",$BI123*M123,VALUE('Capacity summary'!M35)),0),M123*$BI123),M123*$BI123),0)</f>
        <v>0</v>
      </c>
      <c r="BQ123" s="5">
        <f>IF($BI123&lt;&gt;"",IF('Capacity summary'!$C$14="Yes",IF(COUNTBLANK('Capacity summary'!$H35:$BG35)&lt;52,IF('Capacity summary'!N35&lt;&gt;"",IF(LOWER('Capacity summary'!N35)="x",$BI123*N123,VALUE('Capacity summary'!N35)),0),N123*$BI123),N123*$BI123),0)</f>
        <v>0</v>
      </c>
      <c r="BR123" s="5">
        <f>IF($BI123&lt;&gt;"",IF('Capacity summary'!$C$14="Yes",IF(COUNTBLANK('Capacity summary'!$H35:$BG35)&lt;52,IF('Capacity summary'!O35&lt;&gt;"",IF(LOWER('Capacity summary'!O35)="x",$BI123*O123,VALUE('Capacity summary'!O35)),0),O123*$BI123),O123*$BI123),0)</f>
        <v>0</v>
      </c>
      <c r="BS123" s="5">
        <f>IF($BI123&lt;&gt;"",IF('Capacity summary'!$C$14="Yes",IF(COUNTBLANK('Capacity summary'!$H35:$BG35)&lt;52,IF('Capacity summary'!P35&lt;&gt;"",IF(LOWER('Capacity summary'!P35)="x",$BI123*P123,VALUE('Capacity summary'!P35)),0),P123*$BI123),P123*$BI123),0)</f>
        <v>0</v>
      </c>
      <c r="BT123" s="5">
        <f>IF($BI123&lt;&gt;"",IF('Capacity summary'!$C$14="Yes",IF(COUNTBLANK('Capacity summary'!$H35:$BG35)&lt;52,IF('Capacity summary'!Q35&lt;&gt;"",IF(LOWER('Capacity summary'!Q35)="x",$BI123*Q123,VALUE('Capacity summary'!Q35)),0),Q123*$BI123),Q123*$BI123),0)</f>
        <v>0</v>
      </c>
      <c r="BU123" s="5">
        <f>IF($BI123&lt;&gt;"",IF('Capacity summary'!$C$14="Yes",IF(COUNTBLANK('Capacity summary'!$H35:$BG35)&lt;52,IF('Capacity summary'!R35&lt;&gt;"",IF(LOWER('Capacity summary'!R35)="x",$BI123*R123,VALUE('Capacity summary'!R35)),0),R123*$BI123),R123*$BI123),0)</f>
        <v>0</v>
      </c>
      <c r="BV123" s="5">
        <f>IF($BI123&lt;&gt;"",IF('Capacity summary'!$C$14="Yes",IF(COUNTBLANK('Capacity summary'!$H35:$BG35)&lt;52,IF('Capacity summary'!S35&lt;&gt;"",IF(LOWER('Capacity summary'!S35)="x",$BI123*S123,VALUE('Capacity summary'!S35)),0),S123*$BI123),S123*$BI123),0)</f>
        <v>0</v>
      </c>
      <c r="BW123" s="5">
        <f>IF($BI123&lt;&gt;"",IF('Capacity summary'!$C$14="Yes",IF(COUNTBLANK('Capacity summary'!$H35:$BG35)&lt;52,IF('Capacity summary'!T35&lt;&gt;"",IF(LOWER('Capacity summary'!T35)="x",$BI123*T123,VALUE('Capacity summary'!T35)),0),T123*$BI123),T123*$BI123),0)</f>
        <v>0</v>
      </c>
      <c r="BX123" s="5">
        <f>IF($BI123&lt;&gt;"",IF('Capacity summary'!$C$14="Yes",IF(COUNTBLANK('Capacity summary'!$H35:$BG35)&lt;52,IF('Capacity summary'!U35&lt;&gt;"",IF(LOWER('Capacity summary'!U35)="x",$BI123*U123,VALUE('Capacity summary'!U35)),0),U123*$BI123),U123*$BI123),0)</f>
        <v>0</v>
      </c>
      <c r="BY123" s="5">
        <f>IF($BI123&lt;&gt;"",IF('Capacity summary'!$C$14="Yes",IF(COUNTBLANK('Capacity summary'!$H35:$BG35)&lt;52,IF('Capacity summary'!V35&lt;&gt;"",IF(LOWER('Capacity summary'!V35)="x",$BI123*V123,VALUE('Capacity summary'!V35)),0),V123*$BI123),V123*$BI123),0)</f>
        <v>0</v>
      </c>
      <c r="BZ123" s="5">
        <f>IF($BI123&lt;&gt;"",IF('Capacity summary'!$C$14="Yes",IF(COUNTBLANK('Capacity summary'!$H35:$BG35)&lt;52,IF('Capacity summary'!W35&lt;&gt;"",IF(LOWER('Capacity summary'!W35)="x",$BI123*W123,VALUE('Capacity summary'!W35)),0),W123*$BI123),W123*$BI123),0)</f>
        <v>0</v>
      </c>
      <c r="CA123" s="5">
        <f>IF($BI123&lt;&gt;"",IF('Capacity summary'!$C$14="Yes",IF(COUNTBLANK('Capacity summary'!$H35:$BG35)&lt;52,IF('Capacity summary'!X35&lt;&gt;"",IF(LOWER('Capacity summary'!X35)="x",$BI123*X123,VALUE('Capacity summary'!X35)),0),X123*$BI123),X123*$BI123),0)</f>
        <v>0</v>
      </c>
      <c r="CB123" s="5">
        <f>IF($BI123&lt;&gt;"",IF('Capacity summary'!$C$14="Yes",IF(COUNTBLANK('Capacity summary'!$H35:$BG35)&lt;52,IF('Capacity summary'!Y35&lt;&gt;"",IF(LOWER('Capacity summary'!Y35)="x",$BI123*Y123,VALUE('Capacity summary'!Y35)),0),Y123*$BI123),Y123*$BI123),0)</f>
        <v>0</v>
      </c>
      <c r="CC123" s="5">
        <f>IF($BI123&lt;&gt;"",IF('Capacity summary'!$C$14="Yes",IF(COUNTBLANK('Capacity summary'!$H35:$BG35)&lt;52,IF('Capacity summary'!Z35&lt;&gt;"",IF(LOWER('Capacity summary'!Z35)="x",$BI123*Z123,VALUE('Capacity summary'!Z35)),0),Z123*$BI123),Z123*$BI123),0)</f>
        <v>0</v>
      </c>
      <c r="CD123" s="5">
        <f>IF($BI123&lt;&gt;"",IF('Capacity summary'!$C$14="Yes",IF(COUNTBLANK('Capacity summary'!$H35:$BG35)&lt;52,IF('Capacity summary'!AA35&lt;&gt;"",IF(LOWER('Capacity summary'!AA35)="x",$BI123*AA123,VALUE('Capacity summary'!AA35)),0),AA123*$BI123),AA123*$BI123),0)</f>
        <v>0</v>
      </c>
      <c r="CE123" s="5">
        <f>IF($BI123&lt;&gt;"",IF('Capacity summary'!$C$14="Yes",IF(COUNTBLANK('Capacity summary'!$H35:$BG35)&lt;52,IF('Capacity summary'!AB35&lt;&gt;"",IF(LOWER('Capacity summary'!AB35)="x",$BI123*AB123,VALUE('Capacity summary'!AB35)),0),AB123*$BI123),AB123*$BI123),0)</f>
        <v>0</v>
      </c>
      <c r="CF123" s="5">
        <f>IF($BI123&lt;&gt;"",IF('Capacity summary'!$C$14="Yes",IF(COUNTBLANK('Capacity summary'!$H35:$BG35)&lt;52,IF('Capacity summary'!AC35&lt;&gt;"",IF(LOWER('Capacity summary'!AC35)="x",$BI123*AC123,VALUE('Capacity summary'!AC35)),0),AC123*$BI123),AC123*$BI123),0)</f>
        <v>0</v>
      </c>
      <c r="CG123" s="5">
        <f>IF($BI123&lt;&gt;"",IF('Capacity summary'!$C$14="Yes",IF(COUNTBLANK('Capacity summary'!$H35:$BG35)&lt;52,IF('Capacity summary'!AD35&lt;&gt;"",IF(LOWER('Capacity summary'!AD35)="x",$BI123*AD123,VALUE('Capacity summary'!AD35)),0),AD123*$BI123),AD123*$BI123),0)</f>
        <v>0</v>
      </c>
      <c r="CH123" s="5">
        <f>IF($BI123&lt;&gt;"",IF('Capacity summary'!$C$14="Yes",IF(COUNTBLANK('Capacity summary'!$H35:$BG35)&lt;52,IF('Capacity summary'!AE35&lt;&gt;"",IF(LOWER('Capacity summary'!AE35)="x",$BI123*AE123,VALUE('Capacity summary'!AE35)),0),AE123*$BI123),AE123*$BI123),0)</f>
        <v>0</v>
      </c>
      <c r="CI123" s="5">
        <f>IF($BI123&lt;&gt;"",IF('Capacity summary'!$C$14="Yes",IF(COUNTBLANK('Capacity summary'!$H35:$BG35)&lt;52,IF('Capacity summary'!AF35&lt;&gt;"",IF(LOWER('Capacity summary'!AF35)="x",$BI123*AF123,VALUE('Capacity summary'!AF35)),0),AF123*$BI123),AF123*$BI123),0)</f>
        <v>0</v>
      </c>
      <c r="CJ123" s="5">
        <f>IF($BI123&lt;&gt;"",IF('Capacity summary'!$C$14="Yes",IF(COUNTBLANK('Capacity summary'!$H35:$BG35)&lt;52,IF('Capacity summary'!AG35&lt;&gt;"",IF(LOWER('Capacity summary'!AG35)="x",$BI123*AG123,VALUE('Capacity summary'!AG35)),0),AG123*$BI123),AG123*$BI123),0)</f>
        <v>0</v>
      </c>
      <c r="CK123" s="5">
        <f>IF($BI123&lt;&gt;"",IF('Capacity summary'!$C$14="Yes",IF(COUNTBLANK('Capacity summary'!$H35:$BG35)&lt;52,IF('Capacity summary'!AH35&lt;&gt;"",IF(LOWER('Capacity summary'!AH35)="x",$BI123*AH123,VALUE('Capacity summary'!AH35)),0),AH123*$BI123),AH123*$BI123),0)</f>
        <v>0</v>
      </c>
      <c r="CL123" s="5">
        <f>IF($BI123&lt;&gt;"",IF('Capacity summary'!$C$14="Yes",IF(COUNTBLANK('Capacity summary'!$H35:$BG35)&lt;52,IF('Capacity summary'!AI35&lt;&gt;"",IF(LOWER('Capacity summary'!AI35)="x",$BI123*AI123,VALUE('Capacity summary'!AI35)),0),AI123*$BI123),AI123*$BI123),0)</f>
        <v>0</v>
      </c>
      <c r="CM123" s="5">
        <f>IF($BI123&lt;&gt;"",IF('Capacity summary'!$C$14="Yes",IF(COUNTBLANK('Capacity summary'!$H35:$BG35)&lt;52,IF('Capacity summary'!AJ35&lt;&gt;"",IF(LOWER('Capacity summary'!AJ35)="x",$BI123*AJ123,VALUE('Capacity summary'!AJ35)),0),AJ123*$BI123),AJ123*$BI123),0)</f>
        <v>0</v>
      </c>
      <c r="CN123" s="5">
        <f>IF($BI123&lt;&gt;"",IF('Capacity summary'!$C$14="Yes",IF(COUNTBLANK('Capacity summary'!$H35:$BG35)&lt;52,IF('Capacity summary'!AK35&lt;&gt;"",IF(LOWER('Capacity summary'!AK35)="x",$BI123*AK123,VALUE('Capacity summary'!AK35)),0),AK123*$BI123),AK123*$BI123),0)</f>
        <v>0</v>
      </c>
      <c r="CO123" s="5">
        <f>IF($BI123&lt;&gt;"",IF('Capacity summary'!$C$14="Yes",IF(COUNTBLANK('Capacity summary'!$H35:$BG35)&lt;52,IF('Capacity summary'!AL35&lt;&gt;"",IF(LOWER('Capacity summary'!AL35)="x",$BI123*AL123,VALUE('Capacity summary'!AL35)),0),AL123*$BI123),AL123*$BI123),0)</f>
        <v>0</v>
      </c>
      <c r="CP123" s="5">
        <f>IF($BI123&lt;&gt;"",IF('Capacity summary'!$C$14="Yes",IF(COUNTBLANK('Capacity summary'!$H35:$BG35)&lt;52,IF('Capacity summary'!AM35&lt;&gt;"",IF(LOWER('Capacity summary'!AM35)="x",$BI123*AM123,VALUE('Capacity summary'!AM35)),0),AM123*$BI123),AM123*$BI123),0)</f>
        <v>0</v>
      </c>
      <c r="CQ123" s="5">
        <f>IF($BI123&lt;&gt;"",IF('Capacity summary'!$C$14="Yes",IF(COUNTBLANK('Capacity summary'!$H35:$BG35)&lt;52,IF('Capacity summary'!AN35&lt;&gt;"",IF(LOWER('Capacity summary'!AN35)="x",$BI123*AN123,VALUE('Capacity summary'!AN35)),0),AN123*$BI123),AN123*$BI123),0)</f>
        <v>0</v>
      </c>
      <c r="CR123" s="5">
        <f>IF($BI123&lt;&gt;"",IF('Capacity summary'!$C$14="Yes",IF(COUNTBLANK('Capacity summary'!$H35:$BG35)&lt;52,IF('Capacity summary'!AO35&lt;&gt;"",IF(LOWER('Capacity summary'!AO35)="x",$BI123*AO123,VALUE('Capacity summary'!AO35)),0),AO123*$BI123),AO123*$BI123),0)</f>
        <v>0</v>
      </c>
      <c r="CS123" s="5">
        <f>IF($BI123&lt;&gt;"",IF('Capacity summary'!$C$14="Yes",IF(COUNTBLANK('Capacity summary'!$H35:$BG35)&lt;52,IF('Capacity summary'!AP35&lt;&gt;"",IF(LOWER('Capacity summary'!AP35)="x",$BI123*AP123,VALUE('Capacity summary'!AP35)),0),AP123*$BI123),AP123*$BI123),0)</f>
        <v>0</v>
      </c>
      <c r="CT123" s="5">
        <f>IF($BI123&lt;&gt;"",IF('Capacity summary'!$C$14="Yes",IF(COUNTBLANK('Capacity summary'!$H35:$BG35)&lt;52,IF('Capacity summary'!AQ35&lt;&gt;"",IF(LOWER('Capacity summary'!AQ35)="x",$BI123*AQ123,VALUE('Capacity summary'!AQ35)),0),AQ123*$BI123),AQ123*$BI123),0)</f>
        <v>0</v>
      </c>
      <c r="CU123" s="5">
        <f>IF($BI123&lt;&gt;"",IF('Capacity summary'!$C$14="Yes",IF(COUNTBLANK('Capacity summary'!$H35:$BG35)&lt;52,IF('Capacity summary'!AR35&lt;&gt;"",IF(LOWER('Capacity summary'!AR35)="x",$BI123*AR123,VALUE('Capacity summary'!AR35)),0),AR123*$BI123),AR123*$BI123),0)</f>
        <v>0</v>
      </c>
      <c r="CV123" s="5">
        <f>IF($BI123&lt;&gt;"",IF('Capacity summary'!$C$14="Yes",IF(COUNTBLANK('Capacity summary'!$H35:$BG35)&lt;52,IF('Capacity summary'!AS35&lt;&gt;"",IF(LOWER('Capacity summary'!AS35)="x",$BI123*AS123,VALUE('Capacity summary'!AS35)),0),AS123*$BI123),AS123*$BI123),0)</f>
        <v>0</v>
      </c>
      <c r="CW123" s="5">
        <f>IF($BI123&lt;&gt;"",IF('Capacity summary'!$C$14="Yes",IF(COUNTBLANK('Capacity summary'!$H35:$BG35)&lt;52,IF('Capacity summary'!AT35&lt;&gt;"",IF(LOWER('Capacity summary'!AT35)="x",$BI123*AT123,VALUE('Capacity summary'!AT35)),0),AT123*$BI123),AT123*$BI123),0)</f>
        <v>0</v>
      </c>
      <c r="CX123" s="5">
        <f>IF($BI123&lt;&gt;"",IF('Capacity summary'!$C$14="Yes",IF(COUNTBLANK('Capacity summary'!$H35:$BG35)&lt;52,IF('Capacity summary'!AU35&lt;&gt;"",IF(LOWER('Capacity summary'!AU35)="x",$BI123*AU123,VALUE('Capacity summary'!AU35)),0),AU123*$BI123),AU123*$BI123),0)</f>
        <v>0</v>
      </c>
      <c r="CY123" s="5">
        <f>IF($BI123&lt;&gt;"",IF('Capacity summary'!$C$14="Yes",IF(COUNTBLANK('Capacity summary'!$H35:$BG35)&lt;52,IF('Capacity summary'!AV35&lt;&gt;"",IF(LOWER('Capacity summary'!AV35)="x",$BI123*AV123,VALUE('Capacity summary'!AV35)),0),AV123*$BI123),AV123*$BI123),0)</f>
        <v>0</v>
      </c>
      <c r="CZ123" s="5">
        <f>IF($BI123&lt;&gt;"",IF('Capacity summary'!$C$14="Yes",IF(COUNTBLANK('Capacity summary'!$H35:$BG35)&lt;52,IF('Capacity summary'!AW35&lt;&gt;"",IF(LOWER('Capacity summary'!AW35)="x",$BI123*AW123,VALUE('Capacity summary'!AW35)),0),AW123*$BI123),AW123*$BI123),0)</f>
        <v>0</v>
      </c>
      <c r="DA123" s="5">
        <f>IF($BI123&lt;&gt;"",IF('Capacity summary'!$C$14="Yes",IF(COUNTBLANK('Capacity summary'!$H35:$BG35)&lt;52,IF('Capacity summary'!AX35&lt;&gt;"",IF(LOWER('Capacity summary'!AX35)="x",$BI123*AX123,VALUE('Capacity summary'!AX35)),0),AX123*$BI123),AX123*$BI123),0)</f>
        <v>0</v>
      </c>
      <c r="DB123" s="5">
        <f>IF($BI123&lt;&gt;"",IF('Capacity summary'!$C$14="Yes",IF(COUNTBLANK('Capacity summary'!$H35:$BG35)&lt;52,IF('Capacity summary'!AY35&lt;&gt;"",IF(LOWER('Capacity summary'!AY35)="x",$BI123*AY123,VALUE('Capacity summary'!AY35)),0),AY123*$BI123),AY123*$BI123),0)</f>
        <v>0</v>
      </c>
      <c r="DC123" s="5">
        <f>IF($BI123&lt;&gt;"",IF('Capacity summary'!$C$14="Yes",IF(COUNTBLANK('Capacity summary'!$H35:$BG35)&lt;52,IF('Capacity summary'!AZ35&lt;&gt;"",IF(LOWER('Capacity summary'!AZ35)="x",$BI123*AZ123,VALUE('Capacity summary'!AZ35)),0),AZ123*$BI123),AZ123*$BI123),0)</f>
        <v>0</v>
      </c>
      <c r="DD123" s="5">
        <f>IF($BI123&lt;&gt;"",IF('Capacity summary'!$C$14="Yes",IF(COUNTBLANK('Capacity summary'!$H35:$BG35)&lt;52,IF('Capacity summary'!BA35&lt;&gt;"",IF(LOWER('Capacity summary'!BA35)="x",$BI123*BA123,VALUE('Capacity summary'!BA35)),0),BA123*$BI123),BA123*$BI123),0)</f>
        <v>0</v>
      </c>
      <c r="DE123" s="5">
        <f>IF($BI123&lt;&gt;"",IF('Capacity summary'!$C$14="Yes",IF(COUNTBLANK('Capacity summary'!$H35:$BG35)&lt;52,IF('Capacity summary'!BB35&lt;&gt;"",IF(LOWER('Capacity summary'!BB35)="x",$BI123*BB123,VALUE('Capacity summary'!BB35)),0),BB123*$BI123),BB123*$BI123),0)</f>
        <v>0</v>
      </c>
      <c r="DF123" s="5">
        <f>IF($BI123&lt;&gt;"",IF('Capacity summary'!$C$14="Yes",IF(COUNTBLANK('Capacity summary'!$H35:$BG35)&lt;52,IF('Capacity summary'!BC35&lt;&gt;"",IF(LOWER('Capacity summary'!BC35)="x",$BI123*BC123,VALUE('Capacity summary'!BC35)),0),BC123*$BI123),BC123*$BI123),0)</f>
        <v>0</v>
      </c>
      <c r="DG123" s="5">
        <f>IF($BI123&lt;&gt;"",IF('Capacity summary'!$C$14="Yes",IF(COUNTBLANK('Capacity summary'!$H35:$BG35)&lt;52,IF('Capacity summary'!BD35&lt;&gt;"",IF(LOWER('Capacity summary'!BD35)="x",$BI123*BD123,VALUE('Capacity summary'!BD35)),0),BD123*$BI123),BD123*$BI123),0)</f>
        <v>0</v>
      </c>
      <c r="DH123" s="5">
        <f>IF($BI123&lt;&gt;"",IF('Capacity summary'!$C$14="Yes",IF(COUNTBLANK('Capacity summary'!$H35:$BG35)&lt;52,IF('Capacity summary'!BE35&lt;&gt;"",IF(LOWER('Capacity summary'!BE35)="x",$BI123*BE123,VALUE('Capacity summary'!BE35)),0),BE123*$BI123),BE123*$BI123),0)</f>
        <v>0</v>
      </c>
      <c r="DI123" s="5">
        <f>IF($BI123&lt;&gt;"",IF('Capacity summary'!$C$14="Yes",IF(COUNTBLANK('Capacity summary'!$H35:$BG35)&lt;52,IF('Capacity summary'!BF35&lt;&gt;"",IF(LOWER('Capacity summary'!BF35)="x",$BI123*BF123,VALUE('Capacity summary'!BF35)),0),BF123*$BI123),BF123*$BI123),0)</f>
        <v>0</v>
      </c>
      <c r="DJ123" s="5">
        <f>IF($BI123&lt;&gt;"",IF('Capacity summary'!$C$14="Yes",IF(COUNTBLANK('Capacity summary'!$H35:$BG35)&lt;52,IF('Capacity summary'!BG35&lt;&gt;"",IF(LOWER('Capacity summary'!BG35)="x",$BI123*BG123,VALUE('Capacity summary'!BG35)),0),BG123*$BI123),BG123*$BI123),0)</f>
        <v>0</v>
      </c>
      <c r="DK123" s="5">
        <f t="shared" ref="DK123" si="17">SUM(DK124:DK223)</f>
        <v>0</v>
      </c>
    </row>
    <row r="124" spans="3:115" x14ac:dyDescent="0.25">
      <c r="C124" s="67" t="str">
        <f>ROW(A13)&amp;". "&amp;Capacity!N29</f>
        <v xml:space="preserve">13. </v>
      </c>
      <c r="D124" s="67">
        <f>'Capacity setup'!C130</f>
        <v>0</v>
      </c>
      <c r="E124" s="67">
        <f>'Capacity setup'!D130</f>
        <v>0</v>
      </c>
      <c r="F124" s="67">
        <f>'Capacity setup'!E130</f>
        <v>0</v>
      </c>
      <c r="H124" s="67">
        <f ca="1">IF(AND(SUMIF(Capacity_Resource,$D124,'Critical resources (hide)'!U$6:U$105)+SUMIF(Capacity_Resource,$E124,'Critical resources (hide)'!U$6:U$105)+SUMIF(Capacity_Resource,$F124,'Critical resources (hide)'!U$6:U$105)&gt;0,$E$1=2),0,1)</f>
        <v>1</v>
      </c>
      <c r="I124" s="67">
        <f ca="1">IF(AND(SUMIF(Capacity_Resource,$D124,'Critical resources (hide)'!V$6:V$105)+SUMIF(Capacity_Resource,$E124,'Critical resources (hide)'!V$6:V$105)+SUMIF(Capacity_Resource,$F124,'Critical resources (hide)'!V$6:V$105)&gt;0,$E$1=2),0,1)</f>
        <v>1</v>
      </c>
      <c r="J124" s="67">
        <f ca="1">IF(AND(SUMIF(Capacity_Resource,$D124,'Critical resources (hide)'!W$6:W$105)+SUMIF(Capacity_Resource,$E124,'Critical resources (hide)'!W$6:W$105)+SUMIF(Capacity_Resource,$F124,'Critical resources (hide)'!W$6:W$105)&gt;0,$E$1=2),0,1)</f>
        <v>1</v>
      </c>
      <c r="K124" s="67">
        <f ca="1">IF(AND(SUMIF(Capacity_Resource,$D124,'Critical resources (hide)'!X$6:X$105)+SUMIF(Capacity_Resource,$E124,'Critical resources (hide)'!X$6:X$105)+SUMIF(Capacity_Resource,$F124,'Critical resources (hide)'!X$6:X$105)&gt;0,$E$1=2),0,1)</f>
        <v>1</v>
      </c>
      <c r="L124" s="67">
        <f ca="1">IF(AND(SUMIF(Capacity_Resource,$D124,'Critical resources (hide)'!Y$6:Y$105)+SUMIF(Capacity_Resource,$E124,'Critical resources (hide)'!Y$6:Y$105)+SUMIF(Capacity_Resource,$F124,'Critical resources (hide)'!Y$6:Y$105)&gt;0,$E$1=2),0,1)</f>
        <v>1</v>
      </c>
      <c r="M124" s="67">
        <f ca="1">IF(AND(SUMIF(Capacity_Resource,$D124,'Critical resources (hide)'!Z$6:Z$105)+SUMIF(Capacity_Resource,$E124,'Critical resources (hide)'!Z$6:Z$105)+SUMIF(Capacity_Resource,$F124,'Critical resources (hide)'!Z$6:Z$105)&gt;0,$E$1=2),0,1)</f>
        <v>1</v>
      </c>
      <c r="N124" s="67">
        <f ca="1">IF(AND(SUMIF(Capacity_Resource,$D124,'Critical resources (hide)'!AA$6:AA$105)+SUMIF(Capacity_Resource,$E124,'Critical resources (hide)'!AA$6:AA$105)+SUMIF(Capacity_Resource,$F124,'Critical resources (hide)'!AA$6:AA$105)&gt;0,$E$1=2),0,1)</f>
        <v>1</v>
      </c>
      <c r="O124" s="67">
        <f ca="1">IF(AND(SUMIF(Capacity_Resource,$D124,'Critical resources (hide)'!AB$6:AB$105)+SUMIF(Capacity_Resource,$E124,'Critical resources (hide)'!AB$6:AB$105)+SUMIF(Capacity_Resource,$F124,'Critical resources (hide)'!AB$6:AB$105)&gt;0,$E$1=2),0,1)</f>
        <v>1</v>
      </c>
      <c r="P124" s="67">
        <f ca="1">IF(AND(SUMIF(Capacity_Resource,$D124,'Critical resources (hide)'!AC$6:AC$105)+SUMIF(Capacity_Resource,$E124,'Critical resources (hide)'!AC$6:AC$105)+SUMIF(Capacity_Resource,$F124,'Critical resources (hide)'!AC$6:AC$105)&gt;0,$E$1=2),0,1)</f>
        <v>1</v>
      </c>
      <c r="Q124" s="67">
        <f ca="1">IF(AND(SUMIF(Capacity_Resource,$D124,'Critical resources (hide)'!AD$6:AD$105)+SUMIF(Capacity_Resource,$E124,'Critical resources (hide)'!AD$6:AD$105)+SUMIF(Capacity_Resource,$F124,'Critical resources (hide)'!AD$6:AD$105)&gt;0,$E$1=2),0,1)</f>
        <v>1</v>
      </c>
      <c r="R124" s="67">
        <f ca="1">IF(AND(SUMIF(Capacity_Resource,$D124,'Critical resources (hide)'!AE$6:AE$105)+SUMIF(Capacity_Resource,$E124,'Critical resources (hide)'!AE$6:AE$105)+SUMIF(Capacity_Resource,$F124,'Critical resources (hide)'!AE$6:AE$105)&gt;0,$E$1=2),0,1)</f>
        <v>1</v>
      </c>
      <c r="S124" s="67">
        <f ca="1">IF(AND(SUMIF(Capacity_Resource,$D124,'Critical resources (hide)'!AF$6:AF$105)+SUMIF(Capacity_Resource,$E124,'Critical resources (hide)'!AF$6:AF$105)+SUMIF(Capacity_Resource,$F124,'Critical resources (hide)'!AF$6:AF$105)&gt;0,$E$1=2),0,1)</f>
        <v>1</v>
      </c>
      <c r="T124" s="67">
        <f ca="1">IF(AND(SUMIF(Capacity_Resource,$D124,'Critical resources (hide)'!AG$6:AG$105)+SUMIF(Capacity_Resource,$E124,'Critical resources (hide)'!AG$6:AG$105)+SUMIF(Capacity_Resource,$F124,'Critical resources (hide)'!AG$6:AG$105)&gt;0,$E$1=2),0,1)</f>
        <v>1</v>
      </c>
      <c r="U124" s="67">
        <f ca="1">IF(AND(SUMIF(Capacity_Resource,$D124,'Critical resources (hide)'!AH$6:AH$105)+SUMIF(Capacity_Resource,$E124,'Critical resources (hide)'!AH$6:AH$105)+SUMIF(Capacity_Resource,$F124,'Critical resources (hide)'!AH$6:AH$105)&gt;0,$E$1=2),0,1)</f>
        <v>1</v>
      </c>
      <c r="V124" s="67">
        <f ca="1">IF(AND(SUMIF(Capacity_Resource,$D124,'Critical resources (hide)'!AI$6:AI$105)+SUMIF(Capacity_Resource,$E124,'Critical resources (hide)'!AI$6:AI$105)+SUMIF(Capacity_Resource,$F124,'Critical resources (hide)'!AI$6:AI$105)&gt;0,$E$1=2),0,1)</f>
        <v>1</v>
      </c>
      <c r="W124" s="67">
        <f ca="1">IF(AND(SUMIF(Capacity_Resource,$D124,'Critical resources (hide)'!AJ$6:AJ$105)+SUMIF(Capacity_Resource,$E124,'Critical resources (hide)'!AJ$6:AJ$105)+SUMIF(Capacity_Resource,$F124,'Critical resources (hide)'!AJ$6:AJ$105)&gt;0,$E$1=2),0,1)</f>
        <v>1</v>
      </c>
      <c r="X124" s="67">
        <f ca="1">IF(AND(SUMIF(Capacity_Resource,$D124,'Critical resources (hide)'!AK$6:AK$105)+SUMIF(Capacity_Resource,$E124,'Critical resources (hide)'!AK$6:AK$105)+SUMIF(Capacity_Resource,$F124,'Critical resources (hide)'!AK$6:AK$105)&gt;0,$E$1=2),0,1)</f>
        <v>1</v>
      </c>
      <c r="Y124" s="67">
        <f ca="1">IF(AND(SUMIF(Capacity_Resource,$D124,'Critical resources (hide)'!AL$6:AL$105)+SUMIF(Capacity_Resource,$E124,'Critical resources (hide)'!AL$6:AL$105)+SUMIF(Capacity_Resource,$F124,'Critical resources (hide)'!AL$6:AL$105)&gt;0,$E$1=2),0,1)</f>
        <v>1</v>
      </c>
      <c r="Z124" s="67">
        <f ca="1">IF(AND(SUMIF(Capacity_Resource,$D124,'Critical resources (hide)'!AM$6:AM$105)+SUMIF(Capacity_Resource,$E124,'Critical resources (hide)'!AM$6:AM$105)+SUMIF(Capacity_Resource,$F124,'Critical resources (hide)'!AM$6:AM$105)&gt;0,$E$1=2),0,1)</f>
        <v>1</v>
      </c>
      <c r="AA124" s="67">
        <f ca="1">IF(AND(SUMIF(Capacity_Resource,$D124,'Critical resources (hide)'!AN$6:AN$105)+SUMIF(Capacity_Resource,$E124,'Critical resources (hide)'!AN$6:AN$105)+SUMIF(Capacity_Resource,$F124,'Critical resources (hide)'!AN$6:AN$105)&gt;0,$E$1=2),0,1)</f>
        <v>1</v>
      </c>
      <c r="AB124" s="67">
        <f ca="1">IF(AND(SUMIF(Capacity_Resource,$D124,'Critical resources (hide)'!AO$6:AO$105)+SUMIF(Capacity_Resource,$E124,'Critical resources (hide)'!AO$6:AO$105)+SUMIF(Capacity_Resource,$F124,'Critical resources (hide)'!AO$6:AO$105)&gt;0,$E$1=2),0,1)</f>
        <v>1</v>
      </c>
      <c r="AC124" s="67">
        <f ca="1">IF(AND(SUMIF(Capacity_Resource,$D124,'Critical resources (hide)'!AP$6:AP$105)+SUMIF(Capacity_Resource,$E124,'Critical resources (hide)'!AP$6:AP$105)+SUMIF(Capacity_Resource,$F124,'Critical resources (hide)'!AP$6:AP$105)&gt;0,$E$1=2),0,1)</f>
        <v>1</v>
      </c>
      <c r="AD124" s="67">
        <f ca="1">IF(AND(SUMIF(Capacity_Resource,$D124,'Critical resources (hide)'!AQ$6:AQ$105)+SUMIF(Capacity_Resource,$E124,'Critical resources (hide)'!AQ$6:AQ$105)+SUMIF(Capacity_Resource,$F124,'Critical resources (hide)'!AQ$6:AQ$105)&gt;0,$E$1=2),0,1)</f>
        <v>1</v>
      </c>
      <c r="AE124" s="67">
        <f ca="1">IF(AND(SUMIF(Capacity_Resource,$D124,'Critical resources (hide)'!AR$6:AR$105)+SUMIF(Capacity_Resource,$E124,'Critical resources (hide)'!AR$6:AR$105)+SUMIF(Capacity_Resource,$F124,'Critical resources (hide)'!AR$6:AR$105)&gt;0,$E$1=2),0,1)</f>
        <v>1</v>
      </c>
      <c r="AF124" s="67">
        <f ca="1">IF(AND(SUMIF(Capacity_Resource,$D124,'Critical resources (hide)'!AS$6:AS$105)+SUMIF(Capacity_Resource,$E124,'Critical resources (hide)'!AS$6:AS$105)+SUMIF(Capacity_Resource,$F124,'Critical resources (hide)'!AS$6:AS$105)&gt;0,$E$1=2),0,1)</f>
        <v>1</v>
      </c>
      <c r="AG124" s="67">
        <f ca="1">IF(AND(SUMIF(Capacity_Resource,$D124,'Critical resources (hide)'!AT$6:AT$105)+SUMIF(Capacity_Resource,$E124,'Critical resources (hide)'!AT$6:AT$105)+SUMIF(Capacity_Resource,$F124,'Critical resources (hide)'!AT$6:AT$105)&gt;0,$E$1=2),0,1)</f>
        <v>1</v>
      </c>
      <c r="AH124" s="67">
        <f ca="1">IF(AND(SUMIF(Capacity_Resource,$D124,'Critical resources (hide)'!AU$6:AU$105)+SUMIF(Capacity_Resource,$E124,'Critical resources (hide)'!AU$6:AU$105)+SUMIF(Capacity_Resource,$F124,'Critical resources (hide)'!AU$6:AU$105)&gt;0,$E$1=2),0,1)</f>
        <v>1</v>
      </c>
      <c r="AI124" s="67">
        <f ca="1">IF(AND(SUMIF(Capacity_Resource,$D124,'Critical resources (hide)'!AV$6:AV$105)+SUMIF(Capacity_Resource,$E124,'Critical resources (hide)'!AV$6:AV$105)+SUMIF(Capacity_Resource,$F124,'Critical resources (hide)'!AV$6:AV$105)&gt;0,$E$1=2),0,1)</f>
        <v>1</v>
      </c>
      <c r="AJ124" s="67">
        <f ca="1">IF(AND(SUMIF(Capacity_Resource,$D124,'Critical resources (hide)'!AW$6:AW$105)+SUMIF(Capacity_Resource,$E124,'Critical resources (hide)'!AW$6:AW$105)+SUMIF(Capacity_Resource,$F124,'Critical resources (hide)'!AW$6:AW$105)&gt;0,$E$1=2),0,1)</f>
        <v>1</v>
      </c>
      <c r="AK124" s="67">
        <f ca="1">IF(AND(SUMIF(Capacity_Resource,$D124,'Critical resources (hide)'!AX$6:AX$105)+SUMIF(Capacity_Resource,$E124,'Critical resources (hide)'!AX$6:AX$105)+SUMIF(Capacity_Resource,$F124,'Critical resources (hide)'!AX$6:AX$105)&gt;0,$E$1=2),0,1)</f>
        <v>1</v>
      </c>
      <c r="AL124" s="67">
        <f ca="1">IF(AND(SUMIF(Capacity_Resource,$D124,'Critical resources (hide)'!AY$6:AY$105)+SUMIF(Capacity_Resource,$E124,'Critical resources (hide)'!AY$6:AY$105)+SUMIF(Capacity_Resource,$F124,'Critical resources (hide)'!AY$6:AY$105)&gt;0,$E$1=2),0,1)</f>
        <v>1</v>
      </c>
      <c r="AM124" s="67">
        <f ca="1">IF(AND(SUMIF(Capacity_Resource,$D124,'Critical resources (hide)'!AZ$6:AZ$105)+SUMIF(Capacity_Resource,$E124,'Critical resources (hide)'!AZ$6:AZ$105)+SUMIF(Capacity_Resource,$F124,'Critical resources (hide)'!AZ$6:AZ$105)&gt;0,$E$1=2),0,1)</f>
        <v>1</v>
      </c>
      <c r="AN124" s="67">
        <f ca="1">IF(AND(SUMIF(Capacity_Resource,$D124,'Critical resources (hide)'!BA$6:BA$105)+SUMIF(Capacity_Resource,$E124,'Critical resources (hide)'!BA$6:BA$105)+SUMIF(Capacity_Resource,$F124,'Critical resources (hide)'!BA$6:BA$105)&gt;0,$E$1=2),0,1)</f>
        <v>1</v>
      </c>
      <c r="AO124" s="67">
        <f ca="1">IF(AND(SUMIF(Capacity_Resource,$D124,'Critical resources (hide)'!BB$6:BB$105)+SUMIF(Capacity_Resource,$E124,'Critical resources (hide)'!BB$6:BB$105)+SUMIF(Capacity_Resource,$F124,'Critical resources (hide)'!BB$6:BB$105)&gt;0,$E$1=2),0,1)</f>
        <v>1</v>
      </c>
      <c r="AP124" s="67">
        <f ca="1">IF(AND(SUMIF(Capacity_Resource,$D124,'Critical resources (hide)'!BC$6:BC$105)+SUMIF(Capacity_Resource,$E124,'Critical resources (hide)'!BC$6:BC$105)+SUMIF(Capacity_Resource,$F124,'Critical resources (hide)'!BC$6:BC$105)&gt;0,$E$1=2),0,1)</f>
        <v>1</v>
      </c>
      <c r="AQ124" s="67">
        <f ca="1">IF(AND(SUMIF(Capacity_Resource,$D124,'Critical resources (hide)'!BD$6:BD$105)+SUMIF(Capacity_Resource,$E124,'Critical resources (hide)'!BD$6:BD$105)+SUMIF(Capacity_Resource,$F124,'Critical resources (hide)'!BD$6:BD$105)&gt;0,$E$1=2),0,1)</f>
        <v>1</v>
      </c>
      <c r="AR124" s="67">
        <f ca="1">IF(AND(SUMIF(Capacity_Resource,$D124,'Critical resources (hide)'!BE$6:BE$105)+SUMIF(Capacity_Resource,$E124,'Critical resources (hide)'!BE$6:BE$105)+SUMIF(Capacity_Resource,$F124,'Critical resources (hide)'!BE$6:BE$105)&gt;0,$E$1=2),0,1)</f>
        <v>1</v>
      </c>
      <c r="AS124" s="67">
        <f ca="1">IF(AND(SUMIF(Capacity_Resource,$D124,'Critical resources (hide)'!BF$6:BF$105)+SUMIF(Capacity_Resource,$E124,'Critical resources (hide)'!BF$6:BF$105)+SUMIF(Capacity_Resource,$F124,'Critical resources (hide)'!BF$6:BF$105)&gt;0,$E$1=2),0,1)</f>
        <v>1</v>
      </c>
      <c r="AT124" s="67">
        <f ca="1">IF(AND(SUMIF(Capacity_Resource,$D124,'Critical resources (hide)'!BG$6:BG$105)+SUMIF(Capacity_Resource,$E124,'Critical resources (hide)'!BG$6:BG$105)+SUMIF(Capacity_Resource,$F124,'Critical resources (hide)'!BG$6:BG$105)&gt;0,$E$1=2),0,1)</f>
        <v>1</v>
      </c>
      <c r="AU124" s="67">
        <f ca="1">IF(AND(SUMIF(Capacity_Resource,$D124,'Critical resources (hide)'!BH$6:BH$105)+SUMIF(Capacity_Resource,$E124,'Critical resources (hide)'!BH$6:BH$105)+SUMIF(Capacity_Resource,$F124,'Critical resources (hide)'!BH$6:BH$105)&gt;0,$E$1=2),0,1)</f>
        <v>1</v>
      </c>
      <c r="AV124" s="67">
        <f ca="1">IF(AND(SUMIF(Capacity_Resource,$D124,'Critical resources (hide)'!BI$6:BI$105)+SUMIF(Capacity_Resource,$E124,'Critical resources (hide)'!BI$6:BI$105)+SUMIF(Capacity_Resource,$F124,'Critical resources (hide)'!BI$6:BI$105)&gt;0,$E$1=2),0,1)</f>
        <v>1</v>
      </c>
      <c r="AW124" s="67">
        <f ca="1">IF(AND(SUMIF(Capacity_Resource,$D124,'Critical resources (hide)'!BJ$6:BJ$105)+SUMIF(Capacity_Resource,$E124,'Critical resources (hide)'!BJ$6:BJ$105)+SUMIF(Capacity_Resource,$F124,'Critical resources (hide)'!BJ$6:BJ$105)&gt;0,$E$1=2),0,1)</f>
        <v>1</v>
      </c>
      <c r="AX124" s="67">
        <f ca="1">IF(AND(SUMIF(Capacity_Resource,$D124,'Critical resources (hide)'!BK$6:BK$105)+SUMIF(Capacity_Resource,$E124,'Critical resources (hide)'!BK$6:BK$105)+SUMIF(Capacity_Resource,$F124,'Critical resources (hide)'!BK$6:BK$105)&gt;0,$E$1=2),0,1)</f>
        <v>1</v>
      </c>
      <c r="AY124" s="67">
        <f ca="1">IF(AND(SUMIF(Capacity_Resource,$D124,'Critical resources (hide)'!BL$6:BL$105)+SUMIF(Capacity_Resource,$E124,'Critical resources (hide)'!BL$6:BL$105)+SUMIF(Capacity_Resource,$F124,'Critical resources (hide)'!BL$6:BL$105)&gt;0,$E$1=2),0,1)</f>
        <v>1</v>
      </c>
      <c r="AZ124" s="67">
        <f ca="1">IF(AND(SUMIF(Capacity_Resource,$D124,'Critical resources (hide)'!BM$6:BM$105)+SUMIF(Capacity_Resource,$E124,'Critical resources (hide)'!BM$6:BM$105)+SUMIF(Capacity_Resource,$F124,'Critical resources (hide)'!BM$6:BM$105)&gt;0,$E$1=2),0,1)</f>
        <v>1</v>
      </c>
      <c r="BA124" s="67">
        <f ca="1">IF(AND(SUMIF(Capacity_Resource,$D124,'Critical resources (hide)'!BN$6:BN$105)+SUMIF(Capacity_Resource,$E124,'Critical resources (hide)'!BN$6:BN$105)+SUMIF(Capacity_Resource,$F124,'Critical resources (hide)'!BN$6:BN$105)&gt;0,$E$1=2),0,1)</f>
        <v>1</v>
      </c>
      <c r="BB124" s="67">
        <f ca="1">IF(AND(SUMIF(Capacity_Resource,$D124,'Critical resources (hide)'!BO$6:BO$105)+SUMIF(Capacity_Resource,$E124,'Critical resources (hide)'!BO$6:BO$105)+SUMIF(Capacity_Resource,$F124,'Critical resources (hide)'!BO$6:BO$105)&gt;0,$E$1=2),0,1)</f>
        <v>1</v>
      </c>
      <c r="BC124" s="67">
        <f ca="1">IF(AND(SUMIF(Capacity_Resource,$D124,'Critical resources (hide)'!BP$6:BP$105)+SUMIF(Capacity_Resource,$E124,'Critical resources (hide)'!BP$6:BP$105)+SUMIF(Capacity_Resource,$F124,'Critical resources (hide)'!BP$6:BP$105)&gt;0,$E$1=2),0,1)</f>
        <v>1</v>
      </c>
      <c r="BD124" s="67">
        <f ca="1">IF(AND(SUMIF(Capacity_Resource,$D124,'Critical resources (hide)'!BQ$6:BQ$105)+SUMIF(Capacity_Resource,$E124,'Critical resources (hide)'!BQ$6:BQ$105)+SUMIF(Capacity_Resource,$F124,'Critical resources (hide)'!BQ$6:BQ$105)&gt;0,$E$1=2),0,1)</f>
        <v>1</v>
      </c>
      <c r="BE124" s="67">
        <f ca="1">IF(AND(SUMIF(Capacity_Resource,$D124,'Critical resources (hide)'!BR$6:BR$105)+SUMIF(Capacity_Resource,$E124,'Critical resources (hide)'!BR$6:BR$105)+SUMIF(Capacity_Resource,$F124,'Critical resources (hide)'!BR$6:BR$105)&gt;0,$E$1=2),0,1)</f>
        <v>1</v>
      </c>
      <c r="BF124" s="67">
        <f ca="1">IF(AND(SUMIF(Capacity_Resource,$D124,'Critical resources (hide)'!BS$6:BS$105)+SUMIF(Capacity_Resource,$E124,'Critical resources (hide)'!BS$6:BS$105)+SUMIF(Capacity_Resource,$F124,'Critical resources (hide)'!BS$6:BS$105)&gt;0,$E$1=2),0,1)</f>
        <v>1</v>
      </c>
      <c r="BG124" s="67">
        <f ca="1">IF(AND(SUMIF(Capacity_Resource,$D124,'Critical resources (hide)'!BT$6:BT$105)+SUMIF(Capacity_Resource,$E124,'Critical resources (hide)'!BT$6:BT$105)+SUMIF(Capacity_Resource,$F124,'Critical resources (hide)'!BT$6:BT$105)&gt;0,$E$1=2),0,1)</f>
        <v>1</v>
      </c>
      <c r="BH124" s="67">
        <f>IF(ROW(A13)&lt;=Capacity!$M$16,IF('Capacity summary'!$C$14="No",SUM(H124:BG124),'Capacity summary'!$E36),0)</f>
        <v>0</v>
      </c>
      <c r="BI124" s="67" t="str">
        <f>IF(BH124&gt;0,IF(BH124&lt;Capacity!Q29,Capacity!R29,Capacity!T29/'Capacity calculation (hide)'!BH124),"")</f>
        <v/>
      </c>
      <c r="BJ124" s="5"/>
      <c r="BK124" s="5">
        <f>IF($BI124&lt;&gt;"",IF('Capacity summary'!$C$14="Yes",IF(COUNTBLANK('Capacity summary'!$H36:$BG36)&lt;52,IF('Capacity summary'!H36&lt;&gt;"",IF(LOWER('Capacity summary'!H36)="x",$BI124*H124,VALUE('Capacity summary'!H36)),0),H124*$BI124),H124*$BI124),0)</f>
        <v>0</v>
      </c>
      <c r="BL124" s="5">
        <f>IF($BI124&lt;&gt;"",IF('Capacity summary'!$C$14="Yes",IF(COUNTBLANK('Capacity summary'!$H36:$BG36)&lt;52,IF('Capacity summary'!I36&lt;&gt;"",IF(LOWER('Capacity summary'!I36)="x",$BI124*I124,VALUE('Capacity summary'!I36)),0),I124*$BI124),I124*$BI124),0)</f>
        <v>0</v>
      </c>
      <c r="BM124" s="5">
        <f>IF($BI124&lt;&gt;"",IF('Capacity summary'!$C$14="Yes",IF(COUNTBLANK('Capacity summary'!$H36:$BG36)&lt;52,IF('Capacity summary'!J36&lt;&gt;"",IF(LOWER('Capacity summary'!J36)="x",$BI124*J124,VALUE('Capacity summary'!J36)),0),J124*$BI124),J124*$BI124),0)</f>
        <v>0</v>
      </c>
      <c r="BN124" s="5">
        <f>IF($BI124&lt;&gt;"",IF('Capacity summary'!$C$14="Yes",IF(COUNTBLANK('Capacity summary'!$H36:$BG36)&lt;52,IF('Capacity summary'!K36&lt;&gt;"",IF(LOWER('Capacity summary'!K36)="x",$BI124*K124,VALUE('Capacity summary'!K36)),0),K124*$BI124),K124*$BI124),0)</f>
        <v>0</v>
      </c>
      <c r="BO124" s="5">
        <f>IF($BI124&lt;&gt;"",IF('Capacity summary'!$C$14="Yes",IF(COUNTBLANK('Capacity summary'!$H36:$BG36)&lt;52,IF('Capacity summary'!L36&lt;&gt;"",IF(LOWER('Capacity summary'!L36)="x",$BI124*L124,VALUE('Capacity summary'!L36)),0),L124*$BI124),L124*$BI124),0)</f>
        <v>0</v>
      </c>
      <c r="BP124" s="5">
        <f>IF($BI124&lt;&gt;"",IF('Capacity summary'!$C$14="Yes",IF(COUNTBLANK('Capacity summary'!$H36:$BG36)&lt;52,IF('Capacity summary'!M36&lt;&gt;"",IF(LOWER('Capacity summary'!M36)="x",$BI124*M124,VALUE('Capacity summary'!M36)),0),M124*$BI124),M124*$BI124),0)</f>
        <v>0</v>
      </c>
      <c r="BQ124" s="5">
        <f>IF($BI124&lt;&gt;"",IF('Capacity summary'!$C$14="Yes",IF(COUNTBLANK('Capacity summary'!$H36:$BG36)&lt;52,IF('Capacity summary'!N36&lt;&gt;"",IF(LOWER('Capacity summary'!N36)="x",$BI124*N124,VALUE('Capacity summary'!N36)),0),N124*$BI124),N124*$BI124),0)</f>
        <v>0</v>
      </c>
      <c r="BR124" s="5">
        <f>IF($BI124&lt;&gt;"",IF('Capacity summary'!$C$14="Yes",IF(COUNTBLANK('Capacity summary'!$H36:$BG36)&lt;52,IF('Capacity summary'!O36&lt;&gt;"",IF(LOWER('Capacity summary'!O36)="x",$BI124*O124,VALUE('Capacity summary'!O36)),0),O124*$BI124),O124*$BI124),0)</f>
        <v>0</v>
      </c>
      <c r="BS124" s="5">
        <f>IF($BI124&lt;&gt;"",IF('Capacity summary'!$C$14="Yes",IF(COUNTBLANK('Capacity summary'!$H36:$BG36)&lt;52,IF('Capacity summary'!P36&lt;&gt;"",IF(LOWER('Capacity summary'!P36)="x",$BI124*P124,VALUE('Capacity summary'!P36)),0),P124*$BI124),P124*$BI124),0)</f>
        <v>0</v>
      </c>
      <c r="BT124" s="5">
        <f>IF($BI124&lt;&gt;"",IF('Capacity summary'!$C$14="Yes",IF(COUNTBLANK('Capacity summary'!$H36:$BG36)&lt;52,IF('Capacity summary'!Q36&lt;&gt;"",IF(LOWER('Capacity summary'!Q36)="x",$BI124*Q124,VALUE('Capacity summary'!Q36)),0),Q124*$BI124),Q124*$BI124),0)</f>
        <v>0</v>
      </c>
      <c r="BU124" s="5">
        <f>IF($BI124&lt;&gt;"",IF('Capacity summary'!$C$14="Yes",IF(COUNTBLANK('Capacity summary'!$H36:$BG36)&lt;52,IF('Capacity summary'!R36&lt;&gt;"",IF(LOWER('Capacity summary'!R36)="x",$BI124*R124,VALUE('Capacity summary'!R36)),0),R124*$BI124),R124*$BI124),0)</f>
        <v>0</v>
      </c>
      <c r="BV124" s="5">
        <f>IF($BI124&lt;&gt;"",IF('Capacity summary'!$C$14="Yes",IF(COUNTBLANK('Capacity summary'!$H36:$BG36)&lt;52,IF('Capacity summary'!S36&lt;&gt;"",IF(LOWER('Capacity summary'!S36)="x",$BI124*S124,VALUE('Capacity summary'!S36)),0),S124*$BI124),S124*$BI124),0)</f>
        <v>0</v>
      </c>
      <c r="BW124" s="5">
        <f>IF($BI124&lt;&gt;"",IF('Capacity summary'!$C$14="Yes",IF(COUNTBLANK('Capacity summary'!$H36:$BG36)&lt;52,IF('Capacity summary'!T36&lt;&gt;"",IF(LOWER('Capacity summary'!T36)="x",$BI124*T124,VALUE('Capacity summary'!T36)),0),T124*$BI124),T124*$BI124),0)</f>
        <v>0</v>
      </c>
      <c r="BX124" s="5">
        <f>IF($BI124&lt;&gt;"",IF('Capacity summary'!$C$14="Yes",IF(COUNTBLANK('Capacity summary'!$H36:$BG36)&lt;52,IF('Capacity summary'!U36&lt;&gt;"",IF(LOWER('Capacity summary'!U36)="x",$BI124*U124,VALUE('Capacity summary'!U36)),0),U124*$BI124),U124*$BI124),0)</f>
        <v>0</v>
      </c>
      <c r="BY124" s="5">
        <f>IF($BI124&lt;&gt;"",IF('Capacity summary'!$C$14="Yes",IF(COUNTBLANK('Capacity summary'!$H36:$BG36)&lt;52,IF('Capacity summary'!V36&lt;&gt;"",IF(LOWER('Capacity summary'!V36)="x",$BI124*V124,VALUE('Capacity summary'!V36)),0),V124*$BI124),V124*$BI124),0)</f>
        <v>0</v>
      </c>
      <c r="BZ124" s="5">
        <f>IF($BI124&lt;&gt;"",IF('Capacity summary'!$C$14="Yes",IF(COUNTBLANK('Capacity summary'!$H36:$BG36)&lt;52,IF('Capacity summary'!W36&lt;&gt;"",IF(LOWER('Capacity summary'!W36)="x",$BI124*W124,VALUE('Capacity summary'!W36)),0),W124*$BI124),W124*$BI124),0)</f>
        <v>0</v>
      </c>
      <c r="CA124" s="5">
        <f>IF($BI124&lt;&gt;"",IF('Capacity summary'!$C$14="Yes",IF(COUNTBLANK('Capacity summary'!$H36:$BG36)&lt;52,IF('Capacity summary'!X36&lt;&gt;"",IF(LOWER('Capacity summary'!X36)="x",$BI124*X124,VALUE('Capacity summary'!X36)),0),X124*$BI124),X124*$BI124),0)</f>
        <v>0</v>
      </c>
      <c r="CB124" s="5">
        <f>IF($BI124&lt;&gt;"",IF('Capacity summary'!$C$14="Yes",IF(COUNTBLANK('Capacity summary'!$H36:$BG36)&lt;52,IF('Capacity summary'!Y36&lt;&gt;"",IF(LOWER('Capacity summary'!Y36)="x",$BI124*Y124,VALUE('Capacity summary'!Y36)),0),Y124*$BI124),Y124*$BI124),0)</f>
        <v>0</v>
      </c>
      <c r="CC124" s="5">
        <f>IF($BI124&lt;&gt;"",IF('Capacity summary'!$C$14="Yes",IF(COUNTBLANK('Capacity summary'!$H36:$BG36)&lt;52,IF('Capacity summary'!Z36&lt;&gt;"",IF(LOWER('Capacity summary'!Z36)="x",$BI124*Z124,VALUE('Capacity summary'!Z36)),0),Z124*$BI124),Z124*$BI124),0)</f>
        <v>0</v>
      </c>
      <c r="CD124" s="5">
        <f>IF($BI124&lt;&gt;"",IF('Capacity summary'!$C$14="Yes",IF(COUNTBLANK('Capacity summary'!$H36:$BG36)&lt;52,IF('Capacity summary'!AA36&lt;&gt;"",IF(LOWER('Capacity summary'!AA36)="x",$BI124*AA124,VALUE('Capacity summary'!AA36)),0),AA124*$BI124),AA124*$BI124),0)</f>
        <v>0</v>
      </c>
      <c r="CE124" s="5">
        <f>IF($BI124&lt;&gt;"",IF('Capacity summary'!$C$14="Yes",IF(COUNTBLANK('Capacity summary'!$H36:$BG36)&lt;52,IF('Capacity summary'!AB36&lt;&gt;"",IF(LOWER('Capacity summary'!AB36)="x",$BI124*AB124,VALUE('Capacity summary'!AB36)),0),AB124*$BI124),AB124*$BI124),0)</f>
        <v>0</v>
      </c>
      <c r="CF124" s="5">
        <f>IF($BI124&lt;&gt;"",IF('Capacity summary'!$C$14="Yes",IF(COUNTBLANK('Capacity summary'!$H36:$BG36)&lt;52,IF('Capacity summary'!AC36&lt;&gt;"",IF(LOWER('Capacity summary'!AC36)="x",$BI124*AC124,VALUE('Capacity summary'!AC36)),0),AC124*$BI124),AC124*$BI124),0)</f>
        <v>0</v>
      </c>
      <c r="CG124" s="5">
        <f>IF($BI124&lt;&gt;"",IF('Capacity summary'!$C$14="Yes",IF(COUNTBLANK('Capacity summary'!$H36:$BG36)&lt;52,IF('Capacity summary'!AD36&lt;&gt;"",IF(LOWER('Capacity summary'!AD36)="x",$BI124*AD124,VALUE('Capacity summary'!AD36)),0),AD124*$BI124),AD124*$BI124),0)</f>
        <v>0</v>
      </c>
      <c r="CH124" s="5">
        <f>IF($BI124&lt;&gt;"",IF('Capacity summary'!$C$14="Yes",IF(COUNTBLANK('Capacity summary'!$H36:$BG36)&lt;52,IF('Capacity summary'!AE36&lt;&gt;"",IF(LOWER('Capacity summary'!AE36)="x",$BI124*AE124,VALUE('Capacity summary'!AE36)),0),AE124*$BI124),AE124*$BI124),0)</f>
        <v>0</v>
      </c>
      <c r="CI124" s="5">
        <f>IF($BI124&lt;&gt;"",IF('Capacity summary'!$C$14="Yes",IF(COUNTBLANK('Capacity summary'!$H36:$BG36)&lt;52,IF('Capacity summary'!AF36&lt;&gt;"",IF(LOWER('Capacity summary'!AF36)="x",$BI124*AF124,VALUE('Capacity summary'!AF36)),0),AF124*$BI124),AF124*$BI124),0)</f>
        <v>0</v>
      </c>
      <c r="CJ124" s="5">
        <f>IF($BI124&lt;&gt;"",IF('Capacity summary'!$C$14="Yes",IF(COUNTBLANK('Capacity summary'!$H36:$BG36)&lt;52,IF('Capacity summary'!AG36&lt;&gt;"",IF(LOWER('Capacity summary'!AG36)="x",$BI124*AG124,VALUE('Capacity summary'!AG36)),0),AG124*$BI124),AG124*$BI124),0)</f>
        <v>0</v>
      </c>
      <c r="CK124" s="5">
        <f>IF($BI124&lt;&gt;"",IF('Capacity summary'!$C$14="Yes",IF(COUNTBLANK('Capacity summary'!$H36:$BG36)&lt;52,IF('Capacity summary'!AH36&lt;&gt;"",IF(LOWER('Capacity summary'!AH36)="x",$BI124*AH124,VALUE('Capacity summary'!AH36)),0),AH124*$BI124),AH124*$BI124),0)</f>
        <v>0</v>
      </c>
      <c r="CL124" s="5">
        <f>IF($BI124&lt;&gt;"",IF('Capacity summary'!$C$14="Yes",IF(COUNTBLANK('Capacity summary'!$H36:$BG36)&lt;52,IF('Capacity summary'!AI36&lt;&gt;"",IF(LOWER('Capacity summary'!AI36)="x",$BI124*AI124,VALUE('Capacity summary'!AI36)),0),AI124*$BI124),AI124*$BI124),0)</f>
        <v>0</v>
      </c>
      <c r="CM124" s="5">
        <f>IF($BI124&lt;&gt;"",IF('Capacity summary'!$C$14="Yes",IF(COUNTBLANK('Capacity summary'!$H36:$BG36)&lt;52,IF('Capacity summary'!AJ36&lt;&gt;"",IF(LOWER('Capacity summary'!AJ36)="x",$BI124*AJ124,VALUE('Capacity summary'!AJ36)),0),AJ124*$BI124),AJ124*$BI124),0)</f>
        <v>0</v>
      </c>
      <c r="CN124" s="5">
        <f>IF($BI124&lt;&gt;"",IF('Capacity summary'!$C$14="Yes",IF(COUNTBLANK('Capacity summary'!$H36:$BG36)&lt;52,IF('Capacity summary'!AK36&lt;&gt;"",IF(LOWER('Capacity summary'!AK36)="x",$BI124*AK124,VALUE('Capacity summary'!AK36)),0),AK124*$BI124),AK124*$BI124),0)</f>
        <v>0</v>
      </c>
      <c r="CO124" s="5">
        <f>IF($BI124&lt;&gt;"",IF('Capacity summary'!$C$14="Yes",IF(COUNTBLANK('Capacity summary'!$H36:$BG36)&lt;52,IF('Capacity summary'!AL36&lt;&gt;"",IF(LOWER('Capacity summary'!AL36)="x",$BI124*AL124,VALUE('Capacity summary'!AL36)),0),AL124*$BI124),AL124*$BI124),0)</f>
        <v>0</v>
      </c>
      <c r="CP124" s="5">
        <f>IF($BI124&lt;&gt;"",IF('Capacity summary'!$C$14="Yes",IF(COUNTBLANK('Capacity summary'!$H36:$BG36)&lt;52,IF('Capacity summary'!AM36&lt;&gt;"",IF(LOWER('Capacity summary'!AM36)="x",$BI124*AM124,VALUE('Capacity summary'!AM36)),0),AM124*$BI124),AM124*$BI124),0)</f>
        <v>0</v>
      </c>
      <c r="CQ124" s="5">
        <f>IF($BI124&lt;&gt;"",IF('Capacity summary'!$C$14="Yes",IF(COUNTBLANK('Capacity summary'!$H36:$BG36)&lt;52,IF('Capacity summary'!AN36&lt;&gt;"",IF(LOWER('Capacity summary'!AN36)="x",$BI124*AN124,VALUE('Capacity summary'!AN36)),0),AN124*$BI124),AN124*$BI124),0)</f>
        <v>0</v>
      </c>
      <c r="CR124" s="5">
        <f>IF($BI124&lt;&gt;"",IF('Capacity summary'!$C$14="Yes",IF(COUNTBLANK('Capacity summary'!$H36:$BG36)&lt;52,IF('Capacity summary'!AO36&lt;&gt;"",IF(LOWER('Capacity summary'!AO36)="x",$BI124*AO124,VALUE('Capacity summary'!AO36)),0),AO124*$BI124),AO124*$BI124),0)</f>
        <v>0</v>
      </c>
      <c r="CS124" s="5">
        <f>IF($BI124&lt;&gt;"",IF('Capacity summary'!$C$14="Yes",IF(COUNTBLANK('Capacity summary'!$H36:$BG36)&lt;52,IF('Capacity summary'!AP36&lt;&gt;"",IF(LOWER('Capacity summary'!AP36)="x",$BI124*AP124,VALUE('Capacity summary'!AP36)),0),AP124*$BI124),AP124*$BI124),0)</f>
        <v>0</v>
      </c>
      <c r="CT124" s="5">
        <f>IF($BI124&lt;&gt;"",IF('Capacity summary'!$C$14="Yes",IF(COUNTBLANK('Capacity summary'!$H36:$BG36)&lt;52,IF('Capacity summary'!AQ36&lt;&gt;"",IF(LOWER('Capacity summary'!AQ36)="x",$BI124*AQ124,VALUE('Capacity summary'!AQ36)),0),AQ124*$BI124),AQ124*$BI124),0)</f>
        <v>0</v>
      </c>
      <c r="CU124" s="5">
        <f>IF($BI124&lt;&gt;"",IF('Capacity summary'!$C$14="Yes",IF(COUNTBLANK('Capacity summary'!$H36:$BG36)&lt;52,IF('Capacity summary'!AR36&lt;&gt;"",IF(LOWER('Capacity summary'!AR36)="x",$BI124*AR124,VALUE('Capacity summary'!AR36)),0),AR124*$BI124),AR124*$BI124),0)</f>
        <v>0</v>
      </c>
      <c r="CV124" s="5">
        <f>IF($BI124&lt;&gt;"",IF('Capacity summary'!$C$14="Yes",IF(COUNTBLANK('Capacity summary'!$H36:$BG36)&lt;52,IF('Capacity summary'!AS36&lt;&gt;"",IF(LOWER('Capacity summary'!AS36)="x",$BI124*AS124,VALUE('Capacity summary'!AS36)),0),AS124*$BI124),AS124*$BI124),0)</f>
        <v>0</v>
      </c>
      <c r="CW124" s="5">
        <f>IF($BI124&lt;&gt;"",IF('Capacity summary'!$C$14="Yes",IF(COUNTBLANK('Capacity summary'!$H36:$BG36)&lt;52,IF('Capacity summary'!AT36&lt;&gt;"",IF(LOWER('Capacity summary'!AT36)="x",$BI124*AT124,VALUE('Capacity summary'!AT36)),0),AT124*$BI124),AT124*$BI124),0)</f>
        <v>0</v>
      </c>
      <c r="CX124" s="5">
        <f>IF($BI124&lt;&gt;"",IF('Capacity summary'!$C$14="Yes",IF(COUNTBLANK('Capacity summary'!$H36:$BG36)&lt;52,IF('Capacity summary'!AU36&lt;&gt;"",IF(LOWER('Capacity summary'!AU36)="x",$BI124*AU124,VALUE('Capacity summary'!AU36)),0),AU124*$BI124),AU124*$BI124),0)</f>
        <v>0</v>
      </c>
      <c r="CY124" s="5">
        <f>IF($BI124&lt;&gt;"",IF('Capacity summary'!$C$14="Yes",IF(COUNTBLANK('Capacity summary'!$H36:$BG36)&lt;52,IF('Capacity summary'!AV36&lt;&gt;"",IF(LOWER('Capacity summary'!AV36)="x",$BI124*AV124,VALUE('Capacity summary'!AV36)),0),AV124*$BI124),AV124*$BI124),0)</f>
        <v>0</v>
      </c>
      <c r="CZ124" s="5">
        <f>IF($BI124&lt;&gt;"",IF('Capacity summary'!$C$14="Yes",IF(COUNTBLANK('Capacity summary'!$H36:$BG36)&lt;52,IF('Capacity summary'!AW36&lt;&gt;"",IF(LOWER('Capacity summary'!AW36)="x",$BI124*AW124,VALUE('Capacity summary'!AW36)),0),AW124*$BI124),AW124*$BI124),0)</f>
        <v>0</v>
      </c>
      <c r="DA124" s="5">
        <f>IF($BI124&lt;&gt;"",IF('Capacity summary'!$C$14="Yes",IF(COUNTBLANK('Capacity summary'!$H36:$BG36)&lt;52,IF('Capacity summary'!AX36&lt;&gt;"",IF(LOWER('Capacity summary'!AX36)="x",$BI124*AX124,VALUE('Capacity summary'!AX36)),0),AX124*$BI124),AX124*$BI124),0)</f>
        <v>0</v>
      </c>
      <c r="DB124" s="5">
        <f>IF($BI124&lt;&gt;"",IF('Capacity summary'!$C$14="Yes",IF(COUNTBLANK('Capacity summary'!$H36:$BG36)&lt;52,IF('Capacity summary'!AY36&lt;&gt;"",IF(LOWER('Capacity summary'!AY36)="x",$BI124*AY124,VALUE('Capacity summary'!AY36)),0),AY124*$BI124),AY124*$BI124),0)</f>
        <v>0</v>
      </c>
      <c r="DC124" s="5">
        <f>IF($BI124&lt;&gt;"",IF('Capacity summary'!$C$14="Yes",IF(COUNTBLANK('Capacity summary'!$H36:$BG36)&lt;52,IF('Capacity summary'!AZ36&lt;&gt;"",IF(LOWER('Capacity summary'!AZ36)="x",$BI124*AZ124,VALUE('Capacity summary'!AZ36)),0),AZ124*$BI124),AZ124*$BI124),0)</f>
        <v>0</v>
      </c>
      <c r="DD124" s="5">
        <f>IF($BI124&lt;&gt;"",IF('Capacity summary'!$C$14="Yes",IF(COUNTBLANK('Capacity summary'!$H36:$BG36)&lt;52,IF('Capacity summary'!BA36&lt;&gt;"",IF(LOWER('Capacity summary'!BA36)="x",$BI124*BA124,VALUE('Capacity summary'!BA36)),0),BA124*$BI124),BA124*$BI124),0)</f>
        <v>0</v>
      </c>
      <c r="DE124" s="5">
        <f>IF($BI124&lt;&gt;"",IF('Capacity summary'!$C$14="Yes",IF(COUNTBLANK('Capacity summary'!$H36:$BG36)&lt;52,IF('Capacity summary'!BB36&lt;&gt;"",IF(LOWER('Capacity summary'!BB36)="x",$BI124*BB124,VALUE('Capacity summary'!BB36)),0),BB124*$BI124),BB124*$BI124),0)</f>
        <v>0</v>
      </c>
      <c r="DF124" s="5">
        <f>IF($BI124&lt;&gt;"",IF('Capacity summary'!$C$14="Yes",IF(COUNTBLANK('Capacity summary'!$H36:$BG36)&lt;52,IF('Capacity summary'!BC36&lt;&gt;"",IF(LOWER('Capacity summary'!BC36)="x",$BI124*BC124,VALUE('Capacity summary'!BC36)),0),BC124*$BI124),BC124*$BI124),0)</f>
        <v>0</v>
      </c>
      <c r="DG124" s="5">
        <f>IF($BI124&lt;&gt;"",IF('Capacity summary'!$C$14="Yes",IF(COUNTBLANK('Capacity summary'!$H36:$BG36)&lt;52,IF('Capacity summary'!BD36&lt;&gt;"",IF(LOWER('Capacity summary'!BD36)="x",$BI124*BD124,VALUE('Capacity summary'!BD36)),0),BD124*$BI124),BD124*$BI124),0)</f>
        <v>0</v>
      </c>
      <c r="DH124" s="5">
        <f>IF($BI124&lt;&gt;"",IF('Capacity summary'!$C$14="Yes",IF(COUNTBLANK('Capacity summary'!$H36:$BG36)&lt;52,IF('Capacity summary'!BE36&lt;&gt;"",IF(LOWER('Capacity summary'!BE36)="x",$BI124*BE124,VALUE('Capacity summary'!BE36)),0),BE124*$BI124),BE124*$BI124),0)</f>
        <v>0</v>
      </c>
      <c r="DI124" s="5">
        <f>IF($BI124&lt;&gt;"",IF('Capacity summary'!$C$14="Yes",IF(COUNTBLANK('Capacity summary'!$H36:$BG36)&lt;52,IF('Capacity summary'!BF36&lt;&gt;"",IF(LOWER('Capacity summary'!BF36)="x",$BI124*BF124,VALUE('Capacity summary'!BF36)),0),BF124*$BI124),BF124*$BI124),0)</f>
        <v>0</v>
      </c>
      <c r="DJ124" s="5">
        <f>IF($BI124&lt;&gt;"",IF('Capacity summary'!$C$14="Yes",IF(COUNTBLANK('Capacity summary'!$H36:$BG36)&lt;52,IF('Capacity summary'!BG36&lt;&gt;"",IF(LOWER('Capacity summary'!BG36)="x",$BI124*BG124,VALUE('Capacity summary'!BG36)),0),BG124*$BI124),BG124*$BI124),0)</f>
        <v>0</v>
      </c>
      <c r="DK124" s="5">
        <f t="shared" ref="DK124" si="18">SUM(DK125:DK224)</f>
        <v>0</v>
      </c>
    </row>
    <row r="125" spans="3:115" x14ac:dyDescent="0.25">
      <c r="C125" s="67" t="str">
        <f>ROW(A14)&amp;". "&amp;Capacity!N30</f>
        <v xml:space="preserve">14. </v>
      </c>
      <c r="D125" s="67">
        <f>'Capacity setup'!C131</f>
        <v>0</v>
      </c>
      <c r="E125" s="67">
        <f>'Capacity setup'!D131</f>
        <v>0</v>
      </c>
      <c r="F125" s="67">
        <f>'Capacity setup'!E131</f>
        <v>0</v>
      </c>
      <c r="H125" s="67">
        <f ca="1">IF(AND(SUMIF(Capacity_Resource,$D125,'Critical resources (hide)'!U$6:U$105)+SUMIF(Capacity_Resource,$E125,'Critical resources (hide)'!U$6:U$105)+SUMIF(Capacity_Resource,$F125,'Critical resources (hide)'!U$6:U$105)&gt;0,$E$1=2),0,1)</f>
        <v>1</v>
      </c>
      <c r="I125" s="67">
        <f ca="1">IF(AND(SUMIF(Capacity_Resource,$D125,'Critical resources (hide)'!V$6:V$105)+SUMIF(Capacity_Resource,$E125,'Critical resources (hide)'!V$6:V$105)+SUMIF(Capacity_Resource,$F125,'Critical resources (hide)'!V$6:V$105)&gt;0,$E$1=2),0,1)</f>
        <v>1</v>
      </c>
      <c r="J125" s="67">
        <f ca="1">IF(AND(SUMIF(Capacity_Resource,$D125,'Critical resources (hide)'!W$6:W$105)+SUMIF(Capacity_Resource,$E125,'Critical resources (hide)'!W$6:W$105)+SUMIF(Capacity_Resource,$F125,'Critical resources (hide)'!W$6:W$105)&gt;0,$E$1=2),0,1)</f>
        <v>1</v>
      </c>
      <c r="K125" s="67">
        <f ca="1">IF(AND(SUMIF(Capacity_Resource,$D125,'Critical resources (hide)'!X$6:X$105)+SUMIF(Capacity_Resource,$E125,'Critical resources (hide)'!X$6:X$105)+SUMIF(Capacity_Resource,$F125,'Critical resources (hide)'!X$6:X$105)&gt;0,$E$1=2),0,1)</f>
        <v>1</v>
      </c>
      <c r="L125" s="67">
        <f ca="1">IF(AND(SUMIF(Capacity_Resource,$D125,'Critical resources (hide)'!Y$6:Y$105)+SUMIF(Capacity_Resource,$E125,'Critical resources (hide)'!Y$6:Y$105)+SUMIF(Capacity_Resource,$F125,'Critical resources (hide)'!Y$6:Y$105)&gt;0,$E$1=2),0,1)</f>
        <v>1</v>
      </c>
      <c r="M125" s="67">
        <f ca="1">IF(AND(SUMIF(Capacity_Resource,$D125,'Critical resources (hide)'!Z$6:Z$105)+SUMIF(Capacity_Resource,$E125,'Critical resources (hide)'!Z$6:Z$105)+SUMIF(Capacity_Resource,$F125,'Critical resources (hide)'!Z$6:Z$105)&gt;0,$E$1=2),0,1)</f>
        <v>1</v>
      </c>
      <c r="N125" s="67">
        <f ca="1">IF(AND(SUMIF(Capacity_Resource,$D125,'Critical resources (hide)'!AA$6:AA$105)+SUMIF(Capacity_Resource,$E125,'Critical resources (hide)'!AA$6:AA$105)+SUMIF(Capacity_Resource,$F125,'Critical resources (hide)'!AA$6:AA$105)&gt;0,$E$1=2),0,1)</f>
        <v>1</v>
      </c>
      <c r="O125" s="67">
        <f ca="1">IF(AND(SUMIF(Capacity_Resource,$D125,'Critical resources (hide)'!AB$6:AB$105)+SUMIF(Capacity_Resource,$E125,'Critical resources (hide)'!AB$6:AB$105)+SUMIF(Capacity_Resource,$F125,'Critical resources (hide)'!AB$6:AB$105)&gt;0,$E$1=2),0,1)</f>
        <v>1</v>
      </c>
      <c r="P125" s="67">
        <f ca="1">IF(AND(SUMIF(Capacity_Resource,$D125,'Critical resources (hide)'!AC$6:AC$105)+SUMIF(Capacity_Resource,$E125,'Critical resources (hide)'!AC$6:AC$105)+SUMIF(Capacity_Resource,$F125,'Critical resources (hide)'!AC$6:AC$105)&gt;0,$E$1=2),0,1)</f>
        <v>1</v>
      </c>
      <c r="Q125" s="67">
        <f ca="1">IF(AND(SUMIF(Capacity_Resource,$D125,'Critical resources (hide)'!AD$6:AD$105)+SUMIF(Capacity_Resource,$E125,'Critical resources (hide)'!AD$6:AD$105)+SUMIF(Capacity_Resource,$F125,'Critical resources (hide)'!AD$6:AD$105)&gt;0,$E$1=2),0,1)</f>
        <v>1</v>
      </c>
      <c r="R125" s="67">
        <f ca="1">IF(AND(SUMIF(Capacity_Resource,$D125,'Critical resources (hide)'!AE$6:AE$105)+SUMIF(Capacity_Resource,$E125,'Critical resources (hide)'!AE$6:AE$105)+SUMIF(Capacity_Resource,$F125,'Critical resources (hide)'!AE$6:AE$105)&gt;0,$E$1=2),0,1)</f>
        <v>1</v>
      </c>
      <c r="S125" s="67">
        <f ca="1">IF(AND(SUMIF(Capacity_Resource,$D125,'Critical resources (hide)'!AF$6:AF$105)+SUMIF(Capacity_Resource,$E125,'Critical resources (hide)'!AF$6:AF$105)+SUMIF(Capacity_Resource,$F125,'Critical resources (hide)'!AF$6:AF$105)&gt;0,$E$1=2),0,1)</f>
        <v>1</v>
      </c>
      <c r="T125" s="67">
        <f ca="1">IF(AND(SUMIF(Capacity_Resource,$D125,'Critical resources (hide)'!AG$6:AG$105)+SUMIF(Capacity_Resource,$E125,'Critical resources (hide)'!AG$6:AG$105)+SUMIF(Capacity_Resource,$F125,'Critical resources (hide)'!AG$6:AG$105)&gt;0,$E$1=2),0,1)</f>
        <v>1</v>
      </c>
      <c r="U125" s="67">
        <f ca="1">IF(AND(SUMIF(Capacity_Resource,$D125,'Critical resources (hide)'!AH$6:AH$105)+SUMIF(Capacity_Resource,$E125,'Critical resources (hide)'!AH$6:AH$105)+SUMIF(Capacity_Resource,$F125,'Critical resources (hide)'!AH$6:AH$105)&gt;0,$E$1=2),0,1)</f>
        <v>1</v>
      </c>
      <c r="V125" s="67">
        <f ca="1">IF(AND(SUMIF(Capacity_Resource,$D125,'Critical resources (hide)'!AI$6:AI$105)+SUMIF(Capacity_Resource,$E125,'Critical resources (hide)'!AI$6:AI$105)+SUMIF(Capacity_Resource,$F125,'Critical resources (hide)'!AI$6:AI$105)&gt;0,$E$1=2),0,1)</f>
        <v>1</v>
      </c>
      <c r="W125" s="67">
        <f ca="1">IF(AND(SUMIF(Capacity_Resource,$D125,'Critical resources (hide)'!AJ$6:AJ$105)+SUMIF(Capacity_Resource,$E125,'Critical resources (hide)'!AJ$6:AJ$105)+SUMIF(Capacity_Resource,$F125,'Critical resources (hide)'!AJ$6:AJ$105)&gt;0,$E$1=2),0,1)</f>
        <v>1</v>
      </c>
      <c r="X125" s="67">
        <f ca="1">IF(AND(SUMIF(Capacity_Resource,$D125,'Critical resources (hide)'!AK$6:AK$105)+SUMIF(Capacity_Resource,$E125,'Critical resources (hide)'!AK$6:AK$105)+SUMIF(Capacity_Resource,$F125,'Critical resources (hide)'!AK$6:AK$105)&gt;0,$E$1=2),0,1)</f>
        <v>1</v>
      </c>
      <c r="Y125" s="67">
        <f ca="1">IF(AND(SUMIF(Capacity_Resource,$D125,'Critical resources (hide)'!AL$6:AL$105)+SUMIF(Capacity_Resource,$E125,'Critical resources (hide)'!AL$6:AL$105)+SUMIF(Capacity_Resource,$F125,'Critical resources (hide)'!AL$6:AL$105)&gt;0,$E$1=2),0,1)</f>
        <v>1</v>
      </c>
      <c r="Z125" s="67">
        <f ca="1">IF(AND(SUMIF(Capacity_Resource,$D125,'Critical resources (hide)'!AM$6:AM$105)+SUMIF(Capacity_Resource,$E125,'Critical resources (hide)'!AM$6:AM$105)+SUMIF(Capacity_Resource,$F125,'Critical resources (hide)'!AM$6:AM$105)&gt;0,$E$1=2),0,1)</f>
        <v>1</v>
      </c>
      <c r="AA125" s="67">
        <f ca="1">IF(AND(SUMIF(Capacity_Resource,$D125,'Critical resources (hide)'!AN$6:AN$105)+SUMIF(Capacity_Resource,$E125,'Critical resources (hide)'!AN$6:AN$105)+SUMIF(Capacity_Resource,$F125,'Critical resources (hide)'!AN$6:AN$105)&gt;0,$E$1=2),0,1)</f>
        <v>1</v>
      </c>
      <c r="AB125" s="67">
        <f ca="1">IF(AND(SUMIF(Capacity_Resource,$D125,'Critical resources (hide)'!AO$6:AO$105)+SUMIF(Capacity_Resource,$E125,'Critical resources (hide)'!AO$6:AO$105)+SUMIF(Capacity_Resource,$F125,'Critical resources (hide)'!AO$6:AO$105)&gt;0,$E$1=2),0,1)</f>
        <v>1</v>
      </c>
      <c r="AC125" s="67">
        <f ca="1">IF(AND(SUMIF(Capacity_Resource,$D125,'Critical resources (hide)'!AP$6:AP$105)+SUMIF(Capacity_Resource,$E125,'Critical resources (hide)'!AP$6:AP$105)+SUMIF(Capacity_Resource,$F125,'Critical resources (hide)'!AP$6:AP$105)&gt;0,$E$1=2),0,1)</f>
        <v>1</v>
      </c>
      <c r="AD125" s="67">
        <f ca="1">IF(AND(SUMIF(Capacity_Resource,$D125,'Critical resources (hide)'!AQ$6:AQ$105)+SUMIF(Capacity_Resource,$E125,'Critical resources (hide)'!AQ$6:AQ$105)+SUMIF(Capacity_Resource,$F125,'Critical resources (hide)'!AQ$6:AQ$105)&gt;0,$E$1=2),0,1)</f>
        <v>1</v>
      </c>
      <c r="AE125" s="67">
        <f ca="1">IF(AND(SUMIF(Capacity_Resource,$D125,'Critical resources (hide)'!AR$6:AR$105)+SUMIF(Capacity_Resource,$E125,'Critical resources (hide)'!AR$6:AR$105)+SUMIF(Capacity_Resource,$F125,'Critical resources (hide)'!AR$6:AR$105)&gt;0,$E$1=2),0,1)</f>
        <v>1</v>
      </c>
      <c r="AF125" s="67">
        <f ca="1">IF(AND(SUMIF(Capacity_Resource,$D125,'Critical resources (hide)'!AS$6:AS$105)+SUMIF(Capacity_Resource,$E125,'Critical resources (hide)'!AS$6:AS$105)+SUMIF(Capacity_Resource,$F125,'Critical resources (hide)'!AS$6:AS$105)&gt;0,$E$1=2),0,1)</f>
        <v>1</v>
      </c>
      <c r="AG125" s="67">
        <f ca="1">IF(AND(SUMIF(Capacity_Resource,$D125,'Critical resources (hide)'!AT$6:AT$105)+SUMIF(Capacity_Resource,$E125,'Critical resources (hide)'!AT$6:AT$105)+SUMIF(Capacity_Resource,$F125,'Critical resources (hide)'!AT$6:AT$105)&gt;0,$E$1=2),0,1)</f>
        <v>1</v>
      </c>
      <c r="AH125" s="67">
        <f ca="1">IF(AND(SUMIF(Capacity_Resource,$D125,'Critical resources (hide)'!AU$6:AU$105)+SUMIF(Capacity_Resource,$E125,'Critical resources (hide)'!AU$6:AU$105)+SUMIF(Capacity_Resource,$F125,'Critical resources (hide)'!AU$6:AU$105)&gt;0,$E$1=2),0,1)</f>
        <v>1</v>
      </c>
      <c r="AI125" s="67">
        <f ca="1">IF(AND(SUMIF(Capacity_Resource,$D125,'Critical resources (hide)'!AV$6:AV$105)+SUMIF(Capacity_Resource,$E125,'Critical resources (hide)'!AV$6:AV$105)+SUMIF(Capacity_Resource,$F125,'Critical resources (hide)'!AV$6:AV$105)&gt;0,$E$1=2),0,1)</f>
        <v>1</v>
      </c>
      <c r="AJ125" s="67">
        <f ca="1">IF(AND(SUMIF(Capacity_Resource,$D125,'Critical resources (hide)'!AW$6:AW$105)+SUMIF(Capacity_Resource,$E125,'Critical resources (hide)'!AW$6:AW$105)+SUMIF(Capacity_Resource,$F125,'Critical resources (hide)'!AW$6:AW$105)&gt;0,$E$1=2),0,1)</f>
        <v>1</v>
      </c>
      <c r="AK125" s="67">
        <f ca="1">IF(AND(SUMIF(Capacity_Resource,$D125,'Critical resources (hide)'!AX$6:AX$105)+SUMIF(Capacity_Resource,$E125,'Critical resources (hide)'!AX$6:AX$105)+SUMIF(Capacity_Resource,$F125,'Critical resources (hide)'!AX$6:AX$105)&gt;0,$E$1=2),0,1)</f>
        <v>1</v>
      </c>
      <c r="AL125" s="67">
        <f ca="1">IF(AND(SUMIF(Capacity_Resource,$D125,'Critical resources (hide)'!AY$6:AY$105)+SUMIF(Capacity_Resource,$E125,'Critical resources (hide)'!AY$6:AY$105)+SUMIF(Capacity_Resource,$F125,'Critical resources (hide)'!AY$6:AY$105)&gt;0,$E$1=2),0,1)</f>
        <v>1</v>
      </c>
      <c r="AM125" s="67">
        <f ca="1">IF(AND(SUMIF(Capacity_Resource,$D125,'Critical resources (hide)'!AZ$6:AZ$105)+SUMIF(Capacity_Resource,$E125,'Critical resources (hide)'!AZ$6:AZ$105)+SUMIF(Capacity_Resource,$F125,'Critical resources (hide)'!AZ$6:AZ$105)&gt;0,$E$1=2),0,1)</f>
        <v>1</v>
      </c>
      <c r="AN125" s="67">
        <f ca="1">IF(AND(SUMIF(Capacity_Resource,$D125,'Critical resources (hide)'!BA$6:BA$105)+SUMIF(Capacity_Resource,$E125,'Critical resources (hide)'!BA$6:BA$105)+SUMIF(Capacity_Resource,$F125,'Critical resources (hide)'!BA$6:BA$105)&gt;0,$E$1=2),0,1)</f>
        <v>1</v>
      </c>
      <c r="AO125" s="67">
        <f ca="1">IF(AND(SUMIF(Capacity_Resource,$D125,'Critical resources (hide)'!BB$6:BB$105)+SUMIF(Capacity_Resource,$E125,'Critical resources (hide)'!BB$6:BB$105)+SUMIF(Capacity_Resource,$F125,'Critical resources (hide)'!BB$6:BB$105)&gt;0,$E$1=2),0,1)</f>
        <v>1</v>
      </c>
      <c r="AP125" s="67">
        <f ca="1">IF(AND(SUMIF(Capacity_Resource,$D125,'Critical resources (hide)'!BC$6:BC$105)+SUMIF(Capacity_Resource,$E125,'Critical resources (hide)'!BC$6:BC$105)+SUMIF(Capacity_Resource,$F125,'Critical resources (hide)'!BC$6:BC$105)&gt;0,$E$1=2),0,1)</f>
        <v>1</v>
      </c>
      <c r="AQ125" s="67">
        <f ca="1">IF(AND(SUMIF(Capacity_Resource,$D125,'Critical resources (hide)'!BD$6:BD$105)+SUMIF(Capacity_Resource,$E125,'Critical resources (hide)'!BD$6:BD$105)+SUMIF(Capacity_Resource,$F125,'Critical resources (hide)'!BD$6:BD$105)&gt;0,$E$1=2),0,1)</f>
        <v>1</v>
      </c>
      <c r="AR125" s="67">
        <f ca="1">IF(AND(SUMIF(Capacity_Resource,$D125,'Critical resources (hide)'!BE$6:BE$105)+SUMIF(Capacity_Resource,$E125,'Critical resources (hide)'!BE$6:BE$105)+SUMIF(Capacity_Resource,$F125,'Critical resources (hide)'!BE$6:BE$105)&gt;0,$E$1=2),0,1)</f>
        <v>1</v>
      </c>
      <c r="AS125" s="67">
        <f ca="1">IF(AND(SUMIF(Capacity_Resource,$D125,'Critical resources (hide)'!BF$6:BF$105)+SUMIF(Capacity_Resource,$E125,'Critical resources (hide)'!BF$6:BF$105)+SUMIF(Capacity_Resource,$F125,'Critical resources (hide)'!BF$6:BF$105)&gt;0,$E$1=2),0,1)</f>
        <v>1</v>
      </c>
      <c r="AT125" s="67">
        <f ca="1">IF(AND(SUMIF(Capacity_Resource,$D125,'Critical resources (hide)'!BG$6:BG$105)+SUMIF(Capacity_Resource,$E125,'Critical resources (hide)'!BG$6:BG$105)+SUMIF(Capacity_Resource,$F125,'Critical resources (hide)'!BG$6:BG$105)&gt;0,$E$1=2),0,1)</f>
        <v>1</v>
      </c>
      <c r="AU125" s="67">
        <f ca="1">IF(AND(SUMIF(Capacity_Resource,$D125,'Critical resources (hide)'!BH$6:BH$105)+SUMIF(Capacity_Resource,$E125,'Critical resources (hide)'!BH$6:BH$105)+SUMIF(Capacity_Resource,$F125,'Critical resources (hide)'!BH$6:BH$105)&gt;0,$E$1=2),0,1)</f>
        <v>1</v>
      </c>
      <c r="AV125" s="67">
        <f ca="1">IF(AND(SUMIF(Capacity_Resource,$D125,'Critical resources (hide)'!BI$6:BI$105)+SUMIF(Capacity_Resource,$E125,'Critical resources (hide)'!BI$6:BI$105)+SUMIF(Capacity_Resource,$F125,'Critical resources (hide)'!BI$6:BI$105)&gt;0,$E$1=2),0,1)</f>
        <v>1</v>
      </c>
      <c r="AW125" s="67">
        <f ca="1">IF(AND(SUMIF(Capacity_Resource,$D125,'Critical resources (hide)'!BJ$6:BJ$105)+SUMIF(Capacity_Resource,$E125,'Critical resources (hide)'!BJ$6:BJ$105)+SUMIF(Capacity_Resource,$F125,'Critical resources (hide)'!BJ$6:BJ$105)&gt;0,$E$1=2),0,1)</f>
        <v>1</v>
      </c>
      <c r="AX125" s="67">
        <f ca="1">IF(AND(SUMIF(Capacity_Resource,$D125,'Critical resources (hide)'!BK$6:BK$105)+SUMIF(Capacity_Resource,$E125,'Critical resources (hide)'!BK$6:BK$105)+SUMIF(Capacity_Resource,$F125,'Critical resources (hide)'!BK$6:BK$105)&gt;0,$E$1=2),0,1)</f>
        <v>1</v>
      </c>
      <c r="AY125" s="67">
        <f ca="1">IF(AND(SUMIF(Capacity_Resource,$D125,'Critical resources (hide)'!BL$6:BL$105)+SUMIF(Capacity_Resource,$E125,'Critical resources (hide)'!BL$6:BL$105)+SUMIF(Capacity_Resource,$F125,'Critical resources (hide)'!BL$6:BL$105)&gt;0,$E$1=2),0,1)</f>
        <v>1</v>
      </c>
      <c r="AZ125" s="67">
        <f ca="1">IF(AND(SUMIF(Capacity_Resource,$D125,'Critical resources (hide)'!BM$6:BM$105)+SUMIF(Capacity_Resource,$E125,'Critical resources (hide)'!BM$6:BM$105)+SUMIF(Capacity_Resource,$F125,'Critical resources (hide)'!BM$6:BM$105)&gt;0,$E$1=2),0,1)</f>
        <v>1</v>
      </c>
      <c r="BA125" s="67">
        <f ca="1">IF(AND(SUMIF(Capacity_Resource,$D125,'Critical resources (hide)'!BN$6:BN$105)+SUMIF(Capacity_Resource,$E125,'Critical resources (hide)'!BN$6:BN$105)+SUMIF(Capacity_Resource,$F125,'Critical resources (hide)'!BN$6:BN$105)&gt;0,$E$1=2),0,1)</f>
        <v>1</v>
      </c>
      <c r="BB125" s="67">
        <f ca="1">IF(AND(SUMIF(Capacity_Resource,$D125,'Critical resources (hide)'!BO$6:BO$105)+SUMIF(Capacity_Resource,$E125,'Critical resources (hide)'!BO$6:BO$105)+SUMIF(Capacity_Resource,$F125,'Critical resources (hide)'!BO$6:BO$105)&gt;0,$E$1=2),0,1)</f>
        <v>1</v>
      </c>
      <c r="BC125" s="67">
        <f ca="1">IF(AND(SUMIF(Capacity_Resource,$D125,'Critical resources (hide)'!BP$6:BP$105)+SUMIF(Capacity_Resource,$E125,'Critical resources (hide)'!BP$6:BP$105)+SUMIF(Capacity_Resource,$F125,'Critical resources (hide)'!BP$6:BP$105)&gt;0,$E$1=2),0,1)</f>
        <v>1</v>
      </c>
      <c r="BD125" s="67">
        <f ca="1">IF(AND(SUMIF(Capacity_Resource,$D125,'Critical resources (hide)'!BQ$6:BQ$105)+SUMIF(Capacity_Resource,$E125,'Critical resources (hide)'!BQ$6:BQ$105)+SUMIF(Capacity_Resource,$F125,'Critical resources (hide)'!BQ$6:BQ$105)&gt;0,$E$1=2),0,1)</f>
        <v>1</v>
      </c>
      <c r="BE125" s="67">
        <f ca="1">IF(AND(SUMIF(Capacity_Resource,$D125,'Critical resources (hide)'!BR$6:BR$105)+SUMIF(Capacity_Resource,$E125,'Critical resources (hide)'!BR$6:BR$105)+SUMIF(Capacity_Resource,$F125,'Critical resources (hide)'!BR$6:BR$105)&gt;0,$E$1=2),0,1)</f>
        <v>1</v>
      </c>
      <c r="BF125" s="67">
        <f ca="1">IF(AND(SUMIF(Capacity_Resource,$D125,'Critical resources (hide)'!BS$6:BS$105)+SUMIF(Capacity_Resource,$E125,'Critical resources (hide)'!BS$6:BS$105)+SUMIF(Capacity_Resource,$F125,'Critical resources (hide)'!BS$6:BS$105)&gt;0,$E$1=2),0,1)</f>
        <v>1</v>
      </c>
      <c r="BG125" s="67">
        <f ca="1">IF(AND(SUMIF(Capacity_Resource,$D125,'Critical resources (hide)'!BT$6:BT$105)+SUMIF(Capacity_Resource,$E125,'Critical resources (hide)'!BT$6:BT$105)+SUMIF(Capacity_Resource,$F125,'Critical resources (hide)'!BT$6:BT$105)&gt;0,$E$1=2),0,1)</f>
        <v>1</v>
      </c>
      <c r="BH125" s="67">
        <f>IF(ROW(A14)&lt;=Capacity!$M$16,IF('Capacity summary'!$C$14="No",SUM(H125:BG125),'Capacity summary'!$E37),0)</f>
        <v>0</v>
      </c>
      <c r="BI125" s="67" t="str">
        <f>IF(BH125&gt;0,IF(BH125&lt;Capacity!Q30,Capacity!R30,Capacity!T30/'Capacity calculation (hide)'!BH125),"")</f>
        <v/>
      </c>
      <c r="BJ125" s="5"/>
      <c r="BK125" s="5">
        <f>IF($BI125&lt;&gt;"",IF('Capacity summary'!$C$14="Yes",IF(COUNTBLANK('Capacity summary'!$H37:$BG37)&lt;52,IF('Capacity summary'!H37&lt;&gt;"",IF(LOWER('Capacity summary'!H37)="x",$BI125*H125,VALUE('Capacity summary'!H37)),0),H125*$BI125),H125*$BI125),0)</f>
        <v>0</v>
      </c>
      <c r="BL125" s="5">
        <f>IF($BI125&lt;&gt;"",IF('Capacity summary'!$C$14="Yes",IF(COUNTBLANK('Capacity summary'!$H37:$BG37)&lt;52,IF('Capacity summary'!I37&lt;&gt;"",IF(LOWER('Capacity summary'!I37)="x",$BI125*I125,VALUE('Capacity summary'!I37)),0),I125*$BI125),I125*$BI125),0)</f>
        <v>0</v>
      </c>
      <c r="BM125" s="5">
        <f>IF($BI125&lt;&gt;"",IF('Capacity summary'!$C$14="Yes",IF(COUNTBLANK('Capacity summary'!$H37:$BG37)&lt;52,IF('Capacity summary'!J37&lt;&gt;"",IF(LOWER('Capacity summary'!J37)="x",$BI125*J125,VALUE('Capacity summary'!J37)),0),J125*$BI125),J125*$BI125),0)</f>
        <v>0</v>
      </c>
      <c r="BN125" s="5">
        <f>IF($BI125&lt;&gt;"",IF('Capacity summary'!$C$14="Yes",IF(COUNTBLANK('Capacity summary'!$H37:$BG37)&lt;52,IF('Capacity summary'!K37&lt;&gt;"",IF(LOWER('Capacity summary'!K37)="x",$BI125*K125,VALUE('Capacity summary'!K37)),0),K125*$BI125),K125*$BI125),0)</f>
        <v>0</v>
      </c>
      <c r="BO125" s="5">
        <f>IF($BI125&lt;&gt;"",IF('Capacity summary'!$C$14="Yes",IF(COUNTBLANK('Capacity summary'!$H37:$BG37)&lt;52,IF('Capacity summary'!L37&lt;&gt;"",IF(LOWER('Capacity summary'!L37)="x",$BI125*L125,VALUE('Capacity summary'!L37)),0),L125*$BI125),L125*$BI125),0)</f>
        <v>0</v>
      </c>
      <c r="BP125" s="5">
        <f>IF($BI125&lt;&gt;"",IF('Capacity summary'!$C$14="Yes",IF(COUNTBLANK('Capacity summary'!$H37:$BG37)&lt;52,IF('Capacity summary'!M37&lt;&gt;"",IF(LOWER('Capacity summary'!M37)="x",$BI125*M125,VALUE('Capacity summary'!M37)),0),M125*$BI125),M125*$BI125),0)</f>
        <v>0</v>
      </c>
      <c r="BQ125" s="5">
        <f>IF($BI125&lt;&gt;"",IF('Capacity summary'!$C$14="Yes",IF(COUNTBLANK('Capacity summary'!$H37:$BG37)&lt;52,IF('Capacity summary'!N37&lt;&gt;"",IF(LOWER('Capacity summary'!N37)="x",$BI125*N125,VALUE('Capacity summary'!N37)),0),N125*$BI125),N125*$BI125),0)</f>
        <v>0</v>
      </c>
      <c r="BR125" s="5">
        <f>IF($BI125&lt;&gt;"",IF('Capacity summary'!$C$14="Yes",IF(COUNTBLANK('Capacity summary'!$H37:$BG37)&lt;52,IF('Capacity summary'!O37&lt;&gt;"",IF(LOWER('Capacity summary'!O37)="x",$BI125*O125,VALUE('Capacity summary'!O37)),0),O125*$BI125),O125*$BI125),0)</f>
        <v>0</v>
      </c>
      <c r="BS125" s="5">
        <f>IF($BI125&lt;&gt;"",IF('Capacity summary'!$C$14="Yes",IF(COUNTBLANK('Capacity summary'!$H37:$BG37)&lt;52,IF('Capacity summary'!P37&lt;&gt;"",IF(LOWER('Capacity summary'!P37)="x",$BI125*P125,VALUE('Capacity summary'!P37)),0),P125*$BI125),P125*$BI125),0)</f>
        <v>0</v>
      </c>
      <c r="BT125" s="5">
        <f>IF($BI125&lt;&gt;"",IF('Capacity summary'!$C$14="Yes",IF(COUNTBLANK('Capacity summary'!$H37:$BG37)&lt;52,IF('Capacity summary'!Q37&lt;&gt;"",IF(LOWER('Capacity summary'!Q37)="x",$BI125*Q125,VALUE('Capacity summary'!Q37)),0),Q125*$BI125),Q125*$BI125),0)</f>
        <v>0</v>
      </c>
      <c r="BU125" s="5">
        <f>IF($BI125&lt;&gt;"",IF('Capacity summary'!$C$14="Yes",IF(COUNTBLANK('Capacity summary'!$H37:$BG37)&lt;52,IF('Capacity summary'!R37&lt;&gt;"",IF(LOWER('Capacity summary'!R37)="x",$BI125*R125,VALUE('Capacity summary'!R37)),0),R125*$BI125),R125*$BI125),0)</f>
        <v>0</v>
      </c>
      <c r="BV125" s="5">
        <f>IF($BI125&lt;&gt;"",IF('Capacity summary'!$C$14="Yes",IF(COUNTBLANK('Capacity summary'!$H37:$BG37)&lt;52,IF('Capacity summary'!S37&lt;&gt;"",IF(LOWER('Capacity summary'!S37)="x",$BI125*S125,VALUE('Capacity summary'!S37)),0),S125*$BI125),S125*$BI125),0)</f>
        <v>0</v>
      </c>
      <c r="BW125" s="5">
        <f>IF($BI125&lt;&gt;"",IF('Capacity summary'!$C$14="Yes",IF(COUNTBLANK('Capacity summary'!$H37:$BG37)&lt;52,IF('Capacity summary'!T37&lt;&gt;"",IF(LOWER('Capacity summary'!T37)="x",$BI125*T125,VALUE('Capacity summary'!T37)),0),T125*$BI125),T125*$BI125),0)</f>
        <v>0</v>
      </c>
      <c r="BX125" s="5">
        <f>IF($BI125&lt;&gt;"",IF('Capacity summary'!$C$14="Yes",IF(COUNTBLANK('Capacity summary'!$H37:$BG37)&lt;52,IF('Capacity summary'!U37&lt;&gt;"",IF(LOWER('Capacity summary'!U37)="x",$BI125*U125,VALUE('Capacity summary'!U37)),0),U125*$BI125),U125*$BI125),0)</f>
        <v>0</v>
      </c>
      <c r="BY125" s="5">
        <f>IF($BI125&lt;&gt;"",IF('Capacity summary'!$C$14="Yes",IF(COUNTBLANK('Capacity summary'!$H37:$BG37)&lt;52,IF('Capacity summary'!V37&lt;&gt;"",IF(LOWER('Capacity summary'!V37)="x",$BI125*V125,VALUE('Capacity summary'!V37)),0),V125*$BI125),V125*$BI125),0)</f>
        <v>0</v>
      </c>
      <c r="BZ125" s="5">
        <f>IF($BI125&lt;&gt;"",IF('Capacity summary'!$C$14="Yes",IF(COUNTBLANK('Capacity summary'!$H37:$BG37)&lt;52,IF('Capacity summary'!W37&lt;&gt;"",IF(LOWER('Capacity summary'!W37)="x",$BI125*W125,VALUE('Capacity summary'!W37)),0),W125*$BI125),W125*$BI125),0)</f>
        <v>0</v>
      </c>
      <c r="CA125" s="5">
        <f>IF($BI125&lt;&gt;"",IF('Capacity summary'!$C$14="Yes",IF(COUNTBLANK('Capacity summary'!$H37:$BG37)&lt;52,IF('Capacity summary'!X37&lt;&gt;"",IF(LOWER('Capacity summary'!X37)="x",$BI125*X125,VALUE('Capacity summary'!X37)),0),X125*$BI125),X125*$BI125),0)</f>
        <v>0</v>
      </c>
      <c r="CB125" s="5">
        <f>IF($BI125&lt;&gt;"",IF('Capacity summary'!$C$14="Yes",IF(COUNTBLANK('Capacity summary'!$H37:$BG37)&lt;52,IF('Capacity summary'!Y37&lt;&gt;"",IF(LOWER('Capacity summary'!Y37)="x",$BI125*Y125,VALUE('Capacity summary'!Y37)),0),Y125*$BI125),Y125*$BI125),0)</f>
        <v>0</v>
      </c>
      <c r="CC125" s="5">
        <f>IF($BI125&lt;&gt;"",IF('Capacity summary'!$C$14="Yes",IF(COUNTBLANK('Capacity summary'!$H37:$BG37)&lt;52,IF('Capacity summary'!Z37&lt;&gt;"",IF(LOWER('Capacity summary'!Z37)="x",$BI125*Z125,VALUE('Capacity summary'!Z37)),0),Z125*$BI125),Z125*$BI125),0)</f>
        <v>0</v>
      </c>
      <c r="CD125" s="5">
        <f>IF($BI125&lt;&gt;"",IF('Capacity summary'!$C$14="Yes",IF(COUNTBLANK('Capacity summary'!$H37:$BG37)&lt;52,IF('Capacity summary'!AA37&lt;&gt;"",IF(LOWER('Capacity summary'!AA37)="x",$BI125*AA125,VALUE('Capacity summary'!AA37)),0),AA125*$BI125),AA125*$BI125),0)</f>
        <v>0</v>
      </c>
      <c r="CE125" s="5">
        <f>IF($BI125&lt;&gt;"",IF('Capacity summary'!$C$14="Yes",IF(COUNTBLANK('Capacity summary'!$H37:$BG37)&lt;52,IF('Capacity summary'!AB37&lt;&gt;"",IF(LOWER('Capacity summary'!AB37)="x",$BI125*AB125,VALUE('Capacity summary'!AB37)),0),AB125*$BI125),AB125*$BI125),0)</f>
        <v>0</v>
      </c>
      <c r="CF125" s="5">
        <f>IF($BI125&lt;&gt;"",IF('Capacity summary'!$C$14="Yes",IF(COUNTBLANK('Capacity summary'!$H37:$BG37)&lt;52,IF('Capacity summary'!AC37&lt;&gt;"",IF(LOWER('Capacity summary'!AC37)="x",$BI125*AC125,VALUE('Capacity summary'!AC37)),0),AC125*$BI125),AC125*$BI125),0)</f>
        <v>0</v>
      </c>
      <c r="CG125" s="5">
        <f>IF($BI125&lt;&gt;"",IF('Capacity summary'!$C$14="Yes",IF(COUNTBLANK('Capacity summary'!$H37:$BG37)&lt;52,IF('Capacity summary'!AD37&lt;&gt;"",IF(LOWER('Capacity summary'!AD37)="x",$BI125*AD125,VALUE('Capacity summary'!AD37)),0),AD125*$BI125),AD125*$BI125),0)</f>
        <v>0</v>
      </c>
      <c r="CH125" s="5">
        <f>IF($BI125&lt;&gt;"",IF('Capacity summary'!$C$14="Yes",IF(COUNTBLANK('Capacity summary'!$H37:$BG37)&lt;52,IF('Capacity summary'!AE37&lt;&gt;"",IF(LOWER('Capacity summary'!AE37)="x",$BI125*AE125,VALUE('Capacity summary'!AE37)),0),AE125*$BI125),AE125*$BI125),0)</f>
        <v>0</v>
      </c>
      <c r="CI125" s="5">
        <f>IF($BI125&lt;&gt;"",IF('Capacity summary'!$C$14="Yes",IF(COUNTBLANK('Capacity summary'!$H37:$BG37)&lt;52,IF('Capacity summary'!AF37&lt;&gt;"",IF(LOWER('Capacity summary'!AF37)="x",$BI125*AF125,VALUE('Capacity summary'!AF37)),0),AF125*$BI125),AF125*$BI125),0)</f>
        <v>0</v>
      </c>
      <c r="CJ125" s="5">
        <f>IF($BI125&lt;&gt;"",IF('Capacity summary'!$C$14="Yes",IF(COUNTBLANK('Capacity summary'!$H37:$BG37)&lt;52,IF('Capacity summary'!AG37&lt;&gt;"",IF(LOWER('Capacity summary'!AG37)="x",$BI125*AG125,VALUE('Capacity summary'!AG37)),0),AG125*$BI125),AG125*$BI125),0)</f>
        <v>0</v>
      </c>
      <c r="CK125" s="5">
        <f>IF($BI125&lt;&gt;"",IF('Capacity summary'!$C$14="Yes",IF(COUNTBLANK('Capacity summary'!$H37:$BG37)&lt;52,IF('Capacity summary'!AH37&lt;&gt;"",IF(LOWER('Capacity summary'!AH37)="x",$BI125*AH125,VALUE('Capacity summary'!AH37)),0),AH125*$BI125),AH125*$BI125),0)</f>
        <v>0</v>
      </c>
      <c r="CL125" s="5">
        <f>IF($BI125&lt;&gt;"",IF('Capacity summary'!$C$14="Yes",IF(COUNTBLANK('Capacity summary'!$H37:$BG37)&lt;52,IF('Capacity summary'!AI37&lt;&gt;"",IF(LOWER('Capacity summary'!AI37)="x",$BI125*AI125,VALUE('Capacity summary'!AI37)),0),AI125*$BI125),AI125*$BI125),0)</f>
        <v>0</v>
      </c>
      <c r="CM125" s="5">
        <f>IF($BI125&lt;&gt;"",IF('Capacity summary'!$C$14="Yes",IF(COUNTBLANK('Capacity summary'!$H37:$BG37)&lt;52,IF('Capacity summary'!AJ37&lt;&gt;"",IF(LOWER('Capacity summary'!AJ37)="x",$BI125*AJ125,VALUE('Capacity summary'!AJ37)),0),AJ125*$BI125),AJ125*$BI125),0)</f>
        <v>0</v>
      </c>
      <c r="CN125" s="5">
        <f>IF($BI125&lt;&gt;"",IF('Capacity summary'!$C$14="Yes",IF(COUNTBLANK('Capacity summary'!$H37:$BG37)&lt;52,IF('Capacity summary'!AK37&lt;&gt;"",IF(LOWER('Capacity summary'!AK37)="x",$BI125*AK125,VALUE('Capacity summary'!AK37)),0),AK125*$BI125),AK125*$BI125),0)</f>
        <v>0</v>
      </c>
      <c r="CO125" s="5">
        <f>IF($BI125&lt;&gt;"",IF('Capacity summary'!$C$14="Yes",IF(COUNTBLANK('Capacity summary'!$H37:$BG37)&lt;52,IF('Capacity summary'!AL37&lt;&gt;"",IF(LOWER('Capacity summary'!AL37)="x",$BI125*AL125,VALUE('Capacity summary'!AL37)),0),AL125*$BI125),AL125*$BI125),0)</f>
        <v>0</v>
      </c>
      <c r="CP125" s="5">
        <f>IF($BI125&lt;&gt;"",IF('Capacity summary'!$C$14="Yes",IF(COUNTBLANK('Capacity summary'!$H37:$BG37)&lt;52,IF('Capacity summary'!AM37&lt;&gt;"",IF(LOWER('Capacity summary'!AM37)="x",$BI125*AM125,VALUE('Capacity summary'!AM37)),0),AM125*$BI125),AM125*$BI125),0)</f>
        <v>0</v>
      </c>
      <c r="CQ125" s="5">
        <f>IF($BI125&lt;&gt;"",IF('Capacity summary'!$C$14="Yes",IF(COUNTBLANK('Capacity summary'!$H37:$BG37)&lt;52,IF('Capacity summary'!AN37&lt;&gt;"",IF(LOWER('Capacity summary'!AN37)="x",$BI125*AN125,VALUE('Capacity summary'!AN37)),0),AN125*$BI125),AN125*$BI125),0)</f>
        <v>0</v>
      </c>
      <c r="CR125" s="5">
        <f>IF($BI125&lt;&gt;"",IF('Capacity summary'!$C$14="Yes",IF(COUNTBLANK('Capacity summary'!$H37:$BG37)&lt;52,IF('Capacity summary'!AO37&lt;&gt;"",IF(LOWER('Capacity summary'!AO37)="x",$BI125*AO125,VALUE('Capacity summary'!AO37)),0),AO125*$BI125),AO125*$BI125),0)</f>
        <v>0</v>
      </c>
      <c r="CS125" s="5">
        <f>IF($BI125&lt;&gt;"",IF('Capacity summary'!$C$14="Yes",IF(COUNTBLANK('Capacity summary'!$H37:$BG37)&lt;52,IF('Capacity summary'!AP37&lt;&gt;"",IF(LOWER('Capacity summary'!AP37)="x",$BI125*AP125,VALUE('Capacity summary'!AP37)),0),AP125*$BI125),AP125*$BI125),0)</f>
        <v>0</v>
      </c>
      <c r="CT125" s="5">
        <f>IF($BI125&lt;&gt;"",IF('Capacity summary'!$C$14="Yes",IF(COUNTBLANK('Capacity summary'!$H37:$BG37)&lt;52,IF('Capacity summary'!AQ37&lt;&gt;"",IF(LOWER('Capacity summary'!AQ37)="x",$BI125*AQ125,VALUE('Capacity summary'!AQ37)),0),AQ125*$BI125),AQ125*$BI125),0)</f>
        <v>0</v>
      </c>
      <c r="CU125" s="5">
        <f>IF($BI125&lt;&gt;"",IF('Capacity summary'!$C$14="Yes",IF(COUNTBLANK('Capacity summary'!$H37:$BG37)&lt;52,IF('Capacity summary'!AR37&lt;&gt;"",IF(LOWER('Capacity summary'!AR37)="x",$BI125*AR125,VALUE('Capacity summary'!AR37)),0),AR125*$BI125),AR125*$BI125),0)</f>
        <v>0</v>
      </c>
      <c r="CV125" s="5">
        <f>IF($BI125&lt;&gt;"",IF('Capacity summary'!$C$14="Yes",IF(COUNTBLANK('Capacity summary'!$H37:$BG37)&lt;52,IF('Capacity summary'!AS37&lt;&gt;"",IF(LOWER('Capacity summary'!AS37)="x",$BI125*AS125,VALUE('Capacity summary'!AS37)),0),AS125*$BI125),AS125*$BI125),0)</f>
        <v>0</v>
      </c>
      <c r="CW125" s="5">
        <f>IF($BI125&lt;&gt;"",IF('Capacity summary'!$C$14="Yes",IF(COUNTBLANK('Capacity summary'!$H37:$BG37)&lt;52,IF('Capacity summary'!AT37&lt;&gt;"",IF(LOWER('Capacity summary'!AT37)="x",$BI125*AT125,VALUE('Capacity summary'!AT37)),0),AT125*$BI125),AT125*$BI125),0)</f>
        <v>0</v>
      </c>
      <c r="CX125" s="5">
        <f>IF($BI125&lt;&gt;"",IF('Capacity summary'!$C$14="Yes",IF(COUNTBLANK('Capacity summary'!$H37:$BG37)&lt;52,IF('Capacity summary'!AU37&lt;&gt;"",IF(LOWER('Capacity summary'!AU37)="x",$BI125*AU125,VALUE('Capacity summary'!AU37)),0),AU125*$BI125),AU125*$BI125),0)</f>
        <v>0</v>
      </c>
      <c r="CY125" s="5">
        <f>IF($BI125&lt;&gt;"",IF('Capacity summary'!$C$14="Yes",IF(COUNTBLANK('Capacity summary'!$H37:$BG37)&lt;52,IF('Capacity summary'!AV37&lt;&gt;"",IF(LOWER('Capacity summary'!AV37)="x",$BI125*AV125,VALUE('Capacity summary'!AV37)),0),AV125*$BI125),AV125*$BI125),0)</f>
        <v>0</v>
      </c>
      <c r="CZ125" s="5">
        <f>IF($BI125&lt;&gt;"",IF('Capacity summary'!$C$14="Yes",IF(COUNTBLANK('Capacity summary'!$H37:$BG37)&lt;52,IF('Capacity summary'!AW37&lt;&gt;"",IF(LOWER('Capacity summary'!AW37)="x",$BI125*AW125,VALUE('Capacity summary'!AW37)),0),AW125*$BI125),AW125*$BI125),0)</f>
        <v>0</v>
      </c>
      <c r="DA125" s="5">
        <f>IF($BI125&lt;&gt;"",IF('Capacity summary'!$C$14="Yes",IF(COUNTBLANK('Capacity summary'!$H37:$BG37)&lt;52,IF('Capacity summary'!AX37&lt;&gt;"",IF(LOWER('Capacity summary'!AX37)="x",$BI125*AX125,VALUE('Capacity summary'!AX37)),0),AX125*$BI125),AX125*$BI125),0)</f>
        <v>0</v>
      </c>
      <c r="DB125" s="5">
        <f>IF($BI125&lt;&gt;"",IF('Capacity summary'!$C$14="Yes",IF(COUNTBLANK('Capacity summary'!$H37:$BG37)&lt;52,IF('Capacity summary'!AY37&lt;&gt;"",IF(LOWER('Capacity summary'!AY37)="x",$BI125*AY125,VALUE('Capacity summary'!AY37)),0),AY125*$BI125),AY125*$BI125),0)</f>
        <v>0</v>
      </c>
      <c r="DC125" s="5">
        <f>IF($BI125&lt;&gt;"",IF('Capacity summary'!$C$14="Yes",IF(COUNTBLANK('Capacity summary'!$H37:$BG37)&lt;52,IF('Capacity summary'!AZ37&lt;&gt;"",IF(LOWER('Capacity summary'!AZ37)="x",$BI125*AZ125,VALUE('Capacity summary'!AZ37)),0),AZ125*$BI125),AZ125*$BI125),0)</f>
        <v>0</v>
      </c>
      <c r="DD125" s="5">
        <f>IF($BI125&lt;&gt;"",IF('Capacity summary'!$C$14="Yes",IF(COUNTBLANK('Capacity summary'!$H37:$BG37)&lt;52,IF('Capacity summary'!BA37&lt;&gt;"",IF(LOWER('Capacity summary'!BA37)="x",$BI125*BA125,VALUE('Capacity summary'!BA37)),0),BA125*$BI125),BA125*$BI125),0)</f>
        <v>0</v>
      </c>
      <c r="DE125" s="5">
        <f>IF($BI125&lt;&gt;"",IF('Capacity summary'!$C$14="Yes",IF(COUNTBLANK('Capacity summary'!$H37:$BG37)&lt;52,IF('Capacity summary'!BB37&lt;&gt;"",IF(LOWER('Capacity summary'!BB37)="x",$BI125*BB125,VALUE('Capacity summary'!BB37)),0),BB125*$BI125),BB125*$BI125),0)</f>
        <v>0</v>
      </c>
      <c r="DF125" s="5">
        <f>IF($BI125&lt;&gt;"",IF('Capacity summary'!$C$14="Yes",IF(COUNTBLANK('Capacity summary'!$H37:$BG37)&lt;52,IF('Capacity summary'!BC37&lt;&gt;"",IF(LOWER('Capacity summary'!BC37)="x",$BI125*BC125,VALUE('Capacity summary'!BC37)),0),BC125*$BI125),BC125*$BI125),0)</f>
        <v>0</v>
      </c>
      <c r="DG125" s="5">
        <f>IF($BI125&lt;&gt;"",IF('Capacity summary'!$C$14="Yes",IF(COUNTBLANK('Capacity summary'!$H37:$BG37)&lt;52,IF('Capacity summary'!BD37&lt;&gt;"",IF(LOWER('Capacity summary'!BD37)="x",$BI125*BD125,VALUE('Capacity summary'!BD37)),0),BD125*$BI125),BD125*$BI125),0)</f>
        <v>0</v>
      </c>
      <c r="DH125" s="5">
        <f>IF($BI125&lt;&gt;"",IF('Capacity summary'!$C$14="Yes",IF(COUNTBLANK('Capacity summary'!$H37:$BG37)&lt;52,IF('Capacity summary'!BE37&lt;&gt;"",IF(LOWER('Capacity summary'!BE37)="x",$BI125*BE125,VALUE('Capacity summary'!BE37)),0),BE125*$BI125),BE125*$BI125),0)</f>
        <v>0</v>
      </c>
      <c r="DI125" s="5">
        <f>IF($BI125&lt;&gt;"",IF('Capacity summary'!$C$14="Yes",IF(COUNTBLANK('Capacity summary'!$H37:$BG37)&lt;52,IF('Capacity summary'!BF37&lt;&gt;"",IF(LOWER('Capacity summary'!BF37)="x",$BI125*BF125,VALUE('Capacity summary'!BF37)),0),BF125*$BI125),BF125*$BI125),0)</f>
        <v>0</v>
      </c>
      <c r="DJ125" s="5">
        <f>IF($BI125&lt;&gt;"",IF('Capacity summary'!$C$14="Yes",IF(COUNTBLANK('Capacity summary'!$H37:$BG37)&lt;52,IF('Capacity summary'!BG37&lt;&gt;"",IF(LOWER('Capacity summary'!BG37)="x",$BI125*BG125,VALUE('Capacity summary'!BG37)),0),BG125*$BI125),BG125*$BI125),0)</f>
        <v>0</v>
      </c>
      <c r="DK125" s="5">
        <f t="shared" ref="DK125" si="19">SUM(DK126:DK225)</f>
        <v>0</v>
      </c>
    </row>
    <row r="126" spans="3:115" x14ac:dyDescent="0.25">
      <c r="C126" s="67" t="str">
        <f>ROW(A15)&amp;". "&amp;Capacity!N31</f>
        <v xml:space="preserve">15. </v>
      </c>
      <c r="D126" s="67">
        <f>'Capacity setup'!C132</f>
        <v>0</v>
      </c>
      <c r="E126" s="67">
        <f>'Capacity setup'!D132</f>
        <v>0</v>
      </c>
      <c r="F126" s="67">
        <f>'Capacity setup'!E132</f>
        <v>0</v>
      </c>
      <c r="H126" s="67">
        <f ca="1">IF(AND(SUMIF(Capacity_Resource,$D126,'Critical resources (hide)'!U$6:U$105)+SUMIF(Capacity_Resource,$E126,'Critical resources (hide)'!U$6:U$105)+SUMIF(Capacity_Resource,$F126,'Critical resources (hide)'!U$6:U$105)&gt;0,$E$1=2),0,1)</f>
        <v>1</v>
      </c>
      <c r="I126" s="67">
        <f ca="1">IF(AND(SUMIF(Capacity_Resource,$D126,'Critical resources (hide)'!V$6:V$105)+SUMIF(Capacity_Resource,$E126,'Critical resources (hide)'!V$6:V$105)+SUMIF(Capacity_Resource,$F126,'Critical resources (hide)'!V$6:V$105)&gt;0,$E$1=2),0,1)</f>
        <v>1</v>
      </c>
      <c r="J126" s="67">
        <f ca="1">IF(AND(SUMIF(Capacity_Resource,$D126,'Critical resources (hide)'!W$6:W$105)+SUMIF(Capacity_Resource,$E126,'Critical resources (hide)'!W$6:W$105)+SUMIF(Capacity_Resource,$F126,'Critical resources (hide)'!W$6:W$105)&gt;0,$E$1=2),0,1)</f>
        <v>1</v>
      </c>
      <c r="K126" s="67">
        <f ca="1">IF(AND(SUMIF(Capacity_Resource,$D126,'Critical resources (hide)'!X$6:X$105)+SUMIF(Capacity_Resource,$E126,'Critical resources (hide)'!X$6:X$105)+SUMIF(Capacity_Resource,$F126,'Critical resources (hide)'!X$6:X$105)&gt;0,$E$1=2),0,1)</f>
        <v>1</v>
      </c>
      <c r="L126" s="67">
        <f ca="1">IF(AND(SUMIF(Capacity_Resource,$D126,'Critical resources (hide)'!Y$6:Y$105)+SUMIF(Capacity_Resource,$E126,'Critical resources (hide)'!Y$6:Y$105)+SUMIF(Capacity_Resource,$F126,'Critical resources (hide)'!Y$6:Y$105)&gt;0,$E$1=2),0,1)</f>
        <v>1</v>
      </c>
      <c r="M126" s="67">
        <f ca="1">IF(AND(SUMIF(Capacity_Resource,$D126,'Critical resources (hide)'!Z$6:Z$105)+SUMIF(Capacity_Resource,$E126,'Critical resources (hide)'!Z$6:Z$105)+SUMIF(Capacity_Resource,$F126,'Critical resources (hide)'!Z$6:Z$105)&gt;0,$E$1=2),0,1)</f>
        <v>1</v>
      </c>
      <c r="N126" s="67">
        <f ca="1">IF(AND(SUMIF(Capacity_Resource,$D126,'Critical resources (hide)'!AA$6:AA$105)+SUMIF(Capacity_Resource,$E126,'Critical resources (hide)'!AA$6:AA$105)+SUMIF(Capacity_Resource,$F126,'Critical resources (hide)'!AA$6:AA$105)&gt;0,$E$1=2),0,1)</f>
        <v>1</v>
      </c>
      <c r="O126" s="67">
        <f ca="1">IF(AND(SUMIF(Capacity_Resource,$D126,'Critical resources (hide)'!AB$6:AB$105)+SUMIF(Capacity_Resource,$E126,'Critical resources (hide)'!AB$6:AB$105)+SUMIF(Capacity_Resource,$F126,'Critical resources (hide)'!AB$6:AB$105)&gt;0,$E$1=2),0,1)</f>
        <v>1</v>
      </c>
      <c r="P126" s="67">
        <f ca="1">IF(AND(SUMIF(Capacity_Resource,$D126,'Critical resources (hide)'!AC$6:AC$105)+SUMIF(Capacity_Resource,$E126,'Critical resources (hide)'!AC$6:AC$105)+SUMIF(Capacity_Resource,$F126,'Critical resources (hide)'!AC$6:AC$105)&gt;0,$E$1=2),0,1)</f>
        <v>1</v>
      </c>
      <c r="Q126" s="67">
        <f ca="1">IF(AND(SUMIF(Capacity_Resource,$D126,'Critical resources (hide)'!AD$6:AD$105)+SUMIF(Capacity_Resource,$E126,'Critical resources (hide)'!AD$6:AD$105)+SUMIF(Capacity_Resource,$F126,'Critical resources (hide)'!AD$6:AD$105)&gt;0,$E$1=2),0,1)</f>
        <v>1</v>
      </c>
      <c r="R126" s="67">
        <f ca="1">IF(AND(SUMIF(Capacity_Resource,$D126,'Critical resources (hide)'!AE$6:AE$105)+SUMIF(Capacity_Resource,$E126,'Critical resources (hide)'!AE$6:AE$105)+SUMIF(Capacity_Resource,$F126,'Critical resources (hide)'!AE$6:AE$105)&gt;0,$E$1=2),0,1)</f>
        <v>1</v>
      </c>
      <c r="S126" s="67">
        <f ca="1">IF(AND(SUMIF(Capacity_Resource,$D126,'Critical resources (hide)'!AF$6:AF$105)+SUMIF(Capacity_Resource,$E126,'Critical resources (hide)'!AF$6:AF$105)+SUMIF(Capacity_Resource,$F126,'Critical resources (hide)'!AF$6:AF$105)&gt;0,$E$1=2),0,1)</f>
        <v>1</v>
      </c>
      <c r="T126" s="67">
        <f ca="1">IF(AND(SUMIF(Capacity_Resource,$D126,'Critical resources (hide)'!AG$6:AG$105)+SUMIF(Capacity_Resource,$E126,'Critical resources (hide)'!AG$6:AG$105)+SUMIF(Capacity_Resource,$F126,'Critical resources (hide)'!AG$6:AG$105)&gt;0,$E$1=2),0,1)</f>
        <v>1</v>
      </c>
      <c r="U126" s="67">
        <f ca="1">IF(AND(SUMIF(Capacity_Resource,$D126,'Critical resources (hide)'!AH$6:AH$105)+SUMIF(Capacity_Resource,$E126,'Critical resources (hide)'!AH$6:AH$105)+SUMIF(Capacity_Resource,$F126,'Critical resources (hide)'!AH$6:AH$105)&gt;0,$E$1=2),0,1)</f>
        <v>1</v>
      </c>
      <c r="V126" s="67">
        <f ca="1">IF(AND(SUMIF(Capacity_Resource,$D126,'Critical resources (hide)'!AI$6:AI$105)+SUMIF(Capacity_Resource,$E126,'Critical resources (hide)'!AI$6:AI$105)+SUMIF(Capacity_Resource,$F126,'Critical resources (hide)'!AI$6:AI$105)&gt;0,$E$1=2),0,1)</f>
        <v>1</v>
      </c>
      <c r="W126" s="67">
        <f ca="1">IF(AND(SUMIF(Capacity_Resource,$D126,'Critical resources (hide)'!AJ$6:AJ$105)+SUMIF(Capacity_Resource,$E126,'Critical resources (hide)'!AJ$6:AJ$105)+SUMIF(Capacity_Resource,$F126,'Critical resources (hide)'!AJ$6:AJ$105)&gt;0,$E$1=2),0,1)</f>
        <v>1</v>
      </c>
      <c r="X126" s="67">
        <f ca="1">IF(AND(SUMIF(Capacity_Resource,$D126,'Critical resources (hide)'!AK$6:AK$105)+SUMIF(Capacity_Resource,$E126,'Critical resources (hide)'!AK$6:AK$105)+SUMIF(Capacity_Resource,$F126,'Critical resources (hide)'!AK$6:AK$105)&gt;0,$E$1=2),0,1)</f>
        <v>1</v>
      </c>
      <c r="Y126" s="67">
        <f ca="1">IF(AND(SUMIF(Capacity_Resource,$D126,'Critical resources (hide)'!AL$6:AL$105)+SUMIF(Capacity_Resource,$E126,'Critical resources (hide)'!AL$6:AL$105)+SUMIF(Capacity_Resource,$F126,'Critical resources (hide)'!AL$6:AL$105)&gt;0,$E$1=2),0,1)</f>
        <v>1</v>
      </c>
      <c r="Z126" s="67">
        <f ca="1">IF(AND(SUMIF(Capacity_Resource,$D126,'Critical resources (hide)'!AM$6:AM$105)+SUMIF(Capacity_Resource,$E126,'Critical resources (hide)'!AM$6:AM$105)+SUMIF(Capacity_Resource,$F126,'Critical resources (hide)'!AM$6:AM$105)&gt;0,$E$1=2),0,1)</f>
        <v>1</v>
      </c>
      <c r="AA126" s="67">
        <f ca="1">IF(AND(SUMIF(Capacity_Resource,$D126,'Critical resources (hide)'!AN$6:AN$105)+SUMIF(Capacity_Resource,$E126,'Critical resources (hide)'!AN$6:AN$105)+SUMIF(Capacity_Resource,$F126,'Critical resources (hide)'!AN$6:AN$105)&gt;0,$E$1=2),0,1)</f>
        <v>1</v>
      </c>
      <c r="AB126" s="67">
        <f ca="1">IF(AND(SUMIF(Capacity_Resource,$D126,'Critical resources (hide)'!AO$6:AO$105)+SUMIF(Capacity_Resource,$E126,'Critical resources (hide)'!AO$6:AO$105)+SUMIF(Capacity_Resource,$F126,'Critical resources (hide)'!AO$6:AO$105)&gt;0,$E$1=2),0,1)</f>
        <v>1</v>
      </c>
      <c r="AC126" s="67">
        <f ca="1">IF(AND(SUMIF(Capacity_Resource,$D126,'Critical resources (hide)'!AP$6:AP$105)+SUMIF(Capacity_Resource,$E126,'Critical resources (hide)'!AP$6:AP$105)+SUMIF(Capacity_Resource,$F126,'Critical resources (hide)'!AP$6:AP$105)&gt;0,$E$1=2),0,1)</f>
        <v>1</v>
      </c>
      <c r="AD126" s="67">
        <f ca="1">IF(AND(SUMIF(Capacity_Resource,$D126,'Critical resources (hide)'!AQ$6:AQ$105)+SUMIF(Capacity_Resource,$E126,'Critical resources (hide)'!AQ$6:AQ$105)+SUMIF(Capacity_Resource,$F126,'Critical resources (hide)'!AQ$6:AQ$105)&gt;0,$E$1=2),0,1)</f>
        <v>1</v>
      </c>
      <c r="AE126" s="67">
        <f ca="1">IF(AND(SUMIF(Capacity_Resource,$D126,'Critical resources (hide)'!AR$6:AR$105)+SUMIF(Capacity_Resource,$E126,'Critical resources (hide)'!AR$6:AR$105)+SUMIF(Capacity_Resource,$F126,'Critical resources (hide)'!AR$6:AR$105)&gt;0,$E$1=2),0,1)</f>
        <v>1</v>
      </c>
      <c r="AF126" s="67">
        <f ca="1">IF(AND(SUMIF(Capacity_Resource,$D126,'Critical resources (hide)'!AS$6:AS$105)+SUMIF(Capacity_Resource,$E126,'Critical resources (hide)'!AS$6:AS$105)+SUMIF(Capacity_Resource,$F126,'Critical resources (hide)'!AS$6:AS$105)&gt;0,$E$1=2),0,1)</f>
        <v>1</v>
      </c>
      <c r="AG126" s="67">
        <f ca="1">IF(AND(SUMIF(Capacity_Resource,$D126,'Critical resources (hide)'!AT$6:AT$105)+SUMIF(Capacity_Resource,$E126,'Critical resources (hide)'!AT$6:AT$105)+SUMIF(Capacity_Resource,$F126,'Critical resources (hide)'!AT$6:AT$105)&gt;0,$E$1=2),0,1)</f>
        <v>1</v>
      </c>
      <c r="AH126" s="67">
        <f ca="1">IF(AND(SUMIF(Capacity_Resource,$D126,'Critical resources (hide)'!AU$6:AU$105)+SUMIF(Capacity_Resource,$E126,'Critical resources (hide)'!AU$6:AU$105)+SUMIF(Capacity_Resource,$F126,'Critical resources (hide)'!AU$6:AU$105)&gt;0,$E$1=2),0,1)</f>
        <v>1</v>
      </c>
      <c r="AI126" s="67">
        <f ca="1">IF(AND(SUMIF(Capacity_Resource,$D126,'Critical resources (hide)'!AV$6:AV$105)+SUMIF(Capacity_Resource,$E126,'Critical resources (hide)'!AV$6:AV$105)+SUMIF(Capacity_Resource,$F126,'Critical resources (hide)'!AV$6:AV$105)&gt;0,$E$1=2),0,1)</f>
        <v>1</v>
      </c>
      <c r="AJ126" s="67">
        <f ca="1">IF(AND(SUMIF(Capacity_Resource,$D126,'Critical resources (hide)'!AW$6:AW$105)+SUMIF(Capacity_Resource,$E126,'Critical resources (hide)'!AW$6:AW$105)+SUMIF(Capacity_Resource,$F126,'Critical resources (hide)'!AW$6:AW$105)&gt;0,$E$1=2),0,1)</f>
        <v>1</v>
      </c>
      <c r="AK126" s="67">
        <f ca="1">IF(AND(SUMIF(Capacity_Resource,$D126,'Critical resources (hide)'!AX$6:AX$105)+SUMIF(Capacity_Resource,$E126,'Critical resources (hide)'!AX$6:AX$105)+SUMIF(Capacity_Resource,$F126,'Critical resources (hide)'!AX$6:AX$105)&gt;0,$E$1=2),0,1)</f>
        <v>1</v>
      </c>
      <c r="AL126" s="67">
        <f ca="1">IF(AND(SUMIF(Capacity_Resource,$D126,'Critical resources (hide)'!AY$6:AY$105)+SUMIF(Capacity_Resource,$E126,'Critical resources (hide)'!AY$6:AY$105)+SUMIF(Capacity_Resource,$F126,'Critical resources (hide)'!AY$6:AY$105)&gt;0,$E$1=2),0,1)</f>
        <v>1</v>
      </c>
      <c r="AM126" s="67">
        <f ca="1">IF(AND(SUMIF(Capacity_Resource,$D126,'Critical resources (hide)'!AZ$6:AZ$105)+SUMIF(Capacity_Resource,$E126,'Critical resources (hide)'!AZ$6:AZ$105)+SUMIF(Capacity_Resource,$F126,'Critical resources (hide)'!AZ$6:AZ$105)&gt;0,$E$1=2),0,1)</f>
        <v>1</v>
      </c>
      <c r="AN126" s="67">
        <f ca="1">IF(AND(SUMIF(Capacity_Resource,$D126,'Critical resources (hide)'!BA$6:BA$105)+SUMIF(Capacity_Resource,$E126,'Critical resources (hide)'!BA$6:BA$105)+SUMIF(Capacity_Resource,$F126,'Critical resources (hide)'!BA$6:BA$105)&gt;0,$E$1=2),0,1)</f>
        <v>1</v>
      </c>
      <c r="AO126" s="67">
        <f ca="1">IF(AND(SUMIF(Capacity_Resource,$D126,'Critical resources (hide)'!BB$6:BB$105)+SUMIF(Capacity_Resource,$E126,'Critical resources (hide)'!BB$6:BB$105)+SUMIF(Capacity_Resource,$F126,'Critical resources (hide)'!BB$6:BB$105)&gt;0,$E$1=2),0,1)</f>
        <v>1</v>
      </c>
      <c r="AP126" s="67">
        <f ca="1">IF(AND(SUMIF(Capacity_Resource,$D126,'Critical resources (hide)'!BC$6:BC$105)+SUMIF(Capacity_Resource,$E126,'Critical resources (hide)'!BC$6:BC$105)+SUMIF(Capacity_Resource,$F126,'Critical resources (hide)'!BC$6:BC$105)&gt;0,$E$1=2),0,1)</f>
        <v>1</v>
      </c>
      <c r="AQ126" s="67">
        <f ca="1">IF(AND(SUMIF(Capacity_Resource,$D126,'Critical resources (hide)'!BD$6:BD$105)+SUMIF(Capacity_Resource,$E126,'Critical resources (hide)'!BD$6:BD$105)+SUMIF(Capacity_Resource,$F126,'Critical resources (hide)'!BD$6:BD$105)&gt;0,$E$1=2),0,1)</f>
        <v>1</v>
      </c>
      <c r="AR126" s="67">
        <f ca="1">IF(AND(SUMIF(Capacity_Resource,$D126,'Critical resources (hide)'!BE$6:BE$105)+SUMIF(Capacity_Resource,$E126,'Critical resources (hide)'!BE$6:BE$105)+SUMIF(Capacity_Resource,$F126,'Critical resources (hide)'!BE$6:BE$105)&gt;0,$E$1=2),0,1)</f>
        <v>1</v>
      </c>
      <c r="AS126" s="67">
        <f ca="1">IF(AND(SUMIF(Capacity_Resource,$D126,'Critical resources (hide)'!BF$6:BF$105)+SUMIF(Capacity_Resource,$E126,'Critical resources (hide)'!BF$6:BF$105)+SUMIF(Capacity_Resource,$F126,'Critical resources (hide)'!BF$6:BF$105)&gt;0,$E$1=2),0,1)</f>
        <v>1</v>
      </c>
      <c r="AT126" s="67">
        <f ca="1">IF(AND(SUMIF(Capacity_Resource,$D126,'Critical resources (hide)'!BG$6:BG$105)+SUMIF(Capacity_Resource,$E126,'Critical resources (hide)'!BG$6:BG$105)+SUMIF(Capacity_Resource,$F126,'Critical resources (hide)'!BG$6:BG$105)&gt;0,$E$1=2),0,1)</f>
        <v>1</v>
      </c>
      <c r="AU126" s="67">
        <f ca="1">IF(AND(SUMIF(Capacity_Resource,$D126,'Critical resources (hide)'!BH$6:BH$105)+SUMIF(Capacity_Resource,$E126,'Critical resources (hide)'!BH$6:BH$105)+SUMIF(Capacity_Resource,$F126,'Critical resources (hide)'!BH$6:BH$105)&gt;0,$E$1=2),0,1)</f>
        <v>1</v>
      </c>
      <c r="AV126" s="67">
        <f ca="1">IF(AND(SUMIF(Capacity_Resource,$D126,'Critical resources (hide)'!BI$6:BI$105)+SUMIF(Capacity_Resource,$E126,'Critical resources (hide)'!BI$6:BI$105)+SUMIF(Capacity_Resource,$F126,'Critical resources (hide)'!BI$6:BI$105)&gt;0,$E$1=2),0,1)</f>
        <v>1</v>
      </c>
      <c r="AW126" s="67">
        <f ca="1">IF(AND(SUMIF(Capacity_Resource,$D126,'Critical resources (hide)'!BJ$6:BJ$105)+SUMIF(Capacity_Resource,$E126,'Critical resources (hide)'!BJ$6:BJ$105)+SUMIF(Capacity_Resource,$F126,'Critical resources (hide)'!BJ$6:BJ$105)&gt;0,$E$1=2),0,1)</f>
        <v>1</v>
      </c>
      <c r="AX126" s="67">
        <f ca="1">IF(AND(SUMIF(Capacity_Resource,$D126,'Critical resources (hide)'!BK$6:BK$105)+SUMIF(Capacity_Resource,$E126,'Critical resources (hide)'!BK$6:BK$105)+SUMIF(Capacity_Resource,$F126,'Critical resources (hide)'!BK$6:BK$105)&gt;0,$E$1=2),0,1)</f>
        <v>1</v>
      </c>
      <c r="AY126" s="67">
        <f ca="1">IF(AND(SUMIF(Capacity_Resource,$D126,'Critical resources (hide)'!BL$6:BL$105)+SUMIF(Capacity_Resource,$E126,'Critical resources (hide)'!BL$6:BL$105)+SUMIF(Capacity_Resource,$F126,'Critical resources (hide)'!BL$6:BL$105)&gt;0,$E$1=2),0,1)</f>
        <v>1</v>
      </c>
      <c r="AZ126" s="67">
        <f ca="1">IF(AND(SUMIF(Capacity_Resource,$D126,'Critical resources (hide)'!BM$6:BM$105)+SUMIF(Capacity_Resource,$E126,'Critical resources (hide)'!BM$6:BM$105)+SUMIF(Capacity_Resource,$F126,'Critical resources (hide)'!BM$6:BM$105)&gt;0,$E$1=2),0,1)</f>
        <v>1</v>
      </c>
      <c r="BA126" s="67">
        <f ca="1">IF(AND(SUMIF(Capacity_Resource,$D126,'Critical resources (hide)'!BN$6:BN$105)+SUMIF(Capacity_Resource,$E126,'Critical resources (hide)'!BN$6:BN$105)+SUMIF(Capacity_Resource,$F126,'Critical resources (hide)'!BN$6:BN$105)&gt;0,$E$1=2),0,1)</f>
        <v>1</v>
      </c>
      <c r="BB126" s="67">
        <f ca="1">IF(AND(SUMIF(Capacity_Resource,$D126,'Critical resources (hide)'!BO$6:BO$105)+SUMIF(Capacity_Resource,$E126,'Critical resources (hide)'!BO$6:BO$105)+SUMIF(Capacity_Resource,$F126,'Critical resources (hide)'!BO$6:BO$105)&gt;0,$E$1=2),0,1)</f>
        <v>1</v>
      </c>
      <c r="BC126" s="67">
        <f ca="1">IF(AND(SUMIF(Capacity_Resource,$D126,'Critical resources (hide)'!BP$6:BP$105)+SUMIF(Capacity_Resource,$E126,'Critical resources (hide)'!BP$6:BP$105)+SUMIF(Capacity_Resource,$F126,'Critical resources (hide)'!BP$6:BP$105)&gt;0,$E$1=2),0,1)</f>
        <v>1</v>
      </c>
      <c r="BD126" s="67">
        <f ca="1">IF(AND(SUMIF(Capacity_Resource,$D126,'Critical resources (hide)'!BQ$6:BQ$105)+SUMIF(Capacity_Resource,$E126,'Critical resources (hide)'!BQ$6:BQ$105)+SUMIF(Capacity_Resource,$F126,'Critical resources (hide)'!BQ$6:BQ$105)&gt;0,$E$1=2),0,1)</f>
        <v>1</v>
      </c>
      <c r="BE126" s="67">
        <f ca="1">IF(AND(SUMIF(Capacity_Resource,$D126,'Critical resources (hide)'!BR$6:BR$105)+SUMIF(Capacity_Resource,$E126,'Critical resources (hide)'!BR$6:BR$105)+SUMIF(Capacity_Resource,$F126,'Critical resources (hide)'!BR$6:BR$105)&gt;0,$E$1=2),0,1)</f>
        <v>1</v>
      </c>
      <c r="BF126" s="67">
        <f ca="1">IF(AND(SUMIF(Capacity_Resource,$D126,'Critical resources (hide)'!BS$6:BS$105)+SUMIF(Capacity_Resource,$E126,'Critical resources (hide)'!BS$6:BS$105)+SUMIF(Capacity_Resource,$F126,'Critical resources (hide)'!BS$6:BS$105)&gt;0,$E$1=2),0,1)</f>
        <v>1</v>
      </c>
      <c r="BG126" s="67">
        <f ca="1">IF(AND(SUMIF(Capacity_Resource,$D126,'Critical resources (hide)'!BT$6:BT$105)+SUMIF(Capacity_Resource,$E126,'Critical resources (hide)'!BT$6:BT$105)+SUMIF(Capacity_Resource,$F126,'Critical resources (hide)'!BT$6:BT$105)&gt;0,$E$1=2),0,1)</f>
        <v>1</v>
      </c>
      <c r="BH126" s="67">
        <f>IF(ROW(A15)&lt;=Capacity!$M$16,IF('Capacity summary'!$C$14="No",SUM(H126:BG126),'Capacity summary'!$E38),0)</f>
        <v>0</v>
      </c>
      <c r="BI126" s="67" t="str">
        <f>IF(BH126&gt;0,IF(BH126&lt;Capacity!Q31,Capacity!R31,Capacity!T31/'Capacity calculation (hide)'!BH126),"")</f>
        <v/>
      </c>
      <c r="BJ126" s="5"/>
      <c r="BK126" s="5">
        <f>IF($BI126&lt;&gt;"",IF('Capacity summary'!$C$14="Yes",IF(COUNTBLANK('Capacity summary'!$H38:$BG38)&lt;52,IF('Capacity summary'!H38&lt;&gt;"",IF(LOWER('Capacity summary'!H38)="x",$BI126*H126,VALUE('Capacity summary'!H38)),0),H126*$BI126),H126*$BI126),0)</f>
        <v>0</v>
      </c>
      <c r="BL126" s="5">
        <f>IF($BI126&lt;&gt;"",IF('Capacity summary'!$C$14="Yes",IF(COUNTBLANK('Capacity summary'!$H38:$BG38)&lt;52,IF('Capacity summary'!I38&lt;&gt;"",IF(LOWER('Capacity summary'!I38)="x",$BI126*I126,VALUE('Capacity summary'!I38)),0),I126*$BI126),I126*$BI126),0)</f>
        <v>0</v>
      </c>
      <c r="BM126" s="5">
        <f>IF($BI126&lt;&gt;"",IF('Capacity summary'!$C$14="Yes",IF(COUNTBLANK('Capacity summary'!$H38:$BG38)&lt;52,IF('Capacity summary'!J38&lt;&gt;"",IF(LOWER('Capacity summary'!J38)="x",$BI126*J126,VALUE('Capacity summary'!J38)),0),J126*$BI126),J126*$BI126),0)</f>
        <v>0</v>
      </c>
      <c r="BN126" s="5">
        <f>IF($BI126&lt;&gt;"",IF('Capacity summary'!$C$14="Yes",IF(COUNTBLANK('Capacity summary'!$H38:$BG38)&lt;52,IF('Capacity summary'!K38&lt;&gt;"",IF(LOWER('Capacity summary'!K38)="x",$BI126*K126,VALUE('Capacity summary'!K38)),0),K126*$BI126),K126*$BI126),0)</f>
        <v>0</v>
      </c>
      <c r="BO126" s="5">
        <f>IF($BI126&lt;&gt;"",IF('Capacity summary'!$C$14="Yes",IF(COUNTBLANK('Capacity summary'!$H38:$BG38)&lt;52,IF('Capacity summary'!L38&lt;&gt;"",IF(LOWER('Capacity summary'!L38)="x",$BI126*L126,VALUE('Capacity summary'!L38)),0),L126*$BI126),L126*$BI126),0)</f>
        <v>0</v>
      </c>
      <c r="BP126" s="5">
        <f>IF($BI126&lt;&gt;"",IF('Capacity summary'!$C$14="Yes",IF(COUNTBLANK('Capacity summary'!$H38:$BG38)&lt;52,IF('Capacity summary'!M38&lt;&gt;"",IF(LOWER('Capacity summary'!M38)="x",$BI126*M126,VALUE('Capacity summary'!M38)),0),M126*$BI126),M126*$BI126),0)</f>
        <v>0</v>
      </c>
      <c r="BQ126" s="5">
        <f>IF($BI126&lt;&gt;"",IF('Capacity summary'!$C$14="Yes",IF(COUNTBLANK('Capacity summary'!$H38:$BG38)&lt;52,IF('Capacity summary'!N38&lt;&gt;"",IF(LOWER('Capacity summary'!N38)="x",$BI126*N126,VALUE('Capacity summary'!N38)),0),N126*$BI126),N126*$BI126),0)</f>
        <v>0</v>
      </c>
      <c r="BR126" s="5">
        <f>IF($BI126&lt;&gt;"",IF('Capacity summary'!$C$14="Yes",IF(COUNTBLANK('Capacity summary'!$H38:$BG38)&lt;52,IF('Capacity summary'!O38&lt;&gt;"",IF(LOWER('Capacity summary'!O38)="x",$BI126*O126,VALUE('Capacity summary'!O38)),0),O126*$BI126),O126*$BI126),0)</f>
        <v>0</v>
      </c>
      <c r="BS126" s="5">
        <f>IF($BI126&lt;&gt;"",IF('Capacity summary'!$C$14="Yes",IF(COUNTBLANK('Capacity summary'!$H38:$BG38)&lt;52,IF('Capacity summary'!P38&lt;&gt;"",IF(LOWER('Capacity summary'!P38)="x",$BI126*P126,VALUE('Capacity summary'!P38)),0),P126*$BI126),P126*$BI126),0)</f>
        <v>0</v>
      </c>
      <c r="BT126" s="5">
        <f>IF($BI126&lt;&gt;"",IF('Capacity summary'!$C$14="Yes",IF(COUNTBLANK('Capacity summary'!$H38:$BG38)&lt;52,IF('Capacity summary'!Q38&lt;&gt;"",IF(LOWER('Capacity summary'!Q38)="x",$BI126*Q126,VALUE('Capacity summary'!Q38)),0),Q126*$BI126),Q126*$BI126),0)</f>
        <v>0</v>
      </c>
      <c r="BU126" s="5">
        <f>IF($BI126&lt;&gt;"",IF('Capacity summary'!$C$14="Yes",IF(COUNTBLANK('Capacity summary'!$H38:$BG38)&lt;52,IF('Capacity summary'!R38&lt;&gt;"",IF(LOWER('Capacity summary'!R38)="x",$BI126*R126,VALUE('Capacity summary'!R38)),0),R126*$BI126),R126*$BI126),0)</f>
        <v>0</v>
      </c>
      <c r="BV126" s="5">
        <f>IF($BI126&lt;&gt;"",IF('Capacity summary'!$C$14="Yes",IF(COUNTBLANK('Capacity summary'!$H38:$BG38)&lt;52,IF('Capacity summary'!S38&lt;&gt;"",IF(LOWER('Capacity summary'!S38)="x",$BI126*S126,VALUE('Capacity summary'!S38)),0),S126*$BI126),S126*$BI126),0)</f>
        <v>0</v>
      </c>
      <c r="BW126" s="5">
        <f>IF($BI126&lt;&gt;"",IF('Capacity summary'!$C$14="Yes",IF(COUNTBLANK('Capacity summary'!$H38:$BG38)&lt;52,IF('Capacity summary'!T38&lt;&gt;"",IF(LOWER('Capacity summary'!T38)="x",$BI126*T126,VALUE('Capacity summary'!T38)),0),T126*$BI126),T126*$BI126),0)</f>
        <v>0</v>
      </c>
      <c r="BX126" s="5">
        <f>IF($BI126&lt;&gt;"",IF('Capacity summary'!$C$14="Yes",IF(COUNTBLANK('Capacity summary'!$H38:$BG38)&lt;52,IF('Capacity summary'!U38&lt;&gt;"",IF(LOWER('Capacity summary'!U38)="x",$BI126*U126,VALUE('Capacity summary'!U38)),0),U126*$BI126),U126*$BI126),0)</f>
        <v>0</v>
      </c>
      <c r="BY126" s="5">
        <f>IF($BI126&lt;&gt;"",IF('Capacity summary'!$C$14="Yes",IF(COUNTBLANK('Capacity summary'!$H38:$BG38)&lt;52,IF('Capacity summary'!V38&lt;&gt;"",IF(LOWER('Capacity summary'!V38)="x",$BI126*V126,VALUE('Capacity summary'!V38)),0),V126*$BI126),V126*$BI126),0)</f>
        <v>0</v>
      </c>
      <c r="BZ126" s="5">
        <f>IF($BI126&lt;&gt;"",IF('Capacity summary'!$C$14="Yes",IF(COUNTBLANK('Capacity summary'!$H38:$BG38)&lt;52,IF('Capacity summary'!W38&lt;&gt;"",IF(LOWER('Capacity summary'!W38)="x",$BI126*W126,VALUE('Capacity summary'!W38)),0),W126*$BI126),W126*$BI126),0)</f>
        <v>0</v>
      </c>
      <c r="CA126" s="5">
        <f>IF($BI126&lt;&gt;"",IF('Capacity summary'!$C$14="Yes",IF(COUNTBLANK('Capacity summary'!$H38:$BG38)&lt;52,IF('Capacity summary'!X38&lt;&gt;"",IF(LOWER('Capacity summary'!X38)="x",$BI126*X126,VALUE('Capacity summary'!X38)),0),X126*$BI126),X126*$BI126),0)</f>
        <v>0</v>
      </c>
      <c r="CB126" s="5">
        <f>IF($BI126&lt;&gt;"",IF('Capacity summary'!$C$14="Yes",IF(COUNTBLANK('Capacity summary'!$H38:$BG38)&lt;52,IF('Capacity summary'!Y38&lt;&gt;"",IF(LOWER('Capacity summary'!Y38)="x",$BI126*Y126,VALUE('Capacity summary'!Y38)),0),Y126*$BI126),Y126*$BI126),0)</f>
        <v>0</v>
      </c>
      <c r="CC126" s="5">
        <f>IF($BI126&lt;&gt;"",IF('Capacity summary'!$C$14="Yes",IF(COUNTBLANK('Capacity summary'!$H38:$BG38)&lt;52,IF('Capacity summary'!Z38&lt;&gt;"",IF(LOWER('Capacity summary'!Z38)="x",$BI126*Z126,VALUE('Capacity summary'!Z38)),0),Z126*$BI126),Z126*$BI126),0)</f>
        <v>0</v>
      </c>
      <c r="CD126" s="5">
        <f>IF($BI126&lt;&gt;"",IF('Capacity summary'!$C$14="Yes",IF(COUNTBLANK('Capacity summary'!$H38:$BG38)&lt;52,IF('Capacity summary'!AA38&lt;&gt;"",IF(LOWER('Capacity summary'!AA38)="x",$BI126*AA126,VALUE('Capacity summary'!AA38)),0),AA126*$BI126),AA126*$BI126),0)</f>
        <v>0</v>
      </c>
      <c r="CE126" s="5">
        <f>IF($BI126&lt;&gt;"",IF('Capacity summary'!$C$14="Yes",IF(COUNTBLANK('Capacity summary'!$H38:$BG38)&lt;52,IF('Capacity summary'!AB38&lt;&gt;"",IF(LOWER('Capacity summary'!AB38)="x",$BI126*AB126,VALUE('Capacity summary'!AB38)),0),AB126*$BI126),AB126*$BI126),0)</f>
        <v>0</v>
      </c>
      <c r="CF126" s="5">
        <f>IF($BI126&lt;&gt;"",IF('Capacity summary'!$C$14="Yes",IF(COUNTBLANK('Capacity summary'!$H38:$BG38)&lt;52,IF('Capacity summary'!AC38&lt;&gt;"",IF(LOWER('Capacity summary'!AC38)="x",$BI126*AC126,VALUE('Capacity summary'!AC38)),0),AC126*$BI126),AC126*$BI126),0)</f>
        <v>0</v>
      </c>
      <c r="CG126" s="5">
        <f>IF($BI126&lt;&gt;"",IF('Capacity summary'!$C$14="Yes",IF(COUNTBLANK('Capacity summary'!$H38:$BG38)&lt;52,IF('Capacity summary'!AD38&lt;&gt;"",IF(LOWER('Capacity summary'!AD38)="x",$BI126*AD126,VALUE('Capacity summary'!AD38)),0),AD126*$BI126),AD126*$BI126),0)</f>
        <v>0</v>
      </c>
      <c r="CH126" s="5">
        <f>IF($BI126&lt;&gt;"",IF('Capacity summary'!$C$14="Yes",IF(COUNTBLANK('Capacity summary'!$H38:$BG38)&lt;52,IF('Capacity summary'!AE38&lt;&gt;"",IF(LOWER('Capacity summary'!AE38)="x",$BI126*AE126,VALUE('Capacity summary'!AE38)),0),AE126*$BI126),AE126*$BI126),0)</f>
        <v>0</v>
      </c>
      <c r="CI126" s="5">
        <f>IF($BI126&lt;&gt;"",IF('Capacity summary'!$C$14="Yes",IF(COUNTBLANK('Capacity summary'!$H38:$BG38)&lt;52,IF('Capacity summary'!AF38&lt;&gt;"",IF(LOWER('Capacity summary'!AF38)="x",$BI126*AF126,VALUE('Capacity summary'!AF38)),0),AF126*$BI126),AF126*$BI126),0)</f>
        <v>0</v>
      </c>
      <c r="CJ126" s="5">
        <f>IF($BI126&lt;&gt;"",IF('Capacity summary'!$C$14="Yes",IF(COUNTBLANK('Capacity summary'!$H38:$BG38)&lt;52,IF('Capacity summary'!AG38&lt;&gt;"",IF(LOWER('Capacity summary'!AG38)="x",$BI126*AG126,VALUE('Capacity summary'!AG38)),0),AG126*$BI126),AG126*$BI126),0)</f>
        <v>0</v>
      </c>
      <c r="CK126" s="5">
        <f>IF($BI126&lt;&gt;"",IF('Capacity summary'!$C$14="Yes",IF(COUNTBLANK('Capacity summary'!$H38:$BG38)&lt;52,IF('Capacity summary'!AH38&lt;&gt;"",IF(LOWER('Capacity summary'!AH38)="x",$BI126*AH126,VALUE('Capacity summary'!AH38)),0),AH126*$BI126),AH126*$BI126),0)</f>
        <v>0</v>
      </c>
      <c r="CL126" s="5">
        <f>IF($BI126&lt;&gt;"",IF('Capacity summary'!$C$14="Yes",IF(COUNTBLANK('Capacity summary'!$H38:$BG38)&lt;52,IF('Capacity summary'!AI38&lt;&gt;"",IF(LOWER('Capacity summary'!AI38)="x",$BI126*AI126,VALUE('Capacity summary'!AI38)),0),AI126*$BI126),AI126*$BI126),0)</f>
        <v>0</v>
      </c>
      <c r="CM126" s="5">
        <f>IF($BI126&lt;&gt;"",IF('Capacity summary'!$C$14="Yes",IF(COUNTBLANK('Capacity summary'!$H38:$BG38)&lt;52,IF('Capacity summary'!AJ38&lt;&gt;"",IF(LOWER('Capacity summary'!AJ38)="x",$BI126*AJ126,VALUE('Capacity summary'!AJ38)),0),AJ126*$BI126),AJ126*$BI126),0)</f>
        <v>0</v>
      </c>
      <c r="CN126" s="5">
        <f>IF($BI126&lt;&gt;"",IF('Capacity summary'!$C$14="Yes",IF(COUNTBLANK('Capacity summary'!$H38:$BG38)&lt;52,IF('Capacity summary'!AK38&lt;&gt;"",IF(LOWER('Capacity summary'!AK38)="x",$BI126*AK126,VALUE('Capacity summary'!AK38)),0),AK126*$BI126),AK126*$BI126),0)</f>
        <v>0</v>
      </c>
      <c r="CO126" s="5">
        <f>IF($BI126&lt;&gt;"",IF('Capacity summary'!$C$14="Yes",IF(COUNTBLANK('Capacity summary'!$H38:$BG38)&lt;52,IF('Capacity summary'!AL38&lt;&gt;"",IF(LOWER('Capacity summary'!AL38)="x",$BI126*AL126,VALUE('Capacity summary'!AL38)),0),AL126*$BI126),AL126*$BI126),0)</f>
        <v>0</v>
      </c>
      <c r="CP126" s="5">
        <f>IF($BI126&lt;&gt;"",IF('Capacity summary'!$C$14="Yes",IF(COUNTBLANK('Capacity summary'!$H38:$BG38)&lt;52,IF('Capacity summary'!AM38&lt;&gt;"",IF(LOWER('Capacity summary'!AM38)="x",$BI126*AM126,VALUE('Capacity summary'!AM38)),0),AM126*$BI126),AM126*$BI126),0)</f>
        <v>0</v>
      </c>
      <c r="CQ126" s="5">
        <f>IF($BI126&lt;&gt;"",IF('Capacity summary'!$C$14="Yes",IF(COUNTBLANK('Capacity summary'!$H38:$BG38)&lt;52,IF('Capacity summary'!AN38&lt;&gt;"",IF(LOWER('Capacity summary'!AN38)="x",$BI126*AN126,VALUE('Capacity summary'!AN38)),0),AN126*$BI126),AN126*$BI126),0)</f>
        <v>0</v>
      </c>
      <c r="CR126" s="5">
        <f>IF($BI126&lt;&gt;"",IF('Capacity summary'!$C$14="Yes",IF(COUNTBLANK('Capacity summary'!$H38:$BG38)&lt;52,IF('Capacity summary'!AO38&lt;&gt;"",IF(LOWER('Capacity summary'!AO38)="x",$BI126*AO126,VALUE('Capacity summary'!AO38)),0),AO126*$BI126),AO126*$BI126),0)</f>
        <v>0</v>
      </c>
      <c r="CS126" s="5">
        <f>IF($BI126&lt;&gt;"",IF('Capacity summary'!$C$14="Yes",IF(COUNTBLANK('Capacity summary'!$H38:$BG38)&lt;52,IF('Capacity summary'!AP38&lt;&gt;"",IF(LOWER('Capacity summary'!AP38)="x",$BI126*AP126,VALUE('Capacity summary'!AP38)),0),AP126*$BI126),AP126*$BI126),0)</f>
        <v>0</v>
      </c>
      <c r="CT126" s="5">
        <f>IF($BI126&lt;&gt;"",IF('Capacity summary'!$C$14="Yes",IF(COUNTBLANK('Capacity summary'!$H38:$BG38)&lt;52,IF('Capacity summary'!AQ38&lt;&gt;"",IF(LOWER('Capacity summary'!AQ38)="x",$BI126*AQ126,VALUE('Capacity summary'!AQ38)),0),AQ126*$BI126),AQ126*$BI126),0)</f>
        <v>0</v>
      </c>
      <c r="CU126" s="5">
        <f>IF($BI126&lt;&gt;"",IF('Capacity summary'!$C$14="Yes",IF(COUNTBLANK('Capacity summary'!$H38:$BG38)&lt;52,IF('Capacity summary'!AR38&lt;&gt;"",IF(LOWER('Capacity summary'!AR38)="x",$BI126*AR126,VALUE('Capacity summary'!AR38)),0),AR126*$BI126),AR126*$BI126),0)</f>
        <v>0</v>
      </c>
      <c r="CV126" s="5">
        <f>IF($BI126&lt;&gt;"",IF('Capacity summary'!$C$14="Yes",IF(COUNTBLANK('Capacity summary'!$H38:$BG38)&lt;52,IF('Capacity summary'!AS38&lt;&gt;"",IF(LOWER('Capacity summary'!AS38)="x",$BI126*AS126,VALUE('Capacity summary'!AS38)),0),AS126*$BI126),AS126*$BI126),0)</f>
        <v>0</v>
      </c>
      <c r="CW126" s="5">
        <f>IF($BI126&lt;&gt;"",IF('Capacity summary'!$C$14="Yes",IF(COUNTBLANK('Capacity summary'!$H38:$BG38)&lt;52,IF('Capacity summary'!AT38&lt;&gt;"",IF(LOWER('Capacity summary'!AT38)="x",$BI126*AT126,VALUE('Capacity summary'!AT38)),0),AT126*$BI126),AT126*$BI126),0)</f>
        <v>0</v>
      </c>
      <c r="CX126" s="5">
        <f>IF($BI126&lt;&gt;"",IF('Capacity summary'!$C$14="Yes",IF(COUNTBLANK('Capacity summary'!$H38:$BG38)&lt;52,IF('Capacity summary'!AU38&lt;&gt;"",IF(LOWER('Capacity summary'!AU38)="x",$BI126*AU126,VALUE('Capacity summary'!AU38)),0),AU126*$BI126),AU126*$BI126),0)</f>
        <v>0</v>
      </c>
      <c r="CY126" s="5">
        <f>IF($BI126&lt;&gt;"",IF('Capacity summary'!$C$14="Yes",IF(COUNTBLANK('Capacity summary'!$H38:$BG38)&lt;52,IF('Capacity summary'!AV38&lt;&gt;"",IF(LOWER('Capacity summary'!AV38)="x",$BI126*AV126,VALUE('Capacity summary'!AV38)),0),AV126*$BI126),AV126*$BI126),0)</f>
        <v>0</v>
      </c>
      <c r="CZ126" s="5">
        <f>IF($BI126&lt;&gt;"",IF('Capacity summary'!$C$14="Yes",IF(COUNTBLANK('Capacity summary'!$H38:$BG38)&lt;52,IF('Capacity summary'!AW38&lt;&gt;"",IF(LOWER('Capacity summary'!AW38)="x",$BI126*AW126,VALUE('Capacity summary'!AW38)),0),AW126*$BI126),AW126*$BI126),0)</f>
        <v>0</v>
      </c>
      <c r="DA126" s="5">
        <f>IF($BI126&lt;&gt;"",IF('Capacity summary'!$C$14="Yes",IF(COUNTBLANK('Capacity summary'!$H38:$BG38)&lt;52,IF('Capacity summary'!AX38&lt;&gt;"",IF(LOWER('Capacity summary'!AX38)="x",$BI126*AX126,VALUE('Capacity summary'!AX38)),0),AX126*$BI126),AX126*$BI126),0)</f>
        <v>0</v>
      </c>
      <c r="DB126" s="5">
        <f>IF($BI126&lt;&gt;"",IF('Capacity summary'!$C$14="Yes",IF(COUNTBLANK('Capacity summary'!$H38:$BG38)&lt;52,IF('Capacity summary'!AY38&lt;&gt;"",IF(LOWER('Capacity summary'!AY38)="x",$BI126*AY126,VALUE('Capacity summary'!AY38)),0),AY126*$BI126),AY126*$BI126),0)</f>
        <v>0</v>
      </c>
      <c r="DC126" s="5">
        <f>IF($BI126&lt;&gt;"",IF('Capacity summary'!$C$14="Yes",IF(COUNTBLANK('Capacity summary'!$H38:$BG38)&lt;52,IF('Capacity summary'!AZ38&lt;&gt;"",IF(LOWER('Capacity summary'!AZ38)="x",$BI126*AZ126,VALUE('Capacity summary'!AZ38)),0),AZ126*$BI126),AZ126*$BI126),0)</f>
        <v>0</v>
      </c>
      <c r="DD126" s="5">
        <f>IF($BI126&lt;&gt;"",IF('Capacity summary'!$C$14="Yes",IF(COUNTBLANK('Capacity summary'!$H38:$BG38)&lt;52,IF('Capacity summary'!BA38&lt;&gt;"",IF(LOWER('Capacity summary'!BA38)="x",$BI126*BA126,VALUE('Capacity summary'!BA38)),0),BA126*$BI126),BA126*$BI126),0)</f>
        <v>0</v>
      </c>
      <c r="DE126" s="5">
        <f>IF($BI126&lt;&gt;"",IF('Capacity summary'!$C$14="Yes",IF(COUNTBLANK('Capacity summary'!$H38:$BG38)&lt;52,IF('Capacity summary'!BB38&lt;&gt;"",IF(LOWER('Capacity summary'!BB38)="x",$BI126*BB126,VALUE('Capacity summary'!BB38)),0),BB126*$BI126),BB126*$BI126),0)</f>
        <v>0</v>
      </c>
      <c r="DF126" s="5">
        <f>IF($BI126&lt;&gt;"",IF('Capacity summary'!$C$14="Yes",IF(COUNTBLANK('Capacity summary'!$H38:$BG38)&lt;52,IF('Capacity summary'!BC38&lt;&gt;"",IF(LOWER('Capacity summary'!BC38)="x",$BI126*BC126,VALUE('Capacity summary'!BC38)),0),BC126*$BI126),BC126*$BI126),0)</f>
        <v>0</v>
      </c>
      <c r="DG126" s="5">
        <f>IF($BI126&lt;&gt;"",IF('Capacity summary'!$C$14="Yes",IF(COUNTBLANK('Capacity summary'!$H38:$BG38)&lt;52,IF('Capacity summary'!BD38&lt;&gt;"",IF(LOWER('Capacity summary'!BD38)="x",$BI126*BD126,VALUE('Capacity summary'!BD38)),0),BD126*$BI126),BD126*$BI126),0)</f>
        <v>0</v>
      </c>
      <c r="DH126" s="5">
        <f>IF($BI126&lt;&gt;"",IF('Capacity summary'!$C$14="Yes",IF(COUNTBLANK('Capacity summary'!$H38:$BG38)&lt;52,IF('Capacity summary'!BE38&lt;&gt;"",IF(LOWER('Capacity summary'!BE38)="x",$BI126*BE126,VALUE('Capacity summary'!BE38)),0),BE126*$BI126),BE126*$BI126),0)</f>
        <v>0</v>
      </c>
      <c r="DI126" s="5">
        <f>IF($BI126&lt;&gt;"",IF('Capacity summary'!$C$14="Yes",IF(COUNTBLANK('Capacity summary'!$H38:$BG38)&lt;52,IF('Capacity summary'!BF38&lt;&gt;"",IF(LOWER('Capacity summary'!BF38)="x",$BI126*BF126,VALUE('Capacity summary'!BF38)),0),BF126*$BI126),BF126*$BI126),0)</f>
        <v>0</v>
      </c>
      <c r="DJ126" s="5">
        <f>IF($BI126&lt;&gt;"",IF('Capacity summary'!$C$14="Yes",IF(COUNTBLANK('Capacity summary'!$H38:$BG38)&lt;52,IF('Capacity summary'!BG38&lt;&gt;"",IF(LOWER('Capacity summary'!BG38)="x",$BI126*BG126,VALUE('Capacity summary'!BG38)),0),BG126*$BI126),BG126*$BI126),0)</f>
        <v>0</v>
      </c>
      <c r="DK126" s="5">
        <f t="shared" ref="DK126" si="20">SUM(DK127:DK226)</f>
        <v>0</v>
      </c>
    </row>
    <row r="127" spans="3:115" x14ac:dyDescent="0.25">
      <c r="C127" s="67" t="str">
        <f>ROW(A16)&amp;". "&amp;Capacity!N32</f>
        <v xml:space="preserve">16. </v>
      </c>
      <c r="D127" s="67">
        <f>'Capacity setup'!C133</f>
        <v>0</v>
      </c>
      <c r="E127" s="67">
        <f>'Capacity setup'!D133</f>
        <v>0</v>
      </c>
      <c r="F127" s="67">
        <f>'Capacity setup'!E133</f>
        <v>0</v>
      </c>
      <c r="H127" s="67">
        <f ca="1">IF(AND(SUMIF(Capacity_Resource,$D127,'Critical resources (hide)'!U$6:U$105)+SUMIF(Capacity_Resource,$E127,'Critical resources (hide)'!U$6:U$105)+SUMIF(Capacity_Resource,$F127,'Critical resources (hide)'!U$6:U$105)&gt;0,$E$1=2),0,1)</f>
        <v>1</v>
      </c>
      <c r="I127" s="67">
        <f ca="1">IF(AND(SUMIF(Capacity_Resource,$D127,'Critical resources (hide)'!V$6:V$105)+SUMIF(Capacity_Resource,$E127,'Critical resources (hide)'!V$6:V$105)+SUMIF(Capacity_Resource,$F127,'Critical resources (hide)'!V$6:V$105)&gt;0,$E$1=2),0,1)</f>
        <v>1</v>
      </c>
      <c r="J127" s="67">
        <f ca="1">IF(AND(SUMIF(Capacity_Resource,$D127,'Critical resources (hide)'!W$6:W$105)+SUMIF(Capacity_Resource,$E127,'Critical resources (hide)'!W$6:W$105)+SUMIF(Capacity_Resource,$F127,'Critical resources (hide)'!W$6:W$105)&gt;0,$E$1=2),0,1)</f>
        <v>1</v>
      </c>
      <c r="K127" s="67">
        <f ca="1">IF(AND(SUMIF(Capacity_Resource,$D127,'Critical resources (hide)'!X$6:X$105)+SUMIF(Capacity_Resource,$E127,'Critical resources (hide)'!X$6:X$105)+SUMIF(Capacity_Resource,$F127,'Critical resources (hide)'!X$6:X$105)&gt;0,$E$1=2),0,1)</f>
        <v>1</v>
      </c>
      <c r="L127" s="67">
        <f ca="1">IF(AND(SUMIF(Capacity_Resource,$D127,'Critical resources (hide)'!Y$6:Y$105)+SUMIF(Capacity_Resource,$E127,'Critical resources (hide)'!Y$6:Y$105)+SUMIF(Capacity_Resource,$F127,'Critical resources (hide)'!Y$6:Y$105)&gt;0,$E$1=2),0,1)</f>
        <v>1</v>
      </c>
      <c r="M127" s="67">
        <f ca="1">IF(AND(SUMIF(Capacity_Resource,$D127,'Critical resources (hide)'!Z$6:Z$105)+SUMIF(Capacity_Resource,$E127,'Critical resources (hide)'!Z$6:Z$105)+SUMIF(Capacity_Resource,$F127,'Critical resources (hide)'!Z$6:Z$105)&gt;0,$E$1=2),0,1)</f>
        <v>1</v>
      </c>
      <c r="N127" s="67">
        <f ca="1">IF(AND(SUMIF(Capacity_Resource,$D127,'Critical resources (hide)'!AA$6:AA$105)+SUMIF(Capacity_Resource,$E127,'Critical resources (hide)'!AA$6:AA$105)+SUMIF(Capacity_Resource,$F127,'Critical resources (hide)'!AA$6:AA$105)&gt;0,$E$1=2),0,1)</f>
        <v>1</v>
      </c>
      <c r="O127" s="67">
        <f ca="1">IF(AND(SUMIF(Capacity_Resource,$D127,'Critical resources (hide)'!AB$6:AB$105)+SUMIF(Capacity_Resource,$E127,'Critical resources (hide)'!AB$6:AB$105)+SUMIF(Capacity_Resource,$F127,'Critical resources (hide)'!AB$6:AB$105)&gt;0,$E$1=2),0,1)</f>
        <v>1</v>
      </c>
      <c r="P127" s="67">
        <f ca="1">IF(AND(SUMIF(Capacity_Resource,$D127,'Critical resources (hide)'!AC$6:AC$105)+SUMIF(Capacity_Resource,$E127,'Critical resources (hide)'!AC$6:AC$105)+SUMIF(Capacity_Resource,$F127,'Critical resources (hide)'!AC$6:AC$105)&gt;0,$E$1=2),0,1)</f>
        <v>1</v>
      </c>
      <c r="Q127" s="67">
        <f ca="1">IF(AND(SUMIF(Capacity_Resource,$D127,'Critical resources (hide)'!AD$6:AD$105)+SUMIF(Capacity_Resource,$E127,'Critical resources (hide)'!AD$6:AD$105)+SUMIF(Capacity_Resource,$F127,'Critical resources (hide)'!AD$6:AD$105)&gt;0,$E$1=2),0,1)</f>
        <v>1</v>
      </c>
      <c r="R127" s="67">
        <f ca="1">IF(AND(SUMIF(Capacity_Resource,$D127,'Critical resources (hide)'!AE$6:AE$105)+SUMIF(Capacity_Resource,$E127,'Critical resources (hide)'!AE$6:AE$105)+SUMIF(Capacity_Resource,$F127,'Critical resources (hide)'!AE$6:AE$105)&gt;0,$E$1=2),0,1)</f>
        <v>1</v>
      </c>
      <c r="S127" s="67">
        <f ca="1">IF(AND(SUMIF(Capacity_Resource,$D127,'Critical resources (hide)'!AF$6:AF$105)+SUMIF(Capacity_Resource,$E127,'Critical resources (hide)'!AF$6:AF$105)+SUMIF(Capacity_Resource,$F127,'Critical resources (hide)'!AF$6:AF$105)&gt;0,$E$1=2),0,1)</f>
        <v>1</v>
      </c>
      <c r="T127" s="67">
        <f ca="1">IF(AND(SUMIF(Capacity_Resource,$D127,'Critical resources (hide)'!AG$6:AG$105)+SUMIF(Capacity_Resource,$E127,'Critical resources (hide)'!AG$6:AG$105)+SUMIF(Capacity_Resource,$F127,'Critical resources (hide)'!AG$6:AG$105)&gt;0,$E$1=2),0,1)</f>
        <v>1</v>
      </c>
      <c r="U127" s="67">
        <f ca="1">IF(AND(SUMIF(Capacity_Resource,$D127,'Critical resources (hide)'!AH$6:AH$105)+SUMIF(Capacity_Resource,$E127,'Critical resources (hide)'!AH$6:AH$105)+SUMIF(Capacity_Resource,$F127,'Critical resources (hide)'!AH$6:AH$105)&gt;0,$E$1=2),0,1)</f>
        <v>1</v>
      </c>
      <c r="V127" s="67">
        <f ca="1">IF(AND(SUMIF(Capacity_Resource,$D127,'Critical resources (hide)'!AI$6:AI$105)+SUMIF(Capacity_Resource,$E127,'Critical resources (hide)'!AI$6:AI$105)+SUMIF(Capacity_Resource,$F127,'Critical resources (hide)'!AI$6:AI$105)&gt;0,$E$1=2),0,1)</f>
        <v>1</v>
      </c>
      <c r="W127" s="67">
        <f ca="1">IF(AND(SUMIF(Capacity_Resource,$D127,'Critical resources (hide)'!AJ$6:AJ$105)+SUMIF(Capacity_Resource,$E127,'Critical resources (hide)'!AJ$6:AJ$105)+SUMIF(Capacity_Resource,$F127,'Critical resources (hide)'!AJ$6:AJ$105)&gt;0,$E$1=2),0,1)</f>
        <v>1</v>
      </c>
      <c r="X127" s="67">
        <f ca="1">IF(AND(SUMIF(Capacity_Resource,$D127,'Critical resources (hide)'!AK$6:AK$105)+SUMIF(Capacity_Resource,$E127,'Critical resources (hide)'!AK$6:AK$105)+SUMIF(Capacity_Resource,$F127,'Critical resources (hide)'!AK$6:AK$105)&gt;0,$E$1=2),0,1)</f>
        <v>1</v>
      </c>
      <c r="Y127" s="67">
        <f ca="1">IF(AND(SUMIF(Capacity_Resource,$D127,'Critical resources (hide)'!AL$6:AL$105)+SUMIF(Capacity_Resource,$E127,'Critical resources (hide)'!AL$6:AL$105)+SUMIF(Capacity_Resource,$F127,'Critical resources (hide)'!AL$6:AL$105)&gt;0,$E$1=2),0,1)</f>
        <v>1</v>
      </c>
      <c r="Z127" s="67">
        <f ca="1">IF(AND(SUMIF(Capacity_Resource,$D127,'Critical resources (hide)'!AM$6:AM$105)+SUMIF(Capacity_Resource,$E127,'Critical resources (hide)'!AM$6:AM$105)+SUMIF(Capacity_Resource,$F127,'Critical resources (hide)'!AM$6:AM$105)&gt;0,$E$1=2),0,1)</f>
        <v>1</v>
      </c>
      <c r="AA127" s="67">
        <f ca="1">IF(AND(SUMIF(Capacity_Resource,$D127,'Critical resources (hide)'!AN$6:AN$105)+SUMIF(Capacity_Resource,$E127,'Critical resources (hide)'!AN$6:AN$105)+SUMIF(Capacity_Resource,$F127,'Critical resources (hide)'!AN$6:AN$105)&gt;0,$E$1=2),0,1)</f>
        <v>1</v>
      </c>
      <c r="AB127" s="67">
        <f ca="1">IF(AND(SUMIF(Capacity_Resource,$D127,'Critical resources (hide)'!AO$6:AO$105)+SUMIF(Capacity_Resource,$E127,'Critical resources (hide)'!AO$6:AO$105)+SUMIF(Capacity_Resource,$F127,'Critical resources (hide)'!AO$6:AO$105)&gt;0,$E$1=2),0,1)</f>
        <v>1</v>
      </c>
      <c r="AC127" s="67">
        <f ca="1">IF(AND(SUMIF(Capacity_Resource,$D127,'Critical resources (hide)'!AP$6:AP$105)+SUMIF(Capacity_Resource,$E127,'Critical resources (hide)'!AP$6:AP$105)+SUMIF(Capacity_Resource,$F127,'Critical resources (hide)'!AP$6:AP$105)&gt;0,$E$1=2),0,1)</f>
        <v>1</v>
      </c>
      <c r="AD127" s="67">
        <f ca="1">IF(AND(SUMIF(Capacity_Resource,$D127,'Critical resources (hide)'!AQ$6:AQ$105)+SUMIF(Capacity_Resource,$E127,'Critical resources (hide)'!AQ$6:AQ$105)+SUMIF(Capacity_Resource,$F127,'Critical resources (hide)'!AQ$6:AQ$105)&gt;0,$E$1=2),0,1)</f>
        <v>1</v>
      </c>
      <c r="AE127" s="67">
        <f ca="1">IF(AND(SUMIF(Capacity_Resource,$D127,'Critical resources (hide)'!AR$6:AR$105)+SUMIF(Capacity_Resource,$E127,'Critical resources (hide)'!AR$6:AR$105)+SUMIF(Capacity_Resource,$F127,'Critical resources (hide)'!AR$6:AR$105)&gt;0,$E$1=2),0,1)</f>
        <v>1</v>
      </c>
      <c r="AF127" s="67">
        <f ca="1">IF(AND(SUMIF(Capacity_Resource,$D127,'Critical resources (hide)'!AS$6:AS$105)+SUMIF(Capacity_Resource,$E127,'Critical resources (hide)'!AS$6:AS$105)+SUMIF(Capacity_Resource,$F127,'Critical resources (hide)'!AS$6:AS$105)&gt;0,$E$1=2),0,1)</f>
        <v>1</v>
      </c>
      <c r="AG127" s="67">
        <f ca="1">IF(AND(SUMIF(Capacity_Resource,$D127,'Critical resources (hide)'!AT$6:AT$105)+SUMIF(Capacity_Resource,$E127,'Critical resources (hide)'!AT$6:AT$105)+SUMIF(Capacity_Resource,$F127,'Critical resources (hide)'!AT$6:AT$105)&gt;0,$E$1=2),0,1)</f>
        <v>1</v>
      </c>
      <c r="AH127" s="67">
        <f ca="1">IF(AND(SUMIF(Capacity_Resource,$D127,'Critical resources (hide)'!AU$6:AU$105)+SUMIF(Capacity_Resource,$E127,'Critical resources (hide)'!AU$6:AU$105)+SUMIF(Capacity_Resource,$F127,'Critical resources (hide)'!AU$6:AU$105)&gt;0,$E$1=2),0,1)</f>
        <v>1</v>
      </c>
      <c r="AI127" s="67">
        <f ca="1">IF(AND(SUMIF(Capacity_Resource,$D127,'Critical resources (hide)'!AV$6:AV$105)+SUMIF(Capacity_Resource,$E127,'Critical resources (hide)'!AV$6:AV$105)+SUMIF(Capacity_Resource,$F127,'Critical resources (hide)'!AV$6:AV$105)&gt;0,$E$1=2),0,1)</f>
        <v>1</v>
      </c>
      <c r="AJ127" s="67">
        <f ca="1">IF(AND(SUMIF(Capacity_Resource,$D127,'Critical resources (hide)'!AW$6:AW$105)+SUMIF(Capacity_Resource,$E127,'Critical resources (hide)'!AW$6:AW$105)+SUMIF(Capacity_Resource,$F127,'Critical resources (hide)'!AW$6:AW$105)&gt;0,$E$1=2),0,1)</f>
        <v>1</v>
      </c>
      <c r="AK127" s="67">
        <f ca="1">IF(AND(SUMIF(Capacity_Resource,$D127,'Critical resources (hide)'!AX$6:AX$105)+SUMIF(Capacity_Resource,$E127,'Critical resources (hide)'!AX$6:AX$105)+SUMIF(Capacity_Resource,$F127,'Critical resources (hide)'!AX$6:AX$105)&gt;0,$E$1=2),0,1)</f>
        <v>1</v>
      </c>
      <c r="AL127" s="67">
        <f ca="1">IF(AND(SUMIF(Capacity_Resource,$D127,'Critical resources (hide)'!AY$6:AY$105)+SUMIF(Capacity_Resource,$E127,'Critical resources (hide)'!AY$6:AY$105)+SUMIF(Capacity_Resource,$F127,'Critical resources (hide)'!AY$6:AY$105)&gt;0,$E$1=2),0,1)</f>
        <v>1</v>
      </c>
      <c r="AM127" s="67">
        <f ca="1">IF(AND(SUMIF(Capacity_Resource,$D127,'Critical resources (hide)'!AZ$6:AZ$105)+SUMIF(Capacity_Resource,$E127,'Critical resources (hide)'!AZ$6:AZ$105)+SUMIF(Capacity_Resource,$F127,'Critical resources (hide)'!AZ$6:AZ$105)&gt;0,$E$1=2),0,1)</f>
        <v>1</v>
      </c>
      <c r="AN127" s="67">
        <f ca="1">IF(AND(SUMIF(Capacity_Resource,$D127,'Critical resources (hide)'!BA$6:BA$105)+SUMIF(Capacity_Resource,$E127,'Critical resources (hide)'!BA$6:BA$105)+SUMIF(Capacity_Resource,$F127,'Critical resources (hide)'!BA$6:BA$105)&gt;0,$E$1=2),0,1)</f>
        <v>1</v>
      </c>
      <c r="AO127" s="67">
        <f ca="1">IF(AND(SUMIF(Capacity_Resource,$D127,'Critical resources (hide)'!BB$6:BB$105)+SUMIF(Capacity_Resource,$E127,'Critical resources (hide)'!BB$6:BB$105)+SUMIF(Capacity_Resource,$F127,'Critical resources (hide)'!BB$6:BB$105)&gt;0,$E$1=2),0,1)</f>
        <v>1</v>
      </c>
      <c r="AP127" s="67">
        <f ca="1">IF(AND(SUMIF(Capacity_Resource,$D127,'Critical resources (hide)'!BC$6:BC$105)+SUMIF(Capacity_Resource,$E127,'Critical resources (hide)'!BC$6:BC$105)+SUMIF(Capacity_Resource,$F127,'Critical resources (hide)'!BC$6:BC$105)&gt;0,$E$1=2),0,1)</f>
        <v>1</v>
      </c>
      <c r="AQ127" s="67">
        <f ca="1">IF(AND(SUMIF(Capacity_Resource,$D127,'Critical resources (hide)'!BD$6:BD$105)+SUMIF(Capacity_Resource,$E127,'Critical resources (hide)'!BD$6:BD$105)+SUMIF(Capacity_Resource,$F127,'Critical resources (hide)'!BD$6:BD$105)&gt;0,$E$1=2),0,1)</f>
        <v>1</v>
      </c>
      <c r="AR127" s="67">
        <f ca="1">IF(AND(SUMIF(Capacity_Resource,$D127,'Critical resources (hide)'!BE$6:BE$105)+SUMIF(Capacity_Resource,$E127,'Critical resources (hide)'!BE$6:BE$105)+SUMIF(Capacity_Resource,$F127,'Critical resources (hide)'!BE$6:BE$105)&gt;0,$E$1=2),0,1)</f>
        <v>1</v>
      </c>
      <c r="AS127" s="67">
        <f ca="1">IF(AND(SUMIF(Capacity_Resource,$D127,'Critical resources (hide)'!BF$6:BF$105)+SUMIF(Capacity_Resource,$E127,'Critical resources (hide)'!BF$6:BF$105)+SUMIF(Capacity_Resource,$F127,'Critical resources (hide)'!BF$6:BF$105)&gt;0,$E$1=2),0,1)</f>
        <v>1</v>
      </c>
      <c r="AT127" s="67">
        <f ca="1">IF(AND(SUMIF(Capacity_Resource,$D127,'Critical resources (hide)'!BG$6:BG$105)+SUMIF(Capacity_Resource,$E127,'Critical resources (hide)'!BG$6:BG$105)+SUMIF(Capacity_Resource,$F127,'Critical resources (hide)'!BG$6:BG$105)&gt;0,$E$1=2),0,1)</f>
        <v>1</v>
      </c>
      <c r="AU127" s="67">
        <f ca="1">IF(AND(SUMIF(Capacity_Resource,$D127,'Critical resources (hide)'!BH$6:BH$105)+SUMIF(Capacity_Resource,$E127,'Critical resources (hide)'!BH$6:BH$105)+SUMIF(Capacity_Resource,$F127,'Critical resources (hide)'!BH$6:BH$105)&gt;0,$E$1=2),0,1)</f>
        <v>1</v>
      </c>
      <c r="AV127" s="67">
        <f ca="1">IF(AND(SUMIF(Capacity_Resource,$D127,'Critical resources (hide)'!BI$6:BI$105)+SUMIF(Capacity_Resource,$E127,'Critical resources (hide)'!BI$6:BI$105)+SUMIF(Capacity_Resource,$F127,'Critical resources (hide)'!BI$6:BI$105)&gt;0,$E$1=2),0,1)</f>
        <v>1</v>
      </c>
      <c r="AW127" s="67">
        <f ca="1">IF(AND(SUMIF(Capacity_Resource,$D127,'Critical resources (hide)'!BJ$6:BJ$105)+SUMIF(Capacity_Resource,$E127,'Critical resources (hide)'!BJ$6:BJ$105)+SUMIF(Capacity_Resource,$F127,'Critical resources (hide)'!BJ$6:BJ$105)&gt;0,$E$1=2),0,1)</f>
        <v>1</v>
      </c>
      <c r="AX127" s="67">
        <f ca="1">IF(AND(SUMIF(Capacity_Resource,$D127,'Critical resources (hide)'!BK$6:BK$105)+SUMIF(Capacity_Resource,$E127,'Critical resources (hide)'!BK$6:BK$105)+SUMIF(Capacity_Resource,$F127,'Critical resources (hide)'!BK$6:BK$105)&gt;0,$E$1=2),0,1)</f>
        <v>1</v>
      </c>
      <c r="AY127" s="67">
        <f ca="1">IF(AND(SUMIF(Capacity_Resource,$D127,'Critical resources (hide)'!BL$6:BL$105)+SUMIF(Capacity_Resource,$E127,'Critical resources (hide)'!BL$6:BL$105)+SUMIF(Capacity_Resource,$F127,'Critical resources (hide)'!BL$6:BL$105)&gt;0,$E$1=2),0,1)</f>
        <v>1</v>
      </c>
      <c r="AZ127" s="67">
        <f ca="1">IF(AND(SUMIF(Capacity_Resource,$D127,'Critical resources (hide)'!BM$6:BM$105)+SUMIF(Capacity_Resource,$E127,'Critical resources (hide)'!BM$6:BM$105)+SUMIF(Capacity_Resource,$F127,'Critical resources (hide)'!BM$6:BM$105)&gt;0,$E$1=2),0,1)</f>
        <v>1</v>
      </c>
      <c r="BA127" s="67">
        <f ca="1">IF(AND(SUMIF(Capacity_Resource,$D127,'Critical resources (hide)'!BN$6:BN$105)+SUMIF(Capacity_Resource,$E127,'Critical resources (hide)'!BN$6:BN$105)+SUMIF(Capacity_Resource,$F127,'Critical resources (hide)'!BN$6:BN$105)&gt;0,$E$1=2),0,1)</f>
        <v>1</v>
      </c>
      <c r="BB127" s="67">
        <f ca="1">IF(AND(SUMIF(Capacity_Resource,$D127,'Critical resources (hide)'!BO$6:BO$105)+SUMIF(Capacity_Resource,$E127,'Critical resources (hide)'!BO$6:BO$105)+SUMIF(Capacity_Resource,$F127,'Critical resources (hide)'!BO$6:BO$105)&gt;0,$E$1=2),0,1)</f>
        <v>1</v>
      </c>
      <c r="BC127" s="67">
        <f ca="1">IF(AND(SUMIF(Capacity_Resource,$D127,'Critical resources (hide)'!BP$6:BP$105)+SUMIF(Capacity_Resource,$E127,'Critical resources (hide)'!BP$6:BP$105)+SUMIF(Capacity_Resource,$F127,'Critical resources (hide)'!BP$6:BP$105)&gt;0,$E$1=2),0,1)</f>
        <v>1</v>
      </c>
      <c r="BD127" s="67">
        <f ca="1">IF(AND(SUMIF(Capacity_Resource,$D127,'Critical resources (hide)'!BQ$6:BQ$105)+SUMIF(Capacity_Resource,$E127,'Critical resources (hide)'!BQ$6:BQ$105)+SUMIF(Capacity_Resource,$F127,'Critical resources (hide)'!BQ$6:BQ$105)&gt;0,$E$1=2),0,1)</f>
        <v>1</v>
      </c>
      <c r="BE127" s="67">
        <f ca="1">IF(AND(SUMIF(Capacity_Resource,$D127,'Critical resources (hide)'!BR$6:BR$105)+SUMIF(Capacity_Resource,$E127,'Critical resources (hide)'!BR$6:BR$105)+SUMIF(Capacity_Resource,$F127,'Critical resources (hide)'!BR$6:BR$105)&gt;0,$E$1=2),0,1)</f>
        <v>1</v>
      </c>
      <c r="BF127" s="67">
        <f ca="1">IF(AND(SUMIF(Capacity_Resource,$D127,'Critical resources (hide)'!BS$6:BS$105)+SUMIF(Capacity_Resource,$E127,'Critical resources (hide)'!BS$6:BS$105)+SUMIF(Capacity_Resource,$F127,'Critical resources (hide)'!BS$6:BS$105)&gt;0,$E$1=2),0,1)</f>
        <v>1</v>
      </c>
      <c r="BG127" s="67">
        <f ca="1">IF(AND(SUMIF(Capacity_Resource,$D127,'Critical resources (hide)'!BT$6:BT$105)+SUMIF(Capacity_Resource,$E127,'Critical resources (hide)'!BT$6:BT$105)+SUMIF(Capacity_Resource,$F127,'Critical resources (hide)'!BT$6:BT$105)&gt;0,$E$1=2),0,1)</f>
        <v>1</v>
      </c>
      <c r="BH127" s="67">
        <f>IF(ROW(A16)&lt;=Capacity!$M$16,IF('Capacity summary'!$C$14="No",SUM(H127:BG127),'Capacity summary'!$E39),0)</f>
        <v>0</v>
      </c>
      <c r="BI127" s="67" t="str">
        <f>IF(BH127&gt;0,IF(BH127&lt;Capacity!Q32,Capacity!R32,Capacity!T32/'Capacity calculation (hide)'!BH127),"")</f>
        <v/>
      </c>
      <c r="BJ127" s="5"/>
      <c r="BK127" s="5">
        <f>IF($BI127&lt;&gt;"",IF('Capacity summary'!$C$14="Yes",IF(COUNTBLANK('Capacity summary'!$H39:$BG39)&lt;52,IF('Capacity summary'!H39&lt;&gt;"",IF(LOWER('Capacity summary'!H39)="x",$BI127*H127,VALUE('Capacity summary'!H39)),0),H127*$BI127),H127*$BI127),0)</f>
        <v>0</v>
      </c>
      <c r="BL127" s="5">
        <f>IF($BI127&lt;&gt;"",IF('Capacity summary'!$C$14="Yes",IF(COUNTBLANK('Capacity summary'!$H39:$BG39)&lt;52,IF('Capacity summary'!I39&lt;&gt;"",IF(LOWER('Capacity summary'!I39)="x",$BI127*I127,VALUE('Capacity summary'!I39)),0),I127*$BI127),I127*$BI127),0)</f>
        <v>0</v>
      </c>
      <c r="BM127" s="5">
        <f>IF($BI127&lt;&gt;"",IF('Capacity summary'!$C$14="Yes",IF(COUNTBLANK('Capacity summary'!$H39:$BG39)&lt;52,IF('Capacity summary'!J39&lt;&gt;"",IF(LOWER('Capacity summary'!J39)="x",$BI127*J127,VALUE('Capacity summary'!J39)),0),J127*$BI127),J127*$BI127),0)</f>
        <v>0</v>
      </c>
      <c r="BN127" s="5">
        <f>IF($BI127&lt;&gt;"",IF('Capacity summary'!$C$14="Yes",IF(COUNTBLANK('Capacity summary'!$H39:$BG39)&lt;52,IF('Capacity summary'!K39&lt;&gt;"",IF(LOWER('Capacity summary'!K39)="x",$BI127*K127,VALUE('Capacity summary'!K39)),0),K127*$BI127),K127*$BI127),0)</f>
        <v>0</v>
      </c>
      <c r="BO127" s="5">
        <f>IF($BI127&lt;&gt;"",IF('Capacity summary'!$C$14="Yes",IF(COUNTBLANK('Capacity summary'!$H39:$BG39)&lt;52,IF('Capacity summary'!L39&lt;&gt;"",IF(LOWER('Capacity summary'!L39)="x",$BI127*L127,VALUE('Capacity summary'!L39)),0),L127*$BI127),L127*$BI127),0)</f>
        <v>0</v>
      </c>
      <c r="BP127" s="5">
        <f>IF($BI127&lt;&gt;"",IF('Capacity summary'!$C$14="Yes",IF(COUNTBLANK('Capacity summary'!$H39:$BG39)&lt;52,IF('Capacity summary'!M39&lt;&gt;"",IF(LOWER('Capacity summary'!M39)="x",$BI127*M127,VALUE('Capacity summary'!M39)),0),M127*$BI127),M127*$BI127),0)</f>
        <v>0</v>
      </c>
      <c r="BQ127" s="5">
        <f>IF($BI127&lt;&gt;"",IF('Capacity summary'!$C$14="Yes",IF(COUNTBLANK('Capacity summary'!$H39:$BG39)&lt;52,IF('Capacity summary'!N39&lt;&gt;"",IF(LOWER('Capacity summary'!N39)="x",$BI127*N127,VALUE('Capacity summary'!N39)),0),N127*$BI127),N127*$BI127),0)</f>
        <v>0</v>
      </c>
      <c r="BR127" s="5">
        <f>IF($BI127&lt;&gt;"",IF('Capacity summary'!$C$14="Yes",IF(COUNTBLANK('Capacity summary'!$H39:$BG39)&lt;52,IF('Capacity summary'!O39&lt;&gt;"",IF(LOWER('Capacity summary'!O39)="x",$BI127*O127,VALUE('Capacity summary'!O39)),0),O127*$BI127),O127*$BI127),0)</f>
        <v>0</v>
      </c>
      <c r="BS127" s="5">
        <f>IF($BI127&lt;&gt;"",IF('Capacity summary'!$C$14="Yes",IF(COUNTBLANK('Capacity summary'!$H39:$BG39)&lt;52,IF('Capacity summary'!P39&lt;&gt;"",IF(LOWER('Capacity summary'!P39)="x",$BI127*P127,VALUE('Capacity summary'!P39)),0),P127*$BI127),P127*$BI127),0)</f>
        <v>0</v>
      </c>
      <c r="BT127" s="5">
        <f>IF($BI127&lt;&gt;"",IF('Capacity summary'!$C$14="Yes",IF(COUNTBLANK('Capacity summary'!$H39:$BG39)&lt;52,IF('Capacity summary'!Q39&lt;&gt;"",IF(LOWER('Capacity summary'!Q39)="x",$BI127*Q127,VALUE('Capacity summary'!Q39)),0),Q127*$BI127),Q127*$BI127),0)</f>
        <v>0</v>
      </c>
      <c r="BU127" s="5">
        <f>IF($BI127&lt;&gt;"",IF('Capacity summary'!$C$14="Yes",IF(COUNTBLANK('Capacity summary'!$H39:$BG39)&lt;52,IF('Capacity summary'!R39&lt;&gt;"",IF(LOWER('Capacity summary'!R39)="x",$BI127*R127,VALUE('Capacity summary'!R39)),0),R127*$BI127),R127*$BI127),0)</f>
        <v>0</v>
      </c>
      <c r="BV127" s="5">
        <f>IF($BI127&lt;&gt;"",IF('Capacity summary'!$C$14="Yes",IF(COUNTBLANK('Capacity summary'!$H39:$BG39)&lt;52,IF('Capacity summary'!S39&lt;&gt;"",IF(LOWER('Capacity summary'!S39)="x",$BI127*S127,VALUE('Capacity summary'!S39)),0),S127*$BI127),S127*$BI127),0)</f>
        <v>0</v>
      </c>
      <c r="BW127" s="5">
        <f>IF($BI127&lt;&gt;"",IF('Capacity summary'!$C$14="Yes",IF(COUNTBLANK('Capacity summary'!$H39:$BG39)&lt;52,IF('Capacity summary'!T39&lt;&gt;"",IF(LOWER('Capacity summary'!T39)="x",$BI127*T127,VALUE('Capacity summary'!T39)),0),T127*$BI127),T127*$BI127),0)</f>
        <v>0</v>
      </c>
      <c r="BX127" s="5">
        <f>IF($BI127&lt;&gt;"",IF('Capacity summary'!$C$14="Yes",IF(COUNTBLANK('Capacity summary'!$H39:$BG39)&lt;52,IF('Capacity summary'!U39&lt;&gt;"",IF(LOWER('Capacity summary'!U39)="x",$BI127*U127,VALUE('Capacity summary'!U39)),0),U127*$BI127),U127*$BI127),0)</f>
        <v>0</v>
      </c>
      <c r="BY127" s="5">
        <f>IF($BI127&lt;&gt;"",IF('Capacity summary'!$C$14="Yes",IF(COUNTBLANK('Capacity summary'!$H39:$BG39)&lt;52,IF('Capacity summary'!V39&lt;&gt;"",IF(LOWER('Capacity summary'!V39)="x",$BI127*V127,VALUE('Capacity summary'!V39)),0),V127*$BI127),V127*$BI127),0)</f>
        <v>0</v>
      </c>
      <c r="BZ127" s="5">
        <f>IF($BI127&lt;&gt;"",IF('Capacity summary'!$C$14="Yes",IF(COUNTBLANK('Capacity summary'!$H39:$BG39)&lt;52,IF('Capacity summary'!W39&lt;&gt;"",IF(LOWER('Capacity summary'!W39)="x",$BI127*W127,VALUE('Capacity summary'!W39)),0),W127*$BI127),W127*$BI127),0)</f>
        <v>0</v>
      </c>
      <c r="CA127" s="5">
        <f>IF($BI127&lt;&gt;"",IF('Capacity summary'!$C$14="Yes",IF(COUNTBLANK('Capacity summary'!$H39:$BG39)&lt;52,IF('Capacity summary'!X39&lt;&gt;"",IF(LOWER('Capacity summary'!X39)="x",$BI127*X127,VALUE('Capacity summary'!X39)),0),X127*$BI127),X127*$BI127),0)</f>
        <v>0</v>
      </c>
      <c r="CB127" s="5">
        <f>IF($BI127&lt;&gt;"",IF('Capacity summary'!$C$14="Yes",IF(COUNTBLANK('Capacity summary'!$H39:$BG39)&lt;52,IF('Capacity summary'!Y39&lt;&gt;"",IF(LOWER('Capacity summary'!Y39)="x",$BI127*Y127,VALUE('Capacity summary'!Y39)),0),Y127*$BI127),Y127*$BI127),0)</f>
        <v>0</v>
      </c>
      <c r="CC127" s="5">
        <f>IF($BI127&lt;&gt;"",IF('Capacity summary'!$C$14="Yes",IF(COUNTBLANK('Capacity summary'!$H39:$BG39)&lt;52,IF('Capacity summary'!Z39&lt;&gt;"",IF(LOWER('Capacity summary'!Z39)="x",$BI127*Z127,VALUE('Capacity summary'!Z39)),0),Z127*$BI127),Z127*$BI127),0)</f>
        <v>0</v>
      </c>
      <c r="CD127" s="5">
        <f>IF($BI127&lt;&gt;"",IF('Capacity summary'!$C$14="Yes",IF(COUNTBLANK('Capacity summary'!$H39:$BG39)&lt;52,IF('Capacity summary'!AA39&lt;&gt;"",IF(LOWER('Capacity summary'!AA39)="x",$BI127*AA127,VALUE('Capacity summary'!AA39)),0),AA127*$BI127),AA127*$BI127),0)</f>
        <v>0</v>
      </c>
      <c r="CE127" s="5">
        <f>IF($BI127&lt;&gt;"",IF('Capacity summary'!$C$14="Yes",IF(COUNTBLANK('Capacity summary'!$H39:$BG39)&lt;52,IF('Capacity summary'!AB39&lt;&gt;"",IF(LOWER('Capacity summary'!AB39)="x",$BI127*AB127,VALUE('Capacity summary'!AB39)),0),AB127*$BI127),AB127*$BI127),0)</f>
        <v>0</v>
      </c>
      <c r="CF127" s="5">
        <f>IF($BI127&lt;&gt;"",IF('Capacity summary'!$C$14="Yes",IF(COUNTBLANK('Capacity summary'!$H39:$BG39)&lt;52,IF('Capacity summary'!AC39&lt;&gt;"",IF(LOWER('Capacity summary'!AC39)="x",$BI127*AC127,VALUE('Capacity summary'!AC39)),0),AC127*$BI127),AC127*$BI127),0)</f>
        <v>0</v>
      </c>
      <c r="CG127" s="5">
        <f>IF($BI127&lt;&gt;"",IF('Capacity summary'!$C$14="Yes",IF(COUNTBLANK('Capacity summary'!$H39:$BG39)&lt;52,IF('Capacity summary'!AD39&lt;&gt;"",IF(LOWER('Capacity summary'!AD39)="x",$BI127*AD127,VALUE('Capacity summary'!AD39)),0),AD127*$BI127),AD127*$BI127),0)</f>
        <v>0</v>
      </c>
      <c r="CH127" s="5">
        <f>IF($BI127&lt;&gt;"",IF('Capacity summary'!$C$14="Yes",IF(COUNTBLANK('Capacity summary'!$H39:$BG39)&lt;52,IF('Capacity summary'!AE39&lt;&gt;"",IF(LOWER('Capacity summary'!AE39)="x",$BI127*AE127,VALUE('Capacity summary'!AE39)),0),AE127*$BI127),AE127*$BI127),0)</f>
        <v>0</v>
      </c>
      <c r="CI127" s="5">
        <f>IF($BI127&lt;&gt;"",IF('Capacity summary'!$C$14="Yes",IF(COUNTBLANK('Capacity summary'!$H39:$BG39)&lt;52,IF('Capacity summary'!AF39&lt;&gt;"",IF(LOWER('Capacity summary'!AF39)="x",$BI127*AF127,VALUE('Capacity summary'!AF39)),0),AF127*$BI127),AF127*$BI127),0)</f>
        <v>0</v>
      </c>
      <c r="CJ127" s="5">
        <f>IF($BI127&lt;&gt;"",IF('Capacity summary'!$C$14="Yes",IF(COUNTBLANK('Capacity summary'!$H39:$BG39)&lt;52,IF('Capacity summary'!AG39&lt;&gt;"",IF(LOWER('Capacity summary'!AG39)="x",$BI127*AG127,VALUE('Capacity summary'!AG39)),0),AG127*$BI127),AG127*$BI127),0)</f>
        <v>0</v>
      </c>
      <c r="CK127" s="5">
        <f>IF($BI127&lt;&gt;"",IF('Capacity summary'!$C$14="Yes",IF(COUNTBLANK('Capacity summary'!$H39:$BG39)&lt;52,IF('Capacity summary'!AH39&lt;&gt;"",IF(LOWER('Capacity summary'!AH39)="x",$BI127*AH127,VALUE('Capacity summary'!AH39)),0),AH127*$BI127),AH127*$BI127),0)</f>
        <v>0</v>
      </c>
      <c r="CL127" s="5">
        <f>IF($BI127&lt;&gt;"",IF('Capacity summary'!$C$14="Yes",IF(COUNTBLANK('Capacity summary'!$H39:$BG39)&lt;52,IF('Capacity summary'!AI39&lt;&gt;"",IF(LOWER('Capacity summary'!AI39)="x",$BI127*AI127,VALUE('Capacity summary'!AI39)),0),AI127*$BI127),AI127*$BI127),0)</f>
        <v>0</v>
      </c>
      <c r="CM127" s="5">
        <f>IF($BI127&lt;&gt;"",IF('Capacity summary'!$C$14="Yes",IF(COUNTBLANK('Capacity summary'!$H39:$BG39)&lt;52,IF('Capacity summary'!AJ39&lt;&gt;"",IF(LOWER('Capacity summary'!AJ39)="x",$BI127*AJ127,VALUE('Capacity summary'!AJ39)),0),AJ127*$BI127),AJ127*$BI127),0)</f>
        <v>0</v>
      </c>
      <c r="CN127" s="5">
        <f>IF($BI127&lt;&gt;"",IF('Capacity summary'!$C$14="Yes",IF(COUNTBLANK('Capacity summary'!$H39:$BG39)&lt;52,IF('Capacity summary'!AK39&lt;&gt;"",IF(LOWER('Capacity summary'!AK39)="x",$BI127*AK127,VALUE('Capacity summary'!AK39)),0),AK127*$BI127),AK127*$BI127),0)</f>
        <v>0</v>
      </c>
      <c r="CO127" s="5">
        <f>IF($BI127&lt;&gt;"",IF('Capacity summary'!$C$14="Yes",IF(COUNTBLANK('Capacity summary'!$H39:$BG39)&lt;52,IF('Capacity summary'!AL39&lt;&gt;"",IF(LOWER('Capacity summary'!AL39)="x",$BI127*AL127,VALUE('Capacity summary'!AL39)),0),AL127*$BI127),AL127*$BI127),0)</f>
        <v>0</v>
      </c>
      <c r="CP127" s="5">
        <f>IF($BI127&lt;&gt;"",IF('Capacity summary'!$C$14="Yes",IF(COUNTBLANK('Capacity summary'!$H39:$BG39)&lt;52,IF('Capacity summary'!AM39&lt;&gt;"",IF(LOWER('Capacity summary'!AM39)="x",$BI127*AM127,VALUE('Capacity summary'!AM39)),0),AM127*$BI127),AM127*$BI127),0)</f>
        <v>0</v>
      </c>
      <c r="CQ127" s="5">
        <f>IF($BI127&lt;&gt;"",IF('Capacity summary'!$C$14="Yes",IF(COUNTBLANK('Capacity summary'!$H39:$BG39)&lt;52,IF('Capacity summary'!AN39&lt;&gt;"",IF(LOWER('Capacity summary'!AN39)="x",$BI127*AN127,VALUE('Capacity summary'!AN39)),0),AN127*$BI127),AN127*$BI127),0)</f>
        <v>0</v>
      </c>
      <c r="CR127" s="5">
        <f>IF($BI127&lt;&gt;"",IF('Capacity summary'!$C$14="Yes",IF(COUNTBLANK('Capacity summary'!$H39:$BG39)&lt;52,IF('Capacity summary'!AO39&lt;&gt;"",IF(LOWER('Capacity summary'!AO39)="x",$BI127*AO127,VALUE('Capacity summary'!AO39)),0),AO127*$BI127),AO127*$BI127),0)</f>
        <v>0</v>
      </c>
      <c r="CS127" s="5">
        <f>IF($BI127&lt;&gt;"",IF('Capacity summary'!$C$14="Yes",IF(COUNTBLANK('Capacity summary'!$H39:$BG39)&lt;52,IF('Capacity summary'!AP39&lt;&gt;"",IF(LOWER('Capacity summary'!AP39)="x",$BI127*AP127,VALUE('Capacity summary'!AP39)),0),AP127*$BI127),AP127*$BI127),0)</f>
        <v>0</v>
      </c>
      <c r="CT127" s="5">
        <f>IF($BI127&lt;&gt;"",IF('Capacity summary'!$C$14="Yes",IF(COUNTBLANK('Capacity summary'!$H39:$BG39)&lt;52,IF('Capacity summary'!AQ39&lt;&gt;"",IF(LOWER('Capacity summary'!AQ39)="x",$BI127*AQ127,VALUE('Capacity summary'!AQ39)),0),AQ127*$BI127),AQ127*$BI127),0)</f>
        <v>0</v>
      </c>
      <c r="CU127" s="5">
        <f>IF($BI127&lt;&gt;"",IF('Capacity summary'!$C$14="Yes",IF(COUNTBLANK('Capacity summary'!$H39:$BG39)&lt;52,IF('Capacity summary'!AR39&lt;&gt;"",IF(LOWER('Capacity summary'!AR39)="x",$BI127*AR127,VALUE('Capacity summary'!AR39)),0),AR127*$BI127),AR127*$BI127),0)</f>
        <v>0</v>
      </c>
      <c r="CV127" s="5">
        <f>IF($BI127&lt;&gt;"",IF('Capacity summary'!$C$14="Yes",IF(COUNTBLANK('Capacity summary'!$H39:$BG39)&lt;52,IF('Capacity summary'!AS39&lt;&gt;"",IF(LOWER('Capacity summary'!AS39)="x",$BI127*AS127,VALUE('Capacity summary'!AS39)),0),AS127*$BI127),AS127*$BI127),0)</f>
        <v>0</v>
      </c>
      <c r="CW127" s="5">
        <f>IF($BI127&lt;&gt;"",IF('Capacity summary'!$C$14="Yes",IF(COUNTBLANK('Capacity summary'!$H39:$BG39)&lt;52,IF('Capacity summary'!AT39&lt;&gt;"",IF(LOWER('Capacity summary'!AT39)="x",$BI127*AT127,VALUE('Capacity summary'!AT39)),0),AT127*$BI127),AT127*$BI127),0)</f>
        <v>0</v>
      </c>
      <c r="CX127" s="5">
        <f>IF($BI127&lt;&gt;"",IF('Capacity summary'!$C$14="Yes",IF(COUNTBLANK('Capacity summary'!$H39:$BG39)&lt;52,IF('Capacity summary'!AU39&lt;&gt;"",IF(LOWER('Capacity summary'!AU39)="x",$BI127*AU127,VALUE('Capacity summary'!AU39)),0),AU127*$BI127),AU127*$BI127),0)</f>
        <v>0</v>
      </c>
      <c r="CY127" s="5">
        <f>IF($BI127&lt;&gt;"",IF('Capacity summary'!$C$14="Yes",IF(COUNTBLANK('Capacity summary'!$H39:$BG39)&lt;52,IF('Capacity summary'!AV39&lt;&gt;"",IF(LOWER('Capacity summary'!AV39)="x",$BI127*AV127,VALUE('Capacity summary'!AV39)),0),AV127*$BI127),AV127*$BI127),0)</f>
        <v>0</v>
      </c>
      <c r="CZ127" s="5">
        <f>IF($BI127&lt;&gt;"",IF('Capacity summary'!$C$14="Yes",IF(COUNTBLANK('Capacity summary'!$H39:$BG39)&lt;52,IF('Capacity summary'!AW39&lt;&gt;"",IF(LOWER('Capacity summary'!AW39)="x",$BI127*AW127,VALUE('Capacity summary'!AW39)),0),AW127*$BI127),AW127*$BI127),0)</f>
        <v>0</v>
      </c>
      <c r="DA127" s="5">
        <f>IF($BI127&lt;&gt;"",IF('Capacity summary'!$C$14="Yes",IF(COUNTBLANK('Capacity summary'!$H39:$BG39)&lt;52,IF('Capacity summary'!AX39&lt;&gt;"",IF(LOWER('Capacity summary'!AX39)="x",$BI127*AX127,VALUE('Capacity summary'!AX39)),0),AX127*$BI127),AX127*$BI127),0)</f>
        <v>0</v>
      </c>
      <c r="DB127" s="5">
        <f>IF($BI127&lt;&gt;"",IF('Capacity summary'!$C$14="Yes",IF(COUNTBLANK('Capacity summary'!$H39:$BG39)&lt;52,IF('Capacity summary'!AY39&lt;&gt;"",IF(LOWER('Capacity summary'!AY39)="x",$BI127*AY127,VALUE('Capacity summary'!AY39)),0),AY127*$BI127),AY127*$BI127),0)</f>
        <v>0</v>
      </c>
      <c r="DC127" s="5">
        <f>IF($BI127&lt;&gt;"",IF('Capacity summary'!$C$14="Yes",IF(COUNTBLANK('Capacity summary'!$H39:$BG39)&lt;52,IF('Capacity summary'!AZ39&lt;&gt;"",IF(LOWER('Capacity summary'!AZ39)="x",$BI127*AZ127,VALUE('Capacity summary'!AZ39)),0),AZ127*$BI127),AZ127*$BI127),0)</f>
        <v>0</v>
      </c>
      <c r="DD127" s="5">
        <f>IF($BI127&lt;&gt;"",IF('Capacity summary'!$C$14="Yes",IF(COUNTBLANK('Capacity summary'!$H39:$BG39)&lt;52,IF('Capacity summary'!BA39&lt;&gt;"",IF(LOWER('Capacity summary'!BA39)="x",$BI127*BA127,VALUE('Capacity summary'!BA39)),0),BA127*$BI127),BA127*$BI127),0)</f>
        <v>0</v>
      </c>
      <c r="DE127" s="5">
        <f>IF($BI127&lt;&gt;"",IF('Capacity summary'!$C$14="Yes",IF(COUNTBLANK('Capacity summary'!$H39:$BG39)&lt;52,IF('Capacity summary'!BB39&lt;&gt;"",IF(LOWER('Capacity summary'!BB39)="x",$BI127*BB127,VALUE('Capacity summary'!BB39)),0),BB127*$BI127),BB127*$BI127),0)</f>
        <v>0</v>
      </c>
      <c r="DF127" s="5">
        <f>IF($BI127&lt;&gt;"",IF('Capacity summary'!$C$14="Yes",IF(COUNTBLANK('Capacity summary'!$H39:$BG39)&lt;52,IF('Capacity summary'!BC39&lt;&gt;"",IF(LOWER('Capacity summary'!BC39)="x",$BI127*BC127,VALUE('Capacity summary'!BC39)),0),BC127*$BI127),BC127*$BI127),0)</f>
        <v>0</v>
      </c>
      <c r="DG127" s="5">
        <f>IF($BI127&lt;&gt;"",IF('Capacity summary'!$C$14="Yes",IF(COUNTBLANK('Capacity summary'!$H39:$BG39)&lt;52,IF('Capacity summary'!BD39&lt;&gt;"",IF(LOWER('Capacity summary'!BD39)="x",$BI127*BD127,VALUE('Capacity summary'!BD39)),0),BD127*$BI127),BD127*$BI127),0)</f>
        <v>0</v>
      </c>
      <c r="DH127" s="5">
        <f>IF($BI127&lt;&gt;"",IF('Capacity summary'!$C$14="Yes",IF(COUNTBLANK('Capacity summary'!$H39:$BG39)&lt;52,IF('Capacity summary'!BE39&lt;&gt;"",IF(LOWER('Capacity summary'!BE39)="x",$BI127*BE127,VALUE('Capacity summary'!BE39)),0),BE127*$BI127),BE127*$BI127),0)</f>
        <v>0</v>
      </c>
      <c r="DI127" s="5">
        <f>IF($BI127&lt;&gt;"",IF('Capacity summary'!$C$14="Yes",IF(COUNTBLANK('Capacity summary'!$H39:$BG39)&lt;52,IF('Capacity summary'!BF39&lt;&gt;"",IF(LOWER('Capacity summary'!BF39)="x",$BI127*BF127,VALUE('Capacity summary'!BF39)),0),BF127*$BI127),BF127*$BI127),0)</f>
        <v>0</v>
      </c>
      <c r="DJ127" s="5">
        <f>IF($BI127&lt;&gt;"",IF('Capacity summary'!$C$14="Yes",IF(COUNTBLANK('Capacity summary'!$H39:$BG39)&lt;52,IF('Capacity summary'!BG39&lt;&gt;"",IF(LOWER('Capacity summary'!BG39)="x",$BI127*BG127,VALUE('Capacity summary'!BG39)),0),BG127*$BI127),BG127*$BI127),0)</f>
        <v>0</v>
      </c>
      <c r="DK127" s="5">
        <f t="shared" ref="DK127" si="21">SUM(DK128:DK227)</f>
        <v>0</v>
      </c>
    </row>
    <row r="128" spans="3:115" x14ac:dyDescent="0.25">
      <c r="C128" s="67" t="str">
        <f>ROW(A17)&amp;". "&amp;Capacity!N33</f>
        <v xml:space="preserve">17. </v>
      </c>
      <c r="D128" s="67">
        <f>'Capacity setup'!C134</f>
        <v>0</v>
      </c>
      <c r="E128" s="67">
        <f>'Capacity setup'!D134</f>
        <v>0</v>
      </c>
      <c r="F128" s="67">
        <f>'Capacity setup'!E134</f>
        <v>0</v>
      </c>
      <c r="H128" s="67">
        <f ca="1">IF(AND(SUMIF(Capacity_Resource,$D128,'Critical resources (hide)'!U$6:U$105)+SUMIF(Capacity_Resource,$E128,'Critical resources (hide)'!U$6:U$105)+SUMIF(Capacity_Resource,$F128,'Critical resources (hide)'!U$6:U$105)&gt;0,$E$1=2),0,1)</f>
        <v>1</v>
      </c>
      <c r="I128" s="67">
        <f ca="1">IF(AND(SUMIF(Capacity_Resource,$D128,'Critical resources (hide)'!V$6:V$105)+SUMIF(Capacity_Resource,$E128,'Critical resources (hide)'!V$6:V$105)+SUMIF(Capacity_Resource,$F128,'Critical resources (hide)'!V$6:V$105)&gt;0,$E$1=2),0,1)</f>
        <v>1</v>
      </c>
      <c r="J128" s="67">
        <f ca="1">IF(AND(SUMIF(Capacity_Resource,$D128,'Critical resources (hide)'!W$6:W$105)+SUMIF(Capacity_Resource,$E128,'Critical resources (hide)'!W$6:W$105)+SUMIF(Capacity_Resource,$F128,'Critical resources (hide)'!W$6:W$105)&gt;0,$E$1=2),0,1)</f>
        <v>1</v>
      </c>
      <c r="K128" s="67">
        <f ca="1">IF(AND(SUMIF(Capacity_Resource,$D128,'Critical resources (hide)'!X$6:X$105)+SUMIF(Capacity_Resource,$E128,'Critical resources (hide)'!X$6:X$105)+SUMIF(Capacity_Resource,$F128,'Critical resources (hide)'!X$6:X$105)&gt;0,$E$1=2),0,1)</f>
        <v>1</v>
      </c>
      <c r="L128" s="67">
        <f ca="1">IF(AND(SUMIF(Capacity_Resource,$D128,'Critical resources (hide)'!Y$6:Y$105)+SUMIF(Capacity_Resource,$E128,'Critical resources (hide)'!Y$6:Y$105)+SUMIF(Capacity_Resource,$F128,'Critical resources (hide)'!Y$6:Y$105)&gt;0,$E$1=2),0,1)</f>
        <v>1</v>
      </c>
      <c r="M128" s="67">
        <f ca="1">IF(AND(SUMIF(Capacity_Resource,$D128,'Critical resources (hide)'!Z$6:Z$105)+SUMIF(Capacity_Resource,$E128,'Critical resources (hide)'!Z$6:Z$105)+SUMIF(Capacity_Resource,$F128,'Critical resources (hide)'!Z$6:Z$105)&gt;0,$E$1=2),0,1)</f>
        <v>1</v>
      </c>
      <c r="N128" s="67">
        <f ca="1">IF(AND(SUMIF(Capacity_Resource,$D128,'Critical resources (hide)'!AA$6:AA$105)+SUMIF(Capacity_Resource,$E128,'Critical resources (hide)'!AA$6:AA$105)+SUMIF(Capacity_Resource,$F128,'Critical resources (hide)'!AA$6:AA$105)&gt;0,$E$1=2),0,1)</f>
        <v>1</v>
      </c>
      <c r="O128" s="67">
        <f ca="1">IF(AND(SUMIF(Capacity_Resource,$D128,'Critical resources (hide)'!AB$6:AB$105)+SUMIF(Capacity_Resource,$E128,'Critical resources (hide)'!AB$6:AB$105)+SUMIF(Capacity_Resource,$F128,'Critical resources (hide)'!AB$6:AB$105)&gt;0,$E$1=2),0,1)</f>
        <v>1</v>
      </c>
      <c r="P128" s="67">
        <f ca="1">IF(AND(SUMIF(Capacity_Resource,$D128,'Critical resources (hide)'!AC$6:AC$105)+SUMIF(Capacity_Resource,$E128,'Critical resources (hide)'!AC$6:AC$105)+SUMIF(Capacity_Resource,$F128,'Critical resources (hide)'!AC$6:AC$105)&gt;0,$E$1=2),0,1)</f>
        <v>1</v>
      </c>
      <c r="Q128" s="67">
        <f ca="1">IF(AND(SUMIF(Capacity_Resource,$D128,'Critical resources (hide)'!AD$6:AD$105)+SUMIF(Capacity_Resource,$E128,'Critical resources (hide)'!AD$6:AD$105)+SUMIF(Capacity_Resource,$F128,'Critical resources (hide)'!AD$6:AD$105)&gt;0,$E$1=2),0,1)</f>
        <v>1</v>
      </c>
      <c r="R128" s="67">
        <f ca="1">IF(AND(SUMIF(Capacity_Resource,$D128,'Critical resources (hide)'!AE$6:AE$105)+SUMIF(Capacity_Resource,$E128,'Critical resources (hide)'!AE$6:AE$105)+SUMIF(Capacity_Resource,$F128,'Critical resources (hide)'!AE$6:AE$105)&gt;0,$E$1=2),0,1)</f>
        <v>1</v>
      </c>
      <c r="S128" s="67">
        <f ca="1">IF(AND(SUMIF(Capacity_Resource,$D128,'Critical resources (hide)'!AF$6:AF$105)+SUMIF(Capacity_Resource,$E128,'Critical resources (hide)'!AF$6:AF$105)+SUMIF(Capacity_Resource,$F128,'Critical resources (hide)'!AF$6:AF$105)&gt;0,$E$1=2),0,1)</f>
        <v>1</v>
      </c>
      <c r="T128" s="67">
        <f ca="1">IF(AND(SUMIF(Capacity_Resource,$D128,'Critical resources (hide)'!AG$6:AG$105)+SUMIF(Capacity_Resource,$E128,'Critical resources (hide)'!AG$6:AG$105)+SUMIF(Capacity_Resource,$F128,'Critical resources (hide)'!AG$6:AG$105)&gt;0,$E$1=2),0,1)</f>
        <v>1</v>
      </c>
      <c r="U128" s="67">
        <f ca="1">IF(AND(SUMIF(Capacity_Resource,$D128,'Critical resources (hide)'!AH$6:AH$105)+SUMIF(Capacity_Resource,$E128,'Critical resources (hide)'!AH$6:AH$105)+SUMIF(Capacity_Resource,$F128,'Critical resources (hide)'!AH$6:AH$105)&gt;0,$E$1=2),0,1)</f>
        <v>1</v>
      </c>
      <c r="V128" s="67">
        <f ca="1">IF(AND(SUMIF(Capacity_Resource,$D128,'Critical resources (hide)'!AI$6:AI$105)+SUMIF(Capacity_Resource,$E128,'Critical resources (hide)'!AI$6:AI$105)+SUMIF(Capacity_Resource,$F128,'Critical resources (hide)'!AI$6:AI$105)&gt;0,$E$1=2),0,1)</f>
        <v>1</v>
      </c>
      <c r="W128" s="67">
        <f ca="1">IF(AND(SUMIF(Capacity_Resource,$D128,'Critical resources (hide)'!AJ$6:AJ$105)+SUMIF(Capacity_Resource,$E128,'Critical resources (hide)'!AJ$6:AJ$105)+SUMIF(Capacity_Resource,$F128,'Critical resources (hide)'!AJ$6:AJ$105)&gt;0,$E$1=2),0,1)</f>
        <v>1</v>
      </c>
      <c r="X128" s="67">
        <f ca="1">IF(AND(SUMIF(Capacity_Resource,$D128,'Critical resources (hide)'!AK$6:AK$105)+SUMIF(Capacity_Resource,$E128,'Critical resources (hide)'!AK$6:AK$105)+SUMIF(Capacity_Resource,$F128,'Critical resources (hide)'!AK$6:AK$105)&gt;0,$E$1=2),0,1)</f>
        <v>1</v>
      </c>
      <c r="Y128" s="67">
        <f ca="1">IF(AND(SUMIF(Capacity_Resource,$D128,'Critical resources (hide)'!AL$6:AL$105)+SUMIF(Capacity_Resource,$E128,'Critical resources (hide)'!AL$6:AL$105)+SUMIF(Capacity_Resource,$F128,'Critical resources (hide)'!AL$6:AL$105)&gt;0,$E$1=2),0,1)</f>
        <v>1</v>
      </c>
      <c r="Z128" s="67">
        <f ca="1">IF(AND(SUMIF(Capacity_Resource,$D128,'Critical resources (hide)'!AM$6:AM$105)+SUMIF(Capacity_Resource,$E128,'Critical resources (hide)'!AM$6:AM$105)+SUMIF(Capacity_Resource,$F128,'Critical resources (hide)'!AM$6:AM$105)&gt;0,$E$1=2),0,1)</f>
        <v>1</v>
      </c>
      <c r="AA128" s="67">
        <f ca="1">IF(AND(SUMIF(Capacity_Resource,$D128,'Critical resources (hide)'!AN$6:AN$105)+SUMIF(Capacity_Resource,$E128,'Critical resources (hide)'!AN$6:AN$105)+SUMIF(Capacity_Resource,$F128,'Critical resources (hide)'!AN$6:AN$105)&gt;0,$E$1=2),0,1)</f>
        <v>1</v>
      </c>
      <c r="AB128" s="67">
        <f ca="1">IF(AND(SUMIF(Capacity_Resource,$D128,'Critical resources (hide)'!AO$6:AO$105)+SUMIF(Capacity_Resource,$E128,'Critical resources (hide)'!AO$6:AO$105)+SUMIF(Capacity_Resource,$F128,'Critical resources (hide)'!AO$6:AO$105)&gt;0,$E$1=2),0,1)</f>
        <v>1</v>
      </c>
      <c r="AC128" s="67">
        <f ca="1">IF(AND(SUMIF(Capacity_Resource,$D128,'Critical resources (hide)'!AP$6:AP$105)+SUMIF(Capacity_Resource,$E128,'Critical resources (hide)'!AP$6:AP$105)+SUMIF(Capacity_Resource,$F128,'Critical resources (hide)'!AP$6:AP$105)&gt;0,$E$1=2),0,1)</f>
        <v>1</v>
      </c>
      <c r="AD128" s="67">
        <f ca="1">IF(AND(SUMIF(Capacity_Resource,$D128,'Critical resources (hide)'!AQ$6:AQ$105)+SUMIF(Capacity_Resource,$E128,'Critical resources (hide)'!AQ$6:AQ$105)+SUMIF(Capacity_Resource,$F128,'Critical resources (hide)'!AQ$6:AQ$105)&gt;0,$E$1=2),0,1)</f>
        <v>1</v>
      </c>
      <c r="AE128" s="67">
        <f ca="1">IF(AND(SUMIF(Capacity_Resource,$D128,'Critical resources (hide)'!AR$6:AR$105)+SUMIF(Capacity_Resource,$E128,'Critical resources (hide)'!AR$6:AR$105)+SUMIF(Capacity_Resource,$F128,'Critical resources (hide)'!AR$6:AR$105)&gt;0,$E$1=2),0,1)</f>
        <v>1</v>
      </c>
      <c r="AF128" s="67">
        <f ca="1">IF(AND(SUMIF(Capacity_Resource,$D128,'Critical resources (hide)'!AS$6:AS$105)+SUMIF(Capacity_Resource,$E128,'Critical resources (hide)'!AS$6:AS$105)+SUMIF(Capacity_Resource,$F128,'Critical resources (hide)'!AS$6:AS$105)&gt;0,$E$1=2),0,1)</f>
        <v>1</v>
      </c>
      <c r="AG128" s="67">
        <f ca="1">IF(AND(SUMIF(Capacity_Resource,$D128,'Critical resources (hide)'!AT$6:AT$105)+SUMIF(Capacity_Resource,$E128,'Critical resources (hide)'!AT$6:AT$105)+SUMIF(Capacity_Resource,$F128,'Critical resources (hide)'!AT$6:AT$105)&gt;0,$E$1=2),0,1)</f>
        <v>1</v>
      </c>
      <c r="AH128" s="67">
        <f ca="1">IF(AND(SUMIF(Capacity_Resource,$D128,'Critical resources (hide)'!AU$6:AU$105)+SUMIF(Capacity_Resource,$E128,'Critical resources (hide)'!AU$6:AU$105)+SUMIF(Capacity_Resource,$F128,'Critical resources (hide)'!AU$6:AU$105)&gt;0,$E$1=2),0,1)</f>
        <v>1</v>
      </c>
      <c r="AI128" s="67">
        <f ca="1">IF(AND(SUMIF(Capacity_Resource,$D128,'Critical resources (hide)'!AV$6:AV$105)+SUMIF(Capacity_Resource,$E128,'Critical resources (hide)'!AV$6:AV$105)+SUMIF(Capacity_Resource,$F128,'Critical resources (hide)'!AV$6:AV$105)&gt;0,$E$1=2),0,1)</f>
        <v>1</v>
      </c>
      <c r="AJ128" s="67">
        <f ca="1">IF(AND(SUMIF(Capacity_Resource,$D128,'Critical resources (hide)'!AW$6:AW$105)+SUMIF(Capacity_Resource,$E128,'Critical resources (hide)'!AW$6:AW$105)+SUMIF(Capacity_Resource,$F128,'Critical resources (hide)'!AW$6:AW$105)&gt;0,$E$1=2),0,1)</f>
        <v>1</v>
      </c>
      <c r="AK128" s="67">
        <f ca="1">IF(AND(SUMIF(Capacity_Resource,$D128,'Critical resources (hide)'!AX$6:AX$105)+SUMIF(Capacity_Resource,$E128,'Critical resources (hide)'!AX$6:AX$105)+SUMIF(Capacity_Resource,$F128,'Critical resources (hide)'!AX$6:AX$105)&gt;0,$E$1=2),0,1)</f>
        <v>1</v>
      </c>
      <c r="AL128" s="67">
        <f ca="1">IF(AND(SUMIF(Capacity_Resource,$D128,'Critical resources (hide)'!AY$6:AY$105)+SUMIF(Capacity_Resource,$E128,'Critical resources (hide)'!AY$6:AY$105)+SUMIF(Capacity_Resource,$F128,'Critical resources (hide)'!AY$6:AY$105)&gt;0,$E$1=2),0,1)</f>
        <v>1</v>
      </c>
      <c r="AM128" s="67">
        <f ca="1">IF(AND(SUMIF(Capacity_Resource,$D128,'Critical resources (hide)'!AZ$6:AZ$105)+SUMIF(Capacity_Resource,$E128,'Critical resources (hide)'!AZ$6:AZ$105)+SUMIF(Capacity_Resource,$F128,'Critical resources (hide)'!AZ$6:AZ$105)&gt;0,$E$1=2),0,1)</f>
        <v>1</v>
      </c>
      <c r="AN128" s="67">
        <f ca="1">IF(AND(SUMIF(Capacity_Resource,$D128,'Critical resources (hide)'!BA$6:BA$105)+SUMIF(Capacity_Resource,$E128,'Critical resources (hide)'!BA$6:BA$105)+SUMIF(Capacity_Resource,$F128,'Critical resources (hide)'!BA$6:BA$105)&gt;0,$E$1=2),0,1)</f>
        <v>1</v>
      </c>
      <c r="AO128" s="67">
        <f ca="1">IF(AND(SUMIF(Capacity_Resource,$D128,'Critical resources (hide)'!BB$6:BB$105)+SUMIF(Capacity_Resource,$E128,'Critical resources (hide)'!BB$6:BB$105)+SUMIF(Capacity_Resource,$F128,'Critical resources (hide)'!BB$6:BB$105)&gt;0,$E$1=2),0,1)</f>
        <v>1</v>
      </c>
      <c r="AP128" s="67">
        <f ca="1">IF(AND(SUMIF(Capacity_Resource,$D128,'Critical resources (hide)'!BC$6:BC$105)+SUMIF(Capacity_Resource,$E128,'Critical resources (hide)'!BC$6:BC$105)+SUMIF(Capacity_Resource,$F128,'Critical resources (hide)'!BC$6:BC$105)&gt;0,$E$1=2),0,1)</f>
        <v>1</v>
      </c>
      <c r="AQ128" s="67">
        <f ca="1">IF(AND(SUMIF(Capacity_Resource,$D128,'Critical resources (hide)'!BD$6:BD$105)+SUMIF(Capacity_Resource,$E128,'Critical resources (hide)'!BD$6:BD$105)+SUMIF(Capacity_Resource,$F128,'Critical resources (hide)'!BD$6:BD$105)&gt;0,$E$1=2),0,1)</f>
        <v>1</v>
      </c>
      <c r="AR128" s="67">
        <f ca="1">IF(AND(SUMIF(Capacity_Resource,$D128,'Critical resources (hide)'!BE$6:BE$105)+SUMIF(Capacity_Resource,$E128,'Critical resources (hide)'!BE$6:BE$105)+SUMIF(Capacity_Resource,$F128,'Critical resources (hide)'!BE$6:BE$105)&gt;0,$E$1=2),0,1)</f>
        <v>1</v>
      </c>
      <c r="AS128" s="67">
        <f ca="1">IF(AND(SUMIF(Capacity_Resource,$D128,'Critical resources (hide)'!BF$6:BF$105)+SUMIF(Capacity_Resource,$E128,'Critical resources (hide)'!BF$6:BF$105)+SUMIF(Capacity_Resource,$F128,'Critical resources (hide)'!BF$6:BF$105)&gt;0,$E$1=2),0,1)</f>
        <v>1</v>
      </c>
      <c r="AT128" s="67">
        <f ca="1">IF(AND(SUMIF(Capacity_Resource,$D128,'Critical resources (hide)'!BG$6:BG$105)+SUMIF(Capacity_Resource,$E128,'Critical resources (hide)'!BG$6:BG$105)+SUMIF(Capacity_Resource,$F128,'Critical resources (hide)'!BG$6:BG$105)&gt;0,$E$1=2),0,1)</f>
        <v>1</v>
      </c>
      <c r="AU128" s="67">
        <f ca="1">IF(AND(SUMIF(Capacity_Resource,$D128,'Critical resources (hide)'!BH$6:BH$105)+SUMIF(Capacity_Resource,$E128,'Critical resources (hide)'!BH$6:BH$105)+SUMIF(Capacity_Resource,$F128,'Critical resources (hide)'!BH$6:BH$105)&gt;0,$E$1=2),0,1)</f>
        <v>1</v>
      </c>
      <c r="AV128" s="67">
        <f ca="1">IF(AND(SUMIF(Capacity_Resource,$D128,'Critical resources (hide)'!BI$6:BI$105)+SUMIF(Capacity_Resource,$E128,'Critical resources (hide)'!BI$6:BI$105)+SUMIF(Capacity_Resource,$F128,'Critical resources (hide)'!BI$6:BI$105)&gt;0,$E$1=2),0,1)</f>
        <v>1</v>
      </c>
      <c r="AW128" s="67">
        <f ca="1">IF(AND(SUMIF(Capacity_Resource,$D128,'Critical resources (hide)'!BJ$6:BJ$105)+SUMIF(Capacity_Resource,$E128,'Critical resources (hide)'!BJ$6:BJ$105)+SUMIF(Capacity_Resource,$F128,'Critical resources (hide)'!BJ$6:BJ$105)&gt;0,$E$1=2),0,1)</f>
        <v>1</v>
      </c>
      <c r="AX128" s="67">
        <f ca="1">IF(AND(SUMIF(Capacity_Resource,$D128,'Critical resources (hide)'!BK$6:BK$105)+SUMIF(Capacity_Resource,$E128,'Critical resources (hide)'!BK$6:BK$105)+SUMIF(Capacity_Resource,$F128,'Critical resources (hide)'!BK$6:BK$105)&gt;0,$E$1=2),0,1)</f>
        <v>1</v>
      </c>
      <c r="AY128" s="67">
        <f ca="1">IF(AND(SUMIF(Capacity_Resource,$D128,'Critical resources (hide)'!BL$6:BL$105)+SUMIF(Capacity_Resource,$E128,'Critical resources (hide)'!BL$6:BL$105)+SUMIF(Capacity_Resource,$F128,'Critical resources (hide)'!BL$6:BL$105)&gt;0,$E$1=2),0,1)</f>
        <v>1</v>
      </c>
      <c r="AZ128" s="67">
        <f ca="1">IF(AND(SUMIF(Capacity_Resource,$D128,'Critical resources (hide)'!BM$6:BM$105)+SUMIF(Capacity_Resource,$E128,'Critical resources (hide)'!BM$6:BM$105)+SUMIF(Capacity_Resource,$F128,'Critical resources (hide)'!BM$6:BM$105)&gt;0,$E$1=2),0,1)</f>
        <v>1</v>
      </c>
      <c r="BA128" s="67">
        <f ca="1">IF(AND(SUMIF(Capacity_Resource,$D128,'Critical resources (hide)'!BN$6:BN$105)+SUMIF(Capacity_Resource,$E128,'Critical resources (hide)'!BN$6:BN$105)+SUMIF(Capacity_Resource,$F128,'Critical resources (hide)'!BN$6:BN$105)&gt;0,$E$1=2),0,1)</f>
        <v>1</v>
      </c>
      <c r="BB128" s="67">
        <f ca="1">IF(AND(SUMIF(Capacity_Resource,$D128,'Critical resources (hide)'!BO$6:BO$105)+SUMIF(Capacity_Resource,$E128,'Critical resources (hide)'!BO$6:BO$105)+SUMIF(Capacity_Resource,$F128,'Critical resources (hide)'!BO$6:BO$105)&gt;0,$E$1=2),0,1)</f>
        <v>1</v>
      </c>
      <c r="BC128" s="67">
        <f ca="1">IF(AND(SUMIF(Capacity_Resource,$D128,'Critical resources (hide)'!BP$6:BP$105)+SUMIF(Capacity_Resource,$E128,'Critical resources (hide)'!BP$6:BP$105)+SUMIF(Capacity_Resource,$F128,'Critical resources (hide)'!BP$6:BP$105)&gt;0,$E$1=2),0,1)</f>
        <v>1</v>
      </c>
      <c r="BD128" s="67">
        <f ca="1">IF(AND(SUMIF(Capacity_Resource,$D128,'Critical resources (hide)'!BQ$6:BQ$105)+SUMIF(Capacity_Resource,$E128,'Critical resources (hide)'!BQ$6:BQ$105)+SUMIF(Capacity_Resource,$F128,'Critical resources (hide)'!BQ$6:BQ$105)&gt;0,$E$1=2),0,1)</f>
        <v>1</v>
      </c>
      <c r="BE128" s="67">
        <f ca="1">IF(AND(SUMIF(Capacity_Resource,$D128,'Critical resources (hide)'!BR$6:BR$105)+SUMIF(Capacity_Resource,$E128,'Critical resources (hide)'!BR$6:BR$105)+SUMIF(Capacity_Resource,$F128,'Critical resources (hide)'!BR$6:BR$105)&gt;0,$E$1=2),0,1)</f>
        <v>1</v>
      </c>
      <c r="BF128" s="67">
        <f ca="1">IF(AND(SUMIF(Capacity_Resource,$D128,'Critical resources (hide)'!BS$6:BS$105)+SUMIF(Capacity_Resource,$E128,'Critical resources (hide)'!BS$6:BS$105)+SUMIF(Capacity_Resource,$F128,'Critical resources (hide)'!BS$6:BS$105)&gt;0,$E$1=2),0,1)</f>
        <v>1</v>
      </c>
      <c r="BG128" s="67">
        <f ca="1">IF(AND(SUMIF(Capacity_Resource,$D128,'Critical resources (hide)'!BT$6:BT$105)+SUMIF(Capacity_Resource,$E128,'Critical resources (hide)'!BT$6:BT$105)+SUMIF(Capacity_Resource,$F128,'Critical resources (hide)'!BT$6:BT$105)&gt;0,$E$1=2),0,1)</f>
        <v>1</v>
      </c>
      <c r="BH128" s="67">
        <f>IF(ROW(A17)&lt;=Capacity!$M$16,IF('Capacity summary'!$C$14="No",SUM(H128:BG128),'Capacity summary'!$E40),0)</f>
        <v>0</v>
      </c>
      <c r="BI128" s="67" t="str">
        <f>IF(BH128&gt;0,IF(BH128&lt;Capacity!Q33,Capacity!R33,Capacity!T33/'Capacity calculation (hide)'!BH128),"")</f>
        <v/>
      </c>
      <c r="BJ128" s="5"/>
      <c r="BK128" s="5">
        <f>IF($BI128&lt;&gt;"",IF('Capacity summary'!$C$14="Yes",IF(COUNTBLANK('Capacity summary'!$H40:$BG40)&lt;52,IF('Capacity summary'!H40&lt;&gt;"",IF(LOWER('Capacity summary'!H40)="x",$BI128*H128,VALUE('Capacity summary'!H40)),0),H128*$BI128),H128*$BI128),0)</f>
        <v>0</v>
      </c>
      <c r="BL128" s="5">
        <f>IF($BI128&lt;&gt;"",IF('Capacity summary'!$C$14="Yes",IF(COUNTBLANK('Capacity summary'!$H40:$BG40)&lt;52,IF('Capacity summary'!I40&lt;&gt;"",IF(LOWER('Capacity summary'!I40)="x",$BI128*I128,VALUE('Capacity summary'!I40)),0),I128*$BI128),I128*$BI128),0)</f>
        <v>0</v>
      </c>
      <c r="BM128" s="5">
        <f>IF($BI128&lt;&gt;"",IF('Capacity summary'!$C$14="Yes",IF(COUNTBLANK('Capacity summary'!$H40:$BG40)&lt;52,IF('Capacity summary'!J40&lt;&gt;"",IF(LOWER('Capacity summary'!J40)="x",$BI128*J128,VALUE('Capacity summary'!J40)),0),J128*$BI128),J128*$BI128),0)</f>
        <v>0</v>
      </c>
      <c r="BN128" s="5">
        <f>IF($BI128&lt;&gt;"",IF('Capacity summary'!$C$14="Yes",IF(COUNTBLANK('Capacity summary'!$H40:$BG40)&lt;52,IF('Capacity summary'!K40&lt;&gt;"",IF(LOWER('Capacity summary'!K40)="x",$BI128*K128,VALUE('Capacity summary'!K40)),0),K128*$BI128),K128*$BI128),0)</f>
        <v>0</v>
      </c>
      <c r="BO128" s="5">
        <f>IF($BI128&lt;&gt;"",IF('Capacity summary'!$C$14="Yes",IF(COUNTBLANK('Capacity summary'!$H40:$BG40)&lt;52,IF('Capacity summary'!L40&lt;&gt;"",IF(LOWER('Capacity summary'!L40)="x",$BI128*L128,VALUE('Capacity summary'!L40)),0),L128*$BI128),L128*$BI128),0)</f>
        <v>0</v>
      </c>
      <c r="BP128" s="5">
        <f>IF($BI128&lt;&gt;"",IF('Capacity summary'!$C$14="Yes",IF(COUNTBLANK('Capacity summary'!$H40:$BG40)&lt;52,IF('Capacity summary'!M40&lt;&gt;"",IF(LOWER('Capacity summary'!M40)="x",$BI128*M128,VALUE('Capacity summary'!M40)),0),M128*$BI128),M128*$BI128),0)</f>
        <v>0</v>
      </c>
      <c r="BQ128" s="5">
        <f>IF($BI128&lt;&gt;"",IF('Capacity summary'!$C$14="Yes",IF(COUNTBLANK('Capacity summary'!$H40:$BG40)&lt;52,IF('Capacity summary'!N40&lt;&gt;"",IF(LOWER('Capacity summary'!N40)="x",$BI128*N128,VALUE('Capacity summary'!N40)),0),N128*$BI128),N128*$BI128),0)</f>
        <v>0</v>
      </c>
      <c r="BR128" s="5">
        <f>IF($BI128&lt;&gt;"",IF('Capacity summary'!$C$14="Yes",IF(COUNTBLANK('Capacity summary'!$H40:$BG40)&lt;52,IF('Capacity summary'!O40&lt;&gt;"",IF(LOWER('Capacity summary'!O40)="x",$BI128*O128,VALUE('Capacity summary'!O40)),0),O128*$BI128),O128*$BI128),0)</f>
        <v>0</v>
      </c>
      <c r="BS128" s="5">
        <f>IF($BI128&lt;&gt;"",IF('Capacity summary'!$C$14="Yes",IF(COUNTBLANK('Capacity summary'!$H40:$BG40)&lt;52,IF('Capacity summary'!P40&lt;&gt;"",IF(LOWER('Capacity summary'!P40)="x",$BI128*P128,VALUE('Capacity summary'!P40)),0),P128*$BI128),P128*$BI128),0)</f>
        <v>0</v>
      </c>
      <c r="BT128" s="5">
        <f>IF($BI128&lt;&gt;"",IF('Capacity summary'!$C$14="Yes",IF(COUNTBLANK('Capacity summary'!$H40:$BG40)&lt;52,IF('Capacity summary'!Q40&lt;&gt;"",IF(LOWER('Capacity summary'!Q40)="x",$BI128*Q128,VALUE('Capacity summary'!Q40)),0),Q128*$BI128),Q128*$BI128),0)</f>
        <v>0</v>
      </c>
      <c r="BU128" s="5">
        <f>IF($BI128&lt;&gt;"",IF('Capacity summary'!$C$14="Yes",IF(COUNTBLANK('Capacity summary'!$H40:$BG40)&lt;52,IF('Capacity summary'!R40&lt;&gt;"",IF(LOWER('Capacity summary'!R40)="x",$BI128*R128,VALUE('Capacity summary'!R40)),0),R128*$BI128),R128*$BI128),0)</f>
        <v>0</v>
      </c>
      <c r="BV128" s="5">
        <f>IF($BI128&lt;&gt;"",IF('Capacity summary'!$C$14="Yes",IF(COUNTBLANK('Capacity summary'!$H40:$BG40)&lt;52,IF('Capacity summary'!S40&lt;&gt;"",IF(LOWER('Capacity summary'!S40)="x",$BI128*S128,VALUE('Capacity summary'!S40)),0),S128*$BI128),S128*$BI128),0)</f>
        <v>0</v>
      </c>
      <c r="BW128" s="5">
        <f>IF($BI128&lt;&gt;"",IF('Capacity summary'!$C$14="Yes",IF(COUNTBLANK('Capacity summary'!$H40:$BG40)&lt;52,IF('Capacity summary'!T40&lt;&gt;"",IF(LOWER('Capacity summary'!T40)="x",$BI128*T128,VALUE('Capacity summary'!T40)),0),T128*$BI128),T128*$BI128),0)</f>
        <v>0</v>
      </c>
      <c r="BX128" s="5">
        <f>IF($BI128&lt;&gt;"",IF('Capacity summary'!$C$14="Yes",IF(COUNTBLANK('Capacity summary'!$H40:$BG40)&lt;52,IF('Capacity summary'!U40&lt;&gt;"",IF(LOWER('Capacity summary'!U40)="x",$BI128*U128,VALUE('Capacity summary'!U40)),0),U128*$BI128),U128*$BI128),0)</f>
        <v>0</v>
      </c>
      <c r="BY128" s="5">
        <f>IF($BI128&lt;&gt;"",IF('Capacity summary'!$C$14="Yes",IF(COUNTBLANK('Capacity summary'!$H40:$BG40)&lt;52,IF('Capacity summary'!V40&lt;&gt;"",IF(LOWER('Capacity summary'!V40)="x",$BI128*V128,VALUE('Capacity summary'!V40)),0),V128*$BI128),V128*$BI128),0)</f>
        <v>0</v>
      </c>
      <c r="BZ128" s="5">
        <f>IF($BI128&lt;&gt;"",IF('Capacity summary'!$C$14="Yes",IF(COUNTBLANK('Capacity summary'!$H40:$BG40)&lt;52,IF('Capacity summary'!W40&lt;&gt;"",IF(LOWER('Capacity summary'!W40)="x",$BI128*W128,VALUE('Capacity summary'!W40)),0),W128*$BI128),W128*$BI128),0)</f>
        <v>0</v>
      </c>
      <c r="CA128" s="5">
        <f>IF($BI128&lt;&gt;"",IF('Capacity summary'!$C$14="Yes",IF(COUNTBLANK('Capacity summary'!$H40:$BG40)&lt;52,IF('Capacity summary'!X40&lt;&gt;"",IF(LOWER('Capacity summary'!X40)="x",$BI128*X128,VALUE('Capacity summary'!X40)),0),X128*$BI128),X128*$BI128),0)</f>
        <v>0</v>
      </c>
      <c r="CB128" s="5">
        <f>IF($BI128&lt;&gt;"",IF('Capacity summary'!$C$14="Yes",IF(COUNTBLANK('Capacity summary'!$H40:$BG40)&lt;52,IF('Capacity summary'!Y40&lt;&gt;"",IF(LOWER('Capacity summary'!Y40)="x",$BI128*Y128,VALUE('Capacity summary'!Y40)),0),Y128*$BI128),Y128*$BI128),0)</f>
        <v>0</v>
      </c>
      <c r="CC128" s="5">
        <f>IF($BI128&lt;&gt;"",IF('Capacity summary'!$C$14="Yes",IF(COUNTBLANK('Capacity summary'!$H40:$BG40)&lt;52,IF('Capacity summary'!Z40&lt;&gt;"",IF(LOWER('Capacity summary'!Z40)="x",$BI128*Z128,VALUE('Capacity summary'!Z40)),0),Z128*$BI128),Z128*$BI128),0)</f>
        <v>0</v>
      </c>
      <c r="CD128" s="5">
        <f>IF($BI128&lt;&gt;"",IF('Capacity summary'!$C$14="Yes",IF(COUNTBLANK('Capacity summary'!$H40:$BG40)&lt;52,IF('Capacity summary'!AA40&lt;&gt;"",IF(LOWER('Capacity summary'!AA40)="x",$BI128*AA128,VALUE('Capacity summary'!AA40)),0),AA128*$BI128),AA128*$BI128),0)</f>
        <v>0</v>
      </c>
      <c r="CE128" s="5">
        <f>IF($BI128&lt;&gt;"",IF('Capacity summary'!$C$14="Yes",IF(COUNTBLANK('Capacity summary'!$H40:$BG40)&lt;52,IF('Capacity summary'!AB40&lt;&gt;"",IF(LOWER('Capacity summary'!AB40)="x",$BI128*AB128,VALUE('Capacity summary'!AB40)),0),AB128*$BI128),AB128*$BI128),0)</f>
        <v>0</v>
      </c>
      <c r="CF128" s="5">
        <f>IF($BI128&lt;&gt;"",IF('Capacity summary'!$C$14="Yes",IF(COUNTBLANK('Capacity summary'!$H40:$BG40)&lt;52,IF('Capacity summary'!AC40&lt;&gt;"",IF(LOWER('Capacity summary'!AC40)="x",$BI128*AC128,VALUE('Capacity summary'!AC40)),0),AC128*$BI128),AC128*$BI128),0)</f>
        <v>0</v>
      </c>
      <c r="CG128" s="5">
        <f>IF($BI128&lt;&gt;"",IF('Capacity summary'!$C$14="Yes",IF(COUNTBLANK('Capacity summary'!$H40:$BG40)&lt;52,IF('Capacity summary'!AD40&lt;&gt;"",IF(LOWER('Capacity summary'!AD40)="x",$BI128*AD128,VALUE('Capacity summary'!AD40)),0),AD128*$BI128),AD128*$BI128),0)</f>
        <v>0</v>
      </c>
      <c r="CH128" s="5">
        <f>IF($BI128&lt;&gt;"",IF('Capacity summary'!$C$14="Yes",IF(COUNTBLANK('Capacity summary'!$H40:$BG40)&lt;52,IF('Capacity summary'!AE40&lt;&gt;"",IF(LOWER('Capacity summary'!AE40)="x",$BI128*AE128,VALUE('Capacity summary'!AE40)),0),AE128*$BI128),AE128*$BI128),0)</f>
        <v>0</v>
      </c>
      <c r="CI128" s="5">
        <f>IF($BI128&lt;&gt;"",IF('Capacity summary'!$C$14="Yes",IF(COUNTBLANK('Capacity summary'!$H40:$BG40)&lt;52,IF('Capacity summary'!AF40&lt;&gt;"",IF(LOWER('Capacity summary'!AF40)="x",$BI128*AF128,VALUE('Capacity summary'!AF40)),0),AF128*$BI128),AF128*$BI128),0)</f>
        <v>0</v>
      </c>
      <c r="CJ128" s="5">
        <f>IF($BI128&lt;&gt;"",IF('Capacity summary'!$C$14="Yes",IF(COUNTBLANK('Capacity summary'!$H40:$BG40)&lt;52,IF('Capacity summary'!AG40&lt;&gt;"",IF(LOWER('Capacity summary'!AG40)="x",$BI128*AG128,VALUE('Capacity summary'!AG40)),0),AG128*$BI128),AG128*$BI128),0)</f>
        <v>0</v>
      </c>
      <c r="CK128" s="5">
        <f>IF($BI128&lt;&gt;"",IF('Capacity summary'!$C$14="Yes",IF(COUNTBLANK('Capacity summary'!$H40:$BG40)&lt;52,IF('Capacity summary'!AH40&lt;&gt;"",IF(LOWER('Capacity summary'!AH40)="x",$BI128*AH128,VALUE('Capacity summary'!AH40)),0),AH128*$BI128),AH128*$BI128),0)</f>
        <v>0</v>
      </c>
      <c r="CL128" s="5">
        <f>IF($BI128&lt;&gt;"",IF('Capacity summary'!$C$14="Yes",IF(COUNTBLANK('Capacity summary'!$H40:$BG40)&lt;52,IF('Capacity summary'!AI40&lt;&gt;"",IF(LOWER('Capacity summary'!AI40)="x",$BI128*AI128,VALUE('Capacity summary'!AI40)),0),AI128*$BI128),AI128*$BI128),0)</f>
        <v>0</v>
      </c>
      <c r="CM128" s="5">
        <f>IF($BI128&lt;&gt;"",IF('Capacity summary'!$C$14="Yes",IF(COUNTBLANK('Capacity summary'!$H40:$BG40)&lt;52,IF('Capacity summary'!AJ40&lt;&gt;"",IF(LOWER('Capacity summary'!AJ40)="x",$BI128*AJ128,VALUE('Capacity summary'!AJ40)),0),AJ128*$BI128),AJ128*$BI128),0)</f>
        <v>0</v>
      </c>
      <c r="CN128" s="5">
        <f>IF($BI128&lt;&gt;"",IF('Capacity summary'!$C$14="Yes",IF(COUNTBLANK('Capacity summary'!$H40:$BG40)&lt;52,IF('Capacity summary'!AK40&lt;&gt;"",IF(LOWER('Capacity summary'!AK40)="x",$BI128*AK128,VALUE('Capacity summary'!AK40)),0),AK128*$BI128),AK128*$BI128),0)</f>
        <v>0</v>
      </c>
      <c r="CO128" s="5">
        <f>IF($BI128&lt;&gt;"",IF('Capacity summary'!$C$14="Yes",IF(COUNTBLANK('Capacity summary'!$H40:$BG40)&lt;52,IF('Capacity summary'!AL40&lt;&gt;"",IF(LOWER('Capacity summary'!AL40)="x",$BI128*AL128,VALUE('Capacity summary'!AL40)),0),AL128*$BI128),AL128*$BI128),0)</f>
        <v>0</v>
      </c>
      <c r="CP128" s="5">
        <f>IF($BI128&lt;&gt;"",IF('Capacity summary'!$C$14="Yes",IF(COUNTBLANK('Capacity summary'!$H40:$BG40)&lt;52,IF('Capacity summary'!AM40&lt;&gt;"",IF(LOWER('Capacity summary'!AM40)="x",$BI128*AM128,VALUE('Capacity summary'!AM40)),0),AM128*$BI128),AM128*$BI128),0)</f>
        <v>0</v>
      </c>
      <c r="CQ128" s="5">
        <f>IF($BI128&lt;&gt;"",IF('Capacity summary'!$C$14="Yes",IF(COUNTBLANK('Capacity summary'!$H40:$BG40)&lt;52,IF('Capacity summary'!AN40&lt;&gt;"",IF(LOWER('Capacity summary'!AN40)="x",$BI128*AN128,VALUE('Capacity summary'!AN40)),0),AN128*$BI128),AN128*$BI128),0)</f>
        <v>0</v>
      </c>
      <c r="CR128" s="5">
        <f>IF($BI128&lt;&gt;"",IF('Capacity summary'!$C$14="Yes",IF(COUNTBLANK('Capacity summary'!$H40:$BG40)&lt;52,IF('Capacity summary'!AO40&lt;&gt;"",IF(LOWER('Capacity summary'!AO40)="x",$BI128*AO128,VALUE('Capacity summary'!AO40)),0),AO128*$BI128),AO128*$BI128),0)</f>
        <v>0</v>
      </c>
      <c r="CS128" s="5">
        <f>IF($BI128&lt;&gt;"",IF('Capacity summary'!$C$14="Yes",IF(COUNTBLANK('Capacity summary'!$H40:$BG40)&lt;52,IF('Capacity summary'!AP40&lt;&gt;"",IF(LOWER('Capacity summary'!AP40)="x",$BI128*AP128,VALUE('Capacity summary'!AP40)),0),AP128*$BI128),AP128*$BI128),0)</f>
        <v>0</v>
      </c>
      <c r="CT128" s="5">
        <f>IF($BI128&lt;&gt;"",IF('Capacity summary'!$C$14="Yes",IF(COUNTBLANK('Capacity summary'!$H40:$BG40)&lt;52,IF('Capacity summary'!AQ40&lt;&gt;"",IF(LOWER('Capacity summary'!AQ40)="x",$BI128*AQ128,VALUE('Capacity summary'!AQ40)),0),AQ128*$BI128),AQ128*$BI128),0)</f>
        <v>0</v>
      </c>
      <c r="CU128" s="5">
        <f>IF($BI128&lt;&gt;"",IF('Capacity summary'!$C$14="Yes",IF(COUNTBLANK('Capacity summary'!$H40:$BG40)&lt;52,IF('Capacity summary'!AR40&lt;&gt;"",IF(LOWER('Capacity summary'!AR40)="x",$BI128*AR128,VALUE('Capacity summary'!AR40)),0),AR128*$BI128),AR128*$BI128),0)</f>
        <v>0</v>
      </c>
      <c r="CV128" s="5">
        <f>IF($BI128&lt;&gt;"",IF('Capacity summary'!$C$14="Yes",IF(COUNTBLANK('Capacity summary'!$H40:$BG40)&lt;52,IF('Capacity summary'!AS40&lt;&gt;"",IF(LOWER('Capacity summary'!AS40)="x",$BI128*AS128,VALUE('Capacity summary'!AS40)),0),AS128*$BI128),AS128*$BI128),0)</f>
        <v>0</v>
      </c>
      <c r="CW128" s="5">
        <f>IF($BI128&lt;&gt;"",IF('Capacity summary'!$C$14="Yes",IF(COUNTBLANK('Capacity summary'!$H40:$BG40)&lt;52,IF('Capacity summary'!AT40&lt;&gt;"",IF(LOWER('Capacity summary'!AT40)="x",$BI128*AT128,VALUE('Capacity summary'!AT40)),0),AT128*$BI128),AT128*$BI128),0)</f>
        <v>0</v>
      </c>
      <c r="CX128" s="5">
        <f>IF($BI128&lt;&gt;"",IF('Capacity summary'!$C$14="Yes",IF(COUNTBLANK('Capacity summary'!$H40:$BG40)&lt;52,IF('Capacity summary'!AU40&lt;&gt;"",IF(LOWER('Capacity summary'!AU40)="x",$BI128*AU128,VALUE('Capacity summary'!AU40)),0),AU128*$BI128),AU128*$BI128),0)</f>
        <v>0</v>
      </c>
      <c r="CY128" s="5">
        <f>IF($BI128&lt;&gt;"",IF('Capacity summary'!$C$14="Yes",IF(COUNTBLANK('Capacity summary'!$H40:$BG40)&lt;52,IF('Capacity summary'!AV40&lt;&gt;"",IF(LOWER('Capacity summary'!AV40)="x",$BI128*AV128,VALUE('Capacity summary'!AV40)),0),AV128*$BI128),AV128*$BI128),0)</f>
        <v>0</v>
      </c>
      <c r="CZ128" s="5">
        <f>IF($BI128&lt;&gt;"",IF('Capacity summary'!$C$14="Yes",IF(COUNTBLANK('Capacity summary'!$H40:$BG40)&lt;52,IF('Capacity summary'!AW40&lt;&gt;"",IF(LOWER('Capacity summary'!AW40)="x",$BI128*AW128,VALUE('Capacity summary'!AW40)),0),AW128*$BI128),AW128*$BI128),0)</f>
        <v>0</v>
      </c>
      <c r="DA128" s="5">
        <f>IF($BI128&lt;&gt;"",IF('Capacity summary'!$C$14="Yes",IF(COUNTBLANK('Capacity summary'!$H40:$BG40)&lt;52,IF('Capacity summary'!AX40&lt;&gt;"",IF(LOWER('Capacity summary'!AX40)="x",$BI128*AX128,VALUE('Capacity summary'!AX40)),0),AX128*$BI128),AX128*$BI128),0)</f>
        <v>0</v>
      </c>
      <c r="DB128" s="5">
        <f>IF($BI128&lt;&gt;"",IF('Capacity summary'!$C$14="Yes",IF(COUNTBLANK('Capacity summary'!$H40:$BG40)&lt;52,IF('Capacity summary'!AY40&lt;&gt;"",IF(LOWER('Capacity summary'!AY40)="x",$BI128*AY128,VALUE('Capacity summary'!AY40)),0),AY128*$BI128),AY128*$BI128),0)</f>
        <v>0</v>
      </c>
      <c r="DC128" s="5">
        <f>IF($BI128&lt;&gt;"",IF('Capacity summary'!$C$14="Yes",IF(COUNTBLANK('Capacity summary'!$H40:$BG40)&lt;52,IF('Capacity summary'!AZ40&lt;&gt;"",IF(LOWER('Capacity summary'!AZ40)="x",$BI128*AZ128,VALUE('Capacity summary'!AZ40)),0),AZ128*$BI128),AZ128*$BI128),0)</f>
        <v>0</v>
      </c>
      <c r="DD128" s="5">
        <f>IF($BI128&lt;&gt;"",IF('Capacity summary'!$C$14="Yes",IF(COUNTBLANK('Capacity summary'!$H40:$BG40)&lt;52,IF('Capacity summary'!BA40&lt;&gt;"",IF(LOWER('Capacity summary'!BA40)="x",$BI128*BA128,VALUE('Capacity summary'!BA40)),0),BA128*$BI128),BA128*$BI128),0)</f>
        <v>0</v>
      </c>
      <c r="DE128" s="5">
        <f>IF($BI128&lt;&gt;"",IF('Capacity summary'!$C$14="Yes",IF(COUNTBLANK('Capacity summary'!$H40:$BG40)&lt;52,IF('Capacity summary'!BB40&lt;&gt;"",IF(LOWER('Capacity summary'!BB40)="x",$BI128*BB128,VALUE('Capacity summary'!BB40)),0),BB128*$BI128),BB128*$BI128),0)</f>
        <v>0</v>
      </c>
      <c r="DF128" s="5">
        <f>IF($BI128&lt;&gt;"",IF('Capacity summary'!$C$14="Yes",IF(COUNTBLANK('Capacity summary'!$H40:$BG40)&lt;52,IF('Capacity summary'!BC40&lt;&gt;"",IF(LOWER('Capacity summary'!BC40)="x",$BI128*BC128,VALUE('Capacity summary'!BC40)),0),BC128*$BI128),BC128*$BI128),0)</f>
        <v>0</v>
      </c>
      <c r="DG128" s="5">
        <f>IF($BI128&lt;&gt;"",IF('Capacity summary'!$C$14="Yes",IF(COUNTBLANK('Capacity summary'!$H40:$BG40)&lt;52,IF('Capacity summary'!BD40&lt;&gt;"",IF(LOWER('Capacity summary'!BD40)="x",$BI128*BD128,VALUE('Capacity summary'!BD40)),0),BD128*$BI128),BD128*$BI128),0)</f>
        <v>0</v>
      </c>
      <c r="DH128" s="5">
        <f>IF($BI128&lt;&gt;"",IF('Capacity summary'!$C$14="Yes",IF(COUNTBLANK('Capacity summary'!$H40:$BG40)&lt;52,IF('Capacity summary'!BE40&lt;&gt;"",IF(LOWER('Capacity summary'!BE40)="x",$BI128*BE128,VALUE('Capacity summary'!BE40)),0),BE128*$BI128),BE128*$BI128),0)</f>
        <v>0</v>
      </c>
      <c r="DI128" s="5">
        <f>IF($BI128&lt;&gt;"",IF('Capacity summary'!$C$14="Yes",IF(COUNTBLANK('Capacity summary'!$H40:$BG40)&lt;52,IF('Capacity summary'!BF40&lt;&gt;"",IF(LOWER('Capacity summary'!BF40)="x",$BI128*BF128,VALUE('Capacity summary'!BF40)),0),BF128*$BI128),BF128*$BI128),0)</f>
        <v>0</v>
      </c>
      <c r="DJ128" s="5">
        <f>IF($BI128&lt;&gt;"",IF('Capacity summary'!$C$14="Yes",IF(COUNTBLANK('Capacity summary'!$H40:$BG40)&lt;52,IF('Capacity summary'!BG40&lt;&gt;"",IF(LOWER('Capacity summary'!BG40)="x",$BI128*BG128,VALUE('Capacity summary'!BG40)),0),BG128*$BI128),BG128*$BI128),0)</f>
        <v>0</v>
      </c>
      <c r="DK128" s="5">
        <f t="shared" ref="DK128" si="22">SUM(DK129:DK228)</f>
        <v>0</v>
      </c>
    </row>
    <row r="129" spans="3:115" x14ac:dyDescent="0.25">
      <c r="C129" s="67" t="str">
        <f>ROW(A18)&amp;". "&amp;Capacity!N34</f>
        <v xml:space="preserve">18. </v>
      </c>
      <c r="D129" s="67">
        <f>'Capacity setup'!C135</f>
        <v>0</v>
      </c>
      <c r="E129" s="67">
        <f>'Capacity setup'!D135</f>
        <v>0</v>
      </c>
      <c r="F129" s="67">
        <f>'Capacity setup'!E135</f>
        <v>0</v>
      </c>
      <c r="H129" s="67">
        <f ca="1">IF(AND(SUMIF(Capacity_Resource,$D129,'Critical resources (hide)'!U$6:U$105)+SUMIF(Capacity_Resource,$E129,'Critical resources (hide)'!U$6:U$105)+SUMIF(Capacity_Resource,$F129,'Critical resources (hide)'!U$6:U$105)&gt;0,$E$1=2),0,1)</f>
        <v>1</v>
      </c>
      <c r="I129" s="67">
        <f ca="1">IF(AND(SUMIF(Capacity_Resource,$D129,'Critical resources (hide)'!V$6:V$105)+SUMIF(Capacity_Resource,$E129,'Critical resources (hide)'!V$6:V$105)+SUMIF(Capacity_Resource,$F129,'Critical resources (hide)'!V$6:V$105)&gt;0,$E$1=2),0,1)</f>
        <v>1</v>
      </c>
      <c r="J129" s="67">
        <f ca="1">IF(AND(SUMIF(Capacity_Resource,$D129,'Critical resources (hide)'!W$6:W$105)+SUMIF(Capacity_Resource,$E129,'Critical resources (hide)'!W$6:W$105)+SUMIF(Capacity_Resource,$F129,'Critical resources (hide)'!W$6:W$105)&gt;0,$E$1=2),0,1)</f>
        <v>1</v>
      </c>
      <c r="K129" s="67">
        <f ca="1">IF(AND(SUMIF(Capacity_Resource,$D129,'Critical resources (hide)'!X$6:X$105)+SUMIF(Capacity_Resource,$E129,'Critical resources (hide)'!X$6:X$105)+SUMIF(Capacity_Resource,$F129,'Critical resources (hide)'!X$6:X$105)&gt;0,$E$1=2),0,1)</f>
        <v>1</v>
      </c>
      <c r="L129" s="67">
        <f ca="1">IF(AND(SUMIF(Capacity_Resource,$D129,'Critical resources (hide)'!Y$6:Y$105)+SUMIF(Capacity_Resource,$E129,'Critical resources (hide)'!Y$6:Y$105)+SUMIF(Capacity_Resource,$F129,'Critical resources (hide)'!Y$6:Y$105)&gt;0,$E$1=2),0,1)</f>
        <v>1</v>
      </c>
      <c r="M129" s="67">
        <f ca="1">IF(AND(SUMIF(Capacity_Resource,$D129,'Critical resources (hide)'!Z$6:Z$105)+SUMIF(Capacity_Resource,$E129,'Critical resources (hide)'!Z$6:Z$105)+SUMIF(Capacity_Resource,$F129,'Critical resources (hide)'!Z$6:Z$105)&gt;0,$E$1=2),0,1)</f>
        <v>1</v>
      </c>
      <c r="N129" s="67">
        <f ca="1">IF(AND(SUMIF(Capacity_Resource,$D129,'Critical resources (hide)'!AA$6:AA$105)+SUMIF(Capacity_Resource,$E129,'Critical resources (hide)'!AA$6:AA$105)+SUMIF(Capacity_Resource,$F129,'Critical resources (hide)'!AA$6:AA$105)&gt;0,$E$1=2),0,1)</f>
        <v>1</v>
      </c>
      <c r="O129" s="67">
        <f ca="1">IF(AND(SUMIF(Capacity_Resource,$D129,'Critical resources (hide)'!AB$6:AB$105)+SUMIF(Capacity_Resource,$E129,'Critical resources (hide)'!AB$6:AB$105)+SUMIF(Capacity_Resource,$F129,'Critical resources (hide)'!AB$6:AB$105)&gt;0,$E$1=2),0,1)</f>
        <v>1</v>
      </c>
      <c r="P129" s="67">
        <f ca="1">IF(AND(SUMIF(Capacity_Resource,$D129,'Critical resources (hide)'!AC$6:AC$105)+SUMIF(Capacity_Resource,$E129,'Critical resources (hide)'!AC$6:AC$105)+SUMIF(Capacity_Resource,$F129,'Critical resources (hide)'!AC$6:AC$105)&gt;0,$E$1=2),0,1)</f>
        <v>1</v>
      </c>
      <c r="Q129" s="67">
        <f ca="1">IF(AND(SUMIF(Capacity_Resource,$D129,'Critical resources (hide)'!AD$6:AD$105)+SUMIF(Capacity_Resource,$E129,'Critical resources (hide)'!AD$6:AD$105)+SUMIF(Capacity_Resource,$F129,'Critical resources (hide)'!AD$6:AD$105)&gt;0,$E$1=2),0,1)</f>
        <v>1</v>
      </c>
      <c r="R129" s="67">
        <f ca="1">IF(AND(SUMIF(Capacity_Resource,$D129,'Critical resources (hide)'!AE$6:AE$105)+SUMIF(Capacity_Resource,$E129,'Critical resources (hide)'!AE$6:AE$105)+SUMIF(Capacity_Resource,$F129,'Critical resources (hide)'!AE$6:AE$105)&gt;0,$E$1=2),0,1)</f>
        <v>1</v>
      </c>
      <c r="S129" s="67">
        <f ca="1">IF(AND(SUMIF(Capacity_Resource,$D129,'Critical resources (hide)'!AF$6:AF$105)+SUMIF(Capacity_Resource,$E129,'Critical resources (hide)'!AF$6:AF$105)+SUMIF(Capacity_Resource,$F129,'Critical resources (hide)'!AF$6:AF$105)&gt;0,$E$1=2),0,1)</f>
        <v>1</v>
      </c>
      <c r="T129" s="67">
        <f ca="1">IF(AND(SUMIF(Capacity_Resource,$D129,'Critical resources (hide)'!AG$6:AG$105)+SUMIF(Capacity_Resource,$E129,'Critical resources (hide)'!AG$6:AG$105)+SUMIF(Capacity_Resource,$F129,'Critical resources (hide)'!AG$6:AG$105)&gt;0,$E$1=2),0,1)</f>
        <v>1</v>
      </c>
      <c r="U129" s="67">
        <f ca="1">IF(AND(SUMIF(Capacity_Resource,$D129,'Critical resources (hide)'!AH$6:AH$105)+SUMIF(Capacity_Resource,$E129,'Critical resources (hide)'!AH$6:AH$105)+SUMIF(Capacity_Resource,$F129,'Critical resources (hide)'!AH$6:AH$105)&gt;0,$E$1=2),0,1)</f>
        <v>1</v>
      </c>
      <c r="V129" s="67">
        <f ca="1">IF(AND(SUMIF(Capacity_Resource,$D129,'Critical resources (hide)'!AI$6:AI$105)+SUMIF(Capacity_Resource,$E129,'Critical resources (hide)'!AI$6:AI$105)+SUMIF(Capacity_Resource,$F129,'Critical resources (hide)'!AI$6:AI$105)&gt;0,$E$1=2),0,1)</f>
        <v>1</v>
      </c>
      <c r="W129" s="67">
        <f ca="1">IF(AND(SUMIF(Capacity_Resource,$D129,'Critical resources (hide)'!AJ$6:AJ$105)+SUMIF(Capacity_Resource,$E129,'Critical resources (hide)'!AJ$6:AJ$105)+SUMIF(Capacity_Resource,$F129,'Critical resources (hide)'!AJ$6:AJ$105)&gt;0,$E$1=2),0,1)</f>
        <v>1</v>
      </c>
      <c r="X129" s="67">
        <f ca="1">IF(AND(SUMIF(Capacity_Resource,$D129,'Critical resources (hide)'!AK$6:AK$105)+SUMIF(Capacity_Resource,$E129,'Critical resources (hide)'!AK$6:AK$105)+SUMIF(Capacity_Resource,$F129,'Critical resources (hide)'!AK$6:AK$105)&gt;0,$E$1=2),0,1)</f>
        <v>1</v>
      </c>
      <c r="Y129" s="67">
        <f ca="1">IF(AND(SUMIF(Capacity_Resource,$D129,'Critical resources (hide)'!AL$6:AL$105)+SUMIF(Capacity_Resource,$E129,'Critical resources (hide)'!AL$6:AL$105)+SUMIF(Capacity_Resource,$F129,'Critical resources (hide)'!AL$6:AL$105)&gt;0,$E$1=2),0,1)</f>
        <v>1</v>
      </c>
      <c r="Z129" s="67">
        <f ca="1">IF(AND(SUMIF(Capacity_Resource,$D129,'Critical resources (hide)'!AM$6:AM$105)+SUMIF(Capacity_Resource,$E129,'Critical resources (hide)'!AM$6:AM$105)+SUMIF(Capacity_Resource,$F129,'Critical resources (hide)'!AM$6:AM$105)&gt;0,$E$1=2),0,1)</f>
        <v>1</v>
      </c>
      <c r="AA129" s="67">
        <f ca="1">IF(AND(SUMIF(Capacity_Resource,$D129,'Critical resources (hide)'!AN$6:AN$105)+SUMIF(Capacity_Resource,$E129,'Critical resources (hide)'!AN$6:AN$105)+SUMIF(Capacity_Resource,$F129,'Critical resources (hide)'!AN$6:AN$105)&gt;0,$E$1=2),0,1)</f>
        <v>1</v>
      </c>
      <c r="AB129" s="67">
        <f ca="1">IF(AND(SUMIF(Capacity_Resource,$D129,'Critical resources (hide)'!AO$6:AO$105)+SUMIF(Capacity_Resource,$E129,'Critical resources (hide)'!AO$6:AO$105)+SUMIF(Capacity_Resource,$F129,'Critical resources (hide)'!AO$6:AO$105)&gt;0,$E$1=2),0,1)</f>
        <v>1</v>
      </c>
      <c r="AC129" s="67">
        <f ca="1">IF(AND(SUMIF(Capacity_Resource,$D129,'Critical resources (hide)'!AP$6:AP$105)+SUMIF(Capacity_Resource,$E129,'Critical resources (hide)'!AP$6:AP$105)+SUMIF(Capacity_Resource,$F129,'Critical resources (hide)'!AP$6:AP$105)&gt;0,$E$1=2),0,1)</f>
        <v>1</v>
      </c>
      <c r="AD129" s="67">
        <f ca="1">IF(AND(SUMIF(Capacity_Resource,$D129,'Critical resources (hide)'!AQ$6:AQ$105)+SUMIF(Capacity_Resource,$E129,'Critical resources (hide)'!AQ$6:AQ$105)+SUMIF(Capacity_Resource,$F129,'Critical resources (hide)'!AQ$6:AQ$105)&gt;0,$E$1=2),0,1)</f>
        <v>1</v>
      </c>
      <c r="AE129" s="67">
        <f ca="1">IF(AND(SUMIF(Capacity_Resource,$D129,'Critical resources (hide)'!AR$6:AR$105)+SUMIF(Capacity_Resource,$E129,'Critical resources (hide)'!AR$6:AR$105)+SUMIF(Capacity_Resource,$F129,'Critical resources (hide)'!AR$6:AR$105)&gt;0,$E$1=2),0,1)</f>
        <v>1</v>
      </c>
      <c r="AF129" s="67">
        <f ca="1">IF(AND(SUMIF(Capacity_Resource,$D129,'Critical resources (hide)'!AS$6:AS$105)+SUMIF(Capacity_Resource,$E129,'Critical resources (hide)'!AS$6:AS$105)+SUMIF(Capacity_Resource,$F129,'Critical resources (hide)'!AS$6:AS$105)&gt;0,$E$1=2),0,1)</f>
        <v>1</v>
      </c>
      <c r="AG129" s="67">
        <f ca="1">IF(AND(SUMIF(Capacity_Resource,$D129,'Critical resources (hide)'!AT$6:AT$105)+SUMIF(Capacity_Resource,$E129,'Critical resources (hide)'!AT$6:AT$105)+SUMIF(Capacity_Resource,$F129,'Critical resources (hide)'!AT$6:AT$105)&gt;0,$E$1=2),0,1)</f>
        <v>1</v>
      </c>
      <c r="AH129" s="67">
        <f ca="1">IF(AND(SUMIF(Capacity_Resource,$D129,'Critical resources (hide)'!AU$6:AU$105)+SUMIF(Capacity_Resource,$E129,'Critical resources (hide)'!AU$6:AU$105)+SUMIF(Capacity_Resource,$F129,'Critical resources (hide)'!AU$6:AU$105)&gt;0,$E$1=2),0,1)</f>
        <v>1</v>
      </c>
      <c r="AI129" s="67">
        <f ca="1">IF(AND(SUMIF(Capacity_Resource,$D129,'Critical resources (hide)'!AV$6:AV$105)+SUMIF(Capacity_Resource,$E129,'Critical resources (hide)'!AV$6:AV$105)+SUMIF(Capacity_Resource,$F129,'Critical resources (hide)'!AV$6:AV$105)&gt;0,$E$1=2),0,1)</f>
        <v>1</v>
      </c>
      <c r="AJ129" s="67">
        <f ca="1">IF(AND(SUMIF(Capacity_Resource,$D129,'Critical resources (hide)'!AW$6:AW$105)+SUMIF(Capacity_Resource,$E129,'Critical resources (hide)'!AW$6:AW$105)+SUMIF(Capacity_Resource,$F129,'Critical resources (hide)'!AW$6:AW$105)&gt;0,$E$1=2),0,1)</f>
        <v>1</v>
      </c>
      <c r="AK129" s="67">
        <f ca="1">IF(AND(SUMIF(Capacity_Resource,$D129,'Critical resources (hide)'!AX$6:AX$105)+SUMIF(Capacity_Resource,$E129,'Critical resources (hide)'!AX$6:AX$105)+SUMIF(Capacity_Resource,$F129,'Critical resources (hide)'!AX$6:AX$105)&gt;0,$E$1=2),0,1)</f>
        <v>1</v>
      </c>
      <c r="AL129" s="67">
        <f ca="1">IF(AND(SUMIF(Capacity_Resource,$D129,'Critical resources (hide)'!AY$6:AY$105)+SUMIF(Capacity_Resource,$E129,'Critical resources (hide)'!AY$6:AY$105)+SUMIF(Capacity_Resource,$F129,'Critical resources (hide)'!AY$6:AY$105)&gt;0,$E$1=2),0,1)</f>
        <v>1</v>
      </c>
      <c r="AM129" s="67">
        <f ca="1">IF(AND(SUMIF(Capacity_Resource,$D129,'Critical resources (hide)'!AZ$6:AZ$105)+SUMIF(Capacity_Resource,$E129,'Critical resources (hide)'!AZ$6:AZ$105)+SUMIF(Capacity_Resource,$F129,'Critical resources (hide)'!AZ$6:AZ$105)&gt;0,$E$1=2),0,1)</f>
        <v>1</v>
      </c>
      <c r="AN129" s="67">
        <f ca="1">IF(AND(SUMIF(Capacity_Resource,$D129,'Critical resources (hide)'!BA$6:BA$105)+SUMIF(Capacity_Resource,$E129,'Critical resources (hide)'!BA$6:BA$105)+SUMIF(Capacity_Resource,$F129,'Critical resources (hide)'!BA$6:BA$105)&gt;0,$E$1=2),0,1)</f>
        <v>1</v>
      </c>
      <c r="AO129" s="67">
        <f ca="1">IF(AND(SUMIF(Capacity_Resource,$D129,'Critical resources (hide)'!BB$6:BB$105)+SUMIF(Capacity_Resource,$E129,'Critical resources (hide)'!BB$6:BB$105)+SUMIF(Capacity_Resource,$F129,'Critical resources (hide)'!BB$6:BB$105)&gt;0,$E$1=2),0,1)</f>
        <v>1</v>
      </c>
      <c r="AP129" s="67">
        <f ca="1">IF(AND(SUMIF(Capacity_Resource,$D129,'Critical resources (hide)'!BC$6:BC$105)+SUMIF(Capacity_Resource,$E129,'Critical resources (hide)'!BC$6:BC$105)+SUMIF(Capacity_Resource,$F129,'Critical resources (hide)'!BC$6:BC$105)&gt;0,$E$1=2),0,1)</f>
        <v>1</v>
      </c>
      <c r="AQ129" s="67">
        <f ca="1">IF(AND(SUMIF(Capacity_Resource,$D129,'Critical resources (hide)'!BD$6:BD$105)+SUMIF(Capacity_Resource,$E129,'Critical resources (hide)'!BD$6:BD$105)+SUMIF(Capacity_Resource,$F129,'Critical resources (hide)'!BD$6:BD$105)&gt;0,$E$1=2),0,1)</f>
        <v>1</v>
      </c>
      <c r="AR129" s="67">
        <f ca="1">IF(AND(SUMIF(Capacity_Resource,$D129,'Critical resources (hide)'!BE$6:BE$105)+SUMIF(Capacity_Resource,$E129,'Critical resources (hide)'!BE$6:BE$105)+SUMIF(Capacity_Resource,$F129,'Critical resources (hide)'!BE$6:BE$105)&gt;0,$E$1=2),0,1)</f>
        <v>1</v>
      </c>
      <c r="AS129" s="67">
        <f ca="1">IF(AND(SUMIF(Capacity_Resource,$D129,'Critical resources (hide)'!BF$6:BF$105)+SUMIF(Capacity_Resource,$E129,'Critical resources (hide)'!BF$6:BF$105)+SUMIF(Capacity_Resource,$F129,'Critical resources (hide)'!BF$6:BF$105)&gt;0,$E$1=2),0,1)</f>
        <v>1</v>
      </c>
      <c r="AT129" s="67">
        <f ca="1">IF(AND(SUMIF(Capacity_Resource,$D129,'Critical resources (hide)'!BG$6:BG$105)+SUMIF(Capacity_Resource,$E129,'Critical resources (hide)'!BG$6:BG$105)+SUMIF(Capacity_Resource,$F129,'Critical resources (hide)'!BG$6:BG$105)&gt;0,$E$1=2),0,1)</f>
        <v>1</v>
      </c>
      <c r="AU129" s="67">
        <f ca="1">IF(AND(SUMIF(Capacity_Resource,$D129,'Critical resources (hide)'!BH$6:BH$105)+SUMIF(Capacity_Resource,$E129,'Critical resources (hide)'!BH$6:BH$105)+SUMIF(Capacity_Resource,$F129,'Critical resources (hide)'!BH$6:BH$105)&gt;0,$E$1=2),0,1)</f>
        <v>1</v>
      </c>
      <c r="AV129" s="67">
        <f ca="1">IF(AND(SUMIF(Capacity_Resource,$D129,'Critical resources (hide)'!BI$6:BI$105)+SUMIF(Capacity_Resource,$E129,'Critical resources (hide)'!BI$6:BI$105)+SUMIF(Capacity_Resource,$F129,'Critical resources (hide)'!BI$6:BI$105)&gt;0,$E$1=2),0,1)</f>
        <v>1</v>
      </c>
      <c r="AW129" s="67">
        <f ca="1">IF(AND(SUMIF(Capacity_Resource,$D129,'Critical resources (hide)'!BJ$6:BJ$105)+SUMIF(Capacity_Resource,$E129,'Critical resources (hide)'!BJ$6:BJ$105)+SUMIF(Capacity_Resource,$F129,'Critical resources (hide)'!BJ$6:BJ$105)&gt;0,$E$1=2),0,1)</f>
        <v>1</v>
      </c>
      <c r="AX129" s="67">
        <f ca="1">IF(AND(SUMIF(Capacity_Resource,$D129,'Critical resources (hide)'!BK$6:BK$105)+SUMIF(Capacity_Resource,$E129,'Critical resources (hide)'!BK$6:BK$105)+SUMIF(Capacity_Resource,$F129,'Critical resources (hide)'!BK$6:BK$105)&gt;0,$E$1=2),0,1)</f>
        <v>1</v>
      </c>
      <c r="AY129" s="67">
        <f ca="1">IF(AND(SUMIF(Capacity_Resource,$D129,'Critical resources (hide)'!BL$6:BL$105)+SUMIF(Capacity_Resource,$E129,'Critical resources (hide)'!BL$6:BL$105)+SUMIF(Capacity_Resource,$F129,'Critical resources (hide)'!BL$6:BL$105)&gt;0,$E$1=2),0,1)</f>
        <v>1</v>
      </c>
      <c r="AZ129" s="67">
        <f ca="1">IF(AND(SUMIF(Capacity_Resource,$D129,'Critical resources (hide)'!BM$6:BM$105)+SUMIF(Capacity_Resource,$E129,'Critical resources (hide)'!BM$6:BM$105)+SUMIF(Capacity_Resource,$F129,'Critical resources (hide)'!BM$6:BM$105)&gt;0,$E$1=2),0,1)</f>
        <v>1</v>
      </c>
      <c r="BA129" s="67">
        <f ca="1">IF(AND(SUMIF(Capacity_Resource,$D129,'Critical resources (hide)'!BN$6:BN$105)+SUMIF(Capacity_Resource,$E129,'Critical resources (hide)'!BN$6:BN$105)+SUMIF(Capacity_Resource,$F129,'Critical resources (hide)'!BN$6:BN$105)&gt;0,$E$1=2),0,1)</f>
        <v>1</v>
      </c>
      <c r="BB129" s="67">
        <f ca="1">IF(AND(SUMIF(Capacity_Resource,$D129,'Critical resources (hide)'!BO$6:BO$105)+SUMIF(Capacity_Resource,$E129,'Critical resources (hide)'!BO$6:BO$105)+SUMIF(Capacity_Resource,$F129,'Critical resources (hide)'!BO$6:BO$105)&gt;0,$E$1=2),0,1)</f>
        <v>1</v>
      </c>
      <c r="BC129" s="67">
        <f ca="1">IF(AND(SUMIF(Capacity_Resource,$D129,'Critical resources (hide)'!BP$6:BP$105)+SUMIF(Capacity_Resource,$E129,'Critical resources (hide)'!BP$6:BP$105)+SUMIF(Capacity_Resource,$F129,'Critical resources (hide)'!BP$6:BP$105)&gt;0,$E$1=2),0,1)</f>
        <v>1</v>
      </c>
      <c r="BD129" s="67">
        <f ca="1">IF(AND(SUMIF(Capacity_Resource,$D129,'Critical resources (hide)'!BQ$6:BQ$105)+SUMIF(Capacity_Resource,$E129,'Critical resources (hide)'!BQ$6:BQ$105)+SUMIF(Capacity_Resource,$F129,'Critical resources (hide)'!BQ$6:BQ$105)&gt;0,$E$1=2),0,1)</f>
        <v>1</v>
      </c>
      <c r="BE129" s="67">
        <f ca="1">IF(AND(SUMIF(Capacity_Resource,$D129,'Critical resources (hide)'!BR$6:BR$105)+SUMIF(Capacity_Resource,$E129,'Critical resources (hide)'!BR$6:BR$105)+SUMIF(Capacity_Resource,$F129,'Critical resources (hide)'!BR$6:BR$105)&gt;0,$E$1=2),0,1)</f>
        <v>1</v>
      </c>
      <c r="BF129" s="67">
        <f ca="1">IF(AND(SUMIF(Capacity_Resource,$D129,'Critical resources (hide)'!BS$6:BS$105)+SUMIF(Capacity_Resource,$E129,'Critical resources (hide)'!BS$6:BS$105)+SUMIF(Capacity_Resource,$F129,'Critical resources (hide)'!BS$6:BS$105)&gt;0,$E$1=2),0,1)</f>
        <v>1</v>
      </c>
      <c r="BG129" s="67">
        <f ca="1">IF(AND(SUMIF(Capacity_Resource,$D129,'Critical resources (hide)'!BT$6:BT$105)+SUMIF(Capacity_Resource,$E129,'Critical resources (hide)'!BT$6:BT$105)+SUMIF(Capacity_Resource,$F129,'Critical resources (hide)'!BT$6:BT$105)&gt;0,$E$1=2),0,1)</f>
        <v>1</v>
      </c>
      <c r="BH129" s="67">
        <f>IF(ROW(A18)&lt;=Capacity!$M$16,IF('Capacity summary'!$C$14="No",SUM(H129:BG129),'Capacity summary'!$E41),0)</f>
        <v>0</v>
      </c>
      <c r="BI129" s="67" t="str">
        <f>IF(BH129&gt;0,IF(BH129&lt;Capacity!Q34,Capacity!R34,Capacity!T34/'Capacity calculation (hide)'!BH129),"")</f>
        <v/>
      </c>
      <c r="BJ129" s="5"/>
      <c r="BK129" s="5">
        <f>IF($BI129&lt;&gt;"",IF('Capacity summary'!$C$14="Yes",IF(COUNTBLANK('Capacity summary'!$H41:$BG41)&lt;52,IF('Capacity summary'!H41&lt;&gt;"",IF(LOWER('Capacity summary'!H41)="x",$BI129*H129,VALUE('Capacity summary'!H41)),0),H129*$BI129),H129*$BI129),0)</f>
        <v>0</v>
      </c>
      <c r="BL129" s="5">
        <f>IF($BI129&lt;&gt;"",IF('Capacity summary'!$C$14="Yes",IF(COUNTBLANK('Capacity summary'!$H41:$BG41)&lt;52,IF('Capacity summary'!I41&lt;&gt;"",IF(LOWER('Capacity summary'!I41)="x",$BI129*I129,VALUE('Capacity summary'!I41)),0),I129*$BI129),I129*$BI129),0)</f>
        <v>0</v>
      </c>
      <c r="BM129" s="5">
        <f>IF($BI129&lt;&gt;"",IF('Capacity summary'!$C$14="Yes",IF(COUNTBLANK('Capacity summary'!$H41:$BG41)&lt;52,IF('Capacity summary'!J41&lt;&gt;"",IF(LOWER('Capacity summary'!J41)="x",$BI129*J129,VALUE('Capacity summary'!J41)),0),J129*$BI129),J129*$BI129),0)</f>
        <v>0</v>
      </c>
      <c r="BN129" s="5">
        <f>IF($BI129&lt;&gt;"",IF('Capacity summary'!$C$14="Yes",IF(COUNTBLANK('Capacity summary'!$H41:$BG41)&lt;52,IF('Capacity summary'!K41&lt;&gt;"",IF(LOWER('Capacity summary'!K41)="x",$BI129*K129,VALUE('Capacity summary'!K41)),0),K129*$BI129),K129*$BI129),0)</f>
        <v>0</v>
      </c>
      <c r="BO129" s="5">
        <f>IF($BI129&lt;&gt;"",IF('Capacity summary'!$C$14="Yes",IF(COUNTBLANK('Capacity summary'!$H41:$BG41)&lt;52,IF('Capacity summary'!L41&lt;&gt;"",IF(LOWER('Capacity summary'!L41)="x",$BI129*L129,VALUE('Capacity summary'!L41)),0),L129*$BI129),L129*$BI129),0)</f>
        <v>0</v>
      </c>
      <c r="BP129" s="5">
        <f>IF($BI129&lt;&gt;"",IF('Capacity summary'!$C$14="Yes",IF(COUNTBLANK('Capacity summary'!$H41:$BG41)&lt;52,IF('Capacity summary'!M41&lt;&gt;"",IF(LOWER('Capacity summary'!M41)="x",$BI129*M129,VALUE('Capacity summary'!M41)),0),M129*$BI129),M129*$BI129),0)</f>
        <v>0</v>
      </c>
      <c r="BQ129" s="5">
        <f>IF($BI129&lt;&gt;"",IF('Capacity summary'!$C$14="Yes",IF(COUNTBLANK('Capacity summary'!$H41:$BG41)&lt;52,IF('Capacity summary'!N41&lt;&gt;"",IF(LOWER('Capacity summary'!N41)="x",$BI129*N129,VALUE('Capacity summary'!N41)),0),N129*$BI129),N129*$BI129),0)</f>
        <v>0</v>
      </c>
      <c r="BR129" s="5">
        <f>IF($BI129&lt;&gt;"",IF('Capacity summary'!$C$14="Yes",IF(COUNTBLANK('Capacity summary'!$H41:$BG41)&lt;52,IF('Capacity summary'!O41&lt;&gt;"",IF(LOWER('Capacity summary'!O41)="x",$BI129*O129,VALUE('Capacity summary'!O41)),0),O129*$BI129),O129*$BI129),0)</f>
        <v>0</v>
      </c>
      <c r="BS129" s="5">
        <f>IF($BI129&lt;&gt;"",IF('Capacity summary'!$C$14="Yes",IF(COUNTBLANK('Capacity summary'!$H41:$BG41)&lt;52,IF('Capacity summary'!P41&lt;&gt;"",IF(LOWER('Capacity summary'!P41)="x",$BI129*P129,VALUE('Capacity summary'!P41)),0),P129*$BI129),P129*$BI129),0)</f>
        <v>0</v>
      </c>
      <c r="BT129" s="5">
        <f>IF($BI129&lt;&gt;"",IF('Capacity summary'!$C$14="Yes",IF(COUNTBLANK('Capacity summary'!$H41:$BG41)&lt;52,IF('Capacity summary'!Q41&lt;&gt;"",IF(LOWER('Capacity summary'!Q41)="x",$BI129*Q129,VALUE('Capacity summary'!Q41)),0),Q129*$BI129),Q129*$BI129),0)</f>
        <v>0</v>
      </c>
      <c r="BU129" s="5">
        <f>IF($BI129&lt;&gt;"",IF('Capacity summary'!$C$14="Yes",IF(COUNTBLANK('Capacity summary'!$H41:$BG41)&lt;52,IF('Capacity summary'!R41&lt;&gt;"",IF(LOWER('Capacity summary'!R41)="x",$BI129*R129,VALUE('Capacity summary'!R41)),0),R129*$BI129),R129*$BI129),0)</f>
        <v>0</v>
      </c>
      <c r="BV129" s="5">
        <f>IF($BI129&lt;&gt;"",IF('Capacity summary'!$C$14="Yes",IF(COUNTBLANK('Capacity summary'!$H41:$BG41)&lt;52,IF('Capacity summary'!S41&lt;&gt;"",IF(LOWER('Capacity summary'!S41)="x",$BI129*S129,VALUE('Capacity summary'!S41)),0),S129*$BI129),S129*$BI129),0)</f>
        <v>0</v>
      </c>
      <c r="BW129" s="5">
        <f>IF($BI129&lt;&gt;"",IF('Capacity summary'!$C$14="Yes",IF(COUNTBLANK('Capacity summary'!$H41:$BG41)&lt;52,IF('Capacity summary'!T41&lt;&gt;"",IF(LOWER('Capacity summary'!T41)="x",$BI129*T129,VALUE('Capacity summary'!T41)),0),T129*$BI129),T129*$BI129),0)</f>
        <v>0</v>
      </c>
      <c r="BX129" s="5">
        <f>IF($BI129&lt;&gt;"",IF('Capacity summary'!$C$14="Yes",IF(COUNTBLANK('Capacity summary'!$H41:$BG41)&lt;52,IF('Capacity summary'!U41&lt;&gt;"",IF(LOWER('Capacity summary'!U41)="x",$BI129*U129,VALUE('Capacity summary'!U41)),0),U129*$BI129),U129*$BI129),0)</f>
        <v>0</v>
      </c>
      <c r="BY129" s="5">
        <f>IF($BI129&lt;&gt;"",IF('Capacity summary'!$C$14="Yes",IF(COUNTBLANK('Capacity summary'!$H41:$BG41)&lt;52,IF('Capacity summary'!V41&lt;&gt;"",IF(LOWER('Capacity summary'!V41)="x",$BI129*V129,VALUE('Capacity summary'!V41)),0),V129*$BI129),V129*$BI129),0)</f>
        <v>0</v>
      </c>
      <c r="BZ129" s="5">
        <f>IF($BI129&lt;&gt;"",IF('Capacity summary'!$C$14="Yes",IF(COUNTBLANK('Capacity summary'!$H41:$BG41)&lt;52,IF('Capacity summary'!W41&lt;&gt;"",IF(LOWER('Capacity summary'!W41)="x",$BI129*W129,VALUE('Capacity summary'!W41)),0),W129*$BI129),W129*$BI129),0)</f>
        <v>0</v>
      </c>
      <c r="CA129" s="5">
        <f>IF($BI129&lt;&gt;"",IF('Capacity summary'!$C$14="Yes",IF(COUNTBLANK('Capacity summary'!$H41:$BG41)&lt;52,IF('Capacity summary'!X41&lt;&gt;"",IF(LOWER('Capacity summary'!X41)="x",$BI129*X129,VALUE('Capacity summary'!X41)),0),X129*$BI129),X129*$BI129),0)</f>
        <v>0</v>
      </c>
      <c r="CB129" s="5">
        <f>IF($BI129&lt;&gt;"",IF('Capacity summary'!$C$14="Yes",IF(COUNTBLANK('Capacity summary'!$H41:$BG41)&lt;52,IF('Capacity summary'!Y41&lt;&gt;"",IF(LOWER('Capacity summary'!Y41)="x",$BI129*Y129,VALUE('Capacity summary'!Y41)),0),Y129*$BI129),Y129*$BI129),0)</f>
        <v>0</v>
      </c>
      <c r="CC129" s="5">
        <f>IF($BI129&lt;&gt;"",IF('Capacity summary'!$C$14="Yes",IF(COUNTBLANK('Capacity summary'!$H41:$BG41)&lt;52,IF('Capacity summary'!Z41&lt;&gt;"",IF(LOWER('Capacity summary'!Z41)="x",$BI129*Z129,VALUE('Capacity summary'!Z41)),0),Z129*$BI129),Z129*$BI129),0)</f>
        <v>0</v>
      </c>
      <c r="CD129" s="5">
        <f>IF($BI129&lt;&gt;"",IF('Capacity summary'!$C$14="Yes",IF(COUNTBLANK('Capacity summary'!$H41:$BG41)&lt;52,IF('Capacity summary'!AA41&lt;&gt;"",IF(LOWER('Capacity summary'!AA41)="x",$BI129*AA129,VALUE('Capacity summary'!AA41)),0),AA129*$BI129),AA129*$BI129),0)</f>
        <v>0</v>
      </c>
      <c r="CE129" s="5">
        <f>IF($BI129&lt;&gt;"",IF('Capacity summary'!$C$14="Yes",IF(COUNTBLANK('Capacity summary'!$H41:$BG41)&lt;52,IF('Capacity summary'!AB41&lt;&gt;"",IF(LOWER('Capacity summary'!AB41)="x",$BI129*AB129,VALUE('Capacity summary'!AB41)),0),AB129*$BI129),AB129*$BI129),0)</f>
        <v>0</v>
      </c>
      <c r="CF129" s="5">
        <f>IF($BI129&lt;&gt;"",IF('Capacity summary'!$C$14="Yes",IF(COUNTBLANK('Capacity summary'!$H41:$BG41)&lt;52,IF('Capacity summary'!AC41&lt;&gt;"",IF(LOWER('Capacity summary'!AC41)="x",$BI129*AC129,VALUE('Capacity summary'!AC41)),0),AC129*$BI129),AC129*$BI129),0)</f>
        <v>0</v>
      </c>
      <c r="CG129" s="5">
        <f>IF($BI129&lt;&gt;"",IF('Capacity summary'!$C$14="Yes",IF(COUNTBLANK('Capacity summary'!$H41:$BG41)&lt;52,IF('Capacity summary'!AD41&lt;&gt;"",IF(LOWER('Capacity summary'!AD41)="x",$BI129*AD129,VALUE('Capacity summary'!AD41)),0),AD129*$BI129),AD129*$BI129),0)</f>
        <v>0</v>
      </c>
      <c r="CH129" s="5">
        <f>IF($BI129&lt;&gt;"",IF('Capacity summary'!$C$14="Yes",IF(COUNTBLANK('Capacity summary'!$H41:$BG41)&lt;52,IF('Capacity summary'!AE41&lt;&gt;"",IF(LOWER('Capacity summary'!AE41)="x",$BI129*AE129,VALUE('Capacity summary'!AE41)),0),AE129*$BI129),AE129*$BI129),0)</f>
        <v>0</v>
      </c>
      <c r="CI129" s="5">
        <f>IF($BI129&lt;&gt;"",IF('Capacity summary'!$C$14="Yes",IF(COUNTBLANK('Capacity summary'!$H41:$BG41)&lt;52,IF('Capacity summary'!AF41&lt;&gt;"",IF(LOWER('Capacity summary'!AF41)="x",$BI129*AF129,VALUE('Capacity summary'!AF41)),0),AF129*$BI129),AF129*$BI129),0)</f>
        <v>0</v>
      </c>
      <c r="CJ129" s="5">
        <f>IF($BI129&lt;&gt;"",IF('Capacity summary'!$C$14="Yes",IF(COUNTBLANK('Capacity summary'!$H41:$BG41)&lt;52,IF('Capacity summary'!AG41&lt;&gt;"",IF(LOWER('Capacity summary'!AG41)="x",$BI129*AG129,VALUE('Capacity summary'!AG41)),0),AG129*$BI129),AG129*$BI129),0)</f>
        <v>0</v>
      </c>
      <c r="CK129" s="5">
        <f>IF($BI129&lt;&gt;"",IF('Capacity summary'!$C$14="Yes",IF(COUNTBLANK('Capacity summary'!$H41:$BG41)&lt;52,IF('Capacity summary'!AH41&lt;&gt;"",IF(LOWER('Capacity summary'!AH41)="x",$BI129*AH129,VALUE('Capacity summary'!AH41)),0),AH129*$BI129),AH129*$BI129),0)</f>
        <v>0</v>
      </c>
      <c r="CL129" s="5">
        <f>IF($BI129&lt;&gt;"",IF('Capacity summary'!$C$14="Yes",IF(COUNTBLANK('Capacity summary'!$H41:$BG41)&lt;52,IF('Capacity summary'!AI41&lt;&gt;"",IF(LOWER('Capacity summary'!AI41)="x",$BI129*AI129,VALUE('Capacity summary'!AI41)),0),AI129*$BI129),AI129*$BI129),0)</f>
        <v>0</v>
      </c>
      <c r="CM129" s="5">
        <f>IF($BI129&lt;&gt;"",IF('Capacity summary'!$C$14="Yes",IF(COUNTBLANK('Capacity summary'!$H41:$BG41)&lt;52,IF('Capacity summary'!AJ41&lt;&gt;"",IF(LOWER('Capacity summary'!AJ41)="x",$BI129*AJ129,VALUE('Capacity summary'!AJ41)),0),AJ129*$BI129),AJ129*$BI129),0)</f>
        <v>0</v>
      </c>
      <c r="CN129" s="5">
        <f>IF($BI129&lt;&gt;"",IF('Capacity summary'!$C$14="Yes",IF(COUNTBLANK('Capacity summary'!$H41:$BG41)&lt;52,IF('Capacity summary'!AK41&lt;&gt;"",IF(LOWER('Capacity summary'!AK41)="x",$BI129*AK129,VALUE('Capacity summary'!AK41)),0),AK129*$BI129),AK129*$BI129),0)</f>
        <v>0</v>
      </c>
      <c r="CO129" s="5">
        <f>IF($BI129&lt;&gt;"",IF('Capacity summary'!$C$14="Yes",IF(COUNTBLANK('Capacity summary'!$H41:$BG41)&lt;52,IF('Capacity summary'!AL41&lt;&gt;"",IF(LOWER('Capacity summary'!AL41)="x",$BI129*AL129,VALUE('Capacity summary'!AL41)),0),AL129*$BI129),AL129*$BI129),0)</f>
        <v>0</v>
      </c>
      <c r="CP129" s="5">
        <f>IF($BI129&lt;&gt;"",IF('Capacity summary'!$C$14="Yes",IF(COUNTBLANK('Capacity summary'!$H41:$BG41)&lt;52,IF('Capacity summary'!AM41&lt;&gt;"",IF(LOWER('Capacity summary'!AM41)="x",$BI129*AM129,VALUE('Capacity summary'!AM41)),0),AM129*$BI129),AM129*$BI129),0)</f>
        <v>0</v>
      </c>
      <c r="CQ129" s="5">
        <f>IF($BI129&lt;&gt;"",IF('Capacity summary'!$C$14="Yes",IF(COUNTBLANK('Capacity summary'!$H41:$BG41)&lt;52,IF('Capacity summary'!AN41&lt;&gt;"",IF(LOWER('Capacity summary'!AN41)="x",$BI129*AN129,VALUE('Capacity summary'!AN41)),0),AN129*$BI129),AN129*$BI129),0)</f>
        <v>0</v>
      </c>
      <c r="CR129" s="5">
        <f>IF($BI129&lt;&gt;"",IF('Capacity summary'!$C$14="Yes",IF(COUNTBLANK('Capacity summary'!$H41:$BG41)&lt;52,IF('Capacity summary'!AO41&lt;&gt;"",IF(LOWER('Capacity summary'!AO41)="x",$BI129*AO129,VALUE('Capacity summary'!AO41)),0),AO129*$BI129),AO129*$BI129),0)</f>
        <v>0</v>
      </c>
      <c r="CS129" s="5">
        <f>IF($BI129&lt;&gt;"",IF('Capacity summary'!$C$14="Yes",IF(COUNTBLANK('Capacity summary'!$H41:$BG41)&lt;52,IF('Capacity summary'!AP41&lt;&gt;"",IF(LOWER('Capacity summary'!AP41)="x",$BI129*AP129,VALUE('Capacity summary'!AP41)),0),AP129*$BI129),AP129*$BI129),0)</f>
        <v>0</v>
      </c>
      <c r="CT129" s="5">
        <f>IF($BI129&lt;&gt;"",IF('Capacity summary'!$C$14="Yes",IF(COUNTBLANK('Capacity summary'!$H41:$BG41)&lt;52,IF('Capacity summary'!AQ41&lt;&gt;"",IF(LOWER('Capacity summary'!AQ41)="x",$BI129*AQ129,VALUE('Capacity summary'!AQ41)),0),AQ129*$BI129),AQ129*$BI129),0)</f>
        <v>0</v>
      </c>
      <c r="CU129" s="5">
        <f>IF($BI129&lt;&gt;"",IF('Capacity summary'!$C$14="Yes",IF(COUNTBLANK('Capacity summary'!$H41:$BG41)&lt;52,IF('Capacity summary'!AR41&lt;&gt;"",IF(LOWER('Capacity summary'!AR41)="x",$BI129*AR129,VALUE('Capacity summary'!AR41)),0),AR129*$BI129),AR129*$BI129),0)</f>
        <v>0</v>
      </c>
      <c r="CV129" s="5">
        <f>IF($BI129&lt;&gt;"",IF('Capacity summary'!$C$14="Yes",IF(COUNTBLANK('Capacity summary'!$H41:$BG41)&lt;52,IF('Capacity summary'!AS41&lt;&gt;"",IF(LOWER('Capacity summary'!AS41)="x",$BI129*AS129,VALUE('Capacity summary'!AS41)),0),AS129*$BI129),AS129*$BI129),0)</f>
        <v>0</v>
      </c>
      <c r="CW129" s="5">
        <f>IF($BI129&lt;&gt;"",IF('Capacity summary'!$C$14="Yes",IF(COUNTBLANK('Capacity summary'!$H41:$BG41)&lt;52,IF('Capacity summary'!AT41&lt;&gt;"",IF(LOWER('Capacity summary'!AT41)="x",$BI129*AT129,VALUE('Capacity summary'!AT41)),0),AT129*$BI129),AT129*$BI129),0)</f>
        <v>0</v>
      </c>
      <c r="CX129" s="5">
        <f>IF($BI129&lt;&gt;"",IF('Capacity summary'!$C$14="Yes",IF(COUNTBLANK('Capacity summary'!$H41:$BG41)&lt;52,IF('Capacity summary'!AU41&lt;&gt;"",IF(LOWER('Capacity summary'!AU41)="x",$BI129*AU129,VALUE('Capacity summary'!AU41)),0),AU129*$BI129),AU129*$BI129),0)</f>
        <v>0</v>
      </c>
      <c r="CY129" s="5">
        <f>IF($BI129&lt;&gt;"",IF('Capacity summary'!$C$14="Yes",IF(COUNTBLANK('Capacity summary'!$H41:$BG41)&lt;52,IF('Capacity summary'!AV41&lt;&gt;"",IF(LOWER('Capacity summary'!AV41)="x",$BI129*AV129,VALUE('Capacity summary'!AV41)),0),AV129*$BI129),AV129*$BI129),0)</f>
        <v>0</v>
      </c>
      <c r="CZ129" s="5">
        <f>IF($BI129&lt;&gt;"",IF('Capacity summary'!$C$14="Yes",IF(COUNTBLANK('Capacity summary'!$H41:$BG41)&lt;52,IF('Capacity summary'!AW41&lt;&gt;"",IF(LOWER('Capacity summary'!AW41)="x",$BI129*AW129,VALUE('Capacity summary'!AW41)),0),AW129*$BI129),AW129*$BI129),0)</f>
        <v>0</v>
      </c>
      <c r="DA129" s="5">
        <f>IF($BI129&lt;&gt;"",IF('Capacity summary'!$C$14="Yes",IF(COUNTBLANK('Capacity summary'!$H41:$BG41)&lt;52,IF('Capacity summary'!AX41&lt;&gt;"",IF(LOWER('Capacity summary'!AX41)="x",$BI129*AX129,VALUE('Capacity summary'!AX41)),0),AX129*$BI129),AX129*$BI129),0)</f>
        <v>0</v>
      </c>
      <c r="DB129" s="5">
        <f>IF($BI129&lt;&gt;"",IF('Capacity summary'!$C$14="Yes",IF(COUNTBLANK('Capacity summary'!$H41:$BG41)&lt;52,IF('Capacity summary'!AY41&lt;&gt;"",IF(LOWER('Capacity summary'!AY41)="x",$BI129*AY129,VALUE('Capacity summary'!AY41)),0),AY129*$BI129),AY129*$BI129),0)</f>
        <v>0</v>
      </c>
      <c r="DC129" s="5">
        <f>IF($BI129&lt;&gt;"",IF('Capacity summary'!$C$14="Yes",IF(COUNTBLANK('Capacity summary'!$H41:$BG41)&lt;52,IF('Capacity summary'!AZ41&lt;&gt;"",IF(LOWER('Capacity summary'!AZ41)="x",$BI129*AZ129,VALUE('Capacity summary'!AZ41)),0),AZ129*$BI129),AZ129*$BI129),0)</f>
        <v>0</v>
      </c>
      <c r="DD129" s="5">
        <f>IF($BI129&lt;&gt;"",IF('Capacity summary'!$C$14="Yes",IF(COUNTBLANK('Capacity summary'!$H41:$BG41)&lt;52,IF('Capacity summary'!BA41&lt;&gt;"",IF(LOWER('Capacity summary'!BA41)="x",$BI129*BA129,VALUE('Capacity summary'!BA41)),0),BA129*$BI129),BA129*$BI129),0)</f>
        <v>0</v>
      </c>
      <c r="DE129" s="5">
        <f>IF($BI129&lt;&gt;"",IF('Capacity summary'!$C$14="Yes",IF(COUNTBLANK('Capacity summary'!$H41:$BG41)&lt;52,IF('Capacity summary'!BB41&lt;&gt;"",IF(LOWER('Capacity summary'!BB41)="x",$BI129*BB129,VALUE('Capacity summary'!BB41)),0),BB129*$BI129),BB129*$BI129),0)</f>
        <v>0</v>
      </c>
      <c r="DF129" s="5">
        <f>IF($BI129&lt;&gt;"",IF('Capacity summary'!$C$14="Yes",IF(COUNTBLANK('Capacity summary'!$H41:$BG41)&lt;52,IF('Capacity summary'!BC41&lt;&gt;"",IF(LOWER('Capacity summary'!BC41)="x",$BI129*BC129,VALUE('Capacity summary'!BC41)),0),BC129*$BI129),BC129*$BI129),0)</f>
        <v>0</v>
      </c>
      <c r="DG129" s="5">
        <f>IF($BI129&lt;&gt;"",IF('Capacity summary'!$C$14="Yes",IF(COUNTBLANK('Capacity summary'!$H41:$BG41)&lt;52,IF('Capacity summary'!BD41&lt;&gt;"",IF(LOWER('Capacity summary'!BD41)="x",$BI129*BD129,VALUE('Capacity summary'!BD41)),0),BD129*$BI129),BD129*$BI129),0)</f>
        <v>0</v>
      </c>
      <c r="DH129" s="5">
        <f>IF($BI129&lt;&gt;"",IF('Capacity summary'!$C$14="Yes",IF(COUNTBLANK('Capacity summary'!$H41:$BG41)&lt;52,IF('Capacity summary'!BE41&lt;&gt;"",IF(LOWER('Capacity summary'!BE41)="x",$BI129*BE129,VALUE('Capacity summary'!BE41)),0),BE129*$BI129),BE129*$BI129),0)</f>
        <v>0</v>
      </c>
      <c r="DI129" s="5">
        <f>IF($BI129&lt;&gt;"",IF('Capacity summary'!$C$14="Yes",IF(COUNTBLANK('Capacity summary'!$H41:$BG41)&lt;52,IF('Capacity summary'!BF41&lt;&gt;"",IF(LOWER('Capacity summary'!BF41)="x",$BI129*BF129,VALUE('Capacity summary'!BF41)),0),BF129*$BI129),BF129*$BI129),0)</f>
        <v>0</v>
      </c>
      <c r="DJ129" s="5">
        <f>IF($BI129&lt;&gt;"",IF('Capacity summary'!$C$14="Yes",IF(COUNTBLANK('Capacity summary'!$H41:$BG41)&lt;52,IF('Capacity summary'!BG41&lt;&gt;"",IF(LOWER('Capacity summary'!BG41)="x",$BI129*BG129,VALUE('Capacity summary'!BG41)),0),BG129*$BI129),BG129*$BI129),0)</f>
        <v>0</v>
      </c>
      <c r="DK129" s="5">
        <f t="shared" ref="DK129" si="23">SUM(DK130:DK229)</f>
        <v>0</v>
      </c>
    </row>
    <row r="130" spans="3:115" x14ac:dyDescent="0.25">
      <c r="C130" s="67" t="str">
        <f>ROW(A19)&amp;". "&amp;Capacity!N35</f>
        <v xml:space="preserve">19. </v>
      </c>
      <c r="D130" s="67">
        <f>'Capacity setup'!C136</f>
        <v>0</v>
      </c>
      <c r="E130" s="67">
        <f>'Capacity setup'!D136</f>
        <v>0</v>
      </c>
      <c r="F130" s="67">
        <f>'Capacity setup'!E136</f>
        <v>0</v>
      </c>
      <c r="H130" s="67">
        <f ca="1">IF(AND(SUMIF(Capacity_Resource,$D130,'Critical resources (hide)'!U$6:U$105)+SUMIF(Capacity_Resource,$E130,'Critical resources (hide)'!U$6:U$105)+SUMIF(Capacity_Resource,$F130,'Critical resources (hide)'!U$6:U$105)&gt;0,$E$1=2),0,1)</f>
        <v>1</v>
      </c>
      <c r="I130" s="67">
        <f ca="1">IF(AND(SUMIF(Capacity_Resource,$D130,'Critical resources (hide)'!V$6:V$105)+SUMIF(Capacity_Resource,$E130,'Critical resources (hide)'!V$6:V$105)+SUMIF(Capacity_Resource,$F130,'Critical resources (hide)'!V$6:V$105)&gt;0,$E$1=2),0,1)</f>
        <v>1</v>
      </c>
      <c r="J130" s="67">
        <f ca="1">IF(AND(SUMIF(Capacity_Resource,$D130,'Critical resources (hide)'!W$6:W$105)+SUMIF(Capacity_Resource,$E130,'Critical resources (hide)'!W$6:W$105)+SUMIF(Capacity_Resource,$F130,'Critical resources (hide)'!W$6:W$105)&gt;0,$E$1=2),0,1)</f>
        <v>1</v>
      </c>
      <c r="K130" s="67">
        <f ca="1">IF(AND(SUMIF(Capacity_Resource,$D130,'Critical resources (hide)'!X$6:X$105)+SUMIF(Capacity_Resource,$E130,'Critical resources (hide)'!X$6:X$105)+SUMIF(Capacity_Resource,$F130,'Critical resources (hide)'!X$6:X$105)&gt;0,$E$1=2),0,1)</f>
        <v>1</v>
      </c>
      <c r="L130" s="67">
        <f ca="1">IF(AND(SUMIF(Capacity_Resource,$D130,'Critical resources (hide)'!Y$6:Y$105)+SUMIF(Capacity_Resource,$E130,'Critical resources (hide)'!Y$6:Y$105)+SUMIF(Capacity_Resource,$F130,'Critical resources (hide)'!Y$6:Y$105)&gt;0,$E$1=2),0,1)</f>
        <v>1</v>
      </c>
      <c r="M130" s="67">
        <f ca="1">IF(AND(SUMIF(Capacity_Resource,$D130,'Critical resources (hide)'!Z$6:Z$105)+SUMIF(Capacity_Resource,$E130,'Critical resources (hide)'!Z$6:Z$105)+SUMIF(Capacity_Resource,$F130,'Critical resources (hide)'!Z$6:Z$105)&gt;0,$E$1=2),0,1)</f>
        <v>1</v>
      </c>
      <c r="N130" s="67">
        <f ca="1">IF(AND(SUMIF(Capacity_Resource,$D130,'Critical resources (hide)'!AA$6:AA$105)+SUMIF(Capacity_Resource,$E130,'Critical resources (hide)'!AA$6:AA$105)+SUMIF(Capacity_Resource,$F130,'Critical resources (hide)'!AA$6:AA$105)&gt;0,$E$1=2),0,1)</f>
        <v>1</v>
      </c>
      <c r="O130" s="67">
        <f ca="1">IF(AND(SUMIF(Capacity_Resource,$D130,'Critical resources (hide)'!AB$6:AB$105)+SUMIF(Capacity_Resource,$E130,'Critical resources (hide)'!AB$6:AB$105)+SUMIF(Capacity_Resource,$F130,'Critical resources (hide)'!AB$6:AB$105)&gt;0,$E$1=2),0,1)</f>
        <v>1</v>
      </c>
      <c r="P130" s="67">
        <f ca="1">IF(AND(SUMIF(Capacity_Resource,$D130,'Critical resources (hide)'!AC$6:AC$105)+SUMIF(Capacity_Resource,$E130,'Critical resources (hide)'!AC$6:AC$105)+SUMIF(Capacity_Resource,$F130,'Critical resources (hide)'!AC$6:AC$105)&gt;0,$E$1=2),0,1)</f>
        <v>1</v>
      </c>
      <c r="Q130" s="67">
        <f ca="1">IF(AND(SUMIF(Capacity_Resource,$D130,'Critical resources (hide)'!AD$6:AD$105)+SUMIF(Capacity_Resource,$E130,'Critical resources (hide)'!AD$6:AD$105)+SUMIF(Capacity_Resource,$F130,'Critical resources (hide)'!AD$6:AD$105)&gt;0,$E$1=2),0,1)</f>
        <v>1</v>
      </c>
      <c r="R130" s="67">
        <f ca="1">IF(AND(SUMIF(Capacity_Resource,$D130,'Critical resources (hide)'!AE$6:AE$105)+SUMIF(Capacity_Resource,$E130,'Critical resources (hide)'!AE$6:AE$105)+SUMIF(Capacity_Resource,$F130,'Critical resources (hide)'!AE$6:AE$105)&gt;0,$E$1=2),0,1)</f>
        <v>1</v>
      </c>
      <c r="S130" s="67">
        <f ca="1">IF(AND(SUMIF(Capacity_Resource,$D130,'Critical resources (hide)'!AF$6:AF$105)+SUMIF(Capacity_Resource,$E130,'Critical resources (hide)'!AF$6:AF$105)+SUMIF(Capacity_Resource,$F130,'Critical resources (hide)'!AF$6:AF$105)&gt;0,$E$1=2),0,1)</f>
        <v>1</v>
      </c>
      <c r="T130" s="67">
        <f ca="1">IF(AND(SUMIF(Capacity_Resource,$D130,'Critical resources (hide)'!AG$6:AG$105)+SUMIF(Capacity_Resource,$E130,'Critical resources (hide)'!AG$6:AG$105)+SUMIF(Capacity_Resource,$F130,'Critical resources (hide)'!AG$6:AG$105)&gt;0,$E$1=2),0,1)</f>
        <v>1</v>
      </c>
      <c r="U130" s="67">
        <f ca="1">IF(AND(SUMIF(Capacity_Resource,$D130,'Critical resources (hide)'!AH$6:AH$105)+SUMIF(Capacity_Resource,$E130,'Critical resources (hide)'!AH$6:AH$105)+SUMIF(Capacity_Resource,$F130,'Critical resources (hide)'!AH$6:AH$105)&gt;0,$E$1=2),0,1)</f>
        <v>1</v>
      </c>
      <c r="V130" s="67">
        <f ca="1">IF(AND(SUMIF(Capacity_Resource,$D130,'Critical resources (hide)'!AI$6:AI$105)+SUMIF(Capacity_Resource,$E130,'Critical resources (hide)'!AI$6:AI$105)+SUMIF(Capacity_Resource,$F130,'Critical resources (hide)'!AI$6:AI$105)&gt;0,$E$1=2),0,1)</f>
        <v>1</v>
      </c>
      <c r="W130" s="67">
        <f ca="1">IF(AND(SUMIF(Capacity_Resource,$D130,'Critical resources (hide)'!AJ$6:AJ$105)+SUMIF(Capacity_Resource,$E130,'Critical resources (hide)'!AJ$6:AJ$105)+SUMIF(Capacity_Resource,$F130,'Critical resources (hide)'!AJ$6:AJ$105)&gt;0,$E$1=2),0,1)</f>
        <v>1</v>
      </c>
      <c r="X130" s="67">
        <f ca="1">IF(AND(SUMIF(Capacity_Resource,$D130,'Critical resources (hide)'!AK$6:AK$105)+SUMIF(Capacity_Resource,$E130,'Critical resources (hide)'!AK$6:AK$105)+SUMIF(Capacity_Resource,$F130,'Critical resources (hide)'!AK$6:AK$105)&gt;0,$E$1=2),0,1)</f>
        <v>1</v>
      </c>
      <c r="Y130" s="67">
        <f ca="1">IF(AND(SUMIF(Capacity_Resource,$D130,'Critical resources (hide)'!AL$6:AL$105)+SUMIF(Capacity_Resource,$E130,'Critical resources (hide)'!AL$6:AL$105)+SUMIF(Capacity_Resource,$F130,'Critical resources (hide)'!AL$6:AL$105)&gt;0,$E$1=2),0,1)</f>
        <v>1</v>
      </c>
      <c r="Z130" s="67">
        <f ca="1">IF(AND(SUMIF(Capacity_Resource,$D130,'Critical resources (hide)'!AM$6:AM$105)+SUMIF(Capacity_Resource,$E130,'Critical resources (hide)'!AM$6:AM$105)+SUMIF(Capacity_Resource,$F130,'Critical resources (hide)'!AM$6:AM$105)&gt;0,$E$1=2),0,1)</f>
        <v>1</v>
      </c>
      <c r="AA130" s="67">
        <f ca="1">IF(AND(SUMIF(Capacity_Resource,$D130,'Critical resources (hide)'!AN$6:AN$105)+SUMIF(Capacity_Resource,$E130,'Critical resources (hide)'!AN$6:AN$105)+SUMIF(Capacity_Resource,$F130,'Critical resources (hide)'!AN$6:AN$105)&gt;0,$E$1=2),0,1)</f>
        <v>1</v>
      </c>
      <c r="AB130" s="67">
        <f ca="1">IF(AND(SUMIF(Capacity_Resource,$D130,'Critical resources (hide)'!AO$6:AO$105)+SUMIF(Capacity_Resource,$E130,'Critical resources (hide)'!AO$6:AO$105)+SUMIF(Capacity_Resource,$F130,'Critical resources (hide)'!AO$6:AO$105)&gt;0,$E$1=2),0,1)</f>
        <v>1</v>
      </c>
      <c r="AC130" s="67">
        <f ca="1">IF(AND(SUMIF(Capacity_Resource,$D130,'Critical resources (hide)'!AP$6:AP$105)+SUMIF(Capacity_Resource,$E130,'Critical resources (hide)'!AP$6:AP$105)+SUMIF(Capacity_Resource,$F130,'Critical resources (hide)'!AP$6:AP$105)&gt;0,$E$1=2),0,1)</f>
        <v>1</v>
      </c>
      <c r="AD130" s="67">
        <f ca="1">IF(AND(SUMIF(Capacity_Resource,$D130,'Critical resources (hide)'!AQ$6:AQ$105)+SUMIF(Capacity_Resource,$E130,'Critical resources (hide)'!AQ$6:AQ$105)+SUMIF(Capacity_Resource,$F130,'Critical resources (hide)'!AQ$6:AQ$105)&gt;0,$E$1=2),0,1)</f>
        <v>1</v>
      </c>
      <c r="AE130" s="67">
        <f ca="1">IF(AND(SUMIF(Capacity_Resource,$D130,'Critical resources (hide)'!AR$6:AR$105)+SUMIF(Capacity_Resource,$E130,'Critical resources (hide)'!AR$6:AR$105)+SUMIF(Capacity_Resource,$F130,'Critical resources (hide)'!AR$6:AR$105)&gt;0,$E$1=2),0,1)</f>
        <v>1</v>
      </c>
      <c r="AF130" s="67">
        <f ca="1">IF(AND(SUMIF(Capacity_Resource,$D130,'Critical resources (hide)'!AS$6:AS$105)+SUMIF(Capacity_Resource,$E130,'Critical resources (hide)'!AS$6:AS$105)+SUMIF(Capacity_Resource,$F130,'Critical resources (hide)'!AS$6:AS$105)&gt;0,$E$1=2),0,1)</f>
        <v>1</v>
      </c>
      <c r="AG130" s="67">
        <f ca="1">IF(AND(SUMIF(Capacity_Resource,$D130,'Critical resources (hide)'!AT$6:AT$105)+SUMIF(Capacity_Resource,$E130,'Critical resources (hide)'!AT$6:AT$105)+SUMIF(Capacity_Resource,$F130,'Critical resources (hide)'!AT$6:AT$105)&gt;0,$E$1=2),0,1)</f>
        <v>1</v>
      </c>
      <c r="AH130" s="67">
        <f ca="1">IF(AND(SUMIF(Capacity_Resource,$D130,'Critical resources (hide)'!AU$6:AU$105)+SUMIF(Capacity_Resource,$E130,'Critical resources (hide)'!AU$6:AU$105)+SUMIF(Capacity_Resource,$F130,'Critical resources (hide)'!AU$6:AU$105)&gt;0,$E$1=2),0,1)</f>
        <v>1</v>
      </c>
      <c r="AI130" s="67">
        <f ca="1">IF(AND(SUMIF(Capacity_Resource,$D130,'Critical resources (hide)'!AV$6:AV$105)+SUMIF(Capacity_Resource,$E130,'Critical resources (hide)'!AV$6:AV$105)+SUMIF(Capacity_Resource,$F130,'Critical resources (hide)'!AV$6:AV$105)&gt;0,$E$1=2),0,1)</f>
        <v>1</v>
      </c>
      <c r="AJ130" s="67">
        <f ca="1">IF(AND(SUMIF(Capacity_Resource,$D130,'Critical resources (hide)'!AW$6:AW$105)+SUMIF(Capacity_Resource,$E130,'Critical resources (hide)'!AW$6:AW$105)+SUMIF(Capacity_Resource,$F130,'Critical resources (hide)'!AW$6:AW$105)&gt;0,$E$1=2),0,1)</f>
        <v>1</v>
      </c>
      <c r="AK130" s="67">
        <f ca="1">IF(AND(SUMIF(Capacity_Resource,$D130,'Critical resources (hide)'!AX$6:AX$105)+SUMIF(Capacity_Resource,$E130,'Critical resources (hide)'!AX$6:AX$105)+SUMIF(Capacity_Resource,$F130,'Critical resources (hide)'!AX$6:AX$105)&gt;0,$E$1=2),0,1)</f>
        <v>1</v>
      </c>
      <c r="AL130" s="67">
        <f ca="1">IF(AND(SUMIF(Capacity_Resource,$D130,'Critical resources (hide)'!AY$6:AY$105)+SUMIF(Capacity_Resource,$E130,'Critical resources (hide)'!AY$6:AY$105)+SUMIF(Capacity_Resource,$F130,'Critical resources (hide)'!AY$6:AY$105)&gt;0,$E$1=2),0,1)</f>
        <v>1</v>
      </c>
      <c r="AM130" s="67">
        <f ca="1">IF(AND(SUMIF(Capacity_Resource,$D130,'Critical resources (hide)'!AZ$6:AZ$105)+SUMIF(Capacity_Resource,$E130,'Critical resources (hide)'!AZ$6:AZ$105)+SUMIF(Capacity_Resource,$F130,'Critical resources (hide)'!AZ$6:AZ$105)&gt;0,$E$1=2),0,1)</f>
        <v>1</v>
      </c>
      <c r="AN130" s="67">
        <f ca="1">IF(AND(SUMIF(Capacity_Resource,$D130,'Critical resources (hide)'!BA$6:BA$105)+SUMIF(Capacity_Resource,$E130,'Critical resources (hide)'!BA$6:BA$105)+SUMIF(Capacity_Resource,$F130,'Critical resources (hide)'!BA$6:BA$105)&gt;0,$E$1=2),0,1)</f>
        <v>1</v>
      </c>
      <c r="AO130" s="67">
        <f ca="1">IF(AND(SUMIF(Capacity_Resource,$D130,'Critical resources (hide)'!BB$6:BB$105)+SUMIF(Capacity_Resource,$E130,'Critical resources (hide)'!BB$6:BB$105)+SUMIF(Capacity_Resource,$F130,'Critical resources (hide)'!BB$6:BB$105)&gt;0,$E$1=2),0,1)</f>
        <v>1</v>
      </c>
      <c r="AP130" s="67">
        <f ca="1">IF(AND(SUMIF(Capacity_Resource,$D130,'Critical resources (hide)'!BC$6:BC$105)+SUMIF(Capacity_Resource,$E130,'Critical resources (hide)'!BC$6:BC$105)+SUMIF(Capacity_Resource,$F130,'Critical resources (hide)'!BC$6:BC$105)&gt;0,$E$1=2),0,1)</f>
        <v>1</v>
      </c>
      <c r="AQ130" s="67">
        <f ca="1">IF(AND(SUMIF(Capacity_Resource,$D130,'Critical resources (hide)'!BD$6:BD$105)+SUMIF(Capacity_Resource,$E130,'Critical resources (hide)'!BD$6:BD$105)+SUMIF(Capacity_Resource,$F130,'Critical resources (hide)'!BD$6:BD$105)&gt;0,$E$1=2),0,1)</f>
        <v>1</v>
      </c>
      <c r="AR130" s="67">
        <f ca="1">IF(AND(SUMIF(Capacity_Resource,$D130,'Critical resources (hide)'!BE$6:BE$105)+SUMIF(Capacity_Resource,$E130,'Critical resources (hide)'!BE$6:BE$105)+SUMIF(Capacity_Resource,$F130,'Critical resources (hide)'!BE$6:BE$105)&gt;0,$E$1=2),0,1)</f>
        <v>1</v>
      </c>
      <c r="AS130" s="67">
        <f ca="1">IF(AND(SUMIF(Capacity_Resource,$D130,'Critical resources (hide)'!BF$6:BF$105)+SUMIF(Capacity_Resource,$E130,'Critical resources (hide)'!BF$6:BF$105)+SUMIF(Capacity_Resource,$F130,'Critical resources (hide)'!BF$6:BF$105)&gt;0,$E$1=2),0,1)</f>
        <v>1</v>
      </c>
      <c r="AT130" s="67">
        <f ca="1">IF(AND(SUMIF(Capacity_Resource,$D130,'Critical resources (hide)'!BG$6:BG$105)+SUMIF(Capacity_Resource,$E130,'Critical resources (hide)'!BG$6:BG$105)+SUMIF(Capacity_Resource,$F130,'Critical resources (hide)'!BG$6:BG$105)&gt;0,$E$1=2),0,1)</f>
        <v>1</v>
      </c>
      <c r="AU130" s="67">
        <f ca="1">IF(AND(SUMIF(Capacity_Resource,$D130,'Critical resources (hide)'!BH$6:BH$105)+SUMIF(Capacity_Resource,$E130,'Critical resources (hide)'!BH$6:BH$105)+SUMIF(Capacity_Resource,$F130,'Critical resources (hide)'!BH$6:BH$105)&gt;0,$E$1=2),0,1)</f>
        <v>1</v>
      </c>
      <c r="AV130" s="67">
        <f ca="1">IF(AND(SUMIF(Capacity_Resource,$D130,'Critical resources (hide)'!BI$6:BI$105)+SUMIF(Capacity_Resource,$E130,'Critical resources (hide)'!BI$6:BI$105)+SUMIF(Capacity_Resource,$F130,'Critical resources (hide)'!BI$6:BI$105)&gt;0,$E$1=2),0,1)</f>
        <v>1</v>
      </c>
      <c r="AW130" s="67">
        <f ca="1">IF(AND(SUMIF(Capacity_Resource,$D130,'Critical resources (hide)'!BJ$6:BJ$105)+SUMIF(Capacity_Resource,$E130,'Critical resources (hide)'!BJ$6:BJ$105)+SUMIF(Capacity_Resource,$F130,'Critical resources (hide)'!BJ$6:BJ$105)&gt;0,$E$1=2),0,1)</f>
        <v>1</v>
      </c>
      <c r="AX130" s="67">
        <f ca="1">IF(AND(SUMIF(Capacity_Resource,$D130,'Critical resources (hide)'!BK$6:BK$105)+SUMIF(Capacity_Resource,$E130,'Critical resources (hide)'!BK$6:BK$105)+SUMIF(Capacity_Resource,$F130,'Critical resources (hide)'!BK$6:BK$105)&gt;0,$E$1=2),0,1)</f>
        <v>1</v>
      </c>
      <c r="AY130" s="67">
        <f ca="1">IF(AND(SUMIF(Capacity_Resource,$D130,'Critical resources (hide)'!BL$6:BL$105)+SUMIF(Capacity_Resource,$E130,'Critical resources (hide)'!BL$6:BL$105)+SUMIF(Capacity_Resource,$F130,'Critical resources (hide)'!BL$6:BL$105)&gt;0,$E$1=2),0,1)</f>
        <v>1</v>
      </c>
      <c r="AZ130" s="67">
        <f ca="1">IF(AND(SUMIF(Capacity_Resource,$D130,'Critical resources (hide)'!BM$6:BM$105)+SUMIF(Capacity_Resource,$E130,'Critical resources (hide)'!BM$6:BM$105)+SUMIF(Capacity_Resource,$F130,'Critical resources (hide)'!BM$6:BM$105)&gt;0,$E$1=2),0,1)</f>
        <v>1</v>
      </c>
      <c r="BA130" s="67">
        <f ca="1">IF(AND(SUMIF(Capacity_Resource,$D130,'Critical resources (hide)'!BN$6:BN$105)+SUMIF(Capacity_Resource,$E130,'Critical resources (hide)'!BN$6:BN$105)+SUMIF(Capacity_Resource,$F130,'Critical resources (hide)'!BN$6:BN$105)&gt;0,$E$1=2),0,1)</f>
        <v>1</v>
      </c>
      <c r="BB130" s="67">
        <f ca="1">IF(AND(SUMIF(Capacity_Resource,$D130,'Critical resources (hide)'!BO$6:BO$105)+SUMIF(Capacity_Resource,$E130,'Critical resources (hide)'!BO$6:BO$105)+SUMIF(Capacity_Resource,$F130,'Critical resources (hide)'!BO$6:BO$105)&gt;0,$E$1=2),0,1)</f>
        <v>1</v>
      </c>
      <c r="BC130" s="67">
        <f ca="1">IF(AND(SUMIF(Capacity_Resource,$D130,'Critical resources (hide)'!BP$6:BP$105)+SUMIF(Capacity_Resource,$E130,'Critical resources (hide)'!BP$6:BP$105)+SUMIF(Capacity_Resource,$F130,'Critical resources (hide)'!BP$6:BP$105)&gt;0,$E$1=2),0,1)</f>
        <v>1</v>
      </c>
      <c r="BD130" s="67">
        <f ca="1">IF(AND(SUMIF(Capacity_Resource,$D130,'Critical resources (hide)'!BQ$6:BQ$105)+SUMIF(Capacity_Resource,$E130,'Critical resources (hide)'!BQ$6:BQ$105)+SUMIF(Capacity_Resource,$F130,'Critical resources (hide)'!BQ$6:BQ$105)&gt;0,$E$1=2),0,1)</f>
        <v>1</v>
      </c>
      <c r="BE130" s="67">
        <f ca="1">IF(AND(SUMIF(Capacity_Resource,$D130,'Critical resources (hide)'!BR$6:BR$105)+SUMIF(Capacity_Resource,$E130,'Critical resources (hide)'!BR$6:BR$105)+SUMIF(Capacity_Resource,$F130,'Critical resources (hide)'!BR$6:BR$105)&gt;0,$E$1=2),0,1)</f>
        <v>1</v>
      </c>
      <c r="BF130" s="67">
        <f ca="1">IF(AND(SUMIF(Capacity_Resource,$D130,'Critical resources (hide)'!BS$6:BS$105)+SUMIF(Capacity_Resource,$E130,'Critical resources (hide)'!BS$6:BS$105)+SUMIF(Capacity_Resource,$F130,'Critical resources (hide)'!BS$6:BS$105)&gt;0,$E$1=2),0,1)</f>
        <v>1</v>
      </c>
      <c r="BG130" s="67">
        <f ca="1">IF(AND(SUMIF(Capacity_Resource,$D130,'Critical resources (hide)'!BT$6:BT$105)+SUMIF(Capacity_Resource,$E130,'Critical resources (hide)'!BT$6:BT$105)+SUMIF(Capacity_Resource,$F130,'Critical resources (hide)'!BT$6:BT$105)&gt;0,$E$1=2),0,1)</f>
        <v>1</v>
      </c>
      <c r="BH130" s="67">
        <f>IF(ROW(A19)&lt;=Capacity!$M$16,IF('Capacity summary'!$C$14="No",SUM(H130:BG130),'Capacity summary'!$E42),0)</f>
        <v>0</v>
      </c>
      <c r="BI130" s="67" t="str">
        <f>IF(BH130&gt;0,IF(BH130&lt;Capacity!Q35,Capacity!R35,Capacity!T35/'Capacity calculation (hide)'!BH130),"")</f>
        <v/>
      </c>
      <c r="BJ130" s="5"/>
      <c r="BK130" s="5">
        <f>IF($BI130&lt;&gt;"",IF('Capacity summary'!$C$14="Yes",IF(COUNTBLANK('Capacity summary'!$H42:$BG42)&lt;52,IF('Capacity summary'!H42&lt;&gt;"",IF(LOWER('Capacity summary'!H42)="x",$BI130*H130,VALUE('Capacity summary'!H42)),0),H130*$BI130),H130*$BI130),0)</f>
        <v>0</v>
      </c>
      <c r="BL130" s="5">
        <f>IF($BI130&lt;&gt;"",IF('Capacity summary'!$C$14="Yes",IF(COUNTBLANK('Capacity summary'!$H42:$BG42)&lt;52,IF('Capacity summary'!I42&lt;&gt;"",IF(LOWER('Capacity summary'!I42)="x",$BI130*I130,VALUE('Capacity summary'!I42)),0),I130*$BI130),I130*$BI130),0)</f>
        <v>0</v>
      </c>
      <c r="BM130" s="5">
        <f>IF($BI130&lt;&gt;"",IF('Capacity summary'!$C$14="Yes",IF(COUNTBLANK('Capacity summary'!$H42:$BG42)&lt;52,IF('Capacity summary'!J42&lt;&gt;"",IF(LOWER('Capacity summary'!J42)="x",$BI130*J130,VALUE('Capacity summary'!J42)),0),J130*$BI130),J130*$BI130),0)</f>
        <v>0</v>
      </c>
      <c r="BN130" s="5">
        <f>IF($BI130&lt;&gt;"",IF('Capacity summary'!$C$14="Yes",IF(COUNTBLANK('Capacity summary'!$H42:$BG42)&lt;52,IF('Capacity summary'!K42&lt;&gt;"",IF(LOWER('Capacity summary'!K42)="x",$BI130*K130,VALUE('Capacity summary'!K42)),0),K130*$BI130),K130*$BI130),0)</f>
        <v>0</v>
      </c>
      <c r="BO130" s="5">
        <f>IF($BI130&lt;&gt;"",IF('Capacity summary'!$C$14="Yes",IF(COUNTBLANK('Capacity summary'!$H42:$BG42)&lt;52,IF('Capacity summary'!L42&lt;&gt;"",IF(LOWER('Capacity summary'!L42)="x",$BI130*L130,VALUE('Capacity summary'!L42)),0),L130*$BI130),L130*$BI130),0)</f>
        <v>0</v>
      </c>
      <c r="BP130" s="5">
        <f>IF($BI130&lt;&gt;"",IF('Capacity summary'!$C$14="Yes",IF(COUNTBLANK('Capacity summary'!$H42:$BG42)&lt;52,IF('Capacity summary'!M42&lt;&gt;"",IF(LOWER('Capacity summary'!M42)="x",$BI130*M130,VALUE('Capacity summary'!M42)),0),M130*$BI130),M130*$BI130),0)</f>
        <v>0</v>
      </c>
      <c r="BQ130" s="5">
        <f>IF($BI130&lt;&gt;"",IF('Capacity summary'!$C$14="Yes",IF(COUNTBLANK('Capacity summary'!$H42:$BG42)&lt;52,IF('Capacity summary'!N42&lt;&gt;"",IF(LOWER('Capacity summary'!N42)="x",$BI130*N130,VALUE('Capacity summary'!N42)),0),N130*$BI130),N130*$BI130),0)</f>
        <v>0</v>
      </c>
      <c r="BR130" s="5">
        <f>IF($BI130&lt;&gt;"",IF('Capacity summary'!$C$14="Yes",IF(COUNTBLANK('Capacity summary'!$H42:$BG42)&lt;52,IF('Capacity summary'!O42&lt;&gt;"",IF(LOWER('Capacity summary'!O42)="x",$BI130*O130,VALUE('Capacity summary'!O42)),0),O130*$BI130),O130*$BI130),0)</f>
        <v>0</v>
      </c>
      <c r="BS130" s="5">
        <f>IF($BI130&lt;&gt;"",IF('Capacity summary'!$C$14="Yes",IF(COUNTBLANK('Capacity summary'!$H42:$BG42)&lt;52,IF('Capacity summary'!P42&lt;&gt;"",IF(LOWER('Capacity summary'!P42)="x",$BI130*P130,VALUE('Capacity summary'!P42)),0),P130*$BI130),P130*$BI130),0)</f>
        <v>0</v>
      </c>
      <c r="BT130" s="5">
        <f>IF($BI130&lt;&gt;"",IF('Capacity summary'!$C$14="Yes",IF(COUNTBLANK('Capacity summary'!$H42:$BG42)&lt;52,IF('Capacity summary'!Q42&lt;&gt;"",IF(LOWER('Capacity summary'!Q42)="x",$BI130*Q130,VALUE('Capacity summary'!Q42)),0),Q130*$BI130),Q130*$BI130),0)</f>
        <v>0</v>
      </c>
      <c r="BU130" s="5">
        <f>IF($BI130&lt;&gt;"",IF('Capacity summary'!$C$14="Yes",IF(COUNTBLANK('Capacity summary'!$H42:$BG42)&lt;52,IF('Capacity summary'!R42&lt;&gt;"",IF(LOWER('Capacity summary'!R42)="x",$BI130*R130,VALUE('Capacity summary'!R42)),0),R130*$BI130),R130*$BI130),0)</f>
        <v>0</v>
      </c>
      <c r="BV130" s="5">
        <f>IF($BI130&lt;&gt;"",IF('Capacity summary'!$C$14="Yes",IF(COUNTBLANK('Capacity summary'!$H42:$BG42)&lt;52,IF('Capacity summary'!S42&lt;&gt;"",IF(LOWER('Capacity summary'!S42)="x",$BI130*S130,VALUE('Capacity summary'!S42)),0),S130*$BI130),S130*$BI130),0)</f>
        <v>0</v>
      </c>
      <c r="BW130" s="5">
        <f>IF($BI130&lt;&gt;"",IF('Capacity summary'!$C$14="Yes",IF(COUNTBLANK('Capacity summary'!$H42:$BG42)&lt;52,IF('Capacity summary'!T42&lt;&gt;"",IF(LOWER('Capacity summary'!T42)="x",$BI130*T130,VALUE('Capacity summary'!T42)),0),T130*$BI130),T130*$BI130),0)</f>
        <v>0</v>
      </c>
      <c r="BX130" s="5">
        <f>IF($BI130&lt;&gt;"",IF('Capacity summary'!$C$14="Yes",IF(COUNTBLANK('Capacity summary'!$H42:$BG42)&lt;52,IF('Capacity summary'!U42&lt;&gt;"",IF(LOWER('Capacity summary'!U42)="x",$BI130*U130,VALUE('Capacity summary'!U42)),0),U130*$BI130),U130*$BI130),0)</f>
        <v>0</v>
      </c>
      <c r="BY130" s="5">
        <f>IF($BI130&lt;&gt;"",IF('Capacity summary'!$C$14="Yes",IF(COUNTBLANK('Capacity summary'!$H42:$BG42)&lt;52,IF('Capacity summary'!V42&lt;&gt;"",IF(LOWER('Capacity summary'!V42)="x",$BI130*V130,VALUE('Capacity summary'!V42)),0),V130*$BI130),V130*$BI130),0)</f>
        <v>0</v>
      </c>
      <c r="BZ130" s="5">
        <f>IF($BI130&lt;&gt;"",IF('Capacity summary'!$C$14="Yes",IF(COUNTBLANK('Capacity summary'!$H42:$BG42)&lt;52,IF('Capacity summary'!W42&lt;&gt;"",IF(LOWER('Capacity summary'!W42)="x",$BI130*W130,VALUE('Capacity summary'!W42)),0),W130*$BI130),W130*$BI130),0)</f>
        <v>0</v>
      </c>
      <c r="CA130" s="5">
        <f>IF($BI130&lt;&gt;"",IF('Capacity summary'!$C$14="Yes",IF(COUNTBLANK('Capacity summary'!$H42:$BG42)&lt;52,IF('Capacity summary'!X42&lt;&gt;"",IF(LOWER('Capacity summary'!X42)="x",$BI130*X130,VALUE('Capacity summary'!X42)),0),X130*$BI130),X130*$BI130),0)</f>
        <v>0</v>
      </c>
      <c r="CB130" s="5">
        <f>IF($BI130&lt;&gt;"",IF('Capacity summary'!$C$14="Yes",IF(COUNTBLANK('Capacity summary'!$H42:$BG42)&lt;52,IF('Capacity summary'!Y42&lt;&gt;"",IF(LOWER('Capacity summary'!Y42)="x",$BI130*Y130,VALUE('Capacity summary'!Y42)),0),Y130*$BI130),Y130*$BI130),0)</f>
        <v>0</v>
      </c>
      <c r="CC130" s="5">
        <f>IF($BI130&lt;&gt;"",IF('Capacity summary'!$C$14="Yes",IF(COUNTBLANK('Capacity summary'!$H42:$BG42)&lt;52,IF('Capacity summary'!Z42&lt;&gt;"",IF(LOWER('Capacity summary'!Z42)="x",$BI130*Z130,VALUE('Capacity summary'!Z42)),0),Z130*$BI130),Z130*$BI130),0)</f>
        <v>0</v>
      </c>
      <c r="CD130" s="5">
        <f>IF($BI130&lt;&gt;"",IF('Capacity summary'!$C$14="Yes",IF(COUNTBLANK('Capacity summary'!$H42:$BG42)&lt;52,IF('Capacity summary'!AA42&lt;&gt;"",IF(LOWER('Capacity summary'!AA42)="x",$BI130*AA130,VALUE('Capacity summary'!AA42)),0),AA130*$BI130),AA130*$BI130),0)</f>
        <v>0</v>
      </c>
      <c r="CE130" s="5">
        <f>IF($BI130&lt;&gt;"",IF('Capacity summary'!$C$14="Yes",IF(COUNTBLANK('Capacity summary'!$H42:$BG42)&lt;52,IF('Capacity summary'!AB42&lt;&gt;"",IF(LOWER('Capacity summary'!AB42)="x",$BI130*AB130,VALUE('Capacity summary'!AB42)),0),AB130*$BI130),AB130*$BI130),0)</f>
        <v>0</v>
      </c>
      <c r="CF130" s="5">
        <f>IF($BI130&lt;&gt;"",IF('Capacity summary'!$C$14="Yes",IF(COUNTBLANK('Capacity summary'!$H42:$BG42)&lt;52,IF('Capacity summary'!AC42&lt;&gt;"",IF(LOWER('Capacity summary'!AC42)="x",$BI130*AC130,VALUE('Capacity summary'!AC42)),0),AC130*$BI130),AC130*$BI130),0)</f>
        <v>0</v>
      </c>
      <c r="CG130" s="5">
        <f>IF($BI130&lt;&gt;"",IF('Capacity summary'!$C$14="Yes",IF(COUNTBLANK('Capacity summary'!$H42:$BG42)&lt;52,IF('Capacity summary'!AD42&lt;&gt;"",IF(LOWER('Capacity summary'!AD42)="x",$BI130*AD130,VALUE('Capacity summary'!AD42)),0),AD130*$BI130),AD130*$BI130),0)</f>
        <v>0</v>
      </c>
      <c r="CH130" s="5">
        <f>IF($BI130&lt;&gt;"",IF('Capacity summary'!$C$14="Yes",IF(COUNTBLANK('Capacity summary'!$H42:$BG42)&lt;52,IF('Capacity summary'!AE42&lt;&gt;"",IF(LOWER('Capacity summary'!AE42)="x",$BI130*AE130,VALUE('Capacity summary'!AE42)),0),AE130*$BI130),AE130*$BI130),0)</f>
        <v>0</v>
      </c>
      <c r="CI130" s="5">
        <f>IF($BI130&lt;&gt;"",IF('Capacity summary'!$C$14="Yes",IF(COUNTBLANK('Capacity summary'!$H42:$BG42)&lt;52,IF('Capacity summary'!AF42&lt;&gt;"",IF(LOWER('Capacity summary'!AF42)="x",$BI130*AF130,VALUE('Capacity summary'!AF42)),0),AF130*$BI130),AF130*$BI130),0)</f>
        <v>0</v>
      </c>
      <c r="CJ130" s="5">
        <f>IF($BI130&lt;&gt;"",IF('Capacity summary'!$C$14="Yes",IF(COUNTBLANK('Capacity summary'!$H42:$BG42)&lt;52,IF('Capacity summary'!AG42&lt;&gt;"",IF(LOWER('Capacity summary'!AG42)="x",$BI130*AG130,VALUE('Capacity summary'!AG42)),0),AG130*$BI130),AG130*$BI130),0)</f>
        <v>0</v>
      </c>
      <c r="CK130" s="5">
        <f>IF($BI130&lt;&gt;"",IF('Capacity summary'!$C$14="Yes",IF(COUNTBLANK('Capacity summary'!$H42:$BG42)&lt;52,IF('Capacity summary'!AH42&lt;&gt;"",IF(LOWER('Capacity summary'!AH42)="x",$BI130*AH130,VALUE('Capacity summary'!AH42)),0),AH130*$BI130),AH130*$BI130),0)</f>
        <v>0</v>
      </c>
      <c r="CL130" s="5">
        <f>IF($BI130&lt;&gt;"",IF('Capacity summary'!$C$14="Yes",IF(COUNTBLANK('Capacity summary'!$H42:$BG42)&lt;52,IF('Capacity summary'!AI42&lt;&gt;"",IF(LOWER('Capacity summary'!AI42)="x",$BI130*AI130,VALUE('Capacity summary'!AI42)),0),AI130*$BI130),AI130*$BI130),0)</f>
        <v>0</v>
      </c>
      <c r="CM130" s="5">
        <f>IF($BI130&lt;&gt;"",IF('Capacity summary'!$C$14="Yes",IF(COUNTBLANK('Capacity summary'!$H42:$BG42)&lt;52,IF('Capacity summary'!AJ42&lt;&gt;"",IF(LOWER('Capacity summary'!AJ42)="x",$BI130*AJ130,VALUE('Capacity summary'!AJ42)),0),AJ130*$BI130),AJ130*$BI130),0)</f>
        <v>0</v>
      </c>
      <c r="CN130" s="5">
        <f>IF($BI130&lt;&gt;"",IF('Capacity summary'!$C$14="Yes",IF(COUNTBLANK('Capacity summary'!$H42:$BG42)&lt;52,IF('Capacity summary'!AK42&lt;&gt;"",IF(LOWER('Capacity summary'!AK42)="x",$BI130*AK130,VALUE('Capacity summary'!AK42)),0),AK130*$BI130),AK130*$BI130),0)</f>
        <v>0</v>
      </c>
      <c r="CO130" s="5">
        <f>IF($BI130&lt;&gt;"",IF('Capacity summary'!$C$14="Yes",IF(COUNTBLANK('Capacity summary'!$H42:$BG42)&lt;52,IF('Capacity summary'!AL42&lt;&gt;"",IF(LOWER('Capacity summary'!AL42)="x",$BI130*AL130,VALUE('Capacity summary'!AL42)),0),AL130*$BI130),AL130*$BI130),0)</f>
        <v>0</v>
      </c>
      <c r="CP130" s="5">
        <f>IF($BI130&lt;&gt;"",IF('Capacity summary'!$C$14="Yes",IF(COUNTBLANK('Capacity summary'!$H42:$BG42)&lt;52,IF('Capacity summary'!AM42&lt;&gt;"",IF(LOWER('Capacity summary'!AM42)="x",$BI130*AM130,VALUE('Capacity summary'!AM42)),0),AM130*$BI130),AM130*$BI130),0)</f>
        <v>0</v>
      </c>
      <c r="CQ130" s="5">
        <f>IF($BI130&lt;&gt;"",IF('Capacity summary'!$C$14="Yes",IF(COUNTBLANK('Capacity summary'!$H42:$BG42)&lt;52,IF('Capacity summary'!AN42&lt;&gt;"",IF(LOWER('Capacity summary'!AN42)="x",$BI130*AN130,VALUE('Capacity summary'!AN42)),0),AN130*$BI130),AN130*$BI130),0)</f>
        <v>0</v>
      </c>
      <c r="CR130" s="5">
        <f>IF($BI130&lt;&gt;"",IF('Capacity summary'!$C$14="Yes",IF(COUNTBLANK('Capacity summary'!$H42:$BG42)&lt;52,IF('Capacity summary'!AO42&lt;&gt;"",IF(LOWER('Capacity summary'!AO42)="x",$BI130*AO130,VALUE('Capacity summary'!AO42)),0),AO130*$BI130),AO130*$BI130),0)</f>
        <v>0</v>
      </c>
      <c r="CS130" s="5">
        <f>IF($BI130&lt;&gt;"",IF('Capacity summary'!$C$14="Yes",IF(COUNTBLANK('Capacity summary'!$H42:$BG42)&lt;52,IF('Capacity summary'!AP42&lt;&gt;"",IF(LOWER('Capacity summary'!AP42)="x",$BI130*AP130,VALUE('Capacity summary'!AP42)),0),AP130*$BI130),AP130*$BI130),0)</f>
        <v>0</v>
      </c>
      <c r="CT130" s="5">
        <f>IF($BI130&lt;&gt;"",IF('Capacity summary'!$C$14="Yes",IF(COUNTBLANK('Capacity summary'!$H42:$BG42)&lt;52,IF('Capacity summary'!AQ42&lt;&gt;"",IF(LOWER('Capacity summary'!AQ42)="x",$BI130*AQ130,VALUE('Capacity summary'!AQ42)),0),AQ130*$BI130),AQ130*$BI130),0)</f>
        <v>0</v>
      </c>
      <c r="CU130" s="5">
        <f>IF($BI130&lt;&gt;"",IF('Capacity summary'!$C$14="Yes",IF(COUNTBLANK('Capacity summary'!$H42:$BG42)&lt;52,IF('Capacity summary'!AR42&lt;&gt;"",IF(LOWER('Capacity summary'!AR42)="x",$BI130*AR130,VALUE('Capacity summary'!AR42)),0),AR130*$BI130),AR130*$BI130),0)</f>
        <v>0</v>
      </c>
      <c r="CV130" s="5">
        <f>IF($BI130&lt;&gt;"",IF('Capacity summary'!$C$14="Yes",IF(COUNTBLANK('Capacity summary'!$H42:$BG42)&lt;52,IF('Capacity summary'!AS42&lt;&gt;"",IF(LOWER('Capacity summary'!AS42)="x",$BI130*AS130,VALUE('Capacity summary'!AS42)),0),AS130*$BI130),AS130*$BI130),0)</f>
        <v>0</v>
      </c>
      <c r="CW130" s="5">
        <f>IF($BI130&lt;&gt;"",IF('Capacity summary'!$C$14="Yes",IF(COUNTBLANK('Capacity summary'!$H42:$BG42)&lt;52,IF('Capacity summary'!AT42&lt;&gt;"",IF(LOWER('Capacity summary'!AT42)="x",$BI130*AT130,VALUE('Capacity summary'!AT42)),0),AT130*$BI130),AT130*$BI130),0)</f>
        <v>0</v>
      </c>
      <c r="CX130" s="5">
        <f>IF($BI130&lt;&gt;"",IF('Capacity summary'!$C$14="Yes",IF(COUNTBLANK('Capacity summary'!$H42:$BG42)&lt;52,IF('Capacity summary'!AU42&lt;&gt;"",IF(LOWER('Capacity summary'!AU42)="x",$BI130*AU130,VALUE('Capacity summary'!AU42)),0),AU130*$BI130),AU130*$BI130),0)</f>
        <v>0</v>
      </c>
      <c r="CY130" s="5">
        <f>IF($BI130&lt;&gt;"",IF('Capacity summary'!$C$14="Yes",IF(COUNTBLANK('Capacity summary'!$H42:$BG42)&lt;52,IF('Capacity summary'!AV42&lt;&gt;"",IF(LOWER('Capacity summary'!AV42)="x",$BI130*AV130,VALUE('Capacity summary'!AV42)),0),AV130*$BI130),AV130*$BI130),0)</f>
        <v>0</v>
      </c>
      <c r="CZ130" s="5">
        <f>IF($BI130&lt;&gt;"",IF('Capacity summary'!$C$14="Yes",IF(COUNTBLANK('Capacity summary'!$H42:$BG42)&lt;52,IF('Capacity summary'!AW42&lt;&gt;"",IF(LOWER('Capacity summary'!AW42)="x",$BI130*AW130,VALUE('Capacity summary'!AW42)),0),AW130*$BI130),AW130*$BI130),0)</f>
        <v>0</v>
      </c>
      <c r="DA130" s="5">
        <f>IF($BI130&lt;&gt;"",IF('Capacity summary'!$C$14="Yes",IF(COUNTBLANK('Capacity summary'!$H42:$BG42)&lt;52,IF('Capacity summary'!AX42&lt;&gt;"",IF(LOWER('Capacity summary'!AX42)="x",$BI130*AX130,VALUE('Capacity summary'!AX42)),0),AX130*$BI130),AX130*$BI130),0)</f>
        <v>0</v>
      </c>
      <c r="DB130" s="5">
        <f>IF($BI130&lt;&gt;"",IF('Capacity summary'!$C$14="Yes",IF(COUNTBLANK('Capacity summary'!$H42:$BG42)&lt;52,IF('Capacity summary'!AY42&lt;&gt;"",IF(LOWER('Capacity summary'!AY42)="x",$BI130*AY130,VALUE('Capacity summary'!AY42)),0),AY130*$BI130),AY130*$BI130),0)</f>
        <v>0</v>
      </c>
      <c r="DC130" s="5">
        <f>IF($BI130&lt;&gt;"",IF('Capacity summary'!$C$14="Yes",IF(COUNTBLANK('Capacity summary'!$H42:$BG42)&lt;52,IF('Capacity summary'!AZ42&lt;&gt;"",IF(LOWER('Capacity summary'!AZ42)="x",$BI130*AZ130,VALUE('Capacity summary'!AZ42)),0),AZ130*$BI130),AZ130*$BI130),0)</f>
        <v>0</v>
      </c>
      <c r="DD130" s="5">
        <f>IF($BI130&lt;&gt;"",IF('Capacity summary'!$C$14="Yes",IF(COUNTBLANK('Capacity summary'!$H42:$BG42)&lt;52,IF('Capacity summary'!BA42&lt;&gt;"",IF(LOWER('Capacity summary'!BA42)="x",$BI130*BA130,VALUE('Capacity summary'!BA42)),0),BA130*$BI130),BA130*$BI130),0)</f>
        <v>0</v>
      </c>
      <c r="DE130" s="5">
        <f>IF($BI130&lt;&gt;"",IF('Capacity summary'!$C$14="Yes",IF(COUNTBLANK('Capacity summary'!$H42:$BG42)&lt;52,IF('Capacity summary'!BB42&lt;&gt;"",IF(LOWER('Capacity summary'!BB42)="x",$BI130*BB130,VALUE('Capacity summary'!BB42)),0),BB130*$BI130),BB130*$BI130),0)</f>
        <v>0</v>
      </c>
      <c r="DF130" s="5">
        <f>IF($BI130&lt;&gt;"",IF('Capacity summary'!$C$14="Yes",IF(COUNTBLANK('Capacity summary'!$H42:$BG42)&lt;52,IF('Capacity summary'!BC42&lt;&gt;"",IF(LOWER('Capacity summary'!BC42)="x",$BI130*BC130,VALUE('Capacity summary'!BC42)),0),BC130*$BI130),BC130*$BI130),0)</f>
        <v>0</v>
      </c>
      <c r="DG130" s="5">
        <f>IF($BI130&lt;&gt;"",IF('Capacity summary'!$C$14="Yes",IF(COUNTBLANK('Capacity summary'!$H42:$BG42)&lt;52,IF('Capacity summary'!BD42&lt;&gt;"",IF(LOWER('Capacity summary'!BD42)="x",$BI130*BD130,VALUE('Capacity summary'!BD42)),0),BD130*$BI130),BD130*$BI130),0)</f>
        <v>0</v>
      </c>
      <c r="DH130" s="5">
        <f>IF($BI130&lt;&gt;"",IF('Capacity summary'!$C$14="Yes",IF(COUNTBLANK('Capacity summary'!$H42:$BG42)&lt;52,IF('Capacity summary'!BE42&lt;&gt;"",IF(LOWER('Capacity summary'!BE42)="x",$BI130*BE130,VALUE('Capacity summary'!BE42)),0),BE130*$BI130),BE130*$BI130),0)</f>
        <v>0</v>
      </c>
      <c r="DI130" s="5">
        <f>IF($BI130&lt;&gt;"",IF('Capacity summary'!$C$14="Yes",IF(COUNTBLANK('Capacity summary'!$H42:$BG42)&lt;52,IF('Capacity summary'!BF42&lt;&gt;"",IF(LOWER('Capacity summary'!BF42)="x",$BI130*BF130,VALUE('Capacity summary'!BF42)),0),BF130*$BI130),BF130*$BI130),0)</f>
        <v>0</v>
      </c>
      <c r="DJ130" s="5">
        <f>IF($BI130&lt;&gt;"",IF('Capacity summary'!$C$14="Yes",IF(COUNTBLANK('Capacity summary'!$H42:$BG42)&lt;52,IF('Capacity summary'!BG42&lt;&gt;"",IF(LOWER('Capacity summary'!BG42)="x",$BI130*BG130,VALUE('Capacity summary'!BG42)),0),BG130*$BI130),BG130*$BI130),0)</f>
        <v>0</v>
      </c>
      <c r="DK130" s="5">
        <f t="shared" ref="DK130" si="24">SUM(DK131:DK230)</f>
        <v>0</v>
      </c>
    </row>
    <row r="131" spans="3:115" x14ac:dyDescent="0.25">
      <c r="C131" s="67" t="str">
        <f>ROW(A20)&amp;". "&amp;Capacity!N36</f>
        <v xml:space="preserve">20. </v>
      </c>
      <c r="D131" s="67">
        <f>'Capacity setup'!C137</f>
        <v>0</v>
      </c>
      <c r="E131" s="67">
        <f>'Capacity setup'!D137</f>
        <v>0</v>
      </c>
      <c r="F131" s="67">
        <f>'Capacity setup'!E137</f>
        <v>0</v>
      </c>
      <c r="H131" s="67">
        <f ca="1">IF(AND(SUMIF(Capacity_Resource,$D131,'Critical resources (hide)'!U$6:U$105)+SUMIF(Capacity_Resource,$E131,'Critical resources (hide)'!U$6:U$105)+SUMIF(Capacity_Resource,$F131,'Critical resources (hide)'!U$6:U$105)&gt;0,$E$1=2),0,1)</f>
        <v>1</v>
      </c>
      <c r="I131" s="67">
        <f ca="1">IF(AND(SUMIF(Capacity_Resource,$D131,'Critical resources (hide)'!V$6:V$105)+SUMIF(Capacity_Resource,$E131,'Critical resources (hide)'!V$6:V$105)+SUMIF(Capacity_Resource,$F131,'Critical resources (hide)'!V$6:V$105)&gt;0,$E$1=2),0,1)</f>
        <v>1</v>
      </c>
      <c r="J131" s="67">
        <f ca="1">IF(AND(SUMIF(Capacity_Resource,$D131,'Critical resources (hide)'!W$6:W$105)+SUMIF(Capacity_Resource,$E131,'Critical resources (hide)'!W$6:W$105)+SUMIF(Capacity_Resource,$F131,'Critical resources (hide)'!W$6:W$105)&gt;0,$E$1=2),0,1)</f>
        <v>1</v>
      </c>
      <c r="K131" s="67">
        <f ca="1">IF(AND(SUMIF(Capacity_Resource,$D131,'Critical resources (hide)'!X$6:X$105)+SUMIF(Capacity_Resource,$E131,'Critical resources (hide)'!X$6:X$105)+SUMIF(Capacity_Resource,$F131,'Critical resources (hide)'!X$6:X$105)&gt;0,$E$1=2),0,1)</f>
        <v>1</v>
      </c>
      <c r="L131" s="67">
        <f ca="1">IF(AND(SUMIF(Capacity_Resource,$D131,'Critical resources (hide)'!Y$6:Y$105)+SUMIF(Capacity_Resource,$E131,'Critical resources (hide)'!Y$6:Y$105)+SUMIF(Capacity_Resource,$F131,'Critical resources (hide)'!Y$6:Y$105)&gt;0,$E$1=2),0,1)</f>
        <v>1</v>
      </c>
      <c r="M131" s="67">
        <f ca="1">IF(AND(SUMIF(Capacity_Resource,$D131,'Critical resources (hide)'!Z$6:Z$105)+SUMIF(Capacity_Resource,$E131,'Critical resources (hide)'!Z$6:Z$105)+SUMIF(Capacity_Resource,$F131,'Critical resources (hide)'!Z$6:Z$105)&gt;0,$E$1=2),0,1)</f>
        <v>1</v>
      </c>
      <c r="N131" s="67">
        <f ca="1">IF(AND(SUMIF(Capacity_Resource,$D131,'Critical resources (hide)'!AA$6:AA$105)+SUMIF(Capacity_Resource,$E131,'Critical resources (hide)'!AA$6:AA$105)+SUMIF(Capacity_Resource,$F131,'Critical resources (hide)'!AA$6:AA$105)&gt;0,$E$1=2),0,1)</f>
        <v>1</v>
      </c>
      <c r="O131" s="67">
        <f ca="1">IF(AND(SUMIF(Capacity_Resource,$D131,'Critical resources (hide)'!AB$6:AB$105)+SUMIF(Capacity_Resource,$E131,'Critical resources (hide)'!AB$6:AB$105)+SUMIF(Capacity_Resource,$F131,'Critical resources (hide)'!AB$6:AB$105)&gt;0,$E$1=2),0,1)</f>
        <v>1</v>
      </c>
      <c r="P131" s="67">
        <f ca="1">IF(AND(SUMIF(Capacity_Resource,$D131,'Critical resources (hide)'!AC$6:AC$105)+SUMIF(Capacity_Resource,$E131,'Critical resources (hide)'!AC$6:AC$105)+SUMIF(Capacity_Resource,$F131,'Critical resources (hide)'!AC$6:AC$105)&gt;0,$E$1=2),0,1)</f>
        <v>1</v>
      </c>
      <c r="Q131" s="67">
        <f ca="1">IF(AND(SUMIF(Capacity_Resource,$D131,'Critical resources (hide)'!AD$6:AD$105)+SUMIF(Capacity_Resource,$E131,'Critical resources (hide)'!AD$6:AD$105)+SUMIF(Capacity_Resource,$F131,'Critical resources (hide)'!AD$6:AD$105)&gt;0,$E$1=2),0,1)</f>
        <v>1</v>
      </c>
      <c r="R131" s="67">
        <f ca="1">IF(AND(SUMIF(Capacity_Resource,$D131,'Critical resources (hide)'!AE$6:AE$105)+SUMIF(Capacity_Resource,$E131,'Critical resources (hide)'!AE$6:AE$105)+SUMIF(Capacity_Resource,$F131,'Critical resources (hide)'!AE$6:AE$105)&gt;0,$E$1=2),0,1)</f>
        <v>1</v>
      </c>
      <c r="S131" s="67">
        <f ca="1">IF(AND(SUMIF(Capacity_Resource,$D131,'Critical resources (hide)'!AF$6:AF$105)+SUMIF(Capacity_Resource,$E131,'Critical resources (hide)'!AF$6:AF$105)+SUMIF(Capacity_Resource,$F131,'Critical resources (hide)'!AF$6:AF$105)&gt;0,$E$1=2),0,1)</f>
        <v>1</v>
      </c>
      <c r="T131" s="67">
        <f ca="1">IF(AND(SUMIF(Capacity_Resource,$D131,'Critical resources (hide)'!AG$6:AG$105)+SUMIF(Capacity_Resource,$E131,'Critical resources (hide)'!AG$6:AG$105)+SUMIF(Capacity_Resource,$F131,'Critical resources (hide)'!AG$6:AG$105)&gt;0,$E$1=2),0,1)</f>
        <v>1</v>
      </c>
      <c r="U131" s="67">
        <f ca="1">IF(AND(SUMIF(Capacity_Resource,$D131,'Critical resources (hide)'!AH$6:AH$105)+SUMIF(Capacity_Resource,$E131,'Critical resources (hide)'!AH$6:AH$105)+SUMIF(Capacity_Resource,$F131,'Critical resources (hide)'!AH$6:AH$105)&gt;0,$E$1=2),0,1)</f>
        <v>1</v>
      </c>
      <c r="V131" s="67">
        <f ca="1">IF(AND(SUMIF(Capacity_Resource,$D131,'Critical resources (hide)'!AI$6:AI$105)+SUMIF(Capacity_Resource,$E131,'Critical resources (hide)'!AI$6:AI$105)+SUMIF(Capacity_Resource,$F131,'Critical resources (hide)'!AI$6:AI$105)&gt;0,$E$1=2),0,1)</f>
        <v>1</v>
      </c>
      <c r="W131" s="67">
        <f ca="1">IF(AND(SUMIF(Capacity_Resource,$D131,'Critical resources (hide)'!AJ$6:AJ$105)+SUMIF(Capacity_Resource,$E131,'Critical resources (hide)'!AJ$6:AJ$105)+SUMIF(Capacity_Resource,$F131,'Critical resources (hide)'!AJ$6:AJ$105)&gt;0,$E$1=2),0,1)</f>
        <v>1</v>
      </c>
      <c r="X131" s="67">
        <f ca="1">IF(AND(SUMIF(Capacity_Resource,$D131,'Critical resources (hide)'!AK$6:AK$105)+SUMIF(Capacity_Resource,$E131,'Critical resources (hide)'!AK$6:AK$105)+SUMIF(Capacity_Resource,$F131,'Critical resources (hide)'!AK$6:AK$105)&gt;0,$E$1=2),0,1)</f>
        <v>1</v>
      </c>
      <c r="Y131" s="67">
        <f ca="1">IF(AND(SUMIF(Capacity_Resource,$D131,'Critical resources (hide)'!AL$6:AL$105)+SUMIF(Capacity_Resource,$E131,'Critical resources (hide)'!AL$6:AL$105)+SUMIF(Capacity_Resource,$F131,'Critical resources (hide)'!AL$6:AL$105)&gt;0,$E$1=2),0,1)</f>
        <v>1</v>
      </c>
      <c r="Z131" s="67">
        <f ca="1">IF(AND(SUMIF(Capacity_Resource,$D131,'Critical resources (hide)'!AM$6:AM$105)+SUMIF(Capacity_Resource,$E131,'Critical resources (hide)'!AM$6:AM$105)+SUMIF(Capacity_Resource,$F131,'Critical resources (hide)'!AM$6:AM$105)&gt;0,$E$1=2),0,1)</f>
        <v>1</v>
      </c>
      <c r="AA131" s="67">
        <f ca="1">IF(AND(SUMIF(Capacity_Resource,$D131,'Critical resources (hide)'!AN$6:AN$105)+SUMIF(Capacity_Resource,$E131,'Critical resources (hide)'!AN$6:AN$105)+SUMIF(Capacity_Resource,$F131,'Critical resources (hide)'!AN$6:AN$105)&gt;0,$E$1=2),0,1)</f>
        <v>1</v>
      </c>
      <c r="AB131" s="67">
        <f ca="1">IF(AND(SUMIF(Capacity_Resource,$D131,'Critical resources (hide)'!AO$6:AO$105)+SUMIF(Capacity_Resource,$E131,'Critical resources (hide)'!AO$6:AO$105)+SUMIF(Capacity_Resource,$F131,'Critical resources (hide)'!AO$6:AO$105)&gt;0,$E$1=2),0,1)</f>
        <v>1</v>
      </c>
      <c r="AC131" s="67">
        <f ca="1">IF(AND(SUMIF(Capacity_Resource,$D131,'Critical resources (hide)'!AP$6:AP$105)+SUMIF(Capacity_Resource,$E131,'Critical resources (hide)'!AP$6:AP$105)+SUMIF(Capacity_Resource,$F131,'Critical resources (hide)'!AP$6:AP$105)&gt;0,$E$1=2),0,1)</f>
        <v>1</v>
      </c>
      <c r="AD131" s="67">
        <f ca="1">IF(AND(SUMIF(Capacity_Resource,$D131,'Critical resources (hide)'!AQ$6:AQ$105)+SUMIF(Capacity_Resource,$E131,'Critical resources (hide)'!AQ$6:AQ$105)+SUMIF(Capacity_Resource,$F131,'Critical resources (hide)'!AQ$6:AQ$105)&gt;0,$E$1=2),0,1)</f>
        <v>1</v>
      </c>
      <c r="AE131" s="67">
        <f ca="1">IF(AND(SUMIF(Capacity_Resource,$D131,'Critical resources (hide)'!AR$6:AR$105)+SUMIF(Capacity_Resource,$E131,'Critical resources (hide)'!AR$6:AR$105)+SUMIF(Capacity_Resource,$F131,'Critical resources (hide)'!AR$6:AR$105)&gt;0,$E$1=2),0,1)</f>
        <v>1</v>
      </c>
      <c r="AF131" s="67">
        <f ca="1">IF(AND(SUMIF(Capacity_Resource,$D131,'Critical resources (hide)'!AS$6:AS$105)+SUMIF(Capacity_Resource,$E131,'Critical resources (hide)'!AS$6:AS$105)+SUMIF(Capacity_Resource,$F131,'Critical resources (hide)'!AS$6:AS$105)&gt;0,$E$1=2),0,1)</f>
        <v>1</v>
      </c>
      <c r="AG131" s="67">
        <f ca="1">IF(AND(SUMIF(Capacity_Resource,$D131,'Critical resources (hide)'!AT$6:AT$105)+SUMIF(Capacity_Resource,$E131,'Critical resources (hide)'!AT$6:AT$105)+SUMIF(Capacity_Resource,$F131,'Critical resources (hide)'!AT$6:AT$105)&gt;0,$E$1=2),0,1)</f>
        <v>1</v>
      </c>
      <c r="AH131" s="67">
        <f ca="1">IF(AND(SUMIF(Capacity_Resource,$D131,'Critical resources (hide)'!AU$6:AU$105)+SUMIF(Capacity_Resource,$E131,'Critical resources (hide)'!AU$6:AU$105)+SUMIF(Capacity_Resource,$F131,'Critical resources (hide)'!AU$6:AU$105)&gt;0,$E$1=2),0,1)</f>
        <v>1</v>
      </c>
      <c r="AI131" s="67">
        <f ca="1">IF(AND(SUMIF(Capacity_Resource,$D131,'Critical resources (hide)'!AV$6:AV$105)+SUMIF(Capacity_Resource,$E131,'Critical resources (hide)'!AV$6:AV$105)+SUMIF(Capacity_Resource,$F131,'Critical resources (hide)'!AV$6:AV$105)&gt;0,$E$1=2),0,1)</f>
        <v>1</v>
      </c>
      <c r="AJ131" s="67">
        <f ca="1">IF(AND(SUMIF(Capacity_Resource,$D131,'Critical resources (hide)'!AW$6:AW$105)+SUMIF(Capacity_Resource,$E131,'Critical resources (hide)'!AW$6:AW$105)+SUMIF(Capacity_Resource,$F131,'Critical resources (hide)'!AW$6:AW$105)&gt;0,$E$1=2),0,1)</f>
        <v>1</v>
      </c>
      <c r="AK131" s="67">
        <f ca="1">IF(AND(SUMIF(Capacity_Resource,$D131,'Critical resources (hide)'!AX$6:AX$105)+SUMIF(Capacity_Resource,$E131,'Critical resources (hide)'!AX$6:AX$105)+SUMIF(Capacity_Resource,$F131,'Critical resources (hide)'!AX$6:AX$105)&gt;0,$E$1=2),0,1)</f>
        <v>1</v>
      </c>
      <c r="AL131" s="67">
        <f ca="1">IF(AND(SUMIF(Capacity_Resource,$D131,'Critical resources (hide)'!AY$6:AY$105)+SUMIF(Capacity_Resource,$E131,'Critical resources (hide)'!AY$6:AY$105)+SUMIF(Capacity_Resource,$F131,'Critical resources (hide)'!AY$6:AY$105)&gt;0,$E$1=2),0,1)</f>
        <v>1</v>
      </c>
      <c r="AM131" s="67">
        <f ca="1">IF(AND(SUMIF(Capacity_Resource,$D131,'Critical resources (hide)'!AZ$6:AZ$105)+SUMIF(Capacity_Resource,$E131,'Critical resources (hide)'!AZ$6:AZ$105)+SUMIF(Capacity_Resource,$F131,'Critical resources (hide)'!AZ$6:AZ$105)&gt;0,$E$1=2),0,1)</f>
        <v>1</v>
      </c>
      <c r="AN131" s="67">
        <f ca="1">IF(AND(SUMIF(Capacity_Resource,$D131,'Critical resources (hide)'!BA$6:BA$105)+SUMIF(Capacity_Resource,$E131,'Critical resources (hide)'!BA$6:BA$105)+SUMIF(Capacity_Resource,$F131,'Critical resources (hide)'!BA$6:BA$105)&gt;0,$E$1=2),0,1)</f>
        <v>1</v>
      </c>
      <c r="AO131" s="67">
        <f ca="1">IF(AND(SUMIF(Capacity_Resource,$D131,'Critical resources (hide)'!BB$6:BB$105)+SUMIF(Capacity_Resource,$E131,'Critical resources (hide)'!BB$6:BB$105)+SUMIF(Capacity_Resource,$F131,'Critical resources (hide)'!BB$6:BB$105)&gt;0,$E$1=2),0,1)</f>
        <v>1</v>
      </c>
      <c r="AP131" s="67">
        <f ca="1">IF(AND(SUMIF(Capacity_Resource,$D131,'Critical resources (hide)'!BC$6:BC$105)+SUMIF(Capacity_Resource,$E131,'Critical resources (hide)'!BC$6:BC$105)+SUMIF(Capacity_Resource,$F131,'Critical resources (hide)'!BC$6:BC$105)&gt;0,$E$1=2),0,1)</f>
        <v>1</v>
      </c>
      <c r="AQ131" s="67">
        <f ca="1">IF(AND(SUMIF(Capacity_Resource,$D131,'Critical resources (hide)'!BD$6:BD$105)+SUMIF(Capacity_Resource,$E131,'Critical resources (hide)'!BD$6:BD$105)+SUMIF(Capacity_Resource,$F131,'Critical resources (hide)'!BD$6:BD$105)&gt;0,$E$1=2),0,1)</f>
        <v>1</v>
      </c>
      <c r="AR131" s="67">
        <f ca="1">IF(AND(SUMIF(Capacity_Resource,$D131,'Critical resources (hide)'!BE$6:BE$105)+SUMIF(Capacity_Resource,$E131,'Critical resources (hide)'!BE$6:BE$105)+SUMIF(Capacity_Resource,$F131,'Critical resources (hide)'!BE$6:BE$105)&gt;0,$E$1=2),0,1)</f>
        <v>1</v>
      </c>
      <c r="AS131" s="67">
        <f ca="1">IF(AND(SUMIF(Capacity_Resource,$D131,'Critical resources (hide)'!BF$6:BF$105)+SUMIF(Capacity_Resource,$E131,'Critical resources (hide)'!BF$6:BF$105)+SUMIF(Capacity_Resource,$F131,'Critical resources (hide)'!BF$6:BF$105)&gt;0,$E$1=2),0,1)</f>
        <v>1</v>
      </c>
      <c r="AT131" s="67">
        <f ca="1">IF(AND(SUMIF(Capacity_Resource,$D131,'Critical resources (hide)'!BG$6:BG$105)+SUMIF(Capacity_Resource,$E131,'Critical resources (hide)'!BG$6:BG$105)+SUMIF(Capacity_Resource,$F131,'Critical resources (hide)'!BG$6:BG$105)&gt;0,$E$1=2),0,1)</f>
        <v>1</v>
      </c>
      <c r="AU131" s="67">
        <f ca="1">IF(AND(SUMIF(Capacity_Resource,$D131,'Critical resources (hide)'!BH$6:BH$105)+SUMIF(Capacity_Resource,$E131,'Critical resources (hide)'!BH$6:BH$105)+SUMIF(Capacity_Resource,$F131,'Critical resources (hide)'!BH$6:BH$105)&gt;0,$E$1=2),0,1)</f>
        <v>1</v>
      </c>
      <c r="AV131" s="67">
        <f ca="1">IF(AND(SUMIF(Capacity_Resource,$D131,'Critical resources (hide)'!BI$6:BI$105)+SUMIF(Capacity_Resource,$E131,'Critical resources (hide)'!BI$6:BI$105)+SUMIF(Capacity_Resource,$F131,'Critical resources (hide)'!BI$6:BI$105)&gt;0,$E$1=2),0,1)</f>
        <v>1</v>
      </c>
      <c r="AW131" s="67">
        <f ca="1">IF(AND(SUMIF(Capacity_Resource,$D131,'Critical resources (hide)'!BJ$6:BJ$105)+SUMIF(Capacity_Resource,$E131,'Critical resources (hide)'!BJ$6:BJ$105)+SUMIF(Capacity_Resource,$F131,'Critical resources (hide)'!BJ$6:BJ$105)&gt;0,$E$1=2),0,1)</f>
        <v>1</v>
      </c>
      <c r="AX131" s="67">
        <f ca="1">IF(AND(SUMIF(Capacity_Resource,$D131,'Critical resources (hide)'!BK$6:BK$105)+SUMIF(Capacity_Resource,$E131,'Critical resources (hide)'!BK$6:BK$105)+SUMIF(Capacity_Resource,$F131,'Critical resources (hide)'!BK$6:BK$105)&gt;0,$E$1=2),0,1)</f>
        <v>1</v>
      </c>
      <c r="AY131" s="67">
        <f ca="1">IF(AND(SUMIF(Capacity_Resource,$D131,'Critical resources (hide)'!BL$6:BL$105)+SUMIF(Capacity_Resource,$E131,'Critical resources (hide)'!BL$6:BL$105)+SUMIF(Capacity_Resource,$F131,'Critical resources (hide)'!BL$6:BL$105)&gt;0,$E$1=2),0,1)</f>
        <v>1</v>
      </c>
      <c r="AZ131" s="67">
        <f ca="1">IF(AND(SUMIF(Capacity_Resource,$D131,'Critical resources (hide)'!BM$6:BM$105)+SUMIF(Capacity_Resource,$E131,'Critical resources (hide)'!BM$6:BM$105)+SUMIF(Capacity_Resource,$F131,'Critical resources (hide)'!BM$6:BM$105)&gt;0,$E$1=2),0,1)</f>
        <v>1</v>
      </c>
      <c r="BA131" s="67">
        <f ca="1">IF(AND(SUMIF(Capacity_Resource,$D131,'Critical resources (hide)'!BN$6:BN$105)+SUMIF(Capacity_Resource,$E131,'Critical resources (hide)'!BN$6:BN$105)+SUMIF(Capacity_Resource,$F131,'Critical resources (hide)'!BN$6:BN$105)&gt;0,$E$1=2),0,1)</f>
        <v>1</v>
      </c>
      <c r="BB131" s="67">
        <f ca="1">IF(AND(SUMIF(Capacity_Resource,$D131,'Critical resources (hide)'!BO$6:BO$105)+SUMIF(Capacity_Resource,$E131,'Critical resources (hide)'!BO$6:BO$105)+SUMIF(Capacity_Resource,$F131,'Critical resources (hide)'!BO$6:BO$105)&gt;0,$E$1=2),0,1)</f>
        <v>1</v>
      </c>
      <c r="BC131" s="67">
        <f ca="1">IF(AND(SUMIF(Capacity_Resource,$D131,'Critical resources (hide)'!BP$6:BP$105)+SUMIF(Capacity_Resource,$E131,'Critical resources (hide)'!BP$6:BP$105)+SUMIF(Capacity_Resource,$F131,'Critical resources (hide)'!BP$6:BP$105)&gt;0,$E$1=2),0,1)</f>
        <v>1</v>
      </c>
      <c r="BD131" s="67">
        <f ca="1">IF(AND(SUMIF(Capacity_Resource,$D131,'Critical resources (hide)'!BQ$6:BQ$105)+SUMIF(Capacity_Resource,$E131,'Critical resources (hide)'!BQ$6:BQ$105)+SUMIF(Capacity_Resource,$F131,'Critical resources (hide)'!BQ$6:BQ$105)&gt;0,$E$1=2),0,1)</f>
        <v>1</v>
      </c>
      <c r="BE131" s="67">
        <f ca="1">IF(AND(SUMIF(Capacity_Resource,$D131,'Critical resources (hide)'!BR$6:BR$105)+SUMIF(Capacity_Resource,$E131,'Critical resources (hide)'!BR$6:BR$105)+SUMIF(Capacity_Resource,$F131,'Critical resources (hide)'!BR$6:BR$105)&gt;0,$E$1=2),0,1)</f>
        <v>1</v>
      </c>
      <c r="BF131" s="67">
        <f ca="1">IF(AND(SUMIF(Capacity_Resource,$D131,'Critical resources (hide)'!BS$6:BS$105)+SUMIF(Capacity_Resource,$E131,'Critical resources (hide)'!BS$6:BS$105)+SUMIF(Capacity_Resource,$F131,'Critical resources (hide)'!BS$6:BS$105)&gt;0,$E$1=2),0,1)</f>
        <v>1</v>
      </c>
      <c r="BG131" s="67">
        <f ca="1">IF(AND(SUMIF(Capacity_Resource,$D131,'Critical resources (hide)'!BT$6:BT$105)+SUMIF(Capacity_Resource,$E131,'Critical resources (hide)'!BT$6:BT$105)+SUMIF(Capacity_Resource,$F131,'Critical resources (hide)'!BT$6:BT$105)&gt;0,$E$1=2),0,1)</f>
        <v>1</v>
      </c>
      <c r="BH131" s="67">
        <f>IF(ROW(A20)&lt;=Capacity!$M$16,IF('Capacity summary'!$C$14="No",SUM(H131:BG131),'Capacity summary'!$E43),0)</f>
        <v>0</v>
      </c>
      <c r="BI131" s="67" t="str">
        <f>IF(BH131&gt;0,IF(BH131&lt;Capacity!Q36,Capacity!R36,Capacity!T36/'Capacity calculation (hide)'!BH131),"")</f>
        <v/>
      </c>
      <c r="BJ131" s="5"/>
      <c r="BK131" s="5">
        <f>IF($BI131&lt;&gt;"",IF('Capacity summary'!$C$14="Yes",IF(COUNTBLANK('Capacity summary'!$H43:$BG43)&lt;52,IF('Capacity summary'!H43&lt;&gt;"",IF(LOWER('Capacity summary'!H43)="x",$BI131*H131,VALUE('Capacity summary'!H43)),0),H131*$BI131),H131*$BI131),0)</f>
        <v>0</v>
      </c>
      <c r="BL131" s="5">
        <f>IF($BI131&lt;&gt;"",IF('Capacity summary'!$C$14="Yes",IF(COUNTBLANK('Capacity summary'!$H43:$BG43)&lt;52,IF('Capacity summary'!I43&lt;&gt;"",IF(LOWER('Capacity summary'!I43)="x",$BI131*I131,VALUE('Capacity summary'!I43)),0),I131*$BI131),I131*$BI131),0)</f>
        <v>0</v>
      </c>
      <c r="BM131" s="5">
        <f>IF($BI131&lt;&gt;"",IF('Capacity summary'!$C$14="Yes",IF(COUNTBLANK('Capacity summary'!$H43:$BG43)&lt;52,IF('Capacity summary'!J43&lt;&gt;"",IF(LOWER('Capacity summary'!J43)="x",$BI131*J131,VALUE('Capacity summary'!J43)),0),J131*$BI131),J131*$BI131),0)</f>
        <v>0</v>
      </c>
      <c r="BN131" s="5">
        <f>IF($BI131&lt;&gt;"",IF('Capacity summary'!$C$14="Yes",IF(COUNTBLANK('Capacity summary'!$H43:$BG43)&lt;52,IF('Capacity summary'!K43&lt;&gt;"",IF(LOWER('Capacity summary'!K43)="x",$BI131*K131,VALUE('Capacity summary'!K43)),0),K131*$BI131),K131*$BI131),0)</f>
        <v>0</v>
      </c>
      <c r="BO131" s="5">
        <f>IF($BI131&lt;&gt;"",IF('Capacity summary'!$C$14="Yes",IF(COUNTBLANK('Capacity summary'!$H43:$BG43)&lt;52,IF('Capacity summary'!L43&lt;&gt;"",IF(LOWER('Capacity summary'!L43)="x",$BI131*L131,VALUE('Capacity summary'!L43)),0),L131*$BI131),L131*$BI131),0)</f>
        <v>0</v>
      </c>
      <c r="BP131" s="5">
        <f>IF($BI131&lt;&gt;"",IF('Capacity summary'!$C$14="Yes",IF(COUNTBLANK('Capacity summary'!$H43:$BG43)&lt;52,IF('Capacity summary'!M43&lt;&gt;"",IF(LOWER('Capacity summary'!M43)="x",$BI131*M131,VALUE('Capacity summary'!M43)),0),M131*$BI131),M131*$BI131),0)</f>
        <v>0</v>
      </c>
      <c r="BQ131" s="5">
        <f>IF($BI131&lt;&gt;"",IF('Capacity summary'!$C$14="Yes",IF(COUNTBLANK('Capacity summary'!$H43:$BG43)&lt;52,IF('Capacity summary'!N43&lt;&gt;"",IF(LOWER('Capacity summary'!N43)="x",$BI131*N131,VALUE('Capacity summary'!N43)),0),N131*$BI131),N131*$BI131),0)</f>
        <v>0</v>
      </c>
      <c r="BR131" s="5">
        <f>IF($BI131&lt;&gt;"",IF('Capacity summary'!$C$14="Yes",IF(COUNTBLANK('Capacity summary'!$H43:$BG43)&lt;52,IF('Capacity summary'!O43&lt;&gt;"",IF(LOWER('Capacity summary'!O43)="x",$BI131*O131,VALUE('Capacity summary'!O43)),0),O131*$BI131),O131*$BI131),0)</f>
        <v>0</v>
      </c>
      <c r="BS131" s="5">
        <f>IF($BI131&lt;&gt;"",IF('Capacity summary'!$C$14="Yes",IF(COUNTBLANK('Capacity summary'!$H43:$BG43)&lt;52,IF('Capacity summary'!P43&lt;&gt;"",IF(LOWER('Capacity summary'!P43)="x",$BI131*P131,VALUE('Capacity summary'!P43)),0),P131*$BI131),P131*$BI131),0)</f>
        <v>0</v>
      </c>
      <c r="BT131" s="5">
        <f>IF($BI131&lt;&gt;"",IF('Capacity summary'!$C$14="Yes",IF(COUNTBLANK('Capacity summary'!$H43:$BG43)&lt;52,IF('Capacity summary'!Q43&lt;&gt;"",IF(LOWER('Capacity summary'!Q43)="x",$BI131*Q131,VALUE('Capacity summary'!Q43)),0),Q131*$BI131),Q131*$BI131),0)</f>
        <v>0</v>
      </c>
      <c r="BU131" s="5">
        <f>IF($BI131&lt;&gt;"",IF('Capacity summary'!$C$14="Yes",IF(COUNTBLANK('Capacity summary'!$H43:$BG43)&lt;52,IF('Capacity summary'!R43&lt;&gt;"",IF(LOWER('Capacity summary'!R43)="x",$BI131*R131,VALUE('Capacity summary'!R43)),0),R131*$BI131),R131*$BI131),0)</f>
        <v>0</v>
      </c>
      <c r="BV131" s="5">
        <f>IF($BI131&lt;&gt;"",IF('Capacity summary'!$C$14="Yes",IF(COUNTBLANK('Capacity summary'!$H43:$BG43)&lt;52,IF('Capacity summary'!S43&lt;&gt;"",IF(LOWER('Capacity summary'!S43)="x",$BI131*S131,VALUE('Capacity summary'!S43)),0),S131*$BI131),S131*$BI131),0)</f>
        <v>0</v>
      </c>
      <c r="BW131" s="5">
        <f>IF($BI131&lt;&gt;"",IF('Capacity summary'!$C$14="Yes",IF(COUNTBLANK('Capacity summary'!$H43:$BG43)&lt;52,IF('Capacity summary'!T43&lt;&gt;"",IF(LOWER('Capacity summary'!T43)="x",$BI131*T131,VALUE('Capacity summary'!T43)),0),T131*$BI131),T131*$BI131),0)</f>
        <v>0</v>
      </c>
      <c r="BX131" s="5">
        <f>IF($BI131&lt;&gt;"",IF('Capacity summary'!$C$14="Yes",IF(COUNTBLANK('Capacity summary'!$H43:$BG43)&lt;52,IF('Capacity summary'!U43&lt;&gt;"",IF(LOWER('Capacity summary'!U43)="x",$BI131*U131,VALUE('Capacity summary'!U43)),0),U131*$BI131),U131*$BI131),0)</f>
        <v>0</v>
      </c>
      <c r="BY131" s="5">
        <f>IF($BI131&lt;&gt;"",IF('Capacity summary'!$C$14="Yes",IF(COUNTBLANK('Capacity summary'!$H43:$BG43)&lt;52,IF('Capacity summary'!V43&lt;&gt;"",IF(LOWER('Capacity summary'!V43)="x",$BI131*V131,VALUE('Capacity summary'!V43)),0),V131*$BI131),V131*$BI131),0)</f>
        <v>0</v>
      </c>
      <c r="BZ131" s="5">
        <f>IF($BI131&lt;&gt;"",IF('Capacity summary'!$C$14="Yes",IF(COUNTBLANK('Capacity summary'!$H43:$BG43)&lt;52,IF('Capacity summary'!W43&lt;&gt;"",IF(LOWER('Capacity summary'!W43)="x",$BI131*W131,VALUE('Capacity summary'!W43)),0),W131*$BI131),W131*$BI131),0)</f>
        <v>0</v>
      </c>
      <c r="CA131" s="5">
        <f>IF($BI131&lt;&gt;"",IF('Capacity summary'!$C$14="Yes",IF(COUNTBLANK('Capacity summary'!$H43:$BG43)&lt;52,IF('Capacity summary'!X43&lt;&gt;"",IF(LOWER('Capacity summary'!X43)="x",$BI131*X131,VALUE('Capacity summary'!X43)),0),X131*$BI131),X131*$BI131),0)</f>
        <v>0</v>
      </c>
      <c r="CB131" s="5">
        <f>IF($BI131&lt;&gt;"",IF('Capacity summary'!$C$14="Yes",IF(COUNTBLANK('Capacity summary'!$H43:$BG43)&lt;52,IF('Capacity summary'!Y43&lt;&gt;"",IF(LOWER('Capacity summary'!Y43)="x",$BI131*Y131,VALUE('Capacity summary'!Y43)),0),Y131*$BI131),Y131*$BI131),0)</f>
        <v>0</v>
      </c>
      <c r="CC131" s="5">
        <f>IF($BI131&lt;&gt;"",IF('Capacity summary'!$C$14="Yes",IF(COUNTBLANK('Capacity summary'!$H43:$BG43)&lt;52,IF('Capacity summary'!Z43&lt;&gt;"",IF(LOWER('Capacity summary'!Z43)="x",$BI131*Z131,VALUE('Capacity summary'!Z43)),0),Z131*$BI131),Z131*$BI131),0)</f>
        <v>0</v>
      </c>
      <c r="CD131" s="5">
        <f>IF($BI131&lt;&gt;"",IF('Capacity summary'!$C$14="Yes",IF(COUNTBLANK('Capacity summary'!$H43:$BG43)&lt;52,IF('Capacity summary'!AA43&lt;&gt;"",IF(LOWER('Capacity summary'!AA43)="x",$BI131*AA131,VALUE('Capacity summary'!AA43)),0),AA131*$BI131),AA131*$BI131),0)</f>
        <v>0</v>
      </c>
      <c r="CE131" s="5">
        <f>IF($BI131&lt;&gt;"",IF('Capacity summary'!$C$14="Yes",IF(COUNTBLANK('Capacity summary'!$H43:$BG43)&lt;52,IF('Capacity summary'!AB43&lt;&gt;"",IF(LOWER('Capacity summary'!AB43)="x",$BI131*AB131,VALUE('Capacity summary'!AB43)),0),AB131*$BI131),AB131*$BI131),0)</f>
        <v>0</v>
      </c>
      <c r="CF131" s="5">
        <f>IF($BI131&lt;&gt;"",IF('Capacity summary'!$C$14="Yes",IF(COUNTBLANK('Capacity summary'!$H43:$BG43)&lt;52,IF('Capacity summary'!AC43&lt;&gt;"",IF(LOWER('Capacity summary'!AC43)="x",$BI131*AC131,VALUE('Capacity summary'!AC43)),0),AC131*$BI131),AC131*$BI131),0)</f>
        <v>0</v>
      </c>
      <c r="CG131" s="5">
        <f>IF($BI131&lt;&gt;"",IF('Capacity summary'!$C$14="Yes",IF(COUNTBLANK('Capacity summary'!$H43:$BG43)&lt;52,IF('Capacity summary'!AD43&lt;&gt;"",IF(LOWER('Capacity summary'!AD43)="x",$BI131*AD131,VALUE('Capacity summary'!AD43)),0),AD131*$BI131),AD131*$BI131),0)</f>
        <v>0</v>
      </c>
      <c r="CH131" s="5">
        <f>IF($BI131&lt;&gt;"",IF('Capacity summary'!$C$14="Yes",IF(COUNTBLANK('Capacity summary'!$H43:$BG43)&lt;52,IF('Capacity summary'!AE43&lt;&gt;"",IF(LOWER('Capacity summary'!AE43)="x",$BI131*AE131,VALUE('Capacity summary'!AE43)),0),AE131*$BI131),AE131*$BI131),0)</f>
        <v>0</v>
      </c>
      <c r="CI131" s="5">
        <f>IF($BI131&lt;&gt;"",IF('Capacity summary'!$C$14="Yes",IF(COUNTBLANK('Capacity summary'!$H43:$BG43)&lt;52,IF('Capacity summary'!AF43&lt;&gt;"",IF(LOWER('Capacity summary'!AF43)="x",$BI131*AF131,VALUE('Capacity summary'!AF43)),0),AF131*$BI131),AF131*$BI131),0)</f>
        <v>0</v>
      </c>
      <c r="CJ131" s="5">
        <f>IF($BI131&lt;&gt;"",IF('Capacity summary'!$C$14="Yes",IF(COUNTBLANK('Capacity summary'!$H43:$BG43)&lt;52,IF('Capacity summary'!AG43&lt;&gt;"",IF(LOWER('Capacity summary'!AG43)="x",$BI131*AG131,VALUE('Capacity summary'!AG43)),0),AG131*$BI131),AG131*$BI131),0)</f>
        <v>0</v>
      </c>
      <c r="CK131" s="5">
        <f>IF($BI131&lt;&gt;"",IF('Capacity summary'!$C$14="Yes",IF(COUNTBLANK('Capacity summary'!$H43:$BG43)&lt;52,IF('Capacity summary'!AH43&lt;&gt;"",IF(LOWER('Capacity summary'!AH43)="x",$BI131*AH131,VALUE('Capacity summary'!AH43)),0),AH131*$BI131),AH131*$BI131),0)</f>
        <v>0</v>
      </c>
      <c r="CL131" s="5">
        <f>IF($BI131&lt;&gt;"",IF('Capacity summary'!$C$14="Yes",IF(COUNTBLANK('Capacity summary'!$H43:$BG43)&lt;52,IF('Capacity summary'!AI43&lt;&gt;"",IF(LOWER('Capacity summary'!AI43)="x",$BI131*AI131,VALUE('Capacity summary'!AI43)),0),AI131*$BI131),AI131*$BI131),0)</f>
        <v>0</v>
      </c>
      <c r="CM131" s="5">
        <f>IF($BI131&lt;&gt;"",IF('Capacity summary'!$C$14="Yes",IF(COUNTBLANK('Capacity summary'!$H43:$BG43)&lt;52,IF('Capacity summary'!AJ43&lt;&gt;"",IF(LOWER('Capacity summary'!AJ43)="x",$BI131*AJ131,VALUE('Capacity summary'!AJ43)),0),AJ131*$BI131),AJ131*$BI131),0)</f>
        <v>0</v>
      </c>
      <c r="CN131" s="5">
        <f>IF($BI131&lt;&gt;"",IF('Capacity summary'!$C$14="Yes",IF(COUNTBLANK('Capacity summary'!$H43:$BG43)&lt;52,IF('Capacity summary'!AK43&lt;&gt;"",IF(LOWER('Capacity summary'!AK43)="x",$BI131*AK131,VALUE('Capacity summary'!AK43)),0),AK131*$BI131),AK131*$BI131),0)</f>
        <v>0</v>
      </c>
      <c r="CO131" s="5">
        <f>IF($BI131&lt;&gt;"",IF('Capacity summary'!$C$14="Yes",IF(COUNTBLANK('Capacity summary'!$H43:$BG43)&lt;52,IF('Capacity summary'!AL43&lt;&gt;"",IF(LOWER('Capacity summary'!AL43)="x",$BI131*AL131,VALUE('Capacity summary'!AL43)),0),AL131*$BI131),AL131*$BI131),0)</f>
        <v>0</v>
      </c>
      <c r="CP131" s="5">
        <f>IF($BI131&lt;&gt;"",IF('Capacity summary'!$C$14="Yes",IF(COUNTBLANK('Capacity summary'!$H43:$BG43)&lt;52,IF('Capacity summary'!AM43&lt;&gt;"",IF(LOWER('Capacity summary'!AM43)="x",$BI131*AM131,VALUE('Capacity summary'!AM43)),0),AM131*$BI131),AM131*$BI131),0)</f>
        <v>0</v>
      </c>
      <c r="CQ131" s="5">
        <f>IF($BI131&lt;&gt;"",IF('Capacity summary'!$C$14="Yes",IF(COUNTBLANK('Capacity summary'!$H43:$BG43)&lt;52,IF('Capacity summary'!AN43&lt;&gt;"",IF(LOWER('Capacity summary'!AN43)="x",$BI131*AN131,VALUE('Capacity summary'!AN43)),0),AN131*$BI131),AN131*$BI131),0)</f>
        <v>0</v>
      </c>
      <c r="CR131" s="5">
        <f>IF($BI131&lt;&gt;"",IF('Capacity summary'!$C$14="Yes",IF(COUNTBLANK('Capacity summary'!$H43:$BG43)&lt;52,IF('Capacity summary'!AO43&lt;&gt;"",IF(LOWER('Capacity summary'!AO43)="x",$BI131*AO131,VALUE('Capacity summary'!AO43)),0),AO131*$BI131),AO131*$BI131),0)</f>
        <v>0</v>
      </c>
      <c r="CS131" s="5">
        <f>IF($BI131&lt;&gt;"",IF('Capacity summary'!$C$14="Yes",IF(COUNTBLANK('Capacity summary'!$H43:$BG43)&lt;52,IF('Capacity summary'!AP43&lt;&gt;"",IF(LOWER('Capacity summary'!AP43)="x",$BI131*AP131,VALUE('Capacity summary'!AP43)),0),AP131*$BI131),AP131*$BI131),0)</f>
        <v>0</v>
      </c>
      <c r="CT131" s="5">
        <f>IF($BI131&lt;&gt;"",IF('Capacity summary'!$C$14="Yes",IF(COUNTBLANK('Capacity summary'!$H43:$BG43)&lt;52,IF('Capacity summary'!AQ43&lt;&gt;"",IF(LOWER('Capacity summary'!AQ43)="x",$BI131*AQ131,VALUE('Capacity summary'!AQ43)),0),AQ131*$BI131),AQ131*$BI131),0)</f>
        <v>0</v>
      </c>
      <c r="CU131" s="5">
        <f>IF($BI131&lt;&gt;"",IF('Capacity summary'!$C$14="Yes",IF(COUNTBLANK('Capacity summary'!$H43:$BG43)&lt;52,IF('Capacity summary'!AR43&lt;&gt;"",IF(LOWER('Capacity summary'!AR43)="x",$BI131*AR131,VALUE('Capacity summary'!AR43)),0),AR131*$BI131),AR131*$BI131),0)</f>
        <v>0</v>
      </c>
      <c r="CV131" s="5">
        <f>IF($BI131&lt;&gt;"",IF('Capacity summary'!$C$14="Yes",IF(COUNTBLANK('Capacity summary'!$H43:$BG43)&lt;52,IF('Capacity summary'!AS43&lt;&gt;"",IF(LOWER('Capacity summary'!AS43)="x",$BI131*AS131,VALUE('Capacity summary'!AS43)),0),AS131*$BI131),AS131*$BI131),0)</f>
        <v>0</v>
      </c>
      <c r="CW131" s="5">
        <f>IF($BI131&lt;&gt;"",IF('Capacity summary'!$C$14="Yes",IF(COUNTBLANK('Capacity summary'!$H43:$BG43)&lt;52,IF('Capacity summary'!AT43&lt;&gt;"",IF(LOWER('Capacity summary'!AT43)="x",$BI131*AT131,VALUE('Capacity summary'!AT43)),0),AT131*$BI131),AT131*$BI131),0)</f>
        <v>0</v>
      </c>
      <c r="CX131" s="5">
        <f>IF($BI131&lt;&gt;"",IF('Capacity summary'!$C$14="Yes",IF(COUNTBLANK('Capacity summary'!$H43:$BG43)&lt;52,IF('Capacity summary'!AU43&lt;&gt;"",IF(LOWER('Capacity summary'!AU43)="x",$BI131*AU131,VALUE('Capacity summary'!AU43)),0),AU131*$BI131),AU131*$BI131),0)</f>
        <v>0</v>
      </c>
      <c r="CY131" s="5">
        <f>IF($BI131&lt;&gt;"",IF('Capacity summary'!$C$14="Yes",IF(COUNTBLANK('Capacity summary'!$H43:$BG43)&lt;52,IF('Capacity summary'!AV43&lt;&gt;"",IF(LOWER('Capacity summary'!AV43)="x",$BI131*AV131,VALUE('Capacity summary'!AV43)),0),AV131*$BI131),AV131*$BI131),0)</f>
        <v>0</v>
      </c>
      <c r="CZ131" s="5">
        <f>IF($BI131&lt;&gt;"",IF('Capacity summary'!$C$14="Yes",IF(COUNTBLANK('Capacity summary'!$H43:$BG43)&lt;52,IF('Capacity summary'!AW43&lt;&gt;"",IF(LOWER('Capacity summary'!AW43)="x",$BI131*AW131,VALUE('Capacity summary'!AW43)),0),AW131*$BI131),AW131*$BI131),0)</f>
        <v>0</v>
      </c>
      <c r="DA131" s="5">
        <f>IF($BI131&lt;&gt;"",IF('Capacity summary'!$C$14="Yes",IF(COUNTBLANK('Capacity summary'!$H43:$BG43)&lt;52,IF('Capacity summary'!AX43&lt;&gt;"",IF(LOWER('Capacity summary'!AX43)="x",$BI131*AX131,VALUE('Capacity summary'!AX43)),0),AX131*$BI131),AX131*$BI131),0)</f>
        <v>0</v>
      </c>
      <c r="DB131" s="5">
        <f>IF($BI131&lt;&gt;"",IF('Capacity summary'!$C$14="Yes",IF(COUNTBLANK('Capacity summary'!$H43:$BG43)&lt;52,IF('Capacity summary'!AY43&lt;&gt;"",IF(LOWER('Capacity summary'!AY43)="x",$BI131*AY131,VALUE('Capacity summary'!AY43)),0),AY131*$BI131),AY131*$BI131),0)</f>
        <v>0</v>
      </c>
      <c r="DC131" s="5">
        <f>IF($BI131&lt;&gt;"",IF('Capacity summary'!$C$14="Yes",IF(COUNTBLANK('Capacity summary'!$H43:$BG43)&lt;52,IF('Capacity summary'!AZ43&lt;&gt;"",IF(LOWER('Capacity summary'!AZ43)="x",$BI131*AZ131,VALUE('Capacity summary'!AZ43)),0),AZ131*$BI131),AZ131*$BI131),0)</f>
        <v>0</v>
      </c>
      <c r="DD131" s="5">
        <f>IF($BI131&lt;&gt;"",IF('Capacity summary'!$C$14="Yes",IF(COUNTBLANK('Capacity summary'!$H43:$BG43)&lt;52,IF('Capacity summary'!BA43&lt;&gt;"",IF(LOWER('Capacity summary'!BA43)="x",$BI131*BA131,VALUE('Capacity summary'!BA43)),0),BA131*$BI131),BA131*$BI131),0)</f>
        <v>0</v>
      </c>
      <c r="DE131" s="5">
        <f>IF($BI131&lt;&gt;"",IF('Capacity summary'!$C$14="Yes",IF(COUNTBLANK('Capacity summary'!$H43:$BG43)&lt;52,IF('Capacity summary'!BB43&lt;&gt;"",IF(LOWER('Capacity summary'!BB43)="x",$BI131*BB131,VALUE('Capacity summary'!BB43)),0),BB131*$BI131),BB131*$BI131),0)</f>
        <v>0</v>
      </c>
      <c r="DF131" s="5">
        <f>IF($BI131&lt;&gt;"",IF('Capacity summary'!$C$14="Yes",IF(COUNTBLANK('Capacity summary'!$H43:$BG43)&lt;52,IF('Capacity summary'!BC43&lt;&gt;"",IF(LOWER('Capacity summary'!BC43)="x",$BI131*BC131,VALUE('Capacity summary'!BC43)),0),BC131*$BI131),BC131*$BI131),0)</f>
        <v>0</v>
      </c>
      <c r="DG131" s="5">
        <f>IF($BI131&lt;&gt;"",IF('Capacity summary'!$C$14="Yes",IF(COUNTBLANK('Capacity summary'!$H43:$BG43)&lt;52,IF('Capacity summary'!BD43&lt;&gt;"",IF(LOWER('Capacity summary'!BD43)="x",$BI131*BD131,VALUE('Capacity summary'!BD43)),0),BD131*$BI131),BD131*$BI131),0)</f>
        <v>0</v>
      </c>
      <c r="DH131" s="5">
        <f>IF($BI131&lt;&gt;"",IF('Capacity summary'!$C$14="Yes",IF(COUNTBLANK('Capacity summary'!$H43:$BG43)&lt;52,IF('Capacity summary'!BE43&lt;&gt;"",IF(LOWER('Capacity summary'!BE43)="x",$BI131*BE131,VALUE('Capacity summary'!BE43)),0),BE131*$BI131),BE131*$BI131),0)</f>
        <v>0</v>
      </c>
      <c r="DI131" s="5">
        <f>IF($BI131&lt;&gt;"",IF('Capacity summary'!$C$14="Yes",IF(COUNTBLANK('Capacity summary'!$H43:$BG43)&lt;52,IF('Capacity summary'!BF43&lt;&gt;"",IF(LOWER('Capacity summary'!BF43)="x",$BI131*BF131,VALUE('Capacity summary'!BF43)),0),BF131*$BI131),BF131*$BI131),0)</f>
        <v>0</v>
      </c>
      <c r="DJ131" s="5">
        <f>IF($BI131&lt;&gt;"",IF('Capacity summary'!$C$14="Yes",IF(COUNTBLANK('Capacity summary'!$H43:$BG43)&lt;52,IF('Capacity summary'!BG43&lt;&gt;"",IF(LOWER('Capacity summary'!BG43)="x",$BI131*BG131,VALUE('Capacity summary'!BG43)),0),BG131*$BI131),BG131*$BI131),0)</f>
        <v>0</v>
      </c>
      <c r="DK131" s="5">
        <f t="shared" ref="DK131" si="25">SUM(DK132:DK231)</f>
        <v>0</v>
      </c>
    </row>
    <row r="132" spans="3:115" x14ac:dyDescent="0.25">
      <c r="C132" s="67" t="str">
        <f>ROW(A21)&amp;". "&amp;Capacity!N37</f>
        <v xml:space="preserve">21. </v>
      </c>
      <c r="D132" s="67">
        <f>'Capacity setup'!C138</f>
        <v>0</v>
      </c>
      <c r="E132" s="67">
        <f>'Capacity setup'!D138</f>
        <v>0</v>
      </c>
      <c r="F132" s="67">
        <f>'Capacity setup'!E138</f>
        <v>0</v>
      </c>
      <c r="H132" s="67">
        <f ca="1">IF(AND(SUMIF(Capacity_Resource,$D132,'Critical resources (hide)'!U$6:U$105)+SUMIF(Capacity_Resource,$E132,'Critical resources (hide)'!U$6:U$105)+SUMIF(Capacity_Resource,$F132,'Critical resources (hide)'!U$6:U$105)&gt;0,$E$1=2),0,1)</f>
        <v>1</v>
      </c>
      <c r="I132" s="67">
        <f ca="1">IF(AND(SUMIF(Capacity_Resource,$D132,'Critical resources (hide)'!V$6:V$105)+SUMIF(Capacity_Resource,$E132,'Critical resources (hide)'!V$6:V$105)+SUMIF(Capacity_Resource,$F132,'Critical resources (hide)'!V$6:V$105)&gt;0,$E$1=2),0,1)</f>
        <v>1</v>
      </c>
      <c r="J132" s="67">
        <f ca="1">IF(AND(SUMIF(Capacity_Resource,$D132,'Critical resources (hide)'!W$6:W$105)+SUMIF(Capacity_Resource,$E132,'Critical resources (hide)'!W$6:W$105)+SUMIF(Capacity_Resource,$F132,'Critical resources (hide)'!W$6:W$105)&gt;0,$E$1=2),0,1)</f>
        <v>1</v>
      </c>
      <c r="K132" s="67">
        <f ca="1">IF(AND(SUMIF(Capacity_Resource,$D132,'Critical resources (hide)'!X$6:X$105)+SUMIF(Capacity_Resource,$E132,'Critical resources (hide)'!X$6:X$105)+SUMIF(Capacity_Resource,$F132,'Critical resources (hide)'!X$6:X$105)&gt;0,$E$1=2),0,1)</f>
        <v>1</v>
      </c>
      <c r="L132" s="67">
        <f ca="1">IF(AND(SUMIF(Capacity_Resource,$D132,'Critical resources (hide)'!Y$6:Y$105)+SUMIF(Capacity_Resource,$E132,'Critical resources (hide)'!Y$6:Y$105)+SUMIF(Capacity_Resource,$F132,'Critical resources (hide)'!Y$6:Y$105)&gt;0,$E$1=2),0,1)</f>
        <v>1</v>
      </c>
      <c r="M132" s="67">
        <f ca="1">IF(AND(SUMIF(Capacity_Resource,$D132,'Critical resources (hide)'!Z$6:Z$105)+SUMIF(Capacity_Resource,$E132,'Critical resources (hide)'!Z$6:Z$105)+SUMIF(Capacity_Resource,$F132,'Critical resources (hide)'!Z$6:Z$105)&gt;0,$E$1=2),0,1)</f>
        <v>1</v>
      </c>
      <c r="N132" s="67">
        <f ca="1">IF(AND(SUMIF(Capacity_Resource,$D132,'Critical resources (hide)'!AA$6:AA$105)+SUMIF(Capacity_Resource,$E132,'Critical resources (hide)'!AA$6:AA$105)+SUMIF(Capacity_Resource,$F132,'Critical resources (hide)'!AA$6:AA$105)&gt;0,$E$1=2),0,1)</f>
        <v>1</v>
      </c>
      <c r="O132" s="67">
        <f ca="1">IF(AND(SUMIF(Capacity_Resource,$D132,'Critical resources (hide)'!AB$6:AB$105)+SUMIF(Capacity_Resource,$E132,'Critical resources (hide)'!AB$6:AB$105)+SUMIF(Capacity_Resource,$F132,'Critical resources (hide)'!AB$6:AB$105)&gt;0,$E$1=2),0,1)</f>
        <v>1</v>
      </c>
      <c r="P132" s="67">
        <f ca="1">IF(AND(SUMIF(Capacity_Resource,$D132,'Critical resources (hide)'!AC$6:AC$105)+SUMIF(Capacity_Resource,$E132,'Critical resources (hide)'!AC$6:AC$105)+SUMIF(Capacity_Resource,$F132,'Critical resources (hide)'!AC$6:AC$105)&gt;0,$E$1=2),0,1)</f>
        <v>1</v>
      </c>
      <c r="Q132" s="67">
        <f ca="1">IF(AND(SUMIF(Capacity_Resource,$D132,'Critical resources (hide)'!AD$6:AD$105)+SUMIF(Capacity_Resource,$E132,'Critical resources (hide)'!AD$6:AD$105)+SUMIF(Capacity_Resource,$F132,'Critical resources (hide)'!AD$6:AD$105)&gt;0,$E$1=2),0,1)</f>
        <v>1</v>
      </c>
      <c r="R132" s="67">
        <f ca="1">IF(AND(SUMIF(Capacity_Resource,$D132,'Critical resources (hide)'!AE$6:AE$105)+SUMIF(Capacity_Resource,$E132,'Critical resources (hide)'!AE$6:AE$105)+SUMIF(Capacity_Resource,$F132,'Critical resources (hide)'!AE$6:AE$105)&gt;0,$E$1=2),0,1)</f>
        <v>1</v>
      </c>
      <c r="S132" s="67">
        <f ca="1">IF(AND(SUMIF(Capacity_Resource,$D132,'Critical resources (hide)'!AF$6:AF$105)+SUMIF(Capacity_Resource,$E132,'Critical resources (hide)'!AF$6:AF$105)+SUMIF(Capacity_Resource,$F132,'Critical resources (hide)'!AF$6:AF$105)&gt;0,$E$1=2),0,1)</f>
        <v>1</v>
      </c>
      <c r="T132" s="67">
        <f ca="1">IF(AND(SUMIF(Capacity_Resource,$D132,'Critical resources (hide)'!AG$6:AG$105)+SUMIF(Capacity_Resource,$E132,'Critical resources (hide)'!AG$6:AG$105)+SUMIF(Capacity_Resource,$F132,'Critical resources (hide)'!AG$6:AG$105)&gt;0,$E$1=2),0,1)</f>
        <v>1</v>
      </c>
      <c r="U132" s="67">
        <f ca="1">IF(AND(SUMIF(Capacity_Resource,$D132,'Critical resources (hide)'!AH$6:AH$105)+SUMIF(Capacity_Resource,$E132,'Critical resources (hide)'!AH$6:AH$105)+SUMIF(Capacity_Resource,$F132,'Critical resources (hide)'!AH$6:AH$105)&gt;0,$E$1=2),0,1)</f>
        <v>1</v>
      </c>
      <c r="V132" s="67">
        <f ca="1">IF(AND(SUMIF(Capacity_Resource,$D132,'Critical resources (hide)'!AI$6:AI$105)+SUMIF(Capacity_Resource,$E132,'Critical resources (hide)'!AI$6:AI$105)+SUMIF(Capacity_Resource,$F132,'Critical resources (hide)'!AI$6:AI$105)&gt;0,$E$1=2),0,1)</f>
        <v>1</v>
      </c>
      <c r="W132" s="67">
        <f ca="1">IF(AND(SUMIF(Capacity_Resource,$D132,'Critical resources (hide)'!AJ$6:AJ$105)+SUMIF(Capacity_Resource,$E132,'Critical resources (hide)'!AJ$6:AJ$105)+SUMIF(Capacity_Resource,$F132,'Critical resources (hide)'!AJ$6:AJ$105)&gt;0,$E$1=2),0,1)</f>
        <v>1</v>
      </c>
      <c r="X132" s="67">
        <f ca="1">IF(AND(SUMIF(Capacity_Resource,$D132,'Critical resources (hide)'!AK$6:AK$105)+SUMIF(Capacity_Resource,$E132,'Critical resources (hide)'!AK$6:AK$105)+SUMIF(Capacity_Resource,$F132,'Critical resources (hide)'!AK$6:AK$105)&gt;0,$E$1=2),0,1)</f>
        <v>1</v>
      </c>
      <c r="Y132" s="67">
        <f ca="1">IF(AND(SUMIF(Capacity_Resource,$D132,'Critical resources (hide)'!AL$6:AL$105)+SUMIF(Capacity_Resource,$E132,'Critical resources (hide)'!AL$6:AL$105)+SUMIF(Capacity_Resource,$F132,'Critical resources (hide)'!AL$6:AL$105)&gt;0,$E$1=2),0,1)</f>
        <v>1</v>
      </c>
      <c r="Z132" s="67">
        <f ca="1">IF(AND(SUMIF(Capacity_Resource,$D132,'Critical resources (hide)'!AM$6:AM$105)+SUMIF(Capacity_Resource,$E132,'Critical resources (hide)'!AM$6:AM$105)+SUMIF(Capacity_Resource,$F132,'Critical resources (hide)'!AM$6:AM$105)&gt;0,$E$1=2),0,1)</f>
        <v>1</v>
      </c>
      <c r="AA132" s="67">
        <f ca="1">IF(AND(SUMIF(Capacity_Resource,$D132,'Critical resources (hide)'!AN$6:AN$105)+SUMIF(Capacity_Resource,$E132,'Critical resources (hide)'!AN$6:AN$105)+SUMIF(Capacity_Resource,$F132,'Critical resources (hide)'!AN$6:AN$105)&gt;0,$E$1=2),0,1)</f>
        <v>1</v>
      </c>
      <c r="AB132" s="67">
        <f ca="1">IF(AND(SUMIF(Capacity_Resource,$D132,'Critical resources (hide)'!AO$6:AO$105)+SUMIF(Capacity_Resource,$E132,'Critical resources (hide)'!AO$6:AO$105)+SUMIF(Capacity_Resource,$F132,'Critical resources (hide)'!AO$6:AO$105)&gt;0,$E$1=2),0,1)</f>
        <v>1</v>
      </c>
      <c r="AC132" s="67">
        <f ca="1">IF(AND(SUMIF(Capacity_Resource,$D132,'Critical resources (hide)'!AP$6:AP$105)+SUMIF(Capacity_Resource,$E132,'Critical resources (hide)'!AP$6:AP$105)+SUMIF(Capacity_Resource,$F132,'Critical resources (hide)'!AP$6:AP$105)&gt;0,$E$1=2),0,1)</f>
        <v>1</v>
      </c>
      <c r="AD132" s="67">
        <f ca="1">IF(AND(SUMIF(Capacity_Resource,$D132,'Critical resources (hide)'!AQ$6:AQ$105)+SUMIF(Capacity_Resource,$E132,'Critical resources (hide)'!AQ$6:AQ$105)+SUMIF(Capacity_Resource,$F132,'Critical resources (hide)'!AQ$6:AQ$105)&gt;0,$E$1=2),0,1)</f>
        <v>1</v>
      </c>
      <c r="AE132" s="67">
        <f ca="1">IF(AND(SUMIF(Capacity_Resource,$D132,'Critical resources (hide)'!AR$6:AR$105)+SUMIF(Capacity_Resource,$E132,'Critical resources (hide)'!AR$6:AR$105)+SUMIF(Capacity_Resource,$F132,'Critical resources (hide)'!AR$6:AR$105)&gt;0,$E$1=2),0,1)</f>
        <v>1</v>
      </c>
      <c r="AF132" s="67">
        <f ca="1">IF(AND(SUMIF(Capacity_Resource,$D132,'Critical resources (hide)'!AS$6:AS$105)+SUMIF(Capacity_Resource,$E132,'Critical resources (hide)'!AS$6:AS$105)+SUMIF(Capacity_Resource,$F132,'Critical resources (hide)'!AS$6:AS$105)&gt;0,$E$1=2),0,1)</f>
        <v>1</v>
      </c>
      <c r="AG132" s="67">
        <f ca="1">IF(AND(SUMIF(Capacity_Resource,$D132,'Critical resources (hide)'!AT$6:AT$105)+SUMIF(Capacity_Resource,$E132,'Critical resources (hide)'!AT$6:AT$105)+SUMIF(Capacity_Resource,$F132,'Critical resources (hide)'!AT$6:AT$105)&gt;0,$E$1=2),0,1)</f>
        <v>1</v>
      </c>
      <c r="AH132" s="67">
        <f ca="1">IF(AND(SUMIF(Capacity_Resource,$D132,'Critical resources (hide)'!AU$6:AU$105)+SUMIF(Capacity_Resource,$E132,'Critical resources (hide)'!AU$6:AU$105)+SUMIF(Capacity_Resource,$F132,'Critical resources (hide)'!AU$6:AU$105)&gt;0,$E$1=2),0,1)</f>
        <v>1</v>
      </c>
      <c r="AI132" s="67">
        <f ca="1">IF(AND(SUMIF(Capacity_Resource,$D132,'Critical resources (hide)'!AV$6:AV$105)+SUMIF(Capacity_Resource,$E132,'Critical resources (hide)'!AV$6:AV$105)+SUMIF(Capacity_Resource,$F132,'Critical resources (hide)'!AV$6:AV$105)&gt;0,$E$1=2),0,1)</f>
        <v>1</v>
      </c>
      <c r="AJ132" s="67">
        <f ca="1">IF(AND(SUMIF(Capacity_Resource,$D132,'Critical resources (hide)'!AW$6:AW$105)+SUMIF(Capacity_Resource,$E132,'Critical resources (hide)'!AW$6:AW$105)+SUMIF(Capacity_Resource,$F132,'Critical resources (hide)'!AW$6:AW$105)&gt;0,$E$1=2),0,1)</f>
        <v>1</v>
      </c>
      <c r="AK132" s="67">
        <f ca="1">IF(AND(SUMIF(Capacity_Resource,$D132,'Critical resources (hide)'!AX$6:AX$105)+SUMIF(Capacity_Resource,$E132,'Critical resources (hide)'!AX$6:AX$105)+SUMIF(Capacity_Resource,$F132,'Critical resources (hide)'!AX$6:AX$105)&gt;0,$E$1=2),0,1)</f>
        <v>1</v>
      </c>
      <c r="AL132" s="67">
        <f ca="1">IF(AND(SUMIF(Capacity_Resource,$D132,'Critical resources (hide)'!AY$6:AY$105)+SUMIF(Capacity_Resource,$E132,'Critical resources (hide)'!AY$6:AY$105)+SUMIF(Capacity_Resource,$F132,'Critical resources (hide)'!AY$6:AY$105)&gt;0,$E$1=2),0,1)</f>
        <v>1</v>
      </c>
      <c r="AM132" s="67">
        <f ca="1">IF(AND(SUMIF(Capacity_Resource,$D132,'Critical resources (hide)'!AZ$6:AZ$105)+SUMIF(Capacity_Resource,$E132,'Critical resources (hide)'!AZ$6:AZ$105)+SUMIF(Capacity_Resource,$F132,'Critical resources (hide)'!AZ$6:AZ$105)&gt;0,$E$1=2),0,1)</f>
        <v>1</v>
      </c>
      <c r="AN132" s="67">
        <f ca="1">IF(AND(SUMIF(Capacity_Resource,$D132,'Critical resources (hide)'!BA$6:BA$105)+SUMIF(Capacity_Resource,$E132,'Critical resources (hide)'!BA$6:BA$105)+SUMIF(Capacity_Resource,$F132,'Critical resources (hide)'!BA$6:BA$105)&gt;0,$E$1=2),0,1)</f>
        <v>1</v>
      </c>
      <c r="AO132" s="67">
        <f ca="1">IF(AND(SUMIF(Capacity_Resource,$D132,'Critical resources (hide)'!BB$6:BB$105)+SUMIF(Capacity_Resource,$E132,'Critical resources (hide)'!BB$6:BB$105)+SUMIF(Capacity_Resource,$F132,'Critical resources (hide)'!BB$6:BB$105)&gt;0,$E$1=2),0,1)</f>
        <v>1</v>
      </c>
      <c r="AP132" s="67">
        <f ca="1">IF(AND(SUMIF(Capacity_Resource,$D132,'Critical resources (hide)'!BC$6:BC$105)+SUMIF(Capacity_Resource,$E132,'Critical resources (hide)'!BC$6:BC$105)+SUMIF(Capacity_Resource,$F132,'Critical resources (hide)'!BC$6:BC$105)&gt;0,$E$1=2),0,1)</f>
        <v>1</v>
      </c>
      <c r="AQ132" s="67">
        <f ca="1">IF(AND(SUMIF(Capacity_Resource,$D132,'Critical resources (hide)'!BD$6:BD$105)+SUMIF(Capacity_Resource,$E132,'Critical resources (hide)'!BD$6:BD$105)+SUMIF(Capacity_Resource,$F132,'Critical resources (hide)'!BD$6:BD$105)&gt;0,$E$1=2),0,1)</f>
        <v>1</v>
      </c>
      <c r="AR132" s="67">
        <f ca="1">IF(AND(SUMIF(Capacity_Resource,$D132,'Critical resources (hide)'!BE$6:BE$105)+SUMIF(Capacity_Resource,$E132,'Critical resources (hide)'!BE$6:BE$105)+SUMIF(Capacity_Resource,$F132,'Critical resources (hide)'!BE$6:BE$105)&gt;0,$E$1=2),0,1)</f>
        <v>1</v>
      </c>
      <c r="AS132" s="67">
        <f ca="1">IF(AND(SUMIF(Capacity_Resource,$D132,'Critical resources (hide)'!BF$6:BF$105)+SUMIF(Capacity_Resource,$E132,'Critical resources (hide)'!BF$6:BF$105)+SUMIF(Capacity_Resource,$F132,'Critical resources (hide)'!BF$6:BF$105)&gt;0,$E$1=2),0,1)</f>
        <v>1</v>
      </c>
      <c r="AT132" s="67">
        <f ca="1">IF(AND(SUMIF(Capacity_Resource,$D132,'Critical resources (hide)'!BG$6:BG$105)+SUMIF(Capacity_Resource,$E132,'Critical resources (hide)'!BG$6:BG$105)+SUMIF(Capacity_Resource,$F132,'Critical resources (hide)'!BG$6:BG$105)&gt;0,$E$1=2),0,1)</f>
        <v>1</v>
      </c>
      <c r="AU132" s="67">
        <f ca="1">IF(AND(SUMIF(Capacity_Resource,$D132,'Critical resources (hide)'!BH$6:BH$105)+SUMIF(Capacity_Resource,$E132,'Critical resources (hide)'!BH$6:BH$105)+SUMIF(Capacity_Resource,$F132,'Critical resources (hide)'!BH$6:BH$105)&gt;0,$E$1=2),0,1)</f>
        <v>1</v>
      </c>
      <c r="AV132" s="67">
        <f ca="1">IF(AND(SUMIF(Capacity_Resource,$D132,'Critical resources (hide)'!BI$6:BI$105)+SUMIF(Capacity_Resource,$E132,'Critical resources (hide)'!BI$6:BI$105)+SUMIF(Capacity_Resource,$F132,'Critical resources (hide)'!BI$6:BI$105)&gt;0,$E$1=2),0,1)</f>
        <v>1</v>
      </c>
      <c r="AW132" s="67">
        <f ca="1">IF(AND(SUMIF(Capacity_Resource,$D132,'Critical resources (hide)'!BJ$6:BJ$105)+SUMIF(Capacity_Resource,$E132,'Critical resources (hide)'!BJ$6:BJ$105)+SUMIF(Capacity_Resource,$F132,'Critical resources (hide)'!BJ$6:BJ$105)&gt;0,$E$1=2),0,1)</f>
        <v>1</v>
      </c>
      <c r="AX132" s="67">
        <f ca="1">IF(AND(SUMIF(Capacity_Resource,$D132,'Critical resources (hide)'!BK$6:BK$105)+SUMIF(Capacity_Resource,$E132,'Critical resources (hide)'!BK$6:BK$105)+SUMIF(Capacity_Resource,$F132,'Critical resources (hide)'!BK$6:BK$105)&gt;0,$E$1=2),0,1)</f>
        <v>1</v>
      </c>
      <c r="AY132" s="67">
        <f ca="1">IF(AND(SUMIF(Capacity_Resource,$D132,'Critical resources (hide)'!BL$6:BL$105)+SUMIF(Capacity_Resource,$E132,'Critical resources (hide)'!BL$6:BL$105)+SUMIF(Capacity_Resource,$F132,'Critical resources (hide)'!BL$6:BL$105)&gt;0,$E$1=2),0,1)</f>
        <v>1</v>
      </c>
      <c r="AZ132" s="67">
        <f ca="1">IF(AND(SUMIF(Capacity_Resource,$D132,'Critical resources (hide)'!BM$6:BM$105)+SUMIF(Capacity_Resource,$E132,'Critical resources (hide)'!BM$6:BM$105)+SUMIF(Capacity_Resource,$F132,'Critical resources (hide)'!BM$6:BM$105)&gt;0,$E$1=2),0,1)</f>
        <v>1</v>
      </c>
      <c r="BA132" s="67">
        <f ca="1">IF(AND(SUMIF(Capacity_Resource,$D132,'Critical resources (hide)'!BN$6:BN$105)+SUMIF(Capacity_Resource,$E132,'Critical resources (hide)'!BN$6:BN$105)+SUMIF(Capacity_Resource,$F132,'Critical resources (hide)'!BN$6:BN$105)&gt;0,$E$1=2),0,1)</f>
        <v>1</v>
      </c>
      <c r="BB132" s="67">
        <f ca="1">IF(AND(SUMIF(Capacity_Resource,$D132,'Critical resources (hide)'!BO$6:BO$105)+SUMIF(Capacity_Resource,$E132,'Critical resources (hide)'!BO$6:BO$105)+SUMIF(Capacity_Resource,$F132,'Critical resources (hide)'!BO$6:BO$105)&gt;0,$E$1=2),0,1)</f>
        <v>1</v>
      </c>
      <c r="BC132" s="67">
        <f ca="1">IF(AND(SUMIF(Capacity_Resource,$D132,'Critical resources (hide)'!BP$6:BP$105)+SUMIF(Capacity_Resource,$E132,'Critical resources (hide)'!BP$6:BP$105)+SUMIF(Capacity_Resource,$F132,'Critical resources (hide)'!BP$6:BP$105)&gt;0,$E$1=2),0,1)</f>
        <v>1</v>
      </c>
      <c r="BD132" s="67">
        <f ca="1">IF(AND(SUMIF(Capacity_Resource,$D132,'Critical resources (hide)'!BQ$6:BQ$105)+SUMIF(Capacity_Resource,$E132,'Critical resources (hide)'!BQ$6:BQ$105)+SUMIF(Capacity_Resource,$F132,'Critical resources (hide)'!BQ$6:BQ$105)&gt;0,$E$1=2),0,1)</f>
        <v>1</v>
      </c>
      <c r="BE132" s="67">
        <f ca="1">IF(AND(SUMIF(Capacity_Resource,$D132,'Critical resources (hide)'!BR$6:BR$105)+SUMIF(Capacity_Resource,$E132,'Critical resources (hide)'!BR$6:BR$105)+SUMIF(Capacity_Resource,$F132,'Critical resources (hide)'!BR$6:BR$105)&gt;0,$E$1=2),0,1)</f>
        <v>1</v>
      </c>
      <c r="BF132" s="67">
        <f ca="1">IF(AND(SUMIF(Capacity_Resource,$D132,'Critical resources (hide)'!BS$6:BS$105)+SUMIF(Capacity_Resource,$E132,'Critical resources (hide)'!BS$6:BS$105)+SUMIF(Capacity_Resource,$F132,'Critical resources (hide)'!BS$6:BS$105)&gt;0,$E$1=2),0,1)</f>
        <v>1</v>
      </c>
      <c r="BG132" s="67">
        <f ca="1">IF(AND(SUMIF(Capacity_Resource,$D132,'Critical resources (hide)'!BT$6:BT$105)+SUMIF(Capacity_Resource,$E132,'Critical resources (hide)'!BT$6:BT$105)+SUMIF(Capacity_Resource,$F132,'Critical resources (hide)'!BT$6:BT$105)&gt;0,$E$1=2),0,1)</f>
        <v>1</v>
      </c>
      <c r="BH132" s="67">
        <f>IF(ROW(A21)&lt;=Capacity!$M$16,IF('Capacity summary'!$C$14="No",SUM(H132:BG132),'Capacity summary'!$E44),0)</f>
        <v>0</v>
      </c>
      <c r="BI132" s="67" t="str">
        <f>IF(BH132&gt;0,IF(BH132&lt;Capacity!Q37,Capacity!R37,Capacity!T37/'Capacity calculation (hide)'!BH132),"")</f>
        <v/>
      </c>
      <c r="BJ132" s="5"/>
      <c r="BK132" s="5">
        <f>IF($BI132&lt;&gt;"",IF('Capacity summary'!$C$14="Yes",IF(COUNTBLANK('Capacity summary'!$H44:$BG44)&lt;52,IF('Capacity summary'!H44&lt;&gt;"",IF(LOWER('Capacity summary'!H44)="x",$BI132*H132,VALUE('Capacity summary'!H44)),0),H132*$BI132),H132*$BI132),0)</f>
        <v>0</v>
      </c>
      <c r="BL132" s="5">
        <f>IF($BI132&lt;&gt;"",IF('Capacity summary'!$C$14="Yes",IF(COUNTBLANK('Capacity summary'!$H44:$BG44)&lt;52,IF('Capacity summary'!I44&lt;&gt;"",IF(LOWER('Capacity summary'!I44)="x",$BI132*I132,VALUE('Capacity summary'!I44)),0),I132*$BI132),I132*$BI132),0)</f>
        <v>0</v>
      </c>
      <c r="BM132" s="5">
        <f>IF($BI132&lt;&gt;"",IF('Capacity summary'!$C$14="Yes",IF(COUNTBLANK('Capacity summary'!$H44:$BG44)&lt;52,IF('Capacity summary'!J44&lt;&gt;"",IF(LOWER('Capacity summary'!J44)="x",$BI132*J132,VALUE('Capacity summary'!J44)),0),J132*$BI132),J132*$BI132),0)</f>
        <v>0</v>
      </c>
      <c r="BN132" s="5">
        <f>IF($BI132&lt;&gt;"",IF('Capacity summary'!$C$14="Yes",IF(COUNTBLANK('Capacity summary'!$H44:$BG44)&lt;52,IF('Capacity summary'!K44&lt;&gt;"",IF(LOWER('Capacity summary'!K44)="x",$BI132*K132,VALUE('Capacity summary'!K44)),0),K132*$BI132),K132*$BI132),0)</f>
        <v>0</v>
      </c>
      <c r="BO132" s="5">
        <f>IF($BI132&lt;&gt;"",IF('Capacity summary'!$C$14="Yes",IF(COUNTBLANK('Capacity summary'!$H44:$BG44)&lt;52,IF('Capacity summary'!L44&lt;&gt;"",IF(LOWER('Capacity summary'!L44)="x",$BI132*L132,VALUE('Capacity summary'!L44)),0),L132*$BI132),L132*$BI132),0)</f>
        <v>0</v>
      </c>
      <c r="BP132" s="5">
        <f>IF($BI132&lt;&gt;"",IF('Capacity summary'!$C$14="Yes",IF(COUNTBLANK('Capacity summary'!$H44:$BG44)&lt;52,IF('Capacity summary'!M44&lt;&gt;"",IF(LOWER('Capacity summary'!M44)="x",$BI132*M132,VALUE('Capacity summary'!M44)),0),M132*$BI132),M132*$BI132),0)</f>
        <v>0</v>
      </c>
      <c r="BQ132" s="5">
        <f>IF($BI132&lt;&gt;"",IF('Capacity summary'!$C$14="Yes",IF(COUNTBLANK('Capacity summary'!$H44:$BG44)&lt;52,IF('Capacity summary'!N44&lt;&gt;"",IF(LOWER('Capacity summary'!N44)="x",$BI132*N132,VALUE('Capacity summary'!N44)),0),N132*$BI132),N132*$BI132),0)</f>
        <v>0</v>
      </c>
      <c r="BR132" s="5">
        <f>IF($BI132&lt;&gt;"",IF('Capacity summary'!$C$14="Yes",IF(COUNTBLANK('Capacity summary'!$H44:$BG44)&lt;52,IF('Capacity summary'!O44&lt;&gt;"",IF(LOWER('Capacity summary'!O44)="x",$BI132*O132,VALUE('Capacity summary'!O44)),0),O132*$BI132),O132*$BI132),0)</f>
        <v>0</v>
      </c>
      <c r="BS132" s="5">
        <f>IF($BI132&lt;&gt;"",IF('Capacity summary'!$C$14="Yes",IF(COUNTBLANK('Capacity summary'!$H44:$BG44)&lt;52,IF('Capacity summary'!P44&lt;&gt;"",IF(LOWER('Capacity summary'!P44)="x",$BI132*P132,VALUE('Capacity summary'!P44)),0),P132*$BI132),P132*$BI132),0)</f>
        <v>0</v>
      </c>
      <c r="BT132" s="5">
        <f>IF($BI132&lt;&gt;"",IF('Capacity summary'!$C$14="Yes",IF(COUNTBLANK('Capacity summary'!$H44:$BG44)&lt;52,IF('Capacity summary'!Q44&lt;&gt;"",IF(LOWER('Capacity summary'!Q44)="x",$BI132*Q132,VALUE('Capacity summary'!Q44)),0),Q132*$BI132),Q132*$BI132),0)</f>
        <v>0</v>
      </c>
      <c r="BU132" s="5">
        <f>IF($BI132&lt;&gt;"",IF('Capacity summary'!$C$14="Yes",IF(COUNTBLANK('Capacity summary'!$H44:$BG44)&lt;52,IF('Capacity summary'!R44&lt;&gt;"",IF(LOWER('Capacity summary'!R44)="x",$BI132*R132,VALUE('Capacity summary'!R44)),0),R132*$BI132),R132*$BI132),0)</f>
        <v>0</v>
      </c>
      <c r="BV132" s="5">
        <f>IF($BI132&lt;&gt;"",IF('Capacity summary'!$C$14="Yes",IF(COUNTBLANK('Capacity summary'!$H44:$BG44)&lt;52,IF('Capacity summary'!S44&lt;&gt;"",IF(LOWER('Capacity summary'!S44)="x",$BI132*S132,VALUE('Capacity summary'!S44)),0),S132*$BI132),S132*$BI132),0)</f>
        <v>0</v>
      </c>
      <c r="BW132" s="5">
        <f>IF($BI132&lt;&gt;"",IF('Capacity summary'!$C$14="Yes",IF(COUNTBLANK('Capacity summary'!$H44:$BG44)&lt;52,IF('Capacity summary'!T44&lt;&gt;"",IF(LOWER('Capacity summary'!T44)="x",$BI132*T132,VALUE('Capacity summary'!T44)),0),T132*$BI132),T132*$BI132),0)</f>
        <v>0</v>
      </c>
      <c r="BX132" s="5">
        <f>IF($BI132&lt;&gt;"",IF('Capacity summary'!$C$14="Yes",IF(COUNTBLANK('Capacity summary'!$H44:$BG44)&lt;52,IF('Capacity summary'!U44&lt;&gt;"",IF(LOWER('Capacity summary'!U44)="x",$BI132*U132,VALUE('Capacity summary'!U44)),0),U132*$BI132),U132*$BI132),0)</f>
        <v>0</v>
      </c>
      <c r="BY132" s="5">
        <f>IF($BI132&lt;&gt;"",IF('Capacity summary'!$C$14="Yes",IF(COUNTBLANK('Capacity summary'!$H44:$BG44)&lt;52,IF('Capacity summary'!V44&lt;&gt;"",IF(LOWER('Capacity summary'!V44)="x",$BI132*V132,VALUE('Capacity summary'!V44)),0),V132*$BI132),V132*$BI132),0)</f>
        <v>0</v>
      </c>
      <c r="BZ132" s="5">
        <f>IF($BI132&lt;&gt;"",IF('Capacity summary'!$C$14="Yes",IF(COUNTBLANK('Capacity summary'!$H44:$BG44)&lt;52,IF('Capacity summary'!W44&lt;&gt;"",IF(LOWER('Capacity summary'!W44)="x",$BI132*W132,VALUE('Capacity summary'!W44)),0),W132*$BI132),W132*$BI132),0)</f>
        <v>0</v>
      </c>
      <c r="CA132" s="5">
        <f>IF($BI132&lt;&gt;"",IF('Capacity summary'!$C$14="Yes",IF(COUNTBLANK('Capacity summary'!$H44:$BG44)&lt;52,IF('Capacity summary'!X44&lt;&gt;"",IF(LOWER('Capacity summary'!X44)="x",$BI132*X132,VALUE('Capacity summary'!X44)),0),X132*$BI132),X132*$BI132),0)</f>
        <v>0</v>
      </c>
      <c r="CB132" s="5">
        <f>IF($BI132&lt;&gt;"",IF('Capacity summary'!$C$14="Yes",IF(COUNTBLANK('Capacity summary'!$H44:$BG44)&lt;52,IF('Capacity summary'!Y44&lt;&gt;"",IF(LOWER('Capacity summary'!Y44)="x",$BI132*Y132,VALUE('Capacity summary'!Y44)),0),Y132*$BI132),Y132*$BI132),0)</f>
        <v>0</v>
      </c>
      <c r="CC132" s="5">
        <f>IF($BI132&lt;&gt;"",IF('Capacity summary'!$C$14="Yes",IF(COUNTBLANK('Capacity summary'!$H44:$BG44)&lt;52,IF('Capacity summary'!Z44&lt;&gt;"",IF(LOWER('Capacity summary'!Z44)="x",$BI132*Z132,VALUE('Capacity summary'!Z44)),0),Z132*$BI132),Z132*$BI132),0)</f>
        <v>0</v>
      </c>
      <c r="CD132" s="5">
        <f>IF($BI132&lt;&gt;"",IF('Capacity summary'!$C$14="Yes",IF(COUNTBLANK('Capacity summary'!$H44:$BG44)&lt;52,IF('Capacity summary'!AA44&lt;&gt;"",IF(LOWER('Capacity summary'!AA44)="x",$BI132*AA132,VALUE('Capacity summary'!AA44)),0),AA132*$BI132),AA132*$BI132),0)</f>
        <v>0</v>
      </c>
      <c r="CE132" s="5">
        <f>IF($BI132&lt;&gt;"",IF('Capacity summary'!$C$14="Yes",IF(COUNTBLANK('Capacity summary'!$H44:$BG44)&lt;52,IF('Capacity summary'!AB44&lt;&gt;"",IF(LOWER('Capacity summary'!AB44)="x",$BI132*AB132,VALUE('Capacity summary'!AB44)),0),AB132*$BI132),AB132*$BI132),0)</f>
        <v>0</v>
      </c>
      <c r="CF132" s="5">
        <f>IF($BI132&lt;&gt;"",IF('Capacity summary'!$C$14="Yes",IF(COUNTBLANK('Capacity summary'!$H44:$BG44)&lt;52,IF('Capacity summary'!AC44&lt;&gt;"",IF(LOWER('Capacity summary'!AC44)="x",$BI132*AC132,VALUE('Capacity summary'!AC44)),0),AC132*$BI132),AC132*$BI132),0)</f>
        <v>0</v>
      </c>
      <c r="CG132" s="5">
        <f>IF($BI132&lt;&gt;"",IF('Capacity summary'!$C$14="Yes",IF(COUNTBLANK('Capacity summary'!$H44:$BG44)&lt;52,IF('Capacity summary'!AD44&lt;&gt;"",IF(LOWER('Capacity summary'!AD44)="x",$BI132*AD132,VALUE('Capacity summary'!AD44)),0),AD132*$BI132),AD132*$BI132),0)</f>
        <v>0</v>
      </c>
      <c r="CH132" s="5">
        <f>IF($BI132&lt;&gt;"",IF('Capacity summary'!$C$14="Yes",IF(COUNTBLANK('Capacity summary'!$H44:$BG44)&lt;52,IF('Capacity summary'!AE44&lt;&gt;"",IF(LOWER('Capacity summary'!AE44)="x",$BI132*AE132,VALUE('Capacity summary'!AE44)),0),AE132*$BI132),AE132*$BI132),0)</f>
        <v>0</v>
      </c>
      <c r="CI132" s="5">
        <f>IF($BI132&lt;&gt;"",IF('Capacity summary'!$C$14="Yes",IF(COUNTBLANK('Capacity summary'!$H44:$BG44)&lt;52,IF('Capacity summary'!AF44&lt;&gt;"",IF(LOWER('Capacity summary'!AF44)="x",$BI132*AF132,VALUE('Capacity summary'!AF44)),0),AF132*$BI132),AF132*$BI132),0)</f>
        <v>0</v>
      </c>
      <c r="CJ132" s="5">
        <f>IF($BI132&lt;&gt;"",IF('Capacity summary'!$C$14="Yes",IF(COUNTBLANK('Capacity summary'!$H44:$BG44)&lt;52,IF('Capacity summary'!AG44&lt;&gt;"",IF(LOWER('Capacity summary'!AG44)="x",$BI132*AG132,VALUE('Capacity summary'!AG44)),0),AG132*$BI132),AG132*$BI132),0)</f>
        <v>0</v>
      </c>
      <c r="CK132" s="5">
        <f>IF($BI132&lt;&gt;"",IF('Capacity summary'!$C$14="Yes",IF(COUNTBLANK('Capacity summary'!$H44:$BG44)&lt;52,IF('Capacity summary'!AH44&lt;&gt;"",IF(LOWER('Capacity summary'!AH44)="x",$BI132*AH132,VALUE('Capacity summary'!AH44)),0),AH132*$BI132),AH132*$BI132),0)</f>
        <v>0</v>
      </c>
      <c r="CL132" s="5">
        <f>IF($BI132&lt;&gt;"",IF('Capacity summary'!$C$14="Yes",IF(COUNTBLANK('Capacity summary'!$H44:$BG44)&lt;52,IF('Capacity summary'!AI44&lt;&gt;"",IF(LOWER('Capacity summary'!AI44)="x",$BI132*AI132,VALUE('Capacity summary'!AI44)),0),AI132*$BI132),AI132*$BI132),0)</f>
        <v>0</v>
      </c>
      <c r="CM132" s="5">
        <f>IF($BI132&lt;&gt;"",IF('Capacity summary'!$C$14="Yes",IF(COUNTBLANK('Capacity summary'!$H44:$BG44)&lt;52,IF('Capacity summary'!AJ44&lt;&gt;"",IF(LOWER('Capacity summary'!AJ44)="x",$BI132*AJ132,VALUE('Capacity summary'!AJ44)),0),AJ132*$BI132),AJ132*$BI132),0)</f>
        <v>0</v>
      </c>
      <c r="CN132" s="5">
        <f>IF($BI132&lt;&gt;"",IF('Capacity summary'!$C$14="Yes",IF(COUNTBLANK('Capacity summary'!$H44:$BG44)&lt;52,IF('Capacity summary'!AK44&lt;&gt;"",IF(LOWER('Capacity summary'!AK44)="x",$BI132*AK132,VALUE('Capacity summary'!AK44)),0),AK132*$BI132),AK132*$BI132),0)</f>
        <v>0</v>
      </c>
      <c r="CO132" s="5">
        <f>IF($BI132&lt;&gt;"",IF('Capacity summary'!$C$14="Yes",IF(COUNTBLANK('Capacity summary'!$H44:$BG44)&lt;52,IF('Capacity summary'!AL44&lt;&gt;"",IF(LOWER('Capacity summary'!AL44)="x",$BI132*AL132,VALUE('Capacity summary'!AL44)),0),AL132*$BI132),AL132*$BI132),0)</f>
        <v>0</v>
      </c>
      <c r="CP132" s="5">
        <f>IF($BI132&lt;&gt;"",IF('Capacity summary'!$C$14="Yes",IF(COUNTBLANK('Capacity summary'!$H44:$BG44)&lt;52,IF('Capacity summary'!AM44&lt;&gt;"",IF(LOWER('Capacity summary'!AM44)="x",$BI132*AM132,VALUE('Capacity summary'!AM44)),0),AM132*$BI132),AM132*$BI132),0)</f>
        <v>0</v>
      </c>
      <c r="CQ132" s="5">
        <f>IF($BI132&lt;&gt;"",IF('Capacity summary'!$C$14="Yes",IF(COUNTBLANK('Capacity summary'!$H44:$BG44)&lt;52,IF('Capacity summary'!AN44&lt;&gt;"",IF(LOWER('Capacity summary'!AN44)="x",$BI132*AN132,VALUE('Capacity summary'!AN44)),0),AN132*$BI132),AN132*$BI132),0)</f>
        <v>0</v>
      </c>
      <c r="CR132" s="5">
        <f>IF($BI132&lt;&gt;"",IF('Capacity summary'!$C$14="Yes",IF(COUNTBLANK('Capacity summary'!$H44:$BG44)&lt;52,IF('Capacity summary'!AO44&lt;&gt;"",IF(LOWER('Capacity summary'!AO44)="x",$BI132*AO132,VALUE('Capacity summary'!AO44)),0),AO132*$BI132),AO132*$BI132),0)</f>
        <v>0</v>
      </c>
      <c r="CS132" s="5">
        <f>IF($BI132&lt;&gt;"",IF('Capacity summary'!$C$14="Yes",IF(COUNTBLANK('Capacity summary'!$H44:$BG44)&lt;52,IF('Capacity summary'!AP44&lt;&gt;"",IF(LOWER('Capacity summary'!AP44)="x",$BI132*AP132,VALUE('Capacity summary'!AP44)),0),AP132*$BI132),AP132*$BI132),0)</f>
        <v>0</v>
      </c>
      <c r="CT132" s="5">
        <f>IF($BI132&lt;&gt;"",IF('Capacity summary'!$C$14="Yes",IF(COUNTBLANK('Capacity summary'!$H44:$BG44)&lt;52,IF('Capacity summary'!AQ44&lt;&gt;"",IF(LOWER('Capacity summary'!AQ44)="x",$BI132*AQ132,VALUE('Capacity summary'!AQ44)),0),AQ132*$BI132),AQ132*$BI132),0)</f>
        <v>0</v>
      </c>
      <c r="CU132" s="5">
        <f>IF($BI132&lt;&gt;"",IF('Capacity summary'!$C$14="Yes",IF(COUNTBLANK('Capacity summary'!$H44:$BG44)&lt;52,IF('Capacity summary'!AR44&lt;&gt;"",IF(LOWER('Capacity summary'!AR44)="x",$BI132*AR132,VALUE('Capacity summary'!AR44)),0),AR132*$BI132),AR132*$BI132),0)</f>
        <v>0</v>
      </c>
      <c r="CV132" s="5">
        <f>IF($BI132&lt;&gt;"",IF('Capacity summary'!$C$14="Yes",IF(COUNTBLANK('Capacity summary'!$H44:$BG44)&lt;52,IF('Capacity summary'!AS44&lt;&gt;"",IF(LOWER('Capacity summary'!AS44)="x",$BI132*AS132,VALUE('Capacity summary'!AS44)),0),AS132*$BI132),AS132*$BI132),0)</f>
        <v>0</v>
      </c>
      <c r="CW132" s="5">
        <f>IF($BI132&lt;&gt;"",IF('Capacity summary'!$C$14="Yes",IF(COUNTBLANK('Capacity summary'!$H44:$BG44)&lt;52,IF('Capacity summary'!AT44&lt;&gt;"",IF(LOWER('Capacity summary'!AT44)="x",$BI132*AT132,VALUE('Capacity summary'!AT44)),0),AT132*$BI132),AT132*$BI132),0)</f>
        <v>0</v>
      </c>
      <c r="CX132" s="5">
        <f>IF($BI132&lt;&gt;"",IF('Capacity summary'!$C$14="Yes",IF(COUNTBLANK('Capacity summary'!$H44:$BG44)&lt;52,IF('Capacity summary'!AU44&lt;&gt;"",IF(LOWER('Capacity summary'!AU44)="x",$BI132*AU132,VALUE('Capacity summary'!AU44)),0),AU132*$BI132),AU132*$BI132),0)</f>
        <v>0</v>
      </c>
      <c r="CY132" s="5">
        <f>IF($BI132&lt;&gt;"",IF('Capacity summary'!$C$14="Yes",IF(COUNTBLANK('Capacity summary'!$H44:$BG44)&lt;52,IF('Capacity summary'!AV44&lt;&gt;"",IF(LOWER('Capacity summary'!AV44)="x",$BI132*AV132,VALUE('Capacity summary'!AV44)),0),AV132*$BI132),AV132*$BI132),0)</f>
        <v>0</v>
      </c>
      <c r="CZ132" s="5">
        <f>IF($BI132&lt;&gt;"",IF('Capacity summary'!$C$14="Yes",IF(COUNTBLANK('Capacity summary'!$H44:$BG44)&lt;52,IF('Capacity summary'!AW44&lt;&gt;"",IF(LOWER('Capacity summary'!AW44)="x",$BI132*AW132,VALUE('Capacity summary'!AW44)),0),AW132*$BI132),AW132*$BI132),0)</f>
        <v>0</v>
      </c>
      <c r="DA132" s="5">
        <f>IF($BI132&lt;&gt;"",IF('Capacity summary'!$C$14="Yes",IF(COUNTBLANK('Capacity summary'!$H44:$BG44)&lt;52,IF('Capacity summary'!AX44&lt;&gt;"",IF(LOWER('Capacity summary'!AX44)="x",$BI132*AX132,VALUE('Capacity summary'!AX44)),0),AX132*$BI132),AX132*$BI132),0)</f>
        <v>0</v>
      </c>
      <c r="DB132" s="5">
        <f>IF($BI132&lt;&gt;"",IF('Capacity summary'!$C$14="Yes",IF(COUNTBLANK('Capacity summary'!$H44:$BG44)&lt;52,IF('Capacity summary'!AY44&lt;&gt;"",IF(LOWER('Capacity summary'!AY44)="x",$BI132*AY132,VALUE('Capacity summary'!AY44)),0),AY132*$BI132),AY132*$BI132),0)</f>
        <v>0</v>
      </c>
      <c r="DC132" s="5">
        <f>IF($BI132&lt;&gt;"",IF('Capacity summary'!$C$14="Yes",IF(COUNTBLANK('Capacity summary'!$H44:$BG44)&lt;52,IF('Capacity summary'!AZ44&lt;&gt;"",IF(LOWER('Capacity summary'!AZ44)="x",$BI132*AZ132,VALUE('Capacity summary'!AZ44)),0),AZ132*$BI132),AZ132*$BI132),0)</f>
        <v>0</v>
      </c>
      <c r="DD132" s="5">
        <f>IF($BI132&lt;&gt;"",IF('Capacity summary'!$C$14="Yes",IF(COUNTBLANK('Capacity summary'!$H44:$BG44)&lt;52,IF('Capacity summary'!BA44&lt;&gt;"",IF(LOWER('Capacity summary'!BA44)="x",$BI132*BA132,VALUE('Capacity summary'!BA44)),0),BA132*$BI132),BA132*$BI132),0)</f>
        <v>0</v>
      </c>
      <c r="DE132" s="5">
        <f>IF($BI132&lt;&gt;"",IF('Capacity summary'!$C$14="Yes",IF(COUNTBLANK('Capacity summary'!$H44:$BG44)&lt;52,IF('Capacity summary'!BB44&lt;&gt;"",IF(LOWER('Capacity summary'!BB44)="x",$BI132*BB132,VALUE('Capacity summary'!BB44)),0),BB132*$BI132),BB132*$BI132),0)</f>
        <v>0</v>
      </c>
      <c r="DF132" s="5">
        <f>IF($BI132&lt;&gt;"",IF('Capacity summary'!$C$14="Yes",IF(COUNTBLANK('Capacity summary'!$H44:$BG44)&lt;52,IF('Capacity summary'!BC44&lt;&gt;"",IF(LOWER('Capacity summary'!BC44)="x",$BI132*BC132,VALUE('Capacity summary'!BC44)),0),BC132*$BI132),BC132*$BI132),0)</f>
        <v>0</v>
      </c>
      <c r="DG132" s="5">
        <f>IF($BI132&lt;&gt;"",IF('Capacity summary'!$C$14="Yes",IF(COUNTBLANK('Capacity summary'!$H44:$BG44)&lt;52,IF('Capacity summary'!BD44&lt;&gt;"",IF(LOWER('Capacity summary'!BD44)="x",$BI132*BD132,VALUE('Capacity summary'!BD44)),0),BD132*$BI132),BD132*$BI132),0)</f>
        <v>0</v>
      </c>
      <c r="DH132" s="5">
        <f>IF($BI132&lt;&gt;"",IF('Capacity summary'!$C$14="Yes",IF(COUNTBLANK('Capacity summary'!$H44:$BG44)&lt;52,IF('Capacity summary'!BE44&lt;&gt;"",IF(LOWER('Capacity summary'!BE44)="x",$BI132*BE132,VALUE('Capacity summary'!BE44)),0),BE132*$BI132),BE132*$BI132),0)</f>
        <v>0</v>
      </c>
      <c r="DI132" s="5">
        <f>IF($BI132&lt;&gt;"",IF('Capacity summary'!$C$14="Yes",IF(COUNTBLANK('Capacity summary'!$H44:$BG44)&lt;52,IF('Capacity summary'!BF44&lt;&gt;"",IF(LOWER('Capacity summary'!BF44)="x",$BI132*BF132,VALUE('Capacity summary'!BF44)),0),BF132*$BI132),BF132*$BI132),0)</f>
        <v>0</v>
      </c>
      <c r="DJ132" s="5">
        <f>IF($BI132&lt;&gt;"",IF('Capacity summary'!$C$14="Yes",IF(COUNTBLANK('Capacity summary'!$H44:$BG44)&lt;52,IF('Capacity summary'!BG44&lt;&gt;"",IF(LOWER('Capacity summary'!BG44)="x",$BI132*BG132,VALUE('Capacity summary'!BG44)),0),BG132*$BI132),BG132*$BI132),0)</f>
        <v>0</v>
      </c>
      <c r="DK132" s="5">
        <f t="shared" ref="DK132" si="26">SUM(DK133:DK232)</f>
        <v>0</v>
      </c>
    </row>
    <row r="133" spans="3:115" x14ac:dyDescent="0.25">
      <c r="C133" s="67" t="str">
        <f>ROW(A22)&amp;". "&amp;Capacity!N38</f>
        <v xml:space="preserve">22. </v>
      </c>
      <c r="D133" s="67">
        <f>'Capacity setup'!C139</f>
        <v>0</v>
      </c>
      <c r="E133" s="67">
        <f>'Capacity setup'!D139</f>
        <v>0</v>
      </c>
      <c r="F133" s="67">
        <f>'Capacity setup'!E139</f>
        <v>0</v>
      </c>
      <c r="H133" s="67">
        <f ca="1">IF(AND(SUMIF(Capacity_Resource,$D133,'Critical resources (hide)'!U$6:U$105)+SUMIF(Capacity_Resource,$E133,'Critical resources (hide)'!U$6:U$105)+SUMIF(Capacity_Resource,$F133,'Critical resources (hide)'!U$6:U$105)&gt;0,$E$1=2),0,1)</f>
        <v>1</v>
      </c>
      <c r="I133" s="67">
        <f ca="1">IF(AND(SUMIF(Capacity_Resource,$D133,'Critical resources (hide)'!V$6:V$105)+SUMIF(Capacity_Resource,$E133,'Critical resources (hide)'!V$6:V$105)+SUMIF(Capacity_Resource,$F133,'Critical resources (hide)'!V$6:V$105)&gt;0,$E$1=2),0,1)</f>
        <v>1</v>
      </c>
      <c r="J133" s="67">
        <f ca="1">IF(AND(SUMIF(Capacity_Resource,$D133,'Critical resources (hide)'!W$6:W$105)+SUMIF(Capacity_Resource,$E133,'Critical resources (hide)'!W$6:W$105)+SUMIF(Capacity_Resource,$F133,'Critical resources (hide)'!W$6:W$105)&gt;0,$E$1=2),0,1)</f>
        <v>1</v>
      </c>
      <c r="K133" s="67">
        <f ca="1">IF(AND(SUMIF(Capacity_Resource,$D133,'Critical resources (hide)'!X$6:X$105)+SUMIF(Capacity_Resource,$E133,'Critical resources (hide)'!X$6:X$105)+SUMIF(Capacity_Resource,$F133,'Critical resources (hide)'!X$6:X$105)&gt;0,$E$1=2),0,1)</f>
        <v>1</v>
      </c>
      <c r="L133" s="67">
        <f ca="1">IF(AND(SUMIF(Capacity_Resource,$D133,'Critical resources (hide)'!Y$6:Y$105)+SUMIF(Capacity_Resource,$E133,'Critical resources (hide)'!Y$6:Y$105)+SUMIF(Capacity_Resource,$F133,'Critical resources (hide)'!Y$6:Y$105)&gt;0,$E$1=2),0,1)</f>
        <v>1</v>
      </c>
      <c r="M133" s="67">
        <f ca="1">IF(AND(SUMIF(Capacity_Resource,$D133,'Critical resources (hide)'!Z$6:Z$105)+SUMIF(Capacity_Resource,$E133,'Critical resources (hide)'!Z$6:Z$105)+SUMIF(Capacity_Resource,$F133,'Critical resources (hide)'!Z$6:Z$105)&gt;0,$E$1=2),0,1)</f>
        <v>1</v>
      </c>
      <c r="N133" s="67">
        <f ca="1">IF(AND(SUMIF(Capacity_Resource,$D133,'Critical resources (hide)'!AA$6:AA$105)+SUMIF(Capacity_Resource,$E133,'Critical resources (hide)'!AA$6:AA$105)+SUMIF(Capacity_Resource,$F133,'Critical resources (hide)'!AA$6:AA$105)&gt;0,$E$1=2),0,1)</f>
        <v>1</v>
      </c>
      <c r="O133" s="67">
        <f ca="1">IF(AND(SUMIF(Capacity_Resource,$D133,'Critical resources (hide)'!AB$6:AB$105)+SUMIF(Capacity_Resource,$E133,'Critical resources (hide)'!AB$6:AB$105)+SUMIF(Capacity_Resource,$F133,'Critical resources (hide)'!AB$6:AB$105)&gt;0,$E$1=2),0,1)</f>
        <v>1</v>
      </c>
      <c r="P133" s="67">
        <f ca="1">IF(AND(SUMIF(Capacity_Resource,$D133,'Critical resources (hide)'!AC$6:AC$105)+SUMIF(Capacity_Resource,$E133,'Critical resources (hide)'!AC$6:AC$105)+SUMIF(Capacity_Resource,$F133,'Critical resources (hide)'!AC$6:AC$105)&gt;0,$E$1=2),0,1)</f>
        <v>1</v>
      </c>
      <c r="Q133" s="67">
        <f ca="1">IF(AND(SUMIF(Capacity_Resource,$D133,'Critical resources (hide)'!AD$6:AD$105)+SUMIF(Capacity_Resource,$E133,'Critical resources (hide)'!AD$6:AD$105)+SUMIF(Capacity_Resource,$F133,'Critical resources (hide)'!AD$6:AD$105)&gt;0,$E$1=2),0,1)</f>
        <v>1</v>
      </c>
      <c r="R133" s="67">
        <f ca="1">IF(AND(SUMIF(Capacity_Resource,$D133,'Critical resources (hide)'!AE$6:AE$105)+SUMIF(Capacity_Resource,$E133,'Critical resources (hide)'!AE$6:AE$105)+SUMIF(Capacity_Resource,$F133,'Critical resources (hide)'!AE$6:AE$105)&gt;0,$E$1=2),0,1)</f>
        <v>1</v>
      </c>
      <c r="S133" s="67">
        <f ca="1">IF(AND(SUMIF(Capacity_Resource,$D133,'Critical resources (hide)'!AF$6:AF$105)+SUMIF(Capacity_Resource,$E133,'Critical resources (hide)'!AF$6:AF$105)+SUMIF(Capacity_Resource,$F133,'Critical resources (hide)'!AF$6:AF$105)&gt;0,$E$1=2),0,1)</f>
        <v>1</v>
      </c>
      <c r="T133" s="67">
        <f ca="1">IF(AND(SUMIF(Capacity_Resource,$D133,'Critical resources (hide)'!AG$6:AG$105)+SUMIF(Capacity_Resource,$E133,'Critical resources (hide)'!AG$6:AG$105)+SUMIF(Capacity_Resource,$F133,'Critical resources (hide)'!AG$6:AG$105)&gt;0,$E$1=2),0,1)</f>
        <v>1</v>
      </c>
      <c r="U133" s="67">
        <f ca="1">IF(AND(SUMIF(Capacity_Resource,$D133,'Critical resources (hide)'!AH$6:AH$105)+SUMIF(Capacity_Resource,$E133,'Critical resources (hide)'!AH$6:AH$105)+SUMIF(Capacity_Resource,$F133,'Critical resources (hide)'!AH$6:AH$105)&gt;0,$E$1=2),0,1)</f>
        <v>1</v>
      </c>
      <c r="V133" s="67">
        <f ca="1">IF(AND(SUMIF(Capacity_Resource,$D133,'Critical resources (hide)'!AI$6:AI$105)+SUMIF(Capacity_Resource,$E133,'Critical resources (hide)'!AI$6:AI$105)+SUMIF(Capacity_Resource,$F133,'Critical resources (hide)'!AI$6:AI$105)&gt;0,$E$1=2),0,1)</f>
        <v>1</v>
      </c>
      <c r="W133" s="67">
        <f ca="1">IF(AND(SUMIF(Capacity_Resource,$D133,'Critical resources (hide)'!AJ$6:AJ$105)+SUMIF(Capacity_Resource,$E133,'Critical resources (hide)'!AJ$6:AJ$105)+SUMIF(Capacity_Resource,$F133,'Critical resources (hide)'!AJ$6:AJ$105)&gt;0,$E$1=2),0,1)</f>
        <v>1</v>
      </c>
      <c r="X133" s="67">
        <f ca="1">IF(AND(SUMIF(Capacity_Resource,$D133,'Critical resources (hide)'!AK$6:AK$105)+SUMIF(Capacity_Resource,$E133,'Critical resources (hide)'!AK$6:AK$105)+SUMIF(Capacity_Resource,$F133,'Critical resources (hide)'!AK$6:AK$105)&gt;0,$E$1=2),0,1)</f>
        <v>1</v>
      </c>
      <c r="Y133" s="67">
        <f ca="1">IF(AND(SUMIF(Capacity_Resource,$D133,'Critical resources (hide)'!AL$6:AL$105)+SUMIF(Capacity_Resource,$E133,'Critical resources (hide)'!AL$6:AL$105)+SUMIF(Capacity_Resource,$F133,'Critical resources (hide)'!AL$6:AL$105)&gt;0,$E$1=2),0,1)</f>
        <v>1</v>
      </c>
      <c r="Z133" s="67">
        <f ca="1">IF(AND(SUMIF(Capacity_Resource,$D133,'Critical resources (hide)'!AM$6:AM$105)+SUMIF(Capacity_Resource,$E133,'Critical resources (hide)'!AM$6:AM$105)+SUMIF(Capacity_Resource,$F133,'Critical resources (hide)'!AM$6:AM$105)&gt;0,$E$1=2),0,1)</f>
        <v>1</v>
      </c>
      <c r="AA133" s="67">
        <f ca="1">IF(AND(SUMIF(Capacity_Resource,$D133,'Critical resources (hide)'!AN$6:AN$105)+SUMIF(Capacity_Resource,$E133,'Critical resources (hide)'!AN$6:AN$105)+SUMIF(Capacity_Resource,$F133,'Critical resources (hide)'!AN$6:AN$105)&gt;0,$E$1=2),0,1)</f>
        <v>1</v>
      </c>
      <c r="AB133" s="67">
        <f ca="1">IF(AND(SUMIF(Capacity_Resource,$D133,'Critical resources (hide)'!AO$6:AO$105)+SUMIF(Capacity_Resource,$E133,'Critical resources (hide)'!AO$6:AO$105)+SUMIF(Capacity_Resource,$F133,'Critical resources (hide)'!AO$6:AO$105)&gt;0,$E$1=2),0,1)</f>
        <v>1</v>
      </c>
      <c r="AC133" s="67">
        <f ca="1">IF(AND(SUMIF(Capacity_Resource,$D133,'Critical resources (hide)'!AP$6:AP$105)+SUMIF(Capacity_Resource,$E133,'Critical resources (hide)'!AP$6:AP$105)+SUMIF(Capacity_Resource,$F133,'Critical resources (hide)'!AP$6:AP$105)&gt;0,$E$1=2),0,1)</f>
        <v>1</v>
      </c>
      <c r="AD133" s="67">
        <f ca="1">IF(AND(SUMIF(Capacity_Resource,$D133,'Critical resources (hide)'!AQ$6:AQ$105)+SUMIF(Capacity_Resource,$E133,'Critical resources (hide)'!AQ$6:AQ$105)+SUMIF(Capacity_Resource,$F133,'Critical resources (hide)'!AQ$6:AQ$105)&gt;0,$E$1=2),0,1)</f>
        <v>1</v>
      </c>
      <c r="AE133" s="67">
        <f ca="1">IF(AND(SUMIF(Capacity_Resource,$D133,'Critical resources (hide)'!AR$6:AR$105)+SUMIF(Capacity_Resource,$E133,'Critical resources (hide)'!AR$6:AR$105)+SUMIF(Capacity_Resource,$F133,'Critical resources (hide)'!AR$6:AR$105)&gt;0,$E$1=2),0,1)</f>
        <v>1</v>
      </c>
      <c r="AF133" s="67">
        <f ca="1">IF(AND(SUMIF(Capacity_Resource,$D133,'Critical resources (hide)'!AS$6:AS$105)+SUMIF(Capacity_Resource,$E133,'Critical resources (hide)'!AS$6:AS$105)+SUMIF(Capacity_Resource,$F133,'Critical resources (hide)'!AS$6:AS$105)&gt;0,$E$1=2),0,1)</f>
        <v>1</v>
      </c>
      <c r="AG133" s="67">
        <f ca="1">IF(AND(SUMIF(Capacity_Resource,$D133,'Critical resources (hide)'!AT$6:AT$105)+SUMIF(Capacity_Resource,$E133,'Critical resources (hide)'!AT$6:AT$105)+SUMIF(Capacity_Resource,$F133,'Critical resources (hide)'!AT$6:AT$105)&gt;0,$E$1=2),0,1)</f>
        <v>1</v>
      </c>
      <c r="AH133" s="67">
        <f ca="1">IF(AND(SUMIF(Capacity_Resource,$D133,'Critical resources (hide)'!AU$6:AU$105)+SUMIF(Capacity_Resource,$E133,'Critical resources (hide)'!AU$6:AU$105)+SUMIF(Capacity_Resource,$F133,'Critical resources (hide)'!AU$6:AU$105)&gt;0,$E$1=2),0,1)</f>
        <v>1</v>
      </c>
      <c r="AI133" s="67">
        <f ca="1">IF(AND(SUMIF(Capacity_Resource,$D133,'Critical resources (hide)'!AV$6:AV$105)+SUMIF(Capacity_Resource,$E133,'Critical resources (hide)'!AV$6:AV$105)+SUMIF(Capacity_Resource,$F133,'Critical resources (hide)'!AV$6:AV$105)&gt;0,$E$1=2),0,1)</f>
        <v>1</v>
      </c>
      <c r="AJ133" s="67">
        <f ca="1">IF(AND(SUMIF(Capacity_Resource,$D133,'Critical resources (hide)'!AW$6:AW$105)+SUMIF(Capacity_Resource,$E133,'Critical resources (hide)'!AW$6:AW$105)+SUMIF(Capacity_Resource,$F133,'Critical resources (hide)'!AW$6:AW$105)&gt;0,$E$1=2),0,1)</f>
        <v>1</v>
      </c>
      <c r="AK133" s="67">
        <f ca="1">IF(AND(SUMIF(Capacity_Resource,$D133,'Critical resources (hide)'!AX$6:AX$105)+SUMIF(Capacity_Resource,$E133,'Critical resources (hide)'!AX$6:AX$105)+SUMIF(Capacity_Resource,$F133,'Critical resources (hide)'!AX$6:AX$105)&gt;0,$E$1=2),0,1)</f>
        <v>1</v>
      </c>
      <c r="AL133" s="67">
        <f ca="1">IF(AND(SUMIF(Capacity_Resource,$D133,'Critical resources (hide)'!AY$6:AY$105)+SUMIF(Capacity_Resource,$E133,'Critical resources (hide)'!AY$6:AY$105)+SUMIF(Capacity_Resource,$F133,'Critical resources (hide)'!AY$6:AY$105)&gt;0,$E$1=2),0,1)</f>
        <v>1</v>
      </c>
      <c r="AM133" s="67">
        <f ca="1">IF(AND(SUMIF(Capacity_Resource,$D133,'Critical resources (hide)'!AZ$6:AZ$105)+SUMIF(Capacity_Resource,$E133,'Critical resources (hide)'!AZ$6:AZ$105)+SUMIF(Capacity_Resource,$F133,'Critical resources (hide)'!AZ$6:AZ$105)&gt;0,$E$1=2),0,1)</f>
        <v>1</v>
      </c>
      <c r="AN133" s="67">
        <f ca="1">IF(AND(SUMIF(Capacity_Resource,$D133,'Critical resources (hide)'!BA$6:BA$105)+SUMIF(Capacity_Resource,$E133,'Critical resources (hide)'!BA$6:BA$105)+SUMIF(Capacity_Resource,$F133,'Critical resources (hide)'!BA$6:BA$105)&gt;0,$E$1=2),0,1)</f>
        <v>1</v>
      </c>
      <c r="AO133" s="67">
        <f ca="1">IF(AND(SUMIF(Capacity_Resource,$D133,'Critical resources (hide)'!BB$6:BB$105)+SUMIF(Capacity_Resource,$E133,'Critical resources (hide)'!BB$6:BB$105)+SUMIF(Capacity_Resource,$F133,'Critical resources (hide)'!BB$6:BB$105)&gt;0,$E$1=2),0,1)</f>
        <v>1</v>
      </c>
      <c r="AP133" s="67">
        <f ca="1">IF(AND(SUMIF(Capacity_Resource,$D133,'Critical resources (hide)'!BC$6:BC$105)+SUMIF(Capacity_Resource,$E133,'Critical resources (hide)'!BC$6:BC$105)+SUMIF(Capacity_Resource,$F133,'Critical resources (hide)'!BC$6:BC$105)&gt;0,$E$1=2),0,1)</f>
        <v>1</v>
      </c>
      <c r="AQ133" s="67">
        <f ca="1">IF(AND(SUMIF(Capacity_Resource,$D133,'Critical resources (hide)'!BD$6:BD$105)+SUMIF(Capacity_Resource,$E133,'Critical resources (hide)'!BD$6:BD$105)+SUMIF(Capacity_Resource,$F133,'Critical resources (hide)'!BD$6:BD$105)&gt;0,$E$1=2),0,1)</f>
        <v>1</v>
      </c>
      <c r="AR133" s="67">
        <f ca="1">IF(AND(SUMIF(Capacity_Resource,$D133,'Critical resources (hide)'!BE$6:BE$105)+SUMIF(Capacity_Resource,$E133,'Critical resources (hide)'!BE$6:BE$105)+SUMIF(Capacity_Resource,$F133,'Critical resources (hide)'!BE$6:BE$105)&gt;0,$E$1=2),0,1)</f>
        <v>1</v>
      </c>
      <c r="AS133" s="67">
        <f ca="1">IF(AND(SUMIF(Capacity_Resource,$D133,'Critical resources (hide)'!BF$6:BF$105)+SUMIF(Capacity_Resource,$E133,'Critical resources (hide)'!BF$6:BF$105)+SUMIF(Capacity_Resource,$F133,'Critical resources (hide)'!BF$6:BF$105)&gt;0,$E$1=2),0,1)</f>
        <v>1</v>
      </c>
      <c r="AT133" s="67">
        <f ca="1">IF(AND(SUMIF(Capacity_Resource,$D133,'Critical resources (hide)'!BG$6:BG$105)+SUMIF(Capacity_Resource,$E133,'Critical resources (hide)'!BG$6:BG$105)+SUMIF(Capacity_Resource,$F133,'Critical resources (hide)'!BG$6:BG$105)&gt;0,$E$1=2),0,1)</f>
        <v>1</v>
      </c>
      <c r="AU133" s="67">
        <f ca="1">IF(AND(SUMIF(Capacity_Resource,$D133,'Critical resources (hide)'!BH$6:BH$105)+SUMIF(Capacity_Resource,$E133,'Critical resources (hide)'!BH$6:BH$105)+SUMIF(Capacity_Resource,$F133,'Critical resources (hide)'!BH$6:BH$105)&gt;0,$E$1=2),0,1)</f>
        <v>1</v>
      </c>
      <c r="AV133" s="67">
        <f ca="1">IF(AND(SUMIF(Capacity_Resource,$D133,'Critical resources (hide)'!BI$6:BI$105)+SUMIF(Capacity_Resource,$E133,'Critical resources (hide)'!BI$6:BI$105)+SUMIF(Capacity_Resource,$F133,'Critical resources (hide)'!BI$6:BI$105)&gt;0,$E$1=2),0,1)</f>
        <v>1</v>
      </c>
      <c r="AW133" s="67">
        <f ca="1">IF(AND(SUMIF(Capacity_Resource,$D133,'Critical resources (hide)'!BJ$6:BJ$105)+SUMIF(Capacity_Resource,$E133,'Critical resources (hide)'!BJ$6:BJ$105)+SUMIF(Capacity_Resource,$F133,'Critical resources (hide)'!BJ$6:BJ$105)&gt;0,$E$1=2),0,1)</f>
        <v>1</v>
      </c>
      <c r="AX133" s="67">
        <f ca="1">IF(AND(SUMIF(Capacity_Resource,$D133,'Critical resources (hide)'!BK$6:BK$105)+SUMIF(Capacity_Resource,$E133,'Critical resources (hide)'!BK$6:BK$105)+SUMIF(Capacity_Resource,$F133,'Critical resources (hide)'!BK$6:BK$105)&gt;0,$E$1=2),0,1)</f>
        <v>1</v>
      </c>
      <c r="AY133" s="67">
        <f ca="1">IF(AND(SUMIF(Capacity_Resource,$D133,'Critical resources (hide)'!BL$6:BL$105)+SUMIF(Capacity_Resource,$E133,'Critical resources (hide)'!BL$6:BL$105)+SUMIF(Capacity_Resource,$F133,'Critical resources (hide)'!BL$6:BL$105)&gt;0,$E$1=2),0,1)</f>
        <v>1</v>
      </c>
      <c r="AZ133" s="67">
        <f ca="1">IF(AND(SUMIF(Capacity_Resource,$D133,'Critical resources (hide)'!BM$6:BM$105)+SUMIF(Capacity_Resource,$E133,'Critical resources (hide)'!BM$6:BM$105)+SUMIF(Capacity_Resource,$F133,'Critical resources (hide)'!BM$6:BM$105)&gt;0,$E$1=2),0,1)</f>
        <v>1</v>
      </c>
      <c r="BA133" s="67">
        <f ca="1">IF(AND(SUMIF(Capacity_Resource,$D133,'Critical resources (hide)'!BN$6:BN$105)+SUMIF(Capacity_Resource,$E133,'Critical resources (hide)'!BN$6:BN$105)+SUMIF(Capacity_Resource,$F133,'Critical resources (hide)'!BN$6:BN$105)&gt;0,$E$1=2),0,1)</f>
        <v>1</v>
      </c>
      <c r="BB133" s="67">
        <f ca="1">IF(AND(SUMIF(Capacity_Resource,$D133,'Critical resources (hide)'!BO$6:BO$105)+SUMIF(Capacity_Resource,$E133,'Critical resources (hide)'!BO$6:BO$105)+SUMIF(Capacity_Resource,$F133,'Critical resources (hide)'!BO$6:BO$105)&gt;0,$E$1=2),0,1)</f>
        <v>1</v>
      </c>
      <c r="BC133" s="67">
        <f ca="1">IF(AND(SUMIF(Capacity_Resource,$D133,'Critical resources (hide)'!BP$6:BP$105)+SUMIF(Capacity_Resource,$E133,'Critical resources (hide)'!BP$6:BP$105)+SUMIF(Capacity_Resource,$F133,'Critical resources (hide)'!BP$6:BP$105)&gt;0,$E$1=2),0,1)</f>
        <v>1</v>
      </c>
      <c r="BD133" s="67">
        <f ca="1">IF(AND(SUMIF(Capacity_Resource,$D133,'Critical resources (hide)'!BQ$6:BQ$105)+SUMIF(Capacity_Resource,$E133,'Critical resources (hide)'!BQ$6:BQ$105)+SUMIF(Capacity_Resource,$F133,'Critical resources (hide)'!BQ$6:BQ$105)&gt;0,$E$1=2),0,1)</f>
        <v>1</v>
      </c>
      <c r="BE133" s="67">
        <f ca="1">IF(AND(SUMIF(Capacity_Resource,$D133,'Critical resources (hide)'!BR$6:BR$105)+SUMIF(Capacity_Resource,$E133,'Critical resources (hide)'!BR$6:BR$105)+SUMIF(Capacity_Resource,$F133,'Critical resources (hide)'!BR$6:BR$105)&gt;0,$E$1=2),0,1)</f>
        <v>1</v>
      </c>
      <c r="BF133" s="67">
        <f ca="1">IF(AND(SUMIF(Capacity_Resource,$D133,'Critical resources (hide)'!BS$6:BS$105)+SUMIF(Capacity_Resource,$E133,'Critical resources (hide)'!BS$6:BS$105)+SUMIF(Capacity_Resource,$F133,'Critical resources (hide)'!BS$6:BS$105)&gt;0,$E$1=2),0,1)</f>
        <v>1</v>
      </c>
      <c r="BG133" s="67">
        <f ca="1">IF(AND(SUMIF(Capacity_Resource,$D133,'Critical resources (hide)'!BT$6:BT$105)+SUMIF(Capacity_Resource,$E133,'Critical resources (hide)'!BT$6:BT$105)+SUMIF(Capacity_Resource,$F133,'Critical resources (hide)'!BT$6:BT$105)&gt;0,$E$1=2),0,1)</f>
        <v>1</v>
      </c>
      <c r="BH133" s="67">
        <f>IF(ROW(A22)&lt;=Capacity!$M$16,IF('Capacity summary'!$C$14="No",SUM(H133:BG133),'Capacity summary'!$E45),0)</f>
        <v>0</v>
      </c>
      <c r="BI133" s="67" t="str">
        <f>IF(BH133&gt;0,IF(BH133&lt;Capacity!Q38,Capacity!R38,Capacity!T38/'Capacity calculation (hide)'!BH133),"")</f>
        <v/>
      </c>
      <c r="BJ133" s="5"/>
      <c r="BK133" s="5">
        <f>IF($BI133&lt;&gt;"",IF('Capacity summary'!$C$14="Yes",IF(COUNTBLANK('Capacity summary'!$H45:$BG45)&lt;52,IF('Capacity summary'!H45&lt;&gt;"",IF(LOWER('Capacity summary'!H45)="x",$BI133*H133,VALUE('Capacity summary'!H45)),0),H133*$BI133),H133*$BI133),0)</f>
        <v>0</v>
      </c>
      <c r="BL133" s="5">
        <f>IF($BI133&lt;&gt;"",IF('Capacity summary'!$C$14="Yes",IF(COUNTBLANK('Capacity summary'!$H45:$BG45)&lt;52,IF('Capacity summary'!I45&lt;&gt;"",IF(LOWER('Capacity summary'!I45)="x",$BI133*I133,VALUE('Capacity summary'!I45)),0),I133*$BI133),I133*$BI133),0)</f>
        <v>0</v>
      </c>
      <c r="BM133" s="5">
        <f>IF($BI133&lt;&gt;"",IF('Capacity summary'!$C$14="Yes",IF(COUNTBLANK('Capacity summary'!$H45:$BG45)&lt;52,IF('Capacity summary'!J45&lt;&gt;"",IF(LOWER('Capacity summary'!J45)="x",$BI133*J133,VALUE('Capacity summary'!J45)),0),J133*$BI133),J133*$BI133),0)</f>
        <v>0</v>
      </c>
      <c r="BN133" s="5">
        <f>IF($BI133&lt;&gt;"",IF('Capacity summary'!$C$14="Yes",IF(COUNTBLANK('Capacity summary'!$H45:$BG45)&lt;52,IF('Capacity summary'!K45&lt;&gt;"",IF(LOWER('Capacity summary'!K45)="x",$BI133*K133,VALUE('Capacity summary'!K45)),0),K133*$BI133),K133*$BI133),0)</f>
        <v>0</v>
      </c>
      <c r="BO133" s="5">
        <f>IF($BI133&lt;&gt;"",IF('Capacity summary'!$C$14="Yes",IF(COUNTBLANK('Capacity summary'!$H45:$BG45)&lt;52,IF('Capacity summary'!L45&lt;&gt;"",IF(LOWER('Capacity summary'!L45)="x",$BI133*L133,VALUE('Capacity summary'!L45)),0),L133*$BI133),L133*$BI133),0)</f>
        <v>0</v>
      </c>
      <c r="BP133" s="5">
        <f>IF($BI133&lt;&gt;"",IF('Capacity summary'!$C$14="Yes",IF(COUNTBLANK('Capacity summary'!$H45:$BG45)&lt;52,IF('Capacity summary'!M45&lt;&gt;"",IF(LOWER('Capacity summary'!M45)="x",$BI133*M133,VALUE('Capacity summary'!M45)),0),M133*$BI133),M133*$BI133),0)</f>
        <v>0</v>
      </c>
      <c r="BQ133" s="5">
        <f>IF($BI133&lt;&gt;"",IF('Capacity summary'!$C$14="Yes",IF(COUNTBLANK('Capacity summary'!$H45:$BG45)&lt;52,IF('Capacity summary'!N45&lt;&gt;"",IF(LOWER('Capacity summary'!N45)="x",$BI133*N133,VALUE('Capacity summary'!N45)),0),N133*$BI133),N133*$BI133),0)</f>
        <v>0</v>
      </c>
      <c r="BR133" s="5">
        <f>IF($BI133&lt;&gt;"",IF('Capacity summary'!$C$14="Yes",IF(COUNTBLANK('Capacity summary'!$H45:$BG45)&lt;52,IF('Capacity summary'!O45&lt;&gt;"",IF(LOWER('Capacity summary'!O45)="x",$BI133*O133,VALUE('Capacity summary'!O45)),0),O133*$BI133),O133*$BI133),0)</f>
        <v>0</v>
      </c>
      <c r="BS133" s="5">
        <f>IF($BI133&lt;&gt;"",IF('Capacity summary'!$C$14="Yes",IF(COUNTBLANK('Capacity summary'!$H45:$BG45)&lt;52,IF('Capacity summary'!P45&lt;&gt;"",IF(LOWER('Capacity summary'!P45)="x",$BI133*P133,VALUE('Capacity summary'!P45)),0),P133*$BI133),P133*$BI133),0)</f>
        <v>0</v>
      </c>
      <c r="BT133" s="5">
        <f>IF($BI133&lt;&gt;"",IF('Capacity summary'!$C$14="Yes",IF(COUNTBLANK('Capacity summary'!$H45:$BG45)&lt;52,IF('Capacity summary'!Q45&lt;&gt;"",IF(LOWER('Capacity summary'!Q45)="x",$BI133*Q133,VALUE('Capacity summary'!Q45)),0),Q133*$BI133),Q133*$BI133),0)</f>
        <v>0</v>
      </c>
      <c r="BU133" s="5">
        <f>IF($BI133&lt;&gt;"",IF('Capacity summary'!$C$14="Yes",IF(COUNTBLANK('Capacity summary'!$H45:$BG45)&lt;52,IF('Capacity summary'!R45&lt;&gt;"",IF(LOWER('Capacity summary'!R45)="x",$BI133*R133,VALUE('Capacity summary'!R45)),0),R133*$BI133),R133*$BI133),0)</f>
        <v>0</v>
      </c>
      <c r="BV133" s="5">
        <f>IF($BI133&lt;&gt;"",IF('Capacity summary'!$C$14="Yes",IF(COUNTBLANK('Capacity summary'!$H45:$BG45)&lt;52,IF('Capacity summary'!S45&lt;&gt;"",IF(LOWER('Capacity summary'!S45)="x",$BI133*S133,VALUE('Capacity summary'!S45)),0),S133*$BI133),S133*$BI133),0)</f>
        <v>0</v>
      </c>
      <c r="BW133" s="5">
        <f>IF($BI133&lt;&gt;"",IF('Capacity summary'!$C$14="Yes",IF(COUNTBLANK('Capacity summary'!$H45:$BG45)&lt;52,IF('Capacity summary'!T45&lt;&gt;"",IF(LOWER('Capacity summary'!T45)="x",$BI133*T133,VALUE('Capacity summary'!T45)),0),T133*$BI133),T133*$BI133),0)</f>
        <v>0</v>
      </c>
      <c r="BX133" s="5">
        <f>IF($BI133&lt;&gt;"",IF('Capacity summary'!$C$14="Yes",IF(COUNTBLANK('Capacity summary'!$H45:$BG45)&lt;52,IF('Capacity summary'!U45&lt;&gt;"",IF(LOWER('Capacity summary'!U45)="x",$BI133*U133,VALUE('Capacity summary'!U45)),0),U133*$BI133),U133*$BI133),0)</f>
        <v>0</v>
      </c>
      <c r="BY133" s="5">
        <f>IF($BI133&lt;&gt;"",IF('Capacity summary'!$C$14="Yes",IF(COUNTBLANK('Capacity summary'!$H45:$BG45)&lt;52,IF('Capacity summary'!V45&lt;&gt;"",IF(LOWER('Capacity summary'!V45)="x",$BI133*V133,VALUE('Capacity summary'!V45)),0),V133*$BI133),V133*$BI133),0)</f>
        <v>0</v>
      </c>
      <c r="BZ133" s="5">
        <f>IF($BI133&lt;&gt;"",IF('Capacity summary'!$C$14="Yes",IF(COUNTBLANK('Capacity summary'!$H45:$BG45)&lt;52,IF('Capacity summary'!W45&lt;&gt;"",IF(LOWER('Capacity summary'!W45)="x",$BI133*W133,VALUE('Capacity summary'!W45)),0),W133*$BI133),W133*$BI133),0)</f>
        <v>0</v>
      </c>
      <c r="CA133" s="5">
        <f>IF($BI133&lt;&gt;"",IF('Capacity summary'!$C$14="Yes",IF(COUNTBLANK('Capacity summary'!$H45:$BG45)&lt;52,IF('Capacity summary'!X45&lt;&gt;"",IF(LOWER('Capacity summary'!X45)="x",$BI133*X133,VALUE('Capacity summary'!X45)),0),X133*$BI133),X133*$BI133),0)</f>
        <v>0</v>
      </c>
      <c r="CB133" s="5">
        <f>IF($BI133&lt;&gt;"",IF('Capacity summary'!$C$14="Yes",IF(COUNTBLANK('Capacity summary'!$H45:$BG45)&lt;52,IF('Capacity summary'!Y45&lt;&gt;"",IF(LOWER('Capacity summary'!Y45)="x",$BI133*Y133,VALUE('Capacity summary'!Y45)),0),Y133*$BI133),Y133*$BI133),0)</f>
        <v>0</v>
      </c>
      <c r="CC133" s="5">
        <f>IF($BI133&lt;&gt;"",IF('Capacity summary'!$C$14="Yes",IF(COUNTBLANK('Capacity summary'!$H45:$BG45)&lt;52,IF('Capacity summary'!Z45&lt;&gt;"",IF(LOWER('Capacity summary'!Z45)="x",$BI133*Z133,VALUE('Capacity summary'!Z45)),0),Z133*$BI133),Z133*$BI133),0)</f>
        <v>0</v>
      </c>
      <c r="CD133" s="5">
        <f>IF($BI133&lt;&gt;"",IF('Capacity summary'!$C$14="Yes",IF(COUNTBLANK('Capacity summary'!$H45:$BG45)&lt;52,IF('Capacity summary'!AA45&lt;&gt;"",IF(LOWER('Capacity summary'!AA45)="x",$BI133*AA133,VALUE('Capacity summary'!AA45)),0),AA133*$BI133),AA133*$BI133),0)</f>
        <v>0</v>
      </c>
      <c r="CE133" s="5">
        <f>IF($BI133&lt;&gt;"",IF('Capacity summary'!$C$14="Yes",IF(COUNTBLANK('Capacity summary'!$H45:$BG45)&lt;52,IF('Capacity summary'!AB45&lt;&gt;"",IF(LOWER('Capacity summary'!AB45)="x",$BI133*AB133,VALUE('Capacity summary'!AB45)),0),AB133*$BI133),AB133*$BI133),0)</f>
        <v>0</v>
      </c>
      <c r="CF133" s="5">
        <f>IF($BI133&lt;&gt;"",IF('Capacity summary'!$C$14="Yes",IF(COUNTBLANK('Capacity summary'!$H45:$BG45)&lt;52,IF('Capacity summary'!AC45&lt;&gt;"",IF(LOWER('Capacity summary'!AC45)="x",$BI133*AC133,VALUE('Capacity summary'!AC45)),0),AC133*$BI133),AC133*$BI133),0)</f>
        <v>0</v>
      </c>
      <c r="CG133" s="5">
        <f>IF($BI133&lt;&gt;"",IF('Capacity summary'!$C$14="Yes",IF(COUNTBLANK('Capacity summary'!$H45:$BG45)&lt;52,IF('Capacity summary'!AD45&lt;&gt;"",IF(LOWER('Capacity summary'!AD45)="x",$BI133*AD133,VALUE('Capacity summary'!AD45)),0),AD133*$BI133),AD133*$BI133),0)</f>
        <v>0</v>
      </c>
      <c r="CH133" s="5">
        <f>IF($BI133&lt;&gt;"",IF('Capacity summary'!$C$14="Yes",IF(COUNTBLANK('Capacity summary'!$H45:$BG45)&lt;52,IF('Capacity summary'!AE45&lt;&gt;"",IF(LOWER('Capacity summary'!AE45)="x",$BI133*AE133,VALUE('Capacity summary'!AE45)),0),AE133*$BI133),AE133*$BI133),0)</f>
        <v>0</v>
      </c>
      <c r="CI133" s="5">
        <f>IF($BI133&lt;&gt;"",IF('Capacity summary'!$C$14="Yes",IF(COUNTBLANK('Capacity summary'!$H45:$BG45)&lt;52,IF('Capacity summary'!AF45&lt;&gt;"",IF(LOWER('Capacity summary'!AF45)="x",$BI133*AF133,VALUE('Capacity summary'!AF45)),0),AF133*$BI133),AF133*$BI133),0)</f>
        <v>0</v>
      </c>
      <c r="CJ133" s="5">
        <f>IF($BI133&lt;&gt;"",IF('Capacity summary'!$C$14="Yes",IF(COUNTBLANK('Capacity summary'!$H45:$BG45)&lt;52,IF('Capacity summary'!AG45&lt;&gt;"",IF(LOWER('Capacity summary'!AG45)="x",$BI133*AG133,VALUE('Capacity summary'!AG45)),0),AG133*$BI133),AG133*$BI133),0)</f>
        <v>0</v>
      </c>
      <c r="CK133" s="5">
        <f>IF($BI133&lt;&gt;"",IF('Capacity summary'!$C$14="Yes",IF(COUNTBLANK('Capacity summary'!$H45:$BG45)&lt;52,IF('Capacity summary'!AH45&lt;&gt;"",IF(LOWER('Capacity summary'!AH45)="x",$BI133*AH133,VALUE('Capacity summary'!AH45)),0),AH133*$BI133),AH133*$BI133),0)</f>
        <v>0</v>
      </c>
      <c r="CL133" s="5">
        <f>IF($BI133&lt;&gt;"",IF('Capacity summary'!$C$14="Yes",IF(COUNTBLANK('Capacity summary'!$H45:$BG45)&lt;52,IF('Capacity summary'!AI45&lt;&gt;"",IF(LOWER('Capacity summary'!AI45)="x",$BI133*AI133,VALUE('Capacity summary'!AI45)),0),AI133*$BI133),AI133*$BI133),0)</f>
        <v>0</v>
      </c>
      <c r="CM133" s="5">
        <f>IF($BI133&lt;&gt;"",IF('Capacity summary'!$C$14="Yes",IF(COUNTBLANK('Capacity summary'!$H45:$BG45)&lt;52,IF('Capacity summary'!AJ45&lt;&gt;"",IF(LOWER('Capacity summary'!AJ45)="x",$BI133*AJ133,VALUE('Capacity summary'!AJ45)),0),AJ133*$BI133),AJ133*$BI133),0)</f>
        <v>0</v>
      </c>
      <c r="CN133" s="5">
        <f>IF($BI133&lt;&gt;"",IF('Capacity summary'!$C$14="Yes",IF(COUNTBLANK('Capacity summary'!$H45:$BG45)&lt;52,IF('Capacity summary'!AK45&lt;&gt;"",IF(LOWER('Capacity summary'!AK45)="x",$BI133*AK133,VALUE('Capacity summary'!AK45)),0),AK133*$BI133),AK133*$BI133),0)</f>
        <v>0</v>
      </c>
      <c r="CO133" s="5">
        <f>IF($BI133&lt;&gt;"",IF('Capacity summary'!$C$14="Yes",IF(COUNTBLANK('Capacity summary'!$H45:$BG45)&lt;52,IF('Capacity summary'!AL45&lt;&gt;"",IF(LOWER('Capacity summary'!AL45)="x",$BI133*AL133,VALUE('Capacity summary'!AL45)),0),AL133*$BI133),AL133*$BI133),0)</f>
        <v>0</v>
      </c>
      <c r="CP133" s="5">
        <f>IF($BI133&lt;&gt;"",IF('Capacity summary'!$C$14="Yes",IF(COUNTBLANK('Capacity summary'!$H45:$BG45)&lt;52,IF('Capacity summary'!AM45&lt;&gt;"",IF(LOWER('Capacity summary'!AM45)="x",$BI133*AM133,VALUE('Capacity summary'!AM45)),0),AM133*$BI133),AM133*$BI133),0)</f>
        <v>0</v>
      </c>
      <c r="CQ133" s="5">
        <f>IF($BI133&lt;&gt;"",IF('Capacity summary'!$C$14="Yes",IF(COUNTBLANK('Capacity summary'!$H45:$BG45)&lt;52,IF('Capacity summary'!AN45&lt;&gt;"",IF(LOWER('Capacity summary'!AN45)="x",$BI133*AN133,VALUE('Capacity summary'!AN45)),0),AN133*$BI133),AN133*$BI133),0)</f>
        <v>0</v>
      </c>
      <c r="CR133" s="5">
        <f>IF($BI133&lt;&gt;"",IF('Capacity summary'!$C$14="Yes",IF(COUNTBLANK('Capacity summary'!$H45:$BG45)&lt;52,IF('Capacity summary'!AO45&lt;&gt;"",IF(LOWER('Capacity summary'!AO45)="x",$BI133*AO133,VALUE('Capacity summary'!AO45)),0),AO133*$BI133),AO133*$BI133),0)</f>
        <v>0</v>
      </c>
      <c r="CS133" s="5">
        <f>IF($BI133&lt;&gt;"",IF('Capacity summary'!$C$14="Yes",IF(COUNTBLANK('Capacity summary'!$H45:$BG45)&lt;52,IF('Capacity summary'!AP45&lt;&gt;"",IF(LOWER('Capacity summary'!AP45)="x",$BI133*AP133,VALUE('Capacity summary'!AP45)),0),AP133*$BI133),AP133*$BI133),0)</f>
        <v>0</v>
      </c>
      <c r="CT133" s="5">
        <f>IF($BI133&lt;&gt;"",IF('Capacity summary'!$C$14="Yes",IF(COUNTBLANK('Capacity summary'!$H45:$BG45)&lt;52,IF('Capacity summary'!AQ45&lt;&gt;"",IF(LOWER('Capacity summary'!AQ45)="x",$BI133*AQ133,VALUE('Capacity summary'!AQ45)),0),AQ133*$BI133),AQ133*$BI133),0)</f>
        <v>0</v>
      </c>
      <c r="CU133" s="5">
        <f>IF($BI133&lt;&gt;"",IF('Capacity summary'!$C$14="Yes",IF(COUNTBLANK('Capacity summary'!$H45:$BG45)&lt;52,IF('Capacity summary'!AR45&lt;&gt;"",IF(LOWER('Capacity summary'!AR45)="x",$BI133*AR133,VALUE('Capacity summary'!AR45)),0),AR133*$BI133),AR133*$BI133),0)</f>
        <v>0</v>
      </c>
      <c r="CV133" s="5">
        <f>IF($BI133&lt;&gt;"",IF('Capacity summary'!$C$14="Yes",IF(COUNTBLANK('Capacity summary'!$H45:$BG45)&lt;52,IF('Capacity summary'!AS45&lt;&gt;"",IF(LOWER('Capacity summary'!AS45)="x",$BI133*AS133,VALUE('Capacity summary'!AS45)),0),AS133*$BI133),AS133*$BI133),0)</f>
        <v>0</v>
      </c>
      <c r="CW133" s="5">
        <f>IF($BI133&lt;&gt;"",IF('Capacity summary'!$C$14="Yes",IF(COUNTBLANK('Capacity summary'!$H45:$BG45)&lt;52,IF('Capacity summary'!AT45&lt;&gt;"",IF(LOWER('Capacity summary'!AT45)="x",$BI133*AT133,VALUE('Capacity summary'!AT45)),0),AT133*$BI133),AT133*$BI133),0)</f>
        <v>0</v>
      </c>
      <c r="CX133" s="5">
        <f>IF($BI133&lt;&gt;"",IF('Capacity summary'!$C$14="Yes",IF(COUNTBLANK('Capacity summary'!$H45:$BG45)&lt;52,IF('Capacity summary'!AU45&lt;&gt;"",IF(LOWER('Capacity summary'!AU45)="x",$BI133*AU133,VALUE('Capacity summary'!AU45)),0),AU133*$BI133),AU133*$BI133),0)</f>
        <v>0</v>
      </c>
      <c r="CY133" s="5">
        <f>IF($BI133&lt;&gt;"",IF('Capacity summary'!$C$14="Yes",IF(COUNTBLANK('Capacity summary'!$H45:$BG45)&lt;52,IF('Capacity summary'!AV45&lt;&gt;"",IF(LOWER('Capacity summary'!AV45)="x",$BI133*AV133,VALUE('Capacity summary'!AV45)),0),AV133*$BI133),AV133*$BI133),0)</f>
        <v>0</v>
      </c>
      <c r="CZ133" s="5">
        <f>IF($BI133&lt;&gt;"",IF('Capacity summary'!$C$14="Yes",IF(COUNTBLANK('Capacity summary'!$H45:$BG45)&lt;52,IF('Capacity summary'!AW45&lt;&gt;"",IF(LOWER('Capacity summary'!AW45)="x",$BI133*AW133,VALUE('Capacity summary'!AW45)),0),AW133*$BI133),AW133*$BI133),0)</f>
        <v>0</v>
      </c>
      <c r="DA133" s="5">
        <f>IF($BI133&lt;&gt;"",IF('Capacity summary'!$C$14="Yes",IF(COUNTBLANK('Capacity summary'!$H45:$BG45)&lt;52,IF('Capacity summary'!AX45&lt;&gt;"",IF(LOWER('Capacity summary'!AX45)="x",$BI133*AX133,VALUE('Capacity summary'!AX45)),0),AX133*$BI133),AX133*$BI133),0)</f>
        <v>0</v>
      </c>
      <c r="DB133" s="5">
        <f>IF($BI133&lt;&gt;"",IF('Capacity summary'!$C$14="Yes",IF(COUNTBLANK('Capacity summary'!$H45:$BG45)&lt;52,IF('Capacity summary'!AY45&lt;&gt;"",IF(LOWER('Capacity summary'!AY45)="x",$BI133*AY133,VALUE('Capacity summary'!AY45)),0),AY133*$BI133),AY133*$BI133),0)</f>
        <v>0</v>
      </c>
      <c r="DC133" s="5">
        <f>IF($BI133&lt;&gt;"",IF('Capacity summary'!$C$14="Yes",IF(COUNTBLANK('Capacity summary'!$H45:$BG45)&lt;52,IF('Capacity summary'!AZ45&lt;&gt;"",IF(LOWER('Capacity summary'!AZ45)="x",$BI133*AZ133,VALUE('Capacity summary'!AZ45)),0),AZ133*$BI133),AZ133*$BI133),0)</f>
        <v>0</v>
      </c>
      <c r="DD133" s="5">
        <f>IF($BI133&lt;&gt;"",IF('Capacity summary'!$C$14="Yes",IF(COUNTBLANK('Capacity summary'!$H45:$BG45)&lt;52,IF('Capacity summary'!BA45&lt;&gt;"",IF(LOWER('Capacity summary'!BA45)="x",$BI133*BA133,VALUE('Capacity summary'!BA45)),0),BA133*$BI133),BA133*$BI133),0)</f>
        <v>0</v>
      </c>
      <c r="DE133" s="5">
        <f>IF($BI133&lt;&gt;"",IF('Capacity summary'!$C$14="Yes",IF(COUNTBLANK('Capacity summary'!$H45:$BG45)&lt;52,IF('Capacity summary'!BB45&lt;&gt;"",IF(LOWER('Capacity summary'!BB45)="x",$BI133*BB133,VALUE('Capacity summary'!BB45)),0),BB133*$BI133),BB133*$BI133),0)</f>
        <v>0</v>
      </c>
      <c r="DF133" s="5">
        <f>IF($BI133&lt;&gt;"",IF('Capacity summary'!$C$14="Yes",IF(COUNTBLANK('Capacity summary'!$H45:$BG45)&lt;52,IF('Capacity summary'!BC45&lt;&gt;"",IF(LOWER('Capacity summary'!BC45)="x",$BI133*BC133,VALUE('Capacity summary'!BC45)),0),BC133*$BI133),BC133*$BI133),0)</f>
        <v>0</v>
      </c>
      <c r="DG133" s="5">
        <f>IF($BI133&lt;&gt;"",IF('Capacity summary'!$C$14="Yes",IF(COUNTBLANK('Capacity summary'!$H45:$BG45)&lt;52,IF('Capacity summary'!BD45&lt;&gt;"",IF(LOWER('Capacity summary'!BD45)="x",$BI133*BD133,VALUE('Capacity summary'!BD45)),0),BD133*$BI133),BD133*$BI133),0)</f>
        <v>0</v>
      </c>
      <c r="DH133" s="5">
        <f>IF($BI133&lt;&gt;"",IF('Capacity summary'!$C$14="Yes",IF(COUNTBLANK('Capacity summary'!$H45:$BG45)&lt;52,IF('Capacity summary'!BE45&lt;&gt;"",IF(LOWER('Capacity summary'!BE45)="x",$BI133*BE133,VALUE('Capacity summary'!BE45)),0),BE133*$BI133),BE133*$BI133),0)</f>
        <v>0</v>
      </c>
      <c r="DI133" s="5">
        <f>IF($BI133&lt;&gt;"",IF('Capacity summary'!$C$14="Yes",IF(COUNTBLANK('Capacity summary'!$H45:$BG45)&lt;52,IF('Capacity summary'!BF45&lt;&gt;"",IF(LOWER('Capacity summary'!BF45)="x",$BI133*BF133,VALUE('Capacity summary'!BF45)),0),BF133*$BI133),BF133*$BI133),0)</f>
        <v>0</v>
      </c>
      <c r="DJ133" s="5">
        <f>IF($BI133&lt;&gt;"",IF('Capacity summary'!$C$14="Yes",IF(COUNTBLANK('Capacity summary'!$H45:$BG45)&lt;52,IF('Capacity summary'!BG45&lt;&gt;"",IF(LOWER('Capacity summary'!BG45)="x",$BI133*BG133,VALUE('Capacity summary'!BG45)),0),BG133*$BI133),BG133*$BI133),0)</f>
        <v>0</v>
      </c>
      <c r="DK133" s="5">
        <f t="shared" ref="DK133" si="27">SUM(DK134:DK233)</f>
        <v>0</v>
      </c>
    </row>
    <row r="134" spans="3:115" x14ac:dyDescent="0.25">
      <c r="C134" s="67" t="str">
        <f>ROW(A23)&amp;". "&amp;Capacity!N39</f>
        <v xml:space="preserve">23. </v>
      </c>
      <c r="D134" s="67">
        <f>'Capacity setup'!C140</f>
        <v>0</v>
      </c>
      <c r="E134" s="67">
        <f>'Capacity setup'!D140</f>
        <v>0</v>
      </c>
      <c r="F134" s="67">
        <f>'Capacity setup'!E140</f>
        <v>0</v>
      </c>
      <c r="H134" s="67">
        <f ca="1">IF(AND(SUMIF(Capacity_Resource,$D134,'Critical resources (hide)'!U$6:U$105)+SUMIF(Capacity_Resource,$E134,'Critical resources (hide)'!U$6:U$105)+SUMIF(Capacity_Resource,$F134,'Critical resources (hide)'!U$6:U$105)&gt;0,$E$1=2),0,1)</f>
        <v>1</v>
      </c>
      <c r="I134" s="67">
        <f ca="1">IF(AND(SUMIF(Capacity_Resource,$D134,'Critical resources (hide)'!V$6:V$105)+SUMIF(Capacity_Resource,$E134,'Critical resources (hide)'!V$6:V$105)+SUMIF(Capacity_Resource,$F134,'Critical resources (hide)'!V$6:V$105)&gt;0,$E$1=2),0,1)</f>
        <v>1</v>
      </c>
      <c r="J134" s="67">
        <f ca="1">IF(AND(SUMIF(Capacity_Resource,$D134,'Critical resources (hide)'!W$6:W$105)+SUMIF(Capacity_Resource,$E134,'Critical resources (hide)'!W$6:W$105)+SUMIF(Capacity_Resource,$F134,'Critical resources (hide)'!W$6:W$105)&gt;0,$E$1=2),0,1)</f>
        <v>1</v>
      </c>
      <c r="K134" s="67">
        <f ca="1">IF(AND(SUMIF(Capacity_Resource,$D134,'Critical resources (hide)'!X$6:X$105)+SUMIF(Capacity_Resource,$E134,'Critical resources (hide)'!X$6:X$105)+SUMIF(Capacity_Resource,$F134,'Critical resources (hide)'!X$6:X$105)&gt;0,$E$1=2),0,1)</f>
        <v>1</v>
      </c>
      <c r="L134" s="67">
        <f ca="1">IF(AND(SUMIF(Capacity_Resource,$D134,'Critical resources (hide)'!Y$6:Y$105)+SUMIF(Capacity_Resource,$E134,'Critical resources (hide)'!Y$6:Y$105)+SUMIF(Capacity_Resource,$F134,'Critical resources (hide)'!Y$6:Y$105)&gt;0,$E$1=2),0,1)</f>
        <v>1</v>
      </c>
      <c r="M134" s="67">
        <f ca="1">IF(AND(SUMIF(Capacity_Resource,$D134,'Critical resources (hide)'!Z$6:Z$105)+SUMIF(Capacity_Resource,$E134,'Critical resources (hide)'!Z$6:Z$105)+SUMIF(Capacity_Resource,$F134,'Critical resources (hide)'!Z$6:Z$105)&gt;0,$E$1=2),0,1)</f>
        <v>1</v>
      </c>
      <c r="N134" s="67">
        <f ca="1">IF(AND(SUMIF(Capacity_Resource,$D134,'Critical resources (hide)'!AA$6:AA$105)+SUMIF(Capacity_Resource,$E134,'Critical resources (hide)'!AA$6:AA$105)+SUMIF(Capacity_Resource,$F134,'Critical resources (hide)'!AA$6:AA$105)&gt;0,$E$1=2),0,1)</f>
        <v>1</v>
      </c>
      <c r="O134" s="67">
        <f ca="1">IF(AND(SUMIF(Capacity_Resource,$D134,'Critical resources (hide)'!AB$6:AB$105)+SUMIF(Capacity_Resource,$E134,'Critical resources (hide)'!AB$6:AB$105)+SUMIF(Capacity_Resource,$F134,'Critical resources (hide)'!AB$6:AB$105)&gt;0,$E$1=2),0,1)</f>
        <v>1</v>
      </c>
      <c r="P134" s="67">
        <f ca="1">IF(AND(SUMIF(Capacity_Resource,$D134,'Critical resources (hide)'!AC$6:AC$105)+SUMIF(Capacity_Resource,$E134,'Critical resources (hide)'!AC$6:AC$105)+SUMIF(Capacity_Resource,$F134,'Critical resources (hide)'!AC$6:AC$105)&gt;0,$E$1=2),0,1)</f>
        <v>1</v>
      </c>
      <c r="Q134" s="67">
        <f ca="1">IF(AND(SUMIF(Capacity_Resource,$D134,'Critical resources (hide)'!AD$6:AD$105)+SUMIF(Capacity_Resource,$E134,'Critical resources (hide)'!AD$6:AD$105)+SUMIF(Capacity_Resource,$F134,'Critical resources (hide)'!AD$6:AD$105)&gt;0,$E$1=2),0,1)</f>
        <v>1</v>
      </c>
      <c r="R134" s="67">
        <f ca="1">IF(AND(SUMIF(Capacity_Resource,$D134,'Critical resources (hide)'!AE$6:AE$105)+SUMIF(Capacity_Resource,$E134,'Critical resources (hide)'!AE$6:AE$105)+SUMIF(Capacity_Resource,$F134,'Critical resources (hide)'!AE$6:AE$105)&gt;0,$E$1=2),0,1)</f>
        <v>1</v>
      </c>
      <c r="S134" s="67">
        <f ca="1">IF(AND(SUMIF(Capacity_Resource,$D134,'Critical resources (hide)'!AF$6:AF$105)+SUMIF(Capacity_Resource,$E134,'Critical resources (hide)'!AF$6:AF$105)+SUMIF(Capacity_Resource,$F134,'Critical resources (hide)'!AF$6:AF$105)&gt;0,$E$1=2),0,1)</f>
        <v>1</v>
      </c>
      <c r="T134" s="67">
        <f ca="1">IF(AND(SUMIF(Capacity_Resource,$D134,'Critical resources (hide)'!AG$6:AG$105)+SUMIF(Capacity_Resource,$E134,'Critical resources (hide)'!AG$6:AG$105)+SUMIF(Capacity_Resource,$F134,'Critical resources (hide)'!AG$6:AG$105)&gt;0,$E$1=2),0,1)</f>
        <v>1</v>
      </c>
      <c r="U134" s="67">
        <f ca="1">IF(AND(SUMIF(Capacity_Resource,$D134,'Critical resources (hide)'!AH$6:AH$105)+SUMIF(Capacity_Resource,$E134,'Critical resources (hide)'!AH$6:AH$105)+SUMIF(Capacity_Resource,$F134,'Critical resources (hide)'!AH$6:AH$105)&gt;0,$E$1=2),0,1)</f>
        <v>1</v>
      </c>
      <c r="V134" s="67">
        <f ca="1">IF(AND(SUMIF(Capacity_Resource,$D134,'Critical resources (hide)'!AI$6:AI$105)+SUMIF(Capacity_Resource,$E134,'Critical resources (hide)'!AI$6:AI$105)+SUMIF(Capacity_Resource,$F134,'Critical resources (hide)'!AI$6:AI$105)&gt;0,$E$1=2),0,1)</f>
        <v>1</v>
      </c>
      <c r="W134" s="67">
        <f ca="1">IF(AND(SUMIF(Capacity_Resource,$D134,'Critical resources (hide)'!AJ$6:AJ$105)+SUMIF(Capacity_Resource,$E134,'Critical resources (hide)'!AJ$6:AJ$105)+SUMIF(Capacity_Resource,$F134,'Critical resources (hide)'!AJ$6:AJ$105)&gt;0,$E$1=2),0,1)</f>
        <v>1</v>
      </c>
      <c r="X134" s="67">
        <f ca="1">IF(AND(SUMIF(Capacity_Resource,$D134,'Critical resources (hide)'!AK$6:AK$105)+SUMIF(Capacity_Resource,$E134,'Critical resources (hide)'!AK$6:AK$105)+SUMIF(Capacity_Resource,$F134,'Critical resources (hide)'!AK$6:AK$105)&gt;0,$E$1=2),0,1)</f>
        <v>1</v>
      </c>
      <c r="Y134" s="67">
        <f ca="1">IF(AND(SUMIF(Capacity_Resource,$D134,'Critical resources (hide)'!AL$6:AL$105)+SUMIF(Capacity_Resource,$E134,'Critical resources (hide)'!AL$6:AL$105)+SUMIF(Capacity_Resource,$F134,'Critical resources (hide)'!AL$6:AL$105)&gt;0,$E$1=2),0,1)</f>
        <v>1</v>
      </c>
      <c r="Z134" s="67">
        <f ca="1">IF(AND(SUMIF(Capacity_Resource,$D134,'Critical resources (hide)'!AM$6:AM$105)+SUMIF(Capacity_Resource,$E134,'Critical resources (hide)'!AM$6:AM$105)+SUMIF(Capacity_Resource,$F134,'Critical resources (hide)'!AM$6:AM$105)&gt;0,$E$1=2),0,1)</f>
        <v>1</v>
      </c>
      <c r="AA134" s="67">
        <f ca="1">IF(AND(SUMIF(Capacity_Resource,$D134,'Critical resources (hide)'!AN$6:AN$105)+SUMIF(Capacity_Resource,$E134,'Critical resources (hide)'!AN$6:AN$105)+SUMIF(Capacity_Resource,$F134,'Critical resources (hide)'!AN$6:AN$105)&gt;0,$E$1=2),0,1)</f>
        <v>1</v>
      </c>
      <c r="AB134" s="67">
        <f ca="1">IF(AND(SUMIF(Capacity_Resource,$D134,'Critical resources (hide)'!AO$6:AO$105)+SUMIF(Capacity_Resource,$E134,'Critical resources (hide)'!AO$6:AO$105)+SUMIF(Capacity_Resource,$F134,'Critical resources (hide)'!AO$6:AO$105)&gt;0,$E$1=2),0,1)</f>
        <v>1</v>
      </c>
      <c r="AC134" s="67">
        <f ca="1">IF(AND(SUMIF(Capacity_Resource,$D134,'Critical resources (hide)'!AP$6:AP$105)+SUMIF(Capacity_Resource,$E134,'Critical resources (hide)'!AP$6:AP$105)+SUMIF(Capacity_Resource,$F134,'Critical resources (hide)'!AP$6:AP$105)&gt;0,$E$1=2),0,1)</f>
        <v>1</v>
      </c>
      <c r="AD134" s="67">
        <f ca="1">IF(AND(SUMIF(Capacity_Resource,$D134,'Critical resources (hide)'!AQ$6:AQ$105)+SUMIF(Capacity_Resource,$E134,'Critical resources (hide)'!AQ$6:AQ$105)+SUMIF(Capacity_Resource,$F134,'Critical resources (hide)'!AQ$6:AQ$105)&gt;0,$E$1=2),0,1)</f>
        <v>1</v>
      </c>
      <c r="AE134" s="67">
        <f ca="1">IF(AND(SUMIF(Capacity_Resource,$D134,'Critical resources (hide)'!AR$6:AR$105)+SUMIF(Capacity_Resource,$E134,'Critical resources (hide)'!AR$6:AR$105)+SUMIF(Capacity_Resource,$F134,'Critical resources (hide)'!AR$6:AR$105)&gt;0,$E$1=2),0,1)</f>
        <v>1</v>
      </c>
      <c r="AF134" s="67">
        <f ca="1">IF(AND(SUMIF(Capacity_Resource,$D134,'Critical resources (hide)'!AS$6:AS$105)+SUMIF(Capacity_Resource,$E134,'Critical resources (hide)'!AS$6:AS$105)+SUMIF(Capacity_Resource,$F134,'Critical resources (hide)'!AS$6:AS$105)&gt;0,$E$1=2),0,1)</f>
        <v>1</v>
      </c>
      <c r="AG134" s="67">
        <f ca="1">IF(AND(SUMIF(Capacity_Resource,$D134,'Critical resources (hide)'!AT$6:AT$105)+SUMIF(Capacity_Resource,$E134,'Critical resources (hide)'!AT$6:AT$105)+SUMIF(Capacity_Resource,$F134,'Critical resources (hide)'!AT$6:AT$105)&gt;0,$E$1=2),0,1)</f>
        <v>1</v>
      </c>
      <c r="AH134" s="67">
        <f ca="1">IF(AND(SUMIF(Capacity_Resource,$D134,'Critical resources (hide)'!AU$6:AU$105)+SUMIF(Capacity_Resource,$E134,'Critical resources (hide)'!AU$6:AU$105)+SUMIF(Capacity_Resource,$F134,'Critical resources (hide)'!AU$6:AU$105)&gt;0,$E$1=2),0,1)</f>
        <v>1</v>
      </c>
      <c r="AI134" s="67">
        <f ca="1">IF(AND(SUMIF(Capacity_Resource,$D134,'Critical resources (hide)'!AV$6:AV$105)+SUMIF(Capacity_Resource,$E134,'Critical resources (hide)'!AV$6:AV$105)+SUMIF(Capacity_Resource,$F134,'Critical resources (hide)'!AV$6:AV$105)&gt;0,$E$1=2),0,1)</f>
        <v>1</v>
      </c>
      <c r="AJ134" s="67">
        <f ca="1">IF(AND(SUMIF(Capacity_Resource,$D134,'Critical resources (hide)'!AW$6:AW$105)+SUMIF(Capacity_Resource,$E134,'Critical resources (hide)'!AW$6:AW$105)+SUMIF(Capacity_Resource,$F134,'Critical resources (hide)'!AW$6:AW$105)&gt;0,$E$1=2),0,1)</f>
        <v>1</v>
      </c>
      <c r="AK134" s="67">
        <f ca="1">IF(AND(SUMIF(Capacity_Resource,$D134,'Critical resources (hide)'!AX$6:AX$105)+SUMIF(Capacity_Resource,$E134,'Critical resources (hide)'!AX$6:AX$105)+SUMIF(Capacity_Resource,$F134,'Critical resources (hide)'!AX$6:AX$105)&gt;0,$E$1=2),0,1)</f>
        <v>1</v>
      </c>
      <c r="AL134" s="67">
        <f ca="1">IF(AND(SUMIF(Capacity_Resource,$D134,'Critical resources (hide)'!AY$6:AY$105)+SUMIF(Capacity_Resource,$E134,'Critical resources (hide)'!AY$6:AY$105)+SUMIF(Capacity_Resource,$F134,'Critical resources (hide)'!AY$6:AY$105)&gt;0,$E$1=2),0,1)</f>
        <v>1</v>
      </c>
      <c r="AM134" s="67">
        <f ca="1">IF(AND(SUMIF(Capacity_Resource,$D134,'Critical resources (hide)'!AZ$6:AZ$105)+SUMIF(Capacity_Resource,$E134,'Critical resources (hide)'!AZ$6:AZ$105)+SUMIF(Capacity_Resource,$F134,'Critical resources (hide)'!AZ$6:AZ$105)&gt;0,$E$1=2),0,1)</f>
        <v>1</v>
      </c>
      <c r="AN134" s="67">
        <f ca="1">IF(AND(SUMIF(Capacity_Resource,$D134,'Critical resources (hide)'!BA$6:BA$105)+SUMIF(Capacity_Resource,$E134,'Critical resources (hide)'!BA$6:BA$105)+SUMIF(Capacity_Resource,$F134,'Critical resources (hide)'!BA$6:BA$105)&gt;0,$E$1=2),0,1)</f>
        <v>1</v>
      </c>
      <c r="AO134" s="67">
        <f ca="1">IF(AND(SUMIF(Capacity_Resource,$D134,'Critical resources (hide)'!BB$6:BB$105)+SUMIF(Capacity_Resource,$E134,'Critical resources (hide)'!BB$6:BB$105)+SUMIF(Capacity_Resource,$F134,'Critical resources (hide)'!BB$6:BB$105)&gt;0,$E$1=2),0,1)</f>
        <v>1</v>
      </c>
      <c r="AP134" s="67">
        <f ca="1">IF(AND(SUMIF(Capacity_Resource,$D134,'Critical resources (hide)'!BC$6:BC$105)+SUMIF(Capacity_Resource,$E134,'Critical resources (hide)'!BC$6:BC$105)+SUMIF(Capacity_Resource,$F134,'Critical resources (hide)'!BC$6:BC$105)&gt;0,$E$1=2),0,1)</f>
        <v>1</v>
      </c>
      <c r="AQ134" s="67">
        <f ca="1">IF(AND(SUMIF(Capacity_Resource,$D134,'Critical resources (hide)'!BD$6:BD$105)+SUMIF(Capacity_Resource,$E134,'Critical resources (hide)'!BD$6:BD$105)+SUMIF(Capacity_Resource,$F134,'Critical resources (hide)'!BD$6:BD$105)&gt;0,$E$1=2),0,1)</f>
        <v>1</v>
      </c>
      <c r="AR134" s="67">
        <f ca="1">IF(AND(SUMIF(Capacity_Resource,$D134,'Critical resources (hide)'!BE$6:BE$105)+SUMIF(Capacity_Resource,$E134,'Critical resources (hide)'!BE$6:BE$105)+SUMIF(Capacity_Resource,$F134,'Critical resources (hide)'!BE$6:BE$105)&gt;0,$E$1=2),0,1)</f>
        <v>1</v>
      </c>
      <c r="AS134" s="67">
        <f ca="1">IF(AND(SUMIF(Capacity_Resource,$D134,'Critical resources (hide)'!BF$6:BF$105)+SUMIF(Capacity_Resource,$E134,'Critical resources (hide)'!BF$6:BF$105)+SUMIF(Capacity_Resource,$F134,'Critical resources (hide)'!BF$6:BF$105)&gt;0,$E$1=2),0,1)</f>
        <v>1</v>
      </c>
      <c r="AT134" s="67">
        <f ca="1">IF(AND(SUMIF(Capacity_Resource,$D134,'Critical resources (hide)'!BG$6:BG$105)+SUMIF(Capacity_Resource,$E134,'Critical resources (hide)'!BG$6:BG$105)+SUMIF(Capacity_Resource,$F134,'Critical resources (hide)'!BG$6:BG$105)&gt;0,$E$1=2),0,1)</f>
        <v>1</v>
      </c>
      <c r="AU134" s="67">
        <f ca="1">IF(AND(SUMIF(Capacity_Resource,$D134,'Critical resources (hide)'!BH$6:BH$105)+SUMIF(Capacity_Resource,$E134,'Critical resources (hide)'!BH$6:BH$105)+SUMIF(Capacity_Resource,$F134,'Critical resources (hide)'!BH$6:BH$105)&gt;0,$E$1=2),0,1)</f>
        <v>1</v>
      </c>
      <c r="AV134" s="67">
        <f ca="1">IF(AND(SUMIF(Capacity_Resource,$D134,'Critical resources (hide)'!BI$6:BI$105)+SUMIF(Capacity_Resource,$E134,'Critical resources (hide)'!BI$6:BI$105)+SUMIF(Capacity_Resource,$F134,'Critical resources (hide)'!BI$6:BI$105)&gt;0,$E$1=2),0,1)</f>
        <v>1</v>
      </c>
      <c r="AW134" s="67">
        <f ca="1">IF(AND(SUMIF(Capacity_Resource,$D134,'Critical resources (hide)'!BJ$6:BJ$105)+SUMIF(Capacity_Resource,$E134,'Critical resources (hide)'!BJ$6:BJ$105)+SUMIF(Capacity_Resource,$F134,'Critical resources (hide)'!BJ$6:BJ$105)&gt;0,$E$1=2),0,1)</f>
        <v>1</v>
      </c>
      <c r="AX134" s="67">
        <f ca="1">IF(AND(SUMIF(Capacity_Resource,$D134,'Critical resources (hide)'!BK$6:BK$105)+SUMIF(Capacity_Resource,$E134,'Critical resources (hide)'!BK$6:BK$105)+SUMIF(Capacity_Resource,$F134,'Critical resources (hide)'!BK$6:BK$105)&gt;0,$E$1=2),0,1)</f>
        <v>1</v>
      </c>
      <c r="AY134" s="67">
        <f ca="1">IF(AND(SUMIF(Capacity_Resource,$D134,'Critical resources (hide)'!BL$6:BL$105)+SUMIF(Capacity_Resource,$E134,'Critical resources (hide)'!BL$6:BL$105)+SUMIF(Capacity_Resource,$F134,'Critical resources (hide)'!BL$6:BL$105)&gt;0,$E$1=2),0,1)</f>
        <v>1</v>
      </c>
      <c r="AZ134" s="67">
        <f ca="1">IF(AND(SUMIF(Capacity_Resource,$D134,'Critical resources (hide)'!BM$6:BM$105)+SUMIF(Capacity_Resource,$E134,'Critical resources (hide)'!BM$6:BM$105)+SUMIF(Capacity_Resource,$F134,'Critical resources (hide)'!BM$6:BM$105)&gt;0,$E$1=2),0,1)</f>
        <v>1</v>
      </c>
      <c r="BA134" s="67">
        <f ca="1">IF(AND(SUMIF(Capacity_Resource,$D134,'Critical resources (hide)'!BN$6:BN$105)+SUMIF(Capacity_Resource,$E134,'Critical resources (hide)'!BN$6:BN$105)+SUMIF(Capacity_Resource,$F134,'Critical resources (hide)'!BN$6:BN$105)&gt;0,$E$1=2),0,1)</f>
        <v>1</v>
      </c>
      <c r="BB134" s="67">
        <f ca="1">IF(AND(SUMIF(Capacity_Resource,$D134,'Critical resources (hide)'!BO$6:BO$105)+SUMIF(Capacity_Resource,$E134,'Critical resources (hide)'!BO$6:BO$105)+SUMIF(Capacity_Resource,$F134,'Critical resources (hide)'!BO$6:BO$105)&gt;0,$E$1=2),0,1)</f>
        <v>1</v>
      </c>
      <c r="BC134" s="67">
        <f ca="1">IF(AND(SUMIF(Capacity_Resource,$D134,'Critical resources (hide)'!BP$6:BP$105)+SUMIF(Capacity_Resource,$E134,'Critical resources (hide)'!BP$6:BP$105)+SUMIF(Capacity_Resource,$F134,'Critical resources (hide)'!BP$6:BP$105)&gt;0,$E$1=2),0,1)</f>
        <v>1</v>
      </c>
      <c r="BD134" s="67">
        <f ca="1">IF(AND(SUMIF(Capacity_Resource,$D134,'Critical resources (hide)'!BQ$6:BQ$105)+SUMIF(Capacity_Resource,$E134,'Critical resources (hide)'!BQ$6:BQ$105)+SUMIF(Capacity_Resource,$F134,'Critical resources (hide)'!BQ$6:BQ$105)&gt;0,$E$1=2),0,1)</f>
        <v>1</v>
      </c>
      <c r="BE134" s="67">
        <f ca="1">IF(AND(SUMIF(Capacity_Resource,$D134,'Critical resources (hide)'!BR$6:BR$105)+SUMIF(Capacity_Resource,$E134,'Critical resources (hide)'!BR$6:BR$105)+SUMIF(Capacity_Resource,$F134,'Critical resources (hide)'!BR$6:BR$105)&gt;0,$E$1=2),0,1)</f>
        <v>1</v>
      </c>
      <c r="BF134" s="67">
        <f ca="1">IF(AND(SUMIF(Capacity_Resource,$D134,'Critical resources (hide)'!BS$6:BS$105)+SUMIF(Capacity_Resource,$E134,'Critical resources (hide)'!BS$6:BS$105)+SUMIF(Capacity_Resource,$F134,'Critical resources (hide)'!BS$6:BS$105)&gt;0,$E$1=2),0,1)</f>
        <v>1</v>
      </c>
      <c r="BG134" s="67">
        <f ca="1">IF(AND(SUMIF(Capacity_Resource,$D134,'Critical resources (hide)'!BT$6:BT$105)+SUMIF(Capacity_Resource,$E134,'Critical resources (hide)'!BT$6:BT$105)+SUMIF(Capacity_Resource,$F134,'Critical resources (hide)'!BT$6:BT$105)&gt;0,$E$1=2),0,1)</f>
        <v>1</v>
      </c>
      <c r="BH134" s="67">
        <f>IF(ROW(A23)&lt;=Capacity!$M$16,IF('Capacity summary'!$C$14="No",SUM(H134:BG134),'Capacity summary'!$E46),0)</f>
        <v>0</v>
      </c>
      <c r="BI134" s="67" t="str">
        <f>IF(BH134&gt;0,IF(BH134&lt;Capacity!Q39,Capacity!R39,Capacity!T39/'Capacity calculation (hide)'!BH134),"")</f>
        <v/>
      </c>
      <c r="BJ134" s="5"/>
      <c r="BK134" s="5">
        <f>IF($BI134&lt;&gt;"",IF('Capacity summary'!$C$14="Yes",IF(COUNTBLANK('Capacity summary'!$H46:$BG46)&lt;52,IF('Capacity summary'!H46&lt;&gt;"",IF(LOWER('Capacity summary'!H46)="x",$BI134*H134,VALUE('Capacity summary'!H46)),0),H134*$BI134),H134*$BI134),0)</f>
        <v>0</v>
      </c>
      <c r="BL134" s="5">
        <f>IF($BI134&lt;&gt;"",IF('Capacity summary'!$C$14="Yes",IF(COUNTBLANK('Capacity summary'!$H46:$BG46)&lt;52,IF('Capacity summary'!I46&lt;&gt;"",IF(LOWER('Capacity summary'!I46)="x",$BI134*I134,VALUE('Capacity summary'!I46)),0),I134*$BI134),I134*$BI134),0)</f>
        <v>0</v>
      </c>
      <c r="BM134" s="5">
        <f>IF($BI134&lt;&gt;"",IF('Capacity summary'!$C$14="Yes",IF(COUNTBLANK('Capacity summary'!$H46:$BG46)&lt;52,IF('Capacity summary'!J46&lt;&gt;"",IF(LOWER('Capacity summary'!J46)="x",$BI134*J134,VALUE('Capacity summary'!J46)),0),J134*$BI134),J134*$BI134),0)</f>
        <v>0</v>
      </c>
      <c r="BN134" s="5">
        <f>IF($BI134&lt;&gt;"",IF('Capacity summary'!$C$14="Yes",IF(COUNTBLANK('Capacity summary'!$H46:$BG46)&lt;52,IF('Capacity summary'!K46&lt;&gt;"",IF(LOWER('Capacity summary'!K46)="x",$BI134*K134,VALUE('Capacity summary'!K46)),0),K134*$BI134),K134*$BI134),0)</f>
        <v>0</v>
      </c>
      <c r="BO134" s="5">
        <f>IF($BI134&lt;&gt;"",IF('Capacity summary'!$C$14="Yes",IF(COUNTBLANK('Capacity summary'!$H46:$BG46)&lt;52,IF('Capacity summary'!L46&lt;&gt;"",IF(LOWER('Capacity summary'!L46)="x",$BI134*L134,VALUE('Capacity summary'!L46)),0),L134*$BI134),L134*$BI134),0)</f>
        <v>0</v>
      </c>
      <c r="BP134" s="5">
        <f>IF($BI134&lt;&gt;"",IF('Capacity summary'!$C$14="Yes",IF(COUNTBLANK('Capacity summary'!$H46:$BG46)&lt;52,IF('Capacity summary'!M46&lt;&gt;"",IF(LOWER('Capacity summary'!M46)="x",$BI134*M134,VALUE('Capacity summary'!M46)),0),M134*$BI134),M134*$BI134),0)</f>
        <v>0</v>
      </c>
      <c r="BQ134" s="5">
        <f>IF($BI134&lt;&gt;"",IF('Capacity summary'!$C$14="Yes",IF(COUNTBLANK('Capacity summary'!$H46:$BG46)&lt;52,IF('Capacity summary'!N46&lt;&gt;"",IF(LOWER('Capacity summary'!N46)="x",$BI134*N134,VALUE('Capacity summary'!N46)),0),N134*$BI134),N134*$BI134),0)</f>
        <v>0</v>
      </c>
      <c r="BR134" s="5">
        <f>IF($BI134&lt;&gt;"",IF('Capacity summary'!$C$14="Yes",IF(COUNTBLANK('Capacity summary'!$H46:$BG46)&lt;52,IF('Capacity summary'!O46&lt;&gt;"",IF(LOWER('Capacity summary'!O46)="x",$BI134*O134,VALUE('Capacity summary'!O46)),0),O134*$BI134),O134*$BI134),0)</f>
        <v>0</v>
      </c>
      <c r="BS134" s="5">
        <f>IF($BI134&lt;&gt;"",IF('Capacity summary'!$C$14="Yes",IF(COUNTBLANK('Capacity summary'!$H46:$BG46)&lt;52,IF('Capacity summary'!P46&lt;&gt;"",IF(LOWER('Capacity summary'!P46)="x",$BI134*P134,VALUE('Capacity summary'!P46)),0),P134*$BI134),P134*$BI134),0)</f>
        <v>0</v>
      </c>
      <c r="BT134" s="5">
        <f>IF($BI134&lt;&gt;"",IF('Capacity summary'!$C$14="Yes",IF(COUNTBLANK('Capacity summary'!$H46:$BG46)&lt;52,IF('Capacity summary'!Q46&lt;&gt;"",IF(LOWER('Capacity summary'!Q46)="x",$BI134*Q134,VALUE('Capacity summary'!Q46)),0),Q134*$BI134),Q134*$BI134),0)</f>
        <v>0</v>
      </c>
      <c r="BU134" s="5">
        <f>IF($BI134&lt;&gt;"",IF('Capacity summary'!$C$14="Yes",IF(COUNTBLANK('Capacity summary'!$H46:$BG46)&lt;52,IF('Capacity summary'!R46&lt;&gt;"",IF(LOWER('Capacity summary'!R46)="x",$BI134*R134,VALUE('Capacity summary'!R46)),0),R134*$BI134),R134*$BI134),0)</f>
        <v>0</v>
      </c>
      <c r="BV134" s="5">
        <f>IF($BI134&lt;&gt;"",IF('Capacity summary'!$C$14="Yes",IF(COUNTBLANK('Capacity summary'!$H46:$BG46)&lt;52,IF('Capacity summary'!S46&lt;&gt;"",IF(LOWER('Capacity summary'!S46)="x",$BI134*S134,VALUE('Capacity summary'!S46)),0),S134*$BI134),S134*$BI134),0)</f>
        <v>0</v>
      </c>
      <c r="BW134" s="5">
        <f>IF($BI134&lt;&gt;"",IF('Capacity summary'!$C$14="Yes",IF(COUNTBLANK('Capacity summary'!$H46:$BG46)&lt;52,IF('Capacity summary'!T46&lt;&gt;"",IF(LOWER('Capacity summary'!T46)="x",$BI134*T134,VALUE('Capacity summary'!T46)),0),T134*$BI134),T134*$BI134),0)</f>
        <v>0</v>
      </c>
      <c r="BX134" s="5">
        <f>IF($BI134&lt;&gt;"",IF('Capacity summary'!$C$14="Yes",IF(COUNTBLANK('Capacity summary'!$H46:$BG46)&lt;52,IF('Capacity summary'!U46&lt;&gt;"",IF(LOWER('Capacity summary'!U46)="x",$BI134*U134,VALUE('Capacity summary'!U46)),0),U134*$BI134),U134*$BI134),0)</f>
        <v>0</v>
      </c>
      <c r="BY134" s="5">
        <f>IF($BI134&lt;&gt;"",IF('Capacity summary'!$C$14="Yes",IF(COUNTBLANK('Capacity summary'!$H46:$BG46)&lt;52,IF('Capacity summary'!V46&lt;&gt;"",IF(LOWER('Capacity summary'!V46)="x",$BI134*V134,VALUE('Capacity summary'!V46)),0),V134*$BI134),V134*$BI134),0)</f>
        <v>0</v>
      </c>
      <c r="BZ134" s="5">
        <f>IF($BI134&lt;&gt;"",IF('Capacity summary'!$C$14="Yes",IF(COUNTBLANK('Capacity summary'!$H46:$BG46)&lt;52,IF('Capacity summary'!W46&lt;&gt;"",IF(LOWER('Capacity summary'!W46)="x",$BI134*W134,VALUE('Capacity summary'!W46)),0),W134*$BI134),W134*$BI134),0)</f>
        <v>0</v>
      </c>
      <c r="CA134" s="5">
        <f>IF($BI134&lt;&gt;"",IF('Capacity summary'!$C$14="Yes",IF(COUNTBLANK('Capacity summary'!$H46:$BG46)&lt;52,IF('Capacity summary'!X46&lt;&gt;"",IF(LOWER('Capacity summary'!X46)="x",$BI134*X134,VALUE('Capacity summary'!X46)),0),X134*$BI134),X134*$BI134),0)</f>
        <v>0</v>
      </c>
      <c r="CB134" s="5">
        <f>IF($BI134&lt;&gt;"",IF('Capacity summary'!$C$14="Yes",IF(COUNTBLANK('Capacity summary'!$H46:$BG46)&lt;52,IF('Capacity summary'!Y46&lt;&gt;"",IF(LOWER('Capacity summary'!Y46)="x",$BI134*Y134,VALUE('Capacity summary'!Y46)),0),Y134*$BI134),Y134*$BI134),0)</f>
        <v>0</v>
      </c>
      <c r="CC134" s="5">
        <f>IF($BI134&lt;&gt;"",IF('Capacity summary'!$C$14="Yes",IF(COUNTBLANK('Capacity summary'!$H46:$BG46)&lt;52,IF('Capacity summary'!Z46&lt;&gt;"",IF(LOWER('Capacity summary'!Z46)="x",$BI134*Z134,VALUE('Capacity summary'!Z46)),0),Z134*$BI134),Z134*$BI134),0)</f>
        <v>0</v>
      </c>
      <c r="CD134" s="5">
        <f>IF($BI134&lt;&gt;"",IF('Capacity summary'!$C$14="Yes",IF(COUNTBLANK('Capacity summary'!$H46:$BG46)&lt;52,IF('Capacity summary'!AA46&lt;&gt;"",IF(LOWER('Capacity summary'!AA46)="x",$BI134*AA134,VALUE('Capacity summary'!AA46)),0),AA134*$BI134),AA134*$BI134),0)</f>
        <v>0</v>
      </c>
      <c r="CE134" s="5">
        <f>IF($BI134&lt;&gt;"",IF('Capacity summary'!$C$14="Yes",IF(COUNTBLANK('Capacity summary'!$H46:$BG46)&lt;52,IF('Capacity summary'!AB46&lt;&gt;"",IF(LOWER('Capacity summary'!AB46)="x",$BI134*AB134,VALUE('Capacity summary'!AB46)),0),AB134*$BI134),AB134*$BI134),0)</f>
        <v>0</v>
      </c>
      <c r="CF134" s="5">
        <f>IF($BI134&lt;&gt;"",IF('Capacity summary'!$C$14="Yes",IF(COUNTBLANK('Capacity summary'!$H46:$BG46)&lt;52,IF('Capacity summary'!AC46&lt;&gt;"",IF(LOWER('Capacity summary'!AC46)="x",$BI134*AC134,VALUE('Capacity summary'!AC46)),0),AC134*$BI134),AC134*$BI134),0)</f>
        <v>0</v>
      </c>
      <c r="CG134" s="5">
        <f>IF($BI134&lt;&gt;"",IF('Capacity summary'!$C$14="Yes",IF(COUNTBLANK('Capacity summary'!$H46:$BG46)&lt;52,IF('Capacity summary'!AD46&lt;&gt;"",IF(LOWER('Capacity summary'!AD46)="x",$BI134*AD134,VALUE('Capacity summary'!AD46)),0),AD134*$BI134),AD134*$BI134),0)</f>
        <v>0</v>
      </c>
      <c r="CH134" s="5">
        <f>IF($BI134&lt;&gt;"",IF('Capacity summary'!$C$14="Yes",IF(COUNTBLANK('Capacity summary'!$H46:$BG46)&lt;52,IF('Capacity summary'!AE46&lt;&gt;"",IF(LOWER('Capacity summary'!AE46)="x",$BI134*AE134,VALUE('Capacity summary'!AE46)),0),AE134*$BI134),AE134*$BI134),0)</f>
        <v>0</v>
      </c>
      <c r="CI134" s="5">
        <f>IF($BI134&lt;&gt;"",IF('Capacity summary'!$C$14="Yes",IF(COUNTBLANK('Capacity summary'!$H46:$BG46)&lt;52,IF('Capacity summary'!AF46&lt;&gt;"",IF(LOWER('Capacity summary'!AF46)="x",$BI134*AF134,VALUE('Capacity summary'!AF46)),0),AF134*$BI134),AF134*$BI134),0)</f>
        <v>0</v>
      </c>
      <c r="CJ134" s="5">
        <f>IF($BI134&lt;&gt;"",IF('Capacity summary'!$C$14="Yes",IF(COUNTBLANK('Capacity summary'!$H46:$BG46)&lt;52,IF('Capacity summary'!AG46&lt;&gt;"",IF(LOWER('Capacity summary'!AG46)="x",$BI134*AG134,VALUE('Capacity summary'!AG46)),0),AG134*$BI134),AG134*$BI134),0)</f>
        <v>0</v>
      </c>
      <c r="CK134" s="5">
        <f>IF($BI134&lt;&gt;"",IF('Capacity summary'!$C$14="Yes",IF(COUNTBLANK('Capacity summary'!$H46:$BG46)&lt;52,IF('Capacity summary'!AH46&lt;&gt;"",IF(LOWER('Capacity summary'!AH46)="x",$BI134*AH134,VALUE('Capacity summary'!AH46)),0),AH134*$BI134),AH134*$BI134),0)</f>
        <v>0</v>
      </c>
      <c r="CL134" s="5">
        <f>IF($BI134&lt;&gt;"",IF('Capacity summary'!$C$14="Yes",IF(COUNTBLANK('Capacity summary'!$H46:$BG46)&lt;52,IF('Capacity summary'!AI46&lt;&gt;"",IF(LOWER('Capacity summary'!AI46)="x",$BI134*AI134,VALUE('Capacity summary'!AI46)),0),AI134*$BI134),AI134*$BI134),0)</f>
        <v>0</v>
      </c>
      <c r="CM134" s="5">
        <f>IF($BI134&lt;&gt;"",IF('Capacity summary'!$C$14="Yes",IF(COUNTBLANK('Capacity summary'!$H46:$BG46)&lt;52,IF('Capacity summary'!AJ46&lt;&gt;"",IF(LOWER('Capacity summary'!AJ46)="x",$BI134*AJ134,VALUE('Capacity summary'!AJ46)),0),AJ134*$BI134),AJ134*$BI134),0)</f>
        <v>0</v>
      </c>
      <c r="CN134" s="5">
        <f>IF($BI134&lt;&gt;"",IF('Capacity summary'!$C$14="Yes",IF(COUNTBLANK('Capacity summary'!$H46:$BG46)&lt;52,IF('Capacity summary'!AK46&lt;&gt;"",IF(LOWER('Capacity summary'!AK46)="x",$BI134*AK134,VALUE('Capacity summary'!AK46)),0),AK134*$BI134),AK134*$BI134),0)</f>
        <v>0</v>
      </c>
      <c r="CO134" s="5">
        <f>IF($BI134&lt;&gt;"",IF('Capacity summary'!$C$14="Yes",IF(COUNTBLANK('Capacity summary'!$H46:$BG46)&lt;52,IF('Capacity summary'!AL46&lt;&gt;"",IF(LOWER('Capacity summary'!AL46)="x",$BI134*AL134,VALUE('Capacity summary'!AL46)),0),AL134*$BI134),AL134*$BI134),0)</f>
        <v>0</v>
      </c>
      <c r="CP134" s="5">
        <f>IF($BI134&lt;&gt;"",IF('Capacity summary'!$C$14="Yes",IF(COUNTBLANK('Capacity summary'!$H46:$BG46)&lt;52,IF('Capacity summary'!AM46&lt;&gt;"",IF(LOWER('Capacity summary'!AM46)="x",$BI134*AM134,VALUE('Capacity summary'!AM46)),0),AM134*$BI134),AM134*$BI134),0)</f>
        <v>0</v>
      </c>
      <c r="CQ134" s="5">
        <f>IF($BI134&lt;&gt;"",IF('Capacity summary'!$C$14="Yes",IF(COUNTBLANK('Capacity summary'!$H46:$BG46)&lt;52,IF('Capacity summary'!AN46&lt;&gt;"",IF(LOWER('Capacity summary'!AN46)="x",$BI134*AN134,VALUE('Capacity summary'!AN46)),0),AN134*$BI134),AN134*$BI134),0)</f>
        <v>0</v>
      </c>
      <c r="CR134" s="5">
        <f>IF($BI134&lt;&gt;"",IF('Capacity summary'!$C$14="Yes",IF(COUNTBLANK('Capacity summary'!$H46:$BG46)&lt;52,IF('Capacity summary'!AO46&lt;&gt;"",IF(LOWER('Capacity summary'!AO46)="x",$BI134*AO134,VALUE('Capacity summary'!AO46)),0),AO134*$BI134),AO134*$BI134),0)</f>
        <v>0</v>
      </c>
      <c r="CS134" s="5">
        <f>IF($BI134&lt;&gt;"",IF('Capacity summary'!$C$14="Yes",IF(COUNTBLANK('Capacity summary'!$H46:$BG46)&lt;52,IF('Capacity summary'!AP46&lt;&gt;"",IF(LOWER('Capacity summary'!AP46)="x",$BI134*AP134,VALUE('Capacity summary'!AP46)),0),AP134*$BI134),AP134*$BI134),0)</f>
        <v>0</v>
      </c>
      <c r="CT134" s="5">
        <f>IF($BI134&lt;&gt;"",IF('Capacity summary'!$C$14="Yes",IF(COUNTBLANK('Capacity summary'!$H46:$BG46)&lt;52,IF('Capacity summary'!AQ46&lt;&gt;"",IF(LOWER('Capacity summary'!AQ46)="x",$BI134*AQ134,VALUE('Capacity summary'!AQ46)),0),AQ134*$BI134),AQ134*$BI134),0)</f>
        <v>0</v>
      </c>
      <c r="CU134" s="5">
        <f>IF($BI134&lt;&gt;"",IF('Capacity summary'!$C$14="Yes",IF(COUNTBLANK('Capacity summary'!$H46:$BG46)&lt;52,IF('Capacity summary'!AR46&lt;&gt;"",IF(LOWER('Capacity summary'!AR46)="x",$BI134*AR134,VALUE('Capacity summary'!AR46)),0),AR134*$BI134),AR134*$BI134),0)</f>
        <v>0</v>
      </c>
      <c r="CV134" s="5">
        <f>IF($BI134&lt;&gt;"",IF('Capacity summary'!$C$14="Yes",IF(COUNTBLANK('Capacity summary'!$H46:$BG46)&lt;52,IF('Capacity summary'!AS46&lt;&gt;"",IF(LOWER('Capacity summary'!AS46)="x",$BI134*AS134,VALUE('Capacity summary'!AS46)),0),AS134*$BI134),AS134*$BI134),0)</f>
        <v>0</v>
      </c>
      <c r="CW134" s="5">
        <f>IF($BI134&lt;&gt;"",IF('Capacity summary'!$C$14="Yes",IF(COUNTBLANK('Capacity summary'!$H46:$BG46)&lt;52,IF('Capacity summary'!AT46&lt;&gt;"",IF(LOWER('Capacity summary'!AT46)="x",$BI134*AT134,VALUE('Capacity summary'!AT46)),0),AT134*$BI134),AT134*$BI134),0)</f>
        <v>0</v>
      </c>
      <c r="CX134" s="5">
        <f>IF($BI134&lt;&gt;"",IF('Capacity summary'!$C$14="Yes",IF(COUNTBLANK('Capacity summary'!$H46:$BG46)&lt;52,IF('Capacity summary'!AU46&lt;&gt;"",IF(LOWER('Capacity summary'!AU46)="x",$BI134*AU134,VALUE('Capacity summary'!AU46)),0),AU134*$BI134),AU134*$BI134),0)</f>
        <v>0</v>
      </c>
      <c r="CY134" s="5">
        <f>IF($BI134&lt;&gt;"",IF('Capacity summary'!$C$14="Yes",IF(COUNTBLANK('Capacity summary'!$H46:$BG46)&lt;52,IF('Capacity summary'!AV46&lt;&gt;"",IF(LOWER('Capacity summary'!AV46)="x",$BI134*AV134,VALUE('Capacity summary'!AV46)),0),AV134*$BI134),AV134*$BI134),0)</f>
        <v>0</v>
      </c>
      <c r="CZ134" s="5">
        <f>IF($BI134&lt;&gt;"",IF('Capacity summary'!$C$14="Yes",IF(COUNTBLANK('Capacity summary'!$H46:$BG46)&lt;52,IF('Capacity summary'!AW46&lt;&gt;"",IF(LOWER('Capacity summary'!AW46)="x",$BI134*AW134,VALUE('Capacity summary'!AW46)),0),AW134*$BI134),AW134*$BI134),0)</f>
        <v>0</v>
      </c>
      <c r="DA134" s="5">
        <f>IF($BI134&lt;&gt;"",IF('Capacity summary'!$C$14="Yes",IF(COUNTBLANK('Capacity summary'!$H46:$BG46)&lt;52,IF('Capacity summary'!AX46&lt;&gt;"",IF(LOWER('Capacity summary'!AX46)="x",$BI134*AX134,VALUE('Capacity summary'!AX46)),0),AX134*$BI134),AX134*$BI134),0)</f>
        <v>0</v>
      </c>
      <c r="DB134" s="5">
        <f>IF($BI134&lt;&gt;"",IF('Capacity summary'!$C$14="Yes",IF(COUNTBLANK('Capacity summary'!$H46:$BG46)&lt;52,IF('Capacity summary'!AY46&lt;&gt;"",IF(LOWER('Capacity summary'!AY46)="x",$BI134*AY134,VALUE('Capacity summary'!AY46)),0),AY134*$BI134),AY134*$BI134),0)</f>
        <v>0</v>
      </c>
      <c r="DC134" s="5">
        <f>IF($BI134&lt;&gt;"",IF('Capacity summary'!$C$14="Yes",IF(COUNTBLANK('Capacity summary'!$H46:$BG46)&lt;52,IF('Capacity summary'!AZ46&lt;&gt;"",IF(LOWER('Capacity summary'!AZ46)="x",$BI134*AZ134,VALUE('Capacity summary'!AZ46)),0),AZ134*$BI134),AZ134*$BI134),0)</f>
        <v>0</v>
      </c>
      <c r="DD134" s="5">
        <f>IF($BI134&lt;&gt;"",IF('Capacity summary'!$C$14="Yes",IF(COUNTBLANK('Capacity summary'!$H46:$BG46)&lt;52,IF('Capacity summary'!BA46&lt;&gt;"",IF(LOWER('Capacity summary'!BA46)="x",$BI134*BA134,VALUE('Capacity summary'!BA46)),0),BA134*$BI134),BA134*$BI134),0)</f>
        <v>0</v>
      </c>
      <c r="DE134" s="5">
        <f>IF($BI134&lt;&gt;"",IF('Capacity summary'!$C$14="Yes",IF(COUNTBLANK('Capacity summary'!$H46:$BG46)&lt;52,IF('Capacity summary'!BB46&lt;&gt;"",IF(LOWER('Capacity summary'!BB46)="x",$BI134*BB134,VALUE('Capacity summary'!BB46)),0),BB134*$BI134),BB134*$BI134),0)</f>
        <v>0</v>
      </c>
      <c r="DF134" s="5">
        <f>IF($BI134&lt;&gt;"",IF('Capacity summary'!$C$14="Yes",IF(COUNTBLANK('Capacity summary'!$H46:$BG46)&lt;52,IF('Capacity summary'!BC46&lt;&gt;"",IF(LOWER('Capacity summary'!BC46)="x",$BI134*BC134,VALUE('Capacity summary'!BC46)),0),BC134*$BI134),BC134*$BI134),0)</f>
        <v>0</v>
      </c>
      <c r="DG134" s="5">
        <f>IF($BI134&lt;&gt;"",IF('Capacity summary'!$C$14="Yes",IF(COUNTBLANK('Capacity summary'!$H46:$BG46)&lt;52,IF('Capacity summary'!BD46&lt;&gt;"",IF(LOWER('Capacity summary'!BD46)="x",$BI134*BD134,VALUE('Capacity summary'!BD46)),0),BD134*$BI134),BD134*$BI134),0)</f>
        <v>0</v>
      </c>
      <c r="DH134" s="5">
        <f>IF($BI134&lt;&gt;"",IF('Capacity summary'!$C$14="Yes",IF(COUNTBLANK('Capacity summary'!$H46:$BG46)&lt;52,IF('Capacity summary'!BE46&lt;&gt;"",IF(LOWER('Capacity summary'!BE46)="x",$BI134*BE134,VALUE('Capacity summary'!BE46)),0),BE134*$BI134),BE134*$BI134),0)</f>
        <v>0</v>
      </c>
      <c r="DI134" s="5">
        <f>IF($BI134&lt;&gt;"",IF('Capacity summary'!$C$14="Yes",IF(COUNTBLANK('Capacity summary'!$H46:$BG46)&lt;52,IF('Capacity summary'!BF46&lt;&gt;"",IF(LOWER('Capacity summary'!BF46)="x",$BI134*BF134,VALUE('Capacity summary'!BF46)),0),BF134*$BI134),BF134*$BI134),0)</f>
        <v>0</v>
      </c>
      <c r="DJ134" s="5">
        <f>IF($BI134&lt;&gt;"",IF('Capacity summary'!$C$14="Yes",IF(COUNTBLANK('Capacity summary'!$H46:$BG46)&lt;52,IF('Capacity summary'!BG46&lt;&gt;"",IF(LOWER('Capacity summary'!BG46)="x",$BI134*BG134,VALUE('Capacity summary'!BG46)),0),BG134*$BI134),BG134*$BI134),0)</f>
        <v>0</v>
      </c>
      <c r="DK134" s="5">
        <f t="shared" ref="DK134" si="28">SUM(DK135:DK234)</f>
        <v>0</v>
      </c>
    </row>
    <row r="135" spans="3:115" x14ac:dyDescent="0.25">
      <c r="C135" s="67" t="str">
        <f>ROW(A24)&amp;". "&amp;Capacity!N40</f>
        <v xml:space="preserve">24. </v>
      </c>
      <c r="D135" s="67">
        <f>'Capacity setup'!C141</f>
        <v>0</v>
      </c>
      <c r="E135" s="67">
        <f>'Capacity setup'!D141</f>
        <v>0</v>
      </c>
      <c r="F135" s="67">
        <f>'Capacity setup'!E141</f>
        <v>0</v>
      </c>
      <c r="H135" s="67">
        <f ca="1">IF(AND(SUMIF(Capacity_Resource,$D135,'Critical resources (hide)'!U$6:U$105)+SUMIF(Capacity_Resource,$E135,'Critical resources (hide)'!U$6:U$105)+SUMIF(Capacity_Resource,$F135,'Critical resources (hide)'!U$6:U$105)&gt;0,$E$1=2),0,1)</f>
        <v>1</v>
      </c>
      <c r="I135" s="67">
        <f ca="1">IF(AND(SUMIF(Capacity_Resource,$D135,'Critical resources (hide)'!V$6:V$105)+SUMIF(Capacity_Resource,$E135,'Critical resources (hide)'!V$6:V$105)+SUMIF(Capacity_Resource,$F135,'Critical resources (hide)'!V$6:V$105)&gt;0,$E$1=2),0,1)</f>
        <v>1</v>
      </c>
      <c r="J135" s="67">
        <f ca="1">IF(AND(SUMIF(Capacity_Resource,$D135,'Critical resources (hide)'!W$6:W$105)+SUMIF(Capacity_Resource,$E135,'Critical resources (hide)'!W$6:W$105)+SUMIF(Capacity_Resource,$F135,'Critical resources (hide)'!W$6:W$105)&gt;0,$E$1=2),0,1)</f>
        <v>1</v>
      </c>
      <c r="K135" s="67">
        <f ca="1">IF(AND(SUMIF(Capacity_Resource,$D135,'Critical resources (hide)'!X$6:X$105)+SUMIF(Capacity_Resource,$E135,'Critical resources (hide)'!X$6:X$105)+SUMIF(Capacity_Resource,$F135,'Critical resources (hide)'!X$6:X$105)&gt;0,$E$1=2),0,1)</f>
        <v>1</v>
      </c>
      <c r="L135" s="67">
        <f ca="1">IF(AND(SUMIF(Capacity_Resource,$D135,'Critical resources (hide)'!Y$6:Y$105)+SUMIF(Capacity_Resource,$E135,'Critical resources (hide)'!Y$6:Y$105)+SUMIF(Capacity_Resource,$F135,'Critical resources (hide)'!Y$6:Y$105)&gt;0,$E$1=2),0,1)</f>
        <v>1</v>
      </c>
      <c r="M135" s="67">
        <f ca="1">IF(AND(SUMIF(Capacity_Resource,$D135,'Critical resources (hide)'!Z$6:Z$105)+SUMIF(Capacity_Resource,$E135,'Critical resources (hide)'!Z$6:Z$105)+SUMIF(Capacity_Resource,$F135,'Critical resources (hide)'!Z$6:Z$105)&gt;0,$E$1=2),0,1)</f>
        <v>1</v>
      </c>
      <c r="N135" s="67">
        <f ca="1">IF(AND(SUMIF(Capacity_Resource,$D135,'Critical resources (hide)'!AA$6:AA$105)+SUMIF(Capacity_Resource,$E135,'Critical resources (hide)'!AA$6:AA$105)+SUMIF(Capacity_Resource,$F135,'Critical resources (hide)'!AA$6:AA$105)&gt;0,$E$1=2),0,1)</f>
        <v>1</v>
      </c>
      <c r="O135" s="67">
        <f ca="1">IF(AND(SUMIF(Capacity_Resource,$D135,'Critical resources (hide)'!AB$6:AB$105)+SUMIF(Capacity_Resource,$E135,'Critical resources (hide)'!AB$6:AB$105)+SUMIF(Capacity_Resource,$F135,'Critical resources (hide)'!AB$6:AB$105)&gt;0,$E$1=2),0,1)</f>
        <v>1</v>
      </c>
      <c r="P135" s="67">
        <f ca="1">IF(AND(SUMIF(Capacity_Resource,$D135,'Critical resources (hide)'!AC$6:AC$105)+SUMIF(Capacity_Resource,$E135,'Critical resources (hide)'!AC$6:AC$105)+SUMIF(Capacity_Resource,$F135,'Critical resources (hide)'!AC$6:AC$105)&gt;0,$E$1=2),0,1)</f>
        <v>1</v>
      </c>
      <c r="Q135" s="67">
        <f ca="1">IF(AND(SUMIF(Capacity_Resource,$D135,'Critical resources (hide)'!AD$6:AD$105)+SUMIF(Capacity_Resource,$E135,'Critical resources (hide)'!AD$6:AD$105)+SUMIF(Capacity_Resource,$F135,'Critical resources (hide)'!AD$6:AD$105)&gt;0,$E$1=2),0,1)</f>
        <v>1</v>
      </c>
      <c r="R135" s="67">
        <f ca="1">IF(AND(SUMIF(Capacity_Resource,$D135,'Critical resources (hide)'!AE$6:AE$105)+SUMIF(Capacity_Resource,$E135,'Critical resources (hide)'!AE$6:AE$105)+SUMIF(Capacity_Resource,$F135,'Critical resources (hide)'!AE$6:AE$105)&gt;0,$E$1=2),0,1)</f>
        <v>1</v>
      </c>
      <c r="S135" s="67">
        <f ca="1">IF(AND(SUMIF(Capacity_Resource,$D135,'Critical resources (hide)'!AF$6:AF$105)+SUMIF(Capacity_Resource,$E135,'Critical resources (hide)'!AF$6:AF$105)+SUMIF(Capacity_Resource,$F135,'Critical resources (hide)'!AF$6:AF$105)&gt;0,$E$1=2),0,1)</f>
        <v>1</v>
      </c>
      <c r="T135" s="67">
        <f ca="1">IF(AND(SUMIF(Capacity_Resource,$D135,'Critical resources (hide)'!AG$6:AG$105)+SUMIF(Capacity_Resource,$E135,'Critical resources (hide)'!AG$6:AG$105)+SUMIF(Capacity_Resource,$F135,'Critical resources (hide)'!AG$6:AG$105)&gt;0,$E$1=2),0,1)</f>
        <v>1</v>
      </c>
      <c r="U135" s="67">
        <f ca="1">IF(AND(SUMIF(Capacity_Resource,$D135,'Critical resources (hide)'!AH$6:AH$105)+SUMIF(Capacity_Resource,$E135,'Critical resources (hide)'!AH$6:AH$105)+SUMIF(Capacity_Resource,$F135,'Critical resources (hide)'!AH$6:AH$105)&gt;0,$E$1=2),0,1)</f>
        <v>1</v>
      </c>
      <c r="V135" s="67">
        <f ca="1">IF(AND(SUMIF(Capacity_Resource,$D135,'Critical resources (hide)'!AI$6:AI$105)+SUMIF(Capacity_Resource,$E135,'Critical resources (hide)'!AI$6:AI$105)+SUMIF(Capacity_Resource,$F135,'Critical resources (hide)'!AI$6:AI$105)&gt;0,$E$1=2),0,1)</f>
        <v>1</v>
      </c>
      <c r="W135" s="67">
        <f ca="1">IF(AND(SUMIF(Capacity_Resource,$D135,'Critical resources (hide)'!AJ$6:AJ$105)+SUMIF(Capacity_Resource,$E135,'Critical resources (hide)'!AJ$6:AJ$105)+SUMIF(Capacity_Resource,$F135,'Critical resources (hide)'!AJ$6:AJ$105)&gt;0,$E$1=2),0,1)</f>
        <v>1</v>
      </c>
      <c r="X135" s="67">
        <f ca="1">IF(AND(SUMIF(Capacity_Resource,$D135,'Critical resources (hide)'!AK$6:AK$105)+SUMIF(Capacity_Resource,$E135,'Critical resources (hide)'!AK$6:AK$105)+SUMIF(Capacity_Resource,$F135,'Critical resources (hide)'!AK$6:AK$105)&gt;0,$E$1=2),0,1)</f>
        <v>1</v>
      </c>
      <c r="Y135" s="67">
        <f ca="1">IF(AND(SUMIF(Capacity_Resource,$D135,'Critical resources (hide)'!AL$6:AL$105)+SUMIF(Capacity_Resource,$E135,'Critical resources (hide)'!AL$6:AL$105)+SUMIF(Capacity_Resource,$F135,'Critical resources (hide)'!AL$6:AL$105)&gt;0,$E$1=2),0,1)</f>
        <v>1</v>
      </c>
      <c r="Z135" s="67">
        <f ca="1">IF(AND(SUMIF(Capacity_Resource,$D135,'Critical resources (hide)'!AM$6:AM$105)+SUMIF(Capacity_Resource,$E135,'Critical resources (hide)'!AM$6:AM$105)+SUMIF(Capacity_Resource,$F135,'Critical resources (hide)'!AM$6:AM$105)&gt;0,$E$1=2),0,1)</f>
        <v>1</v>
      </c>
      <c r="AA135" s="67">
        <f ca="1">IF(AND(SUMIF(Capacity_Resource,$D135,'Critical resources (hide)'!AN$6:AN$105)+SUMIF(Capacity_Resource,$E135,'Critical resources (hide)'!AN$6:AN$105)+SUMIF(Capacity_Resource,$F135,'Critical resources (hide)'!AN$6:AN$105)&gt;0,$E$1=2),0,1)</f>
        <v>1</v>
      </c>
      <c r="AB135" s="67">
        <f ca="1">IF(AND(SUMIF(Capacity_Resource,$D135,'Critical resources (hide)'!AO$6:AO$105)+SUMIF(Capacity_Resource,$E135,'Critical resources (hide)'!AO$6:AO$105)+SUMIF(Capacity_Resource,$F135,'Critical resources (hide)'!AO$6:AO$105)&gt;0,$E$1=2),0,1)</f>
        <v>1</v>
      </c>
      <c r="AC135" s="67">
        <f ca="1">IF(AND(SUMIF(Capacity_Resource,$D135,'Critical resources (hide)'!AP$6:AP$105)+SUMIF(Capacity_Resource,$E135,'Critical resources (hide)'!AP$6:AP$105)+SUMIF(Capacity_Resource,$F135,'Critical resources (hide)'!AP$6:AP$105)&gt;0,$E$1=2),0,1)</f>
        <v>1</v>
      </c>
      <c r="AD135" s="67">
        <f ca="1">IF(AND(SUMIF(Capacity_Resource,$D135,'Critical resources (hide)'!AQ$6:AQ$105)+SUMIF(Capacity_Resource,$E135,'Critical resources (hide)'!AQ$6:AQ$105)+SUMIF(Capacity_Resource,$F135,'Critical resources (hide)'!AQ$6:AQ$105)&gt;0,$E$1=2),0,1)</f>
        <v>1</v>
      </c>
      <c r="AE135" s="67">
        <f ca="1">IF(AND(SUMIF(Capacity_Resource,$D135,'Critical resources (hide)'!AR$6:AR$105)+SUMIF(Capacity_Resource,$E135,'Critical resources (hide)'!AR$6:AR$105)+SUMIF(Capacity_Resource,$F135,'Critical resources (hide)'!AR$6:AR$105)&gt;0,$E$1=2),0,1)</f>
        <v>1</v>
      </c>
      <c r="AF135" s="67">
        <f ca="1">IF(AND(SUMIF(Capacity_Resource,$D135,'Critical resources (hide)'!AS$6:AS$105)+SUMIF(Capacity_Resource,$E135,'Critical resources (hide)'!AS$6:AS$105)+SUMIF(Capacity_Resource,$F135,'Critical resources (hide)'!AS$6:AS$105)&gt;0,$E$1=2),0,1)</f>
        <v>1</v>
      </c>
      <c r="AG135" s="67">
        <f ca="1">IF(AND(SUMIF(Capacity_Resource,$D135,'Critical resources (hide)'!AT$6:AT$105)+SUMIF(Capacity_Resource,$E135,'Critical resources (hide)'!AT$6:AT$105)+SUMIF(Capacity_Resource,$F135,'Critical resources (hide)'!AT$6:AT$105)&gt;0,$E$1=2),0,1)</f>
        <v>1</v>
      </c>
      <c r="AH135" s="67">
        <f ca="1">IF(AND(SUMIF(Capacity_Resource,$D135,'Critical resources (hide)'!AU$6:AU$105)+SUMIF(Capacity_Resource,$E135,'Critical resources (hide)'!AU$6:AU$105)+SUMIF(Capacity_Resource,$F135,'Critical resources (hide)'!AU$6:AU$105)&gt;0,$E$1=2),0,1)</f>
        <v>1</v>
      </c>
      <c r="AI135" s="67">
        <f ca="1">IF(AND(SUMIF(Capacity_Resource,$D135,'Critical resources (hide)'!AV$6:AV$105)+SUMIF(Capacity_Resource,$E135,'Critical resources (hide)'!AV$6:AV$105)+SUMIF(Capacity_Resource,$F135,'Critical resources (hide)'!AV$6:AV$105)&gt;0,$E$1=2),0,1)</f>
        <v>1</v>
      </c>
      <c r="AJ135" s="67">
        <f ca="1">IF(AND(SUMIF(Capacity_Resource,$D135,'Critical resources (hide)'!AW$6:AW$105)+SUMIF(Capacity_Resource,$E135,'Critical resources (hide)'!AW$6:AW$105)+SUMIF(Capacity_Resource,$F135,'Critical resources (hide)'!AW$6:AW$105)&gt;0,$E$1=2),0,1)</f>
        <v>1</v>
      </c>
      <c r="AK135" s="67">
        <f ca="1">IF(AND(SUMIF(Capacity_Resource,$D135,'Critical resources (hide)'!AX$6:AX$105)+SUMIF(Capacity_Resource,$E135,'Critical resources (hide)'!AX$6:AX$105)+SUMIF(Capacity_Resource,$F135,'Critical resources (hide)'!AX$6:AX$105)&gt;0,$E$1=2),0,1)</f>
        <v>1</v>
      </c>
      <c r="AL135" s="67">
        <f ca="1">IF(AND(SUMIF(Capacity_Resource,$D135,'Critical resources (hide)'!AY$6:AY$105)+SUMIF(Capacity_Resource,$E135,'Critical resources (hide)'!AY$6:AY$105)+SUMIF(Capacity_Resource,$F135,'Critical resources (hide)'!AY$6:AY$105)&gt;0,$E$1=2),0,1)</f>
        <v>1</v>
      </c>
      <c r="AM135" s="67">
        <f ca="1">IF(AND(SUMIF(Capacity_Resource,$D135,'Critical resources (hide)'!AZ$6:AZ$105)+SUMIF(Capacity_Resource,$E135,'Critical resources (hide)'!AZ$6:AZ$105)+SUMIF(Capacity_Resource,$F135,'Critical resources (hide)'!AZ$6:AZ$105)&gt;0,$E$1=2),0,1)</f>
        <v>1</v>
      </c>
      <c r="AN135" s="67">
        <f ca="1">IF(AND(SUMIF(Capacity_Resource,$D135,'Critical resources (hide)'!BA$6:BA$105)+SUMIF(Capacity_Resource,$E135,'Critical resources (hide)'!BA$6:BA$105)+SUMIF(Capacity_Resource,$F135,'Critical resources (hide)'!BA$6:BA$105)&gt;0,$E$1=2),0,1)</f>
        <v>1</v>
      </c>
      <c r="AO135" s="67">
        <f ca="1">IF(AND(SUMIF(Capacity_Resource,$D135,'Critical resources (hide)'!BB$6:BB$105)+SUMIF(Capacity_Resource,$E135,'Critical resources (hide)'!BB$6:BB$105)+SUMIF(Capacity_Resource,$F135,'Critical resources (hide)'!BB$6:BB$105)&gt;0,$E$1=2),0,1)</f>
        <v>1</v>
      </c>
      <c r="AP135" s="67">
        <f ca="1">IF(AND(SUMIF(Capacity_Resource,$D135,'Critical resources (hide)'!BC$6:BC$105)+SUMIF(Capacity_Resource,$E135,'Critical resources (hide)'!BC$6:BC$105)+SUMIF(Capacity_Resource,$F135,'Critical resources (hide)'!BC$6:BC$105)&gt;0,$E$1=2),0,1)</f>
        <v>1</v>
      </c>
      <c r="AQ135" s="67">
        <f ca="1">IF(AND(SUMIF(Capacity_Resource,$D135,'Critical resources (hide)'!BD$6:BD$105)+SUMIF(Capacity_Resource,$E135,'Critical resources (hide)'!BD$6:BD$105)+SUMIF(Capacity_Resource,$F135,'Critical resources (hide)'!BD$6:BD$105)&gt;0,$E$1=2),0,1)</f>
        <v>1</v>
      </c>
      <c r="AR135" s="67">
        <f ca="1">IF(AND(SUMIF(Capacity_Resource,$D135,'Critical resources (hide)'!BE$6:BE$105)+SUMIF(Capacity_Resource,$E135,'Critical resources (hide)'!BE$6:BE$105)+SUMIF(Capacity_Resource,$F135,'Critical resources (hide)'!BE$6:BE$105)&gt;0,$E$1=2),0,1)</f>
        <v>1</v>
      </c>
      <c r="AS135" s="67">
        <f ca="1">IF(AND(SUMIF(Capacity_Resource,$D135,'Critical resources (hide)'!BF$6:BF$105)+SUMIF(Capacity_Resource,$E135,'Critical resources (hide)'!BF$6:BF$105)+SUMIF(Capacity_Resource,$F135,'Critical resources (hide)'!BF$6:BF$105)&gt;0,$E$1=2),0,1)</f>
        <v>1</v>
      </c>
      <c r="AT135" s="67">
        <f ca="1">IF(AND(SUMIF(Capacity_Resource,$D135,'Critical resources (hide)'!BG$6:BG$105)+SUMIF(Capacity_Resource,$E135,'Critical resources (hide)'!BG$6:BG$105)+SUMIF(Capacity_Resource,$F135,'Critical resources (hide)'!BG$6:BG$105)&gt;0,$E$1=2),0,1)</f>
        <v>1</v>
      </c>
      <c r="AU135" s="67">
        <f ca="1">IF(AND(SUMIF(Capacity_Resource,$D135,'Critical resources (hide)'!BH$6:BH$105)+SUMIF(Capacity_Resource,$E135,'Critical resources (hide)'!BH$6:BH$105)+SUMIF(Capacity_Resource,$F135,'Critical resources (hide)'!BH$6:BH$105)&gt;0,$E$1=2),0,1)</f>
        <v>1</v>
      </c>
      <c r="AV135" s="67">
        <f ca="1">IF(AND(SUMIF(Capacity_Resource,$D135,'Critical resources (hide)'!BI$6:BI$105)+SUMIF(Capacity_Resource,$E135,'Critical resources (hide)'!BI$6:BI$105)+SUMIF(Capacity_Resource,$F135,'Critical resources (hide)'!BI$6:BI$105)&gt;0,$E$1=2),0,1)</f>
        <v>1</v>
      </c>
      <c r="AW135" s="67">
        <f ca="1">IF(AND(SUMIF(Capacity_Resource,$D135,'Critical resources (hide)'!BJ$6:BJ$105)+SUMIF(Capacity_Resource,$E135,'Critical resources (hide)'!BJ$6:BJ$105)+SUMIF(Capacity_Resource,$F135,'Critical resources (hide)'!BJ$6:BJ$105)&gt;0,$E$1=2),0,1)</f>
        <v>1</v>
      </c>
      <c r="AX135" s="67">
        <f ca="1">IF(AND(SUMIF(Capacity_Resource,$D135,'Critical resources (hide)'!BK$6:BK$105)+SUMIF(Capacity_Resource,$E135,'Critical resources (hide)'!BK$6:BK$105)+SUMIF(Capacity_Resource,$F135,'Critical resources (hide)'!BK$6:BK$105)&gt;0,$E$1=2),0,1)</f>
        <v>1</v>
      </c>
      <c r="AY135" s="67">
        <f ca="1">IF(AND(SUMIF(Capacity_Resource,$D135,'Critical resources (hide)'!BL$6:BL$105)+SUMIF(Capacity_Resource,$E135,'Critical resources (hide)'!BL$6:BL$105)+SUMIF(Capacity_Resource,$F135,'Critical resources (hide)'!BL$6:BL$105)&gt;0,$E$1=2),0,1)</f>
        <v>1</v>
      </c>
      <c r="AZ135" s="67">
        <f ca="1">IF(AND(SUMIF(Capacity_Resource,$D135,'Critical resources (hide)'!BM$6:BM$105)+SUMIF(Capacity_Resource,$E135,'Critical resources (hide)'!BM$6:BM$105)+SUMIF(Capacity_Resource,$F135,'Critical resources (hide)'!BM$6:BM$105)&gt;0,$E$1=2),0,1)</f>
        <v>1</v>
      </c>
      <c r="BA135" s="67">
        <f ca="1">IF(AND(SUMIF(Capacity_Resource,$D135,'Critical resources (hide)'!BN$6:BN$105)+SUMIF(Capacity_Resource,$E135,'Critical resources (hide)'!BN$6:BN$105)+SUMIF(Capacity_Resource,$F135,'Critical resources (hide)'!BN$6:BN$105)&gt;0,$E$1=2),0,1)</f>
        <v>1</v>
      </c>
      <c r="BB135" s="67">
        <f ca="1">IF(AND(SUMIF(Capacity_Resource,$D135,'Critical resources (hide)'!BO$6:BO$105)+SUMIF(Capacity_Resource,$E135,'Critical resources (hide)'!BO$6:BO$105)+SUMIF(Capacity_Resource,$F135,'Critical resources (hide)'!BO$6:BO$105)&gt;0,$E$1=2),0,1)</f>
        <v>1</v>
      </c>
      <c r="BC135" s="67">
        <f ca="1">IF(AND(SUMIF(Capacity_Resource,$D135,'Critical resources (hide)'!BP$6:BP$105)+SUMIF(Capacity_Resource,$E135,'Critical resources (hide)'!BP$6:BP$105)+SUMIF(Capacity_Resource,$F135,'Critical resources (hide)'!BP$6:BP$105)&gt;0,$E$1=2),0,1)</f>
        <v>1</v>
      </c>
      <c r="BD135" s="67">
        <f ca="1">IF(AND(SUMIF(Capacity_Resource,$D135,'Critical resources (hide)'!BQ$6:BQ$105)+SUMIF(Capacity_Resource,$E135,'Critical resources (hide)'!BQ$6:BQ$105)+SUMIF(Capacity_Resource,$F135,'Critical resources (hide)'!BQ$6:BQ$105)&gt;0,$E$1=2),0,1)</f>
        <v>1</v>
      </c>
      <c r="BE135" s="67">
        <f ca="1">IF(AND(SUMIF(Capacity_Resource,$D135,'Critical resources (hide)'!BR$6:BR$105)+SUMIF(Capacity_Resource,$E135,'Critical resources (hide)'!BR$6:BR$105)+SUMIF(Capacity_Resource,$F135,'Critical resources (hide)'!BR$6:BR$105)&gt;0,$E$1=2),0,1)</f>
        <v>1</v>
      </c>
      <c r="BF135" s="67">
        <f ca="1">IF(AND(SUMIF(Capacity_Resource,$D135,'Critical resources (hide)'!BS$6:BS$105)+SUMIF(Capacity_Resource,$E135,'Critical resources (hide)'!BS$6:BS$105)+SUMIF(Capacity_Resource,$F135,'Critical resources (hide)'!BS$6:BS$105)&gt;0,$E$1=2),0,1)</f>
        <v>1</v>
      </c>
      <c r="BG135" s="67">
        <f ca="1">IF(AND(SUMIF(Capacity_Resource,$D135,'Critical resources (hide)'!BT$6:BT$105)+SUMIF(Capacity_Resource,$E135,'Critical resources (hide)'!BT$6:BT$105)+SUMIF(Capacity_Resource,$F135,'Critical resources (hide)'!BT$6:BT$105)&gt;0,$E$1=2),0,1)</f>
        <v>1</v>
      </c>
      <c r="BH135" s="67">
        <f>IF(ROW(A24)&lt;=Capacity!$M$16,IF('Capacity summary'!$C$14="No",SUM(H135:BG135),'Capacity summary'!$E47),0)</f>
        <v>0</v>
      </c>
      <c r="BI135" s="67" t="str">
        <f>IF(BH135&gt;0,IF(BH135&lt;Capacity!Q40,Capacity!R40,Capacity!T40/'Capacity calculation (hide)'!BH135),"")</f>
        <v/>
      </c>
      <c r="BJ135" s="5"/>
      <c r="BK135" s="5">
        <f>IF($BI135&lt;&gt;"",IF('Capacity summary'!$C$14="Yes",IF(COUNTBLANK('Capacity summary'!$H47:$BG47)&lt;52,IF('Capacity summary'!H47&lt;&gt;"",IF(LOWER('Capacity summary'!H47)="x",$BI135*H135,VALUE('Capacity summary'!H47)),0),H135*$BI135),H135*$BI135),0)</f>
        <v>0</v>
      </c>
      <c r="BL135" s="5">
        <f>IF($BI135&lt;&gt;"",IF('Capacity summary'!$C$14="Yes",IF(COUNTBLANK('Capacity summary'!$H47:$BG47)&lt;52,IF('Capacity summary'!I47&lt;&gt;"",IF(LOWER('Capacity summary'!I47)="x",$BI135*I135,VALUE('Capacity summary'!I47)),0),I135*$BI135),I135*$BI135),0)</f>
        <v>0</v>
      </c>
      <c r="BM135" s="5">
        <f>IF($BI135&lt;&gt;"",IF('Capacity summary'!$C$14="Yes",IF(COUNTBLANK('Capacity summary'!$H47:$BG47)&lt;52,IF('Capacity summary'!J47&lt;&gt;"",IF(LOWER('Capacity summary'!J47)="x",$BI135*J135,VALUE('Capacity summary'!J47)),0),J135*$BI135),J135*$BI135),0)</f>
        <v>0</v>
      </c>
      <c r="BN135" s="5">
        <f>IF($BI135&lt;&gt;"",IF('Capacity summary'!$C$14="Yes",IF(COUNTBLANK('Capacity summary'!$H47:$BG47)&lt;52,IF('Capacity summary'!K47&lt;&gt;"",IF(LOWER('Capacity summary'!K47)="x",$BI135*K135,VALUE('Capacity summary'!K47)),0),K135*$BI135),K135*$BI135),0)</f>
        <v>0</v>
      </c>
      <c r="BO135" s="5">
        <f>IF($BI135&lt;&gt;"",IF('Capacity summary'!$C$14="Yes",IF(COUNTBLANK('Capacity summary'!$H47:$BG47)&lt;52,IF('Capacity summary'!L47&lt;&gt;"",IF(LOWER('Capacity summary'!L47)="x",$BI135*L135,VALUE('Capacity summary'!L47)),0),L135*$BI135),L135*$BI135),0)</f>
        <v>0</v>
      </c>
      <c r="BP135" s="5">
        <f>IF($BI135&lt;&gt;"",IF('Capacity summary'!$C$14="Yes",IF(COUNTBLANK('Capacity summary'!$H47:$BG47)&lt;52,IF('Capacity summary'!M47&lt;&gt;"",IF(LOWER('Capacity summary'!M47)="x",$BI135*M135,VALUE('Capacity summary'!M47)),0),M135*$BI135),M135*$BI135),0)</f>
        <v>0</v>
      </c>
      <c r="BQ135" s="5">
        <f>IF($BI135&lt;&gt;"",IF('Capacity summary'!$C$14="Yes",IF(COUNTBLANK('Capacity summary'!$H47:$BG47)&lt;52,IF('Capacity summary'!N47&lt;&gt;"",IF(LOWER('Capacity summary'!N47)="x",$BI135*N135,VALUE('Capacity summary'!N47)),0),N135*$BI135),N135*$BI135),0)</f>
        <v>0</v>
      </c>
      <c r="BR135" s="5">
        <f>IF($BI135&lt;&gt;"",IF('Capacity summary'!$C$14="Yes",IF(COUNTBLANK('Capacity summary'!$H47:$BG47)&lt;52,IF('Capacity summary'!O47&lt;&gt;"",IF(LOWER('Capacity summary'!O47)="x",$BI135*O135,VALUE('Capacity summary'!O47)),0),O135*$BI135),O135*$BI135),0)</f>
        <v>0</v>
      </c>
      <c r="BS135" s="5">
        <f>IF($BI135&lt;&gt;"",IF('Capacity summary'!$C$14="Yes",IF(COUNTBLANK('Capacity summary'!$H47:$BG47)&lt;52,IF('Capacity summary'!P47&lt;&gt;"",IF(LOWER('Capacity summary'!P47)="x",$BI135*P135,VALUE('Capacity summary'!P47)),0),P135*$BI135),P135*$BI135),0)</f>
        <v>0</v>
      </c>
      <c r="BT135" s="5">
        <f>IF($BI135&lt;&gt;"",IF('Capacity summary'!$C$14="Yes",IF(COUNTBLANK('Capacity summary'!$H47:$BG47)&lt;52,IF('Capacity summary'!Q47&lt;&gt;"",IF(LOWER('Capacity summary'!Q47)="x",$BI135*Q135,VALUE('Capacity summary'!Q47)),0),Q135*$BI135),Q135*$BI135),0)</f>
        <v>0</v>
      </c>
      <c r="BU135" s="5">
        <f>IF($BI135&lt;&gt;"",IF('Capacity summary'!$C$14="Yes",IF(COUNTBLANK('Capacity summary'!$H47:$BG47)&lt;52,IF('Capacity summary'!R47&lt;&gt;"",IF(LOWER('Capacity summary'!R47)="x",$BI135*R135,VALUE('Capacity summary'!R47)),0),R135*$BI135),R135*$BI135),0)</f>
        <v>0</v>
      </c>
      <c r="BV135" s="5">
        <f>IF($BI135&lt;&gt;"",IF('Capacity summary'!$C$14="Yes",IF(COUNTBLANK('Capacity summary'!$H47:$BG47)&lt;52,IF('Capacity summary'!S47&lt;&gt;"",IF(LOWER('Capacity summary'!S47)="x",$BI135*S135,VALUE('Capacity summary'!S47)),0),S135*$BI135),S135*$BI135),0)</f>
        <v>0</v>
      </c>
      <c r="BW135" s="5">
        <f>IF($BI135&lt;&gt;"",IF('Capacity summary'!$C$14="Yes",IF(COUNTBLANK('Capacity summary'!$H47:$BG47)&lt;52,IF('Capacity summary'!T47&lt;&gt;"",IF(LOWER('Capacity summary'!T47)="x",$BI135*T135,VALUE('Capacity summary'!T47)),0),T135*$BI135),T135*$BI135),0)</f>
        <v>0</v>
      </c>
      <c r="BX135" s="5">
        <f>IF($BI135&lt;&gt;"",IF('Capacity summary'!$C$14="Yes",IF(COUNTBLANK('Capacity summary'!$H47:$BG47)&lt;52,IF('Capacity summary'!U47&lt;&gt;"",IF(LOWER('Capacity summary'!U47)="x",$BI135*U135,VALUE('Capacity summary'!U47)),0),U135*$BI135),U135*$BI135),0)</f>
        <v>0</v>
      </c>
      <c r="BY135" s="5">
        <f>IF($BI135&lt;&gt;"",IF('Capacity summary'!$C$14="Yes",IF(COUNTBLANK('Capacity summary'!$H47:$BG47)&lt;52,IF('Capacity summary'!V47&lt;&gt;"",IF(LOWER('Capacity summary'!V47)="x",$BI135*V135,VALUE('Capacity summary'!V47)),0),V135*$BI135),V135*$BI135),0)</f>
        <v>0</v>
      </c>
      <c r="BZ135" s="5">
        <f>IF($BI135&lt;&gt;"",IF('Capacity summary'!$C$14="Yes",IF(COUNTBLANK('Capacity summary'!$H47:$BG47)&lt;52,IF('Capacity summary'!W47&lt;&gt;"",IF(LOWER('Capacity summary'!W47)="x",$BI135*W135,VALUE('Capacity summary'!W47)),0),W135*$BI135),W135*$BI135),0)</f>
        <v>0</v>
      </c>
      <c r="CA135" s="5">
        <f>IF($BI135&lt;&gt;"",IF('Capacity summary'!$C$14="Yes",IF(COUNTBLANK('Capacity summary'!$H47:$BG47)&lt;52,IF('Capacity summary'!X47&lt;&gt;"",IF(LOWER('Capacity summary'!X47)="x",$BI135*X135,VALUE('Capacity summary'!X47)),0),X135*$BI135),X135*$BI135),0)</f>
        <v>0</v>
      </c>
      <c r="CB135" s="5">
        <f>IF($BI135&lt;&gt;"",IF('Capacity summary'!$C$14="Yes",IF(COUNTBLANK('Capacity summary'!$H47:$BG47)&lt;52,IF('Capacity summary'!Y47&lt;&gt;"",IF(LOWER('Capacity summary'!Y47)="x",$BI135*Y135,VALUE('Capacity summary'!Y47)),0),Y135*$BI135),Y135*$BI135),0)</f>
        <v>0</v>
      </c>
      <c r="CC135" s="5">
        <f>IF($BI135&lt;&gt;"",IF('Capacity summary'!$C$14="Yes",IF(COUNTBLANK('Capacity summary'!$H47:$BG47)&lt;52,IF('Capacity summary'!Z47&lt;&gt;"",IF(LOWER('Capacity summary'!Z47)="x",$BI135*Z135,VALUE('Capacity summary'!Z47)),0),Z135*$BI135),Z135*$BI135),0)</f>
        <v>0</v>
      </c>
      <c r="CD135" s="5">
        <f>IF($BI135&lt;&gt;"",IF('Capacity summary'!$C$14="Yes",IF(COUNTBLANK('Capacity summary'!$H47:$BG47)&lt;52,IF('Capacity summary'!AA47&lt;&gt;"",IF(LOWER('Capacity summary'!AA47)="x",$BI135*AA135,VALUE('Capacity summary'!AA47)),0),AA135*$BI135),AA135*$BI135),0)</f>
        <v>0</v>
      </c>
      <c r="CE135" s="5">
        <f>IF($BI135&lt;&gt;"",IF('Capacity summary'!$C$14="Yes",IF(COUNTBLANK('Capacity summary'!$H47:$BG47)&lt;52,IF('Capacity summary'!AB47&lt;&gt;"",IF(LOWER('Capacity summary'!AB47)="x",$BI135*AB135,VALUE('Capacity summary'!AB47)),0),AB135*$BI135),AB135*$BI135),0)</f>
        <v>0</v>
      </c>
      <c r="CF135" s="5">
        <f>IF($BI135&lt;&gt;"",IF('Capacity summary'!$C$14="Yes",IF(COUNTBLANK('Capacity summary'!$H47:$BG47)&lt;52,IF('Capacity summary'!AC47&lt;&gt;"",IF(LOWER('Capacity summary'!AC47)="x",$BI135*AC135,VALUE('Capacity summary'!AC47)),0),AC135*$BI135),AC135*$BI135),0)</f>
        <v>0</v>
      </c>
      <c r="CG135" s="5">
        <f>IF($BI135&lt;&gt;"",IF('Capacity summary'!$C$14="Yes",IF(COUNTBLANK('Capacity summary'!$H47:$BG47)&lt;52,IF('Capacity summary'!AD47&lt;&gt;"",IF(LOWER('Capacity summary'!AD47)="x",$BI135*AD135,VALUE('Capacity summary'!AD47)),0),AD135*$BI135),AD135*$BI135),0)</f>
        <v>0</v>
      </c>
      <c r="CH135" s="5">
        <f>IF($BI135&lt;&gt;"",IF('Capacity summary'!$C$14="Yes",IF(COUNTBLANK('Capacity summary'!$H47:$BG47)&lt;52,IF('Capacity summary'!AE47&lt;&gt;"",IF(LOWER('Capacity summary'!AE47)="x",$BI135*AE135,VALUE('Capacity summary'!AE47)),0),AE135*$BI135),AE135*$BI135),0)</f>
        <v>0</v>
      </c>
      <c r="CI135" s="5">
        <f>IF($BI135&lt;&gt;"",IF('Capacity summary'!$C$14="Yes",IF(COUNTBLANK('Capacity summary'!$H47:$BG47)&lt;52,IF('Capacity summary'!AF47&lt;&gt;"",IF(LOWER('Capacity summary'!AF47)="x",$BI135*AF135,VALUE('Capacity summary'!AF47)),0),AF135*$BI135),AF135*$BI135),0)</f>
        <v>0</v>
      </c>
      <c r="CJ135" s="5">
        <f>IF($BI135&lt;&gt;"",IF('Capacity summary'!$C$14="Yes",IF(COUNTBLANK('Capacity summary'!$H47:$BG47)&lt;52,IF('Capacity summary'!AG47&lt;&gt;"",IF(LOWER('Capacity summary'!AG47)="x",$BI135*AG135,VALUE('Capacity summary'!AG47)),0),AG135*$BI135),AG135*$BI135),0)</f>
        <v>0</v>
      </c>
      <c r="CK135" s="5">
        <f>IF($BI135&lt;&gt;"",IF('Capacity summary'!$C$14="Yes",IF(COUNTBLANK('Capacity summary'!$H47:$BG47)&lt;52,IF('Capacity summary'!AH47&lt;&gt;"",IF(LOWER('Capacity summary'!AH47)="x",$BI135*AH135,VALUE('Capacity summary'!AH47)),0),AH135*$BI135),AH135*$BI135),0)</f>
        <v>0</v>
      </c>
      <c r="CL135" s="5">
        <f>IF($BI135&lt;&gt;"",IF('Capacity summary'!$C$14="Yes",IF(COUNTBLANK('Capacity summary'!$H47:$BG47)&lt;52,IF('Capacity summary'!AI47&lt;&gt;"",IF(LOWER('Capacity summary'!AI47)="x",$BI135*AI135,VALUE('Capacity summary'!AI47)),0),AI135*$BI135),AI135*$BI135),0)</f>
        <v>0</v>
      </c>
      <c r="CM135" s="5">
        <f>IF($BI135&lt;&gt;"",IF('Capacity summary'!$C$14="Yes",IF(COUNTBLANK('Capacity summary'!$H47:$BG47)&lt;52,IF('Capacity summary'!AJ47&lt;&gt;"",IF(LOWER('Capacity summary'!AJ47)="x",$BI135*AJ135,VALUE('Capacity summary'!AJ47)),0),AJ135*$BI135),AJ135*$BI135),0)</f>
        <v>0</v>
      </c>
      <c r="CN135" s="5">
        <f>IF($BI135&lt;&gt;"",IF('Capacity summary'!$C$14="Yes",IF(COUNTBLANK('Capacity summary'!$H47:$BG47)&lt;52,IF('Capacity summary'!AK47&lt;&gt;"",IF(LOWER('Capacity summary'!AK47)="x",$BI135*AK135,VALUE('Capacity summary'!AK47)),0),AK135*$BI135),AK135*$BI135),0)</f>
        <v>0</v>
      </c>
      <c r="CO135" s="5">
        <f>IF($BI135&lt;&gt;"",IF('Capacity summary'!$C$14="Yes",IF(COUNTBLANK('Capacity summary'!$H47:$BG47)&lt;52,IF('Capacity summary'!AL47&lt;&gt;"",IF(LOWER('Capacity summary'!AL47)="x",$BI135*AL135,VALUE('Capacity summary'!AL47)),0),AL135*$BI135),AL135*$BI135),0)</f>
        <v>0</v>
      </c>
      <c r="CP135" s="5">
        <f>IF($BI135&lt;&gt;"",IF('Capacity summary'!$C$14="Yes",IF(COUNTBLANK('Capacity summary'!$H47:$BG47)&lt;52,IF('Capacity summary'!AM47&lt;&gt;"",IF(LOWER('Capacity summary'!AM47)="x",$BI135*AM135,VALUE('Capacity summary'!AM47)),0),AM135*$BI135),AM135*$BI135),0)</f>
        <v>0</v>
      </c>
      <c r="CQ135" s="5">
        <f>IF($BI135&lt;&gt;"",IF('Capacity summary'!$C$14="Yes",IF(COUNTBLANK('Capacity summary'!$H47:$BG47)&lt;52,IF('Capacity summary'!AN47&lt;&gt;"",IF(LOWER('Capacity summary'!AN47)="x",$BI135*AN135,VALUE('Capacity summary'!AN47)),0),AN135*$BI135),AN135*$BI135),0)</f>
        <v>0</v>
      </c>
      <c r="CR135" s="5">
        <f>IF($BI135&lt;&gt;"",IF('Capacity summary'!$C$14="Yes",IF(COUNTBLANK('Capacity summary'!$H47:$BG47)&lt;52,IF('Capacity summary'!AO47&lt;&gt;"",IF(LOWER('Capacity summary'!AO47)="x",$BI135*AO135,VALUE('Capacity summary'!AO47)),0),AO135*$BI135),AO135*$BI135),0)</f>
        <v>0</v>
      </c>
      <c r="CS135" s="5">
        <f>IF($BI135&lt;&gt;"",IF('Capacity summary'!$C$14="Yes",IF(COUNTBLANK('Capacity summary'!$H47:$BG47)&lt;52,IF('Capacity summary'!AP47&lt;&gt;"",IF(LOWER('Capacity summary'!AP47)="x",$BI135*AP135,VALUE('Capacity summary'!AP47)),0),AP135*$BI135),AP135*$BI135),0)</f>
        <v>0</v>
      </c>
      <c r="CT135" s="5">
        <f>IF($BI135&lt;&gt;"",IF('Capacity summary'!$C$14="Yes",IF(COUNTBLANK('Capacity summary'!$H47:$BG47)&lt;52,IF('Capacity summary'!AQ47&lt;&gt;"",IF(LOWER('Capacity summary'!AQ47)="x",$BI135*AQ135,VALUE('Capacity summary'!AQ47)),0),AQ135*$BI135),AQ135*$BI135),0)</f>
        <v>0</v>
      </c>
      <c r="CU135" s="5">
        <f>IF($BI135&lt;&gt;"",IF('Capacity summary'!$C$14="Yes",IF(COUNTBLANK('Capacity summary'!$H47:$BG47)&lt;52,IF('Capacity summary'!AR47&lt;&gt;"",IF(LOWER('Capacity summary'!AR47)="x",$BI135*AR135,VALUE('Capacity summary'!AR47)),0),AR135*$BI135),AR135*$BI135),0)</f>
        <v>0</v>
      </c>
      <c r="CV135" s="5">
        <f>IF($BI135&lt;&gt;"",IF('Capacity summary'!$C$14="Yes",IF(COUNTBLANK('Capacity summary'!$H47:$BG47)&lt;52,IF('Capacity summary'!AS47&lt;&gt;"",IF(LOWER('Capacity summary'!AS47)="x",$BI135*AS135,VALUE('Capacity summary'!AS47)),0),AS135*$BI135),AS135*$BI135),0)</f>
        <v>0</v>
      </c>
      <c r="CW135" s="5">
        <f>IF($BI135&lt;&gt;"",IF('Capacity summary'!$C$14="Yes",IF(COUNTBLANK('Capacity summary'!$H47:$BG47)&lt;52,IF('Capacity summary'!AT47&lt;&gt;"",IF(LOWER('Capacity summary'!AT47)="x",$BI135*AT135,VALUE('Capacity summary'!AT47)),0),AT135*$BI135),AT135*$BI135),0)</f>
        <v>0</v>
      </c>
      <c r="CX135" s="5">
        <f>IF($BI135&lt;&gt;"",IF('Capacity summary'!$C$14="Yes",IF(COUNTBLANK('Capacity summary'!$H47:$BG47)&lt;52,IF('Capacity summary'!AU47&lt;&gt;"",IF(LOWER('Capacity summary'!AU47)="x",$BI135*AU135,VALUE('Capacity summary'!AU47)),0),AU135*$BI135),AU135*$BI135),0)</f>
        <v>0</v>
      </c>
      <c r="CY135" s="5">
        <f>IF($BI135&lt;&gt;"",IF('Capacity summary'!$C$14="Yes",IF(COUNTBLANK('Capacity summary'!$H47:$BG47)&lt;52,IF('Capacity summary'!AV47&lt;&gt;"",IF(LOWER('Capacity summary'!AV47)="x",$BI135*AV135,VALUE('Capacity summary'!AV47)),0),AV135*$BI135),AV135*$BI135),0)</f>
        <v>0</v>
      </c>
      <c r="CZ135" s="5">
        <f>IF($BI135&lt;&gt;"",IF('Capacity summary'!$C$14="Yes",IF(COUNTBLANK('Capacity summary'!$H47:$BG47)&lt;52,IF('Capacity summary'!AW47&lt;&gt;"",IF(LOWER('Capacity summary'!AW47)="x",$BI135*AW135,VALUE('Capacity summary'!AW47)),0),AW135*$BI135),AW135*$BI135),0)</f>
        <v>0</v>
      </c>
      <c r="DA135" s="5">
        <f>IF($BI135&lt;&gt;"",IF('Capacity summary'!$C$14="Yes",IF(COUNTBLANK('Capacity summary'!$H47:$BG47)&lt;52,IF('Capacity summary'!AX47&lt;&gt;"",IF(LOWER('Capacity summary'!AX47)="x",$BI135*AX135,VALUE('Capacity summary'!AX47)),0),AX135*$BI135),AX135*$BI135),0)</f>
        <v>0</v>
      </c>
      <c r="DB135" s="5">
        <f>IF($BI135&lt;&gt;"",IF('Capacity summary'!$C$14="Yes",IF(COUNTBLANK('Capacity summary'!$H47:$BG47)&lt;52,IF('Capacity summary'!AY47&lt;&gt;"",IF(LOWER('Capacity summary'!AY47)="x",$BI135*AY135,VALUE('Capacity summary'!AY47)),0),AY135*$BI135),AY135*$BI135),0)</f>
        <v>0</v>
      </c>
      <c r="DC135" s="5">
        <f>IF($BI135&lt;&gt;"",IF('Capacity summary'!$C$14="Yes",IF(COUNTBLANK('Capacity summary'!$H47:$BG47)&lt;52,IF('Capacity summary'!AZ47&lt;&gt;"",IF(LOWER('Capacity summary'!AZ47)="x",$BI135*AZ135,VALUE('Capacity summary'!AZ47)),0),AZ135*$BI135),AZ135*$BI135),0)</f>
        <v>0</v>
      </c>
      <c r="DD135" s="5">
        <f>IF($BI135&lt;&gt;"",IF('Capacity summary'!$C$14="Yes",IF(COUNTBLANK('Capacity summary'!$H47:$BG47)&lt;52,IF('Capacity summary'!BA47&lt;&gt;"",IF(LOWER('Capacity summary'!BA47)="x",$BI135*BA135,VALUE('Capacity summary'!BA47)),0),BA135*$BI135),BA135*$BI135),0)</f>
        <v>0</v>
      </c>
      <c r="DE135" s="5">
        <f>IF($BI135&lt;&gt;"",IF('Capacity summary'!$C$14="Yes",IF(COUNTBLANK('Capacity summary'!$H47:$BG47)&lt;52,IF('Capacity summary'!BB47&lt;&gt;"",IF(LOWER('Capacity summary'!BB47)="x",$BI135*BB135,VALUE('Capacity summary'!BB47)),0),BB135*$BI135),BB135*$BI135),0)</f>
        <v>0</v>
      </c>
      <c r="DF135" s="5">
        <f>IF($BI135&lt;&gt;"",IF('Capacity summary'!$C$14="Yes",IF(COUNTBLANK('Capacity summary'!$H47:$BG47)&lt;52,IF('Capacity summary'!BC47&lt;&gt;"",IF(LOWER('Capacity summary'!BC47)="x",$BI135*BC135,VALUE('Capacity summary'!BC47)),0),BC135*$BI135),BC135*$BI135),0)</f>
        <v>0</v>
      </c>
      <c r="DG135" s="5">
        <f>IF($BI135&lt;&gt;"",IF('Capacity summary'!$C$14="Yes",IF(COUNTBLANK('Capacity summary'!$H47:$BG47)&lt;52,IF('Capacity summary'!BD47&lt;&gt;"",IF(LOWER('Capacity summary'!BD47)="x",$BI135*BD135,VALUE('Capacity summary'!BD47)),0),BD135*$BI135),BD135*$BI135),0)</f>
        <v>0</v>
      </c>
      <c r="DH135" s="5">
        <f>IF($BI135&lt;&gt;"",IF('Capacity summary'!$C$14="Yes",IF(COUNTBLANK('Capacity summary'!$H47:$BG47)&lt;52,IF('Capacity summary'!BE47&lt;&gt;"",IF(LOWER('Capacity summary'!BE47)="x",$BI135*BE135,VALUE('Capacity summary'!BE47)),0),BE135*$BI135),BE135*$BI135),0)</f>
        <v>0</v>
      </c>
      <c r="DI135" s="5">
        <f>IF($BI135&lt;&gt;"",IF('Capacity summary'!$C$14="Yes",IF(COUNTBLANK('Capacity summary'!$H47:$BG47)&lt;52,IF('Capacity summary'!BF47&lt;&gt;"",IF(LOWER('Capacity summary'!BF47)="x",$BI135*BF135,VALUE('Capacity summary'!BF47)),0),BF135*$BI135),BF135*$BI135),0)</f>
        <v>0</v>
      </c>
      <c r="DJ135" s="5">
        <f>IF($BI135&lt;&gt;"",IF('Capacity summary'!$C$14="Yes",IF(COUNTBLANK('Capacity summary'!$H47:$BG47)&lt;52,IF('Capacity summary'!BG47&lt;&gt;"",IF(LOWER('Capacity summary'!BG47)="x",$BI135*BG135,VALUE('Capacity summary'!BG47)),0),BG135*$BI135),BG135*$BI135),0)</f>
        <v>0</v>
      </c>
      <c r="DK135" s="5">
        <f t="shared" ref="DK135" si="29">SUM(DK136:DK235)</f>
        <v>0</v>
      </c>
    </row>
    <row r="136" spans="3:115" x14ac:dyDescent="0.25">
      <c r="C136" s="67" t="str">
        <f>ROW(A25)&amp;". "&amp;Capacity!N41</f>
        <v xml:space="preserve">25. </v>
      </c>
      <c r="D136" s="67">
        <f>'Capacity setup'!C142</f>
        <v>0</v>
      </c>
      <c r="E136" s="67">
        <f>'Capacity setup'!D142</f>
        <v>0</v>
      </c>
      <c r="F136" s="67">
        <f>'Capacity setup'!E142</f>
        <v>0</v>
      </c>
      <c r="H136" s="67">
        <f ca="1">IF(AND(SUMIF(Capacity_Resource,$D136,'Critical resources (hide)'!U$6:U$105)+SUMIF(Capacity_Resource,$E136,'Critical resources (hide)'!U$6:U$105)+SUMIF(Capacity_Resource,$F136,'Critical resources (hide)'!U$6:U$105)&gt;0,$E$1=2),0,1)</f>
        <v>1</v>
      </c>
      <c r="I136" s="67">
        <f ca="1">IF(AND(SUMIF(Capacity_Resource,$D136,'Critical resources (hide)'!V$6:V$105)+SUMIF(Capacity_Resource,$E136,'Critical resources (hide)'!V$6:V$105)+SUMIF(Capacity_Resource,$F136,'Critical resources (hide)'!V$6:V$105)&gt;0,$E$1=2),0,1)</f>
        <v>1</v>
      </c>
      <c r="J136" s="67">
        <f ca="1">IF(AND(SUMIF(Capacity_Resource,$D136,'Critical resources (hide)'!W$6:W$105)+SUMIF(Capacity_Resource,$E136,'Critical resources (hide)'!W$6:W$105)+SUMIF(Capacity_Resource,$F136,'Critical resources (hide)'!W$6:W$105)&gt;0,$E$1=2),0,1)</f>
        <v>1</v>
      </c>
      <c r="K136" s="67">
        <f ca="1">IF(AND(SUMIF(Capacity_Resource,$D136,'Critical resources (hide)'!X$6:X$105)+SUMIF(Capacity_Resource,$E136,'Critical resources (hide)'!X$6:X$105)+SUMIF(Capacity_Resource,$F136,'Critical resources (hide)'!X$6:X$105)&gt;0,$E$1=2),0,1)</f>
        <v>1</v>
      </c>
      <c r="L136" s="67">
        <f ca="1">IF(AND(SUMIF(Capacity_Resource,$D136,'Critical resources (hide)'!Y$6:Y$105)+SUMIF(Capacity_Resource,$E136,'Critical resources (hide)'!Y$6:Y$105)+SUMIF(Capacity_Resource,$F136,'Critical resources (hide)'!Y$6:Y$105)&gt;0,$E$1=2),0,1)</f>
        <v>1</v>
      </c>
      <c r="M136" s="67">
        <f ca="1">IF(AND(SUMIF(Capacity_Resource,$D136,'Critical resources (hide)'!Z$6:Z$105)+SUMIF(Capacity_Resource,$E136,'Critical resources (hide)'!Z$6:Z$105)+SUMIF(Capacity_Resource,$F136,'Critical resources (hide)'!Z$6:Z$105)&gt;0,$E$1=2),0,1)</f>
        <v>1</v>
      </c>
      <c r="N136" s="67">
        <f ca="1">IF(AND(SUMIF(Capacity_Resource,$D136,'Critical resources (hide)'!AA$6:AA$105)+SUMIF(Capacity_Resource,$E136,'Critical resources (hide)'!AA$6:AA$105)+SUMIF(Capacity_Resource,$F136,'Critical resources (hide)'!AA$6:AA$105)&gt;0,$E$1=2),0,1)</f>
        <v>1</v>
      </c>
      <c r="O136" s="67">
        <f ca="1">IF(AND(SUMIF(Capacity_Resource,$D136,'Critical resources (hide)'!AB$6:AB$105)+SUMIF(Capacity_Resource,$E136,'Critical resources (hide)'!AB$6:AB$105)+SUMIF(Capacity_Resource,$F136,'Critical resources (hide)'!AB$6:AB$105)&gt;0,$E$1=2),0,1)</f>
        <v>1</v>
      </c>
      <c r="P136" s="67">
        <f ca="1">IF(AND(SUMIF(Capacity_Resource,$D136,'Critical resources (hide)'!AC$6:AC$105)+SUMIF(Capacity_Resource,$E136,'Critical resources (hide)'!AC$6:AC$105)+SUMIF(Capacity_Resource,$F136,'Critical resources (hide)'!AC$6:AC$105)&gt;0,$E$1=2),0,1)</f>
        <v>1</v>
      </c>
      <c r="Q136" s="67">
        <f ca="1">IF(AND(SUMIF(Capacity_Resource,$D136,'Critical resources (hide)'!AD$6:AD$105)+SUMIF(Capacity_Resource,$E136,'Critical resources (hide)'!AD$6:AD$105)+SUMIF(Capacity_Resource,$F136,'Critical resources (hide)'!AD$6:AD$105)&gt;0,$E$1=2),0,1)</f>
        <v>1</v>
      </c>
      <c r="R136" s="67">
        <f ca="1">IF(AND(SUMIF(Capacity_Resource,$D136,'Critical resources (hide)'!AE$6:AE$105)+SUMIF(Capacity_Resource,$E136,'Critical resources (hide)'!AE$6:AE$105)+SUMIF(Capacity_Resource,$F136,'Critical resources (hide)'!AE$6:AE$105)&gt;0,$E$1=2),0,1)</f>
        <v>1</v>
      </c>
      <c r="S136" s="67">
        <f ca="1">IF(AND(SUMIF(Capacity_Resource,$D136,'Critical resources (hide)'!AF$6:AF$105)+SUMIF(Capacity_Resource,$E136,'Critical resources (hide)'!AF$6:AF$105)+SUMIF(Capacity_Resource,$F136,'Critical resources (hide)'!AF$6:AF$105)&gt;0,$E$1=2),0,1)</f>
        <v>1</v>
      </c>
      <c r="T136" s="67">
        <f ca="1">IF(AND(SUMIF(Capacity_Resource,$D136,'Critical resources (hide)'!AG$6:AG$105)+SUMIF(Capacity_Resource,$E136,'Critical resources (hide)'!AG$6:AG$105)+SUMIF(Capacity_Resource,$F136,'Critical resources (hide)'!AG$6:AG$105)&gt;0,$E$1=2),0,1)</f>
        <v>1</v>
      </c>
      <c r="U136" s="67">
        <f ca="1">IF(AND(SUMIF(Capacity_Resource,$D136,'Critical resources (hide)'!AH$6:AH$105)+SUMIF(Capacity_Resource,$E136,'Critical resources (hide)'!AH$6:AH$105)+SUMIF(Capacity_Resource,$F136,'Critical resources (hide)'!AH$6:AH$105)&gt;0,$E$1=2),0,1)</f>
        <v>1</v>
      </c>
      <c r="V136" s="67">
        <f ca="1">IF(AND(SUMIF(Capacity_Resource,$D136,'Critical resources (hide)'!AI$6:AI$105)+SUMIF(Capacity_Resource,$E136,'Critical resources (hide)'!AI$6:AI$105)+SUMIF(Capacity_Resource,$F136,'Critical resources (hide)'!AI$6:AI$105)&gt;0,$E$1=2),0,1)</f>
        <v>1</v>
      </c>
      <c r="W136" s="67">
        <f ca="1">IF(AND(SUMIF(Capacity_Resource,$D136,'Critical resources (hide)'!AJ$6:AJ$105)+SUMIF(Capacity_Resource,$E136,'Critical resources (hide)'!AJ$6:AJ$105)+SUMIF(Capacity_Resource,$F136,'Critical resources (hide)'!AJ$6:AJ$105)&gt;0,$E$1=2),0,1)</f>
        <v>1</v>
      </c>
      <c r="X136" s="67">
        <f ca="1">IF(AND(SUMIF(Capacity_Resource,$D136,'Critical resources (hide)'!AK$6:AK$105)+SUMIF(Capacity_Resource,$E136,'Critical resources (hide)'!AK$6:AK$105)+SUMIF(Capacity_Resource,$F136,'Critical resources (hide)'!AK$6:AK$105)&gt;0,$E$1=2),0,1)</f>
        <v>1</v>
      </c>
      <c r="Y136" s="67">
        <f ca="1">IF(AND(SUMIF(Capacity_Resource,$D136,'Critical resources (hide)'!AL$6:AL$105)+SUMIF(Capacity_Resource,$E136,'Critical resources (hide)'!AL$6:AL$105)+SUMIF(Capacity_Resource,$F136,'Critical resources (hide)'!AL$6:AL$105)&gt;0,$E$1=2),0,1)</f>
        <v>1</v>
      </c>
      <c r="Z136" s="67">
        <f ca="1">IF(AND(SUMIF(Capacity_Resource,$D136,'Critical resources (hide)'!AM$6:AM$105)+SUMIF(Capacity_Resource,$E136,'Critical resources (hide)'!AM$6:AM$105)+SUMIF(Capacity_Resource,$F136,'Critical resources (hide)'!AM$6:AM$105)&gt;0,$E$1=2),0,1)</f>
        <v>1</v>
      </c>
      <c r="AA136" s="67">
        <f ca="1">IF(AND(SUMIF(Capacity_Resource,$D136,'Critical resources (hide)'!AN$6:AN$105)+SUMIF(Capacity_Resource,$E136,'Critical resources (hide)'!AN$6:AN$105)+SUMIF(Capacity_Resource,$F136,'Critical resources (hide)'!AN$6:AN$105)&gt;0,$E$1=2),0,1)</f>
        <v>1</v>
      </c>
      <c r="AB136" s="67">
        <f ca="1">IF(AND(SUMIF(Capacity_Resource,$D136,'Critical resources (hide)'!AO$6:AO$105)+SUMIF(Capacity_Resource,$E136,'Critical resources (hide)'!AO$6:AO$105)+SUMIF(Capacity_Resource,$F136,'Critical resources (hide)'!AO$6:AO$105)&gt;0,$E$1=2),0,1)</f>
        <v>1</v>
      </c>
      <c r="AC136" s="67">
        <f ca="1">IF(AND(SUMIF(Capacity_Resource,$D136,'Critical resources (hide)'!AP$6:AP$105)+SUMIF(Capacity_Resource,$E136,'Critical resources (hide)'!AP$6:AP$105)+SUMIF(Capacity_Resource,$F136,'Critical resources (hide)'!AP$6:AP$105)&gt;0,$E$1=2),0,1)</f>
        <v>1</v>
      </c>
      <c r="AD136" s="67">
        <f ca="1">IF(AND(SUMIF(Capacity_Resource,$D136,'Critical resources (hide)'!AQ$6:AQ$105)+SUMIF(Capacity_Resource,$E136,'Critical resources (hide)'!AQ$6:AQ$105)+SUMIF(Capacity_Resource,$F136,'Critical resources (hide)'!AQ$6:AQ$105)&gt;0,$E$1=2),0,1)</f>
        <v>1</v>
      </c>
      <c r="AE136" s="67">
        <f ca="1">IF(AND(SUMIF(Capacity_Resource,$D136,'Critical resources (hide)'!AR$6:AR$105)+SUMIF(Capacity_Resource,$E136,'Critical resources (hide)'!AR$6:AR$105)+SUMIF(Capacity_Resource,$F136,'Critical resources (hide)'!AR$6:AR$105)&gt;0,$E$1=2),0,1)</f>
        <v>1</v>
      </c>
      <c r="AF136" s="67">
        <f ca="1">IF(AND(SUMIF(Capacity_Resource,$D136,'Critical resources (hide)'!AS$6:AS$105)+SUMIF(Capacity_Resource,$E136,'Critical resources (hide)'!AS$6:AS$105)+SUMIF(Capacity_Resource,$F136,'Critical resources (hide)'!AS$6:AS$105)&gt;0,$E$1=2),0,1)</f>
        <v>1</v>
      </c>
      <c r="AG136" s="67">
        <f ca="1">IF(AND(SUMIF(Capacity_Resource,$D136,'Critical resources (hide)'!AT$6:AT$105)+SUMIF(Capacity_Resource,$E136,'Critical resources (hide)'!AT$6:AT$105)+SUMIF(Capacity_Resource,$F136,'Critical resources (hide)'!AT$6:AT$105)&gt;0,$E$1=2),0,1)</f>
        <v>1</v>
      </c>
      <c r="AH136" s="67">
        <f ca="1">IF(AND(SUMIF(Capacity_Resource,$D136,'Critical resources (hide)'!AU$6:AU$105)+SUMIF(Capacity_Resource,$E136,'Critical resources (hide)'!AU$6:AU$105)+SUMIF(Capacity_Resource,$F136,'Critical resources (hide)'!AU$6:AU$105)&gt;0,$E$1=2),0,1)</f>
        <v>1</v>
      </c>
      <c r="AI136" s="67">
        <f ca="1">IF(AND(SUMIF(Capacity_Resource,$D136,'Critical resources (hide)'!AV$6:AV$105)+SUMIF(Capacity_Resource,$E136,'Critical resources (hide)'!AV$6:AV$105)+SUMIF(Capacity_Resource,$F136,'Critical resources (hide)'!AV$6:AV$105)&gt;0,$E$1=2),0,1)</f>
        <v>1</v>
      </c>
      <c r="AJ136" s="67">
        <f ca="1">IF(AND(SUMIF(Capacity_Resource,$D136,'Critical resources (hide)'!AW$6:AW$105)+SUMIF(Capacity_Resource,$E136,'Critical resources (hide)'!AW$6:AW$105)+SUMIF(Capacity_Resource,$F136,'Critical resources (hide)'!AW$6:AW$105)&gt;0,$E$1=2),0,1)</f>
        <v>1</v>
      </c>
      <c r="AK136" s="67">
        <f ca="1">IF(AND(SUMIF(Capacity_Resource,$D136,'Critical resources (hide)'!AX$6:AX$105)+SUMIF(Capacity_Resource,$E136,'Critical resources (hide)'!AX$6:AX$105)+SUMIF(Capacity_Resource,$F136,'Critical resources (hide)'!AX$6:AX$105)&gt;0,$E$1=2),0,1)</f>
        <v>1</v>
      </c>
      <c r="AL136" s="67">
        <f ca="1">IF(AND(SUMIF(Capacity_Resource,$D136,'Critical resources (hide)'!AY$6:AY$105)+SUMIF(Capacity_Resource,$E136,'Critical resources (hide)'!AY$6:AY$105)+SUMIF(Capacity_Resource,$F136,'Critical resources (hide)'!AY$6:AY$105)&gt;0,$E$1=2),0,1)</f>
        <v>1</v>
      </c>
      <c r="AM136" s="67">
        <f ca="1">IF(AND(SUMIF(Capacity_Resource,$D136,'Critical resources (hide)'!AZ$6:AZ$105)+SUMIF(Capacity_Resource,$E136,'Critical resources (hide)'!AZ$6:AZ$105)+SUMIF(Capacity_Resource,$F136,'Critical resources (hide)'!AZ$6:AZ$105)&gt;0,$E$1=2),0,1)</f>
        <v>1</v>
      </c>
      <c r="AN136" s="67">
        <f ca="1">IF(AND(SUMIF(Capacity_Resource,$D136,'Critical resources (hide)'!BA$6:BA$105)+SUMIF(Capacity_Resource,$E136,'Critical resources (hide)'!BA$6:BA$105)+SUMIF(Capacity_Resource,$F136,'Critical resources (hide)'!BA$6:BA$105)&gt;0,$E$1=2),0,1)</f>
        <v>1</v>
      </c>
      <c r="AO136" s="67">
        <f ca="1">IF(AND(SUMIF(Capacity_Resource,$D136,'Critical resources (hide)'!BB$6:BB$105)+SUMIF(Capacity_Resource,$E136,'Critical resources (hide)'!BB$6:BB$105)+SUMIF(Capacity_Resource,$F136,'Critical resources (hide)'!BB$6:BB$105)&gt;0,$E$1=2),0,1)</f>
        <v>1</v>
      </c>
      <c r="AP136" s="67">
        <f ca="1">IF(AND(SUMIF(Capacity_Resource,$D136,'Critical resources (hide)'!BC$6:BC$105)+SUMIF(Capacity_Resource,$E136,'Critical resources (hide)'!BC$6:BC$105)+SUMIF(Capacity_Resource,$F136,'Critical resources (hide)'!BC$6:BC$105)&gt;0,$E$1=2),0,1)</f>
        <v>1</v>
      </c>
      <c r="AQ136" s="67">
        <f ca="1">IF(AND(SUMIF(Capacity_Resource,$D136,'Critical resources (hide)'!BD$6:BD$105)+SUMIF(Capacity_Resource,$E136,'Critical resources (hide)'!BD$6:BD$105)+SUMIF(Capacity_Resource,$F136,'Critical resources (hide)'!BD$6:BD$105)&gt;0,$E$1=2),0,1)</f>
        <v>1</v>
      </c>
      <c r="AR136" s="67">
        <f ca="1">IF(AND(SUMIF(Capacity_Resource,$D136,'Critical resources (hide)'!BE$6:BE$105)+SUMIF(Capacity_Resource,$E136,'Critical resources (hide)'!BE$6:BE$105)+SUMIF(Capacity_Resource,$F136,'Critical resources (hide)'!BE$6:BE$105)&gt;0,$E$1=2),0,1)</f>
        <v>1</v>
      </c>
      <c r="AS136" s="67">
        <f ca="1">IF(AND(SUMIF(Capacity_Resource,$D136,'Critical resources (hide)'!BF$6:BF$105)+SUMIF(Capacity_Resource,$E136,'Critical resources (hide)'!BF$6:BF$105)+SUMIF(Capacity_Resource,$F136,'Critical resources (hide)'!BF$6:BF$105)&gt;0,$E$1=2),0,1)</f>
        <v>1</v>
      </c>
      <c r="AT136" s="67">
        <f ca="1">IF(AND(SUMIF(Capacity_Resource,$D136,'Critical resources (hide)'!BG$6:BG$105)+SUMIF(Capacity_Resource,$E136,'Critical resources (hide)'!BG$6:BG$105)+SUMIF(Capacity_Resource,$F136,'Critical resources (hide)'!BG$6:BG$105)&gt;0,$E$1=2),0,1)</f>
        <v>1</v>
      </c>
      <c r="AU136" s="67">
        <f ca="1">IF(AND(SUMIF(Capacity_Resource,$D136,'Critical resources (hide)'!BH$6:BH$105)+SUMIF(Capacity_Resource,$E136,'Critical resources (hide)'!BH$6:BH$105)+SUMIF(Capacity_Resource,$F136,'Critical resources (hide)'!BH$6:BH$105)&gt;0,$E$1=2),0,1)</f>
        <v>1</v>
      </c>
      <c r="AV136" s="67">
        <f ca="1">IF(AND(SUMIF(Capacity_Resource,$D136,'Critical resources (hide)'!BI$6:BI$105)+SUMIF(Capacity_Resource,$E136,'Critical resources (hide)'!BI$6:BI$105)+SUMIF(Capacity_Resource,$F136,'Critical resources (hide)'!BI$6:BI$105)&gt;0,$E$1=2),0,1)</f>
        <v>1</v>
      </c>
      <c r="AW136" s="67">
        <f ca="1">IF(AND(SUMIF(Capacity_Resource,$D136,'Critical resources (hide)'!BJ$6:BJ$105)+SUMIF(Capacity_Resource,$E136,'Critical resources (hide)'!BJ$6:BJ$105)+SUMIF(Capacity_Resource,$F136,'Critical resources (hide)'!BJ$6:BJ$105)&gt;0,$E$1=2),0,1)</f>
        <v>1</v>
      </c>
      <c r="AX136" s="67">
        <f ca="1">IF(AND(SUMIF(Capacity_Resource,$D136,'Critical resources (hide)'!BK$6:BK$105)+SUMIF(Capacity_Resource,$E136,'Critical resources (hide)'!BK$6:BK$105)+SUMIF(Capacity_Resource,$F136,'Critical resources (hide)'!BK$6:BK$105)&gt;0,$E$1=2),0,1)</f>
        <v>1</v>
      </c>
      <c r="AY136" s="67">
        <f ca="1">IF(AND(SUMIF(Capacity_Resource,$D136,'Critical resources (hide)'!BL$6:BL$105)+SUMIF(Capacity_Resource,$E136,'Critical resources (hide)'!BL$6:BL$105)+SUMIF(Capacity_Resource,$F136,'Critical resources (hide)'!BL$6:BL$105)&gt;0,$E$1=2),0,1)</f>
        <v>1</v>
      </c>
      <c r="AZ136" s="67">
        <f ca="1">IF(AND(SUMIF(Capacity_Resource,$D136,'Critical resources (hide)'!BM$6:BM$105)+SUMIF(Capacity_Resource,$E136,'Critical resources (hide)'!BM$6:BM$105)+SUMIF(Capacity_Resource,$F136,'Critical resources (hide)'!BM$6:BM$105)&gt;0,$E$1=2),0,1)</f>
        <v>1</v>
      </c>
      <c r="BA136" s="67">
        <f ca="1">IF(AND(SUMIF(Capacity_Resource,$D136,'Critical resources (hide)'!BN$6:BN$105)+SUMIF(Capacity_Resource,$E136,'Critical resources (hide)'!BN$6:BN$105)+SUMIF(Capacity_Resource,$F136,'Critical resources (hide)'!BN$6:BN$105)&gt;0,$E$1=2),0,1)</f>
        <v>1</v>
      </c>
      <c r="BB136" s="67">
        <f ca="1">IF(AND(SUMIF(Capacity_Resource,$D136,'Critical resources (hide)'!BO$6:BO$105)+SUMIF(Capacity_Resource,$E136,'Critical resources (hide)'!BO$6:BO$105)+SUMIF(Capacity_Resource,$F136,'Critical resources (hide)'!BO$6:BO$105)&gt;0,$E$1=2),0,1)</f>
        <v>1</v>
      </c>
      <c r="BC136" s="67">
        <f ca="1">IF(AND(SUMIF(Capacity_Resource,$D136,'Critical resources (hide)'!BP$6:BP$105)+SUMIF(Capacity_Resource,$E136,'Critical resources (hide)'!BP$6:BP$105)+SUMIF(Capacity_Resource,$F136,'Critical resources (hide)'!BP$6:BP$105)&gt;0,$E$1=2),0,1)</f>
        <v>1</v>
      </c>
      <c r="BD136" s="67">
        <f ca="1">IF(AND(SUMIF(Capacity_Resource,$D136,'Critical resources (hide)'!BQ$6:BQ$105)+SUMIF(Capacity_Resource,$E136,'Critical resources (hide)'!BQ$6:BQ$105)+SUMIF(Capacity_Resource,$F136,'Critical resources (hide)'!BQ$6:BQ$105)&gt;0,$E$1=2),0,1)</f>
        <v>1</v>
      </c>
      <c r="BE136" s="67">
        <f ca="1">IF(AND(SUMIF(Capacity_Resource,$D136,'Critical resources (hide)'!BR$6:BR$105)+SUMIF(Capacity_Resource,$E136,'Critical resources (hide)'!BR$6:BR$105)+SUMIF(Capacity_Resource,$F136,'Critical resources (hide)'!BR$6:BR$105)&gt;0,$E$1=2),0,1)</f>
        <v>1</v>
      </c>
      <c r="BF136" s="67">
        <f ca="1">IF(AND(SUMIF(Capacity_Resource,$D136,'Critical resources (hide)'!BS$6:BS$105)+SUMIF(Capacity_Resource,$E136,'Critical resources (hide)'!BS$6:BS$105)+SUMIF(Capacity_Resource,$F136,'Critical resources (hide)'!BS$6:BS$105)&gt;0,$E$1=2),0,1)</f>
        <v>1</v>
      </c>
      <c r="BG136" s="67">
        <f ca="1">IF(AND(SUMIF(Capacity_Resource,$D136,'Critical resources (hide)'!BT$6:BT$105)+SUMIF(Capacity_Resource,$E136,'Critical resources (hide)'!BT$6:BT$105)+SUMIF(Capacity_Resource,$F136,'Critical resources (hide)'!BT$6:BT$105)&gt;0,$E$1=2),0,1)</f>
        <v>1</v>
      </c>
      <c r="BH136" s="67">
        <f>IF(ROW(A25)&lt;=Capacity!$M$16,IF('Capacity summary'!$C$14="No",SUM(H136:BG136),'Capacity summary'!$E48),0)</f>
        <v>0</v>
      </c>
      <c r="BI136" s="67" t="str">
        <f>IF(BH136&gt;0,IF(BH136&lt;Capacity!Q41,Capacity!R41,Capacity!T41/'Capacity calculation (hide)'!BH136),"")</f>
        <v/>
      </c>
      <c r="BJ136" s="5"/>
      <c r="BK136" s="5">
        <f>IF($BI136&lt;&gt;"",IF('Capacity summary'!$C$14="Yes",IF(COUNTBLANK('Capacity summary'!$H48:$BG48)&lt;52,IF('Capacity summary'!H48&lt;&gt;"",IF(LOWER('Capacity summary'!H48)="x",$BI136*H136,VALUE('Capacity summary'!H48)),0),H136*$BI136),H136*$BI136),0)</f>
        <v>0</v>
      </c>
      <c r="BL136" s="5">
        <f>IF($BI136&lt;&gt;"",IF('Capacity summary'!$C$14="Yes",IF(COUNTBLANK('Capacity summary'!$H48:$BG48)&lt;52,IF('Capacity summary'!I48&lt;&gt;"",IF(LOWER('Capacity summary'!I48)="x",$BI136*I136,VALUE('Capacity summary'!I48)),0),I136*$BI136),I136*$BI136),0)</f>
        <v>0</v>
      </c>
      <c r="BM136" s="5">
        <f>IF($BI136&lt;&gt;"",IF('Capacity summary'!$C$14="Yes",IF(COUNTBLANK('Capacity summary'!$H48:$BG48)&lt;52,IF('Capacity summary'!J48&lt;&gt;"",IF(LOWER('Capacity summary'!J48)="x",$BI136*J136,VALUE('Capacity summary'!J48)),0),J136*$BI136),J136*$BI136),0)</f>
        <v>0</v>
      </c>
      <c r="BN136" s="5">
        <f>IF($BI136&lt;&gt;"",IF('Capacity summary'!$C$14="Yes",IF(COUNTBLANK('Capacity summary'!$H48:$BG48)&lt;52,IF('Capacity summary'!K48&lt;&gt;"",IF(LOWER('Capacity summary'!K48)="x",$BI136*K136,VALUE('Capacity summary'!K48)),0),K136*$BI136),K136*$BI136),0)</f>
        <v>0</v>
      </c>
      <c r="BO136" s="5">
        <f>IF($BI136&lt;&gt;"",IF('Capacity summary'!$C$14="Yes",IF(COUNTBLANK('Capacity summary'!$H48:$BG48)&lt;52,IF('Capacity summary'!L48&lt;&gt;"",IF(LOWER('Capacity summary'!L48)="x",$BI136*L136,VALUE('Capacity summary'!L48)),0),L136*$BI136),L136*$BI136),0)</f>
        <v>0</v>
      </c>
      <c r="BP136" s="5">
        <f>IF($BI136&lt;&gt;"",IF('Capacity summary'!$C$14="Yes",IF(COUNTBLANK('Capacity summary'!$H48:$BG48)&lt;52,IF('Capacity summary'!M48&lt;&gt;"",IF(LOWER('Capacity summary'!M48)="x",$BI136*M136,VALUE('Capacity summary'!M48)),0),M136*$BI136),M136*$BI136),0)</f>
        <v>0</v>
      </c>
      <c r="BQ136" s="5">
        <f>IF($BI136&lt;&gt;"",IF('Capacity summary'!$C$14="Yes",IF(COUNTBLANK('Capacity summary'!$H48:$BG48)&lt;52,IF('Capacity summary'!N48&lt;&gt;"",IF(LOWER('Capacity summary'!N48)="x",$BI136*N136,VALUE('Capacity summary'!N48)),0),N136*$BI136),N136*$BI136),0)</f>
        <v>0</v>
      </c>
      <c r="BR136" s="5">
        <f>IF($BI136&lt;&gt;"",IF('Capacity summary'!$C$14="Yes",IF(COUNTBLANK('Capacity summary'!$H48:$BG48)&lt;52,IF('Capacity summary'!O48&lt;&gt;"",IF(LOWER('Capacity summary'!O48)="x",$BI136*O136,VALUE('Capacity summary'!O48)),0),O136*$BI136),O136*$BI136),0)</f>
        <v>0</v>
      </c>
      <c r="BS136" s="5">
        <f>IF($BI136&lt;&gt;"",IF('Capacity summary'!$C$14="Yes",IF(COUNTBLANK('Capacity summary'!$H48:$BG48)&lt;52,IF('Capacity summary'!P48&lt;&gt;"",IF(LOWER('Capacity summary'!P48)="x",$BI136*P136,VALUE('Capacity summary'!P48)),0),P136*$BI136),P136*$BI136),0)</f>
        <v>0</v>
      </c>
      <c r="BT136" s="5">
        <f>IF($BI136&lt;&gt;"",IF('Capacity summary'!$C$14="Yes",IF(COUNTBLANK('Capacity summary'!$H48:$BG48)&lt;52,IF('Capacity summary'!Q48&lt;&gt;"",IF(LOWER('Capacity summary'!Q48)="x",$BI136*Q136,VALUE('Capacity summary'!Q48)),0),Q136*$BI136),Q136*$BI136),0)</f>
        <v>0</v>
      </c>
      <c r="BU136" s="5">
        <f>IF($BI136&lt;&gt;"",IF('Capacity summary'!$C$14="Yes",IF(COUNTBLANK('Capacity summary'!$H48:$BG48)&lt;52,IF('Capacity summary'!R48&lt;&gt;"",IF(LOWER('Capacity summary'!R48)="x",$BI136*R136,VALUE('Capacity summary'!R48)),0),R136*$BI136),R136*$BI136),0)</f>
        <v>0</v>
      </c>
      <c r="BV136" s="5">
        <f>IF($BI136&lt;&gt;"",IF('Capacity summary'!$C$14="Yes",IF(COUNTBLANK('Capacity summary'!$H48:$BG48)&lt;52,IF('Capacity summary'!S48&lt;&gt;"",IF(LOWER('Capacity summary'!S48)="x",$BI136*S136,VALUE('Capacity summary'!S48)),0),S136*$BI136),S136*$BI136),0)</f>
        <v>0</v>
      </c>
      <c r="BW136" s="5">
        <f>IF($BI136&lt;&gt;"",IF('Capacity summary'!$C$14="Yes",IF(COUNTBLANK('Capacity summary'!$H48:$BG48)&lt;52,IF('Capacity summary'!T48&lt;&gt;"",IF(LOWER('Capacity summary'!T48)="x",$BI136*T136,VALUE('Capacity summary'!T48)),0),T136*$BI136),T136*$BI136),0)</f>
        <v>0</v>
      </c>
      <c r="BX136" s="5">
        <f>IF($BI136&lt;&gt;"",IF('Capacity summary'!$C$14="Yes",IF(COUNTBLANK('Capacity summary'!$H48:$BG48)&lt;52,IF('Capacity summary'!U48&lt;&gt;"",IF(LOWER('Capacity summary'!U48)="x",$BI136*U136,VALUE('Capacity summary'!U48)),0),U136*$BI136),U136*$BI136),0)</f>
        <v>0</v>
      </c>
      <c r="BY136" s="5">
        <f>IF($BI136&lt;&gt;"",IF('Capacity summary'!$C$14="Yes",IF(COUNTBLANK('Capacity summary'!$H48:$BG48)&lt;52,IF('Capacity summary'!V48&lt;&gt;"",IF(LOWER('Capacity summary'!V48)="x",$BI136*V136,VALUE('Capacity summary'!V48)),0),V136*$BI136),V136*$BI136),0)</f>
        <v>0</v>
      </c>
      <c r="BZ136" s="5">
        <f>IF($BI136&lt;&gt;"",IF('Capacity summary'!$C$14="Yes",IF(COUNTBLANK('Capacity summary'!$H48:$BG48)&lt;52,IF('Capacity summary'!W48&lt;&gt;"",IF(LOWER('Capacity summary'!W48)="x",$BI136*W136,VALUE('Capacity summary'!W48)),0),W136*$BI136),W136*$BI136),0)</f>
        <v>0</v>
      </c>
      <c r="CA136" s="5">
        <f>IF($BI136&lt;&gt;"",IF('Capacity summary'!$C$14="Yes",IF(COUNTBLANK('Capacity summary'!$H48:$BG48)&lt;52,IF('Capacity summary'!X48&lt;&gt;"",IF(LOWER('Capacity summary'!X48)="x",$BI136*X136,VALUE('Capacity summary'!X48)),0),X136*$BI136),X136*$BI136),0)</f>
        <v>0</v>
      </c>
      <c r="CB136" s="5">
        <f>IF($BI136&lt;&gt;"",IF('Capacity summary'!$C$14="Yes",IF(COUNTBLANK('Capacity summary'!$H48:$BG48)&lt;52,IF('Capacity summary'!Y48&lt;&gt;"",IF(LOWER('Capacity summary'!Y48)="x",$BI136*Y136,VALUE('Capacity summary'!Y48)),0),Y136*$BI136),Y136*$BI136),0)</f>
        <v>0</v>
      </c>
      <c r="CC136" s="5">
        <f>IF($BI136&lt;&gt;"",IF('Capacity summary'!$C$14="Yes",IF(COUNTBLANK('Capacity summary'!$H48:$BG48)&lt;52,IF('Capacity summary'!Z48&lt;&gt;"",IF(LOWER('Capacity summary'!Z48)="x",$BI136*Z136,VALUE('Capacity summary'!Z48)),0),Z136*$BI136),Z136*$BI136),0)</f>
        <v>0</v>
      </c>
      <c r="CD136" s="5">
        <f>IF($BI136&lt;&gt;"",IF('Capacity summary'!$C$14="Yes",IF(COUNTBLANK('Capacity summary'!$H48:$BG48)&lt;52,IF('Capacity summary'!AA48&lt;&gt;"",IF(LOWER('Capacity summary'!AA48)="x",$BI136*AA136,VALUE('Capacity summary'!AA48)),0),AA136*$BI136),AA136*$BI136),0)</f>
        <v>0</v>
      </c>
      <c r="CE136" s="5">
        <f>IF($BI136&lt;&gt;"",IF('Capacity summary'!$C$14="Yes",IF(COUNTBLANK('Capacity summary'!$H48:$BG48)&lt;52,IF('Capacity summary'!AB48&lt;&gt;"",IF(LOWER('Capacity summary'!AB48)="x",$BI136*AB136,VALUE('Capacity summary'!AB48)),0),AB136*$BI136),AB136*$BI136),0)</f>
        <v>0</v>
      </c>
      <c r="CF136" s="5">
        <f>IF($BI136&lt;&gt;"",IF('Capacity summary'!$C$14="Yes",IF(COUNTBLANK('Capacity summary'!$H48:$BG48)&lt;52,IF('Capacity summary'!AC48&lt;&gt;"",IF(LOWER('Capacity summary'!AC48)="x",$BI136*AC136,VALUE('Capacity summary'!AC48)),0),AC136*$BI136),AC136*$BI136),0)</f>
        <v>0</v>
      </c>
      <c r="CG136" s="5">
        <f>IF($BI136&lt;&gt;"",IF('Capacity summary'!$C$14="Yes",IF(COUNTBLANK('Capacity summary'!$H48:$BG48)&lt;52,IF('Capacity summary'!AD48&lt;&gt;"",IF(LOWER('Capacity summary'!AD48)="x",$BI136*AD136,VALUE('Capacity summary'!AD48)),0),AD136*$BI136),AD136*$BI136),0)</f>
        <v>0</v>
      </c>
      <c r="CH136" s="5">
        <f>IF($BI136&lt;&gt;"",IF('Capacity summary'!$C$14="Yes",IF(COUNTBLANK('Capacity summary'!$H48:$BG48)&lt;52,IF('Capacity summary'!AE48&lt;&gt;"",IF(LOWER('Capacity summary'!AE48)="x",$BI136*AE136,VALUE('Capacity summary'!AE48)),0),AE136*$BI136),AE136*$BI136),0)</f>
        <v>0</v>
      </c>
      <c r="CI136" s="5">
        <f>IF($BI136&lt;&gt;"",IF('Capacity summary'!$C$14="Yes",IF(COUNTBLANK('Capacity summary'!$H48:$BG48)&lt;52,IF('Capacity summary'!AF48&lt;&gt;"",IF(LOWER('Capacity summary'!AF48)="x",$BI136*AF136,VALUE('Capacity summary'!AF48)),0),AF136*$BI136),AF136*$BI136),0)</f>
        <v>0</v>
      </c>
      <c r="CJ136" s="5">
        <f>IF($BI136&lt;&gt;"",IF('Capacity summary'!$C$14="Yes",IF(COUNTBLANK('Capacity summary'!$H48:$BG48)&lt;52,IF('Capacity summary'!AG48&lt;&gt;"",IF(LOWER('Capacity summary'!AG48)="x",$BI136*AG136,VALUE('Capacity summary'!AG48)),0),AG136*$BI136),AG136*$BI136),0)</f>
        <v>0</v>
      </c>
      <c r="CK136" s="5">
        <f>IF($BI136&lt;&gt;"",IF('Capacity summary'!$C$14="Yes",IF(COUNTBLANK('Capacity summary'!$H48:$BG48)&lt;52,IF('Capacity summary'!AH48&lt;&gt;"",IF(LOWER('Capacity summary'!AH48)="x",$BI136*AH136,VALUE('Capacity summary'!AH48)),0),AH136*$BI136),AH136*$BI136),0)</f>
        <v>0</v>
      </c>
      <c r="CL136" s="5">
        <f>IF($BI136&lt;&gt;"",IF('Capacity summary'!$C$14="Yes",IF(COUNTBLANK('Capacity summary'!$H48:$BG48)&lt;52,IF('Capacity summary'!AI48&lt;&gt;"",IF(LOWER('Capacity summary'!AI48)="x",$BI136*AI136,VALUE('Capacity summary'!AI48)),0),AI136*$BI136),AI136*$BI136),0)</f>
        <v>0</v>
      </c>
      <c r="CM136" s="5">
        <f>IF($BI136&lt;&gt;"",IF('Capacity summary'!$C$14="Yes",IF(COUNTBLANK('Capacity summary'!$H48:$BG48)&lt;52,IF('Capacity summary'!AJ48&lt;&gt;"",IF(LOWER('Capacity summary'!AJ48)="x",$BI136*AJ136,VALUE('Capacity summary'!AJ48)),0),AJ136*$BI136),AJ136*$BI136),0)</f>
        <v>0</v>
      </c>
      <c r="CN136" s="5">
        <f>IF($BI136&lt;&gt;"",IF('Capacity summary'!$C$14="Yes",IF(COUNTBLANK('Capacity summary'!$H48:$BG48)&lt;52,IF('Capacity summary'!AK48&lt;&gt;"",IF(LOWER('Capacity summary'!AK48)="x",$BI136*AK136,VALUE('Capacity summary'!AK48)),0),AK136*$BI136),AK136*$BI136),0)</f>
        <v>0</v>
      </c>
      <c r="CO136" s="5">
        <f>IF($BI136&lt;&gt;"",IF('Capacity summary'!$C$14="Yes",IF(COUNTBLANK('Capacity summary'!$H48:$BG48)&lt;52,IF('Capacity summary'!AL48&lt;&gt;"",IF(LOWER('Capacity summary'!AL48)="x",$BI136*AL136,VALUE('Capacity summary'!AL48)),0),AL136*$BI136),AL136*$BI136),0)</f>
        <v>0</v>
      </c>
      <c r="CP136" s="5">
        <f>IF($BI136&lt;&gt;"",IF('Capacity summary'!$C$14="Yes",IF(COUNTBLANK('Capacity summary'!$H48:$BG48)&lt;52,IF('Capacity summary'!AM48&lt;&gt;"",IF(LOWER('Capacity summary'!AM48)="x",$BI136*AM136,VALUE('Capacity summary'!AM48)),0),AM136*$BI136),AM136*$BI136),0)</f>
        <v>0</v>
      </c>
      <c r="CQ136" s="5">
        <f>IF($BI136&lt;&gt;"",IF('Capacity summary'!$C$14="Yes",IF(COUNTBLANK('Capacity summary'!$H48:$BG48)&lt;52,IF('Capacity summary'!AN48&lt;&gt;"",IF(LOWER('Capacity summary'!AN48)="x",$BI136*AN136,VALUE('Capacity summary'!AN48)),0),AN136*$BI136),AN136*$BI136),0)</f>
        <v>0</v>
      </c>
      <c r="CR136" s="5">
        <f>IF($BI136&lt;&gt;"",IF('Capacity summary'!$C$14="Yes",IF(COUNTBLANK('Capacity summary'!$H48:$BG48)&lt;52,IF('Capacity summary'!AO48&lt;&gt;"",IF(LOWER('Capacity summary'!AO48)="x",$BI136*AO136,VALUE('Capacity summary'!AO48)),0),AO136*$BI136),AO136*$BI136),0)</f>
        <v>0</v>
      </c>
      <c r="CS136" s="5">
        <f>IF($BI136&lt;&gt;"",IF('Capacity summary'!$C$14="Yes",IF(COUNTBLANK('Capacity summary'!$H48:$BG48)&lt;52,IF('Capacity summary'!AP48&lt;&gt;"",IF(LOWER('Capacity summary'!AP48)="x",$BI136*AP136,VALUE('Capacity summary'!AP48)),0),AP136*$BI136),AP136*$BI136),0)</f>
        <v>0</v>
      </c>
      <c r="CT136" s="5">
        <f>IF($BI136&lt;&gt;"",IF('Capacity summary'!$C$14="Yes",IF(COUNTBLANK('Capacity summary'!$H48:$BG48)&lt;52,IF('Capacity summary'!AQ48&lt;&gt;"",IF(LOWER('Capacity summary'!AQ48)="x",$BI136*AQ136,VALUE('Capacity summary'!AQ48)),0),AQ136*$BI136),AQ136*$BI136),0)</f>
        <v>0</v>
      </c>
      <c r="CU136" s="5">
        <f>IF($BI136&lt;&gt;"",IF('Capacity summary'!$C$14="Yes",IF(COUNTBLANK('Capacity summary'!$H48:$BG48)&lt;52,IF('Capacity summary'!AR48&lt;&gt;"",IF(LOWER('Capacity summary'!AR48)="x",$BI136*AR136,VALUE('Capacity summary'!AR48)),0),AR136*$BI136),AR136*$BI136),0)</f>
        <v>0</v>
      </c>
      <c r="CV136" s="5">
        <f>IF($BI136&lt;&gt;"",IF('Capacity summary'!$C$14="Yes",IF(COUNTBLANK('Capacity summary'!$H48:$BG48)&lt;52,IF('Capacity summary'!AS48&lt;&gt;"",IF(LOWER('Capacity summary'!AS48)="x",$BI136*AS136,VALUE('Capacity summary'!AS48)),0),AS136*$BI136),AS136*$BI136),0)</f>
        <v>0</v>
      </c>
      <c r="CW136" s="5">
        <f>IF($BI136&lt;&gt;"",IF('Capacity summary'!$C$14="Yes",IF(COUNTBLANK('Capacity summary'!$H48:$BG48)&lt;52,IF('Capacity summary'!AT48&lt;&gt;"",IF(LOWER('Capacity summary'!AT48)="x",$BI136*AT136,VALUE('Capacity summary'!AT48)),0),AT136*$BI136),AT136*$BI136),0)</f>
        <v>0</v>
      </c>
      <c r="CX136" s="5">
        <f>IF($BI136&lt;&gt;"",IF('Capacity summary'!$C$14="Yes",IF(COUNTBLANK('Capacity summary'!$H48:$BG48)&lt;52,IF('Capacity summary'!AU48&lt;&gt;"",IF(LOWER('Capacity summary'!AU48)="x",$BI136*AU136,VALUE('Capacity summary'!AU48)),0),AU136*$BI136),AU136*$BI136),0)</f>
        <v>0</v>
      </c>
      <c r="CY136" s="5">
        <f>IF($BI136&lt;&gt;"",IF('Capacity summary'!$C$14="Yes",IF(COUNTBLANK('Capacity summary'!$H48:$BG48)&lt;52,IF('Capacity summary'!AV48&lt;&gt;"",IF(LOWER('Capacity summary'!AV48)="x",$BI136*AV136,VALUE('Capacity summary'!AV48)),0),AV136*$BI136),AV136*$BI136),0)</f>
        <v>0</v>
      </c>
      <c r="CZ136" s="5">
        <f>IF($BI136&lt;&gt;"",IF('Capacity summary'!$C$14="Yes",IF(COUNTBLANK('Capacity summary'!$H48:$BG48)&lt;52,IF('Capacity summary'!AW48&lt;&gt;"",IF(LOWER('Capacity summary'!AW48)="x",$BI136*AW136,VALUE('Capacity summary'!AW48)),0),AW136*$BI136),AW136*$BI136),0)</f>
        <v>0</v>
      </c>
      <c r="DA136" s="5">
        <f>IF($BI136&lt;&gt;"",IF('Capacity summary'!$C$14="Yes",IF(COUNTBLANK('Capacity summary'!$H48:$BG48)&lt;52,IF('Capacity summary'!AX48&lt;&gt;"",IF(LOWER('Capacity summary'!AX48)="x",$BI136*AX136,VALUE('Capacity summary'!AX48)),0),AX136*$BI136),AX136*$BI136),0)</f>
        <v>0</v>
      </c>
      <c r="DB136" s="5">
        <f>IF($BI136&lt;&gt;"",IF('Capacity summary'!$C$14="Yes",IF(COUNTBLANK('Capacity summary'!$H48:$BG48)&lt;52,IF('Capacity summary'!AY48&lt;&gt;"",IF(LOWER('Capacity summary'!AY48)="x",$BI136*AY136,VALUE('Capacity summary'!AY48)),0),AY136*$BI136),AY136*$BI136),0)</f>
        <v>0</v>
      </c>
      <c r="DC136" s="5">
        <f>IF($BI136&lt;&gt;"",IF('Capacity summary'!$C$14="Yes",IF(COUNTBLANK('Capacity summary'!$H48:$BG48)&lt;52,IF('Capacity summary'!AZ48&lt;&gt;"",IF(LOWER('Capacity summary'!AZ48)="x",$BI136*AZ136,VALUE('Capacity summary'!AZ48)),0),AZ136*$BI136),AZ136*$BI136),0)</f>
        <v>0</v>
      </c>
      <c r="DD136" s="5">
        <f>IF($BI136&lt;&gt;"",IF('Capacity summary'!$C$14="Yes",IF(COUNTBLANK('Capacity summary'!$H48:$BG48)&lt;52,IF('Capacity summary'!BA48&lt;&gt;"",IF(LOWER('Capacity summary'!BA48)="x",$BI136*BA136,VALUE('Capacity summary'!BA48)),0),BA136*$BI136),BA136*$BI136),0)</f>
        <v>0</v>
      </c>
      <c r="DE136" s="5">
        <f>IF($BI136&lt;&gt;"",IF('Capacity summary'!$C$14="Yes",IF(COUNTBLANK('Capacity summary'!$H48:$BG48)&lt;52,IF('Capacity summary'!BB48&lt;&gt;"",IF(LOWER('Capacity summary'!BB48)="x",$BI136*BB136,VALUE('Capacity summary'!BB48)),0),BB136*$BI136),BB136*$BI136),0)</f>
        <v>0</v>
      </c>
      <c r="DF136" s="5">
        <f>IF($BI136&lt;&gt;"",IF('Capacity summary'!$C$14="Yes",IF(COUNTBLANK('Capacity summary'!$H48:$BG48)&lt;52,IF('Capacity summary'!BC48&lt;&gt;"",IF(LOWER('Capacity summary'!BC48)="x",$BI136*BC136,VALUE('Capacity summary'!BC48)),0),BC136*$BI136),BC136*$BI136),0)</f>
        <v>0</v>
      </c>
      <c r="DG136" s="5">
        <f>IF($BI136&lt;&gt;"",IF('Capacity summary'!$C$14="Yes",IF(COUNTBLANK('Capacity summary'!$H48:$BG48)&lt;52,IF('Capacity summary'!BD48&lt;&gt;"",IF(LOWER('Capacity summary'!BD48)="x",$BI136*BD136,VALUE('Capacity summary'!BD48)),0),BD136*$BI136),BD136*$BI136),0)</f>
        <v>0</v>
      </c>
      <c r="DH136" s="5">
        <f>IF($BI136&lt;&gt;"",IF('Capacity summary'!$C$14="Yes",IF(COUNTBLANK('Capacity summary'!$H48:$BG48)&lt;52,IF('Capacity summary'!BE48&lt;&gt;"",IF(LOWER('Capacity summary'!BE48)="x",$BI136*BE136,VALUE('Capacity summary'!BE48)),0),BE136*$BI136),BE136*$BI136),0)</f>
        <v>0</v>
      </c>
      <c r="DI136" s="5">
        <f>IF($BI136&lt;&gt;"",IF('Capacity summary'!$C$14="Yes",IF(COUNTBLANK('Capacity summary'!$H48:$BG48)&lt;52,IF('Capacity summary'!BF48&lt;&gt;"",IF(LOWER('Capacity summary'!BF48)="x",$BI136*BF136,VALUE('Capacity summary'!BF48)),0),BF136*$BI136),BF136*$BI136),0)</f>
        <v>0</v>
      </c>
      <c r="DJ136" s="5">
        <f>IF($BI136&lt;&gt;"",IF('Capacity summary'!$C$14="Yes",IF(COUNTBLANK('Capacity summary'!$H48:$BG48)&lt;52,IF('Capacity summary'!BG48&lt;&gt;"",IF(LOWER('Capacity summary'!BG48)="x",$BI136*BG136,VALUE('Capacity summary'!BG48)),0),BG136*$BI136),BG136*$BI136),0)</f>
        <v>0</v>
      </c>
      <c r="DK136" s="5">
        <f t="shared" ref="DK136" si="30">SUM(DK137:DK236)</f>
        <v>0</v>
      </c>
    </row>
    <row r="137" spans="3:115" x14ac:dyDescent="0.25">
      <c r="C137" s="67" t="str">
        <f>ROW(A26)&amp;". "&amp;Capacity!N42</f>
        <v xml:space="preserve">26. </v>
      </c>
      <c r="D137" s="67">
        <f>'Capacity setup'!C143</f>
        <v>0</v>
      </c>
      <c r="E137" s="67">
        <f>'Capacity setup'!D143</f>
        <v>0</v>
      </c>
      <c r="F137" s="67">
        <f>'Capacity setup'!E143</f>
        <v>0</v>
      </c>
      <c r="H137" s="67">
        <f ca="1">IF(AND(SUMIF(Capacity_Resource,$D137,'Critical resources (hide)'!U$6:U$105)+SUMIF(Capacity_Resource,$E137,'Critical resources (hide)'!U$6:U$105)+SUMIF(Capacity_Resource,$F137,'Critical resources (hide)'!U$6:U$105)&gt;0,$E$1=2),0,1)</f>
        <v>1</v>
      </c>
      <c r="I137" s="67">
        <f ca="1">IF(AND(SUMIF(Capacity_Resource,$D137,'Critical resources (hide)'!V$6:V$105)+SUMIF(Capacity_Resource,$E137,'Critical resources (hide)'!V$6:V$105)+SUMIF(Capacity_Resource,$F137,'Critical resources (hide)'!V$6:V$105)&gt;0,$E$1=2),0,1)</f>
        <v>1</v>
      </c>
      <c r="J137" s="67">
        <f ca="1">IF(AND(SUMIF(Capacity_Resource,$D137,'Critical resources (hide)'!W$6:W$105)+SUMIF(Capacity_Resource,$E137,'Critical resources (hide)'!W$6:W$105)+SUMIF(Capacity_Resource,$F137,'Critical resources (hide)'!W$6:W$105)&gt;0,$E$1=2),0,1)</f>
        <v>1</v>
      </c>
      <c r="K137" s="67">
        <f ca="1">IF(AND(SUMIF(Capacity_Resource,$D137,'Critical resources (hide)'!X$6:X$105)+SUMIF(Capacity_Resource,$E137,'Critical resources (hide)'!X$6:X$105)+SUMIF(Capacity_Resource,$F137,'Critical resources (hide)'!X$6:X$105)&gt;0,$E$1=2),0,1)</f>
        <v>1</v>
      </c>
      <c r="L137" s="67">
        <f ca="1">IF(AND(SUMIF(Capacity_Resource,$D137,'Critical resources (hide)'!Y$6:Y$105)+SUMIF(Capacity_Resource,$E137,'Critical resources (hide)'!Y$6:Y$105)+SUMIF(Capacity_Resource,$F137,'Critical resources (hide)'!Y$6:Y$105)&gt;0,$E$1=2),0,1)</f>
        <v>1</v>
      </c>
      <c r="M137" s="67">
        <f ca="1">IF(AND(SUMIF(Capacity_Resource,$D137,'Critical resources (hide)'!Z$6:Z$105)+SUMIF(Capacity_Resource,$E137,'Critical resources (hide)'!Z$6:Z$105)+SUMIF(Capacity_Resource,$F137,'Critical resources (hide)'!Z$6:Z$105)&gt;0,$E$1=2),0,1)</f>
        <v>1</v>
      </c>
      <c r="N137" s="67">
        <f ca="1">IF(AND(SUMIF(Capacity_Resource,$D137,'Critical resources (hide)'!AA$6:AA$105)+SUMIF(Capacity_Resource,$E137,'Critical resources (hide)'!AA$6:AA$105)+SUMIF(Capacity_Resource,$F137,'Critical resources (hide)'!AA$6:AA$105)&gt;0,$E$1=2),0,1)</f>
        <v>1</v>
      </c>
      <c r="O137" s="67">
        <f ca="1">IF(AND(SUMIF(Capacity_Resource,$D137,'Critical resources (hide)'!AB$6:AB$105)+SUMIF(Capacity_Resource,$E137,'Critical resources (hide)'!AB$6:AB$105)+SUMIF(Capacity_Resource,$F137,'Critical resources (hide)'!AB$6:AB$105)&gt;0,$E$1=2),0,1)</f>
        <v>1</v>
      </c>
      <c r="P137" s="67">
        <f ca="1">IF(AND(SUMIF(Capacity_Resource,$D137,'Critical resources (hide)'!AC$6:AC$105)+SUMIF(Capacity_Resource,$E137,'Critical resources (hide)'!AC$6:AC$105)+SUMIF(Capacity_Resource,$F137,'Critical resources (hide)'!AC$6:AC$105)&gt;0,$E$1=2),0,1)</f>
        <v>1</v>
      </c>
      <c r="Q137" s="67">
        <f ca="1">IF(AND(SUMIF(Capacity_Resource,$D137,'Critical resources (hide)'!AD$6:AD$105)+SUMIF(Capacity_Resource,$E137,'Critical resources (hide)'!AD$6:AD$105)+SUMIF(Capacity_Resource,$F137,'Critical resources (hide)'!AD$6:AD$105)&gt;0,$E$1=2),0,1)</f>
        <v>1</v>
      </c>
      <c r="R137" s="67">
        <f ca="1">IF(AND(SUMIF(Capacity_Resource,$D137,'Critical resources (hide)'!AE$6:AE$105)+SUMIF(Capacity_Resource,$E137,'Critical resources (hide)'!AE$6:AE$105)+SUMIF(Capacity_Resource,$F137,'Critical resources (hide)'!AE$6:AE$105)&gt;0,$E$1=2),0,1)</f>
        <v>1</v>
      </c>
      <c r="S137" s="67">
        <f ca="1">IF(AND(SUMIF(Capacity_Resource,$D137,'Critical resources (hide)'!AF$6:AF$105)+SUMIF(Capacity_Resource,$E137,'Critical resources (hide)'!AF$6:AF$105)+SUMIF(Capacity_Resource,$F137,'Critical resources (hide)'!AF$6:AF$105)&gt;0,$E$1=2),0,1)</f>
        <v>1</v>
      </c>
      <c r="T137" s="67">
        <f ca="1">IF(AND(SUMIF(Capacity_Resource,$D137,'Critical resources (hide)'!AG$6:AG$105)+SUMIF(Capacity_Resource,$E137,'Critical resources (hide)'!AG$6:AG$105)+SUMIF(Capacity_Resource,$F137,'Critical resources (hide)'!AG$6:AG$105)&gt;0,$E$1=2),0,1)</f>
        <v>1</v>
      </c>
      <c r="U137" s="67">
        <f ca="1">IF(AND(SUMIF(Capacity_Resource,$D137,'Critical resources (hide)'!AH$6:AH$105)+SUMIF(Capacity_Resource,$E137,'Critical resources (hide)'!AH$6:AH$105)+SUMIF(Capacity_Resource,$F137,'Critical resources (hide)'!AH$6:AH$105)&gt;0,$E$1=2),0,1)</f>
        <v>1</v>
      </c>
      <c r="V137" s="67">
        <f ca="1">IF(AND(SUMIF(Capacity_Resource,$D137,'Critical resources (hide)'!AI$6:AI$105)+SUMIF(Capacity_Resource,$E137,'Critical resources (hide)'!AI$6:AI$105)+SUMIF(Capacity_Resource,$F137,'Critical resources (hide)'!AI$6:AI$105)&gt;0,$E$1=2),0,1)</f>
        <v>1</v>
      </c>
      <c r="W137" s="67">
        <f ca="1">IF(AND(SUMIF(Capacity_Resource,$D137,'Critical resources (hide)'!AJ$6:AJ$105)+SUMIF(Capacity_Resource,$E137,'Critical resources (hide)'!AJ$6:AJ$105)+SUMIF(Capacity_Resource,$F137,'Critical resources (hide)'!AJ$6:AJ$105)&gt;0,$E$1=2),0,1)</f>
        <v>1</v>
      </c>
      <c r="X137" s="67">
        <f ca="1">IF(AND(SUMIF(Capacity_Resource,$D137,'Critical resources (hide)'!AK$6:AK$105)+SUMIF(Capacity_Resource,$E137,'Critical resources (hide)'!AK$6:AK$105)+SUMIF(Capacity_Resource,$F137,'Critical resources (hide)'!AK$6:AK$105)&gt;0,$E$1=2),0,1)</f>
        <v>1</v>
      </c>
      <c r="Y137" s="67">
        <f ca="1">IF(AND(SUMIF(Capacity_Resource,$D137,'Critical resources (hide)'!AL$6:AL$105)+SUMIF(Capacity_Resource,$E137,'Critical resources (hide)'!AL$6:AL$105)+SUMIF(Capacity_Resource,$F137,'Critical resources (hide)'!AL$6:AL$105)&gt;0,$E$1=2),0,1)</f>
        <v>1</v>
      </c>
      <c r="Z137" s="67">
        <f ca="1">IF(AND(SUMIF(Capacity_Resource,$D137,'Critical resources (hide)'!AM$6:AM$105)+SUMIF(Capacity_Resource,$E137,'Critical resources (hide)'!AM$6:AM$105)+SUMIF(Capacity_Resource,$F137,'Critical resources (hide)'!AM$6:AM$105)&gt;0,$E$1=2),0,1)</f>
        <v>1</v>
      </c>
      <c r="AA137" s="67">
        <f ca="1">IF(AND(SUMIF(Capacity_Resource,$D137,'Critical resources (hide)'!AN$6:AN$105)+SUMIF(Capacity_Resource,$E137,'Critical resources (hide)'!AN$6:AN$105)+SUMIF(Capacity_Resource,$F137,'Critical resources (hide)'!AN$6:AN$105)&gt;0,$E$1=2),0,1)</f>
        <v>1</v>
      </c>
      <c r="AB137" s="67">
        <f ca="1">IF(AND(SUMIF(Capacity_Resource,$D137,'Critical resources (hide)'!AO$6:AO$105)+SUMIF(Capacity_Resource,$E137,'Critical resources (hide)'!AO$6:AO$105)+SUMIF(Capacity_Resource,$F137,'Critical resources (hide)'!AO$6:AO$105)&gt;0,$E$1=2),0,1)</f>
        <v>1</v>
      </c>
      <c r="AC137" s="67">
        <f ca="1">IF(AND(SUMIF(Capacity_Resource,$D137,'Critical resources (hide)'!AP$6:AP$105)+SUMIF(Capacity_Resource,$E137,'Critical resources (hide)'!AP$6:AP$105)+SUMIF(Capacity_Resource,$F137,'Critical resources (hide)'!AP$6:AP$105)&gt;0,$E$1=2),0,1)</f>
        <v>1</v>
      </c>
      <c r="AD137" s="67">
        <f ca="1">IF(AND(SUMIF(Capacity_Resource,$D137,'Critical resources (hide)'!AQ$6:AQ$105)+SUMIF(Capacity_Resource,$E137,'Critical resources (hide)'!AQ$6:AQ$105)+SUMIF(Capacity_Resource,$F137,'Critical resources (hide)'!AQ$6:AQ$105)&gt;0,$E$1=2),0,1)</f>
        <v>1</v>
      </c>
      <c r="AE137" s="67">
        <f ca="1">IF(AND(SUMIF(Capacity_Resource,$D137,'Critical resources (hide)'!AR$6:AR$105)+SUMIF(Capacity_Resource,$E137,'Critical resources (hide)'!AR$6:AR$105)+SUMIF(Capacity_Resource,$F137,'Critical resources (hide)'!AR$6:AR$105)&gt;0,$E$1=2),0,1)</f>
        <v>1</v>
      </c>
      <c r="AF137" s="67">
        <f ca="1">IF(AND(SUMIF(Capacity_Resource,$D137,'Critical resources (hide)'!AS$6:AS$105)+SUMIF(Capacity_Resource,$E137,'Critical resources (hide)'!AS$6:AS$105)+SUMIF(Capacity_Resource,$F137,'Critical resources (hide)'!AS$6:AS$105)&gt;0,$E$1=2),0,1)</f>
        <v>1</v>
      </c>
      <c r="AG137" s="67">
        <f ca="1">IF(AND(SUMIF(Capacity_Resource,$D137,'Critical resources (hide)'!AT$6:AT$105)+SUMIF(Capacity_Resource,$E137,'Critical resources (hide)'!AT$6:AT$105)+SUMIF(Capacity_Resource,$F137,'Critical resources (hide)'!AT$6:AT$105)&gt;0,$E$1=2),0,1)</f>
        <v>1</v>
      </c>
      <c r="AH137" s="67">
        <f ca="1">IF(AND(SUMIF(Capacity_Resource,$D137,'Critical resources (hide)'!AU$6:AU$105)+SUMIF(Capacity_Resource,$E137,'Critical resources (hide)'!AU$6:AU$105)+SUMIF(Capacity_Resource,$F137,'Critical resources (hide)'!AU$6:AU$105)&gt;0,$E$1=2),0,1)</f>
        <v>1</v>
      </c>
      <c r="AI137" s="67">
        <f ca="1">IF(AND(SUMIF(Capacity_Resource,$D137,'Critical resources (hide)'!AV$6:AV$105)+SUMIF(Capacity_Resource,$E137,'Critical resources (hide)'!AV$6:AV$105)+SUMIF(Capacity_Resource,$F137,'Critical resources (hide)'!AV$6:AV$105)&gt;0,$E$1=2),0,1)</f>
        <v>1</v>
      </c>
      <c r="AJ137" s="67">
        <f ca="1">IF(AND(SUMIF(Capacity_Resource,$D137,'Critical resources (hide)'!AW$6:AW$105)+SUMIF(Capacity_Resource,$E137,'Critical resources (hide)'!AW$6:AW$105)+SUMIF(Capacity_Resource,$F137,'Critical resources (hide)'!AW$6:AW$105)&gt;0,$E$1=2),0,1)</f>
        <v>1</v>
      </c>
      <c r="AK137" s="67">
        <f ca="1">IF(AND(SUMIF(Capacity_Resource,$D137,'Critical resources (hide)'!AX$6:AX$105)+SUMIF(Capacity_Resource,$E137,'Critical resources (hide)'!AX$6:AX$105)+SUMIF(Capacity_Resource,$F137,'Critical resources (hide)'!AX$6:AX$105)&gt;0,$E$1=2),0,1)</f>
        <v>1</v>
      </c>
      <c r="AL137" s="67">
        <f ca="1">IF(AND(SUMIF(Capacity_Resource,$D137,'Critical resources (hide)'!AY$6:AY$105)+SUMIF(Capacity_Resource,$E137,'Critical resources (hide)'!AY$6:AY$105)+SUMIF(Capacity_Resource,$F137,'Critical resources (hide)'!AY$6:AY$105)&gt;0,$E$1=2),0,1)</f>
        <v>1</v>
      </c>
      <c r="AM137" s="67">
        <f ca="1">IF(AND(SUMIF(Capacity_Resource,$D137,'Critical resources (hide)'!AZ$6:AZ$105)+SUMIF(Capacity_Resource,$E137,'Critical resources (hide)'!AZ$6:AZ$105)+SUMIF(Capacity_Resource,$F137,'Critical resources (hide)'!AZ$6:AZ$105)&gt;0,$E$1=2),0,1)</f>
        <v>1</v>
      </c>
      <c r="AN137" s="67">
        <f ca="1">IF(AND(SUMIF(Capacity_Resource,$D137,'Critical resources (hide)'!BA$6:BA$105)+SUMIF(Capacity_Resource,$E137,'Critical resources (hide)'!BA$6:BA$105)+SUMIF(Capacity_Resource,$F137,'Critical resources (hide)'!BA$6:BA$105)&gt;0,$E$1=2),0,1)</f>
        <v>1</v>
      </c>
      <c r="AO137" s="67">
        <f ca="1">IF(AND(SUMIF(Capacity_Resource,$D137,'Critical resources (hide)'!BB$6:BB$105)+SUMIF(Capacity_Resource,$E137,'Critical resources (hide)'!BB$6:BB$105)+SUMIF(Capacity_Resource,$F137,'Critical resources (hide)'!BB$6:BB$105)&gt;0,$E$1=2),0,1)</f>
        <v>1</v>
      </c>
      <c r="AP137" s="67">
        <f ca="1">IF(AND(SUMIF(Capacity_Resource,$D137,'Critical resources (hide)'!BC$6:BC$105)+SUMIF(Capacity_Resource,$E137,'Critical resources (hide)'!BC$6:BC$105)+SUMIF(Capacity_Resource,$F137,'Critical resources (hide)'!BC$6:BC$105)&gt;0,$E$1=2),0,1)</f>
        <v>1</v>
      </c>
      <c r="AQ137" s="67">
        <f ca="1">IF(AND(SUMIF(Capacity_Resource,$D137,'Critical resources (hide)'!BD$6:BD$105)+SUMIF(Capacity_Resource,$E137,'Critical resources (hide)'!BD$6:BD$105)+SUMIF(Capacity_Resource,$F137,'Critical resources (hide)'!BD$6:BD$105)&gt;0,$E$1=2),0,1)</f>
        <v>1</v>
      </c>
      <c r="AR137" s="67">
        <f ca="1">IF(AND(SUMIF(Capacity_Resource,$D137,'Critical resources (hide)'!BE$6:BE$105)+SUMIF(Capacity_Resource,$E137,'Critical resources (hide)'!BE$6:BE$105)+SUMIF(Capacity_Resource,$F137,'Critical resources (hide)'!BE$6:BE$105)&gt;0,$E$1=2),0,1)</f>
        <v>1</v>
      </c>
      <c r="AS137" s="67">
        <f ca="1">IF(AND(SUMIF(Capacity_Resource,$D137,'Critical resources (hide)'!BF$6:BF$105)+SUMIF(Capacity_Resource,$E137,'Critical resources (hide)'!BF$6:BF$105)+SUMIF(Capacity_Resource,$F137,'Critical resources (hide)'!BF$6:BF$105)&gt;0,$E$1=2),0,1)</f>
        <v>1</v>
      </c>
      <c r="AT137" s="67">
        <f ca="1">IF(AND(SUMIF(Capacity_Resource,$D137,'Critical resources (hide)'!BG$6:BG$105)+SUMIF(Capacity_Resource,$E137,'Critical resources (hide)'!BG$6:BG$105)+SUMIF(Capacity_Resource,$F137,'Critical resources (hide)'!BG$6:BG$105)&gt;0,$E$1=2),0,1)</f>
        <v>1</v>
      </c>
      <c r="AU137" s="67">
        <f ca="1">IF(AND(SUMIF(Capacity_Resource,$D137,'Critical resources (hide)'!BH$6:BH$105)+SUMIF(Capacity_Resource,$E137,'Critical resources (hide)'!BH$6:BH$105)+SUMIF(Capacity_Resource,$F137,'Critical resources (hide)'!BH$6:BH$105)&gt;0,$E$1=2),0,1)</f>
        <v>1</v>
      </c>
      <c r="AV137" s="67">
        <f ca="1">IF(AND(SUMIF(Capacity_Resource,$D137,'Critical resources (hide)'!BI$6:BI$105)+SUMIF(Capacity_Resource,$E137,'Critical resources (hide)'!BI$6:BI$105)+SUMIF(Capacity_Resource,$F137,'Critical resources (hide)'!BI$6:BI$105)&gt;0,$E$1=2),0,1)</f>
        <v>1</v>
      </c>
      <c r="AW137" s="67">
        <f ca="1">IF(AND(SUMIF(Capacity_Resource,$D137,'Critical resources (hide)'!BJ$6:BJ$105)+SUMIF(Capacity_Resource,$E137,'Critical resources (hide)'!BJ$6:BJ$105)+SUMIF(Capacity_Resource,$F137,'Critical resources (hide)'!BJ$6:BJ$105)&gt;0,$E$1=2),0,1)</f>
        <v>1</v>
      </c>
      <c r="AX137" s="67">
        <f ca="1">IF(AND(SUMIF(Capacity_Resource,$D137,'Critical resources (hide)'!BK$6:BK$105)+SUMIF(Capacity_Resource,$E137,'Critical resources (hide)'!BK$6:BK$105)+SUMIF(Capacity_Resource,$F137,'Critical resources (hide)'!BK$6:BK$105)&gt;0,$E$1=2),0,1)</f>
        <v>1</v>
      </c>
      <c r="AY137" s="67">
        <f ca="1">IF(AND(SUMIF(Capacity_Resource,$D137,'Critical resources (hide)'!BL$6:BL$105)+SUMIF(Capacity_Resource,$E137,'Critical resources (hide)'!BL$6:BL$105)+SUMIF(Capacity_Resource,$F137,'Critical resources (hide)'!BL$6:BL$105)&gt;0,$E$1=2),0,1)</f>
        <v>1</v>
      </c>
      <c r="AZ137" s="67">
        <f ca="1">IF(AND(SUMIF(Capacity_Resource,$D137,'Critical resources (hide)'!BM$6:BM$105)+SUMIF(Capacity_Resource,$E137,'Critical resources (hide)'!BM$6:BM$105)+SUMIF(Capacity_Resource,$F137,'Critical resources (hide)'!BM$6:BM$105)&gt;0,$E$1=2),0,1)</f>
        <v>1</v>
      </c>
      <c r="BA137" s="67">
        <f ca="1">IF(AND(SUMIF(Capacity_Resource,$D137,'Critical resources (hide)'!BN$6:BN$105)+SUMIF(Capacity_Resource,$E137,'Critical resources (hide)'!BN$6:BN$105)+SUMIF(Capacity_Resource,$F137,'Critical resources (hide)'!BN$6:BN$105)&gt;0,$E$1=2),0,1)</f>
        <v>1</v>
      </c>
      <c r="BB137" s="67">
        <f ca="1">IF(AND(SUMIF(Capacity_Resource,$D137,'Critical resources (hide)'!BO$6:BO$105)+SUMIF(Capacity_Resource,$E137,'Critical resources (hide)'!BO$6:BO$105)+SUMIF(Capacity_Resource,$F137,'Critical resources (hide)'!BO$6:BO$105)&gt;0,$E$1=2),0,1)</f>
        <v>1</v>
      </c>
      <c r="BC137" s="67">
        <f ca="1">IF(AND(SUMIF(Capacity_Resource,$D137,'Critical resources (hide)'!BP$6:BP$105)+SUMIF(Capacity_Resource,$E137,'Critical resources (hide)'!BP$6:BP$105)+SUMIF(Capacity_Resource,$F137,'Critical resources (hide)'!BP$6:BP$105)&gt;0,$E$1=2),0,1)</f>
        <v>1</v>
      </c>
      <c r="BD137" s="67">
        <f ca="1">IF(AND(SUMIF(Capacity_Resource,$D137,'Critical resources (hide)'!BQ$6:BQ$105)+SUMIF(Capacity_Resource,$E137,'Critical resources (hide)'!BQ$6:BQ$105)+SUMIF(Capacity_Resource,$F137,'Critical resources (hide)'!BQ$6:BQ$105)&gt;0,$E$1=2),0,1)</f>
        <v>1</v>
      </c>
      <c r="BE137" s="67">
        <f ca="1">IF(AND(SUMIF(Capacity_Resource,$D137,'Critical resources (hide)'!BR$6:BR$105)+SUMIF(Capacity_Resource,$E137,'Critical resources (hide)'!BR$6:BR$105)+SUMIF(Capacity_Resource,$F137,'Critical resources (hide)'!BR$6:BR$105)&gt;0,$E$1=2),0,1)</f>
        <v>1</v>
      </c>
      <c r="BF137" s="67">
        <f ca="1">IF(AND(SUMIF(Capacity_Resource,$D137,'Critical resources (hide)'!BS$6:BS$105)+SUMIF(Capacity_Resource,$E137,'Critical resources (hide)'!BS$6:BS$105)+SUMIF(Capacity_Resource,$F137,'Critical resources (hide)'!BS$6:BS$105)&gt;0,$E$1=2),0,1)</f>
        <v>1</v>
      </c>
      <c r="BG137" s="67">
        <f ca="1">IF(AND(SUMIF(Capacity_Resource,$D137,'Critical resources (hide)'!BT$6:BT$105)+SUMIF(Capacity_Resource,$E137,'Critical resources (hide)'!BT$6:BT$105)+SUMIF(Capacity_Resource,$F137,'Critical resources (hide)'!BT$6:BT$105)&gt;0,$E$1=2),0,1)</f>
        <v>1</v>
      </c>
      <c r="BH137" s="67">
        <f>IF(ROW(A26)&lt;=Capacity!$M$16,IF('Capacity summary'!$C$14="No",SUM(H137:BG137),'Capacity summary'!$E49),0)</f>
        <v>0</v>
      </c>
      <c r="BI137" s="67" t="str">
        <f>IF(BH137&gt;0,IF(BH137&lt;Capacity!Q42,Capacity!R42,Capacity!T42/'Capacity calculation (hide)'!BH137),"")</f>
        <v/>
      </c>
      <c r="BJ137" s="5"/>
      <c r="BK137" s="5">
        <f>IF($BI137&lt;&gt;"",IF('Capacity summary'!$C$14="Yes",IF(COUNTBLANK('Capacity summary'!$H49:$BG49)&lt;52,IF('Capacity summary'!H49&lt;&gt;"",IF(LOWER('Capacity summary'!H49)="x",$BI137*H137,VALUE('Capacity summary'!H49)),0),H137*$BI137),H137*$BI137),0)</f>
        <v>0</v>
      </c>
      <c r="BL137" s="5">
        <f>IF($BI137&lt;&gt;"",IF('Capacity summary'!$C$14="Yes",IF(COUNTBLANK('Capacity summary'!$H49:$BG49)&lt;52,IF('Capacity summary'!I49&lt;&gt;"",IF(LOWER('Capacity summary'!I49)="x",$BI137*I137,VALUE('Capacity summary'!I49)),0),I137*$BI137),I137*$BI137),0)</f>
        <v>0</v>
      </c>
      <c r="BM137" s="5">
        <f>IF($BI137&lt;&gt;"",IF('Capacity summary'!$C$14="Yes",IF(COUNTBLANK('Capacity summary'!$H49:$BG49)&lt;52,IF('Capacity summary'!J49&lt;&gt;"",IF(LOWER('Capacity summary'!J49)="x",$BI137*J137,VALUE('Capacity summary'!J49)),0),J137*$BI137),J137*$BI137),0)</f>
        <v>0</v>
      </c>
      <c r="BN137" s="5">
        <f>IF($BI137&lt;&gt;"",IF('Capacity summary'!$C$14="Yes",IF(COUNTBLANK('Capacity summary'!$H49:$BG49)&lt;52,IF('Capacity summary'!K49&lt;&gt;"",IF(LOWER('Capacity summary'!K49)="x",$BI137*K137,VALUE('Capacity summary'!K49)),0),K137*$BI137),K137*$BI137),0)</f>
        <v>0</v>
      </c>
      <c r="BO137" s="5">
        <f>IF($BI137&lt;&gt;"",IF('Capacity summary'!$C$14="Yes",IF(COUNTBLANK('Capacity summary'!$H49:$BG49)&lt;52,IF('Capacity summary'!L49&lt;&gt;"",IF(LOWER('Capacity summary'!L49)="x",$BI137*L137,VALUE('Capacity summary'!L49)),0),L137*$BI137),L137*$BI137),0)</f>
        <v>0</v>
      </c>
      <c r="BP137" s="5">
        <f>IF($BI137&lt;&gt;"",IF('Capacity summary'!$C$14="Yes",IF(COUNTBLANK('Capacity summary'!$H49:$BG49)&lt;52,IF('Capacity summary'!M49&lt;&gt;"",IF(LOWER('Capacity summary'!M49)="x",$BI137*M137,VALUE('Capacity summary'!M49)),0),M137*$BI137),M137*$BI137),0)</f>
        <v>0</v>
      </c>
      <c r="BQ137" s="5">
        <f>IF($BI137&lt;&gt;"",IF('Capacity summary'!$C$14="Yes",IF(COUNTBLANK('Capacity summary'!$H49:$BG49)&lt;52,IF('Capacity summary'!N49&lt;&gt;"",IF(LOWER('Capacity summary'!N49)="x",$BI137*N137,VALUE('Capacity summary'!N49)),0),N137*$BI137),N137*$BI137),0)</f>
        <v>0</v>
      </c>
      <c r="BR137" s="5">
        <f>IF($BI137&lt;&gt;"",IF('Capacity summary'!$C$14="Yes",IF(COUNTBLANK('Capacity summary'!$H49:$BG49)&lt;52,IF('Capacity summary'!O49&lt;&gt;"",IF(LOWER('Capacity summary'!O49)="x",$BI137*O137,VALUE('Capacity summary'!O49)),0),O137*$BI137),O137*$BI137),0)</f>
        <v>0</v>
      </c>
      <c r="BS137" s="5">
        <f>IF($BI137&lt;&gt;"",IF('Capacity summary'!$C$14="Yes",IF(COUNTBLANK('Capacity summary'!$H49:$BG49)&lt;52,IF('Capacity summary'!P49&lt;&gt;"",IF(LOWER('Capacity summary'!P49)="x",$BI137*P137,VALUE('Capacity summary'!P49)),0),P137*$BI137),P137*$BI137),0)</f>
        <v>0</v>
      </c>
      <c r="BT137" s="5">
        <f>IF($BI137&lt;&gt;"",IF('Capacity summary'!$C$14="Yes",IF(COUNTBLANK('Capacity summary'!$H49:$BG49)&lt;52,IF('Capacity summary'!Q49&lt;&gt;"",IF(LOWER('Capacity summary'!Q49)="x",$BI137*Q137,VALUE('Capacity summary'!Q49)),0),Q137*$BI137),Q137*$BI137),0)</f>
        <v>0</v>
      </c>
      <c r="BU137" s="5">
        <f>IF($BI137&lt;&gt;"",IF('Capacity summary'!$C$14="Yes",IF(COUNTBLANK('Capacity summary'!$H49:$BG49)&lt;52,IF('Capacity summary'!R49&lt;&gt;"",IF(LOWER('Capacity summary'!R49)="x",$BI137*R137,VALUE('Capacity summary'!R49)),0),R137*$BI137),R137*$BI137),0)</f>
        <v>0</v>
      </c>
      <c r="BV137" s="5">
        <f>IF($BI137&lt;&gt;"",IF('Capacity summary'!$C$14="Yes",IF(COUNTBLANK('Capacity summary'!$H49:$BG49)&lt;52,IF('Capacity summary'!S49&lt;&gt;"",IF(LOWER('Capacity summary'!S49)="x",$BI137*S137,VALUE('Capacity summary'!S49)),0),S137*$BI137),S137*$BI137),0)</f>
        <v>0</v>
      </c>
      <c r="BW137" s="5">
        <f>IF($BI137&lt;&gt;"",IF('Capacity summary'!$C$14="Yes",IF(COUNTBLANK('Capacity summary'!$H49:$BG49)&lt;52,IF('Capacity summary'!T49&lt;&gt;"",IF(LOWER('Capacity summary'!T49)="x",$BI137*T137,VALUE('Capacity summary'!T49)),0),T137*$BI137),T137*$BI137),0)</f>
        <v>0</v>
      </c>
      <c r="BX137" s="5">
        <f>IF($BI137&lt;&gt;"",IF('Capacity summary'!$C$14="Yes",IF(COUNTBLANK('Capacity summary'!$H49:$BG49)&lt;52,IF('Capacity summary'!U49&lt;&gt;"",IF(LOWER('Capacity summary'!U49)="x",$BI137*U137,VALUE('Capacity summary'!U49)),0),U137*$BI137),U137*$BI137),0)</f>
        <v>0</v>
      </c>
      <c r="BY137" s="5">
        <f>IF($BI137&lt;&gt;"",IF('Capacity summary'!$C$14="Yes",IF(COUNTBLANK('Capacity summary'!$H49:$BG49)&lt;52,IF('Capacity summary'!V49&lt;&gt;"",IF(LOWER('Capacity summary'!V49)="x",$BI137*V137,VALUE('Capacity summary'!V49)),0),V137*$BI137),V137*$BI137),0)</f>
        <v>0</v>
      </c>
      <c r="BZ137" s="5">
        <f>IF($BI137&lt;&gt;"",IF('Capacity summary'!$C$14="Yes",IF(COUNTBLANK('Capacity summary'!$H49:$BG49)&lt;52,IF('Capacity summary'!W49&lt;&gt;"",IF(LOWER('Capacity summary'!W49)="x",$BI137*W137,VALUE('Capacity summary'!W49)),0),W137*$BI137),W137*$BI137),0)</f>
        <v>0</v>
      </c>
      <c r="CA137" s="5">
        <f>IF($BI137&lt;&gt;"",IF('Capacity summary'!$C$14="Yes",IF(COUNTBLANK('Capacity summary'!$H49:$BG49)&lt;52,IF('Capacity summary'!X49&lt;&gt;"",IF(LOWER('Capacity summary'!X49)="x",$BI137*X137,VALUE('Capacity summary'!X49)),0),X137*$BI137),X137*$BI137),0)</f>
        <v>0</v>
      </c>
      <c r="CB137" s="5">
        <f>IF($BI137&lt;&gt;"",IF('Capacity summary'!$C$14="Yes",IF(COUNTBLANK('Capacity summary'!$H49:$BG49)&lt;52,IF('Capacity summary'!Y49&lt;&gt;"",IF(LOWER('Capacity summary'!Y49)="x",$BI137*Y137,VALUE('Capacity summary'!Y49)),0),Y137*$BI137),Y137*$BI137),0)</f>
        <v>0</v>
      </c>
      <c r="CC137" s="5">
        <f>IF($BI137&lt;&gt;"",IF('Capacity summary'!$C$14="Yes",IF(COUNTBLANK('Capacity summary'!$H49:$BG49)&lt;52,IF('Capacity summary'!Z49&lt;&gt;"",IF(LOWER('Capacity summary'!Z49)="x",$BI137*Z137,VALUE('Capacity summary'!Z49)),0),Z137*$BI137),Z137*$BI137),0)</f>
        <v>0</v>
      </c>
      <c r="CD137" s="5">
        <f>IF($BI137&lt;&gt;"",IF('Capacity summary'!$C$14="Yes",IF(COUNTBLANK('Capacity summary'!$H49:$BG49)&lt;52,IF('Capacity summary'!AA49&lt;&gt;"",IF(LOWER('Capacity summary'!AA49)="x",$BI137*AA137,VALUE('Capacity summary'!AA49)),0),AA137*$BI137),AA137*$BI137),0)</f>
        <v>0</v>
      </c>
      <c r="CE137" s="5">
        <f>IF($BI137&lt;&gt;"",IF('Capacity summary'!$C$14="Yes",IF(COUNTBLANK('Capacity summary'!$H49:$BG49)&lt;52,IF('Capacity summary'!AB49&lt;&gt;"",IF(LOWER('Capacity summary'!AB49)="x",$BI137*AB137,VALUE('Capacity summary'!AB49)),0),AB137*$BI137),AB137*$BI137),0)</f>
        <v>0</v>
      </c>
      <c r="CF137" s="5">
        <f>IF($BI137&lt;&gt;"",IF('Capacity summary'!$C$14="Yes",IF(COUNTBLANK('Capacity summary'!$H49:$BG49)&lt;52,IF('Capacity summary'!AC49&lt;&gt;"",IF(LOWER('Capacity summary'!AC49)="x",$BI137*AC137,VALUE('Capacity summary'!AC49)),0),AC137*$BI137),AC137*$BI137),0)</f>
        <v>0</v>
      </c>
      <c r="CG137" s="5">
        <f>IF($BI137&lt;&gt;"",IF('Capacity summary'!$C$14="Yes",IF(COUNTBLANK('Capacity summary'!$H49:$BG49)&lt;52,IF('Capacity summary'!AD49&lt;&gt;"",IF(LOWER('Capacity summary'!AD49)="x",$BI137*AD137,VALUE('Capacity summary'!AD49)),0),AD137*$BI137),AD137*$BI137),0)</f>
        <v>0</v>
      </c>
      <c r="CH137" s="5">
        <f>IF($BI137&lt;&gt;"",IF('Capacity summary'!$C$14="Yes",IF(COUNTBLANK('Capacity summary'!$H49:$BG49)&lt;52,IF('Capacity summary'!AE49&lt;&gt;"",IF(LOWER('Capacity summary'!AE49)="x",$BI137*AE137,VALUE('Capacity summary'!AE49)),0),AE137*$BI137),AE137*$BI137),0)</f>
        <v>0</v>
      </c>
      <c r="CI137" s="5">
        <f>IF($BI137&lt;&gt;"",IF('Capacity summary'!$C$14="Yes",IF(COUNTBLANK('Capacity summary'!$H49:$BG49)&lt;52,IF('Capacity summary'!AF49&lt;&gt;"",IF(LOWER('Capacity summary'!AF49)="x",$BI137*AF137,VALUE('Capacity summary'!AF49)),0),AF137*$BI137),AF137*$BI137),0)</f>
        <v>0</v>
      </c>
      <c r="CJ137" s="5">
        <f>IF($BI137&lt;&gt;"",IF('Capacity summary'!$C$14="Yes",IF(COUNTBLANK('Capacity summary'!$H49:$BG49)&lt;52,IF('Capacity summary'!AG49&lt;&gt;"",IF(LOWER('Capacity summary'!AG49)="x",$BI137*AG137,VALUE('Capacity summary'!AG49)),0),AG137*$BI137),AG137*$BI137),0)</f>
        <v>0</v>
      </c>
      <c r="CK137" s="5">
        <f>IF($BI137&lt;&gt;"",IF('Capacity summary'!$C$14="Yes",IF(COUNTBLANK('Capacity summary'!$H49:$BG49)&lt;52,IF('Capacity summary'!AH49&lt;&gt;"",IF(LOWER('Capacity summary'!AH49)="x",$BI137*AH137,VALUE('Capacity summary'!AH49)),0),AH137*$BI137),AH137*$BI137),0)</f>
        <v>0</v>
      </c>
      <c r="CL137" s="5">
        <f>IF($BI137&lt;&gt;"",IF('Capacity summary'!$C$14="Yes",IF(COUNTBLANK('Capacity summary'!$H49:$BG49)&lt;52,IF('Capacity summary'!AI49&lt;&gt;"",IF(LOWER('Capacity summary'!AI49)="x",$BI137*AI137,VALUE('Capacity summary'!AI49)),0),AI137*$BI137),AI137*$BI137),0)</f>
        <v>0</v>
      </c>
      <c r="CM137" s="5">
        <f>IF($BI137&lt;&gt;"",IF('Capacity summary'!$C$14="Yes",IF(COUNTBLANK('Capacity summary'!$H49:$BG49)&lt;52,IF('Capacity summary'!AJ49&lt;&gt;"",IF(LOWER('Capacity summary'!AJ49)="x",$BI137*AJ137,VALUE('Capacity summary'!AJ49)),0),AJ137*$BI137),AJ137*$BI137),0)</f>
        <v>0</v>
      </c>
      <c r="CN137" s="5">
        <f>IF($BI137&lt;&gt;"",IF('Capacity summary'!$C$14="Yes",IF(COUNTBLANK('Capacity summary'!$H49:$BG49)&lt;52,IF('Capacity summary'!AK49&lt;&gt;"",IF(LOWER('Capacity summary'!AK49)="x",$BI137*AK137,VALUE('Capacity summary'!AK49)),0),AK137*$BI137),AK137*$BI137),0)</f>
        <v>0</v>
      </c>
      <c r="CO137" s="5">
        <f>IF($BI137&lt;&gt;"",IF('Capacity summary'!$C$14="Yes",IF(COUNTBLANK('Capacity summary'!$H49:$BG49)&lt;52,IF('Capacity summary'!AL49&lt;&gt;"",IF(LOWER('Capacity summary'!AL49)="x",$BI137*AL137,VALUE('Capacity summary'!AL49)),0),AL137*$BI137),AL137*$BI137),0)</f>
        <v>0</v>
      </c>
      <c r="CP137" s="5">
        <f>IF($BI137&lt;&gt;"",IF('Capacity summary'!$C$14="Yes",IF(COUNTBLANK('Capacity summary'!$H49:$BG49)&lt;52,IF('Capacity summary'!AM49&lt;&gt;"",IF(LOWER('Capacity summary'!AM49)="x",$BI137*AM137,VALUE('Capacity summary'!AM49)),0),AM137*$BI137),AM137*$BI137),0)</f>
        <v>0</v>
      </c>
      <c r="CQ137" s="5">
        <f>IF($BI137&lt;&gt;"",IF('Capacity summary'!$C$14="Yes",IF(COUNTBLANK('Capacity summary'!$H49:$BG49)&lt;52,IF('Capacity summary'!AN49&lt;&gt;"",IF(LOWER('Capacity summary'!AN49)="x",$BI137*AN137,VALUE('Capacity summary'!AN49)),0),AN137*$BI137),AN137*$BI137),0)</f>
        <v>0</v>
      </c>
      <c r="CR137" s="5">
        <f>IF($BI137&lt;&gt;"",IF('Capacity summary'!$C$14="Yes",IF(COUNTBLANK('Capacity summary'!$H49:$BG49)&lt;52,IF('Capacity summary'!AO49&lt;&gt;"",IF(LOWER('Capacity summary'!AO49)="x",$BI137*AO137,VALUE('Capacity summary'!AO49)),0),AO137*$BI137),AO137*$BI137),0)</f>
        <v>0</v>
      </c>
      <c r="CS137" s="5">
        <f>IF($BI137&lt;&gt;"",IF('Capacity summary'!$C$14="Yes",IF(COUNTBLANK('Capacity summary'!$H49:$BG49)&lt;52,IF('Capacity summary'!AP49&lt;&gt;"",IF(LOWER('Capacity summary'!AP49)="x",$BI137*AP137,VALUE('Capacity summary'!AP49)),0),AP137*$BI137),AP137*$BI137),0)</f>
        <v>0</v>
      </c>
      <c r="CT137" s="5">
        <f>IF($BI137&lt;&gt;"",IF('Capacity summary'!$C$14="Yes",IF(COUNTBLANK('Capacity summary'!$H49:$BG49)&lt;52,IF('Capacity summary'!AQ49&lt;&gt;"",IF(LOWER('Capacity summary'!AQ49)="x",$BI137*AQ137,VALUE('Capacity summary'!AQ49)),0),AQ137*$BI137),AQ137*$BI137),0)</f>
        <v>0</v>
      </c>
      <c r="CU137" s="5">
        <f>IF($BI137&lt;&gt;"",IF('Capacity summary'!$C$14="Yes",IF(COUNTBLANK('Capacity summary'!$H49:$BG49)&lt;52,IF('Capacity summary'!AR49&lt;&gt;"",IF(LOWER('Capacity summary'!AR49)="x",$BI137*AR137,VALUE('Capacity summary'!AR49)),0),AR137*$BI137),AR137*$BI137),0)</f>
        <v>0</v>
      </c>
      <c r="CV137" s="5">
        <f>IF($BI137&lt;&gt;"",IF('Capacity summary'!$C$14="Yes",IF(COUNTBLANK('Capacity summary'!$H49:$BG49)&lt;52,IF('Capacity summary'!AS49&lt;&gt;"",IF(LOWER('Capacity summary'!AS49)="x",$BI137*AS137,VALUE('Capacity summary'!AS49)),0),AS137*$BI137),AS137*$BI137),0)</f>
        <v>0</v>
      </c>
      <c r="CW137" s="5">
        <f>IF($BI137&lt;&gt;"",IF('Capacity summary'!$C$14="Yes",IF(COUNTBLANK('Capacity summary'!$H49:$BG49)&lt;52,IF('Capacity summary'!AT49&lt;&gt;"",IF(LOWER('Capacity summary'!AT49)="x",$BI137*AT137,VALUE('Capacity summary'!AT49)),0),AT137*$BI137),AT137*$BI137),0)</f>
        <v>0</v>
      </c>
      <c r="CX137" s="5">
        <f>IF($BI137&lt;&gt;"",IF('Capacity summary'!$C$14="Yes",IF(COUNTBLANK('Capacity summary'!$H49:$BG49)&lt;52,IF('Capacity summary'!AU49&lt;&gt;"",IF(LOWER('Capacity summary'!AU49)="x",$BI137*AU137,VALUE('Capacity summary'!AU49)),0),AU137*$BI137),AU137*$BI137),0)</f>
        <v>0</v>
      </c>
      <c r="CY137" s="5">
        <f>IF($BI137&lt;&gt;"",IF('Capacity summary'!$C$14="Yes",IF(COUNTBLANK('Capacity summary'!$H49:$BG49)&lt;52,IF('Capacity summary'!AV49&lt;&gt;"",IF(LOWER('Capacity summary'!AV49)="x",$BI137*AV137,VALUE('Capacity summary'!AV49)),0),AV137*$BI137),AV137*$BI137),0)</f>
        <v>0</v>
      </c>
      <c r="CZ137" s="5">
        <f>IF($BI137&lt;&gt;"",IF('Capacity summary'!$C$14="Yes",IF(COUNTBLANK('Capacity summary'!$H49:$BG49)&lt;52,IF('Capacity summary'!AW49&lt;&gt;"",IF(LOWER('Capacity summary'!AW49)="x",$BI137*AW137,VALUE('Capacity summary'!AW49)),0),AW137*$BI137),AW137*$BI137),0)</f>
        <v>0</v>
      </c>
      <c r="DA137" s="5">
        <f>IF($BI137&lt;&gt;"",IF('Capacity summary'!$C$14="Yes",IF(COUNTBLANK('Capacity summary'!$H49:$BG49)&lt;52,IF('Capacity summary'!AX49&lt;&gt;"",IF(LOWER('Capacity summary'!AX49)="x",$BI137*AX137,VALUE('Capacity summary'!AX49)),0),AX137*$BI137),AX137*$BI137),0)</f>
        <v>0</v>
      </c>
      <c r="DB137" s="5">
        <f>IF($BI137&lt;&gt;"",IF('Capacity summary'!$C$14="Yes",IF(COUNTBLANK('Capacity summary'!$H49:$BG49)&lt;52,IF('Capacity summary'!AY49&lt;&gt;"",IF(LOWER('Capacity summary'!AY49)="x",$BI137*AY137,VALUE('Capacity summary'!AY49)),0),AY137*$BI137),AY137*$BI137),0)</f>
        <v>0</v>
      </c>
      <c r="DC137" s="5">
        <f>IF($BI137&lt;&gt;"",IF('Capacity summary'!$C$14="Yes",IF(COUNTBLANK('Capacity summary'!$H49:$BG49)&lt;52,IF('Capacity summary'!AZ49&lt;&gt;"",IF(LOWER('Capacity summary'!AZ49)="x",$BI137*AZ137,VALUE('Capacity summary'!AZ49)),0),AZ137*$BI137),AZ137*$BI137),0)</f>
        <v>0</v>
      </c>
      <c r="DD137" s="5">
        <f>IF($BI137&lt;&gt;"",IF('Capacity summary'!$C$14="Yes",IF(COUNTBLANK('Capacity summary'!$H49:$BG49)&lt;52,IF('Capacity summary'!BA49&lt;&gt;"",IF(LOWER('Capacity summary'!BA49)="x",$BI137*BA137,VALUE('Capacity summary'!BA49)),0),BA137*$BI137),BA137*$BI137),0)</f>
        <v>0</v>
      </c>
      <c r="DE137" s="5">
        <f>IF($BI137&lt;&gt;"",IF('Capacity summary'!$C$14="Yes",IF(COUNTBLANK('Capacity summary'!$H49:$BG49)&lt;52,IF('Capacity summary'!BB49&lt;&gt;"",IF(LOWER('Capacity summary'!BB49)="x",$BI137*BB137,VALUE('Capacity summary'!BB49)),0),BB137*$BI137),BB137*$BI137),0)</f>
        <v>0</v>
      </c>
      <c r="DF137" s="5">
        <f>IF($BI137&lt;&gt;"",IF('Capacity summary'!$C$14="Yes",IF(COUNTBLANK('Capacity summary'!$H49:$BG49)&lt;52,IF('Capacity summary'!BC49&lt;&gt;"",IF(LOWER('Capacity summary'!BC49)="x",$BI137*BC137,VALUE('Capacity summary'!BC49)),0),BC137*$BI137),BC137*$BI137),0)</f>
        <v>0</v>
      </c>
      <c r="DG137" s="5">
        <f>IF($BI137&lt;&gt;"",IF('Capacity summary'!$C$14="Yes",IF(COUNTBLANK('Capacity summary'!$H49:$BG49)&lt;52,IF('Capacity summary'!BD49&lt;&gt;"",IF(LOWER('Capacity summary'!BD49)="x",$BI137*BD137,VALUE('Capacity summary'!BD49)),0),BD137*$BI137),BD137*$BI137),0)</f>
        <v>0</v>
      </c>
      <c r="DH137" s="5">
        <f>IF($BI137&lt;&gt;"",IF('Capacity summary'!$C$14="Yes",IF(COUNTBLANK('Capacity summary'!$H49:$BG49)&lt;52,IF('Capacity summary'!BE49&lt;&gt;"",IF(LOWER('Capacity summary'!BE49)="x",$BI137*BE137,VALUE('Capacity summary'!BE49)),0),BE137*$BI137),BE137*$BI137),0)</f>
        <v>0</v>
      </c>
      <c r="DI137" s="5">
        <f>IF($BI137&lt;&gt;"",IF('Capacity summary'!$C$14="Yes",IF(COUNTBLANK('Capacity summary'!$H49:$BG49)&lt;52,IF('Capacity summary'!BF49&lt;&gt;"",IF(LOWER('Capacity summary'!BF49)="x",$BI137*BF137,VALUE('Capacity summary'!BF49)),0),BF137*$BI137),BF137*$BI137),0)</f>
        <v>0</v>
      </c>
      <c r="DJ137" s="5">
        <f>IF($BI137&lt;&gt;"",IF('Capacity summary'!$C$14="Yes",IF(COUNTBLANK('Capacity summary'!$H49:$BG49)&lt;52,IF('Capacity summary'!BG49&lt;&gt;"",IF(LOWER('Capacity summary'!BG49)="x",$BI137*BG137,VALUE('Capacity summary'!BG49)),0),BG137*$BI137),BG137*$BI137),0)</f>
        <v>0</v>
      </c>
      <c r="DK137" s="5">
        <f t="shared" ref="DK137" si="31">SUM(DK138:DK237)</f>
        <v>0</v>
      </c>
    </row>
    <row r="138" spans="3:115" x14ac:dyDescent="0.25">
      <c r="C138" s="67" t="str">
        <f>ROW(A27)&amp;". "&amp;Capacity!N43</f>
        <v xml:space="preserve">27. </v>
      </c>
      <c r="D138" s="67">
        <f>'Capacity setup'!C144</f>
        <v>0</v>
      </c>
      <c r="E138" s="67">
        <f>'Capacity setup'!D144</f>
        <v>0</v>
      </c>
      <c r="F138" s="67">
        <f>'Capacity setup'!E144</f>
        <v>0</v>
      </c>
      <c r="H138" s="67">
        <f ca="1">IF(AND(SUMIF(Capacity_Resource,$D138,'Critical resources (hide)'!U$6:U$105)+SUMIF(Capacity_Resource,$E138,'Critical resources (hide)'!U$6:U$105)+SUMIF(Capacity_Resource,$F138,'Critical resources (hide)'!U$6:U$105)&gt;0,$E$1=2),0,1)</f>
        <v>1</v>
      </c>
      <c r="I138" s="67">
        <f ca="1">IF(AND(SUMIF(Capacity_Resource,$D138,'Critical resources (hide)'!V$6:V$105)+SUMIF(Capacity_Resource,$E138,'Critical resources (hide)'!V$6:V$105)+SUMIF(Capacity_Resource,$F138,'Critical resources (hide)'!V$6:V$105)&gt;0,$E$1=2),0,1)</f>
        <v>1</v>
      </c>
      <c r="J138" s="67">
        <f ca="1">IF(AND(SUMIF(Capacity_Resource,$D138,'Critical resources (hide)'!W$6:W$105)+SUMIF(Capacity_Resource,$E138,'Critical resources (hide)'!W$6:W$105)+SUMIF(Capacity_Resource,$F138,'Critical resources (hide)'!W$6:W$105)&gt;0,$E$1=2),0,1)</f>
        <v>1</v>
      </c>
      <c r="K138" s="67">
        <f ca="1">IF(AND(SUMIF(Capacity_Resource,$D138,'Critical resources (hide)'!X$6:X$105)+SUMIF(Capacity_Resource,$E138,'Critical resources (hide)'!X$6:X$105)+SUMIF(Capacity_Resource,$F138,'Critical resources (hide)'!X$6:X$105)&gt;0,$E$1=2),0,1)</f>
        <v>1</v>
      </c>
      <c r="L138" s="67">
        <f ca="1">IF(AND(SUMIF(Capacity_Resource,$D138,'Critical resources (hide)'!Y$6:Y$105)+SUMIF(Capacity_Resource,$E138,'Critical resources (hide)'!Y$6:Y$105)+SUMIF(Capacity_Resource,$F138,'Critical resources (hide)'!Y$6:Y$105)&gt;0,$E$1=2),0,1)</f>
        <v>1</v>
      </c>
      <c r="M138" s="67">
        <f ca="1">IF(AND(SUMIF(Capacity_Resource,$D138,'Critical resources (hide)'!Z$6:Z$105)+SUMIF(Capacity_Resource,$E138,'Critical resources (hide)'!Z$6:Z$105)+SUMIF(Capacity_Resource,$F138,'Critical resources (hide)'!Z$6:Z$105)&gt;0,$E$1=2),0,1)</f>
        <v>1</v>
      </c>
      <c r="N138" s="67">
        <f ca="1">IF(AND(SUMIF(Capacity_Resource,$D138,'Critical resources (hide)'!AA$6:AA$105)+SUMIF(Capacity_Resource,$E138,'Critical resources (hide)'!AA$6:AA$105)+SUMIF(Capacity_Resource,$F138,'Critical resources (hide)'!AA$6:AA$105)&gt;0,$E$1=2),0,1)</f>
        <v>1</v>
      </c>
      <c r="O138" s="67">
        <f ca="1">IF(AND(SUMIF(Capacity_Resource,$D138,'Critical resources (hide)'!AB$6:AB$105)+SUMIF(Capacity_Resource,$E138,'Critical resources (hide)'!AB$6:AB$105)+SUMIF(Capacity_Resource,$F138,'Critical resources (hide)'!AB$6:AB$105)&gt;0,$E$1=2),0,1)</f>
        <v>1</v>
      </c>
      <c r="P138" s="67">
        <f ca="1">IF(AND(SUMIF(Capacity_Resource,$D138,'Critical resources (hide)'!AC$6:AC$105)+SUMIF(Capacity_Resource,$E138,'Critical resources (hide)'!AC$6:AC$105)+SUMIF(Capacity_Resource,$F138,'Critical resources (hide)'!AC$6:AC$105)&gt;0,$E$1=2),0,1)</f>
        <v>1</v>
      </c>
      <c r="Q138" s="67">
        <f ca="1">IF(AND(SUMIF(Capacity_Resource,$D138,'Critical resources (hide)'!AD$6:AD$105)+SUMIF(Capacity_Resource,$E138,'Critical resources (hide)'!AD$6:AD$105)+SUMIF(Capacity_Resource,$F138,'Critical resources (hide)'!AD$6:AD$105)&gt;0,$E$1=2),0,1)</f>
        <v>1</v>
      </c>
      <c r="R138" s="67">
        <f ca="1">IF(AND(SUMIF(Capacity_Resource,$D138,'Critical resources (hide)'!AE$6:AE$105)+SUMIF(Capacity_Resource,$E138,'Critical resources (hide)'!AE$6:AE$105)+SUMIF(Capacity_Resource,$F138,'Critical resources (hide)'!AE$6:AE$105)&gt;0,$E$1=2),0,1)</f>
        <v>1</v>
      </c>
      <c r="S138" s="67">
        <f ca="1">IF(AND(SUMIF(Capacity_Resource,$D138,'Critical resources (hide)'!AF$6:AF$105)+SUMIF(Capacity_Resource,$E138,'Critical resources (hide)'!AF$6:AF$105)+SUMIF(Capacity_Resource,$F138,'Critical resources (hide)'!AF$6:AF$105)&gt;0,$E$1=2),0,1)</f>
        <v>1</v>
      </c>
      <c r="T138" s="67">
        <f ca="1">IF(AND(SUMIF(Capacity_Resource,$D138,'Critical resources (hide)'!AG$6:AG$105)+SUMIF(Capacity_Resource,$E138,'Critical resources (hide)'!AG$6:AG$105)+SUMIF(Capacity_Resource,$F138,'Critical resources (hide)'!AG$6:AG$105)&gt;0,$E$1=2),0,1)</f>
        <v>1</v>
      </c>
      <c r="U138" s="67">
        <f ca="1">IF(AND(SUMIF(Capacity_Resource,$D138,'Critical resources (hide)'!AH$6:AH$105)+SUMIF(Capacity_Resource,$E138,'Critical resources (hide)'!AH$6:AH$105)+SUMIF(Capacity_Resource,$F138,'Critical resources (hide)'!AH$6:AH$105)&gt;0,$E$1=2),0,1)</f>
        <v>1</v>
      </c>
      <c r="V138" s="67">
        <f ca="1">IF(AND(SUMIF(Capacity_Resource,$D138,'Critical resources (hide)'!AI$6:AI$105)+SUMIF(Capacity_Resource,$E138,'Critical resources (hide)'!AI$6:AI$105)+SUMIF(Capacity_Resource,$F138,'Critical resources (hide)'!AI$6:AI$105)&gt;0,$E$1=2),0,1)</f>
        <v>1</v>
      </c>
      <c r="W138" s="67">
        <f ca="1">IF(AND(SUMIF(Capacity_Resource,$D138,'Critical resources (hide)'!AJ$6:AJ$105)+SUMIF(Capacity_Resource,$E138,'Critical resources (hide)'!AJ$6:AJ$105)+SUMIF(Capacity_Resource,$F138,'Critical resources (hide)'!AJ$6:AJ$105)&gt;0,$E$1=2),0,1)</f>
        <v>1</v>
      </c>
      <c r="X138" s="67">
        <f ca="1">IF(AND(SUMIF(Capacity_Resource,$D138,'Critical resources (hide)'!AK$6:AK$105)+SUMIF(Capacity_Resource,$E138,'Critical resources (hide)'!AK$6:AK$105)+SUMIF(Capacity_Resource,$F138,'Critical resources (hide)'!AK$6:AK$105)&gt;0,$E$1=2),0,1)</f>
        <v>1</v>
      </c>
      <c r="Y138" s="67">
        <f ca="1">IF(AND(SUMIF(Capacity_Resource,$D138,'Critical resources (hide)'!AL$6:AL$105)+SUMIF(Capacity_Resource,$E138,'Critical resources (hide)'!AL$6:AL$105)+SUMIF(Capacity_Resource,$F138,'Critical resources (hide)'!AL$6:AL$105)&gt;0,$E$1=2),0,1)</f>
        <v>1</v>
      </c>
      <c r="Z138" s="67">
        <f ca="1">IF(AND(SUMIF(Capacity_Resource,$D138,'Critical resources (hide)'!AM$6:AM$105)+SUMIF(Capacity_Resource,$E138,'Critical resources (hide)'!AM$6:AM$105)+SUMIF(Capacity_Resource,$F138,'Critical resources (hide)'!AM$6:AM$105)&gt;0,$E$1=2),0,1)</f>
        <v>1</v>
      </c>
      <c r="AA138" s="67">
        <f ca="1">IF(AND(SUMIF(Capacity_Resource,$D138,'Critical resources (hide)'!AN$6:AN$105)+SUMIF(Capacity_Resource,$E138,'Critical resources (hide)'!AN$6:AN$105)+SUMIF(Capacity_Resource,$F138,'Critical resources (hide)'!AN$6:AN$105)&gt;0,$E$1=2),0,1)</f>
        <v>1</v>
      </c>
      <c r="AB138" s="67">
        <f ca="1">IF(AND(SUMIF(Capacity_Resource,$D138,'Critical resources (hide)'!AO$6:AO$105)+SUMIF(Capacity_Resource,$E138,'Critical resources (hide)'!AO$6:AO$105)+SUMIF(Capacity_Resource,$F138,'Critical resources (hide)'!AO$6:AO$105)&gt;0,$E$1=2),0,1)</f>
        <v>1</v>
      </c>
      <c r="AC138" s="67">
        <f ca="1">IF(AND(SUMIF(Capacity_Resource,$D138,'Critical resources (hide)'!AP$6:AP$105)+SUMIF(Capacity_Resource,$E138,'Critical resources (hide)'!AP$6:AP$105)+SUMIF(Capacity_Resource,$F138,'Critical resources (hide)'!AP$6:AP$105)&gt;0,$E$1=2),0,1)</f>
        <v>1</v>
      </c>
      <c r="AD138" s="67">
        <f ca="1">IF(AND(SUMIF(Capacity_Resource,$D138,'Critical resources (hide)'!AQ$6:AQ$105)+SUMIF(Capacity_Resource,$E138,'Critical resources (hide)'!AQ$6:AQ$105)+SUMIF(Capacity_Resource,$F138,'Critical resources (hide)'!AQ$6:AQ$105)&gt;0,$E$1=2),0,1)</f>
        <v>1</v>
      </c>
      <c r="AE138" s="67">
        <f ca="1">IF(AND(SUMIF(Capacity_Resource,$D138,'Critical resources (hide)'!AR$6:AR$105)+SUMIF(Capacity_Resource,$E138,'Critical resources (hide)'!AR$6:AR$105)+SUMIF(Capacity_Resource,$F138,'Critical resources (hide)'!AR$6:AR$105)&gt;0,$E$1=2),0,1)</f>
        <v>1</v>
      </c>
      <c r="AF138" s="67">
        <f ca="1">IF(AND(SUMIF(Capacity_Resource,$D138,'Critical resources (hide)'!AS$6:AS$105)+SUMIF(Capacity_Resource,$E138,'Critical resources (hide)'!AS$6:AS$105)+SUMIF(Capacity_Resource,$F138,'Critical resources (hide)'!AS$6:AS$105)&gt;0,$E$1=2),0,1)</f>
        <v>1</v>
      </c>
      <c r="AG138" s="67">
        <f ca="1">IF(AND(SUMIF(Capacity_Resource,$D138,'Critical resources (hide)'!AT$6:AT$105)+SUMIF(Capacity_Resource,$E138,'Critical resources (hide)'!AT$6:AT$105)+SUMIF(Capacity_Resource,$F138,'Critical resources (hide)'!AT$6:AT$105)&gt;0,$E$1=2),0,1)</f>
        <v>1</v>
      </c>
      <c r="AH138" s="67">
        <f ca="1">IF(AND(SUMIF(Capacity_Resource,$D138,'Critical resources (hide)'!AU$6:AU$105)+SUMIF(Capacity_Resource,$E138,'Critical resources (hide)'!AU$6:AU$105)+SUMIF(Capacity_Resource,$F138,'Critical resources (hide)'!AU$6:AU$105)&gt;0,$E$1=2),0,1)</f>
        <v>1</v>
      </c>
      <c r="AI138" s="67">
        <f ca="1">IF(AND(SUMIF(Capacity_Resource,$D138,'Critical resources (hide)'!AV$6:AV$105)+SUMIF(Capacity_Resource,$E138,'Critical resources (hide)'!AV$6:AV$105)+SUMIF(Capacity_Resource,$F138,'Critical resources (hide)'!AV$6:AV$105)&gt;0,$E$1=2),0,1)</f>
        <v>1</v>
      </c>
      <c r="AJ138" s="67">
        <f ca="1">IF(AND(SUMIF(Capacity_Resource,$D138,'Critical resources (hide)'!AW$6:AW$105)+SUMIF(Capacity_Resource,$E138,'Critical resources (hide)'!AW$6:AW$105)+SUMIF(Capacity_Resource,$F138,'Critical resources (hide)'!AW$6:AW$105)&gt;0,$E$1=2),0,1)</f>
        <v>1</v>
      </c>
      <c r="AK138" s="67">
        <f ca="1">IF(AND(SUMIF(Capacity_Resource,$D138,'Critical resources (hide)'!AX$6:AX$105)+SUMIF(Capacity_Resource,$E138,'Critical resources (hide)'!AX$6:AX$105)+SUMIF(Capacity_Resource,$F138,'Critical resources (hide)'!AX$6:AX$105)&gt;0,$E$1=2),0,1)</f>
        <v>1</v>
      </c>
      <c r="AL138" s="67">
        <f ca="1">IF(AND(SUMIF(Capacity_Resource,$D138,'Critical resources (hide)'!AY$6:AY$105)+SUMIF(Capacity_Resource,$E138,'Critical resources (hide)'!AY$6:AY$105)+SUMIF(Capacity_Resource,$F138,'Critical resources (hide)'!AY$6:AY$105)&gt;0,$E$1=2),0,1)</f>
        <v>1</v>
      </c>
      <c r="AM138" s="67">
        <f ca="1">IF(AND(SUMIF(Capacity_Resource,$D138,'Critical resources (hide)'!AZ$6:AZ$105)+SUMIF(Capacity_Resource,$E138,'Critical resources (hide)'!AZ$6:AZ$105)+SUMIF(Capacity_Resource,$F138,'Critical resources (hide)'!AZ$6:AZ$105)&gt;0,$E$1=2),0,1)</f>
        <v>1</v>
      </c>
      <c r="AN138" s="67">
        <f ca="1">IF(AND(SUMIF(Capacity_Resource,$D138,'Critical resources (hide)'!BA$6:BA$105)+SUMIF(Capacity_Resource,$E138,'Critical resources (hide)'!BA$6:BA$105)+SUMIF(Capacity_Resource,$F138,'Critical resources (hide)'!BA$6:BA$105)&gt;0,$E$1=2),0,1)</f>
        <v>1</v>
      </c>
      <c r="AO138" s="67">
        <f ca="1">IF(AND(SUMIF(Capacity_Resource,$D138,'Critical resources (hide)'!BB$6:BB$105)+SUMIF(Capacity_Resource,$E138,'Critical resources (hide)'!BB$6:BB$105)+SUMIF(Capacity_Resource,$F138,'Critical resources (hide)'!BB$6:BB$105)&gt;0,$E$1=2),0,1)</f>
        <v>1</v>
      </c>
      <c r="AP138" s="67">
        <f ca="1">IF(AND(SUMIF(Capacity_Resource,$D138,'Critical resources (hide)'!BC$6:BC$105)+SUMIF(Capacity_Resource,$E138,'Critical resources (hide)'!BC$6:BC$105)+SUMIF(Capacity_Resource,$F138,'Critical resources (hide)'!BC$6:BC$105)&gt;0,$E$1=2),0,1)</f>
        <v>1</v>
      </c>
      <c r="AQ138" s="67">
        <f ca="1">IF(AND(SUMIF(Capacity_Resource,$D138,'Critical resources (hide)'!BD$6:BD$105)+SUMIF(Capacity_Resource,$E138,'Critical resources (hide)'!BD$6:BD$105)+SUMIF(Capacity_Resource,$F138,'Critical resources (hide)'!BD$6:BD$105)&gt;0,$E$1=2),0,1)</f>
        <v>1</v>
      </c>
      <c r="AR138" s="67">
        <f ca="1">IF(AND(SUMIF(Capacity_Resource,$D138,'Critical resources (hide)'!BE$6:BE$105)+SUMIF(Capacity_Resource,$E138,'Critical resources (hide)'!BE$6:BE$105)+SUMIF(Capacity_Resource,$F138,'Critical resources (hide)'!BE$6:BE$105)&gt;0,$E$1=2),0,1)</f>
        <v>1</v>
      </c>
      <c r="AS138" s="67">
        <f ca="1">IF(AND(SUMIF(Capacity_Resource,$D138,'Critical resources (hide)'!BF$6:BF$105)+SUMIF(Capacity_Resource,$E138,'Critical resources (hide)'!BF$6:BF$105)+SUMIF(Capacity_Resource,$F138,'Critical resources (hide)'!BF$6:BF$105)&gt;0,$E$1=2),0,1)</f>
        <v>1</v>
      </c>
      <c r="AT138" s="67">
        <f ca="1">IF(AND(SUMIF(Capacity_Resource,$D138,'Critical resources (hide)'!BG$6:BG$105)+SUMIF(Capacity_Resource,$E138,'Critical resources (hide)'!BG$6:BG$105)+SUMIF(Capacity_Resource,$F138,'Critical resources (hide)'!BG$6:BG$105)&gt;0,$E$1=2),0,1)</f>
        <v>1</v>
      </c>
      <c r="AU138" s="67">
        <f ca="1">IF(AND(SUMIF(Capacity_Resource,$D138,'Critical resources (hide)'!BH$6:BH$105)+SUMIF(Capacity_Resource,$E138,'Critical resources (hide)'!BH$6:BH$105)+SUMIF(Capacity_Resource,$F138,'Critical resources (hide)'!BH$6:BH$105)&gt;0,$E$1=2),0,1)</f>
        <v>1</v>
      </c>
      <c r="AV138" s="67">
        <f ca="1">IF(AND(SUMIF(Capacity_Resource,$D138,'Critical resources (hide)'!BI$6:BI$105)+SUMIF(Capacity_Resource,$E138,'Critical resources (hide)'!BI$6:BI$105)+SUMIF(Capacity_Resource,$F138,'Critical resources (hide)'!BI$6:BI$105)&gt;0,$E$1=2),0,1)</f>
        <v>1</v>
      </c>
      <c r="AW138" s="67">
        <f ca="1">IF(AND(SUMIF(Capacity_Resource,$D138,'Critical resources (hide)'!BJ$6:BJ$105)+SUMIF(Capacity_Resource,$E138,'Critical resources (hide)'!BJ$6:BJ$105)+SUMIF(Capacity_Resource,$F138,'Critical resources (hide)'!BJ$6:BJ$105)&gt;0,$E$1=2),0,1)</f>
        <v>1</v>
      </c>
      <c r="AX138" s="67">
        <f ca="1">IF(AND(SUMIF(Capacity_Resource,$D138,'Critical resources (hide)'!BK$6:BK$105)+SUMIF(Capacity_Resource,$E138,'Critical resources (hide)'!BK$6:BK$105)+SUMIF(Capacity_Resource,$F138,'Critical resources (hide)'!BK$6:BK$105)&gt;0,$E$1=2),0,1)</f>
        <v>1</v>
      </c>
      <c r="AY138" s="67">
        <f ca="1">IF(AND(SUMIF(Capacity_Resource,$D138,'Critical resources (hide)'!BL$6:BL$105)+SUMIF(Capacity_Resource,$E138,'Critical resources (hide)'!BL$6:BL$105)+SUMIF(Capacity_Resource,$F138,'Critical resources (hide)'!BL$6:BL$105)&gt;0,$E$1=2),0,1)</f>
        <v>1</v>
      </c>
      <c r="AZ138" s="67">
        <f ca="1">IF(AND(SUMIF(Capacity_Resource,$D138,'Critical resources (hide)'!BM$6:BM$105)+SUMIF(Capacity_Resource,$E138,'Critical resources (hide)'!BM$6:BM$105)+SUMIF(Capacity_Resource,$F138,'Critical resources (hide)'!BM$6:BM$105)&gt;0,$E$1=2),0,1)</f>
        <v>1</v>
      </c>
      <c r="BA138" s="67">
        <f ca="1">IF(AND(SUMIF(Capacity_Resource,$D138,'Critical resources (hide)'!BN$6:BN$105)+SUMIF(Capacity_Resource,$E138,'Critical resources (hide)'!BN$6:BN$105)+SUMIF(Capacity_Resource,$F138,'Critical resources (hide)'!BN$6:BN$105)&gt;0,$E$1=2),0,1)</f>
        <v>1</v>
      </c>
      <c r="BB138" s="67">
        <f ca="1">IF(AND(SUMIF(Capacity_Resource,$D138,'Critical resources (hide)'!BO$6:BO$105)+SUMIF(Capacity_Resource,$E138,'Critical resources (hide)'!BO$6:BO$105)+SUMIF(Capacity_Resource,$F138,'Critical resources (hide)'!BO$6:BO$105)&gt;0,$E$1=2),0,1)</f>
        <v>1</v>
      </c>
      <c r="BC138" s="67">
        <f ca="1">IF(AND(SUMIF(Capacity_Resource,$D138,'Critical resources (hide)'!BP$6:BP$105)+SUMIF(Capacity_Resource,$E138,'Critical resources (hide)'!BP$6:BP$105)+SUMIF(Capacity_Resource,$F138,'Critical resources (hide)'!BP$6:BP$105)&gt;0,$E$1=2),0,1)</f>
        <v>1</v>
      </c>
      <c r="BD138" s="67">
        <f ca="1">IF(AND(SUMIF(Capacity_Resource,$D138,'Critical resources (hide)'!BQ$6:BQ$105)+SUMIF(Capacity_Resource,$E138,'Critical resources (hide)'!BQ$6:BQ$105)+SUMIF(Capacity_Resource,$F138,'Critical resources (hide)'!BQ$6:BQ$105)&gt;0,$E$1=2),0,1)</f>
        <v>1</v>
      </c>
      <c r="BE138" s="67">
        <f ca="1">IF(AND(SUMIF(Capacity_Resource,$D138,'Critical resources (hide)'!BR$6:BR$105)+SUMIF(Capacity_Resource,$E138,'Critical resources (hide)'!BR$6:BR$105)+SUMIF(Capacity_Resource,$F138,'Critical resources (hide)'!BR$6:BR$105)&gt;0,$E$1=2),0,1)</f>
        <v>1</v>
      </c>
      <c r="BF138" s="67">
        <f ca="1">IF(AND(SUMIF(Capacity_Resource,$D138,'Critical resources (hide)'!BS$6:BS$105)+SUMIF(Capacity_Resource,$E138,'Critical resources (hide)'!BS$6:BS$105)+SUMIF(Capacity_Resource,$F138,'Critical resources (hide)'!BS$6:BS$105)&gt;0,$E$1=2),0,1)</f>
        <v>1</v>
      </c>
      <c r="BG138" s="67">
        <f ca="1">IF(AND(SUMIF(Capacity_Resource,$D138,'Critical resources (hide)'!BT$6:BT$105)+SUMIF(Capacity_Resource,$E138,'Critical resources (hide)'!BT$6:BT$105)+SUMIF(Capacity_Resource,$F138,'Critical resources (hide)'!BT$6:BT$105)&gt;0,$E$1=2),0,1)</f>
        <v>1</v>
      </c>
      <c r="BH138" s="67">
        <f>IF(ROW(A27)&lt;=Capacity!$M$16,IF('Capacity summary'!$C$14="No",SUM(H138:BG138),'Capacity summary'!$E50),0)</f>
        <v>0</v>
      </c>
      <c r="BI138" s="67" t="str">
        <f>IF(BH138&gt;0,IF(BH138&lt;Capacity!Q43,Capacity!R43,Capacity!T43/'Capacity calculation (hide)'!BH138),"")</f>
        <v/>
      </c>
      <c r="BJ138" s="5"/>
      <c r="BK138" s="5">
        <f>IF($BI138&lt;&gt;"",IF('Capacity summary'!$C$14="Yes",IF(COUNTBLANK('Capacity summary'!$H50:$BG50)&lt;52,IF('Capacity summary'!H50&lt;&gt;"",IF(LOWER('Capacity summary'!H50)="x",$BI138*H138,VALUE('Capacity summary'!H50)),0),H138*$BI138),H138*$BI138),0)</f>
        <v>0</v>
      </c>
      <c r="BL138" s="5">
        <f>IF($BI138&lt;&gt;"",IF('Capacity summary'!$C$14="Yes",IF(COUNTBLANK('Capacity summary'!$H50:$BG50)&lt;52,IF('Capacity summary'!I50&lt;&gt;"",IF(LOWER('Capacity summary'!I50)="x",$BI138*I138,VALUE('Capacity summary'!I50)),0),I138*$BI138),I138*$BI138),0)</f>
        <v>0</v>
      </c>
      <c r="BM138" s="5">
        <f>IF($BI138&lt;&gt;"",IF('Capacity summary'!$C$14="Yes",IF(COUNTBLANK('Capacity summary'!$H50:$BG50)&lt;52,IF('Capacity summary'!J50&lt;&gt;"",IF(LOWER('Capacity summary'!J50)="x",$BI138*J138,VALUE('Capacity summary'!J50)),0),J138*$BI138),J138*$BI138),0)</f>
        <v>0</v>
      </c>
      <c r="BN138" s="5">
        <f>IF($BI138&lt;&gt;"",IF('Capacity summary'!$C$14="Yes",IF(COUNTBLANK('Capacity summary'!$H50:$BG50)&lt;52,IF('Capacity summary'!K50&lt;&gt;"",IF(LOWER('Capacity summary'!K50)="x",$BI138*K138,VALUE('Capacity summary'!K50)),0),K138*$BI138),K138*$BI138),0)</f>
        <v>0</v>
      </c>
      <c r="BO138" s="5">
        <f>IF($BI138&lt;&gt;"",IF('Capacity summary'!$C$14="Yes",IF(COUNTBLANK('Capacity summary'!$H50:$BG50)&lt;52,IF('Capacity summary'!L50&lt;&gt;"",IF(LOWER('Capacity summary'!L50)="x",$BI138*L138,VALUE('Capacity summary'!L50)),0),L138*$BI138),L138*$BI138),0)</f>
        <v>0</v>
      </c>
      <c r="BP138" s="5">
        <f>IF($BI138&lt;&gt;"",IF('Capacity summary'!$C$14="Yes",IF(COUNTBLANK('Capacity summary'!$H50:$BG50)&lt;52,IF('Capacity summary'!M50&lt;&gt;"",IF(LOWER('Capacity summary'!M50)="x",$BI138*M138,VALUE('Capacity summary'!M50)),0),M138*$BI138),M138*$BI138),0)</f>
        <v>0</v>
      </c>
      <c r="BQ138" s="5">
        <f>IF($BI138&lt;&gt;"",IF('Capacity summary'!$C$14="Yes",IF(COUNTBLANK('Capacity summary'!$H50:$BG50)&lt;52,IF('Capacity summary'!N50&lt;&gt;"",IF(LOWER('Capacity summary'!N50)="x",$BI138*N138,VALUE('Capacity summary'!N50)),0),N138*$BI138),N138*$BI138),0)</f>
        <v>0</v>
      </c>
      <c r="BR138" s="5">
        <f>IF($BI138&lt;&gt;"",IF('Capacity summary'!$C$14="Yes",IF(COUNTBLANK('Capacity summary'!$H50:$BG50)&lt;52,IF('Capacity summary'!O50&lt;&gt;"",IF(LOWER('Capacity summary'!O50)="x",$BI138*O138,VALUE('Capacity summary'!O50)),0),O138*$BI138),O138*$BI138),0)</f>
        <v>0</v>
      </c>
      <c r="BS138" s="5">
        <f>IF($BI138&lt;&gt;"",IF('Capacity summary'!$C$14="Yes",IF(COUNTBLANK('Capacity summary'!$H50:$BG50)&lt;52,IF('Capacity summary'!P50&lt;&gt;"",IF(LOWER('Capacity summary'!P50)="x",$BI138*P138,VALUE('Capacity summary'!P50)),0),P138*$BI138),P138*$BI138),0)</f>
        <v>0</v>
      </c>
      <c r="BT138" s="5">
        <f>IF($BI138&lt;&gt;"",IF('Capacity summary'!$C$14="Yes",IF(COUNTBLANK('Capacity summary'!$H50:$BG50)&lt;52,IF('Capacity summary'!Q50&lt;&gt;"",IF(LOWER('Capacity summary'!Q50)="x",$BI138*Q138,VALUE('Capacity summary'!Q50)),0),Q138*$BI138),Q138*$BI138),0)</f>
        <v>0</v>
      </c>
      <c r="BU138" s="5">
        <f>IF($BI138&lt;&gt;"",IF('Capacity summary'!$C$14="Yes",IF(COUNTBLANK('Capacity summary'!$H50:$BG50)&lt;52,IF('Capacity summary'!R50&lt;&gt;"",IF(LOWER('Capacity summary'!R50)="x",$BI138*R138,VALUE('Capacity summary'!R50)),0),R138*$BI138),R138*$BI138),0)</f>
        <v>0</v>
      </c>
      <c r="BV138" s="5">
        <f>IF($BI138&lt;&gt;"",IF('Capacity summary'!$C$14="Yes",IF(COUNTBLANK('Capacity summary'!$H50:$BG50)&lt;52,IF('Capacity summary'!S50&lt;&gt;"",IF(LOWER('Capacity summary'!S50)="x",$BI138*S138,VALUE('Capacity summary'!S50)),0),S138*$BI138),S138*$BI138),0)</f>
        <v>0</v>
      </c>
      <c r="BW138" s="5">
        <f>IF($BI138&lt;&gt;"",IF('Capacity summary'!$C$14="Yes",IF(COUNTBLANK('Capacity summary'!$H50:$BG50)&lt;52,IF('Capacity summary'!T50&lt;&gt;"",IF(LOWER('Capacity summary'!T50)="x",$BI138*T138,VALUE('Capacity summary'!T50)),0),T138*$BI138),T138*$BI138),0)</f>
        <v>0</v>
      </c>
      <c r="BX138" s="5">
        <f>IF($BI138&lt;&gt;"",IF('Capacity summary'!$C$14="Yes",IF(COUNTBLANK('Capacity summary'!$H50:$BG50)&lt;52,IF('Capacity summary'!U50&lt;&gt;"",IF(LOWER('Capacity summary'!U50)="x",$BI138*U138,VALUE('Capacity summary'!U50)),0),U138*$BI138),U138*$BI138),0)</f>
        <v>0</v>
      </c>
      <c r="BY138" s="5">
        <f>IF($BI138&lt;&gt;"",IF('Capacity summary'!$C$14="Yes",IF(COUNTBLANK('Capacity summary'!$H50:$BG50)&lt;52,IF('Capacity summary'!V50&lt;&gt;"",IF(LOWER('Capacity summary'!V50)="x",$BI138*V138,VALUE('Capacity summary'!V50)),0),V138*$BI138),V138*$BI138),0)</f>
        <v>0</v>
      </c>
      <c r="BZ138" s="5">
        <f>IF($BI138&lt;&gt;"",IF('Capacity summary'!$C$14="Yes",IF(COUNTBLANK('Capacity summary'!$H50:$BG50)&lt;52,IF('Capacity summary'!W50&lt;&gt;"",IF(LOWER('Capacity summary'!W50)="x",$BI138*W138,VALUE('Capacity summary'!W50)),0),W138*$BI138),W138*$BI138),0)</f>
        <v>0</v>
      </c>
      <c r="CA138" s="5">
        <f>IF($BI138&lt;&gt;"",IF('Capacity summary'!$C$14="Yes",IF(COUNTBLANK('Capacity summary'!$H50:$BG50)&lt;52,IF('Capacity summary'!X50&lt;&gt;"",IF(LOWER('Capacity summary'!X50)="x",$BI138*X138,VALUE('Capacity summary'!X50)),0),X138*$BI138),X138*$BI138),0)</f>
        <v>0</v>
      </c>
      <c r="CB138" s="5">
        <f>IF($BI138&lt;&gt;"",IF('Capacity summary'!$C$14="Yes",IF(COUNTBLANK('Capacity summary'!$H50:$BG50)&lt;52,IF('Capacity summary'!Y50&lt;&gt;"",IF(LOWER('Capacity summary'!Y50)="x",$BI138*Y138,VALUE('Capacity summary'!Y50)),0),Y138*$BI138),Y138*$BI138),0)</f>
        <v>0</v>
      </c>
      <c r="CC138" s="5">
        <f>IF($BI138&lt;&gt;"",IF('Capacity summary'!$C$14="Yes",IF(COUNTBLANK('Capacity summary'!$H50:$BG50)&lt;52,IF('Capacity summary'!Z50&lt;&gt;"",IF(LOWER('Capacity summary'!Z50)="x",$BI138*Z138,VALUE('Capacity summary'!Z50)),0),Z138*$BI138),Z138*$BI138),0)</f>
        <v>0</v>
      </c>
      <c r="CD138" s="5">
        <f>IF($BI138&lt;&gt;"",IF('Capacity summary'!$C$14="Yes",IF(COUNTBLANK('Capacity summary'!$H50:$BG50)&lt;52,IF('Capacity summary'!AA50&lt;&gt;"",IF(LOWER('Capacity summary'!AA50)="x",$BI138*AA138,VALUE('Capacity summary'!AA50)),0),AA138*$BI138),AA138*$BI138),0)</f>
        <v>0</v>
      </c>
      <c r="CE138" s="5">
        <f>IF($BI138&lt;&gt;"",IF('Capacity summary'!$C$14="Yes",IF(COUNTBLANK('Capacity summary'!$H50:$BG50)&lt;52,IF('Capacity summary'!AB50&lt;&gt;"",IF(LOWER('Capacity summary'!AB50)="x",$BI138*AB138,VALUE('Capacity summary'!AB50)),0),AB138*$BI138),AB138*$BI138),0)</f>
        <v>0</v>
      </c>
      <c r="CF138" s="5">
        <f>IF($BI138&lt;&gt;"",IF('Capacity summary'!$C$14="Yes",IF(COUNTBLANK('Capacity summary'!$H50:$BG50)&lt;52,IF('Capacity summary'!AC50&lt;&gt;"",IF(LOWER('Capacity summary'!AC50)="x",$BI138*AC138,VALUE('Capacity summary'!AC50)),0),AC138*$BI138),AC138*$BI138),0)</f>
        <v>0</v>
      </c>
      <c r="CG138" s="5">
        <f>IF($BI138&lt;&gt;"",IF('Capacity summary'!$C$14="Yes",IF(COUNTBLANK('Capacity summary'!$H50:$BG50)&lt;52,IF('Capacity summary'!AD50&lt;&gt;"",IF(LOWER('Capacity summary'!AD50)="x",$BI138*AD138,VALUE('Capacity summary'!AD50)),0),AD138*$BI138),AD138*$BI138),0)</f>
        <v>0</v>
      </c>
      <c r="CH138" s="5">
        <f>IF($BI138&lt;&gt;"",IF('Capacity summary'!$C$14="Yes",IF(COUNTBLANK('Capacity summary'!$H50:$BG50)&lt;52,IF('Capacity summary'!AE50&lt;&gt;"",IF(LOWER('Capacity summary'!AE50)="x",$BI138*AE138,VALUE('Capacity summary'!AE50)),0),AE138*$BI138),AE138*$BI138),0)</f>
        <v>0</v>
      </c>
      <c r="CI138" s="5">
        <f>IF($BI138&lt;&gt;"",IF('Capacity summary'!$C$14="Yes",IF(COUNTBLANK('Capacity summary'!$H50:$BG50)&lt;52,IF('Capacity summary'!AF50&lt;&gt;"",IF(LOWER('Capacity summary'!AF50)="x",$BI138*AF138,VALUE('Capacity summary'!AF50)),0),AF138*$BI138),AF138*$BI138),0)</f>
        <v>0</v>
      </c>
      <c r="CJ138" s="5">
        <f>IF($BI138&lt;&gt;"",IF('Capacity summary'!$C$14="Yes",IF(COUNTBLANK('Capacity summary'!$H50:$BG50)&lt;52,IF('Capacity summary'!AG50&lt;&gt;"",IF(LOWER('Capacity summary'!AG50)="x",$BI138*AG138,VALUE('Capacity summary'!AG50)),0),AG138*$BI138),AG138*$BI138),0)</f>
        <v>0</v>
      </c>
      <c r="CK138" s="5">
        <f>IF($BI138&lt;&gt;"",IF('Capacity summary'!$C$14="Yes",IF(COUNTBLANK('Capacity summary'!$H50:$BG50)&lt;52,IF('Capacity summary'!AH50&lt;&gt;"",IF(LOWER('Capacity summary'!AH50)="x",$BI138*AH138,VALUE('Capacity summary'!AH50)),0),AH138*$BI138),AH138*$BI138),0)</f>
        <v>0</v>
      </c>
      <c r="CL138" s="5">
        <f>IF($BI138&lt;&gt;"",IF('Capacity summary'!$C$14="Yes",IF(COUNTBLANK('Capacity summary'!$H50:$BG50)&lt;52,IF('Capacity summary'!AI50&lt;&gt;"",IF(LOWER('Capacity summary'!AI50)="x",$BI138*AI138,VALUE('Capacity summary'!AI50)),0),AI138*$BI138),AI138*$BI138),0)</f>
        <v>0</v>
      </c>
      <c r="CM138" s="5">
        <f>IF($BI138&lt;&gt;"",IF('Capacity summary'!$C$14="Yes",IF(COUNTBLANK('Capacity summary'!$H50:$BG50)&lt;52,IF('Capacity summary'!AJ50&lt;&gt;"",IF(LOWER('Capacity summary'!AJ50)="x",$BI138*AJ138,VALUE('Capacity summary'!AJ50)),0),AJ138*$BI138),AJ138*$BI138),0)</f>
        <v>0</v>
      </c>
      <c r="CN138" s="5">
        <f>IF($BI138&lt;&gt;"",IF('Capacity summary'!$C$14="Yes",IF(COUNTBLANK('Capacity summary'!$H50:$BG50)&lt;52,IF('Capacity summary'!AK50&lt;&gt;"",IF(LOWER('Capacity summary'!AK50)="x",$BI138*AK138,VALUE('Capacity summary'!AK50)),0),AK138*$BI138),AK138*$BI138),0)</f>
        <v>0</v>
      </c>
      <c r="CO138" s="5">
        <f>IF($BI138&lt;&gt;"",IF('Capacity summary'!$C$14="Yes",IF(COUNTBLANK('Capacity summary'!$H50:$BG50)&lt;52,IF('Capacity summary'!AL50&lt;&gt;"",IF(LOWER('Capacity summary'!AL50)="x",$BI138*AL138,VALUE('Capacity summary'!AL50)),0),AL138*$BI138),AL138*$BI138),0)</f>
        <v>0</v>
      </c>
      <c r="CP138" s="5">
        <f>IF($BI138&lt;&gt;"",IF('Capacity summary'!$C$14="Yes",IF(COUNTBLANK('Capacity summary'!$H50:$BG50)&lt;52,IF('Capacity summary'!AM50&lt;&gt;"",IF(LOWER('Capacity summary'!AM50)="x",$BI138*AM138,VALUE('Capacity summary'!AM50)),0),AM138*$BI138),AM138*$BI138),0)</f>
        <v>0</v>
      </c>
      <c r="CQ138" s="5">
        <f>IF($BI138&lt;&gt;"",IF('Capacity summary'!$C$14="Yes",IF(COUNTBLANK('Capacity summary'!$H50:$BG50)&lt;52,IF('Capacity summary'!AN50&lt;&gt;"",IF(LOWER('Capacity summary'!AN50)="x",$BI138*AN138,VALUE('Capacity summary'!AN50)),0),AN138*$BI138),AN138*$BI138),0)</f>
        <v>0</v>
      </c>
      <c r="CR138" s="5">
        <f>IF($BI138&lt;&gt;"",IF('Capacity summary'!$C$14="Yes",IF(COUNTBLANK('Capacity summary'!$H50:$BG50)&lt;52,IF('Capacity summary'!AO50&lt;&gt;"",IF(LOWER('Capacity summary'!AO50)="x",$BI138*AO138,VALUE('Capacity summary'!AO50)),0),AO138*$BI138),AO138*$BI138),0)</f>
        <v>0</v>
      </c>
      <c r="CS138" s="5">
        <f>IF($BI138&lt;&gt;"",IF('Capacity summary'!$C$14="Yes",IF(COUNTBLANK('Capacity summary'!$H50:$BG50)&lt;52,IF('Capacity summary'!AP50&lt;&gt;"",IF(LOWER('Capacity summary'!AP50)="x",$BI138*AP138,VALUE('Capacity summary'!AP50)),0),AP138*$BI138),AP138*$BI138),0)</f>
        <v>0</v>
      </c>
      <c r="CT138" s="5">
        <f>IF($BI138&lt;&gt;"",IF('Capacity summary'!$C$14="Yes",IF(COUNTBLANK('Capacity summary'!$H50:$BG50)&lt;52,IF('Capacity summary'!AQ50&lt;&gt;"",IF(LOWER('Capacity summary'!AQ50)="x",$BI138*AQ138,VALUE('Capacity summary'!AQ50)),0),AQ138*$BI138),AQ138*$BI138),0)</f>
        <v>0</v>
      </c>
      <c r="CU138" s="5">
        <f>IF($BI138&lt;&gt;"",IF('Capacity summary'!$C$14="Yes",IF(COUNTBLANK('Capacity summary'!$H50:$BG50)&lt;52,IF('Capacity summary'!AR50&lt;&gt;"",IF(LOWER('Capacity summary'!AR50)="x",$BI138*AR138,VALUE('Capacity summary'!AR50)),0),AR138*$BI138),AR138*$BI138),0)</f>
        <v>0</v>
      </c>
      <c r="CV138" s="5">
        <f>IF($BI138&lt;&gt;"",IF('Capacity summary'!$C$14="Yes",IF(COUNTBLANK('Capacity summary'!$H50:$BG50)&lt;52,IF('Capacity summary'!AS50&lt;&gt;"",IF(LOWER('Capacity summary'!AS50)="x",$BI138*AS138,VALUE('Capacity summary'!AS50)),0),AS138*$BI138),AS138*$BI138),0)</f>
        <v>0</v>
      </c>
      <c r="CW138" s="5">
        <f>IF($BI138&lt;&gt;"",IF('Capacity summary'!$C$14="Yes",IF(COUNTBLANK('Capacity summary'!$H50:$BG50)&lt;52,IF('Capacity summary'!AT50&lt;&gt;"",IF(LOWER('Capacity summary'!AT50)="x",$BI138*AT138,VALUE('Capacity summary'!AT50)),0),AT138*$BI138),AT138*$BI138),0)</f>
        <v>0</v>
      </c>
      <c r="CX138" s="5">
        <f>IF($BI138&lt;&gt;"",IF('Capacity summary'!$C$14="Yes",IF(COUNTBLANK('Capacity summary'!$H50:$BG50)&lt;52,IF('Capacity summary'!AU50&lt;&gt;"",IF(LOWER('Capacity summary'!AU50)="x",$BI138*AU138,VALUE('Capacity summary'!AU50)),0),AU138*$BI138),AU138*$BI138),0)</f>
        <v>0</v>
      </c>
      <c r="CY138" s="5">
        <f>IF($BI138&lt;&gt;"",IF('Capacity summary'!$C$14="Yes",IF(COUNTBLANK('Capacity summary'!$H50:$BG50)&lt;52,IF('Capacity summary'!AV50&lt;&gt;"",IF(LOWER('Capacity summary'!AV50)="x",$BI138*AV138,VALUE('Capacity summary'!AV50)),0),AV138*$BI138),AV138*$BI138),0)</f>
        <v>0</v>
      </c>
      <c r="CZ138" s="5">
        <f>IF($BI138&lt;&gt;"",IF('Capacity summary'!$C$14="Yes",IF(COUNTBLANK('Capacity summary'!$H50:$BG50)&lt;52,IF('Capacity summary'!AW50&lt;&gt;"",IF(LOWER('Capacity summary'!AW50)="x",$BI138*AW138,VALUE('Capacity summary'!AW50)),0),AW138*$BI138),AW138*$BI138),0)</f>
        <v>0</v>
      </c>
      <c r="DA138" s="5">
        <f>IF($BI138&lt;&gt;"",IF('Capacity summary'!$C$14="Yes",IF(COUNTBLANK('Capacity summary'!$H50:$BG50)&lt;52,IF('Capacity summary'!AX50&lt;&gt;"",IF(LOWER('Capacity summary'!AX50)="x",$BI138*AX138,VALUE('Capacity summary'!AX50)),0),AX138*$BI138),AX138*$BI138),0)</f>
        <v>0</v>
      </c>
      <c r="DB138" s="5">
        <f>IF($BI138&lt;&gt;"",IF('Capacity summary'!$C$14="Yes",IF(COUNTBLANK('Capacity summary'!$H50:$BG50)&lt;52,IF('Capacity summary'!AY50&lt;&gt;"",IF(LOWER('Capacity summary'!AY50)="x",$BI138*AY138,VALUE('Capacity summary'!AY50)),0),AY138*$BI138),AY138*$BI138),0)</f>
        <v>0</v>
      </c>
      <c r="DC138" s="5">
        <f>IF($BI138&lt;&gt;"",IF('Capacity summary'!$C$14="Yes",IF(COUNTBLANK('Capacity summary'!$H50:$BG50)&lt;52,IF('Capacity summary'!AZ50&lt;&gt;"",IF(LOWER('Capacity summary'!AZ50)="x",$BI138*AZ138,VALUE('Capacity summary'!AZ50)),0),AZ138*$BI138),AZ138*$BI138),0)</f>
        <v>0</v>
      </c>
      <c r="DD138" s="5">
        <f>IF($BI138&lt;&gt;"",IF('Capacity summary'!$C$14="Yes",IF(COUNTBLANK('Capacity summary'!$H50:$BG50)&lt;52,IF('Capacity summary'!BA50&lt;&gt;"",IF(LOWER('Capacity summary'!BA50)="x",$BI138*BA138,VALUE('Capacity summary'!BA50)),0),BA138*$BI138),BA138*$BI138),0)</f>
        <v>0</v>
      </c>
      <c r="DE138" s="5">
        <f>IF($BI138&lt;&gt;"",IF('Capacity summary'!$C$14="Yes",IF(COUNTBLANK('Capacity summary'!$H50:$BG50)&lt;52,IF('Capacity summary'!BB50&lt;&gt;"",IF(LOWER('Capacity summary'!BB50)="x",$BI138*BB138,VALUE('Capacity summary'!BB50)),0),BB138*$BI138),BB138*$BI138),0)</f>
        <v>0</v>
      </c>
      <c r="DF138" s="5">
        <f>IF($BI138&lt;&gt;"",IF('Capacity summary'!$C$14="Yes",IF(COUNTBLANK('Capacity summary'!$H50:$BG50)&lt;52,IF('Capacity summary'!BC50&lt;&gt;"",IF(LOWER('Capacity summary'!BC50)="x",$BI138*BC138,VALUE('Capacity summary'!BC50)),0),BC138*$BI138),BC138*$BI138),0)</f>
        <v>0</v>
      </c>
      <c r="DG138" s="5">
        <f>IF($BI138&lt;&gt;"",IF('Capacity summary'!$C$14="Yes",IF(COUNTBLANK('Capacity summary'!$H50:$BG50)&lt;52,IF('Capacity summary'!BD50&lt;&gt;"",IF(LOWER('Capacity summary'!BD50)="x",$BI138*BD138,VALUE('Capacity summary'!BD50)),0),BD138*$BI138),BD138*$BI138),0)</f>
        <v>0</v>
      </c>
      <c r="DH138" s="5">
        <f>IF($BI138&lt;&gt;"",IF('Capacity summary'!$C$14="Yes",IF(COUNTBLANK('Capacity summary'!$H50:$BG50)&lt;52,IF('Capacity summary'!BE50&lt;&gt;"",IF(LOWER('Capacity summary'!BE50)="x",$BI138*BE138,VALUE('Capacity summary'!BE50)),0),BE138*$BI138),BE138*$BI138),0)</f>
        <v>0</v>
      </c>
      <c r="DI138" s="5">
        <f>IF($BI138&lt;&gt;"",IF('Capacity summary'!$C$14="Yes",IF(COUNTBLANK('Capacity summary'!$H50:$BG50)&lt;52,IF('Capacity summary'!BF50&lt;&gt;"",IF(LOWER('Capacity summary'!BF50)="x",$BI138*BF138,VALUE('Capacity summary'!BF50)),0),BF138*$BI138),BF138*$BI138),0)</f>
        <v>0</v>
      </c>
      <c r="DJ138" s="5">
        <f>IF($BI138&lt;&gt;"",IF('Capacity summary'!$C$14="Yes",IF(COUNTBLANK('Capacity summary'!$H50:$BG50)&lt;52,IF('Capacity summary'!BG50&lt;&gt;"",IF(LOWER('Capacity summary'!BG50)="x",$BI138*BG138,VALUE('Capacity summary'!BG50)),0),BG138*$BI138),BG138*$BI138),0)</f>
        <v>0</v>
      </c>
      <c r="DK138" s="5">
        <f t="shared" ref="DK138" si="32">SUM(DK139:DK238)</f>
        <v>0</v>
      </c>
    </row>
    <row r="139" spans="3:115" x14ac:dyDescent="0.25">
      <c r="C139" s="67" t="str">
        <f>ROW(A28)&amp;". "&amp;Capacity!N44</f>
        <v xml:space="preserve">28. </v>
      </c>
      <c r="D139" s="67">
        <f>'Capacity setup'!C145</f>
        <v>0</v>
      </c>
      <c r="E139" s="67">
        <f>'Capacity setup'!D145</f>
        <v>0</v>
      </c>
      <c r="F139" s="67">
        <f>'Capacity setup'!E145</f>
        <v>0</v>
      </c>
      <c r="H139" s="67">
        <f ca="1">IF(AND(SUMIF(Capacity_Resource,$D139,'Critical resources (hide)'!U$6:U$105)+SUMIF(Capacity_Resource,$E139,'Critical resources (hide)'!U$6:U$105)+SUMIF(Capacity_Resource,$F139,'Critical resources (hide)'!U$6:U$105)&gt;0,$E$1=2),0,1)</f>
        <v>1</v>
      </c>
      <c r="I139" s="67">
        <f ca="1">IF(AND(SUMIF(Capacity_Resource,$D139,'Critical resources (hide)'!V$6:V$105)+SUMIF(Capacity_Resource,$E139,'Critical resources (hide)'!V$6:V$105)+SUMIF(Capacity_Resource,$F139,'Critical resources (hide)'!V$6:V$105)&gt;0,$E$1=2),0,1)</f>
        <v>1</v>
      </c>
      <c r="J139" s="67">
        <f ca="1">IF(AND(SUMIF(Capacity_Resource,$D139,'Critical resources (hide)'!W$6:W$105)+SUMIF(Capacity_Resource,$E139,'Critical resources (hide)'!W$6:W$105)+SUMIF(Capacity_Resource,$F139,'Critical resources (hide)'!W$6:W$105)&gt;0,$E$1=2),0,1)</f>
        <v>1</v>
      </c>
      <c r="K139" s="67">
        <f ca="1">IF(AND(SUMIF(Capacity_Resource,$D139,'Critical resources (hide)'!X$6:X$105)+SUMIF(Capacity_Resource,$E139,'Critical resources (hide)'!X$6:X$105)+SUMIF(Capacity_Resource,$F139,'Critical resources (hide)'!X$6:X$105)&gt;0,$E$1=2),0,1)</f>
        <v>1</v>
      </c>
      <c r="L139" s="67">
        <f ca="1">IF(AND(SUMIF(Capacity_Resource,$D139,'Critical resources (hide)'!Y$6:Y$105)+SUMIF(Capacity_Resource,$E139,'Critical resources (hide)'!Y$6:Y$105)+SUMIF(Capacity_Resource,$F139,'Critical resources (hide)'!Y$6:Y$105)&gt;0,$E$1=2),0,1)</f>
        <v>1</v>
      </c>
      <c r="M139" s="67">
        <f ca="1">IF(AND(SUMIF(Capacity_Resource,$D139,'Critical resources (hide)'!Z$6:Z$105)+SUMIF(Capacity_Resource,$E139,'Critical resources (hide)'!Z$6:Z$105)+SUMIF(Capacity_Resource,$F139,'Critical resources (hide)'!Z$6:Z$105)&gt;0,$E$1=2),0,1)</f>
        <v>1</v>
      </c>
      <c r="N139" s="67">
        <f ca="1">IF(AND(SUMIF(Capacity_Resource,$D139,'Critical resources (hide)'!AA$6:AA$105)+SUMIF(Capacity_Resource,$E139,'Critical resources (hide)'!AA$6:AA$105)+SUMIF(Capacity_Resource,$F139,'Critical resources (hide)'!AA$6:AA$105)&gt;0,$E$1=2),0,1)</f>
        <v>1</v>
      </c>
      <c r="O139" s="67">
        <f ca="1">IF(AND(SUMIF(Capacity_Resource,$D139,'Critical resources (hide)'!AB$6:AB$105)+SUMIF(Capacity_Resource,$E139,'Critical resources (hide)'!AB$6:AB$105)+SUMIF(Capacity_Resource,$F139,'Critical resources (hide)'!AB$6:AB$105)&gt;0,$E$1=2),0,1)</f>
        <v>1</v>
      </c>
      <c r="P139" s="67">
        <f ca="1">IF(AND(SUMIF(Capacity_Resource,$D139,'Critical resources (hide)'!AC$6:AC$105)+SUMIF(Capacity_Resource,$E139,'Critical resources (hide)'!AC$6:AC$105)+SUMIF(Capacity_Resource,$F139,'Critical resources (hide)'!AC$6:AC$105)&gt;0,$E$1=2),0,1)</f>
        <v>1</v>
      </c>
      <c r="Q139" s="67">
        <f ca="1">IF(AND(SUMIF(Capacity_Resource,$D139,'Critical resources (hide)'!AD$6:AD$105)+SUMIF(Capacity_Resource,$E139,'Critical resources (hide)'!AD$6:AD$105)+SUMIF(Capacity_Resource,$F139,'Critical resources (hide)'!AD$6:AD$105)&gt;0,$E$1=2),0,1)</f>
        <v>1</v>
      </c>
      <c r="R139" s="67">
        <f ca="1">IF(AND(SUMIF(Capacity_Resource,$D139,'Critical resources (hide)'!AE$6:AE$105)+SUMIF(Capacity_Resource,$E139,'Critical resources (hide)'!AE$6:AE$105)+SUMIF(Capacity_Resource,$F139,'Critical resources (hide)'!AE$6:AE$105)&gt;0,$E$1=2),0,1)</f>
        <v>1</v>
      </c>
      <c r="S139" s="67">
        <f ca="1">IF(AND(SUMIF(Capacity_Resource,$D139,'Critical resources (hide)'!AF$6:AF$105)+SUMIF(Capacity_Resource,$E139,'Critical resources (hide)'!AF$6:AF$105)+SUMIF(Capacity_Resource,$F139,'Critical resources (hide)'!AF$6:AF$105)&gt;0,$E$1=2),0,1)</f>
        <v>1</v>
      </c>
      <c r="T139" s="67">
        <f ca="1">IF(AND(SUMIF(Capacity_Resource,$D139,'Critical resources (hide)'!AG$6:AG$105)+SUMIF(Capacity_Resource,$E139,'Critical resources (hide)'!AG$6:AG$105)+SUMIF(Capacity_Resource,$F139,'Critical resources (hide)'!AG$6:AG$105)&gt;0,$E$1=2),0,1)</f>
        <v>1</v>
      </c>
      <c r="U139" s="67">
        <f ca="1">IF(AND(SUMIF(Capacity_Resource,$D139,'Critical resources (hide)'!AH$6:AH$105)+SUMIF(Capacity_Resource,$E139,'Critical resources (hide)'!AH$6:AH$105)+SUMIF(Capacity_Resource,$F139,'Critical resources (hide)'!AH$6:AH$105)&gt;0,$E$1=2),0,1)</f>
        <v>1</v>
      </c>
      <c r="V139" s="67">
        <f ca="1">IF(AND(SUMIF(Capacity_Resource,$D139,'Critical resources (hide)'!AI$6:AI$105)+SUMIF(Capacity_Resource,$E139,'Critical resources (hide)'!AI$6:AI$105)+SUMIF(Capacity_Resource,$F139,'Critical resources (hide)'!AI$6:AI$105)&gt;0,$E$1=2),0,1)</f>
        <v>1</v>
      </c>
      <c r="W139" s="67">
        <f ca="1">IF(AND(SUMIF(Capacity_Resource,$D139,'Critical resources (hide)'!AJ$6:AJ$105)+SUMIF(Capacity_Resource,$E139,'Critical resources (hide)'!AJ$6:AJ$105)+SUMIF(Capacity_Resource,$F139,'Critical resources (hide)'!AJ$6:AJ$105)&gt;0,$E$1=2),0,1)</f>
        <v>1</v>
      </c>
      <c r="X139" s="67">
        <f ca="1">IF(AND(SUMIF(Capacity_Resource,$D139,'Critical resources (hide)'!AK$6:AK$105)+SUMIF(Capacity_Resource,$E139,'Critical resources (hide)'!AK$6:AK$105)+SUMIF(Capacity_Resource,$F139,'Critical resources (hide)'!AK$6:AK$105)&gt;0,$E$1=2),0,1)</f>
        <v>1</v>
      </c>
      <c r="Y139" s="67">
        <f ca="1">IF(AND(SUMIF(Capacity_Resource,$D139,'Critical resources (hide)'!AL$6:AL$105)+SUMIF(Capacity_Resource,$E139,'Critical resources (hide)'!AL$6:AL$105)+SUMIF(Capacity_Resource,$F139,'Critical resources (hide)'!AL$6:AL$105)&gt;0,$E$1=2),0,1)</f>
        <v>1</v>
      </c>
      <c r="Z139" s="67">
        <f ca="1">IF(AND(SUMIF(Capacity_Resource,$D139,'Critical resources (hide)'!AM$6:AM$105)+SUMIF(Capacity_Resource,$E139,'Critical resources (hide)'!AM$6:AM$105)+SUMIF(Capacity_Resource,$F139,'Critical resources (hide)'!AM$6:AM$105)&gt;0,$E$1=2),0,1)</f>
        <v>1</v>
      </c>
      <c r="AA139" s="67">
        <f ca="1">IF(AND(SUMIF(Capacity_Resource,$D139,'Critical resources (hide)'!AN$6:AN$105)+SUMIF(Capacity_Resource,$E139,'Critical resources (hide)'!AN$6:AN$105)+SUMIF(Capacity_Resource,$F139,'Critical resources (hide)'!AN$6:AN$105)&gt;0,$E$1=2),0,1)</f>
        <v>1</v>
      </c>
      <c r="AB139" s="67">
        <f ca="1">IF(AND(SUMIF(Capacity_Resource,$D139,'Critical resources (hide)'!AO$6:AO$105)+SUMIF(Capacity_Resource,$E139,'Critical resources (hide)'!AO$6:AO$105)+SUMIF(Capacity_Resource,$F139,'Critical resources (hide)'!AO$6:AO$105)&gt;0,$E$1=2),0,1)</f>
        <v>1</v>
      </c>
      <c r="AC139" s="67">
        <f ca="1">IF(AND(SUMIF(Capacity_Resource,$D139,'Critical resources (hide)'!AP$6:AP$105)+SUMIF(Capacity_Resource,$E139,'Critical resources (hide)'!AP$6:AP$105)+SUMIF(Capacity_Resource,$F139,'Critical resources (hide)'!AP$6:AP$105)&gt;0,$E$1=2),0,1)</f>
        <v>1</v>
      </c>
      <c r="AD139" s="67">
        <f ca="1">IF(AND(SUMIF(Capacity_Resource,$D139,'Critical resources (hide)'!AQ$6:AQ$105)+SUMIF(Capacity_Resource,$E139,'Critical resources (hide)'!AQ$6:AQ$105)+SUMIF(Capacity_Resource,$F139,'Critical resources (hide)'!AQ$6:AQ$105)&gt;0,$E$1=2),0,1)</f>
        <v>1</v>
      </c>
      <c r="AE139" s="67">
        <f ca="1">IF(AND(SUMIF(Capacity_Resource,$D139,'Critical resources (hide)'!AR$6:AR$105)+SUMIF(Capacity_Resource,$E139,'Critical resources (hide)'!AR$6:AR$105)+SUMIF(Capacity_Resource,$F139,'Critical resources (hide)'!AR$6:AR$105)&gt;0,$E$1=2),0,1)</f>
        <v>1</v>
      </c>
      <c r="AF139" s="67">
        <f ca="1">IF(AND(SUMIF(Capacity_Resource,$D139,'Critical resources (hide)'!AS$6:AS$105)+SUMIF(Capacity_Resource,$E139,'Critical resources (hide)'!AS$6:AS$105)+SUMIF(Capacity_Resource,$F139,'Critical resources (hide)'!AS$6:AS$105)&gt;0,$E$1=2),0,1)</f>
        <v>1</v>
      </c>
      <c r="AG139" s="67">
        <f ca="1">IF(AND(SUMIF(Capacity_Resource,$D139,'Critical resources (hide)'!AT$6:AT$105)+SUMIF(Capacity_Resource,$E139,'Critical resources (hide)'!AT$6:AT$105)+SUMIF(Capacity_Resource,$F139,'Critical resources (hide)'!AT$6:AT$105)&gt;0,$E$1=2),0,1)</f>
        <v>1</v>
      </c>
      <c r="AH139" s="67">
        <f ca="1">IF(AND(SUMIF(Capacity_Resource,$D139,'Critical resources (hide)'!AU$6:AU$105)+SUMIF(Capacity_Resource,$E139,'Critical resources (hide)'!AU$6:AU$105)+SUMIF(Capacity_Resource,$F139,'Critical resources (hide)'!AU$6:AU$105)&gt;0,$E$1=2),0,1)</f>
        <v>1</v>
      </c>
      <c r="AI139" s="67">
        <f ca="1">IF(AND(SUMIF(Capacity_Resource,$D139,'Critical resources (hide)'!AV$6:AV$105)+SUMIF(Capacity_Resource,$E139,'Critical resources (hide)'!AV$6:AV$105)+SUMIF(Capacity_Resource,$F139,'Critical resources (hide)'!AV$6:AV$105)&gt;0,$E$1=2),0,1)</f>
        <v>1</v>
      </c>
      <c r="AJ139" s="67">
        <f ca="1">IF(AND(SUMIF(Capacity_Resource,$D139,'Critical resources (hide)'!AW$6:AW$105)+SUMIF(Capacity_Resource,$E139,'Critical resources (hide)'!AW$6:AW$105)+SUMIF(Capacity_Resource,$F139,'Critical resources (hide)'!AW$6:AW$105)&gt;0,$E$1=2),0,1)</f>
        <v>1</v>
      </c>
      <c r="AK139" s="67">
        <f ca="1">IF(AND(SUMIF(Capacity_Resource,$D139,'Critical resources (hide)'!AX$6:AX$105)+SUMIF(Capacity_Resource,$E139,'Critical resources (hide)'!AX$6:AX$105)+SUMIF(Capacity_Resource,$F139,'Critical resources (hide)'!AX$6:AX$105)&gt;0,$E$1=2),0,1)</f>
        <v>1</v>
      </c>
      <c r="AL139" s="67">
        <f ca="1">IF(AND(SUMIF(Capacity_Resource,$D139,'Critical resources (hide)'!AY$6:AY$105)+SUMIF(Capacity_Resource,$E139,'Critical resources (hide)'!AY$6:AY$105)+SUMIF(Capacity_Resource,$F139,'Critical resources (hide)'!AY$6:AY$105)&gt;0,$E$1=2),0,1)</f>
        <v>1</v>
      </c>
      <c r="AM139" s="67">
        <f ca="1">IF(AND(SUMIF(Capacity_Resource,$D139,'Critical resources (hide)'!AZ$6:AZ$105)+SUMIF(Capacity_Resource,$E139,'Critical resources (hide)'!AZ$6:AZ$105)+SUMIF(Capacity_Resource,$F139,'Critical resources (hide)'!AZ$6:AZ$105)&gt;0,$E$1=2),0,1)</f>
        <v>1</v>
      </c>
      <c r="AN139" s="67">
        <f ca="1">IF(AND(SUMIF(Capacity_Resource,$D139,'Critical resources (hide)'!BA$6:BA$105)+SUMIF(Capacity_Resource,$E139,'Critical resources (hide)'!BA$6:BA$105)+SUMIF(Capacity_Resource,$F139,'Critical resources (hide)'!BA$6:BA$105)&gt;0,$E$1=2),0,1)</f>
        <v>1</v>
      </c>
      <c r="AO139" s="67">
        <f ca="1">IF(AND(SUMIF(Capacity_Resource,$D139,'Critical resources (hide)'!BB$6:BB$105)+SUMIF(Capacity_Resource,$E139,'Critical resources (hide)'!BB$6:BB$105)+SUMIF(Capacity_Resource,$F139,'Critical resources (hide)'!BB$6:BB$105)&gt;0,$E$1=2),0,1)</f>
        <v>1</v>
      </c>
      <c r="AP139" s="67">
        <f ca="1">IF(AND(SUMIF(Capacity_Resource,$D139,'Critical resources (hide)'!BC$6:BC$105)+SUMIF(Capacity_Resource,$E139,'Critical resources (hide)'!BC$6:BC$105)+SUMIF(Capacity_Resource,$F139,'Critical resources (hide)'!BC$6:BC$105)&gt;0,$E$1=2),0,1)</f>
        <v>1</v>
      </c>
      <c r="AQ139" s="67">
        <f ca="1">IF(AND(SUMIF(Capacity_Resource,$D139,'Critical resources (hide)'!BD$6:BD$105)+SUMIF(Capacity_Resource,$E139,'Critical resources (hide)'!BD$6:BD$105)+SUMIF(Capacity_Resource,$F139,'Critical resources (hide)'!BD$6:BD$105)&gt;0,$E$1=2),0,1)</f>
        <v>1</v>
      </c>
      <c r="AR139" s="67">
        <f ca="1">IF(AND(SUMIF(Capacity_Resource,$D139,'Critical resources (hide)'!BE$6:BE$105)+SUMIF(Capacity_Resource,$E139,'Critical resources (hide)'!BE$6:BE$105)+SUMIF(Capacity_Resource,$F139,'Critical resources (hide)'!BE$6:BE$105)&gt;0,$E$1=2),0,1)</f>
        <v>1</v>
      </c>
      <c r="AS139" s="67">
        <f ca="1">IF(AND(SUMIF(Capacity_Resource,$D139,'Critical resources (hide)'!BF$6:BF$105)+SUMIF(Capacity_Resource,$E139,'Critical resources (hide)'!BF$6:BF$105)+SUMIF(Capacity_Resource,$F139,'Critical resources (hide)'!BF$6:BF$105)&gt;0,$E$1=2),0,1)</f>
        <v>1</v>
      </c>
      <c r="AT139" s="67">
        <f ca="1">IF(AND(SUMIF(Capacity_Resource,$D139,'Critical resources (hide)'!BG$6:BG$105)+SUMIF(Capacity_Resource,$E139,'Critical resources (hide)'!BG$6:BG$105)+SUMIF(Capacity_Resource,$F139,'Critical resources (hide)'!BG$6:BG$105)&gt;0,$E$1=2),0,1)</f>
        <v>1</v>
      </c>
      <c r="AU139" s="67">
        <f ca="1">IF(AND(SUMIF(Capacity_Resource,$D139,'Critical resources (hide)'!BH$6:BH$105)+SUMIF(Capacity_Resource,$E139,'Critical resources (hide)'!BH$6:BH$105)+SUMIF(Capacity_Resource,$F139,'Critical resources (hide)'!BH$6:BH$105)&gt;0,$E$1=2),0,1)</f>
        <v>1</v>
      </c>
      <c r="AV139" s="67">
        <f ca="1">IF(AND(SUMIF(Capacity_Resource,$D139,'Critical resources (hide)'!BI$6:BI$105)+SUMIF(Capacity_Resource,$E139,'Critical resources (hide)'!BI$6:BI$105)+SUMIF(Capacity_Resource,$F139,'Critical resources (hide)'!BI$6:BI$105)&gt;0,$E$1=2),0,1)</f>
        <v>1</v>
      </c>
      <c r="AW139" s="67">
        <f ca="1">IF(AND(SUMIF(Capacity_Resource,$D139,'Critical resources (hide)'!BJ$6:BJ$105)+SUMIF(Capacity_Resource,$E139,'Critical resources (hide)'!BJ$6:BJ$105)+SUMIF(Capacity_Resource,$F139,'Critical resources (hide)'!BJ$6:BJ$105)&gt;0,$E$1=2),0,1)</f>
        <v>1</v>
      </c>
      <c r="AX139" s="67">
        <f ca="1">IF(AND(SUMIF(Capacity_Resource,$D139,'Critical resources (hide)'!BK$6:BK$105)+SUMIF(Capacity_Resource,$E139,'Critical resources (hide)'!BK$6:BK$105)+SUMIF(Capacity_Resource,$F139,'Critical resources (hide)'!BK$6:BK$105)&gt;0,$E$1=2),0,1)</f>
        <v>1</v>
      </c>
      <c r="AY139" s="67">
        <f ca="1">IF(AND(SUMIF(Capacity_Resource,$D139,'Critical resources (hide)'!BL$6:BL$105)+SUMIF(Capacity_Resource,$E139,'Critical resources (hide)'!BL$6:BL$105)+SUMIF(Capacity_Resource,$F139,'Critical resources (hide)'!BL$6:BL$105)&gt;0,$E$1=2),0,1)</f>
        <v>1</v>
      </c>
      <c r="AZ139" s="67">
        <f ca="1">IF(AND(SUMIF(Capacity_Resource,$D139,'Critical resources (hide)'!BM$6:BM$105)+SUMIF(Capacity_Resource,$E139,'Critical resources (hide)'!BM$6:BM$105)+SUMIF(Capacity_Resource,$F139,'Critical resources (hide)'!BM$6:BM$105)&gt;0,$E$1=2),0,1)</f>
        <v>1</v>
      </c>
      <c r="BA139" s="67">
        <f ca="1">IF(AND(SUMIF(Capacity_Resource,$D139,'Critical resources (hide)'!BN$6:BN$105)+SUMIF(Capacity_Resource,$E139,'Critical resources (hide)'!BN$6:BN$105)+SUMIF(Capacity_Resource,$F139,'Critical resources (hide)'!BN$6:BN$105)&gt;0,$E$1=2),0,1)</f>
        <v>1</v>
      </c>
      <c r="BB139" s="67">
        <f ca="1">IF(AND(SUMIF(Capacity_Resource,$D139,'Critical resources (hide)'!BO$6:BO$105)+SUMIF(Capacity_Resource,$E139,'Critical resources (hide)'!BO$6:BO$105)+SUMIF(Capacity_Resource,$F139,'Critical resources (hide)'!BO$6:BO$105)&gt;0,$E$1=2),0,1)</f>
        <v>1</v>
      </c>
      <c r="BC139" s="67">
        <f ca="1">IF(AND(SUMIF(Capacity_Resource,$D139,'Critical resources (hide)'!BP$6:BP$105)+SUMIF(Capacity_Resource,$E139,'Critical resources (hide)'!BP$6:BP$105)+SUMIF(Capacity_Resource,$F139,'Critical resources (hide)'!BP$6:BP$105)&gt;0,$E$1=2),0,1)</f>
        <v>1</v>
      </c>
      <c r="BD139" s="67">
        <f ca="1">IF(AND(SUMIF(Capacity_Resource,$D139,'Critical resources (hide)'!BQ$6:BQ$105)+SUMIF(Capacity_Resource,$E139,'Critical resources (hide)'!BQ$6:BQ$105)+SUMIF(Capacity_Resource,$F139,'Critical resources (hide)'!BQ$6:BQ$105)&gt;0,$E$1=2),0,1)</f>
        <v>1</v>
      </c>
      <c r="BE139" s="67">
        <f ca="1">IF(AND(SUMIF(Capacity_Resource,$D139,'Critical resources (hide)'!BR$6:BR$105)+SUMIF(Capacity_Resource,$E139,'Critical resources (hide)'!BR$6:BR$105)+SUMIF(Capacity_Resource,$F139,'Critical resources (hide)'!BR$6:BR$105)&gt;0,$E$1=2),0,1)</f>
        <v>1</v>
      </c>
      <c r="BF139" s="67">
        <f ca="1">IF(AND(SUMIF(Capacity_Resource,$D139,'Critical resources (hide)'!BS$6:BS$105)+SUMIF(Capacity_Resource,$E139,'Critical resources (hide)'!BS$6:BS$105)+SUMIF(Capacity_Resource,$F139,'Critical resources (hide)'!BS$6:BS$105)&gt;0,$E$1=2),0,1)</f>
        <v>1</v>
      </c>
      <c r="BG139" s="67">
        <f ca="1">IF(AND(SUMIF(Capacity_Resource,$D139,'Critical resources (hide)'!BT$6:BT$105)+SUMIF(Capacity_Resource,$E139,'Critical resources (hide)'!BT$6:BT$105)+SUMIF(Capacity_Resource,$F139,'Critical resources (hide)'!BT$6:BT$105)&gt;0,$E$1=2),0,1)</f>
        <v>1</v>
      </c>
      <c r="BH139" s="67">
        <f>IF(ROW(A28)&lt;=Capacity!$M$16,IF('Capacity summary'!$C$14="No",SUM(H139:BG139),'Capacity summary'!$E51),0)</f>
        <v>0</v>
      </c>
      <c r="BI139" s="67" t="str">
        <f>IF(BH139&gt;0,IF(BH139&lt;Capacity!Q44,Capacity!R44,Capacity!T44/'Capacity calculation (hide)'!BH139),"")</f>
        <v/>
      </c>
      <c r="BJ139" s="5"/>
      <c r="BK139" s="5">
        <f>IF($BI139&lt;&gt;"",IF('Capacity summary'!$C$14="Yes",IF(COUNTBLANK('Capacity summary'!$H51:$BG51)&lt;52,IF('Capacity summary'!H51&lt;&gt;"",IF(LOWER('Capacity summary'!H51)="x",$BI139*H139,VALUE('Capacity summary'!H51)),0),H139*$BI139),H139*$BI139),0)</f>
        <v>0</v>
      </c>
      <c r="BL139" s="5">
        <f>IF($BI139&lt;&gt;"",IF('Capacity summary'!$C$14="Yes",IF(COUNTBLANK('Capacity summary'!$H51:$BG51)&lt;52,IF('Capacity summary'!I51&lt;&gt;"",IF(LOWER('Capacity summary'!I51)="x",$BI139*I139,VALUE('Capacity summary'!I51)),0),I139*$BI139),I139*$BI139),0)</f>
        <v>0</v>
      </c>
      <c r="BM139" s="5">
        <f>IF($BI139&lt;&gt;"",IF('Capacity summary'!$C$14="Yes",IF(COUNTBLANK('Capacity summary'!$H51:$BG51)&lt;52,IF('Capacity summary'!J51&lt;&gt;"",IF(LOWER('Capacity summary'!J51)="x",$BI139*J139,VALUE('Capacity summary'!J51)),0),J139*$BI139),J139*$BI139),0)</f>
        <v>0</v>
      </c>
      <c r="BN139" s="5">
        <f>IF($BI139&lt;&gt;"",IF('Capacity summary'!$C$14="Yes",IF(COUNTBLANK('Capacity summary'!$H51:$BG51)&lt;52,IF('Capacity summary'!K51&lt;&gt;"",IF(LOWER('Capacity summary'!K51)="x",$BI139*K139,VALUE('Capacity summary'!K51)),0),K139*$BI139),K139*$BI139),0)</f>
        <v>0</v>
      </c>
      <c r="BO139" s="5">
        <f>IF($BI139&lt;&gt;"",IF('Capacity summary'!$C$14="Yes",IF(COUNTBLANK('Capacity summary'!$H51:$BG51)&lt;52,IF('Capacity summary'!L51&lt;&gt;"",IF(LOWER('Capacity summary'!L51)="x",$BI139*L139,VALUE('Capacity summary'!L51)),0),L139*$BI139),L139*$BI139),0)</f>
        <v>0</v>
      </c>
      <c r="BP139" s="5">
        <f>IF($BI139&lt;&gt;"",IF('Capacity summary'!$C$14="Yes",IF(COUNTBLANK('Capacity summary'!$H51:$BG51)&lt;52,IF('Capacity summary'!M51&lt;&gt;"",IF(LOWER('Capacity summary'!M51)="x",$BI139*M139,VALUE('Capacity summary'!M51)),0),M139*$BI139),M139*$BI139),0)</f>
        <v>0</v>
      </c>
      <c r="BQ139" s="5">
        <f>IF($BI139&lt;&gt;"",IF('Capacity summary'!$C$14="Yes",IF(COUNTBLANK('Capacity summary'!$H51:$BG51)&lt;52,IF('Capacity summary'!N51&lt;&gt;"",IF(LOWER('Capacity summary'!N51)="x",$BI139*N139,VALUE('Capacity summary'!N51)),0),N139*$BI139),N139*$BI139),0)</f>
        <v>0</v>
      </c>
      <c r="BR139" s="5">
        <f>IF($BI139&lt;&gt;"",IF('Capacity summary'!$C$14="Yes",IF(COUNTBLANK('Capacity summary'!$H51:$BG51)&lt;52,IF('Capacity summary'!O51&lt;&gt;"",IF(LOWER('Capacity summary'!O51)="x",$BI139*O139,VALUE('Capacity summary'!O51)),0),O139*$BI139),O139*$BI139),0)</f>
        <v>0</v>
      </c>
      <c r="BS139" s="5">
        <f>IF($BI139&lt;&gt;"",IF('Capacity summary'!$C$14="Yes",IF(COUNTBLANK('Capacity summary'!$H51:$BG51)&lt;52,IF('Capacity summary'!P51&lt;&gt;"",IF(LOWER('Capacity summary'!P51)="x",$BI139*P139,VALUE('Capacity summary'!P51)),0),P139*$BI139),P139*$BI139),0)</f>
        <v>0</v>
      </c>
      <c r="BT139" s="5">
        <f>IF($BI139&lt;&gt;"",IF('Capacity summary'!$C$14="Yes",IF(COUNTBLANK('Capacity summary'!$H51:$BG51)&lt;52,IF('Capacity summary'!Q51&lt;&gt;"",IF(LOWER('Capacity summary'!Q51)="x",$BI139*Q139,VALUE('Capacity summary'!Q51)),0),Q139*$BI139),Q139*$BI139),0)</f>
        <v>0</v>
      </c>
      <c r="BU139" s="5">
        <f>IF($BI139&lt;&gt;"",IF('Capacity summary'!$C$14="Yes",IF(COUNTBLANK('Capacity summary'!$H51:$BG51)&lt;52,IF('Capacity summary'!R51&lt;&gt;"",IF(LOWER('Capacity summary'!R51)="x",$BI139*R139,VALUE('Capacity summary'!R51)),0),R139*$BI139),R139*$BI139),0)</f>
        <v>0</v>
      </c>
      <c r="BV139" s="5">
        <f>IF($BI139&lt;&gt;"",IF('Capacity summary'!$C$14="Yes",IF(COUNTBLANK('Capacity summary'!$H51:$BG51)&lt;52,IF('Capacity summary'!S51&lt;&gt;"",IF(LOWER('Capacity summary'!S51)="x",$BI139*S139,VALUE('Capacity summary'!S51)),0),S139*$BI139),S139*$BI139),0)</f>
        <v>0</v>
      </c>
      <c r="BW139" s="5">
        <f>IF($BI139&lt;&gt;"",IF('Capacity summary'!$C$14="Yes",IF(COUNTBLANK('Capacity summary'!$H51:$BG51)&lt;52,IF('Capacity summary'!T51&lt;&gt;"",IF(LOWER('Capacity summary'!T51)="x",$BI139*T139,VALUE('Capacity summary'!T51)),0),T139*$BI139),T139*$BI139),0)</f>
        <v>0</v>
      </c>
      <c r="BX139" s="5">
        <f>IF($BI139&lt;&gt;"",IF('Capacity summary'!$C$14="Yes",IF(COUNTBLANK('Capacity summary'!$H51:$BG51)&lt;52,IF('Capacity summary'!U51&lt;&gt;"",IF(LOWER('Capacity summary'!U51)="x",$BI139*U139,VALUE('Capacity summary'!U51)),0),U139*$BI139),U139*$BI139),0)</f>
        <v>0</v>
      </c>
      <c r="BY139" s="5">
        <f>IF($BI139&lt;&gt;"",IF('Capacity summary'!$C$14="Yes",IF(COUNTBLANK('Capacity summary'!$H51:$BG51)&lt;52,IF('Capacity summary'!V51&lt;&gt;"",IF(LOWER('Capacity summary'!V51)="x",$BI139*V139,VALUE('Capacity summary'!V51)),0),V139*$BI139),V139*$BI139),0)</f>
        <v>0</v>
      </c>
      <c r="BZ139" s="5">
        <f>IF($BI139&lt;&gt;"",IF('Capacity summary'!$C$14="Yes",IF(COUNTBLANK('Capacity summary'!$H51:$BG51)&lt;52,IF('Capacity summary'!W51&lt;&gt;"",IF(LOWER('Capacity summary'!W51)="x",$BI139*W139,VALUE('Capacity summary'!W51)),0),W139*$BI139),W139*$BI139),0)</f>
        <v>0</v>
      </c>
      <c r="CA139" s="5">
        <f>IF($BI139&lt;&gt;"",IF('Capacity summary'!$C$14="Yes",IF(COUNTBLANK('Capacity summary'!$H51:$BG51)&lt;52,IF('Capacity summary'!X51&lt;&gt;"",IF(LOWER('Capacity summary'!X51)="x",$BI139*X139,VALUE('Capacity summary'!X51)),0),X139*$BI139),X139*$BI139),0)</f>
        <v>0</v>
      </c>
      <c r="CB139" s="5">
        <f>IF($BI139&lt;&gt;"",IF('Capacity summary'!$C$14="Yes",IF(COUNTBLANK('Capacity summary'!$H51:$BG51)&lt;52,IF('Capacity summary'!Y51&lt;&gt;"",IF(LOWER('Capacity summary'!Y51)="x",$BI139*Y139,VALUE('Capacity summary'!Y51)),0),Y139*$BI139),Y139*$BI139),0)</f>
        <v>0</v>
      </c>
      <c r="CC139" s="5">
        <f>IF($BI139&lt;&gt;"",IF('Capacity summary'!$C$14="Yes",IF(COUNTBLANK('Capacity summary'!$H51:$BG51)&lt;52,IF('Capacity summary'!Z51&lt;&gt;"",IF(LOWER('Capacity summary'!Z51)="x",$BI139*Z139,VALUE('Capacity summary'!Z51)),0),Z139*$BI139),Z139*$BI139),0)</f>
        <v>0</v>
      </c>
      <c r="CD139" s="5">
        <f>IF($BI139&lt;&gt;"",IF('Capacity summary'!$C$14="Yes",IF(COUNTBLANK('Capacity summary'!$H51:$BG51)&lt;52,IF('Capacity summary'!AA51&lt;&gt;"",IF(LOWER('Capacity summary'!AA51)="x",$BI139*AA139,VALUE('Capacity summary'!AA51)),0),AA139*$BI139),AA139*$BI139),0)</f>
        <v>0</v>
      </c>
      <c r="CE139" s="5">
        <f>IF($BI139&lt;&gt;"",IF('Capacity summary'!$C$14="Yes",IF(COUNTBLANK('Capacity summary'!$H51:$BG51)&lt;52,IF('Capacity summary'!AB51&lt;&gt;"",IF(LOWER('Capacity summary'!AB51)="x",$BI139*AB139,VALUE('Capacity summary'!AB51)),0),AB139*$BI139),AB139*$BI139),0)</f>
        <v>0</v>
      </c>
      <c r="CF139" s="5">
        <f>IF($BI139&lt;&gt;"",IF('Capacity summary'!$C$14="Yes",IF(COUNTBLANK('Capacity summary'!$H51:$BG51)&lt;52,IF('Capacity summary'!AC51&lt;&gt;"",IF(LOWER('Capacity summary'!AC51)="x",$BI139*AC139,VALUE('Capacity summary'!AC51)),0),AC139*$BI139),AC139*$BI139),0)</f>
        <v>0</v>
      </c>
      <c r="CG139" s="5">
        <f>IF($BI139&lt;&gt;"",IF('Capacity summary'!$C$14="Yes",IF(COUNTBLANK('Capacity summary'!$H51:$BG51)&lt;52,IF('Capacity summary'!AD51&lt;&gt;"",IF(LOWER('Capacity summary'!AD51)="x",$BI139*AD139,VALUE('Capacity summary'!AD51)),0),AD139*$BI139),AD139*$BI139),0)</f>
        <v>0</v>
      </c>
      <c r="CH139" s="5">
        <f>IF($BI139&lt;&gt;"",IF('Capacity summary'!$C$14="Yes",IF(COUNTBLANK('Capacity summary'!$H51:$BG51)&lt;52,IF('Capacity summary'!AE51&lt;&gt;"",IF(LOWER('Capacity summary'!AE51)="x",$BI139*AE139,VALUE('Capacity summary'!AE51)),0),AE139*$BI139),AE139*$BI139),0)</f>
        <v>0</v>
      </c>
      <c r="CI139" s="5">
        <f>IF($BI139&lt;&gt;"",IF('Capacity summary'!$C$14="Yes",IF(COUNTBLANK('Capacity summary'!$H51:$BG51)&lt;52,IF('Capacity summary'!AF51&lt;&gt;"",IF(LOWER('Capacity summary'!AF51)="x",$BI139*AF139,VALUE('Capacity summary'!AF51)),0),AF139*$BI139),AF139*$BI139),0)</f>
        <v>0</v>
      </c>
      <c r="CJ139" s="5">
        <f>IF($BI139&lt;&gt;"",IF('Capacity summary'!$C$14="Yes",IF(COUNTBLANK('Capacity summary'!$H51:$BG51)&lt;52,IF('Capacity summary'!AG51&lt;&gt;"",IF(LOWER('Capacity summary'!AG51)="x",$BI139*AG139,VALUE('Capacity summary'!AG51)),0),AG139*$BI139),AG139*$BI139),0)</f>
        <v>0</v>
      </c>
      <c r="CK139" s="5">
        <f>IF($BI139&lt;&gt;"",IF('Capacity summary'!$C$14="Yes",IF(COUNTBLANK('Capacity summary'!$H51:$BG51)&lt;52,IF('Capacity summary'!AH51&lt;&gt;"",IF(LOWER('Capacity summary'!AH51)="x",$BI139*AH139,VALUE('Capacity summary'!AH51)),0),AH139*$BI139),AH139*$BI139),0)</f>
        <v>0</v>
      </c>
      <c r="CL139" s="5">
        <f>IF($BI139&lt;&gt;"",IF('Capacity summary'!$C$14="Yes",IF(COUNTBLANK('Capacity summary'!$H51:$BG51)&lt;52,IF('Capacity summary'!AI51&lt;&gt;"",IF(LOWER('Capacity summary'!AI51)="x",$BI139*AI139,VALUE('Capacity summary'!AI51)),0),AI139*$BI139),AI139*$BI139),0)</f>
        <v>0</v>
      </c>
      <c r="CM139" s="5">
        <f>IF($BI139&lt;&gt;"",IF('Capacity summary'!$C$14="Yes",IF(COUNTBLANK('Capacity summary'!$H51:$BG51)&lt;52,IF('Capacity summary'!AJ51&lt;&gt;"",IF(LOWER('Capacity summary'!AJ51)="x",$BI139*AJ139,VALUE('Capacity summary'!AJ51)),0),AJ139*$BI139),AJ139*$BI139),0)</f>
        <v>0</v>
      </c>
      <c r="CN139" s="5">
        <f>IF($BI139&lt;&gt;"",IF('Capacity summary'!$C$14="Yes",IF(COUNTBLANK('Capacity summary'!$H51:$BG51)&lt;52,IF('Capacity summary'!AK51&lt;&gt;"",IF(LOWER('Capacity summary'!AK51)="x",$BI139*AK139,VALUE('Capacity summary'!AK51)),0),AK139*$BI139),AK139*$BI139),0)</f>
        <v>0</v>
      </c>
      <c r="CO139" s="5">
        <f>IF($BI139&lt;&gt;"",IF('Capacity summary'!$C$14="Yes",IF(COUNTBLANK('Capacity summary'!$H51:$BG51)&lt;52,IF('Capacity summary'!AL51&lt;&gt;"",IF(LOWER('Capacity summary'!AL51)="x",$BI139*AL139,VALUE('Capacity summary'!AL51)),0),AL139*$BI139),AL139*$BI139),0)</f>
        <v>0</v>
      </c>
      <c r="CP139" s="5">
        <f>IF($BI139&lt;&gt;"",IF('Capacity summary'!$C$14="Yes",IF(COUNTBLANK('Capacity summary'!$H51:$BG51)&lt;52,IF('Capacity summary'!AM51&lt;&gt;"",IF(LOWER('Capacity summary'!AM51)="x",$BI139*AM139,VALUE('Capacity summary'!AM51)),0),AM139*$BI139),AM139*$BI139),0)</f>
        <v>0</v>
      </c>
      <c r="CQ139" s="5">
        <f>IF($BI139&lt;&gt;"",IF('Capacity summary'!$C$14="Yes",IF(COUNTBLANK('Capacity summary'!$H51:$BG51)&lt;52,IF('Capacity summary'!AN51&lt;&gt;"",IF(LOWER('Capacity summary'!AN51)="x",$BI139*AN139,VALUE('Capacity summary'!AN51)),0),AN139*$BI139),AN139*$BI139),0)</f>
        <v>0</v>
      </c>
      <c r="CR139" s="5">
        <f>IF($BI139&lt;&gt;"",IF('Capacity summary'!$C$14="Yes",IF(COUNTBLANK('Capacity summary'!$H51:$BG51)&lt;52,IF('Capacity summary'!AO51&lt;&gt;"",IF(LOWER('Capacity summary'!AO51)="x",$BI139*AO139,VALUE('Capacity summary'!AO51)),0),AO139*$BI139),AO139*$BI139),0)</f>
        <v>0</v>
      </c>
      <c r="CS139" s="5">
        <f>IF($BI139&lt;&gt;"",IF('Capacity summary'!$C$14="Yes",IF(COUNTBLANK('Capacity summary'!$H51:$BG51)&lt;52,IF('Capacity summary'!AP51&lt;&gt;"",IF(LOWER('Capacity summary'!AP51)="x",$BI139*AP139,VALUE('Capacity summary'!AP51)),0),AP139*$BI139),AP139*$BI139),0)</f>
        <v>0</v>
      </c>
      <c r="CT139" s="5">
        <f>IF($BI139&lt;&gt;"",IF('Capacity summary'!$C$14="Yes",IF(COUNTBLANK('Capacity summary'!$H51:$BG51)&lt;52,IF('Capacity summary'!AQ51&lt;&gt;"",IF(LOWER('Capacity summary'!AQ51)="x",$BI139*AQ139,VALUE('Capacity summary'!AQ51)),0),AQ139*$BI139),AQ139*$BI139),0)</f>
        <v>0</v>
      </c>
      <c r="CU139" s="5">
        <f>IF($BI139&lt;&gt;"",IF('Capacity summary'!$C$14="Yes",IF(COUNTBLANK('Capacity summary'!$H51:$BG51)&lt;52,IF('Capacity summary'!AR51&lt;&gt;"",IF(LOWER('Capacity summary'!AR51)="x",$BI139*AR139,VALUE('Capacity summary'!AR51)),0),AR139*$BI139),AR139*$BI139),0)</f>
        <v>0</v>
      </c>
      <c r="CV139" s="5">
        <f>IF($BI139&lt;&gt;"",IF('Capacity summary'!$C$14="Yes",IF(COUNTBLANK('Capacity summary'!$H51:$BG51)&lt;52,IF('Capacity summary'!AS51&lt;&gt;"",IF(LOWER('Capacity summary'!AS51)="x",$BI139*AS139,VALUE('Capacity summary'!AS51)),0),AS139*$BI139),AS139*$BI139),0)</f>
        <v>0</v>
      </c>
      <c r="CW139" s="5">
        <f>IF($BI139&lt;&gt;"",IF('Capacity summary'!$C$14="Yes",IF(COUNTBLANK('Capacity summary'!$H51:$BG51)&lt;52,IF('Capacity summary'!AT51&lt;&gt;"",IF(LOWER('Capacity summary'!AT51)="x",$BI139*AT139,VALUE('Capacity summary'!AT51)),0),AT139*$BI139),AT139*$BI139),0)</f>
        <v>0</v>
      </c>
      <c r="CX139" s="5">
        <f>IF($BI139&lt;&gt;"",IF('Capacity summary'!$C$14="Yes",IF(COUNTBLANK('Capacity summary'!$H51:$BG51)&lt;52,IF('Capacity summary'!AU51&lt;&gt;"",IF(LOWER('Capacity summary'!AU51)="x",$BI139*AU139,VALUE('Capacity summary'!AU51)),0),AU139*$BI139),AU139*$BI139),0)</f>
        <v>0</v>
      </c>
      <c r="CY139" s="5">
        <f>IF($BI139&lt;&gt;"",IF('Capacity summary'!$C$14="Yes",IF(COUNTBLANK('Capacity summary'!$H51:$BG51)&lt;52,IF('Capacity summary'!AV51&lt;&gt;"",IF(LOWER('Capacity summary'!AV51)="x",$BI139*AV139,VALUE('Capacity summary'!AV51)),0),AV139*$BI139),AV139*$BI139),0)</f>
        <v>0</v>
      </c>
      <c r="CZ139" s="5">
        <f>IF($BI139&lt;&gt;"",IF('Capacity summary'!$C$14="Yes",IF(COUNTBLANK('Capacity summary'!$H51:$BG51)&lt;52,IF('Capacity summary'!AW51&lt;&gt;"",IF(LOWER('Capacity summary'!AW51)="x",$BI139*AW139,VALUE('Capacity summary'!AW51)),0),AW139*$BI139),AW139*$BI139),0)</f>
        <v>0</v>
      </c>
      <c r="DA139" s="5">
        <f>IF($BI139&lt;&gt;"",IF('Capacity summary'!$C$14="Yes",IF(COUNTBLANK('Capacity summary'!$H51:$BG51)&lt;52,IF('Capacity summary'!AX51&lt;&gt;"",IF(LOWER('Capacity summary'!AX51)="x",$BI139*AX139,VALUE('Capacity summary'!AX51)),0),AX139*$BI139),AX139*$BI139),0)</f>
        <v>0</v>
      </c>
      <c r="DB139" s="5">
        <f>IF($BI139&lt;&gt;"",IF('Capacity summary'!$C$14="Yes",IF(COUNTBLANK('Capacity summary'!$H51:$BG51)&lt;52,IF('Capacity summary'!AY51&lt;&gt;"",IF(LOWER('Capacity summary'!AY51)="x",$BI139*AY139,VALUE('Capacity summary'!AY51)),0),AY139*$BI139),AY139*$BI139),0)</f>
        <v>0</v>
      </c>
      <c r="DC139" s="5">
        <f>IF($BI139&lt;&gt;"",IF('Capacity summary'!$C$14="Yes",IF(COUNTBLANK('Capacity summary'!$H51:$BG51)&lt;52,IF('Capacity summary'!AZ51&lt;&gt;"",IF(LOWER('Capacity summary'!AZ51)="x",$BI139*AZ139,VALUE('Capacity summary'!AZ51)),0),AZ139*$BI139),AZ139*$BI139),0)</f>
        <v>0</v>
      </c>
      <c r="DD139" s="5">
        <f>IF($BI139&lt;&gt;"",IF('Capacity summary'!$C$14="Yes",IF(COUNTBLANK('Capacity summary'!$H51:$BG51)&lt;52,IF('Capacity summary'!BA51&lt;&gt;"",IF(LOWER('Capacity summary'!BA51)="x",$BI139*BA139,VALUE('Capacity summary'!BA51)),0),BA139*$BI139),BA139*$BI139),0)</f>
        <v>0</v>
      </c>
      <c r="DE139" s="5">
        <f>IF($BI139&lt;&gt;"",IF('Capacity summary'!$C$14="Yes",IF(COUNTBLANK('Capacity summary'!$H51:$BG51)&lt;52,IF('Capacity summary'!BB51&lt;&gt;"",IF(LOWER('Capacity summary'!BB51)="x",$BI139*BB139,VALUE('Capacity summary'!BB51)),0),BB139*$BI139),BB139*$BI139),0)</f>
        <v>0</v>
      </c>
      <c r="DF139" s="5">
        <f>IF($BI139&lt;&gt;"",IF('Capacity summary'!$C$14="Yes",IF(COUNTBLANK('Capacity summary'!$H51:$BG51)&lt;52,IF('Capacity summary'!BC51&lt;&gt;"",IF(LOWER('Capacity summary'!BC51)="x",$BI139*BC139,VALUE('Capacity summary'!BC51)),0),BC139*$BI139),BC139*$BI139),0)</f>
        <v>0</v>
      </c>
      <c r="DG139" s="5">
        <f>IF($BI139&lt;&gt;"",IF('Capacity summary'!$C$14="Yes",IF(COUNTBLANK('Capacity summary'!$H51:$BG51)&lt;52,IF('Capacity summary'!BD51&lt;&gt;"",IF(LOWER('Capacity summary'!BD51)="x",$BI139*BD139,VALUE('Capacity summary'!BD51)),0),BD139*$BI139),BD139*$BI139),0)</f>
        <v>0</v>
      </c>
      <c r="DH139" s="5">
        <f>IF($BI139&lt;&gt;"",IF('Capacity summary'!$C$14="Yes",IF(COUNTBLANK('Capacity summary'!$H51:$BG51)&lt;52,IF('Capacity summary'!BE51&lt;&gt;"",IF(LOWER('Capacity summary'!BE51)="x",$BI139*BE139,VALUE('Capacity summary'!BE51)),0),BE139*$BI139),BE139*$BI139),0)</f>
        <v>0</v>
      </c>
      <c r="DI139" s="5">
        <f>IF($BI139&lt;&gt;"",IF('Capacity summary'!$C$14="Yes",IF(COUNTBLANK('Capacity summary'!$H51:$BG51)&lt;52,IF('Capacity summary'!BF51&lt;&gt;"",IF(LOWER('Capacity summary'!BF51)="x",$BI139*BF139,VALUE('Capacity summary'!BF51)),0),BF139*$BI139),BF139*$BI139),0)</f>
        <v>0</v>
      </c>
      <c r="DJ139" s="5">
        <f>IF($BI139&lt;&gt;"",IF('Capacity summary'!$C$14="Yes",IF(COUNTBLANK('Capacity summary'!$H51:$BG51)&lt;52,IF('Capacity summary'!BG51&lt;&gt;"",IF(LOWER('Capacity summary'!BG51)="x",$BI139*BG139,VALUE('Capacity summary'!BG51)),0),BG139*$BI139),BG139*$BI139),0)</f>
        <v>0</v>
      </c>
      <c r="DK139" s="5">
        <f t="shared" ref="DK139" si="33">SUM(DK140:DK239)</f>
        <v>0</v>
      </c>
    </row>
    <row r="140" spans="3:115" x14ac:dyDescent="0.25">
      <c r="C140" s="67" t="str">
        <f>ROW(A29)&amp;". "&amp;Capacity!N45</f>
        <v xml:space="preserve">29. </v>
      </c>
      <c r="D140" s="67">
        <f>'Capacity setup'!C146</f>
        <v>0</v>
      </c>
      <c r="E140" s="67">
        <f>'Capacity setup'!D146</f>
        <v>0</v>
      </c>
      <c r="F140" s="67">
        <f>'Capacity setup'!E146</f>
        <v>0</v>
      </c>
      <c r="H140" s="67">
        <f ca="1">IF(AND(SUMIF(Capacity_Resource,$D140,'Critical resources (hide)'!U$6:U$105)+SUMIF(Capacity_Resource,$E140,'Critical resources (hide)'!U$6:U$105)+SUMIF(Capacity_Resource,$F140,'Critical resources (hide)'!U$6:U$105)&gt;0,$E$1=2),0,1)</f>
        <v>1</v>
      </c>
      <c r="I140" s="67">
        <f ca="1">IF(AND(SUMIF(Capacity_Resource,$D140,'Critical resources (hide)'!V$6:V$105)+SUMIF(Capacity_Resource,$E140,'Critical resources (hide)'!V$6:V$105)+SUMIF(Capacity_Resource,$F140,'Critical resources (hide)'!V$6:V$105)&gt;0,$E$1=2),0,1)</f>
        <v>1</v>
      </c>
      <c r="J140" s="67">
        <f ca="1">IF(AND(SUMIF(Capacity_Resource,$D140,'Critical resources (hide)'!W$6:W$105)+SUMIF(Capacity_Resource,$E140,'Critical resources (hide)'!W$6:W$105)+SUMIF(Capacity_Resource,$F140,'Critical resources (hide)'!W$6:W$105)&gt;0,$E$1=2),0,1)</f>
        <v>1</v>
      </c>
      <c r="K140" s="67">
        <f ca="1">IF(AND(SUMIF(Capacity_Resource,$D140,'Critical resources (hide)'!X$6:X$105)+SUMIF(Capacity_Resource,$E140,'Critical resources (hide)'!X$6:X$105)+SUMIF(Capacity_Resource,$F140,'Critical resources (hide)'!X$6:X$105)&gt;0,$E$1=2),0,1)</f>
        <v>1</v>
      </c>
      <c r="L140" s="67">
        <f ca="1">IF(AND(SUMIF(Capacity_Resource,$D140,'Critical resources (hide)'!Y$6:Y$105)+SUMIF(Capacity_Resource,$E140,'Critical resources (hide)'!Y$6:Y$105)+SUMIF(Capacity_Resource,$F140,'Critical resources (hide)'!Y$6:Y$105)&gt;0,$E$1=2),0,1)</f>
        <v>1</v>
      </c>
      <c r="M140" s="67">
        <f ca="1">IF(AND(SUMIF(Capacity_Resource,$D140,'Critical resources (hide)'!Z$6:Z$105)+SUMIF(Capacity_Resource,$E140,'Critical resources (hide)'!Z$6:Z$105)+SUMIF(Capacity_Resource,$F140,'Critical resources (hide)'!Z$6:Z$105)&gt;0,$E$1=2),0,1)</f>
        <v>1</v>
      </c>
      <c r="N140" s="67">
        <f ca="1">IF(AND(SUMIF(Capacity_Resource,$D140,'Critical resources (hide)'!AA$6:AA$105)+SUMIF(Capacity_Resource,$E140,'Critical resources (hide)'!AA$6:AA$105)+SUMIF(Capacity_Resource,$F140,'Critical resources (hide)'!AA$6:AA$105)&gt;0,$E$1=2),0,1)</f>
        <v>1</v>
      </c>
      <c r="O140" s="67">
        <f ca="1">IF(AND(SUMIF(Capacity_Resource,$D140,'Critical resources (hide)'!AB$6:AB$105)+SUMIF(Capacity_Resource,$E140,'Critical resources (hide)'!AB$6:AB$105)+SUMIF(Capacity_Resource,$F140,'Critical resources (hide)'!AB$6:AB$105)&gt;0,$E$1=2),0,1)</f>
        <v>1</v>
      </c>
      <c r="P140" s="67">
        <f ca="1">IF(AND(SUMIF(Capacity_Resource,$D140,'Critical resources (hide)'!AC$6:AC$105)+SUMIF(Capacity_Resource,$E140,'Critical resources (hide)'!AC$6:AC$105)+SUMIF(Capacity_Resource,$F140,'Critical resources (hide)'!AC$6:AC$105)&gt;0,$E$1=2),0,1)</f>
        <v>1</v>
      </c>
      <c r="Q140" s="67">
        <f ca="1">IF(AND(SUMIF(Capacity_Resource,$D140,'Critical resources (hide)'!AD$6:AD$105)+SUMIF(Capacity_Resource,$E140,'Critical resources (hide)'!AD$6:AD$105)+SUMIF(Capacity_Resource,$F140,'Critical resources (hide)'!AD$6:AD$105)&gt;0,$E$1=2),0,1)</f>
        <v>1</v>
      </c>
      <c r="R140" s="67">
        <f ca="1">IF(AND(SUMIF(Capacity_Resource,$D140,'Critical resources (hide)'!AE$6:AE$105)+SUMIF(Capacity_Resource,$E140,'Critical resources (hide)'!AE$6:AE$105)+SUMIF(Capacity_Resource,$F140,'Critical resources (hide)'!AE$6:AE$105)&gt;0,$E$1=2),0,1)</f>
        <v>1</v>
      </c>
      <c r="S140" s="67">
        <f ca="1">IF(AND(SUMIF(Capacity_Resource,$D140,'Critical resources (hide)'!AF$6:AF$105)+SUMIF(Capacity_Resource,$E140,'Critical resources (hide)'!AF$6:AF$105)+SUMIF(Capacity_Resource,$F140,'Critical resources (hide)'!AF$6:AF$105)&gt;0,$E$1=2),0,1)</f>
        <v>1</v>
      </c>
      <c r="T140" s="67">
        <f ca="1">IF(AND(SUMIF(Capacity_Resource,$D140,'Critical resources (hide)'!AG$6:AG$105)+SUMIF(Capacity_Resource,$E140,'Critical resources (hide)'!AG$6:AG$105)+SUMIF(Capacity_Resource,$F140,'Critical resources (hide)'!AG$6:AG$105)&gt;0,$E$1=2),0,1)</f>
        <v>1</v>
      </c>
      <c r="U140" s="67">
        <f ca="1">IF(AND(SUMIF(Capacity_Resource,$D140,'Critical resources (hide)'!AH$6:AH$105)+SUMIF(Capacity_Resource,$E140,'Critical resources (hide)'!AH$6:AH$105)+SUMIF(Capacity_Resource,$F140,'Critical resources (hide)'!AH$6:AH$105)&gt;0,$E$1=2),0,1)</f>
        <v>1</v>
      </c>
      <c r="V140" s="67">
        <f ca="1">IF(AND(SUMIF(Capacity_Resource,$D140,'Critical resources (hide)'!AI$6:AI$105)+SUMIF(Capacity_Resource,$E140,'Critical resources (hide)'!AI$6:AI$105)+SUMIF(Capacity_Resource,$F140,'Critical resources (hide)'!AI$6:AI$105)&gt;0,$E$1=2),0,1)</f>
        <v>1</v>
      </c>
      <c r="W140" s="67">
        <f ca="1">IF(AND(SUMIF(Capacity_Resource,$D140,'Critical resources (hide)'!AJ$6:AJ$105)+SUMIF(Capacity_Resource,$E140,'Critical resources (hide)'!AJ$6:AJ$105)+SUMIF(Capacity_Resource,$F140,'Critical resources (hide)'!AJ$6:AJ$105)&gt;0,$E$1=2),0,1)</f>
        <v>1</v>
      </c>
      <c r="X140" s="67">
        <f ca="1">IF(AND(SUMIF(Capacity_Resource,$D140,'Critical resources (hide)'!AK$6:AK$105)+SUMIF(Capacity_Resource,$E140,'Critical resources (hide)'!AK$6:AK$105)+SUMIF(Capacity_Resource,$F140,'Critical resources (hide)'!AK$6:AK$105)&gt;0,$E$1=2),0,1)</f>
        <v>1</v>
      </c>
      <c r="Y140" s="67">
        <f ca="1">IF(AND(SUMIF(Capacity_Resource,$D140,'Critical resources (hide)'!AL$6:AL$105)+SUMIF(Capacity_Resource,$E140,'Critical resources (hide)'!AL$6:AL$105)+SUMIF(Capacity_Resource,$F140,'Critical resources (hide)'!AL$6:AL$105)&gt;0,$E$1=2),0,1)</f>
        <v>1</v>
      </c>
      <c r="Z140" s="67">
        <f ca="1">IF(AND(SUMIF(Capacity_Resource,$D140,'Critical resources (hide)'!AM$6:AM$105)+SUMIF(Capacity_Resource,$E140,'Critical resources (hide)'!AM$6:AM$105)+SUMIF(Capacity_Resource,$F140,'Critical resources (hide)'!AM$6:AM$105)&gt;0,$E$1=2),0,1)</f>
        <v>1</v>
      </c>
      <c r="AA140" s="67">
        <f ca="1">IF(AND(SUMIF(Capacity_Resource,$D140,'Critical resources (hide)'!AN$6:AN$105)+SUMIF(Capacity_Resource,$E140,'Critical resources (hide)'!AN$6:AN$105)+SUMIF(Capacity_Resource,$F140,'Critical resources (hide)'!AN$6:AN$105)&gt;0,$E$1=2),0,1)</f>
        <v>1</v>
      </c>
      <c r="AB140" s="67">
        <f ca="1">IF(AND(SUMIF(Capacity_Resource,$D140,'Critical resources (hide)'!AO$6:AO$105)+SUMIF(Capacity_Resource,$E140,'Critical resources (hide)'!AO$6:AO$105)+SUMIF(Capacity_Resource,$F140,'Critical resources (hide)'!AO$6:AO$105)&gt;0,$E$1=2),0,1)</f>
        <v>1</v>
      </c>
      <c r="AC140" s="67">
        <f ca="1">IF(AND(SUMIF(Capacity_Resource,$D140,'Critical resources (hide)'!AP$6:AP$105)+SUMIF(Capacity_Resource,$E140,'Critical resources (hide)'!AP$6:AP$105)+SUMIF(Capacity_Resource,$F140,'Critical resources (hide)'!AP$6:AP$105)&gt;0,$E$1=2),0,1)</f>
        <v>1</v>
      </c>
      <c r="AD140" s="67">
        <f ca="1">IF(AND(SUMIF(Capacity_Resource,$D140,'Critical resources (hide)'!AQ$6:AQ$105)+SUMIF(Capacity_Resource,$E140,'Critical resources (hide)'!AQ$6:AQ$105)+SUMIF(Capacity_Resource,$F140,'Critical resources (hide)'!AQ$6:AQ$105)&gt;0,$E$1=2),0,1)</f>
        <v>1</v>
      </c>
      <c r="AE140" s="67">
        <f ca="1">IF(AND(SUMIF(Capacity_Resource,$D140,'Critical resources (hide)'!AR$6:AR$105)+SUMIF(Capacity_Resource,$E140,'Critical resources (hide)'!AR$6:AR$105)+SUMIF(Capacity_Resource,$F140,'Critical resources (hide)'!AR$6:AR$105)&gt;0,$E$1=2),0,1)</f>
        <v>1</v>
      </c>
      <c r="AF140" s="67">
        <f ca="1">IF(AND(SUMIF(Capacity_Resource,$D140,'Critical resources (hide)'!AS$6:AS$105)+SUMIF(Capacity_Resource,$E140,'Critical resources (hide)'!AS$6:AS$105)+SUMIF(Capacity_Resource,$F140,'Critical resources (hide)'!AS$6:AS$105)&gt;0,$E$1=2),0,1)</f>
        <v>1</v>
      </c>
      <c r="AG140" s="67">
        <f ca="1">IF(AND(SUMIF(Capacity_Resource,$D140,'Critical resources (hide)'!AT$6:AT$105)+SUMIF(Capacity_Resource,$E140,'Critical resources (hide)'!AT$6:AT$105)+SUMIF(Capacity_Resource,$F140,'Critical resources (hide)'!AT$6:AT$105)&gt;0,$E$1=2),0,1)</f>
        <v>1</v>
      </c>
      <c r="AH140" s="67">
        <f ca="1">IF(AND(SUMIF(Capacity_Resource,$D140,'Critical resources (hide)'!AU$6:AU$105)+SUMIF(Capacity_Resource,$E140,'Critical resources (hide)'!AU$6:AU$105)+SUMIF(Capacity_Resource,$F140,'Critical resources (hide)'!AU$6:AU$105)&gt;0,$E$1=2),0,1)</f>
        <v>1</v>
      </c>
      <c r="AI140" s="67">
        <f ca="1">IF(AND(SUMIF(Capacity_Resource,$D140,'Critical resources (hide)'!AV$6:AV$105)+SUMIF(Capacity_Resource,$E140,'Critical resources (hide)'!AV$6:AV$105)+SUMIF(Capacity_Resource,$F140,'Critical resources (hide)'!AV$6:AV$105)&gt;0,$E$1=2),0,1)</f>
        <v>1</v>
      </c>
      <c r="AJ140" s="67">
        <f ca="1">IF(AND(SUMIF(Capacity_Resource,$D140,'Critical resources (hide)'!AW$6:AW$105)+SUMIF(Capacity_Resource,$E140,'Critical resources (hide)'!AW$6:AW$105)+SUMIF(Capacity_Resource,$F140,'Critical resources (hide)'!AW$6:AW$105)&gt;0,$E$1=2),0,1)</f>
        <v>1</v>
      </c>
      <c r="AK140" s="67">
        <f ca="1">IF(AND(SUMIF(Capacity_Resource,$D140,'Critical resources (hide)'!AX$6:AX$105)+SUMIF(Capacity_Resource,$E140,'Critical resources (hide)'!AX$6:AX$105)+SUMIF(Capacity_Resource,$F140,'Critical resources (hide)'!AX$6:AX$105)&gt;0,$E$1=2),0,1)</f>
        <v>1</v>
      </c>
      <c r="AL140" s="67">
        <f ca="1">IF(AND(SUMIF(Capacity_Resource,$D140,'Critical resources (hide)'!AY$6:AY$105)+SUMIF(Capacity_Resource,$E140,'Critical resources (hide)'!AY$6:AY$105)+SUMIF(Capacity_Resource,$F140,'Critical resources (hide)'!AY$6:AY$105)&gt;0,$E$1=2),0,1)</f>
        <v>1</v>
      </c>
      <c r="AM140" s="67">
        <f ca="1">IF(AND(SUMIF(Capacity_Resource,$D140,'Critical resources (hide)'!AZ$6:AZ$105)+SUMIF(Capacity_Resource,$E140,'Critical resources (hide)'!AZ$6:AZ$105)+SUMIF(Capacity_Resource,$F140,'Critical resources (hide)'!AZ$6:AZ$105)&gt;0,$E$1=2),0,1)</f>
        <v>1</v>
      </c>
      <c r="AN140" s="67">
        <f ca="1">IF(AND(SUMIF(Capacity_Resource,$D140,'Critical resources (hide)'!BA$6:BA$105)+SUMIF(Capacity_Resource,$E140,'Critical resources (hide)'!BA$6:BA$105)+SUMIF(Capacity_Resource,$F140,'Critical resources (hide)'!BA$6:BA$105)&gt;0,$E$1=2),0,1)</f>
        <v>1</v>
      </c>
      <c r="AO140" s="67">
        <f ca="1">IF(AND(SUMIF(Capacity_Resource,$D140,'Critical resources (hide)'!BB$6:BB$105)+SUMIF(Capacity_Resource,$E140,'Critical resources (hide)'!BB$6:BB$105)+SUMIF(Capacity_Resource,$F140,'Critical resources (hide)'!BB$6:BB$105)&gt;0,$E$1=2),0,1)</f>
        <v>1</v>
      </c>
      <c r="AP140" s="67">
        <f ca="1">IF(AND(SUMIF(Capacity_Resource,$D140,'Critical resources (hide)'!BC$6:BC$105)+SUMIF(Capacity_Resource,$E140,'Critical resources (hide)'!BC$6:BC$105)+SUMIF(Capacity_Resource,$F140,'Critical resources (hide)'!BC$6:BC$105)&gt;0,$E$1=2),0,1)</f>
        <v>1</v>
      </c>
      <c r="AQ140" s="67">
        <f ca="1">IF(AND(SUMIF(Capacity_Resource,$D140,'Critical resources (hide)'!BD$6:BD$105)+SUMIF(Capacity_Resource,$E140,'Critical resources (hide)'!BD$6:BD$105)+SUMIF(Capacity_Resource,$F140,'Critical resources (hide)'!BD$6:BD$105)&gt;0,$E$1=2),0,1)</f>
        <v>1</v>
      </c>
      <c r="AR140" s="67">
        <f ca="1">IF(AND(SUMIF(Capacity_Resource,$D140,'Critical resources (hide)'!BE$6:BE$105)+SUMIF(Capacity_Resource,$E140,'Critical resources (hide)'!BE$6:BE$105)+SUMIF(Capacity_Resource,$F140,'Critical resources (hide)'!BE$6:BE$105)&gt;0,$E$1=2),0,1)</f>
        <v>1</v>
      </c>
      <c r="AS140" s="67">
        <f ca="1">IF(AND(SUMIF(Capacity_Resource,$D140,'Critical resources (hide)'!BF$6:BF$105)+SUMIF(Capacity_Resource,$E140,'Critical resources (hide)'!BF$6:BF$105)+SUMIF(Capacity_Resource,$F140,'Critical resources (hide)'!BF$6:BF$105)&gt;0,$E$1=2),0,1)</f>
        <v>1</v>
      </c>
      <c r="AT140" s="67">
        <f ca="1">IF(AND(SUMIF(Capacity_Resource,$D140,'Critical resources (hide)'!BG$6:BG$105)+SUMIF(Capacity_Resource,$E140,'Critical resources (hide)'!BG$6:BG$105)+SUMIF(Capacity_Resource,$F140,'Critical resources (hide)'!BG$6:BG$105)&gt;0,$E$1=2),0,1)</f>
        <v>1</v>
      </c>
      <c r="AU140" s="67">
        <f ca="1">IF(AND(SUMIF(Capacity_Resource,$D140,'Critical resources (hide)'!BH$6:BH$105)+SUMIF(Capacity_Resource,$E140,'Critical resources (hide)'!BH$6:BH$105)+SUMIF(Capacity_Resource,$F140,'Critical resources (hide)'!BH$6:BH$105)&gt;0,$E$1=2),0,1)</f>
        <v>1</v>
      </c>
      <c r="AV140" s="67">
        <f ca="1">IF(AND(SUMIF(Capacity_Resource,$D140,'Critical resources (hide)'!BI$6:BI$105)+SUMIF(Capacity_Resource,$E140,'Critical resources (hide)'!BI$6:BI$105)+SUMIF(Capacity_Resource,$F140,'Critical resources (hide)'!BI$6:BI$105)&gt;0,$E$1=2),0,1)</f>
        <v>1</v>
      </c>
      <c r="AW140" s="67">
        <f ca="1">IF(AND(SUMIF(Capacity_Resource,$D140,'Critical resources (hide)'!BJ$6:BJ$105)+SUMIF(Capacity_Resource,$E140,'Critical resources (hide)'!BJ$6:BJ$105)+SUMIF(Capacity_Resource,$F140,'Critical resources (hide)'!BJ$6:BJ$105)&gt;0,$E$1=2),0,1)</f>
        <v>1</v>
      </c>
      <c r="AX140" s="67">
        <f ca="1">IF(AND(SUMIF(Capacity_Resource,$D140,'Critical resources (hide)'!BK$6:BK$105)+SUMIF(Capacity_Resource,$E140,'Critical resources (hide)'!BK$6:BK$105)+SUMIF(Capacity_Resource,$F140,'Critical resources (hide)'!BK$6:BK$105)&gt;0,$E$1=2),0,1)</f>
        <v>1</v>
      </c>
      <c r="AY140" s="67">
        <f ca="1">IF(AND(SUMIF(Capacity_Resource,$D140,'Critical resources (hide)'!BL$6:BL$105)+SUMIF(Capacity_Resource,$E140,'Critical resources (hide)'!BL$6:BL$105)+SUMIF(Capacity_Resource,$F140,'Critical resources (hide)'!BL$6:BL$105)&gt;0,$E$1=2),0,1)</f>
        <v>1</v>
      </c>
      <c r="AZ140" s="67">
        <f ca="1">IF(AND(SUMIF(Capacity_Resource,$D140,'Critical resources (hide)'!BM$6:BM$105)+SUMIF(Capacity_Resource,$E140,'Critical resources (hide)'!BM$6:BM$105)+SUMIF(Capacity_Resource,$F140,'Critical resources (hide)'!BM$6:BM$105)&gt;0,$E$1=2),0,1)</f>
        <v>1</v>
      </c>
      <c r="BA140" s="67">
        <f ca="1">IF(AND(SUMIF(Capacity_Resource,$D140,'Critical resources (hide)'!BN$6:BN$105)+SUMIF(Capacity_Resource,$E140,'Critical resources (hide)'!BN$6:BN$105)+SUMIF(Capacity_Resource,$F140,'Critical resources (hide)'!BN$6:BN$105)&gt;0,$E$1=2),0,1)</f>
        <v>1</v>
      </c>
      <c r="BB140" s="67">
        <f ca="1">IF(AND(SUMIF(Capacity_Resource,$D140,'Critical resources (hide)'!BO$6:BO$105)+SUMIF(Capacity_Resource,$E140,'Critical resources (hide)'!BO$6:BO$105)+SUMIF(Capacity_Resource,$F140,'Critical resources (hide)'!BO$6:BO$105)&gt;0,$E$1=2),0,1)</f>
        <v>1</v>
      </c>
      <c r="BC140" s="67">
        <f ca="1">IF(AND(SUMIF(Capacity_Resource,$D140,'Critical resources (hide)'!BP$6:BP$105)+SUMIF(Capacity_Resource,$E140,'Critical resources (hide)'!BP$6:BP$105)+SUMIF(Capacity_Resource,$F140,'Critical resources (hide)'!BP$6:BP$105)&gt;0,$E$1=2),0,1)</f>
        <v>1</v>
      </c>
      <c r="BD140" s="67">
        <f ca="1">IF(AND(SUMIF(Capacity_Resource,$D140,'Critical resources (hide)'!BQ$6:BQ$105)+SUMIF(Capacity_Resource,$E140,'Critical resources (hide)'!BQ$6:BQ$105)+SUMIF(Capacity_Resource,$F140,'Critical resources (hide)'!BQ$6:BQ$105)&gt;0,$E$1=2),0,1)</f>
        <v>1</v>
      </c>
      <c r="BE140" s="67">
        <f ca="1">IF(AND(SUMIF(Capacity_Resource,$D140,'Critical resources (hide)'!BR$6:BR$105)+SUMIF(Capacity_Resource,$E140,'Critical resources (hide)'!BR$6:BR$105)+SUMIF(Capacity_Resource,$F140,'Critical resources (hide)'!BR$6:BR$105)&gt;0,$E$1=2),0,1)</f>
        <v>1</v>
      </c>
      <c r="BF140" s="67">
        <f ca="1">IF(AND(SUMIF(Capacity_Resource,$D140,'Critical resources (hide)'!BS$6:BS$105)+SUMIF(Capacity_Resource,$E140,'Critical resources (hide)'!BS$6:BS$105)+SUMIF(Capacity_Resource,$F140,'Critical resources (hide)'!BS$6:BS$105)&gt;0,$E$1=2),0,1)</f>
        <v>1</v>
      </c>
      <c r="BG140" s="67">
        <f ca="1">IF(AND(SUMIF(Capacity_Resource,$D140,'Critical resources (hide)'!BT$6:BT$105)+SUMIF(Capacity_Resource,$E140,'Critical resources (hide)'!BT$6:BT$105)+SUMIF(Capacity_Resource,$F140,'Critical resources (hide)'!BT$6:BT$105)&gt;0,$E$1=2),0,1)</f>
        <v>1</v>
      </c>
      <c r="BH140" s="67">
        <f>IF(ROW(A29)&lt;=Capacity!$M$16,IF('Capacity summary'!$C$14="No",SUM(H140:BG140),'Capacity summary'!$E52),0)</f>
        <v>0</v>
      </c>
      <c r="BI140" s="67" t="str">
        <f>IF(BH140&gt;0,IF(BH140&lt;Capacity!Q45,Capacity!R45,Capacity!T45/'Capacity calculation (hide)'!BH140),"")</f>
        <v/>
      </c>
      <c r="BJ140" s="5"/>
      <c r="BK140" s="5">
        <f>IF($BI140&lt;&gt;"",IF('Capacity summary'!$C$14="Yes",IF(COUNTBLANK('Capacity summary'!$H52:$BG52)&lt;52,IF('Capacity summary'!H52&lt;&gt;"",IF(LOWER('Capacity summary'!H52)="x",$BI140*H140,VALUE('Capacity summary'!H52)),0),H140*$BI140),H140*$BI140),0)</f>
        <v>0</v>
      </c>
      <c r="BL140" s="5">
        <f>IF($BI140&lt;&gt;"",IF('Capacity summary'!$C$14="Yes",IF(COUNTBLANK('Capacity summary'!$H52:$BG52)&lt;52,IF('Capacity summary'!I52&lt;&gt;"",IF(LOWER('Capacity summary'!I52)="x",$BI140*I140,VALUE('Capacity summary'!I52)),0),I140*$BI140),I140*$BI140),0)</f>
        <v>0</v>
      </c>
      <c r="BM140" s="5">
        <f>IF($BI140&lt;&gt;"",IF('Capacity summary'!$C$14="Yes",IF(COUNTBLANK('Capacity summary'!$H52:$BG52)&lt;52,IF('Capacity summary'!J52&lt;&gt;"",IF(LOWER('Capacity summary'!J52)="x",$BI140*J140,VALUE('Capacity summary'!J52)),0),J140*$BI140),J140*$BI140),0)</f>
        <v>0</v>
      </c>
      <c r="BN140" s="5">
        <f>IF($BI140&lt;&gt;"",IF('Capacity summary'!$C$14="Yes",IF(COUNTBLANK('Capacity summary'!$H52:$BG52)&lt;52,IF('Capacity summary'!K52&lt;&gt;"",IF(LOWER('Capacity summary'!K52)="x",$BI140*K140,VALUE('Capacity summary'!K52)),0),K140*$BI140),K140*$BI140),0)</f>
        <v>0</v>
      </c>
      <c r="BO140" s="5">
        <f>IF($BI140&lt;&gt;"",IF('Capacity summary'!$C$14="Yes",IF(COUNTBLANK('Capacity summary'!$H52:$BG52)&lt;52,IF('Capacity summary'!L52&lt;&gt;"",IF(LOWER('Capacity summary'!L52)="x",$BI140*L140,VALUE('Capacity summary'!L52)),0),L140*$BI140),L140*$BI140),0)</f>
        <v>0</v>
      </c>
      <c r="BP140" s="5">
        <f>IF($BI140&lt;&gt;"",IF('Capacity summary'!$C$14="Yes",IF(COUNTBLANK('Capacity summary'!$H52:$BG52)&lt;52,IF('Capacity summary'!M52&lt;&gt;"",IF(LOWER('Capacity summary'!M52)="x",$BI140*M140,VALUE('Capacity summary'!M52)),0),M140*$BI140),M140*$BI140),0)</f>
        <v>0</v>
      </c>
      <c r="BQ140" s="5">
        <f>IF($BI140&lt;&gt;"",IF('Capacity summary'!$C$14="Yes",IF(COUNTBLANK('Capacity summary'!$H52:$BG52)&lt;52,IF('Capacity summary'!N52&lt;&gt;"",IF(LOWER('Capacity summary'!N52)="x",$BI140*N140,VALUE('Capacity summary'!N52)),0),N140*$BI140),N140*$BI140),0)</f>
        <v>0</v>
      </c>
      <c r="BR140" s="5">
        <f>IF($BI140&lt;&gt;"",IF('Capacity summary'!$C$14="Yes",IF(COUNTBLANK('Capacity summary'!$H52:$BG52)&lt;52,IF('Capacity summary'!O52&lt;&gt;"",IF(LOWER('Capacity summary'!O52)="x",$BI140*O140,VALUE('Capacity summary'!O52)),0),O140*$BI140),O140*$BI140),0)</f>
        <v>0</v>
      </c>
      <c r="BS140" s="5">
        <f>IF($BI140&lt;&gt;"",IF('Capacity summary'!$C$14="Yes",IF(COUNTBLANK('Capacity summary'!$H52:$BG52)&lt;52,IF('Capacity summary'!P52&lt;&gt;"",IF(LOWER('Capacity summary'!P52)="x",$BI140*P140,VALUE('Capacity summary'!P52)),0),P140*$BI140),P140*$BI140),0)</f>
        <v>0</v>
      </c>
      <c r="BT140" s="5">
        <f>IF($BI140&lt;&gt;"",IF('Capacity summary'!$C$14="Yes",IF(COUNTBLANK('Capacity summary'!$H52:$BG52)&lt;52,IF('Capacity summary'!Q52&lt;&gt;"",IF(LOWER('Capacity summary'!Q52)="x",$BI140*Q140,VALUE('Capacity summary'!Q52)),0),Q140*$BI140),Q140*$BI140),0)</f>
        <v>0</v>
      </c>
      <c r="BU140" s="5">
        <f>IF($BI140&lt;&gt;"",IF('Capacity summary'!$C$14="Yes",IF(COUNTBLANK('Capacity summary'!$H52:$BG52)&lt;52,IF('Capacity summary'!R52&lt;&gt;"",IF(LOWER('Capacity summary'!R52)="x",$BI140*R140,VALUE('Capacity summary'!R52)),0),R140*$BI140),R140*$BI140),0)</f>
        <v>0</v>
      </c>
      <c r="BV140" s="5">
        <f>IF($BI140&lt;&gt;"",IF('Capacity summary'!$C$14="Yes",IF(COUNTBLANK('Capacity summary'!$H52:$BG52)&lt;52,IF('Capacity summary'!S52&lt;&gt;"",IF(LOWER('Capacity summary'!S52)="x",$BI140*S140,VALUE('Capacity summary'!S52)),0),S140*$BI140),S140*$BI140),0)</f>
        <v>0</v>
      </c>
      <c r="BW140" s="5">
        <f>IF($BI140&lt;&gt;"",IF('Capacity summary'!$C$14="Yes",IF(COUNTBLANK('Capacity summary'!$H52:$BG52)&lt;52,IF('Capacity summary'!T52&lt;&gt;"",IF(LOWER('Capacity summary'!T52)="x",$BI140*T140,VALUE('Capacity summary'!T52)),0),T140*$BI140),T140*$BI140),0)</f>
        <v>0</v>
      </c>
      <c r="BX140" s="5">
        <f>IF($BI140&lt;&gt;"",IF('Capacity summary'!$C$14="Yes",IF(COUNTBLANK('Capacity summary'!$H52:$BG52)&lt;52,IF('Capacity summary'!U52&lt;&gt;"",IF(LOWER('Capacity summary'!U52)="x",$BI140*U140,VALUE('Capacity summary'!U52)),0),U140*$BI140),U140*$BI140),0)</f>
        <v>0</v>
      </c>
      <c r="BY140" s="5">
        <f>IF($BI140&lt;&gt;"",IF('Capacity summary'!$C$14="Yes",IF(COUNTBLANK('Capacity summary'!$H52:$BG52)&lt;52,IF('Capacity summary'!V52&lt;&gt;"",IF(LOWER('Capacity summary'!V52)="x",$BI140*V140,VALUE('Capacity summary'!V52)),0),V140*$BI140),V140*$BI140),0)</f>
        <v>0</v>
      </c>
      <c r="BZ140" s="5">
        <f>IF($BI140&lt;&gt;"",IF('Capacity summary'!$C$14="Yes",IF(COUNTBLANK('Capacity summary'!$H52:$BG52)&lt;52,IF('Capacity summary'!W52&lt;&gt;"",IF(LOWER('Capacity summary'!W52)="x",$BI140*W140,VALUE('Capacity summary'!W52)),0),W140*$BI140),W140*$BI140),0)</f>
        <v>0</v>
      </c>
      <c r="CA140" s="5">
        <f>IF($BI140&lt;&gt;"",IF('Capacity summary'!$C$14="Yes",IF(COUNTBLANK('Capacity summary'!$H52:$BG52)&lt;52,IF('Capacity summary'!X52&lt;&gt;"",IF(LOWER('Capacity summary'!X52)="x",$BI140*X140,VALUE('Capacity summary'!X52)),0),X140*$BI140),X140*$BI140),0)</f>
        <v>0</v>
      </c>
      <c r="CB140" s="5">
        <f>IF($BI140&lt;&gt;"",IF('Capacity summary'!$C$14="Yes",IF(COUNTBLANK('Capacity summary'!$H52:$BG52)&lt;52,IF('Capacity summary'!Y52&lt;&gt;"",IF(LOWER('Capacity summary'!Y52)="x",$BI140*Y140,VALUE('Capacity summary'!Y52)),0),Y140*$BI140),Y140*$BI140),0)</f>
        <v>0</v>
      </c>
      <c r="CC140" s="5">
        <f>IF($BI140&lt;&gt;"",IF('Capacity summary'!$C$14="Yes",IF(COUNTBLANK('Capacity summary'!$H52:$BG52)&lt;52,IF('Capacity summary'!Z52&lt;&gt;"",IF(LOWER('Capacity summary'!Z52)="x",$BI140*Z140,VALUE('Capacity summary'!Z52)),0),Z140*$BI140),Z140*$BI140),0)</f>
        <v>0</v>
      </c>
      <c r="CD140" s="5">
        <f>IF($BI140&lt;&gt;"",IF('Capacity summary'!$C$14="Yes",IF(COUNTBLANK('Capacity summary'!$H52:$BG52)&lt;52,IF('Capacity summary'!AA52&lt;&gt;"",IF(LOWER('Capacity summary'!AA52)="x",$BI140*AA140,VALUE('Capacity summary'!AA52)),0),AA140*$BI140),AA140*$BI140),0)</f>
        <v>0</v>
      </c>
      <c r="CE140" s="5">
        <f>IF($BI140&lt;&gt;"",IF('Capacity summary'!$C$14="Yes",IF(COUNTBLANK('Capacity summary'!$H52:$BG52)&lt;52,IF('Capacity summary'!AB52&lt;&gt;"",IF(LOWER('Capacity summary'!AB52)="x",$BI140*AB140,VALUE('Capacity summary'!AB52)),0),AB140*$BI140),AB140*$BI140),0)</f>
        <v>0</v>
      </c>
      <c r="CF140" s="5">
        <f>IF($BI140&lt;&gt;"",IF('Capacity summary'!$C$14="Yes",IF(COUNTBLANK('Capacity summary'!$H52:$BG52)&lt;52,IF('Capacity summary'!AC52&lt;&gt;"",IF(LOWER('Capacity summary'!AC52)="x",$BI140*AC140,VALUE('Capacity summary'!AC52)),0),AC140*$BI140),AC140*$BI140),0)</f>
        <v>0</v>
      </c>
      <c r="CG140" s="5">
        <f>IF($BI140&lt;&gt;"",IF('Capacity summary'!$C$14="Yes",IF(COUNTBLANK('Capacity summary'!$H52:$BG52)&lt;52,IF('Capacity summary'!AD52&lt;&gt;"",IF(LOWER('Capacity summary'!AD52)="x",$BI140*AD140,VALUE('Capacity summary'!AD52)),0),AD140*$BI140),AD140*$BI140),0)</f>
        <v>0</v>
      </c>
      <c r="CH140" s="5">
        <f>IF($BI140&lt;&gt;"",IF('Capacity summary'!$C$14="Yes",IF(COUNTBLANK('Capacity summary'!$H52:$BG52)&lt;52,IF('Capacity summary'!AE52&lt;&gt;"",IF(LOWER('Capacity summary'!AE52)="x",$BI140*AE140,VALUE('Capacity summary'!AE52)),0),AE140*$BI140),AE140*$BI140),0)</f>
        <v>0</v>
      </c>
      <c r="CI140" s="5">
        <f>IF($BI140&lt;&gt;"",IF('Capacity summary'!$C$14="Yes",IF(COUNTBLANK('Capacity summary'!$H52:$BG52)&lt;52,IF('Capacity summary'!AF52&lt;&gt;"",IF(LOWER('Capacity summary'!AF52)="x",$BI140*AF140,VALUE('Capacity summary'!AF52)),0),AF140*$BI140),AF140*$BI140),0)</f>
        <v>0</v>
      </c>
      <c r="CJ140" s="5">
        <f>IF($BI140&lt;&gt;"",IF('Capacity summary'!$C$14="Yes",IF(COUNTBLANK('Capacity summary'!$H52:$BG52)&lt;52,IF('Capacity summary'!AG52&lt;&gt;"",IF(LOWER('Capacity summary'!AG52)="x",$BI140*AG140,VALUE('Capacity summary'!AG52)),0),AG140*$BI140),AG140*$BI140),0)</f>
        <v>0</v>
      </c>
      <c r="CK140" s="5">
        <f>IF($BI140&lt;&gt;"",IF('Capacity summary'!$C$14="Yes",IF(COUNTBLANK('Capacity summary'!$H52:$BG52)&lt;52,IF('Capacity summary'!AH52&lt;&gt;"",IF(LOWER('Capacity summary'!AH52)="x",$BI140*AH140,VALUE('Capacity summary'!AH52)),0),AH140*$BI140),AH140*$BI140),0)</f>
        <v>0</v>
      </c>
      <c r="CL140" s="5">
        <f>IF($BI140&lt;&gt;"",IF('Capacity summary'!$C$14="Yes",IF(COUNTBLANK('Capacity summary'!$H52:$BG52)&lt;52,IF('Capacity summary'!AI52&lt;&gt;"",IF(LOWER('Capacity summary'!AI52)="x",$BI140*AI140,VALUE('Capacity summary'!AI52)),0),AI140*$BI140),AI140*$BI140),0)</f>
        <v>0</v>
      </c>
      <c r="CM140" s="5">
        <f>IF($BI140&lt;&gt;"",IF('Capacity summary'!$C$14="Yes",IF(COUNTBLANK('Capacity summary'!$H52:$BG52)&lt;52,IF('Capacity summary'!AJ52&lt;&gt;"",IF(LOWER('Capacity summary'!AJ52)="x",$BI140*AJ140,VALUE('Capacity summary'!AJ52)),0),AJ140*$BI140),AJ140*$BI140),0)</f>
        <v>0</v>
      </c>
      <c r="CN140" s="5">
        <f>IF($BI140&lt;&gt;"",IF('Capacity summary'!$C$14="Yes",IF(COUNTBLANK('Capacity summary'!$H52:$BG52)&lt;52,IF('Capacity summary'!AK52&lt;&gt;"",IF(LOWER('Capacity summary'!AK52)="x",$BI140*AK140,VALUE('Capacity summary'!AK52)),0),AK140*$BI140),AK140*$BI140),0)</f>
        <v>0</v>
      </c>
      <c r="CO140" s="5">
        <f>IF($BI140&lt;&gt;"",IF('Capacity summary'!$C$14="Yes",IF(COUNTBLANK('Capacity summary'!$H52:$BG52)&lt;52,IF('Capacity summary'!AL52&lt;&gt;"",IF(LOWER('Capacity summary'!AL52)="x",$BI140*AL140,VALUE('Capacity summary'!AL52)),0),AL140*$BI140),AL140*$BI140),0)</f>
        <v>0</v>
      </c>
      <c r="CP140" s="5">
        <f>IF($BI140&lt;&gt;"",IF('Capacity summary'!$C$14="Yes",IF(COUNTBLANK('Capacity summary'!$H52:$BG52)&lt;52,IF('Capacity summary'!AM52&lt;&gt;"",IF(LOWER('Capacity summary'!AM52)="x",$BI140*AM140,VALUE('Capacity summary'!AM52)),0),AM140*$BI140),AM140*$BI140),0)</f>
        <v>0</v>
      </c>
      <c r="CQ140" s="5">
        <f>IF($BI140&lt;&gt;"",IF('Capacity summary'!$C$14="Yes",IF(COUNTBLANK('Capacity summary'!$H52:$BG52)&lt;52,IF('Capacity summary'!AN52&lt;&gt;"",IF(LOWER('Capacity summary'!AN52)="x",$BI140*AN140,VALUE('Capacity summary'!AN52)),0),AN140*$BI140),AN140*$BI140),0)</f>
        <v>0</v>
      </c>
      <c r="CR140" s="5">
        <f>IF($BI140&lt;&gt;"",IF('Capacity summary'!$C$14="Yes",IF(COUNTBLANK('Capacity summary'!$H52:$BG52)&lt;52,IF('Capacity summary'!AO52&lt;&gt;"",IF(LOWER('Capacity summary'!AO52)="x",$BI140*AO140,VALUE('Capacity summary'!AO52)),0),AO140*$BI140),AO140*$BI140),0)</f>
        <v>0</v>
      </c>
      <c r="CS140" s="5">
        <f>IF($BI140&lt;&gt;"",IF('Capacity summary'!$C$14="Yes",IF(COUNTBLANK('Capacity summary'!$H52:$BG52)&lt;52,IF('Capacity summary'!AP52&lt;&gt;"",IF(LOWER('Capacity summary'!AP52)="x",$BI140*AP140,VALUE('Capacity summary'!AP52)),0),AP140*$BI140),AP140*$BI140),0)</f>
        <v>0</v>
      </c>
      <c r="CT140" s="5">
        <f>IF($BI140&lt;&gt;"",IF('Capacity summary'!$C$14="Yes",IF(COUNTBLANK('Capacity summary'!$H52:$BG52)&lt;52,IF('Capacity summary'!AQ52&lt;&gt;"",IF(LOWER('Capacity summary'!AQ52)="x",$BI140*AQ140,VALUE('Capacity summary'!AQ52)),0),AQ140*$BI140),AQ140*$BI140),0)</f>
        <v>0</v>
      </c>
      <c r="CU140" s="5">
        <f>IF($BI140&lt;&gt;"",IF('Capacity summary'!$C$14="Yes",IF(COUNTBLANK('Capacity summary'!$H52:$BG52)&lt;52,IF('Capacity summary'!AR52&lt;&gt;"",IF(LOWER('Capacity summary'!AR52)="x",$BI140*AR140,VALUE('Capacity summary'!AR52)),0),AR140*$BI140),AR140*$BI140),0)</f>
        <v>0</v>
      </c>
      <c r="CV140" s="5">
        <f>IF($BI140&lt;&gt;"",IF('Capacity summary'!$C$14="Yes",IF(COUNTBLANK('Capacity summary'!$H52:$BG52)&lt;52,IF('Capacity summary'!AS52&lt;&gt;"",IF(LOWER('Capacity summary'!AS52)="x",$BI140*AS140,VALUE('Capacity summary'!AS52)),0),AS140*$BI140),AS140*$BI140),0)</f>
        <v>0</v>
      </c>
      <c r="CW140" s="5">
        <f>IF($BI140&lt;&gt;"",IF('Capacity summary'!$C$14="Yes",IF(COUNTBLANK('Capacity summary'!$H52:$BG52)&lt;52,IF('Capacity summary'!AT52&lt;&gt;"",IF(LOWER('Capacity summary'!AT52)="x",$BI140*AT140,VALUE('Capacity summary'!AT52)),0),AT140*$BI140),AT140*$BI140),0)</f>
        <v>0</v>
      </c>
      <c r="CX140" s="5">
        <f>IF($BI140&lt;&gt;"",IF('Capacity summary'!$C$14="Yes",IF(COUNTBLANK('Capacity summary'!$H52:$BG52)&lt;52,IF('Capacity summary'!AU52&lt;&gt;"",IF(LOWER('Capacity summary'!AU52)="x",$BI140*AU140,VALUE('Capacity summary'!AU52)),0),AU140*$BI140),AU140*$BI140),0)</f>
        <v>0</v>
      </c>
      <c r="CY140" s="5">
        <f>IF($BI140&lt;&gt;"",IF('Capacity summary'!$C$14="Yes",IF(COUNTBLANK('Capacity summary'!$H52:$BG52)&lt;52,IF('Capacity summary'!AV52&lt;&gt;"",IF(LOWER('Capacity summary'!AV52)="x",$BI140*AV140,VALUE('Capacity summary'!AV52)),0),AV140*$BI140),AV140*$BI140),0)</f>
        <v>0</v>
      </c>
      <c r="CZ140" s="5">
        <f>IF($BI140&lt;&gt;"",IF('Capacity summary'!$C$14="Yes",IF(COUNTBLANK('Capacity summary'!$H52:$BG52)&lt;52,IF('Capacity summary'!AW52&lt;&gt;"",IF(LOWER('Capacity summary'!AW52)="x",$BI140*AW140,VALUE('Capacity summary'!AW52)),0),AW140*$BI140),AW140*$BI140),0)</f>
        <v>0</v>
      </c>
      <c r="DA140" s="5">
        <f>IF($BI140&lt;&gt;"",IF('Capacity summary'!$C$14="Yes",IF(COUNTBLANK('Capacity summary'!$H52:$BG52)&lt;52,IF('Capacity summary'!AX52&lt;&gt;"",IF(LOWER('Capacity summary'!AX52)="x",$BI140*AX140,VALUE('Capacity summary'!AX52)),0),AX140*$BI140),AX140*$BI140),0)</f>
        <v>0</v>
      </c>
      <c r="DB140" s="5">
        <f>IF($BI140&lt;&gt;"",IF('Capacity summary'!$C$14="Yes",IF(COUNTBLANK('Capacity summary'!$H52:$BG52)&lt;52,IF('Capacity summary'!AY52&lt;&gt;"",IF(LOWER('Capacity summary'!AY52)="x",$BI140*AY140,VALUE('Capacity summary'!AY52)),0),AY140*$BI140),AY140*$BI140),0)</f>
        <v>0</v>
      </c>
      <c r="DC140" s="5">
        <f>IF($BI140&lt;&gt;"",IF('Capacity summary'!$C$14="Yes",IF(COUNTBLANK('Capacity summary'!$H52:$BG52)&lt;52,IF('Capacity summary'!AZ52&lt;&gt;"",IF(LOWER('Capacity summary'!AZ52)="x",$BI140*AZ140,VALUE('Capacity summary'!AZ52)),0),AZ140*$BI140),AZ140*$BI140),0)</f>
        <v>0</v>
      </c>
      <c r="DD140" s="5">
        <f>IF($BI140&lt;&gt;"",IF('Capacity summary'!$C$14="Yes",IF(COUNTBLANK('Capacity summary'!$H52:$BG52)&lt;52,IF('Capacity summary'!BA52&lt;&gt;"",IF(LOWER('Capacity summary'!BA52)="x",$BI140*BA140,VALUE('Capacity summary'!BA52)),0),BA140*$BI140),BA140*$BI140),0)</f>
        <v>0</v>
      </c>
      <c r="DE140" s="5">
        <f>IF($BI140&lt;&gt;"",IF('Capacity summary'!$C$14="Yes",IF(COUNTBLANK('Capacity summary'!$H52:$BG52)&lt;52,IF('Capacity summary'!BB52&lt;&gt;"",IF(LOWER('Capacity summary'!BB52)="x",$BI140*BB140,VALUE('Capacity summary'!BB52)),0),BB140*$BI140),BB140*$BI140),0)</f>
        <v>0</v>
      </c>
      <c r="DF140" s="5">
        <f>IF($BI140&lt;&gt;"",IF('Capacity summary'!$C$14="Yes",IF(COUNTBLANK('Capacity summary'!$H52:$BG52)&lt;52,IF('Capacity summary'!BC52&lt;&gt;"",IF(LOWER('Capacity summary'!BC52)="x",$BI140*BC140,VALUE('Capacity summary'!BC52)),0),BC140*$BI140),BC140*$BI140),0)</f>
        <v>0</v>
      </c>
      <c r="DG140" s="5">
        <f>IF($BI140&lt;&gt;"",IF('Capacity summary'!$C$14="Yes",IF(COUNTBLANK('Capacity summary'!$H52:$BG52)&lt;52,IF('Capacity summary'!BD52&lt;&gt;"",IF(LOWER('Capacity summary'!BD52)="x",$BI140*BD140,VALUE('Capacity summary'!BD52)),0),BD140*$BI140),BD140*$BI140),0)</f>
        <v>0</v>
      </c>
      <c r="DH140" s="5">
        <f>IF($BI140&lt;&gt;"",IF('Capacity summary'!$C$14="Yes",IF(COUNTBLANK('Capacity summary'!$H52:$BG52)&lt;52,IF('Capacity summary'!BE52&lt;&gt;"",IF(LOWER('Capacity summary'!BE52)="x",$BI140*BE140,VALUE('Capacity summary'!BE52)),0),BE140*$BI140),BE140*$BI140),0)</f>
        <v>0</v>
      </c>
      <c r="DI140" s="5">
        <f>IF($BI140&lt;&gt;"",IF('Capacity summary'!$C$14="Yes",IF(COUNTBLANK('Capacity summary'!$H52:$BG52)&lt;52,IF('Capacity summary'!BF52&lt;&gt;"",IF(LOWER('Capacity summary'!BF52)="x",$BI140*BF140,VALUE('Capacity summary'!BF52)),0),BF140*$BI140),BF140*$BI140),0)</f>
        <v>0</v>
      </c>
      <c r="DJ140" s="5">
        <f>IF($BI140&lt;&gt;"",IF('Capacity summary'!$C$14="Yes",IF(COUNTBLANK('Capacity summary'!$H52:$BG52)&lt;52,IF('Capacity summary'!BG52&lt;&gt;"",IF(LOWER('Capacity summary'!BG52)="x",$BI140*BG140,VALUE('Capacity summary'!BG52)),0),BG140*$BI140),BG140*$BI140),0)</f>
        <v>0</v>
      </c>
      <c r="DK140" s="5">
        <f t="shared" ref="DK140" si="34">SUM(DK141:DK240)</f>
        <v>0</v>
      </c>
    </row>
    <row r="141" spans="3:115" x14ac:dyDescent="0.25">
      <c r="C141" s="67" t="str">
        <f>ROW(A30)&amp;". "&amp;Capacity!N46</f>
        <v xml:space="preserve">30. </v>
      </c>
      <c r="D141" s="67">
        <f>'Capacity setup'!C147</f>
        <v>0</v>
      </c>
      <c r="E141" s="67">
        <f>'Capacity setup'!D147</f>
        <v>0</v>
      </c>
      <c r="F141" s="67">
        <f>'Capacity setup'!E147</f>
        <v>0</v>
      </c>
      <c r="H141" s="67">
        <f ca="1">IF(AND(SUMIF(Capacity_Resource,$D141,'Critical resources (hide)'!U$6:U$105)+SUMIF(Capacity_Resource,$E141,'Critical resources (hide)'!U$6:U$105)+SUMIF(Capacity_Resource,$F141,'Critical resources (hide)'!U$6:U$105)&gt;0,$E$1=2),0,1)</f>
        <v>1</v>
      </c>
      <c r="I141" s="67">
        <f ca="1">IF(AND(SUMIF(Capacity_Resource,$D141,'Critical resources (hide)'!V$6:V$105)+SUMIF(Capacity_Resource,$E141,'Critical resources (hide)'!V$6:V$105)+SUMIF(Capacity_Resource,$F141,'Critical resources (hide)'!V$6:V$105)&gt;0,$E$1=2),0,1)</f>
        <v>1</v>
      </c>
      <c r="J141" s="67">
        <f ca="1">IF(AND(SUMIF(Capacity_Resource,$D141,'Critical resources (hide)'!W$6:W$105)+SUMIF(Capacity_Resource,$E141,'Critical resources (hide)'!W$6:W$105)+SUMIF(Capacity_Resource,$F141,'Critical resources (hide)'!W$6:W$105)&gt;0,$E$1=2),0,1)</f>
        <v>1</v>
      </c>
      <c r="K141" s="67">
        <f ca="1">IF(AND(SUMIF(Capacity_Resource,$D141,'Critical resources (hide)'!X$6:X$105)+SUMIF(Capacity_Resource,$E141,'Critical resources (hide)'!X$6:X$105)+SUMIF(Capacity_Resource,$F141,'Critical resources (hide)'!X$6:X$105)&gt;0,$E$1=2),0,1)</f>
        <v>1</v>
      </c>
      <c r="L141" s="67">
        <f ca="1">IF(AND(SUMIF(Capacity_Resource,$D141,'Critical resources (hide)'!Y$6:Y$105)+SUMIF(Capacity_Resource,$E141,'Critical resources (hide)'!Y$6:Y$105)+SUMIF(Capacity_Resource,$F141,'Critical resources (hide)'!Y$6:Y$105)&gt;0,$E$1=2),0,1)</f>
        <v>1</v>
      </c>
      <c r="M141" s="67">
        <f ca="1">IF(AND(SUMIF(Capacity_Resource,$D141,'Critical resources (hide)'!Z$6:Z$105)+SUMIF(Capacity_Resource,$E141,'Critical resources (hide)'!Z$6:Z$105)+SUMIF(Capacity_Resource,$F141,'Critical resources (hide)'!Z$6:Z$105)&gt;0,$E$1=2),0,1)</f>
        <v>1</v>
      </c>
      <c r="N141" s="67">
        <f ca="1">IF(AND(SUMIF(Capacity_Resource,$D141,'Critical resources (hide)'!AA$6:AA$105)+SUMIF(Capacity_Resource,$E141,'Critical resources (hide)'!AA$6:AA$105)+SUMIF(Capacity_Resource,$F141,'Critical resources (hide)'!AA$6:AA$105)&gt;0,$E$1=2),0,1)</f>
        <v>1</v>
      </c>
      <c r="O141" s="67">
        <f ca="1">IF(AND(SUMIF(Capacity_Resource,$D141,'Critical resources (hide)'!AB$6:AB$105)+SUMIF(Capacity_Resource,$E141,'Critical resources (hide)'!AB$6:AB$105)+SUMIF(Capacity_Resource,$F141,'Critical resources (hide)'!AB$6:AB$105)&gt;0,$E$1=2),0,1)</f>
        <v>1</v>
      </c>
      <c r="P141" s="67">
        <f ca="1">IF(AND(SUMIF(Capacity_Resource,$D141,'Critical resources (hide)'!AC$6:AC$105)+SUMIF(Capacity_Resource,$E141,'Critical resources (hide)'!AC$6:AC$105)+SUMIF(Capacity_Resource,$F141,'Critical resources (hide)'!AC$6:AC$105)&gt;0,$E$1=2),0,1)</f>
        <v>1</v>
      </c>
      <c r="Q141" s="67">
        <f ca="1">IF(AND(SUMIF(Capacity_Resource,$D141,'Critical resources (hide)'!AD$6:AD$105)+SUMIF(Capacity_Resource,$E141,'Critical resources (hide)'!AD$6:AD$105)+SUMIF(Capacity_Resource,$F141,'Critical resources (hide)'!AD$6:AD$105)&gt;0,$E$1=2),0,1)</f>
        <v>1</v>
      </c>
      <c r="R141" s="67">
        <f ca="1">IF(AND(SUMIF(Capacity_Resource,$D141,'Critical resources (hide)'!AE$6:AE$105)+SUMIF(Capacity_Resource,$E141,'Critical resources (hide)'!AE$6:AE$105)+SUMIF(Capacity_Resource,$F141,'Critical resources (hide)'!AE$6:AE$105)&gt;0,$E$1=2),0,1)</f>
        <v>1</v>
      </c>
      <c r="S141" s="67">
        <f ca="1">IF(AND(SUMIF(Capacity_Resource,$D141,'Critical resources (hide)'!AF$6:AF$105)+SUMIF(Capacity_Resource,$E141,'Critical resources (hide)'!AF$6:AF$105)+SUMIF(Capacity_Resource,$F141,'Critical resources (hide)'!AF$6:AF$105)&gt;0,$E$1=2),0,1)</f>
        <v>1</v>
      </c>
      <c r="T141" s="67">
        <f ca="1">IF(AND(SUMIF(Capacity_Resource,$D141,'Critical resources (hide)'!AG$6:AG$105)+SUMIF(Capacity_Resource,$E141,'Critical resources (hide)'!AG$6:AG$105)+SUMIF(Capacity_Resource,$F141,'Critical resources (hide)'!AG$6:AG$105)&gt;0,$E$1=2),0,1)</f>
        <v>1</v>
      </c>
      <c r="U141" s="67">
        <f ca="1">IF(AND(SUMIF(Capacity_Resource,$D141,'Critical resources (hide)'!AH$6:AH$105)+SUMIF(Capacity_Resource,$E141,'Critical resources (hide)'!AH$6:AH$105)+SUMIF(Capacity_Resource,$F141,'Critical resources (hide)'!AH$6:AH$105)&gt;0,$E$1=2),0,1)</f>
        <v>1</v>
      </c>
      <c r="V141" s="67">
        <f ca="1">IF(AND(SUMIF(Capacity_Resource,$D141,'Critical resources (hide)'!AI$6:AI$105)+SUMIF(Capacity_Resource,$E141,'Critical resources (hide)'!AI$6:AI$105)+SUMIF(Capacity_Resource,$F141,'Critical resources (hide)'!AI$6:AI$105)&gt;0,$E$1=2),0,1)</f>
        <v>1</v>
      </c>
      <c r="W141" s="67">
        <f ca="1">IF(AND(SUMIF(Capacity_Resource,$D141,'Critical resources (hide)'!AJ$6:AJ$105)+SUMIF(Capacity_Resource,$E141,'Critical resources (hide)'!AJ$6:AJ$105)+SUMIF(Capacity_Resource,$F141,'Critical resources (hide)'!AJ$6:AJ$105)&gt;0,$E$1=2),0,1)</f>
        <v>1</v>
      </c>
      <c r="X141" s="67">
        <f ca="1">IF(AND(SUMIF(Capacity_Resource,$D141,'Critical resources (hide)'!AK$6:AK$105)+SUMIF(Capacity_Resource,$E141,'Critical resources (hide)'!AK$6:AK$105)+SUMIF(Capacity_Resource,$F141,'Critical resources (hide)'!AK$6:AK$105)&gt;0,$E$1=2),0,1)</f>
        <v>1</v>
      </c>
      <c r="Y141" s="67">
        <f ca="1">IF(AND(SUMIF(Capacity_Resource,$D141,'Critical resources (hide)'!AL$6:AL$105)+SUMIF(Capacity_Resource,$E141,'Critical resources (hide)'!AL$6:AL$105)+SUMIF(Capacity_Resource,$F141,'Critical resources (hide)'!AL$6:AL$105)&gt;0,$E$1=2),0,1)</f>
        <v>1</v>
      </c>
      <c r="Z141" s="67">
        <f ca="1">IF(AND(SUMIF(Capacity_Resource,$D141,'Critical resources (hide)'!AM$6:AM$105)+SUMIF(Capacity_Resource,$E141,'Critical resources (hide)'!AM$6:AM$105)+SUMIF(Capacity_Resource,$F141,'Critical resources (hide)'!AM$6:AM$105)&gt;0,$E$1=2),0,1)</f>
        <v>1</v>
      </c>
      <c r="AA141" s="67">
        <f ca="1">IF(AND(SUMIF(Capacity_Resource,$D141,'Critical resources (hide)'!AN$6:AN$105)+SUMIF(Capacity_Resource,$E141,'Critical resources (hide)'!AN$6:AN$105)+SUMIF(Capacity_Resource,$F141,'Critical resources (hide)'!AN$6:AN$105)&gt;0,$E$1=2),0,1)</f>
        <v>1</v>
      </c>
      <c r="AB141" s="67">
        <f ca="1">IF(AND(SUMIF(Capacity_Resource,$D141,'Critical resources (hide)'!AO$6:AO$105)+SUMIF(Capacity_Resource,$E141,'Critical resources (hide)'!AO$6:AO$105)+SUMIF(Capacity_Resource,$F141,'Critical resources (hide)'!AO$6:AO$105)&gt;0,$E$1=2),0,1)</f>
        <v>1</v>
      </c>
      <c r="AC141" s="67">
        <f ca="1">IF(AND(SUMIF(Capacity_Resource,$D141,'Critical resources (hide)'!AP$6:AP$105)+SUMIF(Capacity_Resource,$E141,'Critical resources (hide)'!AP$6:AP$105)+SUMIF(Capacity_Resource,$F141,'Critical resources (hide)'!AP$6:AP$105)&gt;0,$E$1=2),0,1)</f>
        <v>1</v>
      </c>
      <c r="AD141" s="67">
        <f ca="1">IF(AND(SUMIF(Capacity_Resource,$D141,'Critical resources (hide)'!AQ$6:AQ$105)+SUMIF(Capacity_Resource,$E141,'Critical resources (hide)'!AQ$6:AQ$105)+SUMIF(Capacity_Resource,$F141,'Critical resources (hide)'!AQ$6:AQ$105)&gt;0,$E$1=2),0,1)</f>
        <v>1</v>
      </c>
      <c r="AE141" s="67">
        <f ca="1">IF(AND(SUMIF(Capacity_Resource,$D141,'Critical resources (hide)'!AR$6:AR$105)+SUMIF(Capacity_Resource,$E141,'Critical resources (hide)'!AR$6:AR$105)+SUMIF(Capacity_Resource,$F141,'Critical resources (hide)'!AR$6:AR$105)&gt;0,$E$1=2),0,1)</f>
        <v>1</v>
      </c>
      <c r="AF141" s="67">
        <f ca="1">IF(AND(SUMIF(Capacity_Resource,$D141,'Critical resources (hide)'!AS$6:AS$105)+SUMIF(Capacity_Resource,$E141,'Critical resources (hide)'!AS$6:AS$105)+SUMIF(Capacity_Resource,$F141,'Critical resources (hide)'!AS$6:AS$105)&gt;0,$E$1=2),0,1)</f>
        <v>1</v>
      </c>
      <c r="AG141" s="67">
        <f ca="1">IF(AND(SUMIF(Capacity_Resource,$D141,'Critical resources (hide)'!AT$6:AT$105)+SUMIF(Capacity_Resource,$E141,'Critical resources (hide)'!AT$6:AT$105)+SUMIF(Capacity_Resource,$F141,'Critical resources (hide)'!AT$6:AT$105)&gt;0,$E$1=2),0,1)</f>
        <v>1</v>
      </c>
      <c r="AH141" s="67">
        <f ca="1">IF(AND(SUMIF(Capacity_Resource,$D141,'Critical resources (hide)'!AU$6:AU$105)+SUMIF(Capacity_Resource,$E141,'Critical resources (hide)'!AU$6:AU$105)+SUMIF(Capacity_Resource,$F141,'Critical resources (hide)'!AU$6:AU$105)&gt;0,$E$1=2),0,1)</f>
        <v>1</v>
      </c>
      <c r="AI141" s="67">
        <f ca="1">IF(AND(SUMIF(Capacity_Resource,$D141,'Critical resources (hide)'!AV$6:AV$105)+SUMIF(Capacity_Resource,$E141,'Critical resources (hide)'!AV$6:AV$105)+SUMIF(Capacity_Resource,$F141,'Critical resources (hide)'!AV$6:AV$105)&gt;0,$E$1=2),0,1)</f>
        <v>1</v>
      </c>
      <c r="AJ141" s="67">
        <f ca="1">IF(AND(SUMIF(Capacity_Resource,$D141,'Critical resources (hide)'!AW$6:AW$105)+SUMIF(Capacity_Resource,$E141,'Critical resources (hide)'!AW$6:AW$105)+SUMIF(Capacity_Resource,$F141,'Critical resources (hide)'!AW$6:AW$105)&gt;0,$E$1=2),0,1)</f>
        <v>1</v>
      </c>
      <c r="AK141" s="67">
        <f ca="1">IF(AND(SUMIF(Capacity_Resource,$D141,'Critical resources (hide)'!AX$6:AX$105)+SUMIF(Capacity_Resource,$E141,'Critical resources (hide)'!AX$6:AX$105)+SUMIF(Capacity_Resource,$F141,'Critical resources (hide)'!AX$6:AX$105)&gt;0,$E$1=2),0,1)</f>
        <v>1</v>
      </c>
      <c r="AL141" s="67">
        <f ca="1">IF(AND(SUMIF(Capacity_Resource,$D141,'Critical resources (hide)'!AY$6:AY$105)+SUMIF(Capacity_Resource,$E141,'Critical resources (hide)'!AY$6:AY$105)+SUMIF(Capacity_Resource,$F141,'Critical resources (hide)'!AY$6:AY$105)&gt;0,$E$1=2),0,1)</f>
        <v>1</v>
      </c>
      <c r="AM141" s="67">
        <f ca="1">IF(AND(SUMIF(Capacity_Resource,$D141,'Critical resources (hide)'!AZ$6:AZ$105)+SUMIF(Capacity_Resource,$E141,'Critical resources (hide)'!AZ$6:AZ$105)+SUMIF(Capacity_Resource,$F141,'Critical resources (hide)'!AZ$6:AZ$105)&gt;0,$E$1=2),0,1)</f>
        <v>1</v>
      </c>
      <c r="AN141" s="67">
        <f ca="1">IF(AND(SUMIF(Capacity_Resource,$D141,'Critical resources (hide)'!BA$6:BA$105)+SUMIF(Capacity_Resource,$E141,'Critical resources (hide)'!BA$6:BA$105)+SUMIF(Capacity_Resource,$F141,'Critical resources (hide)'!BA$6:BA$105)&gt;0,$E$1=2),0,1)</f>
        <v>1</v>
      </c>
      <c r="AO141" s="67">
        <f ca="1">IF(AND(SUMIF(Capacity_Resource,$D141,'Critical resources (hide)'!BB$6:BB$105)+SUMIF(Capacity_Resource,$E141,'Critical resources (hide)'!BB$6:BB$105)+SUMIF(Capacity_Resource,$F141,'Critical resources (hide)'!BB$6:BB$105)&gt;0,$E$1=2),0,1)</f>
        <v>1</v>
      </c>
      <c r="AP141" s="67">
        <f ca="1">IF(AND(SUMIF(Capacity_Resource,$D141,'Critical resources (hide)'!BC$6:BC$105)+SUMIF(Capacity_Resource,$E141,'Critical resources (hide)'!BC$6:BC$105)+SUMIF(Capacity_Resource,$F141,'Critical resources (hide)'!BC$6:BC$105)&gt;0,$E$1=2),0,1)</f>
        <v>1</v>
      </c>
      <c r="AQ141" s="67">
        <f ca="1">IF(AND(SUMIF(Capacity_Resource,$D141,'Critical resources (hide)'!BD$6:BD$105)+SUMIF(Capacity_Resource,$E141,'Critical resources (hide)'!BD$6:BD$105)+SUMIF(Capacity_Resource,$F141,'Critical resources (hide)'!BD$6:BD$105)&gt;0,$E$1=2),0,1)</f>
        <v>1</v>
      </c>
      <c r="AR141" s="67">
        <f ca="1">IF(AND(SUMIF(Capacity_Resource,$D141,'Critical resources (hide)'!BE$6:BE$105)+SUMIF(Capacity_Resource,$E141,'Critical resources (hide)'!BE$6:BE$105)+SUMIF(Capacity_Resource,$F141,'Critical resources (hide)'!BE$6:BE$105)&gt;0,$E$1=2),0,1)</f>
        <v>1</v>
      </c>
      <c r="AS141" s="67">
        <f ca="1">IF(AND(SUMIF(Capacity_Resource,$D141,'Critical resources (hide)'!BF$6:BF$105)+SUMIF(Capacity_Resource,$E141,'Critical resources (hide)'!BF$6:BF$105)+SUMIF(Capacity_Resource,$F141,'Critical resources (hide)'!BF$6:BF$105)&gt;0,$E$1=2),0,1)</f>
        <v>1</v>
      </c>
      <c r="AT141" s="67">
        <f ca="1">IF(AND(SUMIF(Capacity_Resource,$D141,'Critical resources (hide)'!BG$6:BG$105)+SUMIF(Capacity_Resource,$E141,'Critical resources (hide)'!BG$6:BG$105)+SUMIF(Capacity_Resource,$F141,'Critical resources (hide)'!BG$6:BG$105)&gt;0,$E$1=2),0,1)</f>
        <v>1</v>
      </c>
      <c r="AU141" s="67">
        <f ca="1">IF(AND(SUMIF(Capacity_Resource,$D141,'Critical resources (hide)'!BH$6:BH$105)+SUMIF(Capacity_Resource,$E141,'Critical resources (hide)'!BH$6:BH$105)+SUMIF(Capacity_Resource,$F141,'Critical resources (hide)'!BH$6:BH$105)&gt;0,$E$1=2),0,1)</f>
        <v>1</v>
      </c>
      <c r="AV141" s="67">
        <f ca="1">IF(AND(SUMIF(Capacity_Resource,$D141,'Critical resources (hide)'!BI$6:BI$105)+SUMIF(Capacity_Resource,$E141,'Critical resources (hide)'!BI$6:BI$105)+SUMIF(Capacity_Resource,$F141,'Critical resources (hide)'!BI$6:BI$105)&gt;0,$E$1=2),0,1)</f>
        <v>1</v>
      </c>
      <c r="AW141" s="67">
        <f ca="1">IF(AND(SUMIF(Capacity_Resource,$D141,'Critical resources (hide)'!BJ$6:BJ$105)+SUMIF(Capacity_Resource,$E141,'Critical resources (hide)'!BJ$6:BJ$105)+SUMIF(Capacity_Resource,$F141,'Critical resources (hide)'!BJ$6:BJ$105)&gt;0,$E$1=2),0,1)</f>
        <v>1</v>
      </c>
      <c r="AX141" s="67">
        <f ca="1">IF(AND(SUMIF(Capacity_Resource,$D141,'Critical resources (hide)'!BK$6:BK$105)+SUMIF(Capacity_Resource,$E141,'Critical resources (hide)'!BK$6:BK$105)+SUMIF(Capacity_Resource,$F141,'Critical resources (hide)'!BK$6:BK$105)&gt;0,$E$1=2),0,1)</f>
        <v>1</v>
      </c>
      <c r="AY141" s="67">
        <f ca="1">IF(AND(SUMIF(Capacity_Resource,$D141,'Critical resources (hide)'!BL$6:BL$105)+SUMIF(Capacity_Resource,$E141,'Critical resources (hide)'!BL$6:BL$105)+SUMIF(Capacity_Resource,$F141,'Critical resources (hide)'!BL$6:BL$105)&gt;0,$E$1=2),0,1)</f>
        <v>1</v>
      </c>
      <c r="AZ141" s="67">
        <f ca="1">IF(AND(SUMIF(Capacity_Resource,$D141,'Critical resources (hide)'!BM$6:BM$105)+SUMIF(Capacity_Resource,$E141,'Critical resources (hide)'!BM$6:BM$105)+SUMIF(Capacity_Resource,$F141,'Critical resources (hide)'!BM$6:BM$105)&gt;0,$E$1=2),0,1)</f>
        <v>1</v>
      </c>
      <c r="BA141" s="67">
        <f ca="1">IF(AND(SUMIF(Capacity_Resource,$D141,'Critical resources (hide)'!BN$6:BN$105)+SUMIF(Capacity_Resource,$E141,'Critical resources (hide)'!BN$6:BN$105)+SUMIF(Capacity_Resource,$F141,'Critical resources (hide)'!BN$6:BN$105)&gt;0,$E$1=2),0,1)</f>
        <v>1</v>
      </c>
      <c r="BB141" s="67">
        <f ca="1">IF(AND(SUMIF(Capacity_Resource,$D141,'Critical resources (hide)'!BO$6:BO$105)+SUMIF(Capacity_Resource,$E141,'Critical resources (hide)'!BO$6:BO$105)+SUMIF(Capacity_Resource,$F141,'Critical resources (hide)'!BO$6:BO$105)&gt;0,$E$1=2),0,1)</f>
        <v>1</v>
      </c>
      <c r="BC141" s="67">
        <f ca="1">IF(AND(SUMIF(Capacity_Resource,$D141,'Critical resources (hide)'!BP$6:BP$105)+SUMIF(Capacity_Resource,$E141,'Critical resources (hide)'!BP$6:BP$105)+SUMIF(Capacity_Resource,$F141,'Critical resources (hide)'!BP$6:BP$105)&gt;0,$E$1=2),0,1)</f>
        <v>1</v>
      </c>
      <c r="BD141" s="67">
        <f ca="1">IF(AND(SUMIF(Capacity_Resource,$D141,'Critical resources (hide)'!BQ$6:BQ$105)+SUMIF(Capacity_Resource,$E141,'Critical resources (hide)'!BQ$6:BQ$105)+SUMIF(Capacity_Resource,$F141,'Critical resources (hide)'!BQ$6:BQ$105)&gt;0,$E$1=2),0,1)</f>
        <v>1</v>
      </c>
      <c r="BE141" s="67">
        <f ca="1">IF(AND(SUMIF(Capacity_Resource,$D141,'Critical resources (hide)'!BR$6:BR$105)+SUMIF(Capacity_Resource,$E141,'Critical resources (hide)'!BR$6:BR$105)+SUMIF(Capacity_Resource,$F141,'Critical resources (hide)'!BR$6:BR$105)&gt;0,$E$1=2),0,1)</f>
        <v>1</v>
      </c>
      <c r="BF141" s="67">
        <f ca="1">IF(AND(SUMIF(Capacity_Resource,$D141,'Critical resources (hide)'!BS$6:BS$105)+SUMIF(Capacity_Resource,$E141,'Critical resources (hide)'!BS$6:BS$105)+SUMIF(Capacity_Resource,$F141,'Critical resources (hide)'!BS$6:BS$105)&gt;0,$E$1=2),0,1)</f>
        <v>1</v>
      </c>
      <c r="BG141" s="67">
        <f ca="1">IF(AND(SUMIF(Capacity_Resource,$D141,'Critical resources (hide)'!BT$6:BT$105)+SUMIF(Capacity_Resource,$E141,'Critical resources (hide)'!BT$6:BT$105)+SUMIF(Capacity_Resource,$F141,'Critical resources (hide)'!BT$6:BT$105)&gt;0,$E$1=2),0,1)</f>
        <v>1</v>
      </c>
      <c r="BH141" s="67">
        <f>IF(ROW(A30)&lt;=Capacity!$M$16,IF('Capacity summary'!$C$14="No",SUM(H141:BG141),'Capacity summary'!$E53),0)</f>
        <v>0</v>
      </c>
      <c r="BI141" s="67" t="str">
        <f>IF(BH141&gt;0,IF(BH141&lt;Capacity!Q46,Capacity!R46,Capacity!T46/'Capacity calculation (hide)'!BH141),"")</f>
        <v/>
      </c>
      <c r="BJ141" s="5"/>
      <c r="BK141" s="5">
        <f>IF($BI141&lt;&gt;"",IF('Capacity summary'!$C$14="Yes",IF(COUNTBLANK('Capacity summary'!$H53:$BG53)&lt;52,IF('Capacity summary'!H53&lt;&gt;"",IF(LOWER('Capacity summary'!H53)="x",$BI141*H141,VALUE('Capacity summary'!H53)),0),H141*$BI141),H141*$BI141),0)</f>
        <v>0</v>
      </c>
      <c r="BL141" s="5">
        <f>IF($BI141&lt;&gt;"",IF('Capacity summary'!$C$14="Yes",IF(COUNTBLANK('Capacity summary'!$H53:$BG53)&lt;52,IF('Capacity summary'!I53&lt;&gt;"",IF(LOWER('Capacity summary'!I53)="x",$BI141*I141,VALUE('Capacity summary'!I53)),0),I141*$BI141),I141*$BI141),0)</f>
        <v>0</v>
      </c>
      <c r="BM141" s="5">
        <f>IF($BI141&lt;&gt;"",IF('Capacity summary'!$C$14="Yes",IF(COUNTBLANK('Capacity summary'!$H53:$BG53)&lt;52,IF('Capacity summary'!J53&lt;&gt;"",IF(LOWER('Capacity summary'!J53)="x",$BI141*J141,VALUE('Capacity summary'!J53)),0),J141*$BI141),J141*$BI141),0)</f>
        <v>0</v>
      </c>
      <c r="BN141" s="5">
        <f>IF($BI141&lt;&gt;"",IF('Capacity summary'!$C$14="Yes",IF(COUNTBLANK('Capacity summary'!$H53:$BG53)&lt;52,IF('Capacity summary'!K53&lt;&gt;"",IF(LOWER('Capacity summary'!K53)="x",$BI141*K141,VALUE('Capacity summary'!K53)),0),K141*$BI141),K141*$BI141),0)</f>
        <v>0</v>
      </c>
      <c r="BO141" s="5">
        <f>IF($BI141&lt;&gt;"",IF('Capacity summary'!$C$14="Yes",IF(COUNTBLANK('Capacity summary'!$H53:$BG53)&lt;52,IF('Capacity summary'!L53&lt;&gt;"",IF(LOWER('Capacity summary'!L53)="x",$BI141*L141,VALUE('Capacity summary'!L53)),0),L141*$BI141),L141*$BI141),0)</f>
        <v>0</v>
      </c>
      <c r="BP141" s="5">
        <f>IF($BI141&lt;&gt;"",IF('Capacity summary'!$C$14="Yes",IF(COUNTBLANK('Capacity summary'!$H53:$BG53)&lt;52,IF('Capacity summary'!M53&lt;&gt;"",IF(LOWER('Capacity summary'!M53)="x",$BI141*M141,VALUE('Capacity summary'!M53)),0),M141*$BI141),M141*$BI141),0)</f>
        <v>0</v>
      </c>
      <c r="BQ141" s="5">
        <f>IF($BI141&lt;&gt;"",IF('Capacity summary'!$C$14="Yes",IF(COUNTBLANK('Capacity summary'!$H53:$BG53)&lt;52,IF('Capacity summary'!N53&lt;&gt;"",IF(LOWER('Capacity summary'!N53)="x",$BI141*N141,VALUE('Capacity summary'!N53)),0),N141*$BI141),N141*$BI141),0)</f>
        <v>0</v>
      </c>
      <c r="BR141" s="5">
        <f>IF($BI141&lt;&gt;"",IF('Capacity summary'!$C$14="Yes",IF(COUNTBLANK('Capacity summary'!$H53:$BG53)&lt;52,IF('Capacity summary'!O53&lt;&gt;"",IF(LOWER('Capacity summary'!O53)="x",$BI141*O141,VALUE('Capacity summary'!O53)),0),O141*$BI141),O141*$BI141),0)</f>
        <v>0</v>
      </c>
      <c r="BS141" s="5">
        <f>IF($BI141&lt;&gt;"",IF('Capacity summary'!$C$14="Yes",IF(COUNTBLANK('Capacity summary'!$H53:$BG53)&lt;52,IF('Capacity summary'!P53&lt;&gt;"",IF(LOWER('Capacity summary'!P53)="x",$BI141*P141,VALUE('Capacity summary'!P53)),0),P141*$BI141),P141*$BI141),0)</f>
        <v>0</v>
      </c>
      <c r="BT141" s="5">
        <f>IF($BI141&lt;&gt;"",IF('Capacity summary'!$C$14="Yes",IF(COUNTBLANK('Capacity summary'!$H53:$BG53)&lt;52,IF('Capacity summary'!Q53&lt;&gt;"",IF(LOWER('Capacity summary'!Q53)="x",$BI141*Q141,VALUE('Capacity summary'!Q53)),0),Q141*$BI141),Q141*$BI141),0)</f>
        <v>0</v>
      </c>
      <c r="BU141" s="5">
        <f>IF($BI141&lt;&gt;"",IF('Capacity summary'!$C$14="Yes",IF(COUNTBLANK('Capacity summary'!$H53:$BG53)&lt;52,IF('Capacity summary'!R53&lt;&gt;"",IF(LOWER('Capacity summary'!R53)="x",$BI141*R141,VALUE('Capacity summary'!R53)),0),R141*$BI141),R141*$BI141),0)</f>
        <v>0</v>
      </c>
      <c r="BV141" s="5">
        <f>IF($BI141&lt;&gt;"",IF('Capacity summary'!$C$14="Yes",IF(COUNTBLANK('Capacity summary'!$H53:$BG53)&lt;52,IF('Capacity summary'!S53&lt;&gt;"",IF(LOWER('Capacity summary'!S53)="x",$BI141*S141,VALUE('Capacity summary'!S53)),0),S141*$BI141),S141*$BI141),0)</f>
        <v>0</v>
      </c>
      <c r="BW141" s="5">
        <f>IF($BI141&lt;&gt;"",IF('Capacity summary'!$C$14="Yes",IF(COUNTBLANK('Capacity summary'!$H53:$BG53)&lt;52,IF('Capacity summary'!T53&lt;&gt;"",IF(LOWER('Capacity summary'!T53)="x",$BI141*T141,VALUE('Capacity summary'!T53)),0),T141*$BI141),T141*$BI141),0)</f>
        <v>0</v>
      </c>
      <c r="BX141" s="5">
        <f>IF($BI141&lt;&gt;"",IF('Capacity summary'!$C$14="Yes",IF(COUNTBLANK('Capacity summary'!$H53:$BG53)&lt;52,IF('Capacity summary'!U53&lt;&gt;"",IF(LOWER('Capacity summary'!U53)="x",$BI141*U141,VALUE('Capacity summary'!U53)),0),U141*$BI141),U141*$BI141),0)</f>
        <v>0</v>
      </c>
      <c r="BY141" s="5">
        <f>IF($BI141&lt;&gt;"",IF('Capacity summary'!$C$14="Yes",IF(COUNTBLANK('Capacity summary'!$H53:$BG53)&lt;52,IF('Capacity summary'!V53&lt;&gt;"",IF(LOWER('Capacity summary'!V53)="x",$BI141*V141,VALUE('Capacity summary'!V53)),0),V141*$BI141),V141*$BI141),0)</f>
        <v>0</v>
      </c>
      <c r="BZ141" s="5">
        <f>IF($BI141&lt;&gt;"",IF('Capacity summary'!$C$14="Yes",IF(COUNTBLANK('Capacity summary'!$H53:$BG53)&lt;52,IF('Capacity summary'!W53&lt;&gt;"",IF(LOWER('Capacity summary'!W53)="x",$BI141*W141,VALUE('Capacity summary'!W53)),0),W141*$BI141),W141*$BI141),0)</f>
        <v>0</v>
      </c>
      <c r="CA141" s="5">
        <f>IF($BI141&lt;&gt;"",IF('Capacity summary'!$C$14="Yes",IF(COUNTBLANK('Capacity summary'!$H53:$BG53)&lt;52,IF('Capacity summary'!X53&lt;&gt;"",IF(LOWER('Capacity summary'!X53)="x",$BI141*X141,VALUE('Capacity summary'!X53)),0),X141*$BI141),X141*$BI141),0)</f>
        <v>0</v>
      </c>
      <c r="CB141" s="5">
        <f>IF($BI141&lt;&gt;"",IF('Capacity summary'!$C$14="Yes",IF(COUNTBLANK('Capacity summary'!$H53:$BG53)&lt;52,IF('Capacity summary'!Y53&lt;&gt;"",IF(LOWER('Capacity summary'!Y53)="x",$BI141*Y141,VALUE('Capacity summary'!Y53)),0),Y141*$BI141),Y141*$BI141),0)</f>
        <v>0</v>
      </c>
      <c r="CC141" s="5">
        <f>IF($BI141&lt;&gt;"",IF('Capacity summary'!$C$14="Yes",IF(COUNTBLANK('Capacity summary'!$H53:$BG53)&lt;52,IF('Capacity summary'!Z53&lt;&gt;"",IF(LOWER('Capacity summary'!Z53)="x",$BI141*Z141,VALUE('Capacity summary'!Z53)),0),Z141*$BI141),Z141*$BI141),0)</f>
        <v>0</v>
      </c>
      <c r="CD141" s="5">
        <f>IF($BI141&lt;&gt;"",IF('Capacity summary'!$C$14="Yes",IF(COUNTBLANK('Capacity summary'!$H53:$BG53)&lt;52,IF('Capacity summary'!AA53&lt;&gt;"",IF(LOWER('Capacity summary'!AA53)="x",$BI141*AA141,VALUE('Capacity summary'!AA53)),0),AA141*$BI141),AA141*$BI141),0)</f>
        <v>0</v>
      </c>
      <c r="CE141" s="5">
        <f>IF($BI141&lt;&gt;"",IF('Capacity summary'!$C$14="Yes",IF(COUNTBLANK('Capacity summary'!$H53:$BG53)&lt;52,IF('Capacity summary'!AB53&lt;&gt;"",IF(LOWER('Capacity summary'!AB53)="x",$BI141*AB141,VALUE('Capacity summary'!AB53)),0),AB141*$BI141),AB141*$BI141),0)</f>
        <v>0</v>
      </c>
      <c r="CF141" s="5">
        <f>IF($BI141&lt;&gt;"",IF('Capacity summary'!$C$14="Yes",IF(COUNTBLANK('Capacity summary'!$H53:$BG53)&lt;52,IF('Capacity summary'!AC53&lt;&gt;"",IF(LOWER('Capacity summary'!AC53)="x",$BI141*AC141,VALUE('Capacity summary'!AC53)),0),AC141*$BI141),AC141*$BI141),0)</f>
        <v>0</v>
      </c>
      <c r="CG141" s="5">
        <f>IF($BI141&lt;&gt;"",IF('Capacity summary'!$C$14="Yes",IF(COUNTBLANK('Capacity summary'!$H53:$BG53)&lt;52,IF('Capacity summary'!AD53&lt;&gt;"",IF(LOWER('Capacity summary'!AD53)="x",$BI141*AD141,VALUE('Capacity summary'!AD53)),0),AD141*$BI141),AD141*$BI141),0)</f>
        <v>0</v>
      </c>
      <c r="CH141" s="5">
        <f>IF($BI141&lt;&gt;"",IF('Capacity summary'!$C$14="Yes",IF(COUNTBLANK('Capacity summary'!$H53:$BG53)&lt;52,IF('Capacity summary'!AE53&lt;&gt;"",IF(LOWER('Capacity summary'!AE53)="x",$BI141*AE141,VALUE('Capacity summary'!AE53)),0),AE141*$BI141),AE141*$BI141),0)</f>
        <v>0</v>
      </c>
      <c r="CI141" s="5">
        <f>IF($BI141&lt;&gt;"",IF('Capacity summary'!$C$14="Yes",IF(COUNTBLANK('Capacity summary'!$H53:$BG53)&lt;52,IF('Capacity summary'!AF53&lt;&gt;"",IF(LOWER('Capacity summary'!AF53)="x",$BI141*AF141,VALUE('Capacity summary'!AF53)),0),AF141*$BI141),AF141*$BI141),0)</f>
        <v>0</v>
      </c>
      <c r="CJ141" s="5">
        <f>IF($BI141&lt;&gt;"",IF('Capacity summary'!$C$14="Yes",IF(COUNTBLANK('Capacity summary'!$H53:$BG53)&lt;52,IF('Capacity summary'!AG53&lt;&gt;"",IF(LOWER('Capacity summary'!AG53)="x",$BI141*AG141,VALUE('Capacity summary'!AG53)),0),AG141*$BI141),AG141*$BI141),0)</f>
        <v>0</v>
      </c>
      <c r="CK141" s="5">
        <f>IF($BI141&lt;&gt;"",IF('Capacity summary'!$C$14="Yes",IF(COUNTBLANK('Capacity summary'!$H53:$BG53)&lt;52,IF('Capacity summary'!AH53&lt;&gt;"",IF(LOWER('Capacity summary'!AH53)="x",$BI141*AH141,VALUE('Capacity summary'!AH53)),0),AH141*$BI141),AH141*$BI141),0)</f>
        <v>0</v>
      </c>
      <c r="CL141" s="5">
        <f>IF($BI141&lt;&gt;"",IF('Capacity summary'!$C$14="Yes",IF(COUNTBLANK('Capacity summary'!$H53:$BG53)&lt;52,IF('Capacity summary'!AI53&lt;&gt;"",IF(LOWER('Capacity summary'!AI53)="x",$BI141*AI141,VALUE('Capacity summary'!AI53)),0),AI141*$BI141),AI141*$BI141),0)</f>
        <v>0</v>
      </c>
      <c r="CM141" s="5">
        <f>IF($BI141&lt;&gt;"",IF('Capacity summary'!$C$14="Yes",IF(COUNTBLANK('Capacity summary'!$H53:$BG53)&lt;52,IF('Capacity summary'!AJ53&lt;&gt;"",IF(LOWER('Capacity summary'!AJ53)="x",$BI141*AJ141,VALUE('Capacity summary'!AJ53)),0),AJ141*$BI141),AJ141*$BI141),0)</f>
        <v>0</v>
      </c>
      <c r="CN141" s="5">
        <f>IF($BI141&lt;&gt;"",IF('Capacity summary'!$C$14="Yes",IF(COUNTBLANK('Capacity summary'!$H53:$BG53)&lt;52,IF('Capacity summary'!AK53&lt;&gt;"",IF(LOWER('Capacity summary'!AK53)="x",$BI141*AK141,VALUE('Capacity summary'!AK53)),0),AK141*$BI141),AK141*$BI141),0)</f>
        <v>0</v>
      </c>
      <c r="CO141" s="5">
        <f>IF($BI141&lt;&gt;"",IF('Capacity summary'!$C$14="Yes",IF(COUNTBLANK('Capacity summary'!$H53:$BG53)&lt;52,IF('Capacity summary'!AL53&lt;&gt;"",IF(LOWER('Capacity summary'!AL53)="x",$BI141*AL141,VALUE('Capacity summary'!AL53)),0),AL141*$BI141),AL141*$BI141),0)</f>
        <v>0</v>
      </c>
      <c r="CP141" s="5">
        <f>IF($BI141&lt;&gt;"",IF('Capacity summary'!$C$14="Yes",IF(COUNTBLANK('Capacity summary'!$H53:$BG53)&lt;52,IF('Capacity summary'!AM53&lt;&gt;"",IF(LOWER('Capacity summary'!AM53)="x",$BI141*AM141,VALUE('Capacity summary'!AM53)),0),AM141*$BI141),AM141*$BI141),0)</f>
        <v>0</v>
      </c>
      <c r="CQ141" s="5">
        <f>IF($BI141&lt;&gt;"",IF('Capacity summary'!$C$14="Yes",IF(COUNTBLANK('Capacity summary'!$H53:$BG53)&lt;52,IF('Capacity summary'!AN53&lt;&gt;"",IF(LOWER('Capacity summary'!AN53)="x",$BI141*AN141,VALUE('Capacity summary'!AN53)),0),AN141*$BI141),AN141*$BI141),0)</f>
        <v>0</v>
      </c>
      <c r="CR141" s="5">
        <f>IF($BI141&lt;&gt;"",IF('Capacity summary'!$C$14="Yes",IF(COUNTBLANK('Capacity summary'!$H53:$BG53)&lt;52,IF('Capacity summary'!AO53&lt;&gt;"",IF(LOWER('Capacity summary'!AO53)="x",$BI141*AO141,VALUE('Capacity summary'!AO53)),0),AO141*$BI141),AO141*$BI141),0)</f>
        <v>0</v>
      </c>
      <c r="CS141" s="5">
        <f>IF($BI141&lt;&gt;"",IF('Capacity summary'!$C$14="Yes",IF(COUNTBLANK('Capacity summary'!$H53:$BG53)&lt;52,IF('Capacity summary'!AP53&lt;&gt;"",IF(LOWER('Capacity summary'!AP53)="x",$BI141*AP141,VALUE('Capacity summary'!AP53)),0),AP141*$BI141),AP141*$BI141),0)</f>
        <v>0</v>
      </c>
      <c r="CT141" s="5">
        <f>IF($BI141&lt;&gt;"",IF('Capacity summary'!$C$14="Yes",IF(COUNTBLANK('Capacity summary'!$H53:$BG53)&lt;52,IF('Capacity summary'!AQ53&lt;&gt;"",IF(LOWER('Capacity summary'!AQ53)="x",$BI141*AQ141,VALUE('Capacity summary'!AQ53)),0),AQ141*$BI141),AQ141*$BI141),0)</f>
        <v>0</v>
      </c>
      <c r="CU141" s="5">
        <f>IF($BI141&lt;&gt;"",IF('Capacity summary'!$C$14="Yes",IF(COUNTBLANK('Capacity summary'!$H53:$BG53)&lt;52,IF('Capacity summary'!AR53&lt;&gt;"",IF(LOWER('Capacity summary'!AR53)="x",$BI141*AR141,VALUE('Capacity summary'!AR53)),0),AR141*$BI141),AR141*$BI141),0)</f>
        <v>0</v>
      </c>
      <c r="CV141" s="5">
        <f>IF($BI141&lt;&gt;"",IF('Capacity summary'!$C$14="Yes",IF(COUNTBLANK('Capacity summary'!$H53:$BG53)&lt;52,IF('Capacity summary'!AS53&lt;&gt;"",IF(LOWER('Capacity summary'!AS53)="x",$BI141*AS141,VALUE('Capacity summary'!AS53)),0),AS141*$BI141),AS141*$BI141),0)</f>
        <v>0</v>
      </c>
      <c r="CW141" s="5">
        <f>IF($BI141&lt;&gt;"",IF('Capacity summary'!$C$14="Yes",IF(COUNTBLANK('Capacity summary'!$H53:$BG53)&lt;52,IF('Capacity summary'!AT53&lt;&gt;"",IF(LOWER('Capacity summary'!AT53)="x",$BI141*AT141,VALUE('Capacity summary'!AT53)),0),AT141*$BI141),AT141*$BI141),0)</f>
        <v>0</v>
      </c>
      <c r="CX141" s="5">
        <f>IF($BI141&lt;&gt;"",IF('Capacity summary'!$C$14="Yes",IF(COUNTBLANK('Capacity summary'!$H53:$BG53)&lt;52,IF('Capacity summary'!AU53&lt;&gt;"",IF(LOWER('Capacity summary'!AU53)="x",$BI141*AU141,VALUE('Capacity summary'!AU53)),0),AU141*$BI141),AU141*$BI141),0)</f>
        <v>0</v>
      </c>
      <c r="CY141" s="5">
        <f>IF($BI141&lt;&gt;"",IF('Capacity summary'!$C$14="Yes",IF(COUNTBLANK('Capacity summary'!$H53:$BG53)&lt;52,IF('Capacity summary'!AV53&lt;&gt;"",IF(LOWER('Capacity summary'!AV53)="x",$BI141*AV141,VALUE('Capacity summary'!AV53)),0),AV141*$BI141),AV141*$BI141),0)</f>
        <v>0</v>
      </c>
      <c r="CZ141" s="5">
        <f>IF($BI141&lt;&gt;"",IF('Capacity summary'!$C$14="Yes",IF(COUNTBLANK('Capacity summary'!$H53:$BG53)&lt;52,IF('Capacity summary'!AW53&lt;&gt;"",IF(LOWER('Capacity summary'!AW53)="x",$BI141*AW141,VALUE('Capacity summary'!AW53)),0),AW141*$BI141),AW141*$BI141),0)</f>
        <v>0</v>
      </c>
      <c r="DA141" s="5">
        <f>IF($BI141&lt;&gt;"",IF('Capacity summary'!$C$14="Yes",IF(COUNTBLANK('Capacity summary'!$H53:$BG53)&lt;52,IF('Capacity summary'!AX53&lt;&gt;"",IF(LOWER('Capacity summary'!AX53)="x",$BI141*AX141,VALUE('Capacity summary'!AX53)),0),AX141*$BI141),AX141*$BI141),0)</f>
        <v>0</v>
      </c>
      <c r="DB141" s="5">
        <f>IF($BI141&lt;&gt;"",IF('Capacity summary'!$C$14="Yes",IF(COUNTBLANK('Capacity summary'!$H53:$BG53)&lt;52,IF('Capacity summary'!AY53&lt;&gt;"",IF(LOWER('Capacity summary'!AY53)="x",$BI141*AY141,VALUE('Capacity summary'!AY53)),0),AY141*$BI141),AY141*$BI141),0)</f>
        <v>0</v>
      </c>
      <c r="DC141" s="5">
        <f>IF($BI141&lt;&gt;"",IF('Capacity summary'!$C$14="Yes",IF(COUNTBLANK('Capacity summary'!$H53:$BG53)&lt;52,IF('Capacity summary'!AZ53&lt;&gt;"",IF(LOWER('Capacity summary'!AZ53)="x",$BI141*AZ141,VALUE('Capacity summary'!AZ53)),0),AZ141*$BI141),AZ141*$BI141),0)</f>
        <v>0</v>
      </c>
      <c r="DD141" s="5">
        <f>IF($BI141&lt;&gt;"",IF('Capacity summary'!$C$14="Yes",IF(COUNTBLANK('Capacity summary'!$H53:$BG53)&lt;52,IF('Capacity summary'!BA53&lt;&gt;"",IF(LOWER('Capacity summary'!BA53)="x",$BI141*BA141,VALUE('Capacity summary'!BA53)),0),BA141*$BI141),BA141*$BI141),0)</f>
        <v>0</v>
      </c>
      <c r="DE141" s="5">
        <f>IF($BI141&lt;&gt;"",IF('Capacity summary'!$C$14="Yes",IF(COUNTBLANK('Capacity summary'!$H53:$BG53)&lt;52,IF('Capacity summary'!BB53&lt;&gt;"",IF(LOWER('Capacity summary'!BB53)="x",$BI141*BB141,VALUE('Capacity summary'!BB53)),0),BB141*$BI141),BB141*$BI141),0)</f>
        <v>0</v>
      </c>
      <c r="DF141" s="5">
        <f>IF($BI141&lt;&gt;"",IF('Capacity summary'!$C$14="Yes",IF(COUNTBLANK('Capacity summary'!$H53:$BG53)&lt;52,IF('Capacity summary'!BC53&lt;&gt;"",IF(LOWER('Capacity summary'!BC53)="x",$BI141*BC141,VALUE('Capacity summary'!BC53)),0),BC141*$BI141),BC141*$BI141),0)</f>
        <v>0</v>
      </c>
      <c r="DG141" s="5">
        <f>IF($BI141&lt;&gt;"",IF('Capacity summary'!$C$14="Yes",IF(COUNTBLANK('Capacity summary'!$H53:$BG53)&lt;52,IF('Capacity summary'!BD53&lt;&gt;"",IF(LOWER('Capacity summary'!BD53)="x",$BI141*BD141,VALUE('Capacity summary'!BD53)),0),BD141*$BI141),BD141*$BI141),0)</f>
        <v>0</v>
      </c>
      <c r="DH141" s="5">
        <f>IF($BI141&lt;&gt;"",IF('Capacity summary'!$C$14="Yes",IF(COUNTBLANK('Capacity summary'!$H53:$BG53)&lt;52,IF('Capacity summary'!BE53&lt;&gt;"",IF(LOWER('Capacity summary'!BE53)="x",$BI141*BE141,VALUE('Capacity summary'!BE53)),0),BE141*$BI141),BE141*$BI141),0)</f>
        <v>0</v>
      </c>
      <c r="DI141" s="5">
        <f>IF($BI141&lt;&gt;"",IF('Capacity summary'!$C$14="Yes",IF(COUNTBLANK('Capacity summary'!$H53:$BG53)&lt;52,IF('Capacity summary'!BF53&lt;&gt;"",IF(LOWER('Capacity summary'!BF53)="x",$BI141*BF141,VALUE('Capacity summary'!BF53)),0),BF141*$BI141),BF141*$BI141),0)</f>
        <v>0</v>
      </c>
      <c r="DJ141" s="5">
        <f>IF($BI141&lt;&gt;"",IF('Capacity summary'!$C$14="Yes",IF(COUNTBLANK('Capacity summary'!$H53:$BG53)&lt;52,IF('Capacity summary'!BG53&lt;&gt;"",IF(LOWER('Capacity summary'!BG53)="x",$BI141*BG141,VALUE('Capacity summary'!BG53)),0),BG141*$BI141),BG141*$BI141),0)</f>
        <v>0</v>
      </c>
      <c r="DK141" s="5">
        <f t="shared" ref="DK141" si="35">SUM(DK142:DK241)</f>
        <v>0</v>
      </c>
    </row>
    <row r="142" spans="3:115" x14ac:dyDescent="0.25">
      <c r="C142" s="67" t="str">
        <f>ROW(A31)&amp;". "&amp;Capacity!N47</f>
        <v xml:space="preserve">31. </v>
      </c>
      <c r="D142" s="67">
        <f>'Capacity setup'!C148</f>
        <v>0</v>
      </c>
      <c r="E142" s="67">
        <f>'Capacity setup'!D148</f>
        <v>0</v>
      </c>
      <c r="F142" s="67">
        <f>'Capacity setup'!E148</f>
        <v>0</v>
      </c>
      <c r="H142" s="67">
        <f ca="1">IF(AND(SUMIF(Capacity_Resource,$D142,'Critical resources (hide)'!U$6:U$105)+SUMIF(Capacity_Resource,$E142,'Critical resources (hide)'!U$6:U$105)+SUMIF(Capacity_Resource,$F142,'Critical resources (hide)'!U$6:U$105)&gt;0,$E$1=2),0,1)</f>
        <v>1</v>
      </c>
      <c r="I142" s="67">
        <f ca="1">IF(AND(SUMIF(Capacity_Resource,$D142,'Critical resources (hide)'!V$6:V$105)+SUMIF(Capacity_Resource,$E142,'Critical resources (hide)'!V$6:V$105)+SUMIF(Capacity_Resource,$F142,'Critical resources (hide)'!V$6:V$105)&gt;0,$E$1=2),0,1)</f>
        <v>1</v>
      </c>
      <c r="J142" s="67">
        <f ca="1">IF(AND(SUMIF(Capacity_Resource,$D142,'Critical resources (hide)'!W$6:W$105)+SUMIF(Capacity_Resource,$E142,'Critical resources (hide)'!W$6:W$105)+SUMIF(Capacity_Resource,$F142,'Critical resources (hide)'!W$6:W$105)&gt;0,$E$1=2),0,1)</f>
        <v>1</v>
      </c>
      <c r="K142" s="67">
        <f ca="1">IF(AND(SUMIF(Capacity_Resource,$D142,'Critical resources (hide)'!X$6:X$105)+SUMIF(Capacity_Resource,$E142,'Critical resources (hide)'!X$6:X$105)+SUMIF(Capacity_Resource,$F142,'Critical resources (hide)'!X$6:X$105)&gt;0,$E$1=2),0,1)</f>
        <v>1</v>
      </c>
      <c r="L142" s="67">
        <f ca="1">IF(AND(SUMIF(Capacity_Resource,$D142,'Critical resources (hide)'!Y$6:Y$105)+SUMIF(Capacity_Resource,$E142,'Critical resources (hide)'!Y$6:Y$105)+SUMIF(Capacity_Resource,$F142,'Critical resources (hide)'!Y$6:Y$105)&gt;0,$E$1=2),0,1)</f>
        <v>1</v>
      </c>
      <c r="M142" s="67">
        <f ca="1">IF(AND(SUMIF(Capacity_Resource,$D142,'Critical resources (hide)'!Z$6:Z$105)+SUMIF(Capacity_Resource,$E142,'Critical resources (hide)'!Z$6:Z$105)+SUMIF(Capacity_Resource,$F142,'Critical resources (hide)'!Z$6:Z$105)&gt;0,$E$1=2),0,1)</f>
        <v>1</v>
      </c>
      <c r="N142" s="67">
        <f ca="1">IF(AND(SUMIF(Capacity_Resource,$D142,'Critical resources (hide)'!AA$6:AA$105)+SUMIF(Capacity_Resource,$E142,'Critical resources (hide)'!AA$6:AA$105)+SUMIF(Capacity_Resource,$F142,'Critical resources (hide)'!AA$6:AA$105)&gt;0,$E$1=2),0,1)</f>
        <v>1</v>
      </c>
      <c r="O142" s="67">
        <f ca="1">IF(AND(SUMIF(Capacity_Resource,$D142,'Critical resources (hide)'!AB$6:AB$105)+SUMIF(Capacity_Resource,$E142,'Critical resources (hide)'!AB$6:AB$105)+SUMIF(Capacity_Resource,$F142,'Critical resources (hide)'!AB$6:AB$105)&gt;0,$E$1=2),0,1)</f>
        <v>1</v>
      </c>
      <c r="P142" s="67">
        <f ca="1">IF(AND(SUMIF(Capacity_Resource,$D142,'Critical resources (hide)'!AC$6:AC$105)+SUMIF(Capacity_Resource,$E142,'Critical resources (hide)'!AC$6:AC$105)+SUMIF(Capacity_Resource,$F142,'Critical resources (hide)'!AC$6:AC$105)&gt;0,$E$1=2),0,1)</f>
        <v>1</v>
      </c>
      <c r="Q142" s="67">
        <f ca="1">IF(AND(SUMIF(Capacity_Resource,$D142,'Critical resources (hide)'!AD$6:AD$105)+SUMIF(Capacity_Resource,$E142,'Critical resources (hide)'!AD$6:AD$105)+SUMIF(Capacity_Resource,$F142,'Critical resources (hide)'!AD$6:AD$105)&gt;0,$E$1=2),0,1)</f>
        <v>1</v>
      </c>
      <c r="R142" s="67">
        <f ca="1">IF(AND(SUMIF(Capacity_Resource,$D142,'Critical resources (hide)'!AE$6:AE$105)+SUMIF(Capacity_Resource,$E142,'Critical resources (hide)'!AE$6:AE$105)+SUMIF(Capacity_Resource,$F142,'Critical resources (hide)'!AE$6:AE$105)&gt;0,$E$1=2),0,1)</f>
        <v>1</v>
      </c>
      <c r="S142" s="67">
        <f ca="1">IF(AND(SUMIF(Capacity_Resource,$D142,'Critical resources (hide)'!AF$6:AF$105)+SUMIF(Capacity_Resource,$E142,'Critical resources (hide)'!AF$6:AF$105)+SUMIF(Capacity_Resource,$F142,'Critical resources (hide)'!AF$6:AF$105)&gt;0,$E$1=2),0,1)</f>
        <v>1</v>
      </c>
      <c r="T142" s="67">
        <f ca="1">IF(AND(SUMIF(Capacity_Resource,$D142,'Critical resources (hide)'!AG$6:AG$105)+SUMIF(Capacity_Resource,$E142,'Critical resources (hide)'!AG$6:AG$105)+SUMIF(Capacity_Resource,$F142,'Critical resources (hide)'!AG$6:AG$105)&gt;0,$E$1=2),0,1)</f>
        <v>1</v>
      </c>
      <c r="U142" s="67">
        <f ca="1">IF(AND(SUMIF(Capacity_Resource,$D142,'Critical resources (hide)'!AH$6:AH$105)+SUMIF(Capacity_Resource,$E142,'Critical resources (hide)'!AH$6:AH$105)+SUMIF(Capacity_Resource,$F142,'Critical resources (hide)'!AH$6:AH$105)&gt;0,$E$1=2),0,1)</f>
        <v>1</v>
      </c>
      <c r="V142" s="67">
        <f ca="1">IF(AND(SUMIF(Capacity_Resource,$D142,'Critical resources (hide)'!AI$6:AI$105)+SUMIF(Capacity_Resource,$E142,'Critical resources (hide)'!AI$6:AI$105)+SUMIF(Capacity_Resource,$F142,'Critical resources (hide)'!AI$6:AI$105)&gt;0,$E$1=2),0,1)</f>
        <v>1</v>
      </c>
      <c r="W142" s="67">
        <f ca="1">IF(AND(SUMIF(Capacity_Resource,$D142,'Critical resources (hide)'!AJ$6:AJ$105)+SUMIF(Capacity_Resource,$E142,'Critical resources (hide)'!AJ$6:AJ$105)+SUMIF(Capacity_Resource,$F142,'Critical resources (hide)'!AJ$6:AJ$105)&gt;0,$E$1=2),0,1)</f>
        <v>1</v>
      </c>
      <c r="X142" s="67">
        <f ca="1">IF(AND(SUMIF(Capacity_Resource,$D142,'Critical resources (hide)'!AK$6:AK$105)+SUMIF(Capacity_Resource,$E142,'Critical resources (hide)'!AK$6:AK$105)+SUMIF(Capacity_Resource,$F142,'Critical resources (hide)'!AK$6:AK$105)&gt;0,$E$1=2),0,1)</f>
        <v>1</v>
      </c>
      <c r="Y142" s="67">
        <f ca="1">IF(AND(SUMIF(Capacity_Resource,$D142,'Critical resources (hide)'!AL$6:AL$105)+SUMIF(Capacity_Resource,$E142,'Critical resources (hide)'!AL$6:AL$105)+SUMIF(Capacity_Resource,$F142,'Critical resources (hide)'!AL$6:AL$105)&gt;0,$E$1=2),0,1)</f>
        <v>1</v>
      </c>
      <c r="Z142" s="67">
        <f ca="1">IF(AND(SUMIF(Capacity_Resource,$D142,'Critical resources (hide)'!AM$6:AM$105)+SUMIF(Capacity_Resource,$E142,'Critical resources (hide)'!AM$6:AM$105)+SUMIF(Capacity_Resource,$F142,'Critical resources (hide)'!AM$6:AM$105)&gt;0,$E$1=2),0,1)</f>
        <v>1</v>
      </c>
      <c r="AA142" s="67">
        <f ca="1">IF(AND(SUMIF(Capacity_Resource,$D142,'Critical resources (hide)'!AN$6:AN$105)+SUMIF(Capacity_Resource,$E142,'Critical resources (hide)'!AN$6:AN$105)+SUMIF(Capacity_Resource,$F142,'Critical resources (hide)'!AN$6:AN$105)&gt;0,$E$1=2),0,1)</f>
        <v>1</v>
      </c>
      <c r="AB142" s="67">
        <f ca="1">IF(AND(SUMIF(Capacity_Resource,$D142,'Critical resources (hide)'!AO$6:AO$105)+SUMIF(Capacity_Resource,$E142,'Critical resources (hide)'!AO$6:AO$105)+SUMIF(Capacity_Resource,$F142,'Critical resources (hide)'!AO$6:AO$105)&gt;0,$E$1=2),0,1)</f>
        <v>1</v>
      </c>
      <c r="AC142" s="67">
        <f ca="1">IF(AND(SUMIF(Capacity_Resource,$D142,'Critical resources (hide)'!AP$6:AP$105)+SUMIF(Capacity_Resource,$E142,'Critical resources (hide)'!AP$6:AP$105)+SUMIF(Capacity_Resource,$F142,'Critical resources (hide)'!AP$6:AP$105)&gt;0,$E$1=2),0,1)</f>
        <v>1</v>
      </c>
      <c r="AD142" s="67">
        <f ca="1">IF(AND(SUMIF(Capacity_Resource,$D142,'Critical resources (hide)'!AQ$6:AQ$105)+SUMIF(Capacity_Resource,$E142,'Critical resources (hide)'!AQ$6:AQ$105)+SUMIF(Capacity_Resource,$F142,'Critical resources (hide)'!AQ$6:AQ$105)&gt;0,$E$1=2),0,1)</f>
        <v>1</v>
      </c>
      <c r="AE142" s="67">
        <f ca="1">IF(AND(SUMIF(Capacity_Resource,$D142,'Critical resources (hide)'!AR$6:AR$105)+SUMIF(Capacity_Resource,$E142,'Critical resources (hide)'!AR$6:AR$105)+SUMIF(Capacity_Resource,$F142,'Critical resources (hide)'!AR$6:AR$105)&gt;0,$E$1=2),0,1)</f>
        <v>1</v>
      </c>
      <c r="AF142" s="67">
        <f ca="1">IF(AND(SUMIF(Capacity_Resource,$D142,'Critical resources (hide)'!AS$6:AS$105)+SUMIF(Capacity_Resource,$E142,'Critical resources (hide)'!AS$6:AS$105)+SUMIF(Capacity_Resource,$F142,'Critical resources (hide)'!AS$6:AS$105)&gt;0,$E$1=2),0,1)</f>
        <v>1</v>
      </c>
      <c r="AG142" s="67">
        <f ca="1">IF(AND(SUMIF(Capacity_Resource,$D142,'Critical resources (hide)'!AT$6:AT$105)+SUMIF(Capacity_Resource,$E142,'Critical resources (hide)'!AT$6:AT$105)+SUMIF(Capacity_Resource,$F142,'Critical resources (hide)'!AT$6:AT$105)&gt;0,$E$1=2),0,1)</f>
        <v>1</v>
      </c>
      <c r="AH142" s="67">
        <f ca="1">IF(AND(SUMIF(Capacity_Resource,$D142,'Critical resources (hide)'!AU$6:AU$105)+SUMIF(Capacity_Resource,$E142,'Critical resources (hide)'!AU$6:AU$105)+SUMIF(Capacity_Resource,$F142,'Critical resources (hide)'!AU$6:AU$105)&gt;0,$E$1=2),0,1)</f>
        <v>1</v>
      </c>
      <c r="AI142" s="67">
        <f ca="1">IF(AND(SUMIF(Capacity_Resource,$D142,'Critical resources (hide)'!AV$6:AV$105)+SUMIF(Capacity_Resource,$E142,'Critical resources (hide)'!AV$6:AV$105)+SUMIF(Capacity_Resource,$F142,'Critical resources (hide)'!AV$6:AV$105)&gt;0,$E$1=2),0,1)</f>
        <v>1</v>
      </c>
      <c r="AJ142" s="67">
        <f ca="1">IF(AND(SUMIF(Capacity_Resource,$D142,'Critical resources (hide)'!AW$6:AW$105)+SUMIF(Capacity_Resource,$E142,'Critical resources (hide)'!AW$6:AW$105)+SUMIF(Capacity_Resource,$F142,'Critical resources (hide)'!AW$6:AW$105)&gt;0,$E$1=2),0,1)</f>
        <v>1</v>
      </c>
      <c r="AK142" s="67">
        <f ca="1">IF(AND(SUMIF(Capacity_Resource,$D142,'Critical resources (hide)'!AX$6:AX$105)+SUMIF(Capacity_Resource,$E142,'Critical resources (hide)'!AX$6:AX$105)+SUMIF(Capacity_Resource,$F142,'Critical resources (hide)'!AX$6:AX$105)&gt;0,$E$1=2),0,1)</f>
        <v>1</v>
      </c>
      <c r="AL142" s="67">
        <f ca="1">IF(AND(SUMIF(Capacity_Resource,$D142,'Critical resources (hide)'!AY$6:AY$105)+SUMIF(Capacity_Resource,$E142,'Critical resources (hide)'!AY$6:AY$105)+SUMIF(Capacity_Resource,$F142,'Critical resources (hide)'!AY$6:AY$105)&gt;0,$E$1=2),0,1)</f>
        <v>1</v>
      </c>
      <c r="AM142" s="67">
        <f ca="1">IF(AND(SUMIF(Capacity_Resource,$D142,'Critical resources (hide)'!AZ$6:AZ$105)+SUMIF(Capacity_Resource,$E142,'Critical resources (hide)'!AZ$6:AZ$105)+SUMIF(Capacity_Resource,$F142,'Critical resources (hide)'!AZ$6:AZ$105)&gt;0,$E$1=2),0,1)</f>
        <v>1</v>
      </c>
      <c r="AN142" s="67">
        <f ca="1">IF(AND(SUMIF(Capacity_Resource,$D142,'Critical resources (hide)'!BA$6:BA$105)+SUMIF(Capacity_Resource,$E142,'Critical resources (hide)'!BA$6:BA$105)+SUMIF(Capacity_Resource,$F142,'Critical resources (hide)'!BA$6:BA$105)&gt;0,$E$1=2),0,1)</f>
        <v>1</v>
      </c>
      <c r="AO142" s="67">
        <f ca="1">IF(AND(SUMIF(Capacity_Resource,$D142,'Critical resources (hide)'!BB$6:BB$105)+SUMIF(Capacity_Resource,$E142,'Critical resources (hide)'!BB$6:BB$105)+SUMIF(Capacity_Resource,$F142,'Critical resources (hide)'!BB$6:BB$105)&gt;0,$E$1=2),0,1)</f>
        <v>1</v>
      </c>
      <c r="AP142" s="67">
        <f ca="1">IF(AND(SUMIF(Capacity_Resource,$D142,'Critical resources (hide)'!BC$6:BC$105)+SUMIF(Capacity_Resource,$E142,'Critical resources (hide)'!BC$6:BC$105)+SUMIF(Capacity_Resource,$F142,'Critical resources (hide)'!BC$6:BC$105)&gt;0,$E$1=2),0,1)</f>
        <v>1</v>
      </c>
      <c r="AQ142" s="67">
        <f ca="1">IF(AND(SUMIF(Capacity_Resource,$D142,'Critical resources (hide)'!BD$6:BD$105)+SUMIF(Capacity_Resource,$E142,'Critical resources (hide)'!BD$6:BD$105)+SUMIF(Capacity_Resource,$F142,'Critical resources (hide)'!BD$6:BD$105)&gt;0,$E$1=2),0,1)</f>
        <v>1</v>
      </c>
      <c r="AR142" s="67">
        <f ca="1">IF(AND(SUMIF(Capacity_Resource,$D142,'Critical resources (hide)'!BE$6:BE$105)+SUMIF(Capacity_Resource,$E142,'Critical resources (hide)'!BE$6:BE$105)+SUMIF(Capacity_Resource,$F142,'Critical resources (hide)'!BE$6:BE$105)&gt;0,$E$1=2),0,1)</f>
        <v>1</v>
      </c>
      <c r="AS142" s="67">
        <f ca="1">IF(AND(SUMIF(Capacity_Resource,$D142,'Critical resources (hide)'!BF$6:BF$105)+SUMIF(Capacity_Resource,$E142,'Critical resources (hide)'!BF$6:BF$105)+SUMIF(Capacity_Resource,$F142,'Critical resources (hide)'!BF$6:BF$105)&gt;0,$E$1=2),0,1)</f>
        <v>1</v>
      </c>
      <c r="AT142" s="67">
        <f ca="1">IF(AND(SUMIF(Capacity_Resource,$D142,'Critical resources (hide)'!BG$6:BG$105)+SUMIF(Capacity_Resource,$E142,'Critical resources (hide)'!BG$6:BG$105)+SUMIF(Capacity_Resource,$F142,'Critical resources (hide)'!BG$6:BG$105)&gt;0,$E$1=2),0,1)</f>
        <v>1</v>
      </c>
      <c r="AU142" s="67">
        <f ca="1">IF(AND(SUMIF(Capacity_Resource,$D142,'Critical resources (hide)'!BH$6:BH$105)+SUMIF(Capacity_Resource,$E142,'Critical resources (hide)'!BH$6:BH$105)+SUMIF(Capacity_Resource,$F142,'Critical resources (hide)'!BH$6:BH$105)&gt;0,$E$1=2),0,1)</f>
        <v>1</v>
      </c>
      <c r="AV142" s="67">
        <f ca="1">IF(AND(SUMIF(Capacity_Resource,$D142,'Critical resources (hide)'!BI$6:BI$105)+SUMIF(Capacity_Resource,$E142,'Critical resources (hide)'!BI$6:BI$105)+SUMIF(Capacity_Resource,$F142,'Critical resources (hide)'!BI$6:BI$105)&gt;0,$E$1=2),0,1)</f>
        <v>1</v>
      </c>
      <c r="AW142" s="67">
        <f ca="1">IF(AND(SUMIF(Capacity_Resource,$D142,'Critical resources (hide)'!BJ$6:BJ$105)+SUMIF(Capacity_Resource,$E142,'Critical resources (hide)'!BJ$6:BJ$105)+SUMIF(Capacity_Resource,$F142,'Critical resources (hide)'!BJ$6:BJ$105)&gt;0,$E$1=2),0,1)</f>
        <v>1</v>
      </c>
      <c r="AX142" s="67">
        <f ca="1">IF(AND(SUMIF(Capacity_Resource,$D142,'Critical resources (hide)'!BK$6:BK$105)+SUMIF(Capacity_Resource,$E142,'Critical resources (hide)'!BK$6:BK$105)+SUMIF(Capacity_Resource,$F142,'Critical resources (hide)'!BK$6:BK$105)&gt;0,$E$1=2),0,1)</f>
        <v>1</v>
      </c>
      <c r="AY142" s="67">
        <f ca="1">IF(AND(SUMIF(Capacity_Resource,$D142,'Critical resources (hide)'!BL$6:BL$105)+SUMIF(Capacity_Resource,$E142,'Critical resources (hide)'!BL$6:BL$105)+SUMIF(Capacity_Resource,$F142,'Critical resources (hide)'!BL$6:BL$105)&gt;0,$E$1=2),0,1)</f>
        <v>1</v>
      </c>
      <c r="AZ142" s="67">
        <f ca="1">IF(AND(SUMIF(Capacity_Resource,$D142,'Critical resources (hide)'!BM$6:BM$105)+SUMIF(Capacity_Resource,$E142,'Critical resources (hide)'!BM$6:BM$105)+SUMIF(Capacity_Resource,$F142,'Critical resources (hide)'!BM$6:BM$105)&gt;0,$E$1=2),0,1)</f>
        <v>1</v>
      </c>
      <c r="BA142" s="67">
        <f ca="1">IF(AND(SUMIF(Capacity_Resource,$D142,'Critical resources (hide)'!BN$6:BN$105)+SUMIF(Capacity_Resource,$E142,'Critical resources (hide)'!BN$6:BN$105)+SUMIF(Capacity_Resource,$F142,'Critical resources (hide)'!BN$6:BN$105)&gt;0,$E$1=2),0,1)</f>
        <v>1</v>
      </c>
      <c r="BB142" s="67">
        <f ca="1">IF(AND(SUMIF(Capacity_Resource,$D142,'Critical resources (hide)'!BO$6:BO$105)+SUMIF(Capacity_Resource,$E142,'Critical resources (hide)'!BO$6:BO$105)+SUMIF(Capacity_Resource,$F142,'Critical resources (hide)'!BO$6:BO$105)&gt;0,$E$1=2),0,1)</f>
        <v>1</v>
      </c>
      <c r="BC142" s="67">
        <f ca="1">IF(AND(SUMIF(Capacity_Resource,$D142,'Critical resources (hide)'!BP$6:BP$105)+SUMIF(Capacity_Resource,$E142,'Critical resources (hide)'!BP$6:BP$105)+SUMIF(Capacity_Resource,$F142,'Critical resources (hide)'!BP$6:BP$105)&gt;0,$E$1=2),0,1)</f>
        <v>1</v>
      </c>
      <c r="BD142" s="67">
        <f ca="1">IF(AND(SUMIF(Capacity_Resource,$D142,'Critical resources (hide)'!BQ$6:BQ$105)+SUMIF(Capacity_Resource,$E142,'Critical resources (hide)'!BQ$6:BQ$105)+SUMIF(Capacity_Resource,$F142,'Critical resources (hide)'!BQ$6:BQ$105)&gt;0,$E$1=2),0,1)</f>
        <v>1</v>
      </c>
      <c r="BE142" s="67">
        <f ca="1">IF(AND(SUMIF(Capacity_Resource,$D142,'Critical resources (hide)'!BR$6:BR$105)+SUMIF(Capacity_Resource,$E142,'Critical resources (hide)'!BR$6:BR$105)+SUMIF(Capacity_Resource,$F142,'Critical resources (hide)'!BR$6:BR$105)&gt;0,$E$1=2),0,1)</f>
        <v>1</v>
      </c>
      <c r="BF142" s="67">
        <f ca="1">IF(AND(SUMIF(Capacity_Resource,$D142,'Critical resources (hide)'!BS$6:BS$105)+SUMIF(Capacity_Resource,$E142,'Critical resources (hide)'!BS$6:BS$105)+SUMIF(Capacity_Resource,$F142,'Critical resources (hide)'!BS$6:BS$105)&gt;0,$E$1=2),0,1)</f>
        <v>1</v>
      </c>
      <c r="BG142" s="67">
        <f ca="1">IF(AND(SUMIF(Capacity_Resource,$D142,'Critical resources (hide)'!BT$6:BT$105)+SUMIF(Capacity_Resource,$E142,'Critical resources (hide)'!BT$6:BT$105)+SUMIF(Capacity_Resource,$F142,'Critical resources (hide)'!BT$6:BT$105)&gt;0,$E$1=2),0,1)</f>
        <v>1</v>
      </c>
      <c r="BH142" s="67">
        <f>IF(ROW(A31)&lt;=Capacity!$M$16,IF('Capacity summary'!$C$14="No",SUM(H142:BG142),'Capacity summary'!$E54),0)</f>
        <v>0</v>
      </c>
      <c r="BI142" s="67" t="str">
        <f>IF(BH142&gt;0,IF(BH142&lt;Capacity!Q47,Capacity!R47,Capacity!T47/'Capacity calculation (hide)'!BH142),"")</f>
        <v/>
      </c>
      <c r="BJ142" s="5"/>
      <c r="BK142" s="5">
        <f>IF($BI142&lt;&gt;"",IF('Capacity summary'!$C$14="Yes",IF(COUNTBLANK('Capacity summary'!$H54:$BG54)&lt;52,IF('Capacity summary'!H54&lt;&gt;"",IF(LOWER('Capacity summary'!H54)="x",$BI142*H142,VALUE('Capacity summary'!H54)),0),H142*$BI142),H142*$BI142),0)</f>
        <v>0</v>
      </c>
      <c r="BL142" s="5">
        <f>IF($BI142&lt;&gt;"",IF('Capacity summary'!$C$14="Yes",IF(COUNTBLANK('Capacity summary'!$H54:$BG54)&lt;52,IF('Capacity summary'!I54&lt;&gt;"",IF(LOWER('Capacity summary'!I54)="x",$BI142*I142,VALUE('Capacity summary'!I54)),0),I142*$BI142),I142*$BI142),0)</f>
        <v>0</v>
      </c>
      <c r="BM142" s="5">
        <f>IF($BI142&lt;&gt;"",IF('Capacity summary'!$C$14="Yes",IF(COUNTBLANK('Capacity summary'!$H54:$BG54)&lt;52,IF('Capacity summary'!J54&lt;&gt;"",IF(LOWER('Capacity summary'!J54)="x",$BI142*J142,VALUE('Capacity summary'!J54)),0),J142*$BI142),J142*$BI142),0)</f>
        <v>0</v>
      </c>
      <c r="BN142" s="5">
        <f>IF($BI142&lt;&gt;"",IF('Capacity summary'!$C$14="Yes",IF(COUNTBLANK('Capacity summary'!$H54:$BG54)&lt;52,IF('Capacity summary'!K54&lt;&gt;"",IF(LOWER('Capacity summary'!K54)="x",$BI142*K142,VALUE('Capacity summary'!K54)),0),K142*$BI142),K142*$BI142),0)</f>
        <v>0</v>
      </c>
      <c r="BO142" s="5">
        <f>IF($BI142&lt;&gt;"",IF('Capacity summary'!$C$14="Yes",IF(COUNTBLANK('Capacity summary'!$H54:$BG54)&lt;52,IF('Capacity summary'!L54&lt;&gt;"",IF(LOWER('Capacity summary'!L54)="x",$BI142*L142,VALUE('Capacity summary'!L54)),0),L142*$BI142),L142*$BI142),0)</f>
        <v>0</v>
      </c>
      <c r="BP142" s="5">
        <f>IF($BI142&lt;&gt;"",IF('Capacity summary'!$C$14="Yes",IF(COUNTBLANK('Capacity summary'!$H54:$BG54)&lt;52,IF('Capacity summary'!M54&lt;&gt;"",IF(LOWER('Capacity summary'!M54)="x",$BI142*M142,VALUE('Capacity summary'!M54)),0),M142*$BI142),M142*$BI142),0)</f>
        <v>0</v>
      </c>
      <c r="BQ142" s="5">
        <f>IF($BI142&lt;&gt;"",IF('Capacity summary'!$C$14="Yes",IF(COUNTBLANK('Capacity summary'!$H54:$BG54)&lt;52,IF('Capacity summary'!N54&lt;&gt;"",IF(LOWER('Capacity summary'!N54)="x",$BI142*N142,VALUE('Capacity summary'!N54)),0),N142*$BI142),N142*$BI142),0)</f>
        <v>0</v>
      </c>
      <c r="BR142" s="5">
        <f>IF($BI142&lt;&gt;"",IF('Capacity summary'!$C$14="Yes",IF(COUNTBLANK('Capacity summary'!$H54:$BG54)&lt;52,IF('Capacity summary'!O54&lt;&gt;"",IF(LOWER('Capacity summary'!O54)="x",$BI142*O142,VALUE('Capacity summary'!O54)),0),O142*$BI142),O142*$BI142),0)</f>
        <v>0</v>
      </c>
      <c r="BS142" s="5">
        <f>IF($BI142&lt;&gt;"",IF('Capacity summary'!$C$14="Yes",IF(COUNTBLANK('Capacity summary'!$H54:$BG54)&lt;52,IF('Capacity summary'!P54&lt;&gt;"",IF(LOWER('Capacity summary'!P54)="x",$BI142*P142,VALUE('Capacity summary'!P54)),0),P142*$BI142),P142*$BI142),0)</f>
        <v>0</v>
      </c>
      <c r="BT142" s="5">
        <f>IF($BI142&lt;&gt;"",IF('Capacity summary'!$C$14="Yes",IF(COUNTBLANK('Capacity summary'!$H54:$BG54)&lt;52,IF('Capacity summary'!Q54&lt;&gt;"",IF(LOWER('Capacity summary'!Q54)="x",$BI142*Q142,VALUE('Capacity summary'!Q54)),0),Q142*$BI142),Q142*$BI142),0)</f>
        <v>0</v>
      </c>
      <c r="BU142" s="5">
        <f>IF($BI142&lt;&gt;"",IF('Capacity summary'!$C$14="Yes",IF(COUNTBLANK('Capacity summary'!$H54:$BG54)&lt;52,IF('Capacity summary'!R54&lt;&gt;"",IF(LOWER('Capacity summary'!R54)="x",$BI142*R142,VALUE('Capacity summary'!R54)),0),R142*$BI142),R142*$BI142),0)</f>
        <v>0</v>
      </c>
      <c r="BV142" s="5">
        <f>IF($BI142&lt;&gt;"",IF('Capacity summary'!$C$14="Yes",IF(COUNTBLANK('Capacity summary'!$H54:$BG54)&lt;52,IF('Capacity summary'!S54&lt;&gt;"",IF(LOWER('Capacity summary'!S54)="x",$BI142*S142,VALUE('Capacity summary'!S54)),0),S142*$BI142),S142*$BI142),0)</f>
        <v>0</v>
      </c>
      <c r="BW142" s="5">
        <f>IF($BI142&lt;&gt;"",IF('Capacity summary'!$C$14="Yes",IF(COUNTBLANK('Capacity summary'!$H54:$BG54)&lt;52,IF('Capacity summary'!T54&lt;&gt;"",IF(LOWER('Capacity summary'!T54)="x",$BI142*T142,VALUE('Capacity summary'!T54)),0),T142*$BI142),T142*$BI142),0)</f>
        <v>0</v>
      </c>
      <c r="BX142" s="5">
        <f>IF($BI142&lt;&gt;"",IF('Capacity summary'!$C$14="Yes",IF(COUNTBLANK('Capacity summary'!$H54:$BG54)&lt;52,IF('Capacity summary'!U54&lt;&gt;"",IF(LOWER('Capacity summary'!U54)="x",$BI142*U142,VALUE('Capacity summary'!U54)),0),U142*$BI142),U142*$BI142),0)</f>
        <v>0</v>
      </c>
      <c r="BY142" s="5">
        <f>IF($BI142&lt;&gt;"",IF('Capacity summary'!$C$14="Yes",IF(COUNTBLANK('Capacity summary'!$H54:$BG54)&lt;52,IF('Capacity summary'!V54&lt;&gt;"",IF(LOWER('Capacity summary'!V54)="x",$BI142*V142,VALUE('Capacity summary'!V54)),0),V142*$BI142),V142*$BI142),0)</f>
        <v>0</v>
      </c>
      <c r="BZ142" s="5">
        <f>IF($BI142&lt;&gt;"",IF('Capacity summary'!$C$14="Yes",IF(COUNTBLANK('Capacity summary'!$H54:$BG54)&lt;52,IF('Capacity summary'!W54&lt;&gt;"",IF(LOWER('Capacity summary'!W54)="x",$BI142*W142,VALUE('Capacity summary'!W54)),0),W142*$BI142),W142*$BI142),0)</f>
        <v>0</v>
      </c>
      <c r="CA142" s="5">
        <f>IF($BI142&lt;&gt;"",IF('Capacity summary'!$C$14="Yes",IF(COUNTBLANK('Capacity summary'!$H54:$BG54)&lt;52,IF('Capacity summary'!X54&lt;&gt;"",IF(LOWER('Capacity summary'!X54)="x",$BI142*X142,VALUE('Capacity summary'!X54)),0),X142*$BI142),X142*$BI142),0)</f>
        <v>0</v>
      </c>
      <c r="CB142" s="5">
        <f>IF($BI142&lt;&gt;"",IF('Capacity summary'!$C$14="Yes",IF(COUNTBLANK('Capacity summary'!$H54:$BG54)&lt;52,IF('Capacity summary'!Y54&lt;&gt;"",IF(LOWER('Capacity summary'!Y54)="x",$BI142*Y142,VALUE('Capacity summary'!Y54)),0),Y142*$BI142),Y142*$BI142),0)</f>
        <v>0</v>
      </c>
      <c r="CC142" s="5">
        <f>IF($BI142&lt;&gt;"",IF('Capacity summary'!$C$14="Yes",IF(COUNTBLANK('Capacity summary'!$H54:$BG54)&lt;52,IF('Capacity summary'!Z54&lt;&gt;"",IF(LOWER('Capacity summary'!Z54)="x",$BI142*Z142,VALUE('Capacity summary'!Z54)),0),Z142*$BI142),Z142*$BI142),0)</f>
        <v>0</v>
      </c>
      <c r="CD142" s="5">
        <f>IF($BI142&lt;&gt;"",IF('Capacity summary'!$C$14="Yes",IF(COUNTBLANK('Capacity summary'!$H54:$BG54)&lt;52,IF('Capacity summary'!AA54&lt;&gt;"",IF(LOWER('Capacity summary'!AA54)="x",$BI142*AA142,VALUE('Capacity summary'!AA54)),0),AA142*$BI142),AA142*$BI142),0)</f>
        <v>0</v>
      </c>
      <c r="CE142" s="5">
        <f>IF($BI142&lt;&gt;"",IF('Capacity summary'!$C$14="Yes",IF(COUNTBLANK('Capacity summary'!$H54:$BG54)&lt;52,IF('Capacity summary'!AB54&lt;&gt;"",IF(LOWER('Capacity summary'!AB54)="x",$BI142*AB142,VALUE('Capacity summary'!AB54)),0),AB142*$BI142),AB142*$BI142),0)</f>
        <v>0</v>
      </c>
      <c r="CF142" s="5">
        <f>IF($BI142&lt;&gt;"",IF('Capacity summary'!$C$14="Yes",IF(COUNTBLANK('Capacity summary'!$H54:$BG54)&lt;52,IF('Capacity summary'!AC54&lt;&gt;"",IF(LOWER('Capacity summary'!AC54)="x",$BI142*AC142,VALUE('Capacity summary'!AC54)),0),AC142*$BI142),AC142*$BI142),0)</f>
        <v>0</v>
      </c>
      <c r="CG142" s="5">
        <f>IF($BI142&lt;&gt;"",IF('Capacity summary'!$C$14="Yes",IF(COUNTBLANK('Capacity summary'!$H54:$BG54)&lt;52,IF('Capacity summary'!AD54&lt;&gt;"",IF(LOWER('Capacity summary'!AD54)="x",$BI142*AD142,VALUE('Capacity summary'!AD54)),0),AD142*$BI142),AD142*$BI142),0)</f>
        <v>0</v>
      </c>
      <c r="CH142" s="5">
        <f>IF($BI142&lt;&gt;"",IF('Capacity summary'!$C$14="Yes",IF(COUNTBLANK('Capacity summary'!$H54:$BG54)&lt;52,IF('Capacity summary'!AE54&lt;&gt;"",IF(LOWER('Capacity summary'!AE54)="x",$BI142*AE142,VALUE('Capacity summary'!AE54)),0),AE142*$BI142),AE142*$BI142),0)</f>
        <v>0</v>
      </c>
      <c r="CI142" s="5">
        <f>IF($BI142&lt;&gt;"",IF('Capacity summary'!$C$14="Yes",IF(COUNTBLANK('Capacity summary'!$H54:$BG54)&lt;52,IF('Capacity summary'!AF54&lt;&gt;"",IF(LOWER('Capacity summary'!AF54)="x",$BI142*AF142,VALUE('Capacity summary'!AF54)),0),AF142*$BI142),AF142*$BI142),0)</f>
        <v>0</v>
      </c>
      <c r="CJ142" s="5">
        <f>IF($BI142&lt;&gt;"",IF('Capacity summary'!$C$14="Yes",IF(COUNTBLANK('Capacity summary'!$H54:$BG54)&lt;52,IF('Capacity summary'!AG54&lt;&gt;"",IF(LOWER('Capacity summary'!AG54)="x",$BI142*AG142,VALUE('Capacity summary'!AG54)),0),AG142*$BI142),AG142*$BI142),0)</f>
        <v>0</v>
      </c>
      <c r="CK142" s="5">
        <f>IF($BI142&lt;&gt;"",IF('Capacity summary'!$C$14="Yes",IF(COUNTBLANK('Capacity summary'!$H54:$BG54)&lt;52,IF('Capacity summary'!AH54&lt;&gt;"",IF(LOWER('Capacity summary'!AH54)="x",$BI142*AH142,VALUE('Capacity summary'!AH54)),0),AH142*$BI142),AH142*$BI142),0)</f>
        <v>0</v>
      </c>
      <c r="CL142" s="5">
        <f>IF($BI142&lt;&gt;"",IF('Capacity summary'!$C$14="Yes",IF(COUNTBLANK('Capacity summary'!$H54:$BG54)&lt;52,IF('Capacity summary'!AI54&lt;&gt;"",IF(LOWER('Capacity summary'!AI54)="x",$BI142*AI142,VALUE('Capacity summary'!AI54)),0),AI142*$BI142),AI142*$BI142),0)</f>
        <v>0</v>
      </c>
      <c r="CM142" s="5">
        <f>IF($BI142&lt;&gt;"",IF('Capacity summary'!$C$14="Yes",IF(COUNTBLANK('Capacity summary'!$H54:$BG54)&lt;52,IF('Capacity summary'!AJ54&lt;&gt;"",IF(LOWER('Capacity summary'!AJ54)="x",$BI142*AJ142,VALUE('Capacity summary'!AJ54)),0),AJ142*$BI142),AJ142*$BI142),0)</f>
        <v>0</v>
      </c>
      <c r="CN142" s="5">
        <f>IF($BI142&lt;&gt;"",IF('Capacity summary'!$C$14="Yes",IF(COUNTBLANK('Capacity summary'!$H54:$BG54)&lt;52,IF('Capacity summary'!AK54&lt;&gt;"",IF(LOWER('Capacity summary'!AK54)="x",$BI142*AK142,VALUE('Capacity summary'!AK54)),0),AK142*$BI142),AK142*$BI142),0)</f>
        <v>0</v>
      </c>
      <c r="CO142" s="5">
        <f>IF($BI142&lt;&gt;"",IF('Capacity summary'!$C$14="Yes",IF(COUNTBLANK('Capacity summary'!$H54:$BG54)&lt;52,IF('Capacity summary'!AL54&lt;&gt;"",IF(LOWER('Capacity summary'!AL54)="x",$BI142*AL142,VALUE('Capacity summary'!AL54)),0),AL142*$BI142),AL142*$BI142),0)</f>
        <v>0</v>
      </c>
      <c r="CP142" s="5">
        <f>IF($BI142&lt;&gt;"",IF('Capacity summary'!$C$14="Yes",IF(COUNTBLANK('Capacity summary'!$H54:$BG54)&lt;52,IF('Capacity summary'!AM54&lt;&gt;"",IF(LOWER('Capacity summary'!AM54)="x",$BI142*AM142,VALUE('Capacity summary'!AM54)),0),AM142*$BI142),AM142*$BI142),0)</f>
        <v>0</v>
      </c>
      <c r="CQ142" s="5">
        <f>IF($BI142&lt;&gt;"",IF('Capacity summary'!$C$14="Yes",IF(COUNTBLANK('Capacity summary'!$H54:$BG54)&lt;52,IF('Capacity summary'!AN54&lt;&gt;"",IF(LOWER('Capacity summary'!AN54)="x",$BI142*AN142,VALUE('Capacity summary'!AN54)),0),AN142*$BI142),AN142*$BI142),0)</f>
        <v>0</v>
      </c>
      <c r="CR142" s="5">
        <f>IF($BI142&lt;&gt;"",IF('Capacity summary'!$C$14="Yes",IF(COUNTBLANK('Capacity summary'!$H54:$BG54)&lt;52,IF('Capacity summary'!AO54&lt;&gt;"",IF(LOWER('Capacity summary'!AO54)="x",$BI142*AO142,VALUE('Capacity summary'!AO54)),0),AO142*$BI142),AO142*$BI142),0)</f>
        <v>0</v>
      </c>
      <c r="CS142" s="5">
        <f>IF($BI142&lt;&gt;"",IF('Capacity summary'!$C$14="Yes",IF(COUNTBLANK('Capacity summary'!$H54:$BG54)&lt;52,IF('Capacity summary'!AP54&lt;&gt;"",IF(LOWER('Capacity summary'!AP54)="x",$BI142*AP142,VALUE('Capacity summary'!AP54)),0),AP142*$BI142),AP142*$BI142),0)</f>
        <v>0</v>
      </c>
      <c r="CT142" s="5">
        <f>IF($BI142&lt;&gt;"",IF('Capacity summary'!$C$14="Yes",IF(COUNTBLANK('Capacity summary'!$H54:$BG54)&lt;52,IF('Capacity summary'!AQ54&lt;&gt;"",IF(LOWER('Capacity summary'!AQ54)="x",$BI142*AQ142,VALUE('Capacity summary'!AQ54)),0),AQ142*$BI142),AQ142*$BI142),0)</f>
        <v>0</v>
      </c>
      <c r="CU142" s="5">
        <f>IF($BI142&lt;&gt;"",IF('Capacity summary'!$C$14="Yes",IF(COUNTBLANK('Capacity summary'!$H54:$BG54)&lt;52,IF('Capacity summary'!AR54&lt;&gt;"",IF(LOWER('Capacity summary'!AR54)="x",$BI142*AR142,VALUE('Capacity summary'!AR54)),0),AR142*$BI142),AR142*$BI142),0)</f>
        <v>0</v>
      </c>
      <c r="CV142" s="5">
        <f>IF($BI142&lt;&gt;"",IF('Capacity summary'!$C$14="Yes",IF(COUNTBLANK('Capacity summary'!$H54:$BG54)&lt;52,IF('Capacity summary'!AS54&lt;&gt;"",IF(LOWER('Capacity summary'!AS54)="x",$BI142*AS142,VALUE('Capacity summary'!AS54)),0),AS142*$BI142),AS142*$BI142),0)</f>
        <v>0</v>
      </c>
      <c r="CW142" s="5">
        <f>IF($BI142&lt;&gt;"",IF('Capacity summary'!$C$14="Yes",IF(COUNTBLANK('Capacity summary'!$H54:$BG54)&lt;52,IF('Capacity summary'!AT54&lt;&gt;"",IF(LOWER('Capacity summary'!AT54)="x",$BI142*AT142,VALUE('Capacity summary'!AT54)),0),AT142*$BI142),AT142*$BI142),0)</f>
        <v>0</v>
      </c>
      <c r="CX142" s="5">
        <f>IF($BI142&lt;&gt;"",IF('Capacity summary'!$C$14="Yes",IF(COUNTBLANK('Capacity summary'!$H54:$BG54)&lt;52,IF('Capacity summary'!AU54&lt;&gt;"",IF(LOWER('Capacity summary'!AU54)="x",$BI142*AU142,VALUE('Capacity summary'!AU54)),0),AU142*$BI142),AU142*$BI142),0)</f>
        <v>0</v>
      </c>
      <c r="CY142" s="5">
        <f>IF($BI142&lt;&gt;"",IF('Capacity summary'!$C$14="Yes",IF(COUNTBLANK('Capacity summary'!$H54:$BG54)&lt;52,IF('Capacity summary'!AV54&lt;&gt;"",IF(LOWER('Capacity summary'!AV54)="x",$BI142*AV142,VALUE('Capacity summary'!AV54)),0),AV142*$BI142),AV142*$BI142),0)</f>
        <v>0</v>
      </c>
      <c r="CZ142" s="5">
        <f>IF($BI142&lt;&gt;"",IF('Capacity summary'!$C$14="Yes",IF(COUNTBLANK('Capacity summary'!$H54:$BG54)&lt;52,IF('Capacity summary'!AW54&lt;&gt;"",IF(LOWER('Capacity summary'!AW54)="x",$BI142*AW142,VALUE('Capacity summary'!AW54)),0),AW142*$BI142),AW142*$BI142),0)</f>
        <v>0</v>
      </c>
      <c r="DA142" s="5">
        <f>IF($BI142&lt;&gt;"",IF('Capacity summary'!$C$14="Yes",IF(COUNTBLANK('Capacity summary'!$H54:$BG54)&lt;52,IF('Capacity summary'!AX54&lt;&gt;"",IF(LOWER('Capacity summary'!AX54)="x",$BI142*AX142,VALUE('Capacity summary'!AX54)),0),AX142*$BI142),AX142*$BI142),0)</f>
        <v>0</v>
      </c>
      <c r="DB142" s="5">
        <f>IF($BI142&lt;&gt;"",IF('Capacity summary'!$C$14="Yes",IF(COUNTBLANK('Capacity summary'!$H54:$BG54)&lt;52,IF('Capacity summary'!AY54&lt;&gt;"",IF(LOWER('Capacity summary'!AY54)="x",$BI142*AY142,VALUE('Capacity summary'!AY54)),0),AY142*$BI142),AY142*$BI142),0)</f>
        <v>0</v>
      </c>
      <c r="DC142" s="5">
        <f>IF($BI142&lt;&gt;"",IF('Capacity summary'!$C$14="Yes",IF(COUNTBLANK('Capacity summary'!$H54:$BG54)&lt;52,IF('Capacity summary'!AZ54&lt;&gt;"",IF(LOWER('Capacity summary'!AZ54)="x",$BI142*AZ142,VALUE('Capacity summary'!AZ54)),0),AZ142*$BI142),AZ142*$BI142),0)</f>
        <v>0</v>
      </c>
      <c r="DD142" s="5">
        <f>IF($BI142&lt;&gt;"",IF('Capacity summary'!$C$14="Yes",IF(COUNTBLANK('Capacity summary'!$H54:$BG54)&lt;52,IF('Capacity summary'!BA54&lt;&gt;"",IF(LOWER('Capacity summary'!BA54)="x",$BI142*BA142,VALUE('Capacity summary'!BA54)),0),BA142*$BI142),BA142*$BI142),0)</f>
        <v>0</v>
      </c>
      <c r="DE142" s="5">
        <f>IF($BI142&lt;&gt;"",IF('Capacity summary'!$C$14="Yes",IF(COUNTBLANK('Capacity summary'!$H54:$BG54)&lt;52,IF('Capacity summary'!BB54&lt;&gt;"",IF(LOWER('Capacity summary'!BB54)="x",$BI142*BB142,VALUE('Capacity summary'!BB54)),0),BB142*$BI142),BB142*$BI142),0)</f>
        <v>0</v>
      </c>
      <c r="DF142" s="5">
        <f>IF($BI142&lt;&gt;"",IF('Capacity summary'!$C$14="Yes",IF(COUNTBLANK('Capacity summary'!$H54:$BG54)&lt;52,IF('Capacity summary'!BC54&lt;&gt;"",IF(LOWER('Capacity summary'!BC54)="x",$BI142*BC142,VALUE('Capacity summary'!BC54)),0),BC142*$BI142),BC142*$BI142),0)</f>
        <v>0</v>
      </c>
      <c r="DG142" s="5">
        <f>IF($BI142&lt;&gt;"",IF('Capacity summary'!$C$14="Yes",IF(COUNTBLANK('Capacity summary'!$H54:$BG54)&lt;52,IF('Capacity summary'!BD54&lt;&gt;"",IF(LOWER('Capacity summary'!BD54)="x",$BI142*BD142,VALUE('Capacity summary'!BD54)),0),BD142*$BI142),BD142*$BI142),0)</f>
        <v>0</v>
      </c>
      <c r="DH142" s="5">
        <f>IF($BI142&lt;&gt;"",IF('Capacity summary'!$C$14="Yes",IF(COUNTBLANK('Capacity summary'!$H54:$BG54)&lt;52,IF('Capacity summary'!BE54&lt;&gt;"",IF(LOWER('Capacity summary'!BE54)="x",$BI142*BE142,VALUE('Capacity summary'!BE54)),0),BE142*$BI142),BE142*$BI142),0)</f>
        <v>0</v>
      </c>
      <c r="DI142" s="5">
        <f>IF($BI142&lt;&gt;"",IF('Capacity summary'!$C$14="Yes",IF(COUNTBLANK('Capacity summary'!$H54:$BG54)&lt;52,IF('Capacity summary'!BF54&lt;&gt;"",IF(LOWER('Capacity summary'!BF54)="x",$BI142*BF142,VALUE('Capacity summary'!BF54)),0),BF142*$BI142),BF142*$BI142),0)</f>
        <v>0</v>
      </c>
      <c r="DJ142" s="5">
        <f>IF($BI142&lt;&gt;"",IF('Capacity summary'!$C$14="Yes",IF(COUNTBLANK('Capacity summary'!$H54:$BG54)&lt;52,IF('Capacity summary'!BG54&lt;&gt;"",IF(LOWER('Capacity summary'!BG54)="x",$BI142*BG142,VALUE('Capacity summary'!BG54)),0),BG142*$BI142),BG142*$BI142),0)</f>
        <v>0</v>
      </c>
      <c r="DK142" s="5">
        <f t="shared" ref="DK142" si="36">SUM(DK143:DK242)</f>
        <v>0</v>
      </c>
    </row>
    <row r="143" spans="3:115" x14ac:dyDescent="0.25">
      <c r="C143" s="67" t="str">
        <f>ROW(A32)&amp;". "&amp;Capacity!N48</f>
        <v xml:space="preserve">32. </v>
      </c>
      <c r="D143" s="67">
        <f>'Capacity setup'!C149</f>
        <v>0</v>
      </c>
      <c r="E143" s="67">
        <f>'Capacity setup'!D149</f>
        <v>0</v>
      </c>
      <c r="F143" s="67">
        <f>'Capacity setup'!E149</f>
        <v>0</v>
      </c>
      <c r="H143" s="67">
        <f ca="1">IF(AND(SUMIF(Capacity_Resource,$D143,'Critical resources (hide)'!U$6:U$105)+SUMIF(Capacity_Resource,$E143,'Critical resources (hide)'!U$6:U$105)+SUMIF(Capacity_Resource,$F143,'Critical resources (hide)'!U$6:U$105)&gt;0,$E$1=2),0,1)</f>
        <v>1</v>
      </c>
      <c r="I143" s="67">
        <f ca="1">IF(AND(SUMIF(Capacity_Resource,$D143,'Critical resources (hide)'!V$6:V$105)+SUMIF(Capacity_Resource,$E143,'Critical resources (hide)'!V$6:V$105)+SUMIF(Capacity_Resource,$F143,'Critical resources (hide)'!V$6:V$105)&gt;0,$E$1=2),0,1)</f>
        <v>1</v>
      </c>
      <c r="J143" s="67">
        <f ca="1">IF(AND(SUMIF(Capacity_Resource,$D143,'Critical resources (hide)'!W$6:W$105)+SUMIF(Capacity_Resource,$E143,'Critical resources (hide)'!W$6:W$105)+SUMIF(Capacity_Resource,$F143,'Critical resources (hide)'!W$6:W$105)&gt;0,$E$1=2),0,1)</f>
        <v>1</v>
      </c>
      <c r="K143" s="67">
        <f ca="1">IF(AND(SUMIF(Capacity_Resource,$D143,'Critical resources (hide)'!X$6:X$105)+SUMIF(Capacity_Resource,$E143,'Critical resources (hide)'!X$6:X$105)+SUMIF(Capacity_Resource,$F143,'Critical resources (hide)'!X$6:X$105)&gt;0,$E$1=2),0,1)</f>
        <v>1</v>
      </c>
      <c r="L143" s="67">
        <f ca="1">IF(AND(SUMIF(Capacity_Resource,$D143,'Critical resources (hide)'!Y$6:Y$105)+SUMIF(Capacity_Resource,$E143,'Critical resources (hide)'!Y$6:Y$105)+SUMIF(Capacity_Resource,$F143,'Critical resources (hide)'!Y$6:Y$105)&gt;0,$E$1=2),0,1)</f>
        <v>1</v>
      </c>
      <c r="M143" s="67">
        <f ca="1">IF(AND(SUMIF(Capacity_Resource,$D143,'Critical resources (hide)'!Z$6:Z$105)+SUMIF(Capacity_Resource,$E143,'Critical resources (hide)'!Z$6:Z$105)+SUMIF(Capacity_Resource,$F143,'Critical resources (hide)'!Z$6:Z$105)&gt;0,$E$1=2),0,1)</f>
        <v>1</v>
      </c>
      <c r="N143" s="67">
        <f ca="1">IF(AND(SUMIF(Capacity_Resource,$D143,'Critical resources (hide)'!AA$6:AA$105)+SUMIF(Capacity_Resource,$E143,'Critical resources (hide)'!AA$6:AA$105)+SUMIF(Capacity_Resource,$F143,'Critical resources (hide)'!AA$6:AA$105)&gt;0,$E$1=2),0,1)</f>
        <v>1</v>
      </c>
      <c r="O143" s="67">
        <f ca="1">IF(AND(SUMIF(Capacity_Resource,$D143,'Critical resources (hide)'!AB$6:AB$105)+SUMIF(Capacity_Resource,$E143,'Critical resources (hide)'!AB$6:AB$105)+SUMIF(Capacity_Resource,$F143,'Critical resources (hide)'!AB$6:AB$105)&gt;0,$E$1=2),0,1)</f>
        <v>1</v>
      </c>
      <c r="P143" s="67">
        <f ca="1">IF(AND(SUMIF(Capacity_Resource,$D143,'Critical resources (hide)'!AC$6:AC$105)+SUMIF(Capacity_Resource,$E143,'Critical resources (hide)'!AC$6:AC$105)+SUMIF(Capacity_Resource,$F143,'Critical resources (hide)'!AC$6:AC$105)&gt;0,$E$1=2),0,1)</f>
        <v>1</v>
      </c>
      <c r="Q143" s="67">
        <f ca="1">IF(AND(SUMIF(Capacity_Resource,$D143,'Critical resources (hide)'!AD$6:AD$105)+SUMIF(Capacity_Resource,$E143,'Critical resources (hide)'!AD$6:AD$105)+SUMIF(Capacity_Resource,$F143,'Critical resources (hide)'!AD$6:AD$105)&gt;0,$E$1=2),0,1)</f>
        <v>1</v>
      </c>
      <c r="R143" s="67">
        <f ca="1">IF(AND(SUMIF(Capacity_Resource,$D143,'Critical resources (hide)'!AE$6:AE$105)+SUMIF(Capacity_Resource,$E143,'Critical resources (hide)'!AE$6:AE$105)+SUMIF(Capacity_Resource,$F143,'Critical resources (hide)'!AE$6:AE$105)&gt;0,$E$1=2),0,1)</f>
        <v>1</v>
      </c>
      <c r="S143" s="67">
        <f ca="1">IF(AND(SUMIF(Capacity_Resource,$D143,'Critical resources (hide)'!AF$6:AF$105)+SUMIF(Capacity_Resource,$E143,'Critical resources (hide)'!AF$6:AF$105)+SUMIF(Capacity_Resource,$F143,'Critical resources (hide)'!AF$6:AF$105)&gt;0,$E$1=2),0,1)</f>
        <v>1</v>
      </c>
      <c r="T143" s="67">
        <f ca="1">IF(AND(SUMIF(Capacity_Resource,$D143,'Critical resources (hide)'!AG$6:AG$105)+SUMIF(Capacity_Resource,$E143,'Critical resources (hide)'!AG$6:AG$105)+SUMIF(Capacity_Resource,$F143,'Critical resources (hide)'!AG$6:AG$105)&gt;0,$E$1=2),0,1)</f>
        <v>1</v>
      </c>
      <c r="U143" s="67">
        <f ca="1">IF(AND(SUMIF(Capacity_Resource,$D143,'Critical resources (hide)'!AH$6:AH$105)+SUMIF(Capacity_Resource,$E143,'Critical resources (hide)'!AH$6:AH$105)+SUMIF(Capacity_Resource,$F143,'Critical resources (hide)'!AH$6:AH$105)&gt;0,$E$1=2),0,1)</f>
        <v>1</v>
      </c>
      <c r="V143" s="67">
        <f ca="1">IF(AND(SUMIF(Capacity_Resource,$D143,'Critical resources (hide)'!AI$6:AI$105)+SUMIF(Capacity_Resource,$E143,'Critical resources (hide)'!AI$6:AI$105)+SUMIF(Capacity_Resource,$F143,'Critical resources (hide)'!AI$6:AI$105)&gt;0,$E$1=2),0,1)</f>
        <v>1</v>
      </c>
      <c r="W143" s="67">
        <f ca="1">IF(AND(SUMIF(Capacity_Resource,$D143,'Critical resources (hide)'!AJ$6:AJ$105)+SUMIF(Capacity_Resource,$E143,'Critical resources (hide)'!AJ$6:AJ$105)+SUMIF(Capacity_Resource,$F143,'Critical resources (hide)'!AJ$6:AJ$105)&gt;0,$E$1=2),0,1)</f>
        <v>1</v>
      </c>
      <c r="X143" s="67">
        <f ca="1">IF(AND(SUMIF(Capacity_Resource,$D143,'Critical resources (hide)'!AK$6:AK$105)+SUMIF(Capacity_Resource,$E143,'Critical resources (hide)'!AK$6:AK$105)+SUMIF(Capacity_Resource,$F143,'Critical resources (hide)'!AK$6:AK$105)&gt;0,$E$1=2),0,1)</f>
        <v>1</v>
      </c>
      <c r="Y143" s="67">
        <f ca="1">IF(AND(SUMIF(Capacity_Resource,$D143,'Critical resources (hide)'!AL$6:AL$105)+SUMIF(Capacity_Resource,$E143,'Critical resources (hide)'!AL$6:AL$105)+SUMIF(Capacity_Resource,$F143,'Critical resources (hide)'!AL$6:AL$105)&gt;0,$E$1=2),0,1)</f>
        <v>1</v>
      </c>
      <c r="Z143" s="67">
        <f ca="1">IF(AND(SUMIF(Capacity_Resource,$D143,'Critical resources (hide)'!AM$6:AM$105)+SUMIF(Capacity_Resource,$E143,'Critical resources (hide)'!AM$6:AM$105)+SUMIF(Capacity_Resource,$F143,'Critical resources (hide)'!AM$6:AM$105)&gt;0,$E$1=2),0,1)</f>
        <v>1</v>
      </c>
      <c r="AA143" s="67">
        <f ca="1">IF(AND(SUMIF(Capacity_Resource,$D143,'Critical resources (hide)'!AN$6:AN$105)+SUMIF(Capacity_Resource,$E143,'Critical resources (hide)'!AN$6:AN$105)+SUMIF(Capacity_Resource,$F143,'Critical resources (hide)'!AN$6:AN$105)&gt;0,$E$1=2),0,1)</f>
        <v>1</v>
      </c>
      <c r="AB143" s="67">
        <f ca="1">IF(AND(SUMIF(Capacity_Resource,$D143,'Critical resources (hide)'!AO$6:AO$105)+SUMIF(Capacity_Resource,$E143,'Critical resources (hide)'!AO$6:AO$105)+SUMIF(Capacity_Resource,$F143,'Critical resources (hide)'!AO$6:AO$105)&gt;0,$E$1=2),0,1)</f>
        <v>1</v>
      </c>
      <c r="AC143" s="67">
        <f ca="1">IF(AND(SUMIF(Capacity_Resource,$D143,'Critical resources (hide)'!AP$6:AP$105)+SUMIF(Capacity_Resource,$E143,'Critical resources (hide)'!AP$6:AP$105)+SUMIF(Capacity_Resource,$F143,'Critical resources (hide)'!AP$6:AP$105)&gt;0,$E$1=2),0,1)</f>
        <v>1</v>
      </c>
      <c r="AD143" s="67">
        <f ca="1">IF(AND(SUMIF(Capacity_Resource,$D143,'Critical resources (hide)'!AQ$6:AQ$105)+SUMIF(Capacity_Resource,$E143,'Critical resources (hide)'!AQ$6:AQ$105)+SUMIF(Capacity_Resource,$F143,'Critical resources (hide)'!AQ$6:AQ$105)&gt;0,$E$1=2),0,1)</f>
        <v>1</v>
      </c>
      <c r="AE143" s="67">
        <f ca="1">IF(AND(SUMIF(Capacity_Resource,$D143,'Critical resources (hide)'!AR$6:AR$105)+SUMIF(Capacity_Resource,$E143,'Critical resources (hide)'!AR$6:AR$105)+SUMIF(Capacity_Resource,$F143,'Critical resources (hide)'!AR$6:AR$105)&gt;0,$E$1=2),0,1)</f>
        <v>1</v>
      </c>
      <c r="AF143" s="67">
        <f ca="1">IF(AND(SUMIF(Capacity_Resource,$D143,'Critical resources (hide)'!AS$6:AS$105)+SUMIF(Capacity_Resource,$E143,'Critical resources (hide)'!AS$6:AS$105)+SUMIF(Capacity_Resource,$F143,'Critical resources (hide)'!AS$6:AS$105)&gt;0,$E$1=2),0,1)</f>
        <v>1</v>
      </c>
      <c r="AG143" s="67">
        <f ca="1">IF(AND(SUMIF(Capacity_Resource,$D143,'Critical resources (hide)'!AT$6:AT$105)+SUMIF(Capacity_Resource,$E143,'Critical resources (hide)'!AT$6:AT$105)+SUMIF(Capacity_Resource,$F143,'Critical resources (hide)'!AT$6:AT$105)&gt;0,$E$1=2),0,1)</f>
        <v>1</v>
      </c>
      <c r="AH143" s="67">
        <f ca="1">IF(AND(SUMIF(Capacity_Resource,$D143,'Critical resources (hide)'!AU$6:AU$105)+SUMIF(Capacity_Resource,$E143,'Critical resources (hide)'!AU$6:AU$105)+SUMIF(Capacity_Resource,$F143,'Critical resources (hide)'!AU$6:AU$105)&gt;0,$E$1=2),0,1)</f>
        <v>1</v>
      </c>
      <c r="AI143" s="67">
        <f ca="1">IF(AND(SUMIF(Capacity_Resource,$D143,'Critical resources (hide)'!AV$6:AV$105)+SUMIF(Capacity_Resource,$E143,'Critical resources (hide)'!AV$6:AV$105)+SUMIF(Capacity_Resource,$F143,'Critical resources (hide)'!AV$6:AV$105)&gt;0,$E$1=2),0,1)</f>
        <v>1</v>
      </c>
      <c r="AJ143" s="67">
        <f ca="1">IF(AND(SUMIF(Capacity_Resource,$D143,'Critical resources (hide)'!AW$6:AW$105)+SUMIF(Capacity_Resource,$E143,'Critical resources (hide)'!AW$6:AW$105)+SUMIF(Capacity_Resource,$F143,'Critical resources (hide)'!AW$6:AW$105)&gt;0,$E$1=2),0,1)</f>
        <v>1</v>
      </c>
      <c r="AK143" s="67">
        <f ca="1">IF(AND(SUMIF(Capacity_Resource,$D143,'Critical resources (hide)'!AX$6:AX$105)+SUMIF(Capacity_Resource,$E143,'Critical resources (hide)'!AX$6:AX$105)+SUMIF(Capacity_Resource,$F143,'Critical resources (hide)'!AX$6:AX$105)&gt;0,$E$1=2),0,1)</f>
        <v>1</v>
      </c>
      <c r="AL143" s="67">
        <f ca="1">IF(AND(SUMIF(Capacity_Resource,$D143,'Critical resources (hide)'!AY$6:AY$105)+SUMIF(Capacity_Resource,$E143,'Critical resources (hide)'!AY$6:AY$105)+SUMIF(Capacity_Resource,$F143,'Critical resources (hide)'!AY$6:AY$105)&gt;0,$E$1=2),0,1)</f>
        <v>1</v>
      </c>
      <c r="AM143" s="67">
        <f ca="1">IF(AND(SUMIF(Capacity_Resource,$D143,'Critical resources (hide)'!AZ$6:AZ$105)+SUMIF(Capacity_Resource,$E143,'Critical resources (hide)'!AZ$6:AZ$105)+SUMIF(Capacity_Resource,$F143,'Critical resources (hide)'!AZ$6:AZ$105)&gt;0,$E$1=2),0,1)</f>
        <v>1</v>
      </c>
      <c r="AN143" s="67">
        <f ca="1">IF(AND(SUMIF(Capacity_Resource,$D143,'Critical resources (hide)'!BA$6:BA$105)+SUMIF(Capacity_Resource,$E143,'Critical resources (hide)'!BA$6:BA$105)+SUMIF(Capacity_Resource,$F143,'Critical resources (hide)'!BA$6:BA$105)&gt;0,$E$1=2),0,1)</f>
        <v>1</v>
      </c>
      <c r="AO143" s="67">
        <f ca="1">IF(AND(SUMIF(Capacity_Resource,$D143,'Critical resources (hide)'!BB$6:BB$105)+SUMIF(Capacity_Resource,$E143,'Critical resources (hide)'!BB$6:BB$105)+SUMIF(Capacity_Resource,$F143,'Critical resources (hide)'!BB$6:BB$105)&gt;0,$E$1=2),0,1)</f>
        <v>1</v>
      </c>
      <c r="AP143" s="67">
        <f ca="1">IF(AND(SUMIF(Capacity_Resource,$D143,'Critical resources (hide)'!BC$6:BC$105)+SUMIF(Capacity_Resource,$E143,'Critical resources (hide)'!BC$6:BC$105)+SUMIF(Capacity_Resource,$F143,'Critical resources (hide)'!BC$6:BC$105)&gt;0,$E$1=2),0,1)</f>
        <v>1</v>
      </c>
      <c r="AQ143" s="67">
        <f ca="1">IF(AND(SUMIF(Capacity_Resource,$D143,'Critical resources (hide)'!BD$6:BD$105)+SUMIF(Capacity_Resource,$E143,'Critical resources (hide)'!BD$6:BD$105)+SUMIF(Capacity_Resource,$F143,'Critical resources (hide)'!BD$6:BD$105)&gt;0,$E$1=2),0,1)</f>
        <v>1</v>
      </c>
      <c r="AR143" s="67">
        <f ca="1">IF(AND(SUMIF(Capacity_Resource,$D143,'Critical resources (hide)'!BE$6:BE$105)+SUMIF(Capacity_Resource,$E143,'Critical resources (hide)'!BE$6:BE$105)+SUMIF(Capacity_Resource,$F143,'Critical resources (hide)'!BE$6:BE$105)&gt;0,$E$1=2),0,1)</f>
        <v>1</v>
      </c>
      <c r="AS143" s="67">
        <f ca="1">IF(AND(SUMIF(Capacity_Resource,$D143,'Critical resources (hide)'!BF$6:BF$105)+SUMIF(Capacity_Resource,$E143,'Critical resources (hide)'!BF$6:BF$105)+SUMIF(Capacity_Resource,$F143,'Critical resources (hide)'!BF$6:BF$105)&gt;0,$E$1=2),0,1)</f>
        <v>1</v>
      </c>
      <c r="AT143" s="67">
        <f ca="1">IF(AND(SUMIF(Capacity_Resource,$D143,'Critical resources (hide)'!BG$6:BG$105)+SUMIF(Capacity_Resource,$E143,'Critical resources (hide)'!BG$6:BG$105)+SUMIF(Capacity_Resource,$F143,'Critical resources (hide)'!BG$6:BG$105)&gt;0,$E$1=2),0,1)</f>
        <v>1</v>
      </c>
      <c r="AU143" s="67">
        <f ca="1">IF(AND(SUMIF(Capacity_Resource,$D143,'Critical resources (hide)'!BH$6:BH$105)+SUMIF(Capacity_Resource,$E143,'Critical resources (hide)'!BH$6:BH$105)+SUMIF(Capacity_Resource,$F143,'Critical resources (hide)'!BH$6:BH$105)&gt;0,$E$1=2),0,1)</f>
        <v>1</v>
      </c>
      <c r="AV143" s="67">
        <f ca="1">IF(AND(SUMIF(Capacity_Resource,$D143,'Critical resources (hide)'!BI$6:BI$105)+SUMIF(Capacity_Resource,$E143,'Critical resources (hide)'!BI$6:BI$105)+SUMIF(Capacity_Resource,$F143,'Critical resources (hide)'!BI$6:BI$105)&gt;0,$E$1=2),0,1)</f>
        <v>1</v>
      </c>
      <c r="AW143" s="67">
        <f ca="1">IF(AND(SUMIF(Capacity_Resource,$D143,'Critical resources (hide)'!BJ$6:BJ$105)+SUMIF(Capacity_Resource,$E143,'Critical resources (hide)'!BJ$6:BJ$105)+SUMIF(Capacity_Resource,$F143,'Critical resources (hide)'!BJ$6:BJ$105)&gt;0,$E$1=2),0,1)</f>
        <v>1</v>
      </c>
      <c r="AX143" s="67">
        <f ca="1">IF(AND(SUMIF(Capacity_Resource,$D143,'Critical resources (hide)'!BK$6:BK$105)+SUMIF(Capacity_Resource,$E143,'Critical resources (hide)'!BK$6:BK$105)+SUMIF(Capacity_Resource,$F143,'Critical resources (hide)'!BK$6:BK$105)&gt;0,$E$1=2),0,1)</f>
        <v>1</v>
      </c>
      <c r="AY143" s="67">
        <f ca="1">IF(AND(SUMIF(Capacity_Resource,$D143,'Critical resources (hide)'!BL$6:BL$105)+SUMIF(Capacity_Resource,$E143,'Critical resources (hide)'!BL$6:BL$105)+SUMIF(Capacity_Resource,$F143,'Critical resources (hide)'!BL$6:BL$105)&gt;0,$E$1=2),0,1)</f>
        <v>1</v>
      </c>
      <c r="AZ143" s="67">
        <f ca="1">IF(AND(SUMIF(Capacity_Resource,$D143,'Critical resources (hide)'!BM$6:BM$105)+SUMIF(Capacity_Resource,$E143,'Critical resources (hide)'!BM$6:BM$105)+SUMIF(Capacity_Resource,$F143,'Critical resources (hide)'!BM$6:BM$105)&gt;0,$E$1=2),0,1)</f>
        <v>1</v>
      </c>
      <c r="BA143" s="67">
        <f ca="1">IF(AND(SUMIF(Capacity_Resource,$D143,'Critical resources (hide)'!BN$6:BN$105)+SUMIF(Capacity_Resource,$E143,'Critical resources (hide)'!BN$6:BN$105)+SUMIF(Capacity_Resource,$F143,'Critical resources (hide)'!BN$6:BN$105)&gt;0,$E$1=2),0,1)</f>
        <v>1</v>
      </c>
      <c r="BB143" s="67">
        <f ca="1">IF(AND(SUMIF(Capacity_Resource,$D143,'Critical resources (hide)'!BO$6:BO$105)+SUMIF(Capacity_Resource,$E143,'Critical resources (hide)'!BO$6:BO$105)+SUMIF(Capacity_Resource,$F143,'Critical resources (hide)'!BO$6:BO$105)&gt;0,$E$1=2),0,1)</f>
        <v>1</v>
      </c>
      <c r="BC143" s="67">
        <f ca="1">IF(AND(SUMIF(Capacity_Resource,$D143,'Critical resources (hide)'!BP$6:BP$105)+SUMIF(Capacity_Resource,$E143,'Critical resources (hide)'!BP$6:BP$105)+SUMIF(Capacity_Resource,$F143,'Critical resources (hide)'!BP$6:BP$105)&gt;0,$E$1=2),0,1)</f>
        <v>1</v>
      </c>
      <c r="BD143" s="67">
        <f ca="1">IF(AND(SUMIF(Capacity_Resource,$D143,'Critical resources (hide)'!BQ$6:BQ$105)+SUMIF(Capacity_Resource,$E143,'Critical resources (hide)'!BQ$6:BQ$105)+SUMIF(Capacity_Resource,$F143,'Critical resources (hide)'!BQ$6:BQ$105)&gt;0,$E$1=2),0,1)</f>
        <v>1</v>
      </c>
      <c r="BE143" s="67">
        <f ca="1">IF(AND(SUMIF(Capacity_Resource,$D143,'Critical resources (hide)'!BR$6:BR$105)+SUMIF(Capacity_Resource,$E143,'Critical resources (hide)'!BR$6:BR$105)+SUMIF(Capacity_Resource,$F143,'Critical resources (hide)'!BR$6:BR$105)&gt;0,$E$1=2),0,1)</f>
        <v>1</v>
      </c>
      <c r="BF143" s="67">
        <f ca="1">IF(AND(SUMIF(Capacity_Resource,$D143,'Critical resources (hide)'!BS$6:BS$105)+SUMIF(Capacity_Resource,$E143,'Critical resources (hide)'!BS$6:BS$105)+SUMIF(Capacity_Resource,$F143,'Critical resources (hide)'!BS$6:BS$105)&gt;0,$E$1=2),0,1)</f>
        <v>1</v>
      </c>
      <c r="BG143" s="67">
        <f ca="1">IF(AND(SUMIF(Capacity_Resource,$D143,'Critical resources (hide)'!BT$6:BT$105)+SUMIF(Capacity_Resource,$E143,'Critical resources (hide)'!BT$6:BT$105)+SUMIF(Capacity_Resource,$F143,'Critical resources (hide)'!BT$6:BT$105)&gt;0,$E$1=2),0,1)</f>
        <v>1</v>
      </c>
      <c r="BH143" s="67">
        <f>IF(ROW(A32)&lt;=Capacity!$M$16,IF('Capacity summary'!$C$14="No",SUM(H143:BG143),'Capacity summary'!$E55),0)</f>
        <v>0</v>
      </c>
      <c r="BI143" s="67" t="str">
        <f>IF(BH143&gt;0,IF(BH143&lt;Capacity!Q48,Capacity!R48,Capacity!T48/'Capacity calculation (hide)'!BH143),"")</f>
        <v/>
      </c>
      <c r="BJ143" s="5"/>
      <c r="BK143" s="5">
        <f>IF($BI143&lt;&gt;"",IF('Capacity summary'!$C$14="Yes",IF(COUNTBLANK('Capacity summary'!$H55:$BG55)&lt;52,IF('Capacity summary'!H55&lt;&gt;"",IF(LOWER('Capacity summary'!H55)="x",$BI143*H143,VALUE('Capacity summary'!H55)),0),H143*$BI143),H143*$BI143),0)</f>
        <v>0</v>
      </c>
      <c r="BL143" s="5">
        <f>IF($BI143&lt;&gt;"",IF('Capacity summary'!$C$14="Yes",IF(COUNTBLANK('Capacity summary'!$H55:$BG55)&lt;52,IF('Capacity summary'!I55&lt;&gt;"",IF(LOWER('Capacity summary'!I55)="x",$BI143*I143,VALUE('Capacity summary'!I55)),0),I143*$BI143),I143*$BI143),0)</f>
        <v>0</v>
      </c>
      <c r="BM143" s="5">
        <f>IF($BI143&lt;&gt;"",IF('Capacity summary'!$C$14="Yes",IF(COUNTBLANK('Capacity summary'!$H55:$BG55)&lt;52,IF('Capacity summary'!J55&lt;&gt;"",IF(LOWER('Capacity summary'!J55)="x",$BI143*J143,VALUE('Capacity summary'!J55)),0),J143*$BI143),J143*$BI143),0)</f>
        <v>0</v>
      </c>
      <c r="BN143" s="5">
        <f>IF($BI143&lt;&gt;"",IF('Capacity summary'!$C$14="Yes",IF(COUNTBLANK('Capacity summary'!$H55:$BG55)&lt;52,IF('Capacity summary'!K55&lt;&gt;"",IF(LOWER('Capacity summary'!K55)="x",$BI143*K143,VALUE('Capacity summary'!K55)),0),K143*$BI143),K143*$BI143),0)</f>
        <v>0</v>
      </c>
      <c r="BO143" s="5">
        <f>IF($BI143&lt;&gt;"",IF('Capacity summary'!$C$14="Yes",IF(COUNTBLANK('Capacity summary'!$H55:$BG55)&lt;52,IF('Capacity summary'!L55&lt;&gt;"",IF(LOWER('Capacity summary'!L55)="x",$BI143*L143,VALUE('Capacity summary'!L55)),0),L143*$BI143),L143*$BI143),0)</f>
        <v>0</v>
      </c>
      <c r="BP143" s="5">
        <f>IF($BI143&lt;&gt;"",IF('Capacity summary'!$C$14="Yes",IF(COUNTBLANK('Capacity summary'!$H55:$BG55)&lt;52,IF('Capacity summary'!M55&lt;&gt;"",IF(LOWER('Capacity summary'!M55)="x",$BI143*M143,VALUE('Capacity summary'!M55)),0),M143*$BI143),M143*$BI143),0)</f>
        <v>0</v>
      </c>
      <c r="BQ143" s="5">
        <f>IF($BI143&lt;&gt;"",IF('Capacity summary'!$C$14="Yes",IF(COUNTBLANK('Capacity summary'!$H55:$BG55)&lt;52,IF('Capacity summary'!N55&lt;&gt;"",IF(LOWER('Capacity summary'!N55)="x",$BI143*N143,VALUE('Capacity summary'!N55)),0),N143*$BI143),N143*$BI143),0)</f>
        <v>0</v>
      </c>
      <c r="BR143" s="5">
        <f>IF($BI143&lt;&gt;"",IF('Capacity summary'!$C$14="Yes",IF(COUNTBLANK('Capacity summary'!$H55:$BG55)&lt;52,IF('Capacity summary'!O55&lt;&gt;"",IF(LOWER('Capacity summary'!O55)="x",$BI143*O143,VALUE('Capacity summary'!O55)),0),O143*$BI143),O143*$BI143),0)</f>
        <v>0</v>
      </c>
      <c r="BS143" s="5">
        <f>IF($BI143&lt;&gt;"",IF('Capacity summary'!$C$14="Yes",IF(COUNTBLANK('Capacity summary'!$H55:$BG55)&lt;52,IF('Capacity summary'!P55&lt;&gt;"",IF(LOWER('Capacity summary'!P55)="x",$BI143*P143,VALUE('Capacity summary'!P55)),0),P143*$BI143),P143*$BI143),0)</f>
        <v>0</v>
      </c>
      <c r="BT143" s="5">
        <f>IF($BI143&lt;&gt;"",IF('Capacity summary'!$C$14="Yes",IF(COUNTBLANK('Capacity summary'!$H55:$BG55)&lt;52,IF('Capacity summary'!Q55&lt;&gt;"",IF(LOWER('Capacity summary'!Q55)="x",$BI143*Q143,VALUE('Capacity summary'!Q55)),0),Q143*$BI143),Q143*$BI143),0)</f>
        <v>0</v>
      </c>
      <c r="BU143" s="5">
        <f>IF($BI143&lt;&gt;"",IF('Capacity summary'!$C$14="Yes",IF(COUNTBLANK('Capacity summary'!$H55:$BG55)&lt;52,IF('Capacity summary'!R55&lt;&gt;"",IF(LOWER('Capacity summary'!R55)="x",$BI143*R143,VALUE('Capacity summary'!R55)),0),R143*$BI143),R143*$BI143),0)</f>
        <v>0</v>
      </c>
      <c r="BV143" s="5">
        <f>IF($BI143&lt;&gt;"",IF('Capacity summary'!$C$14="Yes",IF(COUNTBLANK('Capacity summary'!$H55:$BG55)&lt;52,IF('Capacity summary'!S55&lt;&gt;"",IF(LOWER('Capacity summary'!S55)="x",$BI143*S143,VALUE('Capacity summary'!S55)),0),S143*$BI143),S143*$BI143),0)</f>
        <v>0</v>
      </c>
      <c r="BW143" s="5">
        <f>IF($BI143&lt;&gt;"",IF('Capacity summary'!$C$14="Yes",IF(COUNTBLANK('Capacity summary'!$H55:$BG55)&lt;52,IF('Capacity summary'!T55&lt;&gt;"",IF(LOWER('Capacity summary'!T55)="x",$BI143*T143,VALUE('Capacity summary'!T55)),0),T143*$BI143),T143*$BI143),0)</f>
        <v>0</v>
      </c>
      <c r="BX143" s="5">
        <f>IF($BI143&lt;&gt;"",IF('Capacity summary'!$C$14="Yes",IF(COUNTBLANK('Capacity summary'!$H55:$BG55)&lt;52,IF('Capacity summary'!U55&lt;&gt;"",IF(LOWER('Capacity summary'!U55)="x",$BI143*U143,VALUE('Capacity summary'!U55)),0),U143*$BI143),U143*$BI143),0)</f>
        <v>0</v>
      </c>
      <c r="BY143" s="5">
        <f>IF($BI143&lt;&gt;"",IF('Capacity summary'!$C$14="Yes",IF(COUNTBLANK('Capacity summary'!$H55:$BG55)&lt;52,IF('Capacity summary'!V55&lt;&gt;"",IF(LOWER('Capacity summary'!V55)="x",$BI143*V143,VALUE('Capacity summary'!V55)),0),V143*$BI143),V143*$BI143),0)</f>
        <v>0</v>
      </c>
      <c r="BZ143" s="5">
        <f>IF($BI143&lt;&gt;"",IF('Capacity summary'!$C$14="Yes",IF(COUNTBLANK('Capacity summary'!$H55:$BG55)&lt;52,IF('Capacity summary'!W55&lt;&gt;"",IF(LOWER('Capacity summary'!W55)="x",$BI143*W143,VALUE('Capacity summary'!W55)),0),W143*$BI143),W143*$BI143),0)</f>
        <v>0</v>
      </c>
      <c r="CA143" s="5">
        <f>IF($BI143&lt;&gt;"",IF('Capacity summary'!$C$14="Yes",IF(COUNTBLANK('Capacity summary'!$H55:$BG55)&lt;52,IF('Capacity summary'!X55&lt;&gt;"",IF(LOWER('Capacity summary'!X55)="x",$BI143*X143,VALUE('Capacity summary'!X55)),0),X143*$BI143),X143*$BI143),0)</f>
        <v>0</v>
      </c>
      <c r="CB143" s="5">
        <f>IF($BI143&lt;&gt;"",IF('Capacity summary'!$C$14="Yes",IF(COUNTBLANK('Capacity summary'!$H55:$BG55)&lt;52,IF('Capacity summary'!Y55&lt;&gt;"",IF(LOWER('Capacity summary'!Y55)="x",$BI143*Y143,VALUE('Capacity summary'!Y55)),0),Y143*$BI143),Y143*$BI143),0)</f>
        <v>0</v>
      </c>
      <c r="CC143" s="5">
        <f>IF($BI143&lt;&gt;"",IF('Capacity summary'!$C$14="Yes",IF(COUNTBLANK('Capacity summary'!$H55:$BG55)&lt;52,IF('Capacity summary'!Z55&lt;&gt;"",IF(LOWER('Capacity summary'!Z55)="x",$BI143*Z143,VALUE('Capacity summary'!Z55)),0),Z143*$BI143),Z143*$BI143),0)</f>
        <v>0</v>
      </c>
      <c r="CD143" s="5">
        <f>IF($BI143&lt;&gt;"",IF('Capacity summary'!$C$14="Yes",IF(COUNTBLANK('Capacity summary'!$H55:$BG55)&lt;52,IF('Capacity summary'!AA55&lt;&gt;"",IF(LOWER('Capacity summary'!AA55)="x",$BI143*AA143,VALUE('Capacity summary'!AA55)),0),AA143*$BI143),AA143*$BI143),0)</f>
        <v>0</v>
      </c>
      <c r="CE143" s="5">
        <f>IF($BI143&lt;&gt;"",IF('Capacity summary'!$C$14="Yes",IF(COUNTBLANK('Capacity summary'!$H55:$BG55)&lt;52,IF('Capacity summary'!AB55&lt;&gt;"",IF(LOWER('Capacity summary'!AB55)="x",$BI143*AB143,VALUE('Capacity summary'!AB55)),0),AB143*$BI143),AB143*$BI143),0)</f>
        <v>0</v>
      </c>
      <c r="CF143" s="5">
        <f>IF($BI143&lt;&gt;"",IF('Capacity summary'!$C$14="Yes",IF(COUNTBLANK('Capacity summary'!$H55:$BG55)&lt;52,IF('Capacity summary'!AC55&lt;&gt;"",IF(LOWER('Capacity summary'!AC55)="x",$BI143*AC143,VALUE('Capacity summary'!AC55)),0),AC143*$BI143),AC143*$BI143),0)</f>
        <v>0</v>
      </c>
      <c r="CG143" s="5">
        <f>IF($BI143&lt;&gt;"",IF('Capacity summary'!$C$14="Yes",IF(COUNTBLANK('Capacity summary'!$H55:$BG55)&lt;52,IF('Capacity summary'!AD55&lt;&gt;"",IF(LOWER('Capacity summary'!AD55)="x",$BI143*AD143,VALUE('Capacity summary'!AD55)),0),AD143*$BI143),AD143*$BI143),0)</f>
        <v>0</v>
      </c>
      <c r="CH143" s="5">
        <f>IF($BI143&lt;&gt;"",IF('Capacity summary'!$C$14="Yes",IF(COUNTBLANK('Capacity summary'!$H55:$BG55)&lt;52,IF('Capacity summary'!AE55&lt;&gt;"",IF(LOWER('Capacity summary'!AE55)="x",$BI143*AE143,VALUE('Capacity summary'!AE55)),0),AE143*$BI143),AE143*$BI143),0)</f>
        <v>0</v>
      </c>
      <c r="CI143" s="5">
        <f>IF($BI143&lt;&gt;"",IF('Capacity summary'!$C$14="Yes",IF(COUNTBLANK('Capacity summary'!$H55:$BG55)&lt;52,IF('Capacity summary'!AF55&lt;&gt;"",IF(LOWER('Capacity summary'!AF55)="x",$BI143*AF143,VALUE('Capacity summary'!AF55)),0),AF143*$BI143),AF143*$BI143),0)</f>
        <v>0</v>
      </c>
      <c r="CJ143" s="5">
        <f>IF($BI143&lt;&gt;"",IF('Capacity summary'!$C$14="Yes",IF(COUNTBLANK('Capacity summary'!$H55:$BG55)&lt;52,IF('Capacity summary'!AG55&lt;&gt;"",IF(LOWER('Capacity summary'!AG55)="x",$BI143*AG143,VALUE('Capacity summary'!AG55)),0),AG143*$BI143),AG143*$BI143),0)</f>
        <v>0</v>
      </c>
      <c r="CK143" s="5">
        <f>IF($BI143&lt;&gt;"",IF('Capacity summary'!$C$14="Yes",IF(COUNTBLANK('Capacity summary'!$H55:$BG55)&lt;52,IF('Capacity summary'!AH55&lt;&gt;"",IF(LOWER('Capacity summary'!AH55)="x",$BI143*AH143,VALUE('Capacity summary'!AH55)),0),AH143*$BI143),AH143*$BI143),0)</f>
        <v>0</v>
      </c>
      <c r="CL143" s="5">
        <f>IF($BI143&lt;&gt;"",IF('Capacity summary'!$C$14="Yes",IF(COUNTBLANK('Capacity summary'!$H55:$BG55)&lt;52,IF('Capacity summary'!AI55&lt;&gt;"",IF(LOWER('Capacity summary'!AI55)="x",$BI143*AI143,VALUE('Capacity summary'!AI55)),0),AI143*$BI143),AI143*$BI143),0)</f>
        <v>0</v>
      </c>
      <c r="CM143" s="5">
        <f>IF($BI143&lt;&gt;"",IF('Capacity summary'!$C$14="Yes",IF(COUNTBLANK('Capacity summary'!$H55:$BG55)&lt;52,IF('Capacity summary'!AJ55&lt;&gt;"",IF(LOWER('Capacity summary'!AJ55)="x",$BI143*AJ143,VALUE('Capacity summary'!AJ55)),0),AJ143*$BI143),AJ143*$BI143),0)</f>
        <v>0</v>
      </c>
      <c r="CN143" s="5">
        <f>IF($BI143&lt;&gt;"",IF('Capacity summary'!$C$14="Yes",IF(COUNTBLANK('Capacity summary'!$H55:$BG55)&lt;52,IF('Capacity summary'!AK55&lt;&gt;"",IF(LOWER('Capacity summary'!AK55)="x",$BI143*AK143,VALUE('Capacity summary'!AK55)),0),AK143*$BI143),AK143*$BI143),0)</f>
        <v>0</v>
      </c>
      <c r="CO143" s="5">
        <f>IF($BI143&lt;&gt;"",IF('Capacity summary'!$C$14="Yes",IF(COUNTBLANK('Capacity summary'!$H55:$BG55)&lt;52,IF('Capacity summary'!AL55&lt;&gt;"",IF(LOWER('Capacity summary'!AL55)="x",$BI143*AL143,VALUE('Capacity summary'!AL55)),0),AL143*$BI143),AL143*$BI143),0)</f>
        <v>0</v>
      </c>
      <c r="CP143" s="5">
        <f>IF($BI143&lt;&gt;"",IF('Capacity summary'!$C$14="Yes",IF(COUNTBLANK('Capacity summary'!$H55:$BG55)&lt;52,IF('Capacity summary'!AM55&lt;&gt;"",IF(LOWER('Capacity summary'!AM55)="x",$BI143*AM143,VALUE('Capacity summary'!AM55)),0),AM143*$BI143),AM143*$BI143),0)</f>
        <v>0</v>
      </c>
      <c r="CQ143" s="5">
        <f>IF($BI143&lt;&gt;"",IF('Capacity summary'!$C$14="Yes",IF(COUNTBLANK('Capacity summary'!$H55:$BG55)&lt;52,IF('Capacity summary'!AN55&lt;&gt;"",IF(LOWER('Capacity summary'!AN55)="x",$BI143*AN143,VALUE('Capacity summary'!AN55)),0),AN143*$BI143),AN143*$BI143),0)</f>
        <v>0</v>
      </c>
      <c r="CR143" s="5">
        <f>IF($BI143&lt;&gt;"",IF('Capacity summary'!$C$14="Yes",IF(COUNTBLANK('Capacity summary'!$H55:$BG55)&lt;52,IF('Capacity summary'!AO55&lt;&gt;"",IF(LOWER('Capacity summary'!AO55)="x",$BI143*AO143,VALUE('Capacity summary'!AO55)),0),AO143*$BI143),AO143*$BI143),0)</f>
        <v>0</v>
      </c>
      <c r="CS143" s="5">
        <f>IF($BI143&lt;&gt;"",IF('Capacity summary'!$C$14="Yes",IF(COUNTBLANK('Capacity summary'!$H55:$BG55)&lt;52,IF('Capacity summary'!AP55&lt;&gt;"",IF(LOWER('Capacity summary'!AP55)="x",$BI143*AP143,VALUE('Capacity summary'!AP55)),0),AP143*$BI143),AP143*$BI143),0)</f>
        <v>0</v>
      </c>
      <c r="CT143" s="5">
        <f>IF($BI143&lt;&gt;"",IF('Capacity summary'!$C$14="Yes",IF(COUNTBLANK('Capacity summary'!$H55:$BG55)&lt;52,IF('Capacity summary'!AQ55&lt;&gt;"",IF(LOWER('Capacity summary'!AQ55)="x",$BI143*AQ143,VALUE('Capacity summary'!AQ55)),0),AQ143*$BI143),AQ143*$BI143),0)</f>
        <v>0</v>
      </c>
      <c r="CU143" s="5">
        <f>IF($BI143&lt;&gt;"",IF('Capacity summary'!$C$14="Yes",IF(COUNTBLANK('Capacity summary'!$H55:$BG55)&lt;52,IF('Capacity summary'!AR55&lt;&gt;"",IF(LOWER('Capacity summary'!AR55)="x",$BI143*AR143,VALUE('Capacity summary'!AR55)),0),AR143*$BI143),AR143*$BI143),0)</f>
        <v>0</v>
      </c>
      <c r="CV143" s="5">
        <f>IF($BI143&lt;&gt;"",IF('Capacity summary'!$C$14="Yes",IF(COUNTBLANK('Capacity summary'!$H55:$BG55)&lt;52,IF('Capacity summary'!AS55&lt;&gt;"",IF(LOWER('Capacity summary'!AS55)="x",$BI143*AS143,VALUE('Capacity summary'!AS55)),0),AS143*$BI143),AS143*$BI143),0)</f>
        <v>0</v>
      </c>
      <c r="CW143" s="5">
        <f>IF($BI143&lt;&gt;"",IF('Capacity summary'!$C$14="Yes",IF(COUNTBLANK('Capacity summary'!$H55:$BG55)&lt;52,IF('Capacity summary'!AT55&lt;&gt;"",IF(LOWER('Capacity summary'!AT55)="x",$BI143*AT143,VALUE('Capacity summary'!AT55)),0),AT143*$BI143),AT143*$BI143),0)</f>
        <v>0</v>
      </c>
      <c r="CX143" s="5">
        <f>IF($BI143&lt;&gt;"",IF('Capacity summary'!$C$14="Yes",IF(COUNTBLANK('Capacity summary'!$H55:$BG55)&lt;52,IF('Capacity summary'!AU55&lt;&gt;"",IF(LOWER('Capacity summary'!AU55)="x",$BI143*AU143,VALUE('Capacity summary'!AU55)),0),AU143*$BI143),AU143*$BI143),0)</f>
        <v>0</v>
      </c>
      <c r="CY143" s="5">
        <f>IF($BI143&lt;&gt;"",IF('Capacity summary'!$C$14="Yes",IF(COUNTBLANK('Capacity summary'!$H55:$BG55)&lt;52,IF('Capacity summary'!AV55&lt;&gt;"",IF(LOWER('Capacity summary'!AV55)="x",$BI143*AV143,VALUE('Capacity summary'!AV55)),0),AV143*$BI143),AV143*$BI143),0)</f>
        <v>0</v>
      </c>
      <c r="CZ143" s="5">
        <f>IF($BI143&lt;&gt;"",IF('Capacity summary'!$C$14="Yes",IF(COUNTBLANK('Capacity summary'!$H55:$BG55)&lt;52,IF('Capacity summary'!AW55&lt;&gt;"",IF(LOWER('Capacity summary'!AW55)="x",$BI143*AW143,VALUE('Capacity summary'!AW55)),0),AW143*$BI143),AW143*$BI143),0)</f>
        <v>0</v>
      </c>
      <c r="DA143" s="5">
        <f>IF($BI143&lt;&gt;"",IF('Capacity summary'!$C$14="Yes",IF(COUNTBLANK('Capacity summary'!$H55:$BG55)&lt;52,IF('Capacity summary'!AX55&lt;&gt;"",IF(LOWER('Capacity summary'!AX55)="x",$BI143*AX143,VALUE('Capacity summary'!AX55)),0),AX143*$BI143),AX143*$BI143),0)</f>
        <v>0</v>
      </c>
      <c r="DB143" s="5">
        <f>IF($BI143&lt;&gt;"",IF('Capacity summary'!$C$14="Yes",IF(COUNTBLANK('Capacity summary'!$H55:$BG55)&lt;52,IF('Capacity summary'!AY55&lt;&gt;"",IF(LOWER('Capacity summary'!AY55)="x",$BI143*AY143,VALUE('Capacity summary'!AY55)),0),AY143*$BI143),AY143*$BI143),0)</f>
        <v>0</v>
      </c>
      <c r="DC143" s="5">
        <f>IF($BI143&lt;&gt;"",IF('Capacity summary'!$C$14="Yes",IF(COUNTBLANK('Capacity summary'!$H55:$BG55)&lt;52,IF('Capacity summary'!AZ55&lt;&gt;"",IF(LOWER('Capacity summary'!AZ55)="x",$BI143*AZ143,VALUE('Capacity summary'!AZ55)),0),AZ143*$BI143),AZ143*$BI143),0)</f>
        <v>0</v>
      </c>
      <c r="DD143" s="5">
        <f>IF($BI143&lt;&gt;"",IF('Capacity summary'!$C$14="Yes",IF(COUNTBLANK('Capacity summary'!$H55:$BG55)&lt;52,IF('Capacity summary'!BA55&lt;&gt;"",IF(LOWER('Capacity summary'!BA55)="x",$BI143*BA143,VALUE('Capacity summary'!BA55)),0),BA143*$BI143),BA143*$BI143),0)</f>
        <v>0</v>
      </c>
      <c r="DE143" s="5">
        <f>IF($BI143&lt;&gt;"",IF('Capacity summary'!$C$14="Yes",IF(COUNTBLANK('Capacity summary'!$H55:$BG55)&lt;52,IF('Capacity summary'!BB55&lt;&gt;"",IF(LOWER('Capacity summary'!BB55)="x",$BI143*BB143,VALUE('Capacity summary'!BB55)),0),BB143*$BI143),BB143*$BI143),0)</f>
        <v>0</v>
      </c>
      <c r="DF143" s="5">
        <f>IF($BI143&lt;&gt;"",IF('Capacity summary'!$C$14="Yes",IF(COUNTBLANK('Capacity summary'!$H55:$BG55)&lt;52,IF('Capacity summary'!BC55&lt;&gt;"",IF(LOWER('Capacity summary'!BC55)="x",$BI143*BC143,VALUE('Capacity summary'!BC55)),0),BC143*$BI143),BC143*$BI143),0)</f>
        <v>0</v>
      </c>
      <c r="DG143" s="5">
        <f>IF($BI143&lt;&gt;"",IF('Capacity summary'!$C$14="Yes",IF(COUNTBLANK('Capacity summary'!$H55:$BG55)&lt;52,IF('Capacity summary'!BD55&lt;&gt;"",IF(LOWER('Capacity summary'!BD55)="x",$BI143*BD143,VALUE('Capacity summary'!BD55)),0),BD143*$BI143),BD143*$BI143),0)</f>
        <v>0</v>
      </c>
      <c r="DH143" s="5">
        <f>IF($BI143&lt;&gt;"",IF('Capacity summary'!$C$14="Yes",IF(COUNTBLANK('Capacity summary'!$H55:$BG55)&lt;52,IF('Capacity summary'!BE55&lt;&gt;"",IF(LOWER('Capacity summary'!BE55)="x",$BI143*BE143,VALUE('Capacity summary'!BE55)),0),BE143*$BI143),BE143*$BI143),0)</f>
        <v>0</v>
      </c>
      <c r="DI143" s="5">
        <f>IF($BI143&lt;&gt;"",IF('Capacity summary'!$C$14="Yes",IF(COUNTBLANK('Capacity summary'!$H55:$BG55)&lt;52,IF('Capacity summary'!BF55&lt;&gt;"",IF(LOWER('Capacity summary'!BF55)="x",$BI143*BF143,VALUE('Capacity summary'!BF55)),0),BF143*$BI143),BF143*$BI143),0)</f>
        <v>0</v>
      </c>
      <c r="DJ143" s="5">
        <f>IF($BI143&lt;&gt;"",IF('Capacity summary'!$C$14="Yes",IF(COUNTBLANK('Capacity summary'!$H55:$BG55)&lt;52,IF('Capacity summary'!BG55&lt;&gt;"",IF(LOWER('Capacity summary'!BG55)="x",$BI143*BG143,VALUE('Capacity summary'!BG55)),0),BG143*$BI143),BG143*$BI143),0)</f>
        <v>0</v>
      </c>
      <c r="DK143" s="5">
        <f t="shared" ref="DK143" si="37">SUM(DK144:DK243)</f>
        <v>0</v>
      </c>
    </row>
    <row r="144" spans="3:115" x14ac:dyDescent="0.25">
      <c r="C144" s="67" t="str">
        <f>ROW(A33)&amp;". "&amp;Capacity!N49</f>
        <v xml:space="preserve">33. </v>
      </c>
      <c r="D144" s="67">
        <f>'Capacity setup'!C150</f>
        <v>0</v>
      </c>
      <c r="E144" s="67">
        <f>'Capacity setup'!D150</f>
        <v>0</v>
      </c>
      <c r="F144" s="67">
        <f>'Capacity setup'!E150</f>
        <v>0</v>
      </c>
      <c r="H144" s="67">
        <f ca="1">IF(AND(SUMIF(Capacity_Resource,$D144,'Critical resources (hide)'!U$6:U$105)+SUMIF(Capacity_Resource,$E144,'Critical resources (hide)'!U$6:U$105)+SUMIF(Capacity_Resource,$F144,'Critical resources (hide)'!U$6:U$105)&gt;0,$E$1=2),0,1)</f>
        <v>1</v>
      </c>
      <c r="I144" s="67">
        <f ca="1">IF(AND(SUMIF(Capacity_Resource,$D144,'Critical resources (hide)'!V$6:V$105)+SUMIF(Capacity_Resource,$E144,'Critical resources (hide)'!V$6:V$105)+SUMIF(Capacity_Resource,$F144,'Critical resources (hide)'!V$6:V$105)&gt;0,$E$1=2),0,1)</f>
        <v>1</v>
      </c>
      <c r="J144" s="67">
        <f ca="1">IF(AND(SUMIF(Capacity_Resource,$D144,'Critical resources (hide)'!W$6:W$105)+SUMIF(Capacity_Resource,$E144,'Critical resources (hide)'!W$6:W$105)+SUMIF(Capacity_Resource,$F144,'Critical resources (hide)'!W$6:W$105)&gt;0,$E$1=2),0,1)</f>
        <v>1</v>
      </c>
      <c r="K144" s="67">
        <f ca="1">IF(AND(SUMIF(Capacity_Resource,$D144,'Critical resources (hide)'!X$6:X$105)+SUMIF(Capacity_Resource,$E144,'Critical resources (hide)'!X$6:X$105)+SUMIF(Capacity_Resource,$F144,'Critical resources (hide)'!X$6:X$105)&gt;0,$E$1=2),0,1)</f>
        <v>1</v>
      </c>
      <c r="L144" s="67">
        <f ca="1">IF(AND(SUMIF(Capacity_Resource,$D144,'Critical resources (hide)'!Y$6:Y$105)+SUMIF(Capacity_Resource,$E144,'Critical resources (hide)'!Y$6:Y$105)+SUMIF(Capacity_Resource,$F144,'Critical resources (hide)'!Y$6:Y$105)&gt;0,$E$1=2),0,1)</f>
        <v>1</v>
      </c>
      <c r="M144" s="67">
        <f ca="1">IF(AND(SUMIF(Capacity_Resource,$D144,'Critical resources (hide)'!Z$6:Z$105)+SUMIF(Capacity_Resource,$E144,'Critical resources (hide)'!Z$6:Z$105)+SUMIF(Capacity_Resource,$F144,'Critical resources (hide)'!Z$6:Z$105)&gt;0,$E$1=2),0,1)</f>
        <v>1</v>
      </c>
      <c r="N144" s="67">
        <f ca="1">IF(AND(SUMIF(Capacity_Resource,$D144,'Critical resources (hide)'!AA$6:AA$105)+SUMIF(Capacity_Resource,$E144,'Critical resources (hide)'!AA$6:AA$105)+SUMIF(Capacity_Resource,$F144,'Critical resources (hide)'!AA$6:AA$105)&gt;0,$E$1=2),0,1)</f>
        <v>1</v>
      </c>
      <c r="O144" s="67">
        <f ca="1">IF(AND(SUMIF(Capacity_Resource,$D144,'Critical resources (hide)'!AB$6:AB$105)+SUMIF(Capacity_Resource,$E144,'Critical resources (hide)'!AB$6:AB$105)+SUMIF(Capacity_Resource,$F144,'Critical resources (hide)'!AB$6:AB$105)&gt;0,$E$1=2),0,1)</f>
        <v>1</v>
      </c>
      <c r="P144" s="67">
        <f ca="1">IF(AND(SUMIF(Capacity_Resource,$D144,'Critical resources (hide)'!AC$6:AC$105)+SUMIF(Capacity_Resource,$E144,'Critical resources (hide)'!AC$6:AC$105)+SUMIF(Capacity_Resource,$F144,'Critical resources (hide)'!AC$6:AC$105)&gt;0,$E$1=2),0,1)</f>
        <v>1</v>
      </c>
      <c r="Q144" s="67">
        <f ca="1">IF(AND(SUMIF(Capacity_Resource,$D144,'Critical resources (hide)'!AD$6:AD$105)+SUMIF(Capacity_Resource,$E144,'Critical resources (hide)'!AD$6:AD$105)+SUMIF(Capacity_Resource,$F144,'Critical resources (hide)'!AD$6:AD$105)&gt;0,$E$1=2),0,1)</f>
        <v>1</v>
      </c>
      <c r="R144" s="67">
        <f ca="1">IF(AND(SUMIF(Capacity_Resource,$D144,'Critical resources (hide)'!AE$6:AE$105)+SUMIF(Capacity_Resource,$E144,'Critical resources (hide)'!AE$6:AE$105)+SUMIF(Capacity_Resource,$F144,'Critical resources (hide)'!AE$6:AE$105)&gt;0,$E$1=2),0,1)</f>
        <v>1</v>
      </c>
      <c r="S144" s="67">
        <f ca="1">IF(AND(SUMIF(Capacity_Resource,$D144,'Critical resources (hide)'!AF$6:AF$105)+SUMIF(Capacity_Resource,$E144,'Critical resources (hide)'!AF$6:AF$105)+SUMIF(Capacity_Resource,$F144,'Critical resources (hide)'!AF$6:AF$105)&gt;0,$E$1=2),0,1)</f>
        <v>1</v>
      </c>
      <c r="T144" s="67">
        <f ca="1">IF(AND(SUMIF(Capacity_Resource,$D144,'Critical resources (hide)'!AG$6:AG$105)+SUMIF(Capacity_Resource,$E144,'Critical resources (hide)'!AG$6:AG$105)+SUMIF(Capacity_Resource,$F144,'Critical resources (hide)'!AG$6:AG$105)&gt;0,$E$1=2),0,1)</f>
        <v>1</v>
      </c>
      <c r="U144" s="67">
        <f ca="1">IF(AND(SUMIF(Capacity_Resource,$D144,'Critical resources (hide)'!AH$6:AH$105)+SUMIF(Capacity_Resource,$E144,'Critical resources (hide)'!AH$6:AH$105)+SUMIF(Capacity_Resource,$F144,'Critical resources (hide)'!AH$6:AH$105)&gt;0,$E$1=2),0,1)</f>
        <v>1</v>
      </c>
      <c r="V144" s="67">
        <f ca="1">IF(AND(SUMIF(Capacity_Resource,$D144,'Critical resources (hide)'!AI$6:AI$105)+SUMIF(Capacity_Resource,$E144,'Critical resources (hide)'!AI$6:AI$105)+SUMIF(Capacity_Resource,$F144,'Critical resources (hide)'!AI$6:AI$105)&gt;0,$E$1=2),0,1)</f>
        <v>1</v>
      </c>
      <c r="W144" s="67">
        <f ca="1">IF(AND(SUMIF(Capacity_Resource,$D144,'Critical resources (hide)'!AJ$6:AJ$105)+SUMIF(Capacity_Resource,$E144,'Critical resources (hide)'!AJ$6:AJ$105)+SUMIF(Capacity_Resource,$F144,'Critical resources (hide)'!AJ$6:AJ$105)&gt;0,$E$1=2),0,1)</f>
        <v>1</v>
      </c>
      <c r="X144" s="67">
        <f ca="1">IF(AND(SUMIF(Capacity_Resource,$D144,'Critical resources (hide)'!AK$6:AK$105)+SUMIF(Capacity_Resource,$E144,'Critical resources (hide)'!AK$6:AK$105)+SUMIF(Capacity_Resource,$F144,'Critical resources (hide)'!AK$6:AK$105)&gt;0,$E$1=2),0,1)</f>
        <v>1</v>
      </c>
      <c r="Y144" s="67">
        <f ca="1">IF(AND(SUMIF(Capacity_Resource,$D144,'Critical resources (hide)'!AL$6:AL$105)+SUMIF(Capacity_Resource,$E144,'Critical resources (hide)'!AL$6:AL$105)+SUMIF(Capacity_Resource,$F144,'Critical resources (hide)'!AL$6:AL$105)&gt;0,$E$1=2),0,1)</f>
        <v>1</v>
      </c>
      <c r="Z144" s="67">
        <f ca="1">IF(AND(SUMIF(Capacity_Resource,$D144,'Critical resources (hide)'!AM$6:AM$105)+SUMIF(Capacity_Resource,$E144,'Critical resources (hide)'!AM$6:AM$105)+SUMIF(Capacity_Resource,$F144,'Critical resources (hide)'!AM$6:AM$105)&gt;0,$E$1=2),0,1)</f>
        <v>1</v>
      </c>
      <c r="AA144" s="67">
        <f ca="1">IF(AND(SUMIF(Capacity_Resource,$D144,'Critical resources (hide)'!AN$6:AN$105)+SUMIF(Capacity_Resource,$E144,'Critical resources (hide)'!AN$6:AN$105)+SUMIF(Capacity_Resource,$F144,'Critical resources (hide)'!AN$6:AN$105)&gt;0,$E$1=2),0,1)</f>
        <v>1</v>
      </c>
      <c r="AB144" s="67">
        <f ca="1">IF(AND(SUMIF(Capacity_Resource,$D144,'Critical resources (hide)'!AO$6:AO$105)+SUMIF(Capacity_Resource,$E144,'Critical resources (hide)'!AO$6:AO$105)+SUMIF(Capacity_Resource,$F144,'Critical resources (hide)'!AO$6:AO$105)&gt;0,$E$1=2),0,1)</f>
        <v>1</v>
      </c>
      <c r="AC144" s="67">
        <f ca="1">IF(AND(SUMIF(Capacity_Resource,$D144,'Critical resources (hide)'!AP$6:AP$105)+SUMIF(Capacity_Resource,$E144,'Critical resources (hide)'!AP$6:AP$105)+SUMIF(Capacity_Resource,$F144,'Critical resources (hide)'!AP$6:AP$105)&gt;0,$E$1=2),0,1)</f>
        <v>1</v>
      </c>
      <c r="AD144" s="67">
        <f ca="1">IF(AND(SUMIF(Capacity_Resource,$D144,'Critical resources (hide)'!AQ$6:AQ$105)+SUMIF(Capacity_Resource,$E144,'Critical resources (hide)'!AQ$6:AQ$105)+SUMIF(Capacity_Resource,$F144,'Critical resources (hide)'!AQ$6:AQ$105)&gt;0,$E$1=2),0,1)</f>
        <v>1</v>
      </c>
      <c r="AE144" s="67">
        <f ca="1">IF(AND(SUMIF(Capacity_Resource,$D144,'Critical resources (hide)'!AR$6:AR$105)+SUMIF(Capacity_Resource,$E144,'Critical resources (hide)'!AR$6:AR$105)+SUMIF(Capacity_Resource,$F144,'Critical resources (hide)'!AR$6:AR$105)&gt;0,$E$1=2),0,1)</f>
        <v>1</v>
      </c>
      <c r="AF144" s="67">
        <f ca="1">IF(AND(SUMIF(Capacity_Resource,$D144,'Critical resources (hide)'!AS$6:AS$105)+SUMIF(Capacity_Resource,$E144,'Critical resources (hide)'!AS$6:AS$105)+SUMIF(Capacity_Resource,$F144,'Critical resources (hide)'!AS$6:AS$105)&gt;0,$E$1=2),0,1)</f>
        <v>1</v>
      </c>
      <c r="AG144" s="67">
        <f ca="1">IF(AND(SUMIF(Capacity_Resource,$D144,'Critical resources (hide)'!AT$6:AT$105)+SUMIF(Capacity_Resource,$E144,'Critical resources (hide)'!AT$6:AT$105)+SUMIF(Capacity_Resource,$F144,'Critical resources (hide)'!AT$6:AT$105)&gt;0,$E$1=2),0,1)</f>
        <v>1</v>
      </c>
      <c r="AH144" s="67">
        <f ca="1">IF(AND(SUMIF(Capacity_Resource,$D144,'Critical resources (hide)'!AU$6:AU$105)+SUMIF(Capacity_Resource,$E144,'Critical resources (hide)'!AU$6:AU$105)+SUMIF(Capacity_Resource,$F144,'Critical resources (hide)'!AU$6:AU$105)&gt;0,$E$1=2),0,1)</f>
        <v>1</v>
      </c>
      <c r="AI144" s="67">
        <f ca="1">IF(AND(SUMIF(Capacity_Resource,$D144,'Critical resources (hide)'!AV$6:AV$105)+SUMIF(Capacity_Resource,$E144,'Critical resources (hide)'!AV$6:AV$105)+SUMIF(Capacity_Resource,$F144,'Critical resources (hide)'!AV$6:AV$105)&gt;0,$E$1=2),0,1)</f>
        <v>1</v>
      </c>
      <c r="AJ144" s="67">
        <f ca="1">IF(AND(SUMIF(Capacity_Resource,$D144,'Critical resources (hide)'!AW$6:AW$105)+SUMIF(Capacity_Resource,$E144,'Critical resources (hide)'!AW$6:AW$105)+SUMIF(Capacity_Resource,$F144,'Critical resources (hide)'!AW$6:AW$105)&gt;0,$E$1=2),0,1)</f>
        <v>1</v>
      </c>
      <c r="AK144" s="67">
        <f ca="1">IF(AND(SUMIF(Capacity_Resource,$D144,'Critical resources (hide)'!AX$6:AX$105)+SUMIF(Capacity_Resource,$E144,'Critical resources (hide)'!AX$6:AX$105)+SUMIF(Capacity_Resource,$F144,'Critical resources (hide)'!AX$6:AX$105)&gt;0,$E$1=2),0,1)</f>
        <v>1</v>
      </c>
      <c r="AL144" s="67">
        <f ca="1">IF(AND(SUMIF(Capacity_Resource,$D144,'Critical resources (hide)'!AY$6:AY$105)+SUMIF(Capacity_Resource,$E144,'Critical resources (hide)'!AY$6:AY$105)+SUMIF(Capacity_Resource,$F144,'Critical resources (hide)'!AY$6:AY$105)&gt;0,$E$1=2),0,1)</f>
        <v>1</v>
      </c>
      <c r="AM144" s="67">
        <f ca="1">IF(AND(SUMIF(Capacity_Resource,$D144,'Critical resources (hide)'!AZ$6:AZ$105)+SUMIF(Capacity_Resource,$E144,'Critical resources (hide)'!AZ$6:AZ$105)+SUMIF(Capacity_Resource,$F144,'Critical resources (hide)'!AZ$6:AZ$105)&gt;0,$E$1=2),0,1)</f>
        <v>1</v>
      </c>
      <c r="AN144" s="67">
        <f ca="1">IF(AND(SUMIF(Capacity_Resource,$D144,'Critical resources (hide)'!BA$6:BA$105)+SUMIF(Capacity_Resource,$E144,'Critical resources (hide)'!BA$6:BA$105)+SUMIF(Capacity_Resource,$F144,'Critical resources (hide)'!BA$6:BA$105)&gt;0,$E$1=2),0,1)</f>
        <v>1</v>
      </c>
      <c r="AO144" s="67">
        <f ca="1">IF(AND(SUMIF(Capacity_Resource,$D144,'Critical resources (hide)'!BB$6:BB$105)+SUMIF(Capacity_Resource,$E144,'Critical resources (hide)'!BB$6:BB$105)+SUMIF(Capacity_Resource,$F144,'Critical resources (hide)'!BB$6:BB$105)&gt;0,$E$1=2),0,1)</f>
        <v>1</v>
      </c>
      <c r="AP144" s="67">
        <f ca="1">IF(AND(SUMIF(Capacity_Resource,$D144,'Critical resources (hide)'!BC$6:BC$105)+SUMIF(Capacity_Resource,$E144,'Critical resources (hide)'!BC$6:BC$105)+SUMIF(Capacity_Resource,$F144,'Critical resources (hide)'!BC$6:BC$105)&gt;0,$E$1=2),0,1)</f>
        <v>1</v>
      </c>
      <c r="AQ144" s="67">
        <f ca="1">IF(AND(SUMIF(Capacity_Resource,$D144,'Critical resources (hide)'!BD$6:BD$105)+SUMIF(Capacity_Resource,$E144,'Critical resources (hide)'!BD$6:BD$105)+SUMIF(Capacity_Resource,$F144,'Critical resources (hide)'!BD$6:BD$105)&gt;0,$E$1=2),0,1)</f>
        <v>1</v>
      </c>
      <c r="AR144" s="67">
        <f ca="1">IF(AND(SUMIF(Capacity_Resource,$D144,'Critical resources (hide)'!BE$6:BE$105)+SUMIF(Capacity_Resource,$E144,'Critical resources (hide)'!BE$6:BE$105)+SUMIF(Capacity_Resource,$F144,'Critical resources (hide)'!BE$6:BE$105)&gt;0,$E$1=2),0,1)</f>
        <v>1</v>
      </c>
      <c r="AS144" s="67">
        <f ca="1">IF(AND(SUMIF(Capacity_Resource,$D144,'Critical resources (hide)'!BF$6:BF$105)+SUMIF(Capacity_Resource,$E144,'Critical resources (hide)'!BF$6:BF$105)+SUMIF(Capacity_Resource,$F144,'Critical resources (hide)'!BF$6:BF$105)&gt;0,$E$1=2),0,1)</f>
        <v>1</v>
      </c>
      <c r="AT144" s="67">
        <f ca="1">IF(AND(SUMIF(Capacity_Resource,$D144,'Critical resources (hide)'!BG$6:BG$105)+SUMIF(Capacity_Resource,$E144,'Critical resources (hide)'!BG$6:BG$105)+SUMIF(Capacity_Resource,$F144,'Critical resources (hide)'!BG$6:BG$105)&gt;0,$E$1=2),0,1)</f>
        <v>1</v>
      </c>
      <c r="AU144" s="67">
        <f ca="1">IF(AND(SUMIF(Capacity_Resource,$D144,'Critical resources (hide)'!BH$6:BH$105)+SUMIF(Capacity_Resource,$E144,'Critical resources (hide)'!BH$6:BH$105)+SUMIF(Capacity_Resource,$F144,'Critical resources (hide)'!BH$6:BH$105)&gt;0,$E$1=2),0,1)</f>
        <v>1</v>
      </c>
      <c r="AV144" s="67">
        <f ca="1">IF(AND(SUMIF(Capacity_Resource,$D144,'Critical resources (hide)'!BI$6:BI$105)+SUMIF(Capacity_Resource,$E144,'Critical resources (hide)'!BI$6:BI$105)+SUMIF(Capacity_Resource,$F144,'Critical resources (hide)'!BI$6:BI$105)&gt;0,$E$1=2),0,1)</f>
        <v>1</v>
      </c>
      <c r="AW144" s="67">
        <f ca="1">IF(AND(SUMIF(Capacity_Resource,$D144,'Critical resources (hide)'!BJ$6:BJ$105)+SUMIF(Capacity_Resource,$E144,'Critical resources (hide)'!BJ$6:BJ$105)+SUMIF(Capacity_Resource,$F144,'Critical resources (hide)'!BJ$6:BJ$105)&gt;0,$E$1=2),0,1)</f>
        <v>1</v>
      </c>
      <c r="AX144" s="67">
        <f ca="1">IF(AND(SUMIF(Capacity_Resource,$D144,'Critical resources (hide)'!BK$6:BK$105)+SUMIF(Capacity_Resource,$E144,'Critical resources (hide)'!BK$6:BK$105)+SUMIF(Capacity_Resource,$F144,'Critical resources (hide)'!BK$6:BK$105)&gt;0,$E$1=2),0,1)</f>
        <v>1</v>
      </c>
      <c r="AY144" s="67">
        <f ca="1">IF(AND(SUMIF(Capacity_Resource,$D144,'Critical resources (hide)'!BL$6:BL$105)+SUMIF(Capacity_Resource,$E144,'Critical resources (hide)'!BL$6:BL$105)+SUMIF(Capacity_Resource,$F144,'Critical resources (hide)'!BL$6:BL$105)&gt;0,$E$1=2),0,1)</f>
        <v>1</v>
      </c>
      <c r="AZ144" s="67">
        <f ca="1">IF(AND(SUMIF(Capacity_Resource,$D144,'Critical resources (hide)'!BM$6:BM$105)+SUMIF(Capacity_Resource,$E144,'Critical resources (hide)'!BM$6:BM$105)+SUMIF(Capacity_Resource,$F144,'Critical resources (hide)'!BM$6:BM$105)&gt;0,$E$1=2),0,1)</f>
        <v>1</v>
      </c>
      <c r="BA144" s="67">
        <f ca="1">IF(AND(SUMIF(Capacity_Resource,$D144,'Critical resources (hide)'!BN$6:BN$105)+SUMIF(Capacity_Resource,$E144,'Critical resources (hide)'!BN$6:BN$105)+SUMIF(Capacity_Resource,$F144,'Critical resources (hide)'!BN$6:BN$105)&gt;0,$E$1=2),0,1)</f>
        <v>1</v>
      </c>
      <c r="BB144" s="67">
        <f ca="1">IF(AND(SUMIF(Capacity_Resource,$D144,'Critical resources (hide)'!BO$6:BO$105)+SUMIF(Capacity_Resource,$E144,'Critical resources (hide)'!BO$6:BO$105)+SUMIF(Capacity_Resource,$F144,'Critical resources (hide)'!BO$6:BO$105)&gt;0,$E$1=2),0,1)</f>
        <v>1</v>
      </c>
      <c r="BC144" s="67">
        <f ca="1">IF(AND(SUMIF(Capacity_Resource,$D144,'Critical resources (hide)'!BP$6:BP$105)+SUMIF(Capacity_Resource,$E144,'Critical resources (hide)'!BP$6:BP$105)+SUMIF(Capacity_Resource,$F144,'Critical resources (hide)'!BP$6:BP$105)&gt;0,$E$1=2),0,1)</f>
        <v>1</v>
      </c>
      <c r="BD144" s="67">
        <f ca="1">IF(AND(SUMIF(Capacity_Resource,$D144,'Critical resources (hide)'!BQ$6:BQ$105)+SUMIF(Capacity_Resource,$E144,'Critical resources (hide)'!BQ$6:BQ$105)+SUMIF(Capacity_Resource,$F144,'Critical resources (hide)'!BQ$6:BQ$105)&gt;0,$E$1=2),0,1)</f>
        <v>1</v>
      </c>
      <c r="BE144" s="67">
        <f ca="1">IF(AND(SUMIF(Capacity_Resource,$D144,'Critical resources (hide)'!BR$6:BR$105)+SUMIF(Capacity_Resource,$E144,'Critical resources (hide)'!BR$6:BR$105)+SUMIF(Capacity_Resource,$F144,'Critical resources (hide)'!BR$6:BR$105)&gt;0,$E$1=2),0,1)</f>
        <v>1</v>
      </c>
      <c r="BF144" s="67">
        <f ca="1">IF(AND(SUMIF(Capacity_Resource,$D144,'Critical resources (hide)'!BS$6:BS$105)+SUMIF(Capacity_Resource,$E144,'Critical resources (hide)'!BS$6:BS$105)+SUMIF(Capacity_Resource,$F144,'Critical resources (hide)'!BS$6:BS$105)&gt;0,$E$1=2),0,1)</f>
        <v>1</v>
      </c>
      <c r="BG144" s="67">
        <f ca="1">IF(AND(SUMIF(Capacity_Resource,$D144,'Critical resources (hide)'!BT$6:BT$105)+SUMIF(Capacity_Resource,$E144,'Critical resources (hide)'!BT$6:BT$105)+SUMIF(Capacity_Resource,$F144,'Critical resources (hide)'!BT$6:BT$105)&gt;0,$E$1=2),0,1)</f>
        <v>1</v>
      </c>
      <c r="BH144" s="67">
        <f>IF(ROW(A33)&lt;=Capacity!$M$16,IF('Capacity summary'!$C$14="No",SUM(H144:BG144),'Capacity summary'!$E56),0)</f>
        <v>0</v>
      </c>
      <c r="BI144" s="67" t="str">
        <f>IF(BH144&gt;0,IF(BH144&lt;Capacity!Q49,Capacity!R49,Capacity!T49/'Capacity calculation (hide)'!BH144),"")</f>
        <v/>
      </c>
      <c r="BJ144" s="5"/>
      <c r="BK144" s="5">
        <f>IF($BI144&lt;&gt;"",IF('Capacity summary'!$C$14="Yes",IF(COUNTBLANK('Capacity summary'!$H56:$BG56)&lt;52,IF('Capacity summary'!H56&lt;&gt;"",IF(LOWER('Capacity summary'!H56)="x",$BI144*H144,VALUE('Capacity summary'!H56)),0),H144*$BI144),H144*$BI144),0)</f>
        <v>0</v>
      </c>
      <c r="BL144" s="5">
        <f>IF($BI144&lt;&gt;"",IF('Capacity summary'!$C$14="Yes",IF(COUNTBLANK('Capacity summary'!$H56:$BG56)&lt;52,IF('Capacity summary'!I56&lt;&gt;"",IF(LOWER('Capacity summary'!I56)="x",$BI144*I144,VALUE('Capacity summary'!I56)),0),I144*$BI144),I144*$BI144),0)</f>
        <v>0</v>
      </c>
      <c r="BM144" s="5">
        <f>IF($BI144&lt;&gt;"",IF('Capacity summary'!$C$14="Yes",IF(COUNTBLANK('Capacity summary'!$H56:$BG56)&lt;52,IF('Capacity summary'!J56&lt;&gt;"",IF(LOWER('Capacity summary'!J56)="x",$BI144*J144,VALUE('Capacity summary'!J56)),0),J144*$BI144),J144*$BI144),0)</f>
        <v>0</v>
      </c>
      <c r="BN144" s="5">
        <f>IF($BI144&lt;&gt;"",IF('Capacity summary'!$C$14="Yes",IF(COUNTBLANK('Capacity summary'!$H56:$BG56)&lt;52,IF('Capacity summary'!K56&lt;&gt;"",IF(LOWER('Capacity summary'!K56)="x",$BI144*K144,VALUE('Capacity summary'!K56)),0),K144*$BI144),K144*$BI144),0)</f>
        <v>0</v>
      </c>
      <c r="BO144" s="5">
        <f>IF($BI144&lt;&gt;"",IF('Capacity summary'!$C$14="Yes",IF(COUNTBLANK('Capacity summary'!$H56:$BG56)&lt;52,IF('Capacity summary'!L56&lt;&gt;"",IF(LOWER('Capacity summary'!L56)="x",$BI144*L144,VALUE('Capacity summary'!L56)),0),L144*$BI144),L144*$BI144),0)</f>
        <v>0</v>
      </c>
      <c r="BP144" s="5">
        <f>IF($BI144&lt;&gt;"",IF('Capacity summary'!$C$14="Yes",IF(COUNTBLANK('Capacity summary'!$H56:$BG56)&lt;52,IF('Capacity summary'!M56&lt;&gt;"",IF(LOWER('Capacity summary'!M56)="x",$BI144*M144,VALUE('Capacity summary'!M56)),0),M144*$BI144),M144*$BI144),0)</f>
        <v>0</v>
      </c>
      <c r="BQ144" s="5">
        <f>IF($BI144&lt;&gt;"",IF('Capacity summary'!$C$14="Yes",IF(COUNTBLANK('Capacity summary'!$H56:$BG56)&lt;52,IF('Capacity summary'!N56&lt;&gt;"",IF(LOWER('Capacity summary'!N56)="x",$BI144*N144,VALUE('Capacity summary'!N56)),0),N144*$BI144),N144*$BI144),0)</f>
        <v>0</v>
      </c>
      <c r="BR144" s="5">
        <f>IF($BI144&lt;&gt;"",IF('Capacity summary'!$C$14="Yes",IF(COUNTBLANK('Capacity summary'!$H56:$BG56)&lt;52,IF('Capacity summary'!O56&lt;&gt;"",IF(LOWER('Capacity summary'!O56)="x",$BI144*O144,VALUE('Capacity summary'!O56)),0),O144*$BI144),O144*$BI144),0)</f>
        <v>0</v>
      </c>
      <c r="BS144" s="5">
        <f>IF($BI144&lt;&gt;"",IF('Capacity summary'!$C$14="Yes",IF(COUNTBLANK('Capacity summary'!$H56:$BG56)&lt;52,IF('Capacity summary'!P56&lt;&gt;"",IF(LOWER('Capacity summary'!P56)="x",$BI144*P144,VALUE('Capacity summary'!P56)),0),P144*$BI144),P144*$BI144),0)</f>
        <v>0</v>
      </c>
      <c r="BT144" s="5">
        <f>IF($BI144&lt;&gt;"",IF('Capacity summary'!$C$14="Yes",IF(COUNTBLANK('Capacity summary'!$H56:$BG56)&lt;52,IF('Capacity summary'!Q56&lt;&gt;"",IF(LOWER('Capacity summary'!Q56)="x",$BI144*Q144,VALUE('Capacity summary'!Q56)),0),Q144*$BI144),Q144*$BI144),0)</f>
        <v>0</v>
      </c>
      <c r="BU144" s="5">
        <f>IF($BI144&lt;&gt;"",IF('Capacity summary'!$C$14="Yes",IF(COUNTBLANK('Capacity summary'!$H56:$BG56)&lt;52,IF('Capacity summary'!R56&lt;&gt;"",IF(LOWER('Capacity summary'!R56)="x",$BI144*R144,VALUE('Capacity summary'!R56)),0),R144*$BI144),R144*$BI144),0)</f>
        <v>0</v>
      </c>
      <c r="BV144" s="5">
        <f>IF($BI144&lt;&gt;"",IF('Capacity summary'!$C$14="Yes",IF(COUNTBLANK('Capacity summary'!$H56:$BG56)&lt;52,IF('Capacity summary'!S56&lt;&gt;"",IF(LOWER('Capacity summary'!S56)="x",$BI144*S144,VALUE('Capacity summary'!S56)),0),S144*$BI144),S144*$BI144),0)</f>
        <v>0</v>
      </c>
      <c r="BW144" s="5">
        <f>IF($BI144&lt;&gt;"",IF('Capacity summary'!$C$14="Yes",IF(COUNTBLANK('Capacity summary'!$H56:$BG56)&lt;52,IF('Capacity summary'!T56&lt;&gt;"",IF(LOWER('Capacity summary'!T56)="x",$BI144*T144,VALUE('Capacity summary'!T56)),0),T144*$BI144),T144*$BI144),0)</f>
        <v>0</v>
      </c>
      <c r="BX144" s="5">
        <f>IF($BI144&lt;&gt;"",IF('Capacity summary'!$C$14="Yes",IF(COUNTBLANK('Capacity summary'!$H56:$BG56)&lt;52,IF('Capacity summary'!U56&lt;&gt;"",IF(LOWER('Capacity summary'!U56)="x",$BI144*U144,VALUE('Capacity summary'!U56)),0),U144*$BI144),U144*$BI144),0)</f>
        <v>0</v>
      </c>
      <c r="BY144" s="5">
        <f>IF($BI144&lt;&gt;"",IF('Capacity summary'!$C$14="Yes",IF(COUNTBLANK('Capacity summary'!$H56:$BG56)&lt;52,IF('Capacity summary'!V56&lt;&gt;"",IF(LOWER('Capacity summary'!V56)="x",$BI144*V144,VALUE('Capacity summary'!V56)),0),V144*$BI144),V144*$BI144),0)</f>
        <v>0</v>
      </c>
      <c r="BZ144" s="5">
        <f>IF($BI144&lt;&gt;"",IF('Capacity summary'!$C$14="Yes",IF(COUNTBLANK('Capacity summary'!$H56:$BG56)&lt;52,IF('Capacity summary'!W56&lt;&gt;"",IF(LOWER('Capacity summary'!W56)="x",$BI144*W144,VALUE('Capacity summary'!W56)),0),W144*$BI144),W144*$BI144),0)</f>
        <v>0</v>
      </c>
      <c r="CA144" s="5">
        <f>IF($BI144&lt;&gt;"",IF('Capacity summary'!$C$14="Yes",IF(COUNTBLANK('Capacity summary'!$H56:$BG56)&lt;52,IF('Capacity summary'!X56&lt;&gt;"",IF(LOWER('Capacity summary'!X56)="x",$BI144*X144,VALUE('Capacity summary'!X56)),0),X144*$BI144),X144*$BI144),0)</f>
        <v>0</v>
      </c>
      <c r="CB144" s="5">
        <f>IF($BI144&lt;&gt;"",IF('Capacity summary'!$C$14="Yes",IF(COUNTBLANK('Capacity summary'!$H56:$BG56)&lt;52,IF('Capacity summary'!Y56&lt;&gt;"",IF(LOWER('Capacity summary'!Y56)="x",$BI144*Y144,VALUE('Capacity summary'!Y56)),0),Y144*$BI144),Y144*$BI144),0)</f>
        <v>0</v>
      </c>
      <c r="CC144" s="5">
        <f>IF($BI144&lt;&gt;"",IF('Capacity summary'!$C$14="Yes",IF(COUNTBLANK('Capacity summary'!$H56:$BG56)&lt;52,IF('Capacity summary'!Z56&lt;&gt;"",IF(LOWER('Capacity summary'!Z56)="x",$BI144*Z144,VALUE('Capacity summary'!Z56)),0),Z144*$BI144),Z144*$BI144),0)</f>
        <v>0</v>
      </c>
      <c r="CD144" s="5">
        <f>IF($BI144&lt;&gt;"",IF('Capacity summary'!$C$14="Yes",IF(COUNTBLANK('Capacity summary'!$H56:$BG56)&lt;52,IF('Capacity summary'!AA56&lt;&gt;"",IF(LOWER('Capacity summary'!AA56)="x",$BI144*AA144,VALUE('Capacity summary'!AA56)),0),AA144*$BI144),AA144*$BI144),0)</f>
        <v>0</v>
      </c>
      <c r="CE144" s="5">
        <f>IF($BI144&lt;&gt;"",IF('Capacity summary'!$C$14="Yes",IF(COUNTBLANK('Capacity summary'!$H56:$BG56)&lt;52,IF('Capacity summary'!AB56&lt;&gt;"",IF(LOWER('Capacity summary'!AB56)="x",$BI144*AB144,VALUE('Capacity summary'!AB56)),0),AB144*$BI144),AB144*$BI144),0)</f>
        <v>0</v>
      </c>
      <c r="CF144" s="5">
        <f>IF($BI144&lt;&gt;"",IF('Capacity summary'!$C$14="Yes",IF(COUNTBLANK('Capacity summary'!$H56:$BG56)&lt;52,IF('Capacity summary'!AC56&lt;&gt;"",IF(LOWER('Capacity summary'!AC56)="x",$BI144*AC144,VALUE('Capacity summary'!AC56)),0),AC144*$BI144),AC144*$BI144),0)</f>
        <v>0</v>
      </c>
      <c r="CG144" s="5">
        <f>IF($BI144&lt;&gt;"",IF('Capacity summary'!$C$14="Yes",IF(COUNTBLANK('Capacity summary'!$H56:$BG56)&lt;52,IF('Capacity summary'!AD56&lt;&gt;"",IF(LOWER('Capacity summary'!AD56)="x",$BI144*AD144,VALUE('Capacity summary'!AD56)),0),AD144*$BI144),AD144*$BI144),0)</f>
        <v>0</v>
      </c>
      <c r="CH144" s="5">
        <f>IF($BI144&lt;&gt;"",IF('Capacity summary'!$C$14="Yes",IF(COUNTBLANK('Capacity summary'!$H56:$BG56)&lt;52,IF('Capacity summary'!AE56&lt;&gt;"",IF(LOWER('Capacity summary'!AE56)="x",$BI144*AE144,VALUE('Capacity summary'!AE56)),0),AE144*$BI144),AE144*$BI144),0)</f>
        <v>0</v>
      </c>
      <c r="CI144" s="5">
        <f>IF($BI144&lt;&gt;"",IF('Capacity summary'!$C$14="Yes",IF(COUNTBLANK('Capacity summary'!$H56:$BG56)&lt;52,IF('Capacity summary'!AF56&lt;&gt;"",IF(LOWER('Capacity summary'!AF56)="x",$BI144*AF144,VALUE('Capacity summary'!AF56)),0),AF144*$BI144),AF144*$BI144),0)</f>
        <v>0</v>
      </c>
      <c r="CJ144" s="5">
        <f>IF($BI144&lt;&gt;"",IF('Capacity summary'!$C$14="Yes",IF(COUNTBLANK('Capacity summary'!$H56:$BG56)&lt;52,IF('Capacity summary'!AG56&lt;&gt;"",IF(LOWER('Capacity summary'!AG56)="x",$BI144*AG144,VALUE('Capacity summary'!AG56)),0),AG144*$BI144),AG144*$BI144),0)</f>
        <v>0</v>
      </c>
      <c r="CK144" s="5">
        <f>IF($BI144&lt;&gt;"",IF('Capacity summary'!$C$14="Yes",IF(COUNTBLANK('Capacity summary'!$H56:$BG56)&lt;52,IF('Capacity summary'!AH56&lt;&gt;"",IF(LOWER('Capacity summary'!AH56)="x",$BI144*AH144,VALUE('Capacity summary'!AH56)),0),AH144*$BI144),AH144*$BI144),0)</f>
        <v>0</v>
      </c>
      <c r="CL144" s="5">
        <f>IF($BI144&lt;&gt;"",IF('Capacity summary'!$C$14="Yes",IF(COUNTBLANK('Capacity summary'!$H56:$BG56)&lt;52,IF('Capacity summary'!AI56&lt;&gt;"",IF(LOWER('Capacity summary'!AI56)="x",$BI144*AI144,VALUE('Capacity summary'!AI56)),0),AI144*$BI144),AI144*$BI144),0)</f>
        <v>0</v>
      </c>
      <c r="CM144" s="5">
        <f>IF($BI144&lt;&gt;"",IF('Capacity summary'!$C$14="Yes",IF(COUNTBLANK('Capacity summary'!$H56:$BG56)&lt;52,IF('Capacity summary'!AJ56&lt;&gt;"",IF(LOWER('Capacity summary'!AJ56)="x",$BI144*AJ144,VALUE('Capacity summary'!AJ56)),0),AJ144*$BI144),AJ144*$BI144),0)</f>
        <v>0</v>
      </c>
      <c r="CN144" s="5">
        <f>IF($BI144&lt;&gt;"",IF('Capacity summary'!$C$14="Yes",IF(COUNTBLANK('Capacity summary'!$H56:$BG56)&lt;52,IF('Capacity summary'!AK56&lt;&gt;"",IF(LOWER('Capacity summary'!AK56)="x",$BI144*AK144,VALUE('Capacity summary'!AK56)),0),AK144*$BI144),AK144*$BI144),0)</f>
        <v>0</v>
      </c>
      <c r="CO144" s="5">
        <f>IF($BI144&lt;&gt;"",IF('Capacity summary'!$C$14="Yes",IF(COUNTBLANK('Capacity summary'!$H56:$BG56)&lt;52,IF('Capacity summary'!AL56&lt;&gt;"",IF(LOWER('Capacity summary'!AL56)="x",$BI144*AL144,VALUE('Capacity summary'!AL56)),0),AL144*$BI144),AL144*$BI144),0)</f>
        <v>0</v>
      </c>
      <c r="CP144" s="5">
        <f>IF($BI144&lt;&gt;"",IF('Capacity summary'!$C$14="Yes",IF(COUNTBLANK('Capacity summary'!$H56:$BG56)&lt;52,IF('Capacity summary'!AM56&lt;&gt;"",IF(LOWER('Capacity summary'!AM56)="x",$BI144*AM144,VALUE('Capacity summary'!AM56)),0),AM144*$BI144),AM144*$BI144),0)</f>
        <v>0</v>
      </c>
      <c r="CQ144" s="5">
        <f>IF($BI144&lt;&gt;"",IF('Capacity summary'!$C$14="Yes",IF(COUNTBLANK('Capacity summary'!$H56:$BG56)&lt;52,IF('Capacity summary'!AN56&lt;&gt;"",IF(LOWER('Capacity summary'!AN56)="x",$BI144*AN144,VALUE('Capacity summary'!AN56)),0),AN144*$BI144),AN144*$BI144),0)</f>
        <v>0</v>
      </c>
      <c r="CR144" s="5">
        <f>IF($BI144&lt;&gt;"",IF('Capacity summary'!$C$14="Yes",IF(COUNTBLANK('Capacity summary'!$H56:$BG56)&lt;52,IF('Capacity summary'!AO56&lt;&gt;"",IF(LOWER('Capacity summary'!AO56)="x",$BI144*AO144,VALUE('Capacity summary'!AO56)),0),AO144*$BI144),AO144*$BI144),0)</f>
        <v>0</v>
      </c>
      <c r="CS144" s="5">
        <f>IF($BI144&lt;&gt;"",IF('Capacity summary'!$C$14="Yes",IF(COUNTBLANK('Capacity summary'!$H56:$BG56)&lt;52,IF('Capacity summary'!AP56&lt;&gt;"",IF(LOWER('Capacity summary'!AP56)="x",$BI144*AP144,VALUE('Capacity summary'!AP56)),0),AP144*$BI144),AP144*$BI144),0)</f>
        <v>0</v>
      </c>
      <c r="CT144" s="5">
        <f>IF($BI144&lt;&gt;"",IF('Capacity summary'!$C$14="Yes",IF(COUNTBLANK('Capacity summary'!$H56:$BG56)&lt;52,IF('Capacity summary'!AQ56&lt;&gt;"",IF(LOWER('Capacity summary'!AQ56)="x",$BI144*AQ144,VALUE('Capacity summary'!AQ56)),0),AQ144*$BI144),AQ144*$BI144),0)</f>
        <v>0</v>
      </c>
      <c r="CU144" s="5">
        <f>IF($BI144&lt;&gt;"",IF('Capacity summary'!$C$14="Yes",IF(COUNTBLANK('Capacity summary'!$H56:$BG56)&lt;52,IF('Capacity summary'!AR56&lt;&gt;"",IF(LOWER('Capacity summary'!AR56)="x",$BI144*AR144,VALUE('Capacity summary'!AR56)),0),AR144*$BI144),AR144*$BI144),0)</f>
        <v>0</v>
      </c>
      <c r="CV144" s="5">
        <f>IF($BI144&lt;&gt;"",IF('Capacity summary'!$C$14="Yes",IF(COUNTBLANK('Capacity summary'!$H56:$BG56)&lt;52,IF('Capacity summary'!AS56&lt;&gt;"",IF(LOWER('Capacity summary'!AS56)="x",$BI144*AS144,VALUE('Capacity summary'!AS56)),0),AS144*$BI144),AS144*$BI144),0)</f>
        <v>0</v>
      </c>
      <c r="CW144" s="5">
        <f>IF($BI144&lt;&gt;"",IF('Capacity summary'!$C$14="Yes",IF(COUNTBLANK('Capacity summary'!$H56:$BG56)&lt;52,IF('Capacity summary'!AT56&lt;&gt;"",IF(LOWER('Capacity summary'!AT56)="x",$BI144*AT144,VALUE('Capacity summary'!AT56)),0),AT144*$BI144),AT144*$BI144),0)</f>
        <v>0</v>
      </c>
      <c r="CX144" s="5">
        <f>IF($BI144&lt;&gt;"",IF('Capacity summary'!$C$14="Yes",IF(COUNTBLANK('Capacity summary'!$H56:$BG56)&lt;52,IF('Capacity summary'!AU56&lt;&gt;"",IF(LOWER('Capacity summary'!AU56)="x",$BI144*AU144,VALUE('Capacity summary'!AU56)),0),AU144*$BI144),AU144*$BI144),0)</f>
        <v>0</v>
      </c>
      <c r="CY144" s="5">
        <f>IF($BI144&lt;&gt;"",IF('Capacity summary'!$C$14="Yes",IF(COUNTBLANK('Capacity summary'!$H56:$BG56)&lt;52,IF('Capacity summary'!AV56&lt;&gt;"",IF(LOWER('Capacity summary'!AV56)="x",$BI144*AV144,VALUE('Capacity summary'!AV56)),0),AV144*$BI144),AV144*$BI144),0)</f>
        <v>0</v>
      </c>
      <c r="CZ144" s="5">
        <f>IF($BI144&lt;&gt;"",IF('Capacity summary'!$C$14="Yes",IF(COUNTBLANK('Capacity summary'!$H56:$BG56)&lt;52,IF('Capacity summary'!AW56&lt;&gt;"",IF(LOWER('Capacity summary'!AW56)="x",$BI144*AW144,VALUE('Capacity summary'!AW56)),0),AW144*$BI144),AW144*$BI144),0)</f>
        <v>0</v>
      </c>
      <c r="DA144" s="5">
        <f>IF($BI144&lt;&gt;"",IF('Capacity summary'!$C$14="Yes",IF(COUNTBLANK('Capacity summary'!$H56:$BG56)&lt;52,IF('Capacity summary'!AX56&lt;&gt;"",IF(LOWER('Capacity summary'!AX56)="x",$BI144*AX144,VALUE('Capacity summary'!AX56)),0),AX144*$BI144),AX144*$BI144),0)</f>
        <v>0</v>
      </c>
      <c r="DB144" s="5">
        <f>IF($BI144&lt;&gt;"",IF('Capacity summary'!$C$14="Yes",IF(COUNTBLANK('Capacity summary'!$H56:$BG56)&lt;52,IF('Capacity summary'!AY56&lt;&gt;"",IF(LOWER('Capacity summary'!AY56)="x",$BI144*AY144,VALUE('Capacity summary'!AY56)),0),AY144*$BI144),AY144*$BI144),0)</f>
        <v>0</v>
      </c>
      <c r="DC144" s="5">
        <f>IF($BI144&lt;&gt;"",IF('Capacity summary'!$C$14="Yes",IF(COUNTBLANK('Capacity summary'!$H56:$BG56)&lt;52,IF('Capacity summary'!AZ56&lt;&gt;"",IF(LOWER('Capacity summary'!AZ56)="x",$BI144*AZ144,VALUE('Capacity summary'!AZ56)),0),AZ144*$BI144),AZ144*$BI144),0)</f>
        <v>0</v>
      </c>
      <c r="DD144" s="5">
        <f>IF($BI144&lt;&gt;"",IF('Capacity summary'!$C$14="Yes",IF(COUNTBLANK('Capacity summary'!$H56:$BG56)&lt;52,IF('Capacity summary'!BA56&lt;&gt;"",IF(LOWER('Capacity summary'!BA56)="x",$BI144*BA144,VALUE('Capacity summary'!BA56)),0),BA144*$BI144),BA144*$BI144),0)</f>
        <v>0</v>
      </c>
      <c r="DE144" s="5">
        <f>IF($BI144&lt;&gt;"",IF('Capacity summary'!$C$14="Yes",IF(COUNTBLANK('Capacity summary'!$H56:$BG56)&lt;52,IF('Capacity summary'!BB56&lt;&gt;"",IF(LOWER('Capacity summary'!BB56)="x",$BI144*BB144,VALUE('Capacity summary'!BB56)),0),BB144*$BI144),BB144*$BI144),0)</f>
        <v>0</v>
      </c>
      <c r="DF144" s="5">
        <f>IF($BI144&lt;&gt;"",IF('Capacity summary'!$C$14="Yes",IF(COUNTBLANK('Capacity summary'!$H56:$BG56)&lt;52,IF('Capacity summary'!BC56&lt;&gt;"",IF(LOWER('Capacity summary'!BC56)="x",$BI144*BC144,VALUE('Capacity summary'!BC56)),0),BC144*$BI144),BC144*$BI144),0)</f>
        <v>0</v>
      </c>
      <c r="DG144" s="5">
        <f>IF($BI144&lt;&gt;"",IF('Capacity summary'!$C$14="Yes",IF(COUNTBLANK('Capacity summary'!$H56:$BG56)&lt;52,IF('Capacity summary'!BD56&lt;&gt;"",IF(LOWER('Capacity summary'!BD56)="x",$BI144*BD144,VALUE('Capacity summary'!BD56)),0),BD144*$BI144),BD144*$BI144),0)</f>
        <v>0</v>
      </c>
      <c r="DH144" s="5">
        <f>IF($BI144&lt;&gt;"",IF('Capacity summary'!$C$14="Yes",IF(COUNTBLANK('Capacity summary'!$H56:$BG56)&lt;52,IF('Capacity summary'!BE56&lt;&gt;"",IF(LOWER('Capacity summary'!BE56)="x",$BI144*BE144,VALUE('Capacity summary'!BE56)),0),BE144*$BI144),BE144*$BI144),0)</f>
        <v>0</v>
      </c>
      <c r="DI144" s="5">
        <f>IF($BI144&lt;&gt;"",IF('Capacity summary'!$C$14="Yes",IF(COUNTBLANK('Capacity summary'!$H56:$BG56)&lt;52,IF('Capacity summary'!BF56&lt;&gt;"",IF(LOWER('Capacity summary'!BF56)="x",$BI144*BF144,VALUE('Capacity summary'!BF56)),0),BF144*$BI144),BF144*$BI144),0)</f>
        <v>0</v>
      </c>
      <c r="DJ144" s="5">
        <f>IF($BI144&lt;&gt;"",IF('Capacity summary'!$C$14="Yes",IF(COUNTBLANK('Capacity summary'!$H56:$BG56)&lt;52,IF('Capacity summary'!BG56&lt;&gt;"",IF(LOWER('Capacity summary'!BG56)="x",$BI144*BG144,VALUE('Capacity summary'!BG56)),0),BG144*$BI144),BG144*$BI144),0)</f>
        <v>0</v>
      </c>
      <c r="DK144" s="5">
        <f t="shared" ref="DK144" si="38">SUM(DK145:DK244)</f>
        <v>0</v>
      </c>
    </row>
    <row r="145" spans="3:115" x14ac:dyDescent="0.25">
      <c r="C145" s="67" t="str">
        <f>ROW(A34)&amp;". "&amp;Capacity!N50</f>
        <v xml:space="preserve">34. </v>
      </c>
      <c r="D145" s="67">
        <f>'Capacity setup'!C151</f>
        <v>0</v>
      </c>
      <c r="E145" s="67">
        <f>'Capacity setup'!D151</f>
        <v>0</v>
      </c>
      <c r="F145" s="67">
        <f>'Capacity setup'!E151</f>
        <v>0</v>
      </c>
      <c r="H145" s="67">
        <f ca="1">IF(AND(SUMIF(Capacity_Resource,$D145,'Critical resources (hide)'!U$6:U$105)+SUMIF(Capacity_Resource,$E145,'Critical resources (hide)'!U$6:U$105)+SUMIF(Capacity_Resource,$F145,'Critical resources (hide)'!U$6:U$105)&gt;0,$E$1=2),0,1)</f>
        <v>1</v>
      </c>
      <c r="I145" s="67">
        <f ca="1">IF(AND(SUMIF(Capacity_Resource,$D145,'Critical resources (hide)'!V$6:V$105)+SUMIF(Capacity_Resource,$E145,'Critical resources (hide)'!V$6:V$105)+SUMIF(Capacity_Resource,$F145,'Critical resources (hide)'!V$6:V$105)&gt;0,$E$1=2),0,1)</f>
        <v>1</v>
      </c>
      <c r="J145" s="67">
        <f ca="1">IF(AND(SUMIF(Capacity_Resource,$D145,'Critical resources (hide)'!W$6:W$105)+SUMIF(Capacity_Resource,$E145,'Critical resources (hide)'!W$6:W$105)+SUMIF(Capacity_Resource,$F145,'Critical resources (hide)'!W$6:W$105)&gt;0,$E$1=2),0,1)</f>
        <v>1</v>
      </c>
      <c r="K145" s="67">
        <f ca="1">IF(AND(SUMIF(Capacity_Resource,$D145,'Critical resources (hide)'!X$6:X$105)+SUMIF(Capacity_Resource,$E145,'Critical resources (hide)'!X$6:X$105)+SUMIF(Capacity_Resource,$F145,'Critical resources (hide)'!X$6:X$105)&gt;0,$E$1=2),0,1)</f>
        <v>1</v>
      </c>
      <c r="L145" s="67">
        <f ca="1">IF(AND(SUMIF(Capacity_Resource,$D145,'Critical resources (hide)'!Y$6:Y$105)+SUMIF(Capacity_Resource,$E145,'Critical resources (hide)'!Y$6:Y$105)+SUMIF(Capacity_Resource,$F145,'Critical resources (hide)'!Y$6:Y$105)&gt;0,$E$1=2),0,1)</f>
        <v>1</v>
      </c>
      <c r="M145" s="67">
        <f ca="1">IF(AND(SUMIF(Capacity_Resource,$D145,'Critical resources (hide)'!Z$6:Z$105)+SUMIF(Capacity_Resource,$E145,'Critical resources (hide)'!Z$6:Z$105)+SUMIF(Capacity_Resource,$F145,'Critical resources (hide)'!Z$6:Z$105)&gt;0,$E$1=2),0,1)</f>
        <v>1</v>
      </c>
      <c r="N145" s="67">
        <f ca="1">IF(AND(SUMIF(Capacity_Resource,$D145,'Critical resources (hide)'!AA$6:AA$105)+SUMIF(Capacity_Resource,$E145,'Critical resources (hide)'!AA$6:AA$105)+SUMIF(Capacity_Resource,$F145,'Critical resources (hide)'!AA$6:AA$105)&gt;0,$E$1=2),0,1)</f>
        <v>1</v>
      </c>
      <c r="O145" s="67">
        <f ca="1">IF(AND(SUMIF(Capacity_Resource,$D145,'Critical resources (hide)'!AB$6:AB$105)+SUMIF(Capacity_Resource,$E145,'Critical resources (hide)'!AB$6:AB$105)+SUMIF(Capacity_Resource,$F145,'Critical resources (hide)'!AB$6:AB$105)&gt;0,$E$1=2),0,1)</f>
        <v>1</v>
      </c>
      <c r="P145" s="67">
        <f ca="1">IF(AND(SUMIF(Capacity_Resource,$D145,'Critical resources (hide)'!AC$6:AC$105)+SUMIF(Capacity_Resource,$E145,'Critical resources (hide)'!AC$6:AC$105)+SUMIF(Capacity_Resource,$F145,'Critical resources (hide)'!AC$6:AC$105)&gt;0,$E$1=2),0,1)</f>
        <v>1</v>
      </c>
      <c r="Q145" s="67">
        <f ca="1">IF(AND(SUMIF(Capacity_Resource,$D145,'Critical resources (hide)'!AD$6:AD$105)+SUMIF(Capacity_Resource,$E145,'Critical resources (hide)'!AD$6:AD$105)+SUMIF(Capacity_Resource,$F145,'Critical resources (hide)'!AD$6:AD$105)&gt;0,$E$1=2),0,1)</f>
        <v>1</v>
      </c>
      <c r="R145" s="67">
        <f ca="1">IF(AND(SUMIF(Capacity_Resource,$D145,'Critical resources (hide)'!AE$6:AE$105)+SUMIF(Capacity_Resource,$E145,'Critical resources (hide)'!AE$6:AE$105)+SUMIF(Capacity_Resource,$F145,'Critical resources (hide)'!AE$6:AE$105)&gt;0,$E$1=2),0,1)</f>
        <v>1</v>
      </c>
      <c r="S145" s="67">
        <f ca="1">IF(AND(SUMIF(Capacity_Resource,$D145,'Critical resources (hide)'!AF$6:AF$105)+SUMIF(Capacity_Resource,$E145,'Critical resources (hide)'!AF$6:AF$105)+SUMIF(Capacity_Resource,$F145,'Critical resources (hide)'!AF$6:AF$105)&gt;0,$E$1=2),0,1)</f>
        <v>1</v>
      </c>
      <c r="T145" s="67">
        <f ca="1">IF(AND(SUMIF(Capacity_Resource,$D145,'Critical resources (hide)'!AG$6:AG$105)+SUMIF(Capacity_Resource,$E145,'Critical resources (hide)'!AG$6:AG$105)+SUMIF(Capacity_Resource,$F145,'Critical resources (hide)'!AG$6:AG$105)&gt;0,$E$1=2),0,1)</f>
        <v>1</v>
      </c>
      <c r="U145" s="67">
        <f ca="1">IF(AND(SUMIF(Capacity_Resource,$D145,'Critical resources (hide)'!AH$6:AH$105)+SUMIF(Capacity_Resource,$E145,'Critical resources (hide)'!AH$6:AH$105)+SUMIF(Capacity_Resource,$F145,'Critical resources (hide)'!AH$6:AH$105)&gt;0,$E$1=2),0,1)</f>
        <v>1</v>
      </c>
      <c r="V145" s="67">
        <f ca="1">IF(AND(SUMIF(Capacity_Resource,$D145,'Critical resources (hide)'!AI$6:AI$105)+SUMIF(Capacity_Resource,$E145,'Critical resources (hide)'!AI$6:AI$105)+SUMIF(Capacity_Resource,$F145,'Critical resources (hide)'!AI$6:AI$105)&gt;0,$E$1=2),0,1)</f>
        <v>1</v>
      </c>
      <c r="W145" s="67">
        <f ca="1">IF(AND(SUMIF(Capacity_Resource,$D145,'Critical resources (hide)'!AJ$6:AJ$105)+SUMIF(Capacity_Resource,$E145,'Critical resources (hide)'!AJ$6:AJ$105)+SUMIF(Capacity_Resource,$F145,'Critical resources (hide)'!AJ$6:AJ$105)&gt;0,$E$1=2),0,1)</f>
        <v>1</v>
      </c>
      <c r="X145" s="67">
        <f ca="1">IF(AND(SUMIF(Capacity_Resource,$D145,'Critical resources (hide)'!AK$6:AK$105)+SUMIF(Capacity_Resource,$E145,'Critical resources (hide)'!AK$6:AK$105)+SUMIF(Capacity_Resource,$F145,'Critical resources (hide)'!AK$6:AK$105)&gt;0,$E$1=2),0,1)</f>
        <v>1</v>
      </c>
      <c r="Y145" s="67">
        <f ca="1">IF(AND(SUMIF(Capacity_Resource,$D145,'Critical resources (hide)'!AL$6:AL$105)+SUMIF(Capacity_Resource,$E145,'Critical resources (hide)'!AL$6:AL$105)+SUMIF(Capacity_Resource,$F145,'Critical resources (hide)'!AL$6:AL$105)&gt;0,$E$1=2),0,1)</f>
        <v>1</v>
      </c>
      <c r="Z145" s="67">
        <f ca="1">IF(AND(SUMIF(Capacity_Resource,$D145,'Critical resources (hide)'!AM$6:AM$105)+SUMIF(Capacity_Resource,$E145,'Critical resources (hide)'!AM$6:AM$105)+SUMIF(Capacity_Resource,$F145,'Critical resources (hide)'!AM$6:AM$105)&gt;0,$E$1=2),0,1)</f>
        <v>1</v>
      </c>
      <c r="AA145" s="67">
        <f ca="1">IF(AND(SUMIF(Capacity_Resource,$D145,'Critical resources (hide)'!AN$6:AN$105)+SUMIF(Capacity_Resource,$E145,'Critical resources (hide)'!AN$6:AN$105)+SUMIF(Capacity_Resource,$F145,'Critical resources (hide)'!AN$6:AN$105)&gt;0,$E$1=2),0,1)</f>
        <v>1</v>
      </c>
      <c r="AB145" s="67">
        <f ca="1">IF(AND(SUMIF(Capacity_Resource,$D145,'Critical resources (hide)'!AO$6:AO$105)+SUMIF(Capacity_Resource,$E145,'Critical resources (hide)'!AO$6:AO$105)+SUMIF(Capacity_Resource,$F145,'Critical resources (hide)'!AO$6:AO$105)&gt;0,$E$1=2),0,1)</f>
        <v>1</v>
      </c>
      <c r="AC145" s="67">
        <f ca="1">IF(AND(SUMIF(Capacity_Resource,$D145,'Critical resources (hide)'!AP$6:AP$105)+SUMIF(Capacity_Resource,$E145,'Critical resources (hide)'!AP$6:AP$105)+SUMIF(Capacity_Resource,$F145,'Critical resources (hide)'!AP$6:AP$105)&gt;0,$E$1=2),0,1)</f>
        <v>1</v>
      </c>
      <c r="AD145" s="67">
        <f ca="1">IF(AND(SUMIF(Capacity_Resource,$D145,'Critical resources (hide)'!AQ$6:AQ$105)+SUMIF(Capacity_Resource,$E145,'Critical resources (hide)'!AQ$6:AQ$105)+SUMIF(Capacity_Resource,$F145,'Critical resources (hide)'!AQ$6:AQ$105)&gt;0,$E$1=2),0,1)</f>
        <v>1</v>
      </c>
      <c r="AE145" s="67">
        <f ca="1">IF(AND(SUMIF(Capacity_Resource,$D145,'Critical resources (hide)'!AR$6:AR$105)+SUMIF(Capacity_Resource,$E145,'Critical resources (hide)'!AR$6:AR$105)+SUMIF(Capacity_Resource,$F145,'Critical resources (hide)'!AR$6:AR$105)&gt;0,$E$1=2),0,1)</f>
        <v>1</v>
      </c>
      <c r="AF145" s="67">
        <f ca="1">IF(AND(SUMIF(Capacity_Resource,$D145,'Critical resources (hide)'!AS$6:AS$105)+SUMIF(Capacity_Resource,$E145,'Critical resources (hide)'!AS$6:AS$105)+SUMIF(Capacity_Resource,$F145,'Critical resources (hide)'!AS$6:AS$105)&gt;0,$E$1=2),0,1)</f>
        <v>1</v>
      </c>
      <c r="AG145" s="67">
        <f ca="1">IF(AND(SUMIF(Capacity_Resource,$D145,'Critical resources (hide)'!AT$6:AT$105)+SUMIF(Capacity_Resource,$E145,'Critical resources (hide)'!AT$6:AT$105)+SUMIF(Capacity_Resource,$F145,'Critical resources (hide)'!AT$6:AT$105)&gt;0,$E$1=2),0,1)</f>
        <v>1</v>
      </c>
      <c r="AH145" s="67">
        <f ca="1">IF(AND(SUMIF(Capacity_Resource,$D145,'Critical resources (hide)'!AU$6:AU$105)+SUMIF(Capacity_Resource,$E145,'Critical resources (hide)'!AU$6:AU$105)+SUMIF(Capacity_Resource,$F145,'Critical resources (hide)'!AU$6:AU$105)&gt;0,$E$1=2),0,1)</f>
        <v>1</v>
      </c>
      <c r="AI145" s="67">
        <f ca="1">IF(AND(SUMIF(Capacity_Resource,$D145,'Critical resources (hide)'!AV$6:AV$105)+SUMIF(Capacity_Resource,$E145,'Critical resources (hide)'!AV$6:AV$105)+SUMIF(Capacity_Resource,$F145,'Critical resources (hide)'!AV$6:AV$105)&gt;0,$E$1=2),0,1)</f>
        <v>1</v>
      </c>
      <c r="AJ145" s="67">
        <f ca="1">IF(AND(SUMIF(Capacity_Resource,$D145,'Critical resources (hide)'!AW$6:AW$105)+SUMIF(Capacity_Resource,$E145,'Critical resources (hide)'!AW$6:AW$105)+SUMIF(Capacity_Resource,$F145,'Critical resources (hide)'!AW$6:AW$105)&gt;0,$E$1=2),0,1)</f>
        <v>1</v>
      </c>
      <c r="AK145" s="67">
        <f ca="1">IF(AND(SUMIF(Capacity_Resource,$D145,'Critical resources (hide)'!AX$6:AX$105)+SUMIF(Capacity_Resource,$E145,'Critical resources (hide)'!AX$6:AX$105)+SUMIF(Capacity_Resource,$F145,'Critical resources (hide)'!AX$6:AX$105)&gt;0,$E$1=2),0,1)</f>
        <v>1</v>
      </c>
      <c r="AL145" s="67">
        <f ca="1">IF(AND(SUMIF(Capacity_Resource,$D145,'Critical resources (hide)'!AY$6:AY$105)+SUMIF(Capacity_Resource,$E145,'Critical resources (hide)'!AY$6:AY$105)+SUMIF(Capacity_Resource,$F145,'Critical resources (hide)'!AY$6:AY$105)&gt;0,$E$1=2),0,1)</f>
        <v>1</v>
      </c>
      <c r="AM145" s="67">
        <f ca="1">IF(AND(SUMIF(Capacity_Resource,$D145,'Critical resources (hide)'!AZ$6:AZ$105)+SUMIF(Capacity_Resource,$E145,'Critical resources (hide)'!AZ$6:AZ$105)+SUMIF(Capacity_Resource,$F145,'Critical resources (hide)'!AZ$6:AZ$105)&gt;0,$E$1=2),0,1)</f>
        <v>1</v>
      </c>
      <c r="AN145" s="67">
        <f ca="1">IF(AND(SUMIF(Capacity_Resource,$D145,'Critical resources (hide)'!BA$6:BA$105)+SUMIF(Capacity_Resource,$E145,'Critical resources (hide)'!BA$6:BA$105)+SUMIF(Capacity_Resource,$F145,'Critical resources (hide)'!BA$6:BA$105)&gt;0,$E$1=2),0,1)</f>
        <v>1</v>
      </c>
      <c r="AO145" s="67">
        <f ca="1">IF(AND(SUMIF(Capacity_Resource,$D145,'Critical resources (hide)'!BB$6:BB$105)+SUMIF(Capacity_Resource,$E145,'Critical resources (hide)'!BB$6:BB$105)+SUMIF(Capacity_Resource,$F145,'Critical resources (hide)'!BB$6:BB$105)&gt;0,$E$1=2),0,1)</f>
        <v>1</v>
      </c>
      <c r="AP145" s="67">
        <f ca="1">IF(AND(SUMIF(Capacity_Resource,$D145,'Critical resources (hide)'!BC$6:BC$105)+SUMIF(Capacity_Resource,$E145,'Critical resources (hide)'!BC$6:BC$105)+SUMIF(Capacity_Resource,$F145,'Critical resources (hide)'!BC$6:BC$105)&gt;0,$E$1=2),0,1)</f>
        <v>1</v>
      </c>
      <c r="AQ145" s="67">
        <f ca="1">IF(AND(SUMIF(Capacity_Resource,$D145,'Critical resources (hide)'!BD$6:BD$105)+SUMIF(Capacity_Resource,$E145,'Critical resources (hide)'!BD$6:BD$105)+SUMIF(Capacity_Resource,$F145,'Critical resources (hide)'!BD$6:BD$105)&gt;0,$E$1=2),0,1)</f>
        <v>1</v>
      </c>
      <c r="AR145" s="67">
        <f ca="1">IF(AND(SUMIF(Capacity_Resource,$D145,'Critical resources (hide)'!BE$6:BE$105)+SUMIF(Capacity_Resource,$E145,'Critical resources (hide)'!BE$6:BE$105)+SUMIF(Capacity_Resource,$F145,'Critical resources (hide)'!BE$6:BE$105)&gt;0,$E$1=2),0,1)</f>
        <v>1</v>
      </c>
      <c r="AS145" s="67">
        <f ca="1">IF(AND(SUMIF(Capacity_Resource,$D145,'Critical resources (hide)'!BF$6:BF$105)+SUMIF(Capacity_Resource,$E145,'Critical resources (hide)'!BF$6:BF$105)+SUMIF(Capacity_Resource,$F145,'Critical resources (hide)'!BF$6:BF$105)&gt;0,$E$1=2),0,1)</f>
        <v>1</v>
      </c>
      <c r="AT145" s="67">
        <f ca="1">IF(AND(SUMIF(Capacity_Resource,$D145,'Critical resources (hide)'!BG$6:BG$105)+SUMIF(Capacity_Resource,$E145,'Critical resources (hide)'!BG$6:BG$105)+SUMIF(Capacity_Resource,$F145,'Critical resources (hide)'!BG$6:BG$105)&gt;0,$E$1=2),0,1)</f>
        <v>1</v>
      </c>
      <c r="AU145" s="67">
        <f ca="1">IF(AND(SUMIF(Capacity_Resource,$D145,'Critical resources (hide)'!BH$6:BH$105)+SUMIF(Capacity_Resource,$E145,'Critical resources (hide)'!BH$6:BH$105)+SUMIF(Capacity_Resource,$F145,'Critical resources (hide)'!BH$6:BH$105)&gt;0,$E$1=2),0,1)</f>
        <v>1</v>
      </c>
      <c r="AV145" s="67">
        <f ca="1">IF(AND(SUMIF(Capacity_Resource,$D145,'Critical resources (hide)'!BI$6:BI$105)+SUMIF(Capacity_Resource,$E145,'Critical resources (hide)'!BI$6:BI$105)+SUMIF(Capacity_Resource,$F145,'Critical resources (hide)'!BI$6:BI$105)&gt;0,$E$1=2),0,1)</f>
        <v>1</v>
      </c>
      <c r="AW145" s="67">
        <f ca="1">IF(AND(SUMIF(Capacity_Resource,$D145,'Critical resources (hide)'!BJ$6:BJ$105)+SUMIF(Capacity_Resource,$E145,'Critical resources (hide)'!BJ$6:BJ$105)+SUMIF(Capacity_Resource,$F145,'Critical resources (hide)'!BJ$6:BJ$105)&gt;0,$E$1=2),0,1)</f>
        <v>1</v>
      </c>
      <c r="AX145" s="67">
        <f ca="1">IF(AND(SUMIF(Capacity_Resource,$D145,'Critical resources (hide)'!BK$6:BK$105)+SUMIF(Capacity_Resource,$E145,'Critical resources (hide)'!BK$6:BK$105)+SUMIF(Capacity_Resource,$F145,'Critical resources (hide)'!BK$6:BK$105)&gt;0,$E$1=2),0,1)</f>
        <v>1</v>
      </c>
      <c r="AY145" s="67">
        <f ca="1">IF(AND(SUMIF(Capacity_Resource,$D145,'Critical resources (hide)'!BL$6:BL$105)+SUMIF(Capacity_Resource,$E145,'Critical resources (hide)'!BL$6:BL$105)+SUMIF(Capacity_Resource,$F145,'Critical resources (hide)'!BL$6:BL$105)&gt;0,$E$1=2),0,1)</f>
        <v>1</v>
      </c>
      <c r="AZ145" s="67">
        <f ca="1">IF(AND(SUMIF(Capacity_Resource,$D145,'Critical resources (hide)'!BM$6:BM$105)+SUMIF(Capacity_Resource,$E145,'Critical resources (hide)'!BM$6:BM$105)+SUMIF(Capacity_Resource,$F145,'Critical resources (hide)'!BM$6:BM$105)&gt;0,$E$1=2),0,1)</f>
        <v>1</v>
      </c>
      <c r="BA145" s="67">
        <f ca="1">IF(AND(SUMIF(Capacity_Resource,$D145,'Critical resources (hide)'!BN$6:BN$105)+SUMIF(Capacity_Resource,$E145,'Critical resources (hide)'!BN$6:BN$105)+SUMIF(Capacity_Resource,$F145,'Critical resources (hide)'!BN$6:BN$105)&gt;0,$E$1=2),0,1)</f>
        <v>1</v>
      </c>
      <c r="BB145" s="67">
        <f ca="1">IF(AND(SUMIF(Capacity_Resource,$D145,'Critical resources (hide)'!BO$6:BO$105)+SUMIF(Capacity_Resource,$E145,'Critical resources (hide)'!BO$6:BO$105)+SUMIF(Capacity_Resource,$F145,'Critical resources (hide)'!BO$6:BO$105)&gt;0,$E$1=2),0,1)</f>
        <v>1</v>
      </c>
      <c r="BC145" s="67">
        <f ca="1">IF(AND(SUMIF(Capacity_Resource,$D145,'Critical resources (hide)'!BP$6:BP$105)+SUMIF(Capacity_Resource,$E145,'Critical resources (hide)'!BP$6:BP$105)+SUMIF(Capacity_Resource,$F145,'Critical resources (hide)'!BP$6:BP$105)&gt;0,$E$1=2),0,1)</f>
        <v>1</v>
      </c>
      <c r="BD145" s="67">
        <f ca="1">IF(AND(SUMIF(Capacity_Resource,$D145,'Critical resources (hide)'!BQ$6:BQ$105)+SUMIF(Capacity_Resource,$E145,'Critical resources (hide)'!BQ$6:BQ$105)+SUMIF(Capacity_Resource,$F145,'Critical resources (hide)'!BQ$6:BQ$105)&gt;0,$E$1=2),0,1)</f>
        <v>1</v>
      </c>
      <c r="BE145" s="67">
        <f ca="1">IF(AND(SUMIF(Capacity_Resource,$D145,'Critical resources (hide)'!BR$6:BR$105)+SUMIF(Capacity_Resource,$E145,'Critical resources (hide)'!BR$6:BR$105)+SUMIF(Capacity_Resource,$F145,'Critical resources (hide)'!BR$6:BR$105)&gt;0,$E$1=2),0,1)</f>
        <v>1</v>
      </c>
      <c r="BF145" s="67">
        <f ca="1">IF(AND(SUMIF(Capacity_Resource,$D145,'Critical resources (hide)'!BS$6:BS$105)+SUMIF(Capacity_Resource,$E145,'Critical resources (hide)'!BS$6:BS$105)+SUMIF(Capacity_Resource,$F145,'Critical resources (hide)'!BS$6:BS$105)&gt;0,$E$1=2),0,1)</f>
        <v>1</v>
      </c>
      <c r="BG145" s="67">
        <f ca="1">IF(AND(SUMIF(Capacity_Resource,$D145,'Critical resources (hide)'!BT$6:BT$105)+SUMIF(Capacity_Resource,$E145,'Critical resources (hide)'!BT$6:BT$105)+SUMIF(Capacity_Resource,$F145,'Critical resources (hide)'!BT$6:BT$105)&gt;0,$E$1=2),0,1)</f>
        <v>1</v>
      </c>
      <c r="BH145" s="67">
        <f>IF(ROW(A34)&lt;=Capacity!$M$16,IF('Capacity summary'!$C$14="No",SUM(H145:BG145),'Capacity summary'!$E57),0)</f>
        <v>0</v>
      </c>
      <c r="BI145" s="67" t="str">
        <f>IF(BH145&gt;0,IF(BH145&lt;Capacity!Q50,Capacity!R50,Capacity!T50/'Capacity calculation (hide)'!BH145),"")</f>
        <v/>
      </c>
      <c r="BJ145" s="5"/>
      <c r="BK145" s="5">
        <f>IF($BI145&lt;&gt;"",IF('Capacity summary'!$C$14="Yes",IF(COUNTBLANK('Capacity summary'!$H57:$BG57)&lt;52,IF('Capacity summary'!H57&lt;&gt;"",IF(LOWER('Capacity summary'!H57)="x",$BI145*H145,VALUE('Capacity summary'!H57)),0),H145*$BI145),H145*$BI145),0)</f>
        <v>0</v>
      </c>
      <c r="BL145" s="5">
        <f>IF($BI145&lt;&gt;"",IF('Capacity summary'!$C$14="Yes",IF(COUNTBLANK('Capacity summary'!$H57:$BG57)&lt;52,IF('Capacity summary'!I57&lt;&gt;"",IF(LOWER('Capacity summary'!I57)="x",$BI145*I145,VALUE('Capacity summary'!I57)),0),I145*$BI145),I145*$BI145),0)</f>
        <v>0</v>
      </c>
      <c r="BM145" s="5">
        <f>IF($BI145&lt;&gt;"",IF('Capacity summary'!$C$14="Yes",IF(COUNTBLANK('Capacity summary'!$H57:$BG57)&lt;52,IF('Capacity summary'!J57&lt;&gt;"",IF(LOWER('Capacity summary'!J57)="x",$BI145*J145,VALUE('Capacity summary'!J57)),0),J145*$BI145),J145*$BI145),0)</f>
        <v>0</v>
      </c>
      <c r="BN145" s="5">
        <f>IF($BI145&lt;&gt;"",IF('Capacity summary'!$C$14="Yes",IF(COUNTBLANK('Capacity summary'!$H57:$BG57)&lt;52,IF('Capacity summary'!K57&lt;&gt;"",IF(LOWER('Capacity summary'!K57)="x",$BI145*K145,VALUE('Capacity summary'!K57)),0),K145*$BI145),K145*$BI145),0)</f>
        <v>0</v>
      </c>
      <c r="BO145" s="5">
        <f>IF($BI145&lt;&gt;"",IF('Capacity summary'!$C$14="Yes",IF(COUNTBLANK('Capacity summary'!$H57:$BG57)&lt;52,IF('Capacity summary'!L57&lt;&gt;"",IF(LOWER('Capacity summary'!L57)="x",$BI145*L145,VALUE('Capacity summary'!L57)),0),L145*$BI145),L145*$BI145),0)</f>
        <v>0</v>
      </c>
      <c r="BP145" s="5">
        <f>IF($BI145&lt;&gt;"",IF('Capacity summary'!$C$14="Yes",IF(COUNTBLANK('Capacity summary'!$H57:$BG57)&lt;52,IF('Capacity summary'!M57&lt;&gt;"",IF(LOWER('Capacity summary'!M57)="x",$BI145*M145,VALUE('Capacity summary'!M57)),0),M145*$BI145),M145*$BI145),0)</f>
        <v>0</v>
      </c>
      <c r="BQ145" s="5">
        <f>IF($BI145&lt;&gt;"",IF('Capacity summary'!$C$14="Yes",IF(COUNTBLANK('Capacity summary'!$H57:$BG57)&lt;52,IF('Capacity summary'!N57&lt;&gt;"",IF(LOWER('Capacity summary'!N57)="x",$BI145*N145,VALUE('Capacity summary'!N57)),0),N145*$BI145),N145*$BI145),0)</f>
        <v>0</v>
      </c>
      <c r="BR145" s="5">
        <f>IF($BI145&lt;&gt;"",IF('Capacity summary'!$C$14="Yes",IF(COUNTBLANK('Capacity summary'!$H57:$BG57)&lt;52,IF('Capacity summary'!O57&lt;&gt;"",IF(LOWER('Capacity summary'!O57)="x",$BI145*O145,VALUE('Capacity summary'!O57)),0),O145*$BI145),O145*$BI145),0)</f>
        <v>0</v>
      </c>
      <c r="BS145" s="5">
        <f>IF($BI145&lt;&gt;"",IF('Capacity summary'!$C$14="Yes",IF(COUNTBLANK('Capacity summary'!$H57:$BG57)&lt;52,IF('Capacity summary'!P57&lt;&gt;"",IF(LOWER('Capacity summary'!P57)="x",$BI145*P145,VALUE('Capacity summary'!P57)),0),P145*$BI145),P145*$BI145),0)</f>
        <v>0</v>
      </c>
      <c r="BT145" s="5">
        <f>IF($BI145&lt;&gt;"",IF('Capacity summary'!$C$14="Yes",IF(COUNTBLANK('Capacity summary'!$H57:$BG57)&lt;52,IF('Capacity summary'!Q57&lt;&gt;"",IF(LOWER('Capacity summary'!Q57)="x",$BI145*Q145,VALUE('Capacity summary'!Q57)),0),Q145*$BI145),Q145*$BI145),0)</f>
        <v>0</v>
      </c>
      <c r="BU145" s="5">
        <f>IF($BI145&lt;&gt;"",IF('Capacity summary'!$C$14="Yes",IF(COUNTBLANK('Capacity summary'!$H57:$BG57)&lt;52,IF('Capacity summary'!R57&lt;&gt;"",IF(LOWER('Capacity summary'!R57)="x",$BI145*R145,VALUE('Capacity summary'!R57)),0),R145*$BI145),R145*$BI145),0)</f>
        <v>0</v>
      </c>
      <c r="BV145" s="5">
        <f>IF($BI145&lt;&gt;"",IF('Capacity summary'!$C$14="Yes",IF(COUNTBLANK('Capacity summary'!$H57:$BG57)&lt;52,IF('Capacity summary'!S57&lt;&gt;"",IF(LOWER('Capacity summary'!S57)="x",$BI145*S145,VALUE('Capacity summary'!S57)),0),S145*$BI145),S145*$BI145),0)</f>
        <v>0</v>
      </c>
      <c r="BW145" s="5">
        <f>IF($BI145&lt;&gt;"",IF('Capacity summary'!$C$14="Yes",IF(COUNTBLANK('Capacity summary'!$H57:$BG57)&lt;52,IF('Capacity summary'!T57&lt;&gt;"",IF(LOWER('Capacity summary'!T57)="x",$BI145*T145,VALUE('Capacity summary'!T57)),0),T145*$BI145),T145*$BI145),0)</f>
        <v>0</v>
      </c>
      <c r="BX145" s="5">
        <f>IF($BI145&lt;&gt;"",IF('Capacity summary'!$C$14="Yes",IF(COUNTBLANK('Capacity summary'!$H57:$BG57)&lt;52,IF('Capacity summary'!U57&lt;&gt;"",IF(LOWER('Capacity summary'!U57)="x",$BI145*U145,VALUE('Capacity summary'!U57)),0),U145*$BI145),U145*$BI145),0)</f>
        <v>0</v>
      </c>
      <c r="BY145" s="5">
        <f>IF($BI145&lt;&gt;"",IF('Capacity summary'!$C$14="Yes",IF(COUNTBLANK('Capacity summary'!$H57:$BG57)&lt;52,IF('Capacity summary'!V57&lt;&gt;"",IF(LOWER('Capacity summary'!V57)="x",$BI145*V145,VALUE('Capacity summary'!V57)),0),V145*$BI145),V145*$BI145),0)</f>
        <v>0</v>
      </c>
      <c r="BZ145" s="5">
        <f>IF($BI145&lt;&gt;"",IF('Capacity summary'!$C$14="Yes",IF(COUNTBLANK('Capacity summary'!$H57:$BG57)&lt;52,IF('Capacity summary'!W57&lt;&gt;"",IF(LOWER('Capacity summary'!W57)="x",$BI145*W145,VALUE('Capacity summary'!W57)),0),W145*$BI145),W145*$BI145),0)</f>
        <v>0</v>
      </c>
      <c r="CA145" s="5">
        <f>IF($BI145&lt;&gt;"",IF('Capacity summary'!$C$14="Yes",IF(COUNTBLANK('Capacity summary'!$H57:$BG57)&lt;52,IF('Capacity summary'!X57&lt;&gt;"",IF(LOWER('Capacity summary'!X57)="x",$BI145*X145,VALUE('Capacity summary'!X57)),0),X145*$BI145),X145*$BI145),0)</f>
        <v>0</v>
      </c>
      <c r="CB145" s="5">
        <f>IF($BI145&lt;&gt;"",IF('Capacity summary'!$C$14="Yes",IF(COUNTBLANK('Capacity summary'!$H57:$BG57)&lt;52,IF('Capacity summary'!Y57&lt;&gt;"",IF(LOWER('Capacity summary'!Y57)="x",$BI145*Y145,VALUE('Capacity summary'!Y57)),0),Y145*$BI145),Y145*$BI145),0)</f>
        <v>0</v>
      </c>
      <c r="CC145" s="5">
        <f>IF($BI145&lt;&gt;"",IF('Capacity summary'!$C$14="Yes",IF(COUNTBLANK('Capacity summary'!$H57:$BG57)&lt;52,IF('Capacity summary'!Z57&lt;&gt;"",IF(LOWER('Capacity summary'!Z57)="x",$BI145*Z145,VALUE('Capacity summary'!Z57)),0),Z145*$BI145),Z145*$BI145),0)</f>
        <v>0</v>
      </c>
      <c r="CD145" s="5">
        <f>IF($BI145&lt;&gt;"",IF('Capacity summary'!$C$14="Yes",IF(COUNTBLANK('Capacity summary'!$H57:$BG57)&lt;52,IF('Capacity summary'!AA57&lt;&gt;"",IF(LOWER('Capacity summary'!AA57)="x",$BI145*AA145,VALUE('Capacity summary'!AA57)),0),AA145*$BI145),AA145*$BI145),0)</f>
        <v>0</v>
      </c>
      <c r="CE145" s="5">
        <f>IF($BI145&lt;&gt;"",IF('Capacity summary'!$C$14="Yes",IF(COUNTBLANK('Capacity summary'!$H57:$BG57)&lt;52,IF('Capacity summary'!AB57&lt;&gt;"",IF(LOWER('Capacity summary'!AB57)="x",$BI145*AB145,VALUE('Capacity summary'!AB57)),0),AB145*$BI145),AB145*$BI145),0)</f>
        <v>0</v>
      </c>
      <c r="CF145" s="5">
        <f>IF($BI145&lt;&gt;"",IF('Capacity summary'!$C$14="Yes",IF(COUNTBLANK('Capacity summary'!$H57:$BG57)&lt;52,IF('Capacity summary'!AC57&lt;&gt;"",IF(LOWER('Capacity summary'!AC57)="x",$BI145*AC145,VALUE('Capacity summary'!AC57)),0),AC145*$BI145),AC145*$BI145),0)</f>
        <v>0</v>
      </c>
      <c r="CG145" s="5">
        <f>IF($BI145&lt;&gt;"",IF('Capacity summary'!$C$14="Yes",IF(COUNTBLANK('Capacity summary'!$H57:$BG57)&lt;52,IF('Capacity summary'!AD57&lt;&gt;"",IF(LOWER('Capacity summary'!AD57)="x",$BI145*AD145,VALUE('Capacity summary'!AD57)),0),AD145*$BI145),AD145*$BI145),0)</f>
        <v>0</v>
      </c>
      <c r="CH145" s="5">
        <f>IF($BI145&lt;&gt;"",IF('Capacity summary'!$C$14="Yes",IF(COUNTBLANK('Capacity summary'!$H57:$BG57)&lt;52,IF('Capacity summary'!AE57&lt;&gt;"",IF(LOWER('Capacity summary'!AE57)="x",$BI145*AE145,VALUE('Capacity summary'!AE57)),0),AE145*$BI145),AE145*$BI145),0)</f>
        <v>0</v>
      </c>
      <c r="CI145" s="5">
        <f>IF($BI145&lt;&gt;"",IF('Capacity summary'!$C$14="Yes",IF(COUNTBLANK('Capacity summary'!$H57:$BG57)&lt;52,IF('Capacity summary'!AF57&lt;&gt;"",IF(LOWER('Capacity summary'!AF57)="x",$BI145*AF145,VALUE('Capacity summary'!AF57)),0),AF145*$BI145),AF145*$BI145),0)</f>
        <v>0</v>
      </c>
      <c r="CJ145" s="5">
        <f>IF($BI145&lt;&gt;"",IF('Capacity summary'!$C$14="Yes",IF(COUNTBLANK('Capacity summary'!$H57:$BG57)&lt;52,IF('Capacity summary'!AG57&lt;&gt;"",IF(LOWER('Capacity summary'!AG57)="x",$BI145*AG145,VALUE('Capacity summary'!AG57)),0),AG145*$BI145),AG145*$BI145),0)</f>
        <v>0</v>
      </c>
      <c r="CK145" s="5">
        <f>IF($BI145&lt;&gt;"",IF('Capacity summary'!$C$14="Yes",IF(COUNTBLANK('Capacity summary'!$H57:$BG57)&lt;52,IF('Capacity summary'!AH57&lt;&gt;"",IF(LOWER('Capacity summary'!AH57)="x",$BI145*AH145,VALUE('Capacity summary'!AH57)),0),AH145*$BI145),AH145*$BI145),0)</f>
        <v>0</v>
      </c>
      <c r="CL145" s="5">
        <f>IF($BI145&lt;&gt;"",IF('Capacity summary'!$C$14="Yes",IF(COUNTBLANK('Capacity summary'!$H57:$BG57)&lt;52,IF('Capacity summary'!AI57&lt;&gt;"",IF(LOWER('Capacity summary'!AI57)="x",$BI145*AI145,VALUE('Capacity summary'!AI57)),0),AI145*$BI145),AI145*$BI145),0)</f>
        <v>0</v>
      </c>
      <c r="CM145" s="5">
        <f>IF($BI145&lt;&gt;"",IF('Capacity summary'!$C$14="Yes",IF(COUNTBLANK('Capacity summary'!$H57:$BG57)&lt;52,IF('Capacity summary'!AJ57&lt;&gt;"",IF(LOWER('Capacity summary'!AJ57)="x",$BI145*AJ145,VALUE('Capacity summary'!AJ57)),0),AJ145*$BI145),AJ145*$BI145),0)</f>
        <v>0</v>
      </c>
      <c r="CN145" s="5">
        <f>IF($BI145&lt;&gt;"",IF('Capacity summary'!$C$14="Yes",IF(COUNTBLANK('Capacity summary'!$H57:$BG57)&lt;52,IF('Capacity summary'!AK57&lt;&gt;"",IF(LOWER('Capacity summary'!AK57)="x",$BI145*AK145,VALUE('Capacity summary'!AK57)),0),AK145*$BI145),AK145*$BI145),0)</f>
        <v>0</v>
      </c>
      <c r="CO145" s="5">
        <f>IF($BI145&lt;&gt;"",IF('Capacity summary'!$C$14="Yes",IF(COUNTBLANK('Capacity summary'!$H57:$BG57)&lt;52,IF('Capacity summary'!AL57&lt;&gt;"",IF(LOWER('Capacity summary'!AL57)="x",$BI145*AL145,VALUE('Capacity summary'!AL57)),0),AL145*$BI145),AL145*$BI145),0)</f>
        <v>0</v>
      </c>
      <c r="CP145" s="5">
        <f>IF($BI145&lt;&gt;"",IF('Capacity summary'!$C$14="Yes",IF(COUNTBLANK('Capacity summary'!$H57:$BG57)&lt;52,IF('Capacity summary'!AM57&lt;&gt;"",IF(LOWER('Capacity summary'!AM57)="x",$BI145*AM145,VALUE('Capacity summary'!AM57)),0),AM145*$BI145),AM145*$BI145),0)</f>
        <v>0</v>
      </c>
      <c r="CQ145" s="5">
        <f>IF($BI145&lt;&gt;"",IF('Capacity summary'!$C$14="Yes",IF(COUNTBLANK('Capacity summary'!$H57:$BG57)&lt;52,IF('Capacity summary'!AN57&lt;&gt;"",IF(LOWER('Capacity summary'!AN57)="x",$BI145*AN145,VALUE('Capacity summary'!AN57)),0),AN145*$BI145),AN145*$BI145),0)</f>
        <v>0</v>
      </c>
      <c r="CR145" s="5">
        <f>IF($BI145&lt;&gt;"",IF('Capacity summary'!$C$14="Yes",IF(COUNTBLANK('Capacity summary'!$H57:$BG57)&lt;52,IF('Capacity summary'!AO57&lt;&gt;"",IF(LOWER('Capacity summary'!AO57)="x",$BI145*AO145,VALUE('Capacity summary'!AO57)),0),AO145*$BI145),AO145*$BI145),0)</f>
        <v>0</v>
      </c>
      <c r="CS145" s="5">
        <f>IF($BI145&lt;&gt;"",IF('Capacity summary'!$C$14="Yes",IF(COUNTBLANK('Capacity summary'!$H57:$BG57)&lt;52,IF('Capacity summary'!AP57&lt;&gt;"",IF(LOWER('Capacity summary'!AP57)="x",$BI145*AP145,VALUE('Capacity summary'!AP57)),0),AP145*$BI145),AP145*$BI145),0)</f>
        <v>0</v>
      </c>
      <c r="CT145" s="5">
        <f>IF($BI145&lt;&gt;"",IF('Capacity summary'!$C$14="Yes",IF(COUNTBLANK('Capacity summary'!$H57:$BG57)&lt;52,IF('Capacity summary'!AQ57&lt;&gt;"",IF(LOWER('Capacity summary'!AQ57)="x",$BI145*AQ145,VALUE('Capacity summary'!AQ57)),0),AQ145*$BI145),AQ145*$BI145),0)</f>
        <v>0</v>
      </c>
      <c r="CU145" s="5">
        <f>IF($BI145&lt;&gt;"",IF('Capacity summary'!$C$14="Yes",IF(COUNTBLANK('Capacity summary'!$H57:$BG57)&lt;52,IF('Capacity summary'!AR57&lt;&gt;"",IF(LOWER('Capacity summary'!AR57)="x",$BI145*AR145,VALUE('Capacity summary'!AR57)),0),AR145*$BI145),AR145*$BI145),0)</f>
        <v>0</v>
      </c>
      <c r="CV145" s="5">
        <f>IF($BI145&lt;&gt;"",IF('Capacity summary'!$C$14="Yes",IF(COUNTBLANK('Capacity summary'!$H57:$BG57)&lt;52,IF('Capacity summary'!AS57&lt;&gt;"",IF(LOWER('Capacity summary'!AS57)="x",$BI145*AS145,VALUE('Capacity summary'!AS57)),0),AS145*$BI145),AS145*$BI145),0)</f>
        <v>0</v>
      </c>
      <c r="CW145" s="5">
        <f>IF($BI145&lt;&gt;"",IF('Capacity summary'!$C$14="Yes",IF(COUNTBLANK('Capacity summary'!$H57:$BG57)&lt;52,IF('Capacity summary'!AT57&lt;&gt;"",IF(LOWER('Capacity summary'!AT57)="x",$BI145*AT145,VALUE('Capacity summary'!AT57)),0),AT145*$BI145),AT145*$BI145),0)</f>
        <v>0</v>
      </c>
      <c r="CX145" s="5">
        <f>IF($BI145&lt;&gt;"",IF('Capacity summary'!$C$14="Yes",IF(COUNTBLANK('Capacity summary'!$H57:$BG57)&lt;52,IF('Capacity summary'!AU57&lt;&gt;"",IF(LOWER('Capacity summary'!AU57)="x",$BI145*AU145,VALUE('Capacity summary'!AU57)),0),AU145*$BI145),AU145*$BI145),0)</f>
        <v>0</v>
      </c>
      <c r="CY145" s="5">
        <f>IF($BI145&lt;&gt;"",IF('Capacity summary'!$C$14="Yes",IF(COUNTBLANK('Capacity summary'!$H57:$BG57)&lt;52,IF('Capacity summary'!AV57&lt;&gt;"",IF(LOWER('Capacity summary'!AV57)="x",$BI145*AV145,VALUE('Capacity summary'!AV57)),0),AV145*$BI145),AV145*$BI145),0)</f>
        <v>0</v>
      </c>
      <c r="CZ145" s="5">
        <f>IF($BI145&lt;&gt;"",IF('Capacity summary'!$C$14="Yes",IF(COUNTBLANK('Capacity summary'!$H57:$BG57)&lt;52,IF('Capacity summary'!AW57&lt;&gt;"",IF(LOWER('Capacity summary'!AW57)="x",$BI145*AW145,VALUE('Capacity summary'!AW57)),0),AW145*$BI145),AW145*$BI145),0)</f>
        <v>0</v>
      </c>
      <c r="DA145" s="5">
        <f>IF($BI145&lt;&gt;"",IF('Capacity summary'!$C$14="Yes",IF(COUNTBLANK('Capacity summary'!$H57:$BG57)&lt;52,IF('Capacity summary'!AX57&lt;&gt;"",IF(LOWER('Capacity summary'!AX57)="x",$BI145*AX145,VALUE('Capacity summary'!AX57)),0),AX145*$BI145),AX145*$BI145),0)</f>
        <v>0</v>
      </c>
      <c r="DB145" s="5">
        <f>IF($BI145&lt;&gt;"",IF('Capacity summary'!$C$14="Yes",IF(COUNTBLANK('Capacity summary'!$H57:$BG57)&lt;52,IF('Capacity summary'!AY57&lt;&gt;"",IF(LOWER('Capacity summary'!AY57)="x",$BI145*AY145,VALUE('Capacity summary'!AY57)),0),AY145*$BI145),AY145*$BI145),0)</f>
        <v>0</v>
      </c>
      <c r="DC145" s="5">
        <f>IF($BI145&lt;&gt;"",IF('Capacity summary'!$C$14="Yes",IF(COUNTBLANK('Capacity summary'!$H57:$BG57)&lt;52,IF('Capacity summary'!AZ57&lt;&gt;"",IF(LOWER('Capacity summary'!AZ57)="x",$BI145*AZ145,VALUE('Capacity summary'!AZ57)),0),AZ145*$BI145),AZ145*$BI145),0)</f>
        <v>0</v>
      </c>
      <c r="DD145" s="5">
        <f>IF($BI145&lt;&gt;"",IF('Capacity summary'!$C$14="Yes",IF(COUNTBLANK('Capacity summary'!$H57:$BG57)&lt;52,IF('Capacity summary'!BA57&lt;&gt;"",IF(LOWER('Capacity summary'!BA57)="x",$BI145*BA145,VALUE('Capacity summary'!BA57)),0),BA145*$BI145),BA145*$BI145),0)</f>
        <v>0</v>
      </c>
      <c r="DE145" s="5">
        <f>IF($BI145&lt;&gt;"",IF('Capacity summary'!$C$14="Yes",IF(COUNTBLANK('Capacity summary'!$H57:$BG57)&lt;52,IF('Capacity summary'!BB57&lt;&gt;"",IF(LOWER('Capacity summary'!BB57)="x",$BI145*BB145,VALUE('Capacity summary'!BB57)),0),BB145*$BI145),BB145*$BI145),0)</f>
        <v>0</v>
      </c>
      <c r="DF145" s="5">
        <f>IF($BI145&lt;&gt;"",IF('Capacity summary'!$C$14="Yes",IF(COUNTBLANK('Capacity summary'!$H57:$BG57)&lt;52,IF('Capacity summary'!BC57&lt;&gt;"",IF(LOWER('Capacity summary'!BC57)="x",$BI145*BC145,VALUE('Capacity summary'!BC57)),0),BC145*$BI145),BC145*$BI145),0)</f>
        <v>0</v>
      </c>
      <c r="DG145" s="5">
        <f>IF($BI145&lt;&gt;"",IF('Capacity summary'!$C$14="Yes",IF(COUNTBLANK('Capacity summary'!$H57:$BG57)&lt;52,IF('Capacity summary'!BD57&lt;&gt;"",IF(LOWER('Capacity summary'!BD57)="x",$BI145*BD145,VALUE('Capacity summary'!BD57)),0),BD145*$BI145),BD145*$BI145),0)</f>
        <v>0</v>
      </c>
      <c r="DH145" s="5">
        <f>IF($BI145&lt;&gt;"",IF('Capacity summary'!$C$14="Yes",IF(COUNTBLANK('Capacity summary'!$H57:$BG57)&lt;52,IF('Capacity summary'!BE57&lt;&gt;"",IF(LOWER('Capacity summary'!BE57)="x",$BI145*BE145,VALUE('Capacity summary'!BE57)),0),BE145*$BI145),BE145*$BI145),0)</f>
        <v>0</v>
      </c>
      <c r="DI145" s="5">
        <f>IF($BI145&lt;&gt;"",IF('Capacity summary'!$C$14="Yes",IF(COUNTBLANK('Capacity summary'!$H57:$BG57)&lt;52,IF('Capacity summary'!BF57&lt;&gt;"",IF(LOWER('Capacity summary'!BF57)="x",$BI145*BF145,VALUE('Capacity summary'!BF57)),0),BF145*$BI145),BF145*$BI145),0)</f>
        <v>0</v>
      </c>
      <c r="DJ145" s="5">
        <f>IF($BI145&lt;&gt;"",IF('Capacity summary'!$C$14="Yes",IF(COUNTBLANK('Capacity summary'!$H57:$BG57)&lt;52,IF('Capacity summary'!BG57&lt;&gt;"",IF(LOWER('Capacity summary'!BG57)="x",$BI145*BG145,VALUE('Capacity summary'!BG57)),0),BG145*$BI145),BG145*$BI145),0)</f>
        <v>0</v>
      </c>
      <c r="DK145" s="5">
        <f t="shared" ref="DK145" si="39">SUM(DK146:DK245)</f>
        <v>0</v>
      </c>
    </row>
    <row r="146" spans="3:115" x14ac:dyDescent="0.25">
      <c r="C146" s="67" t="str">
        <f>ROW(A35)&amp;". "&amp;Capacity!N51</f>
        <v xml:space="preserve">35. </v>
      </c>
      <c r="D146" s="67">
        <f>'Capacity setup'!C152</f>
        <v>0</v>
      </c>
      <c r="E146" s="67">
        <f>'Capacity setup'!D152</f>
        <v>0</v>
      </c>
      <c r="F146" s="67">
        <f>'Capacity setup'!E152</f>
        <v>0</v>
      </c>
      <c r="H146" s="67">
        <f ca="1">IF(AND(SUMIF(Capacity_Resource,$D146,'Critical resources (hide)'!U$6:U$105)+SUMIF(Capacity_Resource,$E146,'Critical resources (hide)'!U$6:U$105)+SUMIF(Capacity_Resource,$F146,'Critical resources (hide)'!U$6:U$105)&gt;0,$E$1=2),0,1)</f>
        <v>1</v>
      </c>
      <c r="I146" s="67">
        <f ca="1">IF(AND(SUMIF(Capacity_Resource,$D146,'Critical resources (hide)'!V$6:V$105)+SUMIF(Capacity_Resource,$E146,'Critical resources (hide)'!V$6:V$105)+SUMIF(Capacity_Resource,$F146,'Critical resources (hide)'!V$6:V$105)&gt;0,$E$1=2),0,1)</f>
        <v>1</v>
      </c>
      <c r="J146" s="67">
        <f ca="1">IF(AND(SUMIF(Capacity_Resource,$D146,'Critical resources (hide)'!W$6:W$105)+SUMIF(Capacity_Resource,$E146,'Critical resources (hide)'!W$6:W$105)+SUMIF(Capacity_Resource,$F146,'Critical resources (hide)'!W$6:W$105)&gt;0,$E$1=2),0,1)</f>
        <v>1</v>
      </c>
      <c r="K146" s="67">
        <f ca="1">IF(AND(SUMIF(Capacity_Resource,$D146,'Critical resources (hide)'!X$6:X$105)+SUMIF(Capacity_Resource,$E146,'Critical resources (hide)'!X$6:X$105)+SUMIF(Capacity_Resource,$F146,'Critical resources (hide)'!X$6:X$105)&gt;0,$E$1=2),0,1)</f>
        <v>1</v>
      </c>
      <c r="L146" s="67">
        <f ca="1">IF(AND(SUMIF(Capacity_Resource,$D146,'Critical resources (hide)'!Y$6:Y$105)+SUMIF(Capacity_Resource,$E146,'Critical resources (hide)'!Y$6:Y$105)+SUMIF(Capacity_Resource,$F146,'Critical resources (hide)'!Y$6:Y$105)&gt;0,$E$1=2),0,1)</f>
        <v>1</v>
      </c>
      <c r="M146" s="67">
        <f ca="1">IF(AND(SUMIF(Capacity_Resource,$D146,'Critical resources (hide)'!Z$6:Z$105)+SUMIF(Capacity_Resource,$E146,'Critical resources (hide)'!Z$6:Z$105)+SUMIF(Capacity_Resource,$F146,'Critical resources (hide)'!Z$6:Z$105)&gt;0,$E$1=2),0,1)</f>
        <v>1</v>
      </c>
      <c r="N146" s="67">
        <f ca="1">IF(AND(SUMIF(Capacity_Resource,$D146,'Critical resources (hide)'!AA$6:AA$105)+SUMIF(Capacity_Resource,$E146,'Critical resources (hide)'!AA$6:AA$105)+SUMIF(Capacity_Resource,$F146,'Critical resources (hide)'!AA$6:AA$105)&gt;0,$E$1=2),0,1)</f>
        <v>1</v>
      </c>
      <c r="O146" s="67">
        <f ca="1">IF(AND(SUMIF(Capacity_Resource,$D146,'Critical resources (hide)'!AB$6:AB$105)+SUMIF(Capacity_Resource,$E146,'Critical resources (hide)'!AB$6:AB$105)+SUMIF(Capacity_Resource,$F146,'Critical resources (hide)'!AB$6:AB$105)&gt;0,$E$1=2),0,1)</f>
        <v>1</v>
      </c>
      <c r="P146" s="67">
        <f ca="1">IF(AND(SUMIF(Capacity_Resource,$D146,'Critical resources (hide)'!AC$6:AC$105)+SUMIF(Capacity_Resource,$E146,'Critical resources (hide)'!AC$6:AC$105)+SUMIF(Capacity_Resource,$F146,'Critical resources (hide)'!AC$6:AC$105)&gt;0,$E$1=2),0,1)</f>
        <v>1</v>
      </c>
      <c r="Q146" s="67">
        <f ca="1">IF(AND(SUMIF(Capacity_Resource,$D146,'Critical resources (hide)'!AD$6:AD$105)+SUMIF(Capacity_Resource,$E146,'Critical resources (hide)'!AD$6:AD$105)+SUMIF(Capacity_Resource,$F146,'Critical resources (hide)'!AD$6:AD$105)&gt;0,$E$1=2),0,1)</f>
        <v>1</v>
      </c>
      <c r="R146" s="67">
        <f ca="1">IF(AND(SUMIF(Capacity_Resource,$D146,'Critical resources (hide)'!AE$6:AE$105)+SUMIF(Capacity_Resource,$E146,'Critical resources (hide)'!AE$6:AE$105)+SUMIF(Capacity_Resource,$F146,'Critical resources (hide)'!AE$6:AE$105)&gt;0,$E$1=2),0,1)</f>
        <v>1</v>
      </c>
      <c r="S146" s="67">
        <f ca="1">IF(AND(SUMIF(Capacity_Resource,$D146,'Critical resources (hide)'!AF$6:AF$105)+SUMIF(Capacity_Resource,$E146,'Critical resources (hide)'!AF$6:AF$105)+SUMIF(Capacity_Resource,$F146,'Critical resources (hide)'!AF$6:AF$105)&gt;0,$E$1=2),0,1)</f>
        <v>1</v>
      </c>
      <c r="T146" s="67">
        <f ca="1">IF(AND(SUMIF(Capacity_Resource,$D146,'Critical resources (hide)'!AG$6:AG$105)+SUMIF(Capacity_Resource,$E146,'Critical resources (hide)'!AG$6:AG$105)+SUMIF(Capacity_Resource,$F146,'Critical resources (hide)'!AG$6:AG$105)&gt;0,$E$1=2),0,1)</f>
        <v>1</v>
      </c>
      <c r="U146" s="67">
        <f ca="1">IF(AND(SUMIF(Capacity_Resource,$D146,'Critical resources (hide)'!AH$6:AH$105)+SUMIF(Capacity_Resource,$E146,'Critical resources (hide)'!AH$6:AH$105)+SUMIF(Capacity_Resource,$F146,'Critical resources (hide)'!AH$6:AH$105)&gt;0,$E$1=2),0,1)</f>
        <v>1</v>
      </c>
      <c r="V146" s="67">
        <f ca="1">IF(AND(SUMIF(Capacity_Resource,$D146,'Critical resources (hide)'!AI$6:AI$105)+SUMIF(Capacity_Resource,$E146,'Critical resources (hide)'!AI$6:AI$105)+SUMIF(Capacity_Resource,$F146,'Critical resources (hide)'!AI$6:AI$105)&gt;0,$E$1=2),0,1)</f>
        <v>1</v>
      </c>
      <c r="W146" s="67">
        <f ca="1">IF(AND(SUMIF(Capacity_Resource,$D146,'Critical resources (hide)'!AJ$6:AJ$105)+SUMIF(Capacity_Resource,$E146,'Critical resources (hide)'!AJ$6:AJ$105)+SUMIF(Capacity_Resource,$F146,'Critical resources (hide)'!AJ$6:AJ$105)&gt;0,$E$1=2),0,1)</f>
        <v>1</v>
      </c>
      <c r="X146" s="67">
        <f ca="1">IF(AND(SUMIF(Capacity_Resource,$D146,'Critical resources (hide)'!AK$6:AK$105)+SUMIF(Capacity_Resource,$E146,'Critical resources (hide)'!AK$6:AK$105)+SUMIF(Capacity_Resource,$F146,'Critical resources (hide)'!AK$6:AK$105)&gt;0,$E$1=2),0,1)</f>
        <v>1</v>
      </c>
      <c r="Y146" s="67">
        <f ca="1">IF(AND(SUMIF(Capacity_Resource,$D146,'Critical resources (hide)'!AL$6:AL$105)+SUMIF(Capacity_Resource,$E146,'Critical resources (hide)'!AL$6:AL$105)+SUMIF(Capacity_Resource,$F146,'Critical resources (hide)'!AL$6:AL$105)&gt;0,$E$1=2),0,1)</f>
        <v>1</v>
      </c>
      <c r="Z146" s="67">
        <f ca="1">IF(AND(SUMIF(Capacity_Resource,$D146,'Critical resources (hide)'!AM$6:AM$105)+SUMIF(Capacity_Resource,$E146,'Critical resources (hide)'!AM$6:AM$105)+SUMIF(Capacity_Resource,$F146,'Critical resources (hide)'!AM$6:AM$105)&gt;0,$E$1=2),0,1)</f>
        <v>1</v>
      </c>
      <c r="AA146" s="67">
        <f ca="1">IF(AND(SUMIF(Capacity_Resource,$D146,'Critical resources (hide)'!AN$6:AN$105)+SUMIF(Capacity_Resource,$E146,'Critical resources (hide)'!AN$6:AN$105)+SUMIF(Capacity_Resource,$F146,'Critical resources (hide)'!AN$6:AN$105)&gt;0,$E$1=2),0,1)</f>
        <v>1</v>
      </c>
      <c r="AB146" s="67">
        <f ca="1">IF(AND(SUMIF(Capacity_Resource,$D146,'Critical resources (hide)'!AO$6:AO$105)+SUMIF(Capacity_Resource,$E146,'Critical resources (hide)'!AO$6:AO$105)+SUMIF(Capacity_Resource,$F146,'Critical resources (hide)'!AO$6:AO$105)&gt;0,$E$1=2),0,1)</f>
        <v>1</v>
      </c>
      <c r="AC146" s="67">
        <f ca="1">IF(AND(SUMIF(Capacity_Resource,$D146,'Critical resources (hide)'!AP$6:AP$105)+SUMIF(Capacity_Resource,$E146,'Critical resources (hide)'!AP$6:AP$105)+SUMIF(Capacity_Resource,$F146,'Critical resources (hide)'!AP$6:AP$105)&gt;0,$E$1=2),0,1)</f>
        <v>1</v>
      </c>
      <c r="AD146" s="67">
        <f ca="1">IF(AND(SUMIF(Capacity_Resource,$D146,'Critical resources (hide)'!AQ$6:AQ$105)+SUMIF(Capacity_Resource,$E146,'Critical resources (hide)'!AQ$6:AQ$105)+SUMIF(Capacity_Resource,$F146,'Critical resources (hide)'!AQ$6:AQ$105)&gt;0,$E$1=2),0,1)</f>
        <v>1</v>
      </c>
      <c r="AE146" s="67">
        <f ca="1">IF(AND(SUMIF(Capacity_Resource,$D146,'Critical resources (hide)'!AR$6:AR$105)+SUMIF(Capacity_Resource,$E146,'Critical resources (hide)'!AR$6:AR$105)+SUMIF(Capacity_Resource,$F146,'Critical resources (hide)'!AR$6:AR$105)&gt;0,$E$1=2),0,1)</f>
        <v>1</v>
      </c>
      <c r="AF146" s="67">
        <f ca="1">IF(AND(SUMIF(Capacity_Resource,$D146,'Critical resources (hide)'!AS$6:AS$105)+SUMIF(Capacity_Resource,$E146,'Critical resources (hide)'!AS$6:AS$105)+SUMIF(Capacity_Resource,$F146,'Critical resources (hide)'!AS$6:AS$105)&gt;0,$E$1=2),0,1)</f>
        <v>1</v>
      </c>
      <c r="AG146" s="67">
        <f ca="1">IF(AND(SUMIF(Capacity_Resource,$D146,'Critical resources (hide)'!AT$6:AT$105)+SUMIF(Capacity_Resource,$E146,'Critical resources (hide)'!AT$6:AT$105)+SUMIF(Capacity_Resource,$F146,'Critical resources (hide)'!AT$6:AT$105)&gt;0,$E$1=2),0,1)</f>
        <v>1</v>
      </c>
      <c r="AH146" s="67">
        <f ca="1">IF(AND(SUMIF(Capacity_Resource,$D146,'Critical resources (hide)'!AU$6:AU$105)+SUMIF(Capacity_Resource,$E146,'Critical resources (hide)'!AU$6:AU$105)+SUMIF(Capacity_Resource,$F146,'Critical resources (hide)'!AU$6:AU$105)&gt;0,$E$1=2),0,1)</f>
        <v>1</v>
      </c>
      <c r="AI146" s="67">
        <f ca="1">IF(AND(SUMIF(Capacity_Resource,$D146,'Critical resources (hide)'!AV$6:AV$105)+SUMIF(Capacity_Resource,$E146,'Critical resources (hide)'!AV$6:AV$105)+SUMIF(Capacity_Resource,$F146,'Critical resources (hide)'!AV$6:AV$105)&gt;0,$E$1=2),0,1)</f>
        <v>1</v>
      </c>
      <c r="AJ146" s="67">
        <f ca="1">IF(AND(SUMIF(Capacity_Resource,$D146,'Critical resources (hide)'!AW$6:AW$105)+SUMIF(Capacity_Resource,$E146,'Critical resources (hide)'!AW$6:AW$105)+SUMIF(Capacity_Resource,$F146,'Critical resources (hide)'!AW$6:AW$105)&gt;0,$E$1=2),0,1)</f>
        <v>1</v>
      </c>
      <c r="AK146" s="67">
        <f ca="1">IF(AND(SUMIF(Capacity_Resource,$D146,'Critical resources (hide)'!AX$6:AX$105)+SUMIF(Capacity_Resource,$E146,'Critical resources (hide)'!AX$6:AX$105)+SUMIF(Capacity_Resource,$F146,'Critical resources (hide)'!AX$6:AX$105)&gt;0,$E$1=2),0,1)</f>
        <v>1</v>
      </c>
      <c r="AL146" s="67">
        <f ca="1">IF(AND(SUMIF(Capacity_Resource,$D146,'Critical resources (hide)'!AY$6:AY$105)+SUMIF(Capacity_Resource,$E146,'Critical resources (hide)'!AY$6:AY$105)+SUMIF(Capacity_Resource,$F146,'Critical resources (hide)'!AY$6:AY$105)&gt;0,$E$1=2),0,1)</f>
        <v>1</v>
      </c>
      <c r="AM146" s="67">
        <f ca="1">IF(AND(SUMIF(Capacity_Resource,$D146,'Critical resources (hide)'!AZ$6:AZ$105)+SUMIF(Capacity_Resource,$E146,'Critical resources (hide)'!AZ$6:AZ$105)+SUMIF(Capacity_Resource,$F146,'Critical resources (hide)'!AZ$6:AZ$105)&gt;0,$E$1=2),0,1)</f>
        <v>1</v>
      </c>
      <c r="AN146" s="67">
        <f ca="1">IF(AND(SUMIF(Capacity_Resource,$D146,'Critical resources (hide)'!BA$6:BA$105)+SUMIF(Capacity_Resource,$E146,'Critical resources (hide)'!BA$6:BA$105)+SUMIF(Capacity_Resource,$F146,'Critical resources (hide)'!BA$6:BA$105)&gt;0,$E$1=2),0,1)</f>
        <v>1</v>
      </c>
      <c r="AO146" s="67">
        <f ca="1">IF(AND(SUMIF(Capacity_Resource,$D146,'Critical resources (hide)'!BB$6:BB$105)+SUMIF(Capacity_Resource,$E146,'Critical resources (hide)'!BB$6:BB$105)+SUMIF(Capacity_Resource,$F146,'Critical resources (hide)'!BB$6:BB$105)&gt;0,$E$1=2),0,1)</f>
        <v>1</v>
      </c>
      <c r="AP146" s="67">
        <f ca="1">IF(AND(SUMIF(Capacity_Resource,$D146,'Critical resources (hide)'!BC$6:BC$105)+SUMIF(Capacity_Resource,$E146,'Critical resources (hide)'!BC$6:BC$105)+SUMIF(Capacity_Resource,$F146,'Critical resources (hide)'!BC$6:BC$105)&gt;0,$E$1=2),0,1)</f>
        <v>1</v>
      </c>
      <c r="AQ146" s="67">
        <f ca="1">IF(AND(SUMIF(Capacity_Resource,$D146,'Critical resources (hide)'!BD$6:BD$105)+SUMIF(Capacity_Resource,$E146,'Critical resources (hide)'!BD$6:BD$105)+SUMIF(Capacity_Resource,$F146,'Critical resources (hide)'!BD$6:BD$105)&gt;0,$E$1=2),0,1)</f>
        <v>1</v>
      </c>
      <c r="AR146" s="67">
        <f ca="1">IF(AND(SUMIF(Capacity_Resource,$D146,'Critical resources (hide)'!BE$6:BE$105)+SUMIF(Capacity_Resource,$E146,'Critical resources (hide)'!BE$6:BE$105)+SUMIF(Capacity_Resource,$F146,'Critical resources (hide)'!BE$6:BE$105)&gt;0,$E$1=2),0,1)</f>
        <v>1</v>
      </c>
      <c r="AS146" s="67">
        <f ca="1">IF(AND(SUMIF(Capacity_Resource,$D146,'Critical resources (hide)'!BF$6:BF$105)+SUMIF(Capacity_Resource,$E146,'Critical resources (hide)'!BF$6:BF$105)+SUMIF(Capacity_Resource,$F146,'Critical resources (hide)'!BF$6:BF$105)&gt;0,$E$1=2),0,1)</f>
        <v>1</v>
      </c>
      <c r="AT146" s="67">
        <f ca="1">IF(AND(SUMIF(Capacity_Resource,$D146,'Critical resources (hide)'!BG$6:BG$105)+SUMIF(Capacity_Resource,$E146,'Critical resources (hide)'!BG$6:BG$105)+SUMIF(Capacity_Resource,$F146,'Critical resources (hide)'!BG$6:BG$105)&gt;0,$E$1=2),0,1)</f>
        <v>1</v>
      </c>
      <c r="AU146" s="67">
        <f ca="1">IF(AND(SUMIF(Capacity_Resource,$D146,'Critical resources (hide)'!BH$6:BH$105)+SUMIF(Capacity_Resource,$E146,'Critical resources (hide)'!BH$6:BH$105)+SUMIF(Capacity_Resource,$F146,'Critical resources (hide)'!BH$6:BH$105)&gt;0,$E$1=2),0,1)</f>
        <v>1</v>
      </c>
      <c r="AV146" s="67">
        <f ca="1">IF(AND(SUMIF(Capacity_Resource,$D146,'Critical resources (hide)'!BI$6:BI$105)+SUMIF(Capacity_Resource,$E146,'Critical resources (hide)'!BI$6:BI$105)+SUMIF(Capacity_Resource,$F146,'Critical resources (hide)'!BI$6:BI$105)&gt;0,$E$1=2),0,1)</f>
        <v>1</v>
      </c>
      <c r="AW146" s="67">
        <f ca="1">IF(AND(SUMIF(Capacity_Resource,$D146,'Critical resources (hide)'!BJ$6:BJ$105)+SUMIF(Capacity_Resource,$E146,'Critical resources (hide)'!BJ$6:BJ$105)+SUMIF(Capacity_Resource,$F146,'Critical resources (hide)'!BJ$6:BJ$105)&gt;0,$E$1=2),0,1)</f>
        <v>1</v>
      </c>
      <c r="AX146" s="67">
        <f ca="1">IF(AND(SUMIF(Capacity_Resource,$D146,'Critical resources (hide)'!BK$6:BK$105)+SUMIF(Capacity_Resource,$E146,'Critical resources (hide)'!BK$6:BK$105)+SUMIF(Capacity_Resource,$F146,'Critical resources (hide)'!BK$6:BK$105)&gt;0,$E$1=2),0,1)</f>
        <v>1</v>
      </c>
      <c r="AY146" s="67">
        <f ca="1">IF(AND(SUMIF(Capacity_Resource,$D146,'Critical resources (hide)'!BL$6:BL$105)+SUMIF(Capacity_Resource,$E146,'Critical resources (hide)'!BL$6:BL$105)+SUMIF(Capacity_Resource,$F146,'Critical resources (hide)'!BL$6:BL$105)&gt;0,$E$1=2),0,1)</f>
        <v>1</v>
      </c>
      <c r="AZ146" s="67">
        <f ca="1">IF(AND(SUMIF(Capacity_Resource,$D146,'Critical resources (hide)'!BM$6:BM$105)+SUMIF(Capacity_Resource,$E146,'Critical resources (hide)'!BM$6:BM$105)+SUMIF(Capacity_Resource,$F146,'Critical resources (hide)'!BM$6:BM$105)&gt;0,$E$1=2),0,1)</f>
        <v>1</v>
      </c>
      <c r="BA146" s="67">
        <f ca="1">IF(AND(SUMIF(Capacity_Resource,$D146,'Critical resources (hide)'!BN$6:BN$105)+SUMIF(Capacity_Resource,$E146,'Critical resources (hide)'!BN$6:BN$105)+SUMIF(Capacity_Resource,$F146,'Critical resources (hide)'!BN$6:BN$105)&gt;0,$E$1=2),0,1)</f>
        <v>1</v>
      </c>
      <c r="BB146" s="67">
        <f ca="1">IF(AND(SUMIF(Capacity_Resource,$D146,'Critical resources (hide)'!BO$6:BO$105)+SUMIF(Capacity_Resource,$E146,'Critical resources (hide)'!BO$6:BO$105)+SUMIF(Capacity_Resource,$F146,'Critical resources (hide)'!BO$6:BO$105)&gt;0,$E$1=2),0,1)</f>
        <v>1</v>
      </c>
      <c r="BC146" s="67">
        <f ca="1">IF(AND(SUMIF(Capacity_Resource,$D146,'Critical resources (hide)'!BP$6:BP$105)+SUMIF(Capacity_Resource,$E146,'Critical resources (hide)'!BP$6:BP$105)+SUMIF(Capacity_Resource,$F146,'Critical resources (hide)'!BP$6:BP$105)&gt;0,$E$1=2),0,1)</f>
        <v>1</v>
      </c>
      <c r="BD146" s="67">
        <f ca="1">IF(AND(SUMIF(Capacity_Resource,$D146,'Critical resources (hide)'!BQ$6:BQ$105)+SUMIF(Capacity_Resource,$E146,'Critical resources (hide)'!BQ$6:BQ$105)+SUMIF(Capacity_Resource,$F146,'Critical resources (hide)'!BQ$6:BQ$105)&gt;0,$E$1=2),0,1)</f>
        <v>1</v>
      </c>
      <c r="BE146" s="67">
        <f ca="1">IF(AND(SUMIF(Capacity_Resource,$D146,'Critical resources (hide)'!BR$6:BR$105)+SUMIF(Capacity_Resource,$E146,'Critical resources (hide)'!BR$6:BR$105)+SUMIF(Capacity_Resource,$F146,'Critical resources (hide)'!BR$6:BR$105)&gt;0,$E$1=2),0,1)</f>
        <v>1</v>
      </c>
      <c r="BF146" s="67">
        <f ca="1">IF(AND(SUMIF(Capacity_Resource,$D146,'Critical resources (hide)'!BS$6:BS$105)+SUMIF(Capacity_Resource,$E146,'Critical resources (hide)'!BS$6:BS$105)+SUMIF(Capacity_Resource,$F146,'Critical resources (hide)'!BS$6:BS$105)&gt;0,$E$1=2),0,1)</f>
        <v>1</v>
      </c>
      <c r="BG146" s="67">
        <f ca="1">IF(AND(SUMIF(Capacity_Resource,$D146,'Critical resources (hide)'!BT$6:BT$105)+SUMIF(Capacity_Resource,$E146,'Critical resources (hide)'!BT$6:BT$105)+SUMIF(Capacity_Resource,$F146,'Critical resources (hide)'!BT$6:BT$105)&gt;0,$E$1=2),0,1)</f>
        <v>1</v>
      </c>
      <c r="BH146" s="67">
        <f>IF(ROW(A35)&lt;=Capacity!$M$16,IF('Capacity summary'!$C$14="No",SUM(H146:BG146),'Capacity summary'!$E58),0)</f>
        <v>0</v>
      </c>
      <c r="BI146" s="67" t="str">
        <f>IF(BH146&gt;0,IF(BH146&lt;Capacity!Q51,Capacity!R51,Capacity!T51/'Capacity calculation (hide)'!BH146),"")</f>
        <v/>
      </c>
      <c r="BJ146" s="5"/>
      <c r="BK146" s="5">
        <f>IF($BI146&lt;&gt;"",IF('Capacity summary'!$C$14="Yes",IF(COUNTBLANK('Capacity summary'!$H58:$BG58)&lt;52,IF('Capacity summary'!H58&lt;&gt;"",IF(LOWER('Capacity summary'!H58)="x",$BI146*H146,VALUE('Capacity summary'!H58)),0),H146*$BI146),H146*$BI146),0)</f>
        <v>0</v>
      </c>
      <c r="BL146" s="5">
        <f>IF($BI146&lt;&gt;"",IF('Capacity summary'!$C$14="Yes",IF(COUNTBLANK('Capacity summary'!$H58:$BG58)&lt;52,IF('Capacity summary'!I58&lt;&gt;"",IF(LOWER('Capacity summary'!I58)="x",$BI146*I146,VALUE('Capacity summary'!I58)),0),I146*$BI146),I146*$BI146),0)</f>
        <v>0</v>
      </c>
      <c r="BM146" s="5">
        <f>IF($BI146&lt;&gt;"",IF('Capacity summary'!$C$14="Yes",IF(COUNTBLANK('Capacity summary'!$H58:$BG58)&lt;52,IF('Capacity summary'!J58&lt;&gt;"",IF(LOWER('Capacity summary'!J58)="x",$BI146*J146,VALUE('Capacity summary'!J58)),0),J146*$BI146),J146*$BI146),0)</f>
        <v>0</v>
      </c>
      <c r="BN146" s="5">
        <f>IF($BI146&lt;&gt;"",IF('Capacity summary'!$C$14="Yes",IF(COUNTBLANK('Capacity summary'!$H58:$BG58)&lt;52,IF('Capacity summary'!K58&lt;&gt;"",IF(LOWER('Capacity summary'!K58)="x",$BI146*K146,VALUE('Capacity summary'!K58)),0),K146*$BI146),K146*$BI146),0)</f>
        <v>0</v>
      </c>
      <c r="BO146" s="5">
        <f>IF($BI146&lt;&gt;"",IF('Capacity summary'!$C$14="Yes",IF(COUNTBLANK('Capacity summary'!$H58:$BG58)&lt;52,IF('Capacity summary'!L58&lt;&gt;"",IF(LOWER('Capacity summary'!L58)="x",$BI146*L146,VALUE('Capacity summary'!L58)),0),L146*$BI146),L146*$BI146),0)</f>
        <v>0</v>
      </c>
      <c r="BP146" s="5">
        <f>IF($BI146&lt;&gt;"",IF('Capacity summary'!$C$14="Yes",IF(COUNTBLANK('Capacity summary'!$H58:$BG58)&lt;52,IF('Capacity summary'!M58&lt;&gt;"",IF(LOWER('Capacity summary'!M58)="x",$BI146*M146,VALUE('Capacity summary'!M58)),0),M146*$BI146),M146*$BI146),0)</f>
        <v>0</v>
      </c>
      <c r="BQ146" s="5">
        <f>IF($BI146&lt;&gt;"",IF('Capacity summary'!$C$14="Yes",IF(COUNTBLANK('Capacity summary'!$H58:$BG58)&lt;52,IF('Capacity summary'!N58&lt;&gt;"",IF(LOWER('Capacity summary'!N58)="x",$BI146*N146,VALUE('Capacity summary'!N58)),0),N146*$BI146),N146*$BI146),0)</f>
        <v>0</v>
      </c>
      <c r="BR146" s="5">
        <f>IF($BI146&lt;&gt;"",IF('Capacity summary'!$C$14="Yes",IF(COUNTBLANK('Capacity summary'!$H58:$BG58)&lt;52,IF('Capacity summary'!O58&lt;&gt;"",IF(LOWER('Capacity summary'!O58)="x",$BI146*O146,VALUE('Capacity summary'!O58)),0),O146*$BI146),O146*$BI146),0)</f>
        <v>0</v>
      </c>
      <c r="BS146" s="5">
        <f>IF($BI146&lt;&gt;"",IF('Capacity summary'!$C$14="Yes",IF(COUNTBLANK('Capacity summary'!$H58:$BG58)&lt;52,IF('Capacity summary'!P58&lt;&gt;"",IF(LOWER('Capacity summary'!P58)="x",$BI146*P146,VALUE('Capacity summary'!P58)),0),P146*$BI146),P146*$BI146),0)</f>
        <v>0</v>
      </c>
      <c r="BT146" s="5">
        <f>IF($BI146&lt;&gt;"",IF('Capacity summary'!$C$14="Yes",IF(COUNTBLANK('Capacity summary'!$H58:$BG58)&lt;52,IF('Capacity summary'!Q58&lt;&gt;"",IF(LOWER('Capacity summary'!Q58)="x",$BI146*Q146,VALUE('Capacity summary'!Q58)),0),Q146*$BI146),Q146*$BI146),0)</f>
        <v>0</v>
      </c>
      <c r="BU146" s="5">
        <f>IF($BI146&lt;&gt;"",IF('Capacity summary'!$C$14="Yes",IF(COUNTBLANK('Capacity summary'!$H58:$BG58)&lt;52,IF('Capacity summary'!R58&lt;&gt;"",IF(LOWER('Capacity summary'!R58)="x",$BI146*R146,VALUE('Capacity summary'!R58)),0),R146*$BI146),R146*$BI146),0)</f>
        <v>0</v>
      </c>
      <c r="BV146" s="5">
        <f>IF($BI146&lt;&gt;"",IF('Capacity summary'!$C$14="Yes",IF(COUNTBLANK('Capacity summary'!$H58:$BG58)&lt;52,IF('Capacity summary'!S58&lt;&gt;"",IF(LOWER('Capacity summary'!S58)="x",$BI146*S146,VALUE('Capacity summary'!S58)),0),S146*$BI146),S146*$BI146),0)</f>
        <v>0</v>
      </c>
      <c r="BW146" s="5">
        <f>IF($BI146&lt;&gt;"",IF('Capacity summary'!$C$14="Yes",IF(COUNTBLANK('Capacity summary'!$H58:$BG58)&lt;52,IF('Capacity summary'!T58&lt;&gt;"",IF(LOWER('Capacity summary'!T58)="x",$BI146*T146,VALUE('Capacity summary'!T58)),0),T146*$BI146),T146*$BI146),0)</f>
        <v>0</v>
      </c>
      <c r="BX146" s="5">
        <f>IF($BI146&lt;&gt;"",IF('Capacity summary'!$C$14="Yes",IF(COUNTBLANK('Capacity summary'!$H58:$BG58)&lt;52,IF('Capacity summary'!U58&lt;&gt;"",IF(LOWER('Capacity summary'!U58)="x",$BI146*U146,VALUE('Capacity summary'!U58)),0),U146*$BI146),U146*$BI146),0)</f>
        <v>0</v>
      </c>
      <c r="BY146" s="5">
        <f>IF($BI146&lt;&gt;"",IF('Capacity summary'!$C$14="Yes",IF(COUNTBLANK('Capacity summary'!$H58:$BG58)&lt;52,IF('Capacity summary'!V58&lt;&gt;"",IF(LOWER('Capacity summary'!V58)="x",$BI146*V146,VALUE('Capacity summary'!V58)),0),V146*$BI146),V146*$BI146),0)</f>
        <v>0</v>
      </c>
      <c r="BZ146" s="5">
        <f>IF($BI146&lt;&gt;"",IF('Capacity summary'!$C$14="Yes",IF(COUNTBLANK('Capacity summary'!$H58:$BG58)&lt;52,IF('Capacity summary'!W58&lt;&gt;"",IF(LOWER('Capacity summary'!W58)="x",$BI146*W146,VALUE('Capacity summary'!W58)),0),W146*$BI146),W146*$BI146),0)</f>
        <v>0</v>
      </c>
      <c r="CA146" s="5">
        <f>IF($BI146&lt;&gt;"",IF('Capacity summary'!$C$14="Yes",IF(COUNTBLANK('Capacity summary'!$H58:$BG58)&lt;52,IF('Capacity summary'!X58&lt;&gt;"",IF(LOWER('Capacity summary'!X58)="x",$BI146*X146,VALUE('Capacity summary'!X58)),0),X146*$BI146),X146*$BI146),0)</f>
        <v>0</v>
      </c>
      <c r="CB146" s="5">
        <f>IF($BI146&lt;&gt;"",IF('Capacity summary'!$C$14="Yes",IF(COUNTBLANK('Capacity summary'!$H58:$BG58)&lt;52,IF('Capacity summary'!Y58&lt;&gt;"",IF(LOWER('Capacity summary'!Y58)="x",$BI146*Y146,VALUE('Capacity summary'!Y58)),0),Y146*$BI146),Y146*$BI146),0)</f>
        <v>0</v>
      </c>
      <c r="CC146" s="5">
        <f>IF($BI146&lt;&gt;"",IF('Capacity summary'!$C$14="Yes",IF(COUNTBLANK('Capacity summary'!$H58:$BG58)&lt;52,IF('Capacity summary'!Z58&lt;&gt;"",IF(LOWER('Capacity summary'!Z58)="x",$BI146*Z146,VALUE('Capacity summary'!Z58)),0),Z146*$BI146),Z146*$BI146),0)</f>
        <v>0</v>
      </c>
      <c r="CD146" s="5">
        <f>IF($BI146&lt;&gt;"",IF('Capacity summary'!$C$14="Yes",IF(COUNTBLANK('Capacity summary'!$H58:$BG58)&lt;52,IF('Capacity summary'!AA58&lt;&gt;"",IF(LOWER('Capacity summary'!AA58)="x",$BI146*AA146,VALUE('Capacity summary'!AA58)),0),AA146*$BI146),AA146*$BI146),0)</f>
        <v>0</v>
      </c>
      <c r="CE146" s="5">
        <f>IF($BI146&lt;&gt;"",IF('Capacity summary'!$C$14="Yes",IF(COUNTBLANK('Capacity summary'!$H58:$BG58)&lt;52,IF('Capacity summary'!AB58&lt;&gt;"",IF(LOWER('Capacity summary'!AB58)="x",$BI146*AB146,VALUE('Capacity summary'!AB58)),0),AB146*$BI146),AB146*$BI146),0)</f>
        <v>0</v>
      </c>
      <c r="CF146" s="5">
        <f>IF($BI146&lt;&gt;"",IF('Capacity summary'!$C$14="Yes",IF(COUNTBLANK('Capacity summary'!$H58:$BG58)&lt;52,IF('Capacity summary'!AC58&lt;&gt;"",IF(LOWER('Capacity summary'!AC58)="x",$BI146*AC146,VALUE('Capacity summary'!AC58)),0),AC146*$BI146),AC146*$BI146),0)</f>
        <v>0</v>
      </c>
      <c r="CG146" s="5">
        <f>IF($BI146&lt;&gt;"",IF('Capacity summary'!$C$14="Yes",IF(COUNTBLANK('Capacity summary'!$H58:$BG58)&lt;52,IF('Capacity summary'!AD58&lt;&gt;"",IF(LOWER('Capacity summary'!AD58)="x",$BI146*AD146,VALUE('Capacity summary'!AD58)),0),AD146*$BI146),AD146*$BI146),0)</f>
        <v>0</v>
      </c>
      <c r="CH146" s="5">
        <f>IF($BI146&lt;&gt;"",IF('Capacity summary'!$C$14="Yes",IF(COUNTBLANK('Capacity summary'!$H58:$BG58)&lt;52,IF('Capacity summary'!AE58&lt;&gt;"",IF(LOWER('Capacity summary'!AE58)="x",$BI146*AE146,VALUE('Capacity summary'!AE58)),0),AE146*$BI146),AE146*$BI146),0)</f>
        <v>0</v>
      </c>
      <c r="CI146" s="5">
        <f>IF($BI146&lt;&gt;"",IF('Capacity summary'!$C$14="Yes",IF(COUNTBLANK('Capacity summary'!$H58:$BG58)&lt;52,IF('Capacity summary'!AF58&lt;&gt;"",IF(LOWER('Capacity summary'!AF58)="x",$BI146*AF146,VALUE('Capacity summary'!AF58)),0),AF146*$BI146),AF146*$BI146),0)</f>
        <v>0</v>
      </c>
      <c r="CJ146" s="5">
        <f>IF($BI146&lt;&gt;"",IF('Capacity summary'!$C$14="Yes",IF(COUNTBLANK('Capacity summary'!$H58:$BG58)&lt;52,IF('Capacity summary'!AG58&lt;&gt;"",IF(LOWER('Capacity summary'!AG58)="x",$BI146*AG146,VALUE('Capacity summary'!AG58)),0),AG146*$BI146),AG146*$BI146),0)</f>
        <v>0</v>
      </c>
      <c r="CK146" s="5">
        <f>IF($BI146&lt;&gt;"",IF('Capacity summary'!$C$14="Yes",IF(COUNTBLANK('Capacity summary'!$H58:$BG58)&lt;52,IF('Capacity summary'!AH58&lt;&gt;"",IF(LOWER('Capacity summary'!AH58)="x",$BI146*AH146,VALUE('Capacity summary'!AH58)),0),AH146*$BI146),AH146*$BI146),0)</f>
        <v>0</v>
      </c>
      <c r="CL146" s="5">
        <f>IF($BI146&lt;&gt;"",IF('Capacity summary'!$C$14="Yes",IF(COUNTBLANK('Capacity summary'!$H58:$BG58)&lt;52,IF('Capacity summary'!AI58&lt;&gt;"",IF(LOWER('Capacity summary'!AI58)="x",$BI146*AI146,VALUE('Capacity summary'!AI58)),0),AI146*$BI146),AI146*$BI146),0)</f>
        <v>0</v>
      </c>
      <c r="CM146" s="5">
        <f>IF($BI146&lt;&gt;"",IF('Capacity summary'!$C$14="Yes",IF(COUNTBLANK('Capacity summary'!$H58:$BG58)&lt;52,IF('Capacity summary'!AJ58&lt;&gt;"",IF(LOWER('Capacity summary'!AJ58)="x",$BI146*AJ146,VALUE('Capacity summary'!AJ58)),0),AJ146*$BI146),AJ146*$BI146),0)</f>
        <v>0</v>
      </c>
      <c r="CN146" s="5">
        <f>IF($BI146&lt;&gt;"",IF('Capacity summary'!$C$14="Yes",IF(COUNTBLANK('Capacity summary'!$H58:$BG58)&lt;52,IF('Capacity summary'!AK58&lt;&gt;"",IF(LOWER('Capacity summary'!AK58)="x",$BI146*AK146,VALUE('Capacity summary'!AK58)),0),AK146*$BI146),AK146*$BI146),0)</f>
        <v>0</v>
      </c>
      <c r="CO146" s="5">
        <f>IF($BI146&lt;&gt;"",IF('Capacity summary'!$C$14="Yes",IF(COUNTBLANK('Capacity summary'!$H58:$BG58)&lt;52,IF('Capacity summary'!AL58&lt;&gt;"",IF(LOWER('Capacity summary'!AL58)="x",$BI146*AL146,VALUE('Capacity summary'!AL58)),0),AL146*$BI146),AL146*$BI146),0)</f>
        <v>0</v>
      </c>
      <c r="CP146" s="5">
        <f>IF($BI146&lt;&gt;"",IF('Capacity summary'!$C$14="Yes",IF(COUNTBLANK('Capacity summary'!$H58:$BG58)&lt;52,IF('Capacity summary'!AM58&lt;&gt;"",IF(LOWER('Capacity summary'!AM58)="x",$BI146*AM146,VALUE('Capacity summary'!AM58)),0),AM146*$BI146),AM146*$BI146),0)</f>
        <v>0</v>
      </c>
      <c r="CQ146" s="5">
        <f>IF($BI146&lt;&gt;"",IF('Capacity summary'!$C$14="Yes",IF(COUNTBLANK('Capacity summary'!$H58:$BG58)&lt;52,IF('Capacity summary'!AN58&lt;&gt;"",IF(LOWER('Capacity summary'!AN58)="x",$BI146*AN146,VALUE('Capacity summary'!AN58)),0),AN146*$BI146),AN146*$BI146),0)</f>
        <v>0</v>
      </c>
      <c r="CR146" s="5">
        <f>IF($BI146&lt;&gt;"",IF('Capacity summary'!$C$14="Yes",IF(COUNTBLANK('Capacity summary'!$H58:$BG58)&lt;52,IF('Capacity summary'!AO58&lt;&gt;"",IF(LOWER('Capacity summary'!AO58)="x",$BI146*AO146,VALUE('Capacity summary'!AO58)),0),AO146*$BI146),AO146*$BI146),0)</f>
        <v>0</v>
      </c>
      <c r="CS146" s="5">
        <f>IF($BI146&lt;&gt;"",IF('Capacity summary'!$C$14="Yes",IF(COUNTBLANK('Capacity summary'!$H58:$BG58)&lt;52,IF('Capacity summary'!AP58&lt;&gt;"",IF(LOWER('Capacity summary'!AP58)="x",$BI146*AP146,VALUE('Capacity summary'!AP58)),0),AP146*$BI146),AP146*$BI146),0)</f>
        <v>0</v>
      </c>
      <c r="CT146" s="5">
        <f>IF($BI146&lt;&gt;"",IF('Capacity summary'!$C$14="Yes",IF(COUNTBLANK('Capacity summary'!$H58:$BG58)&lt;52,IF('Capacity summary'!AQ58&lt;&gt;"",IF(LOWER('Capacity summary'!AQ58)="x",$BI146*AQ146,VALUE('Capacity summary'!AQ58)),0),AQ146*$BI146),AQ146*$BI146),0)</f>
        <v>0</v>
      </c>
      <c r="CU146" s="5">
        <f>IF($BI146&lt;&gt;"",IF('Capacity summary'!$C$14="Yes",IF(COUNTBLANK('Capacity summary'!$H58:$BG58)&lt;52,IF('Capacity summary'!AR58&lt;&gt;"",IF(LOWER('Capacity summary'!AR58)="x",$BI146*AR146,VALUE('Capacity summary'!AR58)),0),AR146*$BI146),AR146*$BI146),0)</f>
        <v>0</v>
      </c>
      <c r="CV146" s="5">
        <f>IF($BI146&lt;&gt;"",IF('Capacity summary'!$C$14="Yes",IF(COUNTBLANK('Capacity summary'!$H58:$BG58)&lt;52,IF('Capacity summary'!AS58&lt;&gt;"",IF(LOWER('Capacity summary'!AS58)="x",$BI146*AS146,VALUE('Capacity summary'!AS58)),0),AS146*$BI146),AS146*$BI146),0)</f>
        <v>0</v>
      </c>
      <c r="CW146" s="5">
        <f>IF($BI146&lt;&gt;"",IF('Capacity summary'!$C$14="Yes",IF(COUNTBLANK('Capacity summary'!$H58:$BG58)&lt;52,IF('Capacity summary'!AT58&lt;&gt;"",IF(LOWER('Capacity summary'!AT58)="x",$BI146*AT146,VALUE('Capacity summary'!AT58)),0),AT146*$BI146),AT146*$BI146),0)</f>
        <v>0</v>
      </c>
      <c r="CX146" s="5">
        <f>IF($BI146&lt;&gt;"",IF('Capacity summary'!$C$14="Yes",IF(COUNTBLANK('Capacity summary'!$H58:$BG58)&lt;52,IF('Capacity summary'!AU58&lt;&gt;"",IF(LOWER('Capacity summary'!AU58)="x",$BI146*AU146,VALUE('Capacity summary'!AU58)),0),AU146*$BI146),AU146*$BI146),0)</f>
        <v>0</v>
      </c>
      <c r="CY146" s="5">
        <f>IF($BI146&lt;&gt;"",IF('Capacity summary'!$C$14="Yes",IF(COUNTBLANK('Capacity summary'!$H58:$BG58)&lt;52,IF('Capacity summary'!AV58&lt;&gt;"",IF(LOWER('Capacity summary'!AV58)="x",$BI146*AV146,VALUE('Capacity summary'!AV58)),0),AV146*$BI146),AV146*$BI146),0)</f>
        <v>0</v>
      </c>
      <c r="CZ146" s="5">
        <f>IF($BI146&lt;&gt;"",IF('Capacity summary'!$C$14="Yes",IF(COUNTBLANK('Capacity summary'!$H58:$BG58)&lt;52,IF('Capacity summary'!AW58&lt;&gt;"",IF(LOWER('Capacity summary'!AW58)="x",$BI146*AW146,VALUE('Capacity summary'!AW58)),0),AW146*$BI146),AW146*$BI146),0)</f>
        <v>0</v>
      </c>
      <c r="DA146" s="5">
        <f>IF($BI146&lt;&gt;"",IF('Capacity summary'!$C$14="Yes",IF(COUNTBLANK('Capacity summary'!$H58:$BG58)&lt;52,IF('Capacity summary'!AX58&lt;&gt;"",IF(LOWER('Capacity summary'!AX58)="x",$BI146*AX146,VALUE('Capacity summary'!AX58)),0),AX146*$BI146),AX146*$BI146),0)</f>
        <v>0</v>
      </c>
      <c r="DB146" s="5">
        <f>IF($BI146&lt;&gt;"",IF('Capacity summary'!$C$14="Yes",IF(COUNTBLANK('Capacity summary'!$H58:$BG58)&lt;52,IF('Capacity summary'!AY58&lt;&gt;"",IF(LOWER('Capacity summary'!AY58)="x",$BI146*AY146,VALUE('Capacity summary'!AY58)),0),AY146*$BI146),AY146*$BI146),0)</f>
        <v>0</v>
      </c>
      <c r="DC146" s="5">
        <f>IF($BI146&lt;&gt;"",IF('Capacity summary'!$C$14="Yes",IF(COUNTBLANK('Capacity summary'!$H58:$BG58)&lt;52,IF('Capacity summary'!AZ58&lt;&gt;"",IF(LOWER('Capacity summary'!AZ58)="x",$BI146*AZ146,VALUE('Capacity summary'!AZ58)),0),AZ146*$BI146),AZ146*$BI146),0)</f>
        <v>0</v>
      </c>
      <c r="DD146" s="5">
        <f>IF($BI146&lt;&gt;"",IF('Capacity summary'!$C$14="Yes",IF(COUNTBLANK('Capacity summary'!$H58:$BG58)&lt;52,IF('Capacity summary'!BA58&lt;&gt;"",IF(LOWER('Capacity summary'!BA58)="x",$BI146*BA146,VALUE('Capacity summary'!BA58)),0),BA146*$BI146),BA146*$BI146),0)</f>
        <v>0</v>
      </c>
      <c r="DE146" s="5">
        <f>IF($BI146&lt;&gt;"",IF('Capacity summary'!$C$14="Yes",IF(COUNTBLANK('Capacity summary'!$H58:$BG58)&lt;52,IF('Capacity summary'!BB58&lt;&gt;"",IF(LOWER('Capacity summary'!BB58)="x",$BI146*BB146,VALUE('Capacity summary'!BB58)),0),BB146*$BI146),BB146*$BI146),0)</f>
        <v>0</v>
      </c>
      <c r="DF146" s="5">
        <f>IF($BI146&lt;&gt;"",IF('Capacity summary'!$C$14="Yes",IF(COUNTBLANK('Capacity summary'!$H58:$BG58)&lt;52,IF('Capacity summary'!BC58&lt;&gt;"",IF(LOWER('Capacity summary'!BC58)="x",$BI146*BC146,VALUE('Capacity summary'!BC58)),0),BC146*$BI146),BC146*$BI146),0)</f>
        <v>0</v>
      </c>
      <c r="DG146" s="5">
        <f>IF($BI146&lt;&gt;"",IF('Capacity summary'!$C$14="Yes",IF(COUNTBLANK('Capacity summary'!$H58:$BG58)&lt;52,IF('Capacity summary'!BD58&lt;&gt;"",IF(LOWER('Capacity summary'!BD58)="x",$BI146*BD146,VALUE('Capacity summary'!BD58)),0),BD146*$BI146),BD146*$BI146),0)</f>
        <v>0</v>
      </c>
      <c r="DH146" s="5">
        <f>IF($BI146&lt;&gt;"",IF('Capacity summary'!$C$14="Yes",IF(COUNTBLANK('Capacity summary'!$H58:$BG58)&lt;52,IF('Capacity summary'!BE58&lt;&gt;"",IF(LOWER('Capacity summary'!BE58)="x",$BI146*BE146,VALUE('Capacity summary'!BE58)),0),BE146*$BI146),BE146*$BI146),0)</f>
        <v>0</v>
      </c>
      <c r="DI146" s="5">
        <f>IF($BI146&lt;&gt;"",IF('Capacity summary'!$C$14="Yes",IF(COUNTBLANK('Capacity summary'!$H58:$BG58)&lt;52,IF('Capacity summary'!BF58&lt;&gt;"",IF(LOWER('Capacity summary'!BF58)="x",$BI146*BF146,VALUE('Capacity summary'!BF58)),0),BF146*$BI146),BF146*$BI146),0)</f>
        <v>0</v>
      </c>
      <c r="DJ146" s="5">
        <f>IF($BI146&lt;&gt;"",IF('Capacity summary'!$C$14="Yes",IF(COUNTBLANK('Capacity summary'!$H58:$BG58)&lt;52,IF('Capacity summary'!BG58&lt;&gt;"",IF(LOWER('Capacity summary'!BG58)="x",$BI146*BG146,VALUE('Capacity summary'!BG58)),0),BG146*$BI146),BG146*$BI146),0)</f>
        <v>0</v>
      </c>
      <c r="DK146" s="5">
        <f t="shared" ref="DK146" si="40">SUM(DK147:DK246)</f>
        <v>0</v>
      </c>
    </row>
    <row r="147" spans="3:115" x14ac:dyDescent="0.25">
      <c r="C147" s="67" t="str">
        <f>ROW(A36)&amp;". "&amp;Capacity!N52</f>
        <v xml:space="preserve">36. </v>
      </c>
      <c r="D147" s="67">
        <f>'Capacity setup'!C153</f>
        <v>0</v>
      </c>
      <c r="E147" s="67">
        <f>'Capacity setup'!D153</f>
        <v>0</v>
      </c>
      <c r="F147" s="67">
        <f>'Capacity setup'!E153</f>
        <v>0</v>
      </c>
      <c r="H147" s="67">
        <f ca="1">IF(AND(SUMIF(Capacity_Resource,$D147,'Critical resources (hide)'!U$6:U$105)+SUMIF(Capacity_Resource,$E147,'Critical resources (hide)'!U$6:U$105)+SUMIF(Capacity_Resource,$F147,'Critical resources (hide)'!U$6:U$105)&gt;0,$E$1=2),0,1)</f>
        <v>1</v>
      </c>
      <c r="I147" s="67">
        <f ca="1">IF(AND(SUMIF(Capacity_Resource,$D147,'Critical resources (hide)'!V$6:V$105)+SUMIF(Capacity_Resource,$E147,'Critical resources (hide)'!V$6:V$105)+SUMIF(Capacity_Resource,$F147,'Critical resources (hide)'!V$6:V$105)&gt;0,$E$1=2),0,1)</f>
        <v>1</v>
      </c>
      <c r="J147" s="67">
        <f ca="1">IF(AND(SUMIF(Capacity_Resource,$D147,'Critical resources (hide)'!W$6:W$105)+SUMIF(Capacity_Resource,$E147,'Critical resources (hide)'!W$6:W$105)+SUMIF(Capacity_Resource,$F147,'Critical resources (hide)'!W$6:W$105)&gt;0,$E$1=2),0,1)</f>
        <v>1</v>
      </c>
      <c r="K147" s="67">
        <f ca="1">IF(AND(SUMIF(Capacity_Resource,$D147,'Critical resources (hide)'!X$6:X$105)+SUMIF(Capacity_Resource,$E147,'Critical resources (hide)'!X$6:X$105)+SUMIF(Capacity_Resource,$F147,'Critical resources (hide)'!X$6:X$105)&gt;0,$E$1=2),0,1)</f>
        <v>1</v>
      </c>
      <c r="L147" s="67">
        <f ca="1">IF(AND(SUMIF(Capacity_Resource,$D147,'Critical resources (hide)'!Y$6:Y$105)+SUMIF(Capacity_Resource,$E147,'Critical resources (hide)'!Y$6:Y$105)+SUMIF(Capacity_Resource,$F147,'Critical resources (hide)'!Y$6:Y$105)&gt;0,$E$1=2),0,1)</f>
        <v>1</v>
      </c>
      <c r="M147" s="67">
        <f ca="1">IF(AND(SUMIF(Capacity_Resource,$D147,'Critical resources (hide)'!Z$6:Z$105)+SUMIF(Capacity_Resource,$E147,'Critical resources (hide)'!Z$6:Z$105)+SUMIF(Capacity_Resource,$F147,'Critical resources (hide)'!Z$6:Z$105)&gt;0,$E$1=2),0,1)</f>
        <v>1</v>
      </c>
      <c r="N147" s="67">
        <f ca="1">IF(AND(SUMIF(Capacity_Resource,$D147,'Critical resources (hide)'!AA$6:AA$105)+SUMIF(Capacity_Resource,$E147,'Critical resources (hide)'!AA$6:AA$105)+SUMIF(Capacity_Resource,$F147,'Critical resources (hide)'!AA$6:AA$105)&gt;0,$E$1=2),0,1)</f>
        <v>1</v>
      </c>
      <c r="O147" s="67">
        <f ca="1">IF(AND(SUMIF(Capacity_Resource,$D147,'Critical resources (hide)'!AB$6:AB$105)+SUMIF(Capacity_Resource,$E147,'Critical resources (hide)'!AB$6:AB$105)+SUMIF(Capacity_Resource,$F147,'Critical resources (hide)'!AB$6:AB$105)&gt;0,$E$1=2),0,1)</f>
        <v>1</v>
      </c>
      <c r="P147" s="67">
        <f ca="1">IF(AND(SUMIF(Capacity_Resource,$D147,'Critical resources (hide)'!AC$6:AC$105)+SUMIF(Capacity_Resource,$E147,'Critical resources (hide)'!AC$6:AC$105)+SUMIF(Capacity_Resource,$F147,'Critical resources (hide)'!AC$6:AC$105)&gt;0,$E$1=2),0,1)</f>
        <v>1</v>
      </c>
      <c r="Q147" s="67">
        <f ca="1">IF(AND(SUMIF(Capacity_Resource,$D147,'Critical resources (hide)'!AD$6:AD$105)+SUMIF(Capacity_Resource,$E147,'Critical resources (hide)'!AD$6:AD$105)+SUMIF(Capacity_Resource,$F147,'Critical resources (hide)'!AD$6:AD$105)&gt;0,$E$1=2),0,1)</f>
        <v>1</v>
      </c>
      <c r="R147" s="67">
        <f ca="1">IF(AND(SUMIF(Capacity_Resource,$D147,'Critical resources (hide)'!AE$6:AE$105)+SUMIF(Capacity_Resource,$E147,'Critical resources (hide)'!AE$6:AE$105)+SUMIF(Capacity_Resource,$F147,'Critical resources (hide)'!AE$6:AE$105)&gt;0,$E$1=2),0,1)</f>
        <v>1</v>
      </c>
      <c r="S147" s="67">
        <f ca="1">IF(AND(SUMIF(Capacity_Resource,$D147,'Critical resources (hide)'!AF$6:AF$105)+SUMIF(Capacity_Resource,$E147,'Critical resources (hide)'!AF$6:AF$105)+SUMIF(Capacity_Resource,$F147,'Critical resources (hide)'!AF$6:AF$105)&gt;0,$E$1=2),0,1)</f>
        <v>1</v>
      </c>
      <c r="T147" s="67">
        <f ca="1">IF(AND(SUMIF(Capacity_Resource,$D147,'Critical resources (hide)'!AG$6:AG$105)+SUMIF(Capacity_Resource,$E147,'Critical resources (hide)'!AG$6:AG$105)+SUMIF(Capacity_Resource,$F147,'Critical resources (hide)'!AG$6:AG$105)&gt;0,$E$1=2),0,1)</f>
        <v>1</v>
      </c>
      <c r="U147" s="67">
        <f ca="1">IF(AND(SUMIF(Capacity_Resource,$D147,'Critical resources (hide)'!AH$6:AH$105)+SUMIF(Capacity_Resource,$E147,'Critical resources (hide)'!AH$6:AH$105)+SUMIF(Capacity_Resource,$F147,'Critical resources (hide)'!AH$6:AH$105)&gt;0,$E$1=2),0,1)</f>
        <v>1</v>
      </c>
      <c r="V147" s="67">
        <f ca="1">IF(AND(SUMIF(Capacity_Resource,$D147,'Critical resources (hide)'!AI$6:AI$105)+SUMIF(Capacity_Resource,$E147,'Critical resources (hide)'!AI$6:AI$105)+SUMIF(Capacity_Resource,$F147,'Critical resources (hide)'!AI$6:AI$105)&gt;0,$E$1=2),0,1)</f>
        <v>1</v>
      </c>
      <c r="W147" s="67">
        <f ca="1">IF(AND(SUMIF(Capacity_Resource,$D147,'Critical resources (hide)'!AJ$6:AJ$105)+SUMIF(Capacity_Resource,$E147,'Critical resources (hide)'!AJ$6:AJ$105)+SUMIF(Capacity_Resource,$F147,'Critical resources (hide)'!AJ$6:AJ$105)&gt;0,$E$1=2),0,1)</f>
        <v>1</v>
      </c>
      <c r="X147" s="67">
        <f ca="1">IF(AND(SUMIF(Capacity_Resource,$D147,'Critical resources (hide)'!AK$6:AK$105)+SUMIF(Capacity_Resource,$E147,'Critical resources (hide)'!AK$6:AK$105)+SUMIF(Capacity_Resource,$F147,'Critical resources (hide)'!AK$6:AK$105)&gt;0,$E$1=2),0,1)</f>
        <v>1</v>
      </c>
      <c r="Y147" s="67">
        <f ca="1">IF(AND(SUMIF(Capacity_Resource,$D147,'Critical resources (hide)'!AL$6:AL$105)+SUMIF(Capacity_Resource,$E147,'Critical resources (hide)'!AL$6:AL$105)+SUMIF(Capacity_Resource,$F147,'Critical resources (hide)'!AL$6:AL$105)&gt;0,$E$1=2),0,1)</f>
        <v>1</v>
      </c>
      <c r="Z147" s="67">
        <f ca="1">IF(AND(SUMIF(Capacity_Resource,$D147,'Critical resources (hide)'!AM$6:AM$105)+SUMIF(Capacity_Resource,$E147,'Critical resources (hide)'!AM$6:AM$105)+SUMIF(Capacity_Resource,$F147,'Critical resources (hide)'!AM$6:AM$105)&gt;0,$E$1=2),0,1)</f>
        <v>1</v>
      </c>
      <c r="AA147" s="67">
        <f ca="1">IF(AND(SUMIF(Capacity_Resource,$D147,'Critical resources (hide)'!AN$6:AN$105)+SUMIF(Capacity_Resource,$E147,'Critical resources (hide)'!AN$6:AN$105)+SUMIF(Capacity_Resource,$F147,'Critical resources (hide)'!AN$6:AN$105)&gt;0,$E$1=2),0,1)</f>
        <v>1</v>
      </c>
      <c r="AB147" s="67">
        <f ca="1">IF(AND(SUMIF(Capacity_Resource,$D147,'Critical resources (hide)'!AO$6:AO$105)+SUMIF(Capacity_Resource,$E147,'Critical resources (hide)'!AO$6:AO$105)+SUMIF(Capacity_Resource,$F147,'Critical resources (hide)'!AO$6:AO$105)&gt;0,$E$1=2),0,1)</f>
        <v>1</v>
      </c>
      <c r="AC147" s="67">
        <f ca="1">IF(AND(SUMIF(Capacity_Resource,$D147,'Critical resources (hide)'!AP$6:AP$105)+SUMIF(Capacity_Resource,$E147,'Critical resources (hide)'!AP$6:AP$105)+SUMIF(Capacity_Resource,$F147,'Critical resources (hide)'!AP$6:AP$105)&gt;0,$E$1=2),0,1)</f>
        <v>1</v>
      </c>
      <c r="AD147" s="67">
        <f ca="1">IF(AND(SUMIF(Capacity_Resource,$D147,'Critical resources (hide)'!AQ$6:AQ$105)+SUMIF(Capacity_Resource,$E147,'Critical resources (hide)'!AQ$6:AQ$105)+SUMIF(Capacity_Resource,$F147,'Critical resources (hide)'!AQ$6:AQ$105)&gt;0,$E$1=2),0,1)</f>
        <v>1</v>
      </c>
      <c r="AE147" s="67">
        <f ca="1">IF(AND(SUMIF(Capacity_Resource,$D147,'Critical resources (hide)'!AR$6:AR$105)+SUMIF(Capacity_Resource,$E147,'Critical resources (hide)'!AR$6:AR$105)+SUMIF(Capacity_Resource,$F147,'Critical resources (hide)'!AR$6:AR$105)&gt;0,$E$1=2),0,1)</f>
        <v>1</v>
      </c>
      <c r="AF147" s="67">
        <f ca="1">IF(AND(SUMIF(Capacity_Resource,$D147,'Critical resources (hide)'!AS$6:AS$105)+SUMIF(Capacity_Resource,$E147,'Critical resources (hide)'!AS$6:AS$105)+SUMIF(Capacity_Resource,$F147,'Critical resources (hide)'!AS$6:AS$105)&gt;0,$E$1=2),0,1)</f>
        <v>1</v>
      </c>
      <c r="AG147" s="67">
        <f ca="1">IF(AND(SUMIF(Capacity_Resource,$D147,'Critical resources (hide)'!AT$6:AT$105)+SUMIF(Capacity_Resource,$E147,'Critical resources (hide)'!AT$6:AT$105)+SUMIF(Capacity_Resource,$F147,'Critical resources (hide)'!AT$6:AT$105)&gt;0,$E$1=2),0,1)</f>
        <v>1</v>
      </c>
      <c r="AH147" s="67">
        <f ca="1">IF(AND(SUMIF(Capacity_Resource,$D147,'Critical resources (hide)'!AU$6:AU$105)+SUMIF(Capacity_Resource,$E147,'Critical resources (hide)'!AU$6:AU$105)+SUMIF(Capacity_Resource,$F147,'Critical resources (hide)'!AU$6:AU$105)&gt;0,$E$1=2),0,1)</f>
        <v>1</v>
      </c>
      <c r="AI147" s="67">
        <f ca="1">IF(AND(SUMIF(Capacity_Resource,$D147,'Critical resources (hide)'!AV$6:AV$105)+SUMIF(Capacity_Resource,$E147,'Critical resources (hide)'!AV$6:AV$105)+SUMIF(Capacity_Resource,$F147,'Critical resources (hide)'!AV$6:AV$105)&gt;0,$E$1=2),0,1)</f>
        <v>1</v>
      </c>
      <c r="AJ147" s="67">
        <f ca="1">IF(AND(SUMIF(Capacity_Resource,$D147,'Critical resources (hide)'!AW$6:AW$105)+SUMIF(Capacity_Resource,$E147,'Critical resources (hide)'!AW$6:AW$105)+SUMIF(Capacity_Resource,$F147,'Critical resources (hide)'!AW$6:AW$105)&gt;0,$E$1=2),0,1)</f>
        <v>1</v>
      </c>
      <c r="AK147" s="67">
        <f ca="1">IF(AND(SUMIF(Capacity_Resource,$D147,'Critical resources (hide)'!AX$6:AX$105)+SUMIF(Capacity_Resource,$E147,'Critical resources (hide)'!AX$6:AX$105)+SUMIF(Capacity_Resource,$F147,'Critical resources (hide)'!AX$6:AX$105)&gt;0,$E$1=2),0,1)</f>
        <v>1</v>
      </c>
      <c r="AL147" s="67">
        <f ca="1">IF(AND(SUMIF(Capacity_Resource,$D147,'Critical resources (hide)'!AY$6:AY$105)+SUMIF(Capacity_Resource,$E147,'Critical resources (hide)'!AY$6:AY$105)+SUMIF(Capacity_Resource,$F147,'Critical resources (hide)'!AY$6:AY$105)&gt;0,$E$1=2),0,1)</f>
        <v>1</v>
      </c>
      <c r="AM147" s="67">
        <f ca="1">IF(AND(SUMIF(Capacity_Resource,$D147,'Critical resources (hide)'!AZ$6:AZ$105)+SUMIF(Capacity_Resource,$E147,'Critical resources (hide)'!AZ$6:AZ$105)+SUMIF(Capacity_Resource,$F147,'Critical resources (hide)'!AZ$6:AZ$105)&gt;0,$E$1=2),0,1)</f>
        <v>1</v>
      </c>
      <c r="AN147" s="67">
        <f ca="1">IF(AND(SUMIF(Capacity_Resource,$D147,'Critical resources (hide)'!BA$6:BA$105)+SUMIF(Capacity_Resource,$E147,'Critical resources (hide)'!BA$6:BA$105)+SUMIF(Capacity_Resource,$F147,'Critical resources (hide)'!BA$6:BA$105)&gt;0,$E$1=2),0,1)</f>
        <v>1</v>
      </c>
      <c r="AO147" s="67">
        <f ca="1">IF(AND(SUMIF(Capacity_Resource,$D147,'Critical resources (hide)'!BB$6:BB$105)+SUMIF(Capacity_Resource,$E147,'Critical resources (hide)'!BB$6:BB$105)+SUMIF(Capacity_Resource,$F147,'Critical resources (hide)'!BB$6:BB$105)&gt;0,$E$1=2),0,1)</f>
        <v>1</v>
      </c>
      <c r="AP147" s="67">
        <f ca="1">IF(AND(SUMIF(Capacity_Resource,$D147,'Critical resources (hide)'!BC$6:BC$105)+SUMIF(Capacity_Resource,$E147,'Critical resources (hide)'!BC$6:BC$105)+SUMIF(Capacity_Resource,$F147,'Critical resources (hide)'!BC$6:BC$105)&gt;0,$E$1=2),0,1)</f>
        <v>1</v>
      </c>
      <c r="AQ147" s="67">
        <f ca="1">IF(AND(SUMIF(Capacity_Resource,$D147,'Critical resources (hide)'!BD$6:BD$105)+SUMIF(Capacity_Resource,$E147,'Critical resources (hide)'!BD$6:BD$105)+SUMIF(Capacity_Resource,$F147,'Critical resources (hide)'!BD$6:BD$105)&gt;0,$E$1=2),0,1)</f>
        <v>1</v>
      </c>
      <c r="AR147" s="67">
        <f ca="1">IF(AND(SUMIF(Capacity_Resource,$D147,'Critical resources (hide)'!BE$6:BE$105)+SUMIF(Capacity_Resource,$E147,'Critical resources (hide)'!BE$6:BE$105)+SUMIF(Capacity_Resource,$F147,'Critical resources (hide)'!BE$6:BE$105)&gt;0,$E$1=2),0,1)</f>
        <v>1</v>
      </c>
      <c r="AS147" s="67">
        <f ca="1">IF(AND(SUMIF(Capacity_Resource,$D147,'Critical resources (hide)'!BF$6:BF$105)+SUMIF(Capacity_Resource,$E147,'Critical resources (hide)'!BF$6:BF$105)+SUMIF(Capacity_Resource,$F147,'Critical resources (hide)'!BF$6:BF$105)&gt;0,$E$1=2),0,1)</f>
        <v>1</v>
      </c>
      <c r="AT147" s="67">
        <f ca="1">IF(AND(SUMIF(Capacity_Resource,$D147,'Critical resources (hide)'!BG$6:BG$105)+SUMIF(Capacity_Resource,$E147,'Critical resources (hide)'!BG$6:BG$105)+SUMIF(Capacity_Resource,$F147,'Critical resources (hide)'!BG$6:BG$105)&gt;0,$E$1=2),0,1)</f>
        <v>1</v>
      </c>
      <c r="AU147" s="67">
        <f ca="1">IF(AND(SUMIF(Capacity_Resource,$D147,'Critical resources (hide)'!BH$6:BH$105)+SUMIF(Capacity_Resource,$E147,'Critical resources (hide)'!BH$6:BH$105)+SUMIF(Capacity_Resource,$F147,'Critical resources (hide)'!BH$6:BH$105)&gt;0,$E$1=2),0,1)</f>
        <v>1</v>
      </c>
      <c r="AV147" s="67">
        <f ca="1">IF(AND(SUMIF(Capacity_Resource,$D147,'Critical resources (hide)'!BI$6:BI$105)+SUMIF(Capacity_Resource,$E147,'Critical resources (hide)'!BI$6:BI$105)+SUMIF(Capacity_Resource,$F147,'Critical resources (hide)'!BI$6:BI$105)&gt;0,$E$1=2),0,1)</f>
        <v>1</v>
      </c>
      <c r="AW147" s="67">
        <f ca="1">IF(AND(SUMIF(Capacity_Resource,$D147,'Critical resources (hide)'!BJ$6:BJ$105)+SUMIF(Capacity_Resource,$E147,'Critical resources (hide)'!BJ$6:BJ$105)+SUMIF(Capacity_Resource,$F147,'Critical resources (hide)'!BJ$6:BJ$105)&gt;0,$E$1=2),0,1)</f>
        <v>1</v>
      </c>
      <c r="AX147" s="67">
        <f ca="1">IF(AND(SUMIF(Capacity_Resource,$D147,'Critical resources (hide)'!BK$6:BK$105)+SUMIF(Capacity_Resource,$E147,'Critical resources (hide)'!BK$6:BK$105)+SUMIF(Capacity_Resource,$F147,'Critical resources (hide)'!BK$6:BK$105)&gt;0,$E$1=2),0,1)</f>
        <v>1</v>
      </c>
      <c r="AY147" s="67">
        <f ca="1">IF(AND(SUMIF(Capacity_Resource,$D147,'Critical resources (hide)'!BL$6:BL$105)+SUMIF(Capacity_Resource,$E147,'Critical resources (hide)'!BL$6:BL$105)+SUMIF(Capacity_Resource,$F147,'Critical resources (hide)'!BL$6:BL$105)&gt;0,$E$1=2),0,1)</f>
        <v>1</v>
      </c>
      <c r="AZ147" s="67">
        <f ca="1">IF(AND(SUMIF(Capacity_Resource,$D147,'Critical resources (hide)'!BM$6:BM$105)+SUMIF(Capacity_Resource,$E147,'Critical resources (hide)'!BM$6:BM$105)+SUMIF(Capacity_Resource,$F147,'Critical resources (hide)'!BM$6:BM$105)&gt;0,$E$1=2),0,1)</f>
        <v>1</v>
      </c>
      <c r="BA147" s="67">
        <f ca="1">IF(AND(SUMIF(Capacity_Resource,$D147,'Critical resources (hide)'!BN$6:BN$105)+SUMIF(Capacity_Resource,$E147,'Critical resources (hide)'!BN$6:BN$105)+SUMIF(Capacity_Resource,$F147,'Critical resources (hide)'!BN$6:BN$105)&gt;0,$E$1=2),0,1)</f>
        <v>1</v>
      </c>
      <c r="BB147" s="67">
        <f ca="1">IF(AND(SUMIF(Capacity_Resource,$D147,'Critical resources (hide)'!BO$6:BO$105)+SUMIF(Capacity_Resource,$E147,'Critical resources (hide)'!BO$6:BO$105)+SUMIF(Capacity_Resource,$F147,'Critical resources (hide)'!BO$6:BO$105)&gt;0,$E$1=2),0,1)</f>
        <v>1</v>
      </c>
      <c r="BC147" s="67">
        <f ca="1">IF(AND(SUMIF(Capacity_Resource,$D147,'Critical resources (hide)'!BP$6:BP$105)+SUMIF(Capacity_Resource,$E147,'Critical resources (hide)'!BP$6:BP$105)+SUMIF(Capacity_Resource,$F147,'Critical resources (hide)'!BP$6:BP$105)&gt;0,$E$1=2),0,1)</f>
        <v>1</v>
      </c>
      <c r="BD147" s="67">
        <f ca="1">IF(AND(SUMIF(Capacity_Resource,$D147,'Critical resources (hide)'!BQ$6:BQ$105)+SUMIF(Capacity_Resource,$E147,'Critical resources (hide)'!BQ$6:BQ$105)+SUMIF(Capacity_Resource,$F147,'Critical resources (hide)'!BQ$6:BQ$105)&gt;0,$E$1=2),0,1)</f>
        <v>1</v>
      </c>
      <c r="BE147" s="67">
        <f ca="1">IF(AND(SUMIF(Capacity_Resource,$D147,'Critical resources (hide)'!BR$6:BR$105)+SUMIF(Capacity_Resource,$E147,'Critical resources (hide)'!BR$6:BR$105)+SUMIF(Capacity_Resource,$F147,'Critical resources (hide)'!BR$6:BR$105)&gt;0,$E$1=2),0,1)</f>
        <v>1</v>
      </c>
      <c r="BF147" s="67">
        <f ca="1">IF(AND(SUMIF(Capacity_Resource,$D147,'Critical resources (hide)'!BS$6:BS$105)+SUMIF(Capacity_Resource,$E147,'Critical resources (hide)'!BS$6:BS$105)+SUMIF(Capacity_Resource,$F147,'Critical resources (hide)'!BS$6:BS$105)&gt;0,$E$1=2),0,1)</f>
        <v>1</v>
      </c>
      <c r="BG147" s="67">
        <f ca="1">IF(AND(SUMIF(Capacity_Resource,$D147,'Critical resources (hide)'!BT$6:BT$105)+SUMIF(Capacity_Resource,$E147,'Critical resources (hide)'!BT$6:BT$105)+SUMIF(Capacity_Resource,$F147,'Critical resources (hide)'!BT$6:BT$105)&gt;0,$E$1=2),0,1)</f>
        <v>1</v>
      </c>
      <c r="BH147" s="67">
        <f>IF(ROW(A36)&lt;=Capacity!$M$16,IF('Capacity summary'!$C$14="No",SUM(H147:BG147),'Capacity summary'!$E59),0)</f>
        <v>0</v>
      </c>
      <c r="BI147" s="67" t="str">
        <f>IF(BH147&gt;0,IF(BH147&lt;Capacity!Q52,Capacity!R52,Capacity!T52/'Capacity calculation (hide)'!BH147),"")</f>
        <v/>
      </c>
      <c r="BJ147" s="5"/>
      <c r="BK147" s="5">
        <f>IF($BI147&lt;&gt;"",IF('Capacity summary'!$C$14="Yes",IF(COUNTBLANK('Capacity summary'!$H59:$BG59)&lt;52,IF('Capacity summary'!H59&lt;&gt;"",IF(LOWER('Capacity summary'!H59)="x",$BI147*H147,VALUE('Capacity summary'!H59)),0),H147*$BI147),H147*$BI147),0)</f>
        <v>0</v>
      </c>
      <c r="BL147" s="5">
        <f>IF($BI147&lt;&gt;"",IF('Capacity summary'!$C$14="Yes",IF(COUNTBLANK('Capacity summary'!$H59:$BG59)&lt;52,IF('Capacity summary'!I59&lt;&gt;"",IF(LOWER('Capacity summary'!I59)="x",$BI147*I147,VALUE('Capacity summary'!I59)),0),I147*$BI147),I147*$BI147),0)</f>
        <v>0</v>
      </c>
      <c r="BM147" s="5">
        <f>IF($BI147&lt;&gt;"",IF('Capacity summary'!$C$14="Yes",IF(COUNTBLANK('Capacity summary'!$H59:$BG59)&lt;52,IF('Capacity summary'!J59&lt;&gt;"",IF(LOWER('Capacity summary'!J59)="x",$BI147*J147,VALUE('Capacity summary'!J59)),0),J147*$BI147),J147*$BI147),0)</f>
        <v>0</v>
      </c>
      <c r="BN147" s="5">
        <f>IF($BI147&lt;&gt;"",IF('Capacity summary'!$C$14="Yes",IF(COUNTBLANK('Capacity summary'!$H59:$BG59)&lt;52,IF('Capacity summary'!K59&lt;&gt;"",IF(LOWER('Capacity summary'!K59)="x",$BI147*K147,VALUE('Capacity summary'!K59)),0),K147*$BI147),K147*$BI147),0)</f>
        <v>0</v>
      </c>
      <c r="BO147" s="5">
        <f>IF($BI147&lt;&gt;"",IF('Capacity summary'!$C$14="Yes",IF(COUNTBLANK('Capacity summary'!$H59:$BG59)&lt;52,IF('Capacity summary'!L59&lt;&gt;"",IF(LOWER('Capacity summary'!L59)="x",$BI147*L147,VALUE('Capacity summary'!L59)),0),L147*$BI147),L147*$BI147),0)</f>
        <v>0</v>
      </c>
      <c r="BP147" s="5">
        <f>IF($BI147&lt;&gt;"",IF('Capacity summary'!$C$14="Yes",IF(COUNTBLANK('Capacity summary'!$H59:$BG59)&lt;52,IF('Capacity summary'!M59&lt;&gt;"",IF(LOWER('Capacity summary'!M59)="x",$BI147*M147,VALUE('Capacity summary'!M59)),0),M147*$BI147),M147*$BI147),0)</f>
        <v>0</v>
      </c>
      <c r="BQ147" s="5">
        <f>IF($BI147&lt;&gt;"",IF('Capacity summary'!$C$14="Yes",IF(COUNTBLANK('Capacity summary'!$H59:$BG59)&lt;52,IF('Capacity summary'!N59&lt;&gt;"",IF(LOWER('Capacity summary'!N59)="x",$BI147*N147,VALUE('Capacity summary'!N59)),0),N147*$BI147),N147*$BI147),0)</f>
        <v>0</v>
      </c>
      <c r="BR147" s="5">
        <f>IF($BI147&lt;&gt;"",IF('Capacity summary'!$C$14="Yes",IF(COUNTBLANK('Capacity summary'!$H59:$BG59)&lt;52,IF('Capacity summary'!O59&lt;&gt;"",IF(LOWER('Capacity summary'!O59)="x",$BI147*O147,VALUE('Capacity summary'!O59)),0),O147*$BI147),O147*$BI147),0)</f>
        <v>0</v>
      </c>
      <c r="BS147" s="5">
        <f>IF($BI147&lt;&gt;"",IF('Capacity summary'!$C$14="Yes",IF(COUNTBLANK('Capacity summary'!$H59:$BG59)&lt;52,IF('Capacity summary'!P59&lt;&gt;"",IF(LOWER('Capacity summary'!P59)="x",$BI147*P147,VALUE('Capacity summary'!P59)),0),P147*$BI147),P147*$BI147),0)</f>
        <v>0</v>
      </c>
      <c r="BT147" s="5">
        <f>IF($BI147&lt;&gt;"",IF('Capacity summary'!$C$14="Yes",IF(COUNTBLANK('Capacity summary'!$H59:$BG59)&lt;52,IF('Capacity summary'!Q59&lt;&gt;"",IF(LOWER('Capacity summary'!Q59)="x",$BI147*Q147,VALUE('Capacity summary'!Q59)),0),Q147*$BI147),Q147*$BI147),0)</f>
        <v>0</v>
      </c>
      <c r="BU147" s="5">
        <f>IF($BI147&lt;&gt;"",IF('Capacity summary'!$C$14="Yes",IF(COUNTBLANK('Capacity summary'!$H59:$BG59)&lt;52,IF('Capacity summary'!R59&lt;&gt;"",IF(LOWER('Capacity summary'!R59)="x",$BI147*R147,VALUE('Capacity summary'!R59)),0),R147*$BI147),R147*$BI147),0)</f>
        <v>0</v>
      </c>
      <c r="BV147" s="5">
        <f>IF($BI147&lt;&gt;"",IF('Capacity summary'!$C$14="Yes",IF(COUNTBLANK('Capacity summary'!$H59:$BG59)&lt;52,IF('Capacity summary'!S59&lt;&gt;"",IF(LOWER('Capacity summary'!S59)="x",$BI147*S147,VALUE('Capacity summary'!S59)),0),S147*$BI147),S147*$BI147),0)</f>
        <v>0</v>
      </c>
      <c r="BW147" s="5">
        <f>IF($BI147&lt;&gt;"",IF('Capacity summary'!$C$14="Yes",IF(COUNTBLANK('Capacity summary'!$H59:$BG59)&lt;52,IF('Capacity summary'!T59&lt;&gt;"",IF(LOWER('Capacity summary'!T59)="x",$BI147*T147,VALUE('Capacity summary'!T59)),0),T147*$BI147),T147*$BI147),0)</f>
        <v>0</v>
      </c>
      <c r="BX147" s="5">
        <f>IF($BI147&lt;&gt;"",IF('Capacity summary'!$C$14="Yes",IF(COUNTBLANK('Capacity summary'!$H59:$BG59)&lt;52,IF('Capacity summary'!U59&lt;&gt;"",IF(LOWER('Capacity summary'!U59)="x",$BI147*U147,VALUE('Capacity summary'!U59)),0),U147*$BI147),U147*$BI147),0)</f>
        <v>0</v>
      </c>
      <c r="BY147" s="5">
        <f>IF($BI147&lt;&gt;"",IF('Capacity summary'!$C$14="Yes",IF(COUNTBLANK('Capacity summary'!$H59:$BG59)&lt;52,IF('Capacity summary'!V59&lt;&gt;"",IF(LOWER('Capacity summary'!V59)="x",$BI147*V147,VALUE('Capacity summary'!V59)),0),V147*$BI147),V147*$BI147),0)</f>
        <v>0</v>
      </c>
      <c r="BZ147" s="5">
        <f>IF($BI147&lt;&gt;"",IF('Capacity summary'!$C$14="Yes",IF(COUNTBLANK('Capacity summary'!$H59:$BG59)&lt;52,IF('Capacity summary'!W59&lt;&gt;"",IF(LOWER('Capacity summary'!W59)="x",$BI147*W147,VALUE('Capacity summary'!W59)),0),W147*$BI147),W147*$BI147),0)</f>
        <v>0</v>
      </c>
      <c r="CA147" s="5">
        <f>IF($BI147&lt;&gt;"",IF('Capacity summary'!$C$14="Yes",IF(COUNTBLANK('Capacity summary'!$H59:$BG59)&lt;52,IF('Capacity summary'!X59&lt;&gt;"",IF(LOWER('Capacity summary'!X59)="x",$BI147*X147,VALUE('Capacity summary'!X59)),0),X147*$BI147),X147*$BI147),0)</f>
        <v>0</v>
      </c>
      <c r="CB147" s="5">
        <f>IF($BI147&lt;&gt;"",IF('Capacity summary'!$C$14="Yes",IF(COUNTBLANK('Capacity summary'!$H59:$BG59)&lt;52,IF('Capacity summary'!Y59&lt;&gt;"",IF(LOWER('Capacity summary'!Y59)="x",$BI147*Y147,VALUE('Capacity summary'!Y59)),0),Y147*$BI147),Y147*$BI147),0)</f>
        <v>0</v>
      </c>
      <c r="CC147" s="5">
        <f>IF($BI147&lt;&gt;"",IF('Capacity summary'!$C$14="Yes",IF(COUNTBLANK('Capacity summary'!$H59:$BG59)&lt;52,IF('Capacity summary'!Z59&lt;&gt;"",IF(LOWER('Capacity summary'!Z59)="x",$BI147*Z147,VALUE('Capacity summary'!Z59)),0),Z147*$BI147),Z147*$BI147),0)</f>
        <v>0</v>
      </c>
      <c r="CD147" s="5">
        <f>IF($BI147&lt;&gt;"",IF('Capacity summary'!$C$14="Yes",IF(COUNTBLANK('Capacity summary'!$H59:$BG59)&lt;52,IF('Capacity summary'!AA59&lt;&gt;"",IF(LOWER('Capacity summary'!AA59)="x",$BI147*AA147,VALUE('Capacity summary'!AA59)),0),AA147*$BI147),AA147*$BI147),0)</f>
        <v>0</v>
      </c>
      <c r="CE147" s="5">
        <f>IF($BI147&lt;&gt;"",IF('Capacity summary'!$C$14="Yes",IF(COUNTBLANK('Capacity summary'!$H59:$BG59)&lt;52,IF('Capacity summary'!AB59&lt;&gt;"",IF(LOWER('Capacity summary'!AB59)="x",$BI147*AB147,VALUE('Capacity summary'!AB59)),0),AB147*$BI147),AB147*$BI147),0)</f>
        <v>0</v>
      </c>
      <c r="CF147" s="5">
        <f>IF($BI147&lt;&gt;"",IF('Capacity summary'!$C$14="Yes",IF(COUNTBLANK('Capacity summary'!$H59:$BG59)&lt;52,IF('Capacity summary'!AC59&lt;&gt;"",IF(LOWER('Capacity summary'!AC59)="x",$BI147*AC147,VALUE('Capacity summary'!AC59)),0),AC147*$BI147),AC147*$BI147),0)</f>
        <v>0</v>
      </c>
      <c r="CG147" s="5">
        <f>IF($BI147&lt;&gt;"",IF('Capacity summary'!$C$14="Yes",IF(COUNTBLANK('Capacity summary'!$H59:$BG59)&lt;52,IF('Capacity summary'!AD59&lt;&gt;"",IF(LOWER('Capacity summary'!AD59)="x",$BI147*AD147,VALUE('Capacity summary'!AD59)),0),AD147*$BI147),AD147*$BI147),0)</f>
        <v>0</v>
      </c>
      <c r="CH147" s="5">
        <f>IF($BI147&lt;&gt;"",IF('Capacity summary'!$C$14="Yes",IF(COUNTBLANK('Capacity summary'!$H59:$BG59)&lt;52,IF('Capacity summary'!AE59&lt;&gt;"",IF(LOWER('Capacity summary'!AE59)="x",$BI147*AE147,VALUE('Capacity summary'!AE59)),0),AE147*$BI147),AE147*$BI147),0)</f>
        <v>0</v>
      </c>
      <c r="CI147" s="5">
        <f>IF($BI147&lt;&gt;"",IF('Capacity summary'!$C$14="Yes",IF(COUNTBLANK('Capacity summary'!$H59:$BG59)&lt;52,IF('Capacity summary'!AF59&lt;&gt;"",IF(LOWER('Capacity summary'!AF59)="x",$BI147*AF147,VALUE('Capacity summary'!AF59)),0),AF147*$BI147),AF147*$BI147),0)</f>
        <v>0</v>
      </c>
      <c r="CJ147" s="5">
        <f>IF($BI147&lt;&gt;"",IF('Capacity summary'!$C$14="Yes",IF(COUNTBLANK('Capacity summary'!$H59:$BG59)&lt;52,IF('Capacity summary'!AG59&lt;&gt;"",IF(LOWER('Capacity summary'!AG59)="x",$BI147*AG147,VALUE('Capacity summary'!AG59)),0),AG147*$BI147),AG147*$BI147),0)</f>
        <v>0</v>
      </c>
      <c r="CK147" s="5">
        <f>IF($BI147&lt;&gt;"",IF('Capacity summary'!$C$14="Yes",IF(COUNTBLANK('Capacity summary'!$H59:$BG59)&lt;52,IF('Capacity summary'!AH59&lt;&gt;"",IF(LOWER('Capacity summary'!AH59)="x",$BI147*AH147,VALUE('Capacity summary'!AH59)),0),AH147*$BI147),AH147*$BI147),0)</f>
        <v>0</v>
      </c>
      <c r="CL147" s="5">
        <f>IF($BI147&lt;&gt;"",IF('Capacity summary'!$C$14="Yes",IF(COUNTBLANK('Capacity summary'!$H59:$BG59)&lt;52,IF('Capacity summary'!AI59&lt;&gt;"",IF(LOWER('Capacity summary'!AI59)="x",$BI147*AI147,VALUE('Capacity summary'!AI59)),0),AI147*$BI147),AI147*$BI147),0)</f>
        <v>0</v>
      </c>
      <c r="CM147" s="5">
        <f>IF($BI147&lt;&gt;"",IF('Capacity summary'!$C$14="Yes",IF(COUNTBLANK('Capacity summary'!$H59:$BG59)&lt;52,IF('Capacity summary'!AJ59&lt;&gt;"",IF(LOWER('Capacity summary'!AJ59)="x",$BI147*AJ147,VALUE('Capacity summary'!AJ59)),0),AJ147*$BI147),AJ147*$BI147),0)</f>
        <v>0</v>
      </c>
      <c r="CN147" s="5">
        <f>IF($BI147&lt;&gt;"",IF('Capacity summary'!$C$14="Yes",IF(COUNTBLANK('Capacity summary'!$H59:$BG59)&lt;52,IF('Capacity summary'!AK59&lt;&gt;"",IF(LOWER('Capacity summary'!AK59)="x",$BI147*AK147,VALUE('Capacity summary'!AK59)),0),AK147*$BI147),AK147*$BI147),0)</f>
        <v>0</v>
      </c>
      <c r="CO147" s="5">
        <f>IF($BI147&lt;&gt;"",IF('Capacity summary'!$C$14="Yes",IF(COUNTBLANK('Capacity summary'!$H59:$BG59)&lt;52,IF('Capacity summary'!AL59&lt;&gt;"",IF(LOWER('Capacity summary'!AL59)="x",$BI147*AL147,VALUE('Capacity summary'!AL59)),0),AL147*$BI147),AL147*$BI147),0)</f>
        <v>0</v>
      </c>
      <c r="CP147" s="5">
        <f>IF($BI147&lt;&gt;"",IF('Capacity summary'!$C$14="Yes",IF(COUNTBLANK('Capacity summary'!$H59:$BG59)&lt;52,IF('Capacity summary'!AM59&lt;&gt;"",IF(LOWER('Capacity summary'!AM59)="x",$BI147*AM147,VALUE('Capacity summary'!AM59)),0),AM147*$BI147),AM147*$BI147),0)</f>
        <v>0</v>
      </c>
      <c r="CQ147" s="5">
        <f>IF($BI147&lt;&gt;"",IF('Capacity summary'!$C$14="Yes",IF(COUNTBLANK('Capacity summary'!$H59:$BG59)&lt;52,IF('Capacity summary'!AN59&lt;&gt;"",IF(LOWER('Capacity summary'!AN59)="x",$BI147*AN147,VALUE('Capacity summary'!AN59)),0),AN147*$BI147),AN147*$BI147),0)</f>
        <v>0</v>
      </c>
      <c r="CR147" s="5">
        <f>IF($BI147&lt;&gt;"",IF('Capacity summary'!$C$14="Yes",IF(COUNTBLANK('Capacity summary'!$H59:$BG59)&lt;52,IF('Capacity summary'!AO59&lt;&gt;"",IF(LOWER('Capacity summary'!AO59)="x",$BI147*AO147,VALUE('Capacity summary'!AO59)),0),AO147*$BI147),AO147*$BI147),0)</f>
        <v>0</v>
      </c>
      <c r="CS147" s="5">
        <f>IF($BI147&lt;&gt;"",IF('Capacity summary'!$C$14="Yes",IF(COUNTBLANK('Capacity summary'!$H59:$BG59)&lt;52,IF('Capacity summary'!AP59&lt;&gt;"",IF(LOWER('Capacity summary'!AP59)="x",$BI147*AP147,VALUE('Capacity summary'!AP59)),0),AP147*$BI147),AP147*$BI147),0)</f>
        <v>0</v>
      </c>
      <c r="CT147" s="5">
        <f>IF($BI147&lt;&gt;"",IF('Capacity summary'!$C$14="Yes",IF(COUNTBLANK('Capacity summary'!$H59:$BG59)&lt;52,IF('Capacity summary'!AQ59&lt;&gt;"",IF(LOWER('Capacity summary'!AQ59)="x",$BI147*AQ147,VALUE('Capacity summary'!AQ59)),0),AQ147*$BI147),AQ147*$BI147),0)</f>
        <v>0</v>
      </c>
      <c r="CU147" s="5">
        <f>IF($BI147&lt;&gt;"",IF('Capacity summary'!$C$14="Yes",IF(COUNTBLANK('Capacity summary'!$H59:$BG59)&lt;52,IF('Capacity summary'!AR59&lt;&gt;"",IF(LOWER('Capacity summary'!AR59)="x",$BI147*AR147,VALUE('Capacity summary'!AR59)),0),AR147*$BI147),AR147*$BI147),0)</f>
        <v>0</v>
      </c>
      <c r="CV147" s="5">
        <f>IF($BI147&lt;&gt;"",IF('Capacity summary'!$C$14="Yes",IF(COUNTBLANK('Capacity summary'!$H59:$BG59)&lt;52,IF('Capacity summary'!AS59&lt;&gt;"",IF(LOWER('Capacity summary'!AS59)="x",$BI147*AS147,VALUE('Capacity summary'!AS59)),0),AS147*$BI147),AS147*$BI147),0)</f>
        <v>0</v>
      </c>
      <c r="CW147" s="5">
        <f>IF($BI147&lt;&gt;"",IF('Capacity summary'!$C$14="Yes",IF(COUNTBLANK('Capacity summary'!$H59:$BG59)&lt;52,IF('Capacity summary'!AT59&lt;&gt;"",IF(LOWER('Capacity summary'!AT59)="x",$BI147*AT147,VALUE('Capacity summary'!AT59)),0),AT147*$BI147),AT147*$BI147),0)</f>
        <v>0</v>
      </c>
      <c r="CX147" s="5">
        <f>IF($BI147&lt;&gt;"",IF('Capacity summary'!$C$14="Yes",IF(COUNTBLANK('Capacity summary'!$H59:$BG59)&lt;52,IF('Capacity summary'!AU59&lt;&gt;"",IF(LOWER('Capacity summary'!AU59)="x",$BI147*AU147,VALUE('Capacity summary'!AU59)),0),AU147*$BI147),AU147*$BI147),0)</f>
        <v>0</v>
      </c>
      <c r="CY147" s="5">
        <f>IF($BI147&lt;&gt;"",IF('Capacity summary'!$C$14="Yes",IF(COUNTBLANK('Capacity summary'!$H59:$BG59)&lt;52,IF('Capacity summary'!AV59&lt;&gt;"",IF(LOWER('Capacity summary'!AV59)="x",$BI147*AV147,VALUE('Capacity summary'!AV59)),0),AV147*$BI147),AV147*$BI147),0)</f>
        <v>0</v>
      </c>
      <c r="CZ147" s="5">
        <f>IF($BI147&lt;&gt;"",IF('Capacity summary'!$C$14="Yes",IF(COUNTBLANK('Capacity summary'!$H59:$BG59)&lt;52,IF('Capacity summary'!AW59&lt;&gt;"",IF(LOWER('Capacity summary'!AW59)="x",$BI147*AW147,VALUE('Capacity summary'!AW59)),0),AW147*$BI147),AW147*$BI147),0)</f>
        <v>0</v>
      </c>
      <c r="DA147" s="5">
        <f>IF($BI147&lt;&gt;"",IF('Capacity summary'!$C$14="Yes",IF(COUNTBLANK('Capacity summary'!$H59:$BG59)&lt;52,IF('Capacity summary'!AX59&lt;&gt;"",IF(LOWER('Capacity summary'!AX59)="x",$BI147*AX147,VALUE('Capacity summary'!AX59)),0),AX147*$BI147),AX147*$BI147),0)</f>
        <v>0</v>
      </c>
      <c r="DB147" s="5">
        <f>IF($BI147&lt;&gt;"",IF('Capacity summary'!$C$14="Yes",IF(COUNTBLANK('Capacity summary'!$H59:$BG59)&lt;52,IF('Capacity summary'!AY59&lt;&gt;"",IF(LOWER('Capacity summary'!AY59)="x",$BI147*AY147,VALUE('Capacity summary'!AY59)),0),AY147*$BI147),AY147*$BI147),0)</f>
        <v>0</v>
      </c>
      <c r="DC147" s="5">
        <f>IF($BI147&lt;&gt;"",IF('Capacity summary'!$C$14="Yes",IF(COUNTBLANK('Capacity summary'!$H59:$BG59)&lt;52,IF('Capacity summary'!AZ59&lt;&gt;"",IF(LOWER('Capacity summary'!AZ59)="x",$BI147*AZ147,VALUE('Capacity summary'!AZ59)),0),AZ147*$BI147),AZ147*$BI147),0)</f>
        <v>0</v>
      </c>
      <c r="DD147" s="5">
        <f>IF($BI147&lt;&gt;"",IF('Capacity summary'!$C$14="Yes",IF(COUNTBLANK('Capacity summary'!$H59:$BG59)&lt;52,IF('Capacity summary'!BA59&lt;&gt;"",IF(LOWER('Capacity summary'!BA59)="x",$BI147*BA147,VALUE('Capacity summary'!BA59)),0),BA147*$BI147),BA147*$BI147),0)</f>
        <v>0</v>
      </c>
      <c r="DE147" s="5">
        <f>IF($BI147&lt;&gt;"",IF('Capacity summary'!$C$14="Yes",IF(COUNTBLANK('Capacity summary'!$H59:$BG59)&lt;52,IF('Capacity summary'!BB59&lt;&gt;"",IF(LOWER('Capacity summary'!BB59)="x",$BI147*BB147,VALUE('Capacity summary'!BB59)),0),BB147*$BI147),BB147*$BI147),0)</f>
        <v>0</v>
      </c>
      <c r="DF147" s="5">
        <f>IF($BI147&lt;&gt;"",IF('Capacity summary'!$C$14="Yes",IF(COUNTBLANK('Capacity summary'!$H59:$BG59)&lt;52,IF('Capacity summary'!BC59&lt;&gt;"",IF(LOWER('Capacity summary'!BC59)="x",$BI147*BC147,VALUE('Capacity summary'!BC59)),0),BC147*$BI147),BC147*$BI147),0)</f>
        <v>0</v>
      </c>
      <c r="DG147" s="5">
        <f>IF($BI147&lt;&gt;"",IF('Capacity summary'!$C$14="Yes",IF(COUNTBLANK('Capacity summary'!$H59:$BG59)&lt;52,IF('Capacity summary'!BD59&lt;&gt;"",IF(LOWER('Capacity summary'!BD59)="x",$BI147*BD147,VALUE('Capacity summary'!BD59)),0),BD147*$BI147),BD147*$BI147),0)</f>
        <v>0</v>
      </c>
      <c r="DH147" s="5">
        <f>IF($BI147&lt;&gt;"",IF('Capacity summary'!$C$14="Yes",IF(COUNTBLANK('Capacity summary'!$H59:$BG59)&lt;52,IF('Capacity summary'!BE59&lt;&gt;"",IF(LOWER('Capacity summary'!BE59)="x",$BI147*BE147,VALUE('Capacity summary'!BE59)),0),BE147*$BI147),BE147*$BI147),0)</f>
        <v>0</v>
      </c>
      <c r="DI147" s="5">
        <f>IF($BI147&lt;&gt;"",IF('Capacity summary'!$C$14="Yes",IF(COUNTBLANK('Capacity summary'!$H59:$BG59)&lt;52,IF('Capacity summary'!BF59&lt;&gt;"",IF(LOWER('Capacity summary'!BF59)="x",$BI147*BF147,VALUE('Capacity summary'!BF59)),0),BF147*$BI147),BF147*$BI147),0)</f>
        <v>0</v>
      </c>
      <c r="DJ147" s="5">
        <f>IF($BI147&lt;&gt;"",IF('Capacity summary'!$C$14="Yes",IF(COUNTBLANK('Capacity summary'!$H59:$BG59)&lt;52,IF('Capacity summary'!BG59&lt;&gt;"",IF(LOWER('Capacity summary'!BG59)="x",$BI147*BG147,VALUE('Capacity summary'!BG59)),0),BG147*$BI147),BG147*$BI147),0)</f>
        <v>0</v>
      </c>
      <c r="DK147" s="5">
        <f t="shared" ref="DK147" si="41">SUM(DK148:DK247)</f>
        <v>0</v>
      </c>
    </row>
    <row r="148" spans="3:115" x14ac:dyDescent="0.25">
      <c r="C148" s="67" t="str">
        <f>ROW(A37)&amp;". "&amp;Capacity!N53</f>
        <v xml:space="preserve">37. </v>
      </c>
      <c r="D148" s="67">
        <f>'Capacity setup'!C154</f>
        <v>0</v>
      </c>
      <c r="E148" s="67">
        <f>'Capacity setup'!D154</f>
        <v>0</v>
      </c>
      <c r="F148" s="67">
        <f>'Capacity setup'!E154</f>
        <v>0</v>
      </c>
      <c r="H148" s="67">
        <f ca="1">IF(AND(SUMIF(Capacity_Resource,$D148,'Critical resources (hide)'!U$6:U$105)+SUMIF(Capacity_Resource,$E148,'Critical resources (hide)'!U$6:U$105)+SUMIF(Capacity_Resource,$F148,'Critical resources (hide)'!U$6:U$105)&gt;0,$E$1=2),0,1)</f>
        <v>1</v>
      </c>
      <c r="I148" s="67">
        <f ca="1">IF(AND(SUMIF(Capacity_Resource,$D148,'Critical resources (hide)'!V$6:V$105)+SUMIF(Capacity_Resource,$E148,'Critical resources (hide)'!V$6:V$105)+SUMIF(Capacity_Resource,$F148,'Critical resources (hide)'!V$6:V$105)&gt;0,$E$1=2),0,1)</f>
        <v>1</v>
      </c>
      <c r="J148" s="67">
        <f ca="1">IF(AND(SUMIF(Capacity_Resource,$D148,'Critical resources (hide)'!W$6:W$105)+SUMIF(Capacity_Resource,$E148,'Critical resources (hide)'!W$6:W$105)+SUMIF(Capacity_Resource,$F148,'Critical resources (hide)'!W$6:W$105)&gt;0,$E$1=2),0,1)</f>
        <v>1</v>
      </c>
      <c r="K148" s="67">
        <f ca="1">IF(AND(SUMIF(Capacity_Resource,$D148,'Critical resources (hide)'!X$6:X$105)+SUMIF(Capacity_Resource,$E148,'Critical resources (hide)'!X$6:X$105)+SUMIF(Capacity_Resource,$F148,'Critical resources (hide)'!X$6:X$105)&gt;0,$E$1=2),0,1)</f>
        <v>1</v>
      </c>
      <c r="L148" s="67">
        <f ca="1">IF(AND(SUMIF(Capacity_Resource,$D148,'Critical resources (hide)'!Y$6:Y$105)+SUMIF(Capacity_Resource,$E148,'Critical resources (hide)'!Y$6:Y$105)+SUMIF(Capacity_Resource,$F148,'Critical resources (hide)'!Y$6:Y$105)&gt;0,$E$1=2),0,1)</f>
        <v>1</v>
      </c>
      <c r="M148" s="67">
        <f ca="1">IF(AND(SUMIF(Capacity_Resource,$D148,'Critical resources (hide)'!Z$6:Z$105)+SUMIF(Capacity_Resource,$E148,'Critical resources (hide)'!Z$6:Z$105)+SUMIF(Capacity_Resource,$F148,'Critical resources (hide)'!Z$6:Z$105)&gt;0,$E$1=2),0,1)</f>
        <v>1</v>
      </c>
      <c r="N148" s="67">
        <f ca="1">IF(AND(SUMIF(Capacity_Resource,$D148,'Critical resources (hide)'!AA$6:AA$105)+SUMIF(Capacity_Resource,$E148,'Critical resources (hide)'!AA$6:AA$105)+SUMIF(Capacity_Resource,$F148,'Critical resources (hide)'!AA$6:AA$105)&gt;0,$E$1=2),0,1)</f>
        <v>1</v>
      </c>
      <c r="O148" s="67">
        <f ca="1">IF(AND(SUMIF(Capacity_Resource,$D148,'Critical resources (hide)'!AB$6:AB$105)+SUMIF(Capacity_Resource,$E148,'Critical resources (hide)'!AB$6:AB$105)+SUMIF(Capacity_Resource,$F148,'Critical resources (hide)'!AB$6:AB$105)&gt;0,$E$1=2),0,1)</f>
        <v>1</v>
      </c>
      <c r="P148" s="67">
        <f ca="1">IF(AND(SUMIF(Capacity_Resource,$D148,'Critical resources (hide)'!AC$6:AC$105)+SUMIF(Capacity_Resource,$E148,'Critical resources (hide)'!AC$6:AC$105)+SUMIF(Capacity_Resource,$F148,'Critical resources (hide)'!AC$6:AC$105)&gt;0,$E$1=2),0,1)</f>
        <v>1</v>
      </c>
      <c r="Q148" s="67">
        <f ca="1">IF(AND(SUMIF(Capacity_Resource,$D148,'Critical resources (hide)'!AD$6:AD$105)+SUMIF(Capacity_Resource,$E148,'Critical resources (hide)'!AD$6:AD$105)+SUMIF(Capacity_Resource,$F148,'Critical resources (hide)'!AD$6:AD$105)&gt;0,$E$1=2),0,1)</f>
        <v>1</v>
      </c>
      <c r="R148" s="67">
        <f ca="1">IF(AND(SUMIF(Capacity_Resource,$D148,'Critical resources (hide)'!AE$6:AE$105)+SUMIF(Capacity_Resource,$E148,'Critical resources (hide)'!AE$6:AE$105)+SUMIF(Capacity_Resource,$F148,'Critical resources (hide)'!AE$6:AE$105)&gt;0,$E$1=2),0,1)</f>
        <v>1</v>
      </c>
      <c r="S148" s="67">
        <f ca="1">IF(AND(SUMIF(Capacity_Resource,$D148,'Critical resources (hide)'!AF$6:AF$105)+SUMIF(Capacity_Resource,$E148,'Critical resources (hide)'!AF$6:AF$105)+SUMIF(Capacity_Resource,$F148,'Critical resources (hide)'!AF$6:AF$105)&gt;0,$E$1=2),0,1)</f>
        <v>1</v>
      </c>
      <c r="T148" s="67">
        <f ca="1">IF(AND(SUMIF(Capacity_Resource,$D148,'Critical resources (hide)'!AG$6:AG$105)+SUMIF(Capacity_Resource,$E148,'Critical resources (hide)'!AG$6:AG$105)+SUMIF(Capacity_Resource,$F148,'Critical resources (hide)'!AG$6:AG$105)&gt;0,$E$1=2),0,1)</f>
        <v>1</v>
      </c>
      <c r="U148" s="67">
        <f ca="1">IF(AND(SUMIF(Capacity_Resource,$D148,'Critical resources (hide)'!AH$6:AH$105)+SUMIF(Capacity_Resource,$E148,'Critical resources (hide)'!AH$6:AH$105)+SUMIF(Capacity_Resource,$F148,'Critical resources (hide)'!AH$6:AH$105)&gt;0,$E$1=2),0,1)</f>
        <v>1</v>
      </c>
      <c r="V148" s="67">
        <f ca="1">IF(AND(SUMIF(Capacity_Resource,$D148,'Critical resources (hide)'!AI$6:AI$105)+SUMIF(Capacity_Resource,$E148,'Critical resources (hide)'!AI$6:AI$105)+SUMIF(Capacity_Resource,$F148,'Critical resources (hide)'!AI$6:AI$105)&gt;0,$E$1=2),0,1)</f>
        <v>1</v>
      </c>
      <c r="W148" s="67">
        <f ca="1">IF(AND(SUMIF(Capacity_Resource,$D148,'Critical resources (hide)'!AJ$6:AJ$105)+SUMIF(Capacity_Resource,$E148,'Critical resources (hide)'!AJ$6:AJ$105)+SUMIF(Capacity_Resource,$F148,'Critical resources (hide)'!AJ$6:AJ$105)&gt;0,$E$1=2),0,1)</f>
        <v>1</v>
      </c>
      <c r="X148" s="67">
        <f ca="1">IF(AND(SUMIF(Capacity_Resource,$D148,'Critical resources (hide)'!AK$6:AK$105)+SUMIF(Capacity_Resource,$E148,'Critical resources (hide)'!AK$6:AK$105)+SUMIF(Capacity_Resource,$F148,'Critical resources (hide)'!AK$6:AK$105)&gt;0,$E$1=2),0,1)</f>
        <v>1</v>
      </c>
      <c r="Y148" s="67">
        <f ca="1">IF(AND(SUMIF(Capacity_Resource,$D148,'Critical resources (hide)'!AL$6:AL$105)+SUMIF(Capacity_Resource,$E148,'Critical resources (hide)'!AL$6:AL$105)+SUMIF(Capacity_Resource,$F148,'Critical resources (hide)'!AL$6:AL$105)&gt;0,$E$1=2),0,1)</f>
        <v>1</v>
      </c>
      <c r="Z148" s="67">
        <f ca="1">IF(AND(SUMIF(Capacity_Resource,$D148,'Critical resources (hide)'!AM$6:AM$105)+SUMIF(Capacity_Resource,$E148,'Critical resources (hide)'!AM$6:AM$105)+SUMIF(Capacity_Resource,$F148,'Critical resources (hide)'!AM$6:AM$105)&gt;0,$E$1=2),0,1)</f>
        <v>1</v>
      </c>
      <c r="AA148" s="67">
        <f ca="1">IF(AND(SUMIF(Capacity_Resource,$D148,'Critical resources (hide)'!AN$6:AN$105)+SUMIF(Capacity_Resource,$E148,'Critical resources (hide)'!AN$6:AN$105)+SUMIF(Capacity_Resource,$F148,'Critical resources (hide)'!AN$6:AN$105)&gt;0,$E$1=2),0,1)</f>
        <v>1</v>
      </c>
      <c r="AB148" s="67">
        <f ca="1">IF(AND(SUMIF(Capacity_Resource,$D148,'Critical resources (hide)'!AO$6:AO$105)+SUMIF(Capacity_Resource,$E148,'Critical resources (hide)'!AO$6:AO$105)+SUMIF(Capacity_Resource,$F148,'Critical resources (hide)'!AO$6:AO$105)&gt;0,$E$1=2),0,1)</f>
        <v>1</v>
      </c>
      <c r="AC148" s="67">
        <f ca="1">IF(AND(SUMIF(Capacity_Resource,$D148,'Critical resources (hide)'!AP$6:AP$105)+SUMIF(Capacity_Resource,$E148,'Critical resources (hide)'!AP$6:AP$105)+SUMIF(Capacity_Resource,$F148,'Critical resources (hide)'!AP$6:AP$105)&gt;0,$E$1=2),0,1)</f>
        <v>1</v>
      </c>
      <c r="AD148" s="67">
        <f ca="1">IF(AND(SUMIF(Capacity_Resource,$D148,'Critical resources (hide)'!AQ$6:AQ$105)+SUMIF(Capacity_Resource,$E148,'Critical resources (hide)'!AQ$6:AQ$105)+SUMIF(Capacity_Resource,$F148,'Critical resources (hide)'!AQ$6:AQ$105)&gt;0,$E$1=2),0,1)</f>
        <v>1</v>
      </c>
      <c r="AE148" s="67">
        <f ca="1">IF(AND(SUMIF(Capacity_Resource,$D148,'Critical resources (hide)'!AR$6:AR$105)+SUMIF(Capacity_Resource,$E148,'Critical resources (hide)'!AR$6:AR$105)+SUMIF(Capacity_Resource,$F148,'Critical resources (hide)'!AR$6:AR$105)&gt;0,$E$1=2),0,1)</f>
        <v>1</v>
      </c>
      <c r="AF148" s="67">
        <f ca="1">IF(AND(SUMIF(Capacity_Resource,$D148,'Critical resources (hide)'!AS$6:AS$105)+SUMIF(Capacity_Resource,$E148,'Critical resources (hide)'!AS$6:AS$105)+SUMIF(Capacity_Resource,$F148,'Critical resources (hide)'!AS$6:AS$105)&gt;0,$E$1=2),0,1)</f>
        <v>1</v>
      </c>
      <c r="AG148" s="67">
        <f ca="1">IF(AND(SUMIF(Capacity_Resource,$D148,'Critical resources (hide)'!AT$6:AT$105)+SUMIF(Capacity_Resource,$E148,'Critical resources (hide)'!AT$6:AT$105)+SUMIF(Capacity_Resource,$F148,'Critical resources (hide)'!AT$6:AT$105)&gt;0,$E$1=2),0,1)</f>
        <v>1</v>
      </c>
      <c r="AH148" s="67">
        <f ca="1">IF(AND(SUMIF(Capacity_Resource,$D148,'Critical resources (hide)'!AU$6:AU$105)+SUMIF(Capacity_Resource,$E148,'Critical resources (hide)'!AU$6:AU$105)+SUMIF(Capacity_Resource,$F148,'Critical resources (hide)'!AU$6:AU$105)&gt;0,$E$1=2),0,1)</f>
        <v>1</v>
      </c>
      <c r="AI148" s="67">
        <f ca="1">IF(AND(SUMIF(Capacity_Resource,$D148,'Critical resources (hide)'!AV$6:AV$105)+SUMIF(Capacity_Resource,$E148,'Critical resources (hide)'!AV$6:AV$105)+SUMIF(Capacity_Resource,$F148,'Critical resources (hide)'!AV$6:AV$105)&gt;0,$E$1=2),0,1)</f>
        <v>1</v>
      </c>
      <c r="AJ148" s="67">
        <f ca="1">IF(AND(SUMIF(Capacity_Resource,$D148,'Critical resources (hide)'!AW$6:AW$105)+SUMIF(Capacity_Resource,$E148,'Critical resources (hide)'!AW$6:AW$105)+SUMIF(Capacity_Resource,$F148,'Critical resources (hide)'!AW$6:AW$105)&gt;0,$E$1=2),0,1)</f>
        <v>1</v>
      </c>
      <c r="AK148" s="67">
        <f ca="1">IF(AND(SUMIF(Capacity_Resource,$D148,'Critical resources (hide)'!AX$6:AX$105)+SUMIF(Capacity_Resource,$E148,'Critical resources (hide)'!AX$6:AX$105)+SUMIF(Capacity_Resource,$F148,'Critical resources (hide)'!AX$6:AX$105)&gt;0,$E$1=2),0,1)</f>
        <v>1</v>
      </c>
      <c r="AL148" s="67">
        <f ca="1">IF(AND(SUMIF(Capacity_Resource,$D148,'Critical resources (hide)'!AY$6:AY$105)+SUMIF(Capacity_Resource,$E148,'Critical resources (hide)'!AY$6:AY$105)+SUMIF(Capacity_Resource,$F148,'Critical resources (hide)'!AY$6:AY$105)&gt;0,$E$1=2),0,1)</f>
        <v>1</v>
      </c>
      <c r="AM148" s="67">
        <f ca="1">IF(AND(SUMIF(Capacity_Resource,$D148,'Critical resources (hide)'!AZ$6:AZ$105)+SUMIF(Capacity_Resource,$E148,'Critical resources (hide)'!AZ$6:AZ$105)+SUMIF(Capacity_Resource,$F148,'Critical resources (hide)'!AZ$6:AZ$105)&gt;0,$E$1=2),0,1)</f>
        <v>1</v>
      </c>
      <c r="AN148" s="67">
        <f ca="1">IF(AND(SUMIF(Capacity_Resource,$D148,'Critical resources (hide)'!BA$6:BA$105)+SUMIF(Capacity_Resource,$E148,'Critical resources (hide)'!BA$6:BA$105)+SUMIF(Capacity_Resource,$F148,'Critical resources (hide)'!BA$6:BA$105)&gt;0,$E$1=2),0,1)</f>
        <v>1</v>
      </c>
      <c r="AO148" s="67">
        <f ca="1">IF(AND(SUMIF(Capacity_Resource,$D148,'Critical resources (hide)'!BB$6:BB$105)+SUMIF(Capacity_Resource,$E148,'Critical resources (hide)'!BB$6:BB$105)+SUMIF(Capacity_Resource,$F148,'Critical resources (hide)'!BB$6:BB$105)&gt;0,$E$1=2),0,1)</f>
        <v>1</v>
      </c>
      <c r="AP148" s="67">
        <f ca="1">IF(AND(SUMIF(Capacity_Resource,$D148,'Critical resources (hide)'!BC$6:BC$105)+SUMIF(Capacity_Resource,$E148,'Critical resources (hide)'!BC$6:BC$105)+SUMIF(Capacity_Resource,$F148,'Critical resources (hide)'!BC$6:BC$105)&gt;0,$E$1=2),0,1)</f>
        <v>1</v>
      </c>
      <c r="AQ148" s="67">
        <f ca="1">IF(AND(SUMIF(Capacity_Resource,$D148,'Critical resources (hide)'!BD$6:BD$105)+SUMIF(Capacity_Resource,$E148,'Critical resources (hide)'!BD$6:BD$105)+SUMIF(Capacity_Resource,$F148,'Critical resources (hide)'!BD$6:BD$105)&gt;0,$E$1=2),0,1)</f>
        <v>1</v>
      </c>
      <c r="AR148" s="67">
        <f ca="1">IF(AND(SUMIF(Capacity_Resource,$D148,'Critical resources (hide)'!BE$6:BE$105)+SUMIF(Capacity_Resource,$E148,'Critical resources (hide)'!BE$6:BE$105)+SUMIF(Capacity_Resource,$F148,'Critical resources (hide)'!BE$6:BE$105)&gt;0,$E$1=2),0,1)</f>
        <v>1</v>
      </c>
      <c r="AS148" s="67">
        <f ca="1">IF(AND(SUMIF(Capacity_Resource,$D148,'Critical resources (hide)'!BF$6:BF$105)+SUMIF(Capacity_Resource,$E148,'Critical resources (hide)'!BF$6:BF$105)+SUMIF(Capacity_Resource,$F148,'Critical resources (hide)'!BF$6:BF$105)&gt;0,$E$1=2),0,1)</f>
        <v>1</v>
      </c>
      <c r="AT148" s="67">
        <f ca="1">IF(AND(SUMIF(Capacity_Resource,$D148,'Critical resources (hide)'!BG$6:BG$105)+SUMIF(Capacity_Resource,$E148,'Critical resources (hide)'!BG$6:BG$105)+SUMIF(Capacity_Resource,$F148,'Critical resources (hide)'!BG$6:BG$105)&gt;0,$E$1=2),0,1)</f>
        <v>1</v>
      </c>
      <c r="AU148" s="67">
        <f ca="1">IF(AND(SUMIF(Capacity_Resource,$D148,'Critical resources (hide)'!BH$6:BH$105)+SUMIF(Capacity_Resource,$E148,'Critical resources (hide)'!BH$6:BH$105)+SUMIF(Capacity_Resource,$F148,'Critical resources (hide)'!BH$6:BH$105)&gt;0,$E$1=2),0,1)</f>
        <v>1</v>
      </c>
      <c r="AV148" s="67">
        <f ca="1">IF(AND(SUMIF(Capacity_Resource,$D148,'Critical resources (hide)'!BI$6:BI$105)+SUMIF(Capacity_Resource,$E148,'Critical resources (hide)'!BI$6:BI$105)+SUMIF(Capacity_Resource,$F148,'Critical resources (hide)'!BI$6:BI$105)&gt;0,$E$1=2),0,1)</f>
        <v>1</v>
      </c>
      <c r="AW148" s="67">
        <f ca="1">IF(AND(SUMIF(Capacity_Resource,$D148,'Critical resources (hide)'!BJ$6:BJ$105)+SUMIF(Capacity_Resource,$E148,'Critical resources (hide)'!BJ$6:BJ$105)+SUMIF(Capacity_Resource,$F148,'Critical resources (hide)'!BJ$6:BJ$105)&gt;0,$E$1=2),0,1)</f>
        <v>1</v>
      </c>
      <c r="AX148" s="67">
        <f ca="1">IF(AND(SUMIF(Capacity_Resource,$D148,'Critical resources (hide)'!BK$6:BK$105)+SUMIF(Capacity_Resource,$E148,'Critical resources (hide)'!BK$6:BK$105)+SUMIF(Capacity_Resource,$F148,'Critical resources (hide)'!BK$6:BK$105)&gt;0,$E$1=2),0,1)</f>
        <v>1</v>
      </c>
      <c r="AY148" s="67">
        <f ca="1">IF(AND(SUMIF(Capacity_Resource,$D148,'Critical resources (hide)'!BL$6:BL$105)+SUMIF(Capacity_Resource,$E148,'Critical resources (hide)'!BL$6:BL$105)+SUMIF(Capacity_Resource,$F148,'Critical resources (hide)'!BL$6:BL$105)&gt;0,$E$1=2),0,1)</f>
        <v>1</v>
      </c>
      <c r="AZ148" s="67">
        <f ca="1">IF(AND(SUMIF(Capacity_Resource,$D148,'Critical resources (hide)'!BM$6:BM$105)+SUMIF(Capacity_Resource,$E148,'Critical resources (hide)'!BM$6:BM$105)+SUMIF(Capacity_Resource,$F148,'Critical resources (hide)'!BM$6:BM$105)&gt;0,$E$1=2),0,1)</f>
        <v>1</v>
      </c>
      <c r="BA148" s="67">
        <f ca="1">IF(AND(SUMIF(Capacity_Resource,$D148,'Critical resources (hide)'!BN$6:BN$105)+SUMIF(Capacity_Resource,$E148,'Critical resources (hide)'!BN$6:BN$105)+SUMIF(Capacity_Resource,$F148,'Critical resources (hide)'!BN$6:BN$105)&gt;0,$E$1=2),0,1)</f>
        <v>1</v>
      </c>
      <c r="BB148" s="67">
        <f ca="1">IF(AND(SUMIF(Capacity_Resource,$D148,'Critical resources (hide)'!BO$6:BO$105)+SUMIF(Capacity_Resource,$E148,'Critical resources (hide)'!BO$6:BO$105)+SUMIF(Capacity_Resource,$F148,'Critical resources (hide)'!BO$6:BO$105)&gt;0,$E$1=2),0,1)</f>
        <v>1</v>
      </c>
      <c r="BC148" s="67">
        <f ca="1">IF(AND(SUMIF(Capacity_Resource,$D148,'Critical resources (hide)'!BP$6:BP$105)+SUMIF(Capacity_Resource,$E148,'Critical resources (hide)'!BP$6:BP$105)+SUMIF(Capacity_Resource,$F148,'Critical resources (hide)'!BP$6:BP$105)&gt;0,$E$1=2),0,1)</f>
        <v>1</v>
      </c>
      <c r="BD148" s="67">
        <f ca="1">IF(AND(SUMIF(Capacity_Resource,$D148,'Critical resources (hide)'!BQ$6:BQ$105)+SUMIF(Capacity_Resource,$E148,'Critical resources (hide)'!BQ$6:BQ$105)+SUMIF(Capacity_Resource,$F148,'Critical resources (hide)'!BQ$6:BQ$105)&gt;0,$E$1=2),0,1)</f>
        <v>1</v>
      </c>
      <c r="BE148" s="67">
        <f ca="1">IF(AND(SUMIF(Capacity_Resource,$D148,'Critical resources (hide)'!BR$6:BR$105)+SUMIF(Capacity_Resource,$E148,'Critical resources (hide)'!BR$6:BR$105)+SUMIF(Capacity_Resource,$F148,'Critical resources (hide)'!BR$6:BR$105)&gt;0,$E$1=2),0,1)</f>
        <v>1</v>
      </c>
      <c r="BF148" s="67">
        <f ca="1">IF(AND(SUMIF(Capacity_Resource,$D148,'Critical resources (hide)'!BS$6:BS$105)+SUMIF(Capacity_Resource,$E148,'Critical resources (hide)'!BS$6:BS$105)+SUMIF(Capacity_Resource,$F148,'Critical resources (hide)'!BS$6:BS$105)&gt;0,$E$1=2),0,1)</f>
        <v>1</v>
      </c>
      <c r="BG148" s="67">
        <f ca="1">IF(AND(SUMIF(Capacity_Resource,$D148,'Critical resources (hide)'!BT$6:BT$105)+SUMIF(Capacity_Resource,$E148,'Critical resources (hide)'!BT$6:BT$105)+SUMIF(Capacity_Resource,$F148,'Critical resources (hide)'!BT$6:BT$105)&gt;0,$E$1=2),0,1)</f>
        <v>1</v>
      </c>
      <c r="BH148" s="67">
        <f>IF(ROW(A37)&lt;=Capacity!$M$16,IF('Capacity summary'!$C$14="No",SUM(H148:BG148),'Capacity summary'!$E60),0)</f>
        <v>0</v>
      </c>
      <c r="BI148" s="67" t="str">
        <f>IF(BH148&gt;0,IF(BH148&lt;Capacity!Q53,Capacity!R53,Capacity!T53/'Capacity calculation (hide)'!BH148),"")</f>
        <v/>
      </c>
      <c r="BJ148" s="5"/>
      <c r="BK148" s="5">
        <f>IF($BI148&lt;&gt;"",IF('Capacity summary'!$C$14="Yes",IF(COUNTBLANK('Capacity summary'!$H60:$BG60)&lt;52,IF('Capacity summary'!H60&lt;&gt;"",IF(LOWER('Capacity summary'!H60)="x",$BI148*H148,VALUE('Capacity summary'!H60)),0),H148*$BI148),H148*$BI148),0)</f>
        <v>0</v>
      </c>
      <c r="BL148" s="5">
        <f>IF($BI148&lt;&gt;"",IF('Capacity summary'!$C$14="Yes",IF(COUNTBLANK('Capacity summary'!$H60:$BG60)&lt;52,IF('Capacity summary'!I60&lt;&gt;"",IF(LOWER('Capacity summary'!I60)="x",$BI148*I148,VALUE('Capacity summary'!I60)),0),I148*$BI148),I148*$BI148),0)</f>
        <v>0</v>
      </c>
      <c r="BM148" s="5">
        <f>IF($BI148&lt;&gt;"",IF('Capacity summary'!$C$14="Yes",IF(COUNTBLANK('Capacity summary'!$H60:$BG60)&lt;52,IF('Capacity summary'!J60&lt;&gt;"",IF(LOWER('Capacity summary'!J60)="x",$BI148*J148,VALUE('Capacity summary'!J60)),0),J148*$BI148),J148*$BI148),0)</f>
        <v>0</v>
      </c>
      <c r="BN148" s="5">
        <f>IF($BI148&lt;&gt;"",IF('Capacity summary'!$C$14="Yes",IF(COUNTBLANK('Capacity summary'!$H60:$BG60)&lt;52,IF('Capacity summary'!K60&lt;&gt;"",IF(LOWER('Capacity summary'!K60)="x",$BI148*K148,VALUE('Capacity summary'!K60)),0),K148*$BI148),K148*$BI148),0)</f>
        <v>0</v>
      </c>
      <c r="BO148" s="5">
        <f>IF($BI148&lt;&gt;"",IF('Capacity summary'!$C$14="Yes",IF(COUNTBLANK('Capacity summary'!$H60:$BG60)&lt;52,IF('Capacity summary'!L60&lt;&gt;"",IF(LOWER('Capacity summary'!L60)="x",$BI148*L148,VALUE('Capacity summary'!L60)),0),L148*$BI148),L148*$BI148),0)</f>
        <v>0</v>
      </c>
      <c r="BP148" s="5">
        <f>IF($BI148&lt;&gt;"",IF('Capacity summary'!$C$14="Yes",IF(COUNTBLANK('Capacity summary'!$H60:$BG60)&lt;52,IF('Capacity summary'!M60&lt;&gt;"",IF(LOWER('Capacity summary'!M60)="x",$BI148*M148,VALUE('Capacity summary'!M60)),0),M148*$BI148),M148*$BI148),0)</f>
        <v>0</v>
      </c>
      <c r="BQ148" s="5">
        <f>IF($BI148&lt;&gt;"",IF('Capacity summary'!$C$14="Yes",IF(COUNTBLANK('Capacity summary'!$H60:$BG60)&lt;52,IF('Capacity summary'!N60&lt;&gt;"",IF(LOWER('Capacity summary'!N60)="x",$BI148*N148,VALUE('Capacity summary'!N60)),0),N148*$BI148),N148*$BI148),0)</f>
        <v>0</v>
      </c>
      <c r="BR148" s="5">
        <f>IF($BI148&lt;&gt;"",IF('Capacity summary'!$C$14="Yes",IF(COUNTBLANK('Capacity summary'!$H60:$BG60)&lt;52,IF('Capacity summary'!O60&lt;&gt;"",IF(LOWER('Capacity summary'!O60)="x",$BI148*O148,VALUE('Capacity summary'!O60)),0),O148*$BI148),O148*$BI148),0)</f>
        <v>0</v>
      </c>
      <c r="BS148" s="5">
        <f>IF($BI148&lt;&gt;"",IF('Capacity summary'!$C$14="Yes",IF(COUNTBLANK('Capacity summary'!$H60:$BG60)&lt;52,IF('Capacity summary'!P60&lt;&gt;"",IF(LOWER('Capacity summary'!P60)="x",$BI148*P148,VALUE('Capacity summary'!P60)),0),P148*$BI148),P148*$BI148),0)</f>
        <v>0</v>
      </c>
      <c r="BT148" s="5">
        <f>IF($BI148&lt;&gt;"",IF('Capacity summary'!$C$14="Yes",IF(COUNTBLANK('Capacity summary'!$H60:$BG60)&lt;52,IF('Capacity summary'!Q60&lt;&gt;"",IF(LOWER('Capacity summary'!Q60)="x",$BI148*Q148,VALUE('Capacity summary'!Q60)),0),Q148*$BI148),Q148*$BI148),0)</f>
        <v>0</v>
      </c>
      <c r="BU148" s="5">
        <f>IF($BI148&lt;&gt;"",IF('Capacity summary'!$C$14="Yes",IF(COUNTBLANK('Capacity summary'!$H60:$BG60)&lt;52,IF('Capacity summary'!R60&lt;&gt;"",IF(LOWER('Capacity summary'!R60)="x",$BI148*R148,VALUE('Capacity summary'!R60)),0),R148*$BI148),R148*$BI148),0)</f>
        <v>0</v>
      </c>
      <c r="BV148" s="5">
        <f>IF($BI148&lt;&gt;"",IF('Capacity summary'!$C$14="Yes",IF(COUNTBLANK('Capacity summary'!$H60:$BG60)&lt;52,IF('Capacity summary'!S60&lt;&gt;"",IF(LOWER('Capacity summary'!S60)="x",$BI148*S148,VALUE('Capacity summary'!S60)),0),S148*$BI148),S148*$BI148),0)</f>
        <v>0</v>
      </c>
      <c r="BW148" s="5">
        <f>IF($BI148&lt;&gt;"",IF('Capacity summary'!$C$14="Yes",IF(COUNTBLANK('Capacity summary'!$H60:$BG60)&lt;52,IF('Capacity summary'!T60&lt;&gt;"",IF(LOWER('Capacity summary'!T60)="x",$BI148*T148,VALUE('Capacity summary'!T60)),0),T148*$BI148),T148*$BI148),0)</f>
        <v>0</v>
      </c>
      <c r="BX148" s="5">
        <f>IF($BI148&lt;&gt;"",IF('Capacity summary'!$C$14="Yes",IF(COUNTBLANK('Capacity summary'!$H60:$BG60)&lt;52,IF('Capacity summary'!U60&lt;&gt;"",IF(LOWER('Capacity summary'!U60)="x",$BI148*U148,VALUE('Capacity summary'!U60)),0),U148*$BI148),U148*$BI148),0)</f>
        <v>0</v>
      </c>
      <c r="BY148" s="5">
        <f>IF($BI148&lt;&gt;"",IF('Capacity summary'!$C$14="Yes",IF(COUNTBLANK('Capacity summary'!$H60:$BG60)&lt;52,IF('Capacity summary'!V60&lt;&gt;"",IF(LOWER('Capacity summary'!V60)="x",$BI148*V148,VALUE('Capacity summary'!V60)),0),V148*$BI148),V148*$BI148),0)</f>
        <v>0</v>
      </c>
      <c r="BZ148" s="5">
        <f>IF($BI148&lt;&gt;"",IF('Capacity summary'!$C$14="Yes",IF(COUNTBLANK('Capacity summary'!$H60:$BG60)&lt;52,IF('Capacity summary'!W60&lt;&gt;"",IF(LOWER('Capacity summary'!W60)="x",$BI148*W148,VALUE('Capacity summary'!W60)),0),W148*$BI148),W148*$BI148),0)</f>
        <v>0</v>
      </c>
      <c r="CA148" s="5">
        <f>IF($BI148&lt;&gt;"",IF('Capacity summary'!$C$14="Yes",IF(COUNTBLANK('Capacity summary'!$H60:$BG60)&lt;52,IF('Capacity summary'!X60&lt;&gt;"",IF(LOWER('Capacity summary'!X60)="x",$BI148*X148,VALUE('Capacity summary'!X60)),0),X148*$BI148),X148*$BI148),0)</f>
        <v>0</v>
      </c>
      <c r="CB148" s="5">
        <f>IF($BI148&lt;&gt;"",IF('Capacity summary'!$C$14="Yes",IF(COUNTBLANK('Capacity summary'!$H60:$BG60)&lt;52,IF('Capacity summary'!Y60&lt;&gt;"",IF(LOWER('Capacity summary'!Y60)="x",$BI148*Y148,VALUE('Capacity summary'!Y60)),0),Y148*$BI148),Y148*$BI148),0)</f>
        <v>0</v>
      </c>
      <c r="CC148" s="5">
        <f>IF($BI148&lt;&gt;"",IF('Capacity summary'!$C$14="Yes",IF(COUNTBLANK('Capacity summary'!$H60:$BG60)&lt;52,IF('Capacity summary'!Z60&lt;&gt;"",IF(LOWER('Capacity summary'!Z60)="x",$BI148*Z148,VALUE('Capacity summary'!Z60)),0),Z148*$BI148),Z148*$BI148),0)</f>
        <v>0</v>
      </c>
      <c r="CD148" s="5">
        <f>IF($BI148&lt;&gt;"",IF('Capacity summary'!$C$14="Yes",IF(COUNTBLANK('Capacity summary'!$H60:$BG60)&lt;52,IF('Capacity summary'!AA60&lt;&gt;"",IF(LOWER('Capacity summary'!AA60)="x",$BI148*AA148,VALUE('Capacity summary'!AA60)),0),AA148*$BI148),AA148*$BI148),0)</f>
        <v>0</v>
      </c>
      <c r="CE148" s="5">
        <f>IF($BI148&lt;&gt;"",IF('Capacity summary'!$C$14="Yes",IF(COUNTBLANK('Capacity summary'!$H60:$BG60)&lt;52,IF('Capacity summary'!AB60&lt;&gt;"",IF(LOWER('Capacity summary'!AB60)="x",$BI148*AB148,VALUE('Capacity summary'!AB60)),0),AB148*$BI148),AB148*$BI148),0)</f>
        <v>0</v>
      </c>
      <c r="CF148" s="5">
        <f>IF($BI148&lt;&gt;"",IF('Capacity summary'!$C$14="Yes",IF(COUNTBLANK('Capacity summary'!$H60:$BG60)&lt;52,IF('Capacity summary'!AC60&lt;&gt;"",IF(LOWER('Capacity summary'!AC60)="x",$BI148*AC148,VALUE('Capacity summary'!AC60)),0),AC148*$BI148),AC148*$BI148),0)</f>
        <v>0</v>
      </c>
      <c r="CG148" s="5">
        <f>IF($BI148&lt;&gt;"",IF('Capacity summary'!$C$14="Yes",IF(COUNTBLANK('Capacity summary'!$H60:$BG60)&lt;52,IF('Capacity summary'!AD60&lt;&gt;"",IF(LOWER('Capacity summary'!AD60)="x",$BI148*AD148,VALUE('Capacity summary'!AD60)),0),AD148*$BI148),AD148*$BI148),0)</f>
        <v>0</v>
      </c>
      <c r="CH148" s="5">
        <f>IF($BI148&lt;&gt;"",IF('Capacity summary'!$C$14="Yes",IF(COUNTBLANK('Capacity summary'!$H60:$BG60)&lt;52,IF('Capacity summary'!AE60&lt;&gt;"",IF(LOWER('Capacity summary'!AE60)="x",$BI148*AE148,VALUE('Capacity summary'!AE60)),0),AE148*$BI148),AE148*$BI148),0)</f>
        <v>0</v>
      </c>
      <c r="CI148" s="5">
        <f>IF($BI148&lt;&gt;"",IF('Capacity summary'!$C$14="Yes",IF(COUNTBLANK('Capacity summary'!$H60:$BG60)&lt;52,IF('Capacity summary'!AF60&lt;&gt;"",IF(LOWER('Capacity summary'!AF60)="x",$BI148*AF148,VALUE('Capacity summary'!AF60)),0),AF148*$BI148),AF148*$BI148),0)</f>
        <v>0</v>
      </c>
      <c r="CJ148" s="5">
        <f>IF($BI148&lt;&gt;"",IF('Capacity summary'!$C$14="Yes",IF(COUNTBLANK('Capacity summary'!$H60:$BG60)&lt;52,IF('Capacity summary'!AG60&lt;&gt;"",IF(LOWER('Capacity summary'!AG60)="x",$BI148*AG148,VALUE('Capacity summary'!AG60)),0),AG148*$BI148),AG148*$BI148),0)</f>
        <v>0</v>
      </c>
      <c r="CK148" s="5">
        <f>IF($BI148&lt;&gt;"",IF('Capacity summary'!$C$14="Yes",IF(COUNTBLANK('Capacity summary'!$H60:$BG60)&lt;52,IF('Capacity summary'!AH60&lt;&gt;"",IF(LOWER('Capacity summary'!AH60)="x",$BI148*AH148,VALUE('Capacity summary'!AH60)),0),AH148*$BI148),AH148*$BI148),0)</f>
        <v>0</v>
      </c>
      <c r="CL148" s="5">
        <f>IF($BI148&lt;&gt;"",IF('Capacity summary'!$C$14="Yes",IF(COUNTBLANK('Capacity summary'!$H60:$BG60)&lt;52,IF('Capacity summary'!AI60&lt;&gt;"",IF(LOWER('Capacity summary'!AI60)="x",$BI148*AI148,VALUE('Capacity summary'!AI60)),0),AI148*$BI148),AI148*$BI148),0)</f>
        <v>0</v>
      </c>
      <c r="CM148" s="5">
        <f>IF($BI148&lt;&gt;"",IF('Capacity summary'!$C$14="Yes",IF(COUNTBLANK('Capacity summary'!$H60:$BG60)&lt;52,IF('Capacity summary'!AJ60&lt;&gt;"",IF(LOWER('Capacity summary'!AJ60)="x",$BI148*AJ148,VALUE('Capacity summary'!AJ60)),0),AJ148*$BI148),AJ148*$BI148),0)</f>
        <v>0</v>
      </c>
      <c r="CN148" s="5">
        <f>IF($BI148&lt;&gt;"",IF('Capacity summary'!$C$14="Yes",IF(COUNTBLANK('Capacity summary'!$H60:$BG60)&lt;52,IF('Capacity summary'!AK60&lt;&gt;"",IF(LOWER('Capacity summary'!AK60)="x",$BI148*AK148,VALUE('Capacity summary'!AK60)),0),AK148*$BI148),AK148*$BI148),0)</f>
        <v>0</v>
      </c>
      <c r="CO148" s="5">
        <f>IF($BI148&lt;&gt;"",IF('Capacity summary'!$C$14="Yes",IF(COUNTBLANK('Capacity summary'!$H60:$BG60)&lt;52,IF('Capacity summary'!AL60&lt;&gt;"",IF(LOWER('Capacity summary'!AL60)="x",$BI148*AL148,VALUE('Capacity summary'!AL60)),0),AL148*$BI148),AL148*$BI148),0)</f>
        <v>0</v>
      </c>
      <c r="CP148" s="5">
        <f>IF($BI148&lt;&gt;"",IF('Capacity summary'!$C$14="Yes",IF(COUNTBLANK('Capacity summary'!$H60:$BG60)&lt;52,IF('Capacity summary'!AM60&lt;&gt;"",IF(LOWER('Capacity summary'!AM60)="x",$BI148*AM148,VALUE('Capacity summary'!AM60)),0),AM148*$BI148),AM148*$BI148),0)</f>
        <v>0</v>
      </c>
      <c r="CQ148" s="5">
        <f>IF($BI148&lt;&gt;"",IF('Capacity summary'!$C$14="Yes",IF(COUNTBLANK('Capacity summary'!$H60:$BG60)&lt;52,IF('Capacity summary'!AN60&lt;&gt;"",IF(LOWER('Capacity summary'!AN60)="x",$BI148*AN148,VALUE('Capacity summary'!AN60)),0),AN148*$BI148),AN148*$BI148),0)</f>
        <v>0</v>
      </c>
      <c r="CR148" s="5">
        <f>IF($BI148&lt;&gt;"",IF('Capacity summary'!$C$14="Yes",IF(COUNTBLANK('Capacity summary'!$H60:$BG60)&lt;52,IF('Capacity summary'!AO60&lt;&gt;"",IF(LOWER('Capacity summary'!AO60)="x",$BI148*AO148,VALUE('Capacity summary'!AO60)),0),AO148*$BI148),AO148*$BI148),0)</f>
        <v>0</v>
      </c>
      <c r="CS148" s="5">
        <f>IF($BI148&lt;&gt;"",IF('Capacity summary'!$C$14="Yes",IF(COUNTBLANK('Capacity summary'!$H60:$BG60)&lt;52,IF('Capacity summary'!AP60&lt;&gt;"",IF(LOWER('Capacity summary'!AP60)="x",$BI148*AP148,VALUE('Capacity summary'!AP60)),0),AP148*$BI148),AP148*$BI148),0)</f>
        <v>0</v>
      </c>
      <c r="CT148" s="5">
        <f>IF($BI148&lt;&gt;"",IF('Capacity summary'!$C$14="Yes",IF(COUNTBLANK('Capacity summary'!$H60:$BG60)&lt;52,IF('Capacity summary'!AQ60&lt;&gt;"",IF(LOWER('Capacity summary'!AQ60)="x",$BI148*AQ148,VALUE('Capacity summary'!AQ60)),0),AQ148*$BI148),AQ148*$BI148),0)</f>
        <v>0</v>
      </c>
      <c r="CU148" s="5">
        <f>IF($BI148&lt;&gt;"",IF('Capacity summary'!$C$14="Yes",IF(COUNTBLANK('Capacity summary'!$H60:$BG60)&lt;52,IF('Capacity summary'!AR60&lt;&gt;"",IF(LOWER('Capacity summary'!AR60)="x",$BI148*AR148,VALUE('Capacity summary'!AR60)),0),AR148*$BI148),AR148*$BI148),0)</f>
        <v>0</v>
      </c>
      <c r="CV148" s="5">
        <f>IF($BI148&lt;&gt;"",IF('Capacity summary'!$C$14="Yes",IF(COUNTBLANK('Capacity summary'!$H60:$BG60)&lt;52,IF('Capacity summary'!AS60&lt;&gt;"",IF(LOWER('Capacity summary'!AS60)="x",$BI148*AS148,VALUE('Capacity summary'!AS60)),0),AS148*$BI148),AS148*$BI148),0)</f>
        <v>0</v>
      </c>
      <c r="CW148" s="5">
        <f>IF($BI148&lt;&gt;"",IF('Capacity summary'!$C$14="Yes",IF(COUNTBLANK('Capacity summary'!$H60:$BG60)&lt;52,IF('Capacity summary'!AT60&lt;&gt;"",IF(LOWER('Capacity summary'!AT60)="x",$BI148*AT148,VALUE('Capacity summary'!AT60)),0),AT148*$BI148),AT148*$BI148),0)</f>
        <v>0</v>
      </c>
      <c r="CX148" s="5">
        <f>IF($BI148&lt;&gt;"",IF('Capacity summary'!$C$14="Yes",IF(COUNTBLANK('Capacity summary'!$H60:$BG60)&lt;52,IF('Capacity summary'!AU60&lt;&gt;"",IF(LOWER('Capacity summary'!AU60)="x",$BI148*AU148,VALUE('Capacity summary'!AU60)),0),AU148*$BI148),AU148*$BI148),0)</f>
        <v>0</v>
      </c>
      <c r="CY148" s="5">
        <f>IF($BI148&lt;&gt;"",IF('Capacity summary'!$C$14="Yes",IF(COUNTBLANK('Capacity summary'!$H60:$BG60)&lt;52,IF('Capacity summary'!AV60&lt;&gt;"",IF(LOWER('Capacity summary'!AV60)="x",$BI148*AV148,VALUE('Capacity summary'!AV60)),0),AV148*$BI148),AV148*$BI148),0)</f>
        <v>0</v>
      </c>
      <c r="CZ148" s="5">
        <f>IF($BI148&lt;&gt;"",IF('Capacity summary'!$C$14="Yes",IF(COUNTBLANK('Capacity summary'!$H60:$BG60)&lt;52,IF('Capacity summary'!AW60&lt;&gt;"",IF(LOWER('Capacity summary'!AW60)="x",$BI148*AW148,VALUE('Capacity summary'!AW60)),0),AW148*$BI148),AW148*$BI148),0)</f>
        <v>0</v>
      </c>
      <c r="DA148" s="5">
        <f>IF($BI148&lt;&gt;"",IF('Capacity summary'!$C$14="Yes",IF(COUNTBLANK('Capacity summary'!$H60:$BG60)&lt;52,IF('Capacity summary'!AX60&lt;&gt;"",IF(LOWER('Capacity summary'!AX60)="x",$BI148*AX148,VALUE('Capacity summary'!AX60)),0),AX148*$BI148),AX148*$BI148),0)</f>
        <v>0</v>
      </c>
      <c r="DB148" s="5">
        <f>IF($BI148&lt;&gt;"",IF('Capacity summary'!$C$14="Yes",IF(COUNTBLANK('Capacity summary'!$H60:$BG60)&lt;52,IF('Capacity summary'!AY60&lt;&gt;"",IF(LOWER('Capacity summary'!AY60)="x",$BI148*AY148,VALUE('Capacity summary'!AY60)),0),AY148*$BI148),AY148*$BI148),0)</f>
        <v>0</v>
      </c>
      <c r="DC148" s="5">
        <f>IF($BI148&lt;&gt;"",IF('Capacity summary'!$C$14="Yes",IF(COUNTBLANK('Capacity summary'!$H60:$BG60)&lt;52,IF('Capacity summary'!AZ60&lt;&gt;"",IF(LOWER('Capacity summary'!AZ60)="x",$BI148*AZ148,VALUE('Capacity summary'!AZ60)),0),AZ148*$BI148),AZ148*$BI148),0)</f>
        <v>0</v>
      </c>
      <c r="DD148" s="5">
        <f>IF($BI148&lt;&gt;"",IF('Capacity summary'!$C$14="Yes",IF(COUNTBLANK('Capacity summary'!$H60:$BG60)&lt;52,IF('Capacity summary'!BA60&lt;&gt;"",IF(LOWER('Capacity summary'!BA60)="x",$BI148*BA148,VALUE('Capacity summary'!BA60)),0),BA148*$BI148),BA148*$BI148),0)</f>
        <v>0</v>
      </c>
      <c r="DE148" s="5">
        <f>IF($BI148&lt;&gt;"",IF('Capacity summary'!$C$14="Yes",IF(COUNTBLANK('Capacity summary'!$H60:$BG60)&lt;52,IF('Capacity summary'!BB60&lt;&gt;"",IF(LOWER('Capacity summary'!BB60)="x",$BI148*BB148,VALUE('Capacity summary'!BB60)),0),BB148*$BI148),BB148*$BI148),0)</f>
        <v>0</v>
      </c>
      <c r="DF148" s="5">
        <f>IF($BI148&lt;&gt;"",IF('Capacity summary'!$C$14="Yes",IF(COUNTBLANK('Capacity summary'!$H60:$BG60)&lt;52,IF('Capacity summary'!BC60&lt;&gt;"",IF(LOWER('Capacity summary'!BC60)="x",$BI148*BC148,VALUE('Capacity summary'!BC60)),0),BC148*$BI148),BC148*$BI148),0)</f>
        <v>0</v>
      </c>
      <c r="DG148" s="5">
        <f>IF($BI148&lt;&gt;"",IF('Capacity summary'!$C$14="Yes",IF(COUNTBLANK('Capacity summary'!$H60:$BG60)&lt;52,IF('Capacity summary'!BD60&lt;&gt;"",IF(LOWER('Capacity summary'!BD60)="x",$BI148*BD148,VALUE('Capacity summary'!BD60)),0),BD148*$BI148),BD148*$BI148),0)</f>
        <v>0</v>
      </c>
      <c r="DH148" s="5">
        <f>IF($BI148&lt;&gt;"",IF('Capacity summary'!$C$14="Yes",IF(COUNTBLANK('Capacity summary'!$H60:$BG60)&lt;52,IF('Capacity summary'!BE60&lt;&gt;"",IF(LOWER('Capacity summary'!BE60)="x",$BI148*BE148,VALUE('Capacity summary'!BE60)),0),BE148*$BI148),BE148*$BI148),0)</f>
        <v>0</v>
      </c>
      <c r="DI148" s="5">
        <f>IF($BI148&lt;&gt;"",IF('Capacity summary'!$C$14="Yes",IF(COUNTBLANK('Capacity summary'!$H60:$BG60)&lt;52,IF('Capacity summary'!BF60&lt;&gt;"",IF(LOWER('Capacity summary'!BF60)="x",$BI148*BF148,VALUE('Capacity summary'!BF60)),0),BF148*$BI148),BF148*$BI148),0)</f>
        <v>0</v>
      </c>
      <c r="DJ148" s="5">
        <f>IF($BI148&lt;&gt;"",IF('Capacity summary'!$C$14="Yes",IF(COUNTBLANK('Capacity summary'!$H60:$BG60)&lt;52,IF('Capacity summary'!BG60&lt;&gt;"",IF(LOWER('Capacity summary'!BG60)="x",$BI148*BG148,VALUE('Capacity summary'!BG60)),0),BG148*$BI148),BG148*$BI148),0)</f>
        <v>0</v>
      </c>
      <c r="DK148" s="5">
        <f t="shared" ref="DK148" si="42">SUM(DK149:DK248)</f>
        <v>0</v>
      </c>
    </row>
    <row r="149" spans="3:115" x14ac:dyDescent="0.25">
      <c r="C149" s="67" t="str">
        <f>ROW(A38)&amp;". "&amp;Capacity!N54</f>
        <v xml:space="preserve">38. </v>
      </c>
      <c r="D149" s="67">
        <f>'Capacity setup'!C155</f>
        <v>0</v>
      </c>
      <c r="E149" s="67">
        <f>'Capacity setup'!D155</f>
        <v>0</v>
      </c>
      <c r="F149" s="67">
        <f>'Capacity setup'!E155</f>
        <v>0</v>
      </c>
      <c r="H149" s="67">
        <f ca="1">IF(AND(SUMIF(Capacity_Resource,$D149,'Critical resources (hide)'!U$6:U$105)+SUMIF(Capacity_Resource,$E149,'Critical resources (hide)'!U$6:U$105)+SUMIF(Capacity_Resource,$F149,'Critical resources (hide)'!U$6:U$105)&gt;0,$E$1=2),0,1)</f>
        <v>1</v>
      </c>
      <c r="I149" s="67">
        <f ca="1">IF(AND(SUMIF(Capacity_Resource,$D149,'Critical resources (hide)'!V$6:V$105)+SUMIF(Capacity_Resource,$E149,'Critical resources (hide)'!V$6:V$105)+SUMIF(Capacity_Resource,$F149,'Critical resources (hide)'!V$6:V$105)&gt;0,$E$1=2),0,1)</f>
        <v>1</v>
      </c>
      <c r="J149" s="67">
        <f ca="1">IF(AND(SUMIF(Capacity_Resource,$D149,'Critical resources (hide)'!W$6:W$105)+SUMIF(Capacity_Resource,$E149,'Critical resources (hide)'!W$6:W$105)+SUMIF(Capacity_Resource,$F149,'Critical resources (hide)'!W$6:W$105)&gt;0,$E$1=2),0,1)</f>
        <v>1</v>
      </c>
      <c r="K149" s="67">
        <f ca="1">IF(AND(SUMIF(Capacity_Resource,$D149,'Critical resources (hide)'!X$6:X$105)+SUMIF(Capacity_Resource,$E149,'Critical resources (hide)'!X$6:X$105)+SUMIF(Capacity_Resource,$F149,'Critical resources (hide)'!X$6:X$105)&gt;0,$E$1=2),0,1)</f>
        <v>1</v>
      </c>
      <c r="L149" s="67">
        <f ca="1">IF(AND(SUMIF(Capacity_Resource,$D149,'Critical resources (hide)'!Y$6:Y$105)+SUMIF(Capacity_Resource,$E149,'Critical resources (hide)'!Y$6:Y$105)+SUMIF(Capacity_Resource,$F149,'Critical resources (hide)'!Y$6:Y$105)&gt;0,$E$1=2),0,1)</f>
        <v>1</v>
      </c>
      <c r="M149" s="67">
        <f ca="1">IF(AND(SUMIF(Capacity_Resource,$D149,'Critical resources (hide)'!Z$6:Z$105)+SUMIF(Capacity_Resource,$E149,'Critical resources (hide)'!Z$6:Z$105)+SUMIF(Capacity_Resource,$F149,'Critical resources (hide)'!Z$6:Z$105)&gt;0,$E$1=2),0,1)</f>
        <v>1</v>
      </c>
      <c r="N149" s="67">
        <f ca="1">IF(AND(SUMIF(Capacity_Resource,$D149,'Critical resources (hide)'!AA$6:AA$105)+SUMIF(Capacity_Resource,$E149,'Critical resources (hide)'!AA$6:AA$105)+SUMIF(Capacity_Resource,$F149,'Critical resources (hide)'!AA$6:AA$105)&gt;0,$E$1=2),0,1)</f>
        <v>1</v>
      </c>
      <c r="O149" s="67">
        <f ca="1">IF(AND(SUMIF(Capacity_Resource,$D149,'Critical resources (hide)'!AB$6:AB$105)+SUMIF(Capacity_Resource,$E149,'Critical resources (hide)'!AB$6:AB$105)+SUMIF(Capacity_Resource,$F149,'Critical resources (hide)'!AB$6:AB$105)&gt;0,$E$1=2),0,1)</f>
        <v>1</v>
      </c>
      <c r="P149" s="67">
        <f ca="1">IF(AND(SUMIF(Capacity_Resource,$D149,'Critical resources (hide)'!AC$6:AC$105)+SUMIF(Capacity_Resource,$E149,'Critical resources (hide)'!AC$6:AC$105)+SUMIF(Capacity_Resource,$F149,'Critical resources (hide)'!AC$6:AC$105)&gt;0,$E$1=2),0,1)</f>
        <v>1</v>
      </c>
      <c r="Q149" s="67">
        <f ca="1">IF(AND(SUMIF(Capacity_Resource,$D149,'Critical resources (hide)'!AD$6:AD$105)+SUMIF(Capacity_Resource,$E149,'Critical resources (hide)'!AD$6:AD$105)+SUMIF(Capacity_Resource,$F149,'Critical resources (hide)'!AD$6:AD$105)&gt;0,$E$1=2),0,1)</f>
        <v>1</v>
      </c>
      <c r="R149" s="67">
        <f ca="1">IF(AND(SUMIF(Capacity_Resource,$D149,'Critical resources (hide)'!AE$6:AE$105)+SUMIF(Capacity_Resource,$E149,'Critical resources (hide)'!AE$6:AE$105)+SUMIF(Capacity_Resource,$F149,'Critical resources (hide)'!AE$6:AE$105)&gt;0,$E$1=2),0,1)</f>
        <v>1</v>
      </c>
      <c r="S149" s="67">
        <f ca="1">IF(AND(SUMIF(Capacity_Resource,$D149,'Critical resources (hide)'!AF$6:AF$105)+SUMIF(Capacity_Resource,$E149,'Critical resources (hide)'!AF$6:AF$105)+SUMIF(Capacity_Resource,$F149,'Critical resources (hide)'!AF$6:AF$105)&gt;0,$E$1=2),0,1)</f>
        <v>1</v>
      </c>
      <c r="T149" s="67">
        <f ca="1">IF(AND(SUMIF(Capacity_Resource,$D149,'Critical resources (hide)'!AG$6:AG$105)+SUMIF(Capacity_Resource,$E149,'Critical resources (hide)'!AG$6:AG$105)+SUMIF(Capacity_Resource,$F149,'Critical resources (hide)'!AG$6:AG$105)&gt;0,$E$1=2),0,1)</f>
        <v>1</v>
      </c>
      <c r="U149" s="67">
        <f ca="1">IF(AND(SUMIF(Capacity_Resource,$D149,'Critical resources (hide)'!AH$6:AH$105)+SUMIF(Capacity_Resource,$E149,'Critical resources (hide)'!AH$6:AH$105)+SUMIF(Capacity_Resource,$F149,'Critical resources (hide)'!AH$6:AH$105)&gt;0,$E$1=2),0,1)</f>
        <v>1</v>
      </c>
      <c r="V149" s="67">
        <f ca="1">IF(AND(SUMIF(Capacity_Resource,$D149,'Critical resources (hide)'!AI$6:AI$105)+SUMIF(Capacity_Resource,$E149,'Critical resources (hide)'!AI$6:AI$105)+SUMIF(Capacity_Resource,$F149,'Critical resources (hide)'!AI$6:AI$105)&gt;0,$E$1=2),0,1)</f>
        <v>1</v>
      </c>
      <c r="W149" s="67">
        <f ca="1">IF(AND(SUMIF(Capacity_Resource,$D149,'Critical resources (hide)'!AJ$6:AJ$105)+SUMIF(Capacity_Resource,$E149,'Critical resources (hide)'!AJ$6:AJ$105)+SUMIF(Capacity_Resource,$F149,'Critical resources (hide)'!AJ$6:AJ$105)&gt;0,$E$1=2),0,1)</f>
        <v>1</v>
      </c>
      <c r="X149" s="67">
        <f ca="1">IF(AND(SUMIF(Capacity_Resource,$D149,'Critical resources (hide)'!AK$6:AK$105)+SUMIF(Capacity_Resource,$E149,'Critical resources (hide)'!AK$6:AK$105)+SUMIF(Capacity_Resource,$F149,'Critical resources (hide)'!AK$6:AK$105)&gt;0,$E$1=2),0,1)</f>
        <v>1</v>
      </c>
      <c r="Y149" s="67">
        <f ca="1">IF(AND(SUMIF(Capacity_Resource,$D149,'Critical resources (hide)'!AL$6:AL$105)+SUMIF(Capacity_Resource,$E149,'Critical resources (hide)'!AL$6:AL$105)+SUMIF(Capacity_Resource,$F149,'Critical resources (hide)'!AL$6:AL$105)&gt;0,$E$1=2),0,1)</f>
        <v>1</v>
      </c>
      <c r="Z149" s="67">
        <f ca="1">IF(AND(SUMIF(Capacity_Resource,$D149,'Critical resources (hide)'!AM$6:AM$105)+SUMIF(Capacity_Resource,$E149,'Critical resources (hide)'!AM$6:AM$105)+SUMIF(Capacity_Resource,$F149,'Critical resources (hide)'!AM$6:AM$105)&gt;0,$E$1=2),0,1)</f>
        <v>1</v>
      </c>
      <c r="AA149" s="67">
        <f ca="1">IF(AND(SUMIF(Capacity_Resource,$D149,'Critical resources (hide)'!AN$6:AN$105)+SUMIF(Capacity_Resource,$E149,'Critical resources (hide)'!AN$6:AN$105)+SUMIF(Capacity_Resource,$F149,'Critical resources (hide)'!AN$6:AN$105)&gt;0,$E$1=2),0,1)</f>
        <v>1</v>
      </c>
      <c r="AB149" s="67">
        <f ca="1">IF(AND(SUMIF(Capacity_Resource,$D149,'Critical resources (hide)'!AO$6:AO$105)+SUMIF(Capacity_Resource,$E149,'Critical resources (hide)'!AO$6:AO$105)+SUMIF(Capacity_Resource,$F149,'Critical resources (hide)'!AO$6:AO$105)&gt;0,$E$1=2),0,1)</f>
        <v>1</v>
      </c>
      <c r="AC149" s="67">
        <f ca="1">IF(AND(SUMIF(Capacity_Resource,$D149,'Critical resources (hide)'!AP$6:AP$105)+SUMIF(Capacity_Resource,$E149,'Critical resources (hide)'!AP$6:AP$105)+SUMIF(Capacity_Resource,$F149,'Critical resources (hide)'!AP$6:AP$105)&gt;0,$E$1=2),0,1)</f>
        <v>1</v>
      </c>
      <c r="AD149" s="67">
        <f ca="1">IF(AND(SUMIF(Capacity_Resource,$D149,'Critical resources (hide)'!AQ$6:AQ$105)+SUMIF(Capacity_Resource,$E149,'Critical resources (hide)'!AQ$6:AQ$105)+SUMIF(Capacity_Resource,$F149,'Critical resources (hide)'!AQ$6:AQ$105)&gt;0,$E$1=2),0,1)</f>
        <v>1</v>
      </c>
      <c r="AE149" s="67">
        <f ca="1">IF(AND(SUMIF(Capacity_Resource,$D149,'Critical resources (hide)'!AR$6:AR$105)+SUMIF(Capacity_Resource,$E149,'Critical resources (hide)'!AR$6:AR$105)+SUMIF(Capacity_Resource,$F149,'Critical resources (hide)'!AR$6:AR$105)&gt;0,$E$1=2),0,1)</f>
        <v>1</v>
      </c>
      <c r="AF149" s="67">
        <f ca="1">IF(AND(SUMIF(Capacity_Resource,$D149,'Critical resources (hide)'!AS$6:AS$105)+SUMIF(Capacity_Resource,$E149,'Critical resources (hide)'!AS$6:AS$105)+SUMIF(Capacity_Resource,$F149,'Critical resources (hide)'!AS$6:AS$105)&gt;0,$E$1=2),0,1)</f>
        <v>1</v>
      </c>
      <c r="AG149" s="67">
        <f ca="1">IF(AND(SUMIF(Capacity_Resource,$D149,'Critical resources (hide)'!AT$6:AT$105)+SUMIF(Capacity_Resource,$E149,'Critical resources (hide)'!AT$6:AT$105)+SUMIF(Capacity_Resource,$F149,'Critical resources (hide)'!AT$6:AT$105)&gt;0,$E$1=2),0,1)</f>
        <v>1</v>
      </c>
      <c r="AH149" s="67">
        <f ca="1">IF(AND(SUMIF(Capacity_Resource,$D149,'Critical resources (hide)'!AU$6:AU$105)+SUMIF(Capacity_Resource,$E149,'Critical resources (hide)'!AU$6:AU$105)+SUMIF(Capacity_Resource,$F149,'Critical resources (hide)'!AU$6:AU$105)&gt;0,$E$1=2),0,1)</f>
        <v>1</v>
      </c>
      <c r="AI149" s="67">
        <f ca="1">IF(AND(SUMIF(Capacity_Resource,$D149,'Critical resources (hide)'!AV$6:AV$105)+SUMIF(Capacity_Resource,$E149,'Critical resources (hide)'!AV$6:AV$105)+SUMIF(Capacity_Resource,$F149,'Critical resources (hide)'!AV$6:AV$105)&gt;0,$E$1=2),0,1)</f>
        <v>1</v>
      </c>
      <c r="AJ149" s="67">
        <f ca="1">IF(AND(SUMIF(Capacity_Resource,$D149,'Critical resources (hide)'!AW$6:AW$105)+SUMIF(Capacity_Resource,$E149,'Critical resources (hide)'!AW$6:AW$105)+SUMIF(Capacity_Resource,$F149,'Critical resources (hide)'!AW$6:AW$105)&gt;0,$E$1=2),0,1)</f>
        <v>1</v>
      </c>
      <c r="AK149" s="67">
        <f ca="1">IF(AND(SUMIF(Capacity_Resource,$D149,'Critical resources (hide)'!AX$6:AX$105)+SUMIF(Capacity_Resource,$E149,'Critical resources (hide)'!AX$6:AX$105)+SUMIF(Capacity_Resource,$F149,'Critical resources (hide)'!AX$6:AX$105)&gt;0,$E$1=2),0,1)</f>
        <v>1</v>
      </c>
      <c r="AL149" s="67">
        <f ca="1">IF(AND(SUMIF(Capacity_Resource,$D149,'Critical resources (hide)'!AY$6:AY$105)+SUMIF(Capacity_Resource,$E149,'Critical resources (hide)'!AY$6:AY$105)+SUMIF(Capacity_Resource,$F149,'Critical resources (hide)'!AY$6:AY$105)&gt;0,$E$1=2),0,1)</f>
        <v>1</v>
      </c>
      <c r="AM149" s="67">
        <f ca="1">IF(AND(SUMIF(Capacity_Resource,$D149,'Critical resources (hide)'!AZ$6:AZ$105)+SUMIF(Capacity_Resource,$E149,'Critical resources (hide)'!AZ$6:AZ$105)+SUMIF(Capacity_Resource,$F149,'Critical resources (hide)'!AZ$6:AZ$105)&gt;0,$E$1=2),0,1)</f>
        <v>1</v>
      </c>
      <c r="AN149" s="67">
        <f ca="1">IF(AND(SUMIF(Capacity_Resource,$D149,'Critical resources (hide)'!BA$6:BA$105)+SUMIF(Capacity_Resource,$E149,'Critical resources (hide)'!BA$6:BA$105)+SUMIF(Capacity_Resource,$F149,'Critical resources (hide)'!BA$6:BA$105)&gt;0,$E$1=2),0,1)</f>
        <v>1</v>
      </c>
      <c r="AO149" s="67">
        <f ca="1">IF(AND(SUMIF(Capacity_Resource,$D149,'Critical resources (hide)'!BB$6:BB$105)+SUMIF(Capacity_Resource,$E149,'Critical resources (hide)'!BB$6:BB$105)+SUMIF(Capacity_Resource,$F149,'Critical resources (hide)'!BB$6:BB$105)&gt;0,$E$1=2),0,1)</f>
        <v>1</v>
      </c>
      <c r="AP149" s="67">
        <f ca="1">IF(AND(SUMIF(Capacity_Resource,$D149,'Critical resources (hide)'!BC$6:BC$105)+SUMIF(Capacity_Resource,$E149,'Critical resources (hide)'!BC$6:BC$105)+SUMIF(Capacity_Resource,$F149,'Critical resources (hide)'!BC$6:BC$105)&gt;0,$E$1=2),0,1)</f>
        <v>1</v>
      </c>
      <c r="AQ149" s="67">
        <f ca="1">IF(AND(SUMIF(Capacity_Resource,$D149,'Critical resources (hide)'!BD$6:BD$105)+SUMIF(Capacity_Resource,$E149,'Critical resources (hide)'!BD$6:BD$105)+SUMIF(Capacity_Resource,$F149,'Critical resources (hide)'!BD$6:BD$105)&gt;0,$E$1=2),0,1)</f>
        <v>1</v>
      </c>
      <c r="AR149" s="67">
        <f ca="1">IF(AND(SUMIF(Capacity_Resource,$D149,'Critical resources (hide)'!BE$6:BE$105)+SUMIF(Capacity_Resource,$E149,'Critical resources (hide)'!BE$6:BE$105)+SUMIF(Capacity_Resource,$F149,'Critical resources (hide)'!BE$6:BE$105)&gt;0,$E$1=2),0,1)</f>
        <v>1</v>
      </c>
      <c r="AS149" s="67">
        <f ca="1">IF(AND(SUMIF(Capacity_Resource,$D149,'Critical resources (hide)'!BF$6:BF$105)+SUMIF(Capacity_Resource,$E149,'Critical resources (hide)'!BF$6:BF$105)+SUMIF(Capacity_Resource,$F149,'Critical resources (hide)'!BF$6:BF$105)&gt;0,$E$1=2),0,1)</f>
        <v>1</v>
      </c>
      <c r="AT149" s="67">
        <f ca="1">IF(AND(SUMIF(Capacity_Resource,$D149,'Critical resources (hide)'!BG$6:BG$105)+SUMIF(Capacity_Resource,$E149,'Critical resources (hide)'!BG$6:BG$105)+SUMIF(Capacity_Resource,$F149,'Critical resources (hide)'!BG$6:BG$105)&gt;0,$E$1=2),0,1)</f>
        <v>1</v>
      </c>
      <c r="AU149" s="67">
        <f ca="1">IF(AND(SUMIF(Capacity_Resource,$D149,'Critical resources (hide)'!BH$6:BH$105)+SUMIF(Capacity_Resource,$E149,'Critical resources (hide)'!BH$6:BH$105)+SUMIF(Capacity_Resource,$F149,'Critical resources (hide)'!BH$6:BH$105)&gt;0,$E$1=2),0,1)</f>
        <v>1</v>
      </c>
      <c r="AV149" s="67">
        <f ca="1">IF(AND(SUMIF(Capacity_Resource,$D149,'Critical resources (hide)'!BI$6:BI$105)+SUMIF(Capacity_Resource,$E149,'Critical resources (hide)'!BI$6:BI$105)+SUMIF(Capacity_Resource,$F149,'Critical resources (hide)'!BI$6:BI$105)&gt;0,$E$1=2),0,1)</f>
        <v>1</v>
      </c>
      <c r="AW149" s="67">
        <f ca="1">IF(AND(SUMIF(Capacity_Resource,$D149,'Critical resources (hide)'!BJ$6:BJ$105)+SUMIF(Capacity_Resource,$E149,'Critical resources (hide)'!BJ$6:BJ$105)+SUMIF(Capacity_Resource,$F149,'Critical resources (hide)'!BJ$6:BJ$105)&gt;0,$E$1=2),0,1)</f>
        <v>1</v>
      </c>
      <c r="AX149" s="67">
        <f ca="1">IF(AND(SUMIF(Capacity_Resource,$D149,'Critical resources (hide)'!BK$6:BK$105)+SUMIF(Capacity_Resource,$E149,'Critical resources (hide)'!BK$6:BK$105)+SUMIF(Capacity_Resource,$F149,'Critical resources (hide)'!BK$6:BK$105)&gt;0,$E$1=2),0,1)</f>
        <v>1</v>
      </c>
      <c r="AY149" s="67">
        <f ca="1">IF(AND(SUMIF(Capacity_Resource,$D149,'Critical resources (hide)'!BL$6:BL$105)+SUMIF(Capacity_Resource,$E149,'Critical resources (hide)'!BL$6:BL$105)+SUMIF(Capacity_Resource,$F149,'Critical resources (hide)'!BL$6:BL$105)&gt;0,$E$1=2),0,1)</f>
        <v>1</v>
      </c>
      <c r="AZ149" s="67">
        <f ca="1">IF(AND(SUMIF(Capacity_Resource,$D149,'Critical resources (hide)'!BM$6:BM$105)+SUMIF(Capacity_Resource,$E149,'Critical resources (hide)'!BM$6:BM$105)+SUMIF(Capacity_Resource,$F149,'Critical resources (hide)'!BM$6:BM$105)&gt;0,$E$1=2),0,1)</f>
        <v>1</v>
      </c>
      <c r="BA149" s="67">
        <f ca="1">IF(AND(SUMIF(Capacity_Resource,$D149,'Critical resources (hide)'!BN$6:BN$105)+SUMIF(Capacity_Resource,$E149,'Critical resources (hide)'!BN$6:BN$105)+SUMIF(Capacity_Resource,$F149,'Critical resources (hide)'!BN$6:BN$105)&gt;0,$E$1=2),0,1)</f>
        <v>1</v>
      </c>
      <c r="BB149" s="67">
        <f ca="1">IF(AND(SUMIF(Capacity_Resource,$D149,'Critical resources (hide)'!BO$6:BO$105)+SUMIF(Capacity_Resource,$E149,'Critical resources (hide)'!BO$6:BO$105)+SUMIF(Capacity_Resource,$F149,'Critical resources (hide)'!BO$6:BO$105)&gt;0,$E$1=2),0,1)</f>
        <v>1</v>
      </c>
      <c r="BC149" s="67">
        <f ca="1">IF(AND(SUMIF(Capacity_Resource,$D149,'Critical resources (hide)'!BP$6:BP$105)+SUMIF(Capacity_Resource,$E149,'Critical resources (hide)'!BP$6:BP$105)+SUMIF(Capacity_Resource,$F149,'Critical resources (hide)'!BP$6:BP$105)&gt;0,$E$1=2),0,1)</f>
        <v>1</v>
      </c>
      <c r="BD149" s="67">
        <f ca="1">IF(AND(SUMIF(Capacity_Resource,$D149,'Critical resources (hide)'!BQ$6:BQ$105)+SUMIF(Capacity_Resource,$E149,'Critical resources (hide)'!BQ$6:BQ$105)+SUMIF(Capacity_Resource,$F149,'Critical resources (hide)'!BQ$6:BQ$105)&gt;0,$E$1=2),0,1)</f>
        <v>1</v>
      </c>
      <c r="BE149" s="67">
        <f ca="1">IF(AND(SUMIF(Capacity_Resource,$D149,'Critical resources (hide)'!BR$6:BR$105)+SUMIF(Capacity_Resource,$E149,'Critical resources (hide)'!BR$6:BR$105)+SUMIF(Capacity_Resource,$F149,'Critical resources (hide)'!BR$6:BR$105)&gt;0,$E$1=2),0,1)</f>
        <v>1</v>
      </c>
      <c r="BF149" s="67">
        <f ca="1">IF(AND(SUMIF(Capacity_Resource,$D149,'Critical resources (hide)'!BS$6:BS$105)+SUMIF(Capacity_Resource,$E149,'Critical resources (hide)'!BS$6:BS$105)+SUMIF(Capacity_Resource,$F149,'Critical resources (hide)'!BS$6:BS$105)&gt;0,$E$1=2),0,1)</f>
        <v>1</v>
      </c>
      <c r="BG149" s="67">
        <f ca="1">IF(AND(SUMIF(Capacity_Resource,$D149,'Critical resources (hide)'!BT$6:BT$105)+SUMIF(Capacity_Resource,$E149,'Critical resources (hide)'!BT$6:BT$105)+SUMIF(Capacity_Resource,$F149,'Critical resources (hide)'!BT$6:BT$105)&gt;0,$E$1=2),0,1)</f>
        <v>1</v>
      </c>
      <c r="BH149" s="67">
        <f>IF(ROW(A38)&lt;=Capacity!$M$16,IF('Capacity summary'!$C$14="No",SUM(H149:BG149),'Capacity summary'!$E61),0)</f>
        <v>0</v>
      </c>
      <c r="BI149" s="67" t="str">
        <f>IF(BH149&gt;0,IF(BH149&lt;Capacity!Q54,Capacity!R54,Capacity!T54/'Capacity calculation (hide)'!BH149),"")</f>
        <v/>
      </c>
      <c r="BJ149" s="5"/>
      <c r="BK149" s="5">
        <f>IF($BI149&lt;&gt;"",IF('Capacity summary'!$C$14="Yes",IF(COUNTBLANK('Capacity summary'!$H61:$BG61)&lt;52,IF('Capacity summary'!H61&lt;&gt;"",IF(LOWER('Capacity summary'!H61)="x",$BI149*H149,VALUE('Capacity summary'!H61)),0),H149*$BI149),H149*$BI149),0)</f>
        <v>0</v>
      </c>
      <c r="BL149" s="5">
        <f>IF($BI149&lt;&gt;"",IF('Capacity summary'!$C$14="Yes",IF(COUNTBLANK('Capacity summary'!$H61:$BG61)&lt;52,IF('Capacity summary'!I61&lt;&gt;"",IF(LOWER('Capacity summary'!I61)="x",$BI149*I149,VALUE('Capacity summary'!I61)),0),I149*$BI149),I149*$BI149),0)</f>
        <v>0</v>
      </c>
      <c r="BM149" s="5">
        <f>IF($BI149&lt;&gt;"",IF('Capacity summary'!$C$14="Yes",IF(COUNTBLANK('Capacity summary'!$H61:$BG61)&lt;52,IF('Capacity summary'!J61&lt;&gt;"",IF(LOWER('Capacity summary'!J61)="x",$BI149*J149,VALUE('Capacity summary'!J61)),0),J149*$BI149),J149*$BI149),0)</f>
        <v>0</v>
      </c>
      <c r="BN149" s="5">
        <f>IF($BI149&lt;&gt;"",IF('Capacity summary'!$C$14="Yes",IF(COUNTBLANK('Capacity summary'!$H61:$BG61)&lt;52,IF('Capacity summary'!K61&lt;&gt;"",IF(LOWER('Capacity summary'!K61)="x",$BI149*K149,VALUE('Capacity summary'!K61)),0),K149*$BI149),K149*$BI149),0)</f>
        <v>0</v>
      </c>
      <c r="BO149" s="5">
        <f>IF($BI149&lt;&gt;"",IF('Capacity summary'!$C$14="Yes",IF(COUNTBLANK('Capacity summary'!$H61:$BG61)&lt;52,IF('Capacity summary'!L61&lt;&gt;"",IF(LOWER('Capacity summary'!L61)="x",$BI149*L149,VALUE('Capacity summary'!L61)),0),L149*$BI149),L149*$BI149),0)</f>
        <v>0</v>
      </c>
      <c r="BP149" s="5">
        <f>IF($BI149&lt;&gt;"",IF('Capacity summary'!$C$14="Yes",IF(COUNTBLANK('Capacity summary'!$H61:$BG61)&lt;52,IF('Capacity summary'!M61&lt;&gt;"",IF(LOWER('Capacity summary'!M61)="x",$BI149*M149,VALUE('Capacity summary'!M61)),0),M149*$BI149),M149*$BI149),0)</f>
        <v>0</v>
      </c>
      <c r="BQ149" s="5">
        <f>IF($BI149&lt;&gt;"",IF('Capacity summary'!$C$14="Yes",IF(COUNTBLANK('Capacity summary'!$H61:$BG61)&lt;52,IF('Capacity summary'!N61&lt;&gt;"",IF(LOWER('Capacity summary'!N61)="x",$BI149*N149,VALUE('Capacity summary'!N61)),0),N149*$BI149),N149*$BI149),0)</f>
        <v>0</v>
      </c>
      <c r="BR149" s="5">
        <f>IF($BI149&lt;&gt;"",IF('Capacity summary'!$C$14="Yes",IF(COUNTBLANK('Capacity summary'!$H61:$BG61)&lt;52,IF('Capacity summary'!O61&lt;&gt;"",IF(LOWER('Capacity summary'!O61)="x",$BI149*O149,VALUE('Capacity summary'!O61)),0),O149*$BI149),O149*$BI149),0)</f>
        <v>0</v>
      </c>
      <c r="BS149" s="5">
        <f>IF($BI149&lt;&gt;"",IF('Capacity summary'!$C$14="Yes",IF(COUNTBLANK('Capacity summary'!$H61:$BG61)&lt;52,IF('Capacity summary'!P61&lt;&gt;"",IF(LOWER('Capacity summary'!P61)="x",$BI149*P149,VALUE('Capacity summary'!P61)),0),P149*$BI149),P149*$BI149),0)</f>
        <v>0</v>
      </c>
      <c r="BT149" s="5">
        <f>IF($BI149&lt;&gt;"",IF('Capacity summary'!$C$14="Yes",IF(COUNTBLANK('Capacity summary'!$H61:$BG61)&lt;52,IF('Capacity summary'!Q61&lt;&gt;"",IF(LOWER('Capacity summary'!Q61)="x",$BI149*Q149,VALUE('Capacity summary'!Q61)),0),Q149*$BI149),Q149*$BI149),0)</f>
        <v>0</v>
      </c>
      <c r="BU149" s="5">
        <f>IF($BI149&lt;&gt;"",IF('Capacity summary'!$C$14="Yes",IF(COUNTBLANK('Capacity summary'!$H61:$BG61)&lt;52,IF('Capacity summary'!R61&lt;&gt;"",IF(LOWER('Capacity summary'!R61)="x",$BI149*R149,VALUE('Capacity summary'!R61)),0),R149*$BI149),R149*$BI149),0)</f>
        <v>0</v>
      </c>
      <c r="BV149" s="5">
        <f>IF($BI149&lt;&gt;"",IF('Capacity summary'!$C$14="Yes",IF(COUNTBLANK('Capacity summary'!$H61:$BG61)&lt;52,IF('Capacity summary'!S61&lt;&gt;"",IF(LOWER('Capacity summary'!S61)="x",$BI149*S149,VALUE('Capacity summary'!S61)),0),S149*$BI149),S149*$BI149),0)</f>
        <v>0</v>
      </c>
      <c r="BW149" s="5">
        <f>IF($BI149&lt;&gt;"",IF('Capacity summary'!$C$14="Yes",IF(COUNTBLANK('Capacity summary'!$H61:$BG61)&lt;52,IF('Capacity summary'!T61&lt;&gt;"",IF(LOWER('Capacity summary'!T61)="x",$BI149*T149,VALUE('Capacity summary'!T61)),0),T149*$BI149),T149*$BI149),0)</f>
        <v>0</v>
      </c>
      <c r="BX149" s="5">
        <f>IF($BI149&lt;&gt;"",IF('Capacity summary'!$C$14="Yes",IF(COUNTBLANK('Capacity summary'!$H61:$BG61)&lt;52,IF('Capacity summary'!U61&lt;&gt;"",IF(LOWER('Capacity summary'!U61)="x",$BI149*U149,VALUE('Capacity summary'!U61)),0),U149*$BI149),U149*$BI149),0)</f>
        <v>0</v>
      </c>
      <c r="BY149" s="5">
        <f>IF($BI149&lt;&gt;"",IF('Capacity summary'!$C$14="Yes",IF(COUNTBLANK('Capacity summary'!$H61:$BG61)&lt;52,IF('Capacity summary'!V61&lt;&gt;"",IF(LOWER('Capacity summary'!V61)="x",$BI149*V149,VALUE('Capacity summary'!V61)),0),V149*$BI149),V149*$BI149),0)</f>
        <v>0</v>
      </c>
      <c r="BZ149" s="5">
        <f>IF($BI149&lt;&gt;"",IF('Capacity summary'!$C$14="Yes",IF(COUNTBLANK('Capacity summary'!$H61:$BG61)&lt;52,IF('Capacity summary'!W61&lt;&gt;"",IF(LOWER('Capacity summary'!W61)="x",$BI149*W149,VALUE('Capacity summary'!W61)),0),W149*$BI149),W149*$BI149),0)</f>
        <v>0</v>
      </c>
      <c r="CA149" s="5">
        <f>IF($BI149&lt;&gt;"",IF('Capacity summary'!$C$14="Yes",IF(COUNTBLANK('Capacity summary'!$H61:$BG61)&lt;52,IF('Capacity summary'!X61&lt;&gt;"",IF(LOWER('Capacity summary'!X61)="x",$BI149*X149,VALUE('Capacity summary'!X61)),0),X149*$BI149),X149*$BI149),0)</f>
        <v>0</v>
      </c>
      <c r="CB149" s="5">
        <f>IF($BI149&lt;&gt;"",IF('Capacity summary'!$C$14="Yes",IF(COUNTBLANK('Capacity summary'!$H61:$BG61)&lt;52,IF('Capacity summary'!Y61&lt;&gt;"",IF(LOWER('Capacity summary'!Y61)="x",$BI149*Y149,VALUE('Capacity summary'!Y61)),0),Y149*$BI149),Y149*$BI149),0)</f>
        <v>0</v>
      </c>
      <c r="CC149" s="5">
        <f>IF($BI149&lt;&gt;"",IF('Capacity summary'!$C$14="Yes",IF(COUNTBLANK('Capacity summary'!$H61:$BG61)&lt;52,IF('Capacity summary'!Z61&lt;&gt;"",IF(LOWER('Capacity summary'!Z61)="x",$BI149*Z149,VALUE('Capacity summary'!Z61)),0),Z149*$BI149),Z149*$BI149),0)</f>
        <v>0</v>
      </c>
      <c r="CD149" s="5">
        <f>IF($BI149&lt;&gt;"",IF('Capacity summary'!$C$14="Yes",IF(COUNTBLANK('Capacity summary'!$H61:$BG61)&lt;52,IF('Capacity summary'!AA61&lt;&gt;"",IF(LOWER('Capacity summary'!AA61)="x",$BI149*AA149,VALUE('Capacity summary'!AA61)),0),AA149*$BI149),AA149*$BI149),0)</f>
        <v>0</v>
      </c>
      <c r="CE149" s="5">
        <f>IF($BI149&lt;&gt;"",IF('Capacity summary'!$C$14="Yes",IF(COUNTBLANK('Capacity summary'!$H61:$BG61)&lt;52,IF('Capacity summary'!AB61&lt;&gt;"",IF(LOWER('Capacity summary'!AB61)="x",$BI149*AB149,VALUE('Capacity summary'!AB61)),0),AB149*$BI149),AB149*$BI149),0)</f>
        <v>0</v>
      </c>
      <c r="CF149" s="5">
        <f>IF($BI149&lt;&gt;"",IF('Capacity summary'!$C$14="Yes",IF(COUNTBLANK('Capacity summary'!$H61:$BG61)&lt;52,IF('Capacity summary'!AC61&lt;&gt;"",IF(LOWER('Capacity summary'!AC61)="x",$BI149*AC149,VALUE('Capacity summary'!AC61)),0),AC149*$BI149),AC149*$BI149),0)</f>
        <v>0</v>
      </c>
      <c r="CG149" s="5">
        <f>IF($BI149&lt;&gt;"",IF('Capacity summary'!$C$14="Yes",IF(COUNTBLANK('Capacity summary'!$H61:$BG61)&lt;52,IF('Capacity summary'!AD61&lt;&gt;"",IF(LOWER('Capacity summary'!AD61)="x",$BI149*AD149,VALUE('Capacity summary'!AD61)),0),AD149*$BI149),AD149*$BI149),0)</f>
        <v>0</v>
      </c>
      <c r="CH149" s="5">
        <f>IF($BI149&lt;&gt;"",IF('Capacity summary'!$C$14="Yes",IF(COUNTBLANK('Capacity summary'!$H61:$BG61)&lt;52,IF('Capacity summary'!AE61&lt;&gt;"",IF(LOWER('Capacity summary'!AE61)="x",$BI149*AE149,VALUE('Capacity summary'!AE61)),0),AE149*$BI149),AE149*$BI149),0)</f>
        <v>0</v>
      </c>
      <c r="CI149" s="5">
        <f>IF($BI149&lt;&gt;"",IF('Capacity summary'!$C$14="Yes",IF(COUNTBLANK('Capacity summary'!$H61:$BG61)&lt;52,IF('Capacity summary'!AF61&lt;&gt;"",IF(LOWER('Capacity summary'!AF61)="x",$BI149*AF149,VALUE('Capacity summary'!AF61)),0),AF149*$BI149),AF149*$BI149),0)</f>
        <v>0</v>
      </c>
      <c r="CJ149" s="5">
        <f>IF($BI149&lt;&gt;"",IF('Capacity summary'!$C$14="Yes",IF(COUNTBLANK('Capacity summary'!$H61:$BG61)&lt;52,IF('Capacity summary'!AG61&lt;&gt;"",IF(LOWER('Capacity summary'!AG61)="x",$BI149*AG149,VALUE('Capacity summary'!AG61)),0),AG149*$BI149),AG149*$BI149),0)</f>
        <v>0</v>
      </c>
      <c r="CK149" s="5">
        <f>IF($BI149&lt;&gt;"",IF('Capacity summary'!$C$14="Yes",IF(COUNTBLANK('Capacity summary'!$H61:$BG61)&lt;52,IF('Capacity summary'!AH61&lt;&gt;"",IF(LOWER('Capacity summary'!AH61)="x",$BI149*AH149,VALUE('Capacity summary'!AH61)),0),AH149*$BI149),AH149*$BI149),0)</f>
        <v>0</v>
      </c>
      <c r="CL149" s="5">
        <f>IF($BI149&lt;&gt;"",IF('Capacity summary'!$C$14="Yes",IF(COUNTBLANK('Capacity summary'!$H61:$BG61)&lt;52,IF('Capacity summary'!AI61&lt;&gt;"",IF(LOWER('Capacity summary'!AI61)="x",$BI149*AI149,VALUE('Capacity summary'!AI61)),0),AI149*$BI149),AI149*$BI149),0)</f>
        <v>0</v>
      </c>
      <c r="CM149" s="5">
        <f>IF($BI149&lt;&gt;"",IF('Capacity summary'!$C$14="Yes",IF(COUNTBLANK('Capacity summary'!$H61:$BG61)&lt;52,IF('Capacity summary'!AJ61&lt;&gt;"",IF(LOWER('Capacity summary'!AJ61)="x",$BI149*AJ149,VALUE('Capacity summary'!AJ61)),0),AJ149*$BI149),AJ149*$BI149),0)</f>
        <v>0</v>
      </c>
      <c r="CN149" s="5">
        <f>IF($BI149&lt;&gt;"",IF('Capacity summary'!$C$14="Yes",IF(COUNTBLANK('Capacity summary'!$H61:$BG61)&lt;52,IF('Capacity summary'!AK61&lt;&gt;"",IF(LOWER('Capacity summary'!AK61)="x",$BI149*AK149,VALUE('Capacity summary'!AK61)),0),AK149*$BI149),AK149*$BI149),0)</f>
        <v>0</v>
      </c>
      <c r="CO149" s="5">
        <f>IF($BI149&lt;&gt;"",IF('Capacity summary'!$C$14="Yes",IF(COUNTBLANK('Capacity summary'!$H61:$BG61)&lt;52,IF('Capacity summary'!AL61&lt;&gt;"",IF(LOWER('Capacity summary'!AL61)="x",$BI149*AL149,VALUE('Capacity summary'!AL61)),0),AL149*$BI149),AL149*$BI149),0)</f>
        <v>0</v>
      </c>
      <c r="CP149" s="5">
        <f>IF($BI149&lt;&gt;"",IF('Capacity summary'!$C$14="Yes",IF(COUNTBLANK('Capacity summary'!$H61:$BG61)&lt;52,IF('Capacity summary'!AM61&lt;&gt;"",IF(LOWER('Capacity summary'!AM61)="x",$BI149*AM149,VALUE('Capacity summary'!AM61)),0),AM149*$BI149),AM149*$BI149),0)</f>
        <v>0</v>
      </c>
      <c r="CQ149" s="5">
        <f>IF($BI149&lt;&gt;"",IF('Capacity summary'!$C$14="Yes",IF(COUNTBLANK('Capacity summary'!$H61:$BG61)&lt;52,IF('Capacity summary'!AN61&lt;&gt;"",IF(LOWER('Capacity summary'!AN61)="x",$BI149*AN149,VALUE('Capacity summary'!AN61)),0),AN149*$BI149),AN149*$BI149),0)</f>
        <v>0</v>
      </c>
      <c r="CR149" s="5">
        <f>IF($BI149&lt;&gt;"",IF('Capacity summary'!$C$14="Yes",IF(COUNTBLANK('Capacity summary'!$H61:$BG61)&lt;52,IF('Capacity summary'!AO61&lt;&gt;"",IF(LOWER('Capacity summary'!AO61)="x",$BI149*AO149,VALUE('Capacity summary'!AO61)),0),AO149*$BI149),AO149*$BI149),0)</f>
        <v>0</v>
      </c>
      <c r="CS149" s="5">
        <f>IF($BI149&lt;&gt;"",IF('Capacity summary'!$C$14="Yes",IF(COUNTBLANK('Capacity summary'!$H61:$BG61)&lt;52,IF('Capacity summary'!AP61&lt;&gt;"",IF(LOWER('Capacity summary'!AP61)="x",$BI149*AP149,VALUE('Capacity summary'!AP61)),0),AP149*$BI149),AP149*$BI149),0)</f>
        <v>0</v>
      </c>
      <c r="CT149" s="5">
        <f>IF($BI149&lt;&gt;"",IF('Capacity summary'!$C$14="Yes",IF(COUNTBLANK('Capacity summary'!$H61:$BG61)&lt;52,IF('Capacity summary'!AQ61&lt;&gt;"",IF(LOWER('Capacity summary'!AQ61)="x",$BI149*AQ149,VALUE('Capacity summary'!AQ61)),0),AQ149*$BI149),AQ149*$BI149),0)</f>
        <v>0</v>
      </c>
      <c r="CU149" s="5">
        <f>IF($BI149&lt;&gt;"",IF('Capacity summary'!$C$14="Yes",IF(COUNTBLANK('Capacity summary'!$H61:$BG61)&lt;52,IF('Capacity summary'!AR61&lt;&gt;"",IF(LOWER('Capacity summary'!AR61)="x",$BI149*AR149,VALUE('Capacity summary'!AR61)),0),AR149*$BI149),AR149*$BI149),0)</f>
        <v>0</v>
      </c>
      <c r="CV149" s="5">
        <f>IF($BI149&lt;&gt;"",IF('Capacity summary'!$C$14="Yes",IF(COUNTBLANK('Capacity summary'!$H61:$BG61)&lt;52,IF('Capacity summary'!AS61&lt;&gt;"",IF(LOWER('Capacity summary'!AS61)="x",$BI149*AS149,VALUE('Capacity summary'!AS61)),0),AS149*$BI149),AS149*$BI149),0)</f>
        <v>0</v>
      </c>
      <c r="CW149" s="5">
        <f>IF($BI149&lt;&gt;"",IF('Capacity summary'!$C$14="Yes",IF(COUNTBLANK('Capacity summary'!$H61:$BG61)&lt;52,IF('Capacity summary'!AT61&lt;&gt;"",IF(LOWER('Capacity summary'!AT61)="x",$BI149*AT149,VALUE('Capacity summary'!AT61)),0),AT149*$BI149),AT149*$BI149),0)</f>
        <v>0</v>
      </c>
      <c r="CX149" s="5">
        <f>IF($BI149&lt;&gt;"",IF('Capacity summary'!$C$14="Yes",IF(COUNTBLANK('Capacity summary'!$H61:$BG61)&lt;52,IF('Capacity summary'!AU61&lt;&gt;"",IF(LOWER('Capacity summary'!AU61)="x",$BI149*AU149,VALUE('Capacity summary'!AU61)),0),AU149*$BI149),AU149*$BI149),0)</f>
        <v>0</v>
      </c>
      <c r="CY149" s="5">
        <f>IF($BI149&lt;&gt;"",IF('Capacity summary'!$C$14="Yes",IF(COUNTBLANK('Capacity summary'!$H61:$BG61)&lt;52,IF('Capacity summary'!AV61&lt;&gt;"",IF(LOWER('Capacity summary'!AV61)="x",$BI149*AV149,VALUE('Capacity summary'!AV61)),0),AV149*$BI149),AV149*$BI149),0)</f>
        <v>0</v>
      </c>
      <c r="CZ149" s="5">
        <f>IF($BI149&lt;&gt;"",IF('Capacity summary'!$C$14="Yes",IF(COUNTBLANK('Capacity summary'!$H61:$BG61)&lt;52,IF('Capacity summary'!AW61&lt;&gt;"",IF(LOWER('Capacity summary'!AW61)="x",$BI149*AW149,VALUE('Capacity summary'!AW61)),0),AW149*$BI149),AW149*$BI149),0)</f>
        <v>0</v>
      </c>
      <c r="DA149" s="5">
        <f>IF($BI149&lt;&gt;"",IF('Capacity summary'!$C$14="Yes",IF(COUNTBLANK('Capacity summary'!$H61:$BG61)&lt;52,IF('Capacity summary'!AX61&lt;&gt;"",IF(LOWER('Capacity summary'!AX61)="x",$BI149*AX149,VALUE('Capacity summary'!AX61)),0),AX149*$BI149),AX149*$BI149),0)</f>
        <v>0</v>
      </c>
      <c r="DB149" s="5">
        <f>IF($BI149&lt;&gt;"",IF('Capacity summary'!$C$14="Yes",IF(COUNTBLANK('Capacity summary'!$H61:$BG61)&lt;52,IF('Capacity summary'!AY61&lt;&gt;"",IF(LOWER('Capacity summary'!AY61)="x",$BI149*AY149,VALUE('Capacity summary'!AY61)),0),AY149*$BI149),AY149*$BI149),0)</f>
        <v>0</v>
      </c>
      <c r="DC149" s="5">
        <f>IF($BI149&lt;&gt;"",IF('Capacity summary'!$C$14="Yes",IF(COUNTBLANK('Capacity summary'!$H61:$BG61)&lt;52,IF('Capacity summary'!AZ61&lt;&gt;"",IF(LOWER('Capacity summary'!AZ61)="x",$BI149*AZ149,VALUE('Capacity summary'!AZ61)),0),AZ149*$BI149),AZ149*$BI149),0)</f>
        <v>0</v>
      </c>
      <c r="DD149" s="5">
        <f>IF($BI149&lt;&gt;"",IF('Capacity summary'!$C$14="Yes",IF(COUNTBLANK('Capacity summary'!$H61:$BG61)&lt;52,IF('Capacity summary'!BA61&lt;&gt;"",IF(LOWER('Capacity summary'!BA61)="x",$BI149*BA149,VALUE('Capacity summary'!BA61)),0),BA149*$BI149),BA149*$BI149),0)</f>
        <v>0</v>
      </c>
      <c r="DE149" s="5">
        <f>IF($BI149&lt;&gt;"",IF('Capacity summary'!$C$14="Yes",IF(COUNTBLANK('Capacity summary'!$H61:$BG61)&lt;52,IF('Capacity summary'!BB61&lt;&gt;"",IF(LOWER('Capacity summary'!BB61)="x",$BI149*BB149,VALUE('Capacity summary'!BB61)),0),BB149*$BI149),BB149*$BI149),0)</f>
        <v>0</v>
      </c>
      <c r="DF149" s="5">
        <f>IF($BI149&lt;&gt;"",IF('Capacity summary'!$C$14="Yes",IF(COUNTBLANK('Capacity summary'!$H61:$BG61)&lt;52,IF('Capacity summary'!BC61&lt;&gt;"",IF(LOWER('Capacity summary'!BC61)="x",$BI149*BC149,VALUE('Capacity summary'!BC61)),0),BC149*$BI149),BC149*$BI149),0)</f>
        <v>0</v>
      </c>
      <c r="DG149" s="5">
        <f>IF($BI149&lt;&gt;"",IF('Capacity summary'!$C$14="Yes",IF(COUNTBLANK('Capacity summary'!$H61:$BG61)&lt;52,IF('Capacity summary'!BD61&lt;&gt;"",IF(LOWER('Capacity summary'!BD61)="x",$BI149*BD149,VALUE('Capacity summary'!BD61)),0),BD149*$BI149),BD149*$BI149),0)</f>
        <v>0</v>
      </c>
      <c r="DH149" s="5">
        <f>IF($BI149&lt;&gt;"",IF('Capacity summary'!$C$14="Yes",IF(COUNTBLANK('Capacity summary'!$H61:$BG61)&lt;52,IF('Capacity summary'!BE61&lt;&gt;"",IF(LOWER('Capacity summary'!BE61)="x",$BI149*BE149,VALUE('Capacity summary'!BE61)),0),BE149*$BI149),BE149*$BI149),0)</f>
        <v>0</v>
      </c>
      <c r="DI149" s="5">
        <f>IF($BI149&lt;&gt;"",IF('Capacity summary'!$C$14="Yes",IF(COUNTBLANK('Capacity summary'!$H61:$BG61)&lt;52,IF('Capacity summary'!BF61&lt;&gt;"",IF(LOWER('Capacity summary'!BF61)="x",$BI149*BF149,VALUE('Capacity summary'!BF61)),0),BF149*$BI149),BF149*$BI149),0)</f>
        <v>0</v>
      </c>
      <c r="DJ149" s="5">
        <f>IF($BI149&lt;&gt;"",IF('Capacity summary'!$C$14="Yes",IF(COUNTBLANK('Capacity summary'!$H61:$BG61)&lt;52,IF('Capacity summary'!BG61&lt;&gt;"",IF(LOWER('Capacity summary'!BG61)="x",$BI149*BG149,VALUE('Capacity summary'!BG61)),0),BG149*$BI149),BG149*$BI149),0)</f>
        <v>0</v>
      </c>
      <c r="DK149" s="5">
        <f t="shared" ref="DK149" si="43">SUM(DK150:DK249)</f>
        <v>0</v>
      </c>
    </row>
    <row r="150" spans="3:115" x14ac:dyDescent="0.25">
      <c r="C150" s="67" t="str">
        <f>ROW(A39)&amp;". "&amp;Capacity!N55</f>
        <v xml:space="preserve">39. </v>
      </c>
      <c r="D150" s="67">
        <f>'Capacity setup'!C156</f>
        <v>0</v>
      </c>
      <c r="E150" s="67">
        <f>'Capacity setup'!D156</f>
        <v>0</v>
      </c>
      <c r="F150" s="67">
        <f>'Capacity setup'!E156</f>
        <v>0</v>
      </c>
      <c r="H150" s="67">
        <f ca="1">IF(AND(SUMIF(Capacity_Resource,$D150,'Critical resources (hide)'!U$6:U$105)+SUMIF(Capacity_Resource,$E150,'Critical resources (hide)'!U$6:U$105)+SUMIF(Capacity_Resource,$F150,'Critical resources (hide)'!U$6:U$105)&gt;0,$E$1=2),0,1)</f>
        <v>1</v>
      </c>
      <c r="I150" s="67">
        <f ca="1">IF(AND(SUMIF(Capacity_Resource,$D150,'Critical resources (hide)'!V$6:V$105)+SUMIF(Capacity_Resource,$E150,'Critical resources (hide)'!V$6:V$105)+SUMIF(Capacity_Resource,$F150,'Critical resources (hide)'!V$6:V$105)&gt;0,$E$1=2),0,1)</f>
        <v>1</v>
      </c>
      <c r="J150" s="67">
        <f ca="1">IF(AND(SUMIF(Capacity_Resource,$D150,'Critical resources (hide)'!W$6:W$105)+SUMIF(Capacity_Resource,$E150,'Critical resources (hide)'!W$6:W$105)+SUMIF(Capacity_Resource,$F150,'Critical resources (hide)'!W$6:W$105)&gt;0,$E$1=2),0,1)</f>
        <v>1</v>
      </c>
      <c r="K150" s="67">
        <f ca="1">IF(AND(SUMIF(Capacity_Resource,$D150,'Critical resources (hide)'!X$6:X$105)+SUMIF(Capacity_Resource,$E150,'Critical resources (hide)'!X$6:X$105)+SUMIF(Capacity_Resource,$F150,'Critical resources (hide)'!X$6:X$105)&gt;0,$E$1=2),0,1)</f>
        <v>1</v>
      </c>
      <c r="L150" s="67">
        <f ca="1">IF(AND(SUMIF(Capacity_Resource,$D150,'Critical resources (hide)'!Y$6:Y$105)+SUMIF(Capacity_Resource,$E150,'Critical resources (hide)'!Y$6:Y$105)+SUMIF(Capacity_Resource,$F150,'Critical resources (hide)'!Y$6:Y$105)&gt;0,$E$1=2),0,1)</f>
        <v>1</v>
      </c>
      <c r="M150" s="67">
        <f ca="1">IF(AND(SUMIF(Capacity_Resource,$D150,'Critical resources (hide)'!Z$6:Z$105)+SUMIF(Capacity_Resource,$E150,'Critical resources (hide)'!Z$6:Z$105)+SUMIF(Capacity_Resource,$F150,'Critical resources (hide)'!Z$6:Z$105)&gt;0,$E$1=2),0,1)</f>
        <v>1</v>
      </c>
      <c r="N150" s="67">
        <f ca="1">IF(AND(SUMIF(Capacity_Resource,$D150,'Critical resources (hide)'!AA$6:AA$105)+SUMIF(Capacity_Resource,$E150,'Critical resources (hide)'!AA$6:AA$105)+SUMIF(Capacity_Resource,$F150,'Critical resources (hide)'!AA$6:AA$105)&gt;0,$E$1=2),0,1)</f>
        <v>1</v>
      </c>
      <c r="O150" s="67">
        <f ca="1">IF(AND(SUMIF(Capacity_Resource,$D150,'Critical resources (hide)'!AB$6:AB$105)+SUMIF(Capacity_Resource,$E150,'Critical resources (hide)'!AB$6:AB$105)+SUMIF(Capacity_Resource,$F150,'Critical resources (hide)'!AB$6:AB$105)&gt;0,$E$1=2),0,1)</f>
        <v>1</v>
      </c>
      <c r="P150" s="67">
        <f ca="1">IF(AND(SUMIF(Capacity_Resource,$D150,'Critical resources (hide)'!AC$6:AC$105)+SUMIF(Capacity_Resource,$E150,'Critical resources (hide)'!AC$6:AC$105)+SUMIF(Capacity_Resource,$F150,'Critical resources (hide)'!AC$6:AC$105)&gt;0,$E$1=2),0,1)</f>
        <v>1</v>
      </c>
      <c r="Q150" s="67">
        <f ca="1">IF(AND(SUMIF(Capacity_Resource,$D150,'Critical resources (hide)'!AD$6:AD$105)+SUMIF(Capacity_Resource,$E150,'Critical resources (hide)'!AD$6:AD$105)+SUMIF(Capacity_Resource,$F150,'Critical resources (hide)'!AD$6:AD$105)&gt;0,$E$1=2),0,1)</f>
        <v>1</v>
      </c>
      <c r="R150" s="67">
        <f ca="1">IF(AND(SUMIF(Capacity_Resource,$D150,'Critical resources (hide)'!AE$6:AE$105)+SUMIF(Capacity_Resource,$E150,'Critical resources (hide)'!AE$6:AE$105)+SUMIF(Capacity_Resource,$F150,'Critical resources (hide)'!AE$6:AE$105)&gt;0,$E$1=2),0,1)</f>
        <v>1</v>
      </c>
      <c r="S150" s="67">
        <f ca="1">IF(AND(SUMIF(Capacity_Resource,$D150,'Critical resources (hide)'!AF$6:AF$105)+SUMIF(Capacity_Resource,$E150,'Critical resources (hide)'!AF$6:AF$105)+SUMIF(Capacity_Resource,$F150,'Critical resources (hide)'!AF$6:AF$105)&gt;0,$E$1=2),0,1)</f>
        <v>1</v>
      </c>
      <c r="T150" s="67">
        <f ca="1">IF(AND(SUMIF(Capacity_Resource,$D150,'Critical resources (hide)'!AG$6:AG$105)+SUMIF(Capacity_Resource,$E150,'Critical resources (hide)'!AG$6:AG$105)+SUMIF(Capacity_Resource,$F150,'Critical resources (hide)'!AG$6:AG$105)&gt;0,$E$1=2),0,1)</f>
        <v>1</v>
      </c>
      <c r="U150" s="67">
        <f ca="1">IF(AND(SUMIF(Capacity_Resource,$D150,'Critical resources (hide)'!AH$6:AH$105)+SUMIF(Capacity_Resource,$E150,'Critical resources (hide)'!AH$6:AH$105)+SUMIF(Capacity_Resource,$F150,'Critical resources (hide)'!AH$6:AH$105)&gt;0,$E$1=2),0,1)</f>
        <v>1</v>
      </c>
      <c r="V150" s="67">
        <f ca="1">IF(AND(SUMIF(Capacity_Resource,$D150,'Critical resources (hide)'!AI$6:AI$105)+SUMIF(Capacity_Resource,$E150,'Critical resources (hide)'!AI$6:AI$105)+SUMIF(Capacity_Resource,$F150,'Critical resources (hide)'!AI$6:AI$105)&gt;0,$E$1=2),0,1)</f>
        <v>1</v>
      </c>
      <c r="W150" s="67">
        <f ca="1">IF(AND(SUMIF(Capacity_Resource,$D150,'Critical resources (hide)'!AJ$6:AJ$105)+SUMIF(Capacity_Resource,$E150,'Critical resources (hide)'!AJ$6:AJ$105)+SUMIF(Capacity_Resource,$F150,'Critical resources (hide)'!AJ$6:AJ$105)&gt;0,$E$1=2),0,1)</f>
        <v>1</v>
      </c>
      <c r="X150" s="67">
        <f ca="1">IF(AND(SUMIF(Capacity_Resource,$D150,'Critical resources (hide)'!AK$6:AK$105)+SUMIF(Capacity_Resource,$E150,'Critical resources (hide)'!AK$6:AK$105)+SUMIF(Capacity_Resource,$F150,'Critical resources (hide)'!AK$6:AK$105)&gt;0,$E$1=2),0,1)</f>
        <v>1</v>
      </c>
      <c r="Y150" s="67">
        <f ca="1">IF(AND(SUMIF(Capacity_Resource,$D150,'Critical resources (hide)'!AL$6:AL$105)+SUMIF(Capacity_Resource,$E150,'Critical resources (hide)'!AL$6:AL$105)+SUMIF(Capacity_Resource,$F150,'Critical resources (hide)'!AL$6:AL$105)&gt;0,$E$1=2),0,1)</f>
        <v>1</v>
      </c>
      <c r="Z150" s="67">
        <f ca="1">IF(AND(SUMIF(Capacity_Resource,$D150,'Critical resources (hide)'!AM$6:AM$105)+SUMIF(Capacity_Resource,$E150,'Critical resources (hide)'!AM$6:AM$105)+SUMIF(Capacity_Resource,$F150,'Critical resources (hide)'!AM$6:AM$105)&gt;0,$E$1=2),0,1)</f>
        <v>1</v>
      </c>
      <c r="AA150" s="67">
        <f ca="1">IF(AND(SUMIF(Capacity_Resource,$D150,'Critical resources (hide)'!AN$6:AN$105)+SUMIF(Capacity_Resource,$E150,'Critical resources (hide)'!AN$6:AN$105)+SUMIF(Capacity_Resource,$F150,'Critical resources (hide)'!AN$6:AN$105)&gt;0,$E$1=2),0,1)</f>
        <v>1</v>
      </c>
      <c r="AB150" s="67">
        <f ca="1">IF(AND(SUMIF(Capacity_Resource,$D150,'Critical resources (hide)'!AO$6:AO$105)+SUMIF(Capacity_Resource,$E150,'Critical resources (hide)'!AO$6:AO$105)+SUMIF(Capacity_Resource,$F150,'Critical resources (hide)'!AO$6:AO$105)&gt;0,$E$1=2),0,1)</f>
        <v>1</v>
      </c>
      <c r="AC150" s="67">
        <f ca="1">IF(AND(SUMIF(Capacity_Resource,$D150,'Critical resources (hide)'!AP$6:AP$105)+SUMIF(Capacity_Resource,$E150,'Critical resources (hide)'!AP$6:AP$105)+SUMIF(Capacity_Resource,$F150,'Critical resources (hide)'!AP$6:AP$105)&gt;0,$E$1=2),0,1)</f>
        <v>1</v>
      </c>
      <c r="AD150" s="67">
        <f ca="1">IF(AND(SUMIF(Capacity_Resource,$D150,'Critical resources (hide)'!AQ$6:AQ$105)+SUMIF(Capacity_Resource,$E150,'Critical resources (hide)'!AQ$6:AQ$105)+SUMIF(Capacity_Resource,$F150,'Critical resources (hide)'!AQ$6:AQ$105)&gt;0,$E$1=2),0,1)</f>
        <v>1</v>
      </c>
      <c r="AE150" s="67">
        <f ca="1">IF(AND(SUMIF(Capacity_Resource,$D150,'Critical resources (hide)'!AR$6:AR$105)+SUMIF(Capacity_Resource,$E150,'Critical resources (hide)'!AR$6:AR$105)+SUMIF(Capacity_Resource,$F150,'Critical resources (hide)'!AR$6:AR$105)&gt;0,$E$1=2),0,1)</f>
        <v>1</v>
      </c>
      <c r="AF150" s="67">
        <f ca="1">IF(AND(SUMIF(Capacity_Resource,$D150,'Critical resources (hide)'!AS$6:AS$105)+SUMIF(Capacity_Resource,$E150,'Critical resources (hide)'!AS$6:AS$105)+SUMIF(Capacity_Resource,$F150,'Critical resources (hide)'!AS$6:AS$105)&gt;0,$E$1=2),0,1)</f>
        <v>1</v>
      </c>
      <c r="AG150" s="67">
        <f ca="1">IF(AND(SUMIF(Capacity_Resource,$D150,'Critical resources (hide)'!AT$6:AT$105)+SUMIF(Capacity_Resource,$E150,'Critical resources (hide)'!AT$6:AT$105)+SUMIF(Capacity_Resource,$F150,'Critical resources (hide)'!AT$6:AT$105)&gt;0,$E$1=2),0,1)</f>
        <v>1</v>
      </c>
      <c r="AH150" s="67">
        <f ca="1">IF(AND(SUMIF(Capacity_Resource,$D150,'Critical resources (hide)'!AU$6:AU$105)+SUMIF(Capacity_Resource,$E150,'Critical resources (hide)'!AU$6:AU$105)+SUMIF(Capacity_Resource,$F150,'Critical resources (hide)'!AU$6:AU$105)&gt;0,$E$1=2),0,1)</f>
        <v>1</v>
      </c>
      <c r="AI150" s="67">
        <f ca="1">IF(AND(SUMIF(Capacity_Resource,$D150,'Critical resources (hide)'!AV$6:AV$105)+SUMIF(Capacity_Resource,$E150,'Critical resources (hide)'!AV$6:AV$105)+SUMIF(Capacity_Resource,$F150,'Critical resources (hide)'!AV$6:AV$105)&gt;0,$E$1=2),0,1)</f>
        <v>1</v>
      </c>
      <c r="AJ150" s="67">
        <f ca="1">IF(AND(SUMIF(Capacity_Resource,$D150,'Critical resources (hide)'!AW$6:AW$105)+SUMIF(Capacity_Resource,$E150,'Critical resources (hide)'!AW$6:AW$105)+SUMIF(Capacity_Resource,$F150,'Critical resources (hide)'!AW$6:AW$105)&gt;0,$E$1=2),0,1)</f>
        <v>1</v>
      </c>
      <c r="AK150" s="67">
        <f ca="1">IF(AND(SUMIF(Capacity_Resource,$D150,'Critical resources (hide)'!AX$6:AX$105)+SUMIF(Capacity_Resource,$E150,'Critical resources (hide)'!AX$6:AX$105)+SUMIF(Capacity_Resource,$F150,'Critical resources (hide)'!AX$6:AX$105)&gt;0,$E$1=2),0,1)</f>
        <v>1</v>
      </c>
      <c r="AL150" s="67">
        <f ca="1">IF(AND(SUMIF(Capacity_Resource,$D150,'Critical resources (hide)'!AY$6:AY$105)+SUMIF(Capacity_Resource,$E150,'Critical resources (hide)'!AY$6:AY$105)+SUMIF(Capacity_Resource,$F150,'Critical resources (hide)'!AY$6:AY$105)&gt;0,$E$1=2),0,1)</f>
        <v>1</v>
      </c>
      <c r="AM150" s="67">
        <f ca="1">IF(AND(SUMIF(Capacity_Resource,$D150,'Critical resources (hide)'!AZ$6:AZ$105)+SUMIF(Capacity_Resource,$E150,'Critical resources (hide)'!AZ$6:AZ$105)+SUMIF(Capacity_Resource,$F150,'Critical resources (hide)'!AZ$6:AZ$105)&gt;0,$E$1=2),0,1)</f>
        <v>1</v>
      </c>
      <c r="AN150" s="67">
        <f ca="1">IF(AND(SUMIF(Capacity_Resource,$D150,'Critical resources (hide)'!BA$6:BA$105)+SUMIF(Capacity_Resource,$E150,'Critical resources (hide)'!BA$6:BA$105)+SUMIF(Capacity_Resource,$F150,'Critical resources (hide)'!BA$6:BA$105)&gt;0,$E$1=2),0,1)</f>
        <v>1</v>
      </c>
      <c r="AO150" s="67">
        <f ca="1">IF(AND(SUMIF(Capacity_Resource,$D150,'Critical resources (hide)'!BB$6:BB$105)+SUMIF(Capacity_Resource,$E150,'Critical resources (hide)'!BB$6:BB$105)+SUMIF(Capacity_Resource,$F150,'Critical resources (hide)'!BB$6:BB$105)&gt;0,$E$1=2),0,1)</f>
        <v>1</v>
      </c>
      <c r="AP150" s="67">
        <f ca="1">IF(AND(SUMIF(Capacity_Resource,$D150,'Critical resources (hide)'!BC$6:BC$105)+SUMIF(Capacity_Resource,$E150,'Critical resources (hide)'!BC$6:BC$105)+SUMIF(Capacity_Resource,$F150,'Critical resources (hide)'!BC$6:BC$105)&gt;0,$E$1=2),0,1)</f>
        <v>1</v>
      </c>
      <c r="AQ150" s="67">
        <f ca="1">IF(AND(SUMIF(Capacity_Resource,$D150,'Critical resources (hide)'!BD$6:BD$105)+SUMIF(Capacity_Resource,$E150,'Critical resources (hide)'!BD$6:BD$105)+SUMIF(Capacity_Resource,$F150,'Critical resources (hide)'!BD$6:BD$105)&gt;0,$E$1=2),0,1)</f>
        <v>1</v>
      </c>
      <c r="AR150" s="67">
        <f ca="1">IF(AND(SUMIF(Capacity_Resource,$D150,'Critical resources (hide)'!BE$6:BE$105)+SUMIF(Capacity_Resource,$E150,'Critical resources (hide)'!BE$6:BE$105)+SUMIF(Capacity_Resource,$F150,'Critical resources (hide)'!BE$6:BE$105)&gt;0,$E$1=2),0,1)</f>
        <v>1</v>
      </c>
      <c r="AS150" s="67">
        <f ca="1">IF(AND(SUMIF(Capacity_Resource,$D150,'Critical resources (hide)'!BF$6:BF$105)+SUMIF(Capacity_Resource,$E150,'Critical resources (hide)'!BF$6:BF$105)+SUMIF(Capacity_Resource,$F150,'Critical resources (hide)'!BF$6:BF$105)&gt;0,$E$1=2),0,1)</f>
        <v>1</v>
      </c>
      <c r="AT150" s="67">
        <f ca="1">IF(AND(SUMIF(Capacity_Resource,$D150,'Critical resources (hide)'!BG$6:BG$105)+SUMIF(Capacity_Resource,$E150,'Critical resources (hide)'!BG$6:BG$105)+SUMIF(Capacity_Resource,$F150,'Critical resources (hide)'!BG$6:BG$105)&gt;0,$E$1=2),0,1)</f>
        <v>1</v>
      </c>
      <c r="AU150" s="67">
        <f ca="1">IF(AND(SUMIF(Capacity_Resource,$D150,'Critical resources (hide)'!BH$6:BH$105)+SUMIF(Capacity_Resource,$E150,'Critical resources (hide)'!BH$6:BH$105)+SUMIF(Capacity_Resource,$F150,'Critical resources (hide)'!BH$6:BH$105)&gt;0,$E$1=2),0,1)</f>
        <v>1</v>
      </c>
      <c r="AV150" s="67">
        <f ca="1">IF(AND(SUMIF(Capacity_Resource,$D150,'Critical resources (hide)'!BI$6:BI$105)+SUMIF(Capacity_Resource,$E150,'Critical resources (hide)'!BI$6:BI$105)+SUMIF(Capacity_Resource,$F150,'Critical resources (hide)'!BI$6:BI$105)&gt;0,$E$1=2),0,1)</f>
        <v>1</v>
      </c>
      <c r="AW150" s="67">
        <f ca="1">IF(AND(SUMIF(Capacity_Resource,$D150,'Critical resources (hide)'!BJ$6:BJ$105)+SUMIF(Capacity_Resource,$E150,'Critical resources (hide)'!BJ$6:BJ$105)+SUMIF(Capacity_Resource,$F150,'Critical resources (hide)'!BJ$6:BJ$105)&gt;0,$E$1=2),0,1)</f>
        <v>1</v>
      </c>
      <c r="AX150" s="67">
        <f ca="1">IF(AND(SUMIF(Capacity_Resource,$D150,'Critical resources (hide)'!BK$6:BK$105)+SUMIF(Capacity_Resource,$E150,'Critical resources (hide)'!BK$6:BK$105)+SUMIF(Capacity_Resource,$F150,'Critical resources (hide)'!BK$6:BK$105)&gt;0,$E$1=2),0,1)</f>
        <v>1</v>
      </c>
      <c r="AY150" s="67">
        <f ca="1">IF(AND(SUMIF(Capacity_Resource,$D150,'Critical resources (hide)'!BL$6:BL$105)+SUMIF(Capacity_Resource,$E150,'Critical resources (hide)'!BL$6:BL$105)+SUMIF(Capacity_Resource,$F150,'Critical resources (hide)'!BL$6:BL$105)&gt;0,$E$1=2),0,1)</f>
        <v>1</v>
      </c>
      <c r="AZ150" s="67">
        <f ca="1">IF(AND(SUMIF(Capacity_Resource,$D150,'Critical resources (hide)'!BM$6:BM$105)+SUMIF(Capacity_Resource,$E150,'Critical resources (hide)'!BM$6:BM$105)+SUMIF(Capacity_Resource,$F150,'Critical resources (hide)'!BM$6:BM$105)&gt;0,$E$1=2),0,1)</f>
        <v>1</v>
      </c>
      <c r="BA150" s="67">
        <f ca="1">IF(AND(SUMIF(Capacity_Resource,$D150,'Critical resources (hide)'!BN$6:BN$105)+SUMIF(Capacity_Resource,$E150,'Critical resources (hide)'!BN$6:BN$105)+SUMIF(Capacity_Resource,$F150,'Critical resources (hide)'!BN$6:BN$105)&gt;0,$E$1=2),0,1)</f>
        <v>1</v>
      </c>
      <c r="BB150" s="67">
        <f ca="1">IF(AND(SUMIF(Capacity_Resource,$D150,'Critical resources (hide)'!BO$6:BO$105)+SUMIF(Capacity_Resource,$E150,'Critical resources (hide)'!BO$6:BO$105)+SUMIF(Capacity_Resource,$F150,'Critical resources (hide)'!BO$6:BO$105)&gt;0,$E$1=2),0,1)</f>
        <v>1</v>
      </c>
      <c r="BC150" s="67">
        <f ca="1">IF(AND(SUMIF(Capacity_Resource,$D150,'Critical resources (hide)'!BP$6:BP$105)+SUMIF(Capacity_Resource,$E150,'Critical resources (hide)'!BP$6:BP$105)+SUMIF(Capacity_Resource,$F150,'Critical resources (hide)'!BP$6:BP$105)&gt;0,$E$1=2),0,1)</f>
        <v>1</v>
      </c>
      <c r="BD150" s="67">
        <f ca="1">IF(AND(SUMIF(Capacity_Resource,$D150,'Critical resources (hide)'!BQ$6:BQ$105)+SUMIF(Capacity_Resource,$E150,'Critical resources (hide)'!BQ$6:BQ$105)+SUMIF(Capacity_Resource,$F150,'Critical resources (hide)'!BQ$6:BQ$105)&gt;0,$E$1=2),0,1)</f>
        <v>1</v>
      </c>
      <c r="BE150" s="67">
        <f ca="1">IF(AND(SUMIF(Capacity_Resource,$D150,'Critical resources (hide)'!BR$6:BR$105)+SUMIF(Capacity_Resource,$E150,'Critical resources (hide)'!BR$6:BR$105)+SUMIF(Capacity_Resource,$F150,'Critical resources (hide)'!BR$6:BR$105)&gt;0,$E$1=2),0,1)</f>
        <v>1</v>
      </c>
      <c r="BF150" s="67">
        <f ca="1">IF(AND(SUMIF(Capacity_Resource,$D150,'Critical resources (hide)'!BS$6:BS$105)+SUMIF(Capacity_Resource,$E150,'Critical resources (hide)'!BS$6:BS$105)+SUMIF(Capacity_Resource,$F150,'Critical resources (hide)'!BS$6:BS$105)&gt;0,$E$1=2),0,1)</f>
        <v>1</v>
      </c>
      <c r="BG150" s="67">
        <f ca="1">IF(AND(SUMIF(Capacity_Resource,$D150,'Critical resources (hide)'!BT$6:BT$105)+SUMIF(Capacity_Resource,$E150,'Critical resources (hide)'!BT$6:BT$105)+SUMIF(Capacity_Resource,$F150,'Critical resources (hide)'!BT$6:BT$105)&gt;0,$E$1=2),0,1)</f>
        <v>1</v>
      </c>
      <c r="BH150" s="67">
        <f>IF(ROW(A39)&lt;=Capacity!$M$16,IF('Capacity summary'!$C$14="No",SUM(H150:BG150),'Capacity summary'!$E62),0)</f>
        <v>0</v>
      </c>
      <c r="BI150" s="67" t="str">
        <f>IF(BH150&gt;0,IF(BH150&lt;Capacity!Q55,Capacity!R55,Capacity!T55/'Capacity calculation (hide)'!BH150),"")</f>
        <v/>
      </c>
      <c r="BJ150" s="5"/>
      <c r="BK150" s="5">
        <f>IF($BI150&lt;&gt;"",IF('Capacity summary'!$C$14="Yes",IF(COUNTBLANK('Capacity summary'!$H62:$BG62)&lt;52,IF('Capacity summary'!H62&lt;&gt;"",IF(LOWER('Capacity summary'!H62)="x",$BI150*H150,VALUE('Capacity summary'!H62)),0),H150*$BI150),H150*$BI150),0)</f>
        <v>0</v>
      </c>
      <c r="BL150" s="5">
        <f>IF($BI150&lt;&gt;"",IF('Capacity summary'!$C$14="Yes",IF(COUNTBLANK('Capacity summary'!$H62:$BG62)&lt;52,IF('Capacity summary'!I62&lt;&gt;"",IF(LOWER('Capacity summary'!I62)="x",$BI150*I150,VALUE('Capacity summary'!I62)),0),I150*$BI150),I150*$BI150),0)</f>
        <v>0</v>
      </c>
      <c r="BM150" s="5">
        <f>IF($BI150&lt;&gt;"",IF('Capacity summary'!$C$14="Yes",IF(COUNTBLANK('Capacity summary'!$H62:$BG62)&lt;52,IF('Capacity summary'!J62&lt;&gt;"",IF(LOWER('Capacity summary'!J62)="x",$BI150*J150,VALUE('Capacity summary'!J62)),0),J150*$BI150),J150*$BI150),0)</f>
        <v>0</v>
      </c>
      <c r="BN150" s="5">
        <f>IF($BI150&lt;&gt;"",IF('Capacity summary'!$C$14="Yes",IF(COUNTBLANK('Capacity summary'!$H62:$BG62)&lt;52,IF('Capacity summary'!K62&lt;&gt;"",IF(LOWER('Capacity summary'!K62)="x",$BI150*K150,VALUE('Capacity summary'!K62)),0),K150*$BI150),K150*$BI150),0)</f>
        <v>0</v>
      </c>
      <c r="BO150" s="5">
        <f>IF($BI150&lt;&gt;"",IF('Capacity summary'!$C$14="Yes",IF(COUNTBLANK('Capacity summary'!$H62:$BG62)&lt;52,IF('Capacity summary'!L62&lt;&gt;"",IF(LOWER('Capacity summary'!L62)="x",$BI150*L150,VALUE('Capacity summary'!L62)),0),L150*$BI150),L150*$BI150),0)</f>
        <v>0</v>
      </c>
      <c r="BP150" s="5">
        <f>IF($BI150&lt;&gt;"",IF('Capacity summary'!$C$14="Yes",IF(COUNTBLANK('Capacity summary'!$H62:$BG62)&lt;52,IF('Capacity summary'!M62&lt;&gt;"",IF(LOWER('Capacity summary'!M62)="x",$BI150*M150,VALUE('Capacity summary'!M62)),0),M150*$BI150),M150*$BI150),0)</f>
        <v>0</v>
      </c>
      <c r="BQ150" s="5">
        <f>IF($BI150&lt;&gt;"",IF('Capacity summary'!$C$14="Yes",IF(COUNTBLANK('Capacity summary'!$H62:$BG62)&lt;52,IF('Capacity summary'!N62&lt;&gt;"",IF(LOWER('Capacity summary'!N62)="x",$BI150*N150,VALUE('Capacity summary'!N62)),0),N150*$BI150),N150*$BI150),0)</f>
        <v>0</v>
      </c>
      <c r="BR150" s="5">
        <f>IF($BI150&lt;&gt;"",IF('Capacity summary'!$C$14="Yes",IF(COUNTBLANK('Capacity summary'!$H62:$BG62)&lt;52,IF('Capacity summary'!O62&lt;&gt;"",IF(LOWER('Capacity summary'!O62)="x",$BI150*O150,VALUE('Capacity summary'!O62)),0),O150*$BI150),O150*$BI150),0)</f>
        <v>0</v>
      </c>
      <c r="BS150" s="5">
        <f>IF($BI150&lt;&gt;"",IF('Capacity summary'!$C$14="Yes",IF(COUNTBLANK('Capacity summary'!$H62:$BG62)&lt;52,IF('Capacity summary'!P62&lt;&gt;"",IF(LOWER('Capacity summary'!P62)="x",$BI150*P150,VALUE('Capacity summary'!P62)),0),P150*$BI150),P150*$BI150),0)</f>
        <v>0</v>
      </c>
      <c r="BT150" s="5">
        <f>IF($BI150&lt;&gt;"",IF('Capacity summary'!$C$14="Yes",IF(COUNTBLANK('Capacity summary'!$H62:$BG62)&lt;52,IF('Capacity summary'!Q62&lt;&gt;"",IF(LOWER('Capacity summary'!Q62)="x",$BI150*Q150,VALUE('Capacity summary'!Q62)),0),Q150*$BI150),Q150*$BI150),0)</f>
        <v>0</v>
      </c>
      <c r="BU150" s="5">
        <f>IF($BI150&lt;&gt;"",IF('Capacity summary'!$C$14="Yes",IF(COUNTBLANK('Capacity summary'!$H62:$BG62)&lt;52,IF('Capacity summary'!R62&lt;&gt;"",IF(LOWER('Capacity summary'!R62)="x",$BI150*R150,VALUE('Capacity summary'!R62)),0),R150*$BI150),R150*$BI150),0)</f>
        <v>0</v>
      </c>
      <c r="BV150" s="5">
        <f>IF($BI150&lt;&gt;"",IF('Capacity summary'!$C$14="Yes",IF(COUNTBLANK('Capacity summary'!$H62:$BG62)&lt;52,IF('Capacity summary'!S62&lt;&gt;"",IF(LOWER('Capacity summary'!S62)="x",$BI150*S150,VALUE('Capacity summary'!S62)),0),S150*$BI150),S150*$BI150),0)</f>
        <v>0</v>
      </c>
      <c r="BW150" s="5">
        <f>IF($BI150&lt;&gt;"",IF('Capacity summary'!$C$14="Yes",IF(COUNTBLANK('Capacity summary'!$H62:$BG62)&lt;52,IF('Capacity summary'!T62&lt;&gt;"",IF(LOWER('Capacity summary'!T62)="x",$BI150*T150,VALUE('Capacity summary'!T62)),0),T150*$BI150),T150*$BI150),0)</f>
        <v>0</v>
      </c>
      <c r="BX150" s="5">
        <f>IF($BI150&lt;&gt;"",IF('Capacity summary'!$C$14="Yes",IF(COUNTBLANK('Capacity summary'!$H62:$BG62)&lt;52,IF('Capacity summary'!U62&lt;&gt;"",IF(LOWER('Capacity summary'!U62)="x",$BI150*U150,VALUE('Capacity summary'!U62)),0),U150*$BI150),U150*$BI150),0)</f>
        <v>0</v>
      </c>
      <c r="BY150" s="5">
        <f>IF($BI150&lt;&gt;"",IF('Capacity summary'!$C$14="Yes",IF(COUNTBLANK('Capacity summary'!$H62:$BG62)&lt;52,IF('Capacity summary'!V62&lt;&gt;"",IF(LOWER('Capacity summary'!V62)="x",$BI150*V150,VALUE('Capacity summary'!V62)),0),V150*$BI150),V150*$BI150),0)</f>
        <v>0</v>
      </c>
      <c r="BZ150" s="5">
        <f>IF($BI150&lt;&gt;"",IF('Capacity summary'!$C$14="Yes",IF(COUNTBLANK('Capacity summary'!$H62:$BG62)&lt;52,IF('Capacity summary'!W62&lt;&gt;"",IF(LOWER('Capacity summary'!W62)="x",$BI150*W150,VALUE('Capacity summary'!W62)),0),W150*$BI150),W150*$BI150),0)</f>
        <v>0</v>
      </c>
      <c r="CA150" s="5">
        <f>IF($BI150&lt;&gt;"",IF('Capacity summary'!$C$14="Yes",IF(COUNTBLANK('Capacity summary'!$H62:$BG62)&lt;52,IF('Capacity summary'!X62&lt;&gt;"",IF(LOWER('Capacity summary'!X62)="x",$BI150*X150,VALUE('Capacity summary'!X62)),0),X150*$BI150),X150*$BI150),0)</f>
        <v>0</v>
      </c>
      <c r="CB150" s="5">
        <f>IF($BI150&lt;&gt;"",IF('Capacity summary'!$C$14="Yes",IF(COUNTBLANK('Capacity summary'!$H62:$BG62)&lt;52,IF('Capacity summary'!Y62&lt;&gt;"",IF(LOWER('Capacity summary'!Y62)="x",$BI150*Y150,VALUE('Capacity summary'!Y62)),0),Y150*$BI150),Y150*$BI150),0)</f>
        <v>0</v>
      </c>
      <c r="CC150" s="5">
        <f>IF($BI150&lt;&gt;"",IF('Capacity summary'!$C$14="Yes",IF(COUNTBLANK('Capacity summary'!$H62:$BG62)&lt;52,IF('Capacity summary'!Z62&lt;&gt;"",IF(LOWER('Capacity summary'!Z62)="x",$BI150*Z150,VALUE('Capacity summary'!Z62)),0),Z150*$BI150),Z150*$BI150),0)</f>
        <v>0</v>
      </c>
      <c r="CD150" s="5">
        <f>IF($BI150&lt;&gt;"",IF('Capacity summary'!$C$14="Yes",IF(COUNTBLANK('Capacity summary'!$H62:$BG62)&lt;52,IF('Capacity summary'!AA62&lt;&gt;"",IF(LOWER('Capacity summary'!AA62)="x",$BI150*AA150,VALUE('Capacity summary'!AA62)),0),AA150*$BI150),AA150*$BI150),0)</f>
        <v>0</v>
      </c>
      <c r="CE150" s="5">
        <f>IF($BI150&lt;&gt;"",IF('Capacity summary'!$C$14="Yes",IF(COUNTBLANK('Capacity summary'!$H62:$BG62)&lt;52,IF('Capacity summary'!AB62&lt;&gt;"",IF(LOWER('Capacity summary'!AB62)="x",$BI150*AB150,VALUE('Capacity summary'!AB62)),0),AB150*$BI150),AB150*$BI150),0)</f>
        <v>0</v>
      </c>
      <c r="CF150" s="5">
        <f>IF($BI150&lt;&gt;"",IF('Capacity summary'!$C$14="Yes",IF(COUNTBLANK('Capacity summary'!$H62:$BG62)&lt;52,IF('Capacity summary'!AC62&lt;&gt;"",IF(LOWER('Capacity summary'!AC62)="x",$BI150*AC150,VALUE('Capacity summary'!AC62)),0),AC150*$BI150),AC150*$BI150),0)</f>
        <v>0</v>
      </c>
      <c r="CG150" s="5">
        <f>IF($BI150&lt;&gt;"",IF('Capacity summary'!$C$14="Yes",IF(COUNTBLANK('Capacity summary'!$H62:$BG62)&lt;52,IF('Capacity summary'!AD62&lt;&gt;"",IF(LOWER('Capacity summary'!AD62)="x",$BI150*AD150,VALUE('Capacity summary'!AD62)),0),AD150*$BI150),AD150*$BI150),0)</f>
        <v>0</v>
      </c>
      <c r="CH150" s="5">
        <f>IF($BI150&lt;&gt;"",IF('Capacity summary'!$C$14="Yes",IF(COUNTBLANK('Capacity summary'!$H62:$BG62)&lt;52,IF('Capacity summary'!AE62&lt;&gt;"",IF(LOWER('Capacity summary'!AE62)="x",$BI150*AE150,VALUE('Capacity summary'!AE62)),0),AE150*$BI150),AE150*$BI150),0)</f>
        <v>0</v>
      </c>
      <c r="CI150" s="5">
        <f>IF($BI150&lt;&gt;"",IF('Capacity summary'!$C$14="Yes",IF(COUNTBLANK('Capacity summary'!$H62:$BG62)&lt;52,IF('Capacity summary'!AF62&lt;&gt;"",IF(LOWER('Capacity summary'!AF62)="x",$BI150*AF150,VALUE('Capacity summary'!AF62)),0),AF150*$BI150),AF150*$BI150),0)</f>
        <v>0</v>
      </c>
      <c r="CJ150" s="5">
        <f>IF($BI150&lt;&gt;"",IF('Capacity summary'!$C$14="Yes",IF(COUNTBLANK('Capacity summary'!$H62:$BG62)&lt;52,IF('Capacity summary'!AG62&lt;&gt;"",IF(LOWER('Capacity summary'!AG62)="x",$BI150*AG150,VALUE('Capacity summary'!AG62)),0),AG150*$BI150),AG150*$BI150),0)</f>
        <v>0</v>
      </c>
      <c r="CK150" s="5">
        <f>IF($BI150&lt;&gt;"",IF('Capacity summary'!$C$14="Yes",IF(COUNTBLANK('Capacity summary'!$H62:$BG62)&lt;52,IF('Capacity summary'!AH62&lt;&gt;"",IF(LOWER('Capacity summary'!AH62)="x",$BI150*AH150,VALUE('Capacity summary'!AH62)),0),AH150*$BI150),AH150*$BI150),0)</f>
        <v>0</v>
      </c>
      <c r="CL150" s="5">
        <f>IF($BI150&lt;&gt;"",IF('Capacity summary'!$C$14="Yes",IF(COUNTBLANK('Capacity summary'!$H62:$BG62)&lt;52,IF('Capacity summary'!AI62&lt;&gt;"",IF(LOWER('Capacity summary'!AI62)="x",$BI150*AI150,VALUE('Capacity summary'!AI62)),0),AI150*$BI150),AI150*$BI150),0)</f>
        <v>0</v>
      </c>
      <c r="CM150" s="5">
        <f>IF($BI150&lt;&gt;"",IF('Capacity summary'!$C$14="Yes",IF(COUNTBLANK('Capacity summary'!$H62:$BG62)&lt;52,IF('Capacity summary'!AJ62&lt;&gt;"",IF(LOWER('Capacity summary'!AJ62)="x",$BI150*AJ150,VALUE('Capacity summary'!AJ62)),0),AJ150*$BI150),AJ150*$BI150),0)</f>
        <v>0</v>
      </c>
      <c r="CN150" s="5">
        <f>IF($BI150&lt;&gt;"",IF('Capacity summary'!$C$14="Yes",IF(COUNTBLANK('Capacity summary'!$H62:$BG62)&lt;52,IF('Capacity summary'!AK62&lt;&gt;"",IF(LOWER('Capacity summary'!AK62)="x",$BI150*AK150,VALUE('Capacity summary'!AK62)),0),AK150*$BI150),AK150*$BI150),0)</f>
        <v>0</v>
      </c>
      <c r="CO150" s="5">
        <f>IF($BI150&lt;&gt;"",IF('Capacity summary'!$C$14="Yes",IF(COUNTBLANK('Capacity summary'!$H62:$BG62)&lt;52,IF('Capacity summary'!AL62&lt;&gt;"",IF(LOWER('Capacity summary'!AL62)="x",$BI150*AL150,VALUE('Capacity summary'!AL62)),0),AL150*$BI150),AL150*$BI150),0)</f>
        <v>0</v>
      </c>
      <c r="CP150" s="5">
        <f>IF($BI150&lt;&gt;"",IF('Capacity summary'!$C$14="Yes",IF(COUNTBLANK('Capacity summary'!$H62:$BG62)&lt;52,IF('Capacity summary'!AM62&lt;&gt;"",IF(LOWER('Capacity summary'!AM62)="x",$BI150*AM150,VALUE('Capacity summary'!AM62)),0),AM150*$BI150),AM150*$BI150),0)</f>
        <v>0</v>
      </c>
      <c r="CQ150" s="5">
        <f>IF($BI150&lt;&gt;"",IF('Capacity summary'!$C$14="Yes",IF(COUNTBLANK('Capacity summary'!$H62:$BG62)&lt;52,IF('Capacity summary'!AN62&lt;&gt;"",IF(LOWER('Capacity summary'!AN62)="x",$BI150*AN150,VALUE('Capacity summary'!AN62)),0),AN150*$BI150),AN150*$BI150),0)</f>
        <v>0</v>
      </c>
      <c r="CR150" s="5">
        <f>IF($BI150&lt;&gt;"",IF('Capacity summary'!$C$14="Yes",IF(COUNTBLANK('Capacity summary'!$H62:$BG62)&lt;52,IF('Capacity summary'!AO62&lt;&gt;"",IF(LOWER('Capacity summary'!AO62)="x",$BI150*AO150,VALUE('Capacity summary'!AO62)),0),AO150*$BI150),AO150*$BI150),0)</f>
        <v>0</v>
      </c>
      <c r="CS150" s="5">
        <f>IF($BI150&lt;&gt;"",IF('Capacity summary'!$C$14="Yes",IF(COUNTBLANK('Capacity summary'!$H62:$BG62)&lt;52,IF('Capacity summary'!AP62&lt;&gt;"",IF(LOWER('Capacity summary'!AP62)="x",$BI150*AP150,VALUE('Capacity summary'!AP62)),0),AP150*$BI150),AP150*$BI150),0)</f>
        <v>0</v>
      </c>
      <c r="CT150" s="5">
        <f>IF($BI150&lt;&gt;"",IF('Capacity summary'!$C$14="Yes",IF(COUNTBLANK('Capacity summary'!$H62:$BG62)&lt;52,IF('Capacity summary'!AQ62&lt;&gt;"",IF(LOWER('Capacity summary'!AQ62)="x",$BI150*AQ150,VALUE('Capacity summary'!AQ62)),0),AQ150*$BI150),AQ150*$BI150),0)</f>
        <v>0</v>
      </c>
      <c r="CU150" s="5">
        <f>IF($BI150&lt;&gt;"",IF('Capacity summary'!$C$14="Yes",IF(COUNTBLANK('Capacity summary'!$H62:$BG62)&lt;52,IF('Capacity summary'!AR62&lt;&gt;"",IF(LOWER('Capacity summary'!AR62)="x",$BI150*AR150,VALUE('Capacity summary'!AR62)),0),AR150*$BI150),AR150*$BI150),0)</f>
        <v>0</v>
      </c>
      <c r="CV150" s="5">
        <f>IF($BI150&lt;&gt;"",IF('Capacity summary'!$C$14="Yes",IF(COUNTBLANK('Capacity summary'!$H62:$BG62)&lt;52,IF('Capacity summary'!AS62&lt;&gt;"",IF(LOWER('Capacity summary'!AS62)="x",$BI150*AS150,VALUE('Capacity summary'!AS62)),0),AS150*$BI150),AS150*$BI150),0)</f>
        <v>0</v>
      </c>
      <c r="CW150" s="5">
        <f>IF($BI150&lt;&gt;"",IF('Capacity summary'!$C$14="Yes",IF(COUNTBLANK('Capacity summary'!$H62:$BG62)&lt;52,IF('Capacity summary'!AT62&lt;&gt;"",IF(LOWER('Capacity summary'!AT62)="x",$BI150*AT150,VALUE('Capacity summary'!AT62)),0),AT150*$BI150),AT150*$BI150),0)</f>
        <v>0</v>
      </c>
      <c r="CX150" s="5">
        <f>IF($BI150&lt;&gt;"",IF('Capacity summary'!$C$14="Yes",IF(COUNTBLANK('Capacity summary'!$H62:$BG62)&lt;52,IF('Capacity summary'!AU62&lt;&gt;"",IF(LOWER('Capacity summary'!AU62)="x",$BI150*AU150,VALUE('Capacity summary'!AU62)),0),AU150*$BI150),AU150*$BI150),0)</f>
        <v>0</v>
      </c>
      <c r="CY150" s="5">
        <f>IF($BI150&lt;&gt;"",IF('Capacity summary'!$C$14="Yes",IF(COUNTBLANK('Capacity summary'!$H62:$BG62)&lt;52,IF('Capacity summary'!AV62&lt;&gt;"",IF(LOWER('Capacity summary'!AV62)="x",$BI150*AV150,VALUE('Capacity summary'!AV62)),0),AV150*$BI150),AV150*$BI150),0)</f>
        <v>0</v>
      </c>
      <c r="CZ150" s="5">
        <f>IF($BI150&lt;&gt;"",IF('Capacity summary'!$C$14="Yes",IF(COUNTBLANK('Capacity summary'!$H62:$BG62)&lt;52,IF('Capacity summary'!AW62&lt;&gt;"",IF(LOWER('Capacity summary'!AW62)="x",$BI150*AW150,VALUE('Capacity summary'!AW62)),0),AW150*$BI150),AW150*$BI150),0)</f>
        <v>0</v>
      </c>
      <c r="DA150" s="5">
        <f>IF($BI150&lt;&gt;"",IF('Capacity summary'!$C$14="Yes",IF(COUNTBLANK('Capacity summary'!$H62:$BG62)&lt;52,IF('Capacity summary'!AX62&lt;&gt;"",IF(LOWER('Capacity summary'!AX62)="x",$BI150*AX150,VALUE('Capacity summary'!AX62)),0),AX150*$BI150),AX150*$BI150),0)</f>
        <v>0</v>
      </c>
      <c r="DB150" s="5">
        <f>IF($BI150&lt;&gt;"",IF('Capacity summary'!$C$14="Yes",IF(COUNTBLANK('Capacity summary'!$H62:$BG62)&lt;52,IF('Capacity summary'!AY62&lt;&gt;"",IF(LOWER('Capacity summary'!AY62)="x",$BI150*AY150,VALUE('Capacity summary'!AY62)),0),AY150*$BI150),AY150*$BI150),0)</f>
        <v>0</v>
      </c>
      <c r="DC150" s="5">
        <f>IF($BI150&lt;&gt;"",IF('Capacity summary'!$C$14="Yes",IF(COUNTBLANK('Capacity summary'!$H62:$BG62)&lt;52,IF('Capacity summary'!AZ62&lt;&gt;"",IF(LOWER('Capacity summary'!AZ62)="x",$BI150*AZ150,VALUE('Capacity summary'!AZ62)),0),AZ150*$BI150),AZ150*$BI150),0)</f>
        <v>0</v>
      </c>
      <c r="DD150" s="5">
        <f>IF($BI150&lt;&gt;"",IF('Capacity summary'!$C$14="Yes",IF(COUNTBLANK('Capacity summary'!$H62:$BG62)&lt;52,IF('Capacity summary'!BA62&lt;&gt;"",IF(LOWER('Capacity summary'!BA62)="x",$BI150*BA150,VALUE('Capacity summary'!BA62)),0),BA150*$BI150),BA150*$BI150),0)</f>
        <v>0</v>
      </c>
      <c r="DE150" s="5">
        <f>IF($BI150&lt;&gt;"",IF('Capacity summary'!$C$14="Yes",IF(COUNTBLANK('Capacity summary'!$H62:$BG62)&lt;52,IF('Capacity summary'!BB62&lt;&gt;"",IF(LOWER('Capacity summary'!BB62)="x",$BI150*BB150,VALUE('Capacity summary'!BB62)),0),BB150*$BI150),BB150*$BI150),0)</f>
        <v>0</v>
      </c>
      <c r="DF150" s="5">
        <f>IF($BI150&lt;&gt;"",IF('Capacity summary'!$C$14="Yes",IF(COUNTBLANK('Capacity summary'!$H62:$BG62)&lt;52,IF('Capacity summary'!BC62&lt;&gt;"",IF(LOWER('Capacity summary'!BC62)="x",$BI150*BC150,VALUE('Capacity summary'!BC62)),0),BC150*$BI150),BC150*$BI150),0)</f>
        <v>0</v>
      </c>
      <c r="DG150" s="5">
        <f>IF($BI150&lt;&gt;"",IF('Capacity summary'!$C$14="Yes",IF(COUNTBLANK('Capacity summary'!$H62:$BG62)&lt;52,IF('Capacity summary'!BD62&lt;&gt;"",IF(LOWER('Capacity summary'!BD62)="x",$BI150*BD150,VALUE('Capacity summary'!BD62)),0),BD150*$BI150),BD150*$BI150),0)</f>
        <v>0</v>
      </c>
      <c r="DH150" s="5">
        <f>IF($BI150&lt;&gt;"",IF('Capacity summary'!$C$14="Yes",IF(COUNTBLANK('Capacity summary'!$H62:$BG62)&lt;52,IF('Capacity summary'!BE62&lt;&gt;"",IF(LOWER('Capacity summary'!BE62)="x",$BI150*BE150,VALUE('Capacity summary'!BE62)),0),BE150*$BI150),BE150*$BI150),0)</f>
        <v>0</v>
      </c>
      <c r="DI150" s="5">
        <f>IF($BI150&lt;&gt;"",IF('Capacity summary'!$C$14="Yes",IF(COUNTBLANK('Capacity summary'!$H62:$BG62)&lt;52,IF('Capacity summary'!BF62&lt;&gt;"",IF(LOWER('Capacity summary'!BF62)="x",$BI150*BF150,VALUE('Capacity summary'!BF62)),0),BF150*$BI150),BF150*$BI150),0)</f>
        <v>0</v>
      </c>
      <c r="DJ150" s="5">
        <f>IF($BI150&lt;&gt;"",IF('Capacity summary'!$C$14="Yes",IF(COUNTBLANK('Capacity summary'!$H62:$BG62)&lt;52,IF('Capacity summary'!BG62&lt;&gt;"",IF(LOWER('Capacity summary'!BG62)="x",$BI150*BG150,VALUE('Capacity summary'!BG62)),0),BG150*$BI150),BG150*$BI150),0)</f>
        <v>0</v>
      </c>
      <c r="DK150" s="5">
        <f t="shared" ref="DK150" si="44">SUM(DK151:DK250)</f>
        <v>0</v>
      </c>
    </row>
    <row r="151" spans="3:115" x14ac:dyDescent="0.25">
      <c r="C151" s="67" t="str">
        <f>ROW(A40)&amp;". "&amp;Capacity!N56</f>
        <v xml:space="preserve">40. </v>
      </c>
      <c r="D151" s="67">
        <f>'Capacity setup'!C157</f>
        <v>0</v>
      </c>
      <c r="E151" s="67">
        <f>'Capacity setup'!D157</f>
        <v>0</v>
      </c>
      <c r="F151" s="67">
        <f>'Capacity setup'!E157</f>
        <v>0</v>
      </c>
      <c r="H151" s="67">
        <f ca="1">IF(AND(SUMIF(Capacity_Resource,$D151,'Critical resources (hide)'!U$6:U$105)+SUMIF(Capacity_Resource,$E151,'Critical resources (hide)'!U$6:U$105)+SUMIF(Capacity_Resource,$F151,'Critical resources (hide)'!U$6:U$105)&gt;0,$E$1=2),0,1)</f>
        <v>1</v>
      </c>
      <c r="I151" s="67">
        <f ca="1">IF(AND(SUMIF(Capacity_Resource,$D151,'Critical resources (hide)'!V$6:V$105)+SUMIF(Capacity_Resource,$E151,'Critical resources (hide)'!V$6:V$105)+SUMIF(Capacity_Resource,$F151,'Critical resources (hide)'!V$6:V$105)&gt;0,$E$1=2),0,1)</f>
        <v>1</v>
      </c>
      <c r="J151" s="67">
        <f ca="1">IF(AND(SUMIF(Capacity_Resource,$D151,'Critical resources (hide)'!W$6:W$105)+SUMIF(Capacity_Resource,$E151,'Critical resources (hide)'!W$6:W$105)+SUMIF(Capacity_Resource,$F151,'Critical resources (hide)'!W$6:W$105)&gt;0,$E$1=2),0,1)</f>
        <v>1</v>
      </c>
      <c r="K151" s="67">
        <f ca="1">IF(AND(SUMIF(Capacity_Resource,$D151,'Critical resources (hide)'!X$6:X$105)+SUMIF(Capacity_Resource,$E151,'Critical resources (hide)'!X$6:X$105)+SUMIF(Capacity_Resource,$F151,'Critical resources (hide)'!X$6:X$105)&gt;0,$E$1=2),0,1)</f>
        <v>1</v>
      </c>
      <c r="L151" s="67">
        <f ca="1">IF(AND(SUMIF(Capacity_Resource,$D151,'Critical resources (hide)'!Y$6:Y$105)+SUMIF(Capacity_Resource,$E151,'Critical resources (hide)'!Y$6:Y$105)+SUMIF(Capacity_Resource,$F151,'Critical resources (hide)'!Y$6:Y$105)&gt;0,$E$1=2),0,1)</f>
        <v>1</v>
      </c>
      <c r="M151" s="67">
        <f ca="1">IF(AND(SUMIF(Capacity_Resource,$D151,'Critical resources (hide)'!Z$6:Z$105)+SUMIF(Capacity_Resource,$E151,'Critical resources (hide)'!Z$6:Z$105)+SUMIF(Capacity_Resource,$F151,'Critical resources (hide)'!Z$6:Z$105)&gt;0,$E$1=2),0,1)</f>
        <v>1</v>
      </c>
      <c r="N151" s="67">
        <f ca="1">IF(AND(SUMIF(Capacity_Resource,$D151,'Critical resources (hide)'!AA$6:AA$105)+SUMIF(Capacity_Resource,$E151,'Critical resources (hide)'!AA$6:AA$105)+SUMIF(Capacity_Resource,$F151,'Critical resources (hide)'!AA$6:AA$105)&gt;0,$E$1=2),0,1)</f>
        <v>1</v>
      </c>
      <c r="O151" s="67">
        <f ca="1">IF(AND(SUMIF(Capacity_Resource,$D151,'Critical resources (hide)'!AB$6:AB$105)+SUMIF(Capacity_Resource,$E151,'Critical resources (hide)'!AB$6:AB$105)+SUMIF(Capacity_Resource,$F151,'Critical resources (hide)'!AB$6:AB$105)&gt;0,$E$1=2),0,1)</f>
        <v>1</v>
      </c>
      <c r="P151" s="67">
        <f ca="1">IF(AND(SUMIF(Capacity_Resource,$D151,'Critical resources (hide)'!AC$6:AC$105)+SUMIF(Capacity_Resource,$E151,'Critical resources (hide)'!AC$6:AC$105)+SUMIF(Capacity_Resource,$F151,'Critical resources (hide)'!AC$6:AC$105)&gt;0,$E$1=2),0,1)</f>
        <v>1</v>
      </c>
      <c r="Q151" s="67">
        <f ca="1">IF(AND(SUMIF(Capacity_Resource,$D151,'Critical resources (hide)'!AD$6:AD$105)+SUMIF(Capacity_Resource,$E151,'Critical resources (hide)'!AD$6:AD$105)+SUMIF(Capacity_Resource,$F151,'Critical resources (hide)'!AD$6:AD$105)&gt;0,$E$1=2),0,1)</f>
        <v>1</v>
      </c>
      <c r="R151" s="67">
        <f ca="1">IF(AND(SUMIF(Capacity_Resource,$D151,'Critical resources (hide)'!AE$6:AE$105)+SUMIF(Capacity_Resource,$E151,'Critical resources (hide)'!AE$6:AE$105)+SUMIF(Capacity_Resource,$F151,'Critical resources (hide)'!AE$6:AE$105)&gt;0,$E$1=2),0,1)</f>
        <v>1</v>
      </c>
      <c r="S151" s="67">
        <f ca="1">IF(AND(SUMIF(Capacity_Resource,$D151,'Critical resources (hide)'!AF$6:AF$105)+SUMIF(Capacity_Resource,$E151,'Critical resources (hide)'!AF$6:AF$105)+SUMIF(Capacity_Resource,$F151,'Critical resources (hide)'!AF$6:AF$105)&gt;0,$E$1=2),0,1)</f>
        <v>1</v>
      </c>
      <c r="T151" s="67">
        <f ca="1">IF(AND(SUMIF(Capacity_Resource,$D151,'Critical resources (hide)'!AG$6:AG$105)+SUMIF(Capacity_Resource,$E151,'Critical resources (hide)'!AG$6:AG$105)+SUMIF(Capacity_Resource,$F151,'Critical resources (hide)'!AG$6:AG$105)&gt;0,$E$1=2),0,1)</f>
        <v>1</v>
      </c>
      <c r="U151" s="67">
        <f ca="1">IF(AND(SUMIF(Capacity_Resource,$D151,'Critical resources (hide)'!AH$6:AH$105)+SUMIF(Capacity_Resource,$E151,'Critical resources (hide)'!AH$6:AH$105)+SUMIF(Capacity_Resource,$F151,'Critical resources (hide)'!AH$6:AH$105)&gt;0,$E$1=2),0,1)</f>
        <v>1</v>
      </c>
      <c r="V151" s="67">
        <f ca="1">IF(AND(SUMIF(Capacity_Resource,$D151,'Critical resources (hide)'!AI$6:AI$105)+SUMIF(Capacity_Resource,$E151,'Critical resources (hide)'!AI$6:AI$105)+SUMIF(Capacity_Resource,$F151,'Critical resources (hide)'!AI$6:AI$105)&gt;0,$E$1=2),0,1)</f>
        <v>1</v>
      </c>
      <c r="W151" s="67">
        <f ca="1">IF(AND(SUMIF(Capacity_Resource,$D151,'Critical resources (hide)'!AJ$6:AJ$105)+SUMIF(Capacity_Resource,$E151,'Critical resources (hide)'!AJ$6:AJ$105)+SUMIF(Capacity_Resource,$F151,'Critical resources (hide)'!AJ$6:AJ$105)&gt;0,$E$1=2),0,1)</f>
        <v>1</v>
      </c>
      <c r="X151" s="67">
        <f ca="1">IF(AND(SUMIF(Capacity_Resource,$D151,'Critical resources (hide)'!AK$6:AK$105)+SUMIF(Capacity_Resource,$E151,'Critical resources (hide)'!AK$6:AK$105)+SUMIF(Capacity_Resource,$F151,'Critical resources (hide)'!AK$6:AK$105)&gt;0,$E$1=2),0,1)</f>
        <v>1</v>
      </c>
      <c r="Y151" s="67">
        <f ca="1">IF(AND(SUMIF(Capacity_Resource,$D151,'Critical resources (hide)'!AL$6:AL$105)+SUMIF(Capacity_Resource,$E151,'Critical resources (hide)'!AL$6:AL$105)+SUMIF(Capacity_Resource,$F151,'Critical resources (hide)'!AL$6:AL$105)&gt;0,$E$1=2),0,1)</f>
        <v>1</v>
      </c>
      <c r="Z151" s="67">
        <f ca="1">IF(AND(SUMIF(Capacity_Resource,$D151,'Critical resources (hide)'!AM$6:AM$105)+SUMIF(Capacity_Resource,$E151,'Critical resources (hide)'!AM$6:AM$105)+SUMIF(Capacity_Resource,$F151,'Critical resources (hide)'!AM$6:AM$105)&gt;0,$E$1=2),0,1)</f>
        <v>1</v>
      </c>
      <c r="AA151" s="67">
        <f ca="1">IF(AND(SUMIF(Capacity_Resource,$D151,'Critical resources (hide)'!AN$6:AN$105)+SUMIF(Capacity_Resource,$E151,'Critical resources (hide)'!AN$6:AN$105)+SUMIF(Capacity_Resource,$F151,'Critical resources (hide)'!AN$6:AN$105)&gt;0,$E$1=2),0,1)</f>
        <v>1</v>
      </c>
      <c r="AB151" s="67">
        <f ca="1">IF(AND(SUMIF(Capacity_Resource,$D151,'Critical resources (hide)'!AO$6:AO$105)+SUMIF(Capacity_Resource,$E151,'Critical resources (hide)'!AO$6:AO$105)+SUMIF(Capacity_Resource,$F151,'Critical resources (hide)'!AO$6:AO$105)&gt;0,$E$1=2),0,1)</f>
        <v>1</v>
      </c>
      <c r="AC151" s="67">
        <f ca="1">IF(AND(SUMIF(Capacity_Resource,$D151,'Critical resources (hide)'!AP$6:AP$105)+SUMIF(Capacity_Resource,$E151,'Critical resources (hide)'!AP$6:AP$105)+SUMIF(Capacity_Resource,$F151,'Critical resources (hide)'!AP$6:AP$105)&gt;0,$E$1=2),0,1)</f>
        <v>1</v>
      </c>
      <c r="AD151" s="67">
        <f ca="1">IF(AND(SUMIF(Capacity_Resource,$D151,'Critical resources (hide)'!AQ$6:AQ$105)+SUMIF(Capacity_Resource,$E151,'Critical resources (hide)'!AQ$6:AQ$105)+SUMIF(Capacity_Resource,$F151,'Critical resources (hide)'!AQ$6:AQ$105)&gt;0,$E$1=2),0,1)</f>
        <v>1</v>
      </c>
      <c r="AE151" s="67">
        <f ca="1">IF(AND(SUMIF(Capacity_Resource,$D151,'Critical resources (hide)'!AR$6:AR$105)+SUMIF(Capacity_Resource,$E151,'Critical resources (hide)'!AR$6:AR$105)+SUMIF(Capacity_Resource,$F151,'Critical resources (hide)'!AR$6:AR$105)&gt;0,$E$1=2),0,1)</f>
        <v>1</v>
      </c>
      <c r="AF151" s="67">
        <f ca="1">IF(AND(SUMIF(Capacity_Resource,$D151,'Critical resources (hide)'!AS$6:AS$105)+SUMIF(Capacity_Resource,$E151,'Critical resources (hide)'!AS$6:AS$105)+SUMIF(Capacity_Resource,$F151,'Critical resources (hide)'!AS$6:AS$105)&gt;0,$E$1=2),0,1)</f>
        <v>1</v>
      </c>
      <c r="AG151" s="67">
        <f ca="1">IF(AND(SUMIF(Capacity_Resource,$D151,'Critical resources (hide)'!AT$6:AT$105)+SUMIF(Capacity_Resource,$E151,'Critical resources (hide)'!AT$6:AT$105)+SUMIF(Capacity_Resource,$F151,'Critical resources (hide)'!AT$6:AT$105)&gt;0,$E$1=2),0,1)</f>
        <v>1</v>
      </c>
      <c r="AH151" s="67">
        <f ca="1">IF(AND(SUMIF(Capacity_Resource,$D151,'Critical resources (hide)'!AU$6:AU$105)+SUMIF(Capacity_Resource,$E151,'Critical resources (hide)'!AU$6:AU$105)+SUMIF(Capacity_Resource,$F151,'Critical resources (hide)'!AU$6:AU$105)&gt;0,$E$1=2),0,1)</f>
        <v>1</v>
      </c>
      <c r="AI151" s="67">
        <f ca="1">IF(AND(SUMIF(Capacity_Resource,$D151,'Critical resources (hide)'!AV$6:AV$105)+SUMIF(Capacity_Resource,$E151,'Critical resources (hide)'!AV$6:AV$105)+SUMIF(Capacity_Resource,$F151,'Critical resources (hide)'!AV$6:AV$105)&gt;0,$E$1=2),0,1)</f>
        <v>1</v>
      </c>
      <c r="AJ151" s="67">
        <f ca="1">IF(AND(SUMIF(Capacity_Resource,$D151,'Critical resources (hide)'!AW$6:AW$105)+SUMIF(Capacity_Resource,$E151,'Critical resources (hide)'!AW$6:AW$105)+SUMIF(Capacity_Resource,$F151,'Critical resources (hide)'!AW$6:AW$105)&gt;0,$E$1=2),0,1)</f>
        <v>1</v>
      </c>
      <c r="AK151" s="67">
        <f ca="1">IF(AND(SUMIF(Capacity_Resource,$D151,'Critical resources (hide)'!AX$6:AX$105)+SUMIF(Capacity_Resource,$E151,'Critical resources (hide)'!AX$6:AX$105)+SUMIF(Capacity_Resource,$F151,'Critical resources (hide)'!AX$6:AX$105)&gt;0,$E$1=2),0,1)</f>
        <v>1</v>
      </c>
      <c r="AL151" s="67">
        <f ca="1">IF(AND(SUMIF(Capacity_Resource,$D151,'Critical resources (hide)'!AY$6:AY$105)+SUMIF(Capacity_Resource,$E151,'Critical resources (hide)'!AY$6:AY$105)+SUMIF(Capacity_Resource,$F151,'Critical resources (hide)'!AY$6:AY$105)&gt;0,$E$1=2),0,1)</f>
        <v>1</v>
      </c>
      <c r="AM151" s="67">
        <f ca="1">IF(AND(SUMIF(Capacity_Resource,$D151,'Critical resources (hide)'!AZ$6:AZ$105)+SUMIF(Capacity_Resource,$E151,'Critical resources (hide)'!AZ$6:AZ$105)+SUMIF(Capacity_Resource,$F151,'Critical resources (hide)'!AZ$6:AZ$105)&gt;0,$E$1=2),0,1)</f>
        <v>1</v>
      </c>
      <c r="AN151" s="67">
        <f ca="1">IF(AND(SUMIF(Capacity_Resource,$D151,'Critical resources (hide)'!BA$6:BA$105)+SUMIF(Capacity_Resource,$E151,'Critical resources (hide)'!BA$6:BA$105)+SUMIF(Capacity_Resource,$F151,'Critical resources (hide)'!BA$6:BA$105)&gt;0,$E$1=2),0,1)</f>
        <v>1</v>
      </c>
      <c r="AO151" s="67">
        <f ca="1">IF(AND(SUMIF(Capacity_Resource,$D151,'Critical resources (hide)'!BB$6:BB$105)+SUMIF(Capacity_Resource,$E151,'Critical resources (hide)'!BB$6:BB$105)+SUMIF(Capacity_Resource,$F151,'Critical resources (hide)'!BB$6:BB$105)&gt;0,$E$1=2),0,1)</f>
        <v>1</v>
      </c>
      <c r="AP151" s="67">
        <f ca="1">IF(AND(SUMIF(Capacity_Resource,$D151,'Critical resources (hide)'!BC$6:BC$105)+SUMIF(Capacity_Resource,$E151,'Critical resources (hide)'!BC$6:BC$105)+SUMIF(Capacity_Resource,$F151,'Critical resources (hide)'!BC$6:BC$105)&gt;0,$E$1=2),0,1)</f>
        <v>1</v>
      </c>
      <c r="AQ151" s="67">
        <f ca="1">IF(AND(SUMIF(Capacity_Resource,$D151,'Critical resources (hide)'!BD$6:BD$105)+SUMIF(Capacity_Resource,$E151,'Critical resources (hide)'!BD$6:BD$105)+SUMIF(Capacity_Resource,$F151,'Critical resources (hide)'!BD$6:BD$105)&gt;0,$E$1=2),0,1)</f>
        <v>1</v>
      </c>
      <c r="AR151" s="67">
        <f ca="1">IF(AND(SUMIF(Capacity_Resource,$D151,'Critical resources (hide)'!BE$6:BE$105)+SUMIF(Capacity_Resource,$E151,'Critical resources (hide)'!BE$6:BE$105)+SUMIF(Capacity_Resource,$F151,'Critical resources (hide)'!BE$6:BE$105)&gt;0,$E$1=2),0,1)</f>
        <v>1</v>
      </c>
      <c r="AS151" s="67">
        <f ca="1">IF(AND(SUMIF(Capacity_Resource,$D151,'Critical resources (hide)'!BF$6:BF$105)+SUMIF(Capacity_Resource,$E151,'Critical resources (hide)'!BF$6:BF$105)+SUMIF(Capacity_Resource,$F151,'Critical resources (hide)'!BF$6:BF$105)&gt;0,$E$1=2),0,1)</f>
        <v>1</v>
      </c>
      <c r="AT151" s="67">
        <f ca="1">IF(AND(SUMIF(Capacity_Resource,$D151,'Critical resources (hide)'!BG$6:BG$105)+SUMIF(Capacity_Resource,$E151,'Critical resources (hide)'!BG$6:BG$105)+SUMIF(Capacity_Resource,$F151,'Critical resources (hide)'!BG$6:BG$105)&gt;0,$E$1=2),0,1)</f>
        <v>1</v>
      </c>
      <c r="AU151" s="67">
        <f ca="1">IF(AND(SUMIF(Capacity_Resource,$D151,'Critical resources (hide)'!BH$6:BH$105)+SUMIF(Capacity_Resource,$E151,'Critical resources (hide)'!BH$6:BH$105)+SUMIF(Capacity_Resource,$F151,'Critical resources (hide)'!BH$6:BH$105)&gt;0,$E$1=2),0,1)</f>
        <v>1</v>
      </c>
      <c r="AV151" s="67">
        <f ca="1">IF(AND(SUMIF(Capacity_Resource,$D151,'Critical resources (hide)'!BI$6:BI$105)+SUMIF(Capacity_Resource,$E151,'Critical resources (hide)'!BI$6:BI$105)+SUMIF(Capacity_Resource,$F151,'Critical resources (hide)'!BI$6:BI$105)&gt;0,$E$1=2),0,1)</f>
        <v>1</v>
      </c>
      <c r="AW151" s="67">
        <f ca="1">IF(AND(SUMIF(Capacity_Resource,$D151,'Critical resources (hide)'!BJ$6:BJ$105)+SUMIF(Capacity_Resource,$E151,'Critical resources (hide)'!BJ$6:BJ$105)+SUMIF(Capacity_Resource,$F151,'Critical resources (hide)'!BJ$6:BJ$105)&gt;0,$E$1=2),0,1)</f>
        <v>1</v>
      </c>
      <c r="AX151" s="67">
        <f ca="1">IF(AND(SUMIF(Capacity_Resource,$D151,'Critical resources (hide)'!BK$6:BK$105)+SUMIF(Capacity_Resource,$E151,'Critical resources (hide)'!BK$6:BK$105)+SUMIF(Capacity_Resource,$F151,'Critical resources (hide)'!BK$6:BK$105)&gt;0,$E$1=2),0,1)</f>
        <v>1</v>
      </c>
      <c r="AY151" s="67">
        <f ca="1">IF(AND(SUMIF(Capacity_Resource,$D151,'Critical resources (hide)'!BL$6:BL$105)+SUMIF(Capacity_Resource,$E151,'Critical resources (hide)'!BL$6:BL$105)+SUMIF(Capacity_Resource,$F151,'Critical resources (hide)'!BL$6:BL$105)&gt;0,$E$1=2),0,1)</f>
        <v>1</v>
      </c>
      <c r="AZ151" s="67">
        <f ca="1">IF(AND(SUMIF(Capacity_Resource,$D151,'Critical resources (hide)'!BM$6:BM$105)+SUMIF(Capacity_Resource,$E151,'Critical resources (hide)'!BM$6:BM$105)+SUMIF(Capacity_Resource,$F151,'Critical resources (hide)'!BM$6:BM$105)&gt;0,$E$1=2),0,1)</f>
        <v>1</v>
      </c>
      <c r="BA151" s="67">
        <f ca="1">IF(AND(SUMIF(Capacity_Resource,$D151,'Critical resources (hide)'!BN$6:BN$105)+SUMIF(Capacity_Resource,$E151,'Critical resources (hide)'!BN$6:BN$105)+SUMIF(Capacity_Resource,$F151,'Critical resources (hide)'!BN$6:BN$105)&gt;0,$E$1=2),0,1)</f>
        <v>1</v>
      </c>
      <c r="BB151" s="67">
        <f ca="1">IF(AND(SUMIF(Capacity_Resource,$D151,'Critical resources (hide)'!BO$6:BO$105)+SUMIF(Capacity_Resource,$E151,'Critical resources (hide)'!BO$6:BO$105)+SUMIF(Capacity_Resource,$F151,'Critical resources (hide)'!BO$6:BO$105)&gt;0,$E$1=2),0,1)</f>
        <v>1</v>
      </c>
      <c r="BC151" s="67">
        <f ca="1">IF(AND(SUMIF(Capacity_Resource,$D151,'Critical resources (hide)'!BP$6:BP$105)+SUMIF(Capacity_Resource,$E151,'Critical resources (hide)'!BP$6:BP$105)+SUMIF(Capacity_Resource,$F151,'Critical resources (hide)'!BP$6:BP$105)&gt;0,$E$1=2),0,1)</f>
        <v>1</v>
      </c>
      <c r="BD151" s="67">
        <f ca="1">IF(AND(SUMIF(Capacity_Resource,$D151,'Critical resources (hide)'!BQ$6:BQ$105)+SUMIF(Capacity_Resource,$E151,'Critical resources (hide)'!BQ$6:BQ$105)+SUMIF(Capacity_Resource,$F151,'Critical resources (hide)'!BQ$6:BQ$105)&gt;0,$E$1=2),0,1)</f>
        <v>1</v>
      </c>
      <c r="BE151" s="67">
        <f ca="1">IF(AND(SUMIF(Capacity_Resource,$D151,'Critical resources (hide)'!BR$6:BR$105)+SUMIF(Capacity_Resource,$E151,'Critical resources (hide)'!BR$6:BR$105)+SUMIF(Capacity_Resource,$F151,'Critical resources (hide)'!BR$6:BR$105)&gt;0,$E$1=2),0,1)</f>
        <v>1</v>
      </c>
      <c r="BF151" s="67">
        <f ca="1">IF(AND(SUMIF(Capacity_Resource,$D151,'Critical resources (hide)'!BS$6:BS$105)+SUMIF(Capacity_Resource,$E151,'Critical resources (hide)'!BS$6:BS$105)+SUMIF(Capacity_Resource,$F151,'Critical resources (hide)'!BS$6:BS$105)&gt;0,$E$1=2),0,1)</f>
        <v>1</v>
      </c>
      <c r="BG151" s="67">
        <f ca="1">IF(AND(SUMIF(Capacity_Resource,$D151,'Critical resources (hide)'!BT$6:BT$105)+SUMIF(Capacity_Resource,$E151,'Critical resources (hide)'!BT$6:BT$105)+SUMIF(Capacity_Resource,$F151,'Critical resources (hide)'!BT$6:BT$105)&gt;0,$E$1=2),0,1)</f>
        <v>1</v>
      </c>
      <c r="BH151" s="67">
        <f>IF(ROW(A40)&lt;=Capacity!$M$16,IF('Capacity summary'!$C$14="No",SUM(H151:BG151),'Capacity summary'!$E63),0)</f>
        <v>0</v>
      </c>
      <c r="BI151" s="67" t="str">
        <f>IF(BH151&gt;0,IF(BH151&lt;Capacity!Q56,Capacity!R56,Capacity!T56/'Capacity calculation (hide)'!BH151),"")</f>
        <v/>
      </c>
      <c r="BJ151" s="5"/>
      <c r="BK151" s="5">
        <f>IF($BI151&lt;&gt;"",IF('Capacity summary'!$C$14="Yes",IF(COUNTBLANK('Capacity summary'!$H63:$BG63)&lt;52,IF('Capacity summary'!H63&lt;&gt;"",IF(LOWER('Capacity summary'!H63)="x",$BI151*H151,VALUE('Capacity summary'!H63)),0),H151*$BI151),H151*$BI151),0)</f>
        <v>0</v>
      </c>
      <c r="BL151" s="5">
        <f>IF($BI151&lt;&gt;"",IF('Capacity summary'!$C$14="Yes",IF(COUNTBLANK('Capacity summary'!$H63:$BG63)&lt;52,IF('Capacity summary'!I63&lt;&gt;"",IF(LOWER('Capacity summary'!I63)="x",$BI151*I151,VALUE('Capacity summary'!I63)),0),I151*$BI151),I151*$BI151),0)</f>
        <v>0</v>
      </c>
      <c r="BM151" s="5">
        <f>IF($BI151&lt;&gt;"",IF('Capacity summary'!$C$14="Yes",IF(COUNTBLANK('Capacity summary'!$H63:$BG63)&lt;52,IF('Capacity summary'!J63&lt;&gt;"",IF(LOWER('Capacity summary'!J63)="x",$BI151*J151,VALUE('Capacity summary'!J63)),0),J151*$BI151),J151*$BI151),0)</f>
        <v>0</v>
      </c>
      <c r="BN151" s="5">
        <f>IF($BI151&lt;&gt;"",IF('Capacity summary'!$C$14="Yes",IF(COUNTBLANK('Capacity summary'!$H63:$BG63)&lt;52,IF('Capacity summary'!K63&lt;&gt;"",IF(LOWER('Capacity summary'!K63)="x",$BI151*K151,VALUE('Capacity summary'!K63)),0),K151*$BI151),K151*$BI151),0)</f>
        <v>0</v>
      </c>
      <c r="BO151" s="5">
        <f>IF($BI151&lt;&gt;"",IF('Capacity summary'!$C$14="Yes",IF(COUNTBLANK('Capacity summary'!$H63:$BG63)&lt;52,IF('Capacity summary'!L63&lt;&gt;"",IF(LOWER('Capacity summary'!L63)="x",$BI151*L151,VALUE('Capacity summary'!L63)),0),L151*$BI151),L151*$BI151),0)</f>
        <v>0</v>
      </c>
      <c r="BP151" s="5">
        <f>IF($BI151&lt;&gt;"",IF('Capacity summary'!$C$14="Yes",IF(COUNTBLANK('Capacity summary'!$H63:$BG63)&lt;52,IF('Capacity summary'!M63&lt;&gt;"",IF(LOWER('Capacity summary'!M63)="x",$BI151*M151,VALUE('Capacity summary'!M63)),0),M151*$BI151),M151*$BI151),0)</f>
        <v>0</v>
      </c>
      <c r="BQ151" s="5">
        <f>IF($BI151&lt;&gt;"",IF('Capacity summary'!$C$14="Yes",IF(COUNTBLANK('Capacity summary'!$H63:$BG63)&lt;52,IF('Capacity summary'!N63&lt;&gt;"",IF(LOWER('Capacity summary'!N63)="x",$BI151*N151,VALUE('Capacity summary'!N63)),0),N151*$BI151),N151*$BI151),0)</f>
        <v>0</v>
      </c>
      <c r="BR151" s="5">
        <f>IF($BI151&lt;&gt;"",IF('Capacity summary'!$C$14="Yes",IF(COUNTBLANK('Capacity summary'!$H63:$BG63)&lt;52,IF('Capacity summary'!O63&lt;&gt;"",IF(LOWER('Capacity summary'!O63)="x",$BI151*O151,VALUE('Capacity summary'!O63)),0),O151*$BI151),O151*$BI151),0)</f>
        <v>0</v>
      </c>
      <c r="BS151" s="5">
        <f>IF($BI151&lt;&gt;"",IF('Capacity summary'!$C$14="Yes",IF(COUNTBLANK('Capacity summary'!$H63:$BG63)&lt;52,IF('Capacity summary'!P63&lt;&gt;"",IF(LOWER('Capacity summary'!P63)="x",$BI151*P151,VALUE('Capacity summary'!P63)),0),P151*$BI151),P151*$BI151),0)</f>
        <v>0</v>
      </c>
      <c r="BT151" s="5">
        <f>IF($BI151&lt;&gt;"",IF('Capacity summary'!$C$14="Yes",IF(COUNTBLANK('Capacity summary'!$H63:$BG63)&lt;52,IF('Capacity summary'!Q63&lt;&gt;"",IF(LOWER('Capacity summary'!Q63)="x",$BI151*Q151,VALUE('Capacity summary'!Q63)),0),Q151*$BI151),Q151*$BI151),0)</f>
        <v>0</v>
      </c>
      <c r="BU151" s="5">
        <f>IF($BI151&lt;&gt;"",IF('Capacity summary'!$C$14="Yes",IF(COUNTBLANK('Capacity summary'!$H63:$BG63)&lt;52,IF('Capacity summary'!R63&lt;&gt;"",IF(LOWER('Capacity summary'!R63)="x",$BI151*R151,VALUE('Capacity summary'!R63)),0),R151*$BI151),R151*$BI151),0)</f>
        <v>0</v>
      </c>
      <c r="BV151" s="5">
        <f>IF($BI151&lt;&gt;"",IF('Capacity summary'!$C$14="Yes",IF(COUNTBLANK('Capacity summary'!$H63:$BG63)&lt;52,IF('Capacity summary'!S63&lt;&gt;"",IF(LOWER('Capacity summary'!S63)="x",$BI151*S151,VALUE('Capacity summary'!S63)),0),S151*$BI151),S151*$BI151),0)</f>
        <v>0</v>
      </c>
      <c r="BW151" s="5">
        <f>IF($BI151&lt;&gt;"",IF('Capacity summary'!$C$14="Yes",IF(COUNTBLANK('Capacity summary'!$H63:$BG63)&lt;52,IF('Capacity summary'!T63&lt;&gt;"",IF(LOWER('Capacity summary'!T63)="x",$BI151*T151,VALUE('Capacity summary'!T63)),0),T151*$BI151),T151*$BI151),0)</f>
        <v>0</v>
      </c>
      <c r="BX151" s="5">
        <f>IF($BI151&lt;&gt;"",IF('Capacity summary'!$C$14="Yes",IF(COUNTBLANK('Capacity summary'!$H63:$BG63)&lt;52,IF('Capacity summary'!U63&lt;&gt;"",IF(LOWER('Capacity summary'!U63)="x",$BI151*U151,VALUE('Capacity summary'!U63)),0),U151*$BI151),U151*$BI151),0)</f>
        <v>0</v>
      </c>
      <c r="BY151" s="5">
        <f>IF($BI151&lt;&gt;"",IF('Capacity summary'!$C$14="Yes",IF(COUNTBLANK('Capacity summary'!$H63:$BG63)&lt;52,IF('Capacity summary'!V63&lt;&gt;"",IF(LOWER('Capacity summary'!V63)="x",$BI151*V151,VALUE('Capacity summary'!V63)),0),V151*$BI151),V151*$BI151),0)</f>
        <v>0</v>
      </c>
      <c r="BZ151" s="5">
        <f>IF($BI151&lt;&gt;"",IF('Capacity summary'!$C$14="Yes",IF(COUNTBLANK('Capacity summary'!$H63:$BG63)&lt;52,IF('Capacity summary'!W63&lt;&gt;"",IF(LOWER('Capacity summary'!W63)="x",$BI151*W151,VALUE('Capacity summary'!W63)),0),W151*$BI151),W151*$BI151),0)</f>
        <v>0</v>
      </c>
      <c r="CA151" s="5">
        <f>IF($BI151&lt;&gt;"",IF('Capacity summary'!$C$14="Yes",IF(COUNTBLANK('Capacity summary'!$H63:$BG63)&lt;52,IF('Capacity summary'!X63&lt;&gt;"",IF(LOWER('Capacity summary'!X63)="x",$BI151*X151,VALUE('Capacity summary'!X63)),0),X151*$BI151),X151*$BI151),0)</f>
        <v>0</v>
      </c>
      <c r="CB151" s="5">
        <f>IF($BI151&lt;&gt;"",IF('Capacity summary'!$C$14="Yes",IF(COUNTBLANK('Capacity summary'!$H63:$BG63)&lt;52,IF('Capacity summary'!Y63&lt;&gt;"",IF(LOWER('Capacity summary'!Y63)="x",$BI151*Y151,VALUE('Capacity summary'!Y63)),0),Y151*$BI151),Y151*$BI151),0)</f>
        <v>0</v>
      </c>
      <c r="CC151" s="5">
        <f>IF($BI151&lt;&gt;"",IF('Capacity summary'!$C$14="Yes",IF(COUNTBLANK('Capacity summary'!$H63:$BG63)&lt;52,IF('Capacity summary'!Z63&lt;&gt;"",IF(LOWER('Capacity summary'!Z63)="x",$BI151*Z151,VALUE('Capacity summary'!Z63)),0),Z151*$BI151),Z151*$BI151),0)</f>
        <v>0</v>
      </c>
      <c r="CD151" s="5">
        <f>IF($BI151&lt;&gt;"",IF('Capacity summary'!$C$14="Yes",IF(COUNTBLANK('Capacity summary'!$H63:$BG63)&lt;52,IF('Capacity summary'!AA63&lt;&gt;"",IF(LOWER('Capacity summary'!AA63)="x",$BI151*AA151,VALUE('Capacity summary'!AA63)),0),AA151*$BI151),AA151*$BI151),0)</f>
        <v>0</v>
      </c>
      <c r="CE151" s="5">
        <f>IF($BI151&lt;&gt;"",IF('Capacity summary'!$C$14="Yes",IF(COUNTBLANK('Capacity summary'!$H63:$BG63)&lt;52,IF('Capacity summary'!AB63&lt;&gt;"",IF(LOWER('Capacity summary'!AB63)="x",$BI151*AB151,VALUE('Capacity summary'!AB63)),0),AB151*$BI151),AB151*$BI151),0)</f>
        <v>0</v>
      </c>
      <c r="CF151" s="5">
        <f>IF($BI151&lt;&gt;"",IF('Capacity summary'!$C$14="Yes",IF(COUNTBLANK('Capacity summary'!$H63:$BG63)&lt;52,IF('Capacity summary'!AC63&lt;&gt;"",IF(LOWER('Capacity summary'!AC63)="x",$BI151*AC151,VALUE('Capacity summary'!AC63)),0),AC151*$BI151),AC151*$BI151),0)</f>
        <v>0</v>
      </c>
      <c r="CG151" s="5">
        <f>IF($BI151&lt;&gt;"",IF('Capacity summary'!$C$14="Yes",IF(COUNTBLANK('Capacity summary'!$H63:$BG63)&lt;52,IF('Capacity summary'!AD63&lt;&gt;"",IF(LOWER('Capacity summary'!AD63)="x",$BI151*AD151,VALUE('Capacity summary'!AD63)),0),AD151*$BI151),AD151*$BI151),0)</f>
        <v>0</v>
      </c>
      <c r="CH151" s="5">
        <f>IF($BI151&lt;&gt;"",IF('Capacity summary'!$C$14="Yes",IF(COUNTBLANK('Capacity summary'!$H63:$BG63)&lt;52,IF('Capacity summary'!AE63&lt;&gt;"",IF(LOWER('Capacity summary'!AE63)="x",$BI151*AE151,VALUE('Capacity summary'!AE63)),0),AE151*$BI151),AE151*$BI151),0)</f>
        <v>0</v>
      </c>
      <c r="CI151" s="5">
        <f>IF($BI151&lt;&gt;"",IF('Capacity summary'!$C$14="Yes",IF(COUNTBLANK('Capacity summary'!$H63:$BG63)&lt;52,IF('Capacity summary'!AF63&lt;&gt;"",IF(LOWER('Capacity summary'!AF63)="x",$BI151*AF151,VALUE('Capacity summary'!AF63)),0),AF151*$BI151),AF151*$BI151),0)</f>
        <v>0</v>
      </c>
      <c r="CJ151" s="5">
        <f>IF($BI151&lt;&gt;"",IF('Capacity summary'!$C$14="Yes",IF(COUNTBLANK('Capacity summary'!$H63:$BG63)&lt;52,IF('Capacity summary'!AG63&lt;&gt;"",IF(LOWER('Capacity summary'!AG63)="x",$BI151*AG151,VALUE('Capacity summary'!AG63)),0),AG151*$BI151),AG151*$BI151),0)</f>
        <v>0</v>
      </c>
      <c r="CK151" s="5">
        <f>IF($BI151&lt;&gt;"",IF('Capacity summary'!$C$14="Yes",IF(COUNTBLANK('Capacity summary'!$H63:$BG63)&lt;52,IF('Capacity summary'!AH63&lt;&gt;"",IF(LOWER('Capacity summary'!AH63)="x",$BI151*AH151,VALUE('Capacity summary'!AH63)),0),AH151*$BI151),AH151*$BI151),0)</f>
        <v>0</v>
      </c>
      <c r="CL151" s="5">
        <f>IF($BI151&lt;&gt;"",IF('Capacity summary'!$C$14="Yes",IF(COUNTBLANK('Capacity summary'!$H63:$BG63)&lt;52,IF('Capacity summary'!AI63&lt;&gt;"",IF(LOWER('Capacity summary'!AI63)="x",$BI151*AI151,VALUE('Capacity summary'!AI63)),0),AI151*$BI151),AI151*$BI151),0)</f>
        <v>0</v>
      </c>
      <c r="CM151" s="5">
        <f>IF($BI151&lt;&gt;"",IF('Capacity summary'!$C$14="Yes",IF(COUNTBLANK('Capacity summary'!$H63:$BG63)&lt;52,IF('Capacity summary'!AJ63&lt;&gt;"",IF(LOWER('Capacity summary'!AJ63)="x",$BI151*AJ151,VALUE('Capacity summary'!AJ63)),0),AJ151*$BI151),AJ151*$BI151),0)</f>
        <v>0</v>
      </c>
      <c r="CN151" s="5">
        <f>IF($BI151&lt;&gt;"",IF('Capacity summary'!$C$14="Yes",IF(COUNTBLANK('Capacity summary'!$H63:$BG63)&lt;52,IF('Capacity summary'!AK63&lt;&gt;"",IF(LOWER('Capacity summary'!AK63)="x",$BI151*AK151,VALUE('Capacity summary'!AK63)),0),AK151*$BI151),AK151*$BI151),0)</f>
        <v>0</v>
      </c>
      <c r="CO151" s="5">
        <f>IF($BI151&lt;&gt;"",IF('Capacity summary'!$C$14="Yes",IF(COUNTBLANK('Capacity summary'!$H63:$BG63)&lt;52,IF('Capacity summary'!AL63&lt;&gt;"",IF(LOWER('Capacity summary'!AL63)="x",$BI151*AL151,VALUE('Capacity summary'!AL63)),0),AL151*$BI151),AL151*$BI151),0)</f>
        <v>0</v>
      </c>
      <c r="CP151" s="5">
        <f>IF($BI151&lt;&gt;"",IF('Capacity summary'!$C$14="Yes",IF(COUNTBLANK('Capacity summary'!$H63:$BG63)&lt;52,IF('Capacity summary'!AM63&lt;&gt;"",IF(LOWER('Capacity summary'!AM63)="x",$BI151*AM151,VALUE('Capacity summary'!AM63)),0),AM151*$BI151),AM151*$BI151),0)</f>
        <v>0</v>
      </c>
      <c r="CQ151" s="5">
        <f>IF($BI151&lt;&gt;"",IF('Capacity summary'!$C$14="Yes",IF(COUNTBLANK('Capacity summary'!$H63:$BG63)&lt;52,IF('Capacity summary'!AN63&lt;&gt;"",IF(LOWER('Capacity summary'!AN63)="x",$BI151*AN151,VALUE('Capacity summary'!AN63)),0),AN151*$BI151),AN151*$BI151),0)</f>
        <v>0</v>
      </c>
      <c r="CR151" s="5">
        <f>IF($BI151&lt;&gt;"",IF('Capacity summary'!$C$14="Yes",IF(COUNTBLANK('Capacity summary'!$H63:$BG63)&lt;52,IF('Capacity summary'!AO63&lt;&gt;"",IF(LOWER('Capacity summary'!AO63)="x",$BI151*AO151,VALUE('Capacity summary'!AO63)),0),AO151*$BI151),AO151*$BI151),0)</f>
        <v>0</v>
      </c>
      <c r="CS151" s="5">
        <f>IF($BI151&lt;&gt;"",IF('Capacity summary'!$C$14="Yes",IF(COUNTBLANK('Capacity summary'!$H63:$BG63)&lt;52,IF('Capacity summary'!AP63&lt;&gt;"",IF(LOWER('Capacity summary'!AP63)="x",$BI151*AP151,VALUE('Capacity summary'!AP63)),0),AP151*$BI151),AP151*$BI151),0)</f>
        <v>0</v>
      </c>
      <c r="CT151" s="5">
        <f>IF($BI151&lt;&gt;"",IF('Capacity summary'!$C$14="Yes",IF(COUNTBLANK('Capacity summary'!$H63:$BG63)&lt;52,IF('Capacity summary'!AQ63&lt;&gt;"",IF(LOWER('Capacity summary'!AQ63)="x",$BI151*AQ151,VALUE('Capacity summary'!AQ63)),0),AQ151*$BI151),AQ151*$BI151),0)</f>
        <v>0</v>
      </c>
      <c r="CU151" s="5">
        <f>IF($BI151&lt;&gt;"",IF('Capacity summary'!$C$14="Yes",IF(COUNTBLANK('Capacity summary'!$H63:$BG63)&lt;52,IF('Capacity summary'!AR63&lt;&gt;"",IF(LOWER('Capacity summary'!AR63)="x",$BI151*AR151,VALUE('Capacity summary'!AR63)),0),AR151*$BI151),AR151*$BI151),0)</f>
        <v>0</v>
      </c>
      <c r="CV151" s="5">
        <f>IF($BI151&lt;&gt;"",IF('Capacity summary'!$C$14="Yes",IF(COUNTBLANK('Capacity summary'!$H63:$BG63)&lt;52,IF('Capacity summary'!AS63&lt;&gt;"",IF(LOWER('Capacity summary'!AS63)="x",$BI151*AS151,VALUE('Capacity summary'!AS63)),0),AS151*$BI151),AS151*$BI151),0)</f>
        <v>0</v>
      </c>
      <c r="CW151" s="5">
        <f>IF($BI151&lt;&gt;"",IF('Capacity summary'!$C$14="Yes",IF(COUNTBLANK('Capacity summary'!$H63:$BG63)&lt;52,IF('Capacity summary'!AT63&lt;&gt;"",IF(LOWER('Capacity summary'!AT63)="x",$BI151*AT151,VALUE('Capacity summary'!AT63)),0),AT151*$BI151),AT151*$BI151),0)</f>
        <v>0</v>
      </c>
      <c r="CX151" s="5">
        <f>IF($BI151&lt;&gt;"",IF('Capacity summary'!$C$14="Yes",IF(COUNTBLANK('Capacity summary'!$H63:$BG63)&lt;52,IF('Capacity summary'!AU63&lt;&gt;"",IF(LOWER('Capacity summary'!AU63)="x",$BI151*AU151,VALUE('Capacity summary'!AU63)),0),AU151*$BI151),AU151*$BI151),0)</f>
        <v>0</v>
      </c>
      <c r="CY151" s="5">
        <f>IF($BI151&lt;&gt;"",IF('Capacity summary'!$C$14="Yes",IF(COUNTBLANK('Capacity summary'!$H63:$BG63)&lt;52,IF('Capacity summary'!AV63&lt;&gt;"",IF(LOWER('Capacity summary'!AV63)="x",$BI151*AV151,VALUE('Capacity summary'!AV63)),0),AV151*$BI151),AV151*$BI151),0)</f>
        <v>0</v>
      </c>
      <c r="CZ151" s="5">
        <f>IF($BI151&lt;&gt;"",IF('Capacity summary'!$C$14="Yes",IF(COUNTBLANK('Capacity summary'!$H63:$BG63)&lt;52,IF('Capacity summary'!AW63&lt;&gt;"",IF(LOWER('Capacity summary'!AW63)="x",$BI151*AW151,VALUE('Capacity summary'!AW63)),0),AW151*$BI151),AW151*$BI151),0)</f>
        <v>0</v>
      </c>
      <c r="DA151" s="5">
        <f>IF($BI151&lt;&gt;"",IF('Capacity summary'!$C$14="Yes",IF(COUNTBLANK('Capacity summary'!$H63:$BG63)&lt;52,IF('Capacity summary'!AX63&lt;&gt;"",IF(LOWER('Capacity summary'!AX63)="x",$BI151*AX151,VALUE('Capacity summary'!AX63)),0),AX151*$BI151),AX151*$BI151),0)</f>
        <v>0</v>
      </c>
      <c r="DB151" s="5">
        <f>IF($BI151&lt;&gt;"",IF('Capacity summary'!$C$14="Yes",IF(COUNTBLANK('Capacity summary'!$H63:$BG63)&lt;52,IF('Capacity summary'!AY63&lt;&gt;"",IF(LOWER('Capacity summary'!AY63)="x",$BI151*AY151,VALUE('Capacity summary'!AY63)),0),AY151*$BI151),AY151*$BI151),0)</f>
        <v>0</v>
      </c>
      <c r="DC151" s="5">
        <f>IF($BI151&lt;&gt;"",IF('Capacity summary'!$C$14="Yes",IF(COUNTBLANK('Capacity summary'!$H63:$BG63)&lt;52,IF('Capacity summary'!AZ63&lt;&gt;"",IF(LOWER('Capacity summary'!AZ63)="x",$BI151*AZ151,VALUE('Capacity summary'!AZ63)),0),AZ151*$BI151),AZ151*$BI151),0)</f>
        <v>0</v>
      </c>
      <c r="DD151" s="5">
        <f>IF($BI151&lt;&gt;"",IF('Capacity summary'!$C$14="Yes",IF(COUNTBLANK('Capacity summary'!$H63:$BG63)&lt;52,IF('Capacity summary'!BA63&lt;&gt;"",IF(LOWER('Capacity summary'!BA63)="x",$BI151*BA151,VALUE('Capacity summary'!BA63)),0),BA151*$BI151),BA151*$BI151),0)</f>
        <v>0</v>
      </c>
      <c r="DE151" s="5">
        <f>IF($BI151&lt;&gt;"",IF('Capacity summary'!$C$14="Yes",IF(COUNTBLANK('Capacity summary'!$H63:$BG63)&lt;52,IF('Capacity summary'!BB63&lt;&gt;"",IF(LOWER('Capacity summary'!BB63)="x",$BI151*BB151,VALUE('Capacity summary'!BB63)),0),BB151*$BI151),BB151*$BI151),0)</f>
        <v>0</v>
      </c>
      <c r="DF151" s="5">
        <f>IF($BI151&lt;&gt;"",IF('Capacity summary'!$C$14="Yes",IF(COUNTBLANK('Capacity summary'!$H63:$BG63)&lt;52,IF('Capacity summary'!BC63&lt;&gt;"",IF(LOWER('Capacity summary'!BC63)="x",$BI151*BC151,VALUE('Capacity summary'!BC63)),0),BC151*$BI151),BC151*$BI151),0)</f>
        <v>0</v>
      </c>
      <c r="DG151" s="5">
        <f>IF($BI151&lt;&gt;"",IF('Capacity summary'!$C$14="Yes",IF(COUNTBLANK('Capacity summary'!$H63:$BG63)&lt;52,IF('Capacity summary'!BD63&lt;&gt;"",IF(LOWER('Capacity summary'!BD63)="x",$BI151*BD151,VALUE('Capacity summary'!BD63)),0),BD151*$BI151),BD151*$BI151),0)</f>
        <v>0</v>
      </c>
      <c r="DH151" s="5">
        <f>IF($BI151&lt;&gt;"",IF('Capacity summary'!$C$14="Yes",IF(COUNTBLANK('Capacity summary'!$H63:$BG63)&lt;52,IF('Capacity summary'!BE63&lt;&gt;"",IF(LOWER('Capacity summary'!BE63)="x",$BI151*BE151,VALUE('Capacity summary'!BE63)),0),BE151*$BI151),BE151*$BI151),0)</f>
        <v>0</v>
      </c>
      <c r="DI151" s="5">
        <f>IF($BI151&lt;&gt;"",IF('Capacity summary'!$C$14="Yes",IF(COUNTBLANK('Capacity summary'!$H63:$BG63)&lt;52,IF('Capacity summary'!BF63&lt;&gt;"",IF(LOWER('Capacity summary'!BF63)="x",$BI151*BF151,VALUE('Capacity summary'!BF63)),0),BF151*$BI151),BF151*$BI151),0)</f>
        <v>0</v>
      </c>
      <c r="DJ151" s="5">
        <f>IF($BI151&lt;&gt;"",IF('Capacity summary'!$C$14="Yes",IF(COUNTBLANK('Capacity summary'!$H63:$BG63)&lt;52,IF('Capacity summary'!BG63&lt;&gt;"",IF(LOWER('Capacity summary'!BG63)="x",$BI151*BG151,VALUE('Capacity summary'!BG63)),0),BG151*$BI151),BG151*$BI151),0)</f>
        <v>0</v>
      </c>
      <c r="DK151" s="5">
        <f t="shared" ref="DK151" si="45">SUM(DK152:DK251)</f>
        <v>0</v>
      </c>
    </row>
    <row r="152" spans="3:115" x14ac:dyDescent="0.25">
      <c r="C152" s="67" t="str">
        <f>ROW(A41)&amp;". "&amp;Capacity!N57</f>
        <v xml:space="preserve">41. </v>
      </c>
      <c r="D152" s="67">
        <f>'Capacity setup'!C158</f>
        <v>0</v>
      </c>
      <c r="E152" s="67">
        <f>'Capacity setup'!D158</f>
        <v>0</v>
      </c>
      <c r="F152" s="67">
        <f>'Capacity setup'!E158</f>
        <v>0</v>
      </c>
      <c r="H152" s="67">
        <f ca="1">IF(AND(SUMIF(Capacity_Resource,$D152,'Critical resources (hide)'!U$6:U$105)+SUMIF(Capacity_Resource,$E152,'Critical resources (hide)'!U$6:U$105)+SUMIF(Capacity_Resource,$F152,'Critical resources (hide)'!U$6:U$105)&gt;0,$E$1=2),0,1)</f>
        <v>1</v>
      </c>
      <c r="I152" s="67">
        <f ca="1">IF(AND(SUMIF(Capacity_Resource,$D152,'Critical resources (hide)'!V$6:V$105)+SUMIF(Capacity_Resource,$E152,'Critical resources (hide)'!V$6:V$105)+SUMIF(Capacity_Resource,$F152,'Critical resources (hide)'!V$6:V$105)&gt;0,$E$1=2),0,1)</f>
        <v>1</v>
      </c>
      <c r="J152" s="67">
        <f ca="1">IF(AND(SUMIF(Capacity_Resource,$D152,'Critical resources (hide)'!W$6:W$105)+SUMIF(Capacity_Resource,$E152,'Critical resources (hide)'!W$6:W$105)+SUMIF(Capacity_Resource,$F152,'Critical resources (hide)'!W$6:W$105)&gt;0,$E$1=2),0,1)</f>
        <v>1</v>
      </c>
      <c r="K152" s="67">
        <f ca="1">IF(AND(SUMIF(Capacity_Resource,$D152,'Critical resources (hide)'!X$6:X$105)+SUMIF(Capacity_Resource,$E152,'Critical resources (hide)'!X$6:X$105)+SUMIF(Capacity_Resource,$F152,'Critical resources (hide)'!X$6:X$105)&gt;0,$E$1=2),0,1)</f>
        <v>1</v>
      </c>
      <c r="L152" s="67">
        <f ca="1">IF(AND(SUMIF(Capacity_Resource,$D152,'Critical resources (hide)'!Y$6:Y$105)+SUMIF(Capacity_Resource,$E152,'Critical resources (hide)'!Y$6:Y$105)+SUMIF(Capacity_Resource,$F152,'Critical resources (hide)'!Y$6:Y$105)&gt;0,$E$1=2),0,1)</f>
        <v>1</v>
      </c>
      <c r="M152" s="67">
        <f ca="1">IF(AND(SUMIF(Capacity_Resource,$D152,'Critical resources (hide)'!Z$6:Z$105)+SUMIF(Capacity_Resource,$E152,'Critical resources (hide)'!Z$6:Z$105)+SUMIF(Capacity_Resource,$F152,'Critical resources (hide)'!Z$6:Z$105)&gt;0,$E$1=2),0,1)</f>
        <v>1</v>
      </c>
      <c r="N152" s="67">
        <f ca="1">IF(AND(SUMIF(Capacity_Resource,$D152,'Critical resources (hide)'!AA$6:AA$105)+SUMIF(Capacity_Resource,$E152,'Critical resources (hide)'!AA$6:AA$105)+SUMIF(Capacity_Resource,$F152,'Critical resources (hide)'!AA$6:AA$105)&gt;0,$E$1=2),0,1)</f>
        <v>1</v>
      </c>
      <c r="O152" s="67">
        <f ca="1">IF(AND(SUMIF(Capacity_Resource,$D152,'Critical resources (hide)'!AB$6:AB$105)+SUMIF(Capacity_Resource,$E152,'Critical resources (hide)'!AB$6:AB$105)+SUMIF(Capacity_Resource,$F152,'Critical resources (hide)'!AB$6:AB$105)&gt;0,$E$1=2),0,1)</f>
        <v>1</v>
      </c>
      <c r="P152" s="67">
        <f ca="1">IF(AND(SUMIF(Capacity_Resource,$D152,'Critical resources (hide)'!AC$6:AC$105)+SUMIF(Capacity_Resource,$E152,'Critical resources (hide)'!AC$6:AC$105)+SUMIF(Capacity_Resource,$F152,'Critical resources (hide)'!AC$6:AC$105)&gt;0,$E$1=2),0,1)</f>
        <v>1</v>
      </c>
      <c r="Q152" s="67">
        <f ca="1">IF(AND(SUMIF(Capacity_Resource,$D152,'Critical resources (hide)'!AD$6:AD$105)+SUMIF(Capacity_Resource,$E152,'Critical resources (hide)'!AD$6:AD$105)+SUMIF(Capacity_Resource,$F152,'Critical resources (hide)'!AD$6:AD$105)&gt;0,$E$1=2),0,1)</f>
        <v>1</v>
      </c>
      <c r="R152" s="67">
        <f ca="1">IF(AND(SUMIF(Capacity_Resource,$D152,'Critical resources (hide)'!AE$6:AE$105)+SUMIF(Capacity_Resource,$E152,'Critical resources (hide)'!AE$6:AE$105)+SUMIF(Capacity_Resource,$F152,'Critical resources (hide)'!AE$6:AE$105)&gt;0,$E$1=2),0,1)</f>
        <v>1</v>
      </c>
      <c r="S152" s="67">
        <f ca="1">IF(AND(SUMIF(Capacity_Resource,$D152,'Critical resources (hide)'!AF$6:AF$105)+SUMIF(Capacity_Resource,$E152,'Critical resources (hide)'!AF$6:AF$105)+SUMIF(Capacity_Resource,$F152,'Critical resources (hide)'!AF$6:AF$105)&gt;0,$E$1=2),0,1)</f>
        <v>1</v>
      </c>
      <c r="T152" s="67">
        <f ca="1">IF(AND(SUMIF(Capacity_Resource,$D152,'Critical resources (hide)'!AG$6:AG$105)+SUMIF(Capacity_Resource,$E152,'Critical resources (hide)'!AG$6:AG$105)+SUMIF(Capacity_Resource,$F152,'Critical resources (hide)'!AG$6:AG$105)&gt;0,$E$1=2),0,1)</f>
        <v>1</v>
      </c>
      <c r="U152" s="67">
        <f ca="1">IF(AND(SUMIF(Capacity_Resource,$D152,'Critical resources (hide)'!AH$6:AH$105)+SUMIF(Capacity_Resource,$E152,'Critical resources (hide)'!AH$6:AH$105)+SUMIF(Capacity_Resource,$F152,'Critical resources (hide)'!AH$6:AH$105)&gt;0,$E$1=2),0,1)</f>
        <v>1</v>
      </c>
      <c r="V152" s="67">
        <f ca="1">IF(AND(SUMIF(Capacity_Resource,$D152,'Critical resources (hide)'!AI$6:AI$105)+SUMIF(Capacity_Resource,$E152,'Critical resources (hide)'!AI$6:AI$105)+SUMIF(Capacity_Resource,$F152,'Critical resources (hide)'!AI$6:AI$105)&gt;0,$E$1=2),0,1)</f>
        <v>1</v>
      </c>
      <c r="W152" s="67">
        <f ca="1">IF(AND(SUMIF(Capacity_Resource,$D152,'Critical resources (hide)'!AJ$6:AJ$105)+SUMIF(Capacity_Resource,$E152,'Critical resources (hide)'!AJ$6:AJ$105)+SUMIF(Capacity_Resource,$F152,'Critical resources (hide)'!AJ$6:AJ$105)&gt;0,$E$1=2),0,1)</f>
        <v>1</v>
      </c>
      <c r="X152" s="67">
        <f ca="1">IF(AND(SUMIF(Capacity_Resource,$D152,'Critical resources (hide)'!AK$6:AK$105)+SUMIF(Capacity_Resource,$E152,'Critical resources (hide)'!AK$6:AK$105)+SUMIF(Capacity_Resource,$F152,'Critical resources (hide)'!AK$6:AK$105)&gt;0,$E$1=2),0,1)</f>
        <v>1</v>
      </c>
      <c r="Y152" s="67">
        <f ca="1">IF(AND(SUMIF(Capacity_Resource,$D152,'Critical resources (hide)'!AL$6:AL$105)+SUMIF(Capacity_Resource,$E152,'Critical resources (hide)'!AL$6:AL$105)+SUMIF(Capacity_Resource,$F152,'Critical resources (hide)'!AL$6:AL$105)&gt;0,$E$1=2),0,1)</f>
        <v>1</v>
      </c>
      <c r="Z152" s="67">
        <f ca="1">IF(AND(SUMIF(Capacity_Resource,$D152,'Critical resources (hide)'!AM$6:AM$105)+SUMIF(Capacity_Resource,$E152,'Critical resources (hide)'!AM$6:AM$105)+SUMIF(Capacity_Resource,$F152,'Critical resources (hide)'!AM$6:AM$105)&gt;0,$E$1=2),0,1)</f>
        <v>1</v>
      </c>
      <c r="AA152" s="67">
        <f ca="1">IF(AND(SUMIF(Capacity_Resource,$D152,'Critical resources (hide)'!AN$6:AN$105)+SUMIF(Capacity_Resource,$E152,'Critical resources (hide)'!AN$6:AN$105)+SUMIF(Capacity_Resource,$F152,'Critical resources (hide)'!AN$6:AN$105)&gt;0,$E$1=2),0,1)</f>
        <v>1</v>
      </c>
      <c r="AB152" s="67">
        <f ca="1">IF(AND(SUMIF(Capacity_Resource,$D152,'Critical resources (hide)'!AO$6:AO$105)+SUMIF(Capacity_Resource,$E152,'Critical resources (hide)'!AO$6:AO$105)+SUMIF(Capacity_Resource,$F152,'Critical resources (hide)'!AO$6:AO$105)&gt;0,$E$1=2),0,1)</f>
        <v>1</v>
      </c>
      <c r="AC152" s="67">
        <f ca="1">IF(AND(SUMIF(Capacity_Resource,$D152,'Critical resources (hide)'!AP$6:AP$105)+SUMIF(Capacity_Resource,$E152,'Critical resources (hide)'!AP$6:AP$105)+SUMIF(Capacity_Resource,$F152,'Critical resources (hide)'!AP$6:AP$105)&gt;0,$E$1=2),0,1)</f>
        <v>1</v>
      </c>
      <c r="AD152" s="67">
        <f ca="1">IF(AND(SUMIF(Capacity_Resource,$D152,'Critical resources (hide)'!AQ$6:AQ$105)+SUMIF(Capacity_Resource,$E152,'Critical resources (hide)'!AQ$6:AQ$105)+SUMIF(Capacity_Resource,$F152,'Critical resources (hide)'!AQ$6:AQ$105)&gt;0,$E$1=2),0,1)</f>
        <v>1</v>
      </c>
      <c r="AE152" s="67">
        <f ca="1">IF(AND(SUMIF(Capacity_Resource,$D152,'Critical resources (hide)'!AR$6:AR$105)+SUMIF(Capacity_Resource,$E152,'Critical resources (hide)'!AR$6:AR$105)+SUMIF(Capacity_Resource,$F152,'Critical resources (hide)'!AR$6:AR$105)&gt;0,$E$1=2),0,1)</f>
        <v>1</v>
      </c>
      <c r="AF152" s="67">
        <f ca="1">IF(AND(SUMIF(Capacity_Resource,$D152,'Critical resources (hide)'!AS$6:AS$105)+SUMIF(Capacity_Resource,$E152,'Critical resources (hide)'!AS$6:AS$105)+SUMIF(Capacity_Resource,$F152,'Critical resources (hide)'!AS$6:AS$105)&gt;0,$E$1=2),0,1)</f>
        <v>1</v>
      </c>
      <c r="AG152" s="67">
        <f ca="1">IF(AND(SUMIF(Capacity_Resource,$D152,'Critical resources (hide)'!AT$6:AT$105)+SUMIF(Capacity_Resource,$E152,'Critical resources (hide)'!AT$6:AT$105)+SUMIF(Capacity_Resource,$F152,'Critical resources (hide)'!AT$6:AT$105)&gt;0,$E$1=2),0,1)</f>
        <v>1</v>
      </c>
      <c r="AH152" s="67">
        <f ca="1">IF(AND(SUMIF(Capacity_Resource,$D152,'Critical resources (hide)'!AU$6:AU$105)+SUMIF(Capacity_Resource,$E152,'Critical resources (hide)'!AU$6:AU$105)+SUMIF(Capacity_Resource,$F152,'Critical resources (hide)'!AU$6:AU$105)&gt;0,$E$1=2),0,1)</f>
        <v>1</v>
      </c>
      <c r="AI152" s="67">
        <f ca="1">IF(AND(SUMIF(Capacity_Resource,$D152,'Critical resources (hide)'!AV$6:AV$105)+SUMIF(Capacity_Resource,$E152,'Critical resources (hide)'!AV$6:AV$105)+SUMIF(Capacity_Resource,$F152,'Critical resources (hide)'!AV$6:AV$105)&gt;0,$E$1=2),0,1)</f>
        <v>1</v>
      </c>
      <c r="AJ152" s="67">
        <f ca="1">IF(AND(SUMIF(Capacity_Resource,$D152,'Critical resources (hide)'!AW$6:AW$105)+SUMIF(Capacity_Resource,$E152,'Critical resources (hide)'!AW$6:AW$105)+SUMIF(Capacity_Resource,$F152,'Critical resources (hide)'!AW$6:AW$105)&gt;0,$E$1=2),0,1)</f>
        <v>1</v>
      </c>
      <c r="AK152" s="67">
        <f ca="1">IF(AND(SUMIF(Capacity_Resource,$D152,'Critical resources (hide)'!AX$6:AX$105)+SUMIF(Capacity_Resource,$E152,'Critical resources (hide)'!AX$6:AX$105)+SUMIF(Capacity_Resource,$F152,'Critical resources (hide)'!AX$6:AX$105)&gt;0,$E$1=2),0,1)</f>
        <v>1</v>
      </c>
      <c r="AL152" s="67">
        <f ca="1">IF(AND(SUMIF(Capacity_Resource,$D152,'Critical resources (hide)'!AY$6:AY$105)+SUMIF(Capacity_Resource,$E152,'Critical resources (hide)'!AY$6:AY$105)+SUMIF(Capacity_Resource,$F152,'Critical resources (hide)'!AY$6:AY$105)&gt;0,$E$1=2),0,1)</f>
        <v>1</v>
      </c>
      <c r="AM152" s="67">
        <f ca="1">IF(AND(SUMIF(Capacity_Resource,$D152,'Critical resources (hide)'!AZ$6:AZ$105)+SUMIF(Capacity_Resource,$E152,'Critical resources (hide)'!AZ$6:AZ$105)+SUMIF(Capacity_Resource,$F152,'Critical resources (hide)'!AZ$6:AZ$105)&gt;0,$E$1=2),0,1)</f>
        <v>1</v>
      </c>
      <c r="AN152" s="67">
        <f ca="1">IF(AND(SUMIF(Capacity_Resource,$D152,'Critical resources (hide)'!BA$6:BA$105)+SUMIF(Capacity_Resource,$E152,'Critical resources (hide)'!BA$6:BA$105)+SUMIF(Capacity_Resource,$F152,'Critical resources (hide)'!BA$6:BA$105)&gt;0,$E$1=2),0,1)</f>
        <v>1</v>
      </c>
      <c r="AO152" s="67">
        <f ca="1">IF(AND(SUMIF(Capacity_Resource,$D152,'Critical resources (hide)'!BB$6:BB$105)+SUMIF(Capacity_Resource,$E152,'Critical resources (hide)'!BB$6:BB$105)+SUMIF(Capacity_Resource,$F152,'Critical resources (hide)'!BB$6:BB$105)&gt;0,$E$1=2),0,1)</f>
        <v>1</v>
      </c>
      <c r="AP152" s="67">
        <f ca="1">IF(AND(SUMIF(Capacity_Resource,$D152,'Critical resources (hide)'!BC$6:BC$105)+SUMIF(Capacity_Resource,$E152,'Critical resources (hide)'!BC$6:BC$105)+SUMIF(Capacity_Resource,$F152,'Critical resources (hide)'!BC$6:BC$105)&gt;0,$E$1=2),0,1)</f>
        <v>1</v>
      </c>
      <c r="AQ152" s="67">
        <f ca="1">IF(AND(SUMIF(Capacity_Resource,$D152,'Critical resources (hide)'!BD$6:BD$105)+SUMIF(Capacity_Resource,$E152,'Critical resources (hide)'!BD$6:BD$105)+SUMIF(Capacity_Resource,$F152,'Critical resources (hide)'!BD$6:BD$105)&gt;0,$E$1=2),0,1)</f>
        <v>1</v>
      </c>
      <c r="AR152" s="67">
        <f ca="1">IF(AND(SUMIF(Capacity_Resource,$D152,'Critical resources (hide)'!BE$6:BE$105)+SUMIF(Capacity_Resource,$E152,'Critical resources (hide)'!BE$6:BE$105)+SUMIF(Capacity_Resource,$F152,'Critical resources (hide)'!BE$6:BE$105)&gt;0,$E$1=2),0,1)</f>
        <v>1</v>
      </c>
      <c r="AS152" s="67">
        <f ca="1">IF(AND(SUMIF(Capacity_Resource,$D152,'Critical resources (hide)'!BF$6:BF$105)+SUMIF(Capacity_Resource,$E152,'Critical resources (hide)'!BF$6:BF$105)+SUMIF(Capacity_Resource,$F152,'Critical resources (hide)'!BF$6:BF$105)&gt;0,$E$1=2),0,1)</f>
        <v>1</v>
      </c>
      <c r="AT152" s="67">
        <f ca="1">IF(AND(SUMIF(Capacity_Resource,$D152,'Critical resources (hide)'!BG$6:BG$105)+SUMIF(Capacity_Resource,$E152,'Critical resources (hide)'!BG$6:BG$105)+SUMIF(Capacity_Resource,$F152,'Critical resources (hide)'!BG$6:BG$105)&gt;0,$E$1=2),0,1)</f>
        <v>1</v>
      </c>
      <c r="AU152" s="67">
        <f ca="1">IF(AND(SUMIF(Capacity_Resource,$D152,'Critical resources (hide)'!BH$6:BH$105)+SUMIF(Capacity_Resource,$E152,'Critical resources (hide)'!BH$6:BH$105)+SUMIF(Capacity_Resource,$F152,'Critical resources (hide)'!BH$6:BH$105)&gt;0,$E$1=2),0,1)</f>
        <v>1</v>
      </c>
      <c r="AV152" s="67">
        <f ca="1">IF(AND(SUMIF(Capacity_Resource,$D152,'Critical resources (hide)'!BI$6:BI$105)+SUMIF(Capacity_Resource,$E152,'Critical resources (hide)'!BI$6:BI$105)+SUMIF(Capacity_Resource,$F152,'Critical resources (hide)'!BI$6:BI$105)&gt;0,$E$1=2),0,1)</f>
        <v>1</v>
      </c>
      <c r="AW152" s="67">
        <f ca="1">IF(AND(SUMIF(Capacity_Resource,$D152,'Critical resources (hide)'!BJ$6:BJ$105)+SUMIF(Capacity_Resource,$E152,'Critical resources (hide)'!BJ$6:BJ$105)+SUMIF(Capacity_Resource,$F152,'Critical resources (hide)'!BJ$6:BJ$105)&gt;0,$E$1=2),0,1)</f>
        <v>1</v>
      </c>
      <c r="AX152" s="67">
        <f ca="1">IF(AND(SUMIF(Capacity_Resource,$D152,'Critical resources (hide)'!BK$6:BK$105)+SUMIF(Capacity_Resource,$E152,'Critical resources (hide)'!BK$6:BK$105)+SUMIF(Capacity_Resource,$F152,'Critical resources (hide)'!BK$6:BK$105)&gt;0,$E$1=2),0,1)</f>
        <v>1</v>
      </c>
      <c r="AY152" s="67">
        <f ca="1">IF(AND(SUMIF(Capacity_Resource,$D152,'Critical resources (hide)'!BL$6:BL$105)+SUMIF(Capacity_Resource,$E152,'Critical resources (hide)'!BL$6:BL$105)+SUMIF(Capacity_Resource,$F152,'Critical resources (hide)'!BL$6:BL$105)&gt;0,$E$1=2),0,1)</f>
        <v>1</v>
      </c>
      <c r="AZ152" s="67">
        <f ca="1">IF(AND(SUMIF(Capacity_Resource,$D152,'Critical resources (hide)'!BM$6:BM$105)+SUMIF(Capacity_Resource,$E152,'Critical resources (hide)'!BM$6:BM$105)+SUMIF(Capacity_Resource,$F152,'Critical resources (hide)'!BM$6:BM$105)&gt;0,$E$1=2),0,1)</f>
        <v>1</v>
      </c>
      <c r="BA152" s="67">
        <f ca="1">IF(AND(SUMIF(Capacity_Resource,$D152,'Critical resources (hide)'!BN$6:BN$105)+SUMIF(Capacity_Resource,$E152,'Critical resources (hide)'!BN$6:BN$105)+SUMIF(Capacity_Resource,$F152,'Critical resources (hide)'!BN$6:BN$105)&gt;0,$E$1=2),0,1)</f>
        <v>1</v>
      </c>
      <c r="BB152" s="67">
        <f ca="1">IF(AND(SUMIF(Capacity_Resource,$D152,'Critical resources (hide)'!BO$6:BO$105)+SUMIF(Capacity_Resource,$E152,'Critical resources (hide)'!BO$6:BO$105)+SUMIF(Capacity_Resource,$F152,'Critical resources (hide)'!BO$6:BO$105)&gt;0,$E$1=2),0,1)</f>
        <v>1</v>
      </c>
      <c r="BC152" s="67">
        <f ca="1">IF(AND(SUMIF(Capacity_Resource,$D152,'Critical resources (hide)'!BP$6:BP$105)+SUMIF(Capacity_Resource,$E152,'Critical resources (hide)'!BP$6:BP$105)+SUMIF(Capacity_Resource,$F152,'Critical resources (hide)'!BP$6:BP$105)&gt;0,$E$1=2),0,1)</f>
        <v>1</v>
      </c>
      <c r="BD152" s="67">
        <f ca="1">IF(AND(SUMIF(Capacity_Resource,$D152,'Critical resources (hide)'!BQ$6:BQ$105)+SUMIF(Capacity_Resource,$E152,'Critical resources (hide)'!BQ$6:BQ$105)+SUMIF(Capacity_Resource,$F152,'Critical resources (hide)'!BQ$6:BQ$105)&gt;0,$E$1=2),0,1)</f>
        <v>1</v>
      </c>
      <c r="BE152" s="67">
        <f ca="1">IF(AND(SUMIF(Capacity_Resource,$D152,'Critical resources (hide)'!BR$6:BR$105)+SUMIF(Capacity_Resource,$E152,'Critical resources (hide)'!BR$6:BR$105)+SUMIF(Capacity_Resource,$F152,'Critical resources (hide)'!BR$6:BR$105)&gt;0,$E$1=2),0,1)</f>
        <v>1</v>
      </c>
      <c r="BF152" s="67">
        <f ca="1">IF(AND(SUMIF(Capacity_Resource,$D152,'Critical resources (hide)'!BS$6:BS$105)+SUMIF(Capacity_Resource,$E152,'Critical resources (hide)'!BS$6:BS$105)+SUMIF(Capacity_Resource,$F152,'Critical resources (hide)'!BS$6:BS$105)&gt;0,$E$1=2),0,1)</f>
        <v>1</v>
      </c>
      <c r="BG152" s="67">
        <f ca="1">IF(AND(SUMIF(Capacity_Resource,$D152,'Critical resources (hide)'!BT$6:BT$105)+SUMIF(Capacity_Resource,$E152,'Critical resources (hide)'!BT$6:BT$105)+SUMIF(Capacity_Resource,$F152,'Critical resources (hide)'!BT$6:BT$105)&gt;0,$E$1=2),0,1)</f>
        <v>1</v>
      </c>
      <c r="BH152" s="67">
        <f>IF(ROW(A41)&lt;=Capacity!$M$16,IF('Capacity summary'!$C$14="No",SUM(H152:BG152),'Capacity summary'!$E64),0)</f>
        <v>0</v>
      </c>
      <c r="BI152" s="67" t="str">
        <f>IF(BH152&gt;0,IF(BH152&lt;Capacity!Q57,Capacity!R57,Capacity!T57/'Capacity calculation (hide)'!BH152),"")</f>
        <v/>
      </c>
      <c r="BJ152" s="5"/>
      <c r="BK152" s="5">
        <f>IF($BI152&lt;&gt;"",IF('Capacity summary'!$C$14="Yes",IF(COUNTBLANK('Capacity summary'!$H64:$BG64)&lt;52,IF('Capacity summary'!H64&lt;&gt;"",IF(LOWER('Capacity summary'!H64)="x",$BI152*H152,VALUE('Capacity summary'!H64)),0),H152*$BI152),H152*$BI152),0)</f>
        <v>0</v>
      </c>
      <c r="BL152" s="5">
        <f>IF($BI152&lt;&gt;"",IF('Capacity summary'!$C$14="Yes",IF(COUNTBLANK('Capacity summary'!$H64:$BG64)&lt;52,IF('Capacity summary'!I64&lt;&gt;"",IF(LOWER('Capacity summary'!I64)="x",$BI152*I152,VALUE('Capacity summary'!I64)),0),I152*$BI152),I152*$BI152),0)</f>
        <v>0</v>
      </c>
      <c r="BM152" s="5">
        <f>IF($BI152&lt;&gt;"",IF('Capacity summary'!$C$14="Yes",IF(COUNTBLANK('Capacity summary'!$H64:$BG64)&lt;52,IF('Capacity summary'!J64&lt;&gt;"",IF(LOWER('Capacity summary'!J64)="x",$BI152*J152,VALUE('Capacity summary'!J64)),0),J152*$BI152),J152*$BI152),0)</f>
        <v>0</v>
      </c>
      <c r="BN152" s="5">
        <f>IF($BI152&lt;&gt;"",IF('Capacity summary'!$C$14="Yes",IF(COUNTBLANK('Capacity summary'!$H64:$BG64)&lt;52,IF('Capacity summary'!K64&lt;&gt;"",IF(LOWER('Capacity summary'!K64)="x",$BI152*K152,VALUE('Capacity summary'!K64)),0),K152*$BI152),K152*$BI152),0)</f>
        <v>0</v>
      </c>
      <c r="BO152" s="5">
        <f>IF($BI152&lt;&gt;"",IF('Capacity summary'!$C$14="Yes",IF(COUNTBLANK('Capacity summary'!$H64:$BG64)&lt;52,IF('Capacity summary'!L64&lt;&gt;"",IF(LOWER('Capacity summary'!L64)="x",$BI152*L152,VALUE('Capacity summary'!L64)),0),L152*$BI152),L152*$BI152),0)</f>
        <v>0</v>
      </c>
      <c r="BP152" s="5">
        <f>IF($BI152&lt;&gt;"",IF('Capacity summary'!$C$14="Yes",IF(COUNTBLANK('Capacity summary'!$H64:$BG64)&lt;52,IF('Capacity summary'!M64&lt;&gt;"",IF(LOWER('Capacity summary'!M64)="x",$BI152*M152,VALUE('Capacity summary'!M64)),0),M152*$BI152),M152*$BI152),0)</f>
        <v>0</v>
      </c>
      <c r="BQ152" s="5">
        <f>IF($BI152&lt;&gt;"",IF('Capacity summary'!$C$14="Yes",IF(COUNTBLANK('Capacity summary'!$H64:$BG64)&lt;52,IF('Capacity summary'!N64&lt;&gt;"",IF(LOWER('Capacity summary'!N64)="x",$BI152*N152,VALUE('Capacity summary'!N64)),0),N152*$BI152),N152*$BI152),0)</f>
        <v>0</v>
      </c>
      <c r="BR152" s="5">
        <f>IF($BI152&lt;&gt;"",IF('Capacity summary'!$C$14="Yes",IF(COUNTBLANK('Capacity summary'!$H64:$BG64)&lt;52,IF('Capacity summary'!O64&lt;&gt;"",IF(LOWER('Capacity summary'!O64)="x",$BI152*O152,VALUE('Capacity summary'!O64)),0),O152*$BI152),O152*$BI152),0)</f>
        <v>0</v>
      </c>
      <c r="BS152" s="5">
        <f>IF($BI152&lt;&gt;"",IF('Capacity summary'!$C$14="Yes",IF(COUNTBLANK('Capacity summary'!$H64:$BG64)&lt;52,IF('Capacity summary'!P64&lt;&gt;"",IF(LOWER('Capacity summary'!P64)="x",$BI152*P152,VALUE('Capacity summary'!P64)),0),P152*$BI152),P152*$BI152),0)</f>
        <v>0</v>
      </c>
      <c r="BT152" s="5">
        <f>IF($BI152&lt;&gt;"",IF('Capacity summary'!$C$14="Yes",IF(COUNTBLANK('Capacity summary'!$H64:$BG64)&lt;52,IF('Capacity summary'!Q64&lt;&gt;"",IF(LOWER('Capacity summary'!Q64)="x",$BI152*Q152,VALUE('Capacity summary'!Q64)),0),Q152*$BI152),Q152*$BI152),0)</f>
        <v>0</v>
      </c>
      <c r="BU152" s="5">
        <f>IF($BI152&lt;&gt;"",IF('Capacity summary'!$C$14="Yes",IF(COUNTBLANK('Capacity summary'!$H64:$BG64)&lt;52,IF('Capacity summary'!R64&lt;&gt;"",IF(LOWER('Capacity summary'!R64)="x",$BI152*R152,VALUE('Capacity summary'!R64)),0),R152*$BI152),R152*$BI152),0)</f>
        <v>0</v>
      </c>
      <c r="BV152" s="5">
        <f>IF($BI152&lt;&gt;"",IF('Capacity summary'!$C$14="Yes",IF(COUNTBLANK('Capacity summary'!$H64:$BG64)&lt;52,IF('Capacity summary'!S64&lt;&gt;"",IF(LOWER('Capacity summary'!S64)="x",$BI152*S152,VALUE('Capacity summary'!S64)),0),S152*$BI152),S152*$BI152),0)</f>
        <v>0</v>
      </c>
      <c r="BW152" s="5">
        <f>IF($BI152&lt;&gt;"",IF('Capacity summary'!$C$14="Yes",IF(COUNTBLANK('Capacity summary'!$H64:$BG64)&lt;52,IF('Capacity summary'!T64&lt;&gt;"",IF(LOWER('Capacity summary'!T64)="x",$BI152*T152,VALUE('Capacity summary'!T64)),0),T152*$BI152),T152*$BI152),0)</f>
        <v>0</v>
      </c>
      <c r="BX152" s="5">
        <f>IF($BI152&lt;&gt;"",IF('Capacity summary'!$C$14="Yes",IF(COUNTBLANK('Capacity summary'!$H64:$BG64)&lt;52,IF('Capacity summary'!U64&lt;&gt;"",IF(LOWER('Capacity summary'!U64)="x",$BI152*U152,VALUE('Capacity summary'!U64)),0),U152*$BI152),U152*$BI152),0)</f>
        <v>0</v>
      </c>
      <c r="BY152" s="5">
        <f>IF($BI152&lt;&gt;"",IF('Capacity summary'!$C$14="Yes",IF(COUNTBLANK('Capacity summary'!$H64:$BG64)&lt;52,IF('Capacity summary'!V64&lt;&gt;"",IF(LOWER('Capacity summary'!V64)="x",$BI152*V152,VALUE('Capacity summary'!V64)),0),V152*$BI152),V152*$BI152),0)</f>
        <v>0</v>
      </c>
      <c r="BZ152" s="5">
        <f>IF($BI152&lt;&gt;"",IF('Capacity summary'!$C$14="Yes",IF(COUNTBLANK('Capacity summary'!$H64:$BG64)&lt;52,IF('Capacity summary'!W64&lt;&gt;"",IF(LOWER('Capacity summary'!W64)="x",$BI152*W152,VALUE('Capacity summary'!W64)),0),W152*$BI152),W152*$BI152),0)</f>
        <v>0</v>
      </c>
      <c r="CA152" s="5">
        <f>IF($BI152&lt;&gt;"",IF('Capacity summary'!$C$14="Yes",IF(COUNTBLANK('Capacity summary'!$H64:$BG64)&lt;52,IF('Capacity summary'!X64&lt;&gt;"",IF(LOWER('Capacity summary'!X64)="x",$BI152*X152,VALUE('Capacity summary'!X64)),0),X152*$BI152),X152*$BI152),0)</f>
        <v>0</v>
      </c>
      <c r="CB152" s="5">
        <f>IF($BI152&lt;&gt;"",IF('Capacity summary'!$C$14="Yes",IF(COUNTBLANK('Capacity summary'!$H64:$BG64)&lt;52,IF('Capacity summary'!Y64&lt;&gt;"",IF(LOWER('Capacity summary'!Y64)="x",$BI152*Y152,VALUE('Capacity summary'!Y64)),0),Y152*$BI152),Y152*$BI152),0)</f>
        <v>0</v>
      </c>
      <c r="CC152" s="5">
        <f>IF($BI152&lt;&gt;"",IF('Capacity summary'!$C$14="Yes",IF(COUNTBLANK('Capacity summary'!$H64:$BG64)&lt;52,IF('Capacity summary'!Z64&lt;&gt;"",IF(LOWER('Capacity summary'!Z64)="x",$BI152*Z152,VALUE('Capacity summary'!Z64)),0),Z152*$BI152),Z152*$BI152),0)</f>
        <v>0</v>
      </c>
      <c r="CD152" s="5">
        <f>IF($BI152&lt;&gt;"",IF('Capacity summary'!$C$14="Yes",IF(COUNTBLANK('Capacity summary'!$H64:$BG64)&lt;52,IF('Capacity summary'!AA64&lt;&gt;"",IF(LOWER('Capacity summary'!AA64)="x",$BI152*AA152,VALUE('Capacity summary'!AA64)),0),AA152*$BI152),AA152*$BI152),0)</f>
        <v>0</v>
      </c>
      <c r="CE152" s="5">
        <f>IF($BI152&lt;&gt;"",IF('Capacity summary'!$C$14="Yes",IF(COUNTBLANK('Capacity summary'!$H64:$BG64)&lt;52,IF('Capacity summary'!AB64&lt;&gt;"",IF(LOWER('Capacity summary'!AB64)="x",$BI152*AB152,VALUE('Capacity summary'!AB64)),0),AB152*$BI152),AB152*$BI152),0)</f>
        <v>0</v>
      </c>
      <c r="CF152" s="5">
        <f>IF($BI152&lt;&gt;"",IF('Capacity summary'!$C$14="Yes",IF(COUNTBLANK('Capacity summary'!$H64:$BG64)&lt;52,IF('Capacity summary'!AC64&lt;&gt;"",IF(LOWER('Capacity summary'!AC64)="x",$BI152*AC152,VALUE('Capacity summary'!AC64)),0),AC152*$BI152),AC152*$BI152),0)</f>
        <v>0</v>
      </c>
      <c r="CG152" s="5">
        <f>IF($BI152&lt;&gt;"",IF('Capacity summary'!$C$14="Yes",IF(COUNTBLANK('Capacity summary'!$H64:$BG64)&lt;52,IF('Capacity summary'!AD64&lt;&gt;"",IF(LOWER('Capacity summary'!AD64)="x",$BI152*AD152,VALUE('Capacity summary'!AD64)),0),AD152*$BI152),AD152*$BI152),0)</f>
        <v>0</v>
      </c>
      <c r="CH152" s="5">
        <f>IF($BI152&lt;&gt;"",IF('Capacity summary'!$C$14="Yes",IF(COUNTBLANK('Capacity summary'!$H64:$BG64)&lt;52,IF('Capacity summary'!AE64&lt;&gt;"",IF(LOWER('Capacity summary'!AE64)="x",$BI152*AE152,VALUE('Capacity summary'!AE64)),0),AE152*$BI152),AE152*$BI152),0)</f>
        <v>0</v>
      </c>
      <c r="CI152" s="5">
        <f>IF($BI152&lt;&gt;"",IF('Capacity summary'!$C$14="Yes",IF(COUNTBLANK('Capacity summary'!$H64:$BG64)&lt;52,IF('Capacity summary'!AF64&lt;&gt;"",IF(LOWER('Capacity summary'!AF64)="x",$BI152*AF152,VALUE('Capacity summary'!AF64)),0),AF152*$BI152),AF152*$BI152),0)</f>
        <v>0</v>
      </c>
      <c r="CJ152" s="5">
        <f>IF($BI152&lt;&gt;"",IF('Capacity summary'!$C$14="Yes",IF(COUNTBLANK('Capacity summary'!$H64:$BG64)&lt;52,IF('Capacity summary'!AG64&lt;&gt;"",IF(LOWER('Capacity summary'!AG64)="x",$BI152*AG152,VALUE('Capacity summary'!AG64)),0),AG152*$BI152),AG152*$BI152),0)</f>
        <v>0</v>
      </c>
      <c r="CK152" s="5">
        <f>IF($BI152&lt;&gt;"",IF('Capacity summary'!$C$14="Yes",IF(COUNTBLANK('Capacity summary'!$H64:$BG64)&lt;52,IF('Capacity summary'!AH64&lt;&gt;"",IF(LOWER('Capacity summary'!AH64)="x",$BI152*AH152,VALUE('Capacity summary'!AH64)),0),AH152*$BI152),AH152*$BI152),0)</f>
        <v>0</v>
      </c>
      <c r="CL152" s="5">
        <f>IF($BI152&lt;&gt;"",IF('Capacity summary'!$C$14="Yes",IF(COUNTBLANK('Capacity summary'!$H64:$BG64)&lt;52,IF('Capacity summary'!AI64&lt;&gt;"",IF(LOWER('Capacity summary'!AI64)="x",$BI152*AI152,VALUE('Capacity summary'!AI64)),0),AI152*$BI152),AI152*$BI152),0)</f>
        <v>0</v>
      </c>
      <c r="CM152" s="5">
        <f>IF($BI152&lt;&gt;"",IF('Capacity summary'!$C$14="Yes",IF(COUNTBLANK('Capacity summary'!$H64:$BG64)&lt;52,IF('Capacity summary'!AJ64&lt;&gt;"",IF(LOWER('Capacity summary'!AJ64)="x",$BI152*AJ152,VALUE('Capacity summary'!AJ64)),0),AJ152*$BI152),AJ152*$BI152),0)</f>
        <v>0</v>
      </c>
      <c r="CN152" s="5">
        <f>IF($BI152&lt;&gt;"",IF('Capacity summary'!$C$14="Yes",IF(COUNTBLANK('Capacity summary'!$H64:$BG64)&lt;52,IF('Capacity summary'!AK64&lt;&gt;"",IF(LOWER('Capacity summary'!AK64)="x",$BI152*AK152,VALUE('Capacity summary'!AK64)),0),AK152*$BI152),AK152*$BI152),0)</f>
        <v>0</v>
      </c>
      <c r="CO152" s="5">
        <f>IF($BI152&lt;&gt;"",IF('Capacity summary'!$C$14="Yes",IF(COUNTBLANK('Capacity summary'!$H64:$BG64)&lt;52,IF('Capacity summary'!AL64&lt;&gt;"",IF(LOWER('Capacity summary'!AL64)="x",$BI152*AL152,VALUE('Capacity summary'!AL64)),0),AL152*$BI152),AL152*$BI152),0)</f>
        <v>0</v>
      </c>
      <c r="CP152" s="5">
        <f>IF($BI152&lt;&gt;"",IF('Capacity summary'!$C$14="Yes",IF(COUNTBLANK('Capacity summary'!$H64:$BG64)&lt;52,IF('Capacity summary'!AM64&lt;&gt;"",IF(LOWER('Capacity summary'!AM64)="x",$BI152*AM152,VALUE('Capacity summary'!AM64)),0),AM152*$BI152),AM152*$BI152),0)</f>
        <v>0</v>
      </c>
      <c r="CQ152" s="5">
        <f>IF($BI152&lt;&gt;"",IF('Capacity summary'!$C$14="Yes",IF(COUNTBLANK('Capacity summary'!$H64:$BG64)&lt;52,IF('Capacity summary'!AN64&lt;&gt;"",IF(LOWER('Capacity summary'!AN64)="x",$BI152*AN152,VALUE('Capacity summary'!AN64)),0),AN152*$BI152),AN152*$BI152),0)</f>
        <v>0</v>
      </c>
      <c r="CR152" s="5">
        <f>IF($BI152&lt;&gt;"",IF('Capacity summary'!$C$14="Yes",IF(COUNTBLANK('Capacity summary'!$H64:$BG64)&lt;52,IF('Capacity summary'!AO64&lt;&gt;"",IF(LOWER('Capacity summary'!AO64)="x",$BI152*AO152,VALUE('Capacity summary'!AO64)),0),AO152*$BI152),AO152*$BI152),0)</f>
        <v>0</v>
      </c>
      <c r="CS152" s="5">
        <f>IF($BI152&lt;&gt;"",IF('Capacity summary'!$C$14="Yes",IF(COUNTBLANK('Capacity summary'!$H64:$BG64)&lt;52,IF('Capacity summary'!AP64&lt;&gt;"",IF(LOWER('Capacity summary'!AP64)="x",$BI152*AP152,VALUE('Capacity summary'!AP64)),0),AP152*$BI152),AP152*$BI152),0)</f>
        <v>0</v>
      </c>
      <c r="CT152" s="5">
        <f>IF($BI152&lt;&gt;"",IF('Capacity summary'!$C$14="Yes",IF(COUNTBLANK('Capacity summary'!$H64:$BG64)&lt;52,IF('Capacity summary'!AQ64&lt;&gt;"",IF(LOWER('Capacity summary'!AQ64)="x",$BI152*AQ152,VALUE('Capacity summary'!AQ64)),0),AQ152*$BI152),AQ152*$BI152),0)</f>
        <v>0</v>
      </c>
      <c r="CU152" s="5">
        <f>IF($BI152&lt;&gt;"",IF('Capacity summary'!$C$14="Yes",IF(COUNTBLANK('Capacity summary'!$H64:$BG64)&lt;52,IF('Capacity summary'!AR64&lt;&gt;"",IF(LOWER('Capacity summary'!AR64)="x",$BI152*AR152,VALUE('Capacity summary'!AR64)),0),AR152*$BI152),AR152*$BI152),0)</f>
        <v>0</v>
      </c>
      <c r="CV152" s="5">
        <f>IF($BI152&lt;&gt;"",IF('Capacity summary'!$C$14="Yes",IF(COUNTBLANK('Capacity summary'!$H64:$BG64)&lt;52,IF('Capacity summary'!AS64&lt;&gt;"",IF(LOWER('Capacity summary'!AS64)="x",$BI152*AS152,VALUE('Capacity summary'!AS64)),0),AS152*$BI152),AS152*$BI152),0)</f>
        <v>0</v>
      </c>
      <c r="CW152" s="5">
        <f>IF($BI152&lt;&gt;"",IF('Capacity summary'!$C$14="Yes",IF(COUNTBLANK('Capacity summary'!$H64:$BG64)&lt;52,IF('Capacity summary'!AT64&lt;&gt;"",IF(LOWER('Capacity summary'!AT64)="x",$BI152*AT152,VALUE('Capacity summary'!AT64)),0),AT152*$BI152),AT152*$BI152),0)</f>
        <v>0</v>
      </c>
      <c r="CX152" s="5">
        <f>IF($BI152&lt;&gt;"",IF('Capacity summary'!$C$14="Yes",IF(COUNTBLANK('Capacity summary'!$H64:$BG64)&lt;52,IF('Capacity summary'!AU64&lt;&gt;"",IF(LOWER('Capacity summary'!AU64)="x",$BI152*AU152,VALUE('Capacity summary'!AU64)),0),AU152*$BI152),AU152*$BI152),0)</f>
        <v>0</v>
      </c>
      <c r="CY152" s="5">
        <f>IF($BI152&lt;&gt;"",IF('Capacity summary'!$C$14="Yes",IF(COUNTBLANK('Capacity summary'!$H64:$BG64)&lt;52,IF('Capacity summary'!AV64&lt;&gt;"",IF(LOWER('Capacity summary'!AV64)="x",$BI152*AV152,VALUE('Capacity summary'!AV64)),0),AV152*$BI152),AV152*$BI152),0)</f>
        <v>0</v>
      </c>
      <c r="CZ152" s="5">
        <f>IF($BI152&lt;&gt;"",IF('Capacity summary'!$C$14="Yes",IF(COUNTBLANK('Capacity summary'!$H64:$BG64)&lt;52,IF('Capacity summary'!AW64&lt;&gt;"",IF(LOWER('Capacity summary'!AW64)="x",$BI152*AW152,VALUE('Capacity summary'!AW64)),0),AW152*$BI152),AW152*$BI152),0)</f>
        <v>0</v>
      </c>
      <c r="DA152" s="5">
        <f>IF($BI152&lt;&gt;"",IF('Capacity summary'!$C$14="Yes",IF(COUNTBLANK('Capacity summary'!$H64:$BG64)&lt;52,IF('Capacity summary'!AX64&lt;&gt;"",IF(LOWER('Capacity summary'!AX64)="x",$BI152*AX152,VALUE('Capacity summary'!AX64)),0),AX152*$BI152),AX152*$BI152),0)</f>
        <v>0</v>
      </c>
      <c r="DB152" s="5">
        <f>IF($BI152&lt;&gt;"",IF('Capacity summary'!$C$14="Yes",IF(COUNTBLANK('Capacity summary'!$H64:$BG64)&lt;52,IF('Capacity summary'!AY64&lt;&gt;"",IF(LOWER('Capacity summary'!AY64)="x",$BI152*AY152,VALUE('Capacity summary'!AY64)),0),AY152*$BI152),AY152*$BI152),0)</f>
        <v>0</v>
      </c>
      <c r="DC152" s="5">
        <f>IF($BI152&lt;&gt;"",IF('Capacity summary'!$C$14="Yes",IF(COUNTBLANK('Capacity summary'!$H64:$BG64)&lt;52,IF('Capacity summary'!AZ64&lt;&gt;"",IF(LOWER('Capacity summary'!AZ64)="x",$BI152*AZ152,VALUE('Capacity summary'!AZ64)),0),AZ152*$BI152),AZ152*$BI152),0)</f>
        <v>0</v>
      </c>
      <c r="DD152" s="5">
        <f>IF($BI152&lt;&gt;"",IF('Capacity summary'!$C$14="Yes",IF(COUNTBLANK('Capacity summary'!$H64:$BG64)&lt;52,IF('Capacity summary'!BA64&lt;&gt;"",IF(LOWER('Capacity summary'!BA64)="x",$BI152*BA152,VALUE('Capacity summary'!BA64)),0),BA152*$BI152),BA152*$BI152),0)</f>
        <v>0</v>
      </c>
      <c r="DE152" s="5">
        <f>IF($BI152&lt;&gt;"",IF('Capacity summary'!$C$14="Yes",IF(COUNTBLANK('Capacity summary'!$H64:$BG64)&lt;52,IF('Capacity summary'!BB64&lt;&gt;"",IF(LOWER('Capacity summary'!BB64)="x",$BI152*BB152,VALUE('Capacity summary'!BB64)),0),BB152*$BI152),BB152*$BI152),0)</f>
        <v>0</v>
      </c>
      <c r="DF152" s="5">
        <f>IF($BI152&lt;&gt;"",IF('Capacity summary'!$C$14="Yes",IF(COUNTBLANK('Capacity summary'!$H64:$BG64)&lt;52,IF('Capacity summary'!BC64&lt;&gt;"",IF(LOWER('Capacity summary'!BC64)="x",$BI152*BC152,VALUE('Capacity summary'!BC64)),0),BC152*$BI152),BC152*$BI152),0)</f>
        <v>0</v>
      </c>
      <c r="DG152" s="5">
        <f>IF($BI152&lt;&gt;"",IF('Capacity summary'!$C$14="Yes",IF(COUNTBLANK('Capacity summary'!$H64:$BG64)&lt;52,IF('Capacity summary'!BD64&lt;&gt;"",IF(LOWER('Capacity summary'!BD64)="x",$BI152*BD152,VALUE('Capacity summary'!BD64)),0),BD152*$BI152),BD152*$BI152),0)</f>
        <v>0</v>
      </c>
      <c r="DH152" s="5">
        <f>IF($BI152&lt;&gt;"",IF('Capacity summary'!$C$14="Yes",IF(COUNTBLANK('Capacity summary'!$H64:$BG64)&lt;52,IF('Capacity summary'!BE64&lt;&gt;"",IF(LOWER('Capacity summary'!BE64)="x",$BI152*BE152,VALUE('Capacity summary'!BE64)),0),BE152*$BI152),BE152*$BI152),0)</f>
        <v>0</v>
      </c>
      <c r="DI152" s="5">
        <f>IF($BI152&lt;&gt;"",IF('Capacity summary'!$C$14="Yes",IF(COUNTBLANK('Capacity summary'!$H64:$BG64)&lt;52,IF('Capacity summary'!BF64&lt;&gt;"",IF(LOWER('Capacity summary'!BF64)="x",$BI152*BF152,VALUE('Capacity summary'!BF64)),0),BF152*$BI152),BF152*$BI152),0)</f>
        <v>0</v>
      </c>
      <c r="DJ152" s="5">
        <f>IF($BI152&lt;&gt;"",IF('Capacity summary'!$C$14="Yes",IF(COUNTBLANK('Capacity summary'!$H64:$BG64)&lt;52,IF('Capacity summary'!BG64&lt;&gt;"",IF(LOWER('Capacity summary'!BG64)="x",$BI152*BG152,VALUE('Capacity summary'!BG64)),0),BG152*$BI152),BG152*$BI152),0)</f>
        <v>0</v>
      </c>
      <c r="DK152" s="5">
        <f t="shared" ref="DK152" si="46">SUM(DK153:DK252)</f>
        <v>0</v>
      </c>
    </row>
    <row r="153" spans="3:115" x14ac:dyDescent="0.25">
      <c r="C153" s="67" t="str">
        <f>ROW(A42)&amp;". "&amp;Capacity!N58</f>
        <v xml:space="preserve">42. </v>
      </c>
      <c r="D153" s="67">
        <f>'Capacity setup'!C159</f>
        <v>0</v>
      </c>
      <c r="E153" s="67">
        <f>'Capacity setup'!D159</f>
        <v>0</v>
      </c>
      <c r="F153" s="67">
        <f>'Capacity setup'!E159</f>
        <v>0</v>
      </c>
      <c r="H153" s="67">
        <f ca="1">IF(AND(SUMIF(Capacity_Resource,$D153,'Critical resources (hide)'!U$6:U$105)+SUMIF(Capacity_Resource,$E153,'Critical resources (hide)'!U$6:U$105)+SUMIF(Capacity_Resource,$F153,'Critical resources (hide)'!U$6:U$105)&gt;0,$E$1=2),0,1)</f>
        <v>1</v>
      </c>
      <c r="I153" s="67">
        <f ca="1">IF(AND(SUMIF(Capacity_Resource,$D153,'Critical resources (hide)'!V$6:V$105)+SUMIF(Capacity_Resource,$E153,'Critical resources (hide)'!V$6:V$105)+SUMIF(Capacity_Resource,$F153,'Critical resources (hide)'!V$6:V$105)&gt;0,$E$1=2),0,1)</f>
        <v>1</v>
      </c>
      <c r="J153" s="67">
        <f ca="1">IF(AND(SUMIF(Capacity_Resource,$D153,'Critical resources (hide)'!W$6:W$105)+SUMIF(Capacity_Resource,$E153,'Critical resources (hide)'!W$6:W$105)+SUMIF(Capacity_Resource,$F153,'Critical resources (hide)'!W$6:W$105)&gt;0,$E$1=2),0,1)</f>
        <v>1</v>
      </c>
      <c r="K153" s="67">
        <f ca="1">IF(AND(SUMIF(Capacity_Resource,$D153,'Critical resources (hide)'!X$6:X$105)+SUMIF(Capacity_Resource,$E153,'Critical resources (hide)'!X$6:X$105)+SUMIF(Capacity_Resource,$F153,'Critical resources (hide)'!X$6:X$105)&gt;0,$E$1=2),0,1)</f>
        <v>1</v>
      </c>
      <c r="L153" s="67">
        <f ca="1">IF(AND(SUMIF(Capacity_Resource,$D153,'Critical resources (hide)'!Y$6:Y$105)+SUMIF(Capacity_Resource,$E153,'Critical resources (hide)'!Y$6:Y$105)+SUMIF(Capacity_Resource,$F153,'Critical resources (hide)'!Y$6:Y$105)&gt;0,$E$1=2),0,1)</f>
        <v>1</v>
      </c>
      <c r="M153" s="67">
        <f ca="1">IF(AND(SUMIF(Capacity_Resource,$D153,'Critical resources (hide)'!Z$6:Z$105)+SUMIF(Capacity_Resource,$E153,'Critical resources (hide)'!Z$6:Z$105)+SUMIF(Capacity_Resource,$F153,'Critical resources (hide)'!Z$6:Z$105)&gt;0,$E$1=2),0,1)</f>
        <v>1</v>
      </c>
      <c r="N153" s="67">
        <f ca="1">IF(AND(SUMIF(Capacity_Resource,$D153,'Critical resources (hide)'!AA$6:AA$105)+SUMIF(Capacity_Resource,$E153,'Critical resources (hide)'!AA$6:AA$105)+SUMIF(Capacity_Resource,$F153,'Critical resources (hide)'!AA$6:AA$105)&gt;0,$E$1=2),0,1)</f>
        <v>1</v>
      </c>
      <c r="O153" s="67">
        <f ca="1">IF(AND(SUMIF(Capacity_Resource,$D153,'Critical resources (hide)'!AB$6:AB$105)+SUMIF(Capacity_Resource,$E153,'Critical resources (hide)'!AB$6:AB$105)+SUMIF(Capacity_Resource,$F153,'Critical resources (hide)'!AB$6:AB$105)&gt;0,$E$1=2),0,1)</f>
        <v>1</v>
      </c>
      <c r="P153" s="67">
        <f ca="1">IF(AND(SUMIF(Capacity_Resource,$D153,'Critical resources (hide)'!AC$6:AC$105)+SUMIF(Capacity_Resource,$E153,'Critical resources (hide)'!AC$6:AC$105)+SUMIF(Capacity_Resource,$F153,'Critical resources (hide)'!AC$6:AC$105)&gt;0,$E$1=2),0,1)</f>
        <v>1</v>
      </c>
      <c r="Q153" s="67">
        <f ca="1">IF(AND(SUMIF(Capacity_Resource,$D153,'Critical resources (hide)'!AD$6:AD$105)+SUMIF(Capacity_Resource,$E153,'Critical resources (hide)'!AD$6:AD$105)+SUMIF(Capacity_Resource,$F153,'Critical resources (hide)'!AD$6:AD$105)&gt;0,$E$1=2),0,1)</f>
        <v>1</v>
      </c>
      <c r="R153" s="67">
        <f ca="1">IF(AND(SUMIF(Capacity_Resource,$D153,'Critical resources (hide)'!AE$6:AE$105)+SUMIF(Capacity_Resource,$E153,'Critical resources (hide)'!AE$6:AE$105)+SUMIF(Capacity_Resource,$F153,'Critical resources (hide)'!AE$6:AE$105)&gt;0,$E$1=2),0,1)</f>
        <v>1</v>
      </c>
      <c r="S153" s="67">
        <f ca="1">IF(AND(SUMIF(Capacity_Resource,$D153,'Critical resources (hide)'!AF$6:AF$105)+SUMIF(Capacity_Resource,$E153,'Critical resources (hide)'!AF$6:AF$105)+SUMIF(Capacity_Resource,$F153,'Critical resources (hide)'!AF$6:AF$105)&gt;0,$E$1=2),0,1)</f>
        <v>1</v>
      </c>
      <c r="T153" s="67">
        <f ca="1">IF(AND(SUMIF(Capacity_Resource,$D153,'Critical resources (hide)'!AG$6:AG$105)+SUMIF(Capacity_Resource,$E153,'Critical resources (hide)'!AG$6:AG$105)+SUMIF(Capacity_Resource,$F153,'Critical resources (hide)'!AG$6:AG$105)&gt;0,$E$1=2),0,1)</f>
        <v>1</v>
      </c>
      <c r="U153" s="67">
        <f ca="1">IF(AND(SUMIF(Capacity_Resource,$D153,'Critical resources (hide)'!AH$6:AH$105)+SUMIF(Capacity_Resource,$E153,'Critical resources (hide)'!AH$6:AH$105)+SUMIF(Capacity_Resource,$F153,'Critical resources (hide)'!AH$6:AH$105)&gt;0,$E$1=2),0,1)</f>
        <v>1</v>
      </c>
      <c r="V153" s="67">
        <f ca="1">IF(AND(SUMIF(Capacity_Resource,$D153,'Critical resources (hide)'!AI$6:AI$105)+SUMIF(Capacity_Resource,$E153,'Critical resources (hide)'!AI$6:AI$105)+SUMIF(Capacity_Resource,$F153,'Critical resources (hide)'!AI$6:AI$105)&gt;0,$E$1=2),0,1)</f>
        <v>1</v>
      </c>
      <c r="W153" s="67">
        <f ca="1">IF(AND(SUMIF(Capacity_Resource,$D153,'Critical resources (hide)'!AJ$6:AJ$105)+SUMIF(Capacity_Resource,$E153,'Critical resources (hide)'!AJ$6:AJ$105)+SUMIF(Capacity_Resource,$F153,'Critical resources (hide)'!AJ$6:AJ$105)&gt;0,$E$1=2),0,1)</f>
        <v>1</v>
      </c>
      <c r="X153" s="67">
        <f ca="1">IF(AND(SUMIF(Capacity_Resource,$D153,'Critical resources (hide)'!AK$6:AK$105)+SUMIF(Capacity_Resource,$E153,'Critical resources (hide)'!AK$6:AK$105)+SUMIF(Capacity_Resource,$F153,'Critical resources (hide)'!AK$6:AK$105)&gt;0,$E$1=2),0,1)</f>
        <v>1</v>
      </c>
      <c r="Y153" s="67">
        <f ca="1">IF(AND(SUMIF(Capacity_Resource,$D153,'Critical resources (hide)'!AL$6:AL$105)+SUMIF(Capacity_Resource,$E153,'Critical resources (hide)'!AL$6:AL$105)+SUMIF(Capacity_Resource,$F153,'Critical resources (hide)'!AL$6:AL$105)&gt;0,$E$1=2),0,1)</f>
        <v>1</v>
      </c>
      <c r="Z153" s="67">
        <f ca="1">IF(AND(SUMIF(Capacity_Resource,$D153,'Critical resources (hide)'!AM$6:AM$105)+SUMIF(Capacity_Resource,$E153,'Critical resources (hide)'!AM$6:AM$105)+SUMIF(Capacity_Resource,$F153,'Critical resources (hide)'!AM$6:AM$105)&gt;0,$E$1=2),0,1)</f>
        <v>1</v>
      </c>
      <c r="AA153" s="67">
        <f ca="1">IF(AND(SUMIF(Capacity_Resource,$D153,'Critical resources (hide)'!AN$6:AN$105)+SUMIF(Capacity_Resource,$E153,'Critical resources (hide)'!AN$6:AN$105)+SUMIF(Capacity_Resource,$F153,'Critical resources (hide)'!AN$6:AN$105)&gt;0,$E$1=2),0,1)</f>
        <v>1</v>
      </c>
      <c r="AB153" s="67">
        <f ca="1">IF(AND(SUMIF(Capacity_Resource,$D153,'Critical resources (hide)'!AO$6:AO$105)+SUMIF(Capacity_Resource,$E153,'Critical resources (hide)'!AO$6:AO$105)+SUMIF(Capacity_Resource,$F153,'Critical resources (hide)'!AO$6:AO$105)&gt;0,$E$1=2),0,1)</f>
        <v>1</v>
      </c>
      <c r="AC153" s="67">
        <f ca="1">IF(AND(SUMIF(Capacity_Resource,$D153,'Critical resources (hide)'!AP$6:AP$105)+SUMIF(Capacity_Resource,$E153,'Critical resources (hide)'!AP$6:AP$105)+SUMIF(Capacity_Resource,$F153,'Critical resources (hide)'!AP$6:AP$105)&gt;0,$E$1=2),0,1)</f>
        <v>1</v>
      </c>
      <c r="AD153" s="67">
        <f ca="1">IF(AND(SUMIF(Capacity_Resource,$D153,'Critical resources (hide)'!AQ$6:AQ$105)+SUMIF(Capacity_Resource,$E153,'Critical resources (hide)'!AQ$6:AQ$105)+SUMIF(Capacity_Resource,$F153,'Critical resources (hide)'!AQ$6:AQ$105)&gt;0,$E$1=2),0,1)</f>
        <v>1</v>
      </c>
      <c r="AE153" s="67">
        <f ca="1">IF(AND(SUMIF(Capacity_Resource,$D153,'Critical resources (hide)'!AR$6:AR$105)+SUMIF(Capacity_Resource,$E153,'Critical resources (hide)'!AR$6:AR$105)+SUMIF(Capacity_Resource,$F153,'Critical resources (hide)'!AR$6:AR$105)&gt;0,$E$1=2),0,1)</f>
        <v>1</v>
      </c>
      <c r="AF153" s="67">
        <f ca="1">IF(AND(SUMIF(Capacity_Resource,$D153,'Critical resources (hide)'!AS$6:AS$105)+SUMIF(Capacity_Resource,$E153,'Critical resources (hide)'!AS$6:AS$105)+SUMIF(Capacity_Resource,$F153,'Critical resources (hide)'!AS$6:AS$105)&gt;0,$E$1=2),0,1)</f>
        <v>1</v>
      </c>
      <c r="AG153" s="67">
        <f ca="1">IF(AND(SUMIF(Capacity_Resource,$D153,'Critical resources (hide)'!AT$6:AT$105)+SUMIF(Capacity_Resource,$E153,'Critical resources (hide)'!AT$6:AT$105)+SUMIF(Capacity_Resource,$F153,'Critical resources (hide)'!AT$6:AT$105)&gt;0,$E$1=2),0,1)</f>
        <v>1</v>
      </c>
      <c r="AH153" s="67">
        <f ca="1">IF(AND(SUMIF(Capacity_Resource,$D153,'Critical resources (hide)'!AU$6:AU$105)+SUMIF(Capacity_Resource,$E153,'Critical resources (hide)'!AU$6:AU$105)+SUMIF(Capacity_Resource,$F153,'Critical resources (hide)'!AU$6:AU$105)&gt;0,$E$1=2),0,1)</f>
        <v>1</v>
      </c>
      <c r="AI153" s="67">
        <f ca="1">IF(AND(SUMIF(Capacity_Resource,$D153,'Critical resources (hide)'!AV$6:AV$105)+SUMIF(Capacity_Resource,$E153,'Critical resources (hide)'!AV$6:AV$105)+SUMIF(Capacity_Resource,$F153,'Critical resources (hide)'!AV$6:AV$105)&gt;0,$E$1=2),0,1)</f>
        <v>1</v>
      </c>
      <c r="AJ153" s="67">
        <f ca="1">IF(AND(SUMIF(Capacity_Resource,$D153,'Critical resources (hide)'!AW$6:AW$105)+SUMIF(Capacity_Resource,$E153,'Critical resources (hide)'!AW$6:AW$105)+SUMIF(Capacity_Resource,$F153,'Critical resources (hide)'!AW$6:AW$105)&gt;0,$E$1=2),0,1)</f>
        <v>1</v>
      </c>
      <c r="AK153" s="67">
        <f ca="1">IF(AND(SUMIF(Capacity_Resource,$D153,'Critical resources (hide)'!AX$6:AX$105)+SUMIF(Capacity_Resource,$E153,'Critical resources (hide)'!AX$6:AX$105)+SUMIF(Capacity_Resource,$F153,'Critical resources (hide)'!AX$6:AX$105)&gt;0,$E$1=2),0,1)</f>
        <v>1</v>
      </c>
      <c r="AL153" s="67">
        <f ca="1">IF(AND(SUMIF(Capacity_Resource,$D153,'Critical resources (hide)'!AY$6:AY$105)+SUMIF(Capacity_Resource,$E153,'Critical resources (hide)'!AY$6:AY$105)+SUMIF(Capacity_Resource,$F153,'Critical resources (hide)'!AY$6:AY$105)&gt;0,$E$1=2),0,1)</f>
        <v>1</v>
      </c>
      <c r="AM153" s="67">
        <f ca="1">IF(AND(SUMIF(Capacity_Resource,$D153,'Critical resources (hide)'!AZ$6:AZ$105)+SUMIF(Capacity_Resource,$E153,'Critical resources (hide)'!AZ$6:AZ$105)+SUMIF(Capacity_Resource,$F153,'Critical resources (hide)'!AZ$6:AZ$105)&gt;0,$E$1=2),0,1)</f>
        <v>1</v>
      </c>
      <c r="AN153" s="67">
        <f ca="1">IF(AND(SUMIF(Capacity_Resource,$D153,'Critical resources (hide)'!BA$6:BA$105)+SUMIF(Capacity_Resource,$E153,'Critical resources (hide)'!BA$6:BA$105)+SUMIF(Capacity_Resource,$F153,'Critical resources (hide)'!BA$6:BA$105)&gt;0,$E$1=2),0,1)</f>
        <v>1</v>
      </c>
      <c r="AO153" s="67">
        <f ca="1">IF(AND(SUMIF(Capacity_Resource,$D153,'Critical resources (hide)'!BB$6:BB$105)+SUMIF(Capacity_Resource,$E153,'Critical resources (hide)'!BB$6:BB$105)+SUMIF(Capacity_Resource,$F153,'Critical resources (hide)'!BB$6:BB$105)&gt;0,$E$1=2),0,1)</f>
        <v>1</v>
      </c>
      <c r="AP153" s="67">
        <f ca="1">IF(AND(SUMIF(Capacity_Resource,$D153,'Critical resources (hide)'!BC$6:BC$105)+SUMIF(Capacity_Resource,$E153,'Critical resources (hide)'!BC$6:BC$105)+SUMIF(Capacity_Resource,$F153,'Critical resources (hide)'!BC$6:BC$105)&gt;0,$E$1=2),0,1)</f>
        <v>1</v>
      </c>
      <c r="AQ153" s="67">
        <f ca="1">IF(AND(SUMIF(Capacity_Resource,$D153,'Critical resources (hide)'!BD$6:BD$105)+SUMIF(Capacity_Resource,$E153,'Critical resources (hide)'!BD$6:BD$105)+SUMIF(Capacity_Resource,$F153,'Critical resources (hide)'!BD$6:BD$105)&gt;0,$E$1=2),0,1)</f>
        <v>1</v>
      </c>
      <c r="AR153" s="67">
        <f ca="1">IF(AND(SUMIF(Capacity_Resource,$D153,'Critical resources (hide)'!BE$6:BE$105)+SUMIF(Capacity_Resource,$E153,'Critical resources (hide)'!BE$6:BE$105)+SUMIF(Capacity_Resource,$F153,'Critical resources (hide)'!BE$6:BE$105)&gt;0,$E$1=2),0,1)</f>
        <v>1</v>
      </c>
      <c r="AS153" s="67">
        <f ca="1">IF(AND(SUMIF(Capacity_Resource,$D153,'Critical resources (hide)'!BF$6:BF$105)+SUMIF(Capacity_Resource,$E153,'Critical resources (hide)'!BF$6:BF$105)+SUMIF(Capacity_Resource,$F153,'Critical resources (hide)'!BF$6:BF$105)&gt;0,$E$1=2),0,1)</f>
        <v>1</v>
      </c>
      <c r="AT153" s="67">
        <f ca="1">IF(AND(SUMIF(Capacity_Resource,$D153,'Critical resources (hide)'!BG$6:BG$105)+SUMIF(Capacity_Resource,$E153,'Critical resources (hide)'!BG$6:BG$105)+SUMIF(Capacity_Resource,$F153,'Critical resources (hide)'!BG$6:BG$105)&gt;0,$E$1=2),0,1)</f>
        <v>1</v>
      </c>
      <c r="AU153" s="67">
        <f ca="1">IF(AND(SUMIF(Capacity_Resource,$D153,'Critical resources (hide)'!BH$6:BH$105)+SUMIF(Capacity_Resource,$E153,'Critical resources (hide)'!BH$6:BH$105)+SUMIF(Capacity_Resource,$F153,'Critical resources (hide)'!BH$6:BH$105)&gt;0,$E$1=2),0,1)</f>
        <v>1</v>
      </c>
      <c r="AV153" s="67">
        <f ca="1">IF(AND(SUMIF(Capacity_Resource,$D153,'Critical resources (hide)'!BI$6:BI$105)+SUMIF(Capacity_Resource,$E153,'Critical resources (hide)'!BI$6:BI$105)+SUMIF(Capacity_Resource,$F153,'Critical resources (hide)'!BI$6:BI$105)&gt;0,$E$1=2),0,1)</f>
        <v>1</v>
      </c>
      <c r="AW153" s="67">
        <f ca="1">IF(AND(SUMIF(Capacity_Resource,$D153,'Critical resources (hide)'!BJ$6:BJ$105)+SUMIF(Capacity_Resource,$E153,'Critical resources (hide)'!BJ$6:BJ$105)+SUMIF(Capacity_Resource,$F153,'Critical resources (hide)'!BJ$6:BJ$105)&gt;0,$E$1=2),0,1)</f>
        <v>1</v>
      </c>
      <c r="AX153" s="67">
        <f ca="1">IF(AND(SUMIF(Capacity_Resource,$D153,'Critical resources (hide)'!BK$6:BK$105)+SUMIF(Capacity_Resource,$E153,'Critical resources (hide)'!BK$6:BK$105)+SUMIF(Capacity_Resource,$F153,'Critical resources (hide)'!BK$6:BK$105)&gt;0,$E$1=2),0,1)</f>
        <v>1</v>
      </c>
      <c r="AY153" s="67">
        <f ca="1">IF(AND(SUMIF(Capacity_Resource,$D153,'Critical resources (hide)'!BL$6:BL$105)+SUMIF(Capacity_Resource,$E153,'Critical resources (hide)'!BL$6:BL$105)+SUMIF(Capacity_Resource,$F153,'Critical resources (hide)'!BL$6:BL$105)&gt;0,$E$1=2),0,1)</f>
        <v>1</v>
      </c>
      <c r="AZ153" s="67">
        <f ca="1">IF(AND(SUMIF(Capacity_Resource,$D153,'Critical resources (hide)'!BM$6:BM$105)+SUMIF(Capacity_Resource,$E153,'Critical resources (hide)'!BM$6:BM$105)+SUMIF(Capacity_Resource,$F153,'Critical resources (hide)'!BM$6:BM$105)&gt;0,$E$1=2),0,1)</f>
        <v>1</v>
      </c>
      <c r="BA153" s="67">
        <f ca="1">IF(AND(SUMIF(Capacity_Resource,$D153,'Critical resources (hide)'!BN$6:BN$105)+SUMIF(Capacity_Resource,$E153,'Critical resources (hide)'!BN$6:BN$105)+SUMIF(Capacity_Resource,$F153,'Critical resources (hide)'!BN$6:BN$105)&gt;0,$E$1=2),0,1)</f>
        <v>1</v>
      </c>
      <c r="BB153" s="67">
        <f ca="1">IF(AND(SUMIF(Capacity_Resource,$D153,'Critical resources (hide)'!BO$6:BO$105)+SUMIF(Capacity_Resource,$E153,'Critical resources (hide)'!BO$6:BO$105)+SUMIF(Capacity_Resource,$F153,'Critical resources (hide)'!BO$6:BO$105)&gt;0,$E$1=2),0,1)</f>
        <v>1</v>
      </c>
      <c r="BC153" s="67">
        <f ca="1">IF(AND(SUMIF(Capacity_Resource,$D153,'Critical resources (hide)'!BP$6:BP$105)+SUMIF(Capacity_Resource,$E153,'Critical resources (hide)'!BP$6:BP$105)+SUMIF(Capacity_Resource,$F153,'Critical resources (hide)'!BP$6:BP$105)&gt;0,$E$1=2),0,1)</f>
        <v>1</v>
      </c>
      <c r="BD153" s="67">
        <f ca="1">IF(AND(SUMIF(Capacity_Resource,$D153,'Critical resources (hide)'!BQ$6:BQ$105)+SUMIF(Capacity_Resource,$E153,'Critical resources (hide)'!BQ$6:BQ$105)+SUMIF(Capacity_Resource,$F153,'Critical resources (hide)'!BQ$6:BQ$105)&gt;0,$E$1=2),0,1)</f>
        <v>1</v>
      </c>
      <c r="BE153" s="67">
        <f ca="1">IF(AND(SUMIF(Capacity_Resource,$D153,'Critical resources (hide)'!BR$6:BR$105)+SUMIF(Capacity_Resource,$E153,'Critical resources (hide)'!BR$6:BR$105)+SUMIF(Capacity_Resource,$F153,'Critical resources (hide)'!BR$6:BR$105)&gt;0,$E$1=2),0,1)</f>
        <v>1</v>
      </c>
      <c r="BF153" s="67">
        <f ca="1">IF(AND(SUMIF(Capacity_Resource,$D153,'Critical resources (hide)'!BS$6:BS$105)+SUMIF(Capacity_Resource,$E153,'Critical resources (hide)'!BS$6:BS$105)+SUMIF(Capacity_Resource,$F153,'Critical resources (hide)'!BS$6:BS$105)&gt;0,$E$1=2),0,1)</f>
        <v>1</v>
      </c>
      <c r="BG153" s="67">
        <f ca="1">IF(AND(SUMIF(Capacity_Resource,$D153,'Critical resources (hide)'!BT$6:BT$105)+SUMIF(Capacity_Resource,$E153,'Critical resources (hide)'!BT$6:BT$105)+SUMIF(Capacity_Resource,$F153,'Critical resources (hide)'!BT$6:BT$105)&gt;0,$E$1=2),0,1)</f>
        <v>1</v>
      </c>
      <c r="BH153" s="67">
        <f>IF(ROW(A42)&lt;=Capacity!$M$16,IF('Capacity summary'!$C$14="No",SUM(H153:BG153),'Capacity summary'!$E65),0)</f>
        <v>0</v>
      </c>
      <c r="BI153" s="67" t="str">
        <f>IF(BH153&gt;0,IF(BH153&lt;Capacity!Q58,Capacity!R58,Capacity!T58/'Capacity calculation (hide)'!BH153),"")</f>
        <v/>
      </c>
      <c r="BJ153" s="5"/>
      <c r="BK153" s="5">
        <f>IF($BI153&lt;&gt;"",IF('Capacity summary'!$C$14="Yes",IF(COUNTBLANK('Capacity summary'!$H65:$BG65)&lt;52,IF('Capacity summary'!H65&lt;&gt;"",IF(LOWER('Capacity summary'!H65)="x",$BI153*H153,VALUE('Capacity summary'!H65)),0),H153*$BI153),H153*$BI153),0)</f>
        <v>0</v>
      </c>
      <c r="BL153" s="5">
        <f>IF($BI153&lt;&gt;"",IF('Capacity summary'!$C$14="Yes",IF(COUNTBLANK('Capacity summary'!$H65:$BG65)&lt;52,IF('Capacity summary'!I65&lt;&gt;"",IF(LOWER('Capacity summary'!I65)="x",$BI153*I153,VALUE('Capacity summary'!I65)),0),I153*$BI153),I153*$BI153),0)</f>
        <v>0</v>
      </c>
      <c r="BM153" s="5">
        <f>IF($BI153&lt;&gt;"",IF('Capacity summary'!$C$14="Yes",IF(COUNTBLANK('Capacity summary'!$H65:$BG65)&lt;52,IF('Capacity summary'!J65&lt;&gt;"",IF(LOWER('Capacity summary'!J65)="x",$BI153*J153,VALUE('Capacity summary'!J65)),0),J153*$BI153),J153*$BI153),0)</f>
        <v>0</v>
      </c>
      <c r="BN153" s="5">
        <f>IF($BI153&lt;&gt;"",IF('Capacity summary'!$C$14="Yes",IF(COUNTBLANK('Capacity summary'!$H65:$BG65)&lt;52,IF('Capacity summary'!K65&lt;&gt;"",IF(LOWER('Capacity summary'!K65)="x",$BI153*K153,VALUE('Capacity summary'!K65)),0),K153*$BI153),K153*$BI153),0)</f>
        <v>0</v>
      </c>
      <c r="BO153" s="5">
        <f>IF($BI153&lt;&gt;"",IF('Capacity summary'!$C$14="Yes",IF(COUNTBLANK('Capacity summary'!$H65:$BG65)&lt;52,IF('Capacity summary'!L65&lt;&gt;"",IF(LOWER('Capacity summary'!L65)="x",$BI153*L153,VALUE('Capacity summary'!L65)),0),L153*$BI153),L153*$BI153),0)</f>
        <v>0</v>
      </c>
      <c r="BP153" s="5">
        <f>IF($BI153&lt;&gt;"",IF('Capacity summary'!$C$14="Yes",IF(COUNTBLANK('Capacity summary'!$H65:$BG65)&lt;52,IF('Capacity summary'!M65&lt;&gt;"",IF(LOWER('Capacity summary'!M65)="x",$BI153*M153,VALUE('Capacity summary'!M65)),0),M153*$BI153),M153*$BI153),0)</f>
        <v>0</v>
      </c>
      <c r="BQ153" s="5">
        <f>IF($BI153&lt;&gt;"",IF('Capacity summary'!$C$14="Yes",IF(COUNTBLANK('Capacity summary'!$H65:$BG65)&lt;52,IF('Capacity summary'!N65&lt;&gt;"",IF(LOWER('Capacity summary'!N65)="x",$BI153*N153,VALUE('Capacity summary'!N65)),0),N153*$BI153),N153*$BI153),0)</f>
        <v>0</v>
      </c>
      <c r="BR153" s="5">
        <f>IF($BI153&lt;&gt;"",IF('Capacity summary'!$C$14="Yes",IF(COUNTBLANK('Capacity summary'!$H65:$BG65)&lt;52,IF('Capacity summary'!O65&lt;&gt;"",IF(LOWER('Capacity summary'!O65)="x",$BI153*O153,VALUE('Capacity summary'!O65)),0),O153*$BI153),O153*$BI153),0)</f>
        <v>0</v>
      </c>
      <c r="BS153" s="5">
        <f>IF($BI153&lt;&gt;"",IF('Capacity summary'!$C$14="Yes",IF(COUNTBLANK('Capacity summary'!$H65:$BG65)&lt;52,IF('Capacity summary'!P65&lt;&gt;"",IF(LOWER('Capacity summary'!P65)="x",$BI153*P153,VALUE('Capacity summary'!P65)),0),P153*$BI153),P153*$BI153),0)</f>
        <v>0</v>
      </c>
      <c r="BT153" s="5">
        <f>IF($BI153&lt;&gt;"",IF('Capacity summary'!$C$14="Yes",IF(COUNTBLANK('Capacity summary'!$H65:$BG65)&lt;52,IF('Capacity summary'!Q65&lt;&gt;"",IF(LOWER('Capacity summary'!Q65)="x",$BI153*Q153,VALUE('Capacity summary'!Q65)),0),Q153*$BI153),Q153*$BI153),0)</f>
        <v>0</v>
      </c>
      <c r="BU153" s="5">
        <f>IF($BI153&lt;&gt;"",IF('Capacity summary'!$C$14="Yes",IF(COUNTBLANK('Capacity summary'!$H65:$BG65)&lt;52,IF('Capacity summary'!R65&lt;&gt;"",IF(LOWER('Capacity summary'!R65)="x",$BI153*R153,VALUE('Capacity summary'!R65)),0),R153*$BI153),R153*$BI153),0)</f>
        <v>0</v>
      </c>
      <c r="BV153" s="5">
        <f>IF($BI153&lt;&gt;"",IF('Capacity summary'!$C$14="Yes",IF(COUNTBLANK('Capacity summary'!$H65:$BG65)&lt;52,IF('Capacity summary'!S65&lt;&gt;"",IF(LOWER('Capacity summary'!S65)="x",$BI153*S153,VALUE('Capacity summary'!S65)),0),S153*$BI153),S153*$BI153),0)</f>
        <v>0</v>
      </c>
      <c r="BW153" s="5">
        <f>IF($BI153&lt;&gt;"",IF('Capacity summary'!$C$14="Yes",IF(COUNTBLANK('Capacity summary'!$H65:$BG65)&lt;52,IF('Capacity summary'!T65&lt;&gt;"",IF(LOWER('Capacity summary'!T65)="x",$BI153*T153,VALUE('Capacity summary'!T65)),0),T153*$BI153),T153*$BI153),0)</f>
        <v>0</v>
      </c>
      <c r="BX153" s="5">
        <f>IF($BI153&lt;&gt;"",IF('Capacity summary'!$C$14="Yes",IF(COUNTBLANK('Capacity summary'!$H65:$BG65)&lt;52,IF('Capacity summary'!U65&lt;&gt;"",IF(LOWER('Capacity summary'!U65)="x",$BI153*U153,VALUE('Capacity summary'!U65)),0),U153*$BI153),U153*$BI153),0)</f>
        <v>0</v>
      </c>
      <c r="BY153" s="5">
        <f>IF($BI153&lt;&gt;"",IF('Capacity summary'!$C$14="Yes",IF(COUNTBLANK('Capacity summary'!$H65:$BG65)&lt;52,IF('Capacity summary'!V65&lt;&gt;"",IF(LOWER('Capacity summary'!V65)="x",$BI153*V153,VALUE('Capacity summary'!V65)),0),V153*$BI153),V153*$BI153),0)</f>
        <v>0</v>
      </c>
      <c r="BZ153" s="5">
        <f>IF($BI153&lt;&gt;"",IF('Capacity summary'!$C$14="Yes",IF(COUNTBLANK('Capacity summary'!$H65:$BG65)&lt;52,IF('Capacity summary'!W65&lt;&gt;"",IF(LOWER('Capacity summary'!W65)="x",$BI153*W153,VALUE('Capacity summary'!W65)),0),W153*$BI153),W153*$BI153),0)</f>
        <v>0</v>
      </c>
      <c r="CA153" s="5">
        <f>IF($BI153&lt;&gt;"",IF('Capacity summary'!$C$14="Yes",IF(COUNTBLANK('Capacity summary'!$H65:$BG65)&lt;52,IF('Capacity summary'!X65&lt;&gt;"",IF(LOWER('Capacity summary'!X65)="x",$BI153*X153,VALUE('Capacity summary'!X65)),0),X153*$BI153),X153*$BI153),0)</f>
        <v>0</v>
      </c>
      <c r="CB153" s="5">
        <f>IF($BI153&lt;&gt;"",IF('Capacity summary'!$C$14="Yes",IF(COUNTBLANK('Capacity summary'!$H65:$BG65)&lt;52,IF('Capacity summary'!Y65&lt;&gt;"",IF(LOWER('Capacity summary'!Y65)="x",$BI153*Y153,VALUE('Capacity summary'!Y65)),0),Y153*$BI153),Y153*$BI153),0)</f>
        <v>0</v>
      </c>
      <c r="CC153" s="5">
        <f>IF($BI153&lt;&gt;"",IF('Capacity summary'!$C$14="Yes",IF(COUNTBLANK('Capacity summary'!$H65:$BG65)&lt;52,IF('Capacity summary'!Z65&lt;&gt;"",IF(LOWER('Capacity summary'!Z65)="x",$BI153*Z153,VALUE('Capacity summary'!Z65)),0),Z153*$BI153),Z153*$BI153),0)</f>
        <v>0</v>
      </c>
      <c r="CD153" s="5">
        <f>IF($BI153&lt;&gt;"",IF('Capacity summary'!$C$14="Yes",IF(COUNTBLANK('Capacity summary'!$H65:$BG65)&lt;52,IF('Capacity summary'!AA65&lt;&gt;"",IF(LOWER('Capacity summary'!AA65)="x",$BI153*AA153,VALUE('Capacity summary'!AA65)),0),AA153*$BI153),AA153*$BI153),0)</f>
        <v>0</v>
      </c>
      <c r="CE153" s="5">
        <f>IF($BI153&lt;&gt;"",IF('Capacity summary'!$C$14="Yes",IF(COUNTBLANK('Capacity summary'!$H65:$BG65)&lt;52,IF('Capacity summary'!AB65&lt;&gt;"",IF(LOWER('Capacity summary'!AB65)="x",$BI153*AB153,VALUE('Capacity summary'!AB65)),0),AB153*$BI153),AB153*$BI153),0)</f>
        <v>0</v>
      </c>
      <c r="CF153" s="5">
        <f>IF($BI153&lt;&gt;"",IF('Capacity summary'!$C$14="Yes",IF(COUNTBLANK('Capacity summary'!$H65:$BG65)&lt;52,IF('Capacity summary'!AC65&lt;&gt;"",IF(LOWER('Capacity summary'!AC65)="x",$BI153*AC153,VALUE('Capacity summary'!AC65)),0),AC153*$BI153),AC153*$BI153),0)</f>
        <v>0</v>
      </c>
      <c r="CG153" s="5">
        <f>IF($BI153&lt;&gt;"",IF('Capacity summary'!$C$14="Yes",IF(COUNTBLANK('Capacity summary'!$H65:$BG65)&lt;52,IF('Capacity summary'!AD65&lt;&gt;"",IF(LOWER('Capacity summary'!AD65)="x",$BI153*AD153,VALUE('Capacity summary'!AD65)),0),AD153*$BI153),AD153*$BI153),0)</f>
        <v>0</v>
      </c>
      <c r="CH153" s="5">
        <f>IF($BI153&lt;&gt;"",IF('Capacity summary'!$C$14="Yes",IF(COUNTBLANK('Capacity summary'!$H65:$BG65)&lt;52,IF('Capacity summary'!AE65&lt;&gt;"",IF(LOWER('Capacity summary'!AE65)="x",$BI153*AE153,VALUE('Capacity summary'!AE65)),0),AE153*$BI153),AE153*$BI153),0)</f>
        <v>0</v>
      </c>
      <c r="CI153" s="5">
        <f>IF($BI153&lt;&gt;"",IF('Capacity summary'!$C$14="Yes",IF(COUNTBLANK('Capacity summary'!$H65:$BG65)&lt;52,IF('Capacity summary'!AF65&lt;&gt;"",IF(LOWER('Capacity summary'!AF65)="x",$BI153*AF153,VALUE('Capacity summary'!AF65)),0),AF153*$BI153),AF153*$BI153),0)</f>
        <v>0</v>
      </c>
      <c r="CJ153" s="5">
        <f>IF($BI153&lt;&gt;"",IF('Capacity summary'!$C$14="Yes",IF(COUNTBLANK('Capacity summary'!$H65:$BG65)&lt;52,IF('Capacity summary'!AG65&lt;&gt;"",IF(LOWER('Capacity summary'!AG65)="x",$BI153*AG153,VALUE('Capacity summary'!AG65)),0),AG153*$BI153),AG153*$BI153),0)</f>
        <v>0</v>
      </c>
      <c r="CK153" s="5">
        <f>IF($BI153&lt;&gt;"",IF('Capacity summary'!$C$14="Yes",IF(COUNTBLANK('Capacity summary'!$H65:$BG65)&lt;52,IF('Capacity summary'!AH65&lt;&gt;"",IF(LOWER('Capacity summary'!AH65)="x",$BI153*AH153,VALUE('Capacity summary'!AH65)),0),AH153*$BI153),AH153*$BI153),0)</f>
        <v>0</v>
      </c>
      <c r="CL153" s="5">
        <f>IF($BI153&lt;&gt;"",IF('Capacity summary'!$C$14="Yes",IF(COUNTBLANK('Capacity summary'!$H65:$BG65)&lt;52,IF('Capacity summary'!AI65&lt;&gt;"",IF(LOWER('Capacity summary'!AI65)="x",$BI153*AI153,VALUE('Capacity summary'!AI65)),0),AI153*$BI153),AI153*$BI153),0)</f>
        <v>0</v>
      </c>
      <c r="CM153" s="5">
        <f>IF($BI153&lt;&gt;"",IF('Capacity summary'!$C$14="Yes",IF(COUNTBLANK('Capacity summary'!$H65:$BG65)&lt;52,IF('Capacity summary'!AJ65&lt;&gt;"",IF(LOWER('Capacity summary'!AJ65)="x",$BI153*AJ153,VALUE('Capacity summary'!AJ65)),0),AJ153*$BI153),AJ153*$BI153),0)</f>
        <v>0</v>
      </c>
      <c r="CN153" s="5">
        <f>IF($BI153&lt;&gt;"",IF('Capacity summary'!$C$14="Yes",IF(COUNTBLANK('Capacity summary'!$H65:$BG65)&lt;52,IF('Capacity summary'!AK65&lt;&gt;"",IF(LOWER('Capacity summary'!AK65)="x",$BI153*AK153,VALUE('Capacity summary'!AK65)),0),AK153*$BI153),AK153*$BI153),0)</f>
        <v>0</v>
      </c>
      <c r="CO153" s="5">
        <f>IF($BI153&lt;&gt;"",IF('Capacity summary'!$C$14="Yes",IF(COUNTBLANK('Capacity summary'!$H65:$BG65)&lt;52,IF('Capacity summary'!AL65&lt;&gt;"",IF(LOWER('Capacity summary'!AL65)="x",$BI153*AL153,VALUE('Capacity summary'!AL65)),0),AL153*$BI153),AL153*$BI153),0)</f>
        <v>0</v>
      </c>
      <c r="CP153" s="5">
        <f>IF($BI153&lt;&gt;"",IF('Capacity summary'!$C$14="Yes",IF(COUNTBLANK('Capacity summary'!$H65:$BG65)&lt;52,IF('Capacity summary'!AM65&lt;&gt;"",IF(LOWER('Capacity summary'!AM65)="x",$BI153*AM153,VALUE('Capacity summary'!AM65)),0),AM153*$BI153),AM153*$BI153),0)</f>
        <v>0</v>
      </c>
      <c r="CQ153" s="5">
        <f>IF($BI153&lt;&gt;"",IF('Capacity summary'!$C$14="Yes",IF(COUNTBLANK('Capacity summary'!$H65:$BG65)&lt;52,IF('Capacity summary'!AN65&lt;&gt;"",IF(LOWER('Capacity summary'!AN65)="x",$BI153*AN153,VALUE('Capacity summary'!AN65)),0),AN153*$BI153),AN153*$BI153),0)</f>
        <v>0</v>
      </c>
      <c r="CR153" s="5">
        <f>IF($BI153&lt;&gt;"",IF('Capacity summary'!$C$14="Yes",IF(COUNTBLANK('Capacity summary'!$H65:$BG65)&lt;52,IF('Capacity summary'!AO65&lt;&gt;"",IF(LOWER('Capacity summary'!AO65)="x",$BI153*AO153,VALUE('Capacity summary'!AO65)),0),AO153*$BI153),AO153*$BI153),0)</f>
        <v>0</v>
      </c>
      <c r="CS153" s="5">
        <f>IF($BI153&lt;&gt;"",IF('Capacity summary'!$C$14="Yes",IF(COUNTBLANK('Capacity summary'!$H65:$BG65)&lt;52,IF('Capacity summary'!AP65&lt;&gt;"",IF(LOWER('Capacity summary'!AP65)="x",$BI153*AP153,VALUE('Capacity summary'!AP65)),0),AP153*$BI153),AP153*$BI153),0)</f>
        <v>0</v>
      </c>
      <c r="CT153" s="5">
        <f>IF($BI153&lt;&gt;"",IF('Capacity summary'!$C$14="Yes",IF(COUNTBLANK('Capacity summary'!$H65:$BG65)&lt;52,IF('Capacity summary'!AQ65&lt;&gt;"",IF(LOWER('Capacity summary'!AQ65)="x",$BI153*AQ153,VALUE('Capacity summary'!AQ65)),0),AQ153*$BI153),AQ153*$BI153),0)</f>
        <v>0</v>
      </c>
      <c r="CU153" s="5">
        <f>IF($BI153&lt;&gt;"",IF('Capacity summary'!$C$14="Yes",IF(COUNTBLANK('Capacity summary'!$H65:$BG65)&lt;52,IF('Capacity summary'!AR65&lt;&gt;"",IF(LOWER('Capacity summary'!AR65)="x",$BI153*AR153,VALUE('Capacity summary'!AR65)),0),AR153*$BI153),AR153*$BI153),0)</f>
        <v>0</v>
      </c>
      <c r="CV153" s="5">
        <f>IF($BI153&lt;&gt;"",IF('Capacity summary'!$C$14="Yes",IF(COUNTBLANK('Capacity summary'!$H65:$BG65)&lt;52,IF('Capacity summary'!AS65&lt;&gt;"",IF(LOWER('Capacity summary'!AS65)="x",$BI153*AS153,VALUE('Capacity summary'!AS65)),0),AS153*$BI153),AS153*$BI153),0)</f>
        <v>0</v>
      </c>
      <c r="CW153" s="5">
        <f>IF($BI153&lt;&gt;"",IF('Capacity summary'!$C$14="Yes",IF(COUNTBLANK('Capacity summary'!$H65:$BG65)&lt;52,IF('Capacity summary'!AT65&lt;&gt;"",IF(LOWER('Capacity summary'!AT65)="x",$BI153*AT153,VALUE('Capacity summary'!AT65)),0),AT153*$BI153),AT153*$BI153),0)</f>
        <v>0</v>
      </c>
      <c r="CX153" s="5">
        <f>IF($BI153&lt;&gt;"",IF('Capacity summary'!$C$14="Yes",IF(COUNTBLANK('Capacity summary'!$H65:$BG65)&lt;52,IF('Capacity summary'!AU65&lt;&gt;"",IF(LOWER('Capacity summary'!AU65)="x",$BI153*AU153,VALUE('Capacity summary'!AU65)),0),AU153*$BI153),AU153*$BI153),0)</f>
        <v>0</v>
      </c>
      <c r="CY153" s="5">
        <f>IF($BI153&lt;&gt;"",IF('Capacity summary'!$C$14="Yes",IF(COUNTBLANK('Capacity summary'!$H65:$BG65)&lt;52,IF('Capacity summary'!AV65&lt;&gt;"",IF(LOWER('Capacity summary'!AV65)="x",$BI153*AV153,VALUE('Capacity summary'!AV65)),0),AV153*$BI153),AV153*$BI153),0)</f>
        <v>0</v>
      </c>
      <c r="CZ153" s="5">
        <f>IF($BI153&lt;&gt;"",IF('Capacity summary'!$C$14="Yes",IF(COUNTBLANK('Capacity summary'!$H65:$BG65)&lt;52,IF('Capacity summary'!AW65&lt;&gt;"",IF(LOWER('Capacity summary'!AW65)="x",$BI153*AW153,VALUE('Capacity summary'!AW65)),0),AW153*$BI153),AW153*$BI153),0)</f>
        <v>0</v>
      </c>
      <c r="DA153" s="5">
        <f>IF($BI153&lt;&gt;"",IF('Capacity summary'!$C$14="Yes",IF(COUNTBLANK('Capacity summary'!$H65:$BG65)&lt;52,IF('Capacity summary'!AX65&lt;&gt;"",IF(LOWER('Capacity summary'!AX65)="x",$BI153*AX153,VALUE('Capacity summary'!AX65)),0),AX153*$BI153),AX153*$BI153),0)</f>
        <v>0</v>
      </c>
      <c r="DB153" s="5">
        <f>IF($BI153&lt;&gt;"",IF('Capacity summary'!$C$14="Yes",IF(COUNTBLANK('Capacity summary'!$H65:$BG65)&lt;52,IF('Capacity summary'!AY65&lt;&gt;"",IF(LOWER('Capacity summary'!AY65)="x",$BI153*AY153,VALUE('Capacity summary'!AY65)),0),AY153*$BI153),AY153*$BI153),0)</f>
        <v>0</v>
      </c>
      <c r="DC153" s="5">
        <f>IF($BI153&lt;&gt;"",IF('Capacity summary'!$C$14="Yes",IF(COUNTBLANK('Capacity summary'!$H65:$BG65)&lt;52,IF('Capacity summary'!AZ65&lt;&gt;"",IF(LOWER('Capacity summary'!AZ65)="x",$BI153*AZ153,VALUE('Capacity summary'!AZ65)),0),AZ153*$BI153),AZ153*$BI153),0)</f>
        <v>0</v>
      </c>
      <c r="DD153" s="5">
        <f>IF($BI153&lt;&gt;"",IF('Capacity summary'!$C$14="Yes",IF(COUNTBLANK('Capacity summary'!$H65:$BG65)&lt;52,IF('Capacity summary'!BA65&lt;&gt;"",IF(LOWER('Capacity summary'!BA65)="x",$BI153*BA153,VALUE('Capacity summary'!BA65)),0),BA153*$BI153),BA153*$BI153),0)</f>
        <v>0</v>
      </c>
      <c r="DE153" s="5">
        <f>IF($BI153&lt;&gt;"",IF('Capacity summary'!$C$14="Yes",IF(COUNTBLANK('Capacity summary'!$H65:$BG65)&lt;52,IF('Capacity summary'!BB65&lt;&gt;"",IF(LOWER('Capacity summary'!BB65)="x",$BI153*BB153,VALUE('Capacity summary'!BB65)),0),BB153*$BI153),BB153*$BI153),0)</f>
        <v>0</v>
      </c>
      <c r="DF153" s="5">
        <f>IF($BI153&lt;&gt;"",IF('Capacity summary'!$C$14="Yes",IF(COUNTBLANK('Capacity summary'!$H65:$BG65)&lt;52,IF('Capacity summary'!BC65&lt;&gt;"",IF(LOWER('Capacity summary'!BC65)="x",$BI153*BC153,VALUE('Capacity summary'!BC65)),0),BC153*$BI153),BC153*$BI153),0)</f>
        <v>0</v>
      </c>
      <c r="DG153" s="5">
        <f>IF($BI153&lt;&gt;"",IF('Capacity summary'!$C$14="Yes",IF(COUNTBLANK('Capacity summary'!$H65:$BG65)&lt;52,IF('Capacity summary'!BD65&lt;&gt;"",IF(LOWER('Capacity summary'!BD65)="x",$BI153*BD153,VALUE('Capacity summary'!BD65)),0),BD153*$BI153),BD153*$BI153),0)</f>
        <v>0</v>
      </c>
      <c r="DH153" s="5">
        <f>IF($BI153&lt;&gt;"",IF('Capacity summary'!$C$14="Yes",IF(COUNTBLANK('Capacity summary'!$H65:$BG65)&lt;52,IF('Capacity summary'!BE65&lt;&gt;"",IF(LOWER('Capacity summary'!BE65)="x",$BI153*BE153,VALUE('Capacity summary'!BE65)),0),BE153*$BI153),BE153*$BI153),0)</f>
        <v>0</v>
      </c>
      <c r="DI153" s="5">
        <f>IF($BI153&lt;&gt;"",IF('Capacity summary'!$C$14="Yes",IF(COUNTBLANK('Capacity summary'!$H65:$BG65)&lt;52,IF('Capacity summary'!BF65&lt;&gt;"",IF(LOWER('Capacity summary'!BF65)="x",$BI153*BF153,VALUE('Capacity summary'!BF65)),0),BF153*$BI153),BF153*$BI153),0)</f>
        <v>0</v>
      </c>
      <c r="DJ153" s="5">
        <f>IF($BI153&lt;&gt;"",IF('Capacity summary'!$C$14="Yes",IF(COUNTBLANK('Capacity summary'!$H65:$BG65)&lt;52,IF('Capacity summary'!BG65&lt;&gt;"",IF(LOWER('Capacity summary'!BG65)="x",$BI153*BG153,VALUE('Capacity summary'!BG65)),0),BG153*$BI153),BG153*$BI153),0)</f>
        <v>0</v>
      </c>
      <c r="DK153" s="5">
        <f t="shared" ref="DK153" si="47">SUM(DK154:DK253)</f>
        <v>0</v>
      </c>
    </row>
    <row r="154" spans="3:115" x14ac:dyDescent="0.25">
      <c r="C154" s="67" t="str">
        <f>ROW(A43)&amp;". "&amp;Capacity!N59</f>
        <v xml:space="preserve">43. </v>
      </c>
      <c r="D154" s="67">
        <f>'Capacity setup'!C160</f>
        <v>0</v>
      </c>
      <c r="E154" s="67">
        <f>'Capacity setup'!D160</f>
        <v>0</v>
      </c>
      <c r="F154" s="67">
        <f>'Capacity setup'!E160</f>
        <v>0</v>
      </c>
      <c r="H154" s="67">
        <f ca="1">IF(AND(SUMIF(Capacity_Resource,$D154,'Critical resources (hide)'!U$6:U$105)+SUMIF(Capacity_Resource,$E154,'Critical resources (hide)'!U$6:U$105)+SUMIF(Capacity_Resource,$F154,'Critical resources (hide)'!U$6:U$105)&gt;0,$E$1=2),0,1)</f>
        <v>1</v>
      </c>
      <c r="I154" s="67">
        <f ca="1">IF(AND(SUMIF(Capacity_Resource,$D154,'Critical resources (hide)'!V$6:V$105)+SUMIF(Capacity_Resource,$E154,'Critical resources (hide)'!V$6:V$105)+SUMIF(Capacity_Resource,$F154,'Critical resources (hide)'!V$6:V$105)&gt;0,$E$1=2),0,1)</f>
        <v>1</v>
      </c>
      <c r="J154" s="67">
        <f ca="1">IF(AND(SUMIF(Capacity_Resource,$D154,'Critical resources (hide)'!W$6:W$105)+SUMIF(Capacity_Resource,$E154,'Critical resources (hide)'!W$6:W$105)+SUMIF(Capacity_Resource,$F154,'Critical resources (hide)'!W$6:W$105)&gt;0,$E$1=2),0,1)</f>
        <v>1</v>
      </c>
      <c r="K154" s="67">
        <f ca="1">IF(AND(SUMIF(Capacity_Resource,$D154,'Critical resources (hide)'!X$6:X$105)+SUMIF(Capacity_Resource,$E154,'Critical resources (hide)'!X$6:X$105)+SUMIF(Capacity_Resource,$F154,'Critical resources (hide)'!X$6:X$105)&gt;0,$E$1=2),0,1)</f>
        <v>1</v>
      </c>
      <c r="L154" s="67">
        <f ca="1">IF(AND(SUMIF(Capacity_Resource,$D154,'Critical resources (hide)'!Y$6:Y$105)+SUMIF(Capacity_Resource,$E154,'Critical resources (hide)'!Y$6:Y$105)+SUMIF(Capacity_Resource,$F154,'Critical resources (hide)'!Y$6:Y$105)&gt;0,$E$1=2),0,1)</f>
        <v>1</v>
      </c>
      <c r="M154" s="67">
        <f ca="1">IF(AND(SUMIF(Capacity_Resource,$D154,'Critical resources (hide)'!Z$6:Z$105)+SUMIF(Capacity_Resource,$E154,'Critical resources (hide)'!Z$6:Z$105)+SUMIF(Capacity_Resource,$F154,'Critical resources (hide)'!Z$6:Z$105)&gt;0,$E$1=2),0,1)</f>
        <v>1</v>
      </c>
      <c r="N154" s="67">
        <f ca="1">IF(AND(SUMIF(Capacity_Resource,$D154,'Critical resources (hide)'!AA$6:AA$105)+SUMIF(Capacity_Resource,$E154,'Critical resources (hide)'!AA$6:AA$105)+SUMIF(Capacity_Resource,$F154,'Critical resources (hide)'!AA$6:AA$105)&gt;0,$E$1=2),0,1)</f>
        <v>1</v>
      </c>
      <c r="O154" s="67">
        <f ca="1">IF(AND(SUMIF(Capacity_Resource,$D154,'Critical resources (hide)'!AB$6:AB$105)+SUMIF(Capacity_Resource,$E154,'Critical resources (hide)'!AB$6:AB$105)+SUMIF(Capacity_Resource,$F154,'Critical resources (hide)'!AB$6:AB$105)&gt;0,$E$1=2),0,1)</f>
        <v>1</v>
      </c>
      <c r="P154" s="67">
        <f ca="1">IF(AND(SUMIF(Capacity_Resource,$D154,'Critical resources (hide)'!AC$6:AC$105)+SUMIF(Capacity_Resource,$E154,'Critical resources (hide)'!AC$6:AC$105)+SUMIF(Capacity_Resource,$F154,'Critical resources (hide)'!AC$6:AC$105)&gt;0,$E$1=2),0,1)</f>
        <v>1</v>
      </c>
      <c r="Q154" s="67">
        <f ca="1">IF(AND(SUMIF(Capacity_Resource,$D154,'Critical resources (hide)'!AD$6:AD$105)+SUMIF(Capacity_Resource,$E154,'Critical resources (hide)'!AD$6:AD$105)+SUMIF(Capacity_Resource,$F154,'Critical resources (hide)'!AD$6:AD$105)&gt;0,$E$1=2),0,1)</f>
        <v>1</v>
      </c>
      <c r="R154" s="67">
        <f ca="1">IF(AND(SUMIF(Capacity_Resource,$D154,'Critical resources (hide)'!AE$6:AE$105)+SUMIF(Capacity_Resource,$E154,'Critical resources (hide)'!AE$6:AE$105)+SUMIF(Capacity_Resource,$F154,'Critical resources (hide)'!AE$6:AE$105)&gt;0,$E$1=2),0,1)</f>
        <v>1</v>
      </c>
      <c r="S154" s="67">
        <f ca="1">IF(AND(SUMIF(Capacity_Resource,$D154,'Critical resources (hide)'!AF$6:AF$105)+SUMIF(Capacity_Resource,$E154,'Critical resources (hide)'!AF$6:AF$105)+SUMIF(Capacity_Resource,$F154,'Critical resources (hide)'!AF$6:AF$105)&gt;0,$E$1=2),0,1)</f>
        <v>1</v>
      </c>
      <c r="T154" s="67">
        <f ca="1">IF(AND(SUMIF(Capacity_Resource,$D154,'Critical resources (hide)'!AG$6:AG$105)+SUMIF(Capacity_Resource,$E154,'Critical resources (hide)'!AG$6:AG$105)+SUMIF(Capacity_Resource,$F154,'Critical resources (hide)'!AG$6:AG$105)&gt;0,$E$1=2),0,1)</f>
        <v>1</v>
      </c>
      <c r="U154" s="67">
        <f ca="1">IF(AND(SUMIF(Capacity_Resource,$D154,'Critical resources (hide)'!AH$6:AH$105)+SUMIF(Capacity_Resource,$E154,'Critical resources (hide)'!AH$6:AH$105)+SUMIF(Capacity_Resource,$F154,'Critical resources (hide)'!AH$6:AH$105)&gt;0,$E$1=2),0,1)</f>
        <v>1</v>
      </c>
      <c r="V154" s="67">
        <f ca="1">IF(AND(SUMIF(Capacity_Resource,$D154,'Critical resources (hide)'!AI$6:AI$105)+SUMIF(Capacity_Resource,$E154,'Critical resources (hide)'!AI$6:AI$105)+SUMIF(Capacity_Resource,$F154,'Critical resources (hide)'!AI$6:AI$105)&gt;0,$E$1=2),0,1)</f>
        <v>1</v>
      </c>
      <c r="W154" s="67">
        <f ca="1">IF(AND(SUMIF(Capacity_Resource,$D154,'Critical resources (hide)'!AJ$6:AJ$105)+SUMIF(Capacity_Resource,$E154,'Critical resources (hide)'!AJ$6:AJ$105)+SUMIF(Capacity_Resource,$F154,'Critical resources (hide)'!AJ$6:AJ$105)&gt;0,$E$1=2),0,1)</f>
        <v>1</v>
      </c>
      <c r="X154" s="67">
        <f ca="1">IF(AND(SUMIF(Capacity_Resource,$D154,'Critical resources (hide)'!AK$6:AK$105)+SUMIF(Capacity_Resource,$E154,'Critical resources (hide)'!AK$6:AK$105)+SUMIF(Capacity_Resource,$F154,'Critical resources (hide)'!AK$6:AK$105)&gt;0,$E$1=2),0,1)</f>
        <v>1</v>
      </c>
      <c r="Y154" s="67">
        <f ca="1">IF(AND(SUMIF(Capacity_Resource,$D154,'Critical resources (hide)'!AL$6:AL$105)+SUMIF(Capacity_Resource,$E154,'Critical resources (hide)'!AL$6:AL$105)+SUMIF(Capacity_Resource,$F154,'Critical resources (hide)'!AL$6:AL$105)&gt;0,$E$1=2),0,1)</f>
        <v>1</v>
      </c>
      <c r="Z154" s="67">
        <f ca="1">IF(AND(SUMIF(Capacity_Resource,$D154,'Critical resources (hide)'!AM$6:AM$105)+SUMIF(Capacity_Resource,$E154,'Critical resources (hide)'!AM$6:AM$105)+SUMIF(Capacity_Resource,$F154,'Critical resources (hide)'!AM$6:AM$105)&gt;0,$E$1=2),0,1)</f>
        <v>1</v>
      </c>
      <c r="AA154" s="67">
        <f ca="1">IF(AND(SUMIF(Capacity_Resource,$D154,'Critical resources (hide)'!AN$6:AN$105)+SUMIF(Capacity_Resource,$E154,'Critical resources (hide)'!AN$6:AN$105)+SUMIF(Capacity_Resource,$F154,'Critical resources (hide)'!AN$6:AN$105)&gt;0,$E$1=2),0,1)</f>
        <v>1</v>
      </c>
      <c r="AB154" s="67">
        <f ca="1">IF(AND(SUMIF(Capacity_Resource,$D154,'Critical resources (hide)'!AO$6:AO$105)+SUMIF(Capacity_Resource,$E154,'Critical resources (hide)'!AO$6:AO$105)+SUMIF(Capacity_Resource,$F154,'Critical resources (hide)'!AO$6:AO$105)&gt;0,$E$1=2),0,1)</f>
        <v>1</v>
      </c>
      <c r="AC154" s="67">
        <f ca="1">IF(AND(SUMIF(Capacity_Resource,$D154,'Critical resources (hide)'!AP$6:AP$105)+SUMIF(Capacity_Resource,$E154,'Critical resources (hide)'!AP$6:AP$105)+SUMIF(Capacity_Resource,$F154,'Critical resources (hide)'!AP$6:AP$105)&gt;0,$E$1=2),0,1)</f>
        <v>1</v>
      </c>
      <c r="AD154" s="67">
        <f ca="1">IF(AND(SUMIF(Capacity_Resource,$D154,'Critical resources (hide)'!AQ$6:AQ$105)+SUMIF(Capacity_Resource,$E154,'Critical resources (hide)'!AQ$6:AQ$105)+SUMIF(Capacity_Resource,$F154,'Critical resources (hide)'!AQ$6:AQ$105)&gt;0,$E$1=2),0,1)</f>
        <v>1</v>
      </c>
      <c r="AE154" s="67">
        <f ca="1">IF(AND(SUMIF(Capacity_Resource,$D154,'Critical resources (hide)'!AR$6:AR$105)+SUMIF(Capacity_Resource,$E154,'Critical resources (hide)'!AR$6:AR$105)+SUMIF(Capacity_Resource,$F154,'Critical resources (hide)'!AR$6:AR$105)&gt;0,$E$1=2),0,1)</f>
        <v>1</v>
      </c>
      <c r="AF154" s="67">
        <f ca="1">IF(AND(SUMIF(Capacity_Resource,$D154,'Critical resources (hide)'!AS$6:AS$105)+SUMIF(Capacity_Resource,$E154,'Critical resources (hide)'!AS$6:AS$105)+SUMIF(Capacity_Resource,$F154,'Critical resources (hide)'!AS$6:AS$105)&gt;0,$E$1=2),0,1)</f>
        <v>1</v>
      </c>
      <c r="AG154" s="67">
        <f ca="1">IF(AND(SUMIF(Capacity_Resource,$D154,'Critical resources (hide)'!AT$6:AT$105)+SUMIF(Capacity_Resource,$E154,'Critical resources (hide)'!AT$6:AT$105)+SUMIF(Capacity_Resource,$F154,'Critical resources (hide)'!AT$6:AT$105)&gt;0,$E$1=2),0,1)</f>
        <v>1</v>
      </c>
      <c r="AH154" s="67">
        <f ca="1">IF(AND(SUMIF(Capacity_Resource,$D154,'Critical resources (hide)'!AU$6:AU$105)+SUMIF(Capacity_Resource,$E154,'Critical resources (hide)'!AU$6:AU$105)+SUMIF(Capacity_Resource,$F154,'Critical resources (hide)'!AU$6:AU$105)&gt;0,$E$1=2),0,1)</f>
        <v>1</v>
      </c>
      <c r="AI154" s="67">
        <f ca="1">IF(AND(SUMIF(Capacity_Resource,$D154,'Critical resources (hide)'!AV$6:AV$105)+SUMIF(Capacity_Resource,$E154,'Critical resources (hide)'!AV$6:AV$105)+SUMIF(Capacity_Resource,$F154,'Critical resources (hide)'!AV$6:AV$105)&gt;0,$E$1=2),0,1)</f>
        <v>1</v>
      </c>
      <c r="AJ154" s="67">
        <f ca="1">IF(AND(SUMIF(Capacity_Resource,$D154,'Critical resources (hide)'!AW$6:AW$105)+SUMIF(Capacity_Resource,$E154,'Critical resources (hide)'!AW$6:AW$105)+SUMIF(Capacity_Resource,$F154,'Critical resources (hide)'!AW$6:AW$105)&gt;0,$E$1=2),0,1)</f>
        <v>1</v>
      </c>
      <c r="AK154" s="67">
        <f ca="1">IF(AND(SUMIF(Capacity_Resource,$D154,'Critical resources (hide)'!AX$6:AX$105)+SUMIF(Capacity_Resource,$E154,'Critical resources (hide)'!AX$6:AX$105)+SUMIF(Capacity_Resource,$F154,'Critical resources (hide)'!AX$6:AX$105)&gt;0,$E$1=2),0,1)</f>
        <v>1</v>
      </c>
      <c r="AL154" s="67">
        <f ca="1">IF(AND(SUMIF(Capacity_Resource,$D154,'Critical resources (hide)'!AY$6:AY$105)+SUMIF(Capacity_Resource,$E154,'Critical resources (hide)'!AY$6:AY$105)+SUMIF(Capacity_Resource,$F154,'Critical resources (hide)'!AY$6:AY$105)&gt;0,$E$1=2),0,1)</f>
        <v>1</v>
      </c>
      <c r="AM154" s="67">
        <f ca="1">IF(AND(SUMIF(Capacity_Resource,$D154,'Critical resources (hide)'!AZ$6:AZ$105)+SUMIF(Capacity_Resource,$E154,'Critical resources (hide)'!AZ$6:AZ$105)+SUMIF(Capacity_Resource,$F154,'Critical resources (hide)'!AZ$6:AZ$105)&gt;0,$E$1=2),0,1)</f>
        <v>1</v>
      </c>
      <c r="AN154" s="67">
        <f ca="1">IF(AND(SUMIF(Capacity_Resource,$D154,'Critical resources (hide)'!BA$6:BA$105)+SUMIF(Capacity_Resource,$E154,'Critical resources (hide)'!BA$6:BA$105)+SUMIF(Capacity_Resource,$F154,'Critical resources (hide)'!BA$6:BA$105)&gt;0,$E$1=2),0,1)</f>
        <v>1</v>
      </c>
      <c r="AO154" s="67">
        <f ca="1">IF(AND(SUMIF(Capacity_Resource,$D154,'Critical resources (hide)'!BB$6:BB$105)+SUMIF(Capacity_Resource,$E154,'Critical resources (hide)'!BB$6:BB$105)+SUMIF(Capacity_Resource,$F154,'Critical resources (hide)'!BB$6:BB$105)&gt;0,$E$1=2),0,1)</f>
        <v>1</v>
      </c>
      <c r="AP154" s="67">
        <f ca="1">IF(AND(SUMIF(Capacity_Resource,$D154,'Critical resources (hide)'!BC$6:BC$105)+SUMIF(Capacity_Resource,$E154,'Critical resources (hide)'!BC$6:BC$105)+SUMIF(Capacity_Resource,$F154,'Critical resources (hide)'!BC$6:BC$105)&gt;0,$E$1=2),0,1)</f>
        <v>1</v>
      </c>
      <c r="AQ154" s="67">
        <f ca="1">IF(AND(SUMIF(Capacity_Resource,$D154,'Critical resources (hide)'!BD$6:BD$105)+SUMIF(Capacity_Resource,$E154,'Critical resources (hide)'!BD$6:BD$105)+SUMIF(Capacity_Resource,$F154,'Critical resources (hide)'!BD$6:BD$105)&gt;0,$E$1=2),0,1)</f>
        <v>1</v>
      </c>
      <c r="AR154" s="67">
        <f ca="1">IF(AND(SUMIF(Capacity_Resource,$D154,'Critical resources (hide)'!BE$6:BE$105)+SUMIF(Capacity_Resource,$E154,'Critical resources (hide)'!BE$6:BE$105)+SUMIF(Capacity_Resource,$F154,'Critical resources (hide)'!BE$6:BE$105)&gt;0,$E$1=2),0,1)</f>
        <v>1</v>
      </c>
      <c r="AS154" s="67">
        <f ca="1">IF(AND(SUMIF(Capacity_Resource,$D154,'Critical resources (hide)'!BF$6:BF$105)+SUMIF(Capacity_Resource,$E154,'Critical resources (hide)'!BF$6:BF$105)+SUMIF(Capacity_Resource,$F154,'Critical resources (hide)'!BF$6:BF$105)&gt;0,$E$1=2),0,1)</f>
        <v>1</v>
      </c>
      <c r="AT154" s="67">
        <f ca="1">IF(AND(SUMIF(Capacity_Resource,$D154,'Critical resources (hide)'!BG$6:BG$105)+SUMIF(Capacity_Resource,$E154,'Critical resources (hide)'!BG$6:BG$105)+SUMIF(Capacity_Resource,$F154,'Critical resources (hide)'!BG$6:BG$105)&gt;0,$E$1=2),0,1)</f>
        <v>1</v>
      </c>
      <c r="AU154" s="67">
        <f ca="1">IF(AND(SUMIF(Capacity_Resource,$D154,'Critical resources (hide)'!BH$6:BH$105)+SUMIF(Capacity_Resource,$E154,'Critical resources (hide)'!BH$6:BH$105)+SUMIF(Capacity_Resource,$F154,'Critical resources (hide)'!BH$6:BH$105)&gt;0,$E$1=2),0,1)</f>
        <v>1</v>
      </c>
      <c r="AV154" s="67">
        <f ca="1">IF(AND(SUMIF(Capacity_Resource,$D154,'Critical resources (hide)'!BI$6:BI$105)+SUMIF(Capacity_Resource,$E154,'Critical resources (hide)'!BI$6:BI$105)+SUMIF(Capacity_Resource,$F154,'Critical resources (hide)'!BI$6:BI$105)&gt;0,$E$1=2),0,1)</f>
        <v>1</v>
      </c>
      <c r="AW154" s="67">
        <f ca="1">IF(AND(SUMIF(Capacity_Resource,$D154,'Critical resources (hide)'!BJ$6:BJ$105)+SUMIF(Capacity_Resource,$E154,'Critical resources (hide)'!BJ$6:BJ$105)+SUMIF(Capacity_Resource,$F154,'Critical resources (hide)'!BJ$6:BJ$105)&gt;0,$E$1=2),0,1)</f>
        <v>1</v>
      </c>
      <c r="AX154" s="67">
        <f ca="1">IF(AND(SUMIF(Capacity_Resource,$D154,'Critical resources (hide)'!BK$6:BK$105)+SUMIF(Capacity_Resource,$E154,'Critical resources (hide)'!BK$6:BK$105)+SUMIF(Capacity_Resource,$F154,'Critical resources (hide)'!BK$6:BK$105)&gt;0,$E$1=2),0,1)</f>
        <v>1</v>
      </c>
      <c r="AY154" s="67">
        <f ca="1">IF(AND(SUMIF(Capacity_Resource,$D154,'Critical resources (hide)'!BL$6:BL$105)+SUMIF(Capacity_Resource,$E154,'Critical resources (hide)'!BL$6:BL$105)+SUMIF(Capacity_Resource,$F154,'Critical resources (hide)'!BL$6:BL$105)&gt;0,$E$1=2),0,1)</f>
        <v>1</v>
      </c>
      <c r="AZ154" s="67">
        <f ca="1">IF(AND(SUMIF(Capacity_Resource,$D154,'Critical resources (hide)'!BM$6:BM$105)+SUMIF(Capacity_Resource,$E154,'Critical resources (hide)'!BM$6:BM$105)+SUMIF(Capacity_Resource,$F154,'Critical resources (hide)'!BM$6:BM$105)&gt;0,$E$1=2),0,1)</f>
        <v>1</v>
      </c>
      <c r="BA154" s="67">
        <f ca="1">IF(AND(SUMIF(Capacity_Resource,$D154,'Critical resources (hide)'!BN$6:BN$105)+SUMIF(Capacity_Resource,$E154,'Critical resources (hide)'!BN$6:BN$105)+SUMIF(Capacity_Resource,$F154,'Critical resources (hide)'!BN$6:BN$105)&gt;0,$E$1=2),0,1)</f>
        <v>1</v>
      </c>
      <c r="BB154" s="67">
        <f ca="1">IF(AND(SUMIF(Capacity_Resource,$D154,'Critical resources (hide)'!BO$6:BO$105)+SUMIF(Capacity_Resource,$E154,'Critical resources (hide)'!BO$6:BO$105)+SUMIF(Capacity_Resource,$F154,'Critical resources (hide)'!BO$6:BO$105)&gt;0,$E$1=2),0,1)</f>
        <v>1</v>
      </c>
      <c r="BC154" s="67">
        <f ca="1">IF(AND(SUMIF(Capacity_Resource,$D154,'Critical resources (hide)'!BP$6:BP$105)+SUMIF(Capacity_Resource,$E154,'Critical resources (hide)'!BP$6:BP$105)+SUMIF(Capacity_Resource,$F154,'Critical resources (hide)'!BP$6:BP$105)&gt;0,$E$1=2),0,1)</f>
        <v>1</v>
      </c>
      <c r="BD154" s="67">
        <f ca="1">IF(AND(SUMIF(Capacity_Resource,$D154,'Critical resources (hide)'!BQ$6:BQ$105)+SUMIF(Capacity_Resource,$E154,'Critical resources (hide)'!BQ$6:BQ$105)+SUMIF(Capacity_Resource,$F154,'Critical resources (hide)'!BQ$6:BQ$105)&gt;0,$E$1=2),0,1)</f>
        <v>1</v>
      </c>
      <c r="BE154" s="67">
        <f ca="1">IF(AND(SUMIF(Capacity_Resource,$D154,'Critical resources (hide)'!BR$6:BR$105)+SUMIF(Capacity_Resource,$E154,'Critical resources (hide)'!BR$6:BR$105)+SUMIF(Capacity_Resource,$F154,'Critical resources (hide)'!BR$6:BR$105)&gt;0,$E$1=2),0,1)</f>
        <v>1</v>
      </c>
      <c r="BF154" s="67">
        <f ca="1">IF(AND(SUMIF(Capacity_Resource,$D154,'Critical resources (hide)'!BS$6:BS$105)+SUMIF(Capacity_Resource,$E154,'Critical resources (hide)'!BS$6:BS$105)+SUMIF(Capacity_Resource,$F154,'Critical resources (hide)'!BS$6:BS$105)&gt;0,$E$1=2),0,1)</f>
        <v>1</v>
      </c>
      <c r="BG154" s="67">
        <f ca="1">IF(AND(SUMIF(Capacity_Resource,$D154,'Critical resources (hide)'!BT$6:BT$105)+SUMIF(Capacity_Resource,$E154,'Critical resources (hide)'!BT$6:BT$105)+SUMIF(Capacity_Resource,$F154,'Critical resources (hide)'!BT$6:BT$105)&gt;0,$E$1=2),0,1)</f>
        <v>1</v>
      </c>
      <c r="BH154" s="67">
        <f>IF(ROW(A43)&lt;=Capacity!$M$16,IF('Capacity summary'!$C$14="No",SUM(H154:BG154),'Capacity summary'!$E66),0)</f>
        <v>0</v>
      </c>
      <c r="BI154" s="67" t="str">
        <f>IF(BH154&gt;0,IF(BH154&lt;Capacity!Q59,Capacity!R59,Capacity!T59/'Capacity calculation (hide)'!BH154),"")</f>
        <v/>
      </c>
      <c r="BJ154" s="5"/>
      <c r="BK154" s="5">
        <f>IF($BI154&lt;&gt;"",IF('Capacity summary'!$C$14="Yes",IF(COUNTBLANK('Capacity summary'!$H66:$BG66)&lt;52,IF('Capacity summary'!H66&lt;&gt;"",IF(LOWER('Capacity summary'!H66)="x",$BI154*H154,VALUE('Capacity summary'!H66)),0),H154*$BI154),H154*$BI154),0)</f>
        <v>0</v>
      </c>
      <c r="BL154" s="5">
        <f>IF($BI154&lt;&gt;"",IF('Capacity summary'!$C$14="Yes",IF(COUNTBLANK('Capacity summary'!$H66:$BG66)&lt;52,IF('Capacity summary'!I66&lt;&gt;"",IF(LOWER('Capacity summary'!I66)="x",$BI154*I154,VALUE('Capacity summary'!I66)),0),I154*$BI154),I154*$BI154),0)</f>
        <v>0</v>
      </c>
      <c r="BM154" s="5">
        <f>IF($BI154&lt;&gt;"",IF('Capacity summary'!$C$14="Yes",IF(COUNTBLANK('Capacity summary'!$H66:$BG66)&lt;52,IF('Capacity summary'!J66&lt;&gt;"",IF(LOWER('Capacity summary'!J66)="x",$BI154*J154,VALUE('Capacity summary'!J66)),0),J154*$BI154),J154*$BI154),0)</f>
        <v>0</v>
      </c>
      <c r="BN154" s="5">
        <f>IF($BI154&lt;&gt;"",IF('Capacity summary'!$C$14="Yes",IF(COUNTBLANK('Capacity summary'!$H66:$BG66)&lt;52,IF('Capacity summary'!K66&lt;&gt;"",IF(LOWER('Capacity summary'!K66)="x",$BI154*K154,VALUE('Capacity summary'!K66)),0),K154*$BI154),K154*$BI154),0)</f>
        <v>0</v>
      </c>
      <c r="BO154" s="5">
        <f>IF($BI154&lt;&gt;"",IF('Capacity summary'!$C$14="Yes",IF(COUNTBLANK('Capacity summary'!$H66:$BG66)&lt;52,IF('Capacity summary'!L66&lt;&gt;"",IF(LOWER('Capacity summary'!L66)="x",$BI154*L154,VALUE('Capacity summary'!L66)),0),L154*$BI154),L154*$BI154),0)</f>
        <v>0</v>
      </c>
      <c r="BP154" s="5">
        <f>IF($BI154&lt;&gt;"",IF('Capacity summary'!$C$14="Yes",IF(COUNTBLANK('Capacity summary'!$H66:$BG66)&lt;52,IF('Capacity summary'!M66&lt;&gt;"",IF(LOWER('Capacity summary'!M66)="x",$BI154*M154,VALUE('Capacity summary'!M66)),0),M154*$BI154),M154*$BI154),0)</f>
        <v>0</v>
      </c>
      <c r="BQ154" s="5">
        <f>IF($BI154&lt;&gt;"",IF('Capacity summary'!$C$14="Yes",IF(COUNTBLANK('Capacity summary'!$H66:$BG66)&lt;52,IF('Capacity summary'!N66&lt;&gt;"",IF(LOWER('Capacity summary'!N66)="x",$BI154*N154,VALUE('Capacity summary'!N66)),0),N154*$BI154),N154*$BI154),0)</f>
        <v>0</v>
      </c>
      <c r="BR154" s="5">
        <f>IF($BI154&lt;&gt;"",IF('Capacity summary'!$C$14="Yes",IF(COUNTBLANK('Capacity summary'!$H66:$BG66)&lt;52,IF('Capacity summary'!O66&lt;&gt;"",IF(LOWER('Capacity summary'!O66)="x",$BI154*O154,VALUE('Capacity summary'!O66)),0),O154*$BI154),O154*$BI154),0)</f>
        <v>0</v>
      </c>
      <c r="BS154" s="5">
        <f>IF($BI154&lt;&gt;"",IF('Capacity summary'!$C$14="Yes",IF(COUNTBLANK('Capacity summary'!$H66:$BG66)&lt;52,IF('Capacity summary'!P66&lt;&gt;"",IF(LOWER('Capacity summary'!P66)="x",$BI154*P154,VALUE('Capacity summary'!P66)),0),P154*$BI154),P154*$BI154),0)</f>
        <v>0</v>
      </c>
      <c r="BT154" s="5">
        <f>IF($BI154&lt;&gt;"",IF('Capacity summary'!$C$14="Yes",IF(COUNTBLANK('Capacity summary'!$H66:$BG66)&lt;52,IF('Capacity summary'!Q66&lt;&gt;"",IF(LOWER('Capacity summary'!Q66)="x",$BI154*Q154,VALUE('Capacity summary'!Q66)),0),Q154*$BI154),Q154*$BI154),0)</f>
        <v>0</v>
      </c>
      <c r="BU154" s="5">
        <f>IF($BI154&lt;&gt;"",IF('Capacity summary'!$C$14="Yes",IF(COUNTBLANK('Capacity summary'!$H66:$BG66)&lt;52,IF('Capacity summary'!R66&lt;&gt;"",IF(LOWER('Capacity summary'!R66)="x",$BI154*R154,VALUE('Capacity summary'!R66)),0),R154*$BI154),R154*$BI154),0)</f>
        <v>0</v>
      </c>
      <c r="BV154" s="5">
        <f>IF($BI154&lt;&gt;"",IF('Capacity summary'!$C$14="Yes",IF(COUNTBLANK('Capacity summary'!$H66:$BG66)&lt;52,IF('Capacity summary'!S66&lt;&gt;"",IF(LOWER('Capacity summary'!S66)="x",$BI154*S154,VALUE('Capacity summary'!S66)),0),S154*$BI154),S154*$BI154),0)</f>
        <v>0</v>
      </c>
      <c r="BW154" s="5">
        <f>IF($BI154&lt;&gt;"",IF('Capacity summary'!$C$14="Yes",IF(COUNTBLANK('Capacity summary'!$H66:$BG66)&lt;52,IF('Capacity summary'!T66&lt;&gt;"",IF(LOWER('Capacity summary'!T66)="x",$BI154*T154,VALUE('Capacity summary'!T66)),0),T154*$BI154),T154*$BI154),0)</f>
        <v>0</v>
      </c>
      <c r="BX154" s="5">
        <f>IF($BI154&lt;&gt;"",IF('Capacity summary'!$C$14="Yes",IF(COUNTBLANK('Capacity summary'!$H66:$BG66)&lt;52,IF('Capacity summary'!U66&lt;&gt;"",IF(LOWER('Capacity summary'!U66)="x",$BI154*U154,VALUE('Capacity summary'!U66)),0),U154*$BI154),U154*$BI154),0)</f>
        <v>0</v>
      </c>
      <c r="BY154" s="5">
        <f>IF($BI154&lt;&gt;"",IF('Capacity summary'!$C$14="Yes",IF(COUNTBLANK('Capacity summary'!$H66:$BG66)&lt;52,IF('Capacity summary'!V66&lt;&gt;"",IF(LOWER('Capacity summary'!V66)="x",$BI154*V154,VALUE('Capacity summary'!V66)),0),V154*$BI154),V154*$BI154),0)</f>
        <v>0</v>
      </c>
      <c r="BZ154" s="5">
        <f>IF($BI154&lt;&gt;"",IF('Capacity summary'!$C$14="Yes",IF(COUNTBLANK('Capacity summary'!$H66:$BG66)&lt;52,IF('Capacity summary'!W66&lt;&gt;"",IF(LOWER('Capacity summary'!W66)="x",$BI154*W154,VALUE('Capacity summary'!W66)),0),W154*$BI154),W154*$BI154),0)</f>
        <v>0</v>
      </c>
      <c r="CA154" s="5">
        <f>IF($BI154&lt;&gt;"",IF('Capacity summary'!$C$14="Yes",IF(COUNTBLANK('Capacity summary'!$H66:$BG66)&lt;52,IF('Capacity summary'!X66&lt;&gt;"",IF(LOWER('Capacity summary'!X66)="x",$BI154*X154,VALUE('Capacity summary'!X66)),0),X154*$BI154),X154*$BI154),0)</f>
        <v>0</v>
      </c>
      <c r="CB154" s="5">
        <f>IF($BI154&lt;&gt;"",IF('Capacity summary'!$C$14="Yes",IF(COUNTBLANK('Capacity summary'!$H66:$BG66)&lt;52,IF('Capacity summary'!Y66&lt;&gt;"",IF(LOWER('Capacity summary'!Y66)="x",$BI154*Y154,VALUE('Capacity summary'!Y66)),0),Y154*$BI154),Y154*$BI154),0)</f>
        <v>0</v>
      </c>
      <c r="CC154" s="5">
        <f>IF($BI154&lt;&gt;"",IF('Capacity summary'!$C$14="Yes",IF(COUNTBLANK('Capacity summary'!$H66:$BG66)&lt;52,IF('Capacity summary'!Z66&lt;&gt;"",IF(LOWER('Capacity summary'!Z66)="x",$BI154*Z154,VALUE('Capacity summary'!Z66)),0),Z154*$BI154),Z154*$BI154),0)</f>
        <v>0</v>
      </c>
      <c r="CD154" s="5">
        <f>IF($BI154&lt;&gt;"",IF('Capacity summary'!$C$14="Yes",IF(COUNTBLANK('Capacity summary'!$H66:$BG66)&lt;52,IF('Capacity summary'!AA66&lt;&gt;"",IF(LOWER('Capacity summary'!AA66)="x",$BI154*AA154,VALUE('Capacity summary'!AA66)),0),AA154*$BI154),AA154*$BI154),0)</f>
        <v>0</v>
      </c>
      <c r="CE154" s="5">
        <f>IF($BI154&lt;&gt;"",IF('Capacity summary'!$C$14="Yes",IF(COUNTBLANK('Capacity summary'!$H66:$BG66)&lt;52,IF('Capacity summary'!AB66&lt;&gt;"",IF(LOWER('Capacity summary'!AB66)="x",$BI154*AB154,VALUE('Capacity summary'!AB66)),0),AB154*$BI154),AB154*$BI154),0)</f>
        <v>0</v>
      </c>
      <c r="CF154" s="5">
        <f>IF($BI154&lt;&gt;"",IF('Capacity summary'!$C$14="Yes",IF(COUNTBLANK('Capacity summary'!$H66:$BG66)&lt;52,IF('Capacity summary'!AC66&lt;&gt;"",IF(LOWER('Capacity summary'!AC66)="x",$BI154*AC154,VALUE('Capacity summary'!AC66)),0),AC154*$BI154),AC154*$BI154),0)</f>
        <v>0</v>
      </c>
      <c r="CG154" s="5">
        <f>IF($BI154&lt;&gt;"",IF('Capacity summary'!$C$14="Yes",IF(COUNTBLANK('Capacity summary'!$H66:$BG66)&lt;52,IF('Capacity summary'!AD66&lt;&gt;"",IF(LOWER('Capacity summary'!AD66)="x",$BI154*AD154,VALUE('Capacity summary'!AD66)),0),AD154*$BI154),AD154*$BI154),0)</f>
        <v>0</v>
      </c>
      <c r="CH154" s="5">
        <f>IF($BI154&lt;&gt;"",IF('Capacity summary'!$C$14="Yes",IF(COUNTBLANK('Capacity summary'!$H66:$BG66)&lt;52,IF('Capacity summary'!AE66&lt;&gt;"",IF(LOWER('Capacity summary'!AE66)="x",$BI154*AE154,VALUE('Capacity summary'!AE66)),0),AE154*$BI154),AE154*$BI154),0)</f>
        <v>0</v>
      </c>
      <c r="CI154" s="5">
        <f>IF($BI154&lt;&gt;"",IF('Capacity summary'!$C$14="Yes",IF(COUNTBLANK('Capacity summary'!$H66:$BG66)&lt;52,IF('Capacity summary'!AF66&lt;&gt;"",IF(LOWER('Capacity summary'!AF66)="x",$BI154*AF154,VALUE('Capacity summary'!AF66)),0),AF154*$BI154),AF154*$BI154),0)</f>
        <v>0</v>
      </c>
      <c r="CJ154" s="5">
        <f>IF($BI154&lt;&gt;"",IF('Capacity summary'!$C$14="Yes",IF(COUNTBLANK('Capacity summary'!$H66:$BG66)&lt;52,IF('Capacity summary'!AG66&lt;&gt;"",IF(LOWER('Capacity summary'!AG66)="x",$BI154*AG154,VALUE('Capacity summary'!AG66)),0),AG154*$BI154),AG154*$BI154),0)</f>
        <v>0</v>
      </c>
      <c r="CK154" s="5">
        <f>IF($BI154&lt;&gt;"",IF('Capacity summary'!$C$14="Yes",IF(COUNTBLANK('Capacity summary'!$H66:$BG66)&lt;52,IF('Capacity summary'!AH66&lt;&gt;"",IF(LOWER('Capacity summary'!AH66)="x",$BI154*AH154,VALUE('Capacity summary'!AH66)),0),AH154*$BI154),AH154*$BI154),0)</f>
        <v>0</v>
      </c>
      <c r="CL154" s="5">
        <f>IF($BI154&lt;&gt;"",IF('Capacity summary'!$C$14="Yes",IF(COUNTBLANK('Capacity summary'!$H66:$BG66)&lt;52,IF('Capacity summary'!AI66&lt;&gt;"",IF(LOWER('Capacity summary'!AI66)="x",$BI154*AI154,VALUE('Capacity summary'!AI66)),0),AI154*$BI154),AI154*$BI154),0)</f>
        <v>0</v>
      </c>
      <c r="CM154" s="5">
        <f>IF($BI154&lt;&gt;"",IF('Capacity summary'!$C$14="Yes",IF(COUNTBLANK('Capacity summary'!$H66:$BG66)&lt;52,IF('Capacity summary'!AJ66&lt;&gt;"",IF(LOWER('Capacity summary'!AJ66)="x",$BI154*AJ154,VALUE('Capacity summary'!AJ66)),0),AJ154*$BI154),AJ154*$BI154),0)</f>
        <v>0</v>
      </c>
      <c r="CN154" s="5">
        <f>IF($BI154&lt;&gt;"",IF('Capacity summary'!$C$14="Yes",IF(COUNTBLANK('Capacity summary'!$H66:$BG66)&lt;52,IF('Capacity summary'!AK66&lt;&gt;"",IF(LOWER('Capacity summary'!AK66)="x",$BI154*AK154,VALUE('Capacity summary'!AK66)),0),AK154*$BI154),AK154*$BI154),0)</f>
        <v>0</v>
      </c>
      <c r="CO154" s="5">
        <f>IF($BI154&lt;&gt;"",IF('Capacity summary'!$C$14="Yes",IF(COUNTBLANK('Capacity summary'!$H66:$BG66)&lt;52,IF('Capacity summary'!AL66&lt;&gt;"",IF(LOWER('Capacity summary'!AL66)="x",$BI154*AL154,VALUE('Capacity summary'!AL66)),0),AL154*$BI154),AL154*$BI154),0)</f>
        <v>0</v>
      </c>
      <c r="CP154" s="5">
        <f>IF($BI154&lt;&gt;"",IF('Capacity summary'!$C$14="Yes",IF(COUNTBLANK('Capacity summary'!$H66:$BG66)&lt;52,IF('Capacity summary'!AM66&lt;&gt;"",IF(LOWER('Capacity summary'!AM66)="x",$BI154*AM154,VALUE('Capacity summary'!AM66)),0),AM154*$BI154),AM154*$BI154),0)</f>
        <v>0</v>
      </c>
      <c r="CQ154" s="5">
        <f>IF($BI154&lt;&gt;"",IF('Capacity summary'!$C$14="Yes",IF(COUNTBLANK('Capacity summary'!$H66:$BG66)&lt;52,IF('Capacity summary'!AN66&lt;&gt;"",IF(LOWER('Capacity summary'!AN66)="x",$BI154*AN154,VALUE('Capacity summary'!AN66)),0),AN154*$BI154),AN154*$BI154),0)</f>
        <v>0</v>
      </c>
      <c r="CR154" s="5">
        <f>IF($BI154&lt;&gt;"",IF('Capacity summary'!$C$14="Yes",IF(COUNTBLANK('Capacity summary'!$H66:$BG66)&lt;52,IF('Capacity summary'!AO66&lt;&gt;"",IF(LOWER('Capacity summary'!AO66)="x",$BI154*AO154,VALUE('Capacity summary'!AO66)),0),AO154*$BI154),AO154*$BI154),0)</f>
        <v>0</v>
      </c>
      <c r="CS154" s="5">
        <f>IF($BI154&lt;&gt;"",IF('Capacity summary'!$C$14="Yes",IF(COUNTBLANK('Capacity summary'!$H66:$BG66)&lt;52,IF('Capacity summary'!AP66&lt;&gt;"",IF(LOWER('Capacity summary'!AP66)="x",$BI154*AP154,VALUE('Capacity summary'!AP66)),0),AP154*$BI154),AP154*$BI154),0)</f>
        <v>0</v>
      </c>
      <c r="CT154" s="5">
        <f>IF($BI154&lt;&gt;"",IF('Capacity summary'!$C$14="Yes",IF(COUNTBLANK('Capacity summary'!$H66:$BG66)&lt;52,IF('Capacity summary'!AQ66&lt;&gt;"",IF(LOWER('Capacity summary'!AQ66)="x",$BI154*AQ154,VALUE('Capacity summary'!AQ66)),0),AQ154*$BI154),AQ154*$BI154),0)</f>
        <v>0</v>
      </c>
      <c r="CU154" s="5">
        <f>IF($BI154&lt;&gt;"",IF('Capacity summary'!$C$14="Yes",IF(COUNTBLANK('Capacity summary'!$H66:$BG66)&lt;52,IF('Capacity summary'!AR66&lt;&gt;"",IF(LOWER('Capacity summary'!AR66)="x",$BI154*AR154,VALUE('Capacity summary'!AR66)),0),AR154*$BI154),AR154*$BI154),0)</f>
        <v>0</v>
      </c>
      <c r="CV154" s="5">
        <f>IF($BI154&lt;&gt;"",IF('Capacity summary'!$C$14="Yes",IF(COUNTBLANK('Capacity summary'!$H66:$BG66)&lt;52,IF('Capacity summary'!AS66&lt;&gt;"",IF(LOWER('Capacity summary'!AS66)="x",$BI154*AS154,VALUE('Capacity summary'!AS66)),0),AS154*$BI154),AS154*$BI154),0)</f>
        <v>0</v>
      </c>
      <c r="CW154" s="5">
        <f>IF($BI154&lt;&gt;"",IF('Capacity summary'!$C$14="Yes",IF(COUNTBLANK('Capacity summary'!$H66:$BG66)&lt;52,IF('Capacity summary'!AT66&lt;&gt;"",IF(LOWER('Capacity summary'!AT66)="x",$BI154*AT154,VALUE('Capacity summary'!AT66)),0),AT154*$BI154),AT154*$BI154),0)</f>
        <v>0</v>
      </c>
      <c r="CX154" s="5">
        <f>IF($BI154&lt;&gt;"",IF('Capacity summary'!$C$14="Yes",IF(COUNTBLANK('Capacity summary'!$H66:$BG66)&lt;52,IF('Capacity summary'!AU66&lt;&gt;"",IF(LOWER('Capacity summary'!AU66)="x",$BI154*AU154,VALUE('Capacity summary'!AU66)),0),AU154*$BI154),AU154*$BI154),0)</f>
        <v>0</v>
      </c>
      <c r="CY154" s="5">
        <f>IF($BI154&lt;&gt;"",IF('Capacity summary'!$C$14="Yes",IF(COUNTBLANK('Capacity summary'!$H66:$BG66)&lt;52,IF('Capacity summary'!AV66&lt;&gt;"",IF(LOWER('Capacity summary'!AV66)="x",$BI154*AV154,VALUE('Capacity summary'!AV66)),0),AV154*$BI154),AV154*$BI154),0)</f>
        <v>0</v>
      </c>
      <c r="CZ154" s="5">
        <f>IF($BI154&lt;&gt;"",IF('Capacity summary'!$C$14="Yes",IF(COUNTBLANK('Capacity summary'!$H66:$BG66)&lt;52,IF('Capacity summary'!AW66&lt;&gt;"",IF(LOWER('Capacity summary'!AW66)="x",$BI154*AW154,VALUE('Capacity summary'!AW66)),0),AW154*$BI154),AW154*$BI154),0)</f>
        <v>0</v>
      </c>
      <c r="DA154" s="5">
        <f>IF($BI154&lt;&gt;"",IF('Capacity summary'!$C$14="Yes",IF(COUNTBLANK('Capacity summary'!$H66:$BG66)&lt;52,IF('Capacity summary'!AX66&lt;&gt;"",IF(LOWER('Capacity summary'!AX66)="x",$BI154*AX154,VALUE('Capacity summary'!AX66)),0),AX154*$BI154),AX154*$BI154),0)</f>
        <v>0</v>
      </c>
      <c r="DB154" s="5">
        <f>IF($BI154&lt;&gt;"",IF('Capacity summary'!$C$14="Yes",IF(COUNTBLANK('Capacity summary'!$H66:$BG66)&lt;52,IF('Capacity summary'!AY66&lt;&gt;"",IF(LOWER('Capacity summary'!AY66)="x",$BI154*AY154,VALUE('Capacity summary'!AY66)),0),AY154*$BI154),AY154*$BI154),0)</f>
        <v>0</v>
      </c>
      <c r="DC154" s="5">
        <f>IF($BI154&lt;&gt;"",IF('Capacity summary'!$C$14="Yes",IF(COUNTBLANK('Capacity summary'!$H66:$BG66)&lt;52,IF('Capacity summary'!AZ66&lt;&gt;"",IF(LOWER('Capacity summary'!AZ66)="x",$BI154*AZ154,VALUE('Capacity summary'!AZ66)),0),AZ154*$BI154),AZ154*$BI154),0)</f>
        <v>0</v>
      </c>
      <c r="DD154" s="5">
        <f>IF($BI154&lt;&gt;"",IF('Capacity summary'!$C$14="Yes",IF(COUNTBLANK('Capacity summary'!$H66:$BG66)&lt;52,IF('Capacity summary'!BA66&lt;&gt;"",IF(LOWER('Capacity summary'!BA66)="x",$BI154*BA154,VALUE('Capacity summary'!BA66)),0),BA154*$BI154),BA154*$BI154),0)</f>
        <v>0</v>
      </c>
      <c r="DE154" s="5">
        <f>IF($BI154&lt;&gt;"",IF('Capacity summary'!$C$14="Yes",IF(COUNTBLANK('Capacity summary'!$H66:$BG66)&lt;52,IF('Capacity summary'!BB66&lt;&gt;"",IF(LOWER('Capacity summary'!BB66)="x",$BI154*BB154,VALUE('Capacity summary'!BB66)),0),BB154*$BI154),BB154*$BI154),0)</f>
        <v>0</v>
      </c>
      <c r="DF154" s="5">
        <f>IF($BI154&lt;&gt;"",IF('Capacity summary'!$C$14="Yes",IF(COUNTBLANK('Capacity summary'!$H66:$BG66)&lt;52,IF('Capacity summary'!BC66&lt;&gt;"",IF(LOWER('Capacity summary'!BC66)="x",$BI154*BC154,VALUE('Capacity summary'!BC66)),0),BC154*$BI154),BC154*$BI154),0)</f>
        <v>0</v>
      </c>
      <c r="DG154" s="5">
        <f>IF($BI154&lt;&gt;"",IF('Capacity summary'!$C$14="Yes",IF(COUNTBLANK('Capacity summary'!$H66:$BG66)&lt;52,IF('Capacity summary'!BD66&lt;&gt;"",IF(LOWER('Capacity summary'!BD66)="x",$BI154*BD154,VALUE('Capacity summary'!BD66)),0),BD154*$BI154),BD154*$BI154),0)</f>
        <v>0</v>
      </c>
      <c r="DH154" s="5">
        <f>IF($BI154&lt;&gt;"",IF('Capacity summary'!$C$14="Yes",IF(COUNTBLANK('Capacity summary'!$H66:$BG66)&lt;52,IF('Capacity summary'!BE66&lt;&gt;"",IF(LOWER('Capacity summary'!BE66)="x",$BI154*BE154,VALUE('Capacity summary'!BE66)),0),BE154*$BI154),BE154*$BI154),0)</f>
        <v>0</v>
      </c>
      <c r="DI154" s="5">
        <f>IF($BI154&lt;&gt;"",IF('Capacity summary'!$C$14="Yes",IF(COUNTBLANK('Capacity summary'!$H66:$BG66)&lt;52,IF('Capacity summary'!BF66&lt;&gt;"",IF(LOWER('Capacity summary'!BF66)="x",$BI154*BF154,VALUE('Capacity summary'!BF66)),0),BF154*$BI154),BF154*$BI154),0)</f>
        <v>0</v>
      </c>
      <c r="DJ154" s="5">
        <f>IF($BI154&lt;&gt;"",IF('Capacity summary'!$C$14="Yes",IF(COUNTBLANK('Capacity summary'!$H66:$BG66)&lt;52,IF('Capacity summary'!BG66&lt;&gt;"",IF(LOWER('Capacity summary'!BG66)="x",$BI154*BG154,VALUE('Capacity summary'!BG66)),0),BG154*$BI154),BG154*$BI154),0)</f>
        <v>0</v>
      </c>
      <c r="DK154" s="5">
        <f t="shared" ref="DK154" si="48">SUM(DK155:DK254)</f>
        <v>0</v>
      </c>
    </row>
    <row r="155" spans="3:115" x14ac:dyDescent="0.25">
      <c r="C155" s="67" t="str">
        <f>ROW(A44)&amp;". "&amp;Capacity!N60</f>
        <v xml:space="preserve">44. </v>
      </c>
      <c r="D155" s="67">
        <f>'Capacity setup'!C161</f>
        <v>0</v>
      </c>
      <c r="E155" s="67">
        <f>'Capacity setup'!D161</f>
        <v>0</v>
      </c>
      <c r="F155" s="67">
        <f>'Capacity setup'!E161</f>
        <v>0</v>
      </c>
      <c r="H155" s="67">
        <f ca="1">IF(AND(SUMIF(Capacity_Resource,$D155,'Critical resources (hide)'!U$6:U$105)+SUMIF(Capacity_Resource,$E155,'Critical resources (hide)'!U$6:U$105)+SUMIF(Capacity_Resource,$F155,'Critical resources (hide)'!U$6:U$105)&gt;0,$E$1=2),0,1)</f>
        <v>1</v>
      </c>
      <c r="I155" s="67">
        <f ca="1">IF(AND(SUMIF(Capacity_Resource,$D155,'Critical resources (hide)'!V$6:V$105)+SUMIF(Capacity_Resource,$E155,'Critical resources (hide)'!V$6:V$105)+SUMIF(Capacity_Resource,$F155,'Critical resources (hide)'!V$6:V$105)&gt;0,$E$1=2),0,1)</f>
        <v>1</v>
      </c>
      <c r="J155" s="67">
        <f ca="1">IF(AND(SUMIF(Capacity_Resource,$D155,'Critical resources (hide)'!W$6:W$105)+SUMIF(Capacity_Resource,$E155,'Critical resources (hide)'!W$6:W$105)+SUMIF(Capacity_Resource,$F155,'Critical resources (hide)'!W$6:W$105)&gt;0,$E$1=2),0,1)</f>
        <v>1</v>
      </c>
      <c r="K155" s="67">
        <f ca="1">IF(AND(SUMIF(Capacity_Resource,$D155,'Critical resources (hide)'!X$6:X$105)+SUMIF(Capacity_Resource,$E155,'Critical resources (hide)'!X$6:X$105)+SUMIF(Capacity_Resource,$F155,'Critical resources (hide)'!X$6:X$105)&gt;0,$E$1=2),0,1)</f>
        <v>1</v>
      </c>
      <c r="L155" s="67">
        <f ca="1">IF(AND(SUMIF(Capacity_Resource,$D155,'Critical resources (hide)'!Y$6:Y$105)+SUMIF(Capacity_Resource,$E155,'Critical resources (hide)'!Y$6:Y$105)+SUMIF(Capacity_Resource,$F155,'Critical resources (hide)'!Y$6:Y$105)&gt;0,$E$1=2),0,1)</f>
        <v>1</v>
      </c>
      <c r="M155" s="67">
        <f ca="1">IF(AND(SUMIF(Capacity_Resource,$D155,'Critical resources (hide)'!Z$6:Z$105)+SUMIF(Capacity_Resource,$E155,'Critical resources (hide)'!Z$6:Z$105)+SUMIF(Capacity_Resource,$F155,'Critical resources (hide)'!Z$6:Z$105)&gt;0,$E$1=2),0,1)</f>
        <v>1</v>
      </c>
      <c r="N155" s="67">
        <f ca="1">IF(AND(SUMIF(Capacity_Resource,$D155,'Critical resources (hide)'!AA$6:AA$105)+SUMIF(Capacity_Resource,$E155,'Critical resources (hide)'!AA$6:AA$105)+SUMIF(Capacity_Resource,$F155,'Critical resources (hide)'!AA$6:AA$105)&gt;0,$E$1=2),0,1)</f>
        <v>1</v>
      </c>
      <c r="O155" s="67">
        <f ca="1">IF(AND(SUMIF(Capacity_Resource,$D155,'Critical resources (hide)'!AB$6:AB$105)+SUMIF(Capacity_Resource,$E155,'Critical resources (hide)'!AB$6:AB$105)+SUMIF(Capacity_Resource,$F155,'Critical resources (hide)'!AB$6:AB$105)&gt;0,$E$1=2),0,1)</f>
        <v>1</v>
      </c>
      <c r="P155" s="67">
        <f ca="1">IF(AND(SUMIF(Capacity_Resource,$D155,'Critical resources (hide)'!AC$6:AC$105)+SUMIF(Capacity_Resource,$E155,'Critical resources (hide)'!AC$6:AC$105)+SUMIF(Capacity_Resource,$F155,'Critical resources (hide)'!AC$6:AC$105)&gt;0,$E$1=2),0,1)</f>
        <v>1</v>
      </c>
      <c r="Q155" s="67">
        <f ca="1">IF(AND(SUMIF(Capacity_Resource,$D155,'Critical resources (hide)'!AD$6:AD$105)+SUMIF(Capacity_Resource,$E155,'Critical resources (hide)'!AD$6:AD$105)+SUMIF(Capacity_Resource,$F155,'Critical resources (hide)'!AD$6:AD$105)&gt;0,$E$1=2),0,1)</f>
        <v>1</v>
      </c>
      <c r="R155" s="67">
        <f ca="1">IF(AND(SUMIF(Capacity_Resource,$D155,'Critical resources (hide)'!AE$6:AE$105)+SUMIF(Capacity_Resource,$E155,'Critical resources (hide)'!AE$6:AE$105)+SUMIF(Capacity_Resource,$F155,'Critical resources (hide)'!AE$6:AE$105)&gt;0,$E$1=2),0,1)</f>
        <v>1</v>
      </c>
      <c r="S155" s="67">
        <f ca="1">IF(AND(SUMIF(Capacity_Resource,$D155,'Critical resources (hide)'!AF$6:AF$105)+SUMIF(Capacity_Resource,$E155,'Critical resources (hide)'!AF$6:AF$105)+SUMIF(Capacity_Resource,$F155,'Critical resources (hide)'!AF$6:AF$105)&gt;0,$E$1=2),0,1)</f>
        <v>1</v>
      </c>
      <c r="T155" s="67">
        <f ca="1">IF(AND(SUMIF(Capacity_Resource,$D155,'Critical resources (hide)'!AG$6:AG$105)+SUMIF(Capacity_Resource,$E155,'Critical resources (hide)'!AG$6:AG$105)+SUMIF(Capacity_Resource,$F155,'Critical resources (hide)'!AG$6:AG$105)&gt;0,$E$1=2),0,1)</f>
        <v>1</v>
      </c>
      <c r="U155" s="67">
        <f ca="1">IF(AND(SUMIF(Capacity_Resource,$D155,'Critical resources (hide)'!AH$6:AH$105)+SUMIF(Capacity_Resource,$E155,'Critical resources (hide)'!AH$6:AH$105)+SUMIF(Capacity_Resource,$F155,'Critical resources (hide)'!AH$6:AH$105)&gt;0,$E$1=2),0,1)</f>
        <v>1</v>
      </c>
      <c r="V155" s="67">
        <f ca="1">IF(AND(SUMIF(Capacity_Resource,$D155,'Critical resources (hide)'!AI$6:AI$105)+SUMIF(Capacity_Resource,$E155,'Critical resources (hide)'!AI$6:AI$105)+SUMIF(Capacity_Resource,$F155,'Critical resources (hide)'!AI$6:AI$105)&gt;0,$E$1=2),0,1)</f>
        <v>1</v>
      </c>
      <c r="W155" s="67">
        <f ca="1">IF(AND(SUMIF(Capacity_Resource,$D155,'Critical resources (hide)'!AJ$6:AJ$105)+SUMIF(Capacity_Resource,$E155,'Critical resources (hide)'!AJ$6:AJ$105)+SUMIF(Capacity_Resource,$F155,'Critical resources (hide)'!AJ$6:AJ$105)&gt;0,$E$1=2),0,1)</f>
        <v>1</v>
      </c>
      <c r="X155" s="67">
        <f ca="1">IF(AND(SUMIF(Capacity_Resource,$D155,'Critical resources (hide)'!AK$6:AK$105)+SUMIF(Capacity_Resource,$E155,'Critical resources (hide)'!AK$6:AK$105)+SUMIF(Capacity_Resource,$F155,'Critical resources (hide)'!AK$6:AK$105)&gt;0,$E$1=2),0,1)</f>
        <v>1</v>
      </c>
      <c r="Y155" s="67">
        <f ca="1">IF(AND(SUMIF(Capacity_Resource,$D155,'Critical resources (hide)'!AL$6:AL$105)+SUMIF(Capacity_Resource,$E155,'Critical resources (hide)'!AL$6:AL$105)+SUMIF(Capacity_Resource,$F155,'Critical resources (hide)'!AL$6:AL$105)&gt;0,$E$1=2),0,1)</f>
        <v>1</v>
      </c>
      <c r="Z155" s="67">
        <f ca="1">IF(AND(SUMIF(Capacity_Resource,$D155,'Critical resources (hide)'!AM$6:AM$105)+SUMIF(Capacity_Resource,$E155,'Critical resources (hide)'!AM$6:AM$105)+SUMIF(Capacity_Resource,$F155,'Critical resources (hide)'!AM$6:AM$105)&gt;0,$E$1=2),0,1)</f>
        <v>1</v>
      </c>
      <c r="AA155" s="67">
        <f ca="1">IF(AND(SUMIF(Capacity_Resource,$D155,'Critical resources (hide)'!AN$6:AN$105)+SUMIF(Capacity_Resource,$E155,'Critical resources (hide)'!AN$6:AN$105)+SUMIF(Capacity_Resource,$F155,'Critical resources (hide)'!AN$6:AN$105)&gt;0,$E$1=2),0,1)</f>
        <v>1</v>
      </c>
      <c r="AB155" s="67">
        <f ca="1">IF(AND(SUMIF(Capacity_Resource,$D155,'Critical resources (hide)'!AO$6:AO$105)+SUMIF(Capacity_Resource,$E155,'Critical resources (hide)'!AO$6:AO$105)+SUMIF(Capacity_Resource,$F155,'Critical resources (hide)'!AO$6:AO$105)&gt;0,$E$1=2),0,1)</f>
        <v>1</v>
      </c>
      <c r="AC155" s="67">
        <f ca="1">IF(AND(SUMIF(Capacity_Resource,$D155,'Critical resources (hide)'!AP$6:AP$105)+SUMIF(Capacity_Resource,$E155,'Critical resources (hide)'!AP$6:AP$105)+SUMIF(Capacity_Resource,$F155,'Critical resources (hide)'!AP$6:AP$105)&gt;0,$E$1=2),0,1)</f>
        <v>1</v>
      </c>
      <c r="AD155" s="67">
        <f ca="1">IF(AND(SUMIF(Capacity_Resource,$D155,'Critical resources (hide)'!AQ$6:AQ$105)+SUMIF(Capacity_Resource,$E155,'Critical resources (hide)'!AQ$6:AQ$105)+SUMIF(Capacity_Resource,$F155,'Critical resources (hide)'!AQ$6:AQ$105)&gt;0,$E$1=2),0,1)</f>
        <v>1</v>
      </c>
      <c r="AE155" s="67">
        <f ca="1">IF(AND(SUMIF(Capacity_Resource,$D155,'Critical resources (hide)'!AR$6:AR$105)+SUMIF(Capacity_Resource,$E155,'Critical resources (hide)'!AR$6:AR$105)+SUMIF(Capacity_Resource,$F155,'Critical resources (hide)'!AR$6:AR$105)&gt;0,$E$1=2),0,1)</f>
        <v>1</v>
      </c>
      <c r="AF155" s="67">
        <f ca="1">IF(AND(SUMIF(Capacity_Resource,$D155,'Critical resources (hide)'!AS$6:AS$105)+SUMIF(Capacity_Resource,$E155,'Critical resources (hide)'!AS$6:AS$105)+SUMIF(Capacity_Resource,$F155,'Critical resources (hide)'!AS$6:AS$105)&gt;0,$E$1=2),0,1)</f>
        <v>1</v>
      </c>
      <c r="AG155" s="67">
        <f ca="1">IF(AND(SUMIF(Capacity_Resource,$D155,'Critical resources (hide)'!AT$6:AT$105)+SUMIF(Capacity_Resource,$E155,'Critical resources (hide)'!AT$6:AT$105)+SUMIF(Capacity_Resource,$F155,'Critical resources (hide)'!AT$6:AT$105)&gt;0,$E$1=2),0,1)</f>
        <v>1</v>
      </c>
      <c r="AH155" s="67">
        <f ca="1">IF(AND(SUMIF(Capacity_Resource,$D155,'Critical resources (hide)'!AU$6:AU$105)+SUMIF(Capacity_Resource,$E155,'Critical resources (hide)'!AU$6:AU$105)+SUMIF(Capacity_Resource,$F155,'Critical resources (hide)'!AU$6:AU$105)&gt;0,$E$1=2),0,1)</f>
        <v>1</v>
      </c>
      <c r="AI155" s="67">
        <f ca="1">IF(AND(SUMIF(Capacity_Resource,$D155,'Critical resources (hide)'!AV$6:AV$105)+SUMIF(Capacity_Resource,$E155,'Critical resources (hide)'!AV$6:AV$105)+SUMIF(Capacity_Resource,$F155,'Critical resources (hide)'!AV$6:AV$105)&gt;0,$E$1=2),0,1)</f>
        <v>1</v>
      </c>
      <c r="AJ155" s="67">
        <f ca="1">IF(AND(SUMIF(Capacity_Resource,$D155,'Critical resources (hide)'!AW$6:AW$105)+SUMIF(Capacity_Resource,$E155,'Critical resources (hide)'!AW$6:AW$105)+SUMIF(Capacity_Resource,$F155,'Critical resources (hide)'!AW$6:AW$105)&gt;0,$E$1=2),0,1)</f>
        <v>1</v>
      </c>
      <c r="AK155" s="67">
        <f ca="1">IF(AND(SUMIF(Capacity_Resource,$D155,'Critical resources (hide)'!AX$6:AX$105)+SUMIF(Capacity_Resource,$E155,'Critical resources (hide)'!AX$6:AX$105)+SUMIF(Capacity_Resource,$F155,'Critical resources (hide)'!AX$6:AX$105)&gt;0,$E$1=2),0,1)</f>
        <v>1</v>
      </c>
      <c r="AL155" s="67">
        <f ca="1">IF(AND(SUMIF(Capacity_Resource,$D155,'Critical resources (hide)'!AY$6:AY$105)+SUMIF(Capacity_Resource,$E155,'Critical resources (hide)'!AY$6:AY$105)+SUMIF(Capacity_Resource,$F155,'Critical resources (hide)'!AY$6:AY$105)&gt;0,$E$1=2),0,1)</f>
        <v>1</v>
      </c>
      <c r="AM155" s="67">
        <f ca="1">IF(AND(SUMIF(Capacity_Resource,$D155,'Critical resources (hide)'!AZ$6:AZ$105)+SUMIF(Capacity_Resource,$E155,'Critical resources (hide)'!AZ$6:AZ$105)+SUMIF(Capacity_Resource,$F155,'Critical resources (hide)'!AZ$6:AZ$105)&gt;0,$E$1=2),0,1)</f>
        <v>1</v>
      </c>
      <c r="AN155" s="67">
        <f ca="1">IF(AND(SUMIF(Capacity_Resource,$D155,'Critical resources (hide)'!BA$6:BA$105)+SUMIF(Capacity_Resource,$E155,'Critical resources (hide)'!BA$6:BA$105)+SUMIF(Capacity_Resource,$F155,'Critical resources (hide)'!BA$6:BA$105)&gt;0,$E$1=2),0,1)</f>
        <v>1</v>
      </c>
      <c r="AO155" s="67">
        <f ca="1">IF(AND(SUMIF(Capacity_Resource,$D155,'Critical resources (hide)'!BB$6:BB$105)+SUMIF(Capacity_Resource,$E155,'Critical resources (hide)'!BB$6:BB$105)+SUMIF(Capacity_Resource,$F155,'Critical resources (hide)'!BB$6:BB$105)&gt;0,$E$1=2),0,1)</f>
        <v>1</v>
      </c>
      <c r="AP155" s="67">
        <f ca="1">IF(AND(SUMIF(Capacity_Resource,$D155,'Critical resources (hide)'!BC$6:BC$105)+SUMIF(Capacity_Resource,$E155,'Critical resources (hide)'!BC$6:BC$105)+SUMIF(Capacity_Resource,$F155,'Critical resources (hide)'!BC$6:BC$105)&gt;0,$E$1=2),0,1)</f>
        <v>1</v>
      </c>
      <c r="AQ155" s="67">
        <f ca="1">IF(AND(SUMIF(Capacity_Resource,$D155,'Critical resources (hide)'!BD$6:BD$105)+SUMIF(Capacity_Resource,$E155,'Critical resources (hide)'!BD$6:BD$105)+SUMIF(Capacity_Resource,$F155,'Critical resources (hide)'!BD$6:BD$105)&gt;0,$E$1=2),0,1)</f>
        <v>1</v>
      </c>
      <c r="AR155" s="67">
        <f ca="1">IF(AND(SUMIF(Capacity_Resource,$D155,'Critical resources (hide)'!BE$6:BE$105)+SUMIF(Capacity_Resource,$E155,'Critical resources (hide)'!BE$6:BE$105)+SUMIF(Capacity_Resource,$F155,'Critical resources (hide)'!BE$6:BE$105)&gt;0,$E$1=2),0,1)</f>
        <v>1</v>
      </c>
      <c r="AS155" s="67">
        <f ca="1">IF(AND(SUMIF(Capacity_Resource,$D155,'Critical resources (hide)'!BF$6:BF$105)+SUMIF(Capacity_Resource,$E155,'Critical resources (hide)'!BF$6:BF$105)+SUMIF(Capacity_Resource,$F155,'Critical resources (hide)'!BF$6:BF$105)&gt;0,$E$1=2),0,1)</f>
        <v>1</v>
      </c>
      <c r="AT155" s="67">
        <f ca="1">IF(AND(SUMIF(Capacity_Resource,$D155,'Critical resources (hide)'!BG$6:BG$105)+SUMIF(Capacity_Resource,$E155,'Critical resources (hide)'!BG$6:BG$105)+SUMIF(Capacity_Resource,$F155,'Critical resources (hide)'!BG$6:BG$105)&gt;0,$E$1=2),0,1)</f>
        <v>1</v>
      </c>
      <c r="AU155" s="67">
        <f ca="1">IF(AND(SUMIF(Capacity_Resource,$D155,'Critical resources (hide)'!BH$6:BH$105)+SUMIF(Capacity_Resource,$E155,'Critical resources (hide)'!BH$6:BH$105)+SUMIF(Capacity_Resource,$F155,'Critical resources (hide)'!BH$6:BH$105)&gt;0,$E$1=2),0,1)</f>
        <v>1</v>
      </c>
      <c r="AV155" s="67">
        <f ca="1">IF(AND(SUMIF(Capacity_Resource,$D155,'Critical resources (hide)'!BI$6:BI$105)+SUMIF(Capacity_Resource,$E155,'Critical resources (hide)'!BI$6:BI$105)+SUMIF(Capacity_Resource,$F155,'Critical resources (hide)'!BI$6:BI$105)&gt;0,$E$1=2),0,1)</f>
        <v>1</v>
      </c>
      <c r="AW155" s="67">
        <f ca="1">IF(AND(SUMIF(Capacity_Resource,$D155,'Critical resources (hide)'!BJ$6:BJ$105)+SUMIF(Capacity_Resource,$E155,'Critical resources (hide)'!BJ$6:BJ$105)+SUMIF(Capacity_Resource,$F155,'Critical resources (hide)'!BJ$6:BJ$105)&gt;0,$E$1=2),0,1)</f>
        <v>1</v>
      </c>
      <c r="AX155" s="67">
        <f ca="1">IF(AND(SUMIF(Capacity_Resource,$D155,'Critical resources (hide)'!BK$6:BK$105)+SUMIF(Capacity_Resource,$E155,'Critical resources (hide)'!BK$6:BK$105)+SUMIF(Capacity_Resource,$F155,'Critical resources (hide)'!BK$6:BK$105)&gt;0,$E$1=2),0,1)</f>
        <v>1</v>
      </c>
      <c r="AY155" s="67">
        <f ca="1">IF(AND(SUMIF(Capacity_Resource,$D155,'Critical resources (hide)'!BL$6:BL$105)+SUMIF(Capacity_Resource,$E155,'Critical resources (hide)'!BL$6:BL$105)+SUMIF(Capacity_Resource,$F155,'Critical resources (hide)'!BL$6:BL$105)&gt;0,$E$1=2),0,1)</f>
        <v>1</v>
      </c>
      <c r="AZ155" s="67">
        <f ca="1">IF(AND(SUMIF(Capacity_Resource,$D155,'Critical resources (hide)'!BM$6:BM$105)+SUMIF(Capacity_Resource,$E155,'Critical resources (hide)'!BM$6:BM$105)+SUMIF(Capacity_Resource,$F155,'Critical resources (hide)'!BM$6:BM$105)&gt;0,$E$1=2),0,1)</f>
        <v>1</v>
      </c>
      <c r="BA155" s="67">
        <f ca="1">IF(AND(SUMIF(Capacity_Resource,$D155,'Critical resources (hide)'!BN$6:BN$105)+SUMIF(Capacity_Resource,$E155,'Critical resources (hide)'!BN$6:BN$105)+SUMIF(Capacity_Resource,$F155,'Critical resources (hide)'!BN$6:BN$105)&gt;0,$E$1=2),0,1)</f>
        <v>1</v>
      </c>
      <c r="BB155" s="67">
        <f ca="1">IF(AND(SUMIF(Capacity_Resource,$D155,'Critical resources (hide)'!BO$6:BO$105)+SUMIF(Capacity_Resource,$E155,'Critical resources (hide)'!BO$6:BO$105)+SUMIF(Capacity_Resource,$F155,'Critical resources (hide)'!BO$6:BO$105)&gt;0,$E$1=2),0,1)</f>
        <v>1</v>
      </c>
      <c r="BC155" s="67">
        <f ca="1">IF(AND(SUMIF(Capacity_Resource,$D155,'Critical resources (hide)'!BP$6:BP$105)+SUMIF(Capacity_Resource,$E155,'Critical resources (hide)'!BP$6:BP$105)+SUMIF(Capacity_Resource,$F155,'Critical resources (hide)'!BP$6:BP$105)&gt;0,$E$1=2),0,1)</f>
        <v>1</v>
      </c>
      <c r="BD155" s="67">
        <f ca="1">IF(AND(SUMIF(Capacity_Resource,$D155,'Critical resources (hide)'!BQ$6:BQ$105)+SUMIF(Capacity_Resource,$E155,'Critical resources (hide)'!BQ$6:BQ$105)+SUMIF(Capacity_Resource,$F155,'Critical resources (hide)'!BQ$6:BQ$105)&gt;0,$E$1=2),0,1)</f>
        <v>1</v>
      </c>
      <c r="BE155" s="67">
        <f ca="1">IF(AND(SUMIF(Capacity_Resource,$D155,'Critical resources (hide)'!BR$6:BR$105)+SUMIF(Capacity_Resource,$E155,'Critical resources (hide)'!BR$6:BR$105)+SUMIF(Capacity_Resource,$F155,'Critical resources (hide)'!BR$6:BR$105)&gt;0,$E$1=2),0,1)</f>
        <v>1</v>
      </c>
      <c r="BF155" s="67">
        <f ca="1">IF(AND(SUMIF(Capacity_Resource,$D155,'Critical resources (hide)'!BS$6:BS$105)+SUMIF(Capacity_Resource,$E155,'Critical resources (hide)'!BS$6:BS$105)+SUMIF(Capacity_Resource,$F155,'Critical resources (hide)'!BS$6:BS$105)&gt;0,$E$1=2),0,1)</f>
        <v>1</v>
      </c>
      <c r="BG155" s="67">
        <f ca="1">IF(AND(SUMIF(Capacity_Resource,$D155,'Critical resources (hide)'!BT$6:BT$105)+SUMIF(Capacity_Resource,$E155,'Critical resources (hide)'!BT$6:BT$105)+SUMIF(Capacity_Resource,$F155,'Critical resources (hide)'!BT$6:BT$105)&gt;0,$E$1=2),0,1)</f>
        <v>1</v>
      </c>
      <c r="BH155" s="67">
        <f>IF(ROW(A44)&lt;=Capacity!$M$16,IF('Capacity summary'!$C$14="No",SUM(H155:BG155),'Capacity summary'!$E67),0)</f>
        <v>0</v>
      </c>
      <c r="BI155" s="67" t="str">
        <f>IF(BH155&gt;0,IF(BH155&lt;Capacity!Q60,Capacity!R60,Capacity!T60/'Capacity calculation (hide)'!BH155),"")</f>
        <v/>
      </c>
      <c r="BJ155" s="5"/>
      <c r="BK155" s="5">
        <f>IF($BI155&lt;&gt;"",IF('Capacity summary'!$C$14="Yes",IF(COUNTBLANK('Capacity summary'!$H67:$BG67)&lt;52,IF('Capacity summary'!H67&lt;&gt;"",IF(LOWER('Capacity summary'!H67)="x",$BI155*H155,VALUE('Capacity summary'!H67)),0),H155*$BI155),H155*$BI155),0)</f>
        <v>0</v>
      </c>
      <c r="BL155" s="5">
        <f>IF($BI155&lt;&gt;"",IF('Capacity summary'!$C$14="Yes",IF(COUNTBLANK('Capacity summary'!$H67:$BG67)&lt;52,IF('Capacity summary'!I67&lt;&gt;"",IF(LOWER('Capacity summary'!I67)="x",$BI155*I155,VALUE('Capacity summary'!I67)),0),I155*$BI155),I155*$BI155),0)</f>
        <v>0</v>
      </c>
      <c r="BM155" s="5">
        <f>IF($BI155&lt;&gt;"",IF('Capacity summary'!$C$14="Yes",IF(COUNTBLANK('Capacity summary'!$H67:$BG67)&lt;52,IF('Capacity summary'!J67&lt;&gt;"",IF(LOWER('Capacity summary'!J67)="x",$BI155*J155,VALUE('Capacity summary'!J67)),0),J155*$BI155),J155*$BI155),0)</f>
        <v>0</v>
      </c>
      <c r="BN155" s="5">
        <f>IF($BI155&lt;&gt;"",IF('Capacity summary'!$C$14="Yes",IF(COUNTBLANK('Capacity summary'!$H67:$BG67)&lt;52,IF('Capacity summary'!K67&lt;&gt;"",IF(LOWER('Capacity summary'!K67)="x",$BI155*K155,VALUE('Capacity summary'!K67)),0),K155*$BI155),K155*$BI155),0)</f>
        <v>0</v>
      </c>
      <c r="BO155" s="5">
        <f>IF($BI155&lt;&gt;"",IF('Capacity summary'!$C$14="Yes",IF(COUNTBLANK('Capacity summary'!$H67:$BG67)&lt;52,IF('Capacity summary'!L67&lt;&gt;"",IF(LOWER('Capacity summary'!L67)="x",$BI155*L155,VALUE('Capacity summary'!L67)),0),L155*$BI155),L155*$BI155),0)</f>
        <v>0</v>
      </c>
      <c r="BP155" s="5">
        <f>IF($BI155&lt;&gt;"",IF('Capacity summary'!$C$14="Yes",IF(COUNTBLANK('Capacity summary'!$H67:$BG67)&lt;52,IF('Capacity summary'!M67&lt;&gt;"",IF(LOWER('Capacity summary'!M67)="x",$BI155*M155,VALUE('Capacity summary'!M67)),0),M155*$BI155),M155*$BI155),0)</f>
        <v>0</v>
      </c>
      <c r="BQ155" s="5">
        <f>IF($BI155&lt;&gt;"",IF('Capacity summary'!$C$14="Yes",IF(COUNTBLANK('Capacity summary'!$H67:$BG67)&lt;52,IF('Capacity summary'!N67&lt;&gt;"",IF(LOWER('Capacity summary'!N67)="x",$BI155*N155,VALUE('Capacity summary'!N67)),0),N155*$BI155),N155*$BI155),0)</f>
        <v>0</v>
      </c>
      <c r="BR155" s="5">
        <f>IF($BI155&lt;&gt;"",IF('Capacity summary'!$C$14="Yes",IF(COUNTBLANK('Capacity summary'!$H67:$BG67)&lt;52,IF('Capacity summary'!O67&lt;&gt;"",IF(LOWER('Capacity summary'!O67)="x",$BI155*O155,VALUE('Capacity summary'!O67)),0),O155*$BI155),O155*$BI155),0)</f>
        <v>0</v>
      </c>
      <c r="BS155" s="5">
        <f>IF($BI155&lt;&gt;"",IF('Capacity summary'!$C$14="Yes",IF(COUNTBLANK('Capacity summary'!$H67:$BG67)&lt;52,IF('Capacity summary'!P67&lt;&gt;"",IF(LOWER('Capacity summary'!P67)="x",$BI155*P155,VALUE('Capacity summary'!P67)),0),P155*$BI155),P155*$BI155),0)</f>
        <v>0</v>
      </c>
      <c r="BT155" s="5">
        <f>IF($BI155&lt;&gt;"",IF('Capacity summary'!$C$14="Yes",IF(COUNTBLANK('Capacity summary'!$H67:$BG67)&lt;52,IF('Capacity summary'!Q67&lt;&gt;"",IF(LOWER('Capacity summary'!Q67)="x",$BI155*Q155,VALUE('Capacity summary'!Q67)),0),Q155*$BI155),Q155*$BI155),0)</f>
        <v>0</v>
      </c>
      <c r="BU155" s="5">
        <f>IF($BI155&lt;&gt;"",IF('Capacity summary'!$C$14="Yes",IF(COUNTBLANK('Capacity summary'!$H67:$BG67)&lt;52,IF('Capacity summary'!R67&lt;&gt;"",IF(LOWER('Capacity summary'!R67)="x",$BI155*R155,VALUE('Capacity summary'!R67)),0),R155*$BI155),R155*$BI155),0)</f>
        <v>0</v>
      </c>
      <c r="BV155" s="5">
        <f>IF($BI155&lt;&gt;"",IF('Capacity summary'!$C$14="Yes",IF(COUNTBLANK('Capacity summary'!$H67:$BG67)&lt;52,IF('Capacity summary'!S67&lt;&gt;"",IF(LOWER('Capacity summary'!S67)="x",$BI155*S155,VALUE('Capacity summary'!S67)),0),S155*$BI155),S155*$BI155),0)</f>
        <v>0</v>
      </c>
      <c r="BW155" s="5">
        <f>IF($BI155&lt;&gt;"",IF('Capacity summary'!$C$14="Yes",IF(COUNTBLANK('Capacity summary'!$H67:$BG67)&lt;52,IF('Capacity summary'!T67&lt;&gt;"",IF(LOWER('Capacity summary'!T67)="x",$BI155*T155,VALUE('Capacity summary'!T67)),0),T155*$BI155),T155*$BI155),0)</f>
        <v>0</v>
      </c>
      <c r="BX155" s="5">
        <f>IF($BI155&lt;&gt;"",IF('Capacity summary'!$C$14="Yes",IF(COUNTBLANK('Capacity summary'!$H67:$BG67)&lt;52,IF('Capacity summary'!U67&lt;&gt;"",IF(LOWER('Capacity summary'!U67)="x",$BI155*U155,VALUE('Capacity summary'!U67)),0),U155*$BI155),U155*$BI155),0)</f>
        <v>0</v>
      </c>
      <c r="BY155" s="5">
        <f>IF($BI155&lt;&gt;"",IF('Capacity summary'!$C$14="Yes",IF(COUNTBLANK('Capacity summary'!$H67:$BG67)&lt;52,IF('Capacity summary'!V67&lt;&gt;"",IF(LOWER('Capacity summary'!V67)="x",$BI155*V155,VALUE('Capacity summary'!V67)),0),V155*$BI155),V155*$BI155),0)</f>
        <v>0</v>
      </c>
      <c r="BZ155" s="5">
        <f>IF($BI155&lt;&gt;"",IF('Capacity summary'!$C$14="Yes",IF(COUNTBLANK('Capacity summary'!$H67:$BG67)&lt;52,IF('Capacity summary'!W67&lt;&gt;"",IF(LOWER('Capacity summary'!W67)="x",$BI155*W155,VALUE('Capacity summary'!W67)),0),W155*$BI155),W155*$BI155),0)</f>
        <v>0</v>
      </c>
      <c r="CA155" s="5">
        <f>IF($BI155&lt;&gt;"",IF('Capacity summary'!$C$14="Yes",IF(COUNTBLANK('Capacity summary'!$H67:$BG67)&lt;52,IF('Capacity summary'!X67&lt;&gt;"",IF(LOWER('Capacity summary'!X67)="x",$BI155*X155,VALUE('Capacity summary'!X67)),0),X155*$BI155),X155*$BI155),0)</f>
        <v>0</v>
      </c>
      <c r="CB155" s="5">
        <f>IF($BI155&lt;&gt;"",IF('Capacity summary'!$C$14="Yes",IF(COUNTBLANK('Capacity summary'!$H67:$BG67)&lt;52,IF('Capacity summary'!Y67&lt;&gt;"",IF(LOWER('Capacity summary'!Y67)="x",$BI155*Y155,VALUE('Capacity summary'!Y67)),0),Y155*$BI155),Y155*$BI155),0)</f>
        <v>0</v>
      </c>
      <c r="CC155" s="5">
        <f>IF($BI155&lt;&gt;"",IF('Capacity summary'!$C$14="Yes",IF(COUNTBLANK('Capacity summary'!$H67:$BG67)&lt;52,IF('Capacity summary'!Z67&lt;&gt;"",IF(LOWER('Capacity summary'!Z67)="x",$BI155*Z155,VALUE('Capacity summary'!Z67)),0),Z155*$BI155),Z155*$BI155),0)</f>
        <v>0</v>
      </c>
      <c r="CD155" s="5">
        <f>IF($BI155&lt;&gt;"",IF('Capacity summary'!$C$14="Yes",IF(COUNTBLANK('Capacity summary'!$H67:$BG67)&lt;52,IF('Capacity summary'!AA67&lt;&gt;"",IF(LOWER('Capacity summary'!AA67)="x",$BI155*AA155,VALUE('Capacity summary'!AA67)),0),AA155*$BI155),AA155*$BI155),0)</f>
        <v>0</v>
      </c>
      <c r="CE155" s="5">
        <f>IF($BI155&lt;&gt;"",IF('Capacity summary'!$C$14="Yes",IF(COUNTBLANK('Capacity summary'!$H67:$BG67)&lt;52,IF('Capacity summary'!AB67&lt;&gt;"",IF(LOWER('Capacity summary'!AB67)="x",$BI155*AB155,VALUE('Capacity summary'!AB67)),0),AB155*$BI155),AB155*$BI155),0)</f>
        <v>0</v>
      </c>
      <c r="CF155" s="5">
        <f>IF($BI155&lt;&gt;"",IF('Capacity summary'!$C$14="Yes",IF(COUNTBLANK('Capacity summary'!$H67:$BG67)&lt;52,IF('Capacity summary'!AC67&lt;&gt;"",IF(LOWER('Capacity summary'!AC67)="x",$BI155*AC155,VALUE('Capacity summary'!AC67)),0),AC155*$BI155),AC155*$BI155),0)</f>
        <v>0</v>
      </c>
      <c r="CG155" s="5">
        <f>IF($BI155&lt;&gt;"",IF('Capacity summary'!$C$14="Yes",IF(COUNTBLANK('Capacity summary'!$H67:$BG67)&lt;52,IF('Capacity summary'!AD67&lt;&gt;"",IF(LOWER('Capacity summary'!AD67)="x",$BI155*AD155,VALUE('Capacity summary'!AD67)),0),AD155*$BI155),AD155*$BI155),0)</f>
        <v>0</v>
      </c>
      <c r="CH155" s="5">
        <f>IF($BI155&lt;&gt;"",IF('Capacity summary'!$C$14="Yes",IF(COUNTBLANK('Capacity summary'!$H67:$BG67)&lt;52,IF('Capacity summary'!AE67&lt;&gt;"",IF(LOWER('Capacity summary'!AE67)="x",$BI155*AE155,VALUE('Capacity summary'!AE67)),0),AE155*$BI155),AE155*$BI155),0)</f>
        <v>0</v>
      </c>
      <c r="CI155" s="5">
        <f>IF($BI155&lt;&gt;"",IF('Capacity summary'!$C$14="Yes",IF(COUNTBLANK('Capacity summary'!$H67:$BG67)&lt;52,IF('Capacity summary'!AF67&lt;&gt;"",IF(LOWER('Capacity summary'!AF67)="x",$BI155*AF155,VALUE('Capacity summary'!AF67)),0),AF155*$BI155),AF155*$BI155),0)</f>
        <v>0</v>
      </c>
      <c r="CJ155" s="5">
        <f>IF($BI155&lt;&gt;"",IF('Capacity summary'!$C$14="Yes",IF(COUNTBLANK('Capacity summary'!$H67:$BG67)&lt;52,IF('Capacity summary'!AG67&lt;&gt;"",IF(LOWER('Capacity summary'!AG67)="x",$BI155*AG155,VALUE('Capacity summary'!AG67)),0),AG155*$BI155),AG155*$BI155),0)</f>
        <v>0</v>
      </c>
      <c r="CK155" s="5">
        <f>IF($BI155&lt;&gt;"",IF('Capacity summary'!$C$14="Yes",IF(COUNTBLANK('Capacity summary'!$H67:$BG67)&lt;52,IF('Capacity summary'!AH67&lt;&gt;"",IF(LOWER('Capacity summary'!AH67)="x",$BI155*AH155,VALUE('Capacity summary'!AH67)),0),AH155*$BI155),AH155*$BI155),0)</f>
        <v>0</v>
      </c>
      <c r="CL155" s="5">
        <f>IF($BI155&lt;&gt;"",IF('Capacity summary'!$C$14="Yes",IF(COUNTBLANK('Capacity summary'!$H67:$BG67)&lt;52,IF('Capacity summary'!AI67&lt;&gt;"",IF(LOWER('Capacity summary'!AI67)="x",$BI155*AI155,VALUE('Capacity summary'!AI67)),0),AI155*$BI155),AI155*$BI155),0)</f>
        <v>0</v>
      </c>
      <c r="CM155" s="5">
        <f>IF($BI155&lt;&gt;"",IF('Capacity summary'!$C$14="Yes",IF(COUNTBLANK('Capacity summary'!$H67:$BG67)&lt;52,IF('Capacity summary'!AJ67&lt;&gt;"",IF(LOWER('Capacity summary'!AJ67)="x",$BI155*AJ155,VALUE('Capacity summary'!AJ67)),0),AJ155*$BI155),AJ155*$BI155),0)</f>
        <v>0</v>
      </c>
      <c r="CN155" s="5">
        <f>IF($BI155&lt;&gt;"",IF('Capacity summary'!$C$14="Yes",IF(COUNTBLANK('Capacity summary'!$H67:$BG67)&lt;52,IF('Capacity summary'!AK67&lt;&gt;"",IF(LOWER('Capacity summary'!AK67)="x",$BI155*AK155,VALUE('Capacity summary'!AK67)),0),AK155*$BI155),AK155*$BI155),0)</f>
        <v>0</v>
      </c>
      <c r="CO155" s="5">
        <f>IF($BI155&lt;&gt;"",IF('Capacity summary'!$C$14="Yes",IF(COUNTBLANK('Capacity summary'!$H67:$BG67)&lt;52,IF('Capacity summary'!AL67&lt;&gt;"",IF(LOWER('Capacity summary'!AL67)="x",$BI155*AL155,VALUE('Capacity summary'!AL67)),0),AL155*$BI155),AL155*$BI155),0)</f>
        <v>0</v>
      </c>
      <c r="CP155" s="5">
        <f>IF($BI155&lt;&gt;"",IF('Capacity summary'!$C$14="Yes",IF(COUNTBLANK('Capacity summary'!$H67:$BG67)&lt;52,IF('Capacity summary'!AM67&lt;&gt;"",IF(LOWER('Capacity summary'!AM67)="x",$BI155*AM155,VALUE('Capacity summary'!AM67)),0),AM155*$BI155),AM155*$BI155),0)</f>
        <v>0</v>
      </c>
      <c r="CQ155" s="5">
        <f>IF($BI155&lt;&gt;"",IF('Capacity summary'!$C$14="Yes",IF(COUNTBLANK('Capacity summary'!$H67:$BG67)&lt;52,IF('Capacity summary'!AN67&lt;&gt;"",IF(LOWER('Capacity summary'!AN67)="x",$BI155*AN155,VALUE('Capacity summary'!AN67)),0),AN155*$BI155),AN155*$BI155),0)</f>
        <v>0</v>
      </c>
      <c r="CR155" s="5">
        <f>IF($BI155&lt;&gt;"",IF('Capacity summary'!$C$14="Yes",IF(COUNTBLANK('Capacity summary'!$H67:$BG67)&lt;52,IF('Capacity summary'!AO67&lt;&gt;"",IF(LOWER('Capacity summary'!AO67)="x",$BI155*AO155,VALUE('Capacity summary'!AO67)),0),AO155*$BI155),AO155*$BI155),0)</f>
        <v>0</v>
      </c>
      <c r="CS155" s="5">
        <f>IF($BI155&lt;&gt;"",IF('Capacity summary'!$C$14="Yes",IF(COUNTBLANK('Capacity summary'!$H67:$BG67)&lt;52,IF('Capacity summary'!AP67&lt;&gt;"",IF(LOWER('Capacity summary'!AP67)="x",$BI155*AP155,VALUE('Capacity summary'!AP67)),0),AP155*$BI155),AP155*$BI155),0)</f>
        <v>0</v>
      </c>
      <c r="CT155" s="5">
        <f>IF($BI155&lt;&gt;"",IF('Capacity summary'!$C$14="Yes",IF(COUNTBLANK('Capacity summary'!$H67:$BG67)&lt;52,IF('Capacity summary'!AQ67&lt;&gt;"",IF(LOWER('Capacity summary'!AQ67)="x",$BI155*AQ155,VALUE('Capacity summary'!AQ67)),0),AQ155*$BI155),AQ155*$BI155),0)</f>
        <v>0</v>
      </c>
      <c r="CU155" s="5">
        <f>IF($BI155&lt;&gt;"",IF('Capacity summary'!$C$14="Yes",IF(COUNTBLANK('Capacity summary'!$H67:$BG67)&lt;52,IF('Capacity summary'!AR67&lt;&gt;"",IF(LOWER('Capacity summary'!AR67)="x",$BI155*AR155,VALUE('Capacity summary'!AR67)),0),AR155*$BI155),AR155*$BI155),0)</f>
        <v>0</v>
      </c>
      <c r="CV155" s="5">
        <f>IF($BI155&lt;&gt;"",IF('Capacity summary'!$C$14="Yes",IF(COUNTBLANK('Capacity summary'!$H67:$BG67)&lt;52,IF('Capacity summary'!AS67&lt;&gt;"",IF(LOWER('Capacity summary'!AS67)="x",$BI155*AS155,VALUE('Capacity summary'!AS67)),0),AS155*$BI155),AS155*$BI155),0)</f>
        <v>0</v>
      </c>
      <c r="CW155" s="5">
        <f>IF($BI155&lt;&gt;"",IF('Capacity summary'!$C$14="Yes",IF(COUNTBLANK('Capacity summary'!$H67:$BG67)&lt;52,IF('Capacity summary'!AT67&lt;&gt;"",IF(LOWER('Capacity summary'!AT67)="x",$BI155*AT155,VALUE('Capacity summary'!AT67)),0),AT155*$BI155),AT155*$BI155),0)</f>
        <v>0</v>
      </c>
      <c r="CX155" s="5">
        <f>IF($BI155&lt;&gt;"",IF('Capacity summary'!$C$14="Yes",IF(COUNTBLANK('Capacity summary'!$H67:$BG67)&lt;52,IF('Capacity summary'!AU67&lt;&gt;"",IF(LOWER('Capacity summary'!AU67)="x",$BI155*AU155,VALUE('Capacity summary'!AU67)),0),AU155*$BI155),AU155*$BI155),0)</f>
        <v>0</v>
      </c>
      <c r="CY155" s="5">
        <f>IF($BI155&lt;&gt;"",IF('Capacity summary'!$C$14="Yes",IF(COUNTBLANK('Capacity summary'!$H67:$BG67)&lt;52,IF('Capacity summary'!AV67&lt;&gt;"",IF(LOWER('Capacity summary'!AV67)="x",$BI155*AV155,VALUE('Capacity summary'!AV67)),0),AV155*$BI155),AV155*$BI155),0)</f>
        <v>0</v>
      </c>
      <c r="CZ155" s="5">
        <f>IF($BI155&lt;&gt;"",IF('Capacity summary'!$C$14="Yes",IF(COUNTBLANK('Capacity summary'!$H67:$BG67)&lt;52,IF('Capacity summary'!AW67&lt;&gt;"",IF(LOWER('Capacity summary'!AW67)="x",$BI155*AW155,VALUE('Capacity summary'!AW67)),0),AW155*$BI155),AW155*$BI155),0)</f>
        <v>0</v>
      </c>
      <c r="DA155" s="5">
        <f>IF($BI155&lt;&gt;"",IF('Capacity summary'!$C$14="Yes",IF(COUNTBLANK('Capacity summary'!$H67:$BG67)&lt;52,IF('Capacity summary'!AX67&lt;&gt;"",IF(LOWER('Capacity summary'!AX67)="x",$BI155*AX155,VALUE('Capacity summary'!AX67)),0),AX155*$BI155),AX155*$BI155),0)</f>
        <v>0</v>
      </c>
      <c r="DB155" s="5">
        <f>IF($BI155&lt;&gt;"",IF('Capacity summary'!$C$14="Yes",IF(COUNTBLANK('Capacity summary'!$H67:$BG67)&lt;52,IF('Capacity summary'!AY67&lt;&gt;"",IF(LOWER('Capacity summary'!AY67)="x",$BI155*AY155,VALUE('Capacity summary'!AY67)),0),AY155*$BI155),AY155*$BI155),0)</f>
        <v>0</v>
      </c>
      <c r="DC155" s="5">
        <f>IF($BI155&lt;&gt;"",IF('Capacity summary'!$C$14="Yes",IF(COUNTBLANK('Capacity summary'!$H67:$BG67)&lt;52,IF('Capacity summary'!AZ67&lt;&gt;"",IF(LOWER('Capacity summary'!AZ67)="x",$BI155*AZ155,VALUE('Capacity summary'!AZ67)),0),AZ155*$BI155),AZ155*$BI155),0)</f>
        <v>0</v>
      </c>
      <c r="DD155" s="5">
        <f>IF($BI155&lt;&gt;"",IF('Capacity summary'!$C$14="Yes",IF(COUNTBLANK('Capacity summary'!$H67:$BG67)&lt;52,IF('Capacity summary'!BA67&lt;&gt;"",IF(LOWER('Capacity summary'!BA67)="x",$BI155*BA155,VALUE('Capacity summary'!BA67)),0),BA155*$BI155),BA155*$BI155),0)</f>
        <v>0</v>
      </c>
      <c r="DE155" s="5">
        <f>IF($BI155&lt;&gt;"",IF('Capacity summary'!$C$14="Yes",IF(COUNTBLANK('Capacity summary'!$H67:$BG67)&lt;52,IF('Capacity summary'!BB67&lt;&gt;"",IF(LOWER('Capacity summary'!BB67)="x",$BI155*BB155,VALUE('Capacity summary'!BB67)),0),BB155*$BI155),BB155*$BI155),0)</f>
        <v>0</v>
      </c>
      <c r="DF155" s="5">
        <f>IF($BI155&lt;&gt;"",IF('Capacity summary'!$C$14="Yes",IF(COUNTBLANK('Capacity summary'!$H67:$BG67)&lt;52,IF('Capacity summary'!BC67&lt;&gt;"",IF(LOWER('Capacity summary'!BC67)="x",$BI155*BC155,VALUE('Capacity summary'!BC67)),0),BC155*$BI155),BC155*$BI155),0)</f>
        <v>0</v>
      </c>
      <c r="DG155" s="5">
        <f>IF($BI155&lt;&gt;"",IF('Capacity summary'!$C$14="Yes",IF(COUNTBLANK('Capacity summary'!$H67:$BG67)&lt;52,IF('Capacity summary'!BD67&lt;&gt;"",IF(LOWER('Capacity summary'!BD67)="x",$BI155*BD155,VALUE('Capacity summary'!BD67)),0),BD155*$BI155),BD155*$BI155),0)</f>
        <v>0</v>
      </c>
      <c r="DH155" s="5">
        <f>IF($BI155&lt;&gt;"",IF('Capacity summary'!$C$14="Yes",IF(COUNTBLANK('Capacity summary'!$H67:$BG67)&lt;52,IF('Capacity summary'!BE67&lt;&gt;"",IF(LOWER('Capacity summary'!BE67)="x",$BI155*BE155,VALUE('Capacity summary'!BE67)),0),BE155*$BI155),BE155*$BI155),0)</f>
        <v>0</v>
      </c>
      <c r="DI155" s="5">
        <f>IF($BI155&lt;&gt;"",IF('Capacity summary'!$C$14="Yes",IF(COUNTBLANK('Capacity summary'!$H67:$BG67)&lt;52,IF('Capacity summary'!BF67&lt;&gt;"",IF(LOWER('Capacity summary'!BF67)="x",$BI155*BF155,VALUE('Capacity summary'!BF67)),0),BF155*$BI155),BF155*$BI155),0)</f>
        <v>0</v>
      </c>
      <c r="DJ155" s="5">
        <f>IF($BI155&lt;&gt;"",IF('Capacity summary'!$C$14="Yes",IF(COUNTBLANK('Capacity summary'!$H67:$BG67)&lt;52,IF('Capacity summary'!BG67&lt;&gt;"",IF(LOWER('Capacity summary'!BG67)="x",$BI155*BG155,VALUE('Capacity summary'!BG67)),0),BG155*$BI155),BG155*$BI155),0)</f>
        <v>0</v>
      </c>
      <c r="DK155" s="5">
        <f t="shared" ref="DK155" si="49">SUM(DK156:DK255)</f>
        <v>0</v>
      </c>
    </row>
    <row r="156" spans="3:115" x14ac:dyDescent="0.25">
      <c r="C156" s="67" t="str">
        <f>ROW(A45)&amp;". "&amp;Capacity!N61</f>
        <v xml:space="preserve">45. </v>
      </c>
      <c r="D156" s="67">
        <f>'Capacity setup'!C162</f>
        <v>0</v>
      </c>
      <c r="E156" s="67">
        <f>'Capacity setup'!D162</f>
        <v>0</v>
      </c>
      <c r="F156" s="67">
        <f>'Capacity setup'!E162</f>
        <v>0</v>
      </c>
      <c r="H156" s="67">
        <f ca="1">IF(AND(SUMIF(Capacity_Resource,$D156,'Critical resources (hide)'!U$6:U$105)+SUMIF(Capacity_Resource,$E156,'Critical resources (hide)'!U$6:U$105)+SUMIF(Capacity_Resource,$F156,'Critical resources (hide)'!U$6:U$105)&gt;0,$E$1=2),0,1)</f>
        <v>1</v>
      </c>
      <c r="I156" s="67">
        <f ca="1">IF(AND(SUMIF(Capacity_Resource,$D156,'Critical resources (hide)'!V$6:V$105)+SUMIF(Capacity_Resource,$E156,'Critical resources (hide)'!V$6:V$105)+SUMIF(Capacity_Resource,$F156,'Critical resources (hide)'!V$6:V$105)&gt;0,$E$1=2),0,1)</f>
        <v>1</v>
      </c>
      <c r="J156" s="67">
        <f ca="1">IF(AND(SUMIF(Capacity_Resource,$D156,'Critical resources (hide)'!W$6:W$105)+SUMIF(Capacity_Resource,$E156,'Critical resources (hide)'!W$6:W$105)+SUMIF(Capacity_Resource,$F156,'Critical resources (hide)'!W$6:W$105)&gt;0,$E$1=2),0,1)</f>
        <v>1</v>
      </c>
      <c r="K156" s="67">
        <f ca="1">IF(AND(SUMIF(Capacity_Resource,$D156,'Critical resources (hide)'!X$6:X$105)+SUMIF(Capacity_Resource,$E156,'Critical resources (hide)'!X$6:X$105)+SUMIF(Capacity_Resource,$F156,'Critical resources (hide)'!X$6:X$105)&gt;0,$E$1=2),0,1)</f>
        <v>1</v>
      </c>
      <c r="L156" s="67">
        <f ca="1">IF(AND(SUMIF(Capacity_Resource,$D156,'Critical resources (hide)'!Y$6:Y$105)+SUMIF(Capacity_Resource,$E156,'Critical resources (hide)'!Y$6:Y$105)+SUMIF(Capacity_Resource,$F156,'Critical resources (hide)'!Y$6:Y$105)&gt;0,$E$1=2),0,1)</f>
        <v>1</v>
      </c>
      <c r="M156" s="67">
        <f ca="1">IF(AND(SUMIF(Capacity_Resource,$D156,'Critical resources (hide)'!Z$6:Z$105)+SUMIF(Capacity_Resource,$E156,'Critical resources (hide)'!Z$6:Z$105)+SUMIF(Capacity_Resource,$F156,'Critical resources (hide)'!Z$6:Z$105)&gt;0,$E$1=2),0,1)</f>
        <v>1</v>
      </c>
      <c r="N156" s="67">
        <f ca="1">IF(AND(SUMIF(Capacity_Resource,$D156,'Critical resources (hide)'!AA$6:AA$105)+SUMIF(Capacity_Resource,$E156,'Critical resources (hide)'!AA$6:AA$105)+SUMIF(Capacity_Resource,$F156,'Critical resources (hide)'!AA$6:AA$105)&gt;0,$E$1=2),0,1)</f>
        <v>1</v>
      </c>
      <c r="O156" s="67">
        <f ca="1">IF(AND(SUMIF(Capacity_Resource,$D156,'Critical resources (hide)'!AB$6:AB$105)+SUMIF(Capacity_Resource,$E156,'Critical resources (hide)'!AB$6:AB$105)+SUMIF(Capacity_Resource,$F156,'Critical resources (hide)'!AB$6:AB$105)&gt;0,$E$1=2),0,1)</f>
        <v>1</v>
      </c>
      <c r="P156" s="67">
        <f ca="1">IF(AND(SUMIF(Capacity_Resource,$D156,'Critical resources (hide)'!AC$6:AC$105)+SUMIF(Capacity_Resource,$E156,'Critical resources (hide)'!AC$6:AC$105)+SUMIF(Capacity_Resource,$F156,'Critical resources (hide)'!AC$6:AC$105)&gt;0,$E$1=2),0,1)</f>
        <v>1</v>
      </c>
      <c r="Q156" s="67">
        <f ca="1">IF(AND(SUMIF(Capacity_Resource,$D156,'Critical resources (hide)'!AD$6:AD$105)+SUMIF(Capacity_Resource,$E156,'Critical resources (hide)'!AD$6:AD$105)+SUMIF(Capacity_Resource,$F156,'Critical resources (hide)'!AD$6:AD$105)&gt;0,$E$1=2),0,1)</f>
        <v>1</v>
      </c>
      <c r="R156" s="67">
        <f ca="1">IF(AND(SUMIF(Capacity_Resource,$D156,'Critical resources (hide)'!AE$6:AE$105)+SUMIF(Capacity_Resource,$E156,'Critical resources (hide)'!AE$6:AE$105)+SUMIF(Capacity_Resource,$F156,'Critical resources (hide)'!AE$6:AE$105)&gt;0,$E$1=2),0,1)</f>
        <v>1</v>
      </c>
      <c r="S156" s="67">
        <f ca="1">IF(AND(SUMIF(Capacity_Resource,$D156,'Critical resources (hide)'!AF$6:AF$105)+SUMIF(Capacity_Resource,$E156,'Critical resources (hide)'!AF$6:AF$105)+SUMIF(Capacity_Resource,$F156,'Critical resources (hide)'!AF$6:AF$105)&gt;0,$E$1=2),0,1)</f>
        <v>1</v>
      </c>
      <c r="T156" s="67">
        <f ca="1">IF(AND(SUMIF(Capacity_Resource,$D156,'Critical resources (hide)'!AG$6:AG$105)+SUMIF(Capacity_Resource,$E156,'Critical resources (hide)'!AG$6:AG$105)+SUMIF(Capacity_Resource,$F156,'Critical resources (hide)'!AG$6:AG$105)&gt;0,$E$1=2),0,1)</f>
        <v>1</v>
      </c>
      <c r="U156" s="67">
        <f ca="1">IF(AND(SUMIF(Capacity_Resource,$D156,'Critical resources (hide)'!AH$6:AH$105)+SUMIF(Capacity_Resource,$E156,'Critical resources (hide)'!AH$6:AH$105)+SUMIF(Capacity_Resource,$F156,'Critical resources (hide)'!AH$6:AH$105)&gt;0,$E$1=2),0,1)</f>
        <v>1</v>
      </c>
      <c r="V156" s="67">
        <f ca="1">IF(AND(SUMIF(Capacity_Resource,$D156,'Critical resources (hide)'!AI$6:AI$105)+SUMIF(Capacity_Resource,$E156,'Critical resources (hide)'!AI$6:AI$105)+SUMIF(Capacity_Resource,$F156,'Critical resources (hide)'!AI$6:AI$105)&gt;0,$E$1=2),0,1)</f>
        <v>1</v>
      </c>
      <c r="W156" s="67">
        <f ca="1">IF(AND(SUMIF(Capacity_Resource,$D156,'Critical resources (hide)'!AJ$6:AJ$105)+SUMIF(Capacity_Resource,$E156,'Critical resources (hide)'!AJ$6:AJ$105)+SUMIF(Capacity_Resource,$F156,'Critical resources (hide)'!AJ$6:AJ$105)&gt;0,$E$1=2),0,1)</f>
        <v>1</v>
      </c>
      <c r="X156" s="67">
        <f ca="1">IF(AND(SUMIF(Capacity_Resource,$D156,'Critical resources (hide)'!AK$6:AK$105)+SUMIF(Capacity_Resource,$E156,'Critical resources (hide)'!AK$6:AK$105)+SUMIF(Capacity_Resource,$F156,'Critical resources (hide)'!AK$6:AK$105)&gt;0,$E$1=2),0,1)</f>
        <v>1</v>
      </c>
      <c r="Y156" s="67">
        <f ca="1">IF(AND(SUMIF(Capacity_Resource,$D156,'Critical resources (hide)'!AL$6:AL$105)+SUMIF(Capacity_Resource,$E156,'Critical resources (hide)'!AL$6:AL$105)+SUMIF(Capacity_Resource,$F156,'Critical resources (hide)'!AL$6:AL$105)&gt;0,$E$1=2),0,1)</f>
        <v>1</v>
      </c>
      <c r="Z156" s="67">
        <f ca="1">IF(AND(SUMIF(Capacity_Resource,$D156,'Critical resources (hide)'!AM$6:AM$105)+SUMIF(Capacity_Resource,$E156,'Critical resources (hide)'!AM$6:AM$105)+SUMIF(Capacity_Resource,$F156,'Critical resources (hide)'!AM$6:AM$105)&gt;0,$E$1=2),0,1)</f>
        <v>1</v>
      </c>
      <c r="AA156" s="67">
        <f ca="1">IF(AND(SUMIF(Capacity_Resource,$D156,'Critical resources (hide)'!AN$6:AN$105)+SUMIF(Capacity_Resource,$E156,'Critical resources (hide)'!AN$6:AN$105)+SUMIF(Capacity_Resource,$F156,'Critical resources (hide)'!AN$6:AN$105)&gt;0,$E$1=2),0,1)</f>
        <v>1</v>
      </c>
      <c r="AB156" s="67">
        <f ca="1">IF(AND(SUMIF(Capacity_Resource,$D156,'Critical resources (hide)'!AO$6:AO$105)+SUMIF(Capacity_Resource,$E156,'Critical resources (hide)'!AO$6:AO$105)+SUMIF(Capacity_Resource,$F156,'Critical resources (hide)'!AO$6:AO$105)&gt;0,$E$1=2),0,1)</f>
        <v>1</v>
      </c>
      <c r="AC156" s="67">
        <f ca="1">IF(AND(SUMIF(Capacity_Resource,$D156,'Critical resources (hide)'!AP$6:AP$105)+SUMIF(Capacity_Resource,$E156,'Critical resources (hide)'!AP$6:AP$105)+SUMIF(Capacity_Resource,$F156,'Critical resources (hide)'!AP$6:AP$105)&gt;0,$E$1=2),0,1)</f>
        <v>1</v>
      </c>
      <c r="AD156" s="67">
        <f ca="1">IF(AND(SUMIF(Capacity_Resource,$D156,'Critical resources (hide)'!AQ$6:AQ$105)+SUMIF(Capacity_Resource,$E156,'Critical resources (hide)'!AQ$6:AQ$105)+SUMIF(Capacity_Resource,$F156,'Critical resources (hide)'!AQ$6:AQ$105)&gt;0,$E$1=2),0,1)</f>
        <v>1</v>
      </c>
      <c r="AE156" s="67">
        <f ca="1">IF(AND(SUMIF(Capacity_Resource,$D156,'Critical resources (hide)'!AR$6:AR$105)+SUMIF(Capacity_Resource,$E156,'Critical resources (hide)'!AR$6:AR$105)+SUMIF(Capacity_Resource,$F156,'Critical resources (hide)'!AR$6:AR$105)&gt;0,$E$1=2),0,1)</f>
        <v>1</v>
      </c>
      <c r="AF156" s="67">
        <f ca="1">IF(AND(SUMIF(Capacity_Resource,$D156,'Critical resources (hide)'!AS$6:AS$105)+SUMIF(Capacity_Resource,$E156,'Critical resources (hide)'!AS$6:AS$105)+SUMIF(Capacity_Resource,$F156,'Critical resources (hide)'!AS$6:AS$105)&gt;0,$E$1=2),0,1)</f>
        <v>1</v>
      </c>
      <c r="AG156" s="67">
        <f ca="1">IF(AND(SUMIF(Capacity_Resource,$D156,'Critical resources (hide)'!AT$6:AT$105)+SUMIF(Capacity_Resource,$E156,'Critical resources (hide)'!AT$6:AT$105)+SUMIF(Capacity_Resource,$F156,'Critical resources (hide)'!AT$6:AT$105)&gt;0,$E$1=2),0,1)</f>
        <v>1</v>
      </c>
      <c r="AH156" s="67">
        <f ca="1">IF(AND(SUMIF(Capacity_Resource,$D156,'Critical resources (hide)'!AU$6:AU$105)+SUMIF(Capacity_Resource,$E156,'Critical resources (hide)'!AU$6:AU$105)+SUMIF(Capacity_Resource,$F156,'Critical resources (hide)'!AU$6:AU$105)&gt;0,$E$1=2),0,1)</f>
        <v>1</v>
      </c>
      <c r="AI156" s="67">
        <f ca="1">IF(AND(SUMIF(Capacity_Resource,$D156,'Critical resources (hide)'!AV$6:AV$105)+SUMIF(Capacity_Resource,$E156,'Critical resources (hide)'!AV$6:AV$105)+SUMIF(Capacity_Resource,$F156,'Critical resources (hide)'!AV$6:AV$105)&gt;0,$E$1=2),0,1)</f>
        <v>1</v>
      </c>
      <c r="AJ156" s="67">
        <f ca="1">IF(AND(SUMIF(Capacity_Resource,$D156,'Critical resources (hide)'!AW$6:AW$105)+SUMIF(Capacity_Resource,$E156,'Critical resources (hide)'!AW$6:AW$105)+SUMIF(Capacity_Resource,$F156,'Critical resources (hide)'!AW$6:AW$105)&gt;0,$E$1=2),0,1)</f>
        <v>1</v>
      </c>
      <c r="AK156" s="67">
        <f ca="1">IF(AND(SUMIF(Capacity_Resource,$D156,'Critical resources (hide)'!AX$6:AX$105)+SUMIF(Capacity_Resource,$E156,'Critical resources (hide)'!AX$6:AX$105)+SUMIF(Capacity_Resource,$F156,'Critical resources (hide)'!AX$6:AX$105)&gt;0,$E$1=2),0,1)</f>
        <v>1</v>
      </c>
      <c r="AL156" s="67">
        <f ca="1">IF(AND(SUMIF(Capacity_Resource,$D156,'Critical resources (hide)'!AY$6:AY$105)+SUMIF(Capacity_Resource,$E156,'Critical resources (hide)'!AY$6:AY$105)+SUMIF(Capacity_Resource,$F156,'Critical resources (hide)'!AY$6:AY$105)&gt;0,$E$1=2),0,1)</f>
        <v>1</v>
      </c>
      <c r="AM156" s="67">
        <f ca="1">IF(AND(SUMIF(Capacity_Resource,$D156,'Critical resources (hide)'!AZ$6:AZ$105)+SUMIF(Capacity_Resource,$E156,'Critical resources (hide)'!AZ$6:AZ$105)+SUMIF(Capacity_Resource,$F156,'Critical resources (hide)'!AZ$6:AZ$105)&gt;0,$E$1=2),0,1)</f>
        <v>1</v>
      </c>
      <c r="AN156" s="67">
        <f ca="1">IF(AND(SUMIF(Capacity_Resource,$D156,'Critical resources (hide)'!BA$6:BA$105)+SUMIF(Capacity_Resource,$E156,'Critical resources (hide)'!BA$6:BA$105)+SUMIF(Capacity_Resource,$F156,'Critical resources (hide)'!BA$6:BA$105)&gt;0,$E$1=2),0,1)</f>
        <v>1</v>
      </c>
      <c r="AO156" s="67">
        <f ca="1">IF(AND(SUMIF(Capacity_Resource,$D156,'Critical resources (hide)'!BB$6:BB$105)+SUMIF(Capacity_Resource,$E156,'Critical resources (hide)'!BB$6:BB$105)+SUMIF(Capacity_Resource,$F156,'Critical resources (hide)'!BB$6:BB$105)&gt;0,$E$1=2),0,1)</f>
        <v>1</v>
      </c>
      <c r="AP156" s="67">
        <f ca="1">IF(AND(SUMIF(Capacity_Resource,$D156,'Critical resources (hide)'!BC$6:BC$105)+SUMIF(Capacity_Resource,$E156,'Critical resources (hide)'!BC$6:BC$105)+SUMIF(Capacity_Resource,$F156,'Critical resources (hide)'!BC$6:BC$105)&gt;0,$E$1=2),0,1)</f>
        <v>1</v>
      </c>
      <c r="AQ156" s="67">
        <f ca="1">IF(AND(SUMIF(Capacity_Resource,$D156,'Critical resources (hide)'!BD$6:BD$105)+SUMIF(Capacity_Resource,$E156,'Critical resources (hide)'!BD$6:BD$105)+SUMIF(Capacity_Resource,$F156,'Critical resources (hide)'!BD$6:BD$105)&gt;0,$E$1=2),0,1)</f>
        <v>1</v>
      </c>
      <c r="AR156" s="67">
        <f ca="1">IF(AND(SUMIF(Capacity_Resource,$D156,'Critical resources (hide)'!BE$6:BE$105)+SUMIF(Capacity_Resource,$E156,'Critical resources (hide)'!BE$6:BE$105)+SUMIF(Capacity_Resource,$F156,'Critical resources (hide)'!BE$6:BE$105)&gt;0,$E$1=2),0,1)</f>
        <v>1</v>
      </c>
      <c r="AS156" s="67">
        <f ca="1">IF(AND(SUMIF(Capacity_Resource,$D156,'Critical resources (hide)'!BF$6:BF$105)+SUMIF(Capacity_Resource,$E156,'Critical resources (hide)'!BF$6:BF$105)+SUMIF(Capacity_Resource,$F156,'Critical resources (hide)'!BF$6:BF$105)&gt;0,$E$1=2),0,1)</f>
        <v>1</v>
      </c>
      <c r="AT156" s="67">
        <f ca="1">IF(AND(SUMIF(Capacity_Resource,$D156,'Critical resources (hide)'!BG$6:BG$105)+SUMIF(Capacity_Resource,$E156,'Critical resources (hide)'!BG$6:BG$105)+SUMIF(Capacity_Resource,$F156,'Critical resources (hide)'!BG$6:BG$105)&gt;0,$E$1=2),0,1)</f>
        <v>1</v>
      </c>
      <c r="AU156" s="67">
        <f ca="1">IF(AND(SUMIF(Capacity_Resource,$D156,'Critical resources (hide)'!BH$6:BH$105)+SUMIF(Capacity_Resource,$E156,'Critical resources (hide)'!BH$6:BH$105)+SUMIF(Capacity_Resource,$F156,'Critical resources (hide)'!BH$6:BH$105)&gt;0,$E$1=2),0,1)</f>
        <v>1</v>
      </c>
      <c r="AV156" s="67">
        <f ca="1">IF(AND(SUMIF(Capacity_Resource,$D156,'Critical resources (hide)'!BI$6:BI$105)+SUMIF(Capacity_Resource,$E156,'Critical resources (hide)'!BI$6:BI$105)+SUMIF(Capacity_Resource,$F156,'Critical resources (hide)'!BI$6:BI$105)&gt;0,$E$1=2),0,1)</f>
        <v>1</v>
      </c>
      <c r="AW156" s="67">
        <f ca="1">IF(AND(SUMIF(Capacity_Resource,$D156,'Critical resources (hide)'!BJ$6:BJ$105)+SUMIF(Capacity_Resource,$E156,'Critical resources (hide)'!BJ$6:BJ$105)+SUMIF(Capacity_Resource,$F156,'Critical resources (hide)'!BJ$6:BJ$105)&gt;0,$E$1=2),0,1)</f>
        <v>1</v>
      </c>
      <c r="AX156" s="67">
        <f ca="1">IF(AND(SUMIF(Capacity_Resource,$D156,'Critical resources (hide)'!BK$6:BK$105)+SUMIF(Capacity_Resource,$E156,'Critical resources (hide)'!BK$6:BK$105)+SUMIF(Capacity_Resource,$F156,'Critical resources (hide)'!BK$6:BK$105)&gt;0,$E$1=2),0,1)</f>
        <v>1</v>
      </c>
      <c r="AY156" s="67">
        <f ca="1">IF(AND(SUMIF(Capacity_Resource,$D156,'Critical resources (hide)'!BL$6:BL$105)+SUMIF(Capacity_Resource,$E156,'Critical resources (hide)'!BL$6:BL$105)+SUMIF(Capacity_Resource,$F156,'Critical resources (hide)'!BL$6:BL$105)&gt;0,$E$1=2),0,1)</f>
        <v>1</v>
      </c>
      <c r="AZ156" s="67">
        <f ca="1">IF(AND(SUMIF(Capacity_Resource,$D156,'Critical resources (hide)'!BM$6:BM$105)+SUMIF(Capacity_Resource,$E156,'Critical resources (hide)'!BM$6:BM$105)+SUMIF(Capacity_Resource,$F156,'Critical resources (hide)'!BM$6:BM$105)&gt;0,$E$1=2),0,1)</f>
        <v>1</v>
      </c>
      <c r="BA156" s="67">
        <f ca="1">IF(AND(SUMIF(Capacity_Resource,$D156,'Critical resources (hide)'!BN$6:BN$105)+SUMIF(Capacity_Resource,$E156,'Critical resources (hide)'!BN$6:BN$105)+SUMIF(Capacity_Resource,$F156,'Critical resources (hide)'!BN$6:BN$105)&gt;0,$E$1=2),0,1)</f>
        <v>1</v>
      </c>
      <c r="BB156" s="67">
        <f ca="1">IF(AND(SUMIF(Capacity_Resource,$D156,'Critical resources (hide)'!BO$6:BO$105)+SUMIF(Capacity_Resource,$E156,'Critical resources (hide)'!BO$6:BO$105)+SUMIF(Capacity_Resource,$F156,'Critical resources (hide)'!BO$6:BO$105)&gt;0,$E$1=2),0,1)</f>
        <v>1</v>
      </c>
      <c r="BC156" s="67">
        <f ca="1">IF(AND(SUMIF(Capacity_Resource,$D156,'Critical resources (hide)'!BP$6:BP$105)+SUMIF(Capacity_Resource,$E156,'Critical resources (hide)'!BP$6:BP$105)+SUMIF(Capacity_Resource,$F156,'Critical resources (hide)'!BP$6:BP$105)&gt;0,$E$1=2),0,1)</f>
        <v>1</v>
      </c>
      <c r="BD156" s="67">
        <f ca="1">IF(AND(SUMIF(Capacity_Resource,$D156,'Critical resources (hide)'!BQ$6:BQ$105)+SUMIF(Capacity_Resource,$E156,'Critical resources (hide)'!BQ$6:BQ$105)+SUMIF(Capacity_Resource,$F156,'Critical resources (hide)'!BQ$6:BQ$105)&gt;0,$E$1=2),0,1)</f>
        <v>1</v>
      </c>
      <c r="BE156" s="67">
        <f ca="1">IF(AND(SUMIF(Capacity_Resource,$D156,'Critical resources (hide)'!BR$6:BR$105)+SUMIF(Capacity_Resource,$E156,'Critical resources (hide)'!BR$6:BR$105)+SUMIF(Capacity_Resource,$F156,'Critical resources (hide)'!BR$6:BR$105)&gt;0,$E$1=2),0,1)</f>
        <v>1</v>
      </c>
      <c r="BF156" s="67">
        <f ca="1">IF(AND(SUMIF(Capacity_Resource,$D156,'Critical resources (hide)'!BS$6:BS$105)+SUMIF(Capacity_Resource,$E156,'Critical resources (hide)'!BS$6:BS$105)+SUMIF(Capacity_Resource,$F156,'Critical resources (hide)'!BS$6:BS$105)&gt;0,$E$1=2),0,1)</f>
        <v>1</v>
      </c>
      <c r="BG156" s="67">
        <f ca="1">IF(AND(SUMIF(Capacity_Resource,$D156,'Critical resources (hide)'!BT$6:BT$105)+SUMIF(Capacity_Resource,$E156,'Critical resources (hide)'!BT$6:BT$105)+SUMIF(Capacity_Resource,$F156,'Critical resources (hide)'!BT$6:BT$105)&gt;0,$E$1=2),0,1)</f>
        <v>1</v>
      </c>
      <c r="BH156" s="67">
        <f>IF(ROW(A45)&lt;=Capacity!$M$16,IF('Capacity summary'!$C$14="No",SUM(H156:BG156),'Capacity summary'!$E68),0)</f>
        <v>0</v>
      </c>
      <c r="BI156" s="67" t="str">
        <f>IF(BH156&gt;0,IF(BH156&lt;Capacity!Q61,Capacity!R61,Capacity!T61/'Capacity calculation (hide)'!BH156),"")</f>
        <v/>
      </c>
      <c r="BJ156" s="5"/>
      <c r="BK156" s="5">
        <f>IF($BI156&lt;&gt;"",IF('Capacity summary'!$C$14="Yes",IF(COUNTBLANK('Capacity summary'!$H68:$BG68)&lt;52,IF('Capacity summary'!H68&lt;&gt;"",IF(LOWER('Capacity summary'!H68)="x",$BI156*H156,VALUE('Capacity summary'!H68)),0),H156*$BI156),H156*$BI156),0)</f>
        <v>0</v>
      </c>
      <c r="BL156" s="5">
        <f>IF($BI156&lt;&gt;"",IF('Capacity summary'!$C$14="Yes",IF(COUNTBLANK('Capacity summary'!$H68:$BG68)&lt;52,IF('Capacity summary'!I68&lt;&gt;"",IF(LOWER('Capacity summary'!I68)="x",$BI156*I156,VALUE('Capacity summary'!I68)),0),I156*$BI156),I156*$BI156),0)</f>
        <v>0</v>
      </c>
      <c r="BM156" s="5">
        <f>IF($BI156&lt;&gt;"",IF('Capacity summary'!$C$14="Yes",IF(COUNTBLANK('Capacity summary'!$H68:$BG68)&lt;52,IF('Capacity summary'!J68&lt;&gt;"",IF(LOWER('Capacity summary'!J68)="x",$BI156*J156,VALUE('Capacity summary'!J68)),0),J156*$BI156),J156*$BI156),0)</f>
        <v>0</v>
      </c>
      <c r="BN156" s="5">
        <f>IF($BI156&lt;&gt;"",IF('Capacity summary'!$C$14="Yes",IF(COUNTBLANK('Capacity summary'!$H68:$BG68)&lt;52,IF('Capacity summary'!K68&lt;&gt;"",IF(LOWER('Capacity summary'!K68)="x",$BI156*K156,VALUE('Capacity summary'!K68)),0),K156*$BI156),K156*$BI156),0)</f>
        <v>0</v>
      </c>
      <c r="BO156" s="5">
        <f>IF($BI156&lt;&gt;"",IF('Capacity summary'!$C$14="Yes",IF(COUNTBLANK('Capacity summary'!$H68:$BG68)&lt;52,IF('Capacity summary'!L68&lt;&gt;"",IF(LOWER('Capacity summary'!L68)="x",$BI156*L156,VALUE('Capacity summary'!L68)),0),L156*$BI156),L156*$BI156),0)</f>
        <v>0</v>
      </c>
      <c r="BP156" s="5">
        <f>IF($BI156&lt;&gt;"",IF('Capacity summary'!$C$14="Yes",IF(COUNTBLANK('Capacity summary'!$H68:$BG68)&lt;52,IF('Capacity summary'!M68&lt;&gt;"",IF(LOWER('Capacity summary'!M68)="x",$BI156*M156,VALUE('Capacity summary'!M68)),0),M156*$BI156),M156*$BI156),0)</f>
        <v>0</v>
      </c>
      <c r="BQ156" s="5">
        <f>IF($BI156&lt;&gt;"",IF('Capacity summary'!$C$14="Yes",IF(COUNTBLANK('Capacity summary'!$H68:$BG68)&lt;52,IF('Capacity summary'!N68&lt;&gt;"",IF(LOWER('Capacity summary'!N68)="x",$BI156*N156,VALUE('Capacity summary'!N68)),0),N156*$BI156),N156*$BI156),0)</f>
        <v>0</v>
      </c>
      <c r="BR156" s="5">
        <f>IF($BI156&lt;&gt;"",IF('Capacity summary'!$C$14="Yes",IF(COUNTBLANK('Capacity summary'!$H68:$BG68)&lt;52,IF('Capacity summary'!O68&lt;&gt;"",IF(LOWER('Capacity summary'!O68)="x",$BI156*O156,VALUE('Capacity summary'!O68)),0),O156*$BI156),O156*$BI156),0)</f>
        <v>0</v>
      </c>
      <c r="BS156" s="5">
        <f>IF($BI156&lt;&gt;"",IF('Capacity summary'!$C$14="Yes",IF(COUNTBLANK('Capacity summary'!$H68:$BG68)&lt;52,IF('Capacity summary'!P68&lt;&gt;"",IF(LOWER('Capacity summary'!P68)="x",$BI156*P156,VALUE('Capacity summary'!P68)),0),P156*$BI156),P156*$BI156),0)</f>
        <v>0</v>
      </c>
      <c r="BT156" s="5">
        <f>IF($BI156&lt;&gt;"",IF('Capacity summary'!$C$14="Yes",IF(COUNTBLANK('Capacity summary'!$H68:$BG68)&lt;52,IF('Capacity summary'!Q68&lt;&gt;"",IF(LOWER('Capacity summary'!Q68)="x",$BI156*Q156,VALUE('Capacity summary'!Q68)),0),Q156*$BI156),Q156*$BI156),0)</f>
        <v>0</v>
      </c>
      <c r="BU156" s="5">
        <f>IF($BI156&lt;&gt;"",IF('Capacity summary'!$C$14="Yes",IF(COUNTBLANK('Capacity summary'!$H68:$BG68)&lt;52,IF('Capacity summary'!R68&lt;&gt;"",IF(LOWER('Capacity summary'!R68)="x",$BI156*R156,VALUE('Capacity summary'!R68)),0),R156*$BI156),R156*$BI156),0)</f>
        <v>0</v>
      </c>
      <c r="BV156" s="5">
        <f>IF($BI156&lt;&gt;"",IF('Capacity summary'!$C$14="Yes",IF(COUNTBLANK('Capacity summary'!$H68:$BG68)&lt;52,IF('Capacity summary'!S68&lt;&gt;"",IF(LOWER('Capacity summary'!S68)="x",$BI156*S156,VALUE('Capacity summary'!S68)),0),S156*$BI156),S156*$BI156),0)</f>
        <v>0</v>
      </c>
      <c r="BW156" s="5">
        <f>IF($BI156&lt;&gt;"",IF('Capacity summary'!$C$14="Yes",IF(COUNTBLANK('Capacity summary'!$H68:$BG68)&lt;52,IF('Capacity summary'!T68&lt;&gt;"",IF(LOWER('Capacity summary'!T68)="x",$BI156*T156,VALUE('Capacity summary'!T68)),0),T156*$BI156),T156*$BI156),0)</f>
        <v>0</v>
      </c>
      <c r="BX156" s="5">
        <f>IF($BI156&lt;&gt;"",IF('Capacity summary'!$C$14="Yes",IF(COUNTBLANK('Capacity summary'!$H68:$BG68)&lt;52,IF('Capacity summary'!U68&lt;&gt;"",IF(LOWER('Capacity summary'!U68)="x",$BI156*U156,VALUE('Capacity summary'!U68)),0),U156*$BI156),U156*$BI156),0)</f>
        <v>0</v>
      </c>
      <c r="BY156" s="5">
        <f>IF($BI156&lt;&gt;"",IF('Capacity summary'!$C$14="Yes",IF(COUNTBLANK('Capacity summary'!$H68:$BG68)&lt;52,IF('Capacity summary'!V68&lt;&gt;"",IF(LOWER('Capacity summary'!V68)="x",$BI156*V156,VALUE('Capacity summary'!V68)),0),V156*$BI156),V156*$BI156),0)</f>
        <v>0</v>
      </c>
      <c r="BZ156" s="5">
        <f>IF($BI156&lt;&gt;"",IF('Capacity summary'!$C$14="Yes",IF(COUNTBLANK('Capacity summary'!$H68:$BG68)&lt;52,IF('Capacity summary'!W68&lt;&gt;"",IF(LOWER('Capacity summary'!W68)="x",$BI156*W156,VALUE('Capacity summary'!W68)),0),W156*$BI156),W156*$BI156),0)</f>
        <v>0</v>
      </c>
      <c r="CA156" s="5">
        <f>IF($BI156&lt;&gt;"",IF('Capacity summary'!$C$14="Yes",IF(COUNTBLANK('Capacity summary'!$H68:$BG68)&lt;52,IF('Capacity summary'!X68&lt;&gt;"",IF(LOWER('Capacity summary'!X68)="x",$BI156*X156,VALUE('Capacity summary'!X68)),0),X156*$BI156),X156*$BI156),0)</f>
        <v>0</v>
      </c>
      <c r="CB156" s="5">
        <f>IF($BI156&lt;&gt;"",IF('Capacity summary'!$C$14="Yes",IF(COUNTBLANK('Capacity summary'!$H68:$BG68)&lt;52,IF('Capacity summary'!Y68&lt;&gt;"",IF(LOWER('Capacity summary'!Y68)="x",$BI156*Y156,VALUE('Capacity summary'!Y68)),0),Y156*$BI156),Y156*$BI156),0)</f>
        <v>0</v>
      </c>
      <c r="CC156" s="5">
        <f>IF($BI156&lt;&gt;"",IF('Capacity summary'!$C$14="Yes",IF(COUNTBLANK('Capacity summary'!$H68:$BG68)&lt;52,IF('Capacity summary'!Z68&lt;&gt;"",IF(LOWER('Capacity summary'!Z68)="x",$BI156*Z156,VALUE('Capacity summary'!Z68)),0),Z156*$BI156),Z156*$BI156),0)</f>
        <v>0</v>
      </c>
      <c r="CD156" s="5">
        <f>IF($BI156&lt;&gt;"",IF('Capacity summary'!$C$14="Yes",IF(COUNTBLANK('Capacity summary'!$H68:$BG68)&lt;52,IF('Capacity summary'!AA68&lt;&gt;"",IF(LOWER('Capacity summary'!AA68)="x",$BI156*AA156,VALUE('Capacity summary'!AA68)),0),AA156*$BI156),AA156*$BI156),0)</f>
        <v>0</v>
      </c>
      <c r="CE156" s="5">
        <f>IF($BI156&lt;&gt;"",IF('Capacity summary'!$C$14="Yes",IF(COUNTBLANK('Capacity summary'!$H68:$BG68)&lt;52,IF('Capacity summary'!AB68&lt;&gt;"",IF(LOWER('Capacity summary'!AB68)="x",$BI156*AB156,VALUE('Capacity summary'!AB68)),0),AB156*$BI156),AB156*$BI156),0)</f>
        <v>0</v>
      </c>
      <c r="CF156" s="5">
        <f>IF($BI156&lt;&gt;"",IF('Capacity summary'!$C$14="Yes",IF(COUNTBLANK('Capacity summary'!$H68:$BG68)&lt;52,IF('Capacity summary'!AC68&lt;&gt;"",IF(LOWER('Capacity summary'!AC68)="x",$BI156*AC156,VALUE('Capacity summary'!AC68)),0),AC156*$BI156),AC156*$BI156),0)</f>
        <v>0</v>
      </c>
      <c r="CG156" s="5">
        <f>IF($BI156&lt;&gt;"",IF('Capacity summary'!$C$14="Yes",IF(COUNTBLANK('Capacity summary'!$H68:$BG68)&lt;52,IF('Capacity summary'!AD68&lt;&gt;"",IF(LOWER('Capacity summary'!AD68)="x",$BI156*AD156,VALUE('Capacity summary'!AD68)),0),AD156*$BI156),AD156*$BI156),0)</f>
        <v>0</v>
      </c>
      <c r="CH156" s="5">
        <f>IF($BI156&lt;&gt;"",IF('Capacity summary'!$C$14="Yes",IF(COUNTBLANK('Capacity summary'!$H68:$BG68)&lt;52,IF('Capacity summary'!AE68&lt;&gt;"",IF(LOWER('Capacity summary'!AE68)="x",$BI156*AE156,VALUE('Capacity summary'!AE68)),0),AE156*$BI156),AE156*$BI156),0)</f>
        <v>0</v>
      </c>
      <c r="CI156" s="5">
        <f>IF($BI156&lt;&gt;"",IF('Capacity summary'!$C$14="Yes",IF(COUNTBLANK('Capacity summary'!$H68:$BG68)&lt;52,IF('Capacity summary'!AF68&lt;&gt;"",IF(LOWER('Capacity summary'!AF68)="x",$BI156*AF156,VALUE('Capacity summary'!AF68)),0),AF156*$BI156),AF156*$BI156),0)</f>
        <v>0</v>
      </c>
      <c r="CJ156" s="5">
        <f>IF($BI156&lt;&gt;"",IF('Capacity summary'!$C$14="Yes",IF(COUNTBLANK('Capacity summary'!$H68:$BG68)&lt;52,IF('Capacity summary'!AG68&lt;&gt;"",IF(LOWER('Capacity summary'!AG68)="x",$BI156*AG156,VALUE('Capacity summary'!AG68)),0),AG156*$BI156),AG156*$BI156),0)</f>
        <v>0</v>
      </c>
      <c r="CK156" s="5">
        <f>IF($BI156&lt;&gt;"",IF('Capacity summary'!$C$14="Yes",IF(COUNTBLANK('Capacity summary'!$H68:$BG68)&lt;52,IF('Capacity summary'!AH68&lt;&gt;"",IF(LOWER('Capacity summary'!AH68)="x",$BI156*AH156,VALUE('Capacity summary'!AH68)),0),AH156*$BI156),AH156*$BI156),0)</f>
        <v>0</v>
      </c>
      <c r="CL156" s="5">
        <f>IF($BI156&lt;&gt;"",IF('Capacity summary'!$C$14="Yes",IF(COUNTBLANK('Capacity summary'!$H68:$BG68)&lt;52,IF('Capacity summary'!AI68&lt;&gt;"",IF(LOWER('Capacity summary'!AI68)="x",$BI156*AI156,VALUE('Capacity summary'!AI68)),0),AI156*$BI156),AI156*$BI156),0)</f>
        <v>0</v>
      </c>
      <c r="CM156" s="5">
        <f>IF($BI156&lt;&gt;"",IF('Capacity summary'!$C$14="Yes",IF(COUNTBLANK('Capacity summary'!$H68:$BG68)&lt;52,IF('Capacity summary'!AJ68&lt;&gt;"",IF(LOWER('Capacity summary'!AJ68)="x",$BI156*AJ156,VALUE('Capacity summary'!AJ68)),0),AJ156*$BI156),AJ156*$BI156),0)</f>
        <v>0</v>
      </c>
      <c r="CN156" s="5">
        <f>IF($BI156&lt;&gt;"",IF('Capacity summary'!$C$14="Yes",IF(COUNTBLANK('Capacity summary'!$H68:$BG68)&lt;52,IF('Capacity summary'!AK68&lt;&gt;"",IF(LOWER('Capacity summary'!AK68)="x",$BI156*AK156,VALUE('Capacity summary'!AK68)),0),AK156*$BI156),AK156*$BI156),0)</f>
        <v>0</v>
      </c>
      <c r="CO156" s="5">
        <f>IF($BI156&lt;&gt;"",IF('Capacity summary'!$C$14="Yes",IF(COUNTBLANK('Capacity summary'!$H68:$BG68)&lt;52,IF('Capacity summary'!AL68&lt;&gt;"",IF(LOWER('Capacity summary'!AL68)="x",$BI156*AL156,VALUE('Capacity summary'!AL68)),0),AL156*$BI156),AL156*$BI156),0)</f>
        <v>0</v>
      </c>
      <c r="CP156" s="5">
        <f>IF($BI156&lt;&gt;"",IF('Capacity summary'!$C$14="Yes",IF(COUNTBLANK('Capacity summary'!$H68:$BG68)&lt;52,IF('Capacity summary'!AM68&lt;&gt;"",IF(LOWER('Capacity summary'!AM68)="x",$BI156*AM156,VALUE('Capacity summary'!AM68)),0),AM156*$BI156),AM156*$BI156),0)</f>
        <v>0</v>
      </c>
      <c r="CQ156" s="5">
        <f>IF($BI156&lt;&gt;"",IF('Capacity summary'!$C$14="Yes",IF(COUNTBLANK('Capacity summary'!$H68:$BG68)&lt;52,IF('Capacity summary'!AN68&lt;&gt;"",IF(LOWER('Capacity summary'!AN68)="x",$BI156*AN156,VALUE('Capacity summary'!AN68)),0),AN156*$BI156),AN156*$BI156),0)</f>
        <v>0</v>
      </c>
      <c r="CR156" s="5">
        <f>IF($BI156&lt;&gt;"",IF('Capacity summary'!$C$14="Yes",IF(COUNTBLANK('Capacity summary'!$H68:$BG68)&lt;52,IF('Capacity summary'!AO68&lt;&gt;"",IF(LOWER('Capacity summary'!AO68)="x",$BI156*AO156,VALUE('Capacity summary'!AO68)),0),AO156*$BI156),AO156*$BI156),0)</f>
        <v>0</v>
      </c>
      <c r="CS156" s="5">
        <f>IF($BI156&lt;&gt;"",IF('Capacity summary'!$C$14="Yes",IF(COUNTBLANK('Capacity summary'!$H68:$BG68)&lt;52,IF('Capacity summary'!AP68&lt;&gt;"",IF(LOWER('Capacity summary'!AP68)="x",$BI156*AP156,VALUE('Capacity summary'!AP68)),0),AP156*$BI156),AP156*$BI156),0)</f>
        <v>0</v>
      </c>
      <c r="CT156" s="5">
        <f>IF($BI156&lt;&gt;"",IF('Capacity summary'!$C$14="Yes",IF(COUNTBLANK('Capacity summary'!$H68:$BG68)&lt;52,IF('Capacity summary'!AQ68&lt;&gt;"",IF(LOWER('Capacity summary'!AQ68)="x",$BI156*AQ156,VALUE('Capacity summary'!AQ68)),0),AQ156*$BI156),AQ156*$BI156),0)</f>
        <v>0</v>
      </c>
      <c r="CU156" s="5">
        <f>IF($BI156&lt;&gt;"",IF('Capacity summary'!$C$14="Yes",IF(COUNTBLANK('Capacity summary'!$H68:$BG68)&lt;52,IF('Capacity summary'!AR68&lt;&gt;"",IF(LOWER('Capacity summary'!AR68)="x",$BI156*AR156,VALUE('Capacity summary'!AR68)),0),AR156*$BI156),AR156*$BI156),0)</f>
        <v>0</v>
      </c>
      <c r="CV156" s="5">
        <f>IF($BI156&lt;&gt;"",IF('Capacity summary'!$C$14="Yes",IF(COUNTBLANK('Capacity summary'!$H68:$BG68)&lt;52,IF('Capacity summary'!AS68&lt;&gt;"",IF(LOWER('Capacity summary'!AS68)="x",$BI156*AS156,VALUE('Capacity summary'!AS68)),0),AS156*$BI156),AS156*$BI156),0)</f>
        <v>0</v>
      </c>
      <c r="CW156" s="5">
        <f>IF($BI156&lt;&gt;"",IF('Capacity summary'!$C$14="Yes",IF(COUNTBLANK('Capacity summary'!$H68:$BG68)&lt;52,IF('Capacity summary'!AT68&lt;&gt;"",IF(LOWER('Capacity summary'!AT68)="x",$BI156*AT156,VALUE('Capacity summary'!AT68)),0),AT156*$BI156),AT156*$BI156),0)</f>
        <v>0</v>
      </c>
      <c r="CX156" s="5">
        <f>IF($BI156&lt;&gt;"",IF('Capacity summary'!$C$14="Yes",IF(COUNTBLANK('Capacity summary'!$H68:$BG68)&lt;52,IF('Capacity summary'!AU68&lt;&gt;"",IF(LOWER('Capacity summary'!AU68)="x",$BI156*AU156,VALUE('Capacity summary'!AU68)),0),AU156*$BI156),AU156*$BI156),0)</f>
        <v>0</v>
      </c>
      <c r="CY156" s="5">
        <f>IF($BI156&lt;&gt;"",IF('Capacity summary'!$C$14="Yes",IF(COUNTBLANK('Capacity summary'!$H68:$BG68)&lt;52,IF('Capacity summary'!AV68&lt;&gt;"",IF(LOWER('Capacity summary'!AV68)="x",$BI156*AV156,VALUE('Capacity summary'!AV68)),0),AV156*$BI156),AV156*$BI156),0)</f>
        <v>0</v>
      </c>
      <c r="CZ156" s="5">
        <f>IF($BI156&lt;&gt;"",IF('Capacity summary'!$C$14="Yes",IF(COUNTBLANK('Capacity summary'!$H68:$BG68)&lt;52,IF('Capacity summary'!AW68&lt;&gt;"",IF(LOWER('Capacity summary'!AW68)="x",$BI156*AW156,VALUE('Capacity summary'!AW68)),0),AW156*$BI156),AW156*$BI156),0)</f>
        <v>0</v>
      </c>
      <c r="DA156" s="5">
        <f>IF($BI156&lt;&gt;"",IF('Capacity summary'!$C$14="Yes",IF(COUNTBLANK('Capacity summary'!$H68:$BG68)&lt;52,IF('Capacity summary'!AX68&lt;&gt;"",IF(LOWER('Capacity summary'!AX68)="x",$BI156*AX156,VALUE('Capacity summary'!AX68)),0),AX156*$BI156),AX156*$BI156),0)</f>
        <v>0</v>
      </c>
      <c r="DB156" s="5">
        <f>IF($BI156&lt;&gt;"",IF('Capacity summary'!$C$14="Yes",IF(COUNTBLANK('Capacity summary'!$H68:$BG68)&lt;52,IF('Capacity summary'!AY68&lt;&gt;"",IF(LOWER('Capacity summary'!AY68)="x",$BI156*AY156,VALUE('Capacity summary'!AY68)),0),AY156*$BI156),AY156*$BI156),0)</f>
        <v>0</v>
      </c>
      <c r="DC156" s="5">
        <f>IF($BI156&lt;&gt;"",IF('Capacity summary'!$C$14="Yes",IF(COUNTBLANK('Capacity summary'!$H68:$BG68)&lt;52,IF('Capacity summary'!AZ68&lt;&gt;"",IF(LOWER('Capacity summary'!AZ68)="x",$BI156*AZ156,VALUE('Capacity summary'!AZ68)),0),AZ156*$BI156),AZ156*$BI156),0)</f>
        <v>0</v>
      </c>
      <c r="DD156" s="5">
        <f>IF($BI156&lt;&gt;"",IF('Capacity summary'!$C$14="Yes",IF(COUNTBLANK('Capacity summary'!$H68:$BG68)&lt;52,IF('Capacity summary'!BA68&lt;&gt;"",IF(LOWER('Capacity summary'!BA68)="x",$BI156*BA156,VALUE('Capacity summary'!BA68)),0),BA156*$BI156),BA156*$BI156),0)</f>
        <v>0</v>
      </c>
      <c r="DE156" s="5">
        <f>IF($BI156&lt;&gt;"",IF('Capacity summary'!$C$14="Yes",IF(COUNTBLANK('Capacity summary'!$H68:$BG68)&lt;52,IF('Capacity summary'!BB68&lt;&gt;"",IF(LOWER('Capacity summary'!BB68)="x",$BI156*BB156,VALUE('Capacity summary'!BB68)),0),BB156*$BI156),BB156*$BI156),0)</f>
        <v>0</v>
      </c>
      <c r="DF156" s="5">
        <f>IF($BI156&lt;&gt;"",IF('Capacity summary'!$C$14="Yes",IF(COUNTBLANK('Capacity summary'!$H68:$BG68)&lt;52,IF('Capacity summary'!BC68&lt;&gt;"",IF(LOWER('Capacity summary'!BC68)="x",$BI156*BC156,VALUE('Capacity summary'!BC68)),0),BC156*$BI156),BC156*$BI156),0)</f>
        <v>0</v>
      </c>
      <c r="DG156" s="5">
        <f>IF($BI156&lt;&gt;"",IF('Capacity summary'!$C$14="Yes",IF(COUNTBLANK('Capacity summary'!$H68:$BG68)&lt;52,IF('Capacity summary'!BD68&lt;&gt;"",IF(LOWER('Capacity summary'!BD68)="x",$BI156*BD156,VALUE('Capacity summary'!BD68)),0),BD156*$BI156),BD156*$BI156),0)</f>
        <v>0</v>
      </c>
      <c r="DH156" s="5">
        <f>IF($BI156&lt;&gt;"",IF('Capacity summary'!$C$14="Yes",IF(COUNTBLANK('Capacity summary'!$H68:$BG68)&lt;52,IF('Capacity summary'!BE68&lt;&gt;"",IF(LOWER('Capacity summary'!BE68)="x",$BI156*BE156,VALUE('Capacity summary'!BE68)),0),BE156*$BI156),BE156*$BI156),0)</f>
        <v>0</v>
      </c>
      <c r="DI156" s="5">
        <f>IF($BI156&lt;&gt;"",IF('Capacity summary'!$C$14="Yes",IF(COUNTBLANK('Capacity summary'!$H68:$BG68)&lt;52,IF('Capacity summary'!BF68&lt;&gt;"",IF(LOWER('Capacity summary'!BF68)="x",$BI156*BF156,VALUE('Capacity summary'!BF68)),0),BF156*$BI156),BF156*$BI156),0)</f>
        <v>0</v>
      </c>
      <c r="DJ156" s="5">
        <f>IF($BI156&lt;&gt;"",IF('Capacity summary'!$C$14="Yes",IF(COUNTBLANK('Capacity summary'!$H68:$BG68)&lt;52,IF('Capacity summary'!BG68&lt;&gt;"",IF(LOWER('Capacity summary'!BG68)="x",$BI156*BG156,VALUE('Capacity summary'!BG68)),0),BG156*$BI156),BG156*$BI156),0)</f>
        <v>0</v>
      </c>
      <c r="DK156" s="5">
        <f t="shared" ref="DK156" si="50">SUM(DK157:DK256)</f>
        <v>0</v>
      </c>
    </row>
    <row r="157" spans="3:115" x14ac:dyDescent="0.25">
      <c r="C157" s="67" t="str">
        <f>ROW(A46)&amp;". "&amp;Capacity!N62</f>
        <v xml:space="preserve">46. </v>
      </c>
      <c r="D157" s="67">
        <f>'Capacity setup'!C163</f>
        <v>0</v>
      </c>
      <c r="E157" s="67">
        <f>'Capacity setup'!D163</f>
        <v>0</v>
      </c>
      <c r="F157" s="67">
        <f>'Capacity setup'!E163</f>
        <v>0</v>
      </c>
      <c r="H157" s="67">
        <f ca="1">IF(AND(SUMIF(Capacity_Resource,$D157,'Critical resources (hide)'!U$6:U$105)+SUMIF(Capacity_Resource,$E157,'Critical resources (hide)'!U$6:U$105)+SUMIF(Capacity_Resource,$F157,'Critical resources (hide)'!U$6:U$105)&gt;0,$E$1=2),0,1)</f>
        <v>1</v>
      </c>
      <c r="I157" s="67">
        <f ca="1">IF(AND(SUMIF(Capacity_Resource,$D157,'Critical resources (hide)'!V$6:V$105)+SUMIF(Capacity_Resource,$E157,'Critical resources (hide)'!V$6:V$105)+SUMIF(Capacity_Resource,$F157,'Critical resources (hide)'!V$6:V$105)&gt;0,$E$1=2),0,1)</f>
        <v>1</v>
      </c>
      <c r="J157" s="67">
        <f ca="1">IF(AND(SUMIF(Capacity_Resource,$D157,'Critical resources (hide)'!W$6:W$105)+SUMIF(Capacity_Resource,$E157,'Critical resources (hide)'!W$6:W$105)+SUMIF(Capacity_Resource,$F157,'Critical resources (hide)'!W$6:W$105)&gt;0,$E$1=2),0,1)</f>
        <v>1</v>
      </c>
      <c r="K157" s="67">
        <f ca="1">IF(AND(SUMIF(Capacity_Resource,$D157,'Critical resources (hide)'!X$6:X$105)+SUMIF(Capacity_Resource,$E157,'Critical resources (hide)'!X$6:X$105)+SUMIF(Capacity_Resource,$F157,'Critical resources (hide)'!X$6:X$105)&gt;0,$E$1=2),0,1)</f>
        <v>1</v>
      </c>
      <c r="L157" s="67">
        <f ca="1">IF(AND(SUMIF(Capacity_Resource,$D157,'Critical resources (hide)'!Y$6:Y$105)+SUMIF(Capacity_Resource,$E157,'Critical resources (hide)'!Y$6:Y$105)+SUMIF(Capacity_Resource,$F157,'Critical resources (hide)'!Y$6:Y$105)&gt;0,$E$1=2),0,1)</f>
        <v>1</v>
      </c>
      <c r="M157" s="67">
        <f ca="1">IF(AND(SUMIF(Capacity_Resource,$D157,'Critical resources (hide)'!Z$6:Z$105)+SUMIF(Capacity_Resource,$E157,'Critical resources (hide)'!Z$6:Z$105)+SUMIF(Capacity_Resource,$F157,'Critical resources (hide)'!Z$6:Z$105)&gt;0,$E$1=2),0,1)</f>
        <v>1</v>
      </c>
      <c r="N157" s="67">
        <f ca="1">IF(AND(SUMIF(Capacity_Resource,$D157,'Critical resources (hide)'!AA$6:AA$105)+SUMIF(Capacity_Resource,$E157,'Critical resources (hide)'!AA$6:AA$105)+SUMIF(Capacity_Resource,$F157,'Critical resources (hide)'!AA$6:AA$105)&gt;0,$E$1=2),0,1)</f>
        <v>1</v>
      </c>
      <c r="O157" s="67">
        <f ca="1">IF(AND(SUMIF(Capacity_Resource,$D157,'Critical resources (hide)'!AB$6:AB$105)+SUMIF(Capacity_Resource,$E157,'Critical resources (hide)'!AB$6:AB$105)+SUMIF(Capacity_Resource,$F157,'Critical resources (hide)'!AB$6:AB$105)&gt;0,$E$1=2),0,1)</f>
        <v>1</v>
      </c>
      <c r="P157" s="67">
        <f ca="1">IF(AND(SUMIF(Capacity_Resource,$D157,'Critical resources (hide)'!AC$6:AC$105)+SUMIF(Capacity_Resource,$E157,'Critical resources (hide)'!AC$6:AC$105)+SUMIF(Capacity_Resource,$F157,'Critical resources (hide)'!AC$6:AC$105)&gt;0,$E$1=2),0,1)</f>
        <v>1</v>
      </c>
      <c r="Q157" s="67">
        <f ca="1">IF(AND(SUMIF(Capacity_Resource,$D157,'Critical resources (hide)'!AD$6:AD$105)+SUMIF(Capacity_Resource,$E157,'Critical resources (hide)'!AD$6:AD$105)+SUMIF(Capacity_Resource,$F157,'Critical resources (hide)'!AD$6:AD$105)&gt;0,$E$1=2),0,1)</f>
        <v>1</v>
      </c>
      <c r="R157" s="67">
        <f ca="1">IF(AND(SUMIF(Capacity_Resource,$D157,'Critical resources (hide)'!AE$6:AE$105)+SUMIF(Capacity_Resource,$E157,'Critical resources (hide)'!AE$6:AE$105)+SUMIF(Capacity_Resource,$F157,'Critical resources (hide)'!AE$6:AE$105)&gt;0,$E$1=2),0,1)</f>
        <v>1</v>
      </c>
      <c r="S157" s="67">
        <f ca="1">IF(AND(SUMIF(Capacity_Resource,$D157,'Critical resources (hide)'!AF$6:AF$105)+SUMIF(Capacity_Resource,$E157,'Critical resources (hide)'!AF$6:AF$105)+SUMIF(Capacity_Resource,$F157,'Critical resources (hide)'!AF$6:AF$105)&gt;0,$E$1=2),0,1)</f>
        <v>1</v>
      </c>
      <c r="T157" s="67">
        <f ca="1">IF(AND(SUMIF(Capacity_Resource,$D157,'Critical resources (hide)'!AG$6:AG$105)+SUMIF(Capacity_Resource,$E157,'Critical resources (hide)'!AG$6:AG$105)+SUMIF(Capacity_Resource,$F157,'Critical resources (hide)'!AG$6:AG$105)&gt;0,$E$1=2),0,1)</f>
        <v>1</v>
      </c>
      <c r="U157" s="67">
        <f ca="1">IF(AND(SUMIF(Capacity_Resource,$D157,'Critical resources (hide)'!AH$6:AH$105)+SUMIF(Capacity_Resource,$E157,'Critical resources (hide)'!AH$6:AH$105)+SUMIF(Capacity_Resource,$F157,'Critical resources (hide)'!AH$6:AH$105)&gt;0,$E$1=2),0,1)</f>
        <v>1</v>
      </c>
      <c r="V157" s="67">
        <f ca="1">IF(AND(SUMIF(Capacity_Resource,$D157,'Critical resources (hide)'!AI$6:AI$105)+SUMIF(Capacity_Resource,$E157,'Critical resources (hide)'!AI$6:AI$105)+SUMIF(Capacity_Resource,$F157,'Critical resources (hide)'!AI$6:AI$105)&gt;0,$E$1=2),0,1)</f>
        <v>1</v>
      </c>
      <c r="W157" s="67">
        <f ca="1">IF(AND(SUMIF(Capacity_Resource,$D157,'Critical resources (hide)'!AJ$6:AJ$105)+SUMIF(Capacity_Resource,$E157,'Critical resources (hide)'!AJ$6:AJ$105)+SUMIF(Capacity_Resource,$F157,'Critical resources (hide)'!AJ$6:AJ$105)&gt;0,$E$1=2),0,1)</f>
        <v>1</v>
      </c>
      <c r="X157" s="67">
        <f ca="1">IF(AND(SUMIF(Capacity_Resource,$D157,'Critical resources (hide)'!AK$6:AK$105)+SUMIF(Capacity_Resource,$E157,'Critical resources (hide)'!AK$6:AK$105)+SUMIF(Capacity_Resource,$F157,'Critical resources (hide)'!AK$6:AK$105)&gt;0,$E$1=2),0,1)</f>
        <v>1</v>
      </c>
      <c r="Y157" s="67">
        <f ca="1">IF(AND(SUMIF(Capacity_Resource,$D157,'Critical resources (hide)'!AL$6:AL$105)+SUMIF(Capacity_Resource,$E157,'Critical resources (hide)'!AL$6:AL$105)+SUMIF(Capacity_Resource,$F157,'Critical resources (hide)'!AL$6:AL$105)&gt;0,$E$1=2),0,1)</f>
        <v>1</v>
      </c>
      <c r="Z157" s="67">
        <f ca="1">IF(AND(SUMIF(Capacity_Resource,$D157,'Critical resources (hide)'!AM$6:AM$105)+SUMIF(Capacity_Resource,$E157,'Critical resources (hide)'!AM$6:AM$105)+SUMIF(Capacity_Resource,$F157,'Critical resources (hide)'!AM$6:AM$105)&gt;0,$E$1=2),0,1)</f>
        <v>1</v>
      </c>
      <c r="AA157" s="67">
        <f ca="1">IF(AND(SUMIF(Capacity_Resource,$D157,'Critical resources (hide)'!AN$6:AN$105)+SUMIF(Capacity_Resource,$E157,'Critical resources (hide)'!AN$6:AN$105)+SUMIF(Capacity_Resource,$F157,'Critical resources (hide)'!AN$6:AN$105)&gt;0,$E$1=2),0,1)</f>
        <v>1</v>
      </c>
      <c r="AB157" s="67">
        <f ca="1">IF(AND(SUMIF(Capacity_Resource,$D157,'Critical resources (hide)'!AO$6:AO$105)+SUMIF(Capacity_Resource,$E157,'Critical resources (hide)'!AO$6:AO$105)+SUMIF(Capacity_Resource,$F157,'Critical resources (hide)'!AO$6:AO$105)&gt;0,$E$1=2),0,1)</f>
        <v>1</v>
      </c>
      <c r="AC157" s="67">
        <f ca="1">IF(AND(SUMIF(Capacity_Resource,$D157,'Critical resources (hide)'!AP$6:AP$105)+SUMIF(Capacity_Resource,$E157,'Critical resources (hide)'!AP$6:AP$105)+SUMIF(Capacity_Resource,$F157,'Critical resources (hide)'!AP$6:AP$105)&gt;0,$E$1=2),0,1)</f>
        <v>1</v>
      </c>
      <c r="AD157" s="67">
        <f ca="1">IF(AND(SUMIF(Capacity_Resource,$D157,'Critical resources (hide)'!AQ$6:AQ$105)+SUMIF(Capacity_Resource,$E157,'Critical resources (hide)'!AQ$6:AQ$105)+SUMIF(Capacity_Resource,$F157,'Critical resources (hide)'!AQ$6:AQ$105)&gt;0,$E$1=2),0,1)</f>
        <v>1</v>
      </c>
      <c r="AE157" s="67">
        <f ca="1">IF(AND(SUMIF(Capacity_Resource,$D157,'Critical resources (hide)'!AR$6:AR$105)+SUMIF(Capacity_Resource,$E157,'Critical resources (hide)'!AR$6:AR$105)+SUMIF(Capacity_Resource,$F157,'Critical resources (hide)'!AR$6:AR$105)&gt;0,$E$1=2),0,1)</f>
        <v>1</v>
      </c>
      <c r="AF157" s="67">
        <f ca="1">IF(AND(SUMIF(Capacity_Resource,$D157,'Critical resources (hide)'!AS$6:AS$105)+SUMIF(Capacity_Resource,$E157,'Critical resources (hide)'!AS$6:AS$105)+SUMIF(Capacity_Resource,$F157,'Critical resources (hide)'!AS$6:AS$105)&gt;0,$E$1=2),0,1)</f>
        <v>1</v>
      </c>
      <c r="AG157" s="67">
        <f ca="1">IF(AND(SUMIF(Capacity_Resource,$D157,'Critical resources (hide)'!AT$6:AT$105)+SUMIF(Capacity_Resource,$E157,'Critical resources (hide)'!AT$6:AT$105)+SUMIF(Capacity_Resource,$F157,'Critical resources (hide)'!AT$6:AT$105)&gt;0,$E$1=2),0,1)</f>
        <v>1</v>
      </c>
      <c r="AH157" s="67">
        <f ca="1">IF(AND(SUMIF(Capacity_Resource,$D157,'Critical resources (hide)'!AU$6:AU$105)+SUMIF(Capacity_Resource,$E157,'Critical resources (hide)'!AU$6:AU$105)+SUMIF(Capacity_Resource,$F157,'Critical resources (hide)'!AU$6:AU$105)&gt;0,$E$1=2),0,1)</f>
        <v>1</v>
      </c>
      <c r="AI157" s="67">
        <f ca="1">IF(AND(SUMIF(Capacity_Resource,$D157,'Critical resources (hide)'!AV$6:AV$105)+SUMIF(Capacity_Resource,$E157,'Critical resources (hide)'!AV$6:AV$105)+SUMIF(Capacity_Resource,$F157,'Critical resources (hide)'!AV$6:AV$105)&gt;0,$E$1=2),0,1)</f>
        <v>1</v>
      </c>
      <c r="AJ157" s="67">
        <f ca="1">IF(AND(SUMIF(Capacity_Resource,$D157,'Critical resources (hide)'!AW$6:AW$105)+SUMIF(Capacity_Resource,$E157,'Critical resources (hide)'!AW$6:AW$105)+SUMIF(Capacity_Resource,$F157,'Critical resources (hide)'!AW$6:AW$105)&gt;0,$E$1=2),0,1)</f>
        <v>1</v>
      </c>
      <c r="AK157" s="67">
        <f ca="1">IF(AND(SUMIF(Capacity_Resource,$D157,'Critical resources (hide)'!AX$6:AX$105)+SUMIF(Capacity_Resource,$E157,'Critical resources (hide)'!AX$6:AX$105)+SUMIF(Capacity_Resource,$F157,'Critical resources (hide)'!AX$6:AX$105)&gt;0,$E$1=2),0,1)</f>
        <v>1</v>
      </c>
      <c r="AL157" s="67">
        <f ca="1">IF(AND(SUMIF(Capacity_Resource,$D157,'Critical resources (hide)'!AY$6:AY$105)+SUMIF(Capacity_Resource,$E157,'Critical resources (hide)'!AY$6:AY$105)+SUMIF(Capacity_Resource,$F157,'Critical resources (hide)'!AY$6:AY$105)&gt;0,$E$1=2),0,1)</f>
        <v>1</v>
      </c>
      <c r="AM157" s="67">
        <f ca="1">IF(AND(SUMIF(Capacity_Resource,$D157,'Critical resources (hide)'!AZ$6:AZ$105)+SUMIF(Capacity_Resource,$E157,'Critical resources (hide)'!AZ$6:AZ$105)+SUMIF(Capacity_Resource,$F157,'Critical resources (hide)'!AZ$6:AZ$105)&gt;0,$E$1=2),0,1)</f>
        <v>1</v>
      </c>
      <c r="AN157" s="67">
        <f ca="1">IF(AND(SUMIF(Capacity_Resource,$D157,'Critical resources (hide)'!BA$6:BA$105)+SUMIF(Capacity_Resource,$E157,'Critical resources (hide)'!BA$6:BA$105)+SUMIF(Capacity_Resource,$F157,'Critical resources (hide)'!BA$6:BA$105)&gt;0,$E$1=2),0,1)</f>
        <v>1</v>
      </c>
      <c r="AO157" s="67">
        <f ca="1">IF(AND(SUMIF(Capacity_Resource,$D157,'Critical resources (hide)'!BB$6:BB$105)+SUMIF(Capacity_Resource,$E157,'Critical resources (hide)'!BB$6:BB$105)+SUMIF(Capacity_Resource,$F157,'Critical resources (hide)'!BB$6:BB$105)&gt;0,$E$1=2),0,1)</f>
        <v>1</v>
      </c>
      <c r="AP157" s="67">
        <f ca="1">IF(AND(SUMIF(Capacity_Resource,$D157,'Critical resources (hide)'!BC$6:BC$105)+SUMIF(Capacity_Resource,$E157,'Critical resources (hide)'!BC$6:BC$105)+SUMIF(Capacity_Resource,$F157,'Critical resources (hide)'!BC$6:BC$105)&gt;0,$E$1=2),0,1)</f>
        <v>1</v>
      </c>
      <c r="AQ157" s="67">
        <f ca="1">IF(AND(SUMIF(Capacity_Resource,$D157,'Critical resources (hide)'!BD$6:BD$105)+SUMIF(Capacity_Resource,$E157,'Critical resources (hide)'!BD$6:BD$105)+SUMIF(Capacity_Resource,$F157,'Critical resources (hide)'!BD$6:BD$105)&gt;0,$E$1=2),0,1)</f>
        <v>1</v>
      </c>
      <c r="AR157" s="67">
        <f ca="1">IF(AND(SUMIF(Capacity_Resource,$D157,'Critical resources (hide)'!BE$6:BE$105)+SUMIF(Capacity_Resource,$E157,'Critical resources (hide)'!BE$6:BE$105)+SUMIF(Capacity_Resource,$F157,'Critical resources (hide)'!BE$6:BE$105)&gt;0,$E$1=2),0,1)</f>
        <v>1</v>
      </c>
      <c r="AS157" s="67">
        <f ca="1">IF(AND(SUMIF(Capacity_Resource,$D157,'Critical resources (hide)'!BF$6:BF$105)+SUMIF(Capacity_Resource,$E157,'Critical resources (hide)'!BF$6:BF$105)+SUMIF(Capacity_Resource,$F157,'Critical resources (hide)'!BF$6:BF$105)&gt;0,$E$1=2),0,1)</f>
        <v>1</v>
      </c>
      <c r="AT157" s="67">
        <f ca="1">IF(AND(SUMIF(Capacity_Resource,$D157,'Critical resources (hide)'!BG$6:BG$105)+SUMIF(Capacity_Resource,$E157,'Critical resources (hide)'!BG$6:BG$105)+SUMIF(Capacity_Resource,$F157,'Critical resources (hide)'!BG$6:BG$105)&gt;0,$E$1=2),0,1)</f>
        <v>1</v>
      </c>
      <c r="AU157" s="67">
        <f ca="1">IF(AND(SUMIF(Capacity_Resource,$D157,'Critical resources (hide)'!BH$6:BH$105)+SUMIF(Capacity_Resource,$E157,'Critical resources (hide)'!BH$6:BH$105)+SUMIF(Capacity_Resource,$F157,'Critical resources (hide)'!BH$6:BH$105)&gt;0,$E$1=2),0,1)</f>
        <v>1</v>
      </c>
      <c r="AV157" s="67">
        <f ca="1">IF(AND(SUMIF(Capacity_Resource,$D157,'Critical resources (hide)'!BI$6:BI$105)+SUMIF(Capacity_Resource,$E157,'Critical resources (hide)'!BI$6:BI$105)+SUMIF(Capacity_Resource,$F157,'Critical resources (hide)'!BI$6:BI$105)&gt;0,$E$1=2),0,1)</f>
        <v>1</v>
      </c>
      <c r="AW157" s="67">
        <f ca="1">IF(AND(SUMIF(Capacity_Resource,$D157,'Critical resources (hide)'!BJ$6:BJ$105)+SUMIF(Capacity_Resource,$E157,'Critical resources (hide)'!BJ$6:BJ$105)+SUMIF(Capacity_Resource,$F157,'Critical resources (hide)'!BJ$6:BJ$105)&gt;0,$E$1=2),0,1)</f>
        <v>1</v>
      </c>
      <c r="AX157" s="67">
        <f ca="1">IF(AND(SUMIF(Capacity_Resource,$D157,'Critical resources (hide)'!BK$6:BK$105)+SUMIF(Capacity_Resource,$E157,'Critical resources (hide)'!BK$6:BK$105)+SUMIF(Capacity_Resource,$F157,'Critical resources (hide)'!BK$6:BK$105)&gt;0,$E$1=2),0,1)</f>
        <v>1</v>
      </c>
      <c r="AY157" s="67">
        <f ca="1">IF(AND(SUMIF(Capacity_Resource,$D157,'Critical resources (hide)'!BL$6:BL$105)+SUMIF(Capacity_Resource,$E157,'Critical resources (hide)'!BL$6:BL$105)+SUMIF(Capacity_Resource,$F157,'Critical resources (hide)'!BL$6:BL$105)&gt;0,$E$1=2),0,1)</f>
        <v>1</v>
      </c>
      <c r="AZ157" s="67">
        <f ca="1">IF(AND(SUMIF(Capacity_Resource,$D157,'Critical resources (hide)'!BM$6:BM$105)+SUMIF(Capacity_Resource,$E157,'Critical resources (hide)'!BM$6:BM$105)+SUMIF(Capacity_Resource,$F157,'Critical resources (hide)'!BM$6:BM$105)&gt;0,$E$1=2),0,1)</f>
        <v>1</v>
      </c>
      <c r="BA157" s="67">
        <f ca="1">IF(AND(SUMIF(Capacity_Resource,$D157,'Critical resources (hide)'!BN$6:BN$105)+SUMIF(Capacity_Resource,$E157,'Critical resources (hide)'!BN$6:BN$105)+SUMIF(Capacity_Resource,$F157,'Critical resources (hide)'!BN$6:BN$105)&gt;0,$E$1=2),0,1)</f>
        <v>1</v>
      </c>
      <c r="BB157" s="67">
        <f ca="1">IF(AND(SUMIF(Capacity_Resource,$D157,'Critical resources (hide)'!BO$6:BO$105)+SUMIF(Capacity_Resource,$E157,'Critical resources (hide)'!BO$6:BO$105)+SUMIF(Capacity_Resource,$F157,'Critical resources (hide)'!BO$6:BO$105)&gt;0,$E$1=2),0,1)</f>
        <v>1</v>
      </c>
      <c r="BC157" s="67">
        <f ca="1">IF(AND(SUMIF(Capacity_Resource,$D157,'Critical resources (hide)'!BP$6:BP$105)+SUMIF(Capacity_Resource,$E157,'Critical resources (hide)'!BP$6:BP$105)+SUMIF(Capacity_Resource,$F157,'Critical resources (hide)'!BP$6:BP$105)&gt;0,$E$1=2),0,1)</f>
        <v>1</v>
      </c>
      <c r="BD157" s="67">
        <f ca="1">IF(AND(SUMIF(Capacity_Resource,$D157,'Critical resources (hide)'!BQ$6:BQ$105)+SUMIF(Capacity_Resource,$E157,'Critical resources (hide)'!BQ$6:BQ$105)+SUMIF(Capacity_Resource,$F157,'Critical resources (hide)'!BQ$6:BQ$105)&gt;0,$E$1=2),0,1)</f>
        <v>1</v>
      </c>
      <c r="BE157" s="67">
        <f ca="1">IF(AND(SUMIF(Capacity_Resource,$D157,'Critical resources (hide)'!BR$6:BR$105)+SUMIF(Capacity_Resource,$E157,'Critical resources (hide)'!BR$6:BR$105)+SUMIF(Capacity_Resource,$F157,'Critical resources (hide)'!BR$6:BR$105)&gt;0,$E$1=2),0,1)</f>
        <v>1</v>
      </c>
      <c r="BF157" s="67">
        <f ca="1">IF(AND(SUMIF(Capacity_Resource,$D157,'Critical resources (hide)'!BS$6:BS$105)+SUMIF(Capacity_Resource,$E157,'Critical resources (hide)'!BS$6:BS$105)+SUMIF(Capacity_Resource,$F157,'Critical resources (hide)'!BS$6:BS$105)&gt;0,$E$1=2),0,1)</f>
        <v>1</v>
      </c>
      <c r="BG157" s="67">
        <f ca="1">IF(AND(SUMIF(Capacity_Resource,$D157,'Critical resources (hide)'!BT$6:BT$105)+SUMIF(Capacity_Resource,$E157,'Critical resources (hide)'!BT$6:BT$105)+SUMIF(Capacity_Resource,$F157,'Critical resources (hide)'!BT$6:BT$105)&gt;0,$E$1=2),0,1)</f>
        <v>1</v>
      </c>
      <c r="BH157" s="67">
        <f>IF(ROW(A46)&lt;=Capacity!$M$16,IF('Capacity summary'!$C$14="No",SUM(H157:BG157),'Capacity summary'!$E69),0)</f>
        <v>0</v>
      </c>
      <c r="BI157" s="67" t="str">
        <f>IF(BH157&gt;0,IF(BH157&lt;Capacity!Q62,Capacity!R62,Capacity!T62/'Capacity calculation (hide)'!BH157),"")</f>
        <v/>
      </c>
      <c r="BJ157" s="5"/>
      <c r="BK157" s="5">
        <f>IF($BI157&lt;&gt;"",IF('Capacity summary'!$C$14="Yes",IF(COUNTBLANK('Capacity summary'!$H69:$BG69)&lt;52,IF('Capacity summary'!H69&lt;&gt;"",IF(LOWER('Capacity summary'!H69)="x",$BI157*H157,VALUE('Capacity summary'!H69)),0),H157*$BI157),H157*$BI157),0)</f>
        <v>0</v>
      </c>
      <c r="BL157" s="5">
        <f>IF($BI157&lt;&gt;"",IF('Capacity summary'!$C$14="Yes",IF(COUNTBLANK('Capacity summary'!$H69:$BG69)&lt;52,IF('Capacity summary'!I69&lt;&gt;"",IF(LOWER('Capacity summary'!I69)="x",$BI157*I157,VALUE('Capacity summary'!I69)),0),I157*$BI157),I157*$BI157),0)</f>
        <v>0</v>
      </c>
      <c r="BM157" s="5">
        <f>IF($BI157&lt;&gt;"",IF('Capacity summary'!$C$14="Yes",IF(COUNTBLANK('Capacity summary'!$H69:$BG69)&lt;52,IF('Capacity summary'!J69&lt;&gt;"",IF(LOWER('Capacity summary'!J69)="x",$BI157*J157,VALUE('Capacity summary'!J69)),0),J157*$BI157),J157*$BI157),0)</f>
        <v>0</v>
      </c>
      <c r="BN157" s="5">
        <f>IF($BI157&lt;&gt;"",IF('Capacity summary'!$C$14="Yes",IF(COUNTBLANK('Capacity summary'!$H69:$BG69)&lt;52,IF('Capacity summary'!K69&lt;&gt;"",IF(LOWER('Capacity summary'!K69)="x",$BI157*K157,VALUE('Capacity summary'!K69)),0),K157*$BI157),K157*$BI157),0)</f>
        <v>0</v>
      </c>
      <c r="BO157" s="5">
        <f>IF($BI157&lt;&gt;"",IF('Capacity summary'!$C$14="Yes",IF(COUNTBLANK('Capacity summary'!$H69:$BG69)&lt;52,IF('Capacity summary'!L69&lt;&gt;"",IF(LOWER('Capacity summary'!L69)="x",$BI157*L157,VALUE('Capacity summary'!L69)),0),L157*$BI157),L157*$BI157),0)</f>
        <v>0</v>
      </c>
      <c r="BP157" s="5">
        <f>IF($BI157&lt;&gt;"",IF('Capacity summary'!$C$14="Yes",IF(COUNTBLANK('Capacity summary'!$H69:$BG69)&lt;52,IF('Capacity summary'!M69&lt;&gt;"",IF(LOWER('Capacity summary'!M69)="x",$BI157*M157,VALUE('Capacity summary'!M69)),0),M157*$BI157),M157*$BI157),0)</f>
        <v>0</v>
      </c>
      <c r="BQ157" s="5">
        <f>IF($BI157&lt;&gt;"",IF('Capacity summary'!$C$14="Yes",IF(COUNTBLANK('Capacity summary'!$H69:$BG69)&lt;52,IF('Capacity summary'!N69&lt;&gt;"",IF(LOWER('Capacity summary'!N69)="x",$BI157*N157,VALUE('Capacity summary'!N69)),0),N157*$BI157),N157*$BI157),0)</f>
        <v>0</v>
      </c>
      <c r="BR157" s="5">
        <f>IF($BI157&lt;&gt;"",IF('Capacity summary'!$C$14="Yes",IF(COUNTBLANK('Capacity summary'!$H69:$BG69)&lt;52,IF('Capacity summary'!O69&lt;&gt;"",IF(LOWER('Capacity summary'!O69)="x",$BI157*O157,VALUE('Capacity summary'!O69)),0),O157*$BI157),O157*$BI157),0)</f>
        <v>0</v>
      </c>
      <c r="BS157" s="5">
        <f>IF($BI157&lt;&gt;"",IF('Capacity summary'!$C$14="Yes",IF(COUNTBLANK('Capacity summary'!$H69:$BG69)&lt;52,IF('Capacity summary'!P69&lt;&gt;"",IF(LOWER('Capacity summary'!P69)="x",$BI157*P157,VALUE('Capacity summary'!P69)),0),P157*$BI157),P157*$BI157),0)</f>
        <v>0</v>
      </c>
      <c r="BT157" s="5">
        <f>IF($BI157&lt;&gt;"",IF('Capacity summary'!$C$14="Yes",IF(COUNTBLANK('Capacity summary'!$H69:$BG69)&lt;52,IF('Capacity summary'!Q69&lt;&gt;"",IF(LOWER('Capacity summary'!Q69)="x",$BI157*Q157,VALUE('Capacity summary'!Q69)),0),Q157*$BI157),Q157*$BI157),0)</f>
        <v>0</v>
      </c>
      <c r="BU157" s="5">
        <f>IF($BI157&lt;&gt;"",IF('Capacity summary'!$C$14="Yes",IF(COUNTBLANK('Capacity summary'!$H69:$BG69)&lt;52,IF('Capacity summary'!R69&lt;&gt;"",IF(LOWER('Capacity summary'!R69)="x",$BI157*R157,VALUE('Capacity summary'!R69)),0),R157*$BI157),R157*$BI157),0)</f>
        <v>0</v>
      </c>
      <c r="BV157" s="5">
        <f>IF($BI157&lt;&gt;"",IF('Capacity summary'!$C$14="Yes",IF(COUNTBLANK('Capacity summary'!$H69:$BG69)&lt;52,IF('Capacity summary'!S69&lt;&gt;"",IF(LOWER('Capacity summary'!S69)="x",$BI157*S157,VALUE('Capacity summary'!S69)),0),S157*$BI157),S157*$BI157),0)</f>
        <v>0</v>
      </c>
      <c r="BW157" s="5">
        <f>IF($BI157&lt;&gt;"",IF('Capacity summary'!$C$14="Yes",IF(COUNTBLANK('Capacity summary'!$H69:$BG69)&lt;52,IF('Capacity summary'!T69&lt;&gt;"",IF(LOWER('Capacity summary'!T69)="x",$BI157*T157,VALUE('Capacity summary'!T69)),0),T157*$BI157),T157*$BI157),0)</f>
        <v>0</v>
      </c>
      <c r="BX157" s="5">
        <f>IF($BI157&lt;&gt;"",IF('Capacity summary'!$C$14="Yes",IF(COUNTBLANK('Capacity summary'!$H69:$BG69)&lt;52,IF('Capacity summary'!U69&lt;&gt;"",IF(LOWER('Capacity summary'!U69)="x",$BI157*U157,VALUE('Capacity summary'!U69)),0),U157*$BI157),U157*$BI157),0)</f>
        <v>0</v>
      </c>
      <c r="BY157" s="5">
        <f>IF($BI157&lt;&gt;"",IF('Capacity summary'!$C$14="Yes",IF(COUNTBLANK('Capacity summary'!$H69:$BG69)&lt;52,IF('Capacity summary'!V69&lt;&gt;"",IF(LOWER('Capacity summary'!V69)="x",$BI157*V157,VALUE('Capacity summary'!V69)),0),V157*$BI157),V157*$BI157),0)</f>
        <v>0</v>
      </c>
      <c r="BZ157" s="5">
        <f>IF($BI157&lt;&gt;"",IF('Capacity summary'!$C$14="Yes",IF(COUNTBLANK('Capacity summary'!$H69:$BG69)&lt;52,IF('Capacity summary'!W69&lt;&gt;"",IF(LOWER('Capacity summary'!W69)="x",$BI157*W157,VALUE('Capacity summary'!W69)),0),W157*$BI157),W157*$BI157),0)</f>
        <v>0</v>
      </c>
      <c r="CA157" s="5">
        <f>IF($BI157&lt;&gt;"",IF('Capacity summary'!$C$14="Yes",IF(COUNTBLANK('Capacity summary'!$H69:$BG69)&lt;52,IF('Capacity summary'!X69&lt;&gt;"",IF(LOWER('Capacity summary'!X69)="x",$BI157*X157,VALUE('Capacity summary'!X69)),0),X157*$BI157),X157*$BI157),0)</f>
        <v>0</v>
      </c>
      <c r="CB157" s="5">
        <f>IF($BI157&lt;&gt;"",IF('Capacity summary'!$C$14="Yes",IF(COUNTBLANK('Capacity summary'!$H69:$BG69)&lt;52,IF('Capacity summary'!Y69&lt;&gt;"",IF(LOWER('Capacity summary'!Y69)="x",$BI157*Y157,VALUE('Capacity summary'!Y69)),0),Y157*$BI157),Y157*$BI157),0)</f>
        <v>0</v>
      </c>
      <c r="CC157" s="5">
        <f>IF($BI157&lt;&gt;"",IF('Capacity summary'!$C$14="Yes",IF(COUNTBLANK('Capacity summary'!$H69:$BG69)&lt;52,IF('Capacity summary'!Z69&lt;&gt;"",IF(LOWER('Capacity summary'!Z69)="x",$BI157*Z157,VALUE('Capacity summary'!Z69)),0),Z157*$BI157),Z157*$BI157),0)</f>
        <v>0</v>
      </c>
      <c r="CD157" s="5">
        <f>IF($BI157&lt;&gt;"",IF('Capacity summary'!$C$14="Yes",IF(COUNTBLANK('Capacity summary'!$H69:$BG69)&lt;52,IF('Capacity summary'!AA69&lt;&gt;"",IF(LOWER('Capacity summary'!AA69)="x",$BI157*AA157,VALUE('Capacity summary'!AA69)),0),AA157*$BI157),AA157*$BI157),0)</f>
        <v>0</v>
      </c>
      <c r="CE157" s="5">
        <f>IF($BI157&lt;&gt;"",IF('Capacity summary'!$C$14="Yes",IF(COUNTBLANK('Capacity summary'!$H69:$BG69)&lt;52,IF('Capacity summary'!AB69&lt;&gt;"",IF(LOWER('Capacity summary'!AB69)="x",$BI157*AB157,VALUE('Capacity summary'!AB69)),0),AB157*$BI157),AB157*$BI157),0)</f>
        <v>0</v>
      </c>
      <c r="CF157" s="5">
        <f>IF($BI157&lt;&gt;"",IF('Capacity summary'!$C$14="Yes",IF(COUNTBLANK('Capacity summary'!$H69:$BG69)&lt;52,IF('Capacity summary'!AC69&lt;&gt;"",IF(LOWER('Capacity summary'!AC69)="x",$BI157*AC157,VALUE('Capacity summary'!AC69)),0),AC157*$BI157),AC157*$BI157),0)</f>
        <v>0</v>
      </c>
      <c r="CG157" s="5">
        <f>IF($BI157&lt;&gt;"",IF('Capacity summary'!$C$14="Yes",IF(COUNTBLANK('Capacity summary'!$H69:$BG69)&lt;52,IF('Capacity summary'!AD69&lt;&gt;"",IF(LOWER('Capacity summary'!AD69)="x",$BI157*AD157,VALUE('Capacity summary'!AD69)),0),AD157*$BI157),AD157*$BI157),0)</f>
        <v>0</v>
      </c>
      <c r="CH157" s="5">
        <f>IF($BI157&lt;&gt;"",IF('Capacity summary'!$C$14="Yes",IF(COUNTBLANK('Capacity summary'!$H69:$BG69)&lt;52,IF('Capacity summary'!AE69&lt;&gt;"",IF(LOWER('Capacity summary'!AE69)="x",$BI157*AE157,VALUE('Capacity summary'!AE69)),0),AE157*$BI157),AE157*$BI157),0)</f>
        <v>0</v>
      </c>
      <c r="CI157" s="5">
        <f>IF($BI157&lt;&gt;"",IF('Capacity summary'!$C$14="Yes",IF(COUNTBLANK('Capacity summary'!$H69:$BG69)&lt;52,IF('Capacity summary'!AF69&lt;&gt;"",IF(LOWER('Capacity summary'!AF69)="x",$BI157*AF157,VALUE('Capacity summary'!AF69)),0),AF157*$BI157),AF157*$BI157),0)</f>
        <v>0</v>
      </c>
      <c r="CJ157" s="5">
        <f>IF($BI157&lt;&gt;"",IF('Capacity summary'!$C$14="Yes",IF(COUNTBLANK('Capacity summary'!$H69:$BG69)&lt;52,IF('Capacity summary'!AG69&lt;&gt;"",IF(LOWER('Capacity summary'!AG69)="x",$BI157*AG157,VALUE('Capacity summary'!AG69)),0),AG157*$BI157),AG157*$BI157),0)</f>
        <v>0</v>
      </c>
      <c r="CK157" s="5">
        <f>IF($BI157&lt;&gt;"",IF('Capacity summary'!$C$14="Yes",IF(COUNTBLANK('Capacity summary'!$H69:$BG69)&lt;52,IF('Capacity summary'!AH69&lt;&gt;"",IF(LOWER('Capacity summary'!AH69)="x",$BI157*AH157,VALUE('Capacity summary'!AH69)),0),AH157*$BI157),AH157*$BI157),0)</f>
        <v>0</v>
      </c>
      <c r="CL157" s="5">
        <f>IF($BI157&lt;&gt;"",IF('Capacity summary'!$C$14="Yes",IF(COUNTBLANK('Capacity summary'!$H69:$BG69)&lt;52,IF('Capacity summary'!AI69&lt;&gt;"",IF(LOWER('Capacity summary'!AI69)="x",$BI157*AI157,VALUE('Capacity summary'!AI69)),0),AI157*$BI157),AI157*$BI157),0)</f>
        <v>0</v>
      </c>
      <c r="CM157" s="5">
        <f>IF($BI157&lt;&gt;"",IF('Capacity summary'!$C$14="Yes",IF(COUNTBLANK('Capacity summary'!$H69:$BG69)&lt;52,IF('Capacity summary'!AJ69&lt;&gt;"",IF(LOWER('Capacity summary'!AJ69)="x",$BI157*AJ157,VALUE('Capacity summary'!AJ69)),0),AJ157*$BI157),AJ157*$BI157),0)</f>
        <v>0</v>
      </c>
      <c r="CN157" s="5">
        <f>IF($BI157&lt;&gt;"",IF('Capacity summary'!$C$14="Yes",IF(COUNTBLANK('Capacity summary'!$H69:$BG69)&lt;52,IF('Capacity summary'!AK69&lt;&gt;"",IF(LOWER('Capacity summary'!AK69)="x",$BI157*AK157,VALUE('Capacity summary'!AK69)),0),AK157*$BI157),AK157*$BI157),0)</f>
        <v>0</v>
      </c>
      <c r="CO157" s="5">
        <f>IF($BI157&lt;&gt;"",IF('Capacity summary'!$C$14="Yes",IF(COUNTBLANK('Capacity summary'!$H69:$BG69)&lt;52,IF('Capacity summary'!AL69&lt;&gt;"",IF(LOWER('Capacity summary'!AL69)="x",$BI157*AL157,VALUE('Capacity summary'!AL69)),0),AL157*$BI157),AL157*$BI157),0)</f>
        <v>0</v>
      </c>
      <c r="CP157" s="5">
        <f>IF($BI157&lt;&gt;"",IF('Capacity summary'!$C$14="Yes",IF(COUNTBLANK('Capacity summary'!$H69:$BG69)&lt;52,IF('Capacity summary'!AM69&lt;&gt;"",IF(LOWER('Capacity summary'!AM69)="x",$BI157*AM157,VALUE('Capacity summary'!AM69)),0),AM157*$BI157),AM157*$BI157),0)</f>
        <v>0</v>
      </c>
      <c r="CQ157" s="5">
        <f>IF($BI157&lt;&gt;"",IF('Capacity summary'!$C$14="Yes",IF(COUNTBLANK('Capacity summary'!$H69:$BG69)&lt;52,IF('Capacity summary'!AN69&lt;&gt;"",IF(LOWER('Capacity summary'!AN69)="x",$BI157*AN157,VALUE('Capacity summary'!AN69)),0),AN157*$BI157),AN157*$BI157),0)</f>
        <v>0</v>
      </c>
      <c r="CR157" s="5">
        <f>IF($BI157&lt;&gt;"",IF('Capacity summary'!$C$14="Yes",IF(COUNTBLANK('Capacity summary'!$H69:$BG69)&lt;52,IF('Capacity summary'!AO69&lt;&gt;"",IF(LOWER('Capacity summary'!AO69)="x",$BI157*AO157,VALUE('Capacity summary'!AO69)),0),AO157*$BI157),AO157*$BI157),0)</f>
        <v>0</v>
      </c>
      <c r="CS157" s="5">
        <f>IF($BI157&lt;&gt;"",IF('Capacity summary'!$C$14="Yes",IF(COUNTBLANK('Capacity summary'!$H69:$BG69)&lt;52,IF('Capacity summary'!AP69&lt;&gt;"",IF(LOWER('Capacity summary'!AP69)="x",$BI157*AP157,VALUE('Capacity summary'!AP69)),0),AP157*$BI157),AP157*$BI157),0)</f>
        <v>0</v>
      </c>
      <c r="CT157" s="5">
        <f>IF($BI157&lt;&gt;"",IF('Capacity summary'!$C$14="Yes",IF(COUNTBLANK('Capacity summary'!$H69:$BG69)&lt;52,IF('Capacity summary'!AQ69&lt;&gt;"",IF(LOWER('Capacity summary'!AQ69)="x",$BI157*AQ157,VALUE('Capacity summary'!AQ69)),0),AQ157*$BI157),AQ157*$BI157),0)</f>
        <v>0</v>
      </c>
      <c r="CU157" s="5">
        <f>IF($BI157&lt;&gt;"",IF('Capacity summary'!$C$14="Yes",IF(COUNTBLANK('Capacity summary'!$H69:$BG69)&lt;52,IF('Capacity summary'!AR69&lt;&gt;"",IF(LOWER('Capacity summary'!AR69)="x",$BI157*AR157,VALUE('Capacity summary'!AR69)),0),AR157*$BI157),AR157*$BI157),0)</f>
        <v>0</v>
      </c>
      <c r="CV157" s="5">
        <f>IF($BI157&lt;&gt;"",IF('Capacity summary'!$C$14="Yes",IF(COUNTBLANK('Capacity summary'!$H69:$BG69)&lt;52,IF('Capacity summary'!AS69&lt;&gt;"",IF(LOWER('Capacity summary'!AS69)="x",$BI157*AS157,VALUE('Capacity summary'!AS69)),0),AS157*$BI157),AS157*$BI157),0)</f>
        <v>0</v>
      </c>
      <c r="CW157" s="5">
        <f>IF($BI157&lt;&gt;"",IF('Capacity summary'!$C$14="Yes",IF(COUNTBLANK('Capacity summary'!$H69:$BG69)&lt;52,IF('Capacity summary'!AT69&lt;&gt;"",IF(LOWER('Capacity summary'!AT69)="x",$BI157*AT157,VALUE('Capacity summary'!AT69)),0),AT157*$BI157),AT157*$BI157),0)</f>
        <v>0</v>
      </c>
      <c r="CX157" s="5">
        <f>IF($BI157&lt;&gt;"",IF('Capacity summary'!$C$14="Yes",IF(COUNTBLANK('Capacity summary'!$H69:$BG69)&lt;52,IF('Capacity summary'!AU69&lt;&gt;"",IF(LOWER('Capacity summary'!AU69)="x",$BI157*AU157,VALUE('Capacity summary'!AU69)),0),AU157*$BI157),AU157*$BI157),0)</f>
        <v>0</v>
      </c>
      <c r="CY157" s="5">
        <f>IF($BI157&lt;&gt;"",IF('Capacity summary'!$C$14="Yes",IF(COUNTBLANK('Capacity summary'!$H69:$BG69)&lt;52,IF('Capacity summary'!AV69&lt;&gt;"",IF(LOWER('Capacity summary'!AV69)="x",$BI157*AV157,VALUE('Capacity summary'!AV69)),0),AV157*$BI157),AV157*$BI157),0)</f>
        <v>0</v>
      </c>
      <c r="CZ157" s="5">
        <f>IF($BI157&lt;&gt;"",IF('Capacity summary'!$C$14="Yes",IF(COUNTBLANK('Capacity summary'!$H69:$BG69)&lt;52,IF('Capacity summary'!AW69&lt;&gt;"",IF(LOWER('Capacity summary'!AW69)="x",$BI157*AW157,VALUE('Capacity summary'!AW69)),0),AW157*$BI157),AW157*$BI157),0)</f>
        <v>0</v>
      </c>
      <c r="DA157" s="5">
        <f>IF($BI157&lt;&gt;"",IF('Capacity summary'!$C$14="Yes",IF(COUNTBLANK('Capacity summary'!$H69:$BG69)&lt;52,IF('Capacity summary'!AX69&lt;&gt;"",IF(LOWER('Capacity summary'!AX69)="x",$BI157*AX157,VALUE('Capacity summary'!AX69)),0),AX157*$BI157),AX157*$BI157),0)</f>
        <v>0</v>
      </c>
      <c r="DB157" s="5">
        <f>IF($BI157&lt;&gt;"",IF('Capacity summary'!$C$14="Yes",IF(COUNTBLANK('Capacity summary'!$H69:$BG69)&lt;52,IF('Capacity summary'!AY69&lt;&gt;"",IF(LOWER('Capacity summary'!AY69)="x",$BI157*AY157,VALUE('Capacity summary'!AY69)),0),AY157*$BI157),AY157*$BI157),0)</f>
        <v>0</v>
      </c>
      <c r="DC157" s="5">
        <f>IF($BI157&lt;&gt;"",IF('Capacity summary'!$C$14="Yes",IF(COUNTBLANK('Capacity summary'!$H69:$BG69)&lt;52,IF('Capacity summary'!AZ69&lt;&gt;"",IF(LOWER('Capacity summary'!AZ69)="x",$BI157*AZ157,VALUE('Capacity summary'!AZ69)),0),AZ157*$BI157),AZ157*$BI157),0)</f>
        <v>0</v>
      </c>
      <c r="DD157" s="5">
        <f>IF($BI157&lt;&gt;"",IF('Capacity summary'!$C$14="Yes",IF(COUNTBLANK('Capacity summary'!$H69:$BG69)&lt;52,IF('Capacity summary'!BA69&lt;&gt;"",IF(LOWER('Capacity summary'!BA69)="x",$BI157*BA157,VALUE('Capacity summary'!BA69)),0),BA157*$BI157),BA157*$BI157),0)</f>
        <v>0</v>
      </c>
      <c r="DE157" s="5">
        <f>IF($BI157&lt;&gt;"",IF('Capacity summary'!$C$14="Yes",IF(COUNTBLANK('Capacity summary'!$H69:$BG69)&lt;52,IF('Capacity summary'!BB69&lt;&gt;"",IF(LOWER('Capacity summary'!BB69)="x",$BI157*BB157,VALUE('Capacity summary'!BB69)),0),BB157*$BI157),BB157*$BI157),0)</f>
        <v>0</v>
      </c>
      <c r="DF157" s="5">
        <f>IF($BI157&lt;&gt;"",IF('Capacity summary'!$C$14="Yes",IF(COUNTBLANK('Capacity summary'!$H69:$BG69)&lt;52,IF('Capacity summary'!BC69&lt;&gt;"",IF(LOWER('Capacity summary'!BC69)="x",$BI157*BC157,VALUE('Capacity summary'!BC69)),0),BC157*$BI157),BC157*$BI157),0)</f>
        <v>0</v>
      </c>
      <c r="DG157" s="5">
        <f>IF($BI157&lt;&gt;"",IF('Capacity summary'!$C$14="Yes",IF(COUNTBLANK('Capacity summary'!$H69:$BG69)&lt;52,IF('Capacity summary'!BD69&lt;&gt;"",IF(LOWER('Capacity summary'!BD69)="x",$BI157*BD157,VALUE('Capacity summary'!BD69)),0),BD157*$BI157),BD157*$BI157),0)</f>
        <v>0</v>
      </c>
      <c r="DH157" s="5">
        <f>IF($BI157&lt;&gt;"",IF('Capacity summary'!$C$14="Yes",IF(COUNTBLANK('Capacity summary'!$H69:$BG69)&lt;52,IF('Capacity summary'!BE69&lt;&gt;"",IF(LOWER('Capacity summary'!BE69)="x",$BI157*BE157,VALUE('Capacity summary'!BE69)),0),BE157*$BI157),BE157*$BI157),0)</f>
        <v>0</v>
      </c>
      <c r="DI157" s="5">
        <f>IF($BI157&lt;&gt;"",IF('Capacity summary'!$C$14="Yes",IF(COUNTBLANK('Capacity summary'!$H69:$BG69)&lt;52,IF('Capacity summary'!BF69&lt;&gt;"",IF(LOWER('Capacity summary'!BF69)="x",$BI157*BF157,VALUE('Capacity summary'!BF69)),0),BF157*$BI157),BF157*$BI157),0)</f>
        <v>0</v>
      </c>
      <c r="DJ157" s="5">
        <f>IF($BI157&lt;&gt;"",IF('Capacity summary'!$C$14="Yes",IF(COUNTBLANK('Capacity summary'!$H69:$BG69)&lt;52,IF('Capacity summary'!BG69&lt;&gt;"",IF(LOWER('Capacity summary'!BG69)="x",$BI157*BG157,VALUE('Capacity summary'!BG69)),0),BG157*$BI157),BG157*$BI157),0)</f>
        <v>0</v>
      </c>
      <c r="DK157" s="5">
        <f t="shared" ref="DK157" si="51">SUM(DK158:DK257)</f>
        <v>0</v>
      </c>
    </row>
    <row r="158" spans="3:115" x14ac:dyDescent="0.25">
      <c r="C158" s="67" t="str">
        <f>ROW(A47)&amp;". "&amp;Capacity!N63</f>
        <v xml:space="preserve">47. </v>
      </c>
      <c r="D158" s="67">
        <f>'Capacity setup'!C164</f>
        <v>0</v>
      </c>
      <c r="E158" s="67">
        <f>'Capacity setup'!D164</f>
        <v>0</v>
      </c>
      <c r="F158" s="67">
        <f>'Capacity setup'!E164</f>
        <v>0</v>
      </c>
      <c r="H158" s="67">
        <f ca="1">IF(AND(SUMIF(Capacity_Resource,$D158,'Critical resources (hide)'!U$6:U$105)+SUMIF(Capacity_Resource,$E158,'Critical resources (hide)'!U$6:U$105)+SUMIF(Capacity_Resource,$F158,'Critical resources (hide)'!U$6:U$105)&gt;0,$E$1=2),0,1)</f>
        <v>1</v>
      </c>
      <c r="I158" s="67">
        <f ca="1">IF(AND(SUMIF(Capacity_Resource,$D158,'Critical resources (hide)'!V$6:V$105)+SUMIF(Capacity_Resource,$E158,'Critical resources (hide)'!V$6:V$105)+SUMIF(Capacity_Resource,$F158,'Critical resources (hide)'!V$6:V$105)&gt;0,$E$1=2),0,1)</f>
        <v>1</v>
      </c>
      <c r="J158" s="67">
        <f ca="1">IF(AND(SUMIF(Capacity_Resource,$D158,'Critical resources (hide)'!W$6:W$105)+SUMIF(Capacity_Resource,$E158,'Critical resources (hide)'!W$6:W$105)+SUMIF(Capacity_Resource,$F158,'Critical resources (hide)'!W$6:W$105)&gt;0,$E$1=2),0,1)</f>
        <v>1</v>
      </c>
      <c r="K158" s="67">
        <f ca="1">IF(AND(SUMIF(Capacity_Resource,$D158,'Critical resources (hide)'!X$6:X$105)+SUMIF(Capacity_Resource,$E158,'Critical resources (hide)'!X$6:X$105)+SUMIF(Capacity_Resource,$F158,'Critical resources (hide)'!X$6:X$105)&gt;0,$E$1=2),0,1)</f>
        <v>1</v>
      </c>
      <c r="L158" s="67">
        <f ca="1">IF(AND(SUMIF(Capacity_Resource,$D158,'Critical resources (hide)'!Y$6:Y$105)+SUMIF(Capacity_Resource,$E158,'Critical resources (hide)'!Y$6:Y$105)+SUMIF(Capacity_Resource,$F158,'Critical resources (hide)'!Y$6:Y$105)&gt;0,$E$1=2),0,1)</f>
        <v>1</v>
      </c>
      <c r="M158" s="67">
        <f ca="1">IF(AND(SUMIF(Capacity_Resource,$D158,'Critical resources (hide)'!Z$6:Z$105)+SUMIF(Capacity_Resource,$E158,'Critical resources (hide)'!Z$6:Z$105)+SUMIF(Capacity_Resource,$F158,'Critical resources (hide)'!Z$6:Z$105)&gt;0,$E$1=2),0,1)</f>
        <v>1</v>
      </c>
      <c r="N158" s="67">
        <f ca="1">IF(AND(SUMIF(Capacity_Resource,$D158,'Critical resources (hide)'!AA$6:AA$105)+SUMIF(Capacity_Resource,$E158,'Critical resources (hide)'!AA$6:AA$105)+SUMIF(Capacity_Resource,$F158,'Critical resources (hide)'!AA$6:AA$105)&gt;0,$E$1=2),0,1)</f>
        <v>1</v>
      </c>
      <c r="O158" s="67">
        <f ca="1">IF(AND(SUMIF(Capacity_Resource,$D158,'Critical resources (hide)'!AB$6:AB$105)+SUMIF(Capacity_Resource,$E158,'Critical resources (hide)'!AB$6:AB$105)+SUMIF(Capacity_Resource,$F158,'Critical resources (hide)'!AB$6:AB$105)&gt;0,$E$1=2),0,1)</f>
        <v>1</v>
      </c>
      <c r="P158" s="67">
        <f ca="1">IF(AND(SUMIF(Capacity_Resource,$D158,'Critical resources (hide)'!AC$6:AC$105)+SUMIF(Capacity_Resource,$E158,'Critical resources (hide)'!AC$6:AC$105)+SUMIF(Capacity_Resource,$F158,'Critical resources (hide)'!AC$6:AC$105)&gt;0,$E$1=2),0,1)</f>
        <v>1</v>
      </c>
      <c r="Q158" s="67">
        <f ca="1">IF(AND(SUMIF(Capacity_Resource,$D158,'Critical resources (hide)'!AD$6:AD$105)+SUMIF(Capacity_Resource,$E158,'Critical resources (hide)'!AD$6:AD$105)+SUMIF(Capacity_Resource,$F158,'Critical resources (hide)'!AD$6:AD$105)&gt;0,$E$1=2),0,1)</f>
        <v>1</v>
      </c>
      <c r="R158" s="67">
        <f ca="1">IF(AND(SUMIF(Capacity_Resource,$D158,'Critical resources (hide)'!AE$6:AE$105)+SUMIF(Capacity_Resource,$E158,'Critical resources (hide)'!AE$6:AE$105)+SUMIF(Capacity_Resource,$F158,'Critical resources (hide)'!AE$6:AE$105)&gt;0,$E$1=2),0,1)</f>
        <v>1</v>
      </c>
      <c r="S158" s="67">
        <f ca="1">IF(AND(SUMIF(Capacity_Resource,$D158,'Critical resources (hide)'!AF$6:AF$105)+SUMIF(Capacity_Resource,$E158,'Critical resources (hide)'!AF$6:AF$105)+SUMIF(Capacity_Resource,$F158,'Critical resources (hide)'!AF$6:AF$105)&gt;0,$E$1=2),0,1)</f>
        <v>1</v>
      </c>
      <c r="T158" s="67">
        <f ca="1">IF(AND(SUMIF(Capacity_Resource,$D158,'Critical resources (hide)'!AG$6:AG$105)+SUMIF(Capacity_Resource,$E158,'Critical resources (hide)'!AG$6:AG$105)+SUMIF(Capacity_Resource,$F158,'Critical resources (hide)'!AG$6:AG$105)&gt;0,$E$1=2),0,1)</f>
        <v>1</v>
      </c>
      <c r="U158" s="67">
        <f ca="1">IF(AND(SUMIF(Capacity_Resource,$D158,'Critical resources (hide)'!AH$6:AH$105)+SUMIF(Capacity_Resource,$E158,'Critical resources (hide)'!AH$6:AH$105)+SUMIF(Capacity_Resource,$F158,'Critical resources (hide)'!AH$6:AH$105)&gt;0,$E$1=2),0,1)</f>
        <v>1</v>
      </c>
      <c r="V158" s="67">
        <f ca="1">IF(AND(SUMIF(Capacity_Resource,$D158,'Critical resources (hide)'!AI$6:AI$105)+SUMIF(Capacity_Resource,$E158,'Critical resources (hide)'!AI$6:AI$105)+SUMIF(Capacity_Resource,$F158,'Critical resources (hide)'!AI$6:AI$105)&gt;0,$E$1=2),0,1)</f>
        <v>1</v>
      </c>
      <c r="W158" s="67">
        <f ca="1">IF(AND(SUMIF(Capacity_Resource,$D158,'Critical resources (hide)'!AJ$6:AJ$105)+SUMIF(Capacity_Resource,$E158,'Critical resources (hide)'!AJ$6:AJ$105)+SUMIF(Capacity_Resource,$F158,'Critical resources (hide)'!AJ$6:AJ$105)&gt;0,$E$1=2),0,1)</f>
        <v>1</v>
      </c>
      <c r="X158" s="67">
        <f ca="1">IF(AND(SUMIF(Capacity_Resource,$D158,'Critical resources (hide)'!AK$6:AK$105)+SUMIF(Capacity_Resource,$E158,'Critical resources (hide)'!AK$6:AK$105)+SUMIF(Capacity_Resource,$F158,'Critical resources (hide)'!AK$6:AK$105)&gt;0,$E$1=2),0,1)</f>
        <v>1</v>
      </c>
      <c r="Y158" s="67">
        <f ca="1">IF(AND(SUMIF(Capacity_Resource,$D158,'Critical resources (hide)'!AL$6:AL$105)+SUMIF(Capacity_Resource,$E158,'Critical resources (hide)'!AL$6:AL$105)+SUMIF(Capacity_Resource,$F158,'Critical resources (hide)'!AL$6:AL$105)&gt;0,$E$1=2),0,1)</f>
        <v>1</v>
      </c>
      <c r="Z158" s="67">
        <f ca="1">IF(AND(SUMIF(Capacity_Resource,$D158,'Critical resources (hide)'!AM$6:AM$105)+SUMIF(Capacity_Resource,$E158,'Critical resources (hide)'!AM$6:AM$105)+SUMIF(Capacity_Resource,$F158,'Critical resources (hide)'!AM$6:AM$105)&gt;0,$E$1=2),0,1)</f>
        <v>1</v>
      </c>
      <c r="AA158" s="67">
        <f ca="1">IF(AND(SUMIF(Capacity_Resource,$D158,'Critical resources (hide)'!AN$6:AN$105)+SUMIF(Capacity_Resource,$E158,'Critical resources (hide)'!AN$6:AN$105)+SUMIF(Capacity_Resource,$F158,'Critical resources (hide)'!AN$6:AN$105)&gt;0,$E$1=2),0,1)</f>
        <v>1</v>
      </c>
      <c r="AB158" s="67">
        <f ca="1">IF(AND(SUMIF(Capacity_Resource,$D158,'Critical resources (hide)'!AO$6:AO$105)+SUMIF(Capacity_Resource,$E158,'Critical resources (hide)'!AO$6:AO$105)+SUMIF(Capacity_Resource,$F158,'Critical resources (hide)'!AO$6:AO$105)&gt;0,$E$1=2),0,1)</f>
        <v>1</v>
      </c>
      <c r="AC158" s="67">
        <f ca="1">IF(AND(SUMIF(Capacity_Resource,$D158,'Critical resources (hide)'!AP$6:AP$105)+SUMIF(Capacity_Resource,$E158,'Critical resources (hide)'!AP$6:AP$105)+SUMIF(Capacity_Resource,$F158,'Critical resources (hide)'!AP$6:AP$105)&gt;0,$E$1=2),0,1)</f>
        <v>1</v>
      </c>
      <c r="AD158" s="67">
        <f ca="1">IF(AND(SUMIF(Capacity_Resource,$D158,'Critical resources (hide)'!AQ$6:AQ$105)+SUMIF(Capacity_Resource,$E158,'Critical resources (hide)'!AQ$6:AQ$105)+SUMIF(Capacity_Resource,$F158,'Critical resources (hide)'!AQ$6:AQ$105)&gt;0,$E$1=2),0,1)</f>
        <v>1</v>
      </c>
      <c r="AE158" s="67">
        <f ca="1">IF(AND(SUMIF(Capacity_Resource,$D158,'Critical resources (hide)'!AR$6:AR$105)+SUMIF(Capacity_Resource,$E158,'Critical resources (hide)'!AR$6:AR$105)+SUMIF(Capacity_Resource,$F158,'Critical resources (hide)'!AR$6:AR$105)&gt;0,$E$1=2),0,1)</f>
        <v>1</v>
      </c>
      <c r="AF158" s="67">
        <f ca="1">IF(AND(SUMIF(Capacity_Resource,$D158,'Critical resources (hide)'!AS$6:AS$105)+SUMIF(Capacity_Resource,$E158,'Critical resources (hide)'!AS$6:AS$105)+SUMIF(Capacity_Resource,$F158,'Critical resources (hide)'!AS$6:AS$105)&gt;0,$E$1=2),0,1)</f>
        <v>1</v>
      </c>
      <c r="AG158" s="67">
        <f ca="1">IF(AND(SUMIF(Capacity_Resource,$D158,'Critical resources (hide)'!AT$6:AT$105)+SUMIF(Capacity_Resource,$E158,'Critical resources (hide)'!AT$6:AT$105)+SUMIF(Capacity_Resource,$F158,'Critical resources (hide)'!AT$6:AT$105)&gt;0,$E$1=2),0,1)</f>
        <v>1</v>
      </c>
      <c r="AH158" s="67">
        <f ca="1">IF(AND(SUMIF(Capacity_Resource,$D158,'Critical resources (hide)'!AU$6:AU$105)+SUMIF(Capacity_Resource,$E158,'Critical resources (hide)'!AU$6:AU$105)+SUMIF(Capacity_Resource,$F158,'Critical resources (hide)'!AU$6:AU$105)&gt;0,$E$1=2),0,1)</f>
        <v>1</v>
      </c>
      <c r="AI158" s="67">
        <f ca="1">IF(AND(SUMIF(Capacity_Resource,$D158,'Critical resources (hide)'!AV$6:AV$105)+SUMIF(Capacity_Resource,$E158,'Critical resources (hide)'!AV$6:AV$105)+SUMIF(Capacity_Resource,$F158,'Critical resources (hide)'!AV$6:AV$105)&gt;0,$E$1=2),0,1)</f>
        <v>1</v>
      </c>
      <c r="AJ158" s="67">
        <f ca="1">IF(AND(SUMIF(Capacity_Resource,$D158,'Critical resources (hide)'!AW$6:AW$105)+SUMIF(Capacity_Resource,$E158,'Critical resources (hide)'!AW$6:AW$105)+SUMIF(Capacity_Resource,$F158,'Critical resources (hide)'!AW$6:AW$105)&gt;0,$E$1=2),0,1)</f>
        <v>1</v>
      </c>
      <c r="AK158" s="67">
        <f ca="1">IF(AND(SUMIF(Capacity_Resource,$D158,'Critical resources (hide)'!AX$6:AX$105)+SUMIF(Capacity_Resource,$E158,'Critical resources (hide)'!AX$6:AX$105)+SUMIF(Capacity_Resource,$F158,'Critical resources (hide)'!AX$6:AX$105)&gt;0,$E$1=2),0,1)</f>
        <v>1</v>
      </c>
      <c r="AL158" s="67">
        <f ca="1">IF(AND(SUMIF(Capacity_Resource,$D158,'Critical resources (hide)'!AY$6:AY$105)+SUMIF(Capacity_Resource,$E158,'Critical resources (hide)'!AY$6:AY$105)+SUMIF(Capacity_Resource,$F158,'Critical resources (hide)'!AY$6:AY$105)&gt;0,$E$1=2),0,1)</f>
        <v>1</v>
      </c>
      <c r="AM158" s="67">
        <f ca="1">IF(AND(SUMIF(Capacity_Resource,$D158,'Critical resources (hide)'!AZ$6:AZ$105)+SUMIF(Capacity_Resource,$E158,'Critical resources (hide)'!AZ$6:AZ$105)+SUMIF(Capacity_Resource,$F158,'Critical resources (hide)'!AZ$6:AZ$105)&gt;0,$E$1=2),0,1)</f>
        <v>1</v>
      </c>
      <c r="AN158" s="67">
        <f ca="1">IF(AND(SUMIF(Capacity_Resource,$D158,'Critical resources (hide)'!BA$6:BA$105)+SUMIF(Capacity_Resource,$E158,'Critical resources (hide)'!BA$6:BA$105)+SUMIF(Capacity_Resource,$F158,'Critical resources (hide)'!BA$6:BA$105)&gt;0,$E$1=2),0,1)</f>
        <v>1</v>
      </c>
      <c r="AO158" s="67">
        <f ca="1">IF(AND(SUMIF(Capacity_Resource,$D158,'Critical resources (hide)'!BB$6:BB$105)+SUMIF(Capacity_Resource,$E158,'Critical resources (hide)'!BB$6:BB$105)+SUMIF(Capacity_Resource,$F158,'Critical resources (hide)'!BB$6:BB$105)&gt;0,$E$1=2),0,1)</f>
        <v>1</v>
      </c>
      <c r="AP158" s="67">
        <f ca="1">IF(AND(SUMIF(Capacity_Resource,$D158,'Critical resources (hide)'!BC$6:BC$105)+SUMIF(Capacity_Resource,$E158,'Critical resources (hide)'!BC$6:BC$105)+SUMIF(Capacity_Resource,$F158,'Critical resources (hide)'!BC$6:BC$105)&gt;0,$E$1=2),0,1)</f>
        <v>1</v>
      </c>
      <c r="AQ158" s="67">
        <f ca="1">IF(AND(SUMIF(Capacity_Resource,$D158,'Critical resources (hide)'!BD$6:BD$105)+SUMIF(Capacity_Resource,$E158,'Critical resources (hide)'!BD$6:BD$105)+SUMIF(Capacity_Resource,$F158,'Critical resources (hide)'!BD$6:BD$105)&gt;0,$E$1=2),0,1)</f>
        <v>1</v>
      </c>
      <c r="AR158" s="67">
        <f ca="1">IF(AND(SUMIF(Capacity_Resource,$D158,'Critical resources (hide)'!BE$6:BE$105)+SUMIF(Capacity_Resource,$E158,'Critical resources (hide)'!BE$6:BE$105)+SUMIF(Capacity_Resource,$F158,'Critical resources (hide)'!BE$6:BE$105)&gt;0,$E$1=2),0,1)</f>
        <v>1</v>
      </c>
      <c r="AS158" s="67">
        <f ca="1">IF(AND(SUMIF(Capacity_Resource,$D158,'Critical resources (hide)'!BF$6:BF$105)+SUMIF(Capacity_Resource,$E158,'Critical resources (hide)'!BF$6:BF$105)+SUMIF(Capacity_Resource,$F158,'Critical resources (hide)'!BF$6:BF$105)&gt;0,$E$1=2),0,1)</f>
        <v>1</v>
      </c>
      <c r="AT158" s="67">
        <f ca="1">IF(AND(SUMIF(Capacity_Resource,$D158,'Critical resources (hide)'!BG$6:BG$105)+SUMIF(Capacity_Resource,$E158,'Critical resources (hide)'!BG$6:BG$105)+SUMIF(Capacity_Resource,$F158,'Critical resources (hide)'!BG$6:BG$105)&gt;0,$E$1=2),0,1)</f>
        <v>1</v>
      </c>
      <c r="AU158" s="67">
        <f ca="1">IF(AND(SUMIF(Capacity_Resource,$D158,'Critical resources (hide)'!BH$6:BH$105)+SUMIF(Capacity_Resource,$E158,'Critical resources (hide)'!BH$6:BH$105)+SUMIF(Capacity_Resource,$F158,'Critical resources (hide)'!BH$6:BH$105)&gt;0,$E$1=2),0,1)</f>
        <v>1</v>
      </c>
      <c r="AV158" s="67">
        <f ca="1">IF(AND(SUMIF(Capacity_Resource,$D158,'Critical resources (hide)'!BI$6:BI$105)+SUMIF(Capacity_Resource,$E158,'Critical resources (hide)'!BI$6:BI$105)+SUMIF(Capacity_Resource,$F158,'Critical resources (hide)'!BI$6:BI$105)&gt;0,$E$1=2),0,1)</f>
        <v>1</v>
      </c>
      <c r="AW158" s="67">
        <f ca="1">IF(AND(SUMIF(Capacity_Resource,$D158,'Critical resources (hide)'!BJ$6:BJ$105)+SUMIF(Capacity_Resource,$E158,'Critical resources (hide)'!BJ$6:BJ$105)+SUMIF(Capacity_Resource,$F158,'Critical resources (hide)'!BJ$6:BJ$105)&gt;0,$E$1=2),0,1)</f>
        <v>1</v>
      </c>
      <c r="AX158" s="67">
        <f ca="1">IF(AND(SUMIF(Capacity_Resource,$D158,'Critical resources (hide)'!BK$6:BK$105)+SUMIF(Capacity_Resource,$E158,'Critical resources (hide)'!BK$6:BK$105)+SUMIF(Capacity_Resource,$F158,'Critical resources (hide)'!BK$6:BK$105)&gt;0,$E$1=2),0,1)</f>
        <v>1</v>
      </c>
      <c r="AY158" s="67">
        <f ca="1">IF(AND(SUMIF(Capacity_Resource,$D158,'Critical resources (hide)'!BL$6:BL$105)+SUMIF(Capacity_Resource,$E158,'Critical resources (hide)'!BL$6:BL$105)+SUMIF(Capacity_Resource,$F158,'Critical resources (hide)'!BL$6:BL$105)&gt;0,$E$1=2),0,1)</f>
        <v>1</v>
      </c>
      <c r="AZ158" s="67">
        <f ca="1">IF(AND(SUMIF(Capacity_Resource,$D158,'Critical resources (hide)'!BM$6:BM$105)+SUMIF(Capacity_Resource,$E158,'Critical resources (hide)'!BM$6:BM$105)+SUMIF(Capacity_Resource,$F158,'Critical resources (hide)'!BM$6:BM$105)&gt;0,$E$1=2),0,1)</f>
        <v>1</v>
      </c>
      <c r="BA158" s="67">
        <f ca="1">IF(AND(SUMIF(Capacity_Resource,$D158,'Critical resources (hide)'!BN$6:BN$105)+SUMIF(Capacity_Resource,$E158,'Critical resources (hide)'!BN$6:BN$105)+SUMIF(Capacity_Resource,$F158,'Critical resources (hide)'!BN$6:BN$105)&gt;0,$E$1=2),0,1)</f>
        <v>1</v>
      </c>
      <c r="BB158" s="67">
        <f ca="1">IF(AND(SUMIF(Capacity_Resource,$D158,'Critical resources (hide)'!BO$6:BO$105)+SUMIF(Capacity_Resource,$E158,'Critical resources (hide)'!BO$6:BO$105)+SUMIF(Capacity_Resource,$F158,'Critical resources (hide)'!BO$6:BO$105)&gt;0,$E$1=2),0,1)</f>
        <v>1</v>
      </c>
      <c r="BC158" s="67">
        <f ca="1">IF(AND(SUMIF(Capacity_Resource,$D158,'Critical resources (hide)'!BP$6:BP$105)+SUMIF(Capacity_Resource,$E158,'Critical resources (hide)'!BP$6:BP$105)+SUMIF(Capacity_Resource,$F158,'Critical resources (hide)'!BP$6:BP$105)&gt;0,$E$1=2),0,1)</f>
        <v>1</v>
      </c>
      <c r="BD158" s="67">
        <f ca="1">IF(AND(SUMIF(Capacity_Resource,$D158,'Critical resources (hide)'!BQ$6:BQ$105)+SUMIF(Capacity_Resource,$E158,'Critical resources (hide)'!BQ$6:BQ$105)+SUMIF(Capacity_Resource,$F158,'Critical resources (hide)'!BQ$6:BQ$105)&gt;0,$E$1=2),0,1)</f>
        <v>1</v>
      </c>
      <c r="BE158" s="67">
        <f ca="1">IF(AND(SUMIF(Capacity_Resource,$D158,'Critical resources (hide)'!BR$6:BR$105)+SUMIF(Capacity_Resource,$E158,'Critical resources (hide)'!BR$6:BR$105)+SUMIF(Capacity_Resource,$F158,'Critical resources (hide)'!BR$6:BR$105)&gt;0,$E$1=2),0,1)</f>
        <v>1</v>
      </c>
      <c r="BF158" s="67">
        <f ca="1">IF(AND(SUMIF(Capacity_Resource,$D158,'Critical resources (hide)'!BS$6:BS$105)+SUMIF(Capacity_Resource,$E158,'Critical resources (hide)'!BS$6:BS$105)+SUMIF(Capacity_Resource,$F158,'Critical resources (hide)'!BS$6:BS$105)&gt;0,$E$1=2),0,1)</f>
        <v>1</v>
      </c>
      <c r="BG158" s="67">
        <f ca="1">IF(AND(SUMIF(Capacity_Resource,$D158,'Critical resources (hide)'!BT$6:BT$105)+SUMIF(Capacity_Resource,$E158,'Critical resources (hide)'!BT$6:BT$105)+SUMIF(Capacity_Resource,$F158,'Critical resources (hide)'!BT$6:BT$105)&gt;0,$E$1=2),0,1)</f>
        <v>1</v>
      </c>
      <c r="BH158" s="67">
        <f>IF(ROW(A47)&lt;=Capacity!$M$16,IF('Capacity summary'!$C$14="No",SUM(H158:BG158),'Capacity summary'!$E70),0)</f>
        <v>0</v>
      </c>
      <c r="BI158" s="67" t="str">
        <f>IF(BH158&gt;0,IF(BH158&lt;Capacity!Q63,Capacity!R63,Capacity!T63/'Capacity calculation (hide)'!BH158),"")</f>
        <v/>
      </c>
      <c r="BJ158" s="5"/>
      <c r="BK158" s="5">
        <f>IF($BI158&lt;&gt;"",IF('Capacity summary'!$C$14="Yes",IF(COUNTBLANK('Capacity summary'!$H70:$BG70)&lt;52,IF('Capacity summary'!H70&lt;&gt;"",IF(LOWER('Capacity summary'!H70)="x",$BI158*H158,VALUE('Capacity summary'!H70)),0),H158*$BI158),H158*$BI158),0)</f>
        <v>0</v>
      </c>
      <c r="BL158" s="5">
        <f>IF($BI158&lt;&gt;"",IF('Capacity summary'!$C$14="Yes",IF(COUNTBLANK('Capacity summary'!$H70:$BG70)&lt;52,IF('Capacity summary'!I70&lt;&gt;"",IF(LOWER('Capacity summary'!I70)="x",$BI158*I158,VALUE('Capacity summary'!I70)),0),I158*$BI158),I158*$BI158),0)</f>
        <v>0</v>
      </c>
      <c r="BM158" s="5">
        <f>IF($BI158&lt;&gt;"",IF('Capacity summary'!$C$14="Yes",IF(COUNTBLANK('Capacity summary'!$H70:$BG70)&lt;52,IF('Capacity summary'!J70&lt;&gt;"",IF(LOWER('Capacity summary'!J70)="x",$BI158*J158,VALUE('Capacity summary'!J70)),0),J158*$BI158),J158*$BI158),0)</f>
        <v>0</v>
      </c>
      <c r="BN158" s="5">
        <f>IF($BI158&lt;&gt;"",IF('Capacity summary'!$C$14="Yes",IF(COUNTBLANK('Capacity summary'!$H70:$BG70)&lt;52,IF('Capacity summary'!K70&lt;&gt;"",IF(LOWER('Capacity summary'!K70)="x",$BI158*K158,VALUE('Capacity summary'!K70)),0),K158*$BI158),K158*$BI158),0)</f>
        <v>0</v>
      </c>
      <c r="BO158" s="5">
        <f>IF($BI158&lt;&gt;"",IF('Capacity summary'!$C$14="Yes",IF(COUNTBLANK('Capacity summary'!$H70:$BG70)&lt;52,IF('Capacity summary'!L70&lt;&gt;"",IF(LOWER('Capacity summary'!L70)="x",$BI158*L158,VALUE('Capacity summary'!L70)),0),L158*$BI158),L158*$BI158),0)</f>
        <v>0</v>
      </c>
      <c r="BP158" s="5">
        <f>IF($BI158&lt;&gt;"",IF('Capacity summary'!$C$14="Yes",IF(COUNTBLANK('Capacity summary'!$H70:$BG70)&lt;52,IF('Capacity summary'!M70&lt;&gt;"",IF(LOWER('Capacity summary'!M70)="x",$BI158*M158,VALUE('Capacity summary'!M70)),0),M158*$BI158),M158*$BI158),0)</f>
        <v>0</v>
      </c>
      <c r="BQ158" s="5">
        <f>IF($BI158&lt;&gt;"",IF('Capacity summary'!$C$14="Yes",IF(COUNTBLANK('Capacity summary'!$H70:$BG70)&lt;52,IF('Capacity summary'!N70&lt;&gt;"",IF(LOWER('Capacity summary'!N70)="x",$BI158*N158,VALUE('Capacity summary'!N70)),0),N158*$BI158),N158*$BI158),0)</f>
        <v>0</v>
      </c>
      <c r="BR158" s="5">
        <f>IF($BI158&lt;&gt;"",IF('Capacity summary'!$C$14="Yes",IF(COUNTBLANK('Capacity summary'!$H70:$BG70)&lt;52,IF('Capacity summary'!O70&lt;&gt;"",IF(LOWER('Capacity summary'!O70)="x",$BI158*O158,VALUE('Capacity summary'!O70)),0),O158*$BI158),O158*$BI158),0)</f>
        <v>0</v>
      </c>
      <c r="BS158" s="5">
        <f>IF($BI158&lt;&gt;"",IF('Capacity summary'!$C$14="Yes",IF(COUNTBLANK('Capacity summary'!$H70:$BG70)&lt;52,IF('Capacity summary'!P70&lt;&gt;"",IF(LOWER('Capacity summary'!P70)="x",$BI158*P158,VALUE('Capacity summary'!P70)),0),P158*$BI158),P158*$BI158),0)</f>
        <v>0</v>
      </c>
      <c r="BT158" s="5">
        <f>IF($BI158&lt;&gt;"",IF('Capacity summary'!$C$14="Yes",IF(COUNTBLANK('Capacity summary'!$H70:$BG70)&lt;52,IF('Capacity summary'!Q70&lt;&gt;"",IF(LOWER('Capacity summary'!Q70)="x",$BI158*Q158,VALUE('Capacity summary'!Q70)),0),Q158*$BI158),Q158*$BI158),0)</f>
        <v>0</v>
      </c>
      <c r="BU158" s="5">
        <f>IF($BI158&lt;&gt;"",IF('Capacity summary'!$C$14="Yes",IF(COUNTBLANK('Capacity summary'!$H70:$BG70)&lt;52,IF('Capacity summary'!R70&lt;&gt;"",IF(LOWER('Capacity summary'!R70)="x",$BI158*R158,VALUE('Capacity summary'!R70)),0),R158*$BI158),R158*$BI158),0)</f>
        <v>0</v>
      </c>
      <c r="BV158" s="5">
        <f>IF($BI158&lt;&gt;"",IF('Capacity summary'!$C$14="Yes",IF(COUNTBLANK('Capacity summary'!$H70:$BG70)&lt;52,IF('Capacity summary'!S70&lt;&gt;"",IF(LOWER('Capacity summary'!S70)="x",$BI158*S158,VALUE('Capacity summary'!S70)),0),S158*$BI158),S158*$BI158),0)</f>
        <v>0</v>
      </c>
      <c r="BW158" s="5">
        <f>IF($BI158&lt;&gt;"",IF('Capacity summary'!$C$14="Yes",IF(COUNTBLANK('Capacity summary'!$H70:$BG70)&lt;52,IF('Capacity summary'!T70&lt;&gt;"",IF(LOWER('Capacity summary'!T70)="x",$BI158*T158,VALUE('Capacity summary'!T70)),0),T158*$BI158),T158*$BI158),0)</f>
        <v>0</v>
      </c>
      <c r="BX158" s="5">
        <f>IF($BI158&lt;&gt;"",IF('Capacity summary'!$C$14="Yes",IF(COUNTBLANK('Capacity summary'!$H70:$BG70)&lt;52,IF('Capacity summary'!U70&lt;&gt;"",IF(LOWER('Capacity summary'!U70)="x",$BI158*U158,VALUE('Capacity summary'!U70)),0),U158*$BI158),U158*$BI158),0)</f>
        <v>0</v>
      </c>
      <c r="BY158" s="5">
        <f>IF($BI158&lt;&gt;"",IF('Capacity summary'!$C$14="Yes",IF(COUNTBLANK('Capacity summary'!$H70:$BG70)&lt;52,IF('Capacity summary'!V70&lt;&gt;"",IF(LOWER('Capacity summary'!V70)="x",$BI158*V158,VALUE('Capacity summary'!V70)),0),V158*$BI158),V158*$BI158),0)</f>
        <v>0</v>
      </c>
      <c r="BZ158" s="5">
        <f>IF($BI158&lt;&gt;"",IF('Capacity summary'!$C$14="Yes",IF(COUNTBLANK('Capacity summary'!$H70:$BG70)&lt;52,IF('Capacity summary'!W70&lt;&gt;"",IF(LOWER('Capacity summary'!W70)="x",$BI158*W158,VALUE('Capacity summary'!W70)),0),W158*$BI158),W158*$BI158),0)</f>
        <v>0</v>
      </c>
      <c r="CA158" s="5">
        <f>IF($BI158&lt;&gt;"",IF('Capacity summary'!$C$14="Yes",IF(COUNTBLANK('Capacity summary'!$H70:$BG70)&lt;52,IF('Capacity summary'!X70&lt;&gt;"",IF(LOWER('Capacity summary'!X70)="x",$BI158*X158,VALUE('Capacity summary'!X70)),0),X158*$BI158),X158*$BI158),0)</f>
        <v>0</v>
      </c>
      <c r="CB158" s="5">
        <f>IF($BI158&lt;&gt;"",IF('Capacity summary'!$C$14="Yes",IF(COUNTBLANK('Capacity summary'!$H70:$BG70)&lt;52,IF('Capacity summary'!Y70&lt;&gt;"",IF(LOWER('Capacity summary'!Y70)="x",$BI158*Y158,VALUE('Capacity summary'!Y70)),0),Y158*$BI158),Y158*$BI158),0)</f>
        <v>0</v>
      </c>
      <c r="CC158" s="5">
        <f>IF($BI158&lt;&gt;"",IF('Capacity summary'!$C$14="Yes",IF(COUNTBLANK('Capacity summary'!$H70:$BG70)&lt;52,IF('Capacity summary'!Z70&lt;&gt;"",IF(LOWER('Capacity summary'!Z70)="x",$BI158*Z158,VALUE('Capacity summary'!Z70)),0),Z158*$BI158),Z158*$BI158),0)</f>
        <v>0</v>
      </c>
      <c r="CD158" s="5">
        <f>IF($BI158&lt;&gt;"",IF('Capacity summary'!$C$14="Yes",IF(COUNTBLANK('Capacity summary'!$H70:$BG70)&lt;52,IF('Capacity summary'!AA70&lt;&gt;"",IF(LOWER('Capacity summary'!AA70)="x",$BI158*AA158,VALUE('Capacity summary'!AA70)),0),AA158*$BI158),AA158*$BI158),0)</f>
        <v>0</v>
      </c>
      <c r="CE158" s="5">
        <f>IF($BI158&lt;&gt;"",IF('Capacity summary'!$C$14="Yes",IF(COUNTBLANK('Capacity summary'!$H70:$BG70)&lt;52,IF('Capacity summary'!AB70&lt;&gt;"",IF(LOWER('Capacity summary'!AB70)="x",$BI158*AB158,VALUE('Capacity summary'!AB70)),0),AB158*$BI158),AB158*$BI158),0)</f>
        <v>0</v>
      </c>
      <c r="CF158" s="5">
        <f>IF($BI158&lt;&gt;"",IF('Capacity summary'!$C$14="Yes",IF(COUNTBLANK('Capacity summary'!$H70:$BG70)&lt;52,IF('Capacity summary'!AC70&lt;&gt;"",IF(LOWER('Capacity summary'!AC70)="x",$BI158*AC158,VALUE('Capacity summary'!AC70)),0),AC158*$BI158),AC158*$BI158),0)</f>
        <v>0</v>
      </c>
      <c r="CG158" s="5">
        <f>IF($BI158&lt;&gt;"",IF('Capacity summary'!$C$14="Yes",IF(COUNTBLANK('Capacity summary'!$H70:$BG70)&lt;52,IF('Capacity summary'!AD70&lt;&gt;"",IF(LOWER('Capacity summary'!AD70)="x",$BI158*AD158,VALUE('Capacity summary'!AD70)),0),AD158*$BI158),AD158*$BI158),0)</f>
        <v>0</v>
      </c>
      <c r="CH158" s="5">
        <f>IF($BI158&lt;&gt;"",IF('Capacity summary'!$C$14="Yes",IF(COUNTBLANK('Capacity summary'!$H70:$BG70)&lt;52,IF('Capacity summary'!AE70&lt;&gt;"",IF(LOWER('Capacity summary'!AE70)="x",$BI158*AE158,VALUE('Capacity summary'!AE70)),0),AE158*$BI158),AE158*$BI158),0)</f>
        <v>0</v>
      </c>
      <c r="CI158" s="5">
        <f>IF($BI158&lt;&gt;"",IF('Capacity summary'!$C$14="Yes",IF(COUNTBLANK('Capacity summary'!$H70:$BG70)&lt;52,IF('Capacity summary'!AF70&lt;&gt;"",IF(LOWER('Capacity summary'!AF70)="x",$BI158*AF158,VALUE('Capacity summary'!AF70)),0),AF158*$BI158),AF158*$BI158),0)</f>
        <v>0</v>
      </c>
      <c r="CJ158" s="5">
        <f>IF($BI158&lt;&gt;"",IF('Capacity summary'!$C$14="Yes",IF(COUNTBLANK('Capacity summary'!$H70:$BG70)&lt;52,IF('Capacity summary'!AG70&lt;&gt;"",IF(LOWER('Capacity summary'!AG70)="x",$BI158*AG158,VALUE('Capacity summary'!AG70)),0),AG158*$BI158),AG158*$BI158),0)</f>
        <v>0</v>
      </c>
      <c r="CK158" s="5">
        <f>IF($BI158&lt;&gt;"",IF('Capacity summary'!$C$14="Yes",IF(COUNTBLANK('Capacity summary'!$H70:$BG70)&lt;52,IF('Capacity summary'!AH70&lt;&gt;"",IF(LOWER('Capacity summary'!AH70)="x",$BI158*AH158,VALUE('Capacity summary'!AH70)),0),AH158*$BI158),AH158*$BI158),0)</f>
        <v>0</v>
      </c>
      <c r="CL158" s="5">
        <f>IF($BI158&lt;&gt;"",IF('Capacity summary'!$C$14="Yes",IF(COUNTBLANK('Capacity summary'!$H70:$BG70)&lt;52,IF('Capacity summary'!AI70&lt;&gt;"",IF(LOWER('Capacity summary'!AI70)="x",$BI158*AI158,VALUE('Capacity summary'!AI70)),0),AI158*$BI158),AI158*$BI158),0)</f>
        <v>0</v>
      </c>
      <c r="CM158" s="5">
        <f>IF($BI158&lt;&gt;"",IF('Capacity summary'!$C$14="Yes",IF(COUNTBLANK('Capacity summary'!$H70:$BG70)&lt;52,IF('Capacity summary'!AJ70&lt;&gt;"",IF(LOWER('Capacity summary'!AJ70)="x",$BI158*AJ158,VALUE('Capacity summary'!AJ70)),0),AJ158*$BI158),AJ158*$BI158),0)</f>
        <v>0</v>
      </c>
      <c r="CN158" s="5">
        <f>IF($BI158&lt;&gt;"",IF('Capacity summary'!$C$14="Yes",IF(COUNTBLANK('Capacity summary'!$H70:$BG70)&lt;52,IF('Capacity summary'!AK70&lt;&gt;"",IF(LOWER('Capacity summary'!AK70)="x",$BI158*AK158,VALUE('Capacity summary'!AK70)),0),AK158*$BI158),AK158*$BI158),0)</f>
        <v>0</v>
      </c>
      <c r="CO158" s="5">
        <f>IF($BI158&lt;&gt;"",IF('Capacity summary'!$C$14="Yes",IF(COUNTBLANK('Capacity summary'!$H70:$BG70)&lt;52,IF('Capacity summary'!AL70&lt;&gt;"",IF(LOWER('Capacity summary'!AL70)="x",$BI158*AL158,VALUE('Capacity summary'!AL70)),0),AL158*$BI158),AL158*$BI158),0)</f>
        <v>0</v>
      </c>
      <c r="CP158" s="5">
        <f>IF($BI158&lt;&gt;"",IF('Capacity summary'!$C$14="Yes",IF(COUNTBLANK('Capacity summary'!$H70:$BG70)&lt;52,IF('Capacity summary'!AM70&lt;&gt;"",IF(LOWER('Capacity summary'!AM70)="x",$BI158*AM158,VALUE('Capacity summary'!AM70)),0),AM158*$BI158),AM158*$BI158),0)</f>
        <v>0</v>
      </c>
      <c r="CQ158" s="5">
        <f>IF($BI158&lt;&gt;"",IF('Capacity summary'!$C$14="Yes",IF(COUNTBLANK('Capacity summary'!$H70:$BG70)&lt;52,IF('Capacity summary'!AN70&lt;&gt;"",IF(LOWER('Capacity summary'!AN70)="x",$BI158*AN158,VALUE('Capacity summary'!AN70)),0),AN158*$BI158),AN158*$BI158),0)</f>
        <v>0</v>
      </c>
      <c r="CR158" s="5">
        <f>IF($BI158&lt;&gt;"",IF('Capacity summary'!$C$14="Yes",IF(COUNTBLANK('Capacity summary'!$H70:$BG70)&lt;52,IF('Capacity summary'!AO70&lt;&gt;"",IF(LOWER('Capacity summary'!AO70)="x",$BI158*AO158,VALUE('Capacity summary'!AO70)),0),AO158*$BI158),AO158*$BI158),0)</f>
        <v>0</v>
      </c>
      <c r="CS158" s="5">
        <f>IF($BI158&lt;&gt;"",IF('Capacity summary'!$C$14="Yes",IF(COUNTBLANK('Capacity summary'!$H70:$BG70)&lt;52,IF('Capacity summary'!AP70&lt;&gt;"",IF(LOWER('Capacity summary'!AP70)="x",$BI158*AP158,VALUE('Capacity summary'!AP70)),0),AP158*$BI158),AP158*$BI158),0)</f>
        <v>0</v>
      </c>
      <c r="CT158" s="5">
        <f>IF($BI158&lt;&gt;"",IF('Capacity summary'!$C$14="Yes",IF(COUNTBLANK('Capacity summary'!$H70:$BG70)&lt;52,IF('Capacity summary'!AQ70&lt;&gt;"",IF(LOWER('Capacity summary'!AQ70)="x",$BI158*AQ158,VALUE('Capacity summary'!AQ70)),0),AQ158*$BI158),AQ158*$BI158),0)</f>
        <v>0</v>
      </c>
      <c r="CU158" s="5">
        <f>IF($BI158&lt;&gt;"",IF('Capacity summary'!$C$14="Yes",IF(COUNTBLANK('Capacity summary'!$H70:$BG70)&lt;52,IF('Capacity summary'!AR70&lt;&gt;"",IF(LOWER('Capacity summary'!AR70)="x",$BI158*AR158,VALUE('Capacity summary'!AR70)),0),AR158*$BI158),AR158*$BI158),0)</f>
        <v>0</v>
      </c>
      <c r="CV158" s="5">
        <f>IF($BI158&lt;&gt;"",IF('Capacity summary'!$C$14="Yes",IF(COUNTBLANK('Capacity summary'!$H70:$BG70)&lt;52,IF('Capacity summary'!AS70&lt;&gt;"",IF(LOWER('Capacity summary'!AS70)="x",$BI158*AS158,VALUE('Capacity summary'!AS70)),0),AS158*$BI158),AS158*$BI158),0)</f>
        <v>0</v>
      </c>
      <c r="CW158" s="5">
        <f>IF($BI158&lt;&gt;"",IF('Capacity summary'!$C$14="Yes",IF(COUNTBLANK('Capacity summary'!$H70:$BG70)&lt;52,IF('Capacity summary'!AT70&lt;&gt;"",IF(LOWER('Capacity summary'!AT70)="x",$BI158*AT158,VALUE('Capacity summary'!AT70)),0),AT158*$BI158),AT158*$BI158),0)</f>
        <v>0</v>
      </c>
      <c r="CX158" s="5">
        <f>IF($BI158&lt;&gt;"",IF('Capacity summary'!$C$14="Yes",IF(COUNTBLANK('Capacity summary'!$H70:$BG70)&lt;52,IF('Capacity summary'!AU70&lt;&gt;"",IF(LOWER('Capacity summary'!AU70)="x",$BI158*AU158,VALUE('Capacity summary'!AU70)),0),AU158*$BI158),AU158*$BI158),0)</f>
        <v>0</v>
      </c>
      <c r="CY158" s="5">
        <f>IF($BI158&lt;&gt;"",IF('Capacity summary'!$C$14="Yes",IF(COUNTBLANK('Capacity summary'!$H70:$BG70)&lt;52,IF('Capacity summary'!AV70&lt;&gt;"",IF(LOWER('Capacity summary'!AV70)="x",$BI158*AV158,VALUE('Capacity summary'!AV70)),0),AV158*$BI158),AV158*$BI158),0)</f>
        <v>0</v>
      </c>
      <c r="CZ158" s="5">
        <f>IF($BI158&lt;&gt;"",IF('Capacity summary'!$C$14="Yes",IF(COUNTBLANK('Capacity summary'!$H70:$BG70)&lt;52,IF('Capacity summary'!AW70&lt;&gt;"",IF(LOWER('Capacity summary'!AW70)="x",$BI158*AW158,VALUE('Capacity summary'!AW70)),0),AW158*$BI158),AW158*$BI158),0)</f>
        <v>0</v>
      </c>
      <c r="DA158" s="5">
        <f>IF($BI158&lt;&gt;"",IF('Capacity summary'!$C$14="Yes",IF(COUNTBLANK('Capacity summary'!$H70:$BG70)&lt;52,IF('Capacity summary'!AX70&lt;&gt;"",IF(LOWER('Capacity summary'!AX70)="x",$BI158*AX158,VALUE('Capacity summary'!AX70)),0),AX158*$BI158),AX158*$BI158),0)</f>
        <v>0</v>
      </c>
      <c r="DB158" s="5">
        <f>IF($BI158&lt;&gt;"",IF('Capacity summary'!$C$14="Yes",IF(COUNTBLANK('Capacity summary'!$H70:$BG70)&lt;52,IF('Capacity summary'!AY70&lt;&gt;"",IF(LOWER('Capacity summary'!AY70)="x",$BI158*AY158,VALUE('Capacity summary'!AY70)),0),AY158*$BI158),AY158*$BI158),0)</f>
        <v>0</v>
      </c>
      <c r="DC158" s="5">
        <f>IF($BI158&lt;&gt;"",IF('Capacity summary'!$C$14="Yes",IF(COUNTBLANK('Capacity summary'!$H70:$BG70)&lt;52,IF('Capacity summary'!AZ70&lt;&gt;"",IF(LOWER('Capacity summary'!AZ70)="x",$BI158*AZ158,VALUE('Capacity summary'!AZ70)),0),AZ158*$BI158),AZ158*$BI158),0)</f>
        <v>0</v>
      </c>
      <c r="DD158" s="5">
        <f>IF($BI158&lt;&gt;"",IF('Capacity summary'!$C$14="Yes",IF(COUNTBLANK('Capacity summary'!$H70:$BG70)&lt;52,IF('Capacity summary'!BA70&lt;&gt;"",IF(LOWER('Capacity summary'!BA70)="x",$BI158*BA158,VALUE('Capacity summary'!BA70)),0),BA158*$BI158),BA158*$BI158),0)</f>
        <v>0</v>
      </c>
      <c r="DE158" s="5">
        <f>IF($BI158&lt;&gt;"",IF('Capacity summary'!$C$14="Yes",IF(COUNTBLANK('Capacity summary'!$H70:$BG70)&lt;52,IF('Capacity summary'!BB70&lt;&gt;"",IF(LOWER('Capacity summary'!BB70)="x",$BI158*BB158,VALUE('Capacity summary'!BB70)),0),BB158*$BI158),BB158*$BI158),0)</f>
        <v>0</v>
      </c>
      <c r="DF158" s="5">
        <f>IF($BI158&lt;&gt;"",IF('Capacity summary'!$C$14="Yes",IF(COUNTBLANK('Capacity summary'!$H70:$BG70)&lt;52,IF('Capacity summary'!BC70&lt;&gt;"",IF(LOWER('Capacity summary'!BC70)="x",$BI158*BC158,VALUE('Capacity summary'!BC70)),0),BC158*$BI158),BC158*$BI158),0)</f>
        <v>0</v>
      </c>
      <c r="DG158" s="5">
        <f>IF($BI158&lt;&gt;"",IF('Capacity summary'!$C$14="Yes",IF(COUNTBLANK('Capacity summary'!$H70:$BG70)&lt;52,IF('Capacity summary'!BD70&lt;&gt;"",IF(LOWER('Capacity summary'!BD70)="x",$BI158*BD158,VALUE('Capacity summary'!BD70)),0),BD158*$BI158),BD158*$BI158),0)</f>
        <v>0</v>
      </c>
      <c r="DH158" s="5">
        <f>IF($BI158&lt;&gt;"",IF('Capacity summary'!$C$14="Yes",IF(COUNTBLANK('Capacity summary'!$H70:$BG70)&lt;52,IF('Capacity summary'!BE70&lt;&gt;"",IF(LOWER('Capacity summary'!BE70)="x",$BI158*BE158,VALUE('Capacity summary'!BE70)),0),BE158*$BI158),BE158*$BI158),0)</f>
        <v>0</v>
      </c>
      <c r="DI158" s="5">
        <f>IF($BI158&lt;&gt;"",IF('Capacity summary'!$C$14="Yes",IF(COUNTBLANK('Capacity summary'!$H70:$BG70)&lt;52,IF('Capacity summary'!BF70&lt;&gt;"",IF(LOWER('Capacity summary'!BF70)="x",$BI158*BF158,VALUE('Capacity summary'!BF70)),0),BF158*$BI158),BF158*$BI158),0)</f>
        <v>0</v>
      </c>
      <c r="DJ158" s="5">
        <f>IF($BI158&lt;&gt;"",IF('Capacity summary'!$C$14="Yes",IF(COUNTBLANK('Capacity summary'!$H70:$BG70)&lt;52,IF('Capacity summary'!BG70&lt;&gt;"",IF(LOWER('Capacity summary'!BG70)="x",$BI158*BG158,VALUE('Capacity summary'!BG70)),0),BG158*$BI158),BG158*$BI158),0)</f>
        <v>0</v>
      </c>
      <c r="DK158" s="5">
        <f t="shared" ref="DK158" si="52">SUM(DK159:DK258)</f>
        <v>0</v>
      </c>
    </row>
    <row r="159" spans="3:115" x14ac:dyDescent="0.25">
      <c r="C159" s="67" t="str">
        <f>ROW(A48)&amp;". "&amp;Capacity!N64</f>
        <v xml:space="preserve">48. </v>
      </c>
      <c r="D159" s="67">
        <f>'Capacity setup'!C165</f>
        <v>0</v>
      </c>
      <c r="E159" s="67">
        <f>'Capacity setup'!D165</f>
        <v>0</v>
      </c>
      <c r="F159" s="67">
        <f>'Capacity setup'!E165</f>
        <v>0</v>
      </c>
      <c r="H159" s="67">
        <f ca="1">IF(AND(SUMIF(Capacity_Resource,$D159,'Critical resources (hide)'!U$6:U$105)+SUMIF(Capacity_Resource,$E159,'Critical resources (hide)'!U$6:U$105)+SUMIF(Capacity_Resource,$F159,'Critical resources (hide)'!U$6:U$105)&gt;0,$E$1=2),0,1)</f>
        <v>1</v>
      </c>
      <c r="I159" s="67">
        <f ca="1">IF(AND(SUMIF(Capacity_Resource,$D159,'Critical resources (hide)'!V$6:V$105)+SUMIF(Capacity_Resource,$E159,'Critical resources (hide)'!V$6:V$105)+SUMIF(Capacity_Resource,$F159,'Critical resources (hide)'!V$6:V$105)&gt;0,$E$1=2),0,1)</f>
        <v>1</v>
      </c>
      <c r="J159" s="67">
        <f ca="1">IF(AND(SUMIF(Capacity_Resource,$D159,'Critical resources (hide)'!W$6:W$105)+SUMIF(Capacity_Resource,$E159,'Critical resources (hide)'!W$6:W$105)+SUMIF(Capacity_Resource,$F159,'Critical resources (hide)'!W$6:W$105)&gt;0,$E$1=2),0,1)</f>
        <v>1</v>
      </c>
      <c r="K159" s="67">
        <f ca="1">IF(AND(SUMIF(Capacity_Resource,$D159,'Critical resources (hide)'!X$6:X$105)+SUMIF(Capacity_Resource,$E159,'Critical resources (hide)'!X$6:X$105)+SUMIF(Capacity_Resource,$F159,'Critical resources (hide)'!X$6:X$105)&gt;0,$E$1=2),0,1)</f>
        <v>1</v>
      </c>
      <c r="L159" s="67">
        <f ca="1">IF(AND(SUMIF(Capacity_Resource,$D159,'Critical resources (hide)'!Y$6:Y$105)+SUMIF(Capacity_Resource,$E159,'Critical resources (hide)'!Y$6:Y$105)+SUMIF(Capacity_Resource,$F159,'Critical resources (hide)'!Y$6:Y$105)&gt;0,$E$1=2),0,1)</f>
        <v>1</v>
      </c>
      <c r="M159" s="67">
        <f ca="1">IF(AND(SUMIF(Capacity_Resource,$D159,'Critical resources (hide)'!Z$6:Z$105)+SUMIF(Capacity_Resource,$E159,'Critical resources (hide)'!Z$6:Z$105)+SUMIF(Capacity_Resource,$F159,'Critical resources (hide)'!Z$6:Z$105)&gt;0,$E$1=2),0,1)</f>
        <v>1</v>
      </c>
      <c r="N159" s="67">
        <f ca="1">IF(AND(SUMIF(Capacity_Resource,$D159,'Critical resources (hide)'!AA$6:AA$105)+SUMIF(Capacity_Resource,$E159,'Critical resources (hide)'!AA$6:AA$105)+SUMIF(Capacity_Resource,$F159,'Critical resources (hide)'!AA$6:AA$105)&gt;0,$E$1=2),0,1)</f>
        <v>1</v>
      </c>
      <c r="O159" s="67">
        <f ca="1">IF(AND(SUMIF(Capacity_Resource,$D159,'Critical resources (hide)'!AB$6:AB$105)+SUMIF(Capacity_Resource,$E159,'Critical resources (hide)'!AB$6:AB$105)+SUMIF(Capacity_Resource,$F159,'Critical resources (hide)'!AB$6:AB$105)&gt;0,$E$1=2),0,1)</f>
        <v>1</v>
      </c>
      <c r="P159" s="67">
        <f ca="1">IF(AND(SUMIF(Capacity_Resource,$D159,'Critical resources (hide)'!AC$6:AC$105)+SUMIF(Capacity_Resource,$E159,'Critical resources (hide)'!AC$6:AC$105)+SUMIF(Capacity_Resource,$F159,'Critical resources (hide)'!AC$6:AC$105)&gt;0,$E$1=2),0,1)</f>
        <v>1</v>
      </c>
      <c r="Q159" s="67">
        <f ca="1">IF(AND(SUMIF(Capacity_Resource,$D159,'Critical resources (hide)'!AD$6:AD$105)+SUMIF(Capacity_Resource,$E159,'Critical resources (hide)'!AD$6:AD$105)+SUMIF(Capacity_Resource,$F159,'Critical resources (hide)'!AD$6:AD$105)&gt;0,$E$1=2),0,1)</f>
        <v>1</v>
      </c>
      <c r="R159" s="67">
        <f ca="1">IF(AND(SUMIF(Capacity_Resource,$D159,'Critical resources (hide)'!AE$6:AE$105)+SUMIF(Capacity_Resource,$E159,'Critical resources (hide)'!AE$6:AE$105)+SUMIF(Capacity_Resource,$F159,'Critical resources (hide)'!AE$6:AE$105)&gt;0,$E$1=2),0,1)</f>
        <v>1</v>
      </c>
      <c r="S159" s="67">
        <f ca="1">IF(AND(SUMIF(Capacity_Resource,$D159,'Critical resources (hide)'!AF$6:AF$105)+SUMIF(Capacity_Resource,$E159,'Critical resources (hide)'!AF$6:AF$105)+SUMIF(Capacity_Resource,$F159,'Critical resources (hide)'!AF$6:AF$105)&gt;0,$E$1=2),0,1)</f>
        <v>1</v>
      </c>
      <c r="T159" s="67">
        <f ca="1">IF(AND(SUMIF(Capacity_Resource,$D159,'Critical resources (hide)'!AG$6:AG$105)+SUMIF(Capacity_Resource,$E159,'Critical resources (hide)'!AG$6:AG$105)+SUMIF(Capacity_Resource,$F159,'Critical resources (hide)'!AG$6:AG$105)&gt;0,$E$1=2),0,1)</f>
        <v>1</v>
      </c>
      <c r="U159" s="67">
        <f ca="1">IF(AND(SUMIF(Capacity_Resource,$D159,'Critical resources (hide)'!AH$6:AH$105)+SUMIF(Capacity_Resource,$E159,'Critical resources (hide)'!AH$6:AH$105)+SUMIF(Capacity_Resource,$F159,'Critical resources (hide)'!AH$6:AH$105)&gt;0,$E$1=2),0,1)</f>
        <v>1</v>
      </c>
      <c r="V159" s="67">
        <f ca="1">IF(AND(SUMIF(Capacity_Resource,$D159,'Critical resources (hide)'!AI$6:AI$105)+SUMIF(Capacity_Resource,$E159,'Critical resources (hide)'!AI$6:AI$105)+SUMIF(Capacity_Resource,$F159,'Critical resources (hide)'!AI$6:AI$105)&gt;0,$E$1=2),0,1)</f>
        <v>1</v>
      </c>
      <c r="W159" s="67">
        <f ca="1">IF(AND(SUMIF(Capacity_Resource,$D159,'Critical resources (hide)'!AJ$6:AJ$105)+SUMIF(Capacity_Resource,$E159,'Critical resources (hide)'!AJ$6:AJ$105)+SUMIF(Capacity_Resource,$F159,'Critical resources (hide)'!AJ$6:AJ$105)&gt;0,$E$1=2),0,1)</f>
        <v>1</v>
      </c>
      <c r="X159" s="67">
        <f ca="1">IF(AND(SUMIF(Capacity_Resource,$D159,'Critical resources (hide)'!AK$6:AK$105)+SUMIF(Capacity_Resource,$E159,'Critical resources (hide)'!AK$6:AK$105)+SUMIF(Capacity_Resource,$F159,'Critical resources (hide)'!AK$6:AK$105)&gt;0,$E$1=2),0,1)</f>
        <v>1</v>
      </c>
      <c r="Y159" s="67">
        <f ca="1">IF(AND(SUMIF(Capacity_Resource,$D159,'Critical resources (hide)'!AL$6:AL$105)+SUMIF(Capacity_Resource,$E159,'Critical resources (hide)'!AL$6:AL$105)+SUMIF(Capacity_Resource,$F159,'Critical resources (hide)'!AL$6:AL$105)&gt;0,$E$1=2),0,1)</f>
        <v>1</v>
      </c>
      <c r="Z159" s="67">
        <f ca="1">IF(AND(SUMIF(Capacity_Resource,$D159,'Critical resources (hide)'!AM$6:AM$105)+SUMIF(Capacity_Resource,$E159,'Critical resources (hide)'!AM$6:AM$105)+SUMIF(Capacity_Resource,$F159,'Critical resources (hide)'!AM$6:AM$105)&gt;0,$E$1=2),0,1)</f>
        <v>1</v>
      </c>
      <c r="AA159" s="67">
        <f ca="1">IF(AND(SUMIF(Capacity_Resource,$D159,'Critical resources (hide)'!AN$6:AN$105)+SUMIF(Capacity_Resource,$E159,'Critical resources (hide)'!AN$6:AN$105)+SUMIF(Capacity_Resource,$F159,'Critical resources (hide)'!AN$6:AN$105)&gt;0,$E$1=2),0,1)</f>
        <v>1</v>
      </c>
      <c r="AB159" s="67">
        <f ca="1">IF(AND(SUMIF(Capacity_Resource,$D159,'Critical resources (hide)'!AO$6:AO$105)+SUMIF(Capacity_Resource,$E159,'Critical resources (hide)'!AO$6:AO$105)+SUMIF(Capacity_Resource,$F159,'Critical resources (hide)'!AO$6:AO$105)&gt;0,$E$1=2),0,1)</f>
        <v>1</v>
      </c>
      <c r="AC159" s="67">
        <f ca="1">IF(AND(SUMIF(Capacity_Resource,$D159,'Critical resources (hide)'!AP$6:AP$105)+SUMIF(Capacity_Resource,$E159,'Critical resources (hide)'!AP$6:AP$105)+SUMIF(Capacity_Resource,$F159,'Critical resources (hide)'!AP$6:AP$105)&gt;0,$E$1=2),0,1)</f>
        <v>1</v>
      </c>
      <c r="AD159" s="67">
        <f ca="1">IF(AND(SUMIF(Capacity_Resource,$D159,'Critical resources (hide)'!AQ$6:AQ$105)+SUMIF(Capacity_Resource,$E159,'Critical resources (hide)'!AQ$6:AQ$105)+SUMIF(Capacity_Resource,$F159,'Critical resources (hide)'!AQ$6:AQ$105)&gt;0,$E$1=2),0,1)</f>
        <v>1</v>
      </c>
      <c r="AE159" s="67">
        <f ca="1">IF(AND(SUMIF(Capacity_Resource,$D159,'Critical resources (hide)'!AR$6:AR$105)+SUMIF(Capacity_Resource,$E159,'Critical resources (hide)'!AR$6:AR$105)+SUMIF(Capacity_Resource,$F159,'Critical resources (hide)'!AR$6:AR$105)&gt;0,$E$1=2),0,1)</f>
        <v>1</v>
      </c>
      <c r="AF159" s="67">
        <f ca="1">IF(AND(SUMIF(Capacity_Resource,$D159,'Critical resources (hide)'!AS$6:AS$105)+SUMIF(Capacity_Resource,$E159,'Critical resources (hide)'!AS$6:AS$105)+SUMIF(Capacity_Resource,$F159,'Critical resources (hide)'!AS$6:AS$105)&gt;0,$E$1=2),0,1)</f>
        <v>1</v>
      </c>
      <c r="AG159" s="67">
        <f ca="1">IF(AND(SUMIF(Capacity_Resource,$D159,'Critical resources (hide)'!AT$6:AT$105)+SUMIF(Capacity_Resource,$E159,'Critical resources (hide)'!AT$6:AT$105)+SUMIF(Capacity_Resource,$F159,'Critical resources (hide)'!AT$6:AT$105)&gt;0,$E$1=2),0,1)</f>
        <v>1</v>
      </c>
      <c r="AH159" s="67">
        <f ca="1">IF(AND(SUMIF(Capacity_Resource,$D159,'Critical resources (hide)'!AU$6:AU$105)+SUMIF(Capacity_Resource,$E159,'Critical resources (hide)'!AU$6:AU$105)+SUMIF(Capacity_Resource,$F159,'Critical resources (hide)'!AU$6:AU$105)&gt;0,$E$1=2),0,1)</f>
        <v>1</v>
      </c>
      <c r="AI159" s="67">
        <f ca="1">IF(AND(SUMIF(Capacity_Resource,$D159,'Critical resources (hide)'!AV$6:AV$105)+SUMIF(Capacity_Resource,$E159,'Critical resources (hide)'!AV$6:AV$105)+SUMIF(Capacity_Resource,$F159,'Critical resources (hide)'!AV$6:AV$105)&gt;0,$E$1=2),0,1)</f>
        <v>1</v>
      </c>
      <c r="AJ159" s="67">
        <f ca="1">IF(AND(SUMIF(Capacity_Resource,$D159,'Critical resources (hide)'!AW$6:AW$105)+SUMIF(Capacity_Resource,$E159,'Critical resources (hide)'!AW$6:AW$105)+SUMIF(Capacity_Resource,$F159,'Critical resources (hide)'!AW$6:AW$105)&gt;0,$E$1=2),0,1)</f>
        <v>1</v>
      </c>
      <c r="AK159" s="67">
        <f ca="1">IF(AND(SUMIF(Capacity_Resource,$D159,'Critical resources (hide)'!AX$6:AX$105)+SUMIF(Capacity_Resource,$E159,'Critical resources (hide)'!AX$6:AX$105)+SUMIF(Capacity_Resource,$F159,'Critical resources (hide)'!AX$6:AX$105)&gt;0,$E$1=2),0,1)</f>
        <v>1</v>
      </c>
      <c r="AL159" s="67">
        <f ca="1">IF(AND(SUMIF(Capacity_Resource,$D159,'Critical resources (hide)'!AY$6:AY$105)+SUMIF(Capacity_Resource,$E159,'Critical resources (hide)'!AY$6:AY$105)+SUMIF(Capacity_Resource,$F159,'Critical resources (hide)'!AY$6:AY$105)&gt;0,$E$1=2),0,1)</f>
        <v>1</v>
      </c>
      <c r="AM159" s="67">
        <f ca="1">IF(AND(SUMIF(Capacity_Resource,$D159,'Critical resources (hide)'!AZ$6:AZ$105)+SUMIF(Capacity_Resource,$E159,'Critical resources (hide)'!AZ$6:AZ$105)+SUMIF(Capacity_Resource,$F159,'Critical resources (hide)'!AZ$6:AZ$105)&gt;0,$E$1=2),0,1)</f>
        <v>1</v>
      </c>
      <c r="AN159" s="67">
        <f ca="1">IF(AND(SUMIF(Capacity_Resource,$D159,'Critical resources (hide)'!BA$6:BA$105)+SUMIF(Capacity_Resource,$E159,'Critical resources (hide)'!BA$6:BA$105)+SUMIF(Capacity_Resource,$F159,'Critical resources (hide)'!BA$6:BA$105)&gt;0,$E$1=2),0,1)</f>
        <v>1</v>
      </c>
      <c r="AO159" s="67">
        <f ca="1">IF(AND(SUMIF(Capacity_Resource,$D159,'Critical resources (hide)'!BB$6:BB$105)+SUMIF(Capacity_Resource,$E159,'Critical resources (hide)'!BB$6:BB$105)+SUMIF(Capacity_Resource,$F159,'Critical resources (hide)'!BB$6:BB$105)&gt;0,$E$1=2),0,1)</f>
        <v>1</v>
      </c>
      <c r="AP159" s="67">
        <f ca="1">IF(AND(SUMIF(Capacity_Resource,$D159,'Critical resources (hide)'!BC$6:BC$105)+SUMIF(Capacity_Resource,$E159,'Critical resources (hide)'!BC$6:BC$105)+SUMIF(Capacity_Resource,$F159,'Critical resources (hide)'!BC$6:BC$105)&gt;0,$E$1=2),0,1)</f>
        <v>1</v>
      </c>
      <c r="AQ159" s="67">
        <f ca="1">IF(AND(SUMIF(Capacity_Resource,$D159,'Critical resources (hide)'!BD$6:BD$105)+SUMIF(Capacity_Resource,$E159,'Critical resources (hide)'!BD$6:BD$105)+SUMIF(Capacity_Resource,$F159,'Critical resources (hide)'!BD$6:BD$105)&gt;0,$E$1=2),0,1)</f>
        <v>1</v>
      </c>
      <c r="AR159" s="67">
        <f ca="1">IF(AND(SUMIF(Capacity_Resource,$D159,'Critical resources (hide)'!BE$6:BE$105)+SUMIF(Capacity_Resource,$E159,'Critical resources (hide)'!BE$6:BE$105)+SUMIF(Capacity_Resource,$F159,'Critical resources (hide)'!BE$6:BE$105)&gt;0,$E$1=2),0,1)</f>
        <v>1</v>
      </c>
      <c r="AS159" s="67">
        <f ca="1">IF(AND(SUMIF(Capacity_Resource,$D159,'Critical resources (hide)'!BF$6:BF$105)+SUMIF(Capacity_Resource,$E159,'Critical resources (hide)'!BF$6:BF$105)+SUMIF(Capacity_Resource,$F159,'Critical resources (hide)'!BF$6:BF$105)&gt;0,$E$1=2),0,1)</f>
        <v>1</v>
      </c>
      <c r="AT159" s="67">
        <f ca="1">IF(AND(SUMIF(Capacity_Resource,$D159,'Critical resources (hide)'!BG$6:BG$105)+SUMIF(Capacity_Resource,$E159,'Critical resources (hide)'!BG$6:BG$105)+SUMIF(Capacity_Resource,$F159,'Critical resources (hide)'!BG$6:BG$105)&gt;0,$E$1=2),0,1)</f>
        <v>1</v>
      </c>
      <c r="AU159" s="67">
        <f ca="1">IF(AND(SUMIF(Capacity_Resource,$D159,'Critical resources (hide)'!BH$6:BH$105)+SUMIF(Capacity_Resource,$E159,'Critical resources (hide)'!BH$6:BH$105)+SUMIF(Capacity_Resource,$F159,'Critical resources (hide)'!BH$6:BH$105)&gt;0,$E$1=2),0,1)</f>
        <v>1</v>
      </c>
      <c r="AV159" s="67">
        <f ca="1">IF(AND(SUMIF(Capacity_Resource,$D159,'Critical resources (hide)'!BI$6:BI$105)+SUMIF(Capacity_Resource,$E159,'Critical resources (hide)'!BI$6:BI$105)+SUMIF(Capacity_Resource,$F159,'Critical resources (hide)'!BI$6:BI$105)&gt;0,$E$1=2),0,1)</f>
        <v>1</v>
      </c>
      <c r="AW159" s="67">
        <f ca="1">IF(AND(SUMIF(Capacity_Resource,$D159,'Critical resources (hide)'!BJ$6:BJ$105)+SUMIF(Capacity_Resource,$E159,'Critical resources (hide)'!BJ$6:BJ$105)+SUMIF(Capacity_Resource,$F159,'Critical resources (hide)'!BJ$6:BJ$105)&gt;0,$E$1=2),0,1)</f>
        <v>1</v>
      </c>
      <c r="AX159" s="67">
        <f ca="1">IF(AND(SUMIF(Capacity_Resource,$D159,'Critical resources (hide)'!BK$6:BK$105)+SUMIF(Capacity_Resource,$E159,'Critical resources (hide)'!BK$6:BK$105)+SUMIF(Capacity_Resource,$F159,'Critical resources (hide)'!BK$6:BK$105)&gt;0,$E$1=2),0,1)</f>
        <v>1</v>
      </c>
      <c r="AY159" s="67">
        <f ca="1">IF(AND(SUMIF(Capacity_Resource,$D159,'Critical resources (hide)'!BL$6:BL$105)+SUMIF(Capacity_Resource,$E159,'Critical resources (hide)'!BL$6:BL$105)+SUMIF(Capacity_Resource,$F159,'Critical resources (hide)'!BL$6:BL$105)&gt;0,$E$1=2),0,1)</f>
        <v>1</v>
      </c>
      <c r="AZ159" s="67">
        <f ca="1">IF(AND(SUMIF(Capacity_Resource,$D159,'Critical resources (hide)'!BM$6:BM$105)+SUMIF(Capacity_Resource,$E159,'Critical resources (hide)'!BM$6:BM$105)+SUMIF(Capacity_Resource,$F159,'Critical resources (hide)'!BM$6:BM$105)&gt;0,$E$1=2),0,1)</f>
        <v>1</v>
      </c>
      <c r="BA159" s="67">
        <f ca="1">IF(AND(SUMIF(Capacity_Resource,$D159,'Critical resources (hide)'!BN$6:BN$105)+SUMIF(Capacity_Resource,$E159,'Critical resources (hide)'!BN$6:BN$105)+SUMIF(Capacity_Resource,$F159,'Critical resources (hide)'!BN$6:BN$105)&gt;0,$E$1=2),0,1)</f>
        <v>1</v>
      </c>
      <c r="BB159" s="67">
        <f ca="1">IF(AND(SUMIF(Capacity_Resource,$D159,'Critical resources (hide)'!BO$6:BO$105)+SUMIF(Capacity_Resource,$E159,'Critical resources (hide)'!BO$6:BO$105)+SUMIF(Capacity_Resource,$F159,'Critical resources (hide)'!BO$6:BO$105)&gt;0,$E$1=2),0,1)</f>
        <v>1</v>
      </c>
      <c r="BC159" s="67">
        <f ca="1">IF(AND(SUMIF(Capacity_Resource,$D159,'Critical resources (hide)'!BP$6:BP$105)+SUMIF(Capacity_Resource,$E159,'Critical resources (hide)'!BP$6:BP$105)+SUMIF(Capacity_Resource,$F159,'Critical resources (hide)'!BP$6:BP$105)&gt;0,$E$1=2),0,1)</f>
        <v>1</v>
      </c>
      <c r="BD159" s="67">
        <f ca="1">IF(AND(SUMIF(Capacity_Resource,$D159,'Critical resources (hide)'!BQ$6:BQ$105)+SUMIF(Capacity_Resource,$E159,'Critical resources (hide)'!BQ$6:BQ$105)+SUMIF(Capacity_Resource,$F159,'Critical resources (hide)'!BQ$6:BQ$105)&gt;0,$E$1=2),0,1)</f>
        <v>1</v>
      </c>
      <c r="BE159" s="67">
        <f ca="1">IF(AND(SUMIF(Capacity_Resource,$D159,'Critical resources (hide)'!BR$6:BR$105)+SUMIF(Capacity_Resource,$E159,'Critical resources (hide)'!BR$6:BR$105)+SUMIF(Capacity_Resource,$F159,'Critical resources (hide)'!BR$6:BR$105)&gt;0,$E$1=2),0,1)</f>
        <v>1</v>
      </c>
      <c r="BF159" s="67">
        <f ca="1">IF(AND(SUMIF(Capacity_Resource,$D159,'Critical resources (hide)'!BS$6:BS$105)+SUMIF(Capacity_Resource,$E159,'Critical resources (hide)'!BS$6:BS$105)+SUMIF(Capacity_Resource,$F159,'Critical resources (hide)'!BS$6:BS$105)&gt;0,$E$1=2),0,1)</f>
        <v>1</v>
      </c>
      <c r="BG159" s="67">
        <f ca="1">IF(AND(SUMIF(Capacity_Resource,$D159,'Critical resources (hide)'!BT$6:BT$105)+SUMIF(Capacity_Resource,$E159,'Critical resources (hide)'!BT$6:BT$105)+SUMIF(Capacity_Resource,$F159,'Critical resources (hide)'!BT$6:BT$105)&gt;0,$E$1=2),0,1)</f>
        <v>1</v>
      </c>
      <c r="BH159" s="67">
        <f>IF(ROW(A48)&lt;=Capacity!$M$16,IF('Capacity summary'!$C$14="No",SUM(H159:BG159),'Capacity summary'!$E71),0)</f>
        <v>0</v>
      </c>
      <c r="BI159" s="67" t="str">
        <f>IF(BH159&gt;0,IF(BH159&lt;Capacity!Q64,Capacity!R64,Capacity!T64/'Capacity calculation (hide)'!BH159),"")</f>
        <v/>
      </c>
      <c r="BJ159" s="5"/>
      <c r="BK159" s="5">
        <f>IF($BI159&lt;&gt;"",IF('Capacity summary'!$C$14="Yes",IF(COUNTBLANK('Capacity summary'!$H71:$BG71)&lt;52,IF('Capacity summary'!H71&lt;&gt;"",IF(LOWER('Capacity summary'!H71)="x",$BI159*H159,VALUE('Capacity summary'!H71)),0),H159*$BI159),H159*$BI159),0)</f>
        <v>0</v>
      </c>
      <c r="BL159" s="5">
        <f>IF($BI159&lt;&gt;"",IF('Capacity summary'!$C$14="Yes",IF(COUNTBLANK('Capacity summary'!$H71:$BG71)&lt;52,IF('Capacity summary'!I71&lt;&gt;"",IF(LOWER('Capacity summary'!I71)="x",$BI159*I159,VALUE('Capacity summary'!I71)),0),I159*$BI159),I159*$BI159),0)</f>
        <v>0</v>
      </c>
      <c r="BM159" s="5">
        <f>IF($BI159&lt;&gt;"",IF('Capacity summary'!$C$14="Yes",IF(COUNTBLANK('Capacity summary'!$H71:$BG71)&lt;52,IF('Capacity summary'!J71&lt;&gt;"",IF(LOWER('Capacity summary'!J71)="x",$BI159*J159,VALUE('Capacity summary'!J71)),0),J159*$BI159),J159*$BI159),0)</f>
        <v>0</v>
      </c>
      <c r="BN159" s="5">
        <f>IF($BI159&lt;&gt;"",IF('Capacity summary'!$C$14="Yes",IF(COUNTBLANK('Capacity summary'!$H71:$BG71)&lt;52,IF('Capacity summary'!K71&lt;&gt;"",IF(LOWER('Capacity summary'!K71)="x",$BI159*K159,VALUE('Capacity summary'!K71)),0),K159*$BI159),K159*$BI159),0)</f>
        <v>0</v>
      </c>
      <c r="BO159" s="5">
        <f>IF($BI159&lt;&gt;"",IF('Capacity summary'!$C$14="Yes",IF(COUNTBLANK('Capacity summary'!$H71:$BG71)&lt;52,IF('Capacity summary'!L71&lt;&gt;"",IF(LOWER('Capacity summary'!L71)="x",$BI159*L159,VALUE('Capacity summary'!L71)),0),L159*$BI159),L159*$BI159),0)</f>
        <v>0</v>
      </c>
      <c r="BP159" s="5">
        <f>IF($BI159&lt;&gt;"",IF('Capacity summary'!$C$14="Yes",IF(COUNTBLANK('Capacity summary'!$H71:$BG71)&lt;52,IF('Capacity summary'!M71&lt;&gt;"",IF(LOWER('Capacity summary'!M71)="x",$BI159*M159,VALUE('Capacity summary'!M71)),0),M159*$BI159),M159*$BI159),0)</f>
        <v>0</v>
      </c>
      <c r="BQ159" s="5">
        <f>IF($BI159&lt;&gt;"",IF('Capacity summary'!$C$14="Yes",IF(COUNTBLANK('Capacity summary'!$H71:$BG71)&lt;52,IF('Capacity summary'!N71&lt;&gt;"",IF(LOWER('Capacity summary'!N71)="x",$BI159*N159,VALUE('Capacity summary'!N71)),0),N159*$BI159),N159*$BI159),0)</f>
        <v>0</v>
      </c>
      <c r="BR159" s="5">
        <f>IF($BI159&lt;&gt;"",IF('Capacity summary'!$C$14="Yes",IF(COUNTBLANK('Capacity summary'!$H71:$BG71)&lt;52,IF('Capacity summary'!O71&lt;&gt;"",IF(LOWER('Capacity summary'!O71)="x",$BI159*O159,VALUE('Capacity summary'!O71)),0),O159*$BI159),O159*$BI159),0)</f>
        <v>0</v>
      </c>
      <c r="BS159" s="5">
        <f>IF($BI159&lt;&gt;"",IF('Capacity summary'!$C$14="Yes",IF(COUNTBLANK('Capacity summary'!$H71:$BG71)&lt;52,IF('Capacity summary'!P71&lt;&gt;"",IF(LOWER('Capacity summary'!P71)="x",$BI159*P159,VALUE('Capacity summary'!P71)),0),P159*$BI159),P159*$BI159),0)</f>
        <v>0</v>
      </c>
      <c r="BT159" s="5">
        <f>IF($BI159&lt;&gt;"",IF('Capacity summary'!$C$14="Yes",IF(COUNTBLANK('Capacity summary'!$H71:$BG71)&lt;52,IF('Capacity summary'!Q71&lt;&gt;"",IF(LOWER('Capacity summary'!Q71)="x",$BI159*Q159,VALUE('Capacity summary'!Q71)),0),Q159*$BI159),Q159*$BI159),0)</f>
        <v>0</v>
      </c>
      <c r="BU159" s="5">
        <f>IF($BI159&lt;&gt;"",IF('Capacity summary'!$C$14="Yes",IF(COUNTBLANK('Capacity summary'!$H71:$BG71)&lt;52,IF('Capacity summary'!R71&lt;&gt;"",IF(LOWER('Capacity summary'!R71)="x",$BI159*R159,VALUE('Capacity summary'!R71)),0),R159*$BI159),R159*$BI159),0)</f>
        <v>0</v>
      </c>
      <c r="BV159" s="5">
        <f>IF($BI159&lt;&gt;"",IF('Capacity summary'!$C$14="Yes",IF(COUNTBLANK('Capacity summary'!$H71:$BG71)&lt;52,IF('Capacity summary'!S71&lt;&gt;"",IF(LOWER('Capacity summary'!S71)="x",$BI159*S159,VALUE('Capacity summary'!S71)),0),S159*$BI159),S159*$BI159),0)</f>
        <v>0</v>
      </c>
      <c r="BW159" s="5">
        <f>IF($BI159&lt;&gt;"",IF('Capacity summary'!$C$14="Yes",IF(COUNTBLANK('Capacity summary'!$H71:$BG71)&lt;52,IF('Capacity summary'!T71&lt;&gt;"",IF(LOWER('Capacity summary'!T71)="x",$BI159*T159,VALUE('Capacity summary'!T71)),0),T159*$BI159),T159*$BI159),0)</f>
        <v>0</v>
      </c>
      <c r="BX159" s="5">
        <f>IF($BI159&lt;&gt;"",IF('Capacity summary'!$C$14="Yes",IF(COUNTBLANK('Capacity summary'!$H71:$BG71)&lt;52,IF('Capacity summary'!U71&lt;&gt;"",IF(LOWER('Capacity summary'!U71)="x",$BI159*U159,VALUE('Capacity summary'!U71)),0),U159*$BI159),U159*$BI159),0)</f>
        <v>0</v>
      </c>
      <c r="BY159" s="5">
        <f>IF($BI159&lt;&gt;"",IF('Capacity summary'!$C$14="Yes",IF(COUNTBLANK('Capacity summary'!$H71:$BG71)&lt;52,IF('Capacity summary'!V71&lt;&gt;"",IF(LOWER('Capacity summary'!V71)="x",$BI159*V159,VALUE('Capacity summary'!V71)),0),V159*$BI159),V159*$BI159),0)</f>
        <v>0</v>
      </c>
      <c r="BZ159" s="5">
        <f>IF($BI159&lt;&gt;"",IF('Capacity summary'!$C$14="Yes",IF(COUNTBLANK('Capacity summary'!$H71:$BG71)&lt;52,IF('Capacity summary'!W71&lt;&gt;"",IF(LOWER('Capacity summary'!W71)="x",$BI159*W159,VALUE('Capacity summary'!W71)),0),W159*$BI159),W159*$BI159),0)</f>
        <v>0</v>
      </c>
      <c r="CA159" s="5">
        <f>IF($BI159&lt;&gt;"",IF('Capacity summary'!$C$14="Yes",IF(COUNTBLANK('Capacity summary'!$H71:$BG71)&lt;52,IF('Capacity summary'!X71&lt;&gt;"",IF(LOWER('Capacity summary'!X71)="x",$BI159*X159,VALUE('Capacity summary'!X71)),0),X159*$BI159),X159*$BI159),0)</f>
        <v>0</v>
      </c>
      <c r="CB159" s="5">
        <f>IF($BI159&lt;&gt;"",IF('Capacity summary'!$C$14="Yes",IF(COUNTBLANK('Capacity summary'!$H71:$BG71)&lt;52,IF('Capacity summary'!Y71&lt;&gt;"",IF(LOWER('Capacity summary'!Y71)="x",$BI159*Y159,VALUE('Capacity summary'!Y71)),0),Y159*$BI159),Y159*$BI159),0)</f>
        <v>0</v>
      </c>
      <c r="CC159" s="5">
        <f>IF($BI159&lt;&gt;"",IF('Capacity summary'!$C$14="Yes",IF(COUNTBLANK('Capacity summary'!$H71:$BG71)&lt;52,IF('Capacity summary'!Z71&lt;&gt;"",IF(LOWER('Capacity summary'!Z71)="x",$BI159*Z159,VALUE('Capacity summary'!Z71)),0),Z159*$BI159),Z159*$BI159),0)</f>
        <v>0</v>
      </c>
      <c r="CD159" s="5">
        <f>IF($BI159&lt;&gt;"",IF('Capacity summary'!$C$14="Yes",IF(COUNTBLANK('Capacity summary'!$H71:$BG71)&lt;52,IF('Capacity summary'!AA71&lt;&gt;"",IF(LOWER('Capacity summary'!AA71)="x",$BI159*AA159,VALUE('Capacity summary'!AA71)),0),AA159*$BI159),AA159*$BI159),0)</f>
        <v>0</v>
      </c>
      <c r="CE159" s="5">
        <f>IF($BI159&lt;&gt;"",IF('Capacity summary'!$C$14="Yes",IF(COUNTBLANK('Capacity summary'!$H71:$BG71)&lt;52,IF('Capacity summary'!AB71&lt;&gt;"",IF(LOWER('Capacity summary'!AB71)="x",$BI159*AB159,VALUE('Capacity summary'!AB71)),0),AB159*$BI159),AB159*$BI159),0)</f>
        <v>0</v>
      </c>
      <c r="CF159" s="5">
        <f>IF($BI159&lt;&gt;"",IF('Capacity summary'!$C$14="Yes",IF(COUNTBLANK('Capacity summary'!$H71:$BG71)&lt;52,IF('Capacity summary'!AC71&lt;&gt;"",IF(LOWER('Capacity summary'!AC71)="x",$BI159*AC159,VALUE('Capacity summary'!AC71)),0),AC159*$BI159),AC159*$BI159),0)</f>
        <v>0</v>
      </c>
      <c r="CG159" s="5">
        <f>IF($BI159&lt;&gt;"",IF('Capacity summary'!$C$14="Yes",IF(COUNTBLANK('Capacity summary'!$H71:$BG71)&lt;52,IF('Capacity summary'!AD71&lt;&gt;"",IF(LOWER('Capacity summary'!AD71)="x",$BI159*AD159,VALUE('Capacity summary'!AD71)),0),AD159*$BI159),AD159*$BI159),0)</f>
        <v>0</v>
      </c>
      <c r="CH159" s="5">
        <f>IF($BI159&lt;&gt;"",IF('Capacity summary'!$C$14="Yes",IF(COUNTBLANK('Capacity summary'!$H71:$BG71)&lt;52,IF('Capacity summary'!AE71&lt;&gt;"",IF(LOWER('Capacity summary'!AE71)="x",$BI159*AE159,VALUE('Capacity summary'!AE71)),0),AE159*$BI159),AE159*$BI159),0)</f>
        <v>0</v>
      </c>
      <c r="CI159" s="5">
        <f>IF($BI159&lt;&gt;"",IF('Capacity summary'!$C$14="Yes",IF(COUNTBLANK('Capacity summary'!$H71:$BG71)&lt;52,IF('Capacity summary'!AF71&lt;&gt;"",IF(LOWER('Capacity summary'!AF71)="x",$BI159*AF159,VALUE('Capacity summary'!AF71)),0),AF159*$BI159),AF159*$BI159),0)</f>
        <v>0</v>
      </c>
      <c r="CJ159" s="5">
        <f>IF($BI159&lt;&gt;"",IF('Capacity summary'!$C$14="Yes",IF(COUNTBLANK('Capacity summary'!$H71:$BG71)&lt;52,IF('Capacity summary'!AG71&lt;&gt;"",IF(LOWER('Capacity summary'!AG71)="x",$BI159*AG159,VALUE('Capacity summary'!AG71)),0),AG159*$BI159),AG159*$BI159),0)</f>
        <v>0</v>
      </c>
      <c r="CK159" s="5">
        <f>IF($BI159&lt;&gt;"",IF('Capacity summary'!$C$14="Yes",IF(COUNTBLANK('Capacity summary'!$H71:$BG71)&lt;52,IF('Capacity summary'!AH71&lt;&gt;"",IF(LOWER('Capacity summary'!AH71)="x",$BI159*AH159,VALUE('Capacity summary'!AH71)),0),AH159*$BI159),AH159*$BI159),0)</f>
        <v>0</v>
      </c>
      <c r="CL159" s="5">
        <f>IF($BI159&lt;&gt;"",IF('Capacity summary'!$C$14="Yes",IF(COUNTBLANK('Capacity summary'!$H71:$BG71)&lt;52,IF('Capacity summary'!AI71&lt;&gt;"",IF(LOWER('Capacity summary'!AI71)="x",$BI159*AI159,VALUE('Capacity summary'!AI71)),0),AI159*$BI159),AI159*$BI159),0)</f>
        <v>0</v>
      </c>
      <c r="CM159" s="5">
        <f>IF($BI159&lt;&gt;"",IF('Capacity summary'!$C$14="Yes",IF(COUNTBLANK('Capacity summary'!$H71:$BG71)&lt;52,IF('Capacity summary'!AJ71&lt;&gt;"",IF(LOWER('Capacity summary'!AJ71)="x",$BI159*AJ159,VALUE('Capacity summary'!AJ71)),0),AJ159*$BI159),AJ159*$BI159),0)</f>
        <v>0</v>
      </c>
      <c r="CN159" s="5">
        <f>IF($BI159&lt;&gt;"",IF('Capacity summary'!$C$14="Yes",IF(COUNTBLANK('Capacity summary'!$H71:$BG71)&lt;52,IF('Capacity summary'!AK71&lt;&gt;"",IF(LOWER('Capacity summary'!AK71)="x",$BI159*AK159,VALUE('Capacity summary'!AK71)),0),AK159*$BI159),AK159*$BI159),0)</f>
        <v>0</v>
      </c>
      <c r="CO159" s="5">
        <f>IF($BI159&lt;&gt;"",IF('Capacity summary'!$C$14="Yes",IF(COUNTBLANK('Capacity summary'!$H71:$BG71)&lt;52,IF('Capacity summary'!AL71&lt;&gt;"",IF(LOWER('Capacity summary'!AL71)="x",$BI159*AL159,VALUE('Capacity summary'!AL71)),0),AL159*$BI159),AL159*$BI159),0)</f>
        <v>0</v>
      </c>
      <c r="CP159" s="5">
        <f>IF($BI159&lt;&gt;"",IF('Capacity summary'!$C$14="Yes",IF(COUNTBLANK('Capacity summary'!$H71:$BG71)&lt;52,IF('Capacity summary'!AM71&lt;&gt;"",IF(LOWER('Capacity summary'!AM71)="x",$BI159*AM159,VALUE('Capacity summary'!AM71)),0),AM159*$BI159),AM159*$BI159),0)</f>
        <v>0</v>
      </c>
      <c r="CQ159" s="5">
        <f>IF($BI159&lt;&gt;"",IF('Capacity summary'!$C$14="Yes",IF(COUNTBLANK('Capacity summary'!$H71:$BG71)&lt;52,IF('Capacity summary'!AN71&lt;&gt;"",IF(LOWER('Capacity summary'!AN71)="x",$BI159*AN159,VALUE('Capacity summary'!AN71)),0),AN159*$BI159),AN159*$BI159),0)</f>
        <v>0</v>
      </c>
      <c r="CR159" s="5">
        <f>IF($BI159&lt;&gt;"",IF('Capacity summary'!$C$14="Yes",IF(COUNTBLANK('Capacity summary'!$H71:$BG71)&lt;52,IF('Capacity summary'!AO71&lt;&gt;"",IF(LOWER('Capacity summary'!AO71)="x",$BI159*AO159,VALUE('Capacity summary'!AO71)),0),AO159*$BI159),AO159*$BI159),0)</f>
        <v>0</v>
      </c>
      <c r="CS159" s="5">
        <f>IF($BI159&lt;&gt;"",IF('Capacity summary'!$C$14="Yes",IF(COUNTBLANK('Capacity summary'!$H71:$BG71)&lt;52,IF('Capacity summary'!AP71&lt;&gt;"",IF(LOWER('Capacity summary'!AP71)="x",$BI159*AP159,VALUE('Capacity summary'!AP71)),0),AP159*$BI159),AP159*$BI159),0)</f>
        <v>0</v>
      </c>
      <c r="CT159" s="5">
        <f>IF($BI159&lt;&gt;"",IF('Capacity summary'!$C$14="Yes",IF(COUNTBLANK('Capacity summary'!$H71:$BG71)&lt;52,IF('Capacity summary'!AQ71&lt;&gt;"",IF(LOWER('Capacity summary'!AQ71)="x",$BI159*AQ159,VALUE('Capacity summary'!AQ71)),0),AQ159*$BI159),AQ159*$BI159),0)</f>
        <v>0</v>
      </c>
      <c r="CU159" s="5">
        <f>IF($BI159&lt;&gt;"",IF('Capacity summary'!$C$14="Yes",IF(COUNTBLANK('Capacity summary'!$H71:$BG71)&lt;52,IF('Capacity summary'!AR71&lt;&gt;"",IF(LOWER('Capacity summary'!AR71)="x",$BI159*AR159,VALUE('Capacity summary'!AR71)),0),AR159*$BI159),AR159*$BI159),0)</f>
        <v>0</v>
      </c>
      <c r="CV159" s="5">
        <f>IF($BI159&lt;&gt;"",IF('Capacity summary'!$C$14="Yes",IF(COUNTBLANK('Capacity summary'!$H71:$BG71)&lt;52,IF('Capacity summary'!AS71&lt;&gt;"",IF(LOWER('Capacity summary'!AS71)="x",$BI159*AS159,VALUE('Capacity summary'!AS71)),0),AS159*$BI159),AS159*$BI159),0)</f>
        <v>0</v>
      </c>
      <c r="CW159" s="5">
        <f>IF($BI159&lt;&gt;"",IF('Capacity summary'!$C$14="Yes",IF(COUNTBLANK('Capacity summary'!$H71:$BG71)&lt;52,IF('Capacity summary'!AT71&lt;&gt;"",IF(LOWER('Capacity summary'!AT71)="x",$BI159*AT159,VALUE('Capacity summary'!AT71)),0),AT159*$BI159),AT159*$BI159),0)</f>
        <v>0</v>
      </c>
      <c r="CX159" s="5">
        <f>IF($BI159&lt;&gt;"",IF('Capacity summary'!$C$14="Yes",IF(COUNTBLANK('Capacity summary'!$H71:$BG71)&lt;52,IF('Capacity summary'!AU71&lt;&gt;"",IF(LOWER('Capacity summary'!AU71)="x",$BI159*AU159,VALUE('Capacity summary'!AU71)),0),AU159*$BI159),AU159*$BI159),0)</f>
        <v>0</v>
      </c>
      <c r="CY159" s="5">
        <f>IF($BI159&lt;&gt;"",IF('Capacity summary'!$C$14="Yes",IF(COUNTBLANK('Capacity summary'!$H71:$BG71)&lt;52,IF('Capacity summary'!AV71&lt;&gt;"",IF(LOWER('Capacity summary'!AV71)="x",$BI159*AV159,VALUE('Capacity summary'!AV71)),0),AV159*$BI159),AV159*$BI159),0)</f>
        <v>0</v>
      </c>
      <c r="CZ159" s="5">
        <f>IF($BI159&lt;&gt;"",IF('Capacity summary'!$C$14="Yes",IF(COUNTBLANK('Capacity summary'!$H71:$BG71)&lt;52,IF('Capacity summary'!AW71&lt;&gt;"",IF(LOWER('Capacity summary'!AW71)="x",$BI159*AW159,VALUE('Capacity summary'!AW71)),0),AW159*$BI159),AW159*$BI159),0)</f>
        <v>0</v>
      </c>
      <c r="DA159" s="5">
        <f>IF($BI159&lt;&gt;"",IF('Capacity summary'!$C$14="Yes",IF(COUNTBLANK('Capacity summary'!$H71:$BG71)&lt;52,IF('Capacity summary'!AX71&lt;&gt;"",IF(LOWER('Capacity summary'!AX71)="x",$BI159*AX159,VALUE('Capacity summary'!AX71)),0),AX159*$BI159),AX159*$BI159),0)</f>
        <v>0</v>
      </c>
      <c r="DB159" s="5">
        <f>IF($BI159&lt;&gt;"",IF('Capacity summary'!$C$14="Yes",IF(COUNTBLANK('Capacity summary'!$H71:$BG71)&lt;52,IF('Capacity summary'!AY71&lt;&gt;"",IF(LOWER('Capacity summary'!AY71)="x",$BI159*AY159,VALUE('Capacity summary'!AY71)),0),AY159*$BI159),AY159*$BI159),0)</f>
        <v>0</v>
      </c>
      <c r="DC159" s="5">
        <f>IF($BI159&lt;&gt;"",IF('Capacity summary'!$C$14="Yes",IF(COUNTBLANK('Capacity summary'!$H71:$BG71)&lt;52,IF('Capacity summary'!AZ71&lt;&gt;"",IF(LOWER('Capacity summary'!AZ71)="x",$BI159*AZ159,VALUE('Capacity summary'!AZ71)),0),AZ159*$BI159),AZ159*$BI159),0)</f>
        <v>0</v>
      </c>
      <c r="DD159" s="5">
        <f>IF($BI159&lt;&gt;"",IF('Capacity summary'!$C$14="Yes",IF(COUNTBLANK('Capacity summary'!$H71:$BG71)&lt;52,IF('Capacity summary'!BA71&lt;&gt;"",IF(LOWER('Capacity summary'!BA71)="x",$BI159*BA159,VALUE('Capacity summary'!BA71)),0),BA159*$BI159),BA159*$BI159),0)</f>
        <v>0</v>
      </c>
      <c r="DE159" s="5">
        <f>IF($BI159&lt;&gt;"",IF('Capacity summary'!$C$14="Yes",IF(COUNTBLANK('Capacity summary'!$H71:$BG71)&lt;52,IF('Capacity summary'!BB71&lt;&gt;"",IF(LOWER('Capacity summary'!BB71)="x",$BI159*BB159,VALUE('Capacity summary'!BB71)),0),BB159*$BI159),BB159*$BI159),0)</f>
        <v>0</v>
      </c>
      <c r="DF159" s="5">
        <f>IF($BI159&lt;&gt;"",IF('Capacity summary'!$C$14="Yes",IF(COUNTBLANK('Capacity summary'!$H71:$BG71)&lt;52,IF('Capacity summary'!BC71&lt;&gt;"",IF(LOWER('Capacity summary'!BC71)="x",$BI159*BC159,VALUE('Capacity summary'!BC71)),0),BC159*$BI159),BC159*$BI159),0)</f>
        <v>0</v>
      </c>
      <c r="DG159" s="5">
        <f>IF($BI159&lt;&gt;"",IF('Capacity summary'!$C$14="Yes",IF(COUNTBLANK('Capacity summary'!$H71:$BG71)&lt;52,IF('Capacity summary'!BD71&lt;&gt;"",IF(LOWER('Capacity summary'!BD71)="x",$BI159*BD159,VALUE('Capacity summary'!BD71)),0),BD159*$BI159),BD159*$BI159),0)</f>
        <v>0</v>
      </c>
      <c r="DH159" s="5">
        <f>IF($BI159&lt;&gt;"",IF('Capacity summary'!$C$14="Yes",IF(COUNTBLANK('Capacity summary'!$H71:$BG71)&lt;52,IF('Capacity summary'!BE71&lt;&gt;"",IF(LOWER('Capacity summary'!BE71)="x",$BI159*BE159,VALUE('Capacity summary'!BE71)),0),BE159*$BI159),BE159*$BI159),0)</f>
        <v>0</v>
      </c>
      <c r="DI159" s="5">
        <f>IF($BI159&lt;&gt;"",IF('Capacity summary'!$C$14="Yes",IF(COUNTBLANK('Capacity summary'!$H71:$BG71)&lt;52,IF('Capacity summary'!BF71&lt;&gt;"",IF(LOWER('Capacity summary'!BF71)="x",$BI159*BF159,VALUE('Capacity summary'!BF71)),0),BF159*$BI159),BF159*$BI159),0)</f>
        <v>0</v>
      </c>
      <c r="DJ159" s="5">
        <f>IF($BI159&lt;&gt;"",IF('Capacity summary'!$C$14="Yes",IF(COUNTBLANK('Capacity summary'!$H71:$BG71)&lt;52,IF('Capacity summary'!BG71&lt;&gt;"",IF(LOWER('Capacity summary'!BG71)="x",$BI159*BG159,VALUE('Capacity summary'!BG71)),0),BG159*$BI159),BG159*$BI159),0)</f>
        <v>0</v>
      </c>
      <c r="DK159" s="5">
        <f t="shared" ref="DK159" si="53">SUM(DK160:DK259)</f>
        <v>0</v>
      </c>
    </row>
    <row r="160" spans="3:115" x14ac:dyDescent="0.25">
      <c r="C160" s="67" t="str">
        <f>ROW(A49)&amp;". "&amp;Capacity!N65</f>
        <v xml:space="preserve">49. </v>
      </c>
      <c r="D160" s="67">
        <f>'Capacity setup'!C166</f>
        <v>0</v>
      </c>
      <c r="E160" s="67">
        <f>'Capacity setup'!D166</f>
        <v>0</v>
      </c>
      <c r="F160" s="67">
        <f>'Capacity setup'!E166</f>
        <v>0</v>
      </c>
      <c r="H160" s="67">
        <f ca="1">IF(AND(SUMIF(Capacity_Resource,$D160,'Critical resources (hide)'!U$6:U$105)+SUMIF(Capacity_Resource,$E160,'Critical resources (hide)'!U$6:U$105)+SUMIF(Capacity_Resource,$F160,'Critical resources (hide)'!U$6:U$105)&gt;0,$E$1=2),0,1)</f>
        <v>1</v>
      </c>
      <c r="I160" s="67">
        <f ca="1">IF(AND(SUMIF(Capacity_Resource,$D160,'Critical resources (hide)'!V$6:V$105)+SUMIF(Capacity_Resource,$E160,'Critical resources (hide)'!V$6:V$105)+SUMIF(Capacity_Resource,$F160,'Critical resources (hide)'!V$6:V$105)&gt;0,$E$1=2),0,1)</f>
        <v>1</v>
      </c>
      <c r="J160" s="67">
        <f ca="1">IF(AND(SUMIF(Capacity_Resource,$D160,'Critical resources (hide)'!W$6:W$105)+SUMIF(Capacity_Resource,$E160,'Critical resources (hide)'!W$6:W$105)+SUMIF(Capacity_Resource,$F160,'Critical resources (hide)'!W$6:W$105)&gt;0,$E$1=2),0,1)</f>
        <v>1</v>
      </c>
      <c r="K160" s="67">
        <f ca="1">IF(AND(SUMIF(Capacity_Resource,$D160,'Critical resources (hide)'!X$6:X$105)+SUMIF(Capacity_Resource,$E160,'Critical resources (hide)'!X$6:X$105)+SUMIF(Capacity_Resource,$F160,'Critical resources (hide)'!X$6:X$105)&gt;0,$E$1=2),0,1)</f>
        <v>1</v>
      </c>
      <c r="L160" s="67">
        <f ca="1">IF(AND(SUMIF(Capacity_Resource,$D160,'Critical resources (hide)'!Y$6:Y$105)+SUMIF(Capacity_Resource,$E160,'Critical resources (hide)'!Y$6:Y$105)+SUMIF(Capacity_Resource,$F160,'Critical resources (hide)'!Y$6:Y$105)&gt;0,$E$1=2),0,1)</f>
        <v>1</v>
      </c>
      <c r="M160" s="67">
        <f ca="1">IF(AND(SUMIF(Capacity_Resource,$D160,'Critical resources (hide)'!Z$6:Z$105)+SUMIF(Capacity_Resource,$E160,'Critical resources (hide)'!Z$6:Z$105)+SUMIF(Capacity_Resource,$F160,'Critical resources (hide)'!Z$6:Z$105)&gt;0,$E$1=2),0,1)</f>
        <v>1</v>
      </c>
      <c r="N160" s="67">
        <f ca="1">IF(AND(SUMIF(Capacity_Resource,$D160,'Critical resources (hide)'!AA$6:AA$105)+SUMIF(Capacity_Resource,$E160,'Critical resources (hide)'!AA$6:AA$105)+SUMIF(Capacity_Resource,$F160,'Critical resources (hide)'!AA$6:AA$105)&gt;0,$E$1=2),0,1)</f>
        <v>1</v>
      </c>
      <c r="O160" s="67">
        <f ca="1">IF(AND(SUMIF(Capacity_Resource,$D160,'Critical resources (hide)'!AB$6:AB$105)+SUMIF(Capacity_Resource,$E160,'Critical resources (hide)'!AB$6:AB$105)+SUMIF(Capacity_Resource,$F160,'Critical resources (hide)'!AB$6:AB$105)&gt;0,$E$1=2),0,1)</f>
        <v>1</v>
      </c>
      <c r="P160" s="67">
        <f ca="1">IF(AND(SUMIF(Capacity_Resource,$D160,'Critical resources (hide)'!AC$6:AC$105)+SUMIF(Capacity_Resource,$E160,'Critical resources (hide)'!AC$6:AC$105)+SUMIF(Capacity_Resource,$F160,'Critical resources (hide)'!AC$6:AC$105)&gt;0,$E$1=2),0,1)</f>
        <v>1</v>
      </c>
      <c r="Q160" s="67">
        <f ca="1">IF(AND(SUMIF(Capacity_Resource,$D160,'Critical resources (hide)'!AD$6:AD$105)+SUMIF(Capacity_Resource,$E160,'Critical resources (hide)'!AD$6:AD$105)+SUMIF(Capacity_Resource,$F160,'Critical resources (hide)'!AD$6:AD$105)&gt;0,$E$1=2),0,1)</f>
        <v>1</v>
      </c>
      <c r="R160" s="67">
        <f ca="1">IF(AND(SUMIF(Capacity_Resource,$D160,'Critical resources (hide)'!AE$6:AE$105)+SUMIF(Capacity_Resource,$E160,'Critical resources (hide)'!AE$6:AE$105)+SUMIF(Capacity_Resource,$F160,'Critical resources (hide)'!AE$6:AE$105)&gt;0,$E$1=2),0,1)</f>
        <v>1</v>
      </c>
      <c r="S160" s="67">
        <f ca="1">IF(AND(SUMIF(Capacity_Resource,$D160,'Critical resources (hide)'!AF$6:AF$105)+SUMIF(Capacity_Resource,$E160,'Critical resources (hide)'!AF$6:AF$105)+SUMIF(Capacity_Resource,$F160,'Critical resources (hide)'!AF$6:AF$105)&gt;0,$E$1=2),0,1)</f>
        <v>1</v>
      </c>
      <c r="T160" s="67">
        <f ca="1">IF(AND(SUMIF(Capacity_Resource,$D160,'Critical resources (hide)'!AG$6:AG$105)+SUMIF(Capacity_Resource,$E160,'Critical resources (hide)'!AG$6:AG$105)+SUMIF(Capacity_Resource,$F160,'Critical resources (hide)'!AG$6:AG$105)&gt;0,$E$1=2),0,1)</f>
        <v>1</v>
      </c>
      <c r="U160" s="67">
        <f ca="1">IF(AND(SUMIF(Capacity_Resource,$D160,'Critical resources (hide)'!AH$6:AH$105)+SUMIF(Capacity_Resource,$E160,'Critical resources (hide)'!AH$6:AH$105)+SUMIF(Capacity_Resource,$F160,'Critical resources (hide)'!AH$6:AH$105)&gt;0,$E$1=2),0,1)</f>
        <v>1</v>
      </c>
      <c r="V160" s="67">
        <f ca="1">IF(AND(SUMIF(Capacity_Resource,$D160,'Critical resources (hide)'!AI$6:AI$105)+SUMIF(Capacity_Resource,$E160,'Critical resources (hide)'!AI$6:AI$105)+SUMIF(Capacity_Resource,$F160,'Critical resources (hide)'!AI$6:AI$105)&gt;0,$E$1=2),0,1)</f>
        <v>1</v>
      </c>
      <c r="W160" s="67">
        <f ca="1">IF(AND(SUMIF(Capacity_Resource,$D160,'Critical resources (hide)'!AJ$6:AJ$105)+SUMIF(Capacity_Resource,$E160,'Critical resources (hide)'!AJ$6:AJ$105)+SUMIF(Capacity_Resource,$F160,'Critical resources (hide)'!AJ$6:AJ$105)&gt;0,$E$1=2),0,1)</f>
        <v>1</v>
      </c>
      <c r="X160" s="67">
        <f ca="1">IF(AND(SUMIF(Capacity_Resource,$D160,'Critical resources (hide)'!AK$6:AK$105)+SUMIF(Capacity_Resource,$E160,'Critical resources (hide)'!AK$6:AK$105)+SUMIF(Capacity_Resource,$F160,'Critical resources (hide)'!AK$6:AK$105)&gt;0,$E$1=2),0,1)</f>
        <v>1</v>
      </c>
      <c r="Y160" s="67">
        <f ca="1">IF(AND(SUMIF(Capacity_Resource,$D160,'Critical resources (hide)'!AL$6:AL$105)+SUMIF(Capacity_Resource,$E160,'Critical resources (hide)'!AL$6:AL$105)+SUMIF(Capacity_Resource,$F160,'Critical resources (hide)'!AL$6:AL$105)&gt;0,$E$1=2),0,1)</f>
        <v>1</v>
      </c>
      <c r="Z160" s="67">
        <f ca="1">IF(AND(SUMIF(Capacity_Resource,$D160,'Critical resources (hide)'!AM$6:AM$105)+SUMIF(Capacity_Resource,$E160,'Critical resources (hide)'!AM$6:AM$105)+SUMIF(Capacity_Resource,$F160,'Critical resources (hide)'!AM$6:AM$105)&gt;0,$E$1=2),0,1)</f>
        <v>1</v>
      </c>
      <c r="AA160" s="67">
        <f ca="1">IF(AND(SUMIF(Capacity_Resource,$D160,'Critical resources (hide)'!AN$6:AN$105)+SUMIF(Capacity_Resource,$E160,'Critical resources (hide)'!AN$6:AN$105)+SUMIF(Capacity_Resource,$F160,'Critical resources (hide)'!AN$6:AN$105)&gt;0,$E$1=2),0,1)</f>
        <v>1</v>
      </c>
      <c r="AB160" s="67">
        <f ca="1">IF(AND(SUMIF(Capacity_Resource,$D160,'Critical resources (hide)'!AO$6:AO$105)+SUMIF(Capacity_Resource,$E160,'Critical resources (hide)'!AO$6:AO$105)+SUMIF(Capacity_Resource,$F160,'Critical resources (hide)'!AO$6:AO$105)&gt;0,$E$1=2),0,1)</f>
        <v>1</v>
      </c>
      <c r="AC160" s="67">
        <f ca="1">IF(AND(SUMIF(Capacity_Resource,$D160,'Critical resources (hide)'!AP$6:AP$105)+SUMIF(Capacity_Resource,$E160,'Critical resources (hide)'!AP$6:AP$105)+SUMIF(Capacity_Resource,$F160,'Critical resources (hide)'!AP$6:AP$105)&gt;0,$E$1=2),0,1)</f>
        <v>1</v>
      </c>
      <c r="AD160" s="67">
        <f ca="1">IF(AND(SUMIF(Capacity_Resource,$D160,'Critical resources (hide)'!AQ$6:AQ$105)+SUMIF(Capacity_Resource,$E160,'Critical resources (hide)'!AQ$6:AQ$105)+SUMIF(Capacity_Resource,$F160,'Critical resources (hide)'!AQ$6:AQ$105)&gt;0,$E$1=2),0,1)</f>
        <v>1</v>
      </c>
      <c r="AE160" s="67">
        <f ca="1">IF(AND(SUMIF(Capacity_Resource,$D160,'Critical resources (hide)'!AR$6:AR$105)+SUMIF(Capacity_Resource,$E160,'Critical resources (hide)'!AR$6:AR$105)+SUMIF(Capacity_Resource,$F160,'Critical resources (hide)'!AR$6:AR$105)&gt;0,$E$1=2),0,1)</f>
        <v>1</v>
      </c>
      <c r="AF160" s="67">
        <f ca="1">IF(AND(SUMIF(Capacity_Resource,$D160,'Critical resources (hide)'!AS$6:AS$105)+SUMIF(Capacity_Resource,$E160,'Critical resources (hide)'!AS$6:AS$105)+SUMIF(Capacity_Resource,$F160,'Critical resources (hide)'!AS$6:AS$105)&gt;0,$E$1=2),0,1)</f>
        <v>1</v>
      </c>
      <c r="AG160" s="67">
        <f ca="1">IF(AND(SUMIF(Capacity_Resource,$D160,'Critical resources (hide)'!AT$6:AT$105)+SUMIF(Capacity_Resource,$E160,'Critical resources (hide)'!AT$6:AT$105)+SUMIF(Capacity_Resource,$F160,'Critical resources (hide)'!AT$6:AT$105)&gt;0,$E$1=2),0,1)</f>
        <v>1</v>
      </c>
      <c r="AH160" s="67">
        <f ca="1">IF(AND(SUMIF(Capacity_Resource,$D160,'Critical resources (hide)'!AU$6:AU$105)+SUMIF(Capacity_Resource,$E160,'Critical resources (hide)'!AU$6:AU$105)+SUMIF(Capacity_Resource,$F160,'Critical resources (hide)'!AU$6:AU$105)&gt;0,$E$1=2),0,1)</f>
        <v>1</v>
      </c>
      <c r="AI160" s="67">
        <f ca="1">IF(AND(SUMIF(Capacity_Resource,$D160,'Critical resources (hide)'!AV$6:AV$105)+SUMIF(Capacity_Resource,$E160,'Critical resources (hide)'!AV$6:AV$105)+SUMIF(Capacity_Resource,$F160,'Critical resources (hide)'!AV$6:AV$105)&gt;0,$E$1=2),0,1)</f>
        <v>1</v>
      </c>
      <c r="AJ160" s="67">
        <f ca="1">IF(AND(SUMIF(Capacity_Resource,$D160,'Critical resources (hide)'!AW$6:AW$105)+SUMIF(Capacity_Resource,$E160,'Critical resources (hide)'!AW$6:AW$105)+SUMIF(Capacity_Resource,$F160,'Critical resources (hide)'!AW$6:AW$105)&gt;0,$E$1=2),0,1)</f>
        <v>1</v>
      </c>
      <c r="AK160" s="67">
        <f ca="1">IF(AND(SUMIF(Capacity_Resource,$D160,'Critical resources (hide)'!AX$6:AX$105)+SUMIF(Capacity_Resource,$E160,'Critical resources (hide)'!AX$6:AX$105)+SUMIF(Capacity_Resource,$F160,'Critical resources (hide)'!AX$6:AX$105)&gt;0,$E$1=2),0,1)</f>
        <v>1</v>
      </c>
      <c r="AL160" s="67">
        <f ca="1">IF(AND(SUMIF(Capacity_Resource,$D160,'Critical resources (hide)'!AY$6:AY$105)+SUMIF(Capacity_Resource,$E160,'Critical resources (hide)'!AY$6:AY$105)+SUMIF(Capacity_Resource,$F160,'Critical resources (hide)'!AY$6:AY$105)&gt;0,$E$1=2),0,1)</f>
        <v>1</v>
      </c>
      <c r="AM160" s="67">
        <f ca="1">IF(AND(SUMIF(Capacity_Resource,$D160,'Critical resources (hide)'!AZ$6:AZ$105)+SUMIF(Capacity_Resource,$E160,'Critical resources (hide)'!AZ$6:AZ$105)+SUMIF(Capacity_Resource,$F160,'Critical resources (hide)'!AZ$6:AZ$105)&gt;0,$E$1=2),0,1)</f>
        <v>1</v>
      </c>
      <c r="AN160" s="67">
        <f ca="1">IF(AND(SUMIF(Capacity_Resource,$D160,'Critical resources (hide)'!BA$6:BA$105)+SUMIF(Capacity_Resource,$E160,'Critical resources (hide)'!BA$6:BA$105)+SUMIF(Capacity_Resource,$F160,'Critical resources (hide)'!BA$6:BA$105)&gt;0,$E$1=2),0,1)</f>
        <v>1</v>
      </c>
      <c r="AO160" s="67">
        <f ca="1">IF(AND(SUMIF(Capacity_Resource,$D160,'Critical resources (hide)'!BB$6:BB$105)+SUMIF(Capacity_Resource,$E160,'Critical resources (hide)'!BB$6:BB$105)+SUMIF(Capacity_Resource,$F160,'Critical resources (hide)'!BB$6:BB$105)&gt;0,$E$1=2),0,1)</f>
        <v>1</v>
      </c>
      <c r="AP160" s="67">
        <f ca="1">IF(AND(SUMIF(Capacity_Resource,$D160,'Critical resources (hide)'!BC$6:BC$105)+SUMIF(Capacity_Resource,$E160,'Critical resources (hide)'!BC$6:BC$105)+SUMIF(Capacity_Resource,$F160,'Critical resources (hide)'!BC$6:BC$105)&gt;0,$E$1=2),0,1)</f>
        <v>1</v>
      </c>
      <c r="AQ160" s="67">
        <f ca="1">IF(AND(SUMIF(Capacity_Resource,$D160,'Critical resources (hide)'!BD$6:BD$105)+SUMIF(Capacity_Resource,$E160,'Critical resources (hide)'!BD$6:BD$105)+SUMIF(Capacity_Resource,$F160,'Critical resources (hide)'!BD$6:BD$105)&gt;0,$E$1=2),0,1)</f>
        <v>1</v>
      </c>
      <c r="AR160" s="67">
        <f ca="1">IF(AND(SUMIF(Capacity_Resource,$D160,'Critical resources (hide)'!BE$6:BE$105)+SUMIF(Capacity_Resource,$E160,'Critical resources (hide)'!BE$6:BE$105)+SUMIF(Capacity_Resource,$F160,'Critical resources (hide)'!BE$6:BE$105)&gt;0,$E$1=2),0,1)</f>
        <v>1</v>
      </c>
      <c r="AS160" s="67">
        <f ca="1">IF(AND(SUMIF(Capacity_Resource,$D160,'Critical resources (hide)'!BF$6:BF$105)+SUMIF(Capacity_Resource,$E160,'Critical resources (hide)'!BF$6:BF$105)+SUMIF(Capacity_Resource,$F160,'Critical resources (hide)'!BF$6:BF$105)&gt;0,$E$1=2),0,1)</f>
        <v>1</v>
      </c>
      <c r="AT160" s="67">
        <f ca="1">IF(AND(SUMIF(Capacity_Resource,$D160,'Critical resources (hide)'!BG$6:BG$105)+SUMIF(Capacity_Resource,$E160,'Critical resources (hide)'!BG$6:BG$105)+SUMIF(Capacity_Resource,$F160,'Critical resources (hide)'!BG$6:BG$105)&gt;0,$E$1=2),0,1)</f>
        <v>1</v>
      </c>
      <c r="AU160" s="67">
        <f ca="1">IF(AND(SUMIF(Capacity_Resource,$D160,'Critical resources (hide)'!BH$6:BH$105)+SUMIF(Capacity_Resource,$E160,'Critical resources (hide)'!BH$6:BH$105)+SUMIF(Capacity_Resource,$F160,'Critical resources (hide)'!BH$6:BH$105)&gt;0,$E$1=2),0,1)</f>
        <v>1</v>
      </c>
      <c r="AV160" s="67">
        <f ca="1">IF(AND(SUMIF(Capacity_Resource,$D160,'Critical resources (hide)'!BI$6:BI$105)+SUMIF(Capacity_Resource,$E160,'Critical resources (hide)'!BI$6:BI$105)+SUMIF(Capacity_Resource,$F160,'Critical resources (hide)'!BI$6:BI$105)&gt;0,$E$1=2),0,1)</f>
        <v>1</v>
      </c>
      <c r="AW160" s="67">
        <f ca="1">IF(AND(SUMIF(Capacity_Resource,$D160,'Critical resources (hide)'!BJ$6:BJ$105)+SUMIF(Capacity_Resource,$E160,'Critical resources (hide)'!BJ$6:BJ$105)+SUMIF(Capacity_Resource,$F160,'Critical resources (hide)'!BJ$6:BJ$105)&gt;0,$E$1=2),0,1)</f>
        <v>1</v>
      </c>
      <c r="AX160" s="67">
        <f ca="1">IF(AND(SUMIF(Capacity_Resource,$D160,'Critical resources (hide)'!BK$6:BK$105)+SUMIF(Capacity_Resource,$E160,'Critical resources (hide)'!BK$6:BK$105)+SUMIF(Capacity_Resource,$F160,'Critical resources (hide)'!BK$6:BK$105)&gt;0,$E$1=2),0,1)</f>
        <v>1</v>
      </c>
      <c r="AY160" s="67">
        <f ca="1">IF(AND(SUMIF(Capacity_Resource,$D160,'Critical resources (hide)'!BL$6:BL$105)+SUMIF(Capacity_Resource,$E160,'Critical resources (hide)'!BL$6:BL$105)+SUMIF(Capacity_Resource,$F160,'Critical resources (hide)'!BL$6:BL$105)&gt;0,$E$1=2),0,1)</f>
        <v>1</v>
      </c>
      <c r="AZ160" s="67">
        <f ca="1">IF(AND(SUMIF(Capacity_Resource,$D160,'Critical resources (hide)'!BM$6:BM$105)+SUMIF(Capacity_Resource,$E160,'Critical resources (hide)'!BM$6:BM$105)+SUMIF(Capacity_Resource,$F160,'Critical resources (hide)'!BM$6:BM$105)&gt;0,$E$1=2),0,1)</f>
        <v>1</v>
      </c>
      <c r="BA160" s="67">
        <f ca="1">IF(AND(SUMIF(Capacity_Resource,$D160,'Critical resources (hide)'!BN$6:BN$105)+SUMIF(Capacity_Resource,$E160,'Critical resources (hide)'!BN$6:BN$105)+SUMIF(Capacity_Resource,$F160,'Critical resources (hide)'!BN$6:BN$105)&gt;0,$E$1=2),0,1)</f>
        <v>1</v>
      </c>
      <c r="BB160" s="67">
        <f ca="1">IF(AND(SUMIF(Capacity_Resource,$D160,'Critical resources (hide)'!BO$6:BO$105)+SUMIF(Capacity_Resource,$E160,'Critical resources (hide)'!BO$6:BO$105)+SUMIF(Capacity_Resource,$F160,'Critical resources (hide)'!BO$6:BO$105)&gt;0,$E$1=2),0,1)</f>
        <v>1</v>
      </c>
      <c r="BC160" s="67">
        <f ca="1">IF(AND(SUMIF(Capacity_Resource,$D160,'Critical resources (hide)'!BP$6:BP$105)+SUMIF(Capacity_Resource,$E160,'Critical resources (hide)'!BP$6:BP$105)+SUMIF(Capacity_Resource,$F160,'Critical resources (hide)'!BP$6:BP$105)&gt;0,$E$1=2),0,1)</f>
        <v>1</v>
      </c>
      <c r="BD160" s="67">
        <f ca="1">IF(AND(SUMIF(Capacity_Resource,$D160,'Critical resources (hide)'!BQ$6:BQ$105)+SUMIF(Capacity_Resource,$E160,'Critical resources (hide)'!BQ$6:BQ$105)+SUMIF(Capacity_Resource,$F160,'Critical resources (hide)'!BQ$6:BQ$105)&gt;0,$E$1=2),0,1)</f>
        <v>1</v>
      </c>
      <c r="BE160" s="67">
        <f ca="1">IF(AND(SUMIF(Capacity_Resource,$D160,'Critical resources (hide)'!BR$6:BR$105)+SUMIF(Capacity_Resource,$E160,'Critical resources (hide)'!BR$6:BR$105)+SUMIF(Capacity_Resource,$F160,'Critical resources (hide)'!BR$6:BR$105)&gt;0,$E$1=2),0,1)</f>
        <v>1</v>
      </c>
      <c r="BF160" s="67">
        <f ca="1">IF(AND(SUMIF(Capacity_Resource,$D160,'Critical resources (hide)'!BS$6:BS$105)+SUMIF(Capacity_Resource,$E160,'Critical resources (hide)'!BS$6:BS$105)+SUMIF(Capacity_Resource,$F160,'Critical resources (hide)'!BS$6:BS$105)&gt;0,$E$1=2),0,1)</f>
        <v>1</v>
      </c>
      <c r="BG160" s="67">
        <f ca="1">IF(AND(SUMIF(Capacity_Resource,$D160,'Critical resources (hide)'!BT$6:BT$105)+SUMIF(Capacity_Resource,$E160,'Critical resources (hide)'!BT$6:BT$105)+SUMIF(Capacity_Resource,$F160,'Critical resources (hide)'!BT$6:BT$105)&gt;0,$E$1=2),0,1)</f>
        <v>1</v>
      </c>
      <c r="BH160" s="67">
        <f>IF(ROW(A49)&lt;=Capacity!$M$16,IF('Capacity summary'!$C$14="No",SUM(H160:BG160),'Capacity summary'!$E72),0)</f>
        <v>0</v>
      </c>
      <c r="BI160" s="67" t="str">
        <f>IF(BH160&gt;0,IF(BH160&lt;Capacity!Q65,Capacity!R65,Capacity!T65/'Capacity calculation (hide)'!BH160),"")</f>
        <v/>
      </c>
      <c r="BJ160" s="5"/>
      <c r="BK160" s="5">
        <f>IF($BI160&lt;&gt;"",IF('Capacity summary'!$C$14="Yes",IF(COUNTBLANK('Capacity summary'!$H72:$BG72)&lt;52,IF('Capacity summary'!H72&lt;&gt;"",IF(LOWER('Capacity summary'!H72)="x",$BI160*H160,VALUE('Capacity summary'!H72)),0),H160*$BI160),H160*$BI160),0)</f>
        <v>0</v>
      </c>
      <c r="BL160" s="5">
        <f>IF($BI160&lt;&gt;"",IF('Capacity summary'!$C$14="Yes",IF(COUNTBLANK('Capacity summary'!$H72:$BG72)&lt;52,IF('Capacity summary'!I72&lt;&gt;"",IF(LOWER('Capacity summary'!I72)="x",$BI160*I160,VALUE('Capacity summary'!I72)),0),I160*$BI160),I160*$BI160),0)</f>
        <v>0</v>
      </c>
      <c r="BM160" s="5">
        <f>IF($BI160&lt;&gt;"",IF('Capacity summary'!$C$14="Yes",IF(COUNTBLANK('Capacity summary'!$H72:$BG72)&lt;52,IF('Capacity summary'!J72&lt;&gt;"",IF(LOWER('Capacity summary'!J72)="x",$BI160*J160,VALUE('Capacity summary'!J72)),0),J160*$BI160),J160*$BI160),0)</f>
        <v>0</v>
      </c>
      <c r="BN160" s="5">
        <f>IF($BI160&lt;&gt;"",IF('Capacity summary'!$C$14="Yes",IF(COUNTBLANK('Capacity summary'!$H72:$BG72)&lt;52,IF('Capacity summary'!K72&lt;&gt;"",IF(LOWER('Capacity summary'!K72)="x",$BI160*K160,VALUE('Capacity summary'!K72)),0),K160*$BI160),K160*$BI160),0)</f>
        <v>0</v>
      </c>
      <c r="BO160" s="5">
        <f>IF($BI160&lt;&gt;"",IF('Capacity summary'!$C$14="Yes",IF(COUNTBLANK('Capacity summary'!$H72:$BG72)&lt;52,IF('Capacity summary'!L72&lt;&gt;"",IF(LOWER('Capacity summary'!L72)="x",$BI160*L160,VALUE('Capacity summary'!L72)),0),L160*$BI160),L160*$BI160),0)</f>
        <v>0</v>
      </c>
      <c r="BP160" s="5">
        <f>IF($BI160&lt;&gt;"",IF('Capacity summary'!$C$14="Yes",IF(COUNTBLANK('Capacity summary'!$H72:$BG72)&lt;52,IF('Capacity summary'!M72&lt;&gt;"",IF(LOWER('Capacity summary'!M72)="x",$BI160*M160,VALUE('Capacity summary'!M72)),0),M160*$BI160),M160*$BI160),0)</f>
        <v>0</v>
      </c>
      <c r="BQ160" s="5">
        <f>IF($BI160&lt;&gt;"",IF('Capacity summary'!$C$14="Yes",IF(COUNTBLANK('Capacity summary'!$H72:$BG72)&lt;52,IF('Capacity summary'!N72&lt;&gt;"",IF(LOWER('Capacity summary'!N72)="x",$BI160*N160,VALUE('Capacity summary'!N72)),0),N160*$BI160),N160*$BI160),0)</f>
        <v>0</v>
      </c>
      <c r="BR160" s="5">
        <f>IF($BI160&lt;&gt;"",IF('Capacity summary'!$C$14="Yes",IF(COUNTBLANK('Capacity summary'!$H72:$BG72)&lt;52,IF('Capacity summary'!O72&lt;&gt;"",IF(LOWER('Capacity summary'!O72)="x",$BI160*O160,VALUE('Capacity summary'!O72)),0),O160*$BI160),O160*$BI160),0)</f>
        <v>0</v>
      </c>
      <c r="BS160" s="5">
        <f>IF($BI160&lt;&gt;"",IF('Capacity summary'!$C$14="Yes",IF(COUNTBLANK('Capacity summary'!$H72:$BG72)&lt;52,IF('Capacity summary'!P72&lt;&gt;"",IF(LOWER('Capacity summary'!P72)="x",$BI160*P160,VALUE('Capacity summary'!P72)),0),P160*$BI160),P160*$BI160),0)</f>
        <v>0</v>
      </c>
      <c r="BT160" s="5">
        <f>IF($BI160&lt;&gt;"",IF('Capacity summary'!$C$14="Yes",IF(COUNTBLANK('Capacity summary'!$H72:$BG72)&lt;52,IF('Capacity summary'!Q72&lt;&gt;"",IF(LOWER('Capacity summary'!Q72)="x",$BI160*Q160,VALUE('Capacity summary'!Q72)),0),Q160*$BI160),Q160*$BI160),0)</f>
        <v>0</v>
      </c>
      <c r="BU160" s="5">
        <f>IF($BI160&lt;&gt;"",IF('Capacity summary'!$C$14="Yes",IF(COUNTBLANK('Capacity summary'!$H72:$BG72)&lt;52,IF('Capacity summary'!R72&lt;&gt;"",IF(LOWER('Capacity summary'!R72)="x",$BI160*R160,VALUE('Capacity summary'!R72)),0),R160*$BI160),R160*$BI160),0)</f>
        <v>0</v>
      </c>
      <c r="BV160" s="5">
        <f>IF($BI160&lt;&gt;"",IF('Capacity summary'!$C$14="Yes",IF(COUNTBLANK('Capacity summary'!$H72:$BG72)&lt;52,IF('Capacity summary'!S72&lt;&gt;"",IF(LOWER('Capacity summary'!S72)="x",$BI160*S160,VALUE('Capacity summary'!S72)),0),S160*$BI160),S160*$BI160),0)</f>
        <v>0</v>
      </c>
      <c r="BW160" s="5">
        <f>IF($BI160&lt;&gt;"",IF('Capacity summary'!$C$14="Yes",IF(COUNTBLANK('Capacity summary'!$H72:$BG72)&lt;52,IF('Capacity summary'!T72&lt;&gt;"",IF(LOWER('Capacity summary'!T72)="x",$BI160*T160,VALUE('Capacity summary'!T72)),0),T160*$BI160),T160*$BI160),0)</f>
        <v>0</v>
      </c>
      <c r="BX160" s="5">
        <f>IF($BI160&lt;&gt;"",IF('Capacity summary'!$C$14="Yes",IF(COUNTBLANK('Capacity summary'!$H72:$BG72)&lt;52,IF('Capacity summary'!U72&lt;&gt;"",IF(LOWER('Capacity summary'!U72)="x",$BI160*U160,VALUE('Capacity summary'!U72)),0),U160*$BI160),U160*$BI160),0)</f>
        <v>0</v>
      </c>
      <c r="BY160" s="5">
        <f>IF($BI160&lt;&gt;"",IF('Capacity summary'!$C$14="Yes",IF(COUNTBLANK('Capacity summary'!$H72:$BG72)&lt;52,IF('Capacity summary'!V72&lt;&gt;"",IF(LOWER('Capacity summary'!V72)="x",$BI160*V160,VALUE('Capacity summary'!V72)),0),V160*$BI160),V160*$BI160),0)</f>
        <v>0</v>
      </c>
      <c r="BZ160" s="5">
        <f>IF($BI160&lt;&gt;"",IF('Capacity summary'!$C$14="Yes",IF(COUNTBLANK('Capacity summary'!$H72:$BG72)&lt;52,IF('Capacity summary'!W72&lt;&gt;"",IF(LOWER('Capacity summary'!W72)="x",$BI160*W160,VALUE('Capacity summary'!W72)),0),W160*$BI160),W160*$BI160),0)</f>
        <v>0</v>
      </c>
      <c r="CA160" s="5">
        <f>IF($BI160&lt;&gt;"",IF('Capacity summary'!$C$14="Yes",IF(COUNTBLANK('Capacity summary'!$H72:$BG72)&lt;52,IF('Capacity summary'!X72&lt;&gt;"",IF(LOWER('Capacity summary'!X72)="x",$BI160*X160,VALUE('Capacity summary'!X72)),0),X160*$BI160),X160*$BI160),0)</f>
        <v>0</v>
      </c>
      <c r="CB160" s="5">
        <f>IF($BI160&lt;&gt;"",IF('Capacity summary'!$C$14="Yes",IF(COUNTBLANK('Capacity summary'!$H72:$BG72)&lt;52,IF('Capacity summary'!Y72&lt;&gt;"",IF(LOWER('Capacity summary'!Y72)="x",$BI160*Y160,VALUE('Capacity summary'!Y72)),0),Y160*$BI160),Y160*$BI160),0)</f>
        <v>0</v>
      </c>
      <c r="CC160" s="5">
        <f>IF($BI160&lt;&gt;"",IF('Capacity summary'!$C$14="Yes",IF(COUNTBLANK('Capacity summary'!$H72:$BG72)&lt;52,IF('Capacity summary'!Z72&lt;&gt;"",IF(LOWER('Capacity summary'!Z72)="x",$BI160*Z160,VALUE('Capacity summary'!Z72)),0),Z160*$BI160),Z160*$BI160),0)</f>
        <v>0</v>
      </c>
      <c r="CD160" s="5">
        <f>IF($BI160&lt;&gt;"",IF('Capacity summary'!$C$14="Yes",IF(COUNTBLANK('Capacity summary'!$H72:$BG72)&lt;52,IF('Capacity summary'!AA72&lt;&gt;"",IF(LOWER('Capacity summary'!AA72)="x",$BI160*AA160,VALUE('Capacity summary'!AA72)),0),AA160*$BI160),AA160*$BI160),0)</f>
        <v>0</v>
      </c>
      <c r="CE160" s="5">
        <f>IF($BI160&lt;&gt;"",IF('Capacity summary'!$C$14="Yes",IF(COUNTBLANK('Capacity summary'!$H72:$BG72)&lt;52,IF('Capacity summary'!AB72&lt;&gt;"",IF(LOWER('Capacity summary'!AB72)="x",$BI160*AB160,VALUE('Capacity summary'!AB72)),0),AB160*$BI160),AB160*$BI160),0)</f>
        <v>0</v>
      </c>
      <c r="CF160" s="5">
        <f>IF($BI160&lt;&gt;"",IF('Capacity summary'!$C$14="Yes",IF(COUNTBLANK('Capacity summary'!$H72:$BG72)&lt;52,IF('Capacity summary'!AC72&lt;&gt;"",IF(LOWER('Capacity summary'!AC72)="x",$BI160*AC160,VALUE('Capacity summary'!AC72)),0),AC160*$BI160),AC160*$BI160),0)</f>
        <v>0</v>
      </c>
      <c r="CG160" s="5">
        <f>IF($BI160&lt;&gt;"",IF('Capacity summary'!$C$14="Yes",IF(COUNTBLANK('Capacity summary'!$H72:$BG72)&lt;52,IF('Capacity summary'!AD72&lt;&gt;"",IF(LOWER('Capacity summary'!AD72)="x",$BI160*AD160,VALUE('Capacity summary'!AD72)),0),AD160*$BI160),AD160*$BI160),0)</f>
        <v>0</v>
      </c>
      <c r="CH160" s="5">
        <f>IF($BI160&lt;&gt;"",IF('Capacity summary'!$C$14="Yes",IF(COUNTBLANK('Capacity summary'!$H72:$BG72)&lt;52,IF('Capacity summary'!AE72&lt;&gt;"",IF(LOWER('Capacity summary'!AE72)="x",$BI160*AE160,VALUE('Capacity summary'!AE72)),0),AE160*$BI160),AE160*$BI160),0)</f>
        <v>0</v>
      </c>
      <c r="CI160" s="5">
        <f>IF($BI160&lt;&gt;"",IF('Capacity summary'!$C$14="Yes",IF(COUNTBLANK('Capacity summary'!$H72:$BG72)&lt;52,IF('Capacity summary'!AF72&lt;&gt;"",IF(LOWER('Capacity summary'!AF72)="x",$BI160*AF160,VALUE('Capacity summary'!AF72)),0),AF160*$BI160),AF160*$BI160),0)</f>
        <v>0</v>
      </c>
      <c r="CJ160" s="5">
        <f>IF($BI160&lt;&gt;"",IF('Capacity summary'!$C$14="Yes",IF(COUNTBLANK('Capacity summary'!$H72:$BG72)&lt;52,IF('Capacity summary'!AG72&lt;&gt;"",IF(LOWER('Capacity summary'!AG72)="x",$BI160*AG160,VALUE('Capacity summary'!AG72)),0),AG160*$BI160),AG160*$BI160),0)</f>
        <v>0</v>
      </c>
      <c r="CK160" s="5">
        <f>IF($BI160&lt;&gt;"",IF('Capacity summary'!$C$14="Yes",IF(COUNTBLANK('Capacity summary'!$H72:$BG72)&lt;52,IF('Capacity summary'!AH72&lt;&gt;"",IF(LOWER('Capacity summary'!AH72)="x",$BI160*AH160,VALUE('Capacity summary'!AH72)),0),AH160*$BI160),AH160*$BI160),0)</f>
        <v>0</v>
      </c>
      <c r="CL160" s="5">
        <f>IF($BI160&lt;&gt;"",IF('Capacity summary'!$C$14="Yes",IF(COUNTBLANK('Capacity summary'!$H72:$BG72)&lt;52,IF('Capacity summary'!AI72&lt;&gt;"",IF(LOWER('Capacity summary'!AI72)="x",$BI160*AI160,VALUE('Capacity summary'!AI72)),0),AI160*$BI160),AI160*$BI160),0)</f>
        <v>0</v>
      </c>
      <c r="CM160" s="5">
        <f>IF($BI160&lt;&gt;"",IF('Capacity summary'!$C$14="Yes",IF(COUNTBLANK('Capacity summary'!$H72:$BG72)&lt;52,IF('Capacity summary'!AJ72&lt;&gt;"",IF(LOWER('Capacity summary'!AJ72)="x",$BI160*AJ160,VALUE('Capacity summary'!AJ72)),0),AJ160*$BI160),AJ160*$BI160),0)</f>
        <v>0</v>
      </c>
      <c r="CN160" s="5">
        <f>IF($BI160&lt;&gt;"",IF('Capacity summary'!$C$14="Yes",IF(COUNTBLANK('Capacity summary'!$H72:$BG72)&lt;52,IF('Capacity summary'!AK72&lt;&gt;"",IF(LOWER('Capacity summary'!AK72)="x",$BI160*AK160,VALUE('Capacity summary'!AK72)),0),AK160*$BI160),AK160*$BI160),0)</f>
        <v>0</v>
      </c>
      <c r="CO160" s="5">
        <f>IF($BI160&lt;&gt;"",IF('Capacity summary'!$C$14="Yes",IF(COUNTBLANK('Capacity summary'!$H72:$BG72)&lt;52,IF('Capacity summary'!AL72&lt;&gt;"",IF(LOWER('Capacity summary'!AL72)="x",$BI160*AL160,VALUE('Capacity summary'!AL72)),0),AL160*$BI160),AL160*$BI160),0)</f>
        <v>0</v>
      </c>
      <c r="CP160" s="5">
        <f>IF($BI160&lt;&gt;"",IF('Capacity summary'!$C$14="Yes",IF(COUNTBLANK('Capacity summary'!$H72:$BG72)&lt;52,IF('Capacity summary'!AM72&lt;&gt;"",IF(LOWER('Capacity summary'!AM72)="x",$BI160*AM160,VALUE('Capacity summary'!AM72)),0),AM160*$BI160),AM160*$BI160),0)</f>
        <v>0</v>
      </c>
      <c r="CQ160" s="5">
        <f>IF($BI160&lt;&gt;"",IF('Capacity summary'!$C$14="Yes",IF(COUNTBLANK('Capacity summary'!$H72:$BG72)&lt;52,IF('Capacity summary'!AN72&lt;&gt;"",IF(LOWER('Capacity summary'!AN72)="x",$BI160*AN160,VALUE('Capacity summary'!AN72)),0),AN160*$BI160),AN160*$BI160),0)</f>
        <v>0</v>
      </c>
      <c r="CR160" s="5">
        <f>IF($BI160&lt;&gt;"",IF('Capacity summary'!$C$14="Yes",IF(COUNTBLANK('Capacity summary'!$H72:$BG72)&lt;52,IF('Capacity summary'!AO72&lt;&gt;"",IF(LOWER('Capacity summary'!AO72)="x",$BI160*AO160,VALUE('Capacity summary'!AO72)),0),AO160*$BI160),AO160*$BI160),0)</f>
        <v>0</v>
      </c>
      <c r="CS160" s="5">
        <f>IF($BI160&lt;&gt;"",IF('Capacity summary'!$C$14="Yes",IF(COUNTBLANK('Capacity summary'!$H72:$BG72)&lt;52,IF('Capacity summary'!AP72&lt;&gt;"",IF(LOWER('Capacity summary'!AP72)="x",$BI160*AP160,VALUE('Capacity summary'!AP72)),0),AP160*$BI160),AP160*$BI160),0)</f>
        <v>0</v>
      </c>
      <c r="CT160" s="5">
        <f>IF($BI160&lt;&gt;"",IF('Capacity summary'!$C$14="Yes",IF(COUNTBLANK('Capacity summary'!$H72:$BG72)&lt;52,IF('Capacity summary'!AQ72&lt;&gt;"",IF(LOWER('Capacity summary'!AQ72)="x",$BI160*AQ160,VALUE('Capacity summary'!AQ72)),0),AQ160*$BI160),AQ160*$BI160),0)</f>
        <v>0</v>
      </c>
      <c r="CU160" s="5">
        <f>IF($BI160&lt;&gt;"",IF('Capacity summary'!$C$14="Yes",IF(COUNTBLANK('Capacity summary'!$H72:$BG72)&lt;52,IF('Capacity summary'!AR72&lt;&gt;"",IF(LOWER('Capacity summary'!AR72)="x",$BI160*AR160,VALUE('Capacity summary'!AR72)),0),AR160*$BI160),AR160*$BI160),0)</f>
        <v>0</v>
      </c>
      <c r="CV160" s="5">
        <f>IF($BI160&lt;&gt;"",IF('Capacity summary'!$C$14="Yes",IF(COUNTBLANK('Capacity summary'!$H72:$BG72)&lt;52,IF('Capacity summary'!AS72&lt;&gt;"",IF(LOWER('Capacity summary'!AS72)="x",$BI160*AS160,VALUE('Capacity summary'!AS72)),0),AS160*$BI160),AS160*$BI160),0)</f>
        <v>0</v>
      </c>
      <c r="CW160" s="5">
        <f>IF($BI160&lt;&gt;"",IF('Capacity summary'!$C$14="Yes",IF(COUNTBLANK('Capacity summary'!$H72:$BG72)&lt;52,IF('Capacity summary'!AT72&lt;&gt;"",IF(LOWER('Capacity summary'!AT72)="x",$BI160*AT160,VALUE('Capacity summary'!AT72)),0),AT160*$BI160),AT160*$BI160),0)</f>
        <v>0</v>
      </c>
      <c r="CX160" s="5">
        <f>IF($BI160&lt;&gt;"",IF('Capacity summary'!$C$14="Yes",IF(COUNTBLANK('Capacity summary'!$H72:$BG72)&lt;52,IF('Capacity summary'!AU72&lt;&gt;"",IF(LOWER('Capacity summary'!AU72)="x",$BI160*AU160,VALUE('Capacity summary'!AU72)),0),AU160*$BI160),AU160*$BI160),0)</f>
        <v>0</v>
      </c>
      <c r="CY160" s="5">
        <f>IF($BI160&lt;&gt;"",IF('Capacity summary'!$C$14="Yes",IF(COUNTBLANK('Capacity summary'!$H72:$BG72)&lt;52,IF('Capacity summary'!AV72&lt;&gt;"",IF(LOWER('Capacity summary'!AV72)="x",$BI160*AV160,VALUE('Capacity summary'!AV72)),0),AV160*$BI160),AV160*$BI160),0)</f>
        <v>0</v>
      </c>
      <c r="CZ160" s="5">
        <f>IF($BI160&lt;&gt;"",IF('Capacity summary'!$C$14="Yes",IF(COUNTBLANK('Capacity summary'!$H72:$BG72)&lt;52,IF('Capacity summary'!AW72&lt;&gt;"",IF(LOWER('Capacity summary'!AW72)="x",$BI160*AW160,VALUE('Capacity summary'!AW72)),0),AW160*$BI160),AW160*$BI160),0)</f>
        <v>0</v>
      </c>
      <c r="DA160" s="5">
        <f>IF($BI160&lt;&gt;"",IF('Capacity summary'!$C$14="Yes",IF(COUNTBLANK('Capacity summary'!$H72:$BG72)&lt;52,IF('Capacity summary'!AX72&lt;&gt;"",IF(LOWER('Capacity summary'!AX72)="x",$BI160*AX160,VALUE('Capacity summary'!AX72)),0),AX160*$BI160),AX160*$BI160),0)</f>
        <v>0</v>
      </c>
      <c r="DB160" s="5">
        <f>IF($BI160&lt;&gt;"",IF('Capacity summary'!$C$14="Yes",IF(COUNTBLANK('Capacity summary'!$H72:$BG72)&lt;52,IF('Capacity summary'!AY72&lt;&gt;"",IF(LOWER('Capacity summary'!AY72)="x",$BI160*AY160,VALUE('Capacity summary'!AY72)),0),AY160*$BI160),AY160*$BI160),0)</f>
        <v>0</v>
      </c>
      <c r="DC160" s="5">
        <f>IF($BI160&lt;&gt;"",IF('Capacity summary'!$C$14="Yes",IF(COUNTBLANK('Capacity summary'!$H72:$BG72)&lt;52,IF('Capacity summary'!AZ72&lt;&gt;"",IF(LOWER('Capacity summary'!AZ72)="x",$BI160*AZ160,VALUE('Capacity summary'!AZ72)),0),AZ160*$BI160),AZ160*$BI160),0)</f>
        <v>0</v>
      </c>
      <c r="DD160" s="5">
        <f>IF($BI160&lt;&gt;"",IF('Capacity summary'!$C$14="Yes",IF(COUNTBLANK('Capacity summary'!$H72:$BG72)&lt;52,IF('Capacity summary'!BA72&lt;&gt;"",IF(LOWER('Capacity summary'!BA72)="x",$BI160*BA160,VALUE('Capacity summary'!BA72)),0),BA160*$BI160),BA160*$BI160),0)</f>
        <v>0</v>
      </c>
      <c r="DE160" s="5">
        <f>IF($BI160&lt;&gt;"",IF('Capacity summary'!$C$14="Yes",IF(COUNTBLANK('Capacity summary'!$H72:$BG72)&lt;52,IF('Capacity summary'!BB72&lt;&gt;"",IF(LOWER('Capacity summary'!BB72)="x",$BI160*BB160,VALUE('Capacity summary'!BB72)),0),BB160*$BI160),BB160*$BI160),0)</f>
        <v>0</v>
      </c>
      <c r="DF160" s="5">
        <f>IF($BI160&lt;&gt;"",IF('Capacity summary'!$C$14="Yes",IF(COUNTBLANK('Capacity summary'!$H72:$BG72)&lt;52,IF('Capacity summary'!BC72&lt;&gt;"",IF(LOWER('Capacity summary'!BC72)="x",$BI160*BC160,VALUE('Capacity summary'!BC72)),0),BC160*$BI160),BC160*$BI160),0)</f>
        <v>0</v>
      </c>
      <c r="DG160" s="5">
        <f>IF($BI160&lt;&gt;"",IF('Capacity summary'!$C$14="Yes",IF(COUNTBLANK('Capacity summary'!$H72:$BG72)&lt;52,IF('Capacity summary'!BD72&lt;&gt;"",IF(LOWER('Capacity summary'!BD72)="x",$BI160*BD160,VALUE('Capacity summary'!BD72)),0),BD160*$BI160),BD160*$BI160),0)</f>
        <v>0</v>
      </c>
      <c r="DH160" s="5">
        <f>IF($BI160&lt;&gt;"",IF('Capacity summary'!$C$14="Yes",IF(COUNTBLANK('Capacity summary'!$H72:$BG72)&lt;52,IF('Capacity summary'!BE72&lt;&gt;"",IF(LOWER('Capacity summary'!BE72)="x",$BI160*BE160,VALUE('Capacity summary'!BE72)),0),BE160*$BI160),BE160*$BI160),0)</f>
        <v>0</v>
      </c>
      <c r="DI160" s="5">
        <f>IF($BI160&lt;&gt;"",IF('Capacity summary'!$C$14="Yes",IF(COUNTBLANK('Capacity summary'!$H72:$BG72)&lt;52,IF('Capacity summary'!BF72&lt;&gt;"",IF(LOWER('Capacity summary'!BF72)="x",$BI160*BF160,VALUE('Capacity summary'!BF72)),0),BF160*$BI160),BF160*$BI160),0)</f>
        <v>0</v>
      </c>
      <c r="DJ160" s="5">
        <f>IF($BI160&lt;&gt;"",IF('Capacity summary'!$C$14="Yes",IF(COUNTBLANK('Capacity summary'!$H72:$BG72)&lt;52,IF('Capacity summary'!BG72&lt;&gt;"",IF(LOWER('Capacity summary'!BG72)="x",$BI160*BG160,VALUE('Capacity summary'!BG72)),0),BG160*$BI160),BG160*$BI160),0)</f>
        <v>0</v>
      </c>
      <c r="DK160" s="5">
        <f t="shared" ref="DK160" si="54">SUM(DK161:DK260)</f>
        <v>0</v>
      </c>
    </row>
    <row r="161" spans="3:115" x14ac:dyDescent="0.25">
      <c r="C161" s="67" t="str">
        <f>ROW(A50)&amp;". "&amp;Capacity!N66</f>
        <v xml:space="preserve">50. </v>
      </c>
      <c r="D161" s="67">
        <f>'Capacity setup'!C167</f>
        <v>0</v>
      </c>
      <c r="E161" s="67">
        <f>'Capacity setup'!D167</f>
        <v>0</v>
      </c>
      <c r="F161" s="67">
        <f>'Capacity setup'!E167</f>
        <v>0</v>
      </c>
      <c r="H161" s="67">
        <f ca="1">IF(AND(SUMIF(Capacity_Resource,$D161,'Critical resources (hide)'!U$6:U$105)+SUMIF(Capacity_Resource,$E161,'Critical resources (hide)'!U$6:U$105)+SUMIF(Capacity_Resource,$F161,'Critical resources (hide)'!U$6:U$105)&gt;0,$E$1=2),0,1)</f>
        <v>1</v>
      </c>
      <c r="I161" s="67">
        <f ca="1">IF(AND(SUMIF(Capacity_Resource,$D161,'Critical resources (hide)'!V$6:V$105)+SUMIF(Capacity_Resource,$E161,'Critical resources (hide)'!V$6:V$105)+SUMIF(Capacity_Resource,$F161,'Critical resources (hide)'!V$6:V$105)&gt;0,$E$1=2),0,1)</f>
        <v>1</v>
      </c>
      <c r="J161" s="67">
        <f ca="1">IF(AND(SUMIF(Capacity_Resource,$D161,'Critical resources (hide)'!W$6:W$105)+SUMIF(Capacity_Resource,$E161,'Critical resources (hide)'!W$6:W$105)+SUMIF(Capacity_Resource,$F161,'Critical resources (hide)'!W$6:W$105)&gt;0,$E$1=2),0,1)</f>
        <v>1</v>
      </c>
      <c r="K161" s="67">
        <f ca="1">IF(AND(SUMIF(Capacity_Resource,$D161,'Critical resources (hide)'!X$6:X$105)+SUMIF(Capacity_Resource,$E161,'Critical resources (hide)'!X$6:X$105)+SUMIF(Capacity_Resource,$F161,'Critical resources (hide)'!X$6:X$105)&gt;0,$E$1=2),0,1)</f>
        <v>1</v>
      </c>
      <c r="L161" s="67">
        <f ca="1">IF(AND(SUMIF(Capacity_Resource,$D161,'Critical resources (hide)'!Y$6:Y$105)+SUMIF(Capacity_Resource,$E161,'Critical resources (hide)'!Y$6:Y$105)+SUMIF(Capacity_Resource,$F161,'Critical resources (hide)'!Y$6:Y$105)&gt;0,$E$1=2),0,1)</f>
        <v>1</v>
      </c>
      <c r="M161" s="67">
        <f ca="1">IF(AND(SUMIF(Capacity_Resource,$D161,'Critical resources (hide)'!Z$6:Z$105)+SUMIF(Capacity_Resource,$E161,'Critical resources (hide)'!Z$6:Z$105)+SUMIF(Capacity_Resource,$F161,'Critical resources (hide)'!Z$6:Z$105)&gt;0,$E$1=2),0,1)</f>
        <v>1</v>
      </c>
      <c r="N161" s="67">
        <f ca="1">IF(AND(SUMIF(Capacity_Resource,$D161,'Critical resources (hide)'!AA$6:AA$105)+SUMIF(Capacity_Resource,$E161,'Critical resources (hide)'!AA$6:AA$105)+SUMIF(Capacity_Resource,$F161,'Critical resources (hide)'!AA$6:AA$105)&gt;0,$E$1=2),0,1)</f>
        <v>1</v>
      </c>
      <c r="O161" s="67">
        <f ca="1">IF(AND(SUMIF(Capacity_Resource,$D161,'Critical resources (hide)'!AB$6:AB$105)+SUMIF(Capacity_Resource,$E161,'Critical resources (hide)'!AB$6:AB$105)+SUMIF(Capacity_Resource,$F161,'Critical resources (hide)'!AB$6:AB$105)&gt;0,$E$1=2),0,1)</f>
        <v>1</v>
      </c>
      <c r="P161" s="67">
        <f ca="1">IF(AND(SUMIF(Capacity_Resource,$D161,'Critical resources (hide)'!AC$6:AC$105)+SUMIF(Capacity_Resource,$E161,'Critical resources (hide)'!AC$6:AC$105)+SUMIF(Capacity_Resource,$F161,'Critical resources (hide)'!AC$6:AC$105)&gt;0,$E$1=2),0,1)</f>
        <v>1</v>
      </c>
      <c r="Q161" s="67">
        <f ca="1">IF(AND(SUMIF(Capacity_Resource,$D161,'Critical resources (hide)'!AD$6:AD$105)+SUMIF(Capacity_Resource,$E161,'Critical resources (hide)'!AD$6:AD$105)+SUMIF(Capacity_Resource,$F161,'Critical resources (hide)'!AD$6:AD$105)&gt;0,$E$1=2),0,1)</f>
        <v>1</v>
      </c>
      <c r="R161" s="67">
        <f ca="1">IF(AND(SUMIF(Capacity_Resource,$D161,'Critical resources (hide)'!AE$6:AE$105)+SUMIF(Capacity_Resource,$E161,'Critical resources (hide)'!AE$6:AE$105)+SUMIF(Capacity_Resource,$F161,'Critical resources (hide)'!AE$6:AE$105)&gt;0,$E$1=2),0,1)</f>
        <v>1</v>
      </c>
      <c r="S161" s="67">
        <f ca="1">IF(AND(SUMIF(Capacity_Resource,$D161,'Critical resources (hide)'!AF$6:AF$105)+SUMIF(Capacity_Resource,$E161,'Critical resources (hide)'!AF$6:AF$105)+SUMIF(Capacity_Resource,$F161,'Critical resources (hide)'!AF$6:AF$105)&gt;0,$E$1=2),0,1)</f>
        <v>1</v>
      </c>
      <c r="T161" s="67">
        <f ca="1">IF(AND(SUMIF(Capacity_Resource,$D161,'Critical resources (hide)'!AG$6:AG$105)+SUMIF(Capacity_Resource,$E161,'Critical resources (hide)'!AG$6:AG$105)+SUMIF(Capacity_Resource,$F161,'Critical resources (hide)'!AG$6:AG$105)&gt;0,$E$1=2),0,1)</f>
        <v>1</v>
      </c>
      <c r="U161" s="67">
        <f ca="1">IF(AND(SUMIF(Capacity_Resource,$D161,'Critical resources (hide)'!AH$6:AH$105)+SUMIF(Capacity_Resource,$E161,'Critical resources (hide)'!AH$6:AH$105)+SUMIF(Capacity_Resource,$F161,'Critical resources (hide)'!AH$6:AH$105)&gt;0,$E$1=2),0,1)</f>
        <v>1</v>
      </c>
      <c r="V161" s="67">
        <f ca="1">IF(AND(SUMIF(Capacity_Resource,$D161,'Critical resources (hide)'!AI$6:AI$105)+SUMIF(Capacity_Resource,$E161,'Critical resources (hide)'!AI$6:AI$105)+SUMIF(Capacity_Resource,$F161,'Critical resources (hide)'!AI$6:AI$105)&gt;0,$E$1=2),0,1)</f>
        <v>1</v>
      </c>
      <c r="W161" s="67">
        <f ca="1">IF(AND(SUMIF(Capacity_Resource,$D161,'Critical resources (hide)'!AJ$6:AJ$105)+SUMIF(Capacity_Resource,$E161,'Critical resources (hide)'!AJ$6:AJ$105)+SUMIF(Capacity_Resource,$F161,'Critical resources (hide)'!AJ$6:AJ$105)&gt;0,$E$1=2),0,1)</f>
        <v>1</v>
      </c>
      <c r="X161" s="67">
        <f ca="1">IF(AND(SUMIF(Capacity_Resource,$D161,'Critical resources (hide)'!AK$6:AK$105)+SUMIF(Capacity_Resource,$E161,'Critical resources (hide)'!AK$6:AK$105)+SUMIF(Capacity_Resource,$F161,'Critical resources (hide)'!AK$6:AK$105)&gt;0,$E$1=2),0,1)</f>
        <v>1</v>
      </c>
      <c r="Y161" s="67">
        <f ca="1">IF(AND(SUMIF(Capacity_Resource,$D161,'Critical resources (hide)'!AL$6:AL$105)+SUMIF(Capacity_Resource,$E161,'Critical resources (hide)'!AL$6:AL$105)+SUMIF(Capacity_Resource,$F161,'Critical resources (hide)'!AL$6:AL$105)&gt;0,$E$1=2),0,1)</f>
        <v>1</v>
      </c>
      <c r="Z161" s="67">
        <f ca="1">IF(AND(SUMIF(Capacity_Resource,$D161,'Critical resources (hide)'!AM$6:AM$105)+SUMIF(Capacity_Resource,$E161,'Critical resources (hide)'!AM$6:AM$105)+SUMIF(Capacity_Resource,$F161,'Critical resources (hide)'!AM$6:AM$105)&gt;0,$E$1=2),0,1)</f>
        <v>1</v>
      </c>
      <c r="AA161" s="67">
        <f ca="1">IF(AND(SUMIF(Capacity_Resource,$D161,'Critical resources (hide)'!AN$6:AN$105)+SUMIF(Capacity_Resource,$E161,'Critical resources (hide)'!AN$6:AN$105)+SUMIF(Capacity_Resource,$F161,'Critical resources (hide)'!AN$6:AN$105)&gt;0,$E$1=2),0,1)</f>
        <v>1</v>
      </c>
      <c r="AB161" s="67">
        <f ca="1">IF(AND(SUMIF(Capacity_Resource,$D161,'Critical resources (hide)'!AO$6:AO$105)+SUMIF(Capacity_Resource,$E161,'Critical resources (hide)'!AO$6:AO$105)+SUMIF(Capacity_Resource,$F161,'Critical resources (hide)'!AO$6:AO$105)&gt;0,$E$1=2),0,1)</f>
        <v>1</v>
      </c>
      <c r="AC161" s="67">
        <f ca="1">IF(AND(SUMIF(Capacity_Resource,$D161,'Critical resources (hide)'!AP$6:AP$105)+SUMIF(Capacity_Resource,$E161,'Critical resources (hide)'!AP$6:AP$105)+SUMIF(Capacity_Resource,$F161,'Critical resources (hide)'!AP$6:AP$105)&gt;0,$E$1=2),0,1)</f>
        <v>1</v>
      </c>
      <c r="AD161" s="67">
        <f ca="1">IF(AND(SUMIF(Capacity_Resource,$D161,'Critical resources (hide)'!AQ$6:AQ$105)+SUMIF(Capacity_Resource,$E161,'Critical resources (hide)'!AQ$6:AQ$105)+SUMIF(Capacity_Resource,$F161,'Critical resources (hide)'!AQ$6:AQ$105)&gt;0,$E$1=2),0,1)</f>
        <v>1</v>
      </c>
      <c r="AE161" s="67">
        <f ca="1">IF(AND(SUMIF(Capacity_Resource,$D161,'Critical resources (hide)'!AR$6:AR$105)+SUMIF(Capacity_Resource,$E161,'Critical resources (hide)'!AR$6:AR$105)+SUMIF(Capacity_Resource,$F161,'Critical resources (hide)'!AR$6:AR$105)&gt;0,$E$1=2),0,1)</f>
        <v>1</v>
      </c>
      <c r="AF161" s="67">
        <f ca="1">IF(AND(SUMIF(Capacity_Resource,$D161,'Critical resources (hide)'!AS$6:AS$105)+SUMIF(Capacity_Resource,$E161,'Critical resources (hide)'!AS$6:AS$105)+SUMIF(Capacity_Resource,$F161,'Critical resources (hide)'!AS$6:AS$105)&gt;0,$E$1=2),0,1)</f>
        <v>1</v>
      </c>
      <c r="AG161" s="67">
        <f ca="1">IF(AND(SUMIF(Capacity_Resource,$D161,'Critical resources (hide)'!AT$6:AT$105)+SUMIF(Capacity_Resource,$E161,'Critical resources (hide)'!AT$6:AT$105)+SUMIF(Capacity_Resource,$F161,'Critical resources (hide)'!AT$6:AT$105)&gt;0,$E$1=2),0,1)</f>
        <v>1</v>
      </c>
      <c r="AH161" s="67">
        <f ca="1">IF(AND(SUMIF(Capacity_Resource,$D161,'Critical resources (hide)'!AU$6:AU$105)+SUMIF(Capacity_Resource,$E161,'Critical resources (hide)'!AU$6:AU$105)+SUMIF(Capacity_Resource,$F161,'Critical resources (hide)'!AU$6:AU$105)&gt;0,$E$1=2),0,1)</f>
        <v>1</v>
      </c>
      <c r="AI161" s="67">
        <f ca="1">IF(AND(SUMIF(Capacity_Resource,$D161,'Critical resources (hide)'!AV$6:AV$105)+SUMIF(Capacity_Resource,$E161,'Critical resources (hide)'!AV$6:AV$105)+SUMIF(Capacity_Resource,$F161,'Critical resources (hide)'!AV$6:AV$105)&gt;0,$E$1=2),0,1)</f>
        <v>1</v>
      </c>
      <c r="AJ161" s="67">
        <f ca="1">IF(AND(SUMIF(Capacity_Resource,$D161,'Critical resources (hide)'!AW$6:AW$105)+SUMIF(Capacity_Resource,$E161,'Critical resources (hide)'!AW$6:AW$105)+SUMIF(Capacity_Resource,$F161,'Critical resources (hide)'!AW$6:AW$105)&gt;0,$E$1=2),0,1)</f>
        <v>1</v>
      </c>
      <c r="AK161" s="67">
        <f ca="1">IF(AND(SUMIF(Capacity_Resource,$D161,'Critical resources (hide)'!AX$6:AX$105)+SUMIF(Capacity_Resource,$E161,'Critical resources (hide)'!AX$6:AX$105)+SUMIF(Capacity_Resource,$F161,'Critical resources (hide)'!AX$6:AX$105)&gt;0,$E$1=2),0,1)</f>
        <v>1</v>
      </c>
      <c r="AL161" s="67">
        <f ca="1">IF(AND(SUMIF(Capacity_Resource,$D161,'Critical resources (hide)'!AY$6:AY$105)+SUMIF(Capacity_Resource,$E161,'Critical resources (hide)'!AY$6:AY$105)+SUMIF(Capacity_Resource,$F161,'Critical resources (hide)'!AY$6:AY$105)&gt;0,$E$1=2),0,1)</f>
        <v>1</v>
      </c>
      <c r="AM161" s="67">
        <f ca="1">IF(AND(SUMIF(Capacity_Resource,$D161,'Critical resources (hide)'!AZ$6:AZ$105)+SUMIF(Capacity_Resource,$E161,'Critical resources (hide)'!AZ$6:AZ$105)+SUMIF(Capacity_Resource,$F161,'Critical resources (hide)'!AZ$6:AZ$105)&gt;0,$E$1=2),0,1)</f>
        <v>1</v>
      </c>
      <c r="AN161" s="67">
        <f ca="1">IF(AND(SUMIF(Capacity_Resource,$D161,'Critical resources (hide)'!BA$6:BA$105)+SUMIF(Capacity_Resource,$E161,'Critical resources (hide)'!BA$6:BA$105)+SUMIF(Capacity_Resource,$F161,'Critical resources (hide)'!BA$6:BA$105)&gt;0,$E$1=2),0,1)</f>
        <v>1</v>
      </c>
      <c r="AO161" s="67">
        <f ca="1">IF(AND(SUMIF(Capacity_Resource,$D161,'Critical resources (hide)'!BB$6:BB$105)+SUMIF(Capacity_Resource,$E161,'Critical resources (hide)'!BB$6:BB$105)+SUMIF(Capacity_Resource,$F161,'Critical resources (hide)'!BB$6:BB$105)&gt;0,$E$1=2),0,1)</f>
        <v>1</v>
      </c>
      <c r="AP161" s="67">
        <f ca="1">IF(AND(SUMIF(Capacity_Resource,$D161,'Critical resources (hide)'!BC$6:BC$105)+SUMIF(Capacity_Resource,$E161,'Critical resources (hide)'!BC$6:BC$105)+SUMIF(Capacity_Resource,$F161,'Critical resources (hide)'!BC$6:BC$105)&gt;0,$E$1=2),0,1)</f>
        <v>1</v>
      </c>
      <c r="AQ161" s="67">
        <f ca="1">IF(AND(SUMIF(Capacity_Resource,$D161,'Critical resources (hide)'!BD$6:BD$105)+SUMIF(Capacity_Resource,$E161,'Critical resources (hide)'!BD$6:BD$105)+SUMIF(Capacity_Resource,$F161,'Critical resources (hide)'!BD$6:BD$105)&gt;0,$E$1=2),0,1)</f>
        <v>1</v>
      </c>
      <c r="AR161" s="67">
        <f ca="1">IF(AND(SUMIF(Capacity_Resource,$D161,'Critical resources (hide)'!BE$6:BE$105)+SUMIF(Capacity_Resource,$E161,'Critical resources (hide)'!BE$6:BE$105)+SUMIF(Capacity_Resource,$F161,'Critical resources (hide)'!BE$6:BE$105)&gt;0,$E$1=2),0,1)</f>
        <v>1</v>
      </c>
      <c r="AS161" s="67">
        <f ca="1">IF(AND(SUMIF(Capacity_Resource,$D161,'Critical resources (hide)'!BF$6:BF$105)+SUMIF(Capacity_Resource,$E161,'Critical resources (hide)'!BF$6:BF$105)+SUMIF(Capacity_Resource,$F161,'Critical resources (hide)'!BF$6:BF$105)&gt;0,$E$1=2),0,1)</f>
        <v>1</v>
      </c>
      <c r="AT161" s="67">
        <f ca="1">IF(AND(SUMIF(Capacity_Resource,$D161,'Critical resources (hide)'!BG$6:BG$105)+SUMIF(Capacity_Resource,$E161,'Critical resources (hide)'!BG$6:BG$105)+SUMIF(Capacity_Resource,$F161,'Critical resources (hide)'!BG$6:BG$105)&gt;0,$E$1=2),0,1)</f>
        <v>1</v>
      </c>
      <c r="AU161" s="67">
        <f ca="1">IF(AND(SUMIF(Capacity_Resource,$D161,'Critical resources (hide)'!BH$6:BH$105)+SUMIF(Capacity_Resource,$E161,'Critical resources (hide)'!BH$6:BH$105)+SUMIF(Capacity_Resource,$F161,'Critical resources (hide)'!BH$6:BH$105)&gt;0,$E$1=2),0,1)</f>
        <v>1</v>
      </c>
      <c r="AV161" s="67">
        <f ca="1">IF(AND(SUMIF(Capacity_Resource,$D161,'Critical resources (hide)'!BI$6:BI$105)+SUMIF(Capacity_Resource,$E161,'Critical resources (hide)'!BI$6:BI$105)+SUMIF(Capacity_Resource,$F161,'Critical resources (hide)'!BI$6:BI$105)&gt;0,$E$1=2),0,1)</f>
        <v>1</v>
      </c>
      <c r="AW161" s="67">
        <f ca="1">IF(AND(SUMIF(Capacity_Resource,$D161,'Critical resources (hide)'!BJ$6:BJ$105)+SUMIF(Capacity_Resource,$E161,'Critical resources (hide)'!BJ$6:BJ$105)+SUMIF(Capacity_Resource,$F161,'Critical resources (hide)'!BJ$6:BJ$105)&gt;0,$E$1=2),0,1)</f>
        <v>1</v>
      </c>
      <c r="AX161" s="67">
        <f ca="1">IF(AND(SUMIF(Capacity_Resource,$D161,'Critical resources (hide)'!BK$6:BK$105)+SUMIF(Capacity_Resource,$E161,'Critical resources (hide)'!BK$6:BK$105)+SUMIF(Capacity_Resource,$F161,'Critical resources (hide)'!BK$6:BK$105)&gt;0,$E$1=2),0,1)</f>
        <v>1</v>
      </c>
      <c r="AY161" s="67">
        <f ca="1">IF(AND(SUMIF(Capacity_Resource,$D161,'Critical resources (hide)'!BL$6:BL$105)+SUMIF(Capacity_Resource,$E161,'Critical resources (hide)'!BL$6:BL$105)+SUMIF(Capacity_Resource,$F161,'Critical resources (hide)'!BL$6:BL$105)&gt;0,$E$1=2),0,1)</f>
        <v>1</v>
      </c>
      <c r="AZ161" s="67">
        <f ca="1">IF(AND(SUMIF(Capacity_Resource,$D161,'Critical resources (hide)'!BM$6:BM$105)+SUMIF(Capacity_Resource,$E161,'Critical resources (hide)'!BM$6:BM$105)+SUMIF(Capacity_Resource,$F161,'Critical resources (hide)'!BM$6:BM$105)&gt;0,$E$1=2),0,1)</f>
        <v>1</v>
      </c>
      <c r="BA161" s="67">
        <f ca="1">IF(AND(SUMIF(Capacity_Resource,$D161,'Critical resources (hide)'!BN$6:BN$105)+SUMIF(Capacity_Resource,$E161,'Critical resources (hide)'!BN$6:BN$105)+SUMIF(Capacity_Resource,$F161,'Critical resources (hide)'!BN$6:BN$105)&gt;0,$E$1=2),0,1)</f>
        <v>1</v>
      </c>
      <c r="BB161" s="67">
        <f ca="1">IF(AND(SUMIF(Capacity_Resource,$D161,'Critical resources (hide)'!BO$6:BO$105)+SUMIF(Capacity_Resource,$E161,'Critical resources (hide)'!BO$6:BO$105)+SUMIF(Capacity_Resource,$F161,'Critical resources (hide)'!BO$6:BO$105)&gt;0,$E$1=2),0,1)</f>
        <v>1</v>
      </c>
      <c r="BC161" s="67">
        <f ca="1">IF(AND(SUMIF(Capacity_Resource,$D161,'Critical resources (hide)'!BP$6:BP$105)+SUMIF(Capacity_Resource,$E161,'Critical resources (hide)'!BP$6:BP$105)+SUMIF(Capacity_Resource,$F161,'Critical resources (hide)'!BP$6:BP$105)&gt;0,$E$1=2),0,1)</f>
        <v>1</v>
      </c>
      <c r="BD161" s="67">
        <f ca="1">IF(AND(SUMIF(Capacity_Resource,$D161,'Critical resources (hide)'!BQ$6:BQ$105)+SUMIF(Capacity_Resource,$E161,'Critical resources (hide)'!BQ$6:BQ$105)+SUMIF(Capacity_Resource,$F161,'Critical resources (hide)'!BQ$6:BQ$105)&gt;0,$E$1=2),0,1)</f>
        <v>1</v>
      </c>
      <c r="BE161" s="67">
        <f ca="1">IF(AND(SUMIF(Capacity_Resource,$D161,'Critical resources (hide)'!BR$6:BR$105)+SUMIF(Capacity_Resource,$E161,'Critical resources (hide)'!BR$6:BR$105)+SUMIF(Capacity_Resource,$F161,'Critical resources (hide)'!BR$6:BR$105)&gt;0,$E$1=2),0,1)</f>
        <v>1</v>
      </c>
      <c r="BF161" s="67">
        <f ca="1">IF(AND(SUMIF(Capacity_Resource,$D161,'Critical resources (hide)'!BS$6:BS$105)+SUMIF(Capacity_Resource,$E161,'Critical resources (hide)'!BS$6:BS$105)+SUMIF(Capacity_Resource,$F161,'Critical resources (hide)'!BS$6:BS$105)&gt;0,$E$1=2),0,1)</f>
        <v>1</v>
      </c>
      <c r="BG161" s="67">
        <f ca="1">IF(AND(SUMIF(Capacity_Resource,$D161,'Critical resources (hide)'!BT$6:BT$105)+SUMIF(Capacity_Resource,$E161,'Critical resources (hide)'!BT$6:BT$105)+SUMIF(Capacity_Resource,$F161,'Critical resources (hide)'!BT$6:BT$105)&gt;0,$E$1=2),0,1)</f>
        <v>1</v>
      </c>
      <c r="BH161" s="67">
        <f>IF(ROW(A50)&lt;=Capacity!$M$16,IF('Capacity summary'!$C$14="No",SUM(H161:BG161),'Capacity summary'!$E73),0)</f>
        <v>0</v>
      </c>
      <c r="BI161" s="67" t="str">
        <f>IF(BH161&gt;0,IF(BH161&lt;Capacity!Q66,Capacity!R66,Capacity!T66/'Capacity calculation (hide)'!BH161),"")</f>
        <v/>
      </c>
      <c r="BJ161" s="5"/>
      <c r="BK161" s="5">
        <f>IF($BI161&lt;&gt;"",IF('Capacity summary'!$C$14="Yes",IF(COUNTBLANK('Capacity summary'!$H73:$BG73)&lt;52,IF('Capacity summary'!H73&lt;&gt;"",IF(LOWER('Capacity summary'!H73)="x",$BI161*H161,VALUE('Capacity summary'!H73)),0),H161*$BI161),H161*$BI161),0)</f>
        <v>0</v>
      </c>
      <c r="BL161" s="5">
        <f>IF($BI161&lt;&gt;"",IF('Capacity summary'!$C$14="Yes",IF(COUNTBLANK('Capacity summary'!$H73:$BG73)&lt;52,IF('Capacity summary'!I73&lt;&gt;"",IF(LOWER('Capacity summary'!I73)="x",$BI161*I161,VALUE('Capacity summary'!I73)),0),I161*$BI161),I161*$BI161),0)</f>
        <v>0</v>
      </c>
      <c r="BM161" s="5">
        <f>IF($BI161&lt;&gt;"",IF('Capacity summary'!$C$14="Yes",IF(COUNTBLANK('Capacity summary'!$H73:$BG73)&lt;52,IF('Capacity summary'!J73&lt;&gt;"",IF(LOWER('Capacity summary'!J73)="x",$BI161*J161,VALUE('Capacity summary'!J73)),0),J161*$BI161),J161*$BI161),0)</f>
        <v>0</v>
      </c>
      <c r="BN161" s="5">
        <f>IF($BI161&lt;&gt;"",IF('Capacity summary'!$C$14="Yes",IF(COUNTBLANK('Capacity summary'!$H73:$BG73)&lt;52,IF('Capacity summary'!K73&lt;&gt;"",IF(LOWER('Capacity summary'!K73)="x",$BI161*K161,VALUE('Capacity summary'!K73)),0),K161*$BI161),K161*$BI161),0)</f>
        <v>0</v>
      </c>
      <c r="BO161" s="5">
        <f>IF($BI161&lt;&gt;"",IF('Capacity summary'!$C$14="Yes",IF(COUNTBLANK('Capacity summary'!$H73:$BG73)&lt;52,IF('Capacity summary'!L73&lt;&gt;"",IF(LOWER('Capacity summary'!L73)="x",$BI161*L161,VALUE('Capacity summary'!L73)),0),L161*$BI161),L161*$BI161),0)</f>
        <v>0</v>
      </c>
      <c r="BP161" s="5">
        <f>IF($BI161&lt;&gt;"",IF('Capacity summary'!$C$14="Yes",IF(COUNTBLANK('Capacity summary'!$H73:$BG73)&lt;52,IF('Capacity summary'!M73&lt;&gt;"",IF(LOWER('Capacity summary'!M73)="x",$BI161*M161,VALUE('Capacity summary'!M73)),0),M161*$BI161),M161*$BI161),0)</f>
        <v>0</v>
      </c>
      <c r="BQ161" s="5">
        <f>IF($BI161&lt;&gt;"",IF('Capacity summary'!$C$14="Yes",IF(COUNTBLANK('Capacity summary'!$H73:$BG73)&lt;52,IF('Capacity summary'!N73&lt;&gt;"",IF(LOWER('Capacity summary'!N73)="x",$BI161*N161,VALUE('Capacity summary'!N73)),0),N161*$BI161),N161*$BI161),0)</f>
        <v>0</v>
      </c>
      <c r="BR161" s="5">
        <f>IF($BI161&lt;&gt;"",IF('Capacity summary'!$C$14="Yes",IF(COUNTBLANK('Capacity summary'!$H73:$BG73)&lt;52,IF('Capacity summary'!O73&lt;&gt;"",IF(LOWER('Capacity summary'!O73)="x",$BI161*O161,VALUE('Capacity summary'!O73)),0),O161*$BI161),O161*$BI161),0)</f>
        <v>0</v>
      </c>
      <c r="BS161" s="5">
        <f>IF($BI161&lt;&gt;"",IF('Capacity summary'!$C$14="Yes",IF(COUNTBLANK('Capacity summary'!$H73:$BG73)&lt;52,IF('Capacity summary'!P73&lt;&gt;"",IF(LOWER('Capacity summary'!P73)="x",$BI161*P161,VALUE('Capacity summary'!P73)),0),P161*$BI161),P161*$BI161),0)</f>
        <v>0</v>
      </c>
      <c r="BT161" s="5">
        <f>IF($BI161&lt;&gt;"",IF('Capacity summary'!$C$14="Yes",IF(COUNTBLANK('Capacity summary'!$H73:$BG73)&lt;52,IF('Capacity summary'!Q73&lt;&gt;"",IF(LOWER('Capacity summary'!Q73)="x",$BI161*Q161,VALUE('Capacity summary'!Q73)),0),Q161*$BI161),Q161*$BI161),0)</f>
        <v>0</v>
      </c>
      <c r="BU161" s="5">
        <f>IF($BI161&lt;&gt;"",IF('Capacity summary'!$C$14="Yes",IF(COUNTBLANK('Capacity summary'!$H73:$BG73)&lt;52,IF('Capacity summary'!R73&lt;&gt;"",IF(LOWER('Capacity summary'!R73)="x",$BI161*R161,VALUE('Capacity summary'!R73)),0),R161*$BI161),R161*$BI161),0)</f>
        <v>0</v>
      </c>
      <c r="BV161" s="5">
        <f>IF($BI161&lt;&gt;"",IF('Capacity summary'!$C$14="Yes",IF(COUNTBLANK('Capacity summary'!$H73:$BG73)&lt;52,IF('Capacity summary'!S73&lt;&gt;"",IF(LOWER('Capacity summary'!S73)="x",$BI161*S161,VALUE('Capacity summary'!S73)),0),S161*$BI161),S161*$BI161),0)</f>
        <v>0</v>
      </c>
      <c r="BW161" s="5">
        <f>IF($BI161&lt;&gt;"",IF('Capacity summary'!$C$14="Yes",IF(COUNTBLANK('Capacity summary'!$H73:$BG73)&lt;52,IF('Capacity summary'!T73&lt;&gt;"",IF(LOWER('Capacity summary'!T73)="x",$BI161*T161,VALUE('Capacity summary'!T73)),0),T161*$BI161),T161*$BI161),0)</f>
        <v>0</v>
      </c>
      <c r="BX161" s="5">
        <f>IF($BI161&lt;&gt;"",IF('Capacity summary'!$C$14="Yes",IF(COUNTBLANK('Capacity summary'!$H73:$BG73)&lt;52,IF('Capacity summary'!U73&lt;&gt;"",IF(LOWER('Capacity summary'!U73)="x",$BI161*U161,VALUE('Capacity summary'!U73)),0),U161*$BI161),U161*$BI161),0)</f>
        <v>0</v>
      </c>
      <c r="BY161" s="5">
        <f>IF($BI161&lt;&gt;"",IF('Capacity summary'!$C$14="Yes",IF(COUNTBLANK('Capacity summary'!$H73:$BG73)&lt;52,IF('Capacity summary'!V73&lt;&gt;"",IF(LOWER('Capacity summary'!V73)="x",$BI161*V161,VALUE('Capacity summary'!V73)),0),V161*$BI161),V161*$BI161),0)</f>
        <v>0</v>
      </c>
      <c r="BZ161" s="5">
        <f>IF($BI161&lt;&gt;"",IF('Capacity summary'!$C$14="Yes",IF(COUNTBLANK('Capacity summary'!$H73:$BG73)&lt;52,IF('Capacity summary'!W73&lt;&gt;"",IF(LOWER('Capacity summary'!W73)="x",$BI161*W161,VALUE('Capacity summary'!W73)),0),W161*$BI161),W161*$BI161),0)</f>
        <v>0</v>
      </c>
      <c r="CA161" s="5">
        <f>IF($BI161&lt;&gt;"",IF('Capacity summary'!$C$14="Yes",IF(COUNTBLANK('Capacity summary'!$H73:$BG73)&lt;52,IF('Capacity summary'!X73&lt;&gt;"",IF(LOWER('Capacity summary'!X73)="x",$BI161*X161,VALUE('Capacity summary'!X73)),0),X161*$BI161),X161*$BI161),0)</f>
        <v>0</v>
      </c>
      <c r="CB161" s="5">
        <f>IF($BI161&lt;&gt;"",IF('Capacity summary'!$C$14="Yes",IF(COUNTBLANK('Capacity summary'!$H73:$BG73)&lt;52,IF('Capacity summary'!Y73&lt;&gt;"",IF(LOWER('Capacity summary'!Y73)="x",$BI161*Y161,VALUE('Capacity summary'!Y73)),0),Y161*$BI161),Y161*$BI161),0)</f>
        <v>0</v>
      </c>
      <c r="CC161" s="5">
        <f>IF($BI161&lt;&gt;"",IF('Capacity summary'!$C$14="Yes",IF(COUNTBLANK('Capacity summary'!$H73:$BG73)&lt;52,IF('Capacity summary'!Z73&lt;&gt;"",IF(LOWER('Capacity summary'!Z73)="x",$BI161*Z161,VALUE('Capacity summary'!Z73)),0),Z161*$BI161),Z161*$BI161),0)</f>
        <v>0</v>
      </c>
      <c r="CD161" s="5">
        <f>IF($BI161&lt;&gt;"",IF('Capacity summary'!$C$14="Yes",IF(COUNTBLANK('Capacity summary'!$H73:$BG73)&lt;52,IF('Capacity summary'!AA73&lt;&gt;"",IF(LOWER('Capacity summary'!AA73)="x",$BI161*AA161,VALUE('Capacity summary'!AA73)),0),AA161*$BI161),AA161*$BI161),0)</f>
        <v>0</v>
      </c>
      <c r="CE161" s="5">
        <f>IF($BI161&lt;&gt;"",IF('Capacity summary'!$C$14="Yes",IF(COUNTBLANK('Capacity summary'!$H73:$BG73)&lt;52,IF('Capacity summary'!AB73&lt;&gt;"",IF(LOWER('Capacity summary'!AB73)="x",$BI161*AB161,VALUE('Capacity summary'!AB73)),0),AB161*$BI161),AB161*$BI161),0)</f>
        <v>0</v>
      </c>
      <c r="CF161" s="5">
        <f>IF($BI161&lt;&gt;"",IF('Capacity summary'!$C$14="Yes",IF(COUNTBLANK('Capacity summary'!$H73:$BG73)&lt;52,IF('Capacity summary'!AC73&lt;&gt;"",IF(LOWER('Capacity summary'!AC73)="x",$BI161*AC161,VALUE('Capacity summary'!AC73)),0),AC161*$BI161),AC161*$BI161),0)</f>
        <v>0</v>
      </c>
      <c r="CG161" s="5">
        <f>IF($BI161&lt;&gt;"",IF('Capacity summary'!$C$14="Yes",IF(COUNTBLANK('Capacity summary'!$H73:$BG73)&lt;52,IF('Capacity summary'!AD73&lt;&gt;"",IF(LOWER('Capacity summary'!AD73)="x",$BI161*AD161,VALUE('Capacity summary'!AD73)),0),AD161*$BI161),AD161*$BI161),0)</f>
        <v>0</v>
      </c>
      <c r="CH161" s="5">
        <f>IF($BI161&lt;&gt;"",IF('Capacity summary'!$C$14="Yes",IF(COUNTBLANK('Capacity summary'!$H73:$BG73)&lt;52,IF('Capacity summary'!AE73&lt;&gt;"",IF(LOWER('Capacity summary'!AE73)="x",$BI161*AE161,VALUE('Capacity summary'!AE73)),0),AE161*$BI161),AE161*$BI161),0)</f>
        <v>0</v>
      </c>
      <c r="CI161" s="5">
        <f>IF($BI161&lt;&gt;"",IF('Capacity summary'!$C$14="Yes",IF(COUNTBLANK('Capacity summary'!$H73:$BG73)&lt;52,IF('Capacity summary'!AF73&lt;&gt;"",IF(LOWER('Capacity summary'!AF73)="x",$BI161*AF161,VALUE('Capacity summary'!AF73)),0),AF161*$BI161),AF161*$BI161),0)</f>
        <v>0</v>
      </c>
      <c r="CJ161" s="5">
        <f>IF($BI161&lt;&gt;"",IF('Capacity summary'!$C$14="Yes",IF(COUNTBLANK('Capacity summary'!$H73:$BG73)&lt;52,IF('Capacity summary'!AG73&lt;&gt;"",IF(LOWER('Capacity summary'!AG73)="x",$BI161*AG161,VALUE('Capacity summary'!AG73)),0),AG161*$BI161),AG161*$BI161),0)</f>
        <v>0</v>
      </c>
      <c r="CK161" s="5">
        <f>IF($BI161&lt;&gt;"",IF('Capacity summary'!$C$14="Yes",IF(COUNTBLANK('Capacity summary'!$H73:$BG73)&lt;52,IF('Capacity summary'!AH73&lt;&gt;"",IF(LOWER('Capacity summary'!AH73)="x",$BI161*AH161,VALUE('Capacity summary'!AH73)),0),AH161*$BI161),AH161*$BI161),0)</f>
        <v>0</v>
      </c>
      <c r="CL161" s="5">
        <f>IF($BI161&lt;&gt;"",IF('Capacity summary'!$C$14="Yes",IF(COUNTBLANK('Capacity summary'!$H73:$BG73)&lt;52,IF('Capacity summary'!AI73&lt;&gt;"",IF(LOWER('Capacity summary'!AI73)="x",$BI161*AI161,VALUE('Capacity summary'!AI73)),0),AI161*$BI161),AI161*$BI161),0)</f>
        <v>0</v>
      </c>
      <c r="CM161" s="5">
        <f>IF($BI161&lt;&gt;"",IF('Capacity summary'!$C$14="Yes",IF(COUNTBLANK('Capacity summary'!$H73:$BG73)&lt;52,IF('Capacity summary'!AJ73&lt;&gt;"",IF(LOWER('Capacity summary'!AJ73)="x",$BI161*AJ161,VALUE('Capacity summary'!AJ73)),0),AJ161*$BI161),AJ161*$BI161),0)</f>
        <v>0</v>
      </c>
      <c r="CN161" s="5">
        <f>IF($BI161&lt;&gt;"",IF('Capacity summary'!$C$14="Yes",IF(COUNTBLANK('Capacity summary'!$H73:$BG73)&lt;52,IF('Capacity summary'!AK73&lt;&gt;"",IF(LOWER('Capacity summary'!AK73)="x",$BI161*AK161,VALUE('Capacity summary'!AK73)),0),AK161*$BI161),AK161*$BI161),0)</f>
        <v>0</v>
      </c>
      <c r="CO161" s="5">
        <f>IF($BI161&lt;&gt;"",IF('Capacity summary'!$C$14="Yes",IF(COUNTBLANK('Capacity summary'!$H73:$BG73)&lt;52,IF('Capacity summary'!AL73&lt;&gt;"",IF(LOWER('Capacity summary'!AL73)="x",$BI161*AL161,VALUE('Capacity summary'!AL73)),0),AL161*$BI161),AL161*$BI161),0)</f>
        <v>0</v>
      </c>
      <c r="CP161" s="5">
        <f>IF($BI161&lt;&gt;"",IF('Capacity summary'!$C$14="Yes",IF(COUNTBLANK('Capacity summary'!$H73:$BG73)&lt;52,IF('Capacity summary'!AM73&lt;&gt;"",IF(LOWER('Capacity summary'!AM73)="x",$BI161*AM161,VALUE('Capacity summary'!AM73)),0),AM161*$BI161),AM161*$BI161),0)</f>
        <v>0</v>
      </c>
      <c r="CQ161" s="5">
        <f>IF($BI161&lt;&gt;"",IF('Capacity summary'!$C$14="Yes",IF(COUNTBLANK('Capacity summary'!$H73:$BG73)&lt;52,IF('Capacity summary'!AN73&lt;&gt;"",IF(LOWER('Capacity summary'!AN73)="x",$BI161*AN161,VALUE('Capacity summary'!AN73)),0),AN161*$BI161),AN161*$BI161),0)</f>
        <v>0</v>
      </c>
      <c r="CR161" s="5">
        <f>IF($BI161&lt;&gt;"",IF('Capacity summary'!$C$14="Yes",IF(COUNTBLANK('Capacity summary'!$H73:$BG73)&lt;52,IF('Capacity summary'!AO73&lt;&gt;"",IF(LOWER('Capacity summary'!AO73)="x",$BI161*AO161,VALUE('Capacity summary'!AO73)),0),AO161*$BI161),AO161*$BI161),0)</f>
        <v>0</v>
      </c>
      <c r="CS161" s="5">
        <f>IF($BI161&lt;&gt;"",IF('Capacity summary'!$C$14="Yes",IF(COUNTBLANK('Capacity summary'!$H73:$BG73)&lt;52,IF('Capacity summary'!AP73&lt;&gt;"",IF(LOWER('Capacity summary'!AP73)="x",$BI161*AP161,VALUE('Capacity summary'!AP73)),0),AP161*$BI161),AP161*$BI161),0)</f>
        <v>0</v>
      </c>
      <c r="CT161" s="5">
        <f>IF($BI161&lt;&gt;"",IF('Capacity summary'!$C$14="Yes",IF(COUNTBLANK('Capacity summary'!$H73:$BG73)&lt;52,IF('Capacity summary'!AQ73&lt;&gt;"",IF(LOWER('Capacity summary'!AQ73)="x",$BI161*AQ161,VALUE('Capacity summary'!AQ73)),0),AQ161*$BI161),AQ161*$BI161),0)</f>
        <v>0</v>
      </c>
      <c r="CU161" s="5">
        <f>IF($BI161&lt;&gt;"",IF('Capacity summary'!$C$14="Yes",IF(COUNTBLANK('Capacity summary'!$H73:$BG73)&lt;52,IF('Capacity summary'!AR73&lt;&gt;"",IF(LOWER('Capacity summary'!AR73)="x",$BI161*AR161,VALUE('Capacity summary'!AR73)),0),AR161*$BI161),AR161*$BI161),0)</f>
        <v>0</v>
      </c>
      <c r="CV161" s="5">
        <f>IF($BI161&lt;&gt;"",IF('Capacity summary'!$C$14="Yes",IF(COUNTBLANK('Capacity summary'!$H73:$BG73)&lt;52,IF('Capacity summary'!AS73&lt;&gt;"",IF(LOWER('Capacity summary'!AS73)="x",$BI161*AS161,VALUE('Capacity summary'!AS73)),0),AS161*$BI161),AS161*$BI161),0)</f>
        <v>0</v>
      </c>
      <c r="CW161" s="5">
        <f>IF($BI161&lt;&gt;"",IF('Capacity summary'!$C$14="Yes",IF(COUNTBLANK('Capacity summary'!$H73:$BG73)&lt;52,IF('Capacity summary'!AT73&lt;&gt;"",IF(LOWER('Capacity summary'!AT73)="x",$BI161*AT161,VALUE('Capacity summary'!AT73)),0),AT161*$BI161),AT161*$BI161),0)</f>
        <v>0</v>
      </c>
      <c r="CX161" s="5">
        <f>IF($BI161&lt;&gt;"",IF('Capacity summary'!$C$14="Yes",IF(COUNTBLANK('Capacity summary'!$H73:$BG73)&lt;52,IF('Capacity summary'!AU73&lt;&gt;"",IF(LOWER('Capacity summary'!AU73)="x",$BI161*AU161,VALUE('Capacity summary'!AU73)),0),AU161*$BI161),AU161*$BI161),0)</f>
        <v>0</v>
      </c>
      <c r="CY161" s="5">
        <f>IF($BI161&lt;&gt;"",IF('Capacity summary'!$C$14="Yes",IF(COUNTBLANK('Capacity summary'!$H73:$BG73)&lt;52,IF('Capacity summary'!AV73&lt;&gt;"",IF(LOWER('Capacity summary'!AV73)="x",$BI161*AV161,VALUE('Capacity summary'!AV73)),0),AV161*$BI161),AV161*$BI161),0)</f>
        <v>0</v>
      </c>
      <c r="CZ161" s="5">
        <f>IF($BI161&lt;&gt;"",IF('Capacity summary'!$C$14="Yes",IF(COUNTBLANK('Capacity summary'!$H73:$BG73)&lt;52,IF('Capacity summary'!AW73&lt;&gt;"",IF(LOWER('Capacity summary'!AW73)="x",$BI161*AW161,VALUE('Capacity summary'!AW73)),0),AW161*$BI161),AW161*$BI161),0)</f>
        <v>0</v>
      </c>
      <c r="DA161" s="5">
        <f>IF($BI161&lt;&gt;"",IF('Capacity summary'!$C$14="Yes",IF(COUNTBLANK('Capacity summary'!$H73:$BG73)&lt;52,IF('Capacity summary'!AX73&lt;&gt;"",IF(LOWER('Capacity summary'!AX73)="x",$BI161*AX161,VALUE('Capacity summary'!AX73)),0),AX161*$BI161),AX161*$BI161),0)</f>
        <v>0</v>
      </c>
      <c r="DB161" s="5">
        <f>IF($BI161&lt;&gt;"",IF('Capacity summary'!$C$14="Yes",IF(COUNTBLANK('Capacity summary'!$H73:$BG73)&lt;52,IF('Capacity summary'!AY73&lt;&gt;"",IF(LOWER('Capacity summary'!AY73)="x",$BI161*AY161,VALUE('Capacity summary'!AY73)),0),AY161*$BI161),AY161*$BI161),0)</f>
        <v>0</v>
      </c>
      <c r="DC161" s="5">
        <f>IF($BI161&lt;&gt;"",IF('Capacity summary'!$C$14="Yes",IF(COUNTBLANK('Capacity summary'!$H73:$BG73)&lt;52,IF('Capacity summary'!AZ73&lt;&gt;"",IF(LOWER('Capacity summary'!AZ73)="x",$BI161*AZ161,VALUE('Capacity summary'!AZ73)),0),AZ161*$BI161),AZ161*$BI161),0)</f>
        <v>0</v>
      </c>
      <c r="DD161" s="5">
        <f>IF($BI161&lt;&gt;"",IF('Capacity summary'!$C$14="Yes",IF(COUNTBLANK('Capacity summary'!$H73:$BG73)&lt;52,IF('Capacity summary'!BA73&lt;&gt;"",IF(LOWER('Capacity summary'!BA73)="x",$BI161*BA161,VALUE('Capacity summary'!BA73)),0),BA161*$BI161),BA161*$BI161),0)</f>
        <v>0</v>
      </c>
      <c r="DE161" s="5">
        <f>IF($BI161&lt;&gt;"",IF('Capacity summary'!$C$14="Yes",IF(COUNTBLANK('Capacity summary'!$H73:$BG73)&lt;52,IF('Capacity summary'!BB73&lt;&gt;"",IF(LOWER('Capacity summary'!BB73)="x",$BI161*BB161,VALUE('Capacity summary'!BB73)),0),BB161*$BI161),BB161*$BI161),0)</f>
        <v>0</v>
      </c>
      <c r="DF161" s="5">
        <f>IF($BI161&lt;&gt;"",IF('Capacity summary'!$C$14="Yes",IF(COUNTBLANK('Capacity summary'!$H73:$BG73)&lt;52,IF('Capacity summary'!BC73&lt;&gt;"",IF(LOWER('Capacity summary'!BC73)="x",$BI161*BC161,VALUE('Capacity summary'!BC73)),0),BC161*$BI161),BC161*$BI161),0)</f>
        <v>0</v>
      </c>
      <c r="DG161" s="5">
        <f>IF($BI161&lt;&gt;"",IF('Capacity summary'!$C$14="Yes",IF(COUNTBLANK('Capacity summary'!$H73:$BG73)&lt;52,IF('Capacity summary'!BD73&lt;&gt;"",IF(LOWER('Capacity summary'!BD73)="x",$BI161*BD161,VALUE('Capacity summary'!BD73)),0),BD161*$BI161),BD161*$BI161),0)</f>
        <v>0</v>
      </c>
      <c r="DH161" s="5">
        <f>IF($BI161&lt;&gt;"",IF('Capacity summary'!$C$14="Yes",IF(COUNTBLANK('Capacity summary'!$H73:$BG73)&lt;52,IF('Capacity summary'!BE73&lt;&gt;"",IF(LOWER('Capacity summary'!BE73)="x",$BI161*BE161,VALUE('Capacity summary'!BE73)),0),BE161*$BI161),BE161*$BI161),0)</f>
        <v>0</v>
      </c>
      <c r="DI161" s="5">
        <f>IF($BI161&lt;&gt;"",IF('Capacity summary'!$C$14="Yes",IF(COUNTBLANK('Capacity summary'!$H73:$BG73)&lt;52,IF('Capacity summary'!BF73&lt;&gt;"",IF(LOWER('Capacity summary'!BF73)="x",$BI161*BF161,VALUE('Capacity summary'!BF73)),0),BF161*$BI161),BF161*$BI161),0)</f>
        <v>0</v>
      </c>
      <c r="DJ161" s="5">
        <f>IF($BI161&lt;&gt;"",IF('Capacity summary'!$C$14="Yes",IF(COUNTBLANK('Capacity summary'!$H73:$BG73)&lt;52,IF('Capacity summary'!BG73&lt;&gt;"",IF(LOWER('Capacity summary'!BG73)="x",$BI161*BG161,VALUE('Capacity summary'!BG73)),0),BG161*$BI161),BG161*$BI161),0)</f>
        <v>0</v>
      </c>
      <c r="DK161" s="5">
        <f t="shared" ref="DK161" si="55">SUM(DK162:DK261)</f>
        <v>0</v>
      </c>
    </row>
    <row r="162" spans="3:115" x14ac:dyDescent="0.25">
      <c r="C162" s="67" t="str">
        <f>ROW(A51)&amp;". "&amp;Capacity!N67</f>
        <v xml:space="preserve">51. </v>
      </c>
      <c r="D162" s="67">
        <f>'Capacity setup'!C168</f>
        <v>0</v>
      </c>
      <c r="E162" s="67">
        <f>'Capacity setup'!D168</f>
        <v>0</v>
      </c>
      <c r="F162" s="67">
        <f>'Capacity setup'!E168</f>
        <v>0</v>
      </c>
      <c r="H162" s="67">
        <f ca="1">IF(AND(SUMIF(Capacity_Resource,$D162,'Critical resources (hide)'!U$6:U$105)+SUMIF(Capacity_Resource,$E162,'Critical resources (hide)'!U$6:U$105)+SUMIF(Capacity_Resource,$F162,'Critical resources (hide)'!U$6:U$105)&gt;0,$E$1=2),0,1)</f>
        <v>1</v>
      </c>
      <c r="I162" s="67">
        <f ca="1">IF(AND(SUMIF(Capacity_Resource,$D162,'Critical resources (hide)'!V$6:V$105)+SUMIF(Capacity_Resource,$E162,'Critical resources (hide)'!V$6:V$105)+SUMIF(Capacity_Resource,$F162,'Critical resources (hide)'!V$6:V$105)&gt;0,$E$1=2),0,1)</f>
        <v>1</v>
      </c>
      <c r="J162" s="67">
        <f ca="1">IF(AND(SUMIF(Capacity_Resource,$D162,'Critical resources (hide)'!W$6:W$105)+SUMIF(Capacity_Resource,$E162,'Critical resources (hide)'!W$6:W$105)+SUMIF(Capacity_Resource,$F162,'Critical resources (hide)'!W$6:W$105)&gt;0,$E$1=2),0,1)</f>
        <v>1</v>
      </c>
      <c r="K162" s="67">
        <f ca="1">IF(AND(SUMIF(Capacity_Resource,$D162,'Critical resources (hide)'!X$6:X$105)+SUMIF(Capacity_Resource,$E162,'Critical resources (hide)'!X$6:X$105)+SUMIF(Capacity_Resource,$F162,'Critical resources (hide)'!X$6:X$105)&gt;0,$E$1=2),0,1)</f>
        <v>1</v>
      </c>
      <c r="L162" s="67">
        <f ca="1">IF(AND(SUMIF(Capacity_Resource,$D162,'Critical resources (hide)'!Y$6:Y$105)+SUMIF(Capacity_Resource,$E162,'Critical resources (hide)'!Y$6:Y$105)+SUMIF(Capacity_Resource,$F162,'Critical resources (hide)'!Y$6:Y$105)&gt;0,$E$1=2),0,1)</f>
        <v>1</v>
      </c>
      <c r="M162" s="67">
        <f ca="1">IF(AND(SUMIF(Capacity_Resource,$D162,'Critical resources (hide)'!Z$6:Z$105)+SUMIF(Capacity_Resource,$E162,'Critical resources (hide)'!Z$6:Z$105)+SUMIF(Capacity_Resource,$F162,'Critical resources (hide)'!Z$6:Z$105)&gt;0,$E$1=2),0,1)</f>
        <v>1</v>
      </c>
      <c r="N162" s="67">
        <f ca="1">IF(AND(SUMIF(Capacity_Resource,$D162,'Critical resources (hide)'!AA$6:AA$105)+SUMIF(Capacity_Resource,$E162,'Critical resources (hide)'!AA$6:AA$105)+SUMIF(Capacity_Resource,$F162,'Critical resources (hide)'!AA$6:AA$105)&gt;0,$E$1=2),0,1)</f>
        <v>1</v>
      </c>
      <c r="O162" s="67">
        <f ca="1">IF(AND(SUMIF(Capacity_Resource,$D162,'Critical resources (hide)'!AB$6:AB$105)+SUMIF(Capacity_Resource,$E162,'Critical resources (hide)'!AB$6:AB$105)+SUMIF(Capacity_Resource,$F162,'Critical resources (hide)'!AB$6:AB$105)&gt;0,$E$1=2),0,1)</f>
        <v>1</v>
      </c>
      <c r="P162" s="67">
        <f ca="1">IF(AND(SUMIF(Capacity_Resource,$D162,'Critical resources (hide)'!AC$6:AC$105)+SUMIF(Capacity_Resource,$E162,'Critical resources (hide)'!AC$6:AC$105)+SUMIF(Capacity_Resource,$F162,'Critical resources (hide)'!AC$6:AC$105)&gt;0,$E$1=2),0,1)</f>
        <v>1</v>
      </c>
      <c r="Q162" s="67">
        <f ca="1">IF(AND(SUMIF(Capacity_Resource,$D162,'Critical resources (hide)'!AD$6:AD$105)+SUMIF(Capacity_Resource,$E162,'Critical resources (hide)'!AD$6:AD$105)+SUMIF(Capacity_Resource,$F162,'Critical resources (hide)'!AD$6:AD$105)&gt;0,$E$1=2),0,1)</f>
        <v>1</v>
      </c>
      <c r="R162" s="67">
        <f ca="1">IF(AND(SUMIF(Capacity_Resource,$D162,'Critical resources (hide)'!AE$6:AE$105)+SUMIF(Capacity_Resource,$E162,'Critical resources (hide)'!AE$6:AE$105)+SUMIF(Capacity_Resource,$F162,'Critical resources (hide)'!AE$6:AE$105)&gt;0,$E$1=2),0,1)</f>
        <v>1</v>
      </c>
      <c r="S162" s="67">
        <f ca="1">IF(AND(SUMIF(Capacity_Resource,$D162,'Critical resources (hide)'!AF$6:AF$105)+SUMIF(Capacity_Resource,$E162,'Critical resources (hide)'!AF$6:AF$105)+SUMIF(Capacity_Resource,$F162,'Critical resources (hide)'!AF$6:AF$105)&gt;0,$E$1=2),0,1)</f>
        <v>1</v>
      </c>
      <c r="T162" s="67">
        <f ca="1">IF(AND(SUMIF(Capacity_Resource,$D162,'Critical resources (hide)'!AG$6:AG$105)+SUMIF(Capacity_Resource,$E162,'Critical resources (hide)'!AG$6:AG$105)+SUMIF(Capacity_Resource,$F162,'Critical resources (hide)'!AG$6:AG$105)&gt;0,$E$1=2),0,1)</f>
        <v>1</v>
      </c>
      <c r="U162" s="67">
        <f ca="1">IF(AND(SUMIF(Capacity_Resource,$D162,'Critical resources (hide)'!AH$6:AH$105)+SUMIF(Capacity_Resource,$E162,'Critical resources (hide)'!AH$6:AH$105)+SUMIF(Capacity_Resource,$F162,'Critical resources (hide)'!AH$6:AH$105)&gt;0,$E$1=2),0,1)</f>
        <v>1</v>
      </c>
      <c r="V162" s="67">
        <f ca="1">IF(AND(SUMIF(Capacity_Resource,$D162,'Critical resources (hide)'!AI$6:AI$105)+SUMIF(Capacity_Resource,$E162,'Critical resources (hide)'!AI$6:AI$105)+SUMIF(Capacity_Resource,$F162,'Critical resources (hide)'!AI$6:AI$105)&gt;0,$E$1=2),0,1)</f>
        <v>1</v>
      </c>
      <c r="W162" s="67">
        <f ca="1">IF(AND(SUMIF(Capacity_Resource,$D162,'Critical resources (hide)'!AJ$6:AJ$105)+SUMIF(Capacity_Resource,$E162,'Critical resources (hide)'!AJ$6:AJ$105)+SUMIF(Capacity_Resource,$F162,'Critical resources (hide)'!AJ$6:AJ$105)&gt;0,$E$1=2),0,1)</f>
        <v>1</v>
      </c>
      <c r="X162" s="67">
        <f ca="1">IF(AND(SUMIF(Capacity_Resource,$D162,'Critical resources (hide)'!AK$6:AK$105)+SUMIF(Capacity_Resource,$E162,'Critical resources (hide)'!AK$6:AK$105)+SUMIF(Capacity_Resource,$F162,'Critical resources (hide)'!AK$6:AK$105)&gt;0,$E$1=2),0,1)</f>
        <v>1</v>
      </c>
      <c r="Y162" s="67">
        <f ca="1">IF(AND(SUMIF(Capacity_Resource,$D162,'Critical resources (hide)'!AL$6:AL$105)+SUMIF(Capacity_Resource,$E162,'Critical resources (hide)'!AL$6:AL$105)+SUMIF(Capacity_Resource,$F162,'Critical resources (hide)'!AL$6:AL$105)&gt;0,$E$1=2),0,1)</f>
        <v>1</v>
      </c>
      <c r="Z162" s="67">
        <f ca="1">IF(AND(SUMIF(Capacity_Resource,$D162,'Critical resources (hide)'!AM$6:AM$105)+SUMIF(Capacity_Resource,$E162,'Critical resources (hide)'!AM$6:AM$105)+SUMIF(Capacity_Resource,$F162,'Critical resources (hide)'!AM$6:AM$105)&gt;0,$E$1=2),0,1)</f>
        <v>1</v>
      </c>
      <c r="AA162" s="67">
        <f ca="1">IF(AND(SUMIF(Capacity_Resource,$D162,'Critical resources (hide)'!AN$6:AN$105)+SUMIF(Capacity_Resource,$E162,'Critical resources (hide)'!AN$6:AN$105)+SUMIF(Capacity_Resource,$F162,'Critical resources (hide)'!AN$6:AN$105)&gt;0,$E$1=2),0,1)</f>
        <v>1</v>
      </c>
      <c r="AB162" s="67">
        <f ca="1">IF(AND(SUMIF(Capacity_Resource,$D162,'Critical resources (hide)'!AO$6:AO$105)+SUMIF(Capacity_Resource,$E162,'Critical resources (hide)'!AO$6:AO$105)+SUMIF(Capacity_Resource,$F162,'Critical resources (hide)'!AO$6:AO$105)&gt;0,$E$1=2),0,1)</f>
        <v>1</v>
      </c>
      <c r="AC162" s="67">
        <f ca="1">IF(AND(SUMIF(Capacity_Resource,$D162,'Critical resources (hide)'!AP$6:AP$105)+SUMIF(Capacity_Resource,$E162,'Critical resources (hide)'!AP$6:AP$105)+SUMIF(Capacity_Resource,$F162,'Critical resources (hide)'!AP$6:AP$105)&gt;0,$E$1=2),0,1)</f>
        <v>1</v>
      </c>
      <c r="AD162" s="67">
        <f ca="1">IF(AND(SUMIF(Capacity_Resource,$D162,'Critical resources (hide)'!AQ$6:AQ$105)+SUMIF(Capacity_Resource,$E162,'Critical resources (hide)'!AQ$6:AQ$105)+SUMIF(Capacity_Resource,$F162,'Critical resources (hide)'!AQ$6:AQ$105)&gt;0,$E$1=2),0,1)</f>
        <v>1</v>
      </c>
      <c r="AE162" s="67">
        <f ca="1">IF(AND(SUMIF(Capacity_Resource,$D162,'Critical resources (hide)'!AR$6:AR$105)+SUMIF(Capacity_Resource,$E162,'Critical resources (hide)'!AR$6:AR$105)+SUMIF(Capacity_Resource,$F162,'Critical resources (hide)'!AR$6:AR$105)&gt;0,$E$1=2),0,1)</f>
        <v>1</v>
      </c>
      <c r="AF162" s="67">
        <f ca="1">IF(AND(SUMIF(Capacity_Resource,$D162,'Critical resources (hide)'!AS$6:AS$105)+SUMIF(Capacity_Resource,$E162,'Critical resources (hide)'!AS$6:AS$105)+SUMIF(Capacity_Resource,$F162,'Critical resources (hide)'!AS$6:AS$105)&gt;0,$E$1=2),0,1)</f>
        <v>1</v>
      </c>
      <c r="AG162" s="67">
        <f ca="1">IF(AND(SUMIF(Capacity_Resource,$D162,'Critical resources (hide)'!AT$6:AT$105)+SUMIF(Capacity_Resource,$E162,'Critical resources (hide)'!AT$6:AT$105)+SUMIF(Capacity_Resource,$F162,'Critical resources (hide)'!AT$6:AT$105)&gt;0,$E$1=2),0,1)</f>
        <v>1</v>
      </c>
      <c r="AH162" s="67">
        <f ca="1">IF(AND(SUMIF(Capacity_Resource,$D162,'Critical resources (hide)'!AU$6:AU$105)+SUMIF(Capacity_Resource,$E162,'Critical resources (hide)'!AU$6:AU$105)+SUMIF(Capacity_Resource,$F162,'Critical resources (hide)'!AU$6:AU$105)&gt;0,$E$1=2),0,1)</f>
        <v>1</v>
      </c>
      <c r="AI162" s="67">
        <f ca="1">IF(AND(SUMIF(Capacity_Resource,$D162,'Critical resources (hide)'!AV$6:AV$105)+SUMIF(Capacity_Resource,$E162,'Critical resources (hide)'!AV$6:AV$105)+SUMIF(Capacity_Resource,$F162,'Critical resources (hide)'!AV$6:AV$105)&gt;0,$E$1=2),0,1)</f>
        <v>1</v>
      </c>
      <c r="AJ162" s="67">
        <f ca="1">IF(AND(SUMIF(Capacity_Resource,$D162,'Critical resources (hide)'!AW$6:AW$105)+SUMIF(Capacity_Resource,$E162,'Critical resources (hide)'!AW$6:AW$105)+SUMIF(Capacity_Resource,$F162,'Critical resources (hide)'!AW$6:AW$105)&gt;0,$E$1=2),0,1)</f>
        <v>1</v>
      </c>
      <c r="AK162" s="67">
        <f ca="1">IF(AND(SUMIF(Capacity_Resource,$D162,'Critical resources (hide)'!AX$6:AX$105)+SUMIF(Capacity_Resource,$E162,'Critical resources (hide)'!AX$6:AX$105)+SUMIF(Capacity_Resource,$F162,'Critical resources (hide)'!AX$6:AX$105)&gt;0,$E$1=2),0,1)</f>
        <v>1</v>
      </c>
      <c r="AL162" s="67">
        <f ca="1">IF(AND(SUMIF(Capacity_Resource,$D162,'Critical resources (hide)'!AY$6:AY$105)+SUMIF(Capacity_Resource,$E162,'Critical resources (hide)'!AY$6:AY$105)+SUMIF(Capacity_Resource,$F162,'Critical resources (hide)'!AY$6:AY$105)&gt;0,$E$1=2),0,1)</f>
        <v>1</v>
      </c>
      <c r="AM162" s="67">
        <f ca="1">IF(AND(SUMIF(Capacity_Resource,$D162,'Critical resources (hide)'!AZ$6:AZ$105)+SUMIF(Capacity_Resource,$E162,'Critical resources (hide)'!AZ$6:AZ$105)+SUMIF(Capacity_Resource,$F162,'Critical resources (hide)'!AZ$6:AZ$105)&gt;0,$E$1=2),0,1)</f>
        <v>1</v>
      </c>
      <c r="AN162" s="67">
        <f ca="1">IF(AND(SUMIF(Capacity_Resource,$D162,'Critical resources (hide)'!BA$6:BA$105)+SUMIF(Capacity_Resource,$E162,'Critical resources (hide)'!BA$6:BA$105)+SUMIF(Capacity_Resource,$F162,'Critical resources (hide)'!BA$6:BA$105)&gt;0,$E$1=2),0,1)</f>
        <v>1</v>
      </c>
      <c r="AO162" s="67">
        <f ca="1">IF(AND(SUMIF(Capacity_Resource,$D162,'Critical resources (hide)'!BB$6:BB$105)+SUMIF(Capacity_Resource,$E162,'Critical resources (hide)'!BB$6:BB$105)+SUMIF(Capacity_Resource,$F162,'Critical resources (hide)'!BB$6:BB$105)&gt;0,$E$1=2),0,1)</f>
        <v>1</v>
      </c>
      <c r="AP162" s="67">
        <f ca="1">IF(AND(SUMIF(Capacity_Resource,$D162,'Critical resources (hide)'!BC$6:BC$105)+SUMIF(Capacity_Resource,$E162,'Critical resources (hide)'!BC$6:BC$105)+SUMIF(Capacity_Resource,$F162,'Critical resources (hide)'!BC$6:BC$105)&gt;0,$E$1=2),0,1)</f>
        <v>1</v>
      </c>
      <c r="AQ162" s="67">
        <f ca="1">IF(AND(SUMIF(Capacity_Resource,$D162,'Critical resources (hide)'!BD$6:BD$105)+SUMIF(Capacity_Resource,$E162,'Critical resources (hide)'!BD$6:BD$105)+SUMIF(Capacity_Resource,$F162,'Critical resources (hide)'!BD$6:BD$105)&gt;0,$E$1=2),0,1)</f>
        <v>1</v>
      </c>
      <c r="AR162" s="67">
        <f ca="1">IF(AND(SUMIF(Capacity_Resource,$D162,'Critical resources (hide)'!BE$6:BE$105)+SUMIF(Capacity_Resource,$E162,'Critical resources (hide)'!BE$6:BE$105)+SUMIF(Capacity_Resource,$F162,'Critical resources (hide)'!BE$6:BE$105)&gt;0,$E$1=2),0,1)</f>
        <v>1</v>
      </c>
      <c r="AS162" s="67">
        <f ca="1">IF(AND(SUMIF(Capacity_Resource,$D162,'Critical resources (hide)'!BF$6:BF$105)+SUMIF(Capacity_Resource,$E162,'Critical resources (hide)'!BF$6:BF$105)+SUMIF(Capacity_Resource,$F162,'Critical resources (hide)'!BF$6:BF$105)&gt;0,$E$1=2),0,1)</f>
        <v>1</v>
      </c>
      <c r="AT162" s="67">
        <f ca="1">IF(AND(SUMIF(Capacity_Resource,$D162,'Critical resources (hide)'!BG$6:BG$105)+SUMIF(Capacity_Resource,$E162,'Critical resources (hide)'!BG$6:BG$105)+SUMIF(Capacity_Resource,$F162,'Critical resources (hide)'!BG$6:BG$105)&gt;0,$E$1=2),0,1)</f>
        <v>1</v>
      </c>
      <c r="AU162" s="67">
        <f ca="1">IF(AND(SUMIF(Capacity_Resource,$D162,'Critical resources (hide)'!BH$6:BH$105)+SUMIF(Capacity_Resource,$E162,'Critical resources (hide)'!BH$6:BH$105)+SUMIF(Capacity_Resource,$F162,'Critical resources (hide)'!BH$6:BH$105)&gt;0,$E$1=2),0,1)</f>
        <v>1</v>
      </c>
      <c r="AV162" s="67">
        <f ca="1">IF(AND(SUMIF(Capacity_Resource,$D162,'Critical resources (hide)'!BI$6:BI$105)+SUMIF(Capacity_Resource,$E162,'Critical resources (hide)'!BI$6:BI$105)+SUMIF(Capacity_Resource,$F162,'Critical resources (hide)'!BI$6:BI$105)&gt;0,$E$1=2),0,1)</f>
        <v>1</v>
      </c>
      <c r="AW162" s="67">
        <f ca="1">IF(AND(SUMIF(Capacity_Resource,$D162,'Critical resources (hide)'!BJ$6:BJ$105)+SUMIF(Capacity_Resource,$E162,'Critical resources (hide)'!BJ$6:BJ$105)+SUMIF(Capacity_Resource,$F162,'Critical resources (hide)'!BJ$6:BJ$105)&gt;0,$E$1=2),0,1)</f>
        <v>1</v>
      </c>
      <c r="AX162" s="67">
        <f ca="1">IF(AND(SUMIF(Capacity_Resource,$D162,'Critical resources (hide)'!BK$6:BK$105)+SUMIF(Capacity_Resource,$E162,'Critical resources (hide)'!BK$6:BK$105)+SUMIF(Capacity_Resource,$F162,'Critical resources (hide)'!BK$6:BK$105)&gt;0,$E$1=2),0,1)</f>
        <v>1</v>
      </c>
      <c r="AY162" s="67">
        <f ca="1">IF(AND(SUMIF(Capacity_Resource,$D162,'Critical resources (hide)'!BL$6:BL$105)+SUMIF(Capacity_Resource,$E162,'Critical resources (hide)'!BL$6:BL$105)+SUMIF(Capacity_Resource,$F162,'Critical resources (hide)'!BL$6:BL$105)&gt;0,$E$1=2),0,1)</f>
        <v>1</v>
      </c>
      <c r="AZ162" s="67">
        <f ca="1">IF(AND(SUMIF(Capacity_Resource,$D162,'Critical resources (hide)'!BM$6:BM$105)+SUMIF(Capacity_Resource,$E162,'Critical resources (hide)'!BM$6:BM$105)+SUMIF(Capacity_Resource,$F162,'Critical resources (hide)'!BM$6:BM$105)&gt;0,$E$1=2),0,1)</f>
        <v>1</v>
      </c>
      <c r="BA162" s="67">
        <f ca="1">IF(AND(SUMIF(Capacity_Resource,$D162,'Critical resources (hide)'!BN$6:BN$105)+SUMIF(Capacity_Resource,$E162,'Critical resources (hide)'!BN$6:BN$105)+SUMIF(Capacity_Resource,$F162,'Critical resources (hide)'!BN$6:BN$105)&gt;0,$E$1=2),0,1)</f>
        <v>1</v>
      </c>
      <c r="BB162" s="67">
        <f ca="1">IF(AND(SUMIF(Capacity_Resource,$D162,'Critical resources (hide)'!BO$6:BO$105)+SUMIF(Capacity_Resource,$E162,'Critical resources (hide)'!BO$6:BO$105)+SUMIF(Capacity_Resource,$F162,'Critical resources (hide)'!BO$6:BO$105)&gt;0,$E$1=2),0,1)</f>
        <v>1</v>
      </c>
      <c r="BC162" s="67">
        <f ca="1">IF(AND(SUMIF(Capacity_Resource,$D162,'Critical resources (hide)'!BP$6:BP$105)+SUMIF(Capacity_Resource,$E162,'Critical resources (hide)'!BP$6:BP$105)+SUMIF(Capacity_Resource,$F162,'Critical resources (hide)'!BP$6:BP$105)&gt;0,$E$1=2),0,1)</f>
        <v>1</v>
      </c>
      <c r="BD162" s="67">
        <f ca="1">IF(AND(SUMIF(Capacity_Resource,$D162,'Critical resources (hide)'!BQ$6:BQ$105)+SUMIF(Capacity_Resource,$E162,'Critical resources (hide)'!BQ$6:BQ$105)+SUMIF(Capacity_Resource,$F162,'Critical resources (hide)'!BQ$6:BQ$105)&gt;0,$E$1=2),0,1)</f>
        <v>1</v>
      </c>
      <c r="BE162" s="67">
        <f ca="1">IF(AND(SUMIF(Capacity_Resource,$D162,'Critical resources (hide)'!BR$6:BR$105)+SUMIF(Capacity_Resource,$E162,'Critical resources (hide)'!BR$6:BR$105)+SUMIF(Capacity_Resource,$F162,'Critical resources (hide)'!BR$6:BR$105)&gt;0,$E$1=2),0,1)</f>
        <v>1</v>
      </c>
      <c r="BF162" s="67">
        <f ca="1">IF(AND(SUMIF(Capacity_Resource,$D162,'Critical resources (hide)'!BS$6:BS$105)+SUMIF(Capacity_Resource,$E162,'Critical resources (hide)'!BS$6:BS$105)+SUMIF(Capacity_Resource,$F162,'Critical resources (hide)'!BS$6:BS$105)&gt;0,$E$1=2),0,1)</f>
        <v>1</v>
      </c>
      <c r="BG162" s="67">
        <f ca="1">IF(AND(SUMIF(Capacity_Resource,$D162,'Critical resources (hide)'!BT$6:BT$105)+SUMIF(Capacity_Resource,$E162,'Critical resources (hide)'!BT$6:BT$105)+SUMIF(Capacity_Resource,$F162,'Critical resources (hide)'!BT$6:BT$105)&gt;0,$E$1=2),0,1)</f>
        <v>1</v>
      </c>
      <c r="BH162" s="67">
        <f>IF(ROW(A51)&lt;=Capacity!$M$16,IF('Capacity summary'!$C$14="No",SUM(H162:BG162),'Capacity summary'!$E74),0)</f>
        <v>0</v>
      </c>
      <c r="BI162" s="67" t="str">
        <f>IF(BH162&gt;0,IF(BH162&lt;Capacity!Q67,Capacity!R67,Capacity!T67/'Capacity calculation (hide)'!BH162),"")</f>
        <v/>
      </c>
      <c r="BJ162" s="5"/>
      <c r="BK162" s="5">
        <f>IF($BI162&lt;&gt;"",IF('Capacity summary'!$C$14="Yes",IF(COUNTBLANK('Capacity summary'!$H74:$BG74)&lt;52,IF('Capacity summary'!H74&lt;&gt;"",IF(LOWER('Capacity summary'!H74)="x",$BI162*H162,VALUE('Capacity summary'!H74)),0),H162*$BI162),H162*$BI162),0)</f>
        <v>0</v>
      </c>
      <c r="BL162" s="5">
        <f>IF($BI162&lt;&gt;"",IF('Capacity summary'!$C$14="Yes",IF(COUNTBLANK('Capacity summary'!$H74:$BG74)&lt;52,IF('Capacity summary'!I74&lt;&gt;"",IF(LOWER('Capacity summary'!I74)="x",$BI162*I162,VALUE('Capacity summary'!I74)),0),I162*$BI162),I162*$BI162),0)</f>
        <v>0</v>
      </c>
      <c r="BM162" s="5">
        <f>IF($BI162&lt;&gt;"",IF('Capacity summary'!$C$14="Yes",IF(COUNTBLANK('Capacity summary'!$H74:$BG74)&lt;52,IF('Capacity summary'!J74&lt;&gt;"",IF(LOWER('Capacity summary'!J74)="x",$BI162*J162,VALUE('Capacity summary'!J74)),0),J162*$BI162),J162*$BI162),0)</f>
        <v>0</v>
      </c>
      <c r="BN162" s="5">
        <f>IF($BI162&lt;&gt;"",IF('Capacity summary'!$C$14="Yes",IF(COUNTBLANK('Capacity summary'!$H74:$BG74)&lt;52,IF('Capacity summary'!K74&lt;&gt;"",IF(LOWER('Capacity summary'!K74)="x",$BI162*K162,VALUE('Capacity summary'!K74)),0),K162*$BI162),K162*$BI162),0)</f>
        <v>0</v>
      </c>
      <c r="BO162" s="5">
        <f>IF($BI162&lt;&gt;"",IF('Capacity summary'!$C$14="Yes",IF(COUNTBLANK('Capacity summary'!$H74:$BG74)&lt;52,IF('Capacity summary'!L74&lt;&gt;"",IF(LOWER('Capacity summary'!L74)="x",$BI162*L162,VALUE('Capacity summary'!L74)),0),L162*$BI162),L162*$BI162),0)</f>
        <v>0</v>
      </c>
      <c r="BP162" s="5">
        <f>IF($BI162&lt;&gt;"",IF('Capacity summary'!$C$14="Yes",IF(COUNTBLANK('Capacity summary'!$H74:$BG74)&lt;52,IF('Capacity summary'!M74&lt;&gt;"",IF(LOWER('Capacity summary'!M74)="x",$BI162*M162,VALUE('Capacity summary'!M74)),0),M162*$BI162),M162*$BI162),0)</f>
        <v>0</v>
      </c>
      <c r="BQ162" s="5">
        <f>IF($BI162&lt;&gt;"",IF('Capacity summary'!$C$14="Yes",IF(COUNTBLANK('Capacity summary'!$H74:$BG74)&lt;52,IF('Capacity summary'!N74&lt;&gt;"",IF(LOWER('Capacity summary'!N74)="x",$BI162*N162,VALUE('Capacity summary'!N74)),0),N162*$BI162),N162*$BI162),0)</f>
        <v>0</v>
      </c>
      <c r="BR162" s="5">
        <f>IF($BI162&lt;&gt;"",IF('Capacity summary'!$C$14="Yes",IF(COUNTBLANK('Capacity summary'!$H74:$BG74)&lt;52,IF('Capacity summary'!O74&lt;&gt;"",IF(LOWER('Capacity summary'!O74)="x",$BI162*O162,VALUE('Capacity summary'!O74)),0),O162*$BI162),O162*$BI162),0)</f>
        <v>0</v>
      </c>
      <c r="BS162" s="5">
        <f>IF($BI162&lt;&gt;"",IF('Capacity summary'!$C$14="Yes",IF(COUNTBLANK('Capacity summary'!$H74:$BG74)&lt;52,IF('Capacity summary'!P74&lt;&gt;"",IF(LOWER('Capacity summary'!P74)="x",$BI162*P162,VALUE('Capacity summary'!P74)),0),P162*$BI162),P162*$BI162),0)</f>
        <v>0</v>
      </c>
      <c r="BT162" s="5">
        <f>IF($BI162&lt;&gt;"",IF('Capacity summary'!$C$14="Yes",IF(COUNTBLANK('Capacity summary'!$H74:$BG74)&lt;52,IF('Capacity summary'!Q74&lt;&gt;"",IF(LOWER('Capacity summary'!Q74)="x",$BI162*Q162,VALUE('Capacity summary'!Q74)),0),Q162*$BI162),Q162*$BI162),0)</f>
        <v>0</v>
      </c>
      <c r="BU162" s="5">
        <f>IF($BI162&lt;&gt;"",IF('Capacity summary'!$C$14="Yes",IF(COUNTBLANK('Capacity summary'!$H74:$BG74)&lt;52,IF('Capacity summary'!R74&lt;&gt;"",IF(LOWER('Capacity summary'!R74)="x",$BI162*R162,VALUE('Capacity summary'!R74)),0),R162*$BI162),R162*$BI162),0)</f>
        <v>0</v>
      </c>
      <c r="BV162" s="5">
        <f>IF($BI162&lt;&gt;"",IF('Capacity summary'!$C$14="Yes",IF(COUNTBLANK('Capacity summary'!$H74:$BG74)&lt;52,IF('Capacity summary'!S74&lt;&gt;"",IF(LOWER('Capacity summary'!S74)="x",$BI162*S162,VALUE('Capacity summary'!S74)),0),S162*$BI162),S162*$BI162),0)</f>
        <v>0</v>
      </c>
      <c r="BW162" s="5">
        <f>IF($BI162&lt;&gt;"",IF('Capacity summary'!$C$14="Yes",IF(COUNTBLANK('Capacity summary'!$H74:$BG74)&lt;52,IF('Capacity summary'!T74&lt;&gt;"",IF(LOWER('Capacity summary'!T74)="x",$BI162*T162,VALUE('Capacity summary'!T74)),0),T162*$BI162),T162*$BI162),0)</f>
        <v>0</v>
      </c>
      <c r="BX162" s="5">
        <f>IF($BI162&lt;&gt;"",IF('Capacity summary'!$C$14="Yes",IF(COUNTBLANK('Capacity summary'!$H74:$BG74)&lt;52,IF('Capacity summary'!U74&lt;&gt;"",IF(LOWER('Capacity summary'!U74)="x",$BI162*U162,VALUE('Capacity summary'!U74)),0),U162*$BI162),U162*$BI162),0)</f>
        <v>0</v>
      </c>
      <c r="BY162" s="5">
        <f>IF($BI162&lt;&gt;"",IF('Capacity summary'!$C$14="Yes",IF(COUNTBLANK('Capacity summary'!$H74:$BG74)&lt;52,IF('Capacity summary'!V74&lt;&gt;"",IF(LOWER('Capacity summary'!V74)="x",$BI162*V162,VALUE('Capacity summary'!V74)),0),V162*$BI162),V162*$BI162),0)</f>
        <v>0</v>
      </c>
      <c r="BZ162" s="5">
        <f>IF($BI162&lt;&gt;"",IF('Capacity summary'!$C$14="Yes",IF(COUNTBLANK('Capacity summary'!$H74:$BG74)&lt;52,IF('Capacity summary'!W74&lt;&gt;"",IF(LOWER('Capacity summary'!W74)="x",$BI162*W162,VALUE('Capacity summary'!W74)),0),W162*$BI162),W162*$BI162),0)</f>
        <v>0</v>
      </c>
      <c r="CA162" s="5">
        <f>IF($BI162&lt;&gt;"",IF('Capacity summary'!$C$14="Yes",IF(COUNTBLANK('Capacity summary'!$H74:$BG74)&lt;52,IF('Capacity summary'!X74&lt;&gt;"",IF(LOWER('Capacity summary'!X74)="x",$BI162*X162,VALUE('Capacity summary'!X74)),0),X162*$BI162),X162*$BI162),0)</f>
        <v>0</v>
      </c>
      <c r="CB162" s="5">
        <f>IF($BI162&lt;&gt;"",IF('Capacity summary'!$C$14="Yes",IF(COUNTBLANK('Capacity summary'!$H74:$BG74)&lt;52,IF('Capacity summary'!Y74&lt;&gt;"",IF(LOWER('Capacity summary'!Y74)="x",$BI162*Y162,VALUE('Capacity summary'!Y74)),0),Y162*$BI162),Y162*$BI162),0)</f>
        <v>0</v>
      </c>
      <c r="CC162" s="5">
        <f>IF($BI162&lt;&gt;"",IF('Capacity summary'!$C$14="Yes",IF(COUNTBLANK('Capacity summary'!$H74:$BG74)&lt;52,IF('Capacity summary'!Z74&lt;&gt;"",IF(LOWER('Capacity summary'!Z74)="x",$BI162*Z162,VALUE('Capacity summary'!Z74)),0),Z162*$BI162),Z162*$BI162),0)</f>
        <v>0</v>
      </c>
      <c r="CD162" s="5">
        <f>IF($BI162&lt;&gt;"",IF('Capacity summary'!$C$14="Yes",IF(COUNTBLANK('Capacity summary'!$H74:$BG74)&lt;52,IF('Capacity summary'!AA74&lt;&gt;"",IF(LOWER('Capacity summary'!AA74)="x",$BI162*AA162,VALUE('Capacity summary'!AA74)),0),AA162*$BI162),AA162*$BI162),0)</f>
        <v>0</v>
      </c>
      <c r="CE162" s="5">
        <f>IF($BI162&lt;&gt;"",IF('Capacity summary'!$C$14="Yes",IF(COUNTBLANK('Capacity summary'!$H74:$BG74)&lt;52,IF('Capacity summary'!AB74&lt;&gt;"",IF(LOWER('Capacity summary'!AB74)="x",$BI162*AB162,VALUE('Capacity summary'!AB74)),0),AB162*$BI162),AB162*$BI162),0)</f>
        <v>0</v>
      </c>
      <c r="CF162" s="5">
        <f>IF($BI162&lt;&gt;"",IF('Capacity summary'!$C$14="Yes",IF(COUNTBLANK('Capacity summary'!$H74:$BG74)&lt;52,IF('Capacity summary'!AC74&lt;&gt;"",IF(LOWER('Capacity summary'!AC74)="x",$BI162*AC162,VALUE('Capacity summary'!AC74)),0),AC162*$BI162),AC162*$BI162),0)</f>
        <v>0</v>
      </c>
      <c r="CG162" s="5">
        <f>IF($BI162&lt;&gt;"",IF('Capacity summary'!$C$14="Yes",IF(COUNTBLANK('Capacity summary'!$H74:$BG74)&lt;52,IF('Capacity summary'!AD74&lt;&gt;"",IF(LOWER('Capacity summary'!AD74)="x",$BI162*AD162,VALUE('Capacity summary'!AD74)),0),AD162*$BI162),AD162*$BI162),0)</f>
        <v>0</v>
      </c>
      <c r="CH162" s="5">
        <f>IF($BI162&lt;&gt;"",IF('Capacity summary'!$C$14="Yes",IF(COUNTBLANK('Capacity summary'!$H74:$BG74)&lt;52,IF('Capacity summary'!AE74&lt;&gt;"",IF(LOWER('Capacity summary'!AE74)="x",$BI162*AE162,VALUE('Capacity summary'!AE74)),0),AE162*$BI162),AE162*$BI162),0)</f>
        <v>0</v>
      </c>
      <c r="CI162" s="5">
        <f>IF($BI162&lt;&gt;"",IF('Capacity summary'!$C$14="Yes",IF(COUNTBLANK('Capacity summary'!$H74:$BG74)&lt;52,IF('Capacity summary'!AF74&lt;&gt;"",IF(LOWER('Capacity summary'!AF74)="x",$BI162*AF162,VALUE('Capacity summary'!AF74)),0),AF162*$BI162),AF162*$BI162),0)</f>
        <v>0</v>
      </c>
      <c r="CJ162" s="5">
        <f>IF($BI162&lt;&gt;"",IF('Capacity summary'!$C$14="Yes",IF(COUNTBLANK('Capacity summary'!$H74:$BG74)&lt;52,IF('Capacity summary'!AG74&lt;&gt;"",IF(LOWER('Capacity summary'!AG74)="x",$BI162*AG162,VALUE('Capacity summary'!AG74)),0),AG162*$BI162),AG162*$BI162),0)</f>
        <v>0</v>
      </c>
      <c r="CK162" s="5">
        <f>IF($BI162&lt;&gt;"",IF('Capacity summary'!$C$14="Yes",IF(COUNTBLANK('Capacity summary'!$H74:$BG74)&lt;52,IF('Capacity summary'!AH74&lt;&gt;"",IF(LOWER('Capacity summary'!AH74)="x",$BI162*AH162,VALUE('Capacity summary'!AH74)),0),AH162*$BI162),AH162*$BI162),0)</f>
        <v>0</v>
      </c>
      <c r="CL162" s="5">
        <f>IF($BI162&lt;&gt;"",IF('Capacity summary'!$C$14="Yes",IF(COUNTBLANK('Capacity summary'!$H74:$BG74)&lt;52,IF('Capacity summary'!AI74&lt;&gt;"",IF(LOWER('Capacity summary'!AI74)="x",$BI162*AI162,VALUE('Capacity summary'!AI74)),0),AI162*$BI162),AI162*$BI162),0)</f>
        <v>0</v>
      </c>
      <c r="CM162" s="5">
        <f>IF($BI162&lt;&gt;"",IF('Capacity summary'!$C$14="Yes",IF(COUNTBLANK('Capacity summary'!$H74:$BG74)&lt;52,IF('Capacity summary'!AJ74&lt;&gt;"",IF(LOWER('Capacity summary'!AJ74)="x",$BI162*AJ162,VALUE('Capacity summary'!AJ74)),0),AJ162*$BI162),AJ162*$BI162),0)</f>
        <v>0</v>
      </c>
      <c r="CN162" s="5">
        <f>IF($BI162&lt;&gt;"",IF('Capacity summary'!$C$14="Yes",IF(COUNTBLANK('Capacity summary'!$H74:$BG74)&lt;52,IF('Capacity summary'!AK74&lt;&gt;"",IF(LOWER('Capacity summary'!AK74)="x",$BI162*AK162,VALUE('Capacity summary'!AK74)),0),AK162*$BI162),AK162*$BI162),0)</f>
        <v>0</v>
      </c>
      <c r="CO162" s="5">
        <f>IF($BI162&lt;&gt;"",IF('Capacity summary'!$C$14="Yes",IF(COUNTBLANK('Capacity summary'!$H74:$BG74)&lt;52,IF('Capacity summary'!AL74&lt;&gt;"",IF(LOWER('Capacity summary'!AL74)="x",$BI162*AL162,VALUE('Capacity summary'!AL74)),0),AL162*$BI162),AL162*$BI162),0)</f>
        <v>0</v>
      </c>
      <c r="CP162" s="5">
        <f>IF($BI162&lt;&gt;"",IF('Capacity summary'!$C$14="Yes",IF(COUNTBLANK('Capacity summary'!$H74:$BG74)&lt;52,IF('Capacity summary'!AM74&lt;&gt;"",IF(LOWER('Capacity summary'!AM74)="x",$BI162*AM162,VALUE('Capacity summary'!AM74)),0),AM162*$BI162),AM162*$BI162),0)</f>
        <v>0</v>
      </c>
      <c r="CQ162" s="5">
        <f>IF($BI162&lt;&gt;"",IF('Capacity summary'!$C$14="Yes",IF(COUNTBLANK('Capacity summary'!$H74:$BG74)&lt;52,IF('Capacity summary'!AN74&lt;&gt;"",IF(LOWER('Capacity summary'!AN74)="x",$BI162*AN162,VALUE('Capacity summary'!AN74)),0),AN162*$BI162),AN162*$BI162),0)</f>
        <v>0</v>
      </c>
      <c r="CR162" s="5">
        <f>IF($BI162&lt;&gt;"",IF('Capacity summary'!$C$14="Yes",IF(COUNTBLANK('Capacity summary'!$H74:$BG74)&lt;52,IF('Capacity summary'!AO74&lt;&gt;"",IF(LOWER('Capacity summary'!AO74)="x",$BI162*AO162,VALUE('Capacity summary'!AO74)),0),AO162*$BI162),AO162*$BI162),0)</f>
        <v>0</v>
      </c>
      <c r="CS162" s="5">
        <f>IF($BI162&lt;&gt;"",IF('Capacity summary'!$C$14="Yes",IF(COUNTBLANK('Capacity summary'!$H74:$BG74)&lt;52,IF('Capacity summary'!AP74&lt;&gt;"",IF(LOWER('Capacity summary'!AP74)="x",$BI162*AP162,VALUE('Capacity summary'!AP74)),0),AP162*$BI162),AP162*$BI162),0)</f>
        <v>0</v>
      </c>
      <c r="CT162" s="5">
        <f>IF($BI162&lt;&gt;"",IF('Capacity summary'!$C$14="Yes",IF(COUNTBLANK('Capacity summary'!$H74:$BG74)&lt;52,IF('Capacity summary'!AQ74&lt;&gt;"",IF(LOWER('Capacity summary'!AQ74)="x",$BI162*AQ162,VALUE('Capacity summary'!AQ74)),0),AQ162*$BI162),AQ162*$BI162),0)</f>
        <v>0</v>
      </c>
      <c r="CU162" s="5">
        <f>IF($BI162&lt;&gt;"",IF('Capacity summary'!$C$14="Yes",IF(COUNTBLANK('Capacity summary'!$H74:$BG74)&lt;52,IF('Capacity summary'!AR74&lt;&gt;"",IF(LOWER('Capacity summary'!AR74)="x",$BI162*AR162,VALUE('Capacity summary'!AR74)),0),AR162*$BI162),AR162*$BI162),0)</f>
        <v>0</v>
      </c>
      <c r="CV162" s="5">
        <f>IF($BI162&lt;&gt;"",IF('Capacity summary'!$C$14="Yes",IF(COUNTBLANK('Capacity summary'!$H74:$BG74)&lt;52,IF('Capacity summary'!AS74&lt;&gt;"",IF(LOWER('Capacity summary'!AS74)="x",$BI162*AS162,VALUE('Capacity summary'!AS74)),0),AS162*$BI162),AS162*$BI162),0)</f>
        <v>0</v>
      </c>
      <c r="CW162" s="5">
        <f>IF($BI162&lt;&gt;"",IF('Capacity summary'!$C$14="Yes",IF(COUNTBLANK('Capacity summary'!$H74:$BG74)&lt;52,IF('Capacity summary'!AT74&lt;&gt;"",IF(LOWER('Capacity summary'!AT74)="x",$BI162*AT162,VALUE('Capacity summary'!AT74)),0),AT162*$BI162),AT162*$BI162),0)</f>
        <v>0</v>
      </c>
      <c r="CX162" s="5">
        <f>IF($BI162&lt;&gt;"",IF('Capacity summary'!$C$14="Yes",IF(COUNTBLANK('Capacity summary'!$H74:$BG74)&lt;52,IF('Capacity summary'!AU74&lt;&gt;"",IF(LOWER('Capacity summary'!AU74)="x",$BI162*AU162,VALUE('Capacity summary'!AU74)),0),AU162*$BI162),AU162*$BI162),0)</f>
        <v>0</v>
      </c>
      <c r="CY162" s="5">
        <f>IF($BI162&lt;&gt;"",IF('Capacity summary'!$C$14="Yes",IF(COUNTBLANK('Capacity summary'!$H74:$BG74)&lt;52,IF('Capacity summary'!AV74&lt;&gt;"",IF(LOWER('Capacity summary'!AV74)="x",$BI162*AV162,VALUE('Capacity summary'!AV74)),0),AV162*$BI162),AV162*$BI162),0)</f>
        <v>0</v>
      </c>
      <c r="CZ162" s="5">
        <f>IF($BI162&lt;&gt;"",IF('Capacity summary'!$C$14="Yes",IF(COUNTBLANK('Capacity summary'!$H74:$BG74)&lt;52,IF('Capacity summary'!AW74&lt;&gt;"",IF(LOWER('Capacity summary'!AW74)="x",$BI162*AW162,VALUE('Capacity summary'!AW74)),0),AW162*$BI162),AW162*$BI162),0)</f>
        <v>0</v>
      </c>
      <c r="DA162" s="5">
        <f>IF($BI162&lt;&gt;"",IF('Capacity summary'!$C$14="Yes",IF(COUNTBLANK('Capacity summary'!$H74:$BG74)&lt;52,IF('Capacity summary'!AX74&lt;&gt;"",IF(LOWER('Capacity summary'!AX74)="x",$BI162*AX162,VALUE('Capacity summary'!AX74)),0),AX162*$BI162),AX162*$BI162),0)</f>
        <v>0</v>
      </c>
      <c r="DB162" s="5">
        <f>IF($BI162&lt;&gt;"",IF('Capacity summary'!$C$14="Yes",IF(COUNTBLANK('Capacity summary'!$H74:$BG74)&lt;52,IF('Capacity summary'!AY74&lt;&gt;"",IF(LOWER('Capacity summary'!AY74)="x",$BI162*AY162,VALUE('Capacity summary'!AY74)),0),AY162*$BI162),AY162*$BI162),0)</f>
        <v>0</v>
      </c>
      <c r="DC162" s="5">
        <f>IF($BI162&lt;&gt;"",IF('Capacity summary'!$C$14="Yes",IF(COUNTBLANK('Capacity summary'!$H74:$BG74)&lt;52,IF('Capacity summary'!AZ74&lt;&gt;"",IF(LOWER('Capacity summary'!AZ74)="x",$BI162*AZ162,VALUE('Capacity summary'!AZ74)),0),AZ162*$BI162),AZ162*$BI162),0)</f>
        <v>0</v>
      </c>
      <c r="DD162" s="5">
        <f>IF($BI162&lt;&gt;"",IF('Capacity summary'!$C$14="Yes",IF(COUNTBLANK('Capacity summary'!$H74:$BG74)&lt;52,IF('Capacity summary'!BA74&lt;&gt;"",IF(LOWER('Capacity summary'!BA74)="x",$BI162*BA162,VALUE('Capacity summary'!BA74)),0),BA162*$BI162),BA162*$BI162),0)</f>
        <v>0</v>
      </c>
      <c r="DE162" s="5">
        <f>IF($BI162&lt;&gt;"",IF('Capacity summary'!$C$14="Yes",IF(COUNTBLANK('Capacity summary'!$H74:$BG74)&lt;52,IF('Capacity summary'!BB74&lt;&gt;"",IF(LOWER('Capacity summary'!BB74)="x",$BI162*BB162,VALUE('Capacity summary'!BB74)),0),BB162*$BI162),BB162*$BI162),0)</f>
        <v>0</v>
      </c>
      <c r="DF162" s="5">
        <f>IF($BI162&lt;&gt;"",IF('Capacity summary'!$C$14="Yes",IF(COUNTBLANK('Capacity summary'!$H74:$BG74)&lt;52,IF('Capacity summary'!BC74&lt;&gt;"",IF(LOWER('Capacity summary'!BC74)="x",$BI162*BC162,VALUE('Capacity summary'!BC74)),0),BC162*$BI162),BC162*$BI162),0)</f>
        <v>0</v>
      </c>
      <c r="DG162" s="5">
        <f>IF($BI162&lt;&gt;"",IF('Capacity summary'!$C$14="Yes",IF(COUNTBLANK('Capacity summary'!$H74:$BG74)&lt;52,IF('Capacity summary'!BD74&lt;&gt;"",IF(LOWER('Capacity summary'!BD74)="x",$BI162*BD162,VALUE('Capacity summary'!BD74)),0),BD162*$BI162),BD162*$BI162),0)</f>
        <v>0</v>
      </c>
      <c r="DH162" s="5">
        <f>IF($BI162&lt;&gt;"",IF('Capacity summary'!$C$14="Yes",IF(COUNTBLANK('Capacity summary'!$H74:$BG74)&lt;52,IF('Capacity summary'!BE74&lt;&gt;"",IF(LOWER('Capacity summary'!BE74)="x",$BI162*BE162,VALUE('Capacity summary'!BE74)),0),BE162*$BI162),BE162*$BI162),0)</f>
        <v>0</v>
      </c>
      <c r="DI162" s="5">
        <f>IF($BI162&lt;&gt;"",IF('Capacity summary'!$C$14="Yes",IF(COUNTBLANK('Capacity summary'!$H74:$BG74)&lt;52,IF('Capacity summary'!BF74&lt;&gt;"",IF(LOWER('Capacity summary'!BF74)="x",$BI162*BF162,VALUE('Capacity summary'!BF74)),0),BF162*$BI162),BF162*$BI162),0)</f>
        <v>0</v>
      </c>
      <c r="DJ162" s="5">
        <f>IF($BI162&lt;&gt;"",IF('Capacity summary'!$C$14="Yes",IF(COUNTBLANK('Capacity summary'!$H74:$BG74)&lt;52,IF('Capacity summary'!BG74&lt;&gt;"",IF(LOWER('Capacity summary'!BG74)="x",$BI162*BG162,VALUE('Capacity summary'!BG74)),0),BG162*$BI162),BG162*$BI162),0)</f>
        <v>0</v>
      </c>
      <c r="DK162" s="5">
        <f t="shared" ref="DK162" si="56">SUM(DK163:DK262)</f>
        <v>0</v>
      </c>
    </row>
    <row r="163" spans="3:115" x14ac:dyDescent="0.25">
      <c r="C163" s="67" t="str">
        <f>ROW(A52)&amp;". "&amp;Capacity!N68</f>
        <v xml:space="preserve">52. </v>
      </c>
      <c r="D163" s="67">
        <f>'Capacity setup'!C169</f>
        <v>0</v>
      </c>
      <c r="E163" s="67">
        <f>'Capacity setup'!D169</f>
        <v>0</v>
      </c>
      <c r="F163" s="67">
        <f>'Capacity setup'!E169</f>
        <v>0</v>
      </c>
      <c r="H163" s="67">
        <f ca="1">IF(AND(SUMIF(Capacity_Resource,$D163,'Critical resources (hide)'!U$6:U$105)+SUMIF(Capacity_Resource,$E163,'Critical resources (hide)'!U$6:U$105)+SUMIF(Capacity_Resource,$F163,'Critical resources (hide)'!U$6:U$105)&gt;0,$E$1=2),0,1)</f>
        <v>1</v>
      </c>
      <c r="I163" s="67">
        <f ca="1">IF(AND(SUMIF(Capacity_Resource,$D163,'Critical resources (hide)'!V$6:V$105)+SUMIF(Capacity_Resource,$E163,'Critical resources (hide)'!V$6:V$105)+SUMIF(Capacity_Resource,$F163,'Critical resources (hide)'!V$6:V$105)&gt;0,$E$1=2),0,1)</f>
        <v>1</v>
      </c>
      <c r="J163" s="67">
        <f ca="1">IF(AND(SUMIF(Capacity_Resource,$D163,'Critical resources (hide)'!W$6:W$105)+SUMIF(Capacity_Resource,$E163,'Critical resources (hide)'!W$6:W$105)+SUMIF(Capacity_Resource,$F163,'Critical resources (hide)'!W$6:W$105)&gt;0,$E$1=2),0,1)</f>
        <v>1</v>
      </c>
      <c r="K163" s="67">
        <f ca="1">IF(AND(SUMIF(Capacity_Resource,$D163,'Critical resources (hide)'!X$6:X$105)+SUMIF(Capacity_Resource,$E163,'Critical resources (hide)'!X$6:X$105)+SUMIF(Capacity_Resource,$F163,'Critical resources (hide)'!X$6:X$105)&gt;0,$E$1=2),0,1)</f>
        <v>1</v>
      </c>
      <c r="L163" s="67">
        <f ca="1">IF(AND(SUMIF(Capacity_Resource,$D163,'Critical resources (hide)'!Y$6:Y$105)+SUMIF(Capacity_Resource,$E163,'Critical resources (hide)'!Y$6:Y$105)+SUMIF(Capacity_Resource,$F163,'Critical resources (hide)'!Y$6:Y$105)&gt;0,$E$1=2),0,1)</f>
        <v>1</v>
      </c>
      <c r="M163" s="67">
        <f ca="1">IF(AND(SUMIF(Capacity_Resource,$D163,'Critical resources (hide)'!Z$6:Z$105)+SUMIF(Capacity_Resource,$E163,'Critical resources (hide)'!Z$6:Z$105)+SUMIF(Capacity_Resource,$F163,'Critical resources (hide)'!Z$6:Z$105)&gt;0,$E$1=2),0,1)</f>
        <v>1</v>
      </c>
      <c r="N163" s="67">
        <f ca="1">IF(AND(SUMIF(Capacity_Resource,$D163,'Critical resources (hide)'!AA$6:AA$105)+SUMIF(Capacity_Resource,$E163,'Critical resources (hide)'!AA$6:AA$105)+SUMIF(Capacity_Resource,$F163,'Critical resources (hide)'!AA$6:AA$105)&gt;0,$E$1=2),0,1)</f>
        <v>1</v>
      </c>
      <c r="O163" s="67">
        <f ca="1">IF(AND(SUMIF(Capacity_Resource,$D163,'Critical resources (hide)'!AB$6:AB$105)+SUMIF(Capacity_Resource,$E163,'Critical resources (hide)'!AB$6:AB$105)+SUMIF(Capacity_Resource,$F163,'Critical resources (hide)'!AB$6:AB$105)&gt;0,$E$1=2),0,1)</f>
        <v>1</v>
      </c>
      <c r="P163" s="67">
        <f ca="1">IF(AND(SUMIF(Capacity_Resource,$D163,'Critical resources (hide)'!AC$6:AC$105)+SUMIF(Capacity_Resource,$E163,'Critical resources (hide)'!AC$6:AC$105)+SUMIF(Capacity_Resource,$F163,'Critical resources (hide)'!AC$6:AC$105)&gt;0,$E$1=2),0,1)</f>
        <v>1</v>
      </c>
      <c r="Q163" s="67">
        <f ca="1">IF(AND(SUMIF(Capacity_Resource,$D163,'Critical resources (hide)'!AD$6:AD$105)+SUMIF(Capacity_Resource,$E163,'Critical resources (hide)'!AD$6:AD$105)+SUMIF(Capacity_Resource,$F163,'Critical resources (hide)'!AD$6:AD$105)&gt;0,$E$1=2),0,1)</f>
        <v>1</v>
      </c>
      <c r="R163" s="67">
        <f ca="1">IF(AND(SUMIF(Capacity_Resource,$D163,'Critical resources (hide)'!AE$6:AE$105)+SUMIF(Capacity_Resource,$E163,'Critical resources (hide)'!AE$6:AE$105)+SUMIF(Capacity_Resource,$F163,'Critical resources (hide)'!AE$6:AE$105)&gt;0,$E$1=2),0,1)</f>
        <v>1</v>
      </c>
      <c r="S163" s="67">
        <f ca="1">IF(AND(SUMIF(Capacity_Resource,$D163,'Critical resources (hide)'!AF$6:AF$105)+SUMIF(Capacity_Resource,$E163,'Critical resources (hide)'!AF$6:AF$105)+SUMIF(Capacity_Resource,$F163,'Critical resources (hide)'!AF$6:AF$105)&gt;0,$E$1=2),0,1)</f>
        <v>1</v>
      </c>
      <c r="T163" s="67">
        <f ca="1">IF(AND(SUMIF(Capacity_Resource,$D163,'Critical resources (hide)'!AG$6:AG$105)+SUMIF(Capacity_Resource,$E163,'Critical resources (hide)'!AG$6:AG$105)+SUMIF(Capacity_Resource,$F163,'Critical resources (hide)'!AG$6:AG$105)&gt;0,$E$1=2),0,1)</f>
        <v>1</v>
      </c>
      <c r="U163" s="67">
        <f ca="1">IF(AND(SUMIF(Capacity_Resource,$D163,'Critical resources (hide)'!AH$6:AH$105)+SUMIF(Capacity_Resource,$E163,'Critical resources (hide)'!AH$6:AH$105)+SUMIF(Capacity_Resource,$F163,'Critical resources (hide)'!AH$6:AH$105)&gt;0,$E$1=2),0,1)</f>
        <v>1</v>
      </c>
      <c r="V163" s="67">
        <f ca="1">IF(AND(SUMIF(Capacity_Resource,$D163,'Critical resources (hide)'!AI$6:AI$105)+SUMIF(Capacity_Resource,$E163,'Critical resources (hide)'!AI$6:AI$105)+SUMIF(Capacity_Resource,$F163,'Critical resources (hide)'!AI$6:AI$105)&gt;0,$E$1=2),0,1)</f>
        <v>1</v>
      </c>
      <c r="W163" s="67">
        <f ca="1">IF(AND(SUMIF(Capacity_Resource,$D163,'Critical resources (hide)'!AJ$6:AJ$105)+SUMIF(Capacity_Resource,$E163,'Critical resources (hide)'!AJ$6:AJ$105)+SUMIF(Capacity_Resource,$F163,'Critical resources (hide)'!AJ$6:AJ$105)&gt;0,$E$1=2),0,1)</f>
        <v>1</v>
      </c>
      <c r="X163" s="67">
        <f ca="1">IF(AND(SUMIF(Capacity_Resource,$D163,'Critical resources (hide)'!AK$6:AK$105)+SUMIF(Capacity_Resource,$E163,'Critical resources (hide)'!AK$6:AK$105)+SUMIF(Capacity_Resource,$F163,'Critical resources (hide)'!AK$6:AK$105)&gt;0,$E$1=2),0,1)</f>
        <v>1</v>
      </c>
      <c r="Y163" s="67">
        <f ca="1">IF(AND(SUMIF(Capacity_Resource,$D163,'Critical resources (hide)'!AL$6:AL$105)+SUMIF(Capacity_Resource,$E163,'Critical resources (hide)'!AL$6:AL$105)+SUMIF(Capacity_Resource,$F163,'Critical resources (hide)'!AL$6:AL$105)&gt;0,$E$1=2),0,1)</f>
        <v>1</v>
      </c>
      <c r="Z163" s="67">
        <f ca="1">IF(AND(SUMIF(Capacity_Resource,$D163,'Critical resources (hide)'!AM$6:AM$105)+SUMIF(Capacity_Resource,$E163,'Critical resources (hide)'!AM$6:AM$105)+SUMIF(Capacity_Resource,$F163,'Critical resources (hide)'!AM$6:AM$105)&gt;0,$E$1=2),0,1)</f>
        <v>1</v>
      </c>
      <c r="AA163" s="67">
        <f ca="1">IF(AND(SUMIF(Capacity_Resource,$D163,'Critical resources (hide)'!AN$6:AN$105)+SUMIF(Capacity_Resource,$E163,'Critical resources (hide)'!AN$6:AN$105)+SUMIF(Capacity_Resource,$F163,'Critical resources (hide)'!AN$6:AN$105)&gt;0,$E$1=2),0,1)</f>
        <v>1</v>
      </c>
      <c r="AB163" s="67">
        <f ca="1">IF(AND(SUMIF(Capacity_Resource,$D163,'Critical resources (hide)'!AO$6:AO$105)+SUMIF(Capacity_Resource,$E163,'Critical resources (hide)'!AO$6:AO$105)+SUMIF(Capacity_Resource,$F163,'Critical resources (hide)'!AO$6:AO$105)&gt;0,$E$1=2),0,1)</f>
        <v>1</v>
      </c>
      <c r="AC163" s="67">
        <f ca="1">IF(AND(SUMIF(Capacity_Resource,$D163,'Critical resources (hide)'!AP$6:AP$105)+SUMIF(Capacity_Resource,$E163,'Critical resources (hide)'!AP$6:AP$105)+SUMIF(Capacity_Resource,$F163,'Critical resources (hide)'!AP$6:AP$105)&gt;0,$E$1=2),0,1)</f>
        <v>1</v>
      </c>
      <c r="AD163" s="67">
        <f ca="1">IF(AND(SUMIF(Capacity_Resource,$D163,'Critical resources (hide)'!AQ$6:AQ$105)+SUMIF(Capacity_Resource,$E163,'Critical resources (hide)'!AQ$6:AQ$105)+SUMIF(Capacity_Resource,$F163,'Critical resources (hide)'!AQ$6:AQ$105)&gt;0,$E$1=2),0,1)</f>
        <v>1</v>
      </c>
      <c r="AE163" s="67">
        <f ca="1">IF(AND(SUMIF(Capacity_Resource,$D163,'Critical resources (hide)'!AR$6:AR$105)+SUMIF(Capacity_Resource,$E163,'Critical resources (hide)'!AR$6:AR$105)+SUMIF(Capacity_Resource,$F163,'Critical resources (hide)'!AR$6:AR$105)&gt;0,$E$1=2),0,1)</f>
        <v>1</v>
      </c>
      <c r="AF163" s="67">
        <f ca="1">IF(AND(SUMIF(Capacity_Resource,$D163,'Critical resources (hide)'!AS$6:AS$105)+SUMIF(Capacity_Resource,$E163,'Critical resources (hide)'!AS$6:AS$105)+SUMIF(Capacity_Resource,$F163,'Critical resources (hide)'!AS$6:AS$105)&gt;0,$E$1=2),0,1)</f>
        <v>1</v>
      </c>
      <c r="AG163" s="67">
        <f ca="1">IF(AND(SUMIF(Capacity_Resource,$D163,'Critical resources (hide)'!AT$6:AT$105)+SUMIF(Capacity_Resource,$E163,'Critical resources (hide)'!AT$6:AT$105)+SUMIF(Capacity_Resource,$F163,'Critical resources (hide)'!AT$6:AT$105)&gt;0,$E$1=2),0,1)</f>
        <v>1</v>
      </c>
      <c r="AH163" s="67">
        <f ca="1">IF(AND(SUMIF(Capacity_Resource,$D163,'Critical resources (hide)'!AU$6:AU$105)+SUMIF(Capacity_Resource,$E163,'Critical resources (hide)'!AU$6:AU$105)+SUMIF(Capacity_Resource,$F163,'Critical resources (hide)'!AU$6:AU$105)&gt;0,$E$1=2),0,1)</f>
        <v>1</v>
      </c>
      <c r="AI163" s="67">
        <f ca="1">IF(AND(SUMIF(Capacity_Resource,$D163,'Critical resources (hide)'!AV$6:AV$105)+SUMIF(Capacity_Resource,$E163,'Critical resources (hide)'!AV$6:AV$105)+SUMIF(Capacity_Resource,$F163,'Critical resources (hide)'!AV$6:AV$105)&gt;0,$E$1=2),0,1)</f>
        <v>1</v>
      </c>
      <c r="AJ163" s="67">
        <f ca="1">IF(AND(SUMIF(Capacity_Resource,$D163,'Critical resources (hide)'!AW$6:AW$105)+SUMIF(Capacity_Resource,$E163,'Critical resources (hide)'!AW$6:AW$105)+SUMIF(Capacity_Resource,$F163,'Critical resources (hide)'!AW$6:AW$105)&gt;0,$E$1=2),0,1)</f>
        <v>1</v>
      </c>
      <c r="AK163" s="67">
        <f ca="1">IF(AND(SUMIF(Capacity_Resource,$D163,'Critical resources (hide)'!AX$6:AX$105)+SUMIF(Capacity_Resource,$E163,'Critical resources (hide)'!AX$6:AX$105)+SUMIF(Capacity_Resource,$F163,'Critical resources (hide)'!AX$6:AX$105)&gt;0,$E$1=2),0,1)</f>
        <v>1</v>
      </c>
      <c r="AL163" s="67">
        <f ca="1">IF(AND(SUMIF(Capacity_Resource,$D163,'Critical resources (hide)'!AY$6:AY$105)+SUMIF(Capacity_Resource,$E163,'Critical resources (hide)'!AY$6:AY$105)+SUMIF(Capacity_Resource,$F163,'Critical resources (hide)'!AY$6:AY$105)&gt;0,$E$1=2),0,1)</f>
        <v>1</v>
      </c>
      <c r="AM163" s="67">
        <f ca="1">IF(AND(SUMIF(Capacity_Resource,$D163,'Critical resources (hide)'!AZ$6:AZ$105)+SUMIF(Capacity_Resource,$E163,'Critical resources (hide)'!AZ$6:AZ$105)+SUMIF(Capacity_Resource,$F163,'Critical resources (hide)'!AZ$6:AZ$105)&gt;0,$E$1=2),0,1)</f>
        <v>1</v>
      </c>
      <c r="AN163" s="67">
        <f ca="1">IF(AND(SUMIF(Capacity_Resource,$D163,'Critical resources (hide)'!BA$6:BA$105)+SUMIF(Capacity_Resource,$E163,'Critical resources (hide)'!BA$6:BA$105)+SUMIF(Capacity_Resource,$F163,'Critical resources (hide)'!BA$6:BA$105)&gt;0,$E$1=2),0,1)</f>
        <v>1</v>
      </c>
      <c r="AO163" s="67">
        <f ca="1">IF(AND(SUMIF(Capacity_Resource,$D163,'Critical resources (hide)'!BB$6:BB$105)+SUMIF(Capacity_Resource,$E163,'Critical resources (hide)'!BB$6:BB$105)+SUMIF(Capacity_Resource,$F163,'Critical resources (hide)'!BB$6:BB$105)&gt;0,$E$1=2),0,1)</f>
        <v>1</v>
      </c>
      <c r="AP163" s="67">
        <f ca="1">IF(AND(SUMIF(Capacity_Resource,$D163,'Critical resources (hide)'!BC$6:BC$105)+SUMIF(Capacity_Resource,$E163,'Critical resources (hide)'!BC$6:BC$105)+SUMIF(Capacity_Resource,$F163,'Critical resources (hide)'!BC$6:BC$105)&gt;0,$E$1=2),0,1)</f>
        <v>1</v>
      </c>
      <c r="AQ163" s="67">
        <f ca="1">IF(AND(SUMIF(Capacity_Resource,$D163,'Critical resources (hide)'!BD$6:BD$105)+SUMIF(Capacity_Resource,$E163,'Critical resources (hide)'!BD$6:BD$105)+SUMIF(Capacity_Resource,$F163,'Critical resources (hide)'!BD$6:BD$105)&gt;0,$E$1=2),0,1)</f>
        <v>1</v>
      </c>
      <c r="AR163" s="67">
        <f ca="1">IF(AND(SUMIF(Capacity_Resource,$D163,'Critical resources (hide)'!BE$6:BE$105)+SUMIF(Capacity_Resource,$E163,'Critical resources (hide)'!BE$6:BE$105)+SUMIF(Capacity_Resource,$F163,'Critical resources (hide)'!BE$6:BE$105)&gt;0,$E$1=2),0,1)</f>
        <v>1</v>
      </c>
      <c r="AS163" s="67">
        <f ca="1">IF(AND(SUMIF(Capacity_Resource,$D163,'Critical resources (hide)'!BF$6:BF$105)+SUMIF(Capacity_Resource,$E163,'Critical resources (hide)'!BF$6:BF$105)+SUMIF(Capacity_Resource,$F163,'Critical resources (hide)'!BF$6:BF$105)&gt;0,$E$1=2),0,1)</f>
        <v>1</v>
      </c>
      <c r="AT163" s="67">
        <f ca="1">IF(AND(SUMIF(Capacity_Resource,$D163,'Critical resources (hide)'!BG$6:BG$105)+SUMIF(Capacity_Resource,$E163,'Critical resources (hide)'!BG$6:BG$105)+SUMIF(Capacity_Resource,$F163,'Critical resources (hide)'!BG$6:BG$105)&gt;0,$E$1=2),0,1)</f>
        <v>1</v>
      </c>
      <c r="AU163" s="67">
        <f ca="1">IF(AND(SUMIF(Capacity_Resource,$D163,'Critical resources (hide)'!BH$6:BH$105)+SUMIF(Capacity_Resource,$E163,'Critical resources (hide)'!BH$6:BH$105)+SUMIF(Capacity_Resource,$F163,'Critical resources (hide)'!BH$6:BH$105)&gt;0,$E$1=2),0,1)</f>
        <v>1</v>
      </c>
      <c r="AV163" s="67">
        <f ca="1">IF(AND(SUMIF(Capacity_Resource,$D163,'Critical resources (hide)'!BI$6:BI$105)+SUMIF(Capacity_Resource,$E163,'Critical resources (hide)'!BI$6:BI$105)+SUMIF(Capacity_Resource,$F163,'Critical resources (hide)'!BI$6:BI$105)&gt;0,$E$1=2),0,1)</f>
        <v>1</v>
      </c>
      <c r="AW163" s="67">
        <f ca="1">IF(AND(SUMIF(Capacity_Resource,$D163,'Critical resources (hide)'!BJ$6:BJ$105)+SUMIF(Capacity_Resource,$E163,'Critical resources (hide)'!BJ$6:BJ$105)+SUMIF(Capacity_Resource,$F163,'Critical resources (hide)'!BJ$6:BJ$105)&gt;0,$E$1=2),0,1)</f>
        <v>1</v>
      </c>
      <c r="AX163" s="67">
        <f ca="1">IF(AND(SUMIF(Capacity_Resource,$D163,'Critical resources (hide)'!BK$6:BK$105)+SUMIF(Capacity_Resource,$E163,'Critical resources (hide)'!BK$6:BK$105)+SUMIF(Capacity_Resource,$F163,'Critical resources (hide)'!BK$6:BK$105)&gt;0,$E$1=2),0,1)</f>
        <v>1</v>
      </c>
      <c r="AY163" s="67">
        <f ca="1">IF(AND(SUMIF(Capacity_Resource,$D163,'Critical resources (hide)'!BL$6:BL$105)+SUMIF(Capacity_Resource,$E163,'Critical resources (hide)'!BL$6:BL$105)+SUMIF(Capacity_Resource,$F163,'Critical resources (hide)'!BL$6:BL$105)&gt;0,$E$1=2),0,1)</f>
        <v>1</v>
      </c>
      <c r="AZ163" s="67">
        <f ca="1">IF(AND(SUMIF(Capacity_Resource,$D163,'Critical resources (hide)'!BM$6:BM$105)+SUMIF(Capacity_Resource,$E163,'Critical resources (hide)'!BM$6:BM$105)+SUMIF(Capacity_Resource,$F163,'Critical resources (hide)'!BM$6:BM$105)&gt;0,$E$1=2),0,1)</f>
        <v>1</v>
      </c>
      <c r="BA163" s="67">
        <f ca="1">IF(AND(SUMIF(Capacity_Resource,$D163,'Critical resources (hide)'!BN$6:BN$105)+SUMIF(Capacity_Resource,$E163,'Critical resources (hide)'!BN$6:BN$105)+SUMIF(Capacity_Resource,$F163,'Critical resources (hide)'!BN$6:BN$105)&gt;0,$E$1=2),0,1)</f>
        <v>1</v>
      </c>
      <c r="BB163" s="67">
        <f ca="1">IF(AND(SUMIF(Capacity_Resource,$D163,'Critical resources (hide)'!BO$6:BO$105)+SUMIF(Capacity_Resource,$E163,'Critical resources (hide)'!BO$6:BO$105)+SUMIF(Capacity_Resource,$F163,'Critical resources (hide)'!BO$6:BO$105)&gt;0,$E$1=2),0,1)</f>
        <v>1</v>
      </c>
      <c r="BC163" s="67">
        <f ca="1">IF(AND(SUMIF(Capacity_Resource,$D163,'Critical resources (hide)'!BP$6:BP$105)+SUMIF(Capacity_Resource,$E163,'Critical resources (hide)'!BP$6:BP$105)+SUMIF(Capacity_Resource,$F163,'Critical resources (hide)'!BP$6:BP$105)&gt;0,$E$1=2),0,1)</f>
        <v>1</v>
      </c>
      <c r="BD163" s="67">
        <f ca="1">IF(AND(SUMIF(Capacity_Resource,$D163,'Critical resources (hide)'!BQ$6:BQ$105)+SUMIF(Capacity_Resource,$E163,'Critical resources (hide)'!BQ$6:BQ$105)+SUMIF(Capacity_Resource,$F163,'Critical resources (hide)'!BQ$6:BQ$105)&gt;0,$E$1=2),0,1)</f>
        <v>1</v>
      </c>
      <c r="BE163" s="67">
        <f ca="1">IF(AND(SUMIF(Capacity_Resource,$D163,'Critical resources (hide)'!BR$6:BR$105)+SUMIF(Capacity_Resource,$E163,'Critical resources (hide)'!BR$6:BR$105)+SUMIF(Capacity_Resource,$F163,'Critical resources (hide)'!BR$6:BR$105)&gt;0,$E$1=2),0,1)</f>
        <v>1</v>
      </c>
      <c r="BF163" s="67">
        <f ca="1">IF(AND(SUMIF(Capacity_Resource,$D163,'Critical resources (hide)'!BS$6:BS$105)+SUMIF(Capacity_Resource,$E163,'Critical resources (hide)'!BS$6:BS$105)+SUMIF(Capacity_Resource,$F163,'Critical resources (hide)'!BS$6:BS$105)&gt;0,$E$1=2),0,1)</f>
        <v>1</v>
      </c>
      <c r="BG163" s="67">
        <f ca="1">IF(AND(SUMIF(Capacity_Resource,$D163,'Critical resources (hide)'!BT$6:BT$105)+SUMIF(Capacity_Resource,$E163,'Critical resources (hide)'!BT$6:BT$105)+SUMIF(Capacity_Resource,$F163,'Critical resources (hide)'!BT$6:BT$105)&gt;0,$E$1=2),0,1)</f>
        <v>1</v>
      </c>
      <c r="BH163" s="67">
        <f>IF(ROW(A52)&lt;=Capacity!$M$16,IF('Capacity summary'!$C$14="No",SUM(H163:BG163),'Capacity summary'!$E75),0)</f>
        <v>0</v>
      </c>
      <c r="BI163" s="67" t="str">
        <f>IF(BH163&gt;0,IF(BH163&lt;Capacity!Q68,Capacity!R68,Capacity!T68/'Capacity calculation (hide)'!BH163),"")</f>
        <v/>
      </c>
      <c r="BJ163" s="5"/>
      <c r="BK163" s="5">
        <f>IF($BI163&lt;&gt;"",IF('Capacity summary'!$C$14="Yes",IF(COUNTBLANK('Capacity summary'!$H75:$BG75)&lt;52,IF('Capacity summary'!H75&lt;&gt;"",IF(LOWER('Capacity summary'!H75)="x",$BI163*H163,VALUE('Capacity summary'!H75)),0),H163*$BI163),H163*$BI163),0)</f>
        <v>0</v>
      </c>
      <c r="BL163" s="5">
        <f>IF($BI163&lt;&gt;"",IF('Capacity summary'!$C$14="Yes",IF(COUNTBLANK('Capacity summary'!$H75:$BG75)&lt;52,IF('Capacity summary'!I75&lt;&gt;"",IF(LOWER('Capacity summary'!I75)="x",$BI163*I163,VALUE('Capacity summary'!I75)),0),I163*$BI163),I163*$BI163),0)</f>
        <v>0</v>
      </c>
      <c r="BM163" s="5">
        <f>IF($BI163&lt;&gt;"",IF('Capacity summary'!$C$14="Yes",IF(COUNTBLANK('Capacity summary'!$H75:$BG75)&lt;52,IF('Capacity summary'!J75&lt;&gt;"",IF(LOWER('Capacity summary'!J75)="x",$BI163*J163,VALUE('Capacity summary'!J75)),0),J163*$BI163),J163*$BI163),0)</f>
        <v>0</v>
      </c>
      <c r="BN163" s="5">
        <f>IF($BI163&lt;&gt;"",IF('Capacity summary'!$C$14="Yes",IF(COUNTBLANK('Capacity summary'!$H75:$BG75)&lt;52,IF('Capacity summary'!K75&lt;&gt;"",IF(LOWER('Capacity summary'!K75)="x",$BI163*K163,VALUE('Capacity summary'!K75)),0),K163*$BI163),K163*$BI163),0)</f>
        <v>0</v>
      </c>
      <c r="BO163" s="5">
        <f>IF($BI163&lt;&gt;"",IF('Capacity summary'!$C$14="Yes",IF(COUNTBLANK('Capacity summary'!$H75:$BG75)&lt;52,IF('Capacity summary'!L75&lt;&gt;"",IF(LOWER('Capacity summary'!L75)="x",$BI163*L163,VALUE('Capacity summary'!L75)),0),L163*$BI163),L163*$BI163),0)</f>
        <v>0</v>
      </c>
      <c r="BP163" s="5">
        <f>IF($BI163&lt;&gt;"",IF('Capacity summary'!$C$14="Yes",IF(COUNTBLANK('Capacity summary'!$H75:$BG75)&lt;52,IF('Capacity summary'!M75&lt;&gt;"",IF(LOWER('Capacity summary'!M75)="x",$BI163*M163,VALUE('Capacity summary'!M75)),0),M163*$BI163),M163*$BI163),0)</f>
        <v>0</v>
      </c>
      <c r="BQ163" s="5">
        <f>IF($BI163&lt;&gt;"",IF('Capacity summary'!$C$14="Yes",IF(COUNTBLANK('Capacity summary'!$H75:$BG75)&lt;52,IF('Capacity summary'!N75&lt;&gt;"",IF(LOWER('Capacity summary'!N75)="x",$BI163*N163,VALUE('Capacity summary'!N75)),0),N163*$BI163),N163*$BI163),0)</f>
        <v>0</v>
      </c>
      <c r="BR163" s="5">
        <f>IF($BI163&lt;&gt;"",IF('Capacity summary'!$C$14="Yes",IF(COUNTBLANK('Capacity summary'!$H75:$BG75)&lt;52,IF('Capacity summary'!O75&lt;&gt;"",IF(LOWER('Capacity summary'!O75)="x",$BI163*O163,VALUE('Capacity summary'!O75)),0),O163*$BI163),O163*$BI163),0)</f>
        <v>0</v>
      </c>
      <c r="BS163" s="5">
        <f>IF($BI163&lt;&gt;"",IF('Capacity summary'!$C$14="Yes",IF(COUNTBLANK('Capacity summary'!$H75:$BG75)&lt;52,IF('Capacity summary'!P75&lt;&gt;"",IF(LOWER('Capacity summary'!P75)="x",$BI163*P163,VALUE('Capacity summary'!P75)),0),P163*$BI163),P163*$BI163),0)</f>
        <v>0</v>
      </c>
      <c r="BT163" s="5">
        <f>IF($BI163&lt;&gt;"",IF('Capacity summary'!$C$14="Yes",IF(COUNTBLANK('Capacity summary'!$H75:$BG75)&lt;52,IF('Capacity summary'!Q75&lt;&gt;"",IF(LOWER('Capacity summary'!Q75)="x",$BI163*Q163,VALUE('Capacity summary'!Q75)),0),Q163*$BI163),Q163*$BI163),0)</f>
        <v>0</v>
      </c>
      <c r="BU163" s="5">
        <f>IF($BI163&lt;&gt;"",IF('Capacity summary'!$C$14="Yes",IF(COUNTBLANK('Capacity summary'!$H75:$BG75)&lt;52,IF('Capacity summary'!R75&lt;&gt;"",IF(LOWER('Capacity summary'!R75)="x",$BI163*R163,VALUE('Capacity summary'!R75)),0),R163*$BI163),R163*$BI163),0)</f>
        <v>0</v>
      </c>
      <c r="BV163" s="5">
        <f>IF($BI163&lt;&gt;"",IF('Capacity summary'!$C$14="Yes",IF(COUNTBLANK('Capacity summary'!$H75:$BG75)&lt;52,IF('Capacity summary'!S75&lt;&gt;"",IF(LOWER('Capacity summary'!S75)="x",$BI163*S163,VALUE('Capacity summary'!S75)),0),S163*$BI163),S163*$BI163),0)</f>
        <v>0</v>
      </c>
      <c r="BW163" s="5">
        <f>IF($BI163&lt;&gt;"",IF('Capacity summary'!$C$14="Yes",IF(COUNTBLANK('Capacity summary'!$H75:$BG75)&lt;52,IF('Capacity summary'!T75&lt;&gt;"",IF(LOWER('Capacity summary'!T75)="x",$BI163*T163,VALUE('Capacity summary'!T75)),0),T163*$BI163),T163*$BI163),0)</f>
        <v>0</v>
      </c>
      <c r="BX163" s="5">
        <f>IF($BI163&lt;&gt;"",IF('Capacity summary'!$C$14="Yes",IF(COUNTBLANK('Capacity summary'!$H75:$BG75)&lt;52,IF('Capacity summary'!U75&lt;&gt;"",IF(LOWER('Capacity summary'!U75)="x",$BI163*U163,VALUE('Capacity summary'!U75)),0),U163*$BI163),U163*$BI163),0)</f>
        <v>0</v>
      </c>
      <c r="BY163" s="5">
        <f>IF($BI163&lt;&gt;"",IF('Capacity summary'!$C$14="Yes",IF(COUNTBLANK('Capacity summary'!$H75:$BG75)&lt;52,IF('Capacity summary'!V75&lt;&gt;"",IF(LOWER('Capacity summary'!V75)="x",$BI163*V163,VALUE('Capacity summary'!V75)),0),V163*$BI163),V163*$BI163),0)</f>
        <v>0</v>
      </c>
      <c r="BZ163" s="5">
        <f>IF($BI163&lt;&gt;"",IF('Capacity summary'!$C$14="Yes",IF(COUNTBLANK('Capacity summary'!$H75:$BG75)&lt;52,IF('Capacity summary'!W75&lt;&gt;"",IF(LOWER('Capacity summary'!W75)="x",$BI163*W163,VALUE('Capacity summary'!W75)),0),W163*$BI163),W163*$BI163),0)</f>
        <v>0</v>
      </c>
      <c r="CA163" s="5">
        <f>IF($BI163&lt;&gt;"",IF('Capacity summary'!$C$14="Yes",IF(COUNTBLANK('Capacity summary'!$H75:$BG75)&lt;52,IF('Capacity summary'!X75&lt;&gt;"",IF(LOWER('Capacity summary'!X75)="x",$BI163*X163,VALUE('Capacity summary'!X75)),0),X163*$BI163),X163*$BI163),0)</f>
        <v>0</v>
      </c>
      <c r="CB163" s="5">
        <f>IF($BI163&lt;&gt;"",IF('Capacity summary'!$C$14="Yes",IF(COUNTBLANK('Capacity summary'!$H75:$BG75)&lt;52,IF('Capacity summary'!Y75&lt;&gt;"",IF(LOWER('Capacity summary'!Y75)="x",$BI163*Y163,VALUE('Capacity summary'!Y75)),0),Y163*$BI163),Y163*$BI163),0)</f>
        <v>0</v>
      </c>
      <c r="CC163" s="5">
        <f>IF($BI163&lt;&gt;"",IF('Capacity summary'!$C$14="Yes",IF(COUNTBLANK('Capacity summary'!$H75:$BG75)&lt;52,IF('Capacity summary'!Z75&lt;&gt;"",IF(LOWER('Capacity summary'!Z75)="x",$BI163*Z163,VALUE('Capacity summary'!Z75)),0),Z163*$BI163),Z163*$BI163),0)</f>
        <v>0</v>
      </c>
      <c r="CD163" s="5">
        <f>IF($BI163&lt;&gt;"",IF('Capacity summary'!$C$14="Yes",IF(COUNTBLANK('Capacity summary'!$H75:$BG75)&lt;52,IF('Capacity summary'!AA75&lt;&gt;"",IF(LOWER('Capacity summary'!AA75)="x",$BI163*AA163,VALUE('Capacity summary'!AA75)),0),AA163*$BI163),AA163*$BI163),0)</f>
        <v>0</v>
      </c>
      <c r="CE163" s="5">
        <f>IF($BI163&lt;&gt;"",IF('Capacity summary'!$C$14="Yes",IF(COUNTBLANK('Capacity summary'!$H75:$BG75)&lt;52,IF('Capacity summary'!AB75&lt;&gt;"",IF(LOWER('Capacity summary'!AB75)="x",$BI163*AB163,VALUE('Capacity summary'!AB75)),0),AB163*$BI163),AB163*$BI163),0)</f>
        <v>0</v>
      </c>
      <c r="CF163" s="5">
        <f>IF($BI163&lt;&gt;"",IF('Capacity summary'!$C$14="Yes",IF(COUNTBLANK('Capacity summary'!$H75:$BG75)&lt;52,IF('Capacity summary'!AC75&lt;&gt;"",IF(LOWER('Capacity summary'!AC75)="x",$BI163*AC163,VALUE('Capacity summary'!AC75)),0),AC163*$BI163),AC163*$BI163),0)</f>
        <v>0</v>
      </c>
      <c r="CG163" s="5">
        <f>IF($BI163&lt;&gt;"",IF('Capacity summary'!$C$14="Yes",IF(COUNTBLANK('Capacity summary'!$H75:$BG75)&lt;52,IF('Capacity summary'!AD75&lt;&gt;"",IF(LOWER('Capacity summary'!AD75)="x",$BI163*AD163,VALUE('Capacity summary'!AD75)),0),AD163*$BI163),AD163*$BI163),0)</f>
        <v>0</v>
      </c>
      <c r="CH163" s="5">
        <f>IF($BI163&lt;&gt;"",IF('Capacity summary'!$C$14="Yes",IF(COUNTBLANK('Capacity summary'!$H75:$BG75)&lt;52,IF('Capacity summary'!AE75&lt;&gt;"",IF(LOWER('Capacity summary'!AE75)="x",$BI163*AE163,VALUE('Capacity summary'!AE75)),0),AE163*$BI163),AE163*$BI163),0)</f>
        <v>0</v>
      </c>
      <c r="CI163" s="5">
        <f>IF($BI163&lt;&gt;"",IF('Capacity summary'!$C$14="Yes",IF(COUNTBLANK('Capacity summary'!$H75:$BG75)&lt;52,IF('Capacity summary'!AF75&lt;&gt;"",IF(LOWER('Capacity summary'!AF75)="x",$BI163*AF163,VALUE('Capacity summary'!AF75)),0),AF163*$BI163),AF163*$BI163),0)</f>
        <v>0</v>
      </c>
      <c r="CJ163" s="5">
        <f>IF($BI163&lt;&gt;"",IF('Capacity summary'!$C$14="Yes",IF(COUNTBLANK('Capacity summary'!$H75:$BG75)&lt;52,IF('Capacity summary'!AG75&lt;&gt;"",IF(LOWER('Capacity summary'!AG75)="x",$BI163*AG163,VALUE('Capacity summary'!AG75)),0),AG163*$BI163),AG163*$BI163),0)</f>
        <v>0</v>
      </c>
      <c r="CK163" s="5">
        <f>IF($BI163&lt;&gt;"",IF('Capacity summary'!$C$14="Yes",IF(COUNTBLANK('Capacity summary'!$H75:$BG75)&lt;52,IF('Capacity summary'!AH75&lt;&gt;"",IF(LOWER('Capacity summary'!AH75)="x",$BI163*AH163,VALUE('Capacity summary'!AH75)),0),AH163*$BI163),AH163*$BI163),0)</f>
        <v>0</v>
      </c>
      <c r="CL163" s="5">
        <f>IF($BI163&lt;&gt;"",IF('Capacity summary'!$C$14="Yes",IF(COUNTBLANK('Capacity summary'!$H75:$BG75)&lt;52,IF('Capacity summary'!AI75&lt;&gt;"",IF(LOWER('Capacity summary'!AI75)="x",$BI163*AI163,VALUE('Capacity summary'!AI75)),0),AI163*$BI163),AI163*$BI163),0)</f>
        <v>0</v>
      </c>
      <c r="CM163" s="5">
        <f>IF($BI163&lt;&gt;"",IF('Capacity summary'!$C$14="Yes",IF(COUNTBLANK('Capacity summary'!$H75:$BG75)&lt;52,IF('Capacity summary'!AJ75&lt;&gt;"",IF(LOWER('Capacity summary'!AJ75)="x",$BI163*AJ163,VALUE('Capacity summary'!AJ75)),0),AJ163*$BI163),AJ163*$BI163),0)</f>
        <v>0</v>
      </c>
      <c r="CN163" s="5">
        <f>IF($BI163&lt;&gt;"",IF('Capacity summary'!$C$14="Yes",IF(COUNTBLANK('Capacity summary'!$H75:$BG75)&lt;52,IF('Capacity summary'!AK75&lt;&gt;"",IF(LOWER('Capacity summary'!AK75)="x",$BI163*AK163,VALUE('Capacity summary'!AK75)),0),AK163*$BI163),AK163*$BI163),0)</f>
        <v>0</v>
      </c>
      <c r="CO163" s="5">
        <f>IF($BI163&lt;&gt;"",IF('Capacity summary'!$C$14="Yes",IF(COUNTBLANK('Capacity summary'!$H75:$BG75)&lt;52,IF('Capacity summary'!AL75&lt;&gt;"",IF(LOWER('Capacity summary'!AL75)="x",$BI163*AL163,VALUE('Capacity summary'!AL75)),0),AL163*$BI163),AL163*$BI163),0)</f>
        <v>0</v>
      </c>
      <c r="CP163" s="5">
        <f>IF($BI163&lt;&gt;"",IF('Capacity summary'!$C$14="Yes",IF(COUNTBLANK('Capacity summary'!$H75:$BG75)&lt;52,IF('Capacity summary'!AM75&lt;&gt;"",IF(LOWER('Capacity summary'!AM75)="x",$BI163*AM163,VALUE('Capacity summary'!AM75)),0),AM163*$BI163),AM163*$BI163),0)</f>
        <v>0</v>
      </c>
      <c r="CQ163" s="5">
        <f>IF($BI163&lt;&gt;"",IF('Capacity summary'!$C$14="Yes",IF(COUNTBLANK('Capacity summary'!$H75:$BG75)&lt;52,IF('Capacity summary'!AN75&lt;&gt;"",IF(LOWER('Capacity summary'!AN75)="x",$BI163*AN163,VALUE('Capacity summary'!AN75)),0),AN163*$BI163),AN163*$BI163),0)</f>
        <v>0</v>
      </c>
      <c r="CR163" s="5">
        <f>IF($BI163&lt;&gt;"",IF('Capacity summary'!$C$14="Yes",IF(COUNTBLANK('Capacity summary'!$H75:$BG75)&lt;52,IF('Capacity summary'!AO75&lt;&gt;"",IF(LOWER('Capacity summary'!AO75)="x",$BI163*AO163,VALUE('Capacity summary'!AO75)),0),AO163*$BI163),AO163*$BI163),0)</f>
        <v>0</v>
      </c>
      <c r="CS163" s="5">
        <f>IF($BI163&lt;&gt;"",IF('Capacity summary'!$C$14="Yes",IF(COUNTBLANK('Capacity summary'!$H75:$BG75)&lt;52,IF('Capacity summary'!AP75&lt;&gt;"",IF(LOWER('Capacity summary'!AP75)="x",$BI163*AP163,VALUE('Capacity summary'!AP75)),0),AP163*$BI163),AP163*$BI163),0)</f>
        <v>0</v>
      </c>
      <c r="CT163" s="5">
        <f>IF($BI163&lt;&gt;"",IF('Capacity summary'!$C$14="Yes",IF(COUNTBLANK('Capacity summary'!$H75:$BG75)&lt;52,IF('Capacity summary'!AQ75&lt;&gt;"",IF(LOWER('Capacity summary'!AQ75)="x",$BI163*AQ163,VALUE('Capacity summary'!AQ75)),0),AQ163*$BI163),AQ163*$BI163),0)</f>
        <v>0</v>
      </c>
      <c r="CU163" s="5">
        <f>IF($BI163&lt;&gt;"",IF('Capacity summary'!$C$14="Yes",IF(COUNTBLANK('Capacity summary'!$H75:$BG75)&lt;52,IF('Capacity summary'!AR75&lt;&gt;"",IF(LOWER('Capacity summary'!AR75)="x",$BI163*AR163,VALUE('Capacity summary'!AR75)),0),AR163*$BI163),AR163*$BI163),0)</f>
        <v>0</v>
      </c>
      <c r="CV163" s="5">
        <f>IF($BI163&lt;&gt;"",IF('Capacity summary'!$C$14="Yes",IF(COUNTBLANK('Capacity summary'!$H75:$BG75)&lt;52,IF('Capacity summary'!AS75&lt;&gt;"",IF(LOWER('Capacity summary'!AS75)="x",$BI163*AS163,VALUE('Capacity summary'!AS75)),0),AS163*$BI163),AS163*$BI163),0)</f>
        <v>0</v>
      </c>
      <c r="CW163" s="5">
        <f>IF($BI163&lt;&gt;"",IF('Capacity summary'!$C$14="Yes",IF(COUNTBLANK('Capacity summary'!$H75:$BG75)&lt;52,IF('Capacity summary'!AT75&lt;&gt;"",IF(LOWER('Capacity summary'!AT75)="x",$BI163*AT163,VALUE('Capacity summary'!AT75)),0),AT163*$BI163),AT163*$BI163),0)</f>
        <v>0</v>
      </c>
      <c r="CX163" s="5">
        <f>IF($BI163&lt;&gt;"",IF('Capacity summary'!$C$14="Yes",IF(COUNTBLANK('Capacity summary'!$H75:$BG75)&lt;52,IF('Capacity summary'!AU75&lt;&gt;"",IF(LOWER('Capacity summary'!AU75)="x",$BI163*AU163,VALUE('Capacity summary'!AU75)),0),AU163*$BI163),AU163*$BI163),0)</f>
        <v>0</v>
      </c>
      <c r="CY163" s="5">
        <f>IF($BI163&lt;&gt;"",IF('Capacity summary'!$C$14="Yes",IF(COUNTBLANK('Capacity summary'!$H75:$BG75)&lt;52,IF('Capacity summary'!AV75&lt;&gt;"",IF(LOWER('Capacity summary'!AV75)="x",$BI163*AV163,VALUE('Capacity summary'!AV75)),0),AV163*$BI163),AV163*$BI163),0)</f>
        <v>0</v>
      </c>
      <c r="CZ163" s="5">
        <f>IF($BI163&lt;&gt;"",IF('Capacity summary'!$C$14="Yes",IF(COUNTBLANK('Capacity summary'!$H75:$BG75)&lt;52,IF('Capacity summary'!AW75&lt;&gt;"",IF(LOWER('Capacity summary'!AW75)="x",$BI163*AW163,VALUE('Capacity summary'!AW75)),0),AW163*$BI163),AW163*$BI163),0)</f>
        <v>0</v>
      </c>
      <c r="DA163" s="5">
        <f>IF($BI163&lt;&gt;"",IF('Capacity summary'!$C$14="Yes",IF(COUNTBLANK('Capacity summary'!$H75:$BG75)&lt;52,IF('Capacity summary'!AX75&lt;&gt;"",IF(LOWER('Capacity summary'!AX75)="x",$BI163*AX163,VALUE('Capacity summary'!AX75)),0),AX163*$BI163),AX163*$BI163),0)</f>
        <v>0</v>
      </c>
      <c r="DB163" s="5">
        <f>IF($BI163&lt;&gt;"",IF('Capacity summary'!$C$14="Yes",IF(COUNTBLANK('Capacity summary'!$H75:$BG75)&lt;52,IF('Capacity summary'!AY75&lt;&gt;"",IF(LOWER('Capacity summary'!AY75)="x",$BI163*AY163,VALUE('Capacity summary'!AY75)),0),AY163*$BI163),AY163*$BI163),0)</f>
        <v>0</v>
      </c>
      <c r="DC163" s="5">
        <f>IF($BI163&lt;&gt;"",IF('Capacity summary'!$C$14="Yes",IF(COUNTBLANK('Capacity summary'!$H75:$BG75)&lt;52,IF('Capacity summary'!AZ75&lt;&gt;"",IF(LOWER('Capacity summary'!AZ75)="x",$BI163*AZ163,VALUE('Capacity summary'!AZ75)),0),AZ163*$BI163),AZ163*$BI163),0)</f>
        <v>0</v>
      </c>
      <c r="DD163" s="5">
        <f>IF($BI163&lt;&gt;"",IF('Capacity summary'!$C$14="Yes",IF(COUNTBLANK('Capacity summary'!$H75:$BG75)&lt;52,IF('Capacity summary'!BA75&lt;&gt;"",IF(LOWER('Capacity summary'!BA75)="x",$BI163*BA163,VALUE('Capacity summary'!BA75)),0),BA163*$BI163),BA163*$BI163),0)</f>
        <v>0</v>
      </c>
      <c r="DE163" s="5">
        <f>IF($BI163&lt;&gt;"",IF('Capacity summary'!$C$14="Yes",IF(COUNTBLANK('Capacity summary'!$H75:$BG75)&lt;52,IF('Capacity summary'!BB75&lt;&gt;"",IF(LOWER('Capacity summary'!BB75)="x",$BI163*BB163,VALUE('Capacity summary'!BB75)),0),BB163*$BI163),BB163*$BI163),0)</f>
        <v>0</v>
      </c>
      <c r="DF163" s="5">
        <f>IF($BI163&lt;&gt;"",IF('Capacity summary'!$C$14="Yes",IF(COUNTBLANK('Capacity summary'!$H75:$BG75)&lt;52,IF('Capacity summary'!BC75&lt;&gt;"",IF(LOWER('Capacity summary'!BC75)="x",$BI163*BC163,VALUE('Capacity summary'!BC75)),0),BC163*$BI163),BC163*$BI163),0)</f>
        <v>0</v>
      </c>
      <c r="DG163" s="5">
        <f>IF($BI163&lt;&gt;"",IF('Capacity summary'!$C$14="Yes",IF(COUNTBLANK('Capacity summary'!$H75:$BG75)&lt;52,IF('Capacity summary'!BD75&lt;&gt;"",IF(LOWER('Capacity summary'!BD75)="x",$BI163*BD163,VALUE('Capacity summary'!BD75)),0),BD163*$BI163),BD163*$BI163),0)</f>
        <v>0</v>
      </c>
      <c r="DH163" s="5">
        <f>IF($BI163&lt;&gt;"",IF('Capacity summary'!$C$14="Yes",IF(COUNTBLANK('Capacity summary'!$H75:$BG75)&lt;52,IF('Capacity summary'!BE75&lt;&gt;"",IF(LOWER('Capacity summary'!BE75)="x",$BI163*BE163,VALUE('Capacity summary'!BE75)),0),BE163*$BI163),BE163*$BI163),0)</f>
        <v>0</v>
      </c>
      <c r="DI163" s="5">
        <f>IF($BI163&lt;&gt;"",IF('Capacity summary'!$C$14="Yes",IF(COUNTBLANK('Capacity summary'!$H75:$BG75)&lt;52,IF('Capacity summary'!BF75&lt;&gt;"",IF(LOWER('Capacity summary'!BF75)="x",$BI163*BF163,VALUE('Capacity summary'!BF75)),0),BF163*$BI163),BF163*$BI163),0)</f>
        <v>0</v>
      </c>
      <c r="DJ163" s="5">
        <f>IF($BI163&lt;&gt;"",IF('Capacity summary'!$C$14="Yes",IF(COUNTBLANK('Capacity summary'!$H75:$BG75)&lt;52,IF('Capacity summary'!BG75&lt;&gt;"",IF(LOWER('Capacity summary'!BG75)="x",$BI163*BG163,VALUE('Capacity summary'!BG75)),0),BG163*$BI163),BG163*$BI163),0)</f>
        <v>0</v>
      </c>
      <c r="DK163" s="5">
        <f t="shared" ref="DK163" si="57">SUM(DK164:DK263)</f>
        <v>0</v>
      </c>
    </row>
    <row r="164" spans="3:115" x14ac:dyDescent="0.25">
      <c r="C164" s="67" t="str">
        <f>ROW(A53)&amp;". "&amp;Capacity!N69</f>
        <v xml:space="preserve">53. </v>
      </c>
      <c r="D164" s="67">
        <f>'Capacity setup'!C170</f>
        <v>0</v>
      </c>
      <c r="E164" s="67">
        <f>'Capacity setup'!D170</f>
        <v>0</v>
      </c>
      <c r="F164" s="67">
        <f>'Capacity setup'!E170</f>
        <v>0</v>
      </c>
      <c r="H164" s="67">
        <f ca="1">IF(AND(SUMIF(Capacity_Resource,$D164,'Critical resources (hide)'!U$6:U$105)+SUMIF(Capacity_Resource,$E164,'Critical resources (hide)'!U$6:U$105)+SUMIF(Capacity_Resource,$F164,'Critical resources (hide)'!U$6:U$105)&gt;0,$E$1=2),0,1)</f>
        <v>1</v>
      </c>
      <c r="I164" s="67">
        <f ca="1">IF(AND(SUMIF(Capacity_Resource,$D164,'Critical resources (hide)'!V$6:V$105)+SUMIF(Capacity_Resource,$E164,'Critical resources (hide)'!V$6:V$105)+SUMIF(Capacity_Resource,$F164,'Critical resources (hide)'!V$6:V$105)&gt;0,$E$1=2),0,1)</f>
        <v>1</v>
      </c>
      <c r="J164" s="67">
        <f ca="1">IF(AND(SUMIF(Capacity_Resource,$D164,'Critical resources (hide)'!W$6:W$105)+SUMIF(Capacity_Resource,$E164,'Critical resources (hide)'!W$6:W$105)+SUMIF(Capacity_Resource,$F164,'Critical resources (hide)'!W$6:W$105)&gt;0,$E$1=2),0,1)</f>
        <v>1</v>
      </c>
      <c r="K164" s="67">
        <f ca="1">IF(AND(SUMIF(Capacity_Resource,$D164,'Critical resources (hide)'!X$6:X$105)+SUMIF(Capacity_Resource,$E164,'Critical resources (hide)'!X$6:X$105)+SUMIF(Capacity_Resource,$F164,'Critical resources (hide)'!X$6:X$105)&gt;0,$E$1=2),0,1)</f>
        <v>1</v>
      </c>
      <c r="L164" s="67">
        <f ca="1">IF(AND(SUMIF(Capacity_Resource,$D164,'Critical resources (hide)'!Y$6:Y$105)+SUMIF(Capacity_Resource,$E164,'Critical resources (hide)'!Y$6:Y$105)+SUMIF(Capacity_Resource,$F164,'Critical resources (hide)'!Y$6:Y$105)&gt;0,$E$1=2),0,1)</f>
        <v>1</v>
      </c>
      <c r="M164" s="67">
        <f ca="1">IF(AND(SUMIF(Capacity_Resource,$D164,'Critical resources (hide)'!Z$6:Z$105)+SUMIF(Capacity_Resource,$E164,'Critical resources (hide)'!Z$6:Z$105)+SUMIF(Capacity_Resource,$F164,'Critical resources (hide)'!Z$6:Z$105)&gt;0,$E$1=2),0,1)</f>
        <v>1</v>
      </c>
      <c r="N164" s="67">
        <f ca="1">IF(AND(SUMIF(Capacity_Resource,$D164,'Critical resources (hide)'!AA$6:AA$105)+SUMIF(Capacity_Resource,$E164,'Critical resources (hide)'!AA$6:AA$105)+SUMIF(Capacity_Resource,$F164,'Critical resources (hide)'!AA$6:AA$105)&gt;0,$E$1=2),0,1)</f>
        <v>1</v>
      </c>
      <c r="O164" s="67">
        <f ca="1">IF(AND(SUMIF(Capacity_Resource,$D164,'Critical resources (hide)'!AB$6:AB$105)+SUMIF(Capacity_Resource,$E164,'Critical resources (hide)'!AB$6:AB$105)+SUMIF(Capacity_Resource,$F164,'Critical resources (hide)'!AB$6:AB$105)&gt;0,$E$1=2),0,1)</f>
        <v>1</v>
      </c>
      <c r="P164" s="67">
        <f ca="1">IF(AND(SUMIF(Capacity_Resource,$D164,'Critical resources (hide)'!AC$6:AC$105)+SUMIF(Capacity_Resource,$E164,'Critical resources (hide)'!AC$6:AC$105)+SUMIF(Capacity_Resource,$F164,'Critical resources (hide)'!AC$6:AC$105)&gt;0,$E$1=2),0,1)</f>
        <v>1</v>
      </c>
      <c r="Q164" s="67">
        <f ca="1">IF(AND(SUMIF(Capacity_Resource,$D164,'Critical resources (hide)'!AD$6:AD$105)+SUMIF(Capacity_Resource,$E164,'Critical resources (hide)'!AD$6:AD$105)+SUMIF(Capacity_Resource,$F164,'Critical resources (hide)'!AD$6:AD$105)&gt;0,$E$1=2),0,1)</f>
        <v>1</v>
      </c>
      <c r="R164" s="67">
        <f ca="1">IF(AND(SUMIF(Capacity_Resource,$D164,'Critical resources (hide)'!AE$6:AE$105)+SUMIF(Capacity_Resource,$E164,'Critical resources (hide)'!AE$6:AE$105)+SUMIF(Capacity_Resource,$F164,'Critical resources (hide)'!AE$6:AE$105)&gt;0,$E$1=2),0,1)</f>
        <v>1</v>
      </c>
      <c r="S164" s="67">
        <f ca="1">IF(AND(SUMIF(Capacity_Resource,$D164,'Critical resources (hide)'!AF$6:AF$105)+SUMIF(Capacity_Resource,$E164,'Critical resources (hide)'!AF$6:AF$105)+SUMIF(Capacity_Resource,$F164,'Critical resources (hide)'!AF$6:AF$105)&gt;0,$E$1=2),0,1)</f>
        <v>1</v>
      </c>
      <c r="T164" s="67">
        <f ca="1">IF(AND(SUMIF(Capacity_Resource,$D164,'Critical resources (hide)'!AG$6:AG$105)+SUMIF(Capacity_Resource,$E164,'Critical resources (hide)'!AG$6:AG$105)+SUMIF(Capacity_Resource,$F164,'Critical resources (hide)'!AG$6:AG$105)&gt;0,$E$1=2),0,1)</f>
        <v>1</v>
      </c>
      <c r="U164" s="67">
        <f ca="1">IF(AND(SUMIF(Capacity_Resource,$D164,'Critical resources (hide)'!AH$6:AH$105)+SUMIF(Capacity_Resource,$E164,'Critical resources (hide)'!AH$6:AH$105)+SUMIF(Capacity_Resource,$F164,'Critical resources (hide)'!AH$6:AH$105)&gt;0,$E$1=2),0,1)</f>
        <v>1</v>
      </c>
      <c r="V164" s="67">
        <f ca="1">IF(AND(SUMIF(Capacity_Resource,$D164,'Critical resources (hide)'!AI$6:AI$105)+SUMIF(Capacity_Resource,$E164,'Critical resources (hide)'!AI$6:AI$105)+SUMIF(Capacity_Resource,$F164,'Critical resources (hide)'!AI$6:AI$105)&gt;0,$E$1=2),0,1)</f>
        <v>1</v>
      </c>
      <c r="W164" s="67">
        <f ca="1">IF(AND(SUMIF(Capacity_Resource,$D164,'Critical resources (hide)'!AJ$6:AJ$105)+SUMIF(Capacity_Resource,$E164,'Critical resources (hide)'!AJ$6:AJ$105)+SUMIF(Capacity_Resource,$F164,'Critical resources (hide)'!AJ$6:AJ$105)&gt;0,$E$1=2),0,1)</f>
        <v>1</v>
      </c>
      <c r="X164" s="67">
        <f ca="1">IF(AND(SUMIF(Capacity_Resource,$D164,'Critical resources (hide)'!AK$6:AK$105)+SUMIF(Capacity_Resource,$E164,'Critical resources (hide)'!AK$6:AK$105)+SUMIF(Capacity_Resource,$F164,'Critical resources (hide)'!AK$6:AK$105)&gt;0,$E$1=2),0,1)</f>
        <v>1</v>
      </c>
      <c r="Y164" s="67">
        <f ca="1">IF(AND(SUMIF(Capacity_Resource,$D164,'Critical resources (hide)'!AL$6:AL$105)+SUMIF(Capacity_Resource,$E164,'Critical resources (hide)'!AL$6:AL$105)+SUMIF(Capacity_Resource,$F164,'Critical resources (hide)'!AL$6:AL$105)&gt;0,$E$1=2),0,1)</f>
        <v>1</v>
      </c>
      <c r="Z164" s="67">
        <f ca="1">IF(AND(SUMIF(Capacity_Resource,$D164,'Critical resources (hide)'!AM$6:AM$105)+SUMIF(Capacity_Resource,$E164,'Critical resources (hide)'!AM$6:AM$105)+SUMIF(Capacity_Resource,$F164,'Critical resources (hide)'!AM$6:AM$105)&gt;0,$E$1=2),0,1)</f>
        <v>1</v>
      </c>
      <c r="AA164" s="67">
        <f ca="1">IF(AND(SUMIF(Capacity_Resource,$D164,'Critical resources (hide)'!AN$6:AN$105)+SUMIF(Capacity_Resource,$E164,'Critical resources (hide)'!AN$6:AN$105)+SUMIF(Capacity_Resource,$F164,'Critical resources (hide)'!AN$6:AN$105)&gt;0,$E$1=2),0,1)</f>
        <v>1</v>
      </c>
      <c r="AB164" s="67">
        <f ca="1">IF(AND(SUMIF(Capacity_Resource,$D164,'Critical resources (hide)'!AO$6:AO$105)+SUMIF(Capacity_Resource,$E164,'Critical resources (hide)'!AO$6:AO$105)+SUMIF(Capacity_Resource,$F164,'Critical resources (hide)'!AO$6:AO$105)&gt;0,$E$1=2),0,1)</f>
        <v>1</v>
      </c>
      <c r="AC164" s="67">
        <f ca="1">IF(AND(SUMIF(Capacity_Resource,$D164,'Critical resources (hide)'!AP$6:AP$105)+SUMIF(Capacity_Resource,$E164,'Critical resources (hide)'!AP$6:AP$105)+SUMIF(Capacity_Resource,$F164,'Critical resources (hide)'!AP$6:AP$105)&gt;0,$E$1=2),0,1)</f>
        <v>1</v>
      </c>
      <c r="AD164" s="67">
        <f ca="1">IF(AND(SUMIF(Capacity_Resource,$D164,'Critical resources (hide)'!AQ$6:AQ$105)+SUMIF(Capacity_Resource,$E164,'Critical resources (hide)'!AQ$6:AQ$105)+SUMIF(Capacity_Resource,$F164,'Critical resources (hide)'!AQ$6:AQ$105)&gt;0,$E$1=2),0,1)</f>
        <v>1</v>
      </c>
      <c r="AE164" s="67">
        <f ca="1">IF(AND(SUMIF(Capacity_Resource,$D164,'Critical resources (hide)'!AR$6:AR$105)+SUMIF(Capacity_Resource,$E164,'Critical resources (hide)'!AR$6:AR$105)+SUMIF(Capacity_Resource,$F164,'Critical resources (hide)'!AR$6:AR$105)&gt;0,$E$1=2),0,1)</f>
        <v>1</v>
      </c>
      <c r="AF164" s="67">
        <f ca="1">IF(AND(SUMIF(Capacity_Resource,$D164,'Critical resources (hide)'!AS$6:AS$105)+SUMIF(Capacity_Resource,$E164,'Critical resources (hide)'!AS$6:AS$105)+SUMIF(Capacity_Resource,$F164,'Critical resources (hide)'!AS$6:AS$105)&gt;0,$E$1=2),0,1)</f>
        <v>1</v>
      </c>
      <c r="AG164" s="67">
        <f ca="1">IF(AND(SUMIF(Capacity_Resource,$D164,'Critical resources (hide)'!AT$6:AT$105)+SUMIF(Capacity_Resource,$E164,'Critical resources (hide)'!AT$6:AT$105)+SUMIF(Capacity_Resource,$F164,'Critical resources (hide)'!AT$6:AT$105)&gt;0,$E$1=2),0,1)</f>
        <v>1</v>
      </c>
      <c r="AH164" s="67">
        <f ca="1">IF(AND(SUMIF(Capacity_Resource,$D164,'Critical resources (hide)'!AU$6:AU$105)+SUMIF(Capacity_Resource,$E164,'Critical resources (hide)'!AU$6:AU$105)+SUMIF(Capacity_Resource,$F164,'Critical resources (hide)'!AU$6:AU$105)&gt;0,$E$1=2),0,1)</f>
        <v>1</v>
      </c>
      <c r="AI164" s="67">
        <f ca="1">IF(AND(SUMIF(Capacity_Resource,$D164,'Critical resources (hide)'!AV$6:AV$105)+SUMIF(Capacity_Resource,$E164,'Critical resources (hide)'!AV$6:AV$105)+SUMIF(Capacity_Resource,$F164,'Critical resources (hide)'!AV$6:AV$105)&gt;0,$E$1=2),0,1)</f>
        <v>1</v>
      </c>
      <c r="AJ164" s="67">
        <f ca="1">IF(AND(SUMIF(Capacity_Resource,$D164,'Critical resources (hide)'!AW$6:AW$105)+SUMIF(Capacity_Resource,$E164,'Critical resources (hide)'!AW$6:AW$105)+SUMIF(Capacity_Resource,$F164,'Critical resources (hide)'!AW$6:AW$105)&gt;0,$E$1=2),0,1)</f>
        <v>1</v>
      </c>
      <c r="AK164" s="67">
        <f ca="1">IF(AND(SUMIF(Capacity_Resource,$D164,'Critical resources (hide)'!AX$6:AX$105)+SUMIF(Capacity_Resource,$E164,'Critical resources (hide)'!AX$6:AX$105)+SUMIF(Capacity_Resource,$F164,'Critical resources (hide)'!AX$6:AX$105)&gt;0,$E$1=2),0,1)</f>
        <v>1</v>
      </c>
      <c r="AL164" s="67">
        <f ca="1">IF(AND(SUMIF(Capacity_Resource,$D164,'Critical resources (hide)'!AY$6:AY$105)+SUMIF(Capacity_Resource,$E164,'Critical resources (hide)'!AY$6:AY$105)+SUMIF(Capacity_Resource,$F164,'Critical resources (hide)'!AY$6:AY$105)&gt;0,$E$1=2),0,1)</f>
        <v>1</v>
      </c>
      <c r="AM164" s="67">
        <f ca="1">IF(AND(SUMIF(Capacity_Resource,$D164,'Critical resources (hide)'!AZ$6:AZ$105)+SUMIF(Capacity_Resource,$E164,'Critical resources (hide)'!AZ$6:AZ$105)+SUMIF(Capacity_Resource,$F164,'Critical resources (hide)'!AZ$6:AZ$105)&gt;0,$E$1=2),0,1)</f>
        <v>1</v>
      </c>
      <c r="AN164" s="67">
        <f ca="1">IF(AND(SUMIF(Capacity_Resource,$D164,'Critical resources (hide)'!BA$6:BA$105)+SUMIF(Capacity_Resource,$E164,'Critical resources (hide)'!BA$6:BA$105)+SUMIF(Capacity_Resource,$F164,'Critical resources (hide)'!BA$6:BA$105)&gt;0,$E$1=2),0,1)</f>
        <v>1</v>
      </c>
      <c r="AO164" s="67">
        <f ca="1">IF(AND(SUMIF(Capacity_Resource,$D164,'Critical resources (hide)'!BB$6:BB$105)+SUMIF(Capacity_Resource,$E164,'Critical resources (hide)'!BB$6:BB$105)+SUMIF(Capacity_Resource,$F164,'Critical resources (hide)'!BB$6:BB$105)&gt;0,$E$1=2),0,1)</f>
        <v>1</v>
      </c>
      <c r="AP164" s="67">
        <f ca="1">IF(AND(SUMIF(Capacity_Resource,$D164,'Critical resources (hide)'!BC$6:BC$105)+SUMIF(Capacity_Resource,$E164,'Critical resources (hide)'!BC$6:BC$105)+SUMIF(Capacity_Resource,$F164,'Critical resources (hide)'!BC$6:BC$105)&gt;0,$E$1=2),0,1)</f>
        <v>1</v>
      </c>
      <c r="AQ164" s="67">
        <f ca="1">IF(AND(SUMIF(Capacity_Resource,$D164,'Critical resources (hide)'!BD$6:BD$105)+SUMIF(Capacity_Resource,$E164,'Critical resources (hide)'!BD$6:BD$105)+SUMIF(Capacity_Resource,$F164,'Critical resources (hide)'!BD$6:BD$105)&gt;0,$E$1=2),0,1)</f>
        <v>1</v>
      </c>
      <c r="AR164" s="67">
        <f ca="1">IF(AND(SUMIF(Capacity_Resource,$D164,'Critical resources (hide)'!BE$6:BE$105)+SUMIF(Capacity_Resource,$E164,'Critical resources (hide)'!BE$6:BE$105)+SUMIF(Capacity_Resource,$F164,'Critical resources (hide)'!BE$6:BE$105)&gt;0,$E$1=2),0,1)</f>
        <v>1</v>
      </c>
      <c r="AS164" s="67">
        <f ca="1">IF(AND(SUMIF(Capacity_Resource,$D164,'Critical resources (hide)'!BF$6:BF$105)+SUMIF(Capacity_Resource,$E164,'Critical resources (hide)'!BF$6:BF$105)+SUMIF(Capacity_Resource,$F164,'Critical resources (hide)'!BF$6:BF$105)&gt;0,$E$1=2),0,1)</f>
        <v>1</v>
      </c>
      <c r="AT164" s="67">
        <f ca="1">IF(AND(SUMIF(Capacity_Resource,$D164,'Critical resources (hide)'!BG$6:BG$105)+SUMIF(Capacity_Resource,$E164,'Critical resources (hide)'!BG$6:BG$105)+SUMIF(Capacity_Resource,$F164,'Critical resources (hide)'!BG$6:BG$105)&gt;0,$E$1=2),0,1)</f>
        <v>1</v>
      </c>
      <c r="AU164" s="67">
        <f ca="1">IF(AND(SUMIF(Capacity_Resource,$D164,'Critical resources (hide)'!BH$6:BH$105)+SUMIF(Capacity_Resource,$E164,'Critical resources (hide)'!BH$6:BH$105)+SUMIF(Capacity_Resource,$F164,'Critical resources (hide)'!BH$6:BH$105)&gt;0,$E$1=2),0,1)</f>
        <v>1</v>
      </c>
      <c r="AV164" s="67">
        <f ca="1">IF(AND(SUMIF(Capacity_Resource,$D164,'Critical resources (hide)'!BI$6:BI$105)+SUMIF(Capacity_Resource,$E164,'Critical resources (hide)'!BI$6:BI$105)+SUMIF(Capacity_Resource,$F164,'Critical resources (hide)'!BI$6:BI$105)&gt;0,$E$1=2),0,1)</f>
        <v>1</v>
      </c>
      <c r="AW164" s="67">
        <f ca="1">IF(AND(SUMIF(Capacity_Resource,$D164,'Critical resources (hide)'!BJ$6:BJ$105)+SUMIF(Capacity_Resource,$E164,'Critical resources (hide)'!BJ$6:BJ$105)+SUMIF(Capacity_Resource,$F164,'Critical resources (hide)'!BJ$6:BJ$105)&gt;0,$E$1=2),0,1)</f>
        <v>1</v>
      </c>
      <c r="AX164" s="67">
        <f ca="1">IF(AND(SUMIF(Capacity_Resource,$D164,'Critical resources (hide)'!BK$6:BK$105)+SUMIF(Capacity_Resource,$E164,'Critical resources (hide)'!BK$6:BK$105)+SUMIF(Capacity_Resource,$F164,'Critical resources (hide)'!BK$6:BK$105)&gt;0,$E$1=2),0,1)</f>
        <v>1</v>
      </c>
      <c r="AY164" s="67">
        <f ca="1">IF(AND(SUMIF(Capacity_Resource,$D164,'Critical resources (hide)'!BL$6:BL$105)+SUMIF(Capacity_Resource,$E164,'Critical resources (hide)'!BL$6:BL$105)+SUMIF(Capacity_Resource,$F164,'Critical resources (hide)'!BL$6:BL$105)&gt;0,$E$1=2),0,1)</f>
        <v>1</v>
      </c>
      <c r="AZ164" s="67">
        <f ca="1">IF(AND(SUMIF(Capacity_Resource,$D164,'Critical resources (hide)'!BM$6:BM$105)+SUMIF(Capacity_Resource,$E164,'Critical resources (hide)'!BM$6:BM$105)+SUMIF(Capacity_Resource,$F164,'Critical resources (hide)'!BM$6:BM$105)&gt;0,$E$1=2),0,1)</f>
        <v>1</v>
      </c>
      <c r="BA164" s="67">
        <f ca="1">IF(AND(SUMIF(Capacity_Resource,$D164,'Critical resources (hide)'!BN$6:BN$105)+SUMIF(Capacity_Resource,$E164,'Critical resources (hide)'!BN$6:BN$105)+SUMIF(Capacity_Resource,$F164,'Critical resources (hide)'!BN$6:BN$105)&gt;0,$E$1=2),0,1)</f>
        <v>1</v>
      </c>
      <c r="BB164" s="67">
        <f ca="1">IF(AND(SUMIF(Capacity_Resource,$D164,'Critical resources (hide)'!BO$6:BO$105)+SUMIF(Capacity_Resource,$E164,'Critical resources (hide)'!BO$6:BO$105)+SUMIF(Capacity_Resource,$F164,'Critical resources (hide)'!BO$6:BO$105)&gt;0,$E$1=2),0,1)</f>
        <v>1</v>
      </c>
      <c r="BC164" s="67">
        <f ca="1">IF(AND(SUMIF(Capacity_Resource,$D164,'Critical resources (hide)'!BP$6:BP$105)+SUMIF(Capacity_Resource,$E164,'Critical resources (hide)'!BP$6:BP$105)+SUMIF(Capacity_Resource,$F164,'Critical resources (hide)'!BP$6:BP$105)&gt;0,$E$1=2),0,1)</f>
        <v>1</v>
      </c>
      <c r="BD164" s="67">
        <f ca="1">IF(AND(SUMIF(Capacity_Resource,$D164,'Critical resources (hide)'!BQ$6:BQ$105)+SUMIF(Capacity_Resource,$E164,'Critical resources (hide)'!BQ$6:BQ$105)+SUMIF(Capacity_Resource,$F164,'Critical resources (hide)'!BQ$6:BQ$105)&gt;0,$E$1=2),0,1)</f>
        <v>1</v>
      </c>
      <c r="BE164" s="67">
        <f ca="1">IF(AND(SUMIF(Capacity_Resource,$D164,'Critical resources (hide)'!BR$6:BR$105)+SUMIF(Capacity_Resource,$E164,'Critical resources (hide)'!BR$6:BR$105)+SUMIF(Capacity_Resource,$F164,'Critical resources (hide)'!BR$6:BR$105)&gt;0,$E$1=2),0,1)</f>
        <v>1</v>
      </c>
      <c r="BF164" s="67">
        <f ca="1">IF(AND(SUMIF(Capacity_Resource,$D164,'Critical resources (hide)'!BS$6:BS$105)+SUMIF(Capacity_Resource,$E164,'Critical resources (hide)'!BS$6:BS$105)+SUMIF(Capacity_Resource,$F164,'Critical resources (hide)'!BS$6:BS$105)&gt;0,$E$1=2),0,1)</f>
        <v>1</v>
      </c>
      <c r="BG164" s="67">
        <f ca="1">IF(AND(SUMIF(Capacity_Resource,$D164,'Critical resources (hide)'!BT$6:BT$105)+SUMIF(Capacity_Resource,$E164,'Critical resources (hide)'!BT$6:BT$105)+SUMIF(Capacity_Resource,$F164,'Critical resources (hide)'!BT$6:BT$105)&gt;0,$E$1=2),0,1)</f>
        <v>1</v>
      </c>
      <c r="BH164" s="67">
        <f>IF(ROW(A53)&lt;=Capacity!$M$16,IF('Capacity summary'!$C$14="No",SUM(H164:BG164),'Capacity summary'!$E76),0)</f>
        <v>0</v>
      </c>
      <c r="BI164" s="67" t="str">
        <f>IF(BH164&gt;0,IF(BH164&lt;Capacity!Q69,Capacity!R69,Capacity!T69/'Capacity calculation (hide)'!BH164),"")</f>
        <v/>
      </c>
      <c r="BJ164" s="5"/>
      <c r="BK164" s="5">
        <f>IF($BI164&lt;&gt;"",IF('Capacity summary'!$C$14="Yes",IF(COUNTBLANK('Capacity summary'!$H76:$BG76)&lt;52,IF('Capacity summary'!H76&lt;&gt;"",IF(LOWER('Capacity summary'!H76)="x",$BI164*H164,VALUE('Capacity summary'!H76)),0),H164*$BI164),H164*$BI164),0)</f>
        <v>0</v>
      </c>
      <c r="BL164" s="5">
        <f>IF($BI164&lt;&gt;"",IF('Capacity summary'!$C$14="Yes",IF(COUNTBLANK('Capacity summary'!$H76:$BG76)&lt;52,IF('Capacity summary'!I76&lt;&gt;"",IF(LOWER('Capacity summary'!I76)="x",$BI164*I164,VALUE('Capacity summary'!I76)),0),I164*$BI164),I164*$BI164),0)</f>
        <v>0</v>
      </c>
      <c r="BM164" s="5">
        <f>IF($BI164&lt;&gt;"",IF('Capacity summary'!$C$14="Yes",IF(COUNTBLANK('Capacity summary'!$H76:$BG76)&lt;52,IF('Capacity summary'!J76&lt;&gt;"",IF(LOWER('Capacity summary'!J76)="x",$BI164*J164,VALUE('Capacity summary'!J76)),0),J164*$BI164),J164*$BI164),0)</f>
        <v>0</v>
      </c>
      <c r="BN164" s="5">
        <f>IF($BI164&lt;&gt;"",IF('Capacity summary'!$C$14="Yes",IF(COUNTBLANK('Capacity summary'!$H76:$BG76)&lt;52,IF('Capacity summary'!K76&lt;&gt;"",IF(LOWER('Capacity summary'!K76)="x",$BI164*K164,VALUE('Capacity summary'!K76)),0),K164*$BI164),K164*$BI164),0)</f>
        <v>0</v>
      </c>
      <c r="BO164" s="5">
        <f>IF($BI164&lt;&gt;"",IF('Capacity summary'!$C$14="Yes",IF(COUNTBLANK('Capacity summary'!$H76:$BG76)&lt;52,IF('Capacity summary'!L76&lt;&gt;"",IF(LOWER('Capacity summary'!L76)="x",$BI164*L164,VALUE('Capacity summary'!L76)),0),L164*$BI164),L164*$BI164),0)</f>
        <v>0</v>
      </c>
      <c r="BP164" s="5">
        <f>IF($BI164&lt;&gt;"",IF('Capacity summary'!$C$14="Yes",IF(COUNTBLANK('Capacity summary'!$H76:$BG76)&lt;52,IF('Capacity summary'!M76&lt;&gt;"",IF(LOWER('Capacity summary'!M76)="x",$BI164*M164,VALUE('Capacity summary'!M76)),0),M164*$BI164),M164*$BI164),0)</f>
        <v>0</v>
      </c>
      <c r="BQ164" s="5">
        <f>IF($BI164&lt;&gt;"",IF('Capacity summary'!$C$14="Yes",IF(COUNTBLANK('Capacity summary'!$H76:$BG76)&lt;52,IF('Capacity summary'!N76&lt;&gt;"",IF(LOWER('Capacity summary'!N76)="x",$BI164*N164,VALUE('Capacity summary'!N76)),0),N164*$BI164),N164*$BI164),0)</f>
        <v>0</v>
      </c>
      <c r="BR164" s="5">
        <f>IF($BI164&lt;&gt;"",IF('Capacity summary'!$C$14="Yes",IF(COUNTBLANK('Capacity summary'!$H76:$BG76)&lt;52,IF('Capacity summary'!O76&lt;&gt;"",IF(LOWER('Capacity summary'!O76)="x",$BI164*O164,VALUE('Capacity summary'!O76)),0),O164*$BI164),O164*$BI164),0)</f>
        <v>0</v>
      </c>
      <c r="BS164" s="5">
        <f>IF($BI164&lt;&gt;"",IF('Capacity summary'!$C$14="Yes",IF(COUNTBLANK('Capacity summary'!$H76:$BG76)&lt;52,IF('Capacity summary'!P76&lt;&gt;"",IF(LOWER('Capacity summary'!P76)="x",$BI164*P164,VALUE('Capacity summary'!P76)),0),P164*$BI164),P164*$BI164),0)</f>
        <v>0</v>
      </c>
      <c r="BT164" s="5">
        <f>IF($BI164&lt;&gt;"",IF('Capacity summary'!$C$14="Yes",IF(COUNTBLANK('Capacity summary'!$H76:$BG76)&lt;52,IF('Capacity summary'!Q76&lt;&gt;"",IF(LOWER('Capacity summary'!Q76)="x",$BI164*Q164,VALUE('Capacity summary'!Q76)),0),Q164*$BI164),Q164*$BI164),0)</f>
        <v>0</v>
      </c>
      <c r="BU164" s="5">
        <f>IF($BI164&lt;&gt;"",IF('Capacity summary'!$C$14="Yes",IF(COUNTBLANK('Capacity summary'!$H76:$BG76)&lt;52,IF('Capacity summary'!R76&lt;&gt;"",IF(LOWER('Capacity summary'!R76)="x",$BI164*R164,VALUE('Capacity summary'!R76)),0),R164*$BI164),R164*$BI164),0)</f>
        <v>0</v>
      </c>
      <c r="BV164" s="5">
        <f>IF($BI164&lt;&gt;"",IF('Capacity summary'!$C$14="Yes",IF(COUNTBLANK('Capacity summary'!$H76:$BG76)&lt;52,IF('Capacity summary'!S76&lt;&gt;"",IF(LOWER('Capacity summary'!S76)="x",$BI164*S164,VALUE('Capacity summary'!S76)),0),S164*$BI164),S164*$BI164),0)</f>
        <v>0</v>
      </c>
      <c r="BW164" s="5">
        <f>IF($BI164&lt;&gt;"",IF('Capacity summary'!$C$14="Yes",IF(COUNTBLANK('Capacity summary'!$H76:$BG76)&lt;52,IF('Capacity summary'!T76&lt;&gt;"",IF(LOWER('Capacity summary'!T76)="x",$BI164*T164,VALUE('Capacity summary'!T76)),0),T164*$BI164),T164*$BI164),0)</f>
        <v>0</v>
      </c>
      <c r="BX164" s="5">
        <f>IF($BI164&lt;&gt;"",IF('Capacity summary'!$C$14="Yes",IF(COUNTBLANK('Capacity summary'!$H76:$BG76)&lt;52,IF('Capacity summary'!U76&lt;&gt;"",IF(LOWER('Capacity summary'!U76)="x",$BI164*U164,VALUE('Capacity summary'!U76)),0),U164*$BI164),U164*$BI164),0)</f>
        <v>0</v>
      </c>
      <c r="BY164" s="5">
        <f>IF($BI164&lt;&gt;"",IF('Capacity summary'!$C$14="Yes",IF(COUNTBLANK('Capacity summary'!$H76:$BG76)&lt;52,IF('Capacity summary'!V76&lt;&gt;"",IF(LOWER('Capacity summary'!V76)="x",$BI164*V164,VALUE('Capacity summary'!V76)),0),V164*$BI164),V164*$BI164),0)</f>
        <v>0</v>
      </c>
      <c r="BZ164" s="5">
        <f>IF($BI164&lt;&gt;"",IF('Capacity summary'!$C$14="Yes",IF(COUNTBLANK('Capacity summary'!$H76:$BG76)&lt;52,IF('Capacity summary'!W76&lt;&gt;"",IF(LOWER('Capacity summary'!W76)="x",$BI164*W164,VALUE('Capacity summary'!W76)),0),W164*$BI164),W164*$BI164),0)</f>
        <v>0</v>
      </c>
      <c r="CA164" s="5">
        <f>IF($BI164&lt;&gt;"",IF('Capacity summary'!$C$14="Yes",IF(COUNTBLANK('Capacity summary'!$H76:$BG76)&lt;52,IF('Capacity summary'!X76&lt;&gt;"",IF(LOWER('Capacity summary'!X76)="x",$BI164*X164,VALUE('Capacity summary'!X76)),0),X164*$BI164),X164*$BI164),0)</f>
        <v>0</v>
      </c>
      <c r="CB164" s="5">
        <f>IF($BI164&lt;&gt;"",IF('Capacity summary'!$C$14="Yes",IF(COUNTBLANK('Capacity summary'!$H76:$BG76)&lt;52,IF('Capacity summary'!Y76&lt;&gt;"",IF(LOWER('Capacity summary'!Y76)="x",$BI164*Y164,VALUE('Capacity summary'!Y76)),0),Y164*$BI164),Y164*$BI164),0)</f>
        <v>0</v>
      </c>
      <c r="CC164" s="5">
        <f>IF($BI164&lt;&gt;"",IF('Capacity summary'!$C$14="Yes",IF(COUNTBLANK('Capacity summary'!$H76:$BG76)&lt;52,IF('Capacity summary'!Z76&lt;&gt;"",IF(LOWER('Capacity summary'!Z76)="x",$BI164*Z164,VALUE('Capacity summary'!Z76)),0),Z164*$BI164),Z164*$BI164),0)</f>
        <v>0</v>
      </c>
      <c r="CD164" s="5">
        <f>IF($BI164&lt;&gt;"",IF('Capacity summary'!$C$14="Yes",IF(COUNTBLANK('Capacity summary'!$H76:$BG76)&lt;52,IF('Capacity summary'!AA76&lt;&gt;"",IF(LOWER('Capacity summary'!AA76)="x",$BI164*AA164,VALUE('Capacity summary'!AA76)),0),AA164*$BI164),AA164*$BI164),0)</f>
        <v>0</v>
      </c>
      <c r="CE164" s="5">
        <f>IF($BI164&lt;&gt;"",IF('Capacity summary'!$C$14="Yes",IF(COUNTBLANK('Capacity summary'!$H76:$BG76)&lt;52,IF('Capacity summary'!AB76&lt;&gt;"",IF(LOWER('Capacity summary'!AB76)="x",$BI164*AB164,VALUE('Capacity summary'!AB76)),0),AB164*$BI164),AB164*$BI164),0)</f>
        <v>0</v>
      </c>
      <c r="CF164" s="5">
        <f>IF($BI164&lt;&gt;"",IF('Capacity summary'!$C$14="Yes",IF(COUNTBLANK('Capacity summary'!$H76:$BG76)&lt;52,IF('Capacity summary'!AC76&lt;&gt;"",IF(LOWER('Capacity summary'!AC76)="x",$BI164*AC164,VALUE('Capacity summary'!AC76)),0),AC164*$BI164),AC164*$BI164),0)</f>
        <v>0</v>
      </c>
      <c r="CG164" s="5">
        <f>IF($BI164&lt;&gt;"",IF('Capacity summary'!$C$14="Yes",IF(COUNTBLANK('Capacity summary'!$H76:$BG76)&lt;52,IF('Capacity summary'!AD76&lt;&gt;"",IF(LOWER('Capacity summary'!AD76)="x",$BI164*AD164,VALUE('Capacity summary'!AD76)),0),AD164*$BI164),AD164*$BI164),0)</f>
        <v>0</v>
      </c>
      <c r="CH164" s="5">
        <f>IF($BI164&lt;&gt;"",IF('Capacity summary'!$C$14="Yes",IF(COUNTBLANK('Capacity summary'!$H76:$BG76)&lt;52,IF('Capacity summary'!AE76&lt;&gt;"",IF(LOWER('Capacity summary'!AE76)="x",$BI164*AE164,VALUE('Capacity summary'!AE76)),0),AE164*$BI164),AE164*$BI164),0)</f>
        <v>0</v>
      </c>
      <c r="CI164" s="5">
        <f>IF($BI164&lt;&gt;"",IF('Capacity summary'!$C$14="Yes",IF(COUNTBLANK('Capacity summary'!$H76:$BG76)&lt;52,IF('Capacity summary'!AF76&lt;&gt;"",IF(LOWER('Capacity summary'!AF76)="x",$BI164*AF164,VALUE('Capacity summary'!AF76)),0),AF164*$BI164),AF164*$BI164),0)</f>
        <v>0</v>
      </c>
      <c r="CJ164" s="5">
        <f>IF($BI164&lt;&gt;"",IF('Capacity summary'!$C$14="Yes",IF(COUNTBLANK('Capacity summary'!$H76:$BG76)&lt;52,IF('Capacity summary'!AG76&lt;&gt;"",IF(LOWER('Capacity summary'!AG76)="x",$BI164*AG164,VALUE('Capacity summary'!AG76)),0),AG164*$BI164),AG164*$BI164),0)</f>
        <v>0</v>
      </c>
      <c r="CK164" s="5">
        <f>IF($BI164&lt;&gt;"",IF('Capacity summary'!$C$14="Yes",IF(COUNTBLANK('Capacity summary'!$H76:$BG76)&lt;52,IF('Capacity summary'!AH76&lt;&gt;"",IF(LOWER('Capacity summary'!AH76)="x",$BI164*AH164,VALUE('Capacity summary'!AH76)),0),AH164*$BI164),AH164*$BI164),0)</f>
        <v>0</v>
      </c>
      <c r="CL164" s="5">
        <f>IF($BI164&lt;&gt;"",IF('Capacity summary'!$C$14="Yes",IF(COUNTBLANK('Capacity summary'!$H76:$BG76)&lt;52,IF('Capacity summary'!AI76&lt;&gt;"",IF(LOWER('Capacity summary'!AI76)="x",$BI164*AI164,VALUE('Capacity summary'!AI76)),0),AI164*$BI164),AI164*$BI164),0)</f>
        <v>0</v>
      </c>
      <c r="CM164" s="5">
        <f>IF($BI164&lt;&gt;"",IF('Capacity summary'!$C$14="Yes",IF(COUNTBLANK('Capacity summary'!$H76:$BG76)&lt;52,IF('Capacity summary'!AJ76&lt;&gt;"",IF(LOWER('Capacity summary'!AJ76)="x",$BI164*AJ164,VALUE('Capacity summary'!AJ76)),0),AJ164*$BI164),AJ164*$BI164),0)</f>
        <v>0</v>
      </c>
      <c r="CN164" s="5">
        <f>IF($BI164&lt;&gt;"",IF('Capacity summary'!$C$14="Yes",IF(COUNTBLANK('Capacity summary'!$H76:$BG76)&lt;52,IF('Capacity summary'!AK76&lt;&gt;"",IF(LOWER('Capacity summary'!AK76)="x",$BI164*AK164,VALUE('Capacity summary'!AK76)),0),AK164*$BI164),AK164*$BI164),0)</f>
        <v>0</v>
      </c>
      <c r="CO164" s="5">
        <f>IF($BI164&lt;&gt;"",IF('Capacity summary'!$C$14="Yes",IF(COUNTBLANK('Capacity summary'!$H76:$BG76)&lt;52,IF('Capacity summary'!AL76&lt;&gt;"",IF(LOWER('Capacity summary'!AL76)="x",$BI164*AL164,VALUE('Capacity summary'!AL76)),0),AL164*$BI164),AL164*$BI164),0)</f>
        <v>0</v>
      </c>
      <c r="CP164" s="5">
        <f>IF($BI164&lt;&gt;"",IF('Capacity summary'!$C$14="Yes",IF(COUNTBLANK('Capacity summary'!$H76:$BG76)&lt;52,IF('Capacity summary'!AM76&lt;&gt;"",IF(LOWER('Capacity summary'!AM76)="x",$BI164*AM164,VALUE('Capacity summary'!AM76)),0),AM164*$BI164),AM164*$BI164),0)</f>
        <v>0</v>
      </c>
      <c r="CQ164" s="5">
        <f>IF($BI164&lt;&gt;"",IF('Capacity summary'!$C$14="Yes",IF(COUNTBLANK('Capacity summary'!$H76:$BG76)&lt;52,IF('Capacity summary'!AN76&lt;&gt;"",IF(LOWER('Capacity summary'!AN76)="x",$BI164*AN164,VALUE('Capacity summary'!AN76)),0),AN164*$BI164),AN164*$BI164),0)</f>
        <v>0</v>
      </c>
      <c r="CR164" s="5">
        <f>IF($BI164&lt;&gt;"",IF('Capacity summary'!$C$14="Yes",IF(COUNTBLANK('Capacity summary'!$H76:$BG76)&lt;52,IF('Capacity summary'!AO76&lt;&gt;"",IF(LOWER('Capacity summary'!AO76)="x",$BI164*AO164,VALUE('Capacity summary'!AO76)),0),AO164*$BI164),AO164*$BI164),0)</f>
        <v>0</v>
      </c>
      <c r="CS164" s="5">
        <f>IF($BI164&lt;&gt;"",IF('Capacity summary'!$C$14="Yes",IF(COUNTBLANK('Capacity summary'!$H76:$BG76)&lt;52,IF('Capacity summary'!AP76&lt;&gt;"",IF(LOWER('Capacity summary'!AP76)="x",$BI164*AP164,VALUE('Capacity summary'!AP76)),0),AP164*$BI164),AP164*$BI164),0)</f>
        <v>0</v>
      </c>
      <c r="CT164" s="5">
        <f>IF($BI164&lt;&gt;"",IF('Capacity summary'!$C$14="Yes",IF(COUNTBLANK('Capacity summary'!$H76:$BG76)&lt;52,IF('Capacity summary'!AQ76&lt;&gt;"",IF(LOWER('Capacity summary'!AQ76)="x",$BI164*AQ164,VALUE('Capacity summary'!AQ76)),0),AQ164*$BI164),AQ164*$BI164),0)</f>
        <v>0</v>
      </c>
      <c r="CU164" s="5">
        <f>IF($BI164&lt;&gt;"",IF('Capacity summary'!$C$14="Yes",IF(COUNTBLANK('Capacity summary'!$H76:$BG76)&lt;52,IF('Capacity summary'!AR76&lt;&gt;"",IF(LOWER('Capacity summary'!AR76)="x",$BI164*AR164,VALUE('Capacity summary'!AR76)),0),AR164*$BI164),AR164*$BI164),0)</f>
        <v>0</v>
      </c>
      <c r="CV164" s="5">
        <f>IF($BI164&lt;&gt;"",IF('Capacity summary'!$C$14="Yes",IF(COUNTBLANK('Capacity summary'!$H76:$BG76)&lt;52,IF('Capacity summary'!AS76&lt;&gt;"",IF(LOWER('Capacity summary'!AS76)="x",$BI164*AS164,VALUE('Capacity summary'!AS76)),0),AS164*$BI164),AS164*$BI164),0)</f>
        <v>0</v>
      </c>
      <c r="CW164" s="5">
        <f>IF($BI164&lt;&gt;"",IF('Capacity summary'!$C$14="Yes",IF(COUNTBLANK('Capacity summary'!$H76:$BG76)&lt;52,IF('Capacity summary'!AT76&lt;&gt;"",IF(LOWER('Capacity summary'!AT76)="x",$BI164*AT164,VALUE('Capacity summary'!AT76)),0),AT164*$BI164),AT164*$BI164),0)</f>
        <v>0</v>
      </c>
      <c r="CX164" s="5">
        <f>IF($BI164&lt;&gt;"",IF('Capacity summary'!$C$14="Yes",IF(COUNTBLANK('Capacity summary'!$H76:$BG76)&lt;52,IF('Capacity summary'!AU76&lt;&gt;"",IF(LOWER('Capacity summary'!AU76)="x",$BI164*AU164,VALUE('Capacity summary'!AU76)),0),AU164*$BI164),AU164*$BI164),0)</f>
        <v>0</v>
      </c>
      <c r="CY164" s="5">
        <f>IF($BI164&lt;&gt;"",IF('Capacity summary'!$C$14="Yes",IF(COUNTBLANK('Capacity summary'!$H76:$BG76)&lt;52,IF('Capacity summary'!AV76&lt;&gt;"",IF(LOWER('Capacity summary'!AV76)="x",$BI164*AV164,VALUE('Capacity summary'!AV76)),0),AV164*$BI164),AV164*$BI164),0)</f>
        <v>0</v>
      </c>
      <c r="CZ164" s="5">
        <f>IF($BI164&lt;&gt;"",IF('Capacity summary'!$C$14="Yes",IF(COUNTBLANK('Capacity summary'!$H76:$BG76)&lt;52,IF('Capacity summary'!AW76&lt;&gt;"",IF(LOWER('Capacity summary'!AW76)="x",$BI164*AW164,VALUE('Capacity summary'!AW76)),0),AW164*$BI164),AW164*$BI164),0)</f>
        <v>0</v>
      </c>
      <c r="DA164" s="5">
        <f>IF($BI164&lt;&gt;"",IF('Capacity summary'!$C$14="Yes",IF(COUNTBLANK('Capacity summary'!$H76:$BG76)&lt;52,IF('Capacity summary'!AX76&lt;&gt;"",IF(LOWER('Capacity summary'!AX76)="x",$BI164*AX164,VALUE('Capacity summary'!AX76)),0),AX164*$BI164),AX164*$BI164),0)</f>
        <v>0</v>
      </c>
      <c r="DB164" s="5">
        <f>IF($BI164&lt;&gt;"",IF('Capacity summary'!$C$14="Yes",IF(COUNTBLANK('Capacity summary'!$H76:$BG76)&lt;52,IF('Capacity summary'!AY76&lt;&gt;"",IF(LOWER('Capacity summary'!AY76)="x",$BI164*AY164,VALUE('Capacity summary'!AY76)),0),AY164*$BI164),AY164*$BI164),0)</f>
        <v>0</v>
      </c>
      <c r="DC164" s="5">
        <f>IF($BI164&lt;&gt;"",IF('Capacity summary'!$C$14="Yes",IF(COUNTBLANK('Capacity summary'!$H76:$BG76)&lt;52,IF('Capacity summary'!AZ76&lt;&gt;"",IF(LOWER('Capacity summary'!AZ76)="x",$BI164*AZ164,VALUE('Capacity summary'!AZ76)),0),AZ164*$BI164),AZ164*$BI164),0)</f>
        <v>0</v>
      </c>
      <c r="DD164" s="5">
        <f>IF($BI164&lt;&gt;"",IF('Capacity summary'!$C$14="Yes",IF(COUNTBLANK('Capacity summary'!$H76:$BG76)&lt;52,IF('Capacity summary'!BA76&lt;&gt;"",IF(LOWER('Capacity summary'!BA76)="x",$BI164*BA164,VALUE('Capacity summary'!BA76)),0),BA164*$BI164),BA164*$BI164),0)</f>
        <v>0</v>
      </c>
      <c r="DE164" s="5">
        <f>IF($BI164&lt;&gt;"",IF('Capacity summary'!$C$14="Yes",IF(COUNTBLANK('Capacity summary'!$H76:$BG76)&lt;52,IF('Capacity summary'!BB76&lt;&gt;"",IF(LOWER('Capacity summary'!BB76)="x",$BI164*BB164,VALUE('Capacity summary'!BB76)),0),BB164*$BI164),BB164*$BI164),0)</f>
        <v>0</v>
      </c>
      <c r="DF164" s="5">
        <f>IF($BI164&lt;&gt;"",IF('Capacity summary'!$C$14="Yes",IF(COUNTBLANK('Capacity summary'!$H76:$BG76)&lt;52,IF('Capacity summary'!BC76&lt;&gt;"",IF(LOWER('Capacity summary'!BC76)="x",$BI164*BC164,VALUE('Capacity summary'!BC76)),0),BC164*$BI164),BC164*$BI164),0)</f>
        <v>0</v>
      </c>
      <c r="DG164" s="5">
        <f>IF($BI164&lt;&gt;"",IF('Capacity summary'!$C$14="Yes",IF(COUNTBLANK('Capacity summary'!$H76:$BG76)&lt;52,IF('Capacity summary'!BD76&lt;&gt;"",IF(LOWER('Capacity summary'!BD76)="x",$BI164*BD164,VALUE('Capacity summary'!BD76)),0),BD164*$BI164),BD164*$BI164),0)</f>
        <v>0</v>
      </c>
      <c r="DH164" s="5">
        <f>IF($BI164&lt;&gt;"",IF('Capacity summary'!$C$14="Yes",IF(COUNTBLANK('Capacity summary'!$H76:$BG76)&lt;52,IF('Capacity summary'!BE76&lt;&gt;"",IF(LOWER('Capacity summary'!BE76)="x",$BI164*BE164,VALUE('Capacity summary'!BE76)),0),BE164*$BI164),BE164*$BI164),0)</f>
        <v>0</v>
      </c>
      <c r="DI164" s="5">
        <f>IF($BI164&lt;&gt;"",IF('Capacity summary'!$C$14="Yes",IF(COUNTBLANK('Capacity summary'!$H76:$BG76)&lt;52,IF('Capacity summary'!BF76&lt;&gt;"",IF(LOWER('Capacity summary'!BF76)="x",$BI164*BF164,VALUE('Capacity summary'!BF76)),0),BF164*$BI164),BF164*$BI164),0)</f>
        <v>0</v>
      </c>
      <c r="DJ164" s="5">
        <f>IF($BI164&lt;&gt;"",IF('Capacity summary'!$C$14="Yes",IF(COUNTBLANK('Capacity summary'!$H76:$BG76)&lt;52,IF('Capacity summary'!BG76&lt;&gt;"",IF(LOWER('Capacity summary'!BG76)="x",$BI164*BG164,VALUE('Capacity summary'!BG76)),0),BG164*$BI164),BG164*$BI164),0)</f>
        <v>0</v>
      </c>
      <c r="DK164" s="5">
        <f t="shared" ref="DK164" si="58">SUM(DK165:DK264)</f>
        <v>0</v>
      </c>
    </row>
    <row r="165" spans="3:115" x14ac:dyDescent="0.25">
      <c r="C165" s="67" t="str">
        <f>ROW(A54)&amp;". "&amp;Capacity!N70</f>
        <v xml:space="preserve">54. </v>
      </c>
      <c r="D165" s="67">
        <f>'Capacity setup'!C171</f>
        <v>0</v>
      </c>
      <c r="E165" s="67">
        <f>'Capacity setup'!D171</f>
        <v>0</v>
      </c>
      <c r="F165" s="67">
        <f>'Capacity setup'!E171</f>
        <v>0</v>
      </c>
      <c r="H165" s="67">
        <f ca="1">IF(AND(SUMIF(Capacity_Resource,$D165,'Critical resources (hide)'!U$6:U$105)+SUMIF(Capacity_Resource,$E165,'Critical resources (hide)'!U$6:U$105)+SUMIF(Capacity_Resource,$F165,'Critical resources (hide)'!U$6:U$105)&gt;0,$E$1=2),0,1)</f>
        <v>1</v>
      </c>
      <c r="I165" s="67">
        <f ca="1">IF(AND(SUMIF(Capacity_Resource,$D165,'Critical resources (hide)'!V$6:V$105)+SUMIF(Capacity_Resource,$E165,'Critical resources (hide)'!V$6:V$105)+SUMIF(Capacity_Resource,$F165,'Critical resources (hide)'!V$6:V$105)&gt;0,$E$1=2),0,1)</f>
        <v>1</v>
      </c>
      <c r="J165" s="67">
        <f ca="1">IF(AND(SUMIF(Capacity_Resource,$D165,'Critical resources (hide)'!W$6:W$105)+SUMIF(Capacity_Resource,$E165,'Critical resources (hide)'!W$6:W$105)+SUMIF(Capacity_Resource,$F165,'Critical resources (hide)'!W$6:W$105)&gt;0,$E$1=2),0,1)</f>
        <v>1</v>
      </c>
      <c r="K165" s="67">
        <f ca="1">IF(AND(SUMIF(Capacity_Resource,$D165,'Critical resources (hide)'!X$6:X$105)+SUMIF(Capacity_Resource,$E165,'Critical resources (hide)'!X$6:X$105)+SUMIF(Capacity_Resource,$F165,'Critical resources (hide)'!X$6:X$105)&gt;0,$E$1=2),0,1)</f>
        <v>1</v>
      </c>
      <c r="L165" s="67">
        <f ca="1">IF(AND(SUMIF(Capacity_Resource,$D165,'Critical resources (hide)'!Y$6:Y$105)+SUMIF(Capacity_Resource,$E165,'Critical resources (hide)'!Y$6:Y$105)+SUMIF(Capacity_Resource,$F165,'Critical resources (hide)'!Y$6:Y$105)&gt;0,$E$1=2),0,1)</f>
        <v>1</v>
      </c>
      <c r="M165" s="67">
        <f ca="1">IF(AND(SUMIF(Capacity_Resource,$D165,'Critical resources (hide)'!Z$6:Z$105)+SUMIF(Capacity_Resource,$E165,'Critical resources (hide)'!Z$6:Z$105)+SUMIF(Capacity_Resource,$F165,'Critical resources (hide)'!Z$6:Z$105)&gt;0,$E$1=2),0,1)</f>
        <v>1</v>
      </c>
      <c r="N165" s="67">
        <f ca="1">IF(AND(SUMIF(Capacity_Resource,$D165,'Critical resources (hide)'!AA$6:AA$105)+SUMIF(Capacity_Resource,$E165,'Critical resources (hide)'!AA$6:AA$105)+SUMIF(Capacity_Resource,$F165,'Critical resources (hide)'!AA$6:AA$105)&gt;0,$E$1=2),0,1)</f>
        <v>1</v>
      </c>
      <c r="O165" s="67">
        <f ca="1">IF(AND(SUMIF(Capacity_Resource,$D165,'Critical resources (hide)'!AB$6:AB$105)+SUMIF(Capacity_Resource,$E165,'Critical resources (hide)'!AB$6:AB$105)+SUMIF(Capacity_Resource,$F165,'Critical resources (hide)'!AB$6:AB$105)&gt;0,$E$1=2),0,1)</f>
        <v>1</v>
      </c>
      <c r="P165" s="67">
        <f ca="1">IF(AND(SUMIF(Capacity_Resource,$D165,'Critical resources (hide)'!AC$6:AC$105)+SUMIF(Capacity_Resource,$E165,'Critical resources (hide)'!AC$6:AC$105)+SUMIF(Capacity_Resource,$F165,'Critical resources (hide)'!AC$6:AC$105)&gt;0,$E$1=2),0,1)</f>
        <v>1</v>
      </c>
      <c r="Q165" s="67">
        <f ca="1">IF(AND(SUMIF(Capacity_Resource,$D165,'Critical resources (hide)'!AD$6:AD$105)+SUMIF(Capacity_Resource,$E165,'Critical resources (hide)'!AD$6:AD$105)+SUMIF(Capacity_Resource,$F165,'Critical resources (hide)'!AD$6:AD$105)&gt;0,$E$1=2),0,1)</f>
        <v>1</v>
      </c>
      <c r="R165" s="67">
        <f ca="1">IF(AND(SUMIF(Capacity_Resource,$D165,'Critical resources (hide)'!AE$6:AE$105)+SUMIF(Capacity_Resource,$E165,'Critical resources (hide)'!AE$6:AE$105)+SUMIF(Capacity_Resource,$F165,'Critical resources (hide)'!AE$6:AE$105)&gt;0,$E$1=2),0,1)</f>
        <v>1</v>
      </c>
      <c r="S165" s="67">
        <f ca="1">IF(AND(SUMIF(Capacity_Resource,$D165,'Critical resources (hide)'!AF$6:AF$105)+SUMIF(Capacity_Resource,$E165,'Critical resources (hide)'!AF$6:AF$105)+SUMIF(Capacity_Resource,$F165,'Critical resources (hide)'!AF$6:AF$105)&gt;0,$E$1=2),0,1)</f>
        <v>1</v>
      </c>
      <c r="T165" s="67">
        <f ca="1">IF(AND(SUMIF(Capacity_Resource,$D165,'Critical resources (hide)'!AG$6:AG$105)+SUMIF(Capacity_Resource,$E165,'Critical resources (hide)'!AG$6:AG$105)+SUMIF(Capacity_Resource,$F165,'Critical resources (hide)'!AG$6:AG$105)&gt;0,$E$1=2),0,1)</f>
        <v>1</v>
      </c>
      <c r="U165" s="67">
        <f ca="1">IF(AND(SUMIF(Capacity_Resource,$D165,'Critical resources (hide)'!AH$6:AH$105)+SUMIF(Capacity_Resource,$E165,'Critical resources (hide)'!AH$6:AH$105)+SUMIF(Capacity_Resource,$F165,'Critical resources (hide)'!AH$6:AH$105)&gt;0,$E$1=2),0,1)</f>
        <v>1</v>
      </c>
      <c r="V165" s="67">
        <f ca="1">IF(AND(SUMIF(Capacity_Resource,$D165,'Critical resources (hide)'!AI$6:AI$105)+SUMIF(Capacity_Resource,$E165,'Critical resources (hide)'!AI$6:AI$105)+SUMIF(Capacity_Resource,$F165,'Critical resources (hide)'!AI$6:AI$105)&gt;0,$E$1=2),0,1)</f>
        <v>1</v>
      </c>
      <c r="W165" s="67">
        <f ca="1">IF(AND(SUMIF(Capacity_Resource,$D165,'Critical resources (hide)'!AJ$6:AJ$105)+SUMIF(Capacity_Resource,$E165,'Critical resources (hide)'!AJ$6:AJ$105)+SUMIF(Capacity_Resource,$F165,'Critical resources (hide)'!AJ$6:AJ$105)&gt;0,$E$1=2),0,1)</f>
        <v>1</v>
      </c>
      <c r="X165" s="67">
        <f ca="1">IF(AND(SUMIF(Capacity_Resource,$D165,'Critical resources (hide)'!AK$6:AK$105)+SUMIF(Capacity_Resource,$E165,'Critical resources (hide)'!AK$6:AK$105)+SUMIF(Capacity_Resource,$F165,'Critical resources (hide)'!AK$6:AK$105)&gt;0,$E$1=2),0,1)</f>
        <v>1</v>
      </c>
      <c r="Y165" s="67">
        <f ca="1">IF(AND(SUMIF(Capacity_Resource,$D165,'Critical resources (hide)'!AL$6:AL$105)+SUMIF(Capacity_Resource,$E165,'Critical resources (hide)'!AL$6:AL$105)+SUMIF(Capacity_Resource,$F165,'Critical resources (hide)'!AL$6:AL$105)&gt;0,$E$1=2),0,1)</f>
        <v>1</v>
      </c>
      <c r="Z165" s="67">
        <f ca="1">IF(AND(SUMIF(Capacity_Resource,$D165,'Critical resources (hide)'!AM$6:AM$105)+SUMIF(Capacity_Resource,$E165,'Critical resources (hide)'!AM$6:AM$105)+SUMIF(Capacity_Resource,$F165,'Critical resources (hide)'!AM$6:AM$105)&gt;0,$E$1=2),0,1)</f>
        <v>1</v>
      </c>
      <c r="AA165" s="67">
        <f ca="1">IF(AND(SUMIF(Capacity_Resource,$D165,'Critical resources (hide)'!AN$6:AN$105)+SUMIF(Capacity_Resource,$E165,'Critical resources (hide)'!AN$6:AN$105)+SUMIF(Capacity_Resource,$F165,'Critical resources (hide)'!AN$6:AN$105)&gt;0,$E$1=2),0,1)</f>
        <v>1</v>
      </c>
      <c r="AB165" s="67">
        <f ca="1">IF(AND(SUMIF(Capacity_Resource,$D165,'Critical resources (hide)'!AO$6:AO$105)+SUMIF(Capacity_Resource,$E165,'Critical resources (hide)'!AO$6:AO$105)+SUMIF(Capacity_Resource,$F165,'Critical resources (hide)'!AO$6:AO$105)&gt;0,$E$1=2),0,1)</f>
        <v>1</v>
      </c>
      <c r="AC165" s="67">
        <f ca="1">IF(AND(SUMIF(Capacity_Resource,$D165,'Critical resources (hide)'!AP$6:AP$105)+SUMIF(Capacity_Resource,$E165,'Critical resources (hide)'!AP$6:AP$105)+SUMIF(Capacity_Resource,$F165,'Critical resources (hide)'!AP$6:AP$105)&gt;0,$E$1=2),0,1)</f>
        <v>1</v>
      </c>
      <c r="AD165" s="67">
        <f ca="1">IF(AND(SUMIF(Capacity_Resource,$D165,'Critical resources (hide)'!AQ$6:AQ$105)+SUMIF(Capacity_Resource,$E165,'Critical resources (hide)'!AQ$6:AQ$105)+SUMIF(Capacity_Resource,$F165,'Critical resources (hide)'!AQ$6:AQ$105)&gt;0,$E$1=2),0,1)</f>
        <v>1</v>
      </c>
      <c r="AE165" s="67">
        <f ca="1">IF(AND(SUMIF(Capacity_Resource,$D165,'Critical resources (hide)'!AR$6:AR$105)+SUMIF(Capacity_Resource,$E165,'Critical resources (hide)'!AR$6:AR$105)+SUMIF(Capacity_Resource,$F165,'Critical resources (hide)'!AR$6:AR$105)&gt;0,$E$1=2),0,1)</f>
        <v>1</v>
      </c>
      <c r="AF165" s="67">
        <f ca="1">IF(AND(SUMIF(Capacity_Resource,$D165,'Critical resources (hide)'!AS$6:AS$105)+SUMIF(Capacity_Resource,$E165,'Critical resources (hide)'!AS$6:AS$105)+SUMIF(Capacity_Resource,$F165,'Critical resources (hide)'!AS$6:AS$105)&gt;0,$E$1=2),0,1)</f>
        <v>1</v>
      </c>
      <c r="AG165" s="67">
        <f ca="1">IF(AND(SUMIF(Capacity_Resource,$D165,'Critical resources (hide)'!AT$6:AT$105)+SUMIF(Capacity_Resource,$E165,'Critical resources (hide)'!AT$6:AT$105)+SUMIF(Capacity_Resource,$F165,'Critical resources (hide)'!AT$6:AT$105)&gt;0,$E$1=2),0,1)</f>
        <v>1</v>
      </c>
      <c r="AH165" s="67">
        <f ca="1">IF(AND(SUMIF(Capacity_Resource,$D165,'Critical resources (hide)'!AU$6:AU$105)+SUMIF(Capacity_Resource,$E165,'Critical resources (hide)'!AU$6:AU$105)+SUMIF(Capacity_Resource,$F165,'Critical resources (hide)'!AU$6:AU$105)&gt;0,$E$1=2),0,1)</f>
        <v>1</v>
      </c>
      <c r="AI165" s="67">
        <f ca="1">IF(AND(SUMIF(Capacity_Resource,$D165,'Critical resources (hide)'!AV$6:AV$105)+SUMIF(Capacity_Resource,$E165,'Critical resources (hide)'!AV$6:AV$105)+SUMIF(Capacity_Resource,$F165,'Critical resources (hide)'!AV$6:AV$105)&gt;0,$E$1=2),0,1)</f>
        <v>1</v>
      </c>
      <c r="AJ165" s="67">
        <f ca="1">IF(AND(SUMIF(Capacity_Resource,$D165,'Critical resources (hide)'!AW$6:AW$105)+SUMIF(Capacity_Resource,$E165,'Critical resources (hide)'!AW$6:AW$105)+SUMIF(Capacity_Resource,$F165,'Critical resources (hide)'!AW$6:AW$105)&gt;0,$E$1=2),0,1)</f>
        <v>1</v>
      </c>
      <c r="AK165" s="67">
        <f ca="1">IF(AND(SUMIF(Capacity_Resource,$D165,'Critical resources (hide)'!AX$6:AX$105)+SUMIF(Capacity_Resource,$E165,'Critical resources (hide)'!AX$6:AX$105)+SUMIF(Capacity_Resource,$F165,'Critical resources (hide)'!AX$6:AX$105)&gt;0,$E$1=2),0,1)</f>
        <v>1</v>
      </c>
      <c r="AL165" s="67">
        <f ca="1">IF(AND(SUMIF(Capacity_Resource,$D165,'Critical resources (hide)'!AY$6:AY$105)+SUMIF(Capacity_Resource,$E165,'Critical resources (hide)'!AY$6:AY$105)+SUMIF(Capacity_Resource,$F165,'Critical resources (hide)'!AY$6:AY$105)&gt;0,$E$1=2),0,1)</f>
        <v>1</v>
      </c>
      <c r="AM165" s="67">
        <f ca="1">IF(AND(SUMIF(Capacity_Resource,$D165,'Critical resources (hide)'!AZ$6:AZ$105)+SUMIF(Capacity_Resource,$E165,'Critical resources (hide)'!AZ$6:AZ$105)+SUMIF(Capacity_Resource,$F165,'Critical resources (hide)'!AZ$6:AZ$105)&gt;0,$E$1=2),0,1)</f>
        <v>1</v>
      </c>
      <c r="AN165" s="67">
        <f ca="1">IF(AND(SUMIF(Capacity_Resource,$D165,'Critical resources (hide)'!BA$6:BA$105)+SUMIF(Capacity_Resource,$E165,'Critical resources (hide)'!BA$6:BA$105)+SUMIF(Capacity_Resource,$F165,'Critical resources (hide)'!BA$6:BA$105)&gt;0,$E$1=2),0,1)</f>
        <v>1</v>
      </c>
      <c r="AO165" s="67">
        <f ca="1">IF(AND(SUMIF(Capacity_Resource,$D165,'Critical resources (hide)'!BB$6:BB$105)+SUMIF(Capacity_Resource,$E165,'Critical resources (hide)'!BB$6:BB$105)+SUMIF(Capacity_Resource,$F165,'Critical resources (hide)'!BB$6:BB$105)&gt;0,$E$1=2),0,1)</f>
        <v>1</v>
      </c>
      <c r="AP165" s="67">
        <f ca="1">IF(AND(SUMIF(Capacity_Resource,$D165,'Critical resources (hide)'!BC$6:BC$105)+SUMIF(Capacity_Resource,$E165,'Critical resources (hide)'!BC$6:BC$105)+SUMIF(Capacity_Resource,$F165,'Critical resources (hide)'!BC$6:BC$105)&gt;0,$E$1=2),0,1)</f>
        <v>1</v>
      </c>
      <c r="AQ165" s="67">
        <f ca="1">IF(AND(SUMIF(Capacity_Resource,$D165,'Critical resources (hide)'!BD$6:BD$105)+SUMIF(Capacity_Resource,$E165,'Critical resources (hide)'!BD$6:BD$105)+SUMIF(Capacity_Resource,$F165,'Critical resources (hide)'!BD$6:BD$105)&gt;0,$E$1=2),0,1)</f>
        <v>1</v>
      </c>
      <c r="AR165" s="67">
        <f ca="1">IF(AND(SUMIF(Capacity_Resource,$D165,'Critical resources (hide)'!BE$6:BE$105)+SUMIF(Capacity_Resource,$E165,'Critical resources (hide)'!BE$6:BE$105)+SUMIF(Capacity_Resource,$F165,'Critical resources (hide)'!BE$6:BE$105)&gt;0,$E$1=2),0,1)</f>
        <v>1</v>
      </c>
      <c r="AS165" s="67">
        <f ca="1">IF(AND(SUMIF(Capacity_Resource,$D165,'Critical resources (hide)'!BF$6:BF$105)+SUMIF(Capacity_Resource,$E165,'Critical resources (hide)'!BF$6:BF$105)+SUMIF(Capacity_Resource,$F165,'Critical resources (hide)'!BF$6:BF$105)&gt;0,$E$1=2),0,1)</f>
        <v>1</v>
      </c>
      <c r="AT165" s="67">
        <f ca="1">IF(AND(SUMIF(Capacity_Resource,$D165,'Critical resources (hide)'!BG$6:BG$105)+SUMIF(Capacity_Resource,$E165,'Critical resources (hide)'!BG$6:BG$105)+SUMIF(Capacity_Resource,$F165,'Critical resources (hide)'!BG$6:BG$105)&gt;0,$E$1=2),0,1)</f>
        <v>1</v>
      </c>
      <c r="AU165" s="67">
        <f ca="1">IF(AND(SUMIF(Capacity_Resource,$D165,'Critical resources (hide)'!BH$6:BH$105)+SUMIF(Capacity_Resource,$E165,'Critical resources (hide)'!BH$6:BH$105)+SUMIF(Capacity_Resource,$F165,'Critical resources (hide)'!BH$6:BH$105)&gt;0,$E$1=2),0,1)</f>
        <v>1</v>
      </c>
      <c r="AV165" s="67">
        <f ca="1">IF(AND(SUMIF(Capacity_Resource,$D165,'Critical resources (hide)'!BI$6:BI$105)+SUMIF(Capacity_Resource,$E165,'Critical resources (hide)'!BI$6:BI$105)+SUMIF(Capacity_Resource,$F165,'Critical resources (hide)'!BI$6:BI$105)&gt;0,$E$1=2),0,1)</f>
        <v>1</v>
      </c>
      <c r="AW165" s="67">
        <f ca="1">IF(AND(SUMIF(Capacity_Resource,$D165,'Critical resources (hide)'!BJ$6:BJ$105)+SUMIF(Capacity_Resource,$E165,'Critical resources (hide)'!BJ$6:BJ$105)+SUMIF(Capacity_Resource,$F165,'Critical resources (hide)'!BJ$6:BJ$105)&gt;0,$E$1=2),0,1)</f>
        <v>1</v>
      </c>
      <c r="AX165" s="67">
        <f ca="1">IF(AND(SUMIF(Capacity_Resource,$D165,'Critical resources (hide)'!BK$6:BK$105)+SUMIF(Capacity_Resource,$E165,'Critical resources (hide)'!BK$6:BK$105)+SUMIF(Capacity_Resource,$F165,'Critical resources (hide)'!BK$6:BK$105)&gt;0,$E$1=2),0,1)</f>
        <v>1</v>
      </c>
      <c r="AY165" s="67">
        <f ca="1">IF(AND(SUMIF(Capacity_Resource,$D165,'Critical resources (hide)'!BL$6:BL$105)+SUMIF(Capacity_Resource,$E165,'Critical resources (hide)'!BL$6:BL$105)+SUMIF(Capacity_Resource,$F165,'Critical resources (hide)'!BL$6:BL$105)&gt;0,$E$1=2),0,1)</f>
        <v>1</v>
      </c>
      <c r="AZ165" s="67">
        <f ca="1">IF(AND(SUMIF(Capacity_Resource,$D165,'Critical resources (hide)'!BM$6:BM$105)+SUMIF(Capacity_Resource,$E165,'Critical resources (hide)'!BM$6:BM$105)+SUMIF(Capacity_Resource,$F165,'Critical resources (hide)'!BM$6:BM$105)&gt;0,$E$1=2),0,1)</f>
        <v>1</v>
      </c>
      <c r="BA165" s="67">
        <f ca="1">IF(AND(SUMIF(Capacity_Resource,$D165,'Critical resources (hide)'!BN$6:BN$105)+SUMIF(Capacity_Resource,$E165,'Critical resources (hide)'!BN$6:BN$105)+SUMIF(Capacity_Resource,$F165,'Critical resources (hide)'!BN$6:BN$105)&gt;0,$E$1=2),0,1)</f>
        <v>1</v>
      </c>
      <c r="BB165" s="67">
        <f ca="1">IF(AND(SUMIF(Capacity_Resource,$D165,'Critical resources (hide)'!BO$6:BO$105)+SUMIF(Capacity_Resource,$E165,'Critical resources (hide)'!BO$6:BO$105)+SUMIF(Capacity_Resource,$F165,'Critical resources (hide)'!BO$6:BO$105)&gt;0,$E$1=2),0,1)</f>
        <v>1</v>
      </c>
      <c r="BC165" s="67">
        <f ca="1">IF(AND(SUMIF(Capacity_Resource,$D165,'Critical resources (hide)'!BP$6:BP$105)+SUMIF(Capacity_Resource,$E165,'Critical resources (hide)'!BP$6:BP$105)+SUMIF(Capacity_Resource,$F165,'Critical resources (hide)'!BP$6:BP$105)&gt;0,$E$1=2),0,1)</f>
        <v>1</v>
      </c>
      <c r="BD165" s="67">
        <f ca="1">IF(AND(SUMIF(Capacity_Resource,$D165,'Critical resources (hide)'!BQ$6:BQ$105)+SUMIF(Capacity_Resource,$E165,'Critical resources (hide)'!BQ$6:BQ$105)+SUMIF(Capacity_Resource,$F165,'Critical resources (hide)'!BQ$6:BQ$105)&gt;0,$E$1=2),0,1)</f>
        <v>1</v>
      </c>
      <c r="BE165" s="67">
        <f ca="1">IF(AND(SUMIF(Capacity_Resource,$D165,'Critical resources (hide)'!BR$6:BR$105)+SUMIF(Capacity_Resource,$E165,'Critical resources (hide)'!BR$6:BR$105)+SUMIF(Capacity_Resource,$F165,'Critical resources (hide)'!BR$6:BR$105)&gt;0,$E$1=2),0,1)</f>
        <v>1</v>
      </c>
      <c r="BF165" s="67">
        <f ca="1">IF(AND(SUMIF(Capacity_Resource,$D165,'Critical resources (hide)'!BS$6:BS$105)+SUMIF(Capacity_Resource,$E165,'Critical resources (hide)'!BS$6:BS$105)+SUMIF(Capacity_Resource,$F165,'Critical resources (hide)'!BS$6:BS$105)&gt;0,$E$1=2),0,1)</f>
        <v>1</v>
      </c>
      <c r="BG165" s="67">
        <f ca="1">IF(AND(SUMIF(Capacity_Resource,$D165,'Critical resources (hide)'!BT$6:BT$105)+SUMIF(Capacity_Resource,$E165,'Critical resources (hide)'!BT$6:BT$105)+SUMIF(Capacity_Resource,$F165,'Critical resources (hide)'!BT$6:BT$105)&gt;0,$E$1=2),0,1)</f>
        <v>1</v>
      </c>
      <c r="BH165" s="67">
        <f>IF(ROW(A54)&lt;=Capacity!$M$16,IF('Capacity summary'!$C$14="No",SUM(H165:BG165),'Capacity summary'!$E77),0)</f>
        <v>0</v>
      </c>
      <c r="BI165" s="67" t="str">
        <f>IF(BH165&gt;0,IF(BH165&lt;Capacity!Q70,Capacity!R70,Capacity!T70/'Capacity calculation (hide)'!BH165),"")</f>
        <v/>
      </c>
      <c r="BJ165" s="5"/>
      <c r="BK165" s="5">
        <f>IF($BI165&lt;&gt;"",IF('Capacity summary'!$C$14="Yes",IF(COUNTBLANK('Capacity summary'!$H77:$BG77)&lt;52,IF('Capacity summary'!H77&lt;&gt;"",IF(LOWER('Capacity summary'!H77)="x",$BI165*H165,VALUE('Capacity summary'!H77)),0),H165*$BI165),H165*$BI165),0)</f>
        <v>0</v>
      </c>
      <c r="BL165" s="5">
        <f>IF($BI165&lt;&gt;"",IF('Capacity summary'!$C$14="Yes",IF(COUNTBLANK('Capacity summary'!$H77:$BG77)&lt;52,IF('Capacity summary'!I77&lt;&gt;"",IF(LOWER('Capacity summary'!I77)="x",$BI165*I165,VALUE('Capacity summary'!I77)),0),I165*$BI165),I165*$BI165),0)</f>
        <v>0</v>
      </c>
      <c r="BM165" s="5">
        <f>IF($BI165&lt;&gt;"",IF('Capacity summary'!$C$14="Yes",IF(COUNTBLANK('Capacity summary'!$H77:$BG77)&lt;52,IF('Capacity summary'!J77&lt;&gt;"",IF(LOWER('Capacity summary'!J77)="x",$BI165*J165,VALUE('Capacity summary'!J77)),0),J165*$BI165),J165*$BI165),0)</f>
        <v>0</v>
      </c>
      <c r="BN165" s="5">
        <f>IF($BI165&lt;&gt;"",IF('Capacity summary'!$C$14="Yes",IF(COUNTBLANK('Capacity summary'!$H77:$BG77)&lt;52,IF('Capacity summary'!K77&lt;&gt;"",IF(LOWER('Capacity summary'!K77)="x",$BI165*K165,VALUE('Capacity summary'!K77)),0),K165*$BI165),K165*$BI165),0)</f>
        <v>0</v>
      </c>
      <c r="BO165" s="5">
        <f>IF($BI165&lt;&gt;"",IF('Capacity summary'!$C$14="Yes",IF(COUNTBLANK('Capacity summary'!$H77:$BG77)&lt;52,IF('Capacity summary'!L77&lt;&gt;"",IF(LOWER('Capacity summary'!L77)="x",$BI165*L165,VALUE('Capacity summary'!L77)),0),L165*$BI165),L165*$BI165),0)</f>
        <v>0</v>
      </c>
      <c r="BP165" s="5">
        <f>IF($BI165&lt;&gt;"",IF('Capacity summary'!$C$14="Yes",IF(COUNTBLANK('Capacity summary'!$H77:$BG77)&lt;52,IF('Capacity summary'!M77&lt;&gt;"",IF(LOWER('Capacity summary'!M77)="x",$BI165*M165,VALUE('Capacity summary'!M77)),0),M165*$BI165),M165*$BI165),0)</f>
        <v>0</v>
      </c>
      <c r="BQ165" s="5">
        <f>IF($BI165&lt;&gt;"",IF('Capacity summary'!$C$14="Yes",IF(COUNTBLANK('Capacity summary'!$H77:$BG77)&lt;52,IF('Capacity summary'!N77&lt;&gt;"",IF(LOWER('Capacity summary'!N77)="x",$BI165*N165,VALUE('Capacity summary'!N77)),0),N165*$BI165),N165*$BI165),0)</f>
        <v>0</v>
      </c>
      <c r="BR165" s="5">
        <f>IF($BI165&lt;&gt;"",IF('Capacity summary'!$C$14="Yes",IF(COUNTBLANK('Capacity summary'!$H77:$BG77)&lt;52,IF('Capacity summary'!O77&lt;&gt;"",IF(LOWER('Capacity summary'!O77)="x",$BI165*O165,VALUE('Capacity summary'!O77)),0),O165*$BI165),O165*$BI165),0)</f>
        <v>0</v>
      </c>
      <c r="BS165" s="5">
        <f>IF($BI165&lt;&gt;"",IF('Capacity summary'!$C$14="Yes",IF(COUNTBLANK('Capacity summary'!$H77:$BG77)&lt;52,IF('Capacity summary'!P77&lt;&gt;"",IF(LOWER('Capacity summary'!P77)="x",$BI165*P165,VALUE('Capacity summary'!P77)),0),P165*$BI165),P165*$BI165),0)</f>
        <v>0</v>
      </c>
      <c r="BT165" s="5">
        <f>IF($BI165&lt;&gt;"",IF('Capacity summary'!$C$14="Yes",IF(COUNTBLANK('Capacity summary'!$H77:$BG77)&lt;52,IF('Capacity summary'!Q77&lt;&gt;"",IF(LOWER('Capacity summary'!Q77)="x",$BI165*Q165,VALUE('Capacity summary'!Q77)),0),Q165*$BI165),Q165*$BI165),0)</f>
        <v>0</v>
      </c>
      <c r="BU165" s="5">
        <f>IF($BI165&lt;&gt;"",IF('Capacity summary'!$C$14="Yes",IF(COUNTBLANK('Capacity summary'!$H77:$BG77)&lt;52,IF('Capacity summary'!R77&lt;&gt;"",IF(LOWER('Capacity summary'!R77)="x",$BI165*R165,VALUE('Capacity summary'!R77)),0),R165*$BI165),R165*$BI165),0)</f>
        <v>0</v>
      </c>
      <c r="BV165" s="5">
        <f>IF($BI165&lt;&gt;"",IF('Capacity summary'!$C$14="Yes",IF(COUNTBLANK('Capacity summary'!$H77:$BG77)&lt;52,IF('Capacity summary'!S77&lt;&gt;"",IF(LOWER('Capacity summary'!S77)="x",$BI165*S165,VALUE('Capacity summary'!S77)),0),S165*$BI165),S165*$BI165),0)</f>
        <v>0</v>
      </c>
      <c r="BW165" s="5">
        <f>IF($BI165&lt;&gt;"",IF('Capacity summary'!$C$14="Yes",IF(COUNTBLANK('Capacity summary'!$H77:$BG77)&lt;52,IF('Capacity summary'!T77&lt;&gt;"",IF(LOWER('Capacity summary'!T77)="x",$BI165*T165,VALUE('Capacity summary'!T77)),0),T165*$BI165),T165*$BI165),0)</f>
        <v>0</v>
      </c>
      <c r="BX165" s="5">
        <f>IF($BI165&lt;&gt;"",IF('Capacity summary'!$C$14="Yes",IF(COUNTBLANK('Capacity summary'!$H77:$BG77)&lt;52,IF('Capacity summary'!U77&lt;&gt;"",IF(LOWER('Capacity summary'!U77)="x",$BI165*U165,VALUE('Capacity summary'!U77)),0),U165*$BI165),U165*$BI165),0)</f>
        <v>0</v>
      </c>
      <c r="BY165" s="5">
        <f>IF($BI165&lt;&gt;"",IF('Capacity summary'!$C$14="Yes",IF(COUNTBLANK('Capacity summary'!$H77:$BG77)&lt;52,IF('Capacity summary'!V77&lt;&gt;"",IF(LOWER('Capacity summary'!V77)="x",$BI165*V165,VALUE('Capacity summary'!V77)),0),V165*$BI165),V165*$BI165),0)</f>
        <v>0</v>
      </c>
      <c r="BZ165" s="5">
        <f>IF($BI165&lt;&gt;"",IF('Capacity summary'!$C$14="Yes",IF(COUNTBLANK('Capacity summary'!$H77:$BG77)&lt;52,IF('Capacity summary'!W77&lt;&gt;"",IF(LOWER('Capacity summary'!W77)="x",$BI165*W165,VALUE('Capacity summary'!W77)),0),W165*$BI165),W165*$BI165),0)</f>
        <v>0</v>
      </c>
      <c r="CA165" s="5">
        <f>IF($BI165&lt;&gt;"",IF('Capacity summary'!$C$14="Yes",IF(COUNTBLANK('Capacity summary'!$H77:$BG77)&lt;52,IF('Capacity summary'!X77&lt;&gt;"",IF(LOWER('Capacity summary'!X77)="x",$BI165*X165,VALUE('Capacity summary'!X77)),0),X165*$BI165),X165*$BI165),0)</f>
        <v>0</v>
      </c>
      <c r="CB165" s="5">
        <f>IF($BI165&lt;&gt;"",IF('Capacity summary'!$C$14="Yes",IF(COUNTBLANK('Capacity summary'!$H77:$BG77)&lt;52,IF('Capacity summary'!Y77&lt;&gt;"",IF(LOWER('Capacity summary'!Y77)="x",$BI165*Y165,VALUE('Capacity summary'!Y77)),0),Y165*$BI165),Y165*$BI165),0)</f>
        <v>0</v>
      </c>
      <c r="CC165" s="5">
        <f>IF($BI165&lt;&gt;"",IF('Capacity summary'!$C$14="Yes",IF(COUNTBLANK('Capacity summary'!$H77:$BG77)&lt;52,IF('Capacity summary'!Z77&lt;&gt;"",IF(LOWER('Capacity summary'!Z77)="x",$BI165*Z165,VALUE('Capacity summary'!Z77)),0),Z165*$BI165),Z165*$BI165),0)</f>
        <v>0</v>
      </c>
      <c r="CD165" s="5">
        <f>IF($BI165&lt;&gt;"",IF('Capacity summary'!$C$14="Yes",IF(COUNTBLANK('Capacity summary'!$H77:$BG77)&lt;52,IF('Capacity summary'!AA77&lt;&gt;"",IF(LOWER('Capacity summary'!AA77)="x",$BI165*AA165,VALUE('Capacity summary'!AA77)),0),AA165*$BI165),AA165*$BI165),0)</f>
        <v>0</v>
      </c>
      <c r="CE165" s="5">
        <f>IF($BI165&lt;&gt;"",IF('Capacity summary'!$C$14="Yes",IF(COUNTBLANK('Capacity summary'!$H77:$BG77)&lt;52,IF('Capacity summary'!AB77&lt;&gt;"",IF(LOWER('Capacity summary'!AB77)="x",$BI165*AB165,VALUE('Capacity summary'!AB77)),0),AB165*$BI165),AB165*$BI165),0)</f>
        <v>0</v>
      </c>
      <c r="CF165" s="5">
        <f>IF($BI165&lt;&gt;"",IF('Capacity summary'!$C$14="Yes",IF(COUNTBLANK('Capacity summary'!$H77:$BG77)&lt;52,IF('Capacity summary'!AC77&lt;&gt;"",IF(LOWER('Capacity summary'!AC77)="x",$BI165*AC165,VALUE('Capacity summary'!AC77)),0),AC165*$BI165),AC165*$BI165),0)</f>
        <v>0</v>
      </c>
      <c r="CG165" s="5">
        <f>IF($BI165&lt;&gt;"",IF('Capacity summary'!$C$14="Yes",IF(COUNTBLANK('Capacity summary'!$H77:$BG77)&lt;52,IF('Capacity summary'!AD77&lt;&gt;"",IF(LOWER('Capacity summary'!AD77)="x",$BI165*AD165,VALUE('Capacity summary'!AD77)),0),AD165*$BI165),AD165*$BI165),0)</f>
        <v>0</v>
      </c>
      <c r="CH165" s="5">
        <f>IF($BI165&lt;&gt;"",IF('Capacity summary'!$C$14="Yes",IF(COUNTBLANK('Capacity summary'!$H77:$BG77)&lt;52,IF('Capacity summary'!AE77&lt;&gt;"",IF(LOWER('Capacity summary'!AE77)="x",$BI165*AE165,VALUE('Capacity summary'!AE77)),0),AE165*$BI165),AE165*$BI165),0)</f>
        <v>0</v>
      </c>
      <c r="CI165" s="5">
        <f>IF($BI165&lt;&gt;"",IF('Capacity summary'!$C$14="Yes",IF(COUNTBLANK('Capacity summary'!$H77:$BG77)&lt;52,IF('Capacity summary'!AF77&lt;&gt;"",IF(LOWER('Capacity summary'!AF77)="x",$BI165*AF165,VALUE('Capacity summary'!AF77)),0),AF165*$BI165),AF165*$BI165),0)</f>
        <v>0</v>
      </c>
      <c r="CJ165" s="5">
        <f>IF($BI165&lt;&gt;"",IF('Capacity summary'!$C$14="Yes",IF(COUNTBLANK('Capacity summary'!$H77:$BG77)&lt;52,IF('Capacity summary'!AG77&lt;&gt;"",IF(LOWER('Capacity summary'!AG77)="x",$BI165*AG165,VALUE('Capacity summary'!AG77)),0),AG165*$BI165),AG165*$BI165),0)</f>
        <v>0</v>
      </c>
      <c r="CK165" s="5">
        <f>IF($BI165&lt;&gt;"",IF('Capacity summary'!$C$14="Yes",IF(COUNTBLANK('Capacity summary'!$H77:$BG77)&lt;52,IF('Capacity summary'!AH77&lt;&gt;"",IF(LOWER('Capacity summary'!AH77)="x",$BI165*AH165,VALUE('Capacity summary'!AH77)),0),AH165*$BI165),AH165*$BI165),0)</f>
        <v>0</v>
      </c>
      <c r="CL165" s="5">
        <f>IF($BI165&lt;&gt;"",IF('Capacity summary'!$C$14="Yes",IF(COUNTBLANK('Capacity summary'!$H77:$BG77)&lt;52,IF('Capacity summary'!AI77&lt;&gt;"",IF(LOWER('Capacity summary'!AI77)="x",$BI165*AI165,VALUE('Capacity summary'!AI77)),0),AI165*$BI165),AI165*$BI165),0)</f>
        <v>0</v>
      </c>
      <c r="CM165" s="5">
        <f>IF($BI165&lt;&gt;"",IF('Capacity summary'!$C$14="Yes",IF(COUNTBLANK('Capacity summary'!$H77:$BG77)&lt;52,IF('Capacity summary'!AJ77&lt;&gt;"",IF(LOWER('Capacity summary'!AJ77)="x",$BI165*AJ165,VALUE('Capacity summary'!AJ77)),0),AJ165*$BI165),AJ165*$BI165),0)</f>
        <v>0</v>
      </c>
      <c r="CN165" s="5">
        <f>IF($BI165&lt;&gt;"",IF('Capacity summary'!$C$14="Yes",IF(COUNTBLANK('Capacity summary'!$H77:$BG77)&lt;52,IF('Capacity summary'!AK77&lt;&gt;"",IF(LOWER('Capacity summary'!AK77)="x",$BI165*AK165,VALUE('Capacity summary'!AK77)),0),AK165*$BI165),AK165*$BI165),0)</f>
        <v>0</v>
      </c>
      <c r="CO165" s="5">
        <f>IF($BI165&lt;&gt;"",IF('Capacity summary'!$C$14="Yes",IF(COUNTBLANK('Capacity summary'!$H77:$BG77)&lt;52,IF('Capacity summary'!AL77&lt;&gt;"",IF(LOWER('Capacity summary'!AL77)="x",$BI165*AL165,VALUE('Capacity summary'!AL77)),0),AL165*$BI165),AL165*$BI165),0)</f>
        <v>0</v>
      </c>
      <c r="CP165" s="5">
        <f>IF($BI165&lt;&gt;"",IF('Capacity summary'!$C$14="Yes",IF(COUNTBLANK('Capacity summary'!$H77:$BG77)&lt;52,IF('Capacity summary'!AM77&lt;&gt;"",IF(LOWER('Capacity summary'!AM77)="x",$BI165*AM165,VALUE('Capacity summary'!AM77)),0),AM165*$BI165),AM165*$BI165),0)</f>
        <v>0</v>
      </c>
      <c r="CQ165" s="5">
        <f>IF($BI165&lt;&gt;"",IF('Capacity summary'!$C$14="Yes",IF(COUNTBLANK('Capacity summary'!$H77:$BG77)&lt;52,IF('Capacity summary'!AN77&lt;&gt;"",IF(LOWER('Capacity summary'!AN77)="x",$BI165*AN165,VALUE('Capacity summary'!AN77)),0),AN165*$BI165),AN165*$BI165),0)</f>
        <v>0</v>
      </c>
      <c r="CR165" s="5">
        <f>IF($BI165&lt;&gt;"",IF('Capacity summary'!$C$14="Yes",IF(COUNTBLANK('Capacity summary'!$H77:$BG77)&lt;52,IF('Capacity summary'!AO77&lt;&gt;"",IF(LOWER('Capacity summary'!AO77)="x",$BI165*AO165,VALUE('Capacity summary'!AO77)),0),AO165*$BI165),AO165*$BI165),0)</f>
        <v>0</v>
      </c>
      <c r="CS165" s="5">
        <f>IF($BI165&lt;&gt;"",IF('Capacity summary'!$C$14="Yes",IF(COUNTBLANK('Capacity summary'!$H77:$BG77)&lt;52,IF('Capacity summary'!AP77&lt;&gt;"",IF(LOWER('Capacity summary'!AP77)="x",$BI165*AP165,VALUE('Capacity summary'!AP77)),0),AP165*$BI165),AP165*$BI165),0)</f>
        <v>0</v>
      </c>
      <c r="CT165" s="5">
        <f>IF($BI165&lt;&gt;"",IF('Capacity summary'!$C$14="Yes",IF(COUNTBLANK('Capacity summary'!$H77:$BG77)&lt;52,IF('Capacity summary'!AQ77&lt;&gt;"",IF(LOWER('Capacity summary'!AQ77)="x",$BI165*AQ165,VALUE('Capacity summary'!AQ77)),0),AQ165*$BI165),AQ165*$BI165),0)</f>
        <v>0</v>
      </c>
      <c r="CU165" s="5">
        <f>IF($BI165&lt;&gt;"",IF('Capacity summary'!$C$14="Yes",IF(COUNTBLANK('Capacity summary'!$H77:$BG77)&lt;52,IF('Capacity summary'!AR77&lt;&gt;"",IF(LOWER('Capacity summary'!AR77)="x",$BI165*AR165,VALUE('Capacity summary'!AR77)),0),AR165*$BI165),AR165*$BI165),0)</f>
        <v>0</v>
      </c>
      <c r="CV165" s="5">
        <f>IF($BI165&lt;&gt;"",IF('Capacity summary'!$C$14="Yes",IF(COUNTBLANK('Capacity summary'!$H77:$BG77)&lt;52,IF('Capacity summary'!AS77&lt;&gt;"",IF(LOWER('Capacity summary'!AS77)="x",$BI165*AS165,VALUE('Capacity summary'!AS77)),0),AS165*$BI165),AS165*$BI165),0)</f>
        <v>0</v>
      </c>
      <c r="CW165" s="5">
        <f>IF($BI165&lt;&gt;"",IF('Capacity summary'!$C$14="Yes",IF(COUNTBLANK('Capacity summary'!$H77:$BG77)&lt;52,IF('Capacity summary'!AT77&lt;&gt;"",IF(LOWER('Capacity summary'!AT77)="x",$BI165*AT165,VALUE('Capacity summary'!AT77)),0),AT165*$BI165),AT165*$BI165),0)</f>
        <v>0</v>
      </c>
      <c r="CX165" s="5">
        <f>IF($BI165&lt;&gt;"",IF('Capacity summary'!$C$14="Yes",IF(COUNTBLANK('Capacity summary'!$H77:$BG77)&lt;52,IF('Capacity summary'!AU77&lt;&gt;"",IF(LOWER('Capacity summary'!AU77)="x",$BI165*AU165,VALUE('Capacity summary'!AU77)),0),AU165*$BI165),AU165*$BI165),0)</f>
        <v>0</v>
      </c>
      <c r="CY165" s="5">
        <f>IF($BI165&lt;&gt;"",IF('Capacity summary'!$C$14="Yes",IF(COUNTBLANK('Capacity summary'!$H77:$BG77)&lt;52,IF('Capacity summary'!AV77&lt;&gt;"",IF(LOWER('Capacity summary'!AV77)="x",$BI165*AV165,VALUE('Capacity summary'!AV77)),0),AV165*$BI165),AV165*$BI165),0)</f>
        <v>0</v>
      </c>
      <c r="CZ165" s="5">
        <f>IF($BI165&lt;&gt;"",IF('Capacity summary'!$C$14="Yes",IF(COUNTBLANK('Capacity summary'!$H77:$BG77)&lt;52,IF('Capacity summary'!AW77&lt;&gt;"",IF(LOWER('Capacity summary'!AW77)="x",$BI165*AW165,VALUE('Capacity summary'!AW77)),0),AW165*$BI165),AW165*$BI165),0)</f>
        <v>0</v>
      </c>
      <c r="DA165" s="5">
        <f>IF($BI165&lt;&gt;"",IF('Capacity summary'!$C$14="Yes",IF(COUNTBLANK('Capacity summary'!$H77:$BG77)&lt;52,IF('Capacity summary'!AX77&lt;&gt;"",IF(LOWER('Capacity summary'!AX77)="x",$BI165*AX165,VALUE('Capacity summary'!AX77)),0),AX165*$BI165),AX165*$BI165),0)</f>
        <v>0</v>
      </c>
      <c r="DB165" s="5">
        <f>IF($BI165&lt;&gt;"",IF('Capacity summary'!$C$14="Yes",IF(COUNTBLANK('Capacity summary'!$H77:$BG77)&lt;52,IF('Capacity summary'!AY77&lt;&gt;"",IF(LOWER('Capacity summary'!AY77)="x",$BI165*AY165,VALUE('Capacity summary'!AY77)),0),AY165*$BI165),AY165*$BI165),0)</f>
        <v>0</v>
      </c>
      <c r="DC165" s="5">
        <f>IF($BI165&lt;&gt;"",IF('Capacity summary'!$C$14="Yes",IF(COUNTBLANK('Capacity summary'!$H77:$BG77)&lt;52,IF('Capacity summary'!AZ77&lt;&gt;"",IF(LOWER('Capacity summary'!AZ77)="x",$BI165*AZ165,VALUE('Capacity summary'!AZ77)),0),AZ165*$BI165),AZ165*$BI165),0)</f>
        <v>0</v>
      </c>
      <c r="DD165" s="5">
        <f>IF($BI165&lt;&gt;"",IF('Capacity summary'!$C$14="Yes",IF(COUNTBLANK('Capacity summary'!$H77:$BG77)&lt;52,IF('Capacity summary'!BA77&lt;&gt;"",IF(LOWER('Capacity summary'!BA77)="x",$BI165*BA165,VALUE('Capacity summary'!BA77)),0),BA165*$BI165),BA165*$BI165),0)</f>
        <v>0</v>
      </c>
      <c r="DE165" s="5">
        <f>IF($BI165&lt;&gt;"",IF('Capacity summary'!$C$14="Yes",IF(COUNTBLANK('Capacity summary'!$H77:$BG77)&lt;52,IF('Capacity summary'!BB77&lt;&gt;"",IF(LOWER('Capacity summary'!BB77)="x",$BI165*BB165,VALUE('Capacity summary'!BB77)),0),BB165*$BI165),BB165*$BI165),0)</f>
        <v>0</v>
      </c>
      <c r="DF165" s="5">
        <f>IF($BI165&lt;&gt;"",IF('Capacity summary'!$C$14="Yes",IF(COUNTBLANK('Capacity summary'!$H77:$BG77)&lt;52,IF('Capacity summary'!BC77&lt;&gt;"",IF(LOWER('Capacity summary'!BC77)="x",$BI165*BC165,VALUE('Capacity summary'!BC77)),0),BC165*$BI165),BC165*$BI165),0)</f>
        <v>0</v>
      </c>
      <c r="DG165" s="5">
        <f>IF($BI165&lt;&gt;"",IF('Capacity summary'!$C$14="Yes",IF(COUNTBLANK('Capacity summary'!$H77:$BG77)&lt;52,IF('Capacity summary'!BD77&lt;&gt;"",IF(LOWER('Capacity summary'!BD77)="x",$BI165*BD165,VALUE('Capacity summary'!BD77)),0),BD165*$BI165),BD165*$BI165),0)</f>
        <v>0</v>
      </c>
      <c r="DH165" s="5">
        <f>IF($BI165&lt;&gt;"",IF('Capacity summary'!$C$14="Yes",IF(COUNTBLANK('Capacity summary'!$H77:$BG77)&lt;52,IF('Capacity summary'!BE77&lt;&gt;"",IF(LOWER('Capacity summary'!BE77)="x",$BI165*BE165,VALUE('Capacity summary'!BE77)),0),BE165*$BI165),BE165*$BI165),0)</f>
        <v>0</v>
      </c>
      <c r="DI165" s="5">
        <f>IF($BI165&lt;&gt;"",IF('Capacity summary'!$C$14="Yes",IF(COUNTBLANK('Capacity summary'!$H77:$BG77)&lt;52,IF('Capacity summary'!BF77&lt;&gt;"",IF(LOWER('Capacity summary'!BF77)="x",$BI165*BF165,VALUE('Capacity summary'!BF77)),0),BF165*$BI165),BF165*$BI165),0)</f>
        <v>0</v>
      </c>
      <c r="DJ165" s="5">
        <f>IF($BI165&lt;&gt;"",IF('Capacity summary'!$C$14="Yes",IF(COUNTBLANK('Capacity summary'!$H77:$BG77)&lt;52,IF('Capacity summary'!BG77&lt;&gt;"",IF(LOWER('Capacity summary'!BG77)="x",$BI165*BG165,VALUE('Capacity summary'!BG77)),0),BG165*$BI165),BG165*$BI165),0)</f>
        <v>0</v>
      </c>
      <c r="DK165" s="5">
        <f t="shared" ref="DK165" si="59">SUM(DK166:DK265)</f>
        <v>0</v>
      </c>
    </row>
    <row r="166" spans="3:115" x14ac:dyDescent="0.25">
      <c r="C166" s="67" t="str">
        <f>ROW(A55)&amp;". "&amp;Capacity!N71</f>
        <v xml:space="preserve">55. </v>
      </c>
      <c r="D166" s="67">
        <f>'Capacity setup'!C172</f>
        <v>0</v>
      </c>
      <c r="E166" s="67">
        <f>'Capacity setup'!D172</f>
        <v>0</v>
      </c>
      <c r="F166" s="67">
        <f>'Capacity setup'!E172</f>
        <v>0</v>
      </c>
      <c r="H166" s="67">
        <f ca="1">IF(AND(SUMIF(Capacity_Resource,$D166,'Critical resources (hide)'!U$6:U$105)+SUMIF(Capacity_Resource,$E166,'Critical resources (hide)'!U$6:U$105)+SUMIF(Capacity_Resource,$F166,'Critical resources (hide)'!U$6:U$105)&gt;0,$E$1=2),0,1)</f>
        <v>1</v>
      </c>
      <c r="I166" s="67">
        <f ca="1">IF(AND(SUMIF(Capacity_Resource,$D166,'Critical resources (hide)'!V$6:V$105)+SUMIF(Capacity_Resource,$E166,'Critical resources (hide)'!V$6:V$105)+SUMIF(Capacity_Resource,$F166,'Critical resources (hide)'!V$6:V$105)&gt;0,$E$1=2),0,1)</f>
        <v>1</v>
      </c>
      <c r="J166" s="67">
        <f ca="1">IF(AND(SUMIF(Capacity_Resource,$D166,'Critical resources (hide)'!W$6:W$105)+SUMIF(Capacity_Resource,$E166,'Critical resources (hide)'!W$6:W$105)+SUMIF(Capacity_Resource,$F166,'Critical resources (hide)'!W$6:W$105)&gt;0,$E$1=2),0,1)</f>
        <v>1</v>
      </c>
      <c r="K166" s="67">
        <f ca="1">IF(AND(SUMIF(Capacity_Resource,$D166,'Critical resources (hide)'!X$6:X$105)+SUMIF(Capacity_Resource,$E166,'Critical resources (hide)'!X$6:X$105)+SUMIF(Capacity_Resource,$F166,'Critical resources (hide)'!X$6:X$105)&gt;0,$E$1=2),0,1)</f>
        <v>1</v>
      </c>
      <c r="L166" s="67">
        <f ca="1">IF(AND(SUMIF(Capacity_Resource,$D166,'Critical resources (hide)'!Y$6:Y$105)+SUMIF(Capacity_Resource,$E166,'Critical resources (hide)'!Y$6:Y$105)+SUMIF(Capacity_Resource,$F166,'Critical resources (hide)'!Y$6:Y$105)&gt;0,$E$1=2),0,1)</f>
        <v>1</v>
      </c>
      <c r="M166" s="67">
        <f ca="1">IF(AND(SUMIF(Capacity_Resource,$D166,'Critical resources (hide)'!Z$6:Z$105)+SUMIF(Capacity_Resource,$E166,'Critical resources (hide)'!Z$6:Z$105)+SUMIF(Capacity_Resource,$F166,'Critical resources (hide)'!Z$6:Z$105)&gt;0,$E$1=2),0,1)</f>
        <v>1</v>
      </c>
      <c r="N166" s="67">
        <f ca="1">IF(AND(SUMIF(Capacity_Resource,$D166,'Critical resources (hide)'!AA$6:AA$105)+SUMIF(Capacity_Resource,$E166,'Critical resources (hide)'!AA$6:AA$105)+SUMIF(Capacity_Resource,$F166,'Critical resources (hide)'!AA$6:AA$105)&gt;0,$E$1=2),0,1)</f>
        <v>1</v>
      </c>
      <c r="O166" s="67">
        <f ca="1">IF(AND(SUMIF(Capacity_Resource,$D166,'Critical resources (hide)'!AB$6:AB$105)+SUMIF(Capacity_Resource,$E166,'Critical resources (hide)'!AB$6:AB$105)+SUMIF(Capacity_Resource,$F166,'Critical resources (hide)'!AB$6:AB$105)&gt;0,$E$1=2),0,1)</f>
        <v>1</v>
      </c>
      <c r="P166" s="67">
        <f ca="1">IF(AND(SUMIF(Capacity_Resource,$D166,'Critical resources (hide)'!AC$6:AC$105)+SUMIF(Capacity_Resource,$E166,'Critical resources (hide)'!AC$6:AC$105)+SUMIF(Capacity_Resource,$F166,'Critical resources (hide)'!AC$6:AC$105)&gt;0,$E$1=2),0,1)</f>
        <v>1</v>
      </c>
      <c r="Q166" s="67">
        <f ca="1">IF(AND(SUMIF(Capacity_Resource,$D166,'Critical resources (hide)'!AD$6:AD$105)+SUMIF(Capacity_Resource,$E166,'Critical resources (hide)'!AD$6:AD$105)+SUMIF(Capacity_Resource,$F166,'Critical resources (hide)'!AD$6:AD$105)&gt;0,$E$1=2),0,1)</f>
        <v>1</v>
      </c>
      <c r="R166" s="67">
        <f ca="1">IF(AND(SUMIF(Capacity_Resource,$D166,'Critical resources (hide)'!AE$6:AE$105)+SUMIF(Capacity_Resource,$E166,'Critical resources (hide)'!AE$6:AE$105)+SUMIF(Capacity_Resource,$F166,'Critical resources (hide)'!AE$6:AE$105)&gt;0,$E$1=2),0,1)</f>
        <v>1</v>
      </c>
      <c r="S166" s="67">
        <f ca="1">IF(AND(SUMIF(Capacity_Resource,$D166,'Critical resources (hide)'!AF$6:AF$105)+SUMIF(Capacity_Resource,$E166,'Critical resources (hide)'!AF$6:AF$105)+SUMIF(Capacity_Resource,$F166,'Critical resources (hide)'!AF$6:AF$105)&gt;0,$E$1=2),0,1)</f>
        <v>1</v>
      </c>
      <c r="T166" s="67">
        <f ca="1">IF(AND(SUMIF(Capacity_Resource,$D166,'Critical resources (hide)'!AG$6:AG$105)+SUMIF(Capacity_Resource,$E166,'Critical resources (hide)'!AG$6:AG$105)+SUMIF(Capacity_Resource,$F166,'Critical resources (hide)'!AG$6:AG$105)&gt;0,$E$1=2),0,1)</f>
        <v>1</v>
      </c>
      <c r="U166" s="67">
        <f ca="1">IF(AND(SUMIF(Capacity_Resource,$D166,'Critical resources (hide)'!AH$6:AH$105)+SUMIF(Capacity_Resource,$E166,'Critical resources (hide)'!AH$6:AH$105)+SUMIF(Capacity_Resource,$F166,'Critical resources (hide)'!AH$6:AH$105)&gt;0,$E$1=2),0,1)</f>
        <v>1</v>
      </c>
      <c r="V166" s="67">
        <f ca="1">IF(AND(SUMIF(Capacity_Resource,$D166,'Critical resources (hide)'!AI$6:AI$105)+SUMIF(Capacity_Resource,$E166,'Critical resources (hide)'!AI$6:AI$105)+SUMIF(Capacity_Resource,$F166,'Critical resources (hide)'!AI$6:AI$105)&gt;0,$E$1=2),0,1)</f>
        <v>1</v>
      </c>
      <c r="W166" s="67">
        <f ca="1">IF(AND(SUMIF(Capacity_Resource,$D166,'Critical resources (hide)'!AJ$6:AJ$105)+SUMIF(Capacity_Resource,$E166,'Critical resources (hide)'!AJ$6:AJ$105)+SUMIF(Capacity_Resource,$F166,'Critical resources (hide)'!AJ$6:AJ$105)&gt;0,$E$1=2),0,1)</f>
        <v>1</v>
      </c>
      <c r="X166" s="67">
        <f ca="1">IF(AND(SUMIF(Capacity_Resource,$D166,'Critical resources (hide)'!AK$6:AK$105)+SUMIF(Capacity_Resource,$E166,'Critical resources (hide)'!AK$6:AK$105)+SUMIF(Capacity_Resource,$F166,'Critical resources (hide)'!AK$6:AK$105)&gt;0,$E$1=2),0,1)</f>
        <v>1</v>
      </c>
      <c r="Y166" s="67">
        <f ca="1">IF(AND(SUMIF(Capacity_Resource,$D166,'Critical resources (hide)'!AL$6:AL$105)+SUMIF(Capacity_Resource,$E166,'Critical resources (hide)'!AL$6:AL$105)+SUMIF(Capacity_Resource,$F166,'Critical resources (hide)'!AL$6:AL$105)&gt;0,$E$1=2),0,1)</f>
        <v>1</v>
      </c>
      <c r="Z166" s="67">
        <f ca="1">IF(AND(SUMIF(Capacity_Resource,$D166,'Critical resources (hide)'!AM$6:AM$105)+SUMIF(Capacity_Resource,$E166,'Critical resources (hide)'!AM$6:AM$105)+SUMIF(Capacity_Resource,$F166,'Critical resources (hide)'!AM$6:AM$105)&gt;0,$E$1=2),0,1)</f>
        <v>1</v>
      </c>
      <c r="AA166" s="67">
        <f ca="1">IF(AND(SUMIF(Capacity_Resource,$D166,'Critical resources (hide)'!AN$6:AN$105)+SUMIF(Capacity_Resource,$E166,'Critical resources (hide)'!AN$6:AN$105)+SUMIF(Capacity_Resource,$F166,'Critical resources (hide)'!AN$6:AN$105)&gt;0,$E$1=2),0,1)</f>
        <v>1</v>
      </c>
      <c r="AB166" s="67">
        <f ca="1">IF(AND(SUMIF(Capacity_Resource,$D166,'Critical resources (hide)'!AO$6:AO$105)+SUMIF(Capacity_Resource,$E166,'Critical resources (hide)'!AO$6:AO$105)+SUMIF(Capacity_Resource,$F166,'Critical resources (hide)'!AO$6:AO$105)&gt;0,$E$1=2),0,1)</f>
        <v>1</v>
      </c>
      <c r="AC166" s="67">
        <f ca="1">IF(AND(SUMIF(Capacity_Resource,$D166,'Critical resources (hide)'!AP$6:AP$105)+SUMIF(Capacity_Resource,$E166,'Critical resources (hide)'!AP$6:AP$105)+SUMIF(Capacity_Resource,$F166,'Critical resources (hide)'!AP$6:AP$105)&gt;0,$E$1=2),0,1)</f>
        <v>1</v>
      </c>
      <c r="AD166" s="67">
        <f ca="1">IF(AND(SUMIF(Capacity_Resource,$D166,'Critical resources (hide)'!AQ$6:AQ$105)+SUMIF(Capacity_Resource,$E166,'Critical resources (hide)'!AQ$6:AQ$105)+SUMIF(Capacity_Resource,$F166,'Critical resources (hide)'!AQ$6:AQ$105)&gt;0,$E$1=2),0,1)</f>
        <v>1</v>
      </c>
      <c r="AE166" s="67">
        <f ca="1">IF(AND(SUMIF(Capacity_Resource,$D166,'Critical resources (hide)'!AR$6:AR$105)+SUMIF(Capacity_Resource,$E166,'Critical resources (hide)'!AR$6:AR$105)+SUMIF(Capacity_Resource,$F166,'Critical resources (hide)'!AR$6:AR$105)&gt;0,$E$1=2),0,1)</f>
        <v>1</v>
      </c>
      <c r="AF166" s="67">
        <f ca="1">IF(AND(SUMIF(Capacity_Resource,$D166,'Critical resources (hide)'!AS$6:AS$105)+SUMIF(Capacity_Resource,$E166,'Critical resources (hide)'!AS$6:AS$105)+SUMIF(Capacity_Resource,$F166,'Critical resources (hide)'!AS$6:AS$105)&gt;0,$E$1=2),0,1)</f>
        <v>1</v>
      </c>
      <c r="AG166" s="67">
        <f ca="1">IF(AND(SUMIF(Capacity_Resource,$D166,'Critical resources (hide)'!AT$6:AT$105)+SUMIF(Capacity_Resource,$E166,'Critical resources (hide)'!AT$6:AT$105)+SUMIF(Capacity_Resource,$F166,'Critical resources (hide)'!AT$6:AT$105)&gt;0,$E$1=2),0,1)</f>
        <v>1</v>
      </c>
      <c r="AH166" s="67">
        <f ca="1">IF(AND(SUMIF(Capacity_Resource,$D166,'Critical resources (hide)'!AU$6:AU$105)+SUMIF(Capacity_Resource,$E166,'Critical resources (hide)'!AU$6:AU$105)+SUMIF(Capacity_Resource,$F166,'Critical resources (hide)'!AU$6:AU$105)&gt;0,$E$1=2),0,1)</f>
        <v>1</v>
      </c>
      <c r="AI166" s="67">
        <f ca="1">IF(AND(SUMIF(Capacity_Resource,$D166,'Critical resources (hide)'!AV$6:AV$105)+SUMIF(Capacity_Resource,$E166,'Critical resources (hide)'!AV$6:AV$105)+SUMIF(Capacity_Resource,$F166,'Critical resources (hide)'!AV$6:AV$105)&gt;0,$E$1=2),0,1)</f>
        <v>1</v>
      </c>
      <c r="AJ166" s="67">
        <f ca="1">IF(AND(SUMIF(Capacity_Resource,$D166,'Critical resources (hide)'!AW$6:AW$105)+SUMIF(Capacity_Resource,$E166,'Critical resources (hide)'!AW$6:AW$105)+SUMIF(Capacity_Resource,$F166,'Critical resources (hide)'!AW$6:AW$105)&gt;0,$E$1=2),0,1)</f>
        <v>1</v>
      </c>
      <c r="AK166" s="67">
        <f ca="1">IF(AND(SUMIF(Capacity_Resource,$D166,'Critical resources (hide)'!AX$6:AX$105)+SUMIF(Capacity_Resource,$E166,'Critical resources (hide)'!AX$6:AX$105)+SUMIF(Capacity_Resource,$F166,'Critical resources (hide)'!AX$6:AX$105)&gt;0,$E$1=2),0,1)</f>
        <v>1</v>
      </c>
      <c r="AL166" s="67">
        <f ca="1">IF(AND(SUMIF(Capacity_Resource,$D166,'Critical resources (hide)'!AY$6:AY$105)+SUMIF(Capacity_Resource,$E166,'Critical resources (hide)'!AY$6:AY$105)+SUMIF(Capacity_Resource,$F166,'Critical resources (hide)'!AY$6:AY$105)&gt;0,$E$1=2),0,1)</f>
        <v>1</v>
      </c>
      <c r="AM166" s="67">
        <f ca="1">IF(AND(SUMIF(Capacity_Resource,$D166,'Critical resources (hide)'!AZ$6:AZ$105)+SUMIF(Capacity_Resource,$E166,'Critical resources (hide)'!AZ$6:AZ$105)+SUMIF(Capacity_Resource,$F166,'Critical resources (hide)'!AZ$6:AZ$105)&gt;0,$E$1=2),0,1)</f>
        <v>1</v>
      </c>
      <c r="AN166" s="67">
        <f ca="1">IF(AND(SUMIF(Capacity_Resource,$D166,'Critical resources (hide)'!BA$6:BA$105)+SUMIF(Capacity_Resource,$E166,'Critical resources (hide)'!BA$6:BA$105)+SUMIF(Capacity_Resource,$F166,'Critical resources (hide)'!BA$6:BA$105)&gt;0,$E$1=2),0,1)</f>
        <v>1</v>
      </c>
      <c r="AO166" s="67">
        <f ca="1">IF(AND(SUMIF(Capacity_Resource,$D166,'Critical resources (hide)'!BB$6:BB$105)+SUMIF(Capacity_Resource,$E166,'Critical resources (hide)'!BB$6:BB$105)+SUMIF(Capacity_Resource,$F166,'Critical resources (hide)'!BB$6:BB$105)&gt;0,$E$1=2),0,1)</f>
        <v>1</v>
      </c>
      <c r="AP166" s="67">
        <f ca="1">IF(AND(SUMIF(Capacity_Resource,$D166,'Critical resources (hide)'!BC$6:BC$105)+SUMIF(Capacity_Resource,$E166,'Critical resources (hide)'!BC$6:BC$105)+SUMIF(Capacity_Resource,$F166,'Critical resources (hide)'!BC$6:BC$105)&gt;0,$E$1=2),0,1)</f>
        <v>1</v>
      </c>
      <c r="AQ166" s="67">
        <f ca="1">IF(AND(SUMIF(Capacity_Resource,$D166,'Critical resources (hide)'!BD$6:BD$105)+SUMIF(Capacity_Resource,$E166,'Critical resources (hide)'!BD$6:BD$105)+SUMIF(Capacity_Resource,$F166,'Critical resources (hide)'!BD$6:BD$105)&gt;0,$E$1=2),0,1)</f>
        <v>1</v>
      </c>
      <c r="AR166" s="67">
        <f ca="1">IF(AND(SUMIF(Capacity_Resource,$D166,'Critical resources (hide)'!BE$6:BE$105)+SUMIF(Capacity_Resource,$E166,'Critical resources (hide)'!BE$6:BE$105)+SUMIF(Capacity_Resource,$F166,'Critical resources (hide)'!BE$6:BE$105)&gt;0,$E$1=2),0,1)</f>
        <v>1</v>
      </c>
      <c r="AS166" s="67">
        <f ca="1">IF(AND(SUMIF(Capacity_Resource,$D166,'Critical resources (hide)'!BF$6:BF$105)+SUMIF(Capacity_Resource,$E166,'Critical resources (hide)'!BF$6:BF$105)+SUMIF(Capacity_Resource,$F166,'Critical resources (hide)'!BF$6:BF$105)&gt;0,$E$1=2),0,1)</f>
        <v>1</v>
      </c>
      <c r="AT166" s="67">
        <f ca="1">IF(AND(SUMIF(Capacity_Resource,$D166,'Critical resources (hide)'!BG$6:BG$105)+SUMIF(Capacity_Resource,$E166,'Critical resources (hide)'!BG$6:BG$105)+SUMIF(Capacity_Resource,$F166,'Critical resources (hide)'!BG$6:BG$105)&gt;0,$E$1=2),0,1)</f>
        <v>1</v>
      </c>
      <c r="AU166" s="67">
        <f ca="1">IF(AND(SUMIF(Capacity_Resource,$D166,'Critical resources (hide)'!BH$6:BH$105)+SUMIF(Capacity_Resource,$E166,'Critical resources (hide)'!BH$6:BH$105)+SUMIF(Capacity_Resource,$F166,'Critical resources (hide)'!BH$6:BH$105)&gt;0,$E$1=2),0,1)</f>
        <v>1</v>
      </c>
      <c r="AV166" s="67">
        <f ca="1">IF(AND(SUMIF(Capacity_Resource,$D166,'Critical resources (hide)'!BI$6:BI$105)+SUMIF(Capacity_Resource,$E166,'Critical resources (hide)'!BI$6:BI$105)+SUMIF(Capacity_Resource,$F166,'Critical resources (hide)'!BI$6:BI$105)&gt;0,$E$1=2),0,1)</f>
        <v>1</v>
      </c>
      <c r="AW166" s="67">
        <f ca="1">IF(AND(SUMIF(Capacity_Resource,$D166,'Critical resources (hide)'!BJ$6:BJ$105)+SUMIF(Capacity_Resource,$E166,'Critical resources (hide)'!BJ$6:BJ$105)+SUMIF(Capacity_Resource,$F166,'Critical resources (hide)'!BJ$6:BJ$105)&gt;0,$E$1=2),0,1)</f>
        <v>1</v>
      </c>
      <c r="AX166" s="67">
        <f ca="1">IF(AND(SUMIF(Capacity_Resource,$D166,'Critical resources (hide)'!BK$6:BK$105)+SUMIF(Capacity_Resource,$E166,'Critical resources (hide)'!BK$6:BK$105)+SUMIF(Capacity_Resource,$F166,'Critical resources (hide)'!BK$6:BK$105)&gt;0,$E$1=2),0,1)</f>
        <v>1</v>
      </c>
      <c r="AY166" s="67">
        <f ca="1">IF(AND(SUMIF(Capacity_Resource,$D166,'Critical resources (hide)'!BL$6:BL$105)+SUMIF(Capacity_Resource,$E166,'Critical resources (hide)'!BL$6:BL$105)+SUMIF(Capacity_Resource,$F166,'Critical resources (hide)'!BL$6:BL$105)&gt;0,$E$1=2),0,1)</f>
        <v>1</v>
      </c>
      <c r="AZ166" s="67">
        <f ca="1">IF(AND(SUMIF(Capacity_Resource,$D166,'Critical resources (hide)'!BM$6:BM$105)+SUMIF(Capacity_Resource,$E166,'Critical resources (hide)'!BM$6:BM$105)+SUMIF(Capacity_Resource,$F166,'Critical resources (hide)'!BM$6:BM$105)&gt;0,$E$1=2),0,1)</f>
        <v>1</v>
      </c>
      <c r="BA166" s="67">
        <f ca="1">IF(AND(SUMIF(Capacity_Resource,$D166,'Critical resources (hide)'!BN$6:BN$105)+SUMIF(Capacity_Resource,$E166,'Critical resources (hide)'!BN$6:BN$105)+SUMIF(Capacity_Resource,$F166,'Critical resources (hide)'!BN$6:BN$105)&gt;0,$E$1=2),0,1)</f>
        <v>1</v>
      </c>
      <c r="BB166" s="67">
        <f ca="1">IF(AND(SUMIF(Capacity_Resource,$D166,'Critical resources (hide)'!BO$6:BO$105)+SUMIF(Capacity_Resource,$E166,'Critical resources (hide)'!BO$6:BO$105)+SUMIF(Capacity_Resource,$F166,'Critical resources (hide)'!BO$6:BO$105)&gt;0,$E$1=2),0,1)</f>
        <v>1</v>
      </c>
      <c r="BC166" s="67">
        <f ca="1">IF(AND(SUMIF(Capacity_Resource,$D166,'Critical resources (hide)'!BP$6:BP$105)+SUMIF(Capacity_Resource,$E166,'Critical resources (hide)'!BP$6:BP$105)+SUMIF(Capacity_Resource,$F166,'Critical resources (hide)'!BP$6:BP$105)&gt;0,$E$1=2),0,1)</f>
        <v>1</v>
      </c>
      <c r="BD166" s="67">
        <f ca="1">IF(AND(SUMIF(Capacity_Resource,$D166,'Critical resources (hide)'!BQ$6:BQ$105)+SUMIF(Capacity_Resource,$E166,'Critical resources (hide)'!BQ$6:BQ$105)+SUMIF(Capacity_Resource,$F166,'Critical resources (hide)'!BQ$6:BQ$105)&gt;0,$E$1=2),0,1)</f>
        <v>1</v>
      </c>
      <c r="BE166" s="67">
        <f ca="1">IF(AND(SUMIF(Capacity_Resource,$D166,'Critical resources (hide)'!BR$6:BR$105)+SUMIF(Capacity_Resource,$E166,'Critical resources (hide)'!BR$6:BR$105)+SUMIF(Capacity_Resource,$F166,'Critical resources (hide)'!BR$6:BR$105)&gt;0,$E$1=2),0,1)</f>
        <v>1</v>
      </c>
      <c r="BF166" s="67">
        <f ca="1">IF(AND(SUMIF(Capacity_Resource,$D166,'Critical resources (hide)'!BS$6:BS$105)+SUMIF(Capacity_Resource,$E166,'Critical resources (hide)'!BS$6:BS$105)+SUMIF(Capacity_Resource,$F166,'Critical resources (hide)'!BS$6:BS$105)&gt;0,$E$1=2),0,1)</f>
        <v>1</v>
      </c>
      <c r="BG166" s="67">
        <f ca="1">IF(AND(SUMIF(Capacity_Resource,$D166,'Critical resources (hide)'!BT$6:BT$105)+SUMIF(Capacity_Resource,$E166,'Critical resources (hide)'!BT$6:BT$105)+SUMIF(Capacity_Resource,$F166,'Critical resources (hide)'!BT$6:BT$105)&gt;0,$E$1=2),0,1)</f>
        <v>1</v>
      </c>
      <c r="BH166" s="67">
        <f>IF(ROW(A55)&lt;=Capacity!$M$16,IF('Capacity summary'!$C$14="No",SUM(H166:BG166),'Capacity summary'!$E78),0)</f>
        <v>0</v>
      </c>
      <c r="BI166" s="67" t="str">
        <f>IF(BH166&gt;0,IF(BH166&lt;Capacity!Q71,Capacity!R71,Capacity!T71/'Capacity calculation (hide)'!BH166),"")</f>
        <v/>
      </c>
      <c r="BJ166" s="5"/>
      <c r="BK166" s="5">
        <f>IF($BI166&lt;&gt;"",IF('Capacity summary'!$C$14="Yes",IF(COUNTBLANK('Capacity summary'!$H78:$BG78)&lt;52,IF('Capacity summary'!H78&lt;&gt;"",IF(LOWER('Capacity summary'!H78)="x",$BI166*H166,VALUE('Capacity summary'!H78)),0),H166*$BI166),H166*$BI166),0)</f>
        <v>0</v>
      </c>
      <c r="BL166" s="5">
        <f>IF($BI166&lt;&gt;"",IF('Capacity summary'!$C$14="Yes",IF(COUNTBLANK('Capacity summary'!$H78:$BG78)&lt;52,IF('Capacity summary'!I78&lt;&gt;"",IF(LOWER('Capacity summary'!I78)="x",$BI166*I166,VALUE('Capacity summary'!I78)),0),I166*$BI166),I166*$BI166),0)</f>
        <v>0</v>
      </c>
      <c r="BM166" s="5">
        <f>IF($BI166&lt;&gt;"",IF('Capacity summary'!$C$14="Yes",IF(COUNTBLANK('Capacity summary'!$H78:$BG78)&lt;52,IF('Capacity summary'!J78&lt;&gt;"",IF(LOWER('Capacity summary'!J78)="x",$BI166*J166,VALUE('Capacity summary'!J78)),0),J166*$BI166),J166*$BI166),0)</f>
        <v>0</v>
      </c>
      <c r="BN166" s="5">
        <f>IF($BI166&lt;&gt;"",IF('Capacity summary'!$C$14="Yes",IF(COUNTBLANK('Capacity summary'!$H78:$BG78)&lt;52,IF('Capacity summary'!K78&lt;&gt;"",IF(LOWER('Capacity summary'!K78)="x",$BI166*K166,VALUE('Capacity summary'!K78)),0),K166*$BI166),K166*$BI166),0)</f>
        <v>0</v>
      </c>
      <c r="BO166" s="5">
        <f>IF($BI166&lt;&gt;"",IF('Capacity summary'!$C$14="Yes",IF(COUNTBLANK('Capacity summary'!$H78:$BG78)&lt;52,IF('Capacity summary'!L78&lt;&gt;"",IF(LOWER('Capacity summary'!L78)="x",$BI166*L166,VALUE('Capacity summary'!L78)),0),L166*$BI166),L166*$BI166),0)</f>
        <v>0</v>
      </c>
      <c r="BP166" s="5">
        <f>IF($BI166&lt;&gt;"",IF('Capacity summary'!$C$14="Yes",IF(COUNTBLANK('Capacity summary'!$H78:$BG78)&lt;52,IF('Capacity summary'!M78&lt;&gt;"",IF(LOWER('Capacity summary'!M78)="x",$BI166*M166,VALUE('Capacity summary'!M78)),0),M166*$BI166),M166*$BI166),0)</f>
        <v>0</v>
      </c>
      <c r="BQ166" s="5">
        <f>IF($BI166&lt;&gt;"",IF('Capacity summary'!$C$14="Yes",IF(COUNTBLANK('Capacity summary'!$H78:$BG78)&lt;52,IF('Capacity summary'!N78&lt;&gt;"",IF(LOWER('Capacity summary'!N78)="x",$BI166*N166,VALUE('Capacity summary'!N78)),0),N166*$BI166),N166*$BI166),0)</f>
        <v>0</v>
      </c>
      <c r="BR166" s="5">
        <f>IF($BI166&lt;&gt;"",IF('Capacity summary'!$C$14="Yes",IF(COUNTBLANK('Capacity summary'!$H78:$BG78)&lt;52,IF('Capacity summary'!O78&lt;&gt;"",IF(LOWER('Capacity summary'!O78)="x",$BI166*O166,VALUE('Capacity summary'!O78)),0),O166*$BI166),O166*$BI166),0)</f>
        <v>0</v>
      </c>
      <c r="BS166" s="5">
        <f>IF($BI166&lt;&gt;"",IF('Capacity summary'!$C$14="Yes",IF(COUNTBLANK('Capacity summary'!$H78:$BG78)&lt;52,IF('Capacity summary'!P78&lt;&gt;"",IF(LOWER('Capacity summary'!P78)="x",$BI166*P166,VALUE('Capacity summary'!P78)),0),P166*$BI166),P166*$BI166),0)</f>
        <v>0</v>
      </c>
      <c r="BT166" s="5">
        <f>IF($BI166&lt;&gt;"",IF('Capacity summary'!$C$14="Yes",IF(COUNTBLANK('Capacity summary'!$H78:$BG78)&lt;52,IF('Capacity summary'!Q78&lt;&gt;"",IF(LOWER('Capacity summary'!Q78)="x",$BI166*Q166,VALUE('Capacity summary'!Q78)),0),Q166*$BI166),Q166*$BI166),0)</f>
        <v>0</v>
      </c>
      <c r="BU166" s="5">
        <f>IF($BI166&lt;&gt;"",IF('Capacity summary'!$C$14="Yes",IF(COUNTBLANK('Capacity summary'!$H78:$BG78)&lt;52,IF('Capacity summary'!R78&lt;&gt;"",IF(LOWER('Capacity summary'!R78)="x",$BI166*R166,VALUE('Capacity summary'!R78)),0),R166*$BI166),R166*$BI166),0)</f>
        <v>0</v>
      </c>
      <c r="BV166" s="5">
        <f>IF($BI166&lt;&gt;"",IF('Capacity summary'!$C$14="Yes",IF(COUNTBLANK('Capacity summary'!$H78:$BG78)&lt;52,IF('Capacity summary'!S78&lt;&gt;"",IF(LOWER('Capacity summary'!S78)="x",$BI166*S166,VALUE('Capacity summary'!S78)),0),S166*$BI166),S166*$BI166),0)</f>
        <v>0</v>
      </c>
      <c r="BW166" s="5">
        <f>IF($BI166&lt;&gt;"",IF('Capacity summary'!$C$14="Yes",IF(COUNTBLANK('Capacity summary'!$H78:$BG78)&lt;52,IF('Capacity summary'!T78&lt;&gt;"",IF(LOWER('Capacity summary'!T78)="x",$BI166*T166,VALUE('Capacity summary'!T78)),0),T166*$BI166),T166*$BI166),0)</f>
        <v>0</v>
      </c>
      <c r="BX166" s="5">
        <f>IF($BI166&lt;&gt;"",IF('Capacity summary'!$C$14="Yes",IF(COUNTBLANK('Capacity summary'!$H78:$BG78)&lt;52,IF('Capacity summary'!U78&lt;&gt;"",IF(LOWER('Capacity summary'!U78)="x",$BI166*U166,VALUE('Capacity summary'!U78)),0),U166*$BI166),U166*$BI166),0)</f>
        <v>0</v>
      </c>
      <c r="BY166" s="5">
        <f>IF($BI166&lt;&gt;"",IF('Capacity summary'!$C$14="Yes",IF(COUNTBLANK('Capacity summary'!$H78:$BG78)&lt;52,IF('Capacity summary'!V78&lt;&gt;"",IF(LOWER('Capacity summary'!V78)="x",$BI166*V166,VALUE('Capacity summary'!V78)),0),V166*$BI166),V166*$BI166),0)</f>
        <v>0</v>
      </c>
      <c r="BZ166" s="5">
        <f>IF($BI166&lt;&gt;"",IF('Capacity summary'!$C$14="Yes",IF(COUNTBLANK('Capacity summary'!$H78:$BG78)&lt;52,IF('Capacity summary'!W78&lt;&gt;"",IF(LOWER('Capacity summary'!W78)="x",$BI166*W166,VALUE('Capacity summary'!W78)),0),W166*$BI166),W166*$BI166),0)</f>
        <v>0</v>
      </c>
      <c r="CA166" s="5">
        <f>IF($BI166&lt;&gt;"",IF('Capacity summary'!$C$14="Yes",IF(COUNTBLANK('Capacity summary'!$H78:$BG78)&lt;52,IF('Capacity summary'!X78&lt;&gt;"",IF(LOWER('Capacity summary'!X78)="x",$BI166*X166,VALUE('Capacity summary'!X78)),0),X166*$BI166),X166*$BI166),0)</f>
        <v>0</v>
      </c>
      <c r="CB166" s="5">
        <f>IF($BI166&lt;&gt;"",IF('Capacity summary'!$C$14="Yes",IF(COUNTBLANK('Capacity summary'!$H78:$BG78)&lt;52,IF('Capacity summary'!Y78&lt;&gt;"",IF(LOWER('Capacity summary'!Y78)="x",$BI166*Y166,VALUE('Capacity summary'!Y78)),0),Y166*$BI166),Y166*$BI166),0)</f>
        <v>0</v>
      </c>
      <c r="CC166" s="5">
        <f>IF($BI166&lt;&gt;"",IF('Capacity summary'!$C$14="Yes",IF(COUNTBLANK('Capacity summary'!$H78:$BG78)&lt;52,IF('Capacity summary'!Z78&lt;&gt;"",IF(LOWER('Capacity summary'!Z78)="x",$BI166*Z166,VALUE('Capacity summary'!Z78)),0),Z166*$BI166),Z166*$BI166),0)</f>
        <v>0</v>
      </c>
      <c r="CD166" s="5">
        <f>IF($BI166&lt;&gt;"",IF('Capacity summary'!$C$14="Yes",IF(COUNTBLANK('Capacity summary'!$H78:$BG78)&lt;52,IF('Capacity summary'!AA78&lt;&gt;"",IF(LOWER('Capacity summary'!AA78)="x",$BI166*AA166,VALUE('Capacity summary'!AA78)),0),AA166*$BI166),AA166*$BI166),0)</f>
        <v>0</v>
      </c>
      <c r="CE166" s="5">
        <f>IF($BI166&lt;&gt;"",IF('Capacity summary'!$C$14="Yes",IF(COUNTBLANK('Capacity summary'!$H78:$BG78)&lt;52,IF('Capacity summary'!AB78&lt;&gt;"",IF(LOWER('Capacity summary'!AB78)="x",$BI166*AB166,VALUE('Capacity summary'!AB78)),0),AB166*$BI166),AB166*$BI166),0)</f>
        <v>0</v>
      </c>
      <c r="CF166" s="5">
        <f>IF($BI166&lt;&gt;"",IF('Capacity summary'!$C$14="Yes",IF(COUNTBLANK('Capacity summary'!$H78:$BG78)&lt;52,IF('Capacity summary'!AC78&lt;&gt;"",IF(LOWER('Capacity summary'!AC78)="x",$BI166*AC166,VALUE('Capacity summary'!AC78)),0),AC166*$BI166),AC166*$BI166),0)</f>
        <v>0</v>
      </c>
      <c r="CG166" s="5">
        <f>IF($BI166&lt;&gt;"",IF('Capacity summary'!$C$14="Yes",IF(COUNTBLANK('Capacity summary'!$H78:$BG78)&lt;52,IF('Capacity summary'!AD78&lt;&gt;"",IF(LOWER('Capacity summary'!AD78)="x",$BI166*AD166,VALUE('Capacity summary'!AD78)),0),AD166*$BI166),AD166*$BI166),0)</f>
        <v>0</v>
      </c>
      <c r="CH166" s="5">
        <f>IF($BI166&lt;&gt;"",IF('Capacity summary'!$C$14="Yes",IF(COUNTBLANK('Capacity summary'!$H78:$BG78)&lt;52,IF('Capacity summary'!AE78&lt;&gt;"",IF(LOWER('Capacity summary'!AE78)="x",$BI166*AE166,VALUE('Capacity summary'!AE78)),0),AE166*$BI166),AE166*$BI166),0)</f>
        <v>0</v>
      </c>
      <c r="CI166" s="5">
        <f>IF($BI166&lt;&gt;"",IF('Capacity summary'!$C$14="Yes",IF(COUNTBLANK('Capacity summary'!$H78:$BG78)&lt;52,IF('Capacity summary'!AF78&lt;&gt;"",IF(LOWER('Capacity summary'!AF78)="x",$BI166*AF166,VALUE('Capacity summary'!AF78)),0),AF166*$BI166),AF166*$BI166),0)</f>
        <v>0</v>
      </c>
      <c r="CJ166" s="5">
        <f>IF($BI166&lt;&gt;"",IF('Capacity summary'!$C$14="Yes",IF(COUNTBLANK('Capacity summary'!$H78:$BG78)&lt;52,IF('Capacity summary'!AG78&lt;&gt;"",IF(LOWER('Capacity summary'!AG78)="x",$BI166*AG166,VALUE('Capacity summary'!AG78)),0),AG166*$BI166),AG166*$BI166),0)</f>
        <v>0</v>
      </c>
      <c r="CK166" s="5">
        <f>IF($BI166&lt;&gt;"",IF('Capacity summary'!$C$14="Yes",IF(COUNTBLANK('Capacity summary'!$H78:$BG78)&lt;52,IF('Capacity summary'!AH78&lt;&gt;"",IF(LOWER('Capacity summary'!AH78)="x",$BI166*AH166,VALUE('Capacity summary'!AH78)),0),AH166*$BI166),AH166*$BI166),0)</f>
        <v>0</v>
      </c>
      <c r="CL166" s="5">
        <f>IF($BI166&lt;&gt;"",IF('Capacity summary'!$C$14="Yes",IF(COUNTBLANK('Capacity summary'!$H78:$BG78)&lt;52,IF('Capacity summary'!AI78&lt;&gt;"",IF(LOWER('Capacity summary'!AI78)="x",$BI166*AI166,VALUE('Capacity summary'!AI78)),0),AI166*$BI166),AI166*$BI166),0)</f>
        <v>0</v>
      </c>
      <c r="CM166" s="5">
        <f>IF($BI166&lt;&gt;"",IF('Capacity summary'!$C$14="Yes",IF(COUNTBLANK('Capacity summary'!$H78:$BG78)&lt;52,IF('Capacity summary'!AJ78&lt;&gt;"",IF(LOWER('Capacity summary'!AJ78)="x",$BI166*AJ166,VALUE('Capacity summary'!AJ78)),0),AJ166*$BI166),AJ166*$BI166),0)</f>
        <v>0</v>
      </c>
      <c r="CN166" s="5">
        <f>IF($BI166&lt;&gt;"",IF('Capacity summary'!$C$14="Yes",IF(COUNTBLANK('Capacity summary'!$H78:$BG78)&lt;52,IF('Capacity summary'!AK78&lt;&gt;"",IF(LOWER('Capacity summary'!AK78)="x",$BI166*AK166,VALUE('Capacity summary'!AK78)),0),AK166*$BI166),AK166*$BI166),0)</f>
        <v>0</v>
      </c>
      <c r="CO166" s="5">
        <f>IF($BI166&lt;&gt;"",IF('Capacity summary'!$C$14="Yes",IF(COUNTBLANK('Capacity summary'!$H78:$BG78)&lt;52,IF('Capacity summary'!AL78&lt;&gt;"",IF(LOWER('Capacity summary'!AL78)="x",$BI166*AL166,VALUE('Capacity summary'!AL78)),0),AL166*$BI166),AL166*$BI166),0)</f>
        <v>0</v>
      </c>
      <c r="CP166" s="5">
        <f>IF($BI166&lt;&gt;"",IF('Capacity summary'!$C$14="Yes",IF(COUNTBLANK('Capacity summary'!$H78:$BG78)&lt;52,IF('Capacity summary'!AM78&lt;&gt;"",IF(LOWER('Capacity summary'!AM78)="x",$BI166*AM166,VALUE('Capacity summary'!AM78)),0),AM166*$BI166),AM166*$BI166),0)</f>
        <v>0</v>
      </c>
      <c r="CQ166" s="5">
        <f>IF($BI166&lt;&gt;"",IF('Capacity summary'!$C$14="Yes",IF(COUNTBLANK('Capacity summary'!$H78:$BG78)&lt;52,IF('Capacity summary'!AN78&lt;&gt;"",IF(LOWER('Capacity summary'!AN78)="x",$BI166*AN166,VALUE('Capacity summary'!AN78)),0),AN166*$BI166),AN166*$BI166),0)</f>
        <v>0</v>
      </c>
      <c r="CR166" s="5">
        <f>IF($BI166&lt;&gt;"",IF('Capacity summary'!$C$14="Yes",IF(COUNTBLANK('Capacity summary'!$H78:$BG78)&lt;52,IF('Capacity summary'!AO78&lt;&gt;"",IF(LOWER('Capacity summary'!AO78)="x",$BI166*AO166,VALUE('Capacity summary'!AO78)),0),AO166*$BI166),AO166*$BI166),0)</f>
        <v>0</v>
      </c>
      <c r="CS166" s="5">
        <f>IF($BI166&lt;&gt;"",IF('Capacity summary'!$C$14="Yes",IF(COUNTBLANK('Capacity summary'!$H78:$BG78)&lt;52,IF('Capacity summary'!AP78&lt;&gt;"",IF(LOWER('Capacity summary'!AP78)="x",$BI166*AP166,VALUE('Capacity summary'!AP78)),0),AP166*$BI166),AP166*$BI166),0)</f>
        <v>0</v>
      </c>
      <c r="CT166" s="5">
        <f>IF($BI166&lt;&gt;"",IF('Capacity summary'!$C$14="Yes",IF(COUNTBLANK('Capacity summary'!$H78:$BG78)&lt;52,IF('Capacity summary'!AQ78&lt;&gt;"",IF(LOWER('Capacity summary'!AQ78)="x",$BI166*AQ166,VALUE('Capacity summary'!AQ78)),0),AQ166*$BI166),AQ166*$BI166),0)</f>
        <v>0</v>
      </c>
      <c r="CU166" s="5">
        <f>IF($BI166&lt;&gt;"",IF('Capacity summary'!$C$14="Yes",IF(COUNTBLANK('Capacity summary'!$H78:$BG78)&lt;52,IF('Capacity summary'!AR78&lt;&gt;"",IF(LOWER('Capacity summary'!AR78)="x",$BI166*AR166,VALUE('Capacity summary'!AR78)),0),AR166*$BI166),AR166*$BI166),0)</f>
        <v>0</v>
      </c>
      <c r="CV166" s="5">
        <f>IF($BI166&lt;&gt;"",IF('Capacity summary'!$C$14="Yes",IF(COUNTBLANK('Capacity summary'!$H78:$BG78)&lt;52,IF('Capacity summary'!AS78&lt;&gt;"",IF(LOWER('Capacity summary'!AS78)="x",$BI166*AS166,VALUE('Capacity summary'!AS78)),0),AS166*$BI166),AS166*$BI166),0)</f>
        <v>0</v>
      </c>
      <c r="CW166" s="5">
        <f>IF($BI166&lt;&gt;"",IF('Capacity summary'!$C$14="Yes",IF(COUNTBLANK('Capacity summary'!$H78:$BG78)&lt;52,IF('Capacity summary'!AT78&lt;&gt;"",IF(LOWER('Capacity summary'!AT78)="x",$BI166*AT166,VALUE('Capacity summary'!AT78)),0),AT166*$BI166),AT166*$BI166),0)</f>
        <v>0</v>
      </c>
      <c r="CX166" s="5">
        <f>IF($BI166&lt;&gt;"",IF('Capacity summary'!$C$14="Yes",IF(COUNTBLANK('Capacity summary'!$H78:$BG78)&lt;52,IF('Capacity summary'!AU78&lt;&gt;"",IF(LOWER('Capacity summary'!AU78)="x",$BI166*AU166,VALUE('Capacity summary'!AU78)),0),AU166*$BI166),AU166*$BI166),0)</f>
        <v>0</v>
      </c>
      <c r="CY166" s="5">
        <f>IF($BI166&lt;&gt;"",IF('Capacity summary'!$C$14="Yes",IF(COUNTBLANK('Capacity summary'!$H78:$BG78)&lt;52,IF('Capacity summary'!AV78&lt;&gt;"",IF(LOWER('Capacity summary'!AV78)="x",$BI166*AV166,VALUE('Capacity summary'!AV78)),0),AV166*$BI166),AV166*$BI166),0)</f>
        <v>0</v>
      </c>
      <c r="CZ166" s="5">
        <f>IF($BI166&lt;&gt;"",IF('Capacity summary'!$C$14="Yes",IF(COUNTBLANK('Capacity summary'!$H78:$BG78)&lt;52,IF('Capacity summary'!AW78&lt;&gt;"",IF(LOWER('Capacity summary'!AW78)="x",$BI166*AW166,VALUE('Capacity summary'!AW78)),0),AW166*$BI166),AW166*$BI166),0)</f>
        <v>0</v>
      </c>
      <c r="DA166" s="5">
        <f>IF($BI166&lt;&gt;"",IF('Capacity summary'!$C$14="Yes",IF(COUNTBLANK('Capacity summary'!$H78:$BG78)&lt;52,IF('Capacity summary'!AX78&lt;&gt;"",IF(LOWER('Capacity summary'!AX78)="x",$BI166*AX166,VALUE('Capacity summary'!AX78)),0),AX166*$BI166),AX166*$BI166),0)</f>
        <v>0</v>
      </c>
      <c r="DB166" s="5">
        <f>IF($BI166&lt;&gt;"",IF('Capacity summary'!$C$14="Yes",IF(COUNTBLANK('Capacity summary'!$H78:$BG78)&lt;52,IF('Capacity summary'!AY78&lt;&gt;"",IF(LOWER('Capacity summary'!AY78)="x",$BI166*AY166,VALUE('Capacity summary'!AY78)),0),AY166*$BI166),AY166*$BI166),0)</f>
        <v>0</v>
      </c>
      <c r="DC166" s="5">
        <f>IF($BI166&lt;&gt;"",IF('Capacity summary'!$C$14="Yes",IF(COUNTBLANK('Capacity summary'!$H78:$BG78)&lt;52,IF('Capacity summary'!AZ78&lt;&gt;"",IF(LOWER('Capacity summary'!AZ78)="x",$BI166*AZ166,VALUE('Capacity summary'!AZ78)),0),AZ166*$BI166),AZ166*$BI166),0)</f>
        <v>0</v>
      </c>
      <c r="DD166" s="5">
        <f>IF($BI166&lt;&gt;"",IF('Capacity summary'!$C$14="Yes",IF(COUNTBLANK('Capacity summary'!$H78:$BG78)&lt;52,IF('Capacity summary'!BA78&lt;&gt;"",IF(LOWER('Capacity summary'!BA78)="x",$BI166*BA166,VALUE('Capacity summary'!BA78)),0),BA166*$BI166),BA166*$BI166),0)</f>
        <v>0</v>
      </c>
      <c r="DE166" s="5">
        <f>IF($BI166&lt;&gt;"",IF('Capacity summary'!$C$14="Yes",IF(COUNTBLANK('Capacity summary'!$H78:$BG78)&lt;52,IF('Capacity summary'!BB78&lt;&gt;"",IF(LOWER('Capacity summary'!BB78)="x",$BI166*BB166,VALUE('Capacity summary'!BB78)),0),BB166*$BI166),BB166*$BI166),0)</f>
        <v>0</v>
      </c>
      <c r="DF166" s="5">
        <f>IF($BI166&lt;&gt;"",IF('Capacity summary'!$C$14="Yes",IF(COUNTBLANK('Capacity summary'!$H78:$BG78)&lt;52,IF('Capacity summary'!BC78&lt;&gt;"",IF(LOWER('Capacity summary'!BC78)="x",$BI166*BC166,VALUE('Capacity summary'!BC78)),0),BC166*$BI166),BC166*$BI166),0)</f>
        <v>0</v>
      </c>
      <c r="DG166" s="5">
        <f>IF($BI166&lt;&gt;"",IF('Capacity summary'!$C$14="Yes",IF(COUNTBLANK('Capacity summary'!$H78:$BG78)&lt;52,IF('Capacity summary'!BD78&lt;&gt;"",IF(LOWER('Capacity summary'!BD78)="x",$BI166*BD166,VALUE('Capacity summary'!BD78)),0),BD166*$BI166),BD166*$BI166),0)</f>
        <v>0</v>
      </c>
      <c r="DH166" s="5">
        <f>IF($BI166&lt;&gt;"",IF('Capacity summary'!$C$14="Yes",IF(COUNTBLANK('Capacity summary'!$H78:$BG78)&lt;52,IF('Capacity summary'!BE78&lt;&gt;"",IF(LOWER('Capacity summary'!BE78)="x",$BI166*BE166,VALUE('Capacity summary'!BE78)),0),BE166*$BI166),BE166*$BI166),0)</f>
        <v>0</v>
      </c>
      <c r="DI166" s="5">
        <f>IF($BI166&lt;&gt;"",IF('Capacity summary'!$C$14="Yes",IF(COUNTBLANK('Capacity summary'!$H78:$BG78)&lt;52,IF('Capacity summary'!BF78&lt;&gt;"",IF(LOWER('Capacity summary'!BF78)="x",$BI166*BF166,VALUE('Capacity summary'!BF78)),0),BF166*$BI166),BF166*$BI166),0)</f>
        <v>0</v>
      </c>
      <c r="DJ166" s="5">
        <f>IF($BI166&lt;&gt;"",IF('Capacity summary'!$C$14="Yes",IF(COUNTBLANK('Capacity summary'!$H78:$BG78)&lt;52,IF('Capacity summary'!BG78&lt;&gt;"",IF(LOWER('Capacity summary'!BG78)="x",$BI166*BG166,VALUE('Capacity summary'!BG78)),0),BG166*$BI166),BG166*$BI166),0)</f>
        <v>0</v>
      </c>
      <c r="DK166" s="5">
        <f t="shared" ref="DK166" si="60">SUM(DK167:DK266)</f>
        <v>0</v>
      </c>
    </row>
    <row r="167" spans="3:115" x14ac:dyDescent="0.25">
      <c r="C167" s="67" t="str">
        <f>ROW(A56)&amp;". "&amp;Capacity!N72</f>
        <v xml:space="preserve">56. </v>
      </c>
      <c r="D167" s="67">
        <f>'Capacity setup'!C173</f>
        <v>0</v>
      </c>
      <c r="E167" s="67">
        <f>'Capacity setup'!D173</f>
        <v>0</v>
      </c>
      <c r="F167" s="67">
        <f>'Capacity setup'!E173</f>
        <v>0</v>
      </c>
      <c r="H167" s="67">
        <f ca="1">IF(AND(SUMIF(Capacity_Resource,$D167,'Critical resources (hide)'!U$6:U$105)+SUMIF(Capacity_Resource,$E167,'Critical resources (hide)'!U$6:U$105)+SUMIF(Capacity_Resource,$F167,'Critical resources (hide)'!U$6:U$105)&gt;0,$E$1=2),0,1)</f>
        <v>1</v>
      </c>
      <c r="I167" s="67">
        <f ca="1">IF(AND(SUMIF(Capacity_Resource,$D167,'Critical resources (hide)'!V$6:V$105)+SUMIF(Capacity_Resource,$E167,'Critical resources (hide)'!V$6:V$105)+SUMIF(Capacity_Resource,$F167,'Critical resources (hide)'!V$6:V$105)&gt;0,$E$1=2),0,1)</f>
        <v>1</v>
      </c>
      <c r="J167" s="67">
        <f ca="1">IF(AND(SUMIF(Capacity_Resource,$D167,'Critical resources (hide)'!W$6:W$105)+SUMIF(Capacity_Resource,$E167,'Critical resources (hide)'!W$6:W$105)+SUMIF(Capacity_Resource,$F167,'Critical resources (hide)'!W$6:W$105)&gt;0,$E$1=2),0,1)</f>
        <v>1</v>
      </c>
      <c r="K167" s="67">
        <f ca="1">IF(AND(SUMIF(Capacity_Resource,$D167,'Critical resources (hide)'!X$6:X$105)+SUMIF(Capacity_Resource,$E167,'Critical resources (hide)'!X$6:X$105)+SUMIF(Capacity_Resource,$F167,'Critical resources (hide)'!X$6:X$105)&gt;0,$E$1=2),0,1)</f>
        <v>1</v>
      </c>
      <c r="L167" s="67">
        <f ca="1">IF(AND(SUMIF(Capacity_Resource,$D167,'Critical resources (hide)'!Y$6:Y$105)+SUMIF(Capacity_Resource,$E167,'Critical resources (hide)'!Y$6:Y$105)+SUMIF(Capacity_Resource,$F167,'Critical resources (hide)'!Y$6:Y$105)&gt;0,$E$1=2),0,1)</f>
        <v>1</v>
      </c>
      <c r="M167" s="67">
        <f ca="1">IF(AND(SUMIF(Capacity_Resource,$D167,'Critical resources (hide)'!Z$6:Z$105)+SUMIF(Capacity_Resource,$E167,'Critical resources (hide)'!Z$6:Z$105)+SUMIF(Capacity_Resource,$F167,'Critical resources (hide)'!Z$6:Z$105)&gt;0,$E$1=2),0,1)</f>
        <v>1</v>
      </c>
      <c r="N167" s="67">
        <f ca="1">IF(AND(SUMIF(Capacity_Resource,$D167,'Critical resources (hide)'!AA$6:AA$105)+SUMIF(Capacity_Resource,$E167,'Critical resources (hide)'!AA$6:AA$105)+SUMIF(Capacity_Resource,$F167,'Critical resources (hide)'!AA$6:AA$105)&gt;0,$E$1=2),0,1)</f>
        <v>1</v>
      </c>
      <c r="O167" s="67">
        <f ca="1">IF(AND(SUMIF(Capacity_Resource,$D167,'Critical resources (hide)'!AB$6:AB$105)+SUMIF(Capacity_Resource,$E167,'Critical resources (hide)'!AB$6:AB$105)+SUMIF(Capacity_Resource,$F167,'Critical resources (hide)'!AB$6:AB$105)&gt;0,$E$1=2),0,1)</f>
        <v>1</v>
      </c>
      <c r="P167" s="67">
        <f ca="1">IF(AND(SUMIF(Capacity_Resource,$D167,'Critical resources (hide)'!AC$6:AC$105)+SUMIF(Capacity_Resource,$E167,'Critical resources (hide)'!AC$6:AC$105)+SUMIF(Capacity_Resource,$F167,'Critical resources (hide)'!AC$6:AC$105)&gt;0,$E$1=2),0,1)</f>
        <v>1</v>
      </c>
      <c r="Q167" s="67">
        <f ca="1">IF(AND(SUMIF(Capacity_Resource,$D167,'Critical resources (hide)'!AD$6:AD$105)+SUMIF(Capacity_Resource,$E167,'Critical resources (hide)'!AD$6:AD$105)+SUMIF(Capacity_Resource,$F167,'Critical resources (hide)'!AD$6:AD$105)&gt;0,$E$1=2),0,1)</f>
        <v>1</v>
      </c>
      <c r="R167" s="67">
        <f ca="1">IF(AND(SUMIF(Capacity_Resource,$D167,'Critical resources (hide)'!AE$6:AE$105)+SUMIF(Capacity_Resource,$E167,'Critical resources (hide)'!AE$6:AE$105)+SUMIF(Capacity_Resource,$F167,'Critical resources (hide)'!AE$6:AE$105)&gt;0,$E$1=2),0,1)</f>
        <v>1</v>
      </c>
      <c r="S167" s="67">
        <f ca="1">IF(AND(SUMIF(Capacity_Resource,$D167,'Critical resources (hide)'!AF$6:AF$105)+SUMIF(Capacity_Resource,$E167,'Critical resources (hide)'!AF$6:AF$105)+SUMIF(Capacity_Resource,$F167,'Critical resources (hide)'!AF$6:AF$105)&gt;0,$E$1=2),0,1)</f>
        <v>1</v>
      </c>
      <c r="T167" s="67">
        <f ca="1">IF(AND(SUMIF(Capacity_Resource,$D167,'Critical resources (hide)'!AG$6:AG$105)+SUMIF(Capacity_Resource,$E167,'Critical resources (hide)'!AG$6:AG$105)+SUMIF(Capacity_Resource,$F167,'Critical resources (hide)'!AG$6:AG$105)&gt;0,$E$1=2),0,1)</f>
        <v>1</v>
      </c>
      <c r="U167" s="67">
        <f ca="1">IF(AND(SUMIF(Capacity_Resource,$D167,'Critical resources (hide)'!AH$6:AH$105)+SUMIF(Capacity_Resource,$E167,'Critical resources (hide)'!AH$6:AH$105)+SUMIF(Capacity_Resource,$F167,'Critical resources (hide)'!AH$6:AH$105)&gt;0,$E$1=2),0,1)</f>
        <v>1</v>
      </c>
      <c r="V167" s="67">
        <f ca="1">IF(AND(SUMIF(Capacity_Resource,$D167,'Critical resources (hide)'!AI$6:AI$105)+SUMIF(Capacity_Resource,$E167,'Critical resources (hide)'!AI$6:AI$105)+SUMIF(Capacity_Resource,$F167,'Critical resources (hide)'!AI$6:AI$105)&gt;0,$E$1=2),0,1)</f>
        <v>1</v>
      </c>
      <c r="W167" s="67">
        <f ca="1">IF(AND(SUMIF(Capacity_Resource,$D167,'Critical resources (hide)'!AJ$6:AJ$105)+SUMIF(Capacity_Resource,$E167,'Critical resources (hide)'!AJ$6:AJ$105)+SUMIF(Capacity_Resource,$F167,'Critical resources (hide)'!AJ$6:AJ$105)&gt;0,$E$1=2),0,1)</f>
        <v>1</v>
      </c>
      <c r="X167" s="67">
        <f ca="1">IF(AND(SUMIF(Capacity_Resource,$D167,'Critical resources (hide)'!AK$6:AK$105)+SUMIF(Capacity_Resource,$E167,'Critical resources (hide)'!AK$6:AK$105)+SUMIF(Capacity_Resource,$F167,'Critical resources (hide)'!AK$6:AK$105)&gt;0,$E$1=2),0,1)</f>
        <v>1</v>
      </c>
      <c r="Y167" s="67">
        <f ca="1">IF(AND(SUMIF(Capacity_Resource,$D167,'Critical resources (hide)'!AL$6:AL$105)+SUMIF(Capacity_Resource,$E167,'Critical resources (hide)'!AL$6:AL$105)+SUMIF(Capacity_Resource,$F167,'Critical resources (hide)'!AL$6:AL$105)&gt;0,$E$1=2),0,1)</f>
        <v>1</v>
      </c>
      <c r="Z167" s="67">
        <f ca="1">IF(AND(SUMIF(Capacity_Resource,$D167,'Critical resources (hide)'!AM$6:AM$105)+SUMIF(Capacity_Resource,$E167,'Critical resources (hide)'!AM$6:AM$105)+SUMIF(Capacity_Resource,$F167,'Critical resources (hide)'!AM$6:AM$105)&gt;0,$E$1=2),0,1)</f>
        <v>1</v>
      </c>
      <c r="AA167" s="67">
        <f ca="1">IF(AND(SUMIF(Capacity_Resource,$D167,'Critical resources (hide)'!AN$6:AN$105)+SUMIF(Capacity_Resource,$E167,'Critical resources (hide)'!AN$6:AN$105)+SUMIF(Capacity_Resource,$F167,'Critical resources (hide)'!AN$6:AN$105)&gt;0,$E$1=2),0,1)</f>
        <v>1</v>
      </c>
      <c r="AB167" s="67">
        <f ca="1">IF(AND(SUMIF(Capacity_Resource,$D167,'Critical resources (hide)'!AO$6:AO$105)+SUMIF(Capacity_Resource,$E167,'Critical resources (hide)'!AO$6:AO$105)+SUMIF(Capacity_Resource,$F167,'Critical resources (hide)'!AO$6:AO$105)&gt;0,$E$1=2),0,1)</f>
        <v>1</v>
      </c>
      <c r="AC167" s="67">
        <f ca="1">IF(AND(SUMIF(Capacity_Resource,$D167,'Critical resources (hide)'!AP$6:AP$105)+SUMIF(Capacity_Resource,$E167,'Critical resources (hide)'!AP$6:AP$105)+SUMIF(Capacity_Resource,$F167,'Critical resources (hide)'!AP$6:AP$105)&gt;0,$E$1=2),0,1)</f>
        <v>1</v>
      </c>
      <c r="AD167" s="67">
        <f ca="1">IF(AND(SUMIF(Capacity_Resource,$D167,'Critical resources (hide)'!AQ$6:AQ$105)+SUMIF(Capacity_Resource,$E167,'Critical resources (hide)'!AQ$6:AQ$105)+SUMIF(Capacity_Resource,$F167,'Critical resources (hide)'!AQ$6:AQ$105)&gt;0,$E$1=2),0,1)</f>
        <v>1</v>
      </c>
      <c r="AE167" s="67">
        <f ca="1">IF(AND(SUMIF(Capacity_Resource,$D167,'Critical resources (hide)'!AR$6:AR$105)+SUMIF(Capacity_Resource,$E167,'Critical resources (hide)'!AR$6:AR$105)+SUMIF(Capacity_Resource,$F167,'Critical resources (hide)'!AR$6:AR$105)&gt;0,$E$1=2),0,1)</f>
        <v>1</v>
      </c>
      <c r="AF167" s="67">
        <f ca="1">IF(AND(SUMIF(Capacity_Resource,$D167,'Critical resources (hide)'!AS$6:AS$105)+SUMIF(Capacity_Resource,$E167,'Critical resources (hide)'!AS$6:AS$105)+SUMIF(Capacity_Resource,$F167,'Critical resources (hide)'!AS$6:AS$105)&gt;0,$E$1=2),0,1)</f>
        <v>1</v>
      </c>
      <c r="AG167" s="67">
        <f ca="1">IF(AND(SUMIF(Capacity_Resource,$D167,'Critical resources (hide)'!AT$6:AT$105)+SUMIF(Capacity_Resource,$E167,'Critical resources (hide)'!AT$6:AT$105)+SUMIF(Capacity_Resource,$F167,'Critical resources (hide)'!AT$6:AT$105)&gt;0,$E$1=2),0,1)</f>
        <v>1</v>
      </c>
      <c r="AH167" s="67">
        <f ca="1">IF(AND(SUMIF(Capacity_Resource,$D167,'Critical resources (hide)'!AU$6:AU$105)+SUMIF(Capacity_Resource,$E167,'Critical resources (hide)'!AU$6:AU$105)+SUMIF(Capacity_Resource,$F167,'Critical resources (hide)'!AU$6:AU$105)&gt;0,$E$1=2),0,1)</f>
        <v>1</v>
      </c>
      <c r="AI167" s="67">
        <f ca="1">IF(AND(SUMIF(Capacity_Resource,$D167,'Critical resources (hide)'!AV$6:AV$105)+SUMIF(Capacity_Resource,$E167,'Critical resources (hide)'!AV$6:AV$105)+SUMIF(Capacity_Resource,$F167,'Critical resources (hide)'!AV$6:AV$105)&gt;0,$E$1=2),0,1)</f>
        <v>1</v>
      </c>
      <c r="AJ167" s="67">
        <f ca="1">IF(AND(SUMIF(Capacity_Resource,$D167,'Critical resources (hide)'!AW$6:AW$105)+SUMIF(Capacity_Resource,$E167,'Critical resources (hide)'!AW$6:AW$105)+SUMIF(Capacity_Resource,$F167,'Critical resources (hide)'!AW$6:AW$105)&gt;0,$E$1=2),0,1)</f>
        <v>1</v>
      </c>
      <c r="AK167" s="67">
        <f ca="1">IF(AND(SUMIF(Capacity_Resource,$D167,'Critical resources (hide)'!AX$6:AX$105)+SUMIF(Capacity_Resource,$E167,'Critical resources (hide)'!AX$6:AX$105)+SUMIF(Capacity_Resource,$F167,'Critical resources (hide)'!AX$6:AX$105)&gt;0,$E$1=2),0,1)</f>
        <v>1</v>
      </c>
      <c r="AL167" s="67">
        <f ca="1">IF(AND(SUMIF(Capacity_Resource,$D167,'Critical resources (hide)'!AY$6:AY$105)+SUMIF(Capacity_Resource,$E167,'Critical resources (hide)'!AY$6:AY$105)+SUMIF(Capacity_Resource,$F167,'Critical resources (hide)'!AY$6:AY$105)&gt;0,$E$1=2),0,1)</f>
        <v>1</v>
      </c>
      <c r="AM167" s="67">
        <f ca="1">IF(AND(SUMIF(Capacity_Resource,$D167,'Critical resources (hide)'!AZ$6:AZ$105)+SUMIF(Capacity_Resource,$E167,'Critical resources (hide)'!AZ$6:AZ$105)+SUMIF(Capacity_Resource,$F167,'Critical resources (hide)'!AZ$6:AZ$105)&gt;0,$E$1=2),0,1)</f>
        <v>1</v>
      </c>
      <c r="AN167" s="67">
        <f ca="1">IF(AND(SUMIF(Capacity_Resource,$D167,'Critical resources (hide)'!BA$6:BA$105)+SUMIF(Capacity_Resource,$E167,'Critical resources (hide)'!BA$6:BA$105)+SUMIF(Capacity_Resource,$F167,'Critical resources (hide)'!BA$6:BA$105)&gt;0,$E$1=2),0,1)</f>
        <v>1</v>
      </c>
      <c r="AO167" s="67">
        <f ca="1">IF(AND(SUMIF(Capacity_Resource,$D167,'Critical resources (hide)'!BB$6:BB$105)+SUMIF(Capacity_Resource,$E167,'Critical resources (hide)'!BB$6:BB$105)+SUMIF(Capacity_Resource,$F167,'Critical resources (hide)'!BB$6:BB$105)&gt;0,$E$1=2),0,1)</f>
        <v>1</v>
      </c>
      <c r="AP167" s="67">
        <f ca="1">IF(AND(SUMIF(Capacity_Resource,$D167,'Critical resources (hide)'!BC$6:BC$105)+SUMIF(Capacity_Resource,$E167,'Critical resources (hide)'!BC$6:BC$105)+SUMIF(Capacity_Resource,$F167,'Critical resources (hide)'!BC$6:BC$105)&gt;0,$E$1=2),0,1)</f>
        <v>1</v>
      </c>
      <c r="AQ167" s="67">
        <f ca="1">IF(AND(SUMIF(Capacity_Resource,$D167,'Critical resources (hide)'!BD$6:BD$105)+SUMIF(Capacity_Resource,$E167,'Critical resources (hide)'!BD$6:BD$105)+SUMIF(Capacity_Resource,$F167,'Critical resources (hide)'!BD$6:BD$105)&gt;0,$E$1=2),0,1)</f>
        <v>1</v>
      </c>
      <c r="AR167" s="67">
        <f ca="1">IF(AND(SUMIF(Capacity_Resource,$D167,'Critical resources (hide)'!BE$6:BE$105)+SUMIF(Capacity_Resource,$E167,'Critical resources (hide)'!BE$6:BE$105)+SUMIF(Capacity_Resource,$F167,'Critical resources (hide)'!BE$6:BE$105)&gt;0,$E$1=2),0,1)</f>
        <v>1</v>
      </c>
      <c r="AS167" s="67">
        <f ca="1">IF(AND(SUMIF(Capacity_Resource,$D167,'Critical resources (hide)'!BF$6:BF$105)+SUMIF(Capacity_Resource,$E167,'Critical resources (hide)'!BF$6:BF$105)+SUMIF(Capacity_Resource,$F167,'Critical resources (hide)'!BF$6:BF$105)&gt;0,$E$1=2),0,1)</f>
        <v>1</v>
      </c>
      <c r="AT167" s="67">
        <f ca="1">IF(AND(SUMIF(Capacity_Resource,$D167,'Critical resources (hide)'!BG$6:BG$105)+SUMIF(Capacity_Resource,$E167,'Critical resources (hide)'!BG$6:BG$105)+SUMIF(Capacity_Resource,$F167,'Critical resources (hide)'!BG$6:BG$105)&gt;0,$E$1=2),0,1)</f>
        <v>1</v>
      </c>
      <c r="AU167" s="67">
        <f ca="1">IF(AND(SUMIF(Capacity_Resource,$D167,'Critical resources (hide)'!BH$6:BH$105)+SUMIF(Capacity_Resource,$E167,'Critical resources (hide)'!BH$6:BH$105)+SUMIF(Capacity_Resource,$F167,'Critical resources (hide)'!BH$6:BH$105)&gt;0,$E$1=2),0,1)</f>
        <v>1</v>
      </c>
      <c r="AV167" s="67">
        <f ca="1">IF(AND(SUMIF(Capacity_Resource,$D167,'Critical resources (hide)'!BI$6:BI$105)+SUMIF(Capacity_Resource,$E167,'Critical resources (hide)'!BI$6:BI$105)+SUMIF(Capacity_Resource,$F167,'Critical resources (hide)'!BI$6:BI$105)&gt;0,$E$1=2),0,1)</f>
        <v>1</v>
      </c>
      <c r="AW167" s="67">
        <f ca="1">IF(AND(SUMIF(Capacity_Resource,$D167,'Critical resources (hide)'!BJ$6:BJ$105)+SUMIF(Capacity_Resource,$E167,'Critical resources (hide)'!BJ$6:BJ$105)+SUMIF(Capacity_Resource,$F167,'Critical resources (hide)'!BJ$6:BJ$105)&gt;0,$E$1=2),0,1)</f>
        <v>1</v>
      </c>
      <c r="AX167" s="67">
        <f ca="1">IF(AND(SUMIF(Capacity_Resource,$D167,'Critical resources (hide)'!BK$6:BK$105)+SUMIF(Capacity_Resource,$E167,'Critical resources (hide)'!BK$6:BK$105)+SUMIF(Capacity_Resource,$F167,'Critical resources (hide)'!BK$6:BK$105)&gt;0,$E$1=2),0,1)</f>
        <v>1</v>
      </c>
      <c r="AY167" s="67">
        <f ca="1">IF(AND(SUMIF(Capacity_Resource,$D167,'Critical resources (hide)'!BL$6:BL$105)+SUMIF(Capacity_Resource,$E167,'Critical resources (hide)'!BL$6:BL$105)+SUMIF(Capacity_Resource,$F167,'Critical resources (hide)'!BL$6:BL$105)&gt;0,$E$1=2),0,1)</f>
        <v>1</v>
      </c>
      <c r="AZ167" s="67">
        <f ca="1">IF(AND(SUMIF(Capacity_Resource,$D167,'Critical resources (hide)'!BM$6:BM$105)+SUMIF(Capacity_Resource,$E167,'Critical resources (hide)'!BM$6:BM$105)+SUMIF(Capacity_Resource,$F167,'Critical resources (hide)'!BM$6:BM$105)&gt;0,$E$1=2),0,1)</f>
        <v>1</v>
      </c>
      <c r="BA167" s="67">
        <f ca="1">IF(AND(SUMIF(Capacity_Resource,$D167,'Critical resources (hide)'!BN$6:BN$105)+SUMIF(Capacity_Resource,$E167,'Critical resources (hide)'!BN$6:BN$105)+SUMIF(Capacity_Resource,$F167,'Critical resources (hide)'!BN$6:BN$105)&gt;0,$E$1=2),0,1)</f>
        <v>1</v>
      </c>
      <c r="BB167" s="67">
        <f ca="1">IF(AND(SUMIF(Capacity_Resource,$D167,'Critical resources (hide)'!BO$6:BO$105)+SUMIF(Capacity_Resource,$E167,'Critical resources (hide)'!BO$6:BO$105)+SUMIF(Capacity_Resource,$F167,'Critical resources (hide)'!BO$6:BO$105)&gt;0,$E$1=2),0,1)</f>
        <v>1</v>
      </c>
      <c r="BC167" s="67">
        <f ca="1">IF(AND(SUMIF(Capacity_Resource,$D167,'Critical resources (hide)'!BP$6:BP$105)+SUMIF(Capacity_Resource,$E167,'Critical resources (hide)'!BP$6:BP$105)+SUMIF(Capacity_Resource,$F167,'Critical resources (hide)'!BP$6:BP$105)&gt;0,$E$1=2),0,1)</f>
        <v>1</v>
      </c>
      <c r="BD167" s="67">
        <f ca="1">IF(AND(SUMIF(Capacity_Resource,$D167,'Critical resources (hide)'!BQ$6:BQ$105)+SUMIF(Capacity_Resource,$E167,'Critical resources (hide)'!BQ$6:BQ$105)+SUMIF(Capacity_Resource,$F167,'Critical resources (hide)'!BQ$6:BQ$105)&gt;0,$E$1=2),0,1)</f>
        <v>1</v>
      </c>
      <c r="BE167" s="67">
        <f ca="1">IF(AND(SUMIF(Capacity_Resource,$D167,'Critical resources (hide)'!BR$6:BR$105)+SUMIF(Capacity_Resource,$E167,'Critical resources (hide)'!BR$6:BR$105)+SUMIF(Capacity_Resource,$F167,'Critical resources (hide)'!BR$6:BR$105)&gt;0,$E$1=2),0,1)</f>
        <v>1</v>
      </c>
      <c r="BF167" s="67">
        <f ca="1">IF(AND(SUMIF(Capacity_Resource,$D167,'Critical resources (hide)'!BS$6:BS$105)+SUMIF(Capacity_Resource,$E167,'Critical resources (hide)'!BS$6:BS$105)+SUMIF(Capacity_Resource,$F167,'Critical resources (hide)'!BS$6:BS$105)&gt;0,$E$1=2),0,1)</f>
        <v>1</v>
      </c>
      <c r="BG167" s="67">
        <f ca="1">IF(AND(SUMIF(Capacity_Resource,$D167,'Critical resources (hide)'!BT$6:BT$105)+SUMIF(Capacity_Resource,$E167,'Critical resources (hide)'!BT$6:BT$105)+SUMIF(Capacity_Resource,$F167,'Critical resources (hide)'!BT$6:BT$105)&gt;0,$E$1=2),0,1)</f>
        <v>1</v>
      </c>
      <c r="BH167" s="67">
        <f>IF(ROW(A56)&lt;=Capacity!$M$16,IF('Capacity summary'!$C$14="No",SUM(H167:BG167),'Capacity summary'!$E79),0)</f>
        <v>0</v>
      </c>
      <c r="BI167" s="67" t="str">
        <f>IF(BH167&gt;0,IF(BH167&lt;Capacity!Q72,Capacity!R72,Capacity!T72/'Capacity calculation (hide)'!BH167),"")</f>
        <v/>
      </c>
      <c r="BJ167" s="5"/>
      <c r="BK167" s="5">
        <f>IF($BI167&lt;&gt;"",IF('Capacity summary'!$C$14="Yes",IF(COUNTBLANK('Capacity summary'!$H79:$BG79)&lt;52,IF('Capacity summary'!H79&lt;&gt;"",IF(LOWER('Capacity summary'!H79)="x",$BI167*H167,VALUE('Capacity summary'!H79)),0),H167*$BI167),H167*$BI167),0)</f>
        <v>0</v>
      </c>
      <c r="BL167" s="5">
        <f>IF($BI167&lt;&gt;"",IF('Capacity summary'!$C$14="Yes",IF(COUNTBLANK('Capacity summary'!$H79:$BG79)&lt;52,IF('Capacity summary'!I79&lt;&gt;"",IF(LOWER('Capacity summary'!I79)="x",$BI167*I167,VALUE('Capacity summary'!I79)),0),I167*$BI167),I167*$BI167),0)</f>
        <v>0</v>
      </c>
      <c r="BM167" s="5">
        <f>IF($BI167&lt;&gt;"",IF('Capacity summary'!$C$14="Yes",IF(COUNTBLANK('Capacity summary'!$H79:$BG79)&lt;52,IF('Capacity summary'!J79&lt;&gt;"",IF(LOWER('Capacity summary'!J79)="x",$BI167*J167,VALUE('Capacity summary'!J79)),0),J167*$BI167),J167*$BI167),0)</f>
        <v>0</v>
      </c>
      <c r="BN167" s="5">
        <f>IF($BI167&lt;&gt;"",IF('Capacity summary'!$C$14="Yes",IF(COUNTBLANK('Capacity summary'!$H79:$BG79)&lt;52,IF('Capacity summary'!K79&lt;&gt;"",IF(LOWER('Capacity summary'!K79)="x",$BI167*K167,VALUE('Capacity summary'!K79)),0),K167*$BI167),K167*$BI167),0)</f>
        <v>0</v>
      </c>
      <c r="BO167" s="5">
        <f>IF($BI167&lt;&gt;"",IF('Capacity summary'!$C$14="Yes",IF(COUNTBLANK('Capacity summary'!$H79:$BG79)&lt;52,IF('Capacity summary'!L79&lt;&gt;"",IF(LOWER('Capacity summary'!L79)="x",$BI167*L167,VALUE('Capacity summary'!L79)),0),L167*$BI167),L167*$BI167),0)</f>
        <v>0</v>
      </c>
      <c r="BP167" s="5">
        <f>IF($BI167&lt;&gt;"",IF('Capacity summary'!$C$14="Yes",IF(COUNTBLANK('Capacity summary'!$H79:$BG79)&lt;52,IF('Capacity summary'!M79&lt;&gt;"",IF(LOWER('Capacity summary'!M79)="x",$BI167*M167,VALUE('Capacity summary'!M79)),0),M167*$BI167),M167*$BI167),0)</f>
        <v>0</v>
      </c>
      <c r="BQ167" s="5">
        <f>IF($BI167&lt;&gt;"",IF('Capacity summary'!$C$14="Yes",IF(COUNTBLANK('Capacity summary'!$H79:$BG79)&lt;52,IF('Capacity summary'!N79&lt;&gt;"",IF(LOWER('Capacity summary'!N79)="x",$BI167*N167,VALUE('Capacity summary'!N79)),0),N167*$BI167),N167*$BI167),0)</f>
        <v>0</v>
      </c>
      <c r="BR167" s="5">
        <f>IF($BI167&lt;&gt;"",IF('Capacity summary'!$C$14="Yes",IF(COUNTBLANK('Capacity summary'!$H79:$BG79)&lt;52,IF('Capacity summary'!O79&lt;&gt;"",IF(LOWER('Capacity summary'!O79)="x",$BI167*O167,VALUE('Capacity summary'!O79)),0),O167*$BI167),O167*$BI167),0)</f>
        <v>0</v>
      </c>
      <c r="BS167" s="5">
        <f>IF($BI167&lt;&gt;"",IF('Capacity summary'!$C$14="Yes",IF(COUNTBLANK('Capacity summary'!$H79:$BG79)&lt;52,IF('Capacity summary'!P79&lt;&gt;"",IF(LOWER('Capacity summary'!P79)="x",$BI167*P167,VALUE('Capacity summary'!P79)),0),P167*$BI167),P167*$BI167),0)</f>
        <v>0</v>
      </c>
      <c r="BT167" s="5">
        <f>IF($BI167&lt;&gt;"",IF('Capacity summary'!$C$14="Yes",IF(COUNTBLANK('Capacity summary'!$H79:$BG79)&lt;52,IF('Capacity summary'!Q79&lt;&gt;"",IF(LOWER('Capacity summary'!Q79)="x",$BI167*Q167,VALUE('Capacity summary'!Q79)),0),Q167*$BI167),Q167*$BI167),0)</f>
        <v>0</v>
      </c>
      <c r="BU167" s="5">
        <f>IF($BI167&lt;&gt;"",IF('Capacity summary'!$C$14="Yes",IF(COUNTBLANK('Capacity summary'!$H79:$BG79)&lt;52,IF('Capacity summary'!R79&lt;&gt;"",IF(LOWER('Capacity summary'!R79)="x",$BI167*R167,VALUE('Capacity summary'!R79)),0),R167*$BI167),R167*$BI167),0)</f>
        <v>0</v>
      </c>
      <c r="BV167" s="5">
        <f>IF($BI167&lt;&gt;"",IF('Capacity summary'!$C$14="Yes",IF(COUNTBLANK('Capacity summary'!$H79:$BG79)&lt;52,IF('Capacity summary'!S79&lt;&gt;"",IF(LOWER('Capacity summary'!S79)="x",$BI167*S167,VALUE('Capacity summary'!S79)),0),S167*$BI167),S167*$BI167),0)</f>
        <v>0</v>
      </c>
      <c r="BW167" s="5">
        <f>IF($BI167&lt;&gt;"",IF('Capacity summary'!$C$14="Yes",IF(COUNTBLANK('Capacity summary'!$H79:$BG79)&lt;52,IF('Capacity summary'!T79&lt;&gt;"",IF(LOWER('Capacity summary'!T79)="x",$BI167*T167,VALUE('Capacity summary'!T79)),0),T167*$BI167),T167*$BI167),0)</f>
        <v>0</v>
      </c>
      <c r="BX167" s="5">
        <f>IF($BI167&lt;&gt;"",IF('Capacity summary'!$C$14="Yes",IF(COUNTBLANK('Capacity summary'!$H79:$BG79)&lt;52,IF('Capacity summary'!U79&lt;&gt;"",IF(LOWER('Capacity summary'!U79)="x",$BI167*U167,VALUE('Capacity summary'!U79)),0),U167*$BI167),U167*$BI167),0)</f>
        <v>0</v>
      </c>
      <c r="BY167" s="5">
        <f>IF($BI167&lt;&gt;"",IF('Capacity summary'!$C$14="Yes",IF(COUNTBLANK('Capacity summary'!$H79:$BG79)&lt;52,IF('Capacity summary'!V79&lt;&gt;"",IF(LOWER('Capacity summary'!V79)="x",$BI167*V167,VALUE('Capacity summary'!V79)),0),V167*$BI167),V167*$BI167),0)</f>
        <v>0</v>
      </c>
      <c r="BZ167" s="5">
        <f>IF($BI167&lt;&gt;"",IF('Capacity summary'!$C$14="Yes",IF(COUNTBLANK('Capacity summary'!$H79:$BG79)&lt;52,IF('Capacity summary'!W79&lt;&gt;"",IF(LOWER('Capacity summary'!W79)="x",$BI167*W167,VALUE('Capacity summary'!W79)),0),W167*$BI167),W167*$BI167),0)</f>
        <v>0</v>
      </c>
      <c r="CA167" s="5">
        <f>IF($BI167&lt;&gt;"",IF('Capacity summary'!$C$14="Yes",IF(COUNTBLANK('Capacity summary'!$H79:$BG79)&lt;52,IF('Capacity summary'!X79&lt;&gt;"",IF(LOWER('Capacity summary'!X79)="x",$BI167*X167,VALUE('Capacity summary'!X79)),0),X167*$BI167),X167*$BI167),0)</f>
        <v>0</v>
      </c>
      <c r="CB167" s="5">
        <f>IF($BI167&lt;&gt;"",IF('Capacity summary'!$C$14="Yes",IF(COUNTBLANK('Capacity summary'!$H79:$BG79)&lt;52,IF('Capacity summary'!Y79&lt;&gt;"",IF(LOWER('Capacity summary'!Y79)="x",$BI167*Y167,VALUE('Capacity summary'!Y79)),0),Y167*$BI167),Y167*$BI167),0)</f>
        <v>0</v>
      </c>
      <c r="CC167" s="5">
        <f>IF($BI167&lt;&gt;"",IF('Capacity summary'!$C$14="Yes",IF(COUNTBLANK('Capacity summary'!$H79:$BG79)&lt;52,IF('Capacity summary'!Z79&lt;&gt;"",IF(LOWER('Capacity summary'!Z79)="x",$BI167*Z167,VALUE('Capacity summary'!Z79)),0),Z167*$BI167),Z167*$BI167),0)</f>
        <v>0</v>
      </c>
      <c r="CD167" s="5">
        <f>IF($BI167&lt;&gt;"",IF('Capacity summary'!$C$14="Yes",IF(COUNTBLANK('Capacity summary'!$H79:$BG79)&lt;52,IF('Capacity summary'!AA79&lt;&gt;"",IF(LOWER('Capacity summary'!AA79)="x",$BI167*AA167,VALUE('Capacity summary'!AA79)),0),AA167*$BI167),AA167*$BI167),0)</f>
        <v>0</v>
      </c>
      <c r="CE167" s="5">
        <f>IF($BI167&lt;&gt;"",IF('Capacity summary'!$C$14="Yes",IF(COUNTBLANK('Capacity summary'!$H79:$BG79)&lt;52,IF('Capacity summary'!AB79&lt;&gt;"",IF(LOWER('Capacity summary'!AB79)="x",$BI167*AB167,VALUE('Capacity summary'!AB79)),0),AB167*$BI167),AB167*$BI167),0)</f>
        <v>0</v>
      </c>
      <c r="CF167" s="5">
        <f>IF($BI167&lt;&gt;"",IF('Capacity summary'!$C$14="Yes",IF(COUNTBLANK('Capacity summary'!$H79:$BG79)&lt;52,IF('Capacity summary'!AC79&lt;&gt;"",IF(LOWER('Capacity summary'!AC79)="x",$BI167*AC167,VALUE('Capacity summary'!AC79)),0),AC167*$BI167),AC167*$BI167),0)</f>
        <v>0</v>
      </c>
      <c r="CG167" s="5">
        <f>IF($BI167&lt;&gt;"",IF('Capacity summary'!$C$14="Yes",IF(COUNTBLANK('Capacity summary'!$H79:$BG79)&lt;52,IF('Capacity summary'!AD79&lt;&gt;"",IF(LOWER('Capacity summary'!AD79)="x",$BI167*AD167,VALUE('Capacity summary'!AD79)),0),AD167*$BI167),AD167*$BI167),0)</f>
        <v>0</v>
      </c>
      <c r="CH167" s="5">
        <f>IF($BI167&lt;&gt;"",IF('Capacity summary'!$C$14="Yes",IF(COUNTBLANK('Capacity summary'!$H79:$BG79)&lt;52,IF('Capacity summary'!AE79&lt;&gt;"",IF(LOWER('Capacity summary'!AE79)="x",$BI167*AE167,VALUE('Capacity summary'!AE79)),0),AE167*$BI167),AE167*$BI167),0)</f>
        <v>0</v>
      </c>
      <c r="CI167" s="5">
        <f>IF($BI167&lt;&gt;"",IF('Capacity summary'!$C$14="Yes",IF(COUNTBLANK('Capacity summary'!$H79:$BG79)&lt;52,IF('Capacity summary'!AF79&lt;&gt;"",IF(LOWER('Capacity summary'!AF79)="x",$BI167*AF167,VALUE('Capacity summary'!AF79)),0),AF167*$BI167),AF167*$BI167),0)</f>
        <v>0</v>
      </c>
      <c r="CJ167" s="5">
        <f>IF($BI167&lt;&gt;"",IF('Capacity summary'!$C$14="Yes",IF(COUNTBLANK('Capacity summary'!$H79:$BG79)&lt;52,IF('Capacity summary'!AG79&lt;&gt;"",IF(LOWER('Capacity summary'!AG79)="x",$BI167*AG167,VALUE('Capacity summary'!AG79)),0),AG167*$BI167),AG167*$BI167),0)</f>
        <v>0</v>
      </c>
      <c r="CK167" s="5">
        <f>IF($BI167&lt;&gt;"",IF('Capacity summary'!$C$14="Yes",IF(COUNTBLANK('Capacity summary'!$H79:$BG79)&lt;52,IF('Capacity summary'!AH79&lt;&gt;"",IF(LOWER('Capacity summary'!AH79)="x",$BI167*AH167,VALUE('Capacity summary'!AH79)),0),AH167*$BI167),AH167*$BI167),0)</f>
        <v>0</v>
      </c>
      <c r="CL167" s="5">
        <f>IF($BI167&lt;&gt;"",IF('Capacity summary'!$C$14="Yes",IF(COUNTBLANK('Capacity summary'!$H79:$BG79)&lt;52,IF('Capacity summary'!AI79&lt;&gt;"",IF(LOWER('Capacity summary'!AI79)="x",$BI167*AI167,VALUE('Capacity summary'!AI79)),0),AI167*$BI167),AI167*$BI167),0)</f>
        <v>0</v>
      </c>
      <c r="CM167" s="5">
        <f>IF($BI167&lt;&gt;"",IF('Capacity summary'!$C$14="Yes",IF(COUNTBLANK('Capacity summary'!$H79:$BG79)&lt;52,IF('Capacity summary'!AJ79&lt;&gt;"",IF(LOWER('Capacity summary'!AJ79)="x",$BI167*AJ167,VALUE('Capacity summary'!AJ79)),0),AJ167*$BI167),AJ167*$BI167),0)</f>
        <v>0</v>
      </c>
      <c r="CN167" s="5">
        <f>IF($BI167&lt;&gt;"",IF('Capacity summary'!$C$14="Yes",IF(COUNTBLANK('Capacity summary'!$H79:$BG79)&lt;52,IF('Capacity summary'!AK79&lt;&gt;"",IF(LOWER('Capacity summary'!AK79)="x",$BI167*AK167,VALUE('Capacity summary'!AK79)),0),AK167*$BI167),AK167*$BI167),0)</f>
        <v>0</v>
      </c>
      <c r="CO167" s="5">
        <f>IF($BI167&lt;&gt;"",IF('Capacity summary'!$C$14="Yes",IF(COUNTBLANK('Capacity summary'!$H79:$BG79)&lt;52,IF('Capacity summary'!AL79&lt;&gt;"",IF(LOWER('Capacity summary'!AL79)="x",$BI167*AL167,VALUE('Capacity summary'!AL79)),0),AL167*$BI167),AL167*$BI167),0)</f>
        <v>0</v>
      </c>
      <c r="CP167" s="5">
        <f>IF($BI167&lt;&gt;"",IF('Capacity summary'!$C$14="Yes",IF(COUNTBLANK('Capacity summary'!$H79:$BG79)&lt;52,IF('Capacity summary'!AM79&lt;&gt;"",IF(LOWER('Capacity summary'!AM79)="x",$BI167*AM167,VALUE('Capacity summary'!AM79)),0),AM167*$BI167),AM167*$BI167),0)</f>
        <v>0</v>
      </c>
      <c r="CQ167" s="5">
        <f>IF($BI167&lt;&gt;"",IF('Capacity summary'!$C$14="Yes",IF(COUNTBLANK('Capacity summary'!$H79:$BG79)&lt;52,IF('Capacity summary'!AN79&lt;&gt;"",IF(LOWER('Capacity summary'!AN79)="x",$BI167*AN167,VALUE('Capacity summary'!AN79)),0),AN167*$BI167),AN167*$BI167),0)</f>
        <v>0</v>
      </c>
      <c r="CR167" s="5">
        <f>IF($BI167&lt;&gt;"",IF('Capacity summary'!$C$14="Yes",IF(COUNTBLANK('Capacity summary'!$H79:$BG79)&lt;52,IF('Capacity summary'!AO79&lt;&gt;"",IF(LOWER('Capacity summary'!AO79)="x",$BI167*AO167,VALUE('Capacity summary'!AO79)),0),AO167*$BI167),AO167*$BI167),0)</f>
        <v>0</v>
      </c>
      <c r="CS167" s="5">
        <f>IF($BI167&lt;&gt;"",IF('Capacity summary'!$C$14="Yes",IF(COUNTBLANK('Capacity summary'!$H79:$BG79)&lt;52,IF('Capacity summary'!AP79&lt;&gt;"",IF(LOWER('Capacity summary'!AP79)="x",$BI167*AP167,VALUE('Capacity summary'!AP79)),0),AP167*$BI167),AP167*$BI167),0)</f>
        <v>0</v>
      </c>
      <c r="CT167" s="5">
        <f>IF($BI167&lt;&gt;"",IF('Capacity summary'!$C$14="Yes",IF(COUNTBLANK('Capacity summary'!$H79:$BG79)&lt;52,IF('Capacity summary'!AQ79&lt;&gt;"",IF(LOWER('Capacity summary'!AQ79)="x",$BI167*AQ167,VALUE('Capacity summary'!AQ79)),0),AQ167*$BI167),AQ167*$BI167),0)</f>
        <v>0</v>
      </c>
      <c r="CU167" s="5">
        <f>IF($BI167&lt;&gt;"",IF('Capacity summary'!$C$14="Yes",IF(COUNTBLANK('Capacity summary'!$H79:$BG79)&lt;52,IF('Capacity summary'!AR79&lt;&gt;"",IF(LOWER('Capacity summary'!AR79)="x",$BI167*AR167,VALUE('Capacity summary'!AR79)),0),AR167*$BI167),AR167*$BI167),0)</f>
        <v>0</v>
      </c>
      <c r="CV167" s="5">
        <f>IF($BI167&lt;&gt;"",IF('Capacity summary'!$C$14="Yes",IF(COUNTBLANK('Capacity summary'!$H79:$BG79)&lt;52,IF('Capacity summary'!AS79&lt;&gt;"",IF(LOWER('Capacity summary'!AS79)="x",$BI167*AS167,VALUE('Capacity summary'!AS79)),0),AS167*$BI167),AS167*$BI167),0)</f>
        <v>0</v>
      </c>
      <c r="CW167" s="5">
        <f>IF($BI167&lt;&gt;"",IF('Capacity summary'!$C$14="Yes",IF(COUNTBLANK('Capacity summary'!$H79:$BG79)&lt;52,IF('Capacity summary'!AT79&lt;&gt;"",IF(LOWER('Capacity summary'!AT79)="x",$BI167*AT167,VALUE('Capacity summary'!AT79)),0),AT167*$BI167),AT167*$BI167),0)</f>
        <v>0</v>
      </c>
      <c r="CX167" s="5">
        <f>IF($BI167&lt;&gt;"",IF('Capacity summary'!$C$14="Yes",IF(COUNTBLANK('Capacity summary'!$H79:$BG79)&lt;52,IF('Capacity summary'!AU79&lt;&gt;"",IF(LOWER('Capacity summary'!AU79)="x",$BI167*AU167,VALUE('Capacity summary'!AU79)),0),AU167*$BI167),AU167*$BI167),0)</f>
        <v>0</v>
      </c>
      <c r="CY167" s="5">
        <f>IF($BI167&lt;&gt;"",IF('Capacity summary'!$C$14="Yes",IF(COUNTBLANK('Capacity summary'!$H79:$BG79)&lt;52,IF('Capacity summary'!AV79&lt;&gt;"",IF(LOWER('Capacity summary'!AV79)="x",$BI167*AV167,VALUE('Capacity summary'!AV79)),0),AV167*$BI167),AV167*$BI167),0)</f>
        <v>0</v>
      </c>
      <c r="CZ167" s="5">
        <f>IF($BI167&lt;&gt;"",IF('Capacity summary'!$C$14="Yes",IF(COUNTBLANK('Capacity summary'!$H79:$BG79)&lt;52,IF('Capacity summary'!AW79&lt;&gt;"",IF(LOWER('Capacity summary'!AW79)="x",$BI167*AW167,VALUE('Capacity summary'!AW79)),0),AW167*$BI167),AW167*$BI167),0)</f>
        <v>0</v>
      </c>
      <c r="DA167" s="5">
        <f>IF($BI167&lt;&gt;"",IF('Capacity summary'!$C$14="Yes",IF(COUNTBLANK('Capacity summary'!$H79:$BG79)&lt;52,IF('Capacity summary'!AX79&lt;&gt;"",IF(LOWER('Capacity summary'!AX79)="x",$BI167*AX167,VALUE('Capacity summary'!AX79)),0),AX167*$BI167),AX167*$BI167),0)</f>
        <v>0</v>
      </c>
      <c r="DB167" s="5">
        <f>IF($BI167&lt;&gt;"",IF('Capacity summary'!$C$14="Yes",IF(COUNTBLANK('Capacity summary'!$H79:$BG79)&lt;52,IF('Capacity summary'!AY79&lt;&gt;"",IF(LOWER('Capacity summary'!AY79)="x",$BI167*AY167,VALUE('Capacity summary'!AY79)),0),AY167*$BI167),AY167*$BI167),0)</f>
        <v>0</v>
      </c>
      <c r="DC167" s="5">
        <f>IF($BI167&lt;&gt;"",IF('Capacity summary'!$C$14="Yes",IF(COUNTBLANK('Capacity summary'!$H79:$BG79)&lt;52,IF('Capacity summary'!AZ79&lt;&gt;"",IF(LOWER('Capacity summary'!AZ79)="x",$BI167*AZ167,VALUE('Capacity summary'!AZ79)),0),AZ167*$BI167),AZ167*$BI167),0)</f>
        <v>0</v>
      </c>
      <c r="DD167" s="5">
        <f>IF($BI167&lt;&gt;"",IF('Capacity summary'!$C$14="Yes",IF(COUNTBLANK('Capacity summary'!$H79:$BG79)&lt;52,IF('Capacity summary'!BA79&lt;&gt;"",IF(LOWER('Capacity summary'!BA79)="x",$BI167*BA167,VALUE('Capacity summary'!BA79)),0),BA167*$BI167),BA167*$BI167),0)</f>
        <v>0</v>
      </c>
      <c r="DE167" s="5">
        <f>IF($BI167&lt;&gt;"",IF('Capacity summary'!$C$14="Yes",IF(COUNTBLANK('Capacity summary'!$H79:$BG79)&lt;52,IF('Capacity summary'!BB79&lt;&gt;"",IF(LOWER('Capacity summary'!BB79)="x",$BI167*BB167,VALUE('Capacity summary'!BB79)),0),BB167*$BI167),BB167*$BI167),0)</f>
        <v>0</v>
      </c>
      <c r="DF167" s="5">
        <f>IF($BI167&lt;&gt;"",IF('Capacity summary'!$C$14="Yes",IF(COUNTBLANK('Capacity summary'!$H79:$BG79)&lt;52,IF('Capacity summary'!BC79&lt;&gt;"",IF(LOWER('Capacity summary'!BC79)="x",$BI167*BC167,VALUE('Capacity summary'!BC79)),0),BC167*$BI167),BC167*$BI167),0)</f>
        <v>0</v>
      </c>
      <c r="DG167" s="5">
        <f>IF($BI167&lt;&gt;"",IF('Capacity summary'!$C$14="Yes",IF(COUNTBLANK('Capacity summary'!$H79:$BG79)&lt;52,IF('Capacity summary'!BD79&lt;&gt;"",IF(LOWER('Capacity summary'!BD79)="x",$BI167*BD167,VALUE('Capacity summary'!BD79)),0),BD167*$BI167),BD167*$BI167),0)</f>
        <v>0</v>
      </c>
      <c r="DH167" s="5">
        <f>IF($BI167&lt;&gt;"",IF('Capacity summary'!$C$14="Yes",IF(COUNTBLANK('Capacity summary'!$H79:$BG79)&lt;52,IF('Capacity summary'!BE79&lt;&gt;"",IF(LOWER('Capacity summary'!BE79)="x",$BI167*BE167,VALUE('Capacity summary'!BE79)),0),BE167*$BI167),BE167*$BI167),0)</f>
        <v>0</v>
      </c>
      <c r="DI167" s="5">
        <f>IF($BI167&lt;&gt;"",IF('Capacity summary'!$C$14="Yes",IF(COUNTBLANK('Capacity summary'!$H79:$BG79)&lt;52,IF('Capacity summary'!BF79&lt;&gt;"",IF(LOWER('Capacity summary'!BF79)="x",$BI167*BF167,VALUE('Capacity summary'!BF79)),0),BF167*$BI167),BF167*$BI167),0)</f>
        <v>0</v>
      </c>
      <c r="DJ167" s="5">
        <f>IF($BI167&lt;&gt;"",IF('Capacity summary'!$C$14="Yes",IF(COUNTBLANK('Capacity summary'!$H79:$BG79)&lt;52,IF('Capacity summary'!BG79&lt;&gt;"",IF(LOWER('Capacity summary'!BG79)="x",$BI167*BG167,VALUE('Capacity summary'!BG79)),0),BG167*$BI167),BG167*$BI167),0)</f>
        <v>0</v>
      </c>
      <c r="DK167" s="5">
        <f t="shared" ref="DK167" si="61">SUM(DK168:DK267)</f>
        <v>0</v>
      </c>
    </row>
    <row r="168" spans="3:115" x14ac:dyDescent="0.25">
      <c r="C168" s="67" t="str">
        <f>ROW(A57)&amp;". "&amp;Capacity!N73</f>
        <v xml:space="preserve">57. </v>
      </c>
      <c r="D168" s="67">
        <f>'Capacity setup'!C174</f>
        <v>0</v>
      </c>
      <c r="E168" s="67">
        <f>'Capacity setup'!D174</f>
        <v>0</v>
      </c>
      <c r="F168" s="67">
        <f>'Capacity setup'!E174</f>
        <v>0</v>
      </c>
      <c r="H168" s="67">
        <f ca="1">IF(AND(SUMIF(Capacity_Resource,$D168,'Critical resources (hide)'!U$6:U$105)+SUMIF(Capacity_Resource,$E168,'Critical resources (hide)'!U$6:U$105)+SUMIF(Capacity_Resource,$F168,'Critical resources (hide)'!U$6:U$105)&gt;0,$E$1=2),0,1)</f>
        <v>1</v>
      </c>
      <c r="I168" s="67">
        <f ca="1">IF(AND(SUMIF(Capacity_Resource,$D168,'Critical resources (hide)'!V$6:V$105)+SUMIF(Capacity_Resource,$E168,'Critical resources (hide)'!V$6:V$105)+SUMIF(Capacity_Resource,$F168,'Critical resources (hide)'!V$6:V$105)&gt;0,$E$1=2),0,1)</f>
        <v>1</v>
      </c>
      <c r="J168" s="67">
        <f ca="1">IF(AND(SUMIF(Capacity_Resource,$D168,'Critical resources (hide)'!W$6:W$105)+SUMIF(Capacity_Resource,$E168,'Critical resources (hide)'!W$6:W$105)+SUMIF(Capacity_Resource,$F168,'Critical resources (hide)'!W$6:W$105)&gt;0,$E$1=2),0,1)</f>
        <v>1</v>
      </c>
      <c r="K168" s="67">
        <f ca="1">IF(AND(SUMIF(Capacity_Resource,$D168,'Critical resources (hide)'!X$6:X$105)+SUMIF(Capacity_Resource,$E168,'Critical resources (hide)'!X$6:X$105)+SUMIF(Capacity_Resource,$F168,'Critical resources (hide)'!X$6:X$105)&gt;0,$E$1=2),0,1)</f>
        <v>1</v>
      </c>
      <c r="L168" s="67">
        <f ca="1">IF(AND(SUMIF(Capacity_Resource,$D168,'Critical resources (hide)'!Y$6:Y$105)+SUMIF(Capacity_Resource,$E168,'Critical resources (hide)'!Y$6:Y$105)+SUMIF(Capacity_Resource,$F168,'Critical resources (hide)'!Y$6:Y$105)&gt;0,$E$1=2),0,1)</f>
        <v>1</v>
      </c>
      <c r="M168" s="67">
        <f ca="1">IF(AND(SUMIF(Capacity_Resource,$D168,'Critical resources (hide)'!Z$6:Z$105)+SUMIF(Capacity_Resource,$E168,'Critical resources (hide)'!Z$6:Z$105)+SUMIF(Capacity_Resource,$F168,'Critical resources (hide)'!Z$6:Z$105)&gt;0,$E$1=2),0,1)</f>
        <v>1</v>
      </c>
      <c r="N168" s="67">
        <f ca="1">IF(AND(SUMIF(Capacity_Resource,$D168,'Critical resources (hide)'!AA$6:AA$105)+SUMIF(Capacity_Resource,$E168,'Critical resources (hide)'!AA$6:AA$105)+SUMIF(Capacity_Resource,$F168,'Critical resources (hide)'!AA$6:AA$105)&gt;0,$E$1=2),0,1)</f>
        <v>1</v>
      </c>
      <c r="O168" s="67">
        <f ca="1">IF(AND(SUMIF(Capacity_Resource,$D168,'Critical resources (hide)'!AB$6:AB$105)+SUMIF(Capacity_Resource,$E168,'Critical resources (hide)'!AB$6:AB$105)+SUMIF(Capacity_Resource,$F168,'Critical resources (hide)'!AB$6:AB$105)&gt;0,$E$1=2),0,1)</f>
        <v>1</v>
      </c>
      <c r="P168" s="67">
        <f ca="1">IF(AND(SUMIF(Capacity_Resource,$D168,'Critical resources (hide)'!AC$6:AC$105)+SUMIF(Capacity_Resource,$E168,'Critical resources (hide)'!AC$6:AC$105)+SUMIF(Capacity_Resource,$F168,'Critical resources (hide)'!AC$6:AC$105)&gt;0,$E$1=2),0,1)</f>
        <v>1</v>
      </c>
      <c r="Q168" s="67">
        <f ca="1">IF(AND(SUMIF(Capacity_Resource,$D168,'Critical resources (hide)'!AD$6:AD$105)+SUMIF(Capacity_Resource,$E168,'Critical resources (hide)'!AD$6:AD$105)+SUMIF(Capacity_Resource,$F168,'Critical resources (hide)'!AD$6:AD$105)&gt;0,$E$1=2),0,1)</f>
        <v>1</v>
      </c>
      <c r="R168" s="67">
        <f ca="1">IF(AND(SUMIF(Capacity_Resource,$D168,'Critical resources (hide)'!AE$6:AE$105)+SUMIF(Capacity_Resource,$E168,'Critical resources (hide)'!AE$6:AE$105)+SUMIF(Capacity_Resource,$F168,'Critical resources (hide)'!AE$6:AE$105)&gt;0,$E$1=2),0,1)</f>
        <v>1</v>
      </c>
      <c r="S168" s="67">
        <f ca="1">IF(AND(SUMIF(Capacity_Resource,$D168,'Critical resources (hide)'!AF$6:AF$105)+SUMIF(Capacity_Resource,$E168,'Critical resources (hide)'!AF$6:AF$105)+SUMIF(Capacity_Resource,$F168,'Critical resources (hide)'!AF$6:AF$105)&gt;0,$E$1=2),0,1)</f>
        <v>1</v>
      </c>
      <c r="T168" s="67">
        <f ca="1">IF(AND(SUMIF(Capacity_Resource,$D168,'Critical resources (hide)'!AG$6:AG$105)+SUMIF(Capacity_Resource,$E168,'Critical resources (hide)'!AG$6:AG$105)+SUMIF(Capacity_Resource,$F168,'Critical resources (hide)'!AG$6:AG$105)&gt;0,$E$1=2),0,1)</f>
        <v>1</v>
      </c>
      <c r="U168" s="67">
        <f ca="1">IF(AND(SUMIF(Capacity_Resource,$D168,'Critical resources (hide)'!AH$6:AH$105)+SUMIF(Capacity_Resource,$E168,'Critical resources (hide)'!AH$6:AH$105)+SUMIF(Capacity_Resource,$F168,'Critical resources (hide)'!AH$6:AH$105)&gt;0,$E$1=2),0,1)</f>
        <v>1</v>
      </c>
      <c r="V168" s="67">
        <f ca="1">IF(AND(SUMIF(Capacity_Resource,$D168,'Critical resources (hide)'!AI$6:AI$105)+SUMIF(Capacity_Resource,$E168,'Critical resources (hide)'!AI$6:AI$105)+SUMIF(Capacity_Resource,$F168,'Critical resources (hide)'!AI$6:AI$105)&gt;0,$E$1=2),0,1)</f>
        <v>1</v>
      </c>
      <c r="W168" s="67">
        <f ca="1">IF(AND(SUMIF(Capacity_Resource,$D168,'Critical resources (hide)'!AJ$6:AJ$105)+SUMIF(Capacity_Resource,$E168,'Critical resources (hide)'!AJ$6:AJ$105)+SUMIF(Capacity_Resource,$F168,'Critical resources (hide)'!AJ$6:AJ$105)&gt;0,$E$1=2),0,1)</f>
        <v>1</v>
      </c>
      <c r="X168" s="67">
        <f ca="1">IF(AND(SUMIF(Capacity_Resource,$D168,'Critical resources (hide)'!AK$6:AK$105)+SUMIF(Capacity_Resource,$E168,'Critical resources (hide)'!AK$6:AK$105)+SUMIF(Capacity_Resource,$F168,'Critical resources (hide)'!AK$6:AK$105)&gt;0,$E$1=2),0,1)</f>
        <v>1</v>
      </c>
      <c r="Y168" s="67">
        <f ca="1">IF(AND(SUMIF(Capacity_Resource,$D168,'Critical resources (hide)'!AL$6:AL$105)+SUMIF(Capacity_Resource,$E168,'Critical resources (hide)'!AL$6:AL$105)+SUMIF(Capacity_Resource,$F168,'Critical resources (hide)'!AL$6:AL$105)&gt;0,$E$1=2),0,1)</f>
        <v>1</v>
      </c>
      <c r="Z168" s="67">
        <f ca="1">IF(AND(SUMIF(Capacity_Resource,$D168,'Critical resources (hide)'!AM$6:AM$105)+SUMIF(Capacity_Resource,$E168,'Critical resources (hide)'!AM$6:AM$105)+SUMIF(Capacity_Resource,$F168,'Critical resources (hide)'!AM$6:AM$105)&gt;0,$E$1=2),0,1)</f>
        <v>1</v>
      </c>
      <c r="AA168" s="67">
        <f ca="1">IF(AND(SUMIF(Capacity_Resource,$D168,'Critical resources (hide)'!AN$6:AN$105)+SUMIF(Capacity_Resource,$E168,'Critical resources (hide)'!AN$6:AN$105)+SUMIF(Capacity_Resource,$F168,'Critical resources (hide)'!AN$6:AN$105)&gt;0,$E$1=2),0,1)</f>
        <v>1</v>
      </c>
      <c r="AB168" s="67">
        <f ca="1">IF(AND(SUMIF(Capacity_Resource,$D168,'Critical resources (hide)'!AO$6:AO$105)+SUMIF(Capacity_Resource,$E168,'Critical resources (hide)'!AO$6:AO$105)+SUMIF(Capacity_Resource,$F168,'Critical resources (hide)'!AO$6:AO$105)&gt;0,$E$1=2),0,1)</f>
        <v>1</v>
      </c>
      <c r="AC168" s="67">
        <f ca="1">IF(AND(SUMIF(Capacity_Resource,$D168,'Critical resources (hide)'!AP$6:AP$105)+SUMIF(Capacity_Resource,$E168,'Critical resources (hide)'!AP$6:AP$105)+SUMIF(Capacity_Resource,$F168,'Critical resources (hide)'!AP$6:AP$105)&gt;0,$E$1=2),0,1)</f>
        <v>1</v>
      </c>
      <c r="AD168" s="67">
        <f ca="1">IF(AND(SUMIF(Capacity_Resource,$D168,'Critical resources (hide)'!AQ$6:AQ$105)+SUMIF(Capacity_Resource,$E168,'Critical resources (hide)'!AQ$6:AQ$105)+SUMIF(Capacity_Resource,$F168,'Critical resources (hide)'!AQ$6:AQ$105)&gt;0,$E$1=2),0,1)</f>
        <v>1</v>
      </c>
      <c r="AE168" s="67">
        <f ca="1">IF(AND(SUMIF(Capacity_Resource,$D168,'Critical resources (hide)'!AR$6:AR$105)+SUMIF(Capacity_Resource,$E168,'Critical resources (hide)'!AR$6:AR$105)+SUMIF(Capacity_Resource,$F168,'Critical resources (hide)'!AR$6:AR$105)&gt;0,$E$1=2),0,1)</f>
        <v>1</v>
      </c>
      <c r="AF168" s="67">
        <f ca="1">IF(AND(SUMIF(Capacity_Resource,$D168,'Critical resources (hide)'!AS$6:AS$105)+SUMIF(Capacity_Resource,$E168,'Critical resources (hide)'!AS$6:AS$105)+SUMIF(Capacity_Resource,$F168,'Critical resources (hide)'!AS$6:AS$105)&gt;0,$E$1=2),0,1)</f>
        <v>1</v>
      </c>
      <c r="AG168" s="67">
        <f ca="1">IF(AND(SUMIF(Capacity_Resource,$D168,'Critical resources (hide)'!AT$6:AT$105)+SUMIF(Capacity_Resource,$E168,'Critical resources (hide)'!AT$6:AT$105)+SUMIF(Capacity_Resource,$F168,'Critical resources (hide)'!AT$6:AT$105)&gt;0,$E$1=2),0,1)</f>
        <v>1</v>
      </c>
      <c r="AH168" s="67">
        <f ca="1">IF(AND(SUMIF(Capacity_Resource,$D168,'Critical resources (hide)'!AU$6:AU$105)+SUMIF(Capacity_Resource,$E168,'Critical resources (hide)'!AU$6:AU$105)+SUMIF(Capacity_Resource,$F168,'Critical resources (hide)'!AU$6:AU$105)&gt;0,$E$1=2),0,1)</f>
        <v>1</v>
      </c>
      <c r="AI168" s="67">
        <f ca="1">IF(AND(SUMIF(Capacity_Resource,$D168,'Critical resources (hide)'!AV$6:AV$105)+SUMIF(Capacity_Resource,$E168,'Critical resources (hide)'!AV$6:AV$105)+SUMIF(Capacity_Resource,$F168,'Critical resources (hide)'!AV$6:AV$105)&gt;0,$E$1=2),0,1)</f>
        <v>1</v>
      </c>
      <c r="AJ168" s="67">
        <f ca="1">IF(AND(SUMIF(Capacity_Resource,$D168,'Critical resources (hide)'!AW$6:AW$105)+SUMIF(Capacity_Resource,$E168,'Critical resources (hide)'!AW$6:AW$105)+SUMIF(Capacity_Resource,$F168,'Critical resources (hide)'!AW$6:AW$105)&gt;0,$E$1=2),0,1)</f>
        <v>1</v>
      </c>
      <c r="AK168" s="67">
        <f ca="1">IF(AND(SUMIF(Capacity_Resource,$D168,'Critical resources (hide)'!AX$6:AX$105)+SUMIF(Capacity_Resource,$E168,'Critical resources (hide)'!AX$6:AX$105)+SUMIF(Capacity_Resource,$F168,'Critical resources (hide)'!AX$6:AX$105)&gt;0,$E$1=2),0,1)</f>
        <v>1</v>
      </c>
      <c r="AL168" s="67">
        <f ca="1">IF(AND(SUMIF(Capacity_Resource,$D168,'Critical resources (hide)'!AY$6:AY$105)+SUMIF(Capacity_Resource,$E168,'Critical resources (hide)'!AY$6:AY$105)+SUMIF(Capacity_Resource,$F168,'Critical resources (hide)'!AY$6:AY$105)&gt;0,$E$1=2),0,1)</f>
        <v>1</v>
      </c>
      <c r="AM168" s="67">
        <f ca="1">IF(AND(SUMIF(Capacity_Resource,$D168,'Critical resources (hide)'!AZ$6:AZ$105)+SUMIF(Capacity_Resource,$E168,'Critical resources (hide)'!AZ$6:AZ$105)+SUMIF(Capacity_Resource,$F168,'Critical resources (hide)'!AZ$6:AZ$105)&gt;0,$E$1=2),0,1)</f>
        <v>1</v>
      </c>
      <c r="AN168" s="67">
        <f ca="1">IF(AND(SUMIF(Capacity_Resource,$D168,'Critical resources (hide)'!BA$6:BA$105)+SUMIF(Capacity_Resource,$E168,'Critical resources (hide)'!BA$6:BA$105)+SUMIF(Capacity_Resource,$F168,'Critical resources (hide)'!BA$6:BA$105)&gt;0,$E$1=2),0,1)</f>
        <v>1</v>
      </c>
      <c r="AO168" s="67">
        <f ca="1">IF(AND(SUMIF(Capacity_Resource,$D168,'Critical resources (hide)'!BB$6:BB$105)+SUMIF(Capacity_Resource,$E168,'Critical resources (hide)'!BB$6:BB$105)+SUMIF(Capacity_Resource,$F168,'Critical resources (hide)'!BB$6:BB$105)&gt;0,$E$1=2),0,1)</f>
        <v>1</v>
      </c>
      <c r="AP168" s="67">
        <f ca="1">IF(AND(SUMIF(Capacity_Resource,$D168,'Critical resources (hide)'!BC$6:BC$105)+SUMIF(Capacity_Resource,$E168,'Critical resources (hide)'!BC$6:BC$105)+SUMIF(Capacity_Resource,$F168,'Critical resources (hide)'!BC$6:BC$105)&gt;0,$E$1=2),0,1)</f>
        <v>1</v>
      </c>
      <c r="AQ168" s="67">
        <f ca="1">IF(AND(SUMIF(Capacity_Resource,$D168,'Critical resources (hide)'!BD$6:BD$105)+SUMIF(Capacity_Resource,$E168,'Critical resources (hide)'!BD$6:BD$105)+SUMIF(Capacity_Resource,$F168,'Critical resources (hide)'!BD$6:BD$105)&gt;0,$E$1=2),0,1)</f>
        <v>1</v>
      </c>
      <c r="AR168" s="67">
        <f ca="1">IF(AND(SUMIF(Capacity_Resource,$D168,'Critical resources (hide)'!BE$6:BE$105)+SUMIF(Capacity_Resource,$E168,'Critical resources (hide)'!BE$6:BE$105)+SUMIF(Capacity_Resource,$F168,'Critical resources (hide)'!BE$6:BE$105)&gt;0,$E$1=2),0,1)</f>
        <v>1</v>
      </c>
      <c r="AS168" s="67">
        <f ca="1">IF(AND(SUMIF(Capacity_Resource,$D168,'Critical resources (hide)'!BF$6:BF$105)+SUMIF(Capacity_Resource,$E168,'Critical resources (hide)'!BF$6:BF$105)+SUMIF(Capacity_Resource,$F168,'Critical resources (hide)'!BF$6:BF$105)&gt;0,$E$1=2),0,1)</f>
        <v>1</v>
      </c>
      <c r="AT168" s="67">
        <f ca="1">IF(AND(SUMIF(Capacity_Resource,$D168,'Critical resources (hide)'!BG$6:BG$105)+SUMIF(Capacity_Resource,$E168,'Critical resources (hide)'!BG$6:BG$105)+SUMIF(Capacity_Resource,$F168,'Critical resources (hide)'!BG$6:BG$105)&gt;0,$E$1=2),0,1)</f>
        <v>1</v>
      </c>
      <c r="AU168" s="67">
        <f ca="1">IF(AND(SUMIF(Capacity_Resource,$D168,'Critical resources (hide)'!BH$6:BH$105)+SUMIF(Capacity_Resource,$E168,'Critical resources (hide)'!BH$6:BH$105)+SUMIF(Capacity_Resource,$F168,'Critical resources (hide)'!BH$6:BH$105)&gt;0,$E$1=2),0,1)</f>
        <v>1</v>
      </c>
      <c r="AV168" s="67">
        <f ca="1">IF(AND(SUMIF(Capacity_Resource,$D168,'Critical resources (hide)'!BI$6:BI$105)+SUMIF(Capacity_Resource,$E168,'Critical resources (hide)'!BI$6:BI$105)+SUMIF(Capacity_Resource,$F168,'Critical resources (hide)'!BI$6:BI$105)&gt;0,$E$1=2),0,1)</f>
        <v>1</v>
      </c>
      <c r="AW168" s="67">
        <f ca="1">IF(AND(SUMIF(Capacity_Resource,$D168,'Critical resources (hide)'!BJ$6:BJ$105)+SUMIF(Capacity_Resource,$E168,'Critical resources (hide)'!BJ$6:BJ$105)+SUMIF(Capacity_Resource,$F168,'Critical resources (hide)'!BJ$6:BJ$105)&gt;0,$E$1=2),0,1)</f>
        <v>1</v>
      </c>
      <c r="AX168" s="67">
        <f ca="1">IF(AND(SUMIF(Capacity_Resource,$D168,'Critical resources (hide)'!BK$6:BK$105)+SUMIF(Capacity_Resource,$E168,'Critical resources (hide)'!BK$6:BK$105)+SUMIF(Capacity_Resource,$F168,'Critical resources (hide)'!BK$6:BK$105)&gt;0,$E$1=2),0,1)</f>
        <v>1</v>
      </c>
      <c r="AY168" s="67">
        <f ca="1">IF(AND(SUMIF(Capacity_Resource,$D168,'Critical resources (hide)'!BL$6:BL$105)+SUMIF(Capacity_Resource,$E168,'Critical resources (hide)'!BL$6:BL$105)+SUMIF(Capacity_Resource,$F168,'Critical resources (hide)'!BL$6:BL$105)&gt;0,$E$1=2),0,1)</f>
        <v>1</v>
      </c>
      <c r="AZ168" s="67">
        <f ca="1">IF(AND(SUMIF(Capacity_Resource,$D168,'Critical resources (hide)'!BM$6:BM$105)+SUMIF(Capacity_Resource,$E168,'Critical resources (hide)'!BM$6:BM$105)+SUMIF(Capacity_Resource,$F168,'Critical resources (hide)'!BM$6:BM$105)&gt;0,$E$1=2),0,1)</f>
        <v>1</v>
      </c>
      <c r="BA168" s="67">
        <f ca="1">IF(AND(SUMIF(Capacity_Resource,$D168,'Critical resources (hide)'!BN$6:BN$105)+SUMIF(Capacity_Resource,$E168,'Critical resources (hide)'!BN$6:BN$105)+SUMIF(Capacity_Resource,$F168,'Critical resources (hide)'!BN$6:BN$105)&gt;0,$E$1=2),0,1)</f>
        <v>1</v>
      </c>
      <c r="BB168" s="67">
        <f ca="1">IF(AND(SUMIF(Capacity_Resource,$D168,'Critical resources (hide)'!BO$6:BO$105)+SUMIF(Capacity_Resource,$E168,'Critical resources (hide)'!BO$6:BO$105)+SUMIF(Capacity_Resource,$F168,'Critical resources (hide)'!BO$6:BO$105)&gt;0,$E$1=2),0,1)</f>
        <v>1</v>
      </c>
      <c r="BC168" s="67">
        <f ca="1">IF(AND(SUMIF(Capacity_Resource,$D168,'Critical resources (hide)'!BP$6:BP$105)+SUMIF(Capacity_Resource,$E168,'Critical resources (hide)'!BP$6:BP$105)+SUMIF(Capacity_Resource,$F168,'Critical resources (hide)'!BP$6:BP$105)&gt;0,$E$1=2),0,1)</f>
        <v>1</v>
      </c>
      <c r="BD168" s="67">
        <f ca="1">IF(AND(SUMIF(Capacity_Resource,$D168,'Critical resources (hide)'!BQ$6:BQ$105)+SUMIF(Capacity_Resource,$E168,'Critical resources (hide)'!BQ$6:BQ$105)+SUMIF(Capacity_Resource,$F168,'Critical resources (hide)'!BQ$6:BQ$105)&gt;0,$E$1=2),0,1)</f>
        <v>1</v>
      </c>
      <c r="BE168" s="67">
        <f ca="1">IF(AND(SUMIF(Capacity_Resource,$D168,'Critical resources (hide)'!BR$6:BR$105)+SUMIF(Capacity_Resource,$E168,'Critical resources (hide)'!BR$6:BR$105)+SUMIF(Capacity_Resource,$F168,'Critical resources (hide)'!BR$6:BR$105)&gt;0,$E$1=2),0,1)</f>
        <v>1</v>
      </c>
      <c r="BF168" s="67">
        <f ca="1">IF(AND(SUMIF(Capacity_Resource,$D168,'Critical resources (hide)'!BS$6:BS$105)+SUMIF(Capacity_Resource,$E168,'Critical resources (hide)'!BS$6:BS$105)+SUMIF(Capacity_Resource,$F168,'Critical resources (hide)'!BS$6:BS$105)&gt;0,$E$1=2),0,1)</f>
        <v>1</v>
      </c>
      <c r="BG168" s="67">
        <f ca="1">IF(AND(SUMIF(Capacity_Resource,$D168,'Critical resources (hide)'!BT$6:BT$105)+SUMIF(Capacity_Resource,$E168,'Critical resources (hide)'!BT$6:BT$105)+SUMIF(Capacity_Resource,$F168,'Critical resources (hide)'!BT$6:BT$105)&gt;0,$E$1=2),0,1)</f>
        <v>1</v>
      </c>
      <c r="BH168" s="67">
        <f>IF(ROW(A57)&lt;=Capacity!$M$16,IF('Capacity summary'!$C$14="No",SUM(H168:BG168),'Capacity summary'!$E80),0)</f>
        <v>0</v>
      </c>
      <c r="BI168" s="67" t="str">
        <f>IF(BH168&gt;0,IF(BH168&lt;Capacity!Q73,Capacity!R73,Capacity!T73/'Capacity calculation (hide)'!BH168),"")</f>
        <v/>
      </c>
      <c r="BJ168" s="5"/>
      <c r="BK168" s="5">
        <f>IF($BI168&lt;&gt;"",IF('Capacity summary'!$C$14="Yes",IF(COUNTBLANK('Capacity summary'!$H80:$BG80)&lt;52,IF('Capacity summary'!H80&lt;&gt;"",IF(LOWER('Capacity summary'!H80)="x",$BI168*H168,VALUE('Capacity summary'!H80)),0),H168*$BI168),H168*$BI168),0)</f>
        <v>0</v>
      </c>
      <c r="BL168" s="5">
        <f>IF($BI168&lt;&gt;"",IF('Capacity summary'!$C$14="Yes",IF(COUNTBLANK('Capacity summary'!$H80:$BG80)&lt;52,IF('Capacity summary'!I80&lt;&gt;"",IF(LOWER('Capacity summary'!I80)="x",$BI168*I168,VALUE('Capacity summary'!I80)),0),I168*$BI168),I168*$BI168),0)</f>
        <v>0</v>
      </c>
      <c r="BM168" s="5">
        <f>IF($BI168&lt;&gt;"",IF('Capacity summary'!$C$14="Yes",IF(COUNTBLANK('Capacity summary'!$H80:$BG80)&lt;52,IF('Capacity summary'!J80&lt;&gt;"",IF(LOWER('Capacity summary'!J80)="x",$BI168*J168,VALUE('Capacity summary'!J80)),0),J168*$BI168),J168*$BI168),0)</f>
        <v>0</v>
      </c>
      <c r="BN168" s="5">
        <f>IF($BI168&lt;&gt;"",IF('Capacity summary'!$C$14="Yes",IF(COUNTBLANK('Capacity summary'!$H80:$BG80)&lt;52,IF('Capacity summary'!K80&lt;&gt;"",IF(LOWER('Capacity summary'!K80)="x",$BI168*K168,VALUE('Capacity summary'!K80)),0),K168*$BI168),K168*$BI168),0)</f>
        <v>0</v>
      </c>
      <c r="BO168" s="5">
        <f>IF($BI168&lt;&gt;"",IF('Capacity summary'!$C$14="Yes",IF(COUNTBLANK('Capacity summary'!$H80:$BG80)&lt;52,IF('Capacity summary'!L80&lt;&gt;"",IF(LOWER('Capacity summary'!L80)="x",$BI168*L168,VALUE('Capacity summary'!L80)),0),L168*$BI168),L168*$BI168),0)</f>
        <v>0</v>
      </c>
      <c r="BP168" s="5">
        <f>IF($BI168&lt;&gt;"",IF('Capacity summary'!$C$14="Yes",IF(COUNTBLANK('Capacity summary'!$H80:$BG80)&lt;52,IF('Capacity summary'!M80&lt;&gt;"",IF(LOWER('Capacity summary'!M80)="x",$BI168*M168,VALUE('Capacity summary'!M80)),0),M168*$BI168),M168*$BI168),0)</f>
        <v>0</v>
      </c>
      <c r="BQ168" s="5">
        <f>IF($BI168&lt;&gt;"",IF('Capacity summary'!$C$14="Yes",IF(COUNTBLANK('Capacity summary'!$H80:$BG80)&lt;52,IF('Capacity summary'!N80&lt;&gt;"",IF(LOWER('Capacity summary'!N80)="x",$BI168*N168,VALUE('Capacity summary'!N80)),0),N168*$BI168),N168*$BI168),0)</f>
        <v>0</v>
      </c>
      <c r="BR168" s="5">
        <f>IF($BI168&lt;&gt;"",IF('Capacity summary'!$C$14="Yes",IF(COUNTBLANK('Capacity summary'!$H80:$BG80)&lt;52,IF('Capacity summary'!O80&lt;&gt;"",IF(LOWER('Capacity summary'!O80)="x",$BI168*O168,VALUE('Capacity summary'!O80)),0),O168*$BI168),O168*$BI168),0)</f>
        <v>0</v>
      </c>
      <c r="BS168" s="5">
        <f>IF($BI168&lt;&gt;"",IF('Capacity summary'!$C$14="Yes",IF(COUNTBLANK('Capacity summary'!$H80:$BG80)&lt;52,IF('Capacity summary'!P80&lt;&gt;"",IF(LOWER('Capacity summary'!P80)="x",$BI168*P168,VALUE('Capacity summary'!P80)),0),P168*$BI168),P168*$BI168),0)</f>
        <v>0</v>
      </c>
      <c r="BT168" s="5">
        <f>IF($BI168&lt;&gt;"",IF('Capacity summary'!$C$14="Yes",IF(COUNTBLANK('Capacity summary'!$H80:$BG80)&lt;52,IF('Capacity summary'!Q80&lt;&gt;"",IF(LOWER('Capacity summary'!Q80)="x",$BI168*Q168,VALUE('Capacity summary'!Q80)),0),Q168*$BI168),Q168*$BI168),0)</f>
        <v>0</v>
      </c>
      <c r="BU168" s="5">
        <f>IF($BI168&lt;&gt;"",IF('Capacity summary'!$C$14="Yes",IF(COUNTBLANK('Capacity summary'!$H80:$BG80)&lt;52,IF('Capacity summary'!R80&lt;&gt;"",IF(LOWER('Capacity summary'!R80)="x",$BI168*R168,VALUE('Capacity summary'!R80)),0),R168*$BI168),R168*$BI168),0)</f>
        <v>0</v>
      </c>
      <c r="BV168" s="5">
        <f>IF($BI168&lt;&gt;"",IF('Capacity summary'!$C$14="Yes",IF(COUNTBLANK('Capacity summary'!$H80:$BG80)&lt;52,IF('Capacity summary'!S80&lt;&gt;"",IF(LOWER('Capacity summary'!S80)="x",$BI168*S168,VALUE('Capacity summary'!S80)),0),S168*$BI168),S168*$BI168),0)</f>
        <v>0</v>
      </c>
      <c r="BW168" s="5">
        <f>IF($BI168&lt;&gt;"",IF('Capacity summary'!$C$14="Yes",IF(COUNTBLANK('Capacity summary'!$H80:$BG80)&lt;52,IF('Capacity summary'!T80&lt;&gt;"",IF(LOWER('Capacity summary'!T80)="x",$BI168*T168,VALUE('Capacity summary'!T80)),0),T168*$BI168),T168*$BI168),0)</f>
        <v>0</v>
      </c>
      <c r="BX168" s="5">
        <f>IF($BI168&lt;&gt;"",IF('Capacity summary'!$C$14="Yes",IF(COUNTBLANK('Capacity summary'!$H80:$BG80)&lt;52,IF('Capacity summary'!U80&lt;&gt;"",IF(LOWER('Capacity summary'!U80)="x",$BI168*U168,VALUE('Capacity summary'!U80)),0),U168*$BI168),U168*$BI168),0)</f>
        <v>0</v>
      </c>
      <c r="BY168" s="5">
        <f>IF($BI168&lt;&gt;"",IF('Capacity summary'!$C$14="Yes",IF(COUNTBLANK('Capacity summary'!$H80:$BG80)&lt;52,IF('Capacity summary'!V80&lt;&gt;"",IF(LOWER('Capacity summary'!V80)="x",$BI168*V168,VALUE('Capacity summary'!V80)),0),V168*$BI168),V168*$BI168),0)</f>
        <v>0</v>
      </c>
      <c r="BZ168" s="5">
        <f>IF($BI168&lt;&gt;"",IF('Capacity summary'!$C$14="Yes",IF(COUNTBLANK('Capacity summary'!$H80:$BG80)&lt;52,IF('Capacity summary'!W80&lt;&gt;"",IF(LOWER('Capacity summary'!W80)="x",$BI168*W168,VALUE('Capacity summary'!W80)),0),W168*$BI168),W168*$BI168),0)</f>
        <v>0</v>
      </c>
      <c r="CA168" s="5">
        <f>IF($BI168&lt;&gt;"",IF('Capacity summary'!$C$14="Yes",IF(COUNTBLANK('Capacity summary'!$H80:$BG80)&lt;52,IF('Capacity summary'!X80&lt;&gt;"",IF(LOWER('Capacity summary'!X80)="x",$BI168*X168,VALUE('Capacity summary'!X80)),0),X168*$BI168),X168*$BI168),0)</f>
        <v>0</v>
      </c>
      <c r="CB168" s="5">
        <f>IF($BI168&lt;&gt;"",IF('Capacity summary'!$C$14="Yes",IF(COUNTBLANK('Capacity summary'!$H80:$BG80)&lt;52,IF('Capacity summary'!Y80&lt;&gt;"",IF(LOWER('Capacity summary'!Y80)="x",$BI168*Y168,VALUE('Capacity summary'!Y80)),0),Y168*$BI168),Y168*$BI168),0)</f>
        <v>0</v>
      </c>
      <c r="CC168" s="5">
        <f>IF($BI168&lt;&gt;"",IF('Capacity summary'!$C$14="Yes",IF(COUNTBLANK('Capacity summary'!$H80:$BG80)&lt;52,IF('Capacity summary'!Z80&lt;&gt;"",IF(LOWER('Capacity summary'!Z80)="x",$BI168*Z168,VALUE('Capacity summary'!Z80)),0),Z168*$BI168),Z168*$BI168),0)</f>
        <v>0</v>
      </c>
      <c r="CD168" s="5">
        <f>IF($BI168&lt;&gt;"",IF('Capacity summary'!$C$14="Yes",IF(COUNTBLANK('Capacity summary'!$H80:$BG80)&lt;52,IF('Capacity summary'!AA80&lt;&gt;"",IF(LOWER('Capacity summary'!AA80)="x",$BI168*AA168,VALUE('Capacity summary'!AA80)),0),AA168*$BI168),AA168*$BI168),0)</f>
        <v>0</v>
      </c>
      <c r="CE168" s="5">
        <f>IF($BI168&lt;&gt;"",IF('Capacity summary'!$C$14="Yes",IF(COUNTBLANK('Capacity summary'!$H80:$BG80)&lt;52,IF('Capacity summary'!AB80&lt;&gt;"",IF(LOWER('Capacity summary'!AB80)="x",$BI168*AB168,VALUE('Capacity summary'!AB80)),0),AB168*$BI168),AB168*$BI168),0)</f>
        <v>0</v>
      </c>
      <c r="CF168" s="5">
        <f>IF($BI168&lt;&gt;"",IF('Capacity summary'!$C$14="Yes",IF(COUNTBLANK('Capacity summary'!$H80:$BG80)&lt;52,IF('Capacity summary'!AC80&lt;&gt;"",IF(LOWER('Capacity summary'!AC80)="x",$BI168*AC168,VALUE('Capacity summary'!AC80)),0),AC168*$BI168),AC168*$BI168),0)</f>
        <v>0</v>
      </c>
      <c r="CG168" s="5">
        <f>IF($BI168&lt;&gt;"",IF('Capacity summary'!$C$14="Yes",IF(COUNTBLANK('Capacity summary'!$H80:$BG80)&lt;52,IF('Capacity summary'!AD80&lt;&gt;"",IF(LOWER('Capacity summary'!AD80)="x",$BI168*AD168,VALUE('Capacity summary'!AD80)),0),AD168*$BI168),AD168*$BI168),0)</f>
        <v>0</v>
      </c>
      <c r="CH168" s="5">
        <f>IF($BI168&lt;&gt;"",IF('Capacity summary'!$C$14="Yes",IF(COUNTBLANK('Capacity summary'!$H80:$BG80)&lt;52,IF('Capacity summary'!AE80&lt;&gt;"",IF(LOWER('Capacity summary'!AE80)="x",$BI168*AE168,VALUE('Capacity summary'!AE80)),0),AE168*$BI168),AE168*$BI168),0)</f>
        <v>0</v>
      </c>
      <c r="CI168" s="5">
        <f>IF($BI168&lt;&gt;"",IF('Capacity summary'!$C$14="Yes",IF(COUNTBLANK('Capacity summary'!$H80:$BG80)&lt;52,IF('Capacity summary'!AF80&lt;&gt;"",IF(LOWER('Capacity summary'!AF80)="x",$BI168*AF168,VALUE('Capacity summary'!AF80)),0),AF168*$BI168),AF168*$BI168),0)</f>
        <v>0</v>
      </c>
      <c r="CJ168" s="5">
        <f>IF($BI168&lt;&gt;"",IF('Capacity summary'!$C$14="Yes",IF(COUNTBLANK('Capacity summary'!$H80:$BG80)&lt;52,IF('Capacity summary'!AG80&lt;&gt;"",IF(LOWER('Capacity summary'!AG80)="x",$BI168*AG168,VALUE('Capacity summary'!AG80)),0),AG168*$BI168),AG168*$BI168),0)</f>
        <v>0</v>
      </c>
      <c r="CK168" s="5">
        <f>IF($BI168&lt;&gt;"",IF('Capacity summary'!$C$14="Yes",IF(COUNTBLANK('Capacity summary'!$H80:$BG80)&lt;52,IF('Capacity summary'!AH80&lt;&gt;"",IF(LOWER('Capacity summary'!AH80)="x",$BI168*AH168,VALUE('Capacity summary'!AH80)),0),AH168*$BI168),AH168*$BI168),0)</f>
        <v>0</v>
      </c>
      <c r="CL168" s="5">
        <f>IF($BI168&lt;&gt;"",IF('Capacity summary'!$C$14="Yes",IF(COUNTBLANK('Capacity summary'!$H80:$BG80)&lt;52,IF('Capacity summary'!AI80&lt;&gt;"",IF(LOWER('Capacity summary'!AI80)="x",$BI168*AI168,VALUE('Capacity summary'!AI80)),0),AI168*$BI168),AI168*$BI168),0)</f>
        <v>0</v>
      </c>
      <c r="CM168" s="5">
        <f>IF($BI168&lt;&gt;"",IF('Capacity summary'!$C$14="Yes",IF(COUNTBLANK('Capacity summary'!$H80:$BG80)&lt;52,IF('Capacity summary'!AJ80&lt;&gt;"",IF(LOWER('Capacity summary'!AJ80)="x",$BI168*AJ168,VALUE('Capacity summary'!AJ80)),0),AJ168*$BI168),AJ168*$BI168),0)</f>
        <v>0</v>
      </c>
      <c r="CN168" s="5">
        <f>IF($BI168&lt;&gt;"",IF('Capacity summary'!$C$14="Yes",IF(COUNTBLANK('Capacity summary'!$H80:$BG80)&lt;52,IF('Capacity summary'!AK80&lt;&gt;"",IF(LOWER('Capacity summary'!AK80)="x",$BI168*AK168,VALUE('Capacity summary'!AK80)),0),AK168*$BI168),AK168*$BI168),0)</f>
        <v>0</v>
      </c>
      <c r="CO168" s="5">
        <f>IF($BI168&lt;&gt;"",IF('Capacity summary'!$C$14="Yes",IF(COUNTBLANK('Capacity summary'!$H80:$BG80)&lt;52,IF('Capacity summary'!AL80&lt;&gt;"",IF(LOWER('Capacity summary'!AL80)="x",$BI168*AL168,VALUE('Capacity summary'!AL80)),0),AL168*$BI168),AL168*$BI168),0)</f>
        <v>0</v>
      </c>
      <c r="CP168" s="5">
        <f>IF($BI168&lt;&gt;"",IF('Capacity summary'!$C$14="Yes",IF(COUNTBLANK('Capacity summary'!$H80:$BG80)&lt;52,IF('Capacity summary'!AM80&lt;&gt;"",IF(LOWER('Capacity summary'!AM80)="x",$BI168*AM168,VALUE('Capacity summary'!AM80)),0),AM168*$BI168),AM168*$BI168),0)</f>
        <v>0</v>
      </c>
      <c r="CQ168" s="5">
        <f>IF($BI168&lt;&gt;"",IF('Capacity summary'!$C$14="Yes",IF(COUNTBLANK('Capacity summary'!$H80:$BG80)&lt;52,IF('Capacity summary'!AN80&lt;&gt;"",IF(LOWER('Capacity summary'!AN80)="x",$BI168*AN168,VALUE('Capacity summary'!AN80)),0),AN168*$BI168),AN168*$BI168),0)</f>
        <v>0</v>
      </c>
      <c r="CR168" s="5">
        <f>IF($BI168&lt;&gt;"",IF('Capacity summary'!$C$14="Yes",IF(COUNTBLANK('Capacity summary'!$H80:$BG80)&lt;52,IF('Capacity summary'!AO80&lt;&gt;"",IF(LOWER('Capacity summary'!AO80)="x",$BI168*AO168,VALUE('Capacity summary'!AO80)),0),AO168*$BI168),AO168*$BI168),0)</f>
        <v>0</v>
      </c>
      <c r="CS168" s="5">
        <f>IF($BI168&lt;&gt;"",IF('Capacity summary'!$C$14="Yes",IF(COUNTBLANK('Capacity summary'!$H80:$BG80)&lt;52,IF('Capacity summary'!AP80&lt;&gt;"",IF(LOWER('Capacity summary'!AP80)="x",$BI168*AP168,VALUE('Capacity summary'!AP80)),0),AP168*$BI168),AP168*$BI168),0)</f>
        <v>0</v>
      </c>
      <c r="CT168" s="5">
        <f>IF($BI168&lt;&gt;"",IF('Capacity summary'!$C$14="Yes",IF(COUNTBLANK('Capacity summary'!$H80:$BG80)&lt;52,IF('Capacity summary'!AQ80&lt;&gt;"",IF(LOWER('Capacity summary'!AQ80)="x",$BI168*AQ168,VALUE('Capacity summary'!AQ80)),0),AQ168*$BI168),AQ168*$BI168),0)</f>
        <v>0</v>
      </c>
      <c r="CU168" s="5">
        <f>IF($BI168&lt;&gt;"",IF('Capacity summary'!$C$14="Yes",IF(COUNTBLANK('Capacity summary'!$H80:$BG80)&lt;52,IF('Capacity summary'!AR80&lt;&gt;"",IF(LOWER('Capacity summary'!AR80)="x",$BI168*AR168,VALUE('Capacity summary'!AR80)),0),AR168*$BI168),AR168*$BI168),0)</f>
        <v>0</v>
      </c>
      <c r="CV168" s="5">
        <f>IF($BI168&lt;&gt;"",IF('Capacity summary'!$C$14="Yes",IF(COUNTBLANK('Capacity summary'!$H80:$BG80)&lt;52,IF('Capacity summary'!AS80&lt;&gt;"",IF(LOWER('Capacity summary'!AS80)="x",$BI168*AS168,VALUE('Capacity summary'!AS80)),0),AS168*$BI168),AS168*$BI168),0)</f>
        <v>0</v>
      </c>
      <c r="CW168" s="5">
        <f>IF($BI168&lt;&gt;"",IF('Capacity summary'!$C$14="Yes",IF(COUNTBLANK('Capacity summary'!$H80:$BG80)&lt;52,IF('Capacity summary'!AT80&lt;&gt;"",IF(LOWER('Capacity summary'!AT80)="x",$BI168*AT168,VALUE('Capacity summary'!AT80)),0),AT168*$BI168),AT168*$BI168),0)</f>
        <v>0</v>
      </c>
      <c r="CX168" s="5">
        <f>IF($BI168&lt;&gt;"",IF('Capacity summary'!$C$14="Yes",IF(COUNTBLANK('Capacity summary'!$H80:$BG80)&lt;52,IF('Capacity summary'!AU80&lt;&gt;"",IF(LOWER('Capacity summary'!AU80)="x",$BI168*AU168,VALUE('Capacity summary'!AU80)),0),AU168*$BI168),AU168*$BI168),0)</f>
        <v>0</v>
      </c>
      <c r="CY168" s="5">
        <f>IF($BI168&lt;&gt;"",IF('Capacity summary'!$C$14="Yes",IF(COUNTBLANK('Capacity summary'!$H80:$BG80)&lt;52,IF('Capacity summary'!AV80&lt;&gt;"",IF(LOWER('Capacity summary'!AV80)="x",$BI168*AV168,VALUE('Capacity summary'!AV80)),0),AV168*$BI168),AV168*$BI168),0)</f>
        <v>0</v>
      </c>
      <c r="CZ168" s="5">
        <f>IF($BI168&lt;&gt;"",IF('Capacity summary'!$C$14="Yes",IF(COUNTBLANK('Capacity summary'!$H80:$BG80)&lt;52,IF('Capacity summary'!AW80&lt;&gt;"",IF(LOWER('Capacity summary'!AW80)="x",$BI168*AW168,VALUE('Capacity summary'!AW80)),0),AW168*$BI168),AW168*$BI168),0)</f>
        <v>0</v>
      </c>
      <c r="DA168" s="5">
        <f>IF($BI168&lt;&gt;"",IF('Capacity summary'!$C$14="Yes",IF(COUNTBLANK('Capacity summary'!$H80:$BG80)&lt;52,IF('Capacity summary'!AX80&lt;&gt;"",IF(LOWER('Capacity summary'!AX80)="x",$BI168*AX168,VALUE('Capacity summary'!AX80)),0),AX168*$BI168),AX168*$BI168),0)</f>
        <v>0</v>
      </c>
      <c r="DB168" s="5">
        <f>IF($BI168&lt;&gt;"",IF('Capacity summary'!$C$14="Yes",IF(COUNTBLANK('Capacity summary'!$H80:$BG80)&lt;52,IF('Capacity summary'!AY80&lt;&gt;"",IF(LOWER('Capacity summary'!AY80)="x",$BI168*AY168,VALUE('Capacity summary'!AY80)),0),AY168*$BI168),AY168*$BI168),0)</f>
        <v>0</v>
      </c>
      <c r="DC168" s="5">
        <f>IF($BI168&lt;&gt;"",IF('Capacity summary'!$C$14="Yes",IF(COUNTBLANK('Capacity summary'!$H80:$BG80)&lt;52,IF('Capacity summary'!AZ80&lt;&gt;"",IF(LOWER('Capacity summary'!AZ80)="x",$BI168*AZ168,VALUE('Capacity summary'!AZ80)),0),AZ168*$BI168),AZ168*$BI168),0)</f>
        <v>0</v>
      </c>
      <c r="DD168" s="5">
        <f>IF($BI168&lt;&gt;"",IF('Capacity summary'!$C$14="Yes",IF(COUNTBLANK('Capacity summary'!$H80:$BG80)&lt;52,IF('Capacity summary'!BA80&lt;&gt;"",IF(LOWER('Capacity summary'!BA80)="x",$BI168*BA168,VALUE('Capacity summary'!BA80)),0),BA168*$BI168),BA168*$BI168),0)</f>
        <v>0</v>
      </c>
      <c r="DE168" s="5">
        <f>IF($BI168&lt;&gt;"",IF('Capacity summary'!$C$14="Yes",IF(COUNTBLANK('Capacity summary'!$H80:$BG80)&lt;52,IF('Capacity summary'!BB80&lt;&gt;"",IF(LOWER('Capacity summary'!BB80)="x",$BI168*BB168,VALUE('Capacity summary'!BB80)),0),BB168*$BI168),BB168*$BI168),0)</f>
        <v>0</v>
      </c>
      <c r="DF168" s="5">
        <f>IF($BI168&lt;&gt;"",IF('Capacity summary'!$C$14="Yes",IF(COUNTBLANK('Capacity summary'!$H80:$BG80)&lt;52,IF('Capacity summary'!BC80&lt;&gt;"",IF(LOWER('Capacity summary'!BC80)="x",$BI168*BC168,VALUE('Capacity summary'!BC80)),0),BC168*$BI168),BC168*$BI168),0)</f>
        <v>0</v>
      </c>
      <c r="DG168" s="5">
        <f>IF($BI168&lt;&gt;"",IF('Capacity summary'!$C$14="Yes",IF(COUNTBLANK('Capacity summary'!$H80:$BG80)&lt;52,IF('Capacity summary'!BD80&lt;&gt;"",IF(LOWER('Capacity summary'!BD80)="x",$BI168*BD168,VALUE('Capacity summary'!BD80)),0),BD168*$BI168),BD168*$BI168),0)</f>
        <v>0</v>
      </c>
      <c r="DH168" s="5">
        <f>IF($BI168&lt;&gt;"",IF('Capacity summary'!$C$14="Yes",IF(COUNTBLANK('Capacity summary'!$H80:$BG80)&lt;52,IF('Capacity summary'!BE80&lt;&gt;"",IF(LOWER('Capacity summary'!BE80)="x",$BI168*BE168,VALUE('Capacity summary'!BE80)),0),BE168*$BI168),BE168*$BI168),0)</f>
        <v>0</v>
      </c>
      <c r="DI168" s="5">
        <f>IF($BI168&lt;&gt;"",IF('Capacity summary'!$C$14="Yes",IF(COUNTBLANK('Capacity summary'!$H80:$BG80)&lt;52,IF('Capacity summary'!BF80&lt;&gt;"",IF(LOWER('Capacity summary'!BF80)="x",$BI168*BF168,VALUE('Capacity summary'!BF80)),0),BF168*$BI168),BF168*$BI168),0)</f>
        <v>0</v>
      </c>
      <c r="DJ168" s="5">
        <f>IF($BI168&lt;&gt;"",IF('Capacity summary'!$C$14="Yes",IF(COUNTBLANK('Capacity summary'!$H80:$BG80)&lt;52,IF('Capacity summary'!BG80&lt;&gt;"",IF(LOWER('Capacity summary'!BG80)="x",$BI168*BG168,VALUE('Capacity summary'!BG80)),0),BG168*$BI168),BG168*$BI168),0)</f>
        <v>0</v>
      </c>
      <c r="DK168" s="5">
        <f t="shared" ref="DK168" si="62">SUM(DK169:DK268)</f>
        <v>0</v>
      </c>
    </row>
    <row r="169" spans="3:115" x14ac:dyDescent="0.25">
      <c r="C169" s="67" t="str">
        <f>ROW(A58)&amp;". "&amp;Capacity!N74</f>
        <v xml:space="preserve">58. </v>
      </c>
      <c r="D169" s="67">
        <f>'Capacity setup'!C175</f>
        <v>0</v>
      </c>
      <c r="E169" s="67">
        <f>'Capacity setup'!D175</f>
        <v>0</v>
      </c>
      <c r="F169" s="67">
        <f>'Capacity setup'!E175</f>
        <v>0</v>
      </c>
      <c r="H169" s="67">
        <f ca="1">IF(AND(SUMIF(Capacity_Resource,$D169,'Critical resources (hide)'!U$6:U$105)+SUMIF(Capacity_Resource,$E169,'Critical resources (hide)'!U$6:U$105)+SUMIF(Capacity_Resource,$F169,'Critical resources (hide)'!U$6:U$105)&gt;0,$E$1=2),0,1)</f>
        <v>1</v>
      </c>
      <c r="I169" s="67">
        <f ca="1">IF(AND(SUMIF(Capacity_Resource,$D169,'Critical resources (hide)'!V$6:V$105)+SUMIF(Capacity_Resource,$E169,'Critical resources (hide)'!V$6:V$105)+SUMIF(Capacity_Resource,$F169,'Critical resources (hide)'!V$6:V$105)&gt;0,$E$1=2),0,1)</f>
        <v>1</v>
      </c>
      <c r="J169" s="67">
        <f ca="1">IF(AND(SUMIF(Capacity_Resource,$D169,'Critical resources (hide)'!W$6:W$105)+SUMIF(Capacity_Resource,$E169,'Critical resources (hide)'!W$6:W$105)+SUMIF(Capacity_Resource,$F169,'Critical resources (hide)'!W$6:W$105)&gt;0,$E$1=2),0,1)</f>
        <v>1</v>
      </c>
      <c r="K169" s="67">
        <f ca="1">IF(AND(SUMIF(Capacity_Resource,$D169,'Critical resources (hide)'!X$6:X$105)+SUMIF(Capacity_Resource,$E169,'Critical resources (hide)'!X$6:X$105)+SUMIF(Capacity_Resource,$F169,'Critical resources (hide)'!X$6:X$105)&gt;0,$E$1=2),0,1)</f>
        <v>1</v>
      </c>
      <c r="L169" s="67">
        <f ca="1">IF(AND(SUMIF(Capacity_Resource,$D169,'Critical resources (hide)'!Y$6:Y$105)+SUMIF(Capacity_Resource,$E169,'Critical resources (hide)'!Y$6:Y$105)+SUMIF(Capacity_Resource,$F169,'Critical resources (hide)'!Y$6:Y$105)&gt;0,$E$1=2),0,1)</f>
        <v>1</v>
      </c>
      <c r="M169" s="67">
        <f ca="1">IF(AND(SUMIF(Capacity_Resource,$D169,'Critical resources (hide)'!Z$6:Z$105)+SUMIF(Capacity_Resource,$E169,'Critical resources (hide)'!Z$6:Z$105)+SUMIF(Capacity_Resource,$F169,'Critical resources (hide)'!Z$6:Z$105)&gt;0,$E$1=2),0,1)</f>
        <v>1</v>
      </c>
      <c r="N169" s="67">
        <f ca="1">IF(AND(SUMIF(Capacity_Resource,$D169,'Critical resources (hide)'!AA$6:AA$105)+SUMIF(Capacity_Resource,$E169,'Critical resources (hide)'!AA$6:AA$105)+SUMIF(Capacity_Resource,$F169,'Critical resources (hide)'!AA$6:AA$105)&gt;0,$E$1=2),0,1)</f>
        <v>1</v>
      </c>
      <c r="O169" s="67">
        <f ca="1">IF(AND(SUMIF(Capacity_Resource,$D169,'Critical resources (hide)'!AB$6:AB$105)+SUMIF(Capacity_Resource,$E169,'Critical resources (hide)'!AB$6:AB$105)+SUMIF(Capacity_Resource,$F169,'Critical resources (hide)'!AB$6:AB$105)&gt;0,$E$1=2),0,1)</f>
        <v>1</v>
      </c>
      <c r="P169" s="67">
        <f ca="1">IF(AND(SUMIF(Capacity_Resource,$D169,'Critical resources (hide)'!AC$6:AC$105)+SUMIF(Capacity_Resource,$E169,'Critical resources (hide)'!AC$6:AC$105)+SUMIF(Capacity_Resource,$F169,'Critical resources (hide)'!AC$6:AC$105)&gt;0,$E$1=2),0,1)</f>
        <v>1</v>
      </c>
      <c r="Q169" s="67">
        <f ca="1">IF(AND(SUMIF(Capacity_Resource,$D169,'Critical resources (hide)'!AD$6:AD$105)+SUMIF(Capacity_Resource,$E169,'Critical resources (hide)'!AD$6:AD$105)+SUMIF(Capacity_Resource,$F169,'Critical resources (hide)'!AD$6:AD$105)&gt;0,$E$1=2),0,1)</f>
        <v>1</v>
      </c>
      <c r="R169" s="67">
        <f ca="1">IF(AND(SUMIF(Capacity_Resource,$D169,'Critical resources (hide)'!AE$6:AE$105)+SUMIF(Capacity_Resource,$E169,'Critical resources (hide)'!AE$6:AE$105)+SUMIF(Capacity_Resource,$F169,'Critical resources (hide)'!AE$6:AE$105)&gt;0,$E$1=2),0,1)</f>
        <v>1</v>
      </c>
      <c r="S169" s="67">
        <f ca="1">IF(AND(SUMIF(Capacity_Resource,$D169,'Critical resources (hide)'!AF$6:AF$105)+SUMIF(Capacity_Resource,$E169,'Critical resources (hide)'!AF$6:AF$105)+SUMIF(Capacity_Resource,$F169,'Critical resources (hide)'!AF$6:AF$105)&gt;0,$E$1=2),0,1)</f>
        <v>1</v>
      </c>
      <c r="T169" s="67">
        <f ca="1">IF(AND(SUMIF(Capacity_Resource,$D169,'Critical resources (hide)'!AG$6:AG$105)+SUMIF(Capacity_Resource,$E169,'Critical resources (hide)'!AG$6:AG$105)+SUMIF(Capacity_Resource,$F169,'Critical resources (hide)'!AG$6:AG$105)&gt;0,$E$1=2),0,1)</f>
        <v>1</v>
      </c>
      <c r="U169" s="67">
        <f ca="1">IF(AND(SUMIF(Capacity_Resource,$D169,'Critical resources (hide)'!AH$6:AH$105)+SUMIF(Capacity_Resource,$E169,'Critical resources (hide)'!AH$6:AH$105)+SUMIF(Capacity_Resource,$F169,'Critical resources (hide)'!AH$6:AH$105)&gt;0,$E$1=2),0,1)</f>
        <v>1</v>
      </c>
      <c r="V169" s="67">
        <f ca="1">IF(AND(SUMIF(Capacity_Resource,$D169,'Critical resources (hide)'!AI$6:AI$105)+SUMIF(Capacity_Resource,$E169,'Critical resources (hide)'!AI$6:AI$105)+SUMIF(Capacity_Resource,$F169,'Critical resources (hide)'!AI$6:AI$105)&gt;0,$E$1=2),0,1)</f>
        <v>1</v>
      </c>
      <c r="W169" s="67">
        <f ca="1">IF(AND(SUMIF(Capacity_Resource,$D169,'Critical resources (hide)'!AJ$6:AJ$105)+SUMIF(Capacity_Resource,$E169,'Critical resources (hide)'!AJ$6:AJ$105)+SUMIF(Capacity_Resource,$F169,'Critical resources (hide)'!AJ$6:AJ$105)&gt;0,$E$1=2),0,1)</f>
        <v>1</v>
      </c>
      <c r="X169" s="67">
        <f ca="1">IF(AND(SUMIF(Capacity_Resource,$D169,'Critical resources (hide)'!AK$6:AK$105)+SUMIF(Capacity_Resource,$E169,'Critical resources (hide)'!AK$6:AK$105)+SUMIF(Capacity_Resource,$F169,'Critical resources (hide)'!AK$6:AK$105)&gt;0,$E$1=2),0,1)</f>
        <v>1</v>
      </c>
      <c r="Y169" s="67">
        <f ca="1">IF(AND(SUMIF(Capacity_Resource,$D169,'Critical resources (hide)'!AL$6:AL$105)+SUMIF(Capacity_Resource,$E169,'Critical resources (hide)'!AL$6:AL$105)+SUMIF(Capacity_Resource,$F169,'Critical resources (hide)'!AL$6:AL$105)&gt;0,$E$1=2),0,1)</f>
        <v>1</v>
      </c>
      <c r="Z169" s="67">
        <f ca="1">IF(AND(SUMIF(Capacity_Resource,$D169,'Critical resources (hide)'!AM$6:AM$105)+SUMIF(Capacity_Resource,$E169,'Critical resources (hide)'!AM$6:AM$105)+SUMIF(Capacity_Resource,$F169,'Critical resources (hide)'!AM$6:AM$105)&gt;0,$E$1=2),0,1)</f>
        <v>1</v>
      </c>
      <c r="AA169" s="67">
        <f ca="1">IF(AND(SUMIF(Capacity_Resource,$D169,'Critical resources (hide)'!AN$6:AN$105)+SUMIF(Capacity_Resource,$E169,'Critical resources (hide)'!AN$6:AN$105)+SUMIF(Capacity_Resource,$F169,'Critical resources (hide)'!AN$6:AN$105)&gt;0,$E$1=2),0,1)</f>
        <v>1</v>
      </c>
      <c r="AB169" s="67">
        <f ca="1">IF(AND(SUMIF(Capacity_Resource,$D169,'Critical resources (hide)'!AO$6:AO$105)+SUMIF(Capacity_Resource,$E169,'Critical resources (hide)'!AO$6:AO$105)+SUMIF(Capacity_Resource,$F169,'Critical resources (hide)'!AO$6:AO$105)&gt;0,$E$1=2),0,1)</f>
        <v>1</v>
      </c>
      <c r="AC169" s="67">
        <f ca="1">IF(AND(SUMIF(Capacity_Resource,$D169,'Critical resources (hide)'!AP$6:AP$105)+SUMIF(Capacity_Resource,$E169,'Critical resources (hide)'!AP$6:AP$105)+SUMIF(Capacity_Resource,$F169,'Critical resources (hide)'!AP$6:AP$105)&gt;0,$E$1=2),0,1)</f>
        <v>1</v>
      </c>
      <c r="AD169" s="67">
        <f ca="1">IF(AND(SUMIF(Capacity_Resource,$D169,'Critical resources (hide)'!AQ$6:AQ$105)+SUMIF(Capacity_Resource,$E169,'Critical resources (hide)'!AQ$6:AQ$105)+SUMIF(Capacity_Resource,$F169,'Critical resources (hide)'!AQ$6:AQ$105)&gt;0,$E$1=2),0,1)</f>
        <v>1</v>
      </c>
      <c r="AE169" s="67">
        <f ca="1">IF(AND(SUMIF(Capacity_Resource,$D169,'Critical resources (hide)'!AR$6:AR$105)+SUMIF(Capacity_Resource,$E169,'Critical resources (hide)'!AR$6:AR$105)+SUMIF(Capacity_Resource,$F169,'Critical resources (hide)'!AR$6:AR$105)&gt;0,$E$1=2),0,1)</f>
        <v>1</v>
      </c>
      <c r="AF169" s="67">
        <f ca="1">IF(AND(SUMIF(Capacity_Resource,$D169,'Critical resources (hide)'!AS$6:AS$105)+SUMIF(Capacity_Resource,$E169,'Critical resources (hide)'!AS$6:AS$105)+SUMIF(Capacity_Resource,$F169,'Critical resources (hide)'!AS$6:AS$105)&gt;0,$E$1=2),0,1)</f>
        <v>1</v>
      </c>
      <c r="AG169" s="67">
        <f ca="1">IF(AND(SUMIF(Capacity_Resource,$D169,'Critical resources (hide)'!AT$6:AT$105)+SUMIF(Capacity_Resource,$E169,'Critical resources (hide)'!AT$6:AT$105)+SUMIF(Capacity_Resource,$F169,'Critical resources (hide)'!AT$6:AT$105)&gt;0,$E$1=2),0,1)</f>
        <v>1</v>
      </c>
      <c r="AH169" s="67">
        <f ca="1">IF(AND(SUMIF(Capacity_Resource,$D169,'Critical resources (hide)'!AU$6:AU$105)+SUMIF(Capacity_Resource,$E169,'Critical resources (hide)'!AU$6:AU$105)+SUMIF(Capacity_Resource,$F169,'Critical resources (hide)'!AU$6:AU$105)&gt;0,$E$1=2),0,1)</f>
        <v>1</v>
      </c>
      <c r="AI169" s="67">
        <f ca="1">IF(AND(SUMIF(Capacity_Resource,$D169,'Critical resources (hide)'!AV$6:AV$105)+SUMIF(Capacity_Resource,$E169,'Critical resources (hide)'!AV$6:AV$105)+SUMIF(Capacity_Resource,$F169,'Critical resources (hide)'!AV$6:AV$105)&gt;0,$E$1=2),0,1)</f>
        <v>1</v>
      </c>
      <c r="AJ169" s="67">
        <f ca="1">IF(AND(SUMIF(Capacity_Resource,$D169,'Critical resources (hide)'!AW$6:AW$105)+SUMIF(Capacity_Resource,$E169,'Critical resources (hide)'!AW$6:AW$105)+SUMIF(Capacity_Resource,$F169,'Critical resources (hide)'!AW$6:AW$105)&gt;0,$E$1=2),0,1)</f>
        <v>1</v>
      </c>
      <c r="AK169" s="67">
        <f ca="1">IF(AND(SUMIF(Capacity_Resource,$D169,'Critical resources (hide)'!AX$6:AX$105)+SUMIF(Capacity_Resource,$E169,'Critical resources (hide)'!AX$6:AX$105)+SUMIF(Capacity_Resource,$F169,'Critical resources (hide)'!AX$6:AX$105)&gt;0,$E$1=2),0,1)</f>
        <v>1</v>
      </c>
      <c r="AL169" s="67">
        <f ca="1">IF(AND(SUMIF(Capacity_Resource,$D169,'Critical resources (hide)'!AY$6:AY$105)+SUMIF(Capacity_Resource,$E169,'Critical resources (hide)'!AY$6:AY$105)+SUMIF(Capacity_Resource,$F169,'Critical resources (hide)'!AY$6:AY$105)&gt;0,$E$1=2),0,1)</f>
        <v>1</v>
      </c>
      <c r="AM169" s="67">
        <f ca="1">IF(AND(SUMIF(Capacity_Resource,$D169,'Critical resources (hide)'!AZ$6:AZ$105)+SUMIF(Capacity_Resource,$E169,'Critical resources (hide)'!AZ$6:AZ$105)+SUMIF(Capacity_Resource,$F169,'Critical resources (hide)'!AZ$6:AZ$105)&gt;0,$E$1=2),0,1)</f>
        <v>1</v>
      </c>
      <c r="AN169" s="67">
        <f ca="1">IF(AND(SUMIF(Capacity_Resource,$D169,'Critical resources (hide)'!BA$6:BA$105)+SUMIF(Capacity_Resource,$E169,'Critical resources (hide)'!BA$6:BA$105)+SUMIF(Capacity_Resource,$F169,'Critical resources (hide)'!BA$6:BA$105)&gt;0,$E$1=2),0,1)</f>
        <v>1</v>
      </c>
      <c r="AO169" s="67">
        <f ca="1">IF(AND(SUMIF(Capacity_Resource,$D169,'Critical resources (hide)'!BB$6:BB$105)+SUMIF(Capacity_Resource,$E169,'Critical resources (hide)'!BB$6:BB$105)+SUMIF(Capacity_Resource,$F169,'Critical resources (hide)'!BB$6:BB$105)&gt;0,$E$1=2),0,1)</f>
        <v>1</v>
      </c>
      <c r="AP169" s="67">
        <f ca="1">IF(AND(SUMIF(Capacity_Resource,$D169,'Critical resources (hide)'!BC$6:BC$105)+SUMIF(Capacity_Resource,$E169,'Critical resources (hide)'!BC$6:BC$105)+SUMIF(Capacity_Resource,$F169,'Critical resources (hide)'!BC$6:BC$105)&gt;0,$E$1=2),0,1)</f>
        <v>1</v>
      </c>
      <c r="AQ169" s="67">
        <f ca="1">IF(AND(SUMIF(Capacity_Resource,$D169,'Critical resources (hide)'!BD$6:BD$105)+SUMIF(Capacity_Resource,$E169,'Critical resources (hide)'!BD$6:BD$105)+SUMIF(Capacity_Resource,$F169,'Critical resources (hide)'!BD$6:BD$105)&gt;0,$E$1=2),0,1)</f>
        <v>1</v>
      </c>
      <c r="AR169" s="67">
        <f ca="1">IF(AND(SUMIF(Capacity_Resource,$D169,'Critical resources (hide)'!BE$6:BE$105)+SUMIF(Capacity_Resource,$E169,'Critical resources (hide)'!BE$6:BE$105)+SUMIF(Capacity_Resource,$F169,'Critical resources (hide)'!BE$6:BE$105)&gt;0,$E$1=2),0,1)</f>
        <v>1</v>
      </c>
      <c r="AS169" s="67">
        <f ca="1">IF(AND(SUMIF(Capacity_Resource,$D169,'Critical resources (hide)'!BF$6:BF$105)+SUMIF(Capacity_Resource,$E169,'Critical resources (hide)'!BF$6:BF$105)+SUMIF(Capacity_Resource,$F169,'Critical resources (hide)'!BF$6:BF$105)&gt;0,$E$1=2),0,1)</f>
        <v>1</v>
      </c>
      <c r="AT169" s="67">
        <f ca="1">IF(AND(SUMIF(Capacity_Resource,$D169,'Critical resources (hide)'!BG$6:BG$105)+SUMIF(Capacity_Resource,$E169,'Critical resources (hide)'!BG$6:BG$105)+SUMIF(Capacity_Resource,$F169,'Critical resources (hide)'!BG$6:BG$105)&gt;0,$E$1=2),0,1)</f>
        <v>1</v>
      </c>
      <c r="AU169" s="67">
        <f ca="1">IF(AND(SUMIF(Capacity_Resource,$D169,'Critical resources (hide)'!BH$6:BH$105)+SUMIF(Capacity_Resource,$E169,'Critical resources (hide)'!BH$6:BH$105)+SUMIF(Capacity_Resource,$F169,'Critical resources (hide)'!BH$6:BH$105)&gt;0,$E$1=2),0,1)</f>
        <v>1</v>
      </c>
      <c r="AV169" s="67">
        <f ca="1">IF(AND(SUMIF(Capacity_Resource,$D169,'Critical resources (hide)'!BI$6:BI$105)+SUMIF(Capacity_Resource,$E169,'Critical resources (hide)'!BI$6:BI$105)+SUMIF(Capacity_Resource,$F169,'Critical resources (hide)'!BI$6:BI$105)&gt;0,$E$1=2),0,1)</f>
        <v>1</v>
      </c>
      <c r="AW169" s="67">
        <f ca="1">IF(AND(SUMIF(Capacity_Resource,$D169,'Critical resources (hide)'!BJ$6:BJ$105)+SUMIF(Capacity_Resource,$E169,'Critical resources (hide)'!BJ$6:BJ$105)+SUMIF(Capacity_Resource,$F169,'Critical resources (hide)'!BJ$6:BJ$105)&gt;0,$E$1=2),0,1)</f>
        <v>1</v>
      </c>
      <c r="AX169" s="67">
        <f ca="1">IF(AND(SUMIF(Capacity_Resource,$D169,'Critical resources (hide)'!BK$6:BK$105)+SUMIF(Capacity_Resource,$E169,'Critical resources (hide)'!BK$6:BK$105)+SUMIF(Capacity_Resource,$F169,'Critical resources (hide)'!BK$6:BK$105)&gt;0,$E$1=2),0,1)</f>
        <v>1</v>
      </c>
      <c r="AY169" s="67">
        <f ca="1">IF(AND(SUMIF(Capacity_Resource,$D169,'Critical resources (hide)'!BL$6:BL$105)+SUMIF(Capacity_Resource,$E169,'Critical resources (hide)'!BL$6:BL$105)+SUMIF(Capacity_Resource,$F169,'Critical resources (hide)'!BL$6:BL$105)&gt;0,$E$1=2),0,1)</f>
        <v>1</v>
      </c>
      <c r="AZ169" s="67">
        <f ca="1">IF(AND(SUMIF(Capacity_Resource,$D169,'Critical resources (hide)'!BM$6:BM$105)+SUMIF(Capacity_Resource,$E169,'Critical resources (hide)'!BM$6:BM$105)+SUMIF(Capacity_Resource,$F169,'Critical resources (hide)'!BM$6:BM$105)&gt;0,$E$1=2),0,1)</f>
        <v>1</v>
      </c>
      <c r="BA169" s="67">
        <f ca="1">IF(AND(SUMIF(Capacity_Resource,$D169,'Critical resources (hide)'!BN$6:BN$105)+SUMIF(Capacity_Resource,$E169,'Critical resources (hide)'!BN$6:BN$105)+SUMIF(Capacity_Resource,$F169,'Critical resources (hide)'!BN$6:BN$105)&gt;0,$E$1=2),0,1)</f>
        <v>1</v>
      </c>
      <c r="BB169" s="67">
        <f ca="1">IF(AND(SUMIF(Capacity_Resource,$D169,'Critical resources (hide)'!BO$6:BO$105)+SUMIF(Capacity_Resource,$E169,'Critical resources (hide)'!BO$6:BO$105)+SUMIF(Capacity_Resource,$F169,'Critical resources (hide)'!BO$6:BO$105)&gt;0,$E$1=2),0,1)</f>
        <v>1</v>
      </c>
      <c r="BC169" s="67">
        <f ca="1">IF(AND(SUMIF(Capacity_Resource,$D169,'Critical resources (hide)'!BP$6:BP$105)+SUMIF(Capacity_Resource,$E169,'Critical resources (hide)'!BP$6:BP$105)+SUMIF(Capacity_Resource,$F169,'Critical resources (hide)'!BP$6:BP$105)&gt;0,$E$1=2),0,1)</f>
        <v>1</v>
      </c>
      <c r="BD169" s="67">
        <f ca="1">IF(AND(SUMIF(Capacity_Resource,$D169,'Critical resources (hide)'!BQ$6:BQ$105)+SUMIF(Capacity_Resource,$E169,'Critical resources (hide)'!BQ$6:BQ$105)+SUMIF(Capacity_Resource,$F169,'Critical resources (hide)'!BQ$6:BQ$105)&gt;0,$E$1=2),0,1)</f>
        <v>1</v>
      </c>
      <c r="BE169" s="67">
        <f ca="1">IF(AND(SUMIF(Capacity_Resource,$D169,'Critical resources (hide)'!BR$6:BR$105)+SUMIF(Capacity_Resource,$E169,'Critical resources (hide)'!BR$6:BR$105)+SUMIF(Capacity_Resource,$F169,'Critical resources (hide)'!BR$6:BR$105)&gt;0,$E$1=2),0,1)</f>
        <v>1</v>
      </c>
      <c r="BF169" s="67">
        <f ca="1">IF(AND(SUMIF(Capacity_Resource,$D169,'Critical resources (hide)'!BS$6:BS$105)+SUMIF(Capacity_Resource,$E169,'Critical resources (hide)'!BS$6:BS$105)+SUMIF(Capacity_Resource,$F169,'Critical resources (hide)'!BS$6:BS$105)&gt;0,$E$1=2),0,1)</f>
        <v>1</v>
      </c>
      <c r="BG169" s="67">
        <f ca="1">IF(AND(SUMIF(Capacity_Resource,$D169,'Critical resources (hide)'!BT$6:BT$105)+SUMIF(Capacity_Resource,$E169,'Critical resources (hide)'!BT$6:BT$105)+SUMIF(Capacity_Resource,$F169,'Critical resources (hide)'!BT$6:BT$105)&gt;0,$E$1=2),0,1)</f>
        <v>1</v>
      </c>
      <c r="BH169" s="67">
        <f>IF(ROW(A58)&lt;=Capacity!$M$16,IF('Capacity summary'!$C$14="No",SUM(H169:BG169),'Capacity summary'!$E81),0)</f>
        <v>0</v>
      </c>
      <c r="BI169" s="67" t="str">
        <f>IF(BH169&gt;0,IF(BH169&lt;Capacity!Q74,Capacity!R74,Capacity!T74/'Capacity calculation (hide)'!BH169),"")</f>
        <v/>
      </c>
      <c r="BJ169" s="5"/>
      <c r="BK169" s="5">
        <f>IF($BI169&lt;&gt;"",IF('Capacity summary'!$C$14="Yes",IF(COUNTBLANK('Capacity summary'!$H81:$BG81)&lt;52,IF('Capacity summary'!H81&lt;&gt;"",IF(LOWER('Capacity summary'!H81)="x",$BI169*H169,VALUE('Capacity summary'!H81)),0),H169*$BI169),H169*$BI169),0)</f>
        <v>0</v>
      </c>
      <c r="BL169" s="5">
        <f>IF($BI169&lt;&gt;"",IF('Capacity summary'!$C$14="Yes",IF(COUNTBLANK('Capacity summary'!$H81:$BG81)&lt;52,IF('Capacity summary'!I81&lt;&gt;"",IF(LOWER('Capacity summary'!I81)="x",$BI169*I169,VALUE('Capacity summary'!I81)),0),I169*$BI169),I169*$BI169),0)</f>
        <v>0</v>
      </c>
      <c r="BM169" s="5">
        <f>IF($BI169&lt;&gt;"",IF('Capacity summary'!$C$14="Yes",IF(COUNTBLANK('Capacity summary'!$H81:$BG81)&lt;52,IF('Capacity summary'!J81&lt;&gt;"",IF(LOWER('Capacity summary'!J81)="x",$BI169*J169,VALUE('Capacity summary'!J81)),0),J169*$BI169),J169*$BI169),0)</f>
        <v>0</v>
      </c>
      <c r="BN169" s="5">
        <f>IF($BI169&lt;&gt;"",IF('Capacity summary'!$C$14="Yes",IF(COUNTBLANK('Capacity summary'!$H81:$BG81)&lt;52,IF('Capacity summary'!K81&lt;&gt;"",IF(LOWER('Capacity summary'!K81)="x",$BI169*K169,VALUE('Capacity summary'!K81)),0),K169*$BI169),K169*$BI169),0)</f>
        <v>0</v>
      </c>
      <c r="BO169" s="5">
        <f>IF($BI169&lt;&gt;"",IF('Capacity summary'!$C$14="Yes",IF(COUNTBLANK('Capacity summary'!$H81:$BG81)&lt;52,IF('Capacity summary'!L81&lt;&gt;"",IF(LOWER('Capacity summary'!L81)="x",$BI169*L169,VALUE('Capacity summary'!L81)),0),L169*$BI169),L169*$BI169),0)</f>
        <v>0</v>
      </c>
      <c r="BP169" s="5">
        <f>IF($BI169&lt;&gt;"",IF('Capacity summary'!$C$14="Yes",IF(COUNTBLANK('Capacity summary'!$H81:$BG81)&lt;52,IF('Capacity summary'!M81&lt;&gt;"",IF(LOWER('Capacity summary'!M81)="x",$BI169*M169,VALUE('Capacity summary'!M81)),0),M169*$BI169),M169*$BI169),0)</f>
        <v>0</v>
      </c>
      <c r="BQ169" s="5">
        <f>IF($BI169&lt;&gt;"",IF('Capacity summary'!$C$14="Yes",IF(COUNTBLANK('Capacity summary'!$H81:$BG81)&lt;52,IF('Capacity summary'!N81&lt;&gt;"",IF(LOWER('Capacity summary'!N81)="x",$BI169*N169,VALUE('Capacity summary'!N81)),0),N169*$BI169),N169*$BI169),0)</f>
        <v>0</v>
      </c>
      <c r="BR169" s="5">
        <f>IF($BI169&lt;&gt;"",IF('Capacity summary'!$C$14="Yes",IF(COUNTBLANK('Capacity summary'!$H81:$BG81)&lt;52,IF('Capacity summary'!O81&lt;&gt;"",IF(LOWER('Capacity summary'!O81)="x",$BI169*O169,VALUE('Capacity summary'!O81)),0),O169*$BI169),O169*$BI169),0)</f>
        <v>0</v>
      </c>
      <c r="BS169" s="5">
        <f>IF($BI169&lt;&gt;"",IF('Capacity summary'!$C$14="Yes",IF(COUNTBLANK('Capacity summary'!$H81:$BG81)&lt;52,IF('Capacity summary'!P81&lt;&gt;"",IF(LOWER('Capacity summary'!P81)="x",$BI169*P169,VALUE('Capacity summary'!P81)),0),P169*$BI169),P169*$BI169),0)</f>
        <v>0</v>
      </c>
      <c r="BT169" s="5">
        <f>IF($BI169&lt;&gt;"",IF('Capacity summary'!$C$14="Yes",IF(COUNTBLANK('Capacity summary'!$H81:$BG81)&lt;52,IF('Capacity summary'!Q81&lt;&gt;"",IF(LOWER('Capacity summary'!Q81)="x",$BI169*Q169,VALUE('Capacity summary'!Q81)),0),Q169*$BI169),Q169*$BI169),0)</f>
        <v>0</v>
      </c>
      <c r="BU169" s="5">
        <f>IF($BI169&lt;&gt;"",IF('Capacity summary'!$C$14="Yes",IF(COUNTBLANK('Capacity summary'!$H81:$BG81)&lt;52,IF('Capacity summary'!R81&lt;&gt;"",IF(LOWER('Capacity summary'!R81)="x",$BI169*R169,VALUE('Capacity summary'!R81)),0),R169*$BI169),R169*$BI169),0)</f>
        <v>0</v>
      </c>
      <c r="BV169" s="5">
        <f>IF($BI169&lt;&gt;"",IF('Capacity summary'!$C$14="Yes",IF(COUNTBLANK('Capacity summary'!$H81:$BG81)&lt;52,IF('Capacity summary'!S81&lt;&gt;"",IF(LOWER('Capacity summary'!S81)="x",$BI169*S169,VALUE('Capacity summary'!S81)),0),S169*$BI169),S169*$BI169),0)</f>
        <v>0</v>
      </c>
      <c r="BW169" s="5">
        <f>IF($BI169&lt;&gt;"",IF('Capacity summary'!$C$14="Yes",IF(COUNTBLANK('Capacity summary'!$H81:$BG81)&lt;52,IF('Capacity summary'!T81&lt;&gt;"",IF(LOWER('Capacity summary'!T81)="x",$BI169*T169,VALUE('Capacity summary'!T81)),0),T169*$BI169),T169*$BI169),0)</f>
        <v>0</v>
      </c>
      <c r="BX169" s="5">
        <f>IF($BI169&lt;&gt;"",IF('Capacity summary'!$C$14="Yes",IF(COUNTBLANK('Capacity summary'!$H81:$BG81)&lt;52,IF('Capacity summary'!U81&lt;&gt;"",IF(LOWER('Capacity summary'!U81)="x",$BI169*U169,VALUE('Capacity summary'!U81)),0),U169*$BI169),U169*$BI169),0)</f>
        <v>0</v>
      </c>
      <c r="BY169" s="5">
        <f>IF($BI169&lt;&gt;"",IF('Capacity summary'!$C$14="Yes",IF(COUNTBLANK('Capacity summary'!$H81:$BG81)&lt;52,IF('Capacity summary'!V81&lt;&gt;"",IF(LOWER('Capacity summary'!V81)="x",$BI169*V169,VALUE('Capacity summary'!V81)),0),V169*$BI169),V169*$BI169),0)</f>
        <v>0</v>
      </c>
      <c r="BZ169" s="5">
        <f>IF($BI169&lt;&gt;"",IF('Capacity summary'!$C$14="Yes",IF(COUNTBLANK('Capacity summary'!$H81:$BG81)&lt;52,IF('Capacity summary'!W81&lt;&gt;"",IF(LOWER('Capacity summary'!W81)="x",$BI169*W169,VALUE('Capacity summary'!W81)),0),W169*$BI169),W169*$BI169),0)</f>
        <v>0</v>
      </c>
      <c r="CA169" s="5">
        <f>IF($BI169&lt;&gt;"",IF('Capacity summary'!$C$14="Yes",IF(COUNTBLANK('Capacity summary'!$H81:$BG81)&lt;52,IF('Capacity summary'!X81&lt;&gt;"",IF(LOWER('Capacity summary'!X81)="x",$BI169*X169,VALUE('Capacity summary'!X81)),0),X169*$BI169),X169*$BI169),0)</f>
        <v>0</v>
      </c>
      <c r="CB169" s="5">
        <f>IF($BI169&lt;&gt;"",IF('Capacity summary'!$C$14="Yes",IF(COUNTBLANK('Capacity summary'!$H81:$BG81)&lt;52,IF('Capacity summary'!Y81&lt;&gt;"",IF(LOWER('Capacity summary'!Y81)="x",$BI169*Y169,VALUE('Capacity summary'!Y81)),0),Y169*$BI169),Y169*$BI169),0)</f>
        <v>0</v>
      </c>
      <c r="CC169" s="5">
        <f>IF($BI169&lt;&gt;"",IF('Capacity summary'!$C$14="Yes",IF(COUNTBLANK('Capacity summary'!$H81:$BG81)&lt;52,IF('Capacity summary'!Z81&lt;&gt;"",IF(LOWER('Capacity summary'!Z81)="x",$BI169*Z169,VALUE('Capacity summary'!Z81)),0),Z169*$BI169),Z169*$BI169),0)</f>
        <v>0</v>
      </c>
      <c r="CD169" s="5">
        <f>IF($BI169&lt;&gt;"",IF('Capacity summary'!$C$14="Yes",IF(COUNTBLANK('Capacity summary'!$H81:$BG81)&lt;52,IF('Capacity summary'!AA81&lt;&gt;"",IF(LOWER('Capacity summary'!AA81)="x",$BI169*AA169,VALUE('Capacity summary'!AA81)),0),AA169*$BI169),AA169*$BI169),0)</f>
        <v>0</v>
      </c>
      <c r="CE169" s="5">
        <f>IF($BI169&lt;&gt;"",IF('Capacity summary'!$C$14="Yes",IF(COUNTBLANK('Capacity summary'!$H81:$BG81)&lt;52,IF('Capacity summary'!AB81&lt;&gt;"",IF(LOWER('Capacity summary'!AB81)="x",$BI169*AB169,VALUE('Capacity summary'!AB81)),0),AB169*$BI169),AB169*$BI169),0)</f>
        <v>0</v>
      </c>
      <c r="CF169" s="5">
        <f>IF($BI169&lt;&gt;"",IF('Capacity summary'!$C$14="Yes",IF(COUNTBLANK('Capacity summary'!$H81:$BG81)&lt;52,IF('Capacity summary'!AC81&lt;&gt;"",IF(LOWER('Capacity summary'!AC81)="x",$BI169*AC169,VALUE('Capacity summary'!AC81)),0),AC169*$BI169),AC169*$BI169),0)</f>
        <v>0</v>
      </c>
      <c r="CG169" s="5">
        <f>IF($BI169&lt;&gt;"",IF('Capacity summary'!$C$14="Yes",IF(COUNTBLANK('Capacity summary'!$H81:$BG81)&lt;52,IF('Capacity summary'!AD81&lt;&gt;"",IF(LOWER('Capacity summary'!AD81)="x",$BI169*AD169,VALUE('Capacity summary'!AD81)),0),AD169*$BI169),AD169*$BI169),0)</f>
        <v>0</v>
      </c>
      <c r="CH169" s="5">
        <f>IF($BI169&lt;&gt;"",IF('Capacity summary'!$C$14="Yes",IF(COUNTBLANK('Capacity summary'!$H81:$BG81)&lt;52,IF('Capacity summary'!AE81&lt;&gt;"",IF(LOWER('Capacity summary'!AE81)="x",$BI169*AE169,VALUE('Capacity summary'!AE81)),0),AE169*$BI169),AE169*$BI169),0)</f>
        <v>0</v>
      </c>
      <c r="CI169" s="5">
        <f>IF($BI169&lt;&gt;"",IF('Capacity summary'!$C$14="Yes",IF(COUNTBLANK('Capacity summary'!$H81:$BG81)&lt;52,IF('Capacity summary'!AF81&lt;&gt;"",IF(LOWER('Capacity summary'!AF81)="x",$BI169*AF169,VALUE('Capacity summary'!AF81)),0),AF169*$BI169),AF169*$BI169),0)</f>
        <v>0</v>
      </c>
      <c r="CJ169" s="5">
        <f>IF($BI169&lt;&gt;"",IF('Capacity summary'!$C$14="Yes",IF(COUNTBLANK('Capacity summary'!$H81:$BG81)&lt;52,IF('Capacity summary'!AG81&lt;&gt;"",IF(LOWER('Capacity summary'!AG81)="x",$BI169*AG169,VALUE('Capacity summary'!AG81)),0),AG169*$BI169),AG169*$BI169),0)</f>
        <v>0</v>
      </c>
      <c r="CK169" s="5">
        <f>IF($BI169&lt;&gt;"",IF('Capacity summary'!$C$14="Yes",IF(COUNTBLANK('Capacity summary'!$H81:$BG81)&lt;52,IF('Capacity summary'!AH81&lt;&gt;"",IF(LOWER('Capacity summary'!AH81)="x",$BI169*AH169,VALUE('Capacity summary'!AH81)),0),AH169*$BI169),AH169*$BI169),0)</f>
        <v>0</v>
      </c>
      <c r="CL169" s="5">
        <f>IF($BI169&lt;&gt;"",IF('Capacity summary'!$C$14="Yes",IF(COUNTBLANK('Capacity summary'!$H81:$BG81)&lt;52,IF('Capacity summary'!AI81&lt;&gt;"",IF(LOWER('Capacity summary'!AI81)="x",$BI169*AI169,VALUE('Capacity summary'!AI81)),0),AI169*$BI169),AI169*$BI169),0)</f>
        <v>0</v>
      </c>
      <c r="CM169" s="5">
        <f>IF($BI169&lt;&gt;"",IF('Capacity summary'!$C$14="Yes",IF(COUNTBLANK('Capacity summary'!$H81:$BG81)&lt;52,IF('Capacity summary'!AJ81&lt;&gt;"",IF(LOWER('Capacity summary'!AJ81)="x",$BI169*AJ169,VALUE('Capacity summary'!AJ81)),0),AJ169*$BI169),AJ169*$BI169),0)</f>
        <v>0</v>
      </c>
      <c r="CN169" s="5">
        <f>IF($BI169&lt;&gt;"",IF('Capacity summary'!$C$14="Yes",IF(COUNTBLANK('Capacity summary'!$H81:$BG81)&lt;52,IF('Capacity summary'!AK81&lt;&gt;"",IF(LOWER('Capacity summary'!AK81)="x",$BI169*AK169,VALUE('Capacity summary'!AK81)),0),AK169*$BI169),AK169*$BI169),0)</f>
        <v>0</v>
      </c>
      <c r="CO169" s="5">
        <f>IF($BI169&lt;&gt;"",IF('Capacity summary'!$C$14="Yes",IF(COUNTBLANK('Capacity summary'!$H81:$BG81)&lt;52,IF('Capacity summary'!AL81&lt;&gt;"",IF(LOWER('Capacity summary'!AL81)="x",$BI169*AL169,VALUE('Capacity summary'!AL81)),0),AL169*$BI169),AL169*$BI169),0)</f>
        <v>0</v>
      </c>
      <c r="CP169" s="5">
        <f>IF($BI169&lt;&gt;"",IF('Capacity summary'!$C$14="Yes",IF(COUNTBLANK('Capacity summary'!$H81:$BG81)&lt;52,IF('Capacity summary'!AM81&lt;&gt;"",IF(LOWER('Capacity summary'!AM81)="x",$BI169*AM169,VALUE('Capacity summary'!AM81)),0),AM169*$BI169),AM169*$BI169),0)</f>
        <v>0</v>
      </c>
      <c r="CQ169" s="5">
        <f>IF($BI169&lt;&gt;"",IF('Capacity summary'!$C$14="Yes",IF(COUNTBLANK('Capacity summary'!$H81:$BG81)&lt;52,IF('Capacity summary'!AN81&lt;&gt;"",IF(LOWER('Capacity summary'!AN81)="x",$BI169*AN169,VALUE('Capacity summary'!AN81)),0),AN169*$BI169),AN169*$BI169),0)</f>
        <v>0</v>
      </c>
      <c r="CR169" s="5">
        <f>IF($BI169&lt;&gt;"",IF('Capacity summary'!$C$14="Yes",IF(COUNTBLANK('Capacity summary'!$H81:$BG81)&lt;52,IF('Capacity summary'!AO81&lt;&gt;"",IF(LOWER('Capacity summary'!AO81)="x",$BI169*AO169,VALUE('Capacity summary'!AO81)),0),AO169*$BI169),AO169*$BI169),0)</f>
        <v>0</v>
      </c>
      <c r="CS169" s="5">
        <f>IF($BI169&lt;&gt;"",IF('Capacity summary'!$C$14="Yes",IF(COUNTBLANK('Capacity summary'!$H81:$BG81)&lt;52,IF('Capacity summary'!AP81&lt;&gt;"",IF(LOWER('Capacity summary'!AP81)="x",$BI169*AP169,VALUE('Capacity summary'!AP81)),0),AP169*$BI169),AP169*$BI169),0)</f>
        <v>0</v>
      </c>
      <c r="CT169" s="5">
        <f>IF($BI169&lt;&gt;"",IF('Capacity summary'!$C$14="Yes",IF(COUNTBLANK('Capacity summary'!$H81:$BG81)&lt;52,IF('Capacity summary'!AQ81&lt;&gt;"",IF(LOWER('Capacity summary'!AQ81)="x",$BI169*AQ169,VALUE('Capacity summary'!AQ81)),0),AQ169*$BI169),AQ169*$BI169),0)</f>
        <v>0</v>
      </c>
      <c r="CU169" s="5">
        <f>IF($BI169&lt;&gt;"",IF('Capacity summary'!$C$14="Yes",IF(COUNTBLANK('Capacity summary'!$H81:$BG81)&lt;52,IF('Capacity summary'!AR81&lt;&gt;"",IF(LOWER('Capacity summary'!AR81)="x",$BI169*AR169,VALUE('Capacity summary'!AR81)),0),AR169*$BI169),AR169*$BI169),0)</f>
        <v>0</v>
      </c>
      <c r="CV169" s="5">
        <f>IF($BI169&lt;&gt;"",IF('Capacity summary'!$C$14="Yes",IF(COUNTBLANK('Capacity summary'!$H81:$BG81)&lt;52,IF('Capacity summary'!AS81&lt;&gt;"",IF(LOWER('Capacity summary'!AS81)="x",$BI169*AS169,VALUE('Capacity summary'!AS81)),0),AS169*$BI169),AS169*$BI169),0)</f>
        <v>0</v>
      </c>
      <c r="CW169" s="5">
        <f>IF($BI169&lt;&gt;"",IF('Capacity summary'!$C$14="Yes",IF(COUNTBLANK('Capacity summary'!$H81:$BG81)&lt;52,IF('Capacity summary'!AT81&lt;&gt;"",IF(LOWER('Capacity summary'!AT81)="x",$BI169*AT169,VALUE('Capacity summary'!AT81)),0),AT169*$BI169),AT169*$BI169),0)</f>
        <v>0</v>
      </c>
      <c r="CX169" s="5">
        <f>IF($BI169&lt;&gt;"",IF('Capacity summary'!$C$14="Yes",IF(COUNTBLANK('Capacity summary'!$H81:$BG81)&lt;52,IF('Capacity summary'!AU81&lt;&gt;"",IF(LOWER('Capacity summary'!AU81)="x",$BI169*AU169,VALUE('Capacity summary'!AU81)),0),AU169*$BI169),AU169*$BI169),0)</f>
        <v>0</v>
      </c>
      <c r="CY169" s="5">
        <f>IF($BI169&lt;&gt;"",IF('Capacity summary'!$C$14="Yes",IF(COUNTBLANK('Capacity summary'!$H81:$BG81)&lt;52,IF('Capacity summary'!AV81&lt;&gt;"",IF(LOWER('Capacity summary'!AV81)="x",$BI169*AV169,VALUE('Capacity summary'!AV81)),0),AV169*$BI169),AV169*$BI169),0)</f>
        <v>0</v>
      </c>
      <c r="CZ169" s="5">
        <f>IF($BI169&lt;&gt;"",IF('Capacity summary'!$C$14="Yes",IF(COUNTBLANK('Capacity summary'!$H81:$BG81)&lt;52,IF('Capacity summary'!AW81&lt;&gt;"",IF(LOWER('Capacity summary'!AW81)="x",$BI169*AW169,VALUE('Capacity summary'!AW81)),0),AW169*$BI169),AW169*$BI169),0)</f>
        <v>0</v>
      </c>
      <c r="DA169" s="5">
        <f>IF($BI169&lt;&gt;"",IF('Capacity summary'!$C$14="Yes",IF(COUNTBLANK('Capacity summary'!$H81:$BG81)&lt;52,IF('Capacity summary'!AX81&lt;&gt;"",IF(LOWER('Capacity summary'!AX81)="x",$BI169*AX169,VALUE('Capacity summary'!AX81)),0),AX169*$BI169),AX169*$BI169),0)</f>
        <v>0</v>
      </c>
      <c r="DB169" s="5">
        <f>IF($BI169&lt;&gt;"",IF('Capacity summary'!$C$14="Yes",IF(COUNTBLANK('Capacity summary'!$H81:$BG81)&lt;52,IF('Capacity summary'!AY81&lt;&gt;"",IF(LOWER('Capacity summary'!AY81)="x",$BI169*AY169,VALUE('Capacity summary'!AY81)),0),AY169*$BI169),AY169*$BI169),0)</f>
        <v>0</v>
      </c>
      <c r="DC169" s="5">
        <f>IF($BI169&lt;&gt;"",IF('Capacity summary'!$C$14="Yes",IF(COUNTBLANK('Capacity summary'!$H81:$BG81)&lt;52,IF('Capacity summary'!AZ81&lt;&gt;"",IF(LOWER('Capacity summary'!AZ81)="x",$BI169*AZ169,VALUE('Capacity summary'!AZ81)),0),AZ169*$BI169),AZ169*$BI169),0)</f>
        <v>0</v>
      </c>
      <c r="DD169" s="5">
        <f>IF($BI169&lt;&gt;"",IF('Capacity summary'!$C$14="Yes",IF(COUNTBLANK('Capacity summary'!$H81:$BG81)&lt;52,IF('Capacity summary'!BA81&lt;&gt;"",IF(LOWER('Capacity summary'!BA81)="x",$BI169*BA169,VALUE('Capacity summary'!BA81)),0),BA169*$BI169),BA169*$BI169),0)</f>
        <v>0</v>
      </c>
      <c r="DE169" s="5">
        <f>IF($BI169&lt;&gt;"",IF('Capacity summary'!$C$14="Yes",IF(COUNTBLANK('Capacity summary'!$H81:$BG81)&lt;52,IF('Capacity summary'!BB81&lt;&gt;"",IF(LOWER('Capacity summary'!BB81)="x",$BI169*BB169,VALUE('Capacity summary'!BB81)),0),BB169*$BI169),BB169*$BI169),0)</f>
        <v>0</v>
      </c>
      <c r="DF169" s="5">
        <f>IF($BI169&lt;&gt;"",IF('Capacity summary'!$C$14="Yes",IF(COUNTBLANK('Capacity summary'!$H81:$BG81)&lt;52,IF('Capacity summary'!BC81&lt;&gt;"",IF(LOWER('Capacity summary'!BC81)="x",$BI169*BC169,VALUE('Capacity summary'!BC81)),0),BC169*$BI169),BC169*$BI169),0)</f>
        <v>0</v>
      </c>
      <c r="DG169" s="5">
        <f>IF($BI169&lt;&gt;"",IF('Capacity summary'!$C$14="Yes",IF(COUNTBLANK('Capacity summary'!$H81:$BG81)&lt;52,IF('Capacity summary'!BD81&lt;&gt;"",IF(LOWER('Capacity summary'!BD81)="x",$BI169*BD169,VALUE('Capacity summary'!BD81)),0),BD169*$BI169),BD169*$BI169),0)</f>
        <v>0</v>
      </c>
      <c r="DH169" s="5">
        <f>IF($BI169&lt;&gt;"",IF('Capacity summary'!$C$14="Yes",IF(COUNTBLANK('Capacity summary'!$H81:$BG81)&lt;52,IF('Capacity summary'!BE81&lt;&gt;"",IF(LOWER('Capacity summary'!BE81)="x",$BI169*BE169,VALUE('Capacity summary'!BE81)),0),BE169*$BI169),BE169*$BI169),0)</f>
        <v>0</v>
      </c>
      <c r="DI169" s="5">
        <f>IF($BI169&lt;&gt;"",IF('Capacity summary'!$C$14="Yes",IF(COUNTBLANK('Capacity summary'!$H81:$BG81)&lt;52,IF('Capacity summary'!BF81&lt;&gt;"",IF(LOWER('Capacity summary'!BF81)="x",$BI169*BF169,VALUE('Capacity summary'!BF81)),0),BF169*$BI169),BF169*$BI169),0)</f>
        <v>0</v>
      </c>
      <c r="DJ169" s="5">
        <f>IF($BI169&lt;&gt;"",IF('Capacity summary'!$C$14="Yes",IF(COUNTBLANK('Capacity summary'!$H81:$BG81)&lt;52,IF('Capacity summary'!BG81&lt;&gt;"",IF(LOWER('Capacity summary'!BG81)="x",$BI169*BG169,VALUE('Capacity summary'!BG81)),0),BG169*$BI169),BG169*$BI169),0)</f>
        <v>0</v>
      </c>
      <c r="DK169" s="5">
        <f t="shared" ref="DK169" si="63">SUM(DK170:DK269)</f>
        <v>0</v>
      </c>
    </row>
    <row r="170" spans="3:115" x14ac:dyDescent="0.25">
      <c r="C170" s="67" t="str">
        <f>ROW(A59)&amp;". "&amp;Capacity!N75</f>
        <v xml:space="preserve">59. </v>
      </c>
      <c r="D170" s="67">
        <f>'Capacity setup'!C176</f>
        <v>0</v>
      </c>
      <c r="E170" s="67">
        <f>'Capacity setup'!D176</f>
        <v>0</v>
      </c>
      <c r="F170" s="67">
        <f>'Capacity setup'!E176</f>
        <v>0</v>
      </c>
      <c r="H170" s="67">
        <f ca="1">IF(AND(SUMIF(Capacity_Resource,$D170,'Critical resources (hide)'!U$6:U$105)+SUMIF(Capacity_Resource,$E170,'Critical resources (hide)'!U$6:U$105)+SUMIF(Capacity_Resource,$F170,'Critical resources (hide)'!U$6:U$105)&gt;0,$E$1=2),0,1)</f>
        <v>1</v>
      </c>
      <c r="I170" s="67">
        <f ca="1">IF(AND(SUMIF(Capacity_Resource,$D170,'Critical resources (hide)'!V$6:V$105)+SUMIF(Capacity_Resource,$E170,'Critical resources (hide)'!V$6:V$105)+SUMIF(Capacity_Resource,$F170,'Critical resources (hide)'!V$6:V$105)&gt;0,$E$1=2),0,1)</f>
        <v>1</v>
      </c>
      <c r="J170" s="67">
        <f ca="1">IF(AND(SUMIF(Capacity_Resource,$D170,'Critical resources (hide)'!W$6:W$105)+SUMIF(Capacity_Resource,$E170,'Critical resources (hide)'!W$6:W$105)+SUMIF(Capacity_Resource,$F170,'Critical resources (hide)'!W$6:W$105)&gt;0,$E$1=2),0,1)</f>
        <v>1</v>
      </c>
      <c r="K170" s="67">
        <f ca="1">IF(AND(SUMIF(Capacity_Resource,$D170,'Critical resources (hide)'!X$6:X$105)+SUMIF(Capacity_Resource,$E170,'Critical resources (hide)'!X$6:X$105)+SUMIF(Capacity_Resource,$F170,'Critical resources (hide)'!X$6:X$105)&gt;0,$E$1=2),0,1)</f>
        <v>1</v>
      </c>
      <c r="L170" s="67">
        <f ca="1">IF(AND(SUMIF(Capacity_Resource,$D170,'Critical resources (hide)'!Y$6:Y$105)+SUMIF(Capacity_Resource,$E170,'Critical resources (hide)'!Y$6:Y$105)+SUMIF(Capacity_Resource,$F170,'Critical resources (hide)'!Y$6:Y$105)&gt;0,$E$1=2),0,1)</f>
        <v>1</v>
      </c>
      <c r="M170" s="67">
        <f ca="1">IF(AND(SUMIF(Capacity_Resource,$D170,'Critical resources (hide)'!Z$6:Z$105)+SUMIF(Capacity_Resource,$E170,'Critical resources (hide)'!Z$6:Z$105)+SUMIF(Capacity_Resource,$F170,'Critical resources (hide)'!Z$6:Z$105)&gt;0,$E$1=2),0,1)</f>
        <v>1</v>
      </c>
      <c r="N170" s="67">
        <f ca="1">IF(AND(SUMIF(Capacity_Resource,$D170,'Critical resources (hide)'!AA$6:AA$105)+SUMIF(Capacity_Resource,$E170,'Critical resources (hide)'!AA$6:AA$105)+SUMIF(Capacity_Resource,$F170,'Critical resources (hide)'!AA$6:AA$105)&gt;0,$E$1=2),0,1)</f>
        <v>1</v>
      </c>
      <c r="O170" s="67">
        <f ca="1">IF(AND(SUMIF(Capacity_Resource,$D170,'Critical resources (hide)'!AB$6:AB$105)+SUMIF(Capacity_Resource,$E170,'Critical resources (hide)'!AB$6:AB$105)+SUMIF(Capacity_Resource,$F170,'Critical resources (hide)'!AB$6:AB$105)&gt;0,$E$1=2),0,1)</f>
        <v>1</v>
      </c>
      <c r="P170" s="67">
        <f ca="1">IF(AND(SUMIF(Capacity_Resource,$D170,'Critical resources (hide)'!AC$6:AC$105)+SUMIF(Capacity_Resource,$E170,'Critical resources (hide)'!AC$6:AC$105)+SUMIF(Capacity_Resource,$F170,'Critical resources (hide)'!AC$6:AC$105)&gt;0,$E$1=2),0,1)</f>
        <v>1</v>
      </c>
      <c r="Q170" s="67">
        <f ca="1">IF(AND(SUMIF(Capacity_Resource,$D170,'Critical resources (hide)'!AD$6:AD$105)+SUMIF(Capacity_Resource,$E170,'Critical resources (hide)'!AD$6:AD$105)+SUMIF(Capacity_Resource,$F170,'Critical resources (hide)'!AD$6:AD$105)&gt;0,$E$1=2),0,1)</f>
        <v>1</v>
      </c>
      <c r="R170" s="67">
        <f ca="1">IF(AND(SUMIF(Capacity_Resource,$D170,'Critical resources (hide)'!AE$6:AE$105)+SUMIF(Capacity_Resource,$E170,'Critical resources (hide)'!AE$6:AE$105)+SUMIF(Capacity_Resource,$F170,'Critical resources (hide)'!AE$6:AE$105)&gt;0,$E$1=2),0,1)</f>
        <v>1</v>
      </c>
      <c r="S170" s="67">
        <f ca="1">IF(AND(SUMIF(Capacity_Resource,$D170,'Critical resources (hide)'!AF$6:AF$105)+SUMIF(Capacity_Resource,$E170,'Critical resources (hide)'!AF$6:AF$105)+SUMIF(Capacity_Resource,$F170,'Critical resources (hide)'!AF$6:AF$105)&gt;0,$E$1=2),0,1)</f>
        <v>1</v>
      </c>
      <c r="T170" s="67">
        <f ca="1">IF(AND(SUMIF(Capacity_Resource,$D170,'Critical resources (hide)'!AG$6:AG$105)+SUMIF(Capacity_Resource,$E170,'Critical resources (hide)'!AG$6:AG$105)+SUMIF(Capacity_Resource,$F170,'Critical resources (hide)'!AG$6:AG$105)&gt;0,$E$1=2),0,1)</f>
        <v>1</v>
      </c>
      <c r="U170" s="67">
        <f ca="1">IF(AND(SUMIF(Capacity_Resource,$D170,'Critical resources (hide)'!AH$6:AH$105)+SUMIF(Capacity_Resource,$E170,'Critical resources (hide)'!AH$6:AH$105)+SUMIF(Capacity_Resource,$F170,'Critical resources (hide)'!AH$6:AH$105)&gt;0,$E$1=2),0,1)</f>
        <v>1</v>
      </c>
      <c r="V170" s="67">
        <f ca="1">IF(AND(SUMIF(Capacity_Resource,$D170,'Critical resources (hide)'!AI$6:AI$105)+SUMIF(Capacity_Resource,$E170,'Critical resources (hide)'!AI$6:AI$105)+SUMIF(Capacity_Resource,$F170,'Critical resources (hide)'!AI$6:AI$105)&gt;0,$E$1=2),0,1)</f>
        <v>1</v>
      </c>
      <c r="W170" s="67">
        <f ca="1">IF(AND(SUMIF(Capacity_Resource,$D170,'Critical resources (hide)'!AJ$6:AJ$105)+SUMIF(Capacity_Resource,$E170,'Critical resources (hide)'!AJ$6:AJ$105)+SUMIF(Capacity_Resource,$F170,'Critical resources (hide)'!AJ$6:AJ$105)&gt;0,$E$1=2),0,1)</f>
        <v>1</v>
      </c>
      <c r="X170" s="67">
        <f ca="1">IF(AND(SUMIF(Capacity_Resource,$D170,'Critical resources (hide)'!AK$6:AK$105)+SUMIF(Capacity_Resource,$E170,'Critical resources (hide)'!AK$6:AK$105)+SUMIF(Capacity_Resource,$F170,'Critical resources (hide)'!AK$6:AK$105)&gt;0,$E$1=2),0,1)</f>
        <v>1</v>
      </c>
      <c r="Y170" s="67">
        <f ca="1">IF(AND(SUMIF(Capacity_Resource,$D170,'Critical resources (hide)'!AL$6:AL$105)+SUMIF(Capacity_Resource,$E170,'Critical resources (hide)'!AL$6:AL$105)+SUMIF(Capacity_Resource,$F170,'Critical resources (hide)'!AL$6:AL$105)&gt;0,$E$1=2),0,1)</f>
        <v>1</v>
      </c>
      <c r="Z170" s="67">
        <f ca="1">IF(AND(SUMIF(Capacity_Resource,$D170,'Critical resources (hide)'!AM$6:AM$105)+SUMIF(Capacity_Resource,$E170,'Critical resources (hide)'!AM$6:AM$105)+SUMIF(Capacity_Resource,$F170,'Critical resources (hide)'!AM$6:AM$105)&gt;0,$E$1=2),0,1)</f>
        <v>1</v>
      </c>
      <c r="AA170" s="67">
        <f ca="1">IF(AND(SUMIF(Capacity_Resource,$D170,'Critical resources (hide)'!AN$6:AN$105)+SUMIF(Capacity_Resource,$E170,'Critical resources (hide)'!AN$6:AN$105)+SUMIF(Capacity_Resource,$F170,'Critical resources (hide)'!AN$6:AN$105)&gt;0,$E$1=2),0,1)</f>
        <v>1</v>
      </c>
      <c r="AB170" s="67">
        <f ca="1">IF(AND(SUMIF(Capacity_Resource,$D170,'Critical resources (hide)'!AO$6:AO$105)+SUMIF(Capacity_Resource,$E170,'Critical resources (hide)'!AO$6:AO$105)+SUMIF(Capacity_Resource,$F170,'Critical resources (hide)'!AO$6:AO$105)&gt;0,$E$1=2),0,1)</f>
        <v>1</v>
      </c>
      <c r="AC170" s="67">
        <f ca="1">IF(AND(SUMIF(Capacity_Resource,$D170,'Critical resources (hide)'!AP$6:AP$105)+SUMIF(Capacity_Resource,$E170,'Critical resources (hide)'!AP$6:AP$105)+SUMIF(Capacity_Resource,$F170,'Critical resources (hide)'!AP$6:AP$105)&gt;0,$E$1=2),0,1)</f>
        <v>1</v>
      </c>
      <c r="AD170" s="67">
        <f ca="1">IF(AND(SUMIF(Capacity_Resource,$D170,'Critical resources (hide)'!AQ$6:AQ$105)+SUMIF(Capacity_Resource,$E170,'Critical resources (hide)'!AQ$6:AQ$105)+SUMIF(Capacity_Resource,$F170,'Critical resources (hide)'!AQ$6:AQ$105)&gt;0,$E$1=2),0,1)</f>
        <v>1</v>
      </c>
      <c r="AE170" s="67">
        <f ca="1">IF(AND(SUMIF(Capacity_Resource,$D170,'Critical resources (hide)'!AR$6:AR$105)+SUMIF(Capacity_Resource,$E170,'Critical resources (hide)'!AR$6:AR$105)+SUMIF(Capacity_Resource,$F170,'Critical resources (hide)'!AR$6:AR$105)&gt;0,$E$1=2),0,1)</f>
        <v>1</v>
      </c>
      <c r="AF170" s="67">
        <f ca="1">IF(AND(SUMIF(Capacity_Resource,$D170,'Critical resources (hide)'!AS$6:AS$105)+SUMIF(Capacity_Resource,$E170,'Critical resources (hide)'!AS$6:AS$105)+SUMIF(Capacity_Resource,$F170,'Critical resources (hide)'!AS$6:AS$105)&gt;0,$E$1=2),0,1)</f>
        <v>1</v>
      </c>
      <c r="AG170" s="67">
        <f ca="1">IF(AND(SUMIF(Capacity_Resource,$D170,'Critical resources (hide)'!AT$6:AT$105)+SUMIF(Capacity_Resource,$E170,'Critical resources (hide)'!AT$6:AT$105)+SUMIF(Capacity_Resource,$F170,'Critical resources (hide)'!AT$6:AT$105)&gt;0,$E$1=2),0,1)</f>
        <v>1</v>
      </c>
      <c r="AH170" s="67">
        <f ca="1">IF(AND(SUMIF(Capacity_Resource,$D170,'Critical resources (hide)'!AU$6:AU$105)+SUMIF(Capacity_Resource,$E170,'Critical resources (hide)'!AU$6:AU$105)+SUMIF(Capacity_Resource,$F170,'Critical resources (hide)'!AU$6:AU$105)&gt;0,$E$1=2),0,1)</f>
        <v>1</v>
      </c>
      <c r="AI170" s="67">
        <f ca="1">IF(AND(SUMIF(Capacity_Resource,$D170,'Critical resources (hide)'!AV$6:AV$105)+SUMIF(Capacity_Resource,$E170,'Critical resources (hide)'!AV$6:AV$105)+SUMIF(Capacity_Resource,$F170,'Critical resources (hide)'!AV$6:AV$105)&gt;0,$E$1=2),0,1)</f>
        <v>1</v>
      </c>
      <c r="AJ170" s="67">
        <f ca="1">IF(AND(SUMIF(Capacity_Resource,$D170,'Critical resources (hide)'!AW$6:AW$105)+SUMIF(Capacity_Resource,$E170,'Critical resources (hide)'!AW$6:AW$105)+SUMIF(Capacity_Resource,$F170,'Critical resources (hide)'!AW$6:AW$105)&gt;0,$E$1=2),0,1)</f>
        <v>1</v>
      </c>
      <c r="AK170" s="67">
        <f ca="1">IF(AND(SUMIF(Capacity_Resource,$D170,'Critical resources (hide)'!AX$6:AX$105)+SUMIF(Capacity_Resource,$E170,'Critical resources (hide)'!AX$6:AX$105)+SUMIF(Capacity_Resource,$F170,'Critical resources (hide)'!AX$6:AX$105)&gt;0,$E$1=2),0,1)</f>
        <v>1</v>
      </c>
      <c r="AL170" s="67">
        <f ca="1">IF(AND(SUMIF(Capacity_Resource,$D170,'Critical resources (hide)'!AY$6:AY$105)+SUMIF(Capacity_Resource,$E170,'Critical resources (hide)'!AY$6:AY$105)+SUMIF(Capacity_Resource,$F170,'Critical resources (hide)'!AY$6:AY$105)&gt;0,$E$1=2),0,1)</f>
        <v>1</v>
      </c>
      <c r="AM170" s="67">
        <f ca="1">IF(AND(SUMIF(Capacity_Resource,$D170,'Critical resources (hide)'!AZ$6:AZ$105)+SUMIF(Capacity_Resource,$E170,'Critical resources (hide)'!AZ$6:AZ$105)+SUMIF(Capacity_Resource,$F170,'Critical resources (hide)'!AZ$6:AZ$105)&gt;0,$E$1=2),0,1)</f>
        <v>1</v>
      </c>
      <c r="AN170" s="67">
        <f ca="1">IF(AND(SUMIF(Capacity_Resource,$D170,'Critical resources (hide)'!BA$6:BA$105)+SUMIF(Capacity_Resource,$E170,'Critical resources (hide)'!BA$6:BA$105)+SUMIF(Capacity_Resource,$F170,'Critical resources (hide)'!BA$6:BA$105)&gt;0,$E$1=2),0,1)</f>
        <v>1</v>
      </c>
      <c r="AO170" s="67">
        <f ca="1">IF(AND(SUMIF(Capacity_Resource,$D170,'Critical resources (hide)'!BB$6:BB$105)+SUMIF(Capacity_Resource,$E170,'Critical resources (hide)'!BB$6:BB$105)+SUMIF(Capacity_Resource,$F170,'Critical resources (hide)'!BB$6:BB$105)&gt;0,$E$1=2),0,1)</f>
        <v>1</v>
      </c>
      <c r="AP170" s="67">
        <f ca="1">IF(AND(SUMIF(Capacity_Resource,$D170,'Critical resources (hide)'!BC$6:BC$105)+SUMIF(Capacity_Resource,$E170,'Critical resources (hide)'!BC$6:BC$105)+SUMIF(Capacity_Resource,$F170,'Critical resources (hide)'!BC$6:BC$105)&gt;0,$E$1=2),0,1)</f>
        <v>1</v>
      </c>
      <c r="AQ170" s="67">
        <f ca="1">IF(AND(SUMIF(Capacity_Resource,$D170,'Critical resources (hide)'!BD$6:BD$105)+SUMIF(Capacity_Resource,$E170,'Critical resources (hide)'!BD$6:BD$105)+SUMIF(Capacity_Resource,$F170,'Critical resources (hide)'!BD$6:BD$105)&gt;0,$E$1=2),0,1)</f>
        <v>1</v>
      </c>
      <c r="AR170" s="67">
        <f ca="1">IF(AND(SUMIF(Capacity_Resource,$D170,'Critical resources (hide)'!BE$6:BE$105)+SUMIF(Capacity_Resource,$E170,'Critical resources (hide)'!BE$6:BE$105)+SUMIF(Capacity_Resource,$F170,'Critical resources (hide)'!BE$6:BE$105)&gt;0,$E$1=2),0,1)</f>
        <v>1</v>
      </c>
      <c r="AS170" s="67">
        <f ca="1">IF(AND(SUMIF(Capacity_Resource,$D170,'Critical resources (hide)'!BF$6:BF$105)+SUMIF(Capacity_Resource,$E170,'Critical resources (hide)'!BF$6:BF$105)+SUMIF(Capacity_Resource,$F170,'Critical resources (hide)'!BF$6:BF$105)&gt;0,$E$1=2),0,1)</f>
        <v>1</v>
      </c>
      <c r="AT170" s="67">
        <f ca="1">IF(AND(SUMIF(Capacity_Resource,$D170,'Critical resources (hide)'!BG$6:BG$105)+SUMIF(Capacity_Resource,$E170,'Critical resources (hide)'!BG$6:BG$105)+SUMIF(Capacity_Resource,$F170,'Critical resources (hide)'!BG$6:BG$105)&gt;0,$E$1=2),0,1)</f>
        <v>1</v>
      </c>
      <c r="AU170" s="67">
        <f ca="1">IF(AND(SUMIF(Capacity_Resource,$D170,'Critical resources (hide)'!BH$6:BH$105)+SUMIF(Capacity_Resource,$E170,'Critical resources (hide)'!BH$6:BH$105)+SUMIF(Capacity_Resource,$F170,'Critical resources (hide)'!BH$6:BH$105)&gt;0,$E$1=2),0,1)</f>
        <v>1</v>
      </c>
      <c r="AV170" s="67">
        <f ca="1">IF(AND(SUMIF(Capacity_Resource,$D170,'Critical resources (hide)'!BI$6:BI$105)+SUMIF(Capacity_Resource,$E170,'Critical resources (hide)'!BI$6:BI$105)+SUMIF(Capacity_Resource,$F170,'Critical resources (hide)'!BI$6:BI$105)&gt;0,$E$1=2),0,1)</f>
        <v>1</v>
      </c>
      <c r="AW170" s="67">
        <f ca="1">IF(AND(SUMIF(Capacity_Resource,$D170,'Critical resources (hide)'!BJ$6:BJ$105)+SUMIF(Capacity_Resource,$E170,'Critical resources (hide)'!BJ$6:BJ$105)+SUMIF(Capacity_Resource,$F170,'Critical resources (hide)'!BJ$6:BJ$105)&gt;0,$E$1=2),0,1)</f>
        <v>1</v>
      </c>
      <c r="AX170" s="67">
        <f ca="1">IF(AND(SUMIF(Capacity_Resource,$D170,'Critical resources (hide)'!BK$6:BK$105)+SUMIF(Capacity_Resource,$E170,'Critical resources (hide)'!BK$6:BK$105)+SUMIF(Capacity_Resource,$F170,'Critical resources (hide)'!BK$6:BK$105)&gt;0,$E$1=2),0,1)</f>
        <v>1</v>
      </c>
      <c r="AY170" s="67">
        <f ca="1">IF(AND(SUMIF(Capacity_Resource,$D170,'Critical resources (hide)'!BL$6:BL$105)+SUMIF(Capacity_Resource,$E170,'Critical resources (hide)'!BL$6:BL$105)+SUMIF(Capacity_Resource,$F170,'Critical resources (hide)'!BL$6:BL$105)&gt;0,$E$1=2),0,1)</f>
        <v>1</v>
      </c>
      <c r="AZ170" s="67">
        <f ca="1">IF(AND(SUMIF(Capacity_Resource,$D170,'Critical resources (hide)'!BM$6:BM$105)+SUMIF(Capacity_Resource,$E170,'Critical resources (hide)'!BM$6:BM$105)+SUMIF(Capacity_Resource,$F170,'Critical resources (hide)'!BM$6:BM$105)&gt;0,$E$1=2),0,1)</f>
        <v>1</v>
      </c>
      <c r="BA170" s="67">
        <f ca="1">IF(AND(SUMIF(Capacity_Resource,$D170,'Critical resources (hide)'!BN$6:BN$105)+SUMIF(Capacity_Resource,$E170,'Critical resources (hide)'!BN$6:BN$105)+SUMIF(Capacity_Resource,$F170,'Critical resources (hide)'!BN$6:BN$105)&gt;0,$E$1=2),0,1)</f>
        <v>1</v>
      </c>
      <c r="BB170" s="67">
        <f ca="1">IF(AND(SUMIF(Capacity_Resource,$D170,'Critical resources (hide)'!BO$6:BO$105)+SUMIF(Capacity_Resource,$E170,'Critical resources (hide)'!BO$6:BO$105)+SUMIF(Capacity_Resource,$F170,'Critical resources (hide)'!BO$6:BO$105)&gt;0,$E$1=2),0,1)</f>
        <v>1</v>
      </c>
      <c r="BC170" s="67">
        <f ca="1">IF(AND(SUMIF(Capacity_Resource,$D170,'Critical resources (hide)'!BP$6:BP$105)+SUMIF(Capacity_Resource,$E170,'Critical resources (hide)'!BP$6:BP$105)+SUMIF(Capacity_Resource,$F170,'Critical resources (hide)'!BP$6:BP$105)&gt;0,$E$1=2),0,1)</f>
        <v>1</v>
      </c>
      <c r="BD170" s="67">
        <f ca="1">IF(AND(SUMIF(Capacity_Resource,$D170,'Critical resources (hide)'!BQ$6:BQ$105)+SUMIF(Capacity_Resource,$E170,'Critical resources (hide)'!BQ$6:BQ$105)+SUMIF(Capacity_Resource,$F170,'Critical resources (hide)'!BQ$6:BQ$105)&gt;0,$E$1=2),0,1)</f>
        <v>1</v>
      </c>
      <c r="BE170" s="67">
        <f ca="1">IF(AND(SUMIF(Capacity_Resource,$D170,'Critical resources (hide)'!BR$6:BR$105)+SUMIF(Capacity_Resource,$E170,'Critical resources (hide)'!BR$6:BR$105)+SUMIF(Capacity_Resource,$F170,'Critical resources (hide)'!BR$6:BR$105)&gt;0,$E$1=2),0,1)</f>
        <v>1</v>
      </c>
      <c r="BF170" s="67">
        <f ca="1">IF(AND(SUMIF(Capacity_Resource,$D170,'Critical resources (hide)'!BS$6:BS$105)+SUMIF(Capacity_Resource,$E170,'Critical resources (hide)'!BS$6:BS$105)+SUMIF(Capacity_Resource,$F170,'Critical resources (hide)'!BS$6:BS$105)&gt;0,$E$1=2),0,1)</f>
        <v>1</v>
      </c>
      <c r="BG170" s="67">
        <f ca="1">IF(AND(SUMIF(Capacity_Resource,$D170,'Critical resources (hide)'!BT$6:BT$105)+SUMIF(Capacity_Resource,$E170,'Critical resources (hide)'!BT$6:BT$105)+SUMIF(Capacity_Resource,$F170,'Critical resources (hide)'!BT$6:BT$105)&gt;0,$E$1=2),0,1)</f>
        <v>1</v>
      </c>
      <c r="BH170" s="67">
        <f>IF(ROW(A59)&lt;=Capacity!$M$16,IF('Capacity summary'!$C$14="No",SUM(H170:BG170),'Capacity summary'!$E82),0)</f>
        <v>0</v>
      </c>
      <c r="BI170" s="67" t="str">
        <f>IF(BH170&gt;0,IF(BH170&lt;Capacity!Q75,Capacity!R75,Capacity!T75/'Capacity calculation (hide)'!BH170),"")</f>
        <v/>
      </c>
      <c r="BJ170" s="5"/>
      <c r="BK170" s="5">
        <f>IF($BI170&lt;&gt;"",IF('Capacity summary'!$C$14="Yes",IF(COUNTBLANK('Capacity summary'!$H82:$BG82)&lt;52,IF('Capacity summary'!H82&lt;&gt;"",IF(LOWER('Capacity summary'!H82)="x",$BI170*H170,VALUE('Capacity summary'!H82)),0),H170*$BI170),H170*$BI170),0)</f>
        <v>0</v>
      </c>
      <c r="BL170" s="5">
        <f>IF($BI170&lt;&gt;"",IF('Capacity summary'!$C$14="Yes",IF(COUNTBLANK('Capacity summary'!$H82:$BG82)&lt;52,IF('Capacity summary'!I82&lt;&gt;"",IF(LOWER('Capacity summary'!I82)="x",$BI170*I170,VALUE('Capacity summary'!I82)),0),I170*$BI170),I170*$BI170),0)</f>
        <v>0</v>
      </c>
      <c r="BM170" s="5">
        <f>IF($BI170&lt;&gt;"",IF('Capacity summary'!$C$14="Yes",IF(COUNTBLANK('Capacity summary'!$H82:$BG82)&lt;52,IF('Capacity summary'!J82&lt;&gt;"",IF(LOWER('Capacity summary'!J82)="x",$BI170*J170,VALUE('Capacity summary'!J82)),0),J170*$BI170),J170*$BI170),0)</f>
        <v>0</v>
      </c>
      <c r="BN170" s="5">
        <f>IF($BI170&lt;&gt;"",IF('Capacity summary'!$C$14="Yes",IF(COUNTBLANK('Capacity summary'!$H82:$BG82)&lt;52,IF('Capacity summary'!K82&lt;&gt;"",IF(LOWER('Capacity summary'!K82)="x",$BI170*K170,VALUE('Capacity summary'!K82)),0),K170*$BI170),K170*$BI170),0)</f>
        <v>0</v>
      </c>
      <c r="BO170" s="5">
        <f>IF($BI170&lt;&gt;"",IF('Capacity summary'!$C$14="Yes",IF(COUNTBLANK('Capacity summary'!$H82:$BG82)&lt;52,IF('Capacity summary'!L82&lt;&gt;"",IF(LOWER('Capacity summary'!L82)="x",$BI170*L170,VALUE('Capacity summary'!L82)),0),L170*$BI170),L170*$BI170),0)</f>
        <v>0</v>
      </c>
      <c r="BP170" s="5">
        <f>IF($BI170&lt;&gt;"",IF('Capacity summary'!$C$14="Yes",IF(COUNTBLANK('Capacity summary'!$H82:$BG82)&lt;52,IF('Capacity summary'!M82&lt;&gt;"",IF(LOWER('Capacity summary'!M82)="x",$BI170*M170,VALUE('Capacity summary'!M82)),0),M170*$BI170),M170*$BI170),0)</f>
        <v>0</v>
      </c>
      <c r="BQ170" s="5">
        <f>IF($BI170&lt;&gt;"",IF('Capacity summary'!$C$14="Yes",IF(COUNTBLANK('Capacity summary'!$H82:$BG82)&lt;52,IF('Capacity summary'!N82&lt;&gt;"",IF(LOWER('Capacity summary'!N82)="x",$BI170*N170,VALUE('Capacity summary'!N82)),0),N170*$BI170),N170*$BI170),0)</f>
        <v>0</v>
      </c>
      <c r="BR170" s="5">
        <f>IF($BI170&lt;&gt;"",IF('Capacity summary'!$C$14="Yes",IF(COUNTBLANK('Capacity summary'!$H82:$BG82)&lt;52,IF('Capacity summary'!O82&lt;&gt;"",IF(LOWER('Capacity summary'!O82)="x",$BI170*O170,VALUE('Capacity summary'!O82)),0),O170*$BI170),O170*$BI170),0)</f>
        <v>0</v>
      </c>
      <c r="BS170" s="5">
        <f>IF($BI170&lt;&gt;"",IF('Capacity summary'!$C$14="Yes",IF(COUNTBLANK('Capacity summary'!$H82:$BG82)&lt;52,IF('Capacity summary'!P82&lt;&gt;"",IF(LOWER('Capacity summary'!P82)="x",$BI170*P170,VALUE('Capacity summary'!P82)),0),P170*$BI170),P170*$BI170),0)</f>
        <v>0</v>
      </c>
      <c r="BT170" s="5">
        <f>IF($BI170&lt;&gt;"",IF('Capacity summary'!$C$14="Yes",IF(COUNTBLANK('Capacity summary'!$H82:$BG82)&lt;52,IF('Capacity summary'!Q82&lt;&gt;"",IF(LOWER('Capacity summary'!Q82)="x",$BI170*Q170,VALUE('Capacity summary'!Q82)),0),Q170*$BI170),Q170*$BI170),0)</f>
        <v>0</v>
      </c>
      <c r="BU170" s="5">
        <f>IF($BI170&lt;&gt;"",IF('Capacity summary'!$C$14="Yes",IF(COUNTBLANK('Capacity summary'!$H82:$BG82)&lt;52,IF('Capacity summary'!R82&lt;&gt;"",IF(LOWER('Capacity summary'!R82)="x",$BI170*R170,VALUE('Capacity summary'!R82)),0),R170*$BI170),R170*$BI170),0)</f>
        <v>0</v>
      </c>
      <c r="BV170" s="5">
        <f>IF($BI170&lt;&gt;"",IF('Capacity summary'!$C$14="Yes",IF(COUNTBLANK('Capacity summary'!$H82:$BG82)&lt;52,IF('Capacity summary'!S82&lt;&gt;"",IF(LOWER('Capacity summary'!S82)="x",$BI170*S170,VALUE('Capacity summary'!S82)),0),S170*$BI170),S170*$BI170),0)</f>
        <v>0</v>
      </c>
      <c r="BW170" s="5">
        <f>IF($BI170&lt;&gt;"",IF('Capacity summary'!$C$14="Yes",IF(COUNTBLANK('Capacity summary'!$H82:$BG82)&lt;52,IF('Capacity summary'!T82&lt;&gt;"",IF(LOWER('Capacity summary'!T82)="x",$BI170*T170,VALUE('Capacity summary'!T82)),0),T170*$BI170),T170*$BI170),0)</f>
        <v>0</v>
      </c>
      <c r="BX170" s="5">
        <f>IF($BI170&lt;&gt;"",IF('Capacity summary'!$C$14="Yes",IF(COUNTBLANK('Capacity summary'!$H82:$BG82)&lt;52,IF('Capacity summary'!U82&lt;&gt;"",IF(LOWER('Capacity summary'!U82)="x",$BI170*U170,VALUE('Capacity summary'!U82)),0),U170*$BI170),U170*$BI170),0)</f>
        <v>0</v>
      </c>
      <c r="BY170" s="5">
        <f>IF($BI170&lt;&gt;"",IF('Capacity summary'!$C$14="Yes",IF(COUNTBLANK('Capacity summary'!$H82:$BG82)&lt;52,IF('Capacity summary'!V82&lt;&gt;"",IF(LOWER('Capacity summary'!V82)="x",$BI170*V170,VALUE('Capacity summary'!V82)),0),V170*$BI170),V170*$BI170),0)</f>
        <v>0</v>
      </c>
      <c r="BZ170" s="5">
        <f>IF($BI170&lt;&gt;"",IF('Capacity summary'!$C$14="Yes",IF(COUNTBLANK('Capacity summary'!$H82:$BG82)&lt;52,IF('Capacity summary'!W82&lt;&gt;"",IF(LOWER('Capacity summary'!W82)="x",$BI170*W170,VALUE('Capacity summary'!W82)),0),W170*$BI170),W170*$BI170),0)</f>
        <v>0</v>
      </c>
      <c r="CA170" s="5">
        <f>IF($BI170&lt;&gt;"",IF('Capacity summary'!$C$14="Yes",IF(COUNTBLANK('Capacity summary'!$H82:$BG82)&lt;52,IF('Capacity summary'!X82&lt;&gt;"",IF(LOWER('Capacity summary'!X82)="x",$BI170*X170,VALUE('Capacity summary'!X82)),0),X170*$BI170),X170*$BI170),0)</f>
        <v>0</v>
      </c>
      <c r="CB170" s="5">
        <f>IF($BI170&lt;&gt;"",IF('Capacity summary'!$C$14="Yes",IF(COUNTBLANK('Capacity summary'!$H82:$BG82)&lt;52,IF('Capacity summary'!Y82&lt;&gt;"",IF(LOWER('Capacity summary'!Y82)="x",$BI170*Y170,VALUE('Capacity summary'!Y82)),0),Y170*$BI170),Y170*$BI170),0)</f>
        <v>0</v>
      </c>
      <c r="CC170" s="5">
        <f>IF($BI170&lt;&gt;"",IF('Capacity summary'!$C$14="Yes",IF(COUNTBLANK('Capacity summary'!$H82:$BG82)&lt;52,IF('Capacity summary'!Z82&lt;&gt;"",IF(LOWER('Capacity summary'!Z82)="x",$BI170*Z170,VALUE('Capacity summary'!Z82)),0),Z170*$BI170),Z170*$BI170),0)</f>
        <v>0</v>
      </c>
      <c r="CD170" s="5">
        <f>IF($BI170&lt;&gt;"",IF('Capacity summary'!$C$14="Yes",IF(COUNTBLANK('Capacity summary'!$H82:$BG82)&lt;52,IF('Capacity summary'!AA82&lt;&gt;"",IF(LOWER('Capacity summary'!AA82)="x",$BI170*AA170,VALUE('Capacity summary'!AA82)),0),AA170*$BI170),AA170*$BI170),0)</f>
        <v>0</v>
      </c>
      <c r="CE170" s="5">
        <f>IF($BI170&lt;&gt;"",IF('Capacity summary'!$C$14="Yes",IF(COUNTBLANK('Capacity summary'!$H82:$BG82)&lt;52,IF('Capacity summary'!AB82&lt;&gt;"",IF(LOWER('Capacity summary'!AB82)="x",$BI170*AB170,VALUE('Capacity summary'!AB82)),0),AB170*$BI170),AB170*$BI170),0)</f>
        <v>0</v>
      </c>
      <c r="CF170" s="5">
        <f>IF($BI170&lt;&gt;"",IF('Capacity summary'!$C$14="Yes",IF(COUNTBLANK('Capacity summary'!$H82:$BG82)&lt;52,IF('Capacity summary'!AC82&lt;&gt;"",IF(LOWER('Capacity summary'!AC82)="x",$BI170*AC170,VALUE('Capacity summary'!AC82)),0),AC170*$BI170),AC170*$BI170),0)</f>
        <v>0</v>
      </c>
      <c r="CG170" s="5">
        <f>IF($BI170&lt;&gt;"",IF('Capacity summary'!$C$14="Yes",IF(COUNTBLANK('Capacity summary'!$H82:$BG82)&lt;52,IF('Capacity summary'!AD82&lt;&gt;"",IF(LOWER('Capacity summary'!AD82)="x",$BI170*AD170,VALUE('Capacity summary'!AD82)),0),AD170*$BI170),AD170*$BI170),0)</f>
        <v>0</v>
      </c>
      <c r="CH170" s="5">
        <f>IF($BI170&lt;&gt;"",IF('Capacity summary'!$C$14="Yes",IF(COUNTBLANK('Capacity summary'!$H82:$BG82)&lt;52,IF('Capacity summary'!AE82&lt;&gt;"",IF(LOWER('Capacity summary'!AE82)="x",$BI170*AE170,VALUE('Capacity summary'!AE82)),0),AE170*$BI170),AE170*$BI170),0)</f>
        <v>0</v>
      </c>
      <c r="CI170" s="5">
        <f>IF($BI170&lt;&gt;"",IF('Capacity summary'!$C$14="Yes",IF(COUNTBLANK('Capacity summary'!$H82:$BG82)&lt;52,IF('Capacity summary'!AF82&lt;&gt;"",IF(LOWER('Capacity summary'!AF82)="x",$BI170*AF170,VALUE('Capacity summary'!AF82)),0),AF170*$BI170),AF170*$BI170),0)</f>
        <v>0</v>
      </c>
      <c r="CJ170" s="5">
        <f>IF($BI170&lt;&gt;"",IF('Capacity summary'!$C$14="Yes",IF(COUNTBLANK('Capacity summary'!$H82:$BG82)&lt;52,IF('Capacity summary'!AG82&lt;&gt;"",IF(LOWER('Capacity summary'!AG82)="x",$BI170*AG170,VALUE('Capacity summary'!AG82)),0),AG170*$BI170),AG170*$BI170),0)</f>
        <v>0</v>
      </c>
      <c r="CK170" s="5">
        <f>IF($BI170&lt;&gt;"",IF('Capacity summary'!$C$14="Yes",IF(COUNTBLANK('Capacity summary'!$H82:$BG82)&lt;52,IF('Capacity summary'!AH82&lt;&gt;"",IF(LOWER('Capacity summary'!AH82)="x",$BI170*AH170,VALUE('Capacity summary'!AH82)),0),AH170*$BI170),AH170*$BI170),0)</f>
        <v>0</v>
      </c>
      <c r="CL170" s="5">
        <f>IF($BI170&lt;&gt;"",IF('Capacity summary'!$C$14="Yes",IF(COUNTBLANK('Capacity summary'!$H82:$BG82)&lt;52,IF('Capacity summary'!AI82&lt;&gt;"",IF(LOWER('Capacity summary'!AI82)="x",$BI170*AI170,VALUE('Capacity summary'!AI82)),0),AI170*$BI170),AI170*$BI170),0)</f>
        <v>0</v>
      </c>
      <c r="CM170" s="5">
        <f>IF($BI170&lt;&gt;"",IF('Capacity summary'!$C$14="Yes",IF(COUNTBLANK('Capacity summary'!$H82:$BG82)&lt;52,IF('Capacity summary'!AJ82&lt;&gt;"",IF(LOWER('Capacity summary'!AJ82)="x",$BI170*AJ170,VALUE('Capacity summary'!AJ82)),0),AJ170*$BI170),AJ170*$BI170),0)</f>
        <v>0</v>
      </c>
      <c r="CN170" s="5">
        <f>IF($BI170&lt;&gt;"",IF('Capacity summary'!$C$14="Yes",IF(COUNTBLANK('Capacity summary'!$H82:$BG82)&lt;52,IF('Capacity summary'!AK82&lt;&gt;"",IF(LOWER('Capacity summary'!AK82)="x",$BI170*AK170,VALUE('Capacity summary'!AK82)),0),AK170*$BI170),AK170*$BI170),0)</f>
        <v>0</v>
      </c>
      <c r="CO170" s="5">
        <f>IF($BI170&lt;&gt;"",IF('Capacity summary'!$C$14="Yes",IF(COUNTBLANK('Capacity summary'!$H82:$BG82)&lt;52,IF('Capacity summary'!AL82&lt;&gt;"",IF(LOWER('Capacity summary'!AL82)="x",$BI170*AL170,VALUE('Capacity summary'!AL82)),0),AL170*$BI170),AL170*$BI170),0)</f>
        <v>0</v>
      </c>
      <c r="CP170" s="5">
        <f>IF($BI170&lt;&gt;"",IF('Capacity summary'!$C$14="Yes",IF(COUNTBLANK('Capacity summary'!$H82:$BG82)&lt;52,IF('Capacity summary'!AM82&lt;&gt;"",IF(LOWER('Capacity summary'!AM82)="x",$BI170*AM170,VALUE('Capacity summary'!AM82)),0),AM170*$BI170),AM170*$BI170),0)</f>
        <v>0</v>
      </c>
      <c r="CQ170" s="5">
        <f>IF($BI170&lt;&gt;"",IF('Capacity summary'!$C$14="Yes",IF(COUNTBLANK('Capacity summary'!$H82:$BG82)&lt;52,IF('Capacity summary'!AN82&lt;&gt;"",IF(LOWER('Capacity summary'!AN82)="x",$BI170*AN170,VALUE('Capacity summary'!AN82)),0),AN170*$BI170),AN170*$BI170),0)</f>
        <v>0</v>
      </c>
      <c r="CR170" s="5">
        <f>IF($BI170&lt;&gt;"",IF('Capacity summary'!$C$14="Yes",IF(COUNTBLANK('Capacity summary'!$H82:$BG82)&lt;52,IF('Capacity summary'!AO82&lt;&gt;"",IF(LOWER('Capacity summary'!AO82)="x",$BI170*AO170,VALUE('Capacity summary'!AO82)),0),AO170*$BI170),AO170*$BI170),0)</f>
        <v>0</v>
      </c>
      <c r="CS170" s="5">
        <f>IF($BI170&lt;&gt;"",IF('Capacity summary'!$C$14="Yes",IF(COUNTBLANK('Capacity summary'!$H82:$BG82)&lt;52,IF('Capacity summary'!AP82&lt;&gt;"",IF(LOWER('Capacity summary'!AP82)="x",$BI170*AP170,VALUE('Capacity summary'!AP82)),0),AP170*$BI170),AP170*$BI170),0)</f>
        <v>0</v>
      </c>
      <c r="CT170" s="5">
        <f>IF($BI170&lt;&gt;"",IF('Capacity summary'!$C$14="Yes",IF(COUNTBLANK('Capacity summary'!$H82:$BG82)&lt;52,IF('Capacity summary'!AQ82&lt;&gt;"",IF(LOWER('Capacity summary'!AQ82)="x",$BI170*AQ170,VALUE('Capacity summary'!AQ82)),0),AQ170*$BI170),AQ170*$BI170),0)</f>
        <v>0</v>
      </c>
      <c r="CU170" s="5">
        <f>IF($BI170&lt;&gt;"",IF('Capacity summary'!$C$14="Yes",IF(COUNTBLANK('Capacity summary'!$H82:$BG82)&lt;52,IF('Capacity summary'!AR82&lt;&gt;"",IF(LOWER('Capacity summary'!AR82)="x",$BI170*AR170,VALUE('Capacity summary'!AR82)),0),AR170*$BI170),AR170*$BI170),0)</f>
        <v>0</v>
      </c>
      <c r="CV170" s="5">
        <f>IF($BI170&lt;&gt;"",IF('Capacity summary'!$C$14="Yes",IF(COUNTBLANK('Capacity summary'!$H82:$BG82)&lt;52,IF('Capacity summary'!AS82&lt;&gt;"",IF(LOWER('Capacity summary'!AS82)="x",$BI170*AS170,VALUE('Capacity summary'!AS82)),0),AS170*$BI170),AS170*$BI170),0)</f>
        <v>0</v>
      </c>
      <c r="CW170" s="5">
        <f>IF($BI170&lt;&gt;"",IF('Capacity summary'!$C$14="Yes",IF(COUNTBLANK('Capacity summary'!$H82:$BG82)&lt;52,IF('Capacity summary'!AT82&lt;&gt;"",IF(LOWER('Capacity summary'!AT82)="x",$BI170*AT170,VALUE('Capacity summary'!AT82)),0),AT170*$BI170),AT170*$BI170),0)</f>
        <v>0</v>
      </c>
      <c r="CX170" s="5">
        <f>IF($BI170&lt;&gt;"",IF('Capacity summary'!$C$14="Yes",IF(COUNTBLANK('Capacity summary'!$H82:$BG82)&lt;52,IF('Capacity summary'!AU82&lt;&gt;"",IF(LOWER('Capacity summary'!AU82)="x",$BI170*AU170,VALUE('Capacity summary'!AU82)),0),AU170*$BI170),AU170*$BI170),0)</f>
        <v>0</v>
      </c>
      <c r="CY170" s="5">
        <f>IF($BI170&lt;&gt;"",IF('Capacity summary'!$C$14="Yes",IF(COUNTBLANK('Capacity summary'!$H82:$BG82)&lt;52,IF('Capacity summary'!AV82&lt;&gt;"",IF(LOWER('Capacity summary'!AV82)="x",$BI170*AV170,VALUE('Capacity summary'!AV82)),0),AV170*$BI170),AV170*$BI170),0)</f>
        <v>0</v>
      </c>
      <c r="CZ170" s="5">
        <f>IF($BI170&lt;&gt;"",IF('Capacity summary'!$C$14="Yes",IF(COUNTBLANK('Capacity summary'!$H82:$BG82)&lt;52,IF('Capacity summary'!AW82&lt;&gt;"",IF(LOWER('Capacity summary'!AW82)="x",$BI170*AW170,VALUE('Capacity summary'!AW82)),0),AW170*$BI170),AW170*$BI170),0)</f>
        <v>0</v>
      </c>
      <c r="DA170" s="5">
        <f>IF($BI170&lt;&gt;"",IF('Capacity summary'!$C$14="Yes",IF(COUNTBLANK('Capacity summary'!$H82:$BG82)&lt;52,IF('Capacity summary'!AX82&lt;&gt;"",IF(LOWER('Capacity summary'!AX82)="x",$BI170*AX170,VALUE('Capacity summary'!AX82)),0),AX170*$BI170),AX170*$BI170),0)</f>
        <v>0</v>
      </c>
      <c r="DB170" s="5">
        <f>IF($BI170&lt;&gt;"",IF('Capacity summary'!$C$14="Yes",IF(COUNTBLANK('Capacity summary'!$H82:$BG82)&lt;52,IF('Capacity summary'!AY82&lt;&gt;"",IF(LOWER('Capacity summary'!AY82)="x",$BI170*AY170,VALUE('Capacity summary'!AY82)),0),AY170*$BI170),AY170*$BI170),0)</f>
        <v>0</v>
      </c>
      <c r="DC170" s="5">
        <f>IF($BI170&lt;&gt;"",IF('Capacity summary'!$C$14="Yes",IF(COUNTBLANK('Capacity summary'!$H82:$BG82)&lt;52,IF('Capacity summary'!AZ82&lt;&gt;"",IF(LOWER('Capacity summary'!AZ82)="x",$BI170*AZ170,VALUE('Capacity summary'!AZ82)),0),AZ170*$BI170),AZ170*$BI170),0)</f>
        <v>0</v>
      </c>
      <c r="DD170" s="5">
        <f>IF($BI170&lt;&gt;"",IF('Capacity summary'!$C$14="Yes",IF(COUNTBLANK('Capacity summary'!$H82:$BG82)&lt;52,IF('Capacity summary'!BA82&lt;&gt;"",IF(LOWER('Capacity summary'!BA82)="x",$BI170*BA170,VALUE('Capacity summary'!BA82)),0),BA170*$BI170),BA170*$BI170),0)</f>
        <v>0</v>
      </c>
      <c r="DE170" s="5">
        <f>IF($BI170&lt;&gt;"",IF('Capacity summary'!$C$14="Yes",IF(COUNTBLANK('Capacity summary'!$H82:$BG82)&lt;52,IF('Capacity summary'!BB82&lt;&gt;"",IF(LOWER('Capacity summary'!BB82)="x",$BI170*BB170,VALUE('Capacity summary'!BB82)),0),BB170*$BI170),BB170*$BI170),0)</f>
        <v>0</v>
      </c>
      <c r="DF170" s="5">
        <f>IF($BI170&lt;&gt;"",IF('Capacity summary'!$C$14="Yes",IF(COUNTBLANK('Capacity summary'!$H82:$BG82)&lt;52,IF('Capacity summary'!BC82&lt;&gt;"",IF(LOWER('Capacity summary'!BC82)="x",$BI170*BC170,VALUE('Capacity summary'!BC82)),0),BC170*$BI170),BC170*$BI170),0)</f>
        <v>0</v>
      </c>
      <c r="DG170" s="5">
        <f>IF($BI170&lt;&gt;"",IF('Capacity summary'!$C$14="Yes",IF(COUNTBLANK('Capacity summary'!$H82:$BG82)&lt;52,IF('Capacity summary'!BD82&lt;&gt;"",IF(LOWER('Capacity summary'!BD82)="x",$BI170*BD170,VALUE('Capacity summary'!BD82)),0),BD170*$BI170),BD170*$BI170),0)</f>
        <v>0</v>
      </c>
      <c r="DH170" s="5">
        <f>IF($BI170&lt;&gt;"",IF('Capacity summary'!$C$14="Yes",IF(COUNTBLANK('Capacity summary'!$H82:$BG82)&lt;52,IF('Capacity summary'!BE82&lt;&gt;"",IF(LOWER('Capacity summary'!BE82)="x",$BI170*BE170,VALUE('Capacity summary'!BE82)),0),BE170*$BI170),BE170*$BI170),0)</f>
        <v>0</v>
      </c>
      <c r="DI170" s="5">
        <f>IF($BI170&lt;&gt;"",IF('Capacity summary'!$C$14="Yes",IF(COUNTBLANK('Capacity summary'!$H82:$BG82)&lt;52,IF('Capacity summary'!BF82&lt;&gt;"",IF(LOWER('Capacity summary'!BF82)="x",$BI170*BF170,VALUE('Capacity summary'!BF82)),0),BF170*$BI170),BF170*$BI170),0)</f>
        <v>0</v>
      </c>
      <c r="DJ170" s="5">
        <f>IF($BI170&lt;&gt;"",IF('Capacity summary'!$C$14="Yes",IF(COUNTBLANK('Capacity summary'!$H82:$BG82)&lt;52,IF('Capacity summary'!BG82&lt;&gt;"",IF(LOWER('Capacity summary'!BG82)="x",$BI170*BG170,VALUE('Capacity summary'!BG82)),0),BG170*$BI170),BG170*$BI170),0)</f>
        <v>0</v>
      </c>
      <c r="DK170" s="5">
        <f t="shared" ref="DK170" si="64">SUM(DK171:DK270)</f>
        <v>0</v>
      </c>
    </row>
    <row r="171" spans="3:115" x14ac:dyDescent="0.25">
      <c r="C171" s="67" t="str">
        <f>ROW(A60)&amp;". "&amp;Capacity!N76</f>
        <v xml:space="preserve">60. </v>
      </c>
      <c r="D171" s="67">
        <f>'Capacity setup'!C177</f>
        <v>0</v>
      </c>
      <c r="E171" s="67">
        <f>'Capacity setup'!D177</f>
        <v>0</v>
      </c>
      <c r="F171" s="67">
        <f>'Capacity setup'!E177</f>
        <v>0</v>
      </c>
      <c r="H171" s="67">
        <f ca="1">IF(AND(SUMIF(Capacity_Resource,$D171,'Critical resources (hide)'!U$6:U$105)+SUMIF(Capacity_Resource,$E171,'Critical resources (hide)'!U$6:U$105)+SUMIF(Capacity_Resource,$F171,'Critical resources (hide)'!U$6:U$105)&gt;0,$E$1=2),0,1)</f>
        <v>1</v>
      </c>
      <c r="I171" s="67">
        <f ca="1">IF(AND(SUMIF(Capacity_Resource,$D171,'Critical resources (hide)'!V$6:V$105)+SUMIF(Capacity_Resource,$E171,'Critical resources (hide)'!V$6:V$105)+SUMIF(Capacity_Resource,$F171,'Critical resources (hide)'!V$6:V$105)&gt;0,$E$1=2),0,1)</f>
        <v>1</v>
      </c>
      <c r="J171" s="67">
        <f ca="1">IF(AND(SUMIF(Capacity_Resource,$D171,'Critical resources (hide)'!W$6:W$105)+SUMIF(Capacity_Resource,$E171,'Critical resources (hide)'!W$6:W$105)+SUMIF(Capacity_Resource,$F171,'Critical resources (hide)'!W$6:W$105)&gt;0,$E$1=2),0,1)</f>
        <v>1</v>
      </c>
      <c r="K171" s="67">
        <f ca="1">IF(AND(SUMIF(Capacity_Resource,$D171,'Critical resources (hide)'!X$6:X$105)+SUMIF(Capacity_Resource,$E171,'Critical resources (hide)'!X$6:X$105)+SUMIF(Capacity_Resource,$F171,'Critical resources (hide)'!X$6:X$105)&gt;0,$E$1=2),0,1)</f>
        <v>1</v>
      </c>
      <c r="L171" s="67">
        <f ca="1">IF(AND(SUMIF(Capacity_Resource,$D171,'Critical resources (hide)'!Y$6:Y$105)+SUMIF(Capacity_Resource,$E171,'Critical resources (hide)'!Y$6:Y$105)+SUMIF(Capacity_Resource,$F171,'Critical resources (hide)'!Y$6:Y$105)&gt;0,$E$1=2),0,1)</f>
        <v>1</v>
      </c>
      <c r="M171" s="67">
        <f ca="1">IF(AND(SUMIF(Capacity_Resource,$D171,'Critical resources (hide)'!Z$6:Z$105)+SUMIF(Capacity_Resource,$E171,'Critical resources (hide)'!Z$6:Z$105)+SUMIF(Capacity_Resource,$F171,'Critical resources (hide)'!Z$6:Z$105)&gt;0,$E$1=2),0,1)</f>
        <v>1</v>
      </c>
      <c r="N171" s="67">
        <f ca="1">IF(AND(SUMIF(Capacity_Resource,$D171,'Critical resources (hide)'!AA$6:AA$105)+SUMIF(Capacity_Resource,$E171,'Critical resources (hide)'!AA$6:AA$105)+SUMIF(Capacity_Resource,$F171,'Critical resources (hide)'!AA$6:AA$105)&gt;0,$E$1=2),0,1)</f>
        <v>1</v>
      </c>
      <c r="O171" s="67">
        <f ca="1">IF(AND(SUMIF(Capacity_Resource,$D171,'Critical resources (hide)'!AB$6:AB$105)+SUMIF(Capacity_Resource,$E171,'Critical resources (hide)'!AB$6:AB$105)+SUMIF(Capacity_Resource,$F171,'Critical resources (hide)'!AB$6:AB$105)&gt;0,$E$1=2),0,1)</f>
        <v>1</v>
      </c>
      <c r="P171" s="67">
        <f ca="1">IF(AND(SUMIF(Capacity_Resource,$D171,'Critical resources (hide)'!AC$6:AC$105)+SUMIF(Capacity_Resource,$E171,'Critical resources (hide)'!AC$6:AC$105)+SUMIF(Capacity_Resource,$F171,'Critical resources (hide)'!AC$6:AC$105)&gt;0,$E$1=2),0,1)</f>
        <v>1</v>
      </c>
      <c r="Q171" s="67">
        <f ca="1">IF(AND(SUMIF(Capacity_Resource,$D171,'Critical resources (hide)'!AD$6:AD$105)+SUMIF(Capacity_Resource,$E171,'Critical resources (hide)'!AD$6:AD$105)+SUMIF(Capacity_Resource,$F171,'Critical resources (hide)'!AD$6:AD$105)&gt;0,$E$1=2),0,1)</f>
        <v>1</v>
      </c>
      <c r="R171" s="67">
        <f ca="1">IF(AND(SUMIF(Capacity_Resource,$D171,'Critical resources (hide)'!AE$6:AE$105)+SUMIF(Capacity_Resource,$E171,'Critical resources (hide)'!AE$6:AE$105)+SUMIF(Capacity_Resource,$F171,'Critical resources (hide)'!AE$6:AE$105)&gt;0,$E$1=2),0,1)</f>
        <v>1</v>
      </c>
      <c r="S171" s="67">
        <f ca="1">IF(AND(SUMIF(Capacity_Resource,$D171,'Critical resources (hide)'!AF$6:AF$105)+SUMIF(Capacity_Resource,$E171,'Critical resources (hide)'!AF$6:AF$105)+SUMIF(Capacity_Resource,$F171,'Critical resources (hide)'!AF$6:AF$105)&gt;0,$E$1=2),0,1)</f>
        <v>1</v>
      </c>
      <c r="T171" s="67">
        <f ca="1">IF(AND(SUMIF(Capacity_Resource,$D171,'Critical resources (hide)'!AG$6:AG$105)+SUMIF(Capacity_Resource,$E171,'Critical resources (hide)'!AG$6:AG$105)+SUMIF(Capacity_Resource,$F171,'Critical resources (hide)'!AG$6:AG$105)&gt;0,$E$1=2),0,1)</f>
        <v>1</v>
      </c>
      <c r="U171" s="67">
        <f ca="1">IF(AND(SUMIF(Capacity_Resource,$D171,'Critical resources (hide)'!AH$6:AH$105)+SUMIF(Capacity_Resource,$E171,'Critical resources (hide)'!AH$6:AH$105)+SUMIF(Capacity_Resource,$F171,'Critical resources (hide)'!AH$6:AH$105)&gt;0,$E$1=2),0,1)</f>
        <v>1</v>
      </c>
      <c r="V171" s="67">
        <f ca="1">IF(AND(SUMIF(Capacity_Resource,$D171,'Critical resources (hide)'!AI$6:AI$105)+SUMIF(Capacity_Resource,$E171,'Critical resources (hide)'!AI$6:AI$105)+SUMIF(Capacity_Resource,$F171,'Critical resources (hide)'!AI$6:AI$105)&gt;0,$E$1=2),0,1)</f>
        <v>1</v>
      </c>
      <c r="W171" s="67">
        <f ca="1">IF(AND(SUMIF(Capacity_Resource,$D171,'Critical resources (hide)'!AJ$6:AJ$105)+SUMIF(Capacity_Resource,$E171,'Critical resources (hide)'!AJ$6:AJ$105)+SUMIF(Capacity_Resource,$F171,'Critical resources (hide)'!AJ$6:AJ$105)&gt;0,$E$1=2),0,1)</f>
        <v>1</v>
      </c>
      <c r="X171" s="67">
        <f ca="1">IF(AND(SUMIF(Capacity_Resource,$D171,'Critical resources (hide)'!AK$6:AK$105)+SUMIF(Capacity_Resource,$E171,'Critical resources (hide)'!AK$6:AK$105)+SUMIF(Capacity_Resource,$F171,'Critical resources (hide)'!AK$6:AK$105)&gt;0,$E$1=2),0,1)</f>
        <v>1</v>
      </c>
      <c r="Y171" s="67">
        <f ca="1">IF(AND(SUMIF(Capacity_Resource,$D171,'Critical resources (hide)'!AL$6:AL$105)+SUMIF(Capacity_Resource,$E171,'Critical resources (hide)'!AL$6:AL$105)+SUMIF(Capacity_Resource,$F171,'Critical resources (hide)'!AL$6:AL$105)&gt;0,$E$1=2),0,1)</f>
        <v>1</v>
      </c>
      <c r="Z171" s="67">
        <f ca="1">IF(AND(SUMIF(Capacity_Resource,$D171,'Critical resources (hide)'!AM$6:AM$105)+SUMIF(Capacity_Resource,$E171,'Critical resources (hide)'!AM$6:AM$105)+SUMIF(Capacity_Resource,$F171,'Critical resources (hide)'!AM$6:AM$105)&gt;0,$E$1=2),0,1)</f>
        <v>1</v>
      </c>
      <c r="AA171" s="67">
        <f ca="1">IF(AND(SUMIF(Capacity_Resource,$D171,'Critical resources (hide)'!AN$6:AN$105)+SUMIF(Capacity_Resource,$E171,'Critical resources (hide)'!AN$6:AN$105)+SUMIF(Capacity_Resource,$F171,'Critical resources (hide)'!AN$6:AN$105)&gt;0,$E$1=2),0,1)</f>
        <v>1</v>
      </c>
      <c r="AB171" s="67">
        <f ca="1">IF(AND(SUMIF(Capacity_Resource,$D171,'Critical resources (hide)'!AO$6:AO$105)+SUMIF(Capacity_Resource,$E171,'Critical resources (hide)'!AO$6:AO$105)+SUMIF(Capacity_Resource,$F171,'Critical resources (hide)'!AO$6:AO$105)&gt;0,$E$1=2),0,1)</f>
        <v>1</v>
      </c>
      <c r="AC171" s="67">
        <f ca="1">IF(AND(SUMIF(Capacity_Resource,$D171,'Critical resources (hide)'!AP$6:AP$105)+SUMIF(Capacity_Resource,$E171,'Critical resources (hide)'!AP$6:AP$105)+SUMIF(Capacity_Resource,$F171,'Critical resources (hide)'!AP$6:AP$105)&gt;0,$E$1=2),0,1)</f>
        <v>1</v>
      </c>
      <c r="AD171" s="67">
        <f ca="1">IF(AND(SUMIF(Capacity_Resource,$D171,'Critical resources (hide)'!AQ$6:AQ$105)+SUMIF(Capacity_Resource,$E171,'Critical resources (hide)'!AQ$6:AQ$105)+SUMIF(Capacity_Resource,$F171,'Critical resources (hide)'!AQ$6:AQ$105)&gt;0,$E$1=2),0,1)</f>
        <v>1</v>
      </c>
      <c r="AE171" s="67">
        <f ca="1">IF(AND(SUMIF(Capacity_Resource,$D171,'Critical resources (hide)'!AR$6:AR$105)+SUMIF(Capacity_Resource,$E171,'Critical resources (hide)'!AR$6:AR$105)+SUMIF(Capacity_Resource,$F171,'Critical resources (hide)'!AR$6:AR$105)&gt;0,$E$1=2),0,1)</f>
        <v>1</v>
      </c>
      <c r="AF171" s="67">
        <f ca="1">IF(AND(SUMIF(Capacity_Resource,$D171,'Critical resources (hide)'!AS$6:AS$105)+SUMIF(Capacity_Resource,$E171,'Critical resources (hide)'!AS$6:AS$105)+SUMIF(Capacity_Resource,$F171,'Critical resources (hide)'!AS$6:AS$105)&gt;0,$E$1=2),0,1)</f>
        <v>1</v>
      </c>
      <c r="AG171" s="67">
        <f ca="1">IF(AND(SUMIF(Capacity_Resource,$D171,'Critical resources (hide)'!AT$6:AT$105)+SUMIF(Capacity_Resource,$E171,'Critical resources (hide)'!AT$6:AT$105)+SUMIF(Capacity_Resource,$F171,'Critical resources (hide)'!AT$6:AT$105)&gt;0,$E$1=2),0,1)</f>
        <v>1</v>
      </c>
      <c r="AH171" s="67">
        <f ca="1">IF(AND(SUMIF(Capacity_Resource,$D171,'Critical resources (hide)'!AU$6:AU$105)+SUMIF(Capacity_Resource,$E171,'Critical resources (hide)'!AU$6:AU$105)+SUMIF(Capacity_Resource,$F171,'Critical resources (hide)'!AU$6:AU$105)&gt;0,$E$1=2),0,1)</f>
        <v>1</v>
      </c>
      <c r="AI171" s="67">
        <f ca="1">IF(AND(SUMIF(Capacity_Resource,$D171,'Critical resources (hide)'!AV$6:AV$105)+SUMIF(Capacity_Resource,$E171,'Critical resources (hide)'!AV$6:AV$105)+SUMIF(Capacity_Resource,$F171,'Critical resources (hide)'!AV$6:AV$105)&gt;0,$E$1=2),0,1)</f>
        <v>1</v>
      </c>
      <c r="AJ171" s="67">
        <f ca="1">IF(AND(SUMIF(Capacity_Resource,$D171,'Critical resources (hide)'!AW$6:AW$105)+SUMIF(Capacity_Resource,$E171,'Critical resources (hide)'!AW$6:AW$105)+SUMIF(Capacity_Resource,$F171,'Critical resources (hide)'!AW$6:AW$105)&gt;0,$E$1=2),0,1)</f>
        <v>1</v>
      </c>
      <c r="AK171" s="67">
        <f ca="1">IF(AND(SUMIF(Capacity_Resource,$D171,'Critical resources (hide)'!AX$6:AX$105)+SUMIF(Capacity_Resource,$E171,'Critical resources (hide)'!AX$6:AX$105)+SUMIF(Capacity_Resource,$F171,'Critical resources (hide)'!AX$6:AX$105)&gt;0,$E$1=2),0,1)</f>
        <v>1</v>
      </c>
      <c r="AL171" s="67">
        <f ca="1">IF(AND(SUMIF(Capacity_Resource,$D171,'Critical resources (hide)'!AY$6:AY$105)+SUMIF(Capacity_Resource,$E171,'Critical resources (hide)'!AY$6:AY$105)+SUMIF(Capacity_Resource,$F171,'Critical resources (hide)'!AY$6:AY$105)&gt;0,$E$1=2),0,1)</f>
        <v>1</v>
      </c>
      <c r="AM171" s="67">
        <f ca="1">IF(AND(SUMIF(Capacity_Resource,$D171,'Critical resources (hide)'!AZ$6:AZ$105)+SUMIF(Capacity_Resource,$E171,'Critical resources (hide)'!AZ$6:AZ$105)+SUMIF(Capacity_Resource,$F171,'Critical resources (hide)'!AZ$6:AZ$105)&gt;0,$E$1=2),0,1)</f>
        <v>1</v>
      </c>
      <c r="AN171" s="67">
        <f ca="1">IF(AND(SUMIF(Capacity_Resource,$D171,'Critical resources (hide)'!BA$6:BA$105)+SUMIF(Capacity_Resource,$E171,'Critical resources (hide)'!BA$6:BA$105)+SUMIF(Capacity_Resource,$F171,'Critical resources (hide)'!BA$6:BA$105)&gt;0,$E$1=2),0,1)</f>
        <v>1</v>
      </c>
      <c r="AO171" s="67">
        <f ca="1">IF(AND(SUMIF(Capacity_Resource,$D171,'Critical resources (hide)'!BB$6:BB$105)+SUMIF(Capacity_Resource,$E171,'Critical resources (hide)'!BB$6:BB$105)+SUMIF(Capacity_Resource,$F171,'Critical resources (hide)'!BB$6:BB$105)&gt;0,$E$1=2),0,1)</f>
        <v>1</v>
      </c>
      <c r="AP171" s="67">
        <f ca="1">IF(AND(SUMIF(Capacity_Resource,$D171,'Critical resources (hide)'!BC$6:BC$105)+SUMIF(Capacity_Resource,$E171,'Critical resources (hide)'!BC$6:BC$105)+SUMIF(Capacity_Resource,$F171,'Critical resources (hide)'!BC$6:BC$105)&gt;0,$E$1=2),0,1)</f>
        <v>1</v>
      </c>
      <c r="AQ171" s="67">
        <f ca="1">IF(AND(SUMIF(Capacity_Resource,$D171,'Critical resources (hide)'!BD$6:BD$105)+SUMIF(Capacity_Resource,$E171,'Critical resources (hide)'!BD$6:BD$105)+SUMIF(Capacity_Resource,$F171,'Critical resources (hide)'!BD$6:BD$105)&gt;0,$E$1=2),0,1)</f>
        <v>1</v>
      </c>
      <c r="AR171" s="67">
        <f ca="1">IF(AND(SUMIF(Capacity_Resource,$D171,'Critical resources (hide)'!BE$6:BE$105)+SUMIF(Capacity_Resource,$E171,'Critical resources (hide)'!BE$6:BE$105)+SUMIF(Capacity_Resource,$F171,'Critical resources (hide)'!BE$6:BE$105)&gt;0,$E$1=2),0,1)</f>
        <v>1</v>
      </c>
      <c r="AS171" s="67">
        <f ca="1">IF(AND(SUMIF(Capacity_Resource,$D171,'Critical resources (hide)'!BF$6:BF$105)+SUMIF(Capacity_Resource,$E171,'Critical resources (hide)'!BF$6:BF$105)+SUMIF(Capacity_Resource,$F171,'Critical resources (hide)'!BF$6:BF$105)&gt;0,$E$1=2),0,1)</f>
        <v>1</v>
      </c>
      <c r="AT171" s="67">
        <f ca="1">IF(AND(SUMIF(Capacity_Resource,$D171,'Critical resources (hide)'!BG$6:BG$105)+SUMIF(Capacity_Resource,$E171,'Critical resources (hide)'!BG$6:BG$105)+SUMIF(Capacity_Resource,$F171,'Critical resources (hide)'!BG$6:BG$105)&gt;0,$E$1=2),0,1)</f>
        <v>1</v>
      </c>
      <c r="AU171" s="67">
        <f ca="1">IF(AND(SUMIF(Capacity_Resource,$D171,'Critical resources (hide)'!BH$6:BH$105)+SUMIF(Capacity_Resource,$E171,'Critical resources (hide)'!BH$6:BH$105)+SUMIF(Capacity_Resource,$F171,'Critical resources (hide)'!BH$6:BH$105)&gt;0,$E$1=2),0,1)</f>
        <v>1</v>
      </c>
      <c r="AV171" s="67">
        <f ca="1">IF(AND(SUMIF(Capacity_Resource,$D171,'Critical resources (hide)'!BI$6:BI$105)+SUMIF(Capacity_Resource,$E171,'Critical resources (hide)'!BI$6:BI$105)+SUMIF(Capacity_Resource,$F171,'Critical resources (hide)'!BI$6:BI$105)&gt;0,$E$1=2),0,1)</f>
        <v>1</v>
      </c>
      <c r="AW171" s="67">
        <f ca="1">IF(AND(SUMIF(Capacity_Resource,$D171,'Critical resources (hide)'!BJ$6:BJ$105)+SUMIF(Capacity_Resource,$E171,'Critical resources (hide)'!BJ$6:BJ$105)+SUMIF(Capacity_Resource,$F171,'Critical resources (hide)'!BJ$6:BJ$105)&gt;0,$E$1=2),0,1)</f>
        <v>1</v>
      </c>
      <c r="AX171" s="67">
        <f ca="1">IF(AND(SUMIF(Capacity_Resource,$D171,'Critical resources (hide)'!BK$6:BK$105)+SUMIF(Capacity_Resource,$E171,'Critical resources (hide)'!BK$6:BK$105)+SUMIF(Capacity_Resource,$F171,'Critical resources (hide)'!BK$6:BK$105)&gt;0,$E$1=2),0,1)</f>
        <v>1</v>
      </c>
      <c r="AY171" s="67">
        <f ca="1">IF(AND(SUMIF(Capacity_Resource,$D171,'Critical resources (hide)'!BL$6:BL$105)+SUMIF(Capacity_Resource,$E171,'Critical resources (hide)'!BL$6:BL$105)+SUMIF(Capacity_Resource,$F171,'Critical resources (hide)'!BL$6:BL$105)&gt;0,$E$1=2),0,1)</f>
        <v>1</v>
      </c>
      <c r="AZ171" s="67">
        <f ca="1">IF(AND(SUMIF(Capacity_Resource,$D171,'Critical resources (hide)'!BM$6:BM$105)+SUMIF(Capacity_Resource,$E171,'Critical resources (hide)'!BM$6:BM$105)+SUMIF(Capacity_Resource,$F171,'Critical resources (hide)'!BM$6:BM$105)&gt;0,$E$1=2),0,1)</f>
        <v>1</v>
      </c>
      <c r="BA171" s="67">
        <f ca="1">IF(AND(SUMIF(Capacity_Resource,$D171,'Critical resources (hide)'!BN$6:BN$105)+SUMIF(Capacity_Resource,$E171,'Critical resources (hide)'!BN$6:BN$105)+SUMIF(Capacity_Resource,$F171,'Critical resources (hide)'!BN$6:BN$105)&gt;0,$E$1=2),0,1)</f>
        <v>1</v>
      </c>
      <c r="BB171" s="67">
        <f ca="1">IF(AND(SUMIF(Capacity_Resource,$D171,'Critical resources (hide)'!BO$6:BO$105)+SUMIF(Capacity_Resource,$E171,'Critical resources (hide)'!BO$6:BO$105)+SUMIF(Capacity_Resource,$F171,'Critical resources (hide)'!BO$6:BO$105)&gt;0,$E$1=2),0,1)</f>
        <v>1</v>
      </c>
      <c r="BC171" s="67">
        <f ca="1">IF(AND(SUMIF(Capacity_Resource,$D171,'Critical resources (hide)'!BP$6:BP$105)+SUMIF(Capacity_Resource,$E171,'Critical resources (hide)'!BP$6:BP$105)+SUMIF(Capacity_Resource,$F171,'Critical resources (hide)'!BP$6:BP$105)&gt;0,$E$1=2),0,1)</f>
        <v>1</v>
      </c>
      <c r="BD171" s="67">
        <f ca="1">IF(AND(SUMIF(Capacity_Resource,$D171,'Critical resources (hide)'!BQ$6:BQ$105)+SUMIF(Capacity_Resource,$E171,'Critical resources (hide)'!BQ$6:BQ$105)+SUMIF(Capacity_Resource,$F171,'Critical resources (hide)'!BQ$6:BQ$105)&gt;0,$E$1=2),0,1)</f>
        <v>1</v>
      </c>
      <c r="BE171" s="67">
        <f ca="1">IF(AND(SUMIF(Capacity_Resource,$D171,'Critical resources (hide)'!BR$6:BR$105)+SUMIF(Capacity_Resource,$E171,'Critical resources (hide)'!BR$6:BR$105)+SUMIF(Capacity_Resource,$F171,'Critical resources (hide)'!BR$6:BR$105)&gt;0,$E$1=2),0,1)</f>
        <v>1</v>
      </c>
      <c r="BF171" s="67">
        <f ca="1">IF(AND(SUMIF(Capacity_Resource,$D171,'Critical resources (hide)'!BS$6:BS$105)+SUMIF(Capacity_Resource,$E171,'Critical resources (hide)'!BS$6:BS$105)+SUMIF(Capacity_Resource,$F171,'Critical resources (hide)'!BS$6:BS$105)&gt;0,$E$1=2),0,1)</f>
        <v>1</v>
      </c>
      <c r="BG171" s="67">
        <f ca="1">IF(AND(SUMIF(Capacity_Resource,$D171,'Critical resources (hide)'!BT$6:BT$105)+SUMIF(Capacity_Resource,$E171,'Critical resources (hide)'!BT$6:BT$105)+SUMIF(Capacity_Resource,$F171,'Critical resources (hide)'!BT$6:BT$105)&gt;0,$E$1=2),0,1)</f>
        <v>1</v>
      </c>
      <c r="BH171" s="67">
        <f>IF(ROW(A60)&lt;=Capacity!$M$16,IF('Capacity summary'!$C$14="No",SUM(H171:BG171),'Capacity summary'!$E83),0)</f>
        <v>0</v>
      </c>
      <c r="BI171" s="67" t="str">
        <f>IF(BH171&gt;0,IF(BH171&lt;Capacity!Q76,Capacity!R76,Capacity!T76/'Capacity calculation (hide)'!BH171),"")</f>
        <v/>
      </c>
      <c r="BJ171" s="5"/>
      <c r="BK171" s="5">
        <f>IF($BI171&lt;&gt;"",IF('Capacity summary'!$C$14="Yes",IF(COUNTBLANK('Capacity summary'!$H83:$BG83)&lt;52,IF('Capacity summary'!H83&lt;&gt;"",IF(LOWER('Capacity summary'!H83)="x",$BI171*H171,VALUE('Capacity summary'!H83)),0),H171*$BI171),H171*$BI171),0)</f>
        <v>0</v>
      </c>
      <c r="BL171" s="5">
        <f>IF($BI171&lt;&gt;"",IF('Capacity summary'!$C$14="Yes",IF(COUNTBLANK('Capacity summary'!$H83:$BG83)&lt;52,IF('Capacity summary'!I83&lt;&gt;"",IF(LOWER('Capacity summary'!I83)="x",$BI171*I171,VALUE('Capacity summary'!I83)),0),I171*$BI171),I171*$BI171),0)</f>
        <v>0</v>
      </c>
      <c r="BM171" s="5">
        <f>IF($BI171&lt;&gt;"",IF('Capacity summary'!$C$14="Yes",IF(COUNTBLANK('Capacity summary'!$H83:$BG83)&lt;52,IF('Capacity summary'!J83&lt;&gt;"",IF(LOWER('Capacity summary'!J83)="x",$BI171*J171,VALUE('Capacity summary'!J83)),0),J171*$BI171),J171*$BI171),0)</f>
        <v>0</v>
      </c>
      <c r="BN171" s="5">
        <f>IF($BI171&lt;&gt;"",IF('Capacity summary'!$C$14="Yes",IF(COUNTBLANK('Capacity summary'!$H83:$BG83)&lt;52,IF('Capacity summary'!K83&lt;&gt;"",IF(LOWER('Capacity summary'!K83)="x",$BI171*K171,VALUE('Capacity summary'!K83)),0),K171*$BI171),K171*$BI171),0)</f>
        <v>0</v>
      </c>
      <c r="BO171" s="5">
        <f>IF($BI171&lt;&gt;"",IF('Capacity summary'!$C$14="Yes",IF(COUNTBLANK('Capacity summary'!$H83:$BG83)&lt;52,IF('Capacity summary'!L83&lt;&gt;"",IF(LOWER('Capacity summary'!L83)="x",$BI171*L171,VALUE('Capacity summary'!L83)),0),L171*$BI171),L171*$BI171),0)</f>
        <v>0</v>
      </c>
      <c r="BP171" s="5">
        <f>IF($BI171&lt;&gt;"",IF('Capacity summary'!$C$14="Yes",IF(COUNTBLANK('Capacity summary'!$H83:$BG83)&lt;52,IF('Capacity summary'!M83&lt;&gt;"",IF(LOWER('Capacity summary'!M83)="x",$BI171*M171,VALUE('Capacity summary'!M83)),0),M171*$BI171),M171*$BI171),0)</f>
        <v>0</v>
      </c>
      <c r="BQ171" s="5">
        <f>IF($BI171&lt;&gt;"",IF('Capacity summary'!$C$14="Yes",IF(COUNTBLANK('Capacity summary'!$H83:$BG83)&lt;52,IF('Capacity summary'!N83&lt;&gt;"",IF(LOWER('Capacity summary'!N83)="x",$BI171*N171,VALUE('Capacity summary'!N83)),0),N171*$BI171),N171*$BI171),0)</f>
        <v>0</v>
      </c>
      <c r="BR171" s="5">
        <f>IF($BI171&lt;&gt;"",IF('Capacity summary'!$C$14="Yes",IF(COUNTBLANK('Capacity summary'!$H83:$BG83)&lt;52,IF('Capacity summary'!O83&lt;&gt;"",IF(LOWER('Capacity summary'!O83)="x",$BI171*O171,VALUE('Capacity summary'!O83)),0),O171*$BI171),O171*$BI171),0)</f>
        <v>0</v>
      </c>
      <c r="BS171" s="5">
        <f>IF($BI171&lt;&gt;"",IF('Capacity summary'!$C$14="Yes",IF(COUNTBLANK('Capacity summary'!$H83:$BG83)&lt;52,IF('Capacity summary'!P83&lt;&gt;"",IF(LOWER('Capacity summary'!P83)="x",$BI171*P171,VALUE('Capacity summary'!P83)),0),P171*$BI171),P171*$BI171),0)</f>
        <v>0</v>
      </c>
      <c r="BT171" s="5">
        <f>IF($BI171&lt;&gt;"",IF('Capacity summary'!$C$14="Yes",IF(COUNTBLANK('Capacity summary'!$H83:$BG83)&lt;52,IF('Capacity summary'!Q83&lt;&gt;"",IF(LOWER('Capacity summary'!Q83)="x",$BI171*Q171,VALUE('Capacity summary'!Q83)),0),Q171*$BI171),Q171*$BI171),0)</f>
        <v>0</v>
      </c>
      <c r="BU171" s="5">
        <f>IF($BI171&lt;&gt;"",IF('Capacity summary'!$C$14="Yes",IF(COUNTBLANK('Capacity summary'!$H83:$BG83)&lt;52,IF('Capacity summary'!R83&lt;&gt;"",IF(LOWER('Capacity summary'!R83)="x",$BI171*R171,VALUE('Capacity summary'!R83)),0),R171*$BI171),R171*$BI171),0)</f>
        <v>0</v>
      </c>
      <c r="BV171" s="5">
        <f>IF($BI171&lt;&gt;"",IF('Capacity summary'!$C$14="Yes",IF(COUNTBLANK('Capacity summary'!$H83:$BG83)&lt;52,IF('Capacity summary'!S83&lt;&gt;"",IF(LOWER('Capacity summary'!S83)="x",$BI171*S171,VALUE('Capacity summary'!S83)),0),S171*$BI171),S171*$BI171),0)</f>
        <v>0</v>
      </c>
      <c r="BW171" s="5">
        <f>IF($BI171&lt;&gt;"",IF('Capacity summary'!$C$14="Yes",IF(COUNTBLANK('Capacity summary'!$H83:$BG83)&lt;52,IF('Capacity summary'!T83&lt;&gt;"",IF(LOWER('Capacity summary'!T83)="x",$BI171*T171,VALUE('Capacity summary'!T83)),0),T171*$BI171),T171*$BI171),0)</f>
        <v>0</v>
      </c>
      <c r="BX171" s="5">
        <f>IF($BI171&lt;&gt;"",IF('Capacity summary'!$C$14="Yes",IF(COUNTBLANK('Capacity summary'!$H83:$BG83)&lt;52,IF('Capacity summary'!U83&lt;&gt;"",IF(LOWER('Capacity summary'!U83)="x",$BI171*U171,VALUE('Capacity summary'!U83)),0),U171*$BI171),U171*$BI171),0)</f>
        <v>0</v>
      </c>
      <c r="BY171" s="5">
        <f>IF($BI171&lt;&gt;"",IF('Capacity summary'!$C$14="Yes",IF(COUNTBLANK('Capacity summary'!$H83:$BG83)&lt;52,IF('Capacity summary'!V83&lt;&gt;"",IF(LOWER('Capacity summary'!V83)="x",$BI171*V171,VALUE('Capacity summary'!V83)),0),V171*$BI171),V171*$BI171),0)</f>
        <v>0</v>
      </c>
      <c r="BZ171" s="5">
        <f>IF($BI171&lt;&gt;"",IF('Capacity summary'!$C$14="Yes",IF(COUNTBLANK('Capacity summary'!$H83:$BG83)&lt;52,IF('Capacity summary'!W83&lt;&gt;"",IF(LOWER('Capacity summary'!W83)="x",$BI171*W171,VALUE('Capacity summary'!W83)),0),W171*$BI171),W171*$BI171),0)</f>
        <v>0</v>
      </c>
      <c r="CA171" s="5">
        <f>IF($BI171&lt;&gt;"",IF('Capacity summary'!$C$14="Yes",IF(COUNTBLANK('Capacity summary'!$H83:$BG83)&lt;52,IF('Capacity summary'!X83&lt;&gt;"",IF(LOWER('Capacity summary'!X83)="x",$BI171*X171,VALUE('Capacity summary'!X83)),0),X171*$BI171),X171*$BI171),0)</f>
        <v>0</v>
      </c>
      <c r="CB171" s="5">
        <f>IF($BI171&lt;&gt;"",IF('Capacity summary'!$C$14="Yes",IF(COUNTBLANK('Capacity summary'!$H83:$BG83)&lt;52,IF('Capacity summary'!Y83&lt;&gt;"",IF(LOWER('Capacity summary'!Y83)="x",$BI171*Y171,VALUE('Capacity summary'!Y83)),0),Y171*$BI171),Y171*$BI171),0)</f>
        <v>0</v>
      </c>
      <c r="CC171" s="5">
        <f>IF($BI171&lt;&gt;"",IF('Capacity summary'!$C$14="Yes",IF(COUNTBLANK('Capacity summary'!$H83:$BG83)&lt;52,IF('Capacity summary'!Z83&lt;&gt;"",IF(LOWER('Capacity summary'!Z83)="x",$BI171*Z171,VALUE('Capacity summary'!Z83)),0),Z171*$BI171),Z171*$BI171),0)</f>
        <v>0</v>
      </c>
      <c r="CD171" s="5">
        <f>IF($BI171&lt;&gt;"",IF('Capacity summary'!$C$14="Yes",IF(COUNTBLANK('Capacity summary'!$H83:$BG83)&lt;52,IF('Capacity summary'!AA83&lt;&gt;"",IF(LOWER('Capacity summary'!AA83)="x",$BI171*AA171,VALUE('Capacity summary'!AA83)),0),AA171*$BI171),AA171*$BI171),0)</f>
        <v>0</v>
      </c>
      <c r="CE171" s="5">
        <f>IF($BI171&lt;&gt;"",IF('Capacity summary'!$C$14="Yes",IF(COUNTBLANK('Capacity summary'!$H83:$BG83)&lt;52,IF('Capacity summary'!AB83&lt;&gt;"",IF(LOWER('Capacity summary'!AB83)="x",$BI171*AB171,VALUE('Capacity summary'!AB83)),0),AB171*$BI171),AB171*$BI171),0)</f>
        <v>0</v>
      </c>
      <c r="CF171" s="5">
        <f>IF($BI171&lt;&gt;"",IF('Capacity summary'!$C$14="Yes",IF(COUNTBLANK('Capacity summary'!$H83:$BG83)&lt;52,IF('Capacity summary'!AC83&lt;&gt;"",IF(LOWER('Capacity summary'!AC83)="x",$BI171*AC171,VALUE('Capacity summary'!AC83)),0),AC171*$BI171),AC171*$BI171),0)</f>
        <v>0</v>
      </c>
      <c r="CG171" s="5">
        <f>IF($BI171&lt;&gt;"",IF('Capacity summary'!$C$14="Yes",IF(COUNTBLANK('Capacity summary'!$H83:$BG83)&lt;52,IF('Capacity summary'!AD83&lt;&gt;"",IF(LOWER('Capacity summary'!AD83)="x",$BI171*AD171,VALUE('Capacity summary'!AD83)),0),AD171*$BI171),AD171*$BI171),0)</f>
        <v>0</v>
      </c>
      <c r="CH171" s="5">
        <f>IF($BI171&lt;&gt;"",IF('Capacity summary'!$C$14="Yes",IF(COUNTBLANK('Capacity summary'!$H83:$BG83)&lt;52,IF('Capacity summary'!AE83&lt;&gt;"",IF(LOWER('Capacity summary'!AE83)="x",$BI171*AE171,VALUE('Capacity summary'!AE83)),0),AE171*$BI171),AE171*$BI171),0)</f>
        <v>0</v>
      </c>
      <c r="CI171" s="5">
        <f>IF($BI171&lt;&gt;"",IF('Capacity summary'!$C$14="Yes",IF(COUNTBLANK('Capacity summary'!$H83:$BG83)&lt;52,IF('Capacity summary'!AF83&lt;&gt;"",IF(LOWER('Capacity summary'!AF83)="x",$BI171*AF171,VALUE('Capacity summary'!AF83)),0),AF171*$BI171),AF171*$BI171),0)</f>
        <v>0</v>
      </c>
      <c r="CJ171" s="5">
        <f>IF($BI171&lt;&gt;"",IF('Capacity summary'!$C$14="Yes",IF(COUNTBLANK('Capacity summary'!$H83:$BG83)&lt;52,IF('Capacity summary'!AG83&lt;&gt;"",IF(LOWER('Capacity summary'!AG83)="x",$BI171*AG171,VALUE('Capacity summary'!AG83)),0),AG171*$BI171),AG171*$BI171),0)</f>
        <v>0</v>
      </c>
      <c r="CK171" s="5">
        <f>IF($BI171&lt;&gt;"",IF('Capacity summary'!$C$14="Yes",IF(COUNTBLANK('Capacity summary'!$H83:$BG83)&lt;52,IF('Capacity summary'!AH83&lt;&gt;"",IF(LOWER('Capacity summary'!AH83)="x",$BI171*AH171,VALUE('Capacity summary'!AH83)),0),AH171*$BI171),AH171*$BI171),0)</f>
        <v>0</v>
      </c>
      <c r="CL171" s="5">
        <f>IF($BI171&lt;&gt;"",IF('Capacity summary'!$C$14="Yes",IF(COUNTBLANK('Capacity summary'!$H83:$BG83)&lt;52,IF('Capacity summary'!AI83&lt;&gt;"",IF(LOWER('Capacity summary'!AI83)="x",$BI171*AI171,VALUE('Capacity summary'!AI83)),0),AI171*$BI171),AI171*$BI171),0)</f>
        <v>0</v>
      </c>
      <c r="CM171" s="5">
        <f>IF($BI171&lt;&gt;"",IF('Capacity summary'!$C$14="Yes",IF(COUNTBLANK('Capacity summary'!$H83:$BG83)&lt;52,IF('Capacity summary'!AJ83&lt;&gt;"",IF(LOWER('Capacity summary'!AJ83)="x",$BI171*AJ171,VALUE('Capacity summary'!AJ83)),0),AJ171*$BI171),AJ171*$BI171),0)</f>
        <v>0</v>
      </c>
      <c r="CN171" s="5">
        <f>IF($BI171&lt;&gt;"",IF('Capacity summary'!$C$14="Yes",IF(COUNTBLANK('Capacity summary'!$H83:$BG83)&lt;52,IF('Capacity summary'!AK83&lt;&gt;"",IF(LOWER('Capacity summary'!AK83)="x",$BI171*AK171,VALUE('Capacity summary'!AK83)),0),AK171*$BI171),AK171*$BI171),0)</f>
        <v>0</v>
      </c>
      <c r="CO171" s="5">
        <f>IF($BI171&lt;&gt;"",IF('Capacity summary'!$C$14="Yes",IF(COUNTBLANK('Capacity summary'!$H83:$BG83)&lt;52,IF('Capacity summary'!AL83&lt;&gt;"",IF(LOWER('Capacity summary'!AL83)="x",$BI171*AL171,VALUE('Capacity summary'!AL83)),0),AL171*$BI171),AL171*$BI171),0)</f>
        <v>0</v>
      </c>
      <c r="CP171" s="5">
        <f>IF($BI171&lt;&gt;"",IF('Capacity summary'!$C$14="Yes",IF(COUNTBLANK('Capacity summary'!$H83:$BG83)&lt;52,IF('Capacity summary'!AM83&lt;&gt;"",IF(LOWER('Capacity summary'!AM83)="x",$BI171*AM171,VALUE('Capacity summary'!AM83)),0),AM171*$BI171),AM171*$BI171),0)</f>
        <v>0</v>
      </c>
      <c r="CQ171" s="5">
        <f>IF($BI171&lt;&gt;"",IF('Capacity summary'!$C$14="Yes",IF(COUNTBLANK('Capacity summary'!$H83:$BG83)&lt;52,IF('Capacity summary'!AN83&lt;&gt;"",IF(LOWER('Capacity summary'!AN83)="x",$BI171*AN171,VALUE('Capacity summary'!AN83)),0),AN171*$BI171),AN171*$BI171),0)</f>
        <v>0</v>
      </c>
      <c r="CR171" s="5">
        <f>IF($BI171&lt;&gt;"",IF('Capacity summary'!$C$14="Yes",IF(COUNTBLANK('Capacity summary'!$H83:$BG83)&lt;52,IF('Capacity summary'!AO83&lt;&gt;"",IF(LOWER('Capacity summary'!AO83)="x",$BI171*AO171,VALUE('Capacity summary'!AO83)),0),AO171*$BI171),AO171*$BI171),0)</f>
        <v>0</v>
      </c>
      <c r="CS171" s="5">
        <f>IF($BI171&lt;&gt;"",IF('Capacity summary'!$C$14="Yes",IF(COUNTBLANK('Capacity summary'!$H83:$BG83)&lt;52,IF('Capacity summary'!AP83&lt;&gt;"",IF(LOWER('Capacity summary'!AP83)="x",$BI171*AP171,VALUE('Capacity summary'!AP83)),0),AP171*$BI171),AP171*$BI171),0)</f>
        <v>0</v>
      </c>
      <c r="CT171" s="5">
        <f>IF($BI171&lt;&gt;"",IF('Capacity summary'!$C$14="Yes",IF(COUNTBLANK('Capacity summary'!$H83:$BG83)&lt;52,IF('Capacity summary'!AQ83&lt;&gt;"",IF(LOWER('Capacity summary'!AQ83)="x",$BI171*AQ171,VALUE('Capacity summary'!AQ83)),0),AQ171*$BI171),AQ171*$BI171),0)</f>
        <v>0</v>
      </c>
      <c r="CU171" s="5">
        <f>IF($BI171&lt;&gt;"",IF('Capacity summary'!$C$14="Yes",IF(COUNTBLANK('Capacity summary'!$H83:$BG83)&lt;52,IF('Capacity summary'!AR83&lt;&gt;"",IF(LOWER('Capacity summary'!AR83)="x",$BI171*AR171,VALUE('Capacity summary'!AR83)),0),AR171*$BI171),AR171*$BI171),0)</f>
        <v>0</v>
      </c>
      <c r="CV171" s="5">
        <f>IF($BI171&lt;&gt;"",IF('Capacity summary'!$C$14="Yes",IF(COUNTBLANK('Capacity summary'!$H83:$BG83)&lt;52,IF('Capacity summary'!AS83&lt;&gt;"",IF(LOWER('Capacity summary'!AS83)="x",$BI171*AS171,VALUE('Capacity summary'!AS83)),0),AS171*$BI171),AS171*$BI171),0)</f>
        <v>0</v>
      </c>
      <c r="CW171" s="5">
        <f>IF($BI171&lt;&gt;"",IF('Capacity summary'!$C$14="Yes",IF(COUNTBLANK('Capacity summary'!$H83:$BG83)&lt;52,IF('Capacity summary'!AT83&lt;&gt;"",IF(LOWER('Capacity summary'!AT83)="x",$BI171*AT171,VALUE('Capacity summary'!AT83)),0),AT171*$BI171),AT171*$BI171),0)</f>
        <v>0</v>
      </c>
      <c r="CX171" s="5">
        <f>IF($BI171&lt;&gt;"",IF('Capacity summary'!$C$14="Yes",IF(COUNTBLANK('Capacity summary'!$H83:$BG83)&lt;52,IF('Capacity summary'!AU83&lt;&gt;"",IF(LOWER('Capacity summary'!AU83)="x",$BI171*AU171,VALUE('Capacity summary'!AU83)),0),AU171*$BI171),AU171*$BI171),0)</f>
        <v>0</v>
      </c>
      <c r="CY171" s="5">
        <f>IF($BI171&lt;&gt;"",IF('Capacity summary'!$C$14="Yes",IF(COUNTBLANK('Capacity summary'!$H83:$BG83)&lt;52,IF('Capacity summary'!AV83&lt;&gt;"",IF(LOWER('Capacity summary'!AV83)="x",$BI171*AV171,VALUE('Capacity summary'!AV83)),0),AV171*$BI171),AV171*$BI171),0)</f>
        <v>0</v>
      </c>
      <c r="CZ171" s="5">
        <f>IF($BI171&lt;&gt;"",IF('Capacity summary'!$C$14="Yes",IF(COUNTBLANK('Capacity summary'!$H83:$BG83)&lt;52,IF('Capacity summary'!AW83&lt;&gt;"",IF(LOWER('Capacity summary'!AW83)="x",$BI171*AW171,VALUE('Capacity summary'!AW83)),0),AW171*$BI171),AW171*$BI171),0)</f>
        <v>0</v>
      </c>
      <c r="DA171" s="5">
        <f>IF($BI171&lt;&gt;"",IF('Capacity summary'!$C$14="Yes",IF(COUNTBLANK('Capacity summary'!$H83:$BG83)&lt;52,IF('Capacity summary'!AX83&lt;&gt;"",IF(LOWER('Capacity summary'!AX83)="x",$BI171*AX171,VALUE('Capacity summary'!AX83)),0),AX171*$BI171),AX171*$BI171),0)</f>
        <v>0</v>
      </c>
      <c r="DB171" s="5">
        <f>IF($BI171&lt;&gt;"",IF('Capacity summary'!$C$14="Yes",IF(COUNTBLANK('Capacity summary'!$H83:$BG83)&lt;52,IF('Capacity summary'!AY83&lt;&gt;"",IF(LOWER('Capacity summary'!AY83)="x",$BI171*AY171,VALUE('Capacity summary'!AY83)),0),AY171*$BI171),AY171*$BI171),0)</f>
        <v>0</v>
      </c>
      <c r="DC171" s="5">
        <f>IF($BI171&lt;&gt;"",IF('Capacity summary'!$C$14="Yes",IF(COUNTBLANK('Capacity summary'!$H83:$BG83)&lt;52,IF('Capacity summary'!AZ83&lt;&gt;"",IF(LOWER('Capacity summary'!AZ83)="x",$BI171*AZ171,VALUE('Capacity summary'!AZ83)),0),AZ171*$BI171),AZ171*$BI171),0)</f>
        <v>0</v>
      </c>
      <c r="DD171" s="5">
        <f>IF($BI171&lt;&gt;"",IF('Capacity summary'!$C$14="Yes",IF(COUNTBLANK('Capacity summary'!$H83:$BG83)&lt;52,IF('Capacity summary'!BA83&lt;&gt;"",IF(LOWER('Capacity summary'!BA83)="x",$BI171*BA171,VALUE('Capacity summary'!BA83)),0),BA171*$BI171),BA171*$BI171),0)</f>
        <v>0</v>
      </c>
      <c r="DE171" s="5">
        <f>IF($BI171&lt;&gt;"",IF('Capacity summary'!$C$14="Yes",IF(COUNTBLANK('Capacity summary'!$H83:$BG83)&lt;52,IF('Capacity summary'!BB83&lt;&gt;"",IF(LOWER('Capacity summary'!BB83)="x",$BI171*BB171,VALUE('Capacity summary'!BB83)),0),BB171*$BI171),BB171*$BI171),0)</f>
        <v>0</v>
      </c>
      <c r="DF171" s="5">
        <f>IF($BI171&lt;&gt;"",IF('Capacity summary'!$C$14="Yes",IF(COUNTBLANK('Capacity summary'!$H83:$BG83)&lt;52,IF('Capacity summary'!BC83&lt;&gt;"",IF(LOWER('Capacity summary'!BC83)="x",$BI171*BC171,VALUE('Capacity summary'!BC83)),0),BC171*$BI171),BC171*$BI171),0)</f>
        <v>0</v>
      </c>
      <c r="DG171" s="5">
        <f>IF($BI171&lt;&gt;"",IF('Capacity summary'!$C$14="Yes",IF(COUNTBLANK('Capacity summary'!$H83:$BG83)&lt;52,IF('Capacity summary'!BD83&lt;&gt;"",IF(LOWER('Capacity summary'!BD83)="x",$BI171*BD171,VALUE('Capacity summary'!BD83)),0),BD171*$BI171),BD171*$BI171),0)</f>
        <v>0</v>
      </c>
      <c r="DH171" s="5">
        <f>IF($BI171&lt;&gt;"",IF('Capacity summary'!$C$14="Yes",IF(COUNTBLANK('Capacity summary'!$H83:$BG83)&lt;52,IF('Capacity summary'!BE83&lt;&gt;"",IF(LOWER('Capacity summary'!BE83)="x",$BI171*BE171,VALUE('Capacity summary'!BE83)),0),BE171*$BI171),BE171*$BI171),0)</f>
        <v>0</v>
      </c>
      <c r="DI171" s="5">
        <f>IF($BI171&lt;&gt;"",IF('Capacity summary'!$C$14="Yes",IF(COUNTBLANK('Capacity summary'!$H83:$BG83)&lt;52,IF('Capacity summary'!BF83&lt;&gt;"",IF(LOWER('Capacity summary'!BF83)="x",$BI171*BF171,VALUE('Capacity summary'!BF83)),0),BF171*$BI171),BF171*$BI171),0)</f>
        <v>0</v>
      </c>
      <c r="DJ171" s="5">
        <f>IF($BI171&lt;&gt;"",IF('Capacity summary'!$C$14="Yes",IF(COUNTBLANK('Capacity summary'!$H83:$BG83)&lt;52,IF('Capacity summary'!BG83&lt;&gt;"",IF(LOWER('Capacity summary'!BG83)="x",$BI171*BG171,VALUE('Capacity summary'!BG83)),0),BG171*$BI171),BG171*$BI171),0)</f>
        <v>0</v>
      </c>
      <c r="DK171" s="5">
        <f t="shared" ref="DK171" si="65">SUM(DK172:DK271)</f>
        <v>0</v>
      </c>
    </row>
    <row r="172" spans="3:115" x14ac:dyDescent="0.25">
      <c r="C172" s="67" t="str">
        <f>ROW(A61)&amp;". "&amp;Capacity!N77</f>
        <v xml:space="preserve">61. </v>
      </c>
      <c r="D172" s="67">
        <f>'Capacity setup'!C178</f>
        <v>0</v>
      </c>
      <c r="E172" s="67">
        <f>'Capacity setup'!D178</f>
        <v>0</v>
      </c>
      <c r="F172" s="67">
        <f>'Capacity setup'!E178</f>
        <v>0</v>
      </c>
      <c r="H172" s="67">
        <f ca="1">IF(AND(SUMIF(Capacity_Resource,$D172,'Critical resources (hide)'!U$6:U$105)+SUMIF(Capacity_Resource,$E172,'Critical resources (hide)'!U$6:U$105)+SUMIF(Capacity_Resource,$F172,'Critical resources (hide)'!U$6:U$105)&gt;0,$E$1=2),0,1)</f>
        <v>1</v>
      </c>
      <c r="I172" s="67">
        <f ca="1">IF(AND(SUMIF(Capacity_Resource,$D172,'Critical resources (hide)'!V$6:V$105)+SUMIF(Capacity_Resource,$E172,'Critical resources (hide)'!V$6:V$105)+SUMIF(Capacity_Resource,$F172,'Critical resources (hide)'!V$6:V$105)&gt;0,$E$1=2),0,1)</f>
        <v>1</v>
      </c>
      <c r="J172" s="67">
        <f ca="1">IF(AND(SUMIF(Capacity_Resource,$D172,'Critical resources (hide)'!W$6:W$105)+SUMIF(Capacity_Resource,$E172,'Critical resources (hide)'!W$6:W$105)+SUMIF(Capacity_Resource,$F172,'Critical resources (hide)'!W$6:W$105)&gt;0,$E$1=2),0,1)</f>
        <v>1</v>
      </c>
      <c r="K172" s="67">
        <f ca="1">IF(AND(SUMIF(Capacity_Resource,$D172,'Critical resources (hide)'!X$6:X$105)+SUMIF(Capacity_Resource,$E172,'Critical resources (hide)'!X$6:X$105)+SUMIF(Capacity_Resource,$F172,'Critical resources (hide)'!X$6:X$105)&gt;0,$E$1=2),0,1)</f>
        <v>1</v>
      </c>
      <c r="L172" s="67">
        <f ca="1">IF(AND(SUMIF(Capacity_Resource,$D172,'Critical resources (hide)'!Y$6:Y$105)+SUMIF(Capacity_Resource,$E172,'Critical resources (hide)'!Y$6:Y$105)+SUMIF(Capacity_Resource,$F172,'Critical resources (hide)'!Y$6:Y$105)&gt;0,$E$1=2),0,1)</f>
        <v>1</v>
      </c>
      <c r="M172" s="67">
        <f ca="1">IF(AND(SUMIF(Capacity_Resource,$D172,'Critical resources (hide)'!Z$6:Z$105)+SUMIF(Capacity_Resource,$E172,'Critical resources (hide)'!Z$6:Z$105)+SUMIF(Capacity_Resource,$F172,'Critical resources (hide)'!Z$6:Z$105)&gt;0,$E$1=2),0,1)</f>
        <v>1</v>
      </c>
      <c r="N172" s="67">
        <f ca="1">IF(AND(SUMIF(Capacity_Resource,$D172,'Critical resources (hide)'!AA$6:AA$105)+SUMIF(Capacity_Resource,$E172,'Critical resources (hide)'!AA$6:AA$105)+SUMIF(Capacity_Resource,$F172,'Critical resources (hide)'!AA$6:AA$105)&gt;0,$E$1=2),0,1)</f>
        <v>1</v>
      </c>
      <c r="O172" s="67">
        <f ca="1">IF(AND(SUMIF(Capacity_Resource,$D172,'Critical resources (hide)'!AB$6:AB$105)+SUMIF(Capacity_Resource,$E172,'Critical resources (hide)'!AB$6:AB$105)+SUMIF(Capacity_Resource,$F172,'Critical resources (hide)'!AB$6:AB$105)&gt;0,$E$1=2),0,1)</f>
        <v>1</v>
      </c>
      <c r="P172" s="67">
        <f ca="1">IF(AND(SUMIF(Capacity_Resource,$D172,'Critical resources (hide)'!AC$6:AC$105)+SUMIF(Capacity_Resource,$E172,'Critical resources (hide)'!AC$6:AC$105)+SUMIF(Capacity_Resource,$F172,'Critical resources (hide)'!AC$6:AC$105)&gt;0,$E$1=2),0,1)</f>
        <v>1</v>
      </c>
      <c r="Q172" s="67">
        <f ca="1">IF(AND(SUMIF(Capacity_Resource,$D172,'Critical resources (hide)'!AD$6:AD$105)+SUMIF(Capacity_Resource,$E172,'Critical resources (hide)'!AD$6:AD$105)+SUMIF(Capacity_Resource,$F172,'Critical resources (hide)'!AD$6:AD$105)&gt;0,$E$1=2),0,1)</f>
        <v>1</v>
      </c>
      <c r="R172" s="67">
        <f ca="1">IF(AND(SUMIF(Capacity_Resource,$D172,'Critical resources (hide)'!AE$6:AE$105)+SUMIF(Capacity_Resource,$E172,'Critical resources (hide)'!AE$6:AE$105)+SUMIF(Capacity_Resource,$F172,'Critical resources (hide)'!AE$6:AE$105)&gt;0,$E$1=2),0,1)</f>
        <v>1</v>
      </c>
      <c r="S172" s="67">
        <f ca="1">IF(AND(SUMIF(Capacity_Resource,$D172,'Critical resources (hide)'!AF$6:AF$105)+SUMIF(Capacity_Resource,$E172,'Critical resources (hide)'!AF$6:AF$105)+SUMIF(Capacity_Resource,$F172,'Critical resources (hide)'!AF$6:AF$105)&gt;0,$E$1=2),0,1)</f>
        <v>1</v>
      </c>
      <c r="T172" s="67">
        <f ca="1">IF(AND(SUMIF(Capacity_Resource,$D172,'Critical resources (hide)'!AG$6:AG$105)+SUMIF(Capacity_Resource,$E172,'Critical resources (hide)'!AG$6:AG$105)+SUMIF(Capacity_Resource,$F172,'Critical resources (hide)'!AG$6:AG$105)&gt;0,$E$1=2),0,1)</f>
        <v>1</v>
      </c>
      <c r="U172" s="67">
        <f ca="1">IF(AND(SUMIF(Capacity_Resource,$D172,'Critical resources (hide)'!AH$6:AH$105)+SUMIF(Capacity_Resource,$E172,'Critical resources (hide)'!AH$6:AH$105)+SUMIF(Capacity_Resource,$F172,'Critical resources (hide)'!AH$6:AH$105)&gt;0,$E$1=2),0,1)</f>
        <v>1</v>
      </c>
      <c r="V172" s="67">
        <f ca="1">IF(AND(SUMIF(Capacity_Resource,$D172,'Critical resources (hide)'!AI$6:AI$105)+SUMIF(Capacity_Resource,$E172,'Critical resources (hide)'!AI$6:AI$105)+SUMIF(Capacity_Resource,$F172,'Critical resources (hide)'!AI$6:AI$105)&gt;0,$E$1=2),0,1)</f>
        <v>1</v>
      </c>
      <c r="W172" s="67">
        <f ca="1">IF(AND(SUMIF(Capacity_Resource,$D172,'Critical resources (hide)'!AJ$6:AJ$105)+SUMIF(Capacity_Resource,$E172,'Critical resources (hide)'!AJ$6:AJ$105)+SUMIF(Capacity_Resource,$F172,'Critical resources (hide)'!AJ$6:AJ$105)&gt;0,$E$1=2),0,1)</f>
        <v>1</v>
      </c>
      <c r="X172" s="67">
        <f ca="1">IF(AND(SUMIF(Capacity_Resource,$D172,'Critical resources (hide)'!AK$6:AK$105)+SUMIF(Capacity_Resource,$E172,'Critical resources (hide)'!AK$6:AK$105)+SUMIF(Capacity_Resource,$F172,'Critical resources (hide)'!AK$6:AK$105)&gt;0,$E$1=2),0,1)</f>
        <v>1</v>
      </c>
      <c r="Y172" s="67">
        <f ca="1">IF(AND(SUMIF(Capacity_Resource,$D172,'Critical resources (hide)'!AL$6:AL$105)+SUMIF(Capacity_Resource,$E172,'Critical resources (hide)'!AL$6:AL$105)+SUMIF(Capacity_Resource,$F172,'Critical resources (hide)'!AL$6:AL$105)&gt;0,$E$1=2),0,1)</f>
        <v>1</v>
      </c>
      <c r="Z172" s="67">
        <f ca="1">IF(AND(SUMIF(Capacity_Resource,$D172,'Critical resources (hide)'!AM$6:AM$105)+SUMIF(Capacity_Resource,$E172,'Critical resources (hide)'!AM$6:AM$105)+SUMIF(Capacity_Resource,$F172,'Critical resources (hide)'!AM$6:AM$105)&gt;0,$E$1=2),0,1)</f>
        <v>1</v>
      </c>
      <c r="AA172" s="67">
        <f ca="1">IF(AND(SUMIF(Capacity_Resource,$D172,'Critical resources (hide)'!AN$6:AN$105)+SUMIF(Capacity_Resource,$E172,'Critical resources (hide)'!AN$6:AN$105)+SUMIF(Capacity_Resource,$F172,'Critical resources (hide)'!AN$6:AN$105)&gt;0,$E$1=2),0,1)</f>
        <v>1</v>
      </c>
      <c r="AB172" s="67">
        <f ca="1">IF(AND(SUMIF(Capacity_Resource,$D172,'Critical resources (hide)'!AO$6:AO$105)+SUMIF(Capacity_Resource,$E172,'Critical resources (hide)'!AO$6:AO$105)+SUMIF(Capacity_Resource,$F172,'Critical resources (hide)'!AO$6:AO$105)&gt;0,$E$1=2),0,1)</f>
        <v>1</v>
      </c>
      <c r="AC172" s="67">
        <f ca="1">IF(AND(SUMIF(Capacity_Resource,$D172,'Critical resources (hide)'!AP$6:AP$105)+SUMIF(Capacity_Resource,$E172,'Critical resources (hide)'!AP$6:AP$105)+SUMIF(Capacity_Resource,$F172,'Critical resources (hide)'!AP$6:AP$105)&gt;0,$E$1=2),0,1)</f>
        <v>1</v>
      </c>
      <c r="AD172" s="67">
        <f ca="1">IF(AND(SUMIF(Capacity_Resource,$D172,'Critical resources (hide)'!AQ$6:AQ$105)+SUMIF(Capacity_Resource,$E172,'Critical resources (hide)'!AQ$6:AQ$105)+SUMIF(Capacity_Resource,$F172,'Critical resources (hide)'!AQ$6:AQ$105)&gt;0,$E$1=2),0,1)</f>
        <v>1</v>
      </c>
      <c r="AE172" s="67">
        <f ca="1">IF(AND(SUMIF(Capacity_Resource,$D172,'Critical resources (hide)'!AR$6:AR$105)+SUMIF(Capacity_Resource,$E172,'Critical resources (hide)'!AR$6:AR$105)+SUMIF(Capacity_Resource,$F172,'Critical resources (hide)'!AR$6:AR$105)&gt;0,$E$1=2),0,1)</f>
        <v>1</v>
      </c>
      <c r="AF172" s="67">
        <f ca="1">IF(AND(SUMIF(Capacity_Resource,$D172,'Critical resources (hide)'!AS$6:AS$105)+SUMIF(Capacity_Resource,$E172,'Critical resources (hide)'!AS$6:AS$105)+SUMIF(Capacity_Resource,$F172,'Critical resources (hide)'!AS$6:AS$105)&gt;0,$E$1=2),0,1)</f>
        <v>1</v>
      </c>
      <c r="AG172" s="67">
        <f ca="1">IF(AND(SUMIF(Capacity_Resource,$D172,'Critical resources (hide)'!AT$6:AT$105)+SUMIF(Capacity_Resource,$E172,'Critical resources (hide)'!AT$6:AT$105)+SUMIF(Capacity_Resource,$F172,'Critical resources (hide)'!AT$6:AT$105)&gt;0,$E$1=2),0,1)</f>
        <v>1</v>
      </c>
      <c r="AH172" s="67">
        <f ca="1">IF(AND(SUMIF(Capacity_Resource,$D172,'Critical resources (hide)'!AU$6:AU$105)+SUMIF(Capacity_Resource,$E172,'Critical resources (hide)'!AU$6:AU$105)+SUMIF(Capacity_Resource,$F172,'Critical resources (hide)'!AU$6:AU$105)&gt;0,$E$1=2),0,1)</f>
        <v>1</v>
      </c>
      <c r="AI172" s="67">
        <f ca="1">IF(AND(SUMIF(Capacity_Resource,$D172,'Critical resources (hide)'!AV$6:AV$105)+SUMIF(Capacity_Resource,$E172,'Critical resources (hide)'!AV$6:AV$105)+SUMIF(Capacity_Resource,$F172,'Critical resources (hide)'!AV$6:AV$105)&gt;0,$E$1=2),0,1)</f>
        <v>1</v>
      </c>
      <c r="AJ172" s="67">
        <f ca="1">IF(AND(SUMIF(Capacity_Resource,$D172,'Critical resources (hide)'!AW$6:AW$105)+SUMIF(Capacity_Resource,$E172,'Critical resources (hide)'!AW$6:AW$105)+SUMIF(Capacity_Resource,$F172,'Critical resources (hide)'!AW$6:AW$105)&gt;0,$E$1=2),0,1)</f>
        <v>1</v>
      </c>
      <c r="AK172" s="67">
        <f ca="1">IF(AND(SUMIF(Capacity_Resource,$D172,'Critical resources (hide)'!AX$6:AX$105)+SUMIF(Capacity_Resource,$E172,'Critical resources (hide)'!AX$6:AX$105)+SUMIF(Capacity_Resource,$F172,'Critical resources (hide)'!AX$6:AX$105)&gt;0,$E$1=2),0,1)</f>
        <v>1</v>
      </c>
      <c r="AL172" s="67">
        <f ca="1">IF(AND(SUMIF(Capacity_Resource,$D172,'Critical resources (hide)'!AY$6:AY$105)+SUMIF(Capacity_Resource,$E172,'Critical resources (hide)'!AY$6:AY$105)+SUMIF(Capacity_Resource,$F172,'Critical resources (hide)'!AY$6:AY$105)&gt;0,$E$1=2),0,1)</f>
        <v>1</v>
      </c>
      <c r="AM172" s="67">
        <f ca="1">IF(AND(SUMIF(Capacity_Resource,$D172,'Critical resources (hide)'!AZ$6:AZ$105)+SUMIF(Capacity_Resource,$E172,'Critical resources (hide)'!AZ$6:AZ$105)+SUMIF(Capacity_Resource,$F172,'Critical resources (hide)'!AZ$6:AZ$105)&gt;0,$E$1=2),0,1)</f>
        <v>1</v>
      </c>
      <c r="AN172" s="67">
        <f ca="1">IF(AND(SUMIF(Capacity_Resource,$D172,'Critical resources (hide)'!BA$6:BA$105)+SUMIF(Capacity_Resource,$E172,'Critical resources (hide)'!BA$6:BA$105)+SUMIF(Capacity_Resource,$F172,'Critical resources (hide)'!BA$6:BA$105)&gt;0,$E$1=2),0,1)</f>
        <v>1</v>
      </c>
      <c r="AO172" s="67">
        <f ca="1">IF(AND(SUMIF(Capacity_Resource,$D172,'Critical resources (hide)'!BB$6:BB$105)+SUMIF(Capacity_Resource,$E172,'Critical resources (hide)'!BB$6:BB$105)+SUMIF(Capacity_Resource,$F172,'Critical resources (hide)'!BB$6:BB$105)&gt;0,$E$1=2),0,1)</f>
        <v>1</v>
      </c>
      <c r="AP172" s="67">
        <f ca="1">IF(AND(SUMIF(Capacity_Resource,$D172,'Critical resources (hide)'!BC$6:BC$105)+SUMIF(Capacity_Resource,$E172,'Critical resources (hide)'!BC$6:BC$105)+SUMIF(Capacity_Resource,$F172,'Critical resources (hide)'!BC$6:BC$105)&gt;0,$E$1=2),0,1)</f>
        <v>1</v>
      </c>
      <c r="AQ172" s="67">
        <f ca="1">IF(AND(SUMIF(Capacity_Resource,$D172,'Critical resources (hide)'!BD$6:BD$105)+SUMIF(Capacity_Resource,$E172,'Critical resources (hide)'!BD$6:BD$105)+SUMIF(Capacity_Resource,$F172,'Critical resources (hide)'!BD$6:BD$105)&gt;0,$E$1=2),0,1)</f>
        <v>1</v>
      </c>
      <c r="AR172" s="67">
        <f ca="1">IF(AND(SUMIF(Capacity_Resource,$D172,'Critical resources (hide)'!BE$6:BE$105)+SUMIF(Capacity_Resource,$E172,'Critical resources (hide)'!BE$6:BE$105)+SUMIF(Capacity_Resource,$F172,'Critical resources (hide)'!BE$6:BE$105)&gt;0,$E$1=2),0,1)</f>
        <v>1</v>
      </c>
      <c r="AS172" s="67">
        <f ca="1">IF(AND(SUMIF(Capacity_Resource,$D172,'Critical resources (hide)'!BF$6:BF$105)+SUMIF(Capacity_Resource,$E172,'Critical resources (hide)'!BF$6:BF$105)+SUMIF(Capacity_Resource,$F172,'Critical resources (hide)'!BF$6:BF$105)&gt;0,$E$1=2),0,1)</f>
        <v>1</v>
      </c>
      <c r="AT172" s="67">
        <f ca="1">IF(AND(SUMIF(Capacity_Resource,$D172,'Critical resources (hide)'!BG$6:BG$105)+SUMIF(Capacity_Resource,$E172,'Critical resources (hide)'!BG$6:BG$105)+SUMIF(Capacity_Resource,$F172,'Critical resources (hide)'!BG$6:BG$105)&gt;0,$E$1=2),0,1)</f>
        <v>1</v>
      </c>
      <c r="AU172" s="67">
        <f ca="1">IF(AND(SUMIF(Capacity_Resource,$D172,'Critical resources (hide)'!BH$6:BH$105)+SUMIF(Capacity_Resource,$E172,'Critical resources (hide)'!BH$6:BH$105)+SUMIF(Capacity_Resource,$F172,'Critical resources (hide)'!BH$6:BH$105)&gt;0,$E$1=2),0,1)</f>
        <v>1</v>
      </c>
      <c r="AV172" s="67">
        <f ca="1">IF(AND(SUMIF(Capacity_Resource,$D172,'Critical resources (hide)'!BI$6:BI$105)+SUMIF(Capacity_Resource,$E172,'Critical resources (hide)'!BI$6:BI$105)+SUMIF(Capacity_Resource,$F172,'Critical resources (hide)'!BI$6:BI$105)&gt;0,$E$1=2),0,1)</f>
        <v>1</v>
      </c>
      <c r="AW172" s="67">
        <f ca="1">IF(AND(SUMIF(Capacity_Resource,$D172,'Critical resources (hide)'!BJ$6:BJ$105)+SUMIF(Capacity_Resource,$E172,'Critical resources (hide)'!BJ$6:BJ$105)+SUMIF(Capacity_Resource,$F172,'Critical resources (hide)'!BJ$6:BJ$105)&gt;0,$E$1=2),0,1)</f>
        <v>1</v>
      </c>
      <c r="AX172" s="67">
        <f ca="1">IF(AND(SUMIF(Capacity_Resource,$D172,'Critical resources (hide)'!BK$6:BK$105)+SUMIF(Capacity_Resource,$E172,'Critical resources (hide)'!BK$6:BK$105)+SUMIF(Capacity_Resource,$F172,'Critical resources (hide)'!BK$6:BK$105)&gt;0,$E$1=2),0,1)</f>
        <v>1</v>
      </c>
      <c r="AY172" s="67">
        <f ca="1">IF(AND(SUMIF(Capacity_Resource,$D172,'Critical resources (hide)'!BL$6:BL$105)+SUMIF(Capacity_Resource,$E172,'Critical resources (hide)'!BL$6:BL$105)+SUMIF(Capacity_Resource,$F172,'Critical resources (hide)'!BL$6:BL$105)&gt;0,$E$1=2),0,1)</f>
        <v>1</v>
      </c>
      <c r="AZ172" s="67">
        <f ca="1">IF(AND(SUMIF(Capacity_Resource,$D172,'Critical resources (hide)'!BM$6:BM$105)+SUMIF(Capacity_Resource,$E172,'Critical resources (hide)'!BM$6:BM$105)+SUMIF(Capacity_Resource,$F172,'Critical resources (hide)'!BM$6:BM$105)&gt;0,$E$1=2),0,1)</f>
        <v>1</v>
      </c>
      <c r="BA172" s="67">
        <f ca="1">IF(AND(SUMIF(Capacity_Resource,$D172,'Critical resources (hide)'!BN$6:BN$105)+SUMIF(Capacity_Resource,$E172,'Critical resources (hide)'!BN$6:BN$105)+SUMIF(Capacity_Resource,$F172,'Critical resources (hide)'!BN$6:BN$105)&gt;0,$E$1=2),0,1)</f>
        <v>1</v>
      </c>
      <c r="BB172" s="67">
        <f ca="1">IF(AND(SUMIF(Capacity_Resource,$D172,'Critical resources (hide)'!BO$6:BO$105)+SUMIF(Capacity_Resource,$E172,'Critical resources (hide)'!BO$6:BO$105)+SUMIF(Capacity_Resource,$F172,'Critical resources (hide)'!BO$6:BO$105)&gt;0,$E$1=2),0,1)</f>
        <v>1</v>
      </c>
      <c r="BC172" s="67">
        <f ca="1">IF(AND(SUMIF(Capacity_Resource,$D172,'Critical resources (hide)'!BP$6:BP$105)+SUMIF(Capacity_Resource,$E172,'Critical resources (hide)'!BP$6:BP$105)+SUMIF(Capacity_Resource,$F172,'Critical resources (hide)'!BP$6:BP$105)&gt;0,$E$1=2),0,1)</f>
        <v>1</v>
      </c>
      <c r="BD172" s="67">
        <f ca="1">IF(AND(SUMIF(Capacity_Resource,$D172,'Critical resources (hide)'!BQ$6:BQ$105)+SUMIF(Capacity_Resource,$E172,'Critical resources (hide)'!BQ$6:BQ$105)+SUMIF(Capacity_Resource,$F172,'Critical resources (hide)'!BQ$6:BQ$105)&gt;0,$E$1=2),0,1)</f>
        <v>1</v>
      </c>
      <c r="BE172" s="67">
        <f ca="1">IF(AND(SUMIF(Capacity_Resource,$D172,'Critical resources (hide)'!BR$6:BR$105)+SUMIF(Capacity_Resource,$E172,'Critical resources (hide)'!BR$6:BR$105)+SUMIF(Capacity_Resource,$F172,'Critical resources (hide)'!BR$6:BR$105)&gt;0,$E$1=2),0,1)</f>
        <v>1</v>
      </c>
      <c r="BF172" s="67">
        <f ca="1">IF(AND(SUMIF(Capacity_Resource,$D172,'Critical resources (hide)'!BS$6:BS$105)+SUMIF(Capacity_Resource,$E172,'Critical resources (hide)'!BS$6:BS$105)+SUMIF(Capacity_Resource,$F172,'Critical resources (hide)'!BS$6:BS$105)&gt;0,$E$1=2),0,1)</f>
        <v>1</v>
      </c>
      <c r="BG172" s="67">
        <f ca="1">IF(AND(SUMIF(Capacity_Resource,$D172,'Critical resources (hide)'!BT$6:BT$105)+SUMIF(Capacity_Resource,$E172,'Critical resources (hide)'!BT$6:BT$105)+SUMIF(Capacity_Resource,$F172,'Critical resources (hide)'!BT$6:BT$105)&gt;0,$E$1=2),0,1)</f>
        <v>1</v>
      </c>
      <c r="BH172" s="67">
        <f>IF(ROW(A61)&lt;=Capacity!$M$16,IF('Capacity summary'!$C$14="No",SUM(H172:BG172),'Capacity summary'!$E84),0)</f>
        <v>0</v>
      </c>
      <c r="BI172" s="67" t="str">
        <f>IF(BH172&gt;0,IF(BH172&lt;Capacity!Q77,Capacity!R77,Capacity!T77/'Capacity calculation (hide)'!BH172),"")</f>
        <v/>
      </c>
      <c r="BJ172" s="5"/>
      <c r="BK172" s="5">
        <f>IF($BI172&lt;&gt;"",IF('Capacity summary'!$C$14="Yes",IF(COUNTBLANK('Capacity summary'!$H84:$BG84)&lt;52,IF('Capacity summary'!H84&lt;&gt;"",IF(LOWER('Capacity summary'!H84)="x",$BI172*H172,VALUE('Capacity summary'!H84)),0),H172*$BI172),H172*$BI172),0)</f>
        <v>0</v>
      </c>
      <c r="BL172" s="5">
        <f>IF($BI172&lt;&gt;"",IF('Capacity summary'!$C$14="Yes",IF(COUNTBLANK('Capacity summary'!$H84:$BG84)&lt;52,IF('Capacity summary'!I84&lt;&gt;"",IF(LOWER('Capacity summary'!I84)="x",$BI172*I172,VALUE('Capacity summary'!I84)),0),I172*$BI172),I172*$BI172),0)</f>
        <v>0</v>
      </c>
      <c r="BM172" s="5">
        <f>IF($BI172&lt;&gt;"",IF('Capacity summary'!$C$14="Yes",IF(COUNTBLANK('Capacity summary'!$H84:$BG84)&lt;52,IF('Capacity summary'!J84&lt;&gt;"",IF(LOWER('Capacity summary'!J84)="x",$BI172*J172,VALUE('Capacity summary'!J84)),0),J172*$BI172),J172*$BI172),0)</f>
        <v>0</v>
      </c>
      <c r="BN172" s="5">
        <f>IF($BI172&lt;&gt;"",IF('Capacity summary'!$C$14="Yes",IF(COUNTBLANK('Capacity summary'!$H84:$BG84)&lt;52,IF('Capacity summary'!K84&lt;&gt;"",IF(LOWER('Capacity summary'!K84)="x",$BI172*K172,VALUE('Capacity summary'!K84)),0),K172*$BI172),K172*$BI172),0)</f>
        <v>0</v>
      </c>
      <c r="BO172" s="5">
        <f>IF($BI172&lt;&gt;"",IF('Capacity summary'!$C$14="Yes",IF(COUNTBLANK('Capacity summary'!$H84:$BG84)&lt;52,IF('Capacity summary'!L84&lt;&gt;"",IF(LOWER('Capacity summary'!L84)="x",$BI172*L172,VALUE('Capacity summary'!L84)),0),L172*$BI172),L172*$BI172),0)</f>
        <v>0</v>
      </c>
      <c r="BP172" s="5">
        <f>IF($BI172&lt;&gt;"",IF('Capacity summary'!$C$14="Yes",IF(COUNTBLANK('Capacity summary'!$H84:$BG84)&lt;52,IF('Capacity summary'!M84&lt;&gt;"",IF(LOWER('Capacity summary'!M84)="x",$BI172*M172,VALUE('Capacity summary'!M84)),0),M172*$BI172),M172*$BI172),0)</f>
        <v>0</v>
      </c>
      <c r="BQ172" s="5">
        <f>IF($BI172&lt;&gt;"",IF('Capacity summary'!$C$14="Yes",IF(COUNTBLANK('Capacity summary'!$H84:$BG84)&lt;52,IF('Capacity summary'!N84&lt;&gt;"",IF(LOWER('Capacity summary'!N84)="x",$BI172*N172,VALUE('Capacity summary'!N84)),0),N172*$BI172),N172*$BI172),0)</f>
        <v>0</v>
      </c>
      <c r="BR172" s="5">
        <f>IF($BI172&lt;&gt;"",IF('Capacity summary'!$C$14="Yes",IF(COUNTBLANK('Capacity summary'!$H84:$BG84)&lt;52,IF('Capacity summary'!O84&lt;&gt;"",IF(LOWER('Capacity summary'!O84)="x",$BI172*O172,VALUE('Capacity summary'!O84)),0),O172*$BI172),O172*$BI172),0)</f>
        <v>0</v>
      </c>
      <c r="BS172" s="5">
        <f>IF($BI172&lt;&gt;"",IF('Capacity summary'!$C$14="Yes",IF(COUNTBLANK('Capacity summary'!$H84:$BG84)&lt;52,IF('Capacity summary'!P84&lt;&gt;"",IF(LOWER('Capacity summary'!P84)="x",$BI172*P172,VALUE('Capacity summary'!P84)),0),P172*$BI172),P172*$BI172),0)</f>
        <v>0</v>
      </c>
      <c r="BT172" s="5">
        <f>IF($BI172&lt;&gt;"",IF('Capacity summary'!$C$14="Yes",IF(COUNTBLANK('Capacity summary'!$H84:$BG84)&lt;52,IF('Capacity summary'!Q84&lt;&gt;"",IF(LOWER('Capacity summary'!Q84)="x",$BI172*Q172,VALUE('Capacity summary'!Q84)),0),Q172*$BI172),Q172*$BI172),0)</f>
        <v>0</v>
      </c>
      <c r="BU172" s="5">
        <f>IF($BI172&lt;&gt;"",IF('Capacity summary'!$C$14="Yes",IF(COUNTBLANK('Capacity summary'!$H84:$BG84)&lt;52,IF('Capacity summary'!R84&lt;&gt;"",IF(LOWER('Capacity summary'!R84)="x",$BI172*R172,VALUE('Capacity summary'!R84)),0),R172*$BI172),R172*$BI172),0)</f>
        <v>0</v>
      </c>
      <c r="BV172" s="5">
        <f>IF($BI172&lt;&gt;"",IF('Capacity summary'!$C$14="Yes",IF(COUNTBLANK('Capacity summary'!$H84:$BG84)&lt;52,IF('Capacity summary'!S84&lt;&gt;"",IF(LOWER('Capacity summary'!S84)="x",$BI172*S172,VALUE('Capacity summary'!S84)),0),S172*$BI172),S172*$BI172),0)</f>
        <v>0</v>
      </c>
      <c r="BW172" s="5">
        <f>IF($BI172&lt;&gt;"",IF('Capacity summary'!$C$14="Yes",IF(COUNTBLANK('Capacity summary'!$H84:$BG84)&lt;52,IF('Capacity summary'!T84&lt;&gt;"",IF(LOWER('Capacity summary'!T84)="x",$BI172*T172,VALUE('Capacity summary'!T84)),0),T172*$BI172),T172*$BI172),0)</f>
        <v>0</v>
      </c>
      <c r="BX172" s="5">
        <f>IF($BI172&lt;&gt;"",IF('Capacity summary'!$C$14="Yes",IF(COUNTBLANK('Capacity summary'!$H84:$BG84)&lt;52,IF('Capacity summary'!U84&lt;&gt;"",IF(LOWER('Capacity summary'!U84)="x",$BI172*U172,VALUE('Capacity summary'!U84)),0),U172*$BI172),U172*$BI172),0)</f>
        <v>0</v>
      </c>
      <c r="BY172" s="5">
        <f>IF($BI172&lt;&gt;"",IF('Capacity summary'!$C$14="Yes",IF(COUNTBLANK('Capacity summary'!$H84:$BG84)&lt;52,IF('Capacity summary'!V84&lt;&gt;"",IF(LOWER('Capacity summary'!V84)="x",$BI172*V172,VALUE('Capacity summary'!V84)),0),V172*$BI172),V172*$BI172),0)</f>
        <v>0</v>
      </c>
      <c r="BZ172" s="5">
        <f>IF($BI172&lt;&gt;"",IF('Capacity summary'!$C$14="Yes",IF(COUNTBLANK('Capacity summary'!$H84:$BG84)&lt;52,IF('Capacity summary'!W84&lt;&gt;"",IF(LOWER('Capacity summary'!W84)="x",$BI172*W172,VALUE('Capacity summary'!W84)),0),W172*$BI172),W172*$BI172),0)</f>
        <v>0</v>
      </c>
      <c r="CA172" s="5">
        <f>IF($BI172&lt;&gt;"",IF('Capacity summary'!$C$14="Yes",IF(COUNTBLANK('Capacity summary'!$H84:$BG84)&lt;52,IF('Capacity summary'!X84&lt;&gt;"",IF(LOWER('Capacity summary'!X84)="x",$BI172*X172,VALUE('Capacity summary'!X84)),0),X172*$BI172),X172*$BI172),0)</f>
        <v>0</v>
      </c>
      <c r="CB172" s="5">
        <f>IF($BI172&lt;&gt;"",IF('Capacity summary'!$C$14="Yes",IF(COUNTBLANK('Capacity summary'!$H84:$BG84)&lt;52,IF('Capacity summary'!Y84&lt;&gt;"",IF(LOWER('Capacity summary'!Y84)="x",$BI172*Y172,VALUE('Capacity summary'!Y84)),0),Y172*$BI172),Y172*$BI172),0)</f>
        <v>0</v>
      </c>
      <c r="CC172" s="5">
        <f>IF($BI172&lt;&gt;"",IF('Capacity summary'!$C$14="Yes",IF(COUNTBLANK('Capacity summary'!$H84:$BG84)&lt;52,IF('Capacity summary'!Z84&lt;&gt;"",IF(LOWER('Capacity summary'!Z84)="x",$BI172*Z172,VALUE('Capacity summary'!Z84)),0),Z172*$BI172),Z172*$BI172),0)</f>
        <v>0</v>
      </c>
      <c r="CD172" s="5">
        <f>IF($BI172&lt;&gt;"",IF('Capacity summary'!$C$14="Yes",IF(COUNTBLANK('Capacity summary'!$H84:$BG84)&lt;52,IF('Capacity summary'!AA84&lt;&gt;"",IF(LOWER('Capacity summary'!AA84)="x",$BI172*AA172,VALUE('Capacity summary'!AA84)),0),AA172*$BI172),AA172*$BI172),0)</f>
        <v>0</v>
      </c>
      <c r="CE172" s="5">
        <f>IF($BI172&lt;&gt;"",IF('Capacity summary'!$C$14="Yes",IF(COUNTBLANK('Capacity summary'!$H84:$BG84)&lt;52,IF('Capacity summary'!AB84&lt;&gt;"",IF(LOWER('Capacity summary'!AB84)="x",$BI172*AB172,VALUE('Capacity summary'!AB84)),0),AB172*$BI172),AB172*$BI172),0)</f>
        <v>0</v>
      </c>
      <c r="CF172" s="5">
        <f>IF($BI172&lt;&gt;"",IF('Capacity summary'!$C$14="Yes",IF(COUNTBLANK('Capacity summary'!$H84:$BG84)&lt;52,IF('Capacity summary'!AC84&lt;&gt;"",IF(LOWER('Capacity summary'!AC84)="x",$BI172*AC172,VALUE('Capacity summary'!AC84)),0),AC172*$BI172),AC172*$BI172),0)</f>
        <v>0</v>
      </c>
      <c r="CG172" s="5">
        <f>IF($BI172&lt;&gt;"",IF('Capacity summary'!$C$14="Yes",IF(COUNTBLANK('Capacity summary'!$H84:$BG84)&lt;52,IF('Capacity summary'!AD84&lt;&gt;"",IF(LOWER('Capacity summary'!AD84)="x",$BI172*AD172,VALUE('Capacity summary'!AD84)),0),AD172*$BI172),AD172*$BI172),0)</f>
        <v>0</v>
      </c>
      <c r="CH172" s="5">
        <f>IF($BI172&lt;&gt;"",IF('Capacity summary'!$C$14="Yes",IF(COUNTBLANK('Capacity summary'!$H84:$BG84)&lt;52,IF('Capacity summary'!AE84&lt;&gt;"",IF(LOWER('Capacity summary'!AE84)="x",$BI172*AE172,VALUE('Capacity summary'!AE84)),0),AE172*$BI172),AE172*$BI172),0)</f>
        <v>0</v>
      </c>
      <c r="CI172" s="5">
        <f>IF($BI172&lt;&gt;"",IF('Capacity summary'!$C$14="Yes",IF(COUNTBLANK('Capacity summary'!$H84:$BG84)&lt;52,IF('Capacity summary'!AF84&lt;&gt;"",IF(LOWER('Capacity summary'!AF84)="x",$BI172*AF172,VALUE('Capacity summary'!AF84)),0),AF172*$BI172),AF172*$BI172),0)</f>
        <v>0</v>
      </c>
      <c r="CJ172" s="5">
        <f>IF($BI172&lt;&gt;"",IF('Capacity summary'!$C$14="Yes",IF(COUNTBLANK('Capacity summary'!$H84:$BG84)&lt;52,IF('Capacity summary'!AG84&lt;&gt;"",IF(LOWER('Capacity summary'!AG84)="x",$BI172*AG172,VALUE('Capacity summary'!AG84)),0),AG172*$BI172),AG172*$BI172),0)</f>
        <v>0</v>
      </c>
      <c r="CK172" s="5">
        <f>IF($BI172&lt;&gt;"",IF('Capacity summary'!$C$14="Yes",IF(COUNTBLANK('Capacity summary'!$H84:$BG84)&lt;52,IF('Capacity summary'!AH84&lt;&gt;"",IF(LOWER('Capacity summary'!AH84)="x",$BI172*AH172,VALUE('Capacity summary'!AH84)),0),AH172*$BI172),AH172*$BI172),0)</f>
        <v>0</v>
      </c>
      <c r="CL172" s="5">
        <f>IF($BI172&lt;&gt;"",IF('Capacity summary'!$C$14="Yes",IF(COUNTBLANK('Capacity summary'!$H84:$BG84)&lt;52,IF('Capacity summary'!AI84&lt;&gt;"",IF(LOWER('Capacity summary'!AI84)="x",$BI172*AI172,VALUE('Capacity summary'!AI84)),0),AI172*$BI172),AI172*$BI172),0)</f>
        <v>0</v>
      </c>
      <c r="CM172" s="5">
        <f>IF($BI172&lt;&gt;"",IF('Capacity summary'!$C$14="Yes",IF(COUNTBLANK('Capacity summary'!$H84:$BG84)&lt;52,IF('Capacity summary'!AJ84&lt;&gt;"",IF(LOWER('Capacity summary'!AJ84)="x",$BI172*AJ172,VALUE('Capacity summary'!AJ84)),0),AJ172*$BI172),AJ172*$BI172),0)</f>
        <v>0</v>
      </c>
      <c r="CN172" s="5">
        <f>IF($BI172&lt;&gt;"",IF('Capacity summary'!$C$14="Yes",IF(COUNTBLANK('Capacity summary'!$H84:$BG84)&lt;52,IF('Capacity summary'!AK84&lt;&gt;"",IF(LOWER('Capacity summary'!AK84)="x",$BI172*AK172,VALUE('Capacity summary'!AK84)),0),AK172*$BI172),AK172*$BI172),0)</f>
        <v>0</v>
      </c>
      <c r="CO172" s="5">
        <f>IF($BI172&lt;&gt;"",IF('Capacity summary'!$C$14="Yes",IF(COUNTBLANK('Capacity summary'!$H84:$BG84)&lt;52,IF('Capacity summary'!AL84&lt;&gt;"",IF(LOWER('Capacity summary'!AL84)="x",$BI172*AL172,VALUE('Capacity summary'!AL84)),0),AL172*$BI172),AL172*$BI172),0)</f>
        <v>0</v>
      </c>
      <c r="CP172" s="5">
        <f>IF($BI172&lt;&gt;"",IF('Capacity summary'!$C$14="Yes",IF(COUNTBLANK('Capacity summary'!$H84:$BG84)&lt;52,IF('Capacity summary'!AM84&lt;&gt;"",IF(LOWER('Capacity summary'!AM84)="x",$BI172*AM172,VALUE('Capacity summary'!AM84)),0),AM172*$BI172),AM172*$BI172),0)</f>
        <v>0</v>
      </c>
      <c r="CQ172" s="5">
        <f>IF($BI172&lt;&gt;"",IF('Capacity summary'!$C$14="Yes",IF(COUNTBLANK('Capacity summary'!$H84:$BG84)&lt;52,IF('Capacity summary'!AN84&lt;&gt;"",IF(LOWER('Capacity summary'!AN84)="x",$BI172*AN172,VALUE('Capacity summary'!AN84)),0),AN172*$BI172),AN172*$BI172),0)</f>
        <v>0</v>
      </c>
      <c r="CR172" s="5">
        <f>IF($BI172&lt;&gt;"",IF('Capacity summary'!$C$14="Yes",IF(COUNTBLANK('Capacity summary'!$H84:$BG84)&lt;52,IF('Capacity summary'!AO84&lt;&gt;"",IF(LOWER('Capacity summary'!AO84)="x",$BI172*AO172,VALUE('Capacity summary'!AO84)),0),AO172*$BI172),AO172*$BI172),0)</f>
        <v>0</v>
      </c>
      <c r="CS172" s="5">
        <f>IF($BI172&lt;&gt;"",IF('Capacity summary'!$C$14="Yes",IF(COUNTBLANK('Capacity summary'!$H84:$BG84)&lt;52,IF('Capacity summary'!AP84&lt;&gt;"",IF(LOWER('Capacity summary'!AP84)="x",$BI172*AP172,VALUE('Capacity summary'!AP84)),0),AP172*$BI172),AP172*$BI172),0)</f>
        <v>0</v>
      </c>
      <c r="CT172" s="5">
        <f>IF($BI172&lt;&gt;"",IF('Capacity summary'!$C$14="Yes",IF(COUNTBLANK('Capacity summary'!$H84:$BG84)&lt;52,IF('Capacity summary'!AQ84&lt;&gt;"",IF(LOWER('Capacity summary'!AQ84)="x",$BI172*AQ172,VALUE('Capacity summary'!AQ84)),0),AQ172*$BI172),AQ172*$BI172),0)</f>
        <v>0</v>
      </c>
      <c r="CU172" s="5">
        <f>IF($BI172&lt;&gt;"",IF('Capacity summary'!$C$14="Yes",IF(COUNTBLANK('Capacity summary'!$H84:$BG84)&lt;52,IF('Capacity summary'!AR84&lt;&gt;"",IF(LOWER('Capacity summary'!AR84)="x",$BI172*AR172,VALUE('Capacity summary'!AR84)),0),AR172*$BI172),AR172*$BI172),0)</f>
        <v>0</v>
      </c>
      <c r="CV172" s="5">
        <f>IF($BI172&lt;&gt;"",IF('Capacity summary'!$C$14="Yes",IF(COUNTBLANK('Capacity summary'!$H84:$BG84)&lt;52,IF('Capacity summary'!AS84&lt;&gt;"",IF(LOWER('Capacity summary'!AS84)="x",$BI172*AS172,VALUE('Capacity summary'!AS84)),0),AS172*$BI172),AS172*$BI172),0)</f>
        <v>0</v>
      </c>
      <c r="CW172" s="5">
        <f>IF($BI172&lt;&gt;"",IF('Capacity summary'!$C$14="Yes",IF(COUNTBLANK('Capacity summary'!$H84:$BG84)&lt;52,IF('Capacity summary'!AT84&lt;&gt;"",IF(LOWER('Capacity summary'!AT84)="x",$BI172*AT172,VALUE('Capacity summary'!AT84)),0),AT172*$BI172),AT172*$BI172),0)</f>
        <v>0</v>
      </c>
      <c r="CX172" s="5">
        <f>IF($BI172&lt;&gt;"",IF('Capacity summary'!$C$14="Yes",IF(COUNTBLANK('Capacity summary'!$H84:$BG84)&lt;52,IF('Capacity summary'!AU84&lt;&gt;"",IF(LOWER('Capacity summary'!AU84)="x",$BI172*AU172,VALUE('Capacity summary'!AU84)),0),AU172*$BI172),AU172*$BI172),0)</f>
        <v>0</v>
      </c>
      <c r="CY172" s="5">
        <f>IF($BI172&lt;&gt;"",IF('Capacity summary'!$C$14="Yes",IF(COUNTBLANK('Capacity summary'!$H84:$BG84)&lt;52,IF('Capacity summary'!AV84&lt;&gt;"",IF(LOWER('Capacity summary'!AV84)="x",$BI172*AV172,VALUE('Capacity summary'!AV84)),0),AV172*$BI172),AV172*$BI172),0)</f>
        <v>0</v>
      </c>
      <c r="CZ172" s="5">
        <f>IF($BI172&lt;&gt;"",IF('Capacity summary'!$C$14="Yes",IF(COUNTBLANK('Capacity summary'!$H84:$BG84)&lt;52,IF('Capacity summary'!AW84&lt;&gt;"",IF(LOWER('Capacity summary'!AW84)="x",$BI172*AW172,VALUE('Capacity summary'!AW84)),0),AW172*$BI172),AW172*$BI172),0)</f>
        <v>0</v>
      </c>
      <c r="DA172" s="5">
        <f>IF($BI172&lt;&gt;"",IF('Capacity summary'!$C$14="Yes",IF(COUNTBLANK('Capacity summary'!$H84:$BG84)&lt;52,IF('Capacity summary'!AX84&lt;&gt;"",IF(LOWER('Capacity summary'!AX84)="x",$BI172*AX172,VALUE('Capacity summary'!AX84)),0),AX172*$BI172),AX172*$BI172),0)</f>
        <v>0</v>
      </c>
      <c r="DB172" s="5">
        <f>IF($BI172&lt;&gt;"",IF('Capacity summary'!$C$14="Yes",IF(COUNTBLANK('Capacity summary'!$H84:$BG84)&lt;52,IF('Capacity summary'!AY84&lt;&gt;"",IF(LOWER('Capacity summary'!AY84)="x",$BI172*AY172,VALUE('Capacity summary'!AY84)),0),AY172*$BI172),AY172*$BI172),0)</f>
        <v>0</v>
      </c>
      <c r="DC172" s="5">
        <f>IF($BI172&lt;&gt;"",IF('Capacity summary'!$C$14="Yes",IF(COUNTBLANK('Capacity summary'!$H84:$BG84)&lt;52,IF('Capacity summary'!AZ84&lt;&gt;"",IF(LOWER('Capacity summary'!AZ84)="x",$BI172*AZ172,VALUE('Capacity summary'!AZ84)),0),AZ172*$BI172),AZ172*$BI172),0)</f>
        <v>0</v>
      </c>
      <c r="DD172" s="5">
        <f>IF($BI172&lt;&gt;"",IF('Capacity summary'!$C$14="Yes",IF(COUNTBLANK('Capacity summary'!$H84:$BG84)&lt;52,IF('Capacity summary'!BA84&lt;&gt;"",IF(LOWER('Capacity summary'!BA84)="x",$BI172*BA172,VALUE('Capacity summary'!BA84)),0),BA172*$BI172),BA172*$BI172),0)</f>
        <v>0</v>
      </c>
      <c r="DE172" s="5">
        <f>IF($BI172&lt;&gt;"",IF('Capacity summary'!$C$14="Yes",IF(COUNTBLANK('Capacity summary'!$H84:$BG84)&lt;52,IF('Capacity summary'!BB84&lt;&gt;"",IF(LOWER('Capacity summary'!BB84)="x",$BI172*BB172,VALUE('Capacity summary'!BB84)),0),BB172*$BI172),BB172*$BI172),0)</f>
        <v>0</v>
      </c>
      <c r="DF172" s="5">
        <f>IF($BI172&lt;&gt;"",IF('Capacity summary'!$C$14="Yes",IF(COUNTBLANK('Capacity summary'!$H84:$BG84)&lt;52,IF('Capacity summary'!BC84&lt;&gt;"",IF(LOWER('Capacity summary'!BC84)="x",$BI172*BC172,VALUE('Capacity summary'!BC84)),0),BC172*$BI172),BC172*$BI172),0)</f>
        <v>0</v>
      </c>
      <c r="DG172" s="5">
        <f>IF($BI172&lt;&gt;"",IF('Capacity summary'!$C$14="Yes",IF(COUNTBLANK('Capacity summary'!$H84:$BG84)&lt;52,IF('Capacity summary'!BD84&lt;&gt;"",IF(LOWER('Capacity summary'!BD84)="x",$BI172*BD172,VALUE('Capacity summary'!BD84)),0),BD172*$BI172),BD172*$BI172),0)</f>
        <v>0</v>
      </c>
      <c r="DH172" s="5">
        <f>IF($BI172&lt;&gt;"",IF('Capacity summary'!$C$14="Yes",IF(COUNTBLANK('Capacity summary'!$H84:$BG84)&lt;52,IF('Capacity summary'!BE84&lt;&gt;"",IF(LOWER('Capacity summary'!BE84)="x",$BI172*BE172,VALUE('Capacity summary'!BE84)),0),BE172*$BI172),BE172*$BI172),0)</f>
        <v>0</v>
      </c>
      <c r="DI172" s="5">
        <f>IF($BI172&lt;&gt;"",IF('Capacity summary'!$C$14="Yes",IF(COUNTBLANK('Capacity summary'!$H84:$BG84)&lt;52,IF('Capacity summary'!BF84&lt;&gt;"",IF(LOWER('Capacity summary'!BF84)="x",$BI172*BF172,VALUE('Capacity summary'!BF84)),0),BF172*$BI172),BF172*$BI172),0)</f>
        <v>0</v>
      </c>
      <c r="DJ172" s="5">
        <f>IF($BI172&lt;&gt;"",IF('Capacity summary'!$C$14="Yes",IF(COUNTBLANK('Capacity summary'!$H84:$BG84)&lt;52,IF('Capacity summary'!BG84&lt;&gt;"",IF(LOWER('Capacity summary'!BG84)="x",$BI172*BG172,VALUE('Capacity summary'!BG84)),0),BG172*$BI172),BG172*$BI172),0)</f>
        <v>0</v>
      </c>
      <c r="DK172" s="5">
        <f t="shared" ref="DK172" si="66">SUM(DK173:DK272)</f>
        <v>0</v>
      </c>
    </row>
    <row r="173" spans="3:115" x14ac:dyDescent="0.25">
      <c r="C173" s="67" t="str">
        <f>ROW(A62)&amp;". "&amp;Capacity!N78</f>
        <v xml:space="preserve">62. </v>
      </c>
      <c r="D173" s="67">
        <f>'Capacity setup'!C179</f>
        <v>0</v>
      </c>
      <c r="E173" s="67">
        <f>'Capacity setup'!D179</f>
        <v>0</v>
      </c>
      <c r="F173" s="67">
        <f>'Capacity setup'!E179</f>
        <v>0</v>
      </c>
      <c r="H173" s="67">
        <f ca="1">IF(AND(SUMIF(Capacity_Resource,$D173,'Critical resources (hide)'!U$6:U$105)+SUMIF(Capacity_Resource,$E173,'Critical resources (hide)'!U$6:U$105)+SUMIF(Capacity_Resource,$F173,'Critical resources (hide)'!U$6:U$105)&gt;0,$E$1=2),0,1)</f>
        <v>1</v>
      </c>
      <c r="I173" s="67">
        <f ca="1">IF(AND(SUMIF(Capacity_Resource,$D173,'Critical resources (hide)'!V$6:V$105)+SUMIF(Capacity_Resource,$E173,'Critical resources (hide)'!V$6:V$105)+SUMIF(Capacity_Resource,$F173,'Critical resources (hide)'!V$6:V$105)&gt;0,$E$1=2),0,1)</f>
        <v>1</v>
      </c>
      <c r="J173" s="67">
        <f ca="1">IF(AND(SUMIF(Capacity_Resource,$D173,'Critical resources (hide)'!W$6:W$105)+SUMIF(Capacity_Resource,$E173,'Critical resources (hide)'!W$6:W$105)+SUMIF(Capacity_Resource,$F173,'Critical resources (hide)'!W$6:W$105)&gt;0,$E$1=2),0,1)</f>
        <v>1</v>
      </c>
      <c r="K173" s="67">
        <f ca="1">IF(AND(SUMIF(Capacity_Resource,$D173,'Critical resources (hide)'!X$6:X$105)+SUMIF(Capacity_Resource,$E173,'Critical resources (hide)'!X$6:X$105)+SUMIF(Capacity_Resource,$F173,'Critical resources (hide)'!X$6:X$105)&gt;0,$E$1=2),0,1)</f>
        <v>1</v>
      </c>
      <c r="L173" s="67">
        <f ca="1">IF(AND(SUMIF(Capacity_Resource,$D173,'Critical resources (hide)'!Y$6:Y$105)+SUMIF(Capacity_Resource,$E173,'Critical resources (hide)'!Y$6:Y$105)+SUMIF(Capacity_Resource,$F173,'Critical resources (hide)'!Y$6:Y$105)&gt;0,$E$1=2),0,1)</f>
        <v>1</v>
      </c>
      <c r="M173" s="67">
        <f ca="1">IF(AND(SUMIF(Capacity_Resource,$D173,'Critical resources (hide)'!Z$6:Z$105)+SUMIF(Capacity_Resource,$E173,'Critical resources (hide)'!Z$6:Z$105)+SUMIF(Capacity_Resource,$F173,'Critical resources (hide)'!Z$6:Z$105)&gt;0,$E$1=2),0,1)</f>
        <v>1</v>
      </c>
      <c r="N173" s="67">
        <f ca="1">IF(AND(SUMIF(Capacity_Resource,$D173,'Critical resources (hide)'!AA$6:AA$105)+SUMIF(Capacity_Resource,$E173,'Critical resources (hide)'!AA$6:AA$105)+SUMIF(Capacity_Resource,$F173,'Critical resources (hide)'!AA$6:AA$105)&gt;0,$E$1=2),0,1)</f>
        <v>1</v>
      </c>
      <c r="O173" s="67">
        <f ca="1">IF(AND(SUMIF(Capacity_Resource,$D173,'Critical resources (hide)'!AB$6:AB$105)+SUMIF(Capacity_Resource,$E173,'Critical resources (hide)'!AB$6:AB$105)+SUMIF(Capacity_Resource,$F173,'Critical resources (hide)'!AB$6:AB$105)&gt;0,$E$1=2),0,1)</f>
        <v>1</v>
      </c>
      <c r="P173" s="67">
        <f ca="1">IF(AND(SUMIF(Capacity_Resource,$D173,'Critical resources (hide)'!AC$6:AC$105)+SUMIF(Capacity_Resource,$E173,'Critical resources (hide)'!AC$6:AC$105)+SUMIF(Capacity_Resource,$F173,'Critical resources (hide)'!AC$6:AC$105)&gt;0,$E$1=2),0,1)</f>
        <v>1</v>
      </c>
      <c r="Q173" s="67">
        <f ca="1">IF(AND(SUMIF(Capacity_Resource,$D173,'Critical resources (hide)'!AD$6:AD$105)+SUMIF(Capacity_Resource,$E173,'Critical resources (hide)'!AD$6:AD$105)+SUMIF(Capacity_Resource,$F173,'Critical resources (hide)'!AD$6:AD$105)&gt;0,$E$1=2),0,1)</f>
        <v>1</v>
      </c>
      <c r="R173" s="67">
        <f ca="1">IF(AND(SUMIF(Capacity_Resource,$D173,'Critical resources (hide)'!AE$6:AE$105)+SUMIF(Capacity_Resource,$E173,'Critical resources (hide)'!AE$6:AE$105)+SUMIF(Capacity_Resource,$F173,'Critical resources (hide)'!AE$6:AE$105)&gt;0,$E$1=2),0,1)</f>
        <v>1</v>
      </c>
      <c r="S173" s="67">
        <f ca="1">IF(AND(SUMIF(Capacity_Resource,$D173,'Critical resources (hide)'!AF$6:AF$105)+SUMIF(Capacity_Resource,$E173,'Critical resources (hide)'!AF$6:AF$105)+SUMIF(Capacity_Resource,$F173,'Critical resources (hide)'!AF$6:AF$105)&gt;0,$E$1=2),0,1)</f>
        <v>1</v>
      </c>
      <c r="T173" s="67">
        <f ca="1">IF(AND(SUMIF(Capacity_Resource,$D173,'Critical resources (hide)'!AG$6:AG$105)+SUMIF(Capacity_Resource,$E173,'Critical resources (hide)'!AG$6:AG$105)+SUMIF(Capacity_Resource,$F173,'Critical resources (hide)'!AG$6:AG$105)&gt;0,$E$1=2),0,1)</f>
        <v>1</v>
      </c>
      <c r="U173" s="67">
        <f ca="1">IF(AND(SUMIF(Capacity_Resource,$D173,'Critical resources (hide)'!AH$6:AH$105)+SUMIF(Capacity_Resource,$E173,'Critical resources (hide)'!AH$6:AH$105)+SUMIF(Capacity_Resource,$F173,'Critical resources (hide)'!AH$6:AH$105)&gt;0,$E$1=2),0,1)</f>
        <v>1</v>
      </c>
      <c r="V173" s="67">
        <f ca="1">IF(AND(SUMIF(Capacity_Resource,$D173,'Critical resources (hide)'!AI$6:AI$105)+SUMIF(Capacity_Resource,$E173,'Critical resources (hide)'!AI$6:AI$105)+SUMIF(Capacity_Resource,$F173,'Critical resources (hide)'!AI$6:AI$105)&gt;0,$E$1=2),0,1)</f>
        <v>1</v>
      </c>
      <c r="W173" s="67">
        <f ca="1">IF(AND(SUMIF(Capacity_Resource,$D173,'Critical resources (hide)'!AJ$6:AJ$105)+SUMIF(Capacity_Resource,$E173,'Critical resources (hide)'!AJ$6:AJ$105)+SUMIF(Capacity_Resource,$F173,'Critical resources (hide)'!AJ$6:AJ$105)&gt;0,$E$1=2),0,1)</f>
        <v>1</v>
      </c>
      <c r="X173" s="67">
        <f ca="1">IF(AND(SUMIF(Capacity_Resource,$D173,'Critical resources (hide)'!AK$6:AK$105)+SUMIF(Capacity_Resource,$E173,'Critical resources (hide)'!AK$6:AK$105)+SUMIF(Capacity_Resource,$F173,'Critical resources (hide)'!AK$6:AK$105)&gt;0,$E$1=2),0,1)</f>
        <v>1</v>
      </c>
      <c r="Y173" s="67">
        <f ca="1">IF(AND(SUMIF(Capacity_Resource,$D173,'Critical resources (hide)'!AL$6:AL$105)+SUMIF(Capacity_Resource,$E173,'Critical resources (hide)'!AL$6:AL$105)+SUMIF(Capacity_Resource,$F173,'Critical resources (hide)'!AL$6:AL$105)&gt;0,$E$1=2),0,1)</f>
        <v>1</v>
      </c>
      <c r="Z173" s="67">
        <f ca="1">IF(AND(SUMIF(Capacity_Resource,$D173,'Critical resources (hide)'!AM$6:AM$105)+SUMIF(Capacity_Resource,$E173,'Critical resources (hide)'!AM$6:AM$105)+SUMIF(Capacity_Resource,$F173,'Critical resources (hide)'!AM$6:AM$105)&gt;0,$E$1=2),0,1)</f>
        <v>1</v>
      </c>
      <c r="AA173" s="67">
        <f ca="1">IF(AND(SUMIF(Capacity_Resource,$D173,'Critical resources (hide)'!AN$6:AN$105)+SUMIF(Capacity_Resource,$E173,'Critical resources (hide)'!AN$6:AN$105)+SUMIF(Capacity_Resource,$F173,'Critical resources (hide)'!AN$6:AN$105)&gt;0,$E$1=2),0,1)</f>
        <v>1</v>
      </c>
      <c r="AB173" s="67">
        <f ca="1">IF(AND(SUMIF(Capacity_Resource,$D173,'Critical resources (hide)'!AO$6:AO$105)+SUMIF(Capacity_Resource,$E173,'Critical resources (hide)'!AO$6:AO$105)+SUMIF(Capacity_Resource,$F173,'Critical resources (hide)'!AO$6:AO$105)&gt;0,$E$1=2),0,1)</f>
        <v>1</v>
      </c>
      <c r="AC173" s="67">
        <f ca="1">IF(AND(SUMIF(Capacity_Resource,$D173,'Critical resources (hide)'!AP$6:AP$105)+SUMIF(Capacity_Resource,$E173,'Critical resources (hide)'!AP$6:AP$105)+SUMIF(Capacity_Resource,$F173,'Critical resources (hide)'!AP$6:AP$105)&gt;0,$E$1=2),0,1)</f>
        <v>1</v>
      </c>
      <c r="AD173" s="67">
        <f ca="1">IF(AND(SUMIF(Capacity_Resource,$D173,'Critical resources (hide)'!AQ$6:AQ$105)+SUMIF(Capacity_Resource,$E173,'Critical resources (hide)'!AQ$6:AQ$105)+SUMIF(Capacity_Resource,$F173,'Critical resources (hide)'!AQ$6:AQ$105)&gt;0,$E$1=2),0,1)</f>
        <v>1</v>
      </c>
      <c r="AE173" s="67">
        <f ca="1">IF(AND(SUMIF(Capacity_Resource,$D173,'Critical resources (hide)'!AR$6:AR$105)+SUMIF(Capacity_Resource,$E173,'Critical resources (hide)'!AR$6:AR$105)+SUMIF(Capacity_Resource,$F173,'Critical resources (hide)'!AR$6:AR$105)&gt;0,$E$1=2),0,1)</f>
        <v>1</v>
      </c>
      <c r="AF173" s="67">
        <f ca="1">IF(AND(SUMIF(Capacity_Resource,$D173,'Critical resources (hide)'!AS$6:AS$105)+SUMIF(Capacity_Resource,$E173,'Critical resources (hide)'!AS$6:AS$105)+SUMIF(Capacity_Resource,$F173,'Critical resources (hide)'!AS$6:AS$105)&gt;0,$E$1=2),0,1)</f>
        <v>1</v>
      </c>
      <c r="AG173" s="67">
        <f ca="1">IF(AND(SUMIF(Capacity_Resource,$D173,'Critical resources (hide)'!AT$6:AT$105)+SUMIF(Capacity_Resource,$E173,'Critical resources (hide)'!AT$6:AT$105)+SUMIF(Capacity_Resource,$F173,'Critical resources (hide)'!AT$6:AT$105)&gt;0,$E$1=2),0,1)</f>
        <v>1</v>
      </c>
      <c r="AH173" s="67">
        <f ca="1">IF(AND(SUMIF(Capacity_Resource,$D173,'Critical resources (hide)'!AU$6:AU$105)+SUMIF(Capacity_Resource,$E173,'Critical resources (hide)'!AU$6:AU$105)+SUMIF(Capacity_Resource,$F173,'Critical resources (hide)'!AU$6:AU$105)&gt;0,$E$1=2),0,1)</f>
        <v>1</v>
      </c>
      <c r="AI173" s="67">
        <f ca="1">IF(AND(SUMIF(Capacity_Resource,$D173,'Critical resources (hide)'!AV$6:AV$105)+SUMIF(Capacity_Resource,$E173,'Critical resources (hide)'!AV$6:AV$105)+SUMIF(Capacity_Resource,$F173,'Critical resources (hide)'!AV$6:AV$105)&gt;0,$E$1=2),0,1)</f>
        <v>1</v>
      </c>
      <c r="AJ173" s="67">
        <f ca="1">IF(AND(SUMIF(Capacity_Resource,$D173,'Critical resources (hide)'!AW$6:AW$105)+SUMIF(Capacity_Resource,$E173,'Critical resources (hide)'!AW$6:AW$105)+SUMIF(Capacity_Resource,$F173,'Critical resources (hide)'!AW$6:AW$105)&gt;0,$E$1=2),0,1)</f>
        <v>1</v>
      </c>
      <c r="AK173" s="67">
        <f ca="1">IF(AND(SUMIF(Capacity_Resource,$D173,'Critical resources (hide)'!AX$6:AX$105)+SUMIF(Capacity_Resource,$E173,'Critical resources (hide)'!AX$6:AX$105)+SUMIF(Capacity_Resource,$F173,'Critical resources (hide)'!AX$6:AX$105)&gt;0,$E$1=2),0,1)</f>
        <v>1</v>
      </c>
      <c r="AL173" s="67">
        <f ca="1">IF(AND(SUMIF(Capacity_Resource,$D173,'Critical resources (hide)'!AY$6:AY$105)+SUMIF(Capacity_Resource,$E173,'Critical resources (hide)'!AY$6:AY$105)+SUMIF(Capacity_Resource,$F173,'Critical resources (hide)'!AY$6:AY$105)&gt;0,$E$1=2),0,1)</f>
        <v>1</v>
      </c>
      <c r="AM173" s="67">
        <f ca="1">IF(AND(SUMIF(Capacity_Resource,$D173,'Critical resources (hide)'!AZ$6:AZ$105)+SUMIF(Capacity_Resource,$E173,'Critical resources (hide)'!AZ$6:AZ$105)+SUMIF(Capacity_Resource,$F173,'Critical resources (hide)'!AZ$6:AZ$105)&gt;0,$E$1=2),0,1)</f>
        <v>1</v>
      </c>
      <c r="AN173" s="67">
        <f ca="1">IF(AND(SUMIF(Capacity_Resource,$D173,'Critical resources (hide)'!BA$6:BA$105)+SUMIF(Capacity_Resource,$E173,'Critical resources (hide)'!BA$6:BA$105)+SUMIF(Capacity_Resource,$F173,'Critical resources (hide)'!BA$6:BA$105)&gt;0,$E$1=2),0,1)</f>
        <v>1</v>
      </c>
      <c r="AO173" s="67">
        <f ca="1">IF(AND(SUMIF(Capacity_Resource,$D173,'Critical resources (hide)'!BB$6:BB$105)+SUMIF(Capacity_Resource,$E173,'Critical resources (hide)'!BB$6:BB$105)+SUMIF(Capacity_Resource,$F173,'Critical resources (hide)'!BB$6:BB$105)&gt;0,$E$1=2),0,1)</f>
        <v>1</v>
      </c>
      <c r="AP173" s="67">
        <f ca="1">IF(AND(SUMIF(Capacity_Resource,$D173,'Critical resources (hide)'!BC$6:BC$105)+SUMIF(Capacity_Resource,$E173,'Critical resources (hide)'!BC$6:BC$105)+SUMIF(Capacity_Resource,$F173,'Critical resources (hide)'!BC$6:BC$105)&gt;0,$E$1=2),0,1)</f>
        <v>1</v>
      </c>
      <c r="AQ173" s="67">
        <f ca="1">IF(AND(SUMIF(Capacity_Resource,$D173,'Critical resources (hide)'!BD$6:BD$105)+SUMIF(Capacity_Resource,$E173,'Critical resources (hide)'!BD$6:BD$105)+SUMIF(Capacity_Resource,$F173,'Critical resources (hide)'!BD$6:BD$105)&gt;0,$E$1=2),0,1)</f>
        <v>1</v>
      </c>
      <c r="AR173" s="67">
        <f ca="1">IF(AND(SUMIF(Capacity_Resource,$D173,'Critical resources (hide)'!BE$6:BE$105)+SUMIF(Capacity_Resource,$E173,'Critical resources (hide)'!BE$6:BE$105)+SUMIF(Capacity_Resource,$F173,'Critical resources (hide)'!BE$6:BE$105)&gt;0,$E$1=2),0,1)</f>
        <v>1</v>
      </c>
      <c r="AS173" s="67">
        <f ca="1">IF(AND(SUMIF(Capacity_Resource,$D173,'Critical resources (hide)'!BF$6:BF$105)+SUMIF(Capacity_Resource,$E173,'Critical resources (hide)'!BF$6:BF$105)+SUMIF(Capacity_Resource,$F173,'Critical resources (hide)'!BF$6:BF$105)&gt;0,$E$1=2),0,1)</f>
        <v>1</v>
      </c>
      <c r="AT173" s="67">
        <f ca="1">IF(AND(SUMIF(Capacity_Resource,$D173,'Critical resources (hide)'!BG$6:BG$105)+SUMIF(Capacity_Resource,$E173,'Critical resources (hide)'!BG$6:BG$105)+SUMIF(Capacity_Resource,$F173,'Critical resources (hide)'!BG$6:BG$105)&gt;0,$E$1=2),0,1)</f>
        <v>1</v>
      </c>
      <c r="AU173" s="67">
        <f ca="1">IF(AND(SUMIF(Capacity_Resource,$D173,'Critical resources (hide)'!BH$6:BH$105)+SUMIF(Capacity_Resource,$E173,'Critical resources (hide)'!BH$6:BH$105)+SUMIF(Capacity_Resource,$F173,'Critical resources (hide)'!BH$6:BH$105)&gt;0,$E$1=2),0,1)</f>
        <v>1</v>
      </c>
      <c r="AV173" s="67">
        <f ca="1">IF(AND(SUMIF(Capacity_Resource,$D173,'Critical resources (hide)'!BI$6:BI$105)+SUMIF(Capacity_Resource,$E173,'Critical resources (hide)'!BI$6:BI$105)+SUMIF(Capacity_Resource,$F173,'Critical resources (hide)'!BI$6:BI$105)&gt;0,$E$1=2),0,1)</f>
        <v>1</v>
      </c>
      <c r="AW173" s="67">
        <f ca="1">IF(AND(SUMIF(Capacity_Resource,$D173,'Critical resources (hide)'!BJ$6:BJ$105)+SUMIF(Capacity_Resource,$E173,'Critical resources (hide)'!BJ$6:BJ$105)+SUMIF(Capacity_Resource,$F173,'Critical resources (hide)'!BJ$6:BJ$105)&gt;0,$E$1=2),0,1)</f>
        <v>1</v>
      </c>
      <c r="AX173" s="67">
        <f ca="1">IF(AND(SUMIF(Capacity_Resource,$D173,'Critical resources (hide)'!BK$6:BK$105)+SUMIF(Capacity_Resource,$E173,'Critical resources (hide)'!BK$6:BK$105)+SUMIF(Capacity_Resource,$F173,'Critical resources (hide)'!BK$6:BK$105)&gt;0,$E$1=2),0,1)</f>
        <v>1</v>
      </c>
      <c r="AY173" s="67">
        <f ca="1">IF(AND(SUMIF(Capacity_Resource,$D173,'Critical resources (hide)'!BL$6:BL$105)+SUMIF(Capacity_Resource,$E173,'Critical resources (hide)'!BL$6:BL$105)+SUMIF(Capacity_Resource,$F173,'Critical resources (hide)'!BL$6:BL$105)&gt;0,$E$1=2),0,1)</f>
        <v>1</v>
      </c>
      <c r="AZ173" s="67">
        <f ca="1">IF(AND(SUMIF(Capacity_Resource,$D173,'Critical resources (hide)'!BM$6:BM$105)+SUMIF(Capacity_Resource,$E173,'Critical resources (hide)'!BM$6:BM$105)+SUMIF(Capacity_Resource,$F173,'Critical resources (hide)'!BM$6:BM$105)&gt;0,$E$1=2),0,1)</f>
        <v>1</v>
      </c>
      <c r="BA173" s="67">
        <f ca="1">IF(AND(SUMIF(Capacity_Resource,$D173,'Critical resources (hide)'!BN$6:BN$105)+SUMIF(Capacity_Resource,$E173,'Critical resources (hide)'!BN$6:BN$105)+SUMIF(Capacity_Resource,$F173,'Critical resources (hide)'!BN$6:BN$105)&gt;0,$E$1=2),0,1)</f>
        <v>1</v>
      </c>
      <c r="BB173" s="67">
        <f ca="1">IF(AND(SUMIF(Capacity_Resource,$D173,'Critical resources (hide)'!BO$6:BO$105)+SUMIF(Capacity_Resource,$E173,'Critical resources (hide)'!BO$6:BO$105)+SUMIF(Capacity_Resource,$F173,'Critical resources (hide)'!BO$6:BO$105)&gt;0,$E$1=2),0,1)</f>
        <v>1</v>
      </c>
      <c r="BC173" s="67">
        <f ca="1">IF(AND(SUMIF(Capacity_Resource,$D173,'Critical resources (hide)'!BP$6:BP$105)+SUMIF(Capacity_Resource,$E173,'Critical resources (hide)'!BP$6:BP$105)+SUMIF(Capacity_Resource,$F173,'Critical resources (hide)'!BP$6:BP$105)&gt;0,$E$1=2),0,1)</f>
        <v>1</v>
      </c>
      <c r="BD173" s="67">
        <f ca="1">IF(AND(SUMIF(Capacity_Resource,$D173,'Critical resources (hide)'!BQ$6:BQ$105)+SUMIF(Capacity_Resource,$E173,'Critical resources (hide)'!BQ$6:BQ$105)+SUMIF(Capacity_Resource,$F173,'Critical resources (hide)'!BQ$6:BQ$105)&gt;0,$E$1=2),0,1)</f>
        <v>1</v>
      </c>
      <c r="BE173" s="67">
        <f ca="1">IF(AND(SUMIF(Capacity_Resource,$D173,'Critical resources (hide)'!BR$6:BR$105)+SUMIF(Capacity_Resource,$E173,'Critical resources (hide)'!BR$6:BR$105)+SUMIF(Capacity_Resource,$F173,'Critical resources (hide)'!BR$6:BR$105)&gt;0,$E$1=2),0,1)</f>
        <v>1</v>
      </c>
      <c r="BF173" s="67">
        <f ca="1">IF(AND(SUMIF(Capacity_Resource,$D173,'Critical resources (hide)'!BS$6:BS$105)+SUMIF(Capacity_Resource,$E173,'Critical resources (hide)'!BS$6:BS$105)+SUMIF(Capacity_Resource,$F173,'Critical resources (hide)'!BS$6:BS$105)&gt;0,$E$1=2),0,1)</f>
        <v>1</v>
      </c>
      <c r="BG173" s="67">
        <f ca="1">IF(AND(SUMIF(Capacity_Resource,$D173,'Critical resources (hide)'!BT$6:BT$105)+SUMIF(Capacity_Resource,$E173,'Critical resources (hide)'!BT$6:BT$105)+SUMIF(Capacity_Resource,$F173,'Critical resources (hide)'!BT$6:BT$105)&gt;0,$E$1=2),0,1)</f>
        <v>1</v>
      </c>
      <c r="BH173" s="67">
        <f>IF(ROW(A62)&lt;=Capacity!$M$16,IF('Capacity summary'!$C$14="No",SUM(H173:BG173),'Capacity summary'!$E85),0)</f>
        <v>0</v>
      </c>
      <c r="BI173" s="67" t="str">
        <f>IF(BH173&gt;0,IF(BH173&lt;Capacity!Q78,Capacity!R78,Capacity!T78/'Capacity calculation (hide)'!BH173),"")</f>
        <v/>
      </c>
      <c r="BJ173" s="5"/>
      <c r="BK173" s="5">
        <f>IF($BI173&lt;&gt;"",IF('Capacity summary'!$C$14="Yes",IF(COUNTBLANK('Capacity summary'!$H85:$BG85)&lt;52,IF('Capacity summary'!H85&lt;&gt;"",IF(LOWER('Capacity summary'!H85)="x",$BI173*H173,VALUE('Capacity summary'!H85)),0),H173*$BI173),H173*$BI173),0)</f>
        <v>0</v>
      </c>
      <c r="BL173" s="5">
        <f>IF($BI173&lt;&gt;"",IF('Capacity summary'!$C$14="Yes",IF(COUNTBLANK('Capacity summary'!$H85:$BG85)&lt;52,IF('Capacity summary'!I85&lt;&gt;"",IF(LOWER('Capacity summary'!I85)="x",$BI173*I173,VALUE('Capacity summary'!I85)),0),I173*$BI173),I173*$BI173),0)</f>
        <v>0</v>
      </c>
      <c r="BM173" s="5">
        <f>IF($BI173&lt;&gt;"",IF('Capacity summary'!$C$14="Yes",IF(COUNTBLANK('Capacity summary'!$H85:$BG85)&lt;52,IF('Capacity summary'!J85&lt;&gt;"",IF(LOWER('Capacity summary'!J85)="x",$BI173*J173,VALUE('Capacity summary'!J85)),0),J173*$BI173),J173*$BI173),0)</f>
        <v>0</v>
      </c>
      <c r="BN173" s="5">
        <f>IF($BI173&lt;&gt;"",IF('Capacity summary'!$C$14="Yes",IF(COUNTBLANK('Capacity summary'!$H85:$BG85)&lt;52,IF('Capacity summary'!K85&lt;&gt;"",IF(LOWER('Capacity summary'!K85)="x",$BI173*K173,VALUE('Capacity summary'!K85)),0),K173*$BI173),K173*$BI173),0)</f>
        <v>0</v>
      </c>
      <c r="BO173" s="5">
        <f>IF($BI173&lt;&gt;"",IF('Capacity summary'!$C$14="Yes",IF(COUNTBLANK('Capacity summary'!$H85:$BG85)&lt;52,IF('Capacity summary'!L85&lt;&gt;"",IF(LOWER('Capacity summary'!L85)="x",$BI173*L173,VALUE('Capacity summary'!L85)),0),L173*$BI173),L173*$BI173),0)</f>
        <v>0</v>
      </c>
      <c r="BP173" s="5">
        <f>IF($BI173&lt;&gt;"",IF('Capacity summary'!$C$14="Yes",IF(COUNTBLANK('Capacity summary'!$H85:$BG85)&lt;52,IF('Capacity summary'!M85&lt;&gt;"",IF(LOWER('Capacity summary'!M85)="x",$BI173*M173,VALUE('Capacity summary'!M85)),0),M173*$BI173),M173*$BI173),0)</f>
        <v>0</v>
      </c>
      <c r="BQ173" s="5">
        <f>IF($BI173&lt;&gt;"",IF('Capacity summary'!$C$14="Yes",IF(COUNTBLANK('Capacity summary'!$H85:$BG85)&lt;52,IF('Capacity summary'!N85&lt;&gt;"",IF(LOWER('Capacity summary'!N85)="x",$BI173*N173,VALUE('Capacity summary'!N85)),0),N173*$BI173),N173*$BI173),0)</f>
        <v>0</v>
      </c>
      <c r="BR173" s="5">
        <f>IF($BI173&lt;&gt;"",IF('Capacity summary'!$C$14="Yes",IF(COUNTBLANK('Capacity summary'!$H85:$BG85)&lt;52,IF('Capacity summary'!O85&lt;&gt;"",IF(LOWER('Capacity summary'!O85)="x",$BI173*O173,VALUE('Capacity summary'!O85)),0),O173*$BI173),O173*$BI173),0)</f>
        <v>0</v>
      </c>
      <c r="BS173" s="5">
        <f>IF($BI173&lt;&gt;"",IF('Capacity summary'!$C$14="Yes",IF(COUNTBLANK('Capacity summary'!$H85:$BG85)&lt;52,IF('Capacity summary'!P85&lt;&gt;"",IF(LOWER('Capacity summary'!P85)="x",$BI173*P173,VALUE('Capacity summary'!P85)),0),P173*$BI173),P173*$BI173),0)</f>
        <v>0</v>
      </c>
      <c r="BT173" s="5">
        <f>IF($BI173&lt;&gt;"",IF('Capacity summary'!$C$14="Yes",IF(COUNTBLANK('Capacity summary'!$H85:$BG85)&lt;52,IF('Capacity summary'!Q85&lt;&gt;"",IF(LOWER('Capacity summary'!Q85)="x",$BI173*Q173,VALUE('Capacity summary'!Q85)),0),Q173*$BI173),Q173*$BI173),0)</f>
        <v>0</v>
      </c>
      <c r="BU173" s="5">
        <f>IF($BI173&lt;&gt;"",IF('Capacity summary'!$C$14="Yes",IF(COUNTBLANK('Capacity summary'!$H85:$BG85)&lt;52,IF('Capacity summary'!R85&lt;&gt;"",IF(LOWER('Capacity summary'!R85)="x",$BI173*R173,VALUE('Capacity summary'!R85)),0),R173*$BI173),R173*$BI173),0)</f>
        <v>0</v>
      </c>
      <c r="BV173" s="5">
        <f>IF($BI173&lt;&gt;"",IF('Capacity summary'!$C$14="Yes",IF(COUNTBLANK('Capacity summary'!$H85:$BG85)&lt;52,IF('Capacity summary'!S85&lt;&gt;"",IF(LOWER('Capacity summary'!S85)="x",$BI173*S173,VALUE('Capacity summary'!S85)),0),S173*$BI173),S173*$BI173),0)</f>
        <v>0</v>
      </c>
      <c r="BW173" s="5">
        <f>IF($BI173&lt;&gt;"",IF('Capacity summary'!$C$14="Yes",IF(COUNTBLANK('Capacity summary'!$H85:$BG85)&lt;52,IF('Capacity summary'!T85&lt;&gt;"",IF(LOWER('Capacity summary'!T85)="x",$BI173*T173,VALUE('Capacity summary'!T85)),0),T173*$BI173),T173*$BI173),0)</f>
        <v>0</v>
      </c>
      <c r="BX173" s="5">
        <f>IF($BI173&lt;&gt;"",IF('Capacity summary'!$C$14="Yes",IF(COUNTBLANK('Capacity summary'!$H85:$BG85)&lt;52,IF('Capacity summary'!U85&lt;&gt;"",IF(LOWER('Capacity summary'!U85)="x",$BI173*U173,VALUE('Capacity summary'!U85)),0),U173*$BI173),U173*$BI173),0)</f>
        <v>0</v>
      </c>
      <c r="BY173" s="5">
        <f>IF($BI173&lt;&gt;"",IF('Capacity summary'!$C$14="Yes",IF(COUNTBLANK('Capacity summary'!$H85:$BG85)&lt;52,IF('Capacity summary'!V85&lt;&gt;"",IF(LOWER('Capacity summary'!V85)="x",$BI173*V173,VALUE('Capacity summary'!V85)),0),V173*$BI173),V173*$BI173),0)</f>
        <v>0</v>
      </c>
      <c r="BZ173" s="5">
        <f>IF($BI173&lt;&gt;"",IF('Capacity summary'!$C$14="Yes",IF(COUNTBLANK('Capacity summary'!$H85:$BG85)&lt;52,IF('Capacity summary'!W85&lt;&gt;"",IF(LOWER('Capacity summary'!W85)="x",$BI173*W173,VALUE('Capacity summary'!W85)),0),W173*$BI173),W173*$BI173),0)</f>
        <v>0</v>
      </c>
      <c r="CA173" s="5">
        <f>IF($BI173&lt;&gt;"",IF('Capacity summary'!$C$14="Yes",IF(COUNTBLANK('Capacity summary'!$H85:$BG85)&lt;52,IF('Capacity summary'!X85&lt;&gt;"",IF(LOWER('Capacity summary'!X85)="x",$BI173*X173,VALUE('Capacity summary'!X85)),0),X173*$BI173),X173*$BI173),0)</f>
        <v>0</v>
      </c>
      <c r="CB173" s="5">
        <f>IF($BI173&lt;&gt;"",IF('Capacity summary'!$C$14="Yes",IF(COUNTBLANK('Capacity summary'!$H85:$BG85)&lt;52,IF('Capacity summary'!Y85&lt;&gt;"",IF(LOWER('Capacity summary'!Y85)="x",$BI173*Y173,VALUE('Capacity summary'!Y85)),0),Y173*$BI173),Y173*$BI173),0)</f>
        <v>0</v>
      </c>
      <c r="CC173" s="5">
        <f>IF($BI173&lt;&gt;"",IF('Capacity summary'!$C$14="Yes",IF(COUNTBLANK('Capacity summary'!$H85:$BG85)&lt;52,IF('Capacity summary'!Z85&lt;&gt;"",IF(LOWER('Capacity summary'!Z85)="x",$BI173*Z173,VALUE('Capacity summary'!Z85)),0),Z173*$BI173),Z173*$BI173),0)</f>
        <v>0</v>
      </c>
      <c r="CD173" s="5">
        <f>IF($BI173&lt;&gt;"",IF('Capacity summary'!$C$14="Yes",IF(COUNTBLANK('Capacity summary'!$H85:$BG85)&lt;52,IF('Capacity summary'!AA85&lt;&gt;"",IF(LOWER('Capacity summary'!AA85)="x",$BI173*AA173,VALUE('Capacity summary'!AA85)),0),AA173*$BI173),AA173*$BI173),0)</f>
        <v>0</v>
      </c>
      <c r="CE173" s="5">
        <f>IF($BI173&lt;&gt;"",IF('Capacity summary'!$C$14="Yes",IF(COUNTBLANK('Capacity summary'!$H85:$BG85)&lt;52,IF('Capacity summary'!AB85&lt;&gt;"",IF(LOWER('Capacity summary'!AB85)="x",$BI173*AB173,VALUE('Capacity summary'!AB85)),0),AB173*$BI173),AB173*$BI173),0)</f>
        <v>0</v>
      </c>
      <c r="CF173" s="5">
        <f>IF($BI173&lt;&gt;"",IF('Capacity summary'!$C$14="Yes",IF(COUNTBLANK('Capacity summary'!$H85:$BG85)&lt;52,IF('Capacity summary'!AC85&lt;&gt;"",IF(LOWER('Capacity summary'!AC85)="x",$BI173*AC173,VALUE('Capacity summary'!AC85)),0),AC173*$BI173),AC173*$BI173),0)</f>
        <v>0</v>
      </c>
      <c r="CG173" s="5">
        <f>IF($BI173&lt;&gt;"",IF('Capacity summary'!$C$14="Yes",IF(COUNTBLANK('Capacity summary'!$H85:$BG85)&lt;52,IF('Capacity summary'!AD85&lt;&gt;"",IF(LOWER('Capacity summary'!AD85)="x",$BI173*AD173,VALUE('Capacity summary'!AD85)),0),AD173*$BI173),AD173*$BI173),0)</f>
        <v>0</v>
      </c>
      <c r="CH173" s="5">
        <f>IF($BI173&lt;&gt;"",IF('Capacity summary'!$C$14="Yes",IF(COUNTBLANK('Capacity summary'!$H85:$BG85)&lt;52,IF('Capacity summary'!AE85&lt;&gt;"",IF(LOWER('Capacity summary'!AE85)="x",$BI173*AE173,VALUE('Capacity summary'!AE85)),0),AE173*$BI173),AE173*$BI173),0)</f>
        <v>0</v>
      </c>
      <c r="CI173" s="5">
        <f>IF($BI173&lt;&gt;"",IF('Capacity summary'!$C$14="Yes",IF(COUNTBLANK('Capacity summary'!$H85:$BG85)&lt;52,IF('Capacity summary'!AF85&lt;&gt;"",IF(LOWER('Capacity summary'!AF85)="x",$BI173*AF173,VALUE('Capacity summary'!AF85)),0),AF173*$BI173),AF173*$BI173),0)</f>
        <v>0</v>
      </c>
      <c r="CJ173" s="5">
        <f>IF($BI173&lt;&gt;"",IF('Capacity summary'!$C$14="Yes",IF(COUNTBLANK('Capacity summary'!$H85:$BG85)&lt;52,IF('Capacity summary'!AG85&lt;&gt;"",IF(LOWER('Capacity summary'!AG85)="x",$BI173*AG173,VALUE('Capacity summary'!AG85)),0),AG173*$BI173),AG173*$BI173),0)</f>
        <v>0</v>
      </c>
      <c r="CK173" s="5">
        <f>IF($BI173&lt;&gt;"",IF('Capacity summary'!$C$14="Yes",IF(COUNTBLANK('Capacity summary'!$H85:$BG85)&lt;52,IF('Capacity summary'!AH85&lt;&gt;"",IF(LOWER('Capacity summary'!AH85)="x",$BI173*AH173,VALUE('Capacity summary'!AH85)),0),AH173*$BI173),AH173*$BI173),0)</f>
        <v>0</v>
      </c>
      <c r="CL173" s="5">
        <f>IF($BI173&lt;&gt;"",IF('Capacity summary'!$C$14="Yes",IF(COUNTBLANK('Capacity summary'!$H85:$BG85)&lt;52,IF('Capacity summary'!AI85&lt;&gt;"",IF(LOWER('Capacity summary'!AI85)="x",$BI173*AI173,VALUE('Capacity summary'!AI85)),0),AI173*$BI173),AI173*$BI173),0)</f>
        <v>0</v>
      </c>
      <c r="CM173" s="5">
        <f>IF($BI173&lt;&gt;"",IF('Capacity summary'!$C$14="Yes",IF(COUNTBLANK('Capacity summary'!$H85:$BG85)&lt;52,IF('Capacity summary'!AJ85&lt;&gt;"",IF(LOWER('Capacity summary'!AJ85)="x",$BI173*AJ173,VALUE('Capacity summary'!AJ85)),0),AJ173*$BI173),AJ173*$BI173),0)</f>
        <v>0</v>
      </c>
      <c r="CN173" s="5">
        <f>IF($BI173&lt;&gt;"",IF('Capacity summary'!$C$14="Yes",IF(COUNTBLANK('Capacity summary'!$H85:$BG85)&lt;52,IF('Capacity summary'!AK85&lt;&gt;"",IF(LOWER('Capacity summary'!AK85)="x",$BI173*AK173,VALUE('Capacity summary'!AK85)),0),AK173*$BI173),AK173*$BI173),0)</f>
        <v>0</v>
      </c>
      <c r="CO173" s="5">
        <f>IF($BI173&lt;&gt;"",IF('Capacity summary'!$C$14="Yes",IF(COUNTBLANK('Capacity summary'!$H85:$BG85)&lt;52,IF('Capacity summary'!AL85&lt;&gt;"",IF(LOWER('Capacity summary'!AL85)="x",$BI173*AL173,VALUE('Capacity summary'!AL85)),0),AL173*$BI173),AL173*$BI173),0)</f>
        <v>0</v>
      </c>
      <c r="CP173" s="5">
        <f>IF($BI173&lt;&gt;"",IF('Capacity summary'!$C$14="Yes",IF(COUNTBLANK('Capacity summary'!$H85:$BG85)&lt;52,IF('Capacity summary'!AM85&lt;&gt;"",IF(LOWER('Capacity summary'!AM85)="x",$BI173*AM173,VALUE('Capacity summary'!AM85)),0),AM173*$BI173),AM173*$BI173),0)</f>
        <v>0</v>
      </c>
      <c r="CQ173" s="5">
        <f>IF($BI173&lt;&gt;"",IF('Capacity summary'!$C$14="Yes",IF(COUNTBLANK('Capacity summary'!$H85:$BG85)&lt;52,IF('Capacity summary'!AN85&lt;&gt;"",IF(LOWER('Capacity summary'!AN85)="x",$BI173*AN173,VALUE('Capacity summary'!AN85)),0),AN173*$BI173),AN173*$BI173),0)</f>
        <v>0</v>
      </c>
      <c r="CR173" s="5">
        <f>IF($BI173&lt;&gt;"",IF('Capacity summary'!$C$14="Yes",IF(COUNTBLANK('Capacity summary'!$H85:$BG85)&lt;52,IF('Capacity summary'!AO85&lt;&gt;"",IF(LOWER('Capacity summary'!AO85)="x",$BI173*AO173,VALUE('Capacity summary'!AO85)),0),AO173*$BI173),AO173*$BI173),0)</f>
        <v>0</v>
      </c>
      <c r="CS173" s="5">
        <f>IF($BI173&lt;&gt;"",IF('Capacity summary'!$C$14="Yes",IF(COUNTBLANK('Capacity summary'!$H85:$BG85)&lt;52,IF('Capacity summary'!AP85&lt;&gt;"",IF(LOWER('Capacity summary'!AP85)="x",$BI173*AP173,VALUE('Capacity summary'!AP85)),0),AP173*$BI173),AP173*$BI173),0)</f>
        <v>0</v>
      </c>
      <c r="CT173" s="5">
        <f>IF($BI173&lt;&gt;"",IF('Capacity summary'!$C$14="Yes",IF(COUNTBLANK('Capacity summary'!$H85:$BG85)&lt;52,IF('Capacity summary'!AQ85&lt;&gt;"",IF(LOWER('Capacity summary'!AQ85)="x",$BI173*AQ173,VALUE('Capacity summary'!AQ85)),0),AQ173*$BI173),AQ173*$BI173),0)</f>
        <v>0</v>
      </c>
      <c r="CU173" s="5">
        <f>IF($BI173&lt;&gt;"",IF('Capacity summary'!$C$14="Yes",IF(COUNTBLANK('Capacity summary'!$H85:$BG85)&lt;52,IF('Capacity summary'!AR85&lt;&gt;"",IF(LOWER('Capacity summary'!AR85)="x",$BI173*AR173,VALUE('Capacity summary'!AR85)),0),AR173*$BI173),AR173*$BI173),0)</f>
        <v>0</v>
      </c>
      <c r="CV173" s="5">
        <f>IF($BI173&lt;&gt;"",IF('Capacity summary'!$C$14="Yes",IF(COUNTBLANK('Capacity summary'!$H85:$BG85)&lt;52,IF('Capacity summary'!AS85&lt;&gt;"",IF(LOWER('Capacity summary'!AS85)="x",$BI173*AS173,VALUE('Capacity summary'!AS85)),0),AS173*$BI173),AS173*$BI173),0)</f>
        <v>0</v>
      </c>
      <c r="CW173" s="5">
        <f>IF($BI173&lt;&gt;"",IF('Capacity summary'!$C$14="Yes",IF(COUNTBLANK('Capacity summary'!$H85:$BG85)&lt;52,IF('Capacity summary'!AT85&lt;&gt;"",IF(LOWER('Capacity summary'!AT85)="x",$BI173*AT173,VALUE('Capacity summary'!AT85)),0),AT173*$BI173),AT173*$BI173),0)</f>
        <v>0</v>
      </c>
      <c r="CX173" s="5">
        <f>IF($BI173&lt;&gt;"",IF('Capacity summary'!$C$14="Yes",IF(COUNTBLANK('Capacity summary'!$H85:$BG85)&lt;52,IF('Capacity summary'!AU85&lt;&gt;"",IF(LOWER('Capacity summary'!AU85)="x",$BI173*AU173,VALUE('Capacity summary'!AU85)),0),AU173*$BI173),AU173*$BI173),0)</f>
        <v>0</v>
      </c>
      <c r="CY173" s="5">
        <f>IF($BI173&lt;&gt;"",IF('Capacity summary'!$C$14="Yes",IF(COUNTBLANK('Capacity summary'!$H85:$BG85)&lt;52,IF('Capacity summary'!AV85&lt;&gt;"",IF(LOWER('Capacity summary'!AV85)="x",$BI173*AV173,VALUE('Capacity summary'!AV85)),0),AV173*$BI173),AV173*$BI173),0)</f>
        <v>0</v>
      </c>
      <c r="CZ173" s="5">
        <f>IF($BI173&lt;&gt;"",IF('Capacity summary'!$C$14="Yes",IF(COUNTBLANK('Capacity summary'!$H85:$BG85)&lt;52,IF('Capacity summary'!AW85&lt;&gt;"",IF(LOWER('Capacity summary'!AW85)="x",$BI173*AW173,VALUE('Capacity summary'!AW85)),0),AW173*$BI173),AW173*$BI173),0)</f>
        <v>0</v>
      </c>
      <c r="DA173" s="5">
        <f>IF($BI173&lt;&gt;"",IF('Capacity summary'!$C$14="Yes",IF(COUNTBLANK('Capacity summary'!$H85:$BG85)&lt;52,IF('Capacity summary'!AX85&lt;&gt;"",IF(LOWER('Capacity summary'!AX85)="x",$BI173*AX173,VALUE('Capacity summary'!AX85)),0),AX173*$BI173),AX173*$BI173),0)</f>
        <v>0</v>
      </c>
      <c r="DB173" s="5">
        <f>IF($BI173&lt;&gt;"",IF('Capacity summary'!$C$14="Yes",IF(COUNTBLANK('Capacity summary'!$H85:$BG85)&lt;52,IF('Capacity summary'!AY85&lt;&gt;"",IF(LOWER('Capacity summary'!AY85)="x",$BI173*AY173,VALUE('Capacity summary'!AY85)),0),AY173*$BI173),AY173*$BI173),0)</f>
        <v>0</v>
      </c>
      <c r="DC173" s="5">
        <f>IF($BI173&lt;&gt;"",IF('Capacity summary'!$C$14="Yes",IF(COUNTBLANK('Capacity summary'!$H85:$BG85)&lt;52,IF('Capacity summary'!AZ85&lt;&gt;"",IF(LOWER('Capacity summary'!AZ85)="x",$BI173*AZ173,VALUE('Capacity summary'!AZ85)),0),AZ173*$BI173),AZ173*$BI173),0)</f>
        <v>0</v>
      </c>
      <c r="DD173" s="5">
        <f>IF($BI173&lt;&gt;"",IF('Capacity summary'!$C$14="Yes",IF(COUNTBLANK('Capacity summary'!$H85:$BG85)&lt;52,IF('Capacity summary'!BA85&lt;&gt;"",IF(LOWER('Capacity summary'!BA85)="x",$BI173*BA173,VALUE('Capacity summary'!BA85)),0),BA173*$BI173),BA173*$BI173),0)</f>
        <v>0</v>
      </c>
      <c r="DE173" s="5">
        <f>IF($BI173&lt;&gt;"",IF('Capacity summary'!$C$14="Yes",IF(COUNTBLANK('Capacity summary'!$H85:$BG85)&lt;52,IF('Capacity summary'!BB85&lt;&gt;"",IF(LOWER('Capacity summary'!BB85)="x",$BI173*BB173,VALUE('Capacity summary'!BB85)),0),BB173*$BI173),BB173*$BI173),0)</f>
        <v>0</v>
      </c>
      <c r="DF173" s="5">
        <f>IF($BI173&lt;&gt;"",IF('Capacity summary'!$C$14="Yes",IF(COUNTBLANK('Capacity summary'!$H85:$BG85)&lt;52,IF('Capacity summary'!BC85&lt;&gt;"",IF(LOWER('Capacity summary'!BC85)="x",$BI173*BC173,VALUE('Capacity summary'!BC85)),0),BC173*$BI173),BC173*$BI173),0)</f>
        <v>0</v>
      </c>
      <c r="DG173" s="5">
        <f>IF($BI173&lt;&gt;"",IF('Capacity summary'!$C$14="Yes",IF(COUNTBLANK('Capacity summary'!$H85:$BG85)&lt;52,IF('Capacity summary'!BD85&lt;&gt;"",IF(LOWER('Capacity summary'!BD85)="x",$BI173*BD173,VALUE('Capacity summary'!BD85)),0),BD173*$BI173),BD173*$BI173),0)</f>
        <v>0</v>
      </c>
      <c r="DH173" s="5">
        <f>IF($BI173&lt;&gt;"",IF('Capacity summary'!$C$14="Yes",IF(COUNTBLANK('Capacity summary'!$H85:$BG85)&lt;52,IF('Capacity summary'!BE85&lt;&gt;"",IF(LOWER('Capacity summary'!BE85)="x",$BI173*BE173,VALUE('Capacity summary'!BE85)),0),BE173*$BI173),BE173*$BI173),0)</f>
        <v>0</v>
      </c>
      <c r="DI173" s="5">
        <f>IF($BI173&lt;&gt;"",IF('Capacity summary'!$C$14="Yes",IF(COUNTBLANK('Capacity summary'!$H85:$BG85)&lt;52,IF('Capacity summary'!BF85&lt;&gt;"",IF(LOWER('Capacity summary'!BF85)="x",$BI173*BF173,VALUE('Capacity summary'!BF85)),0),BF173*$BI173),BF173*$BI173),0)</f>
        <v>0</v>
      </c>
      <c r="DJ173" s="5">
        <f>IF($BI173&lt;&gt;"",IF('Capacity summary'!$C$14="Yes",IF(COUNTBLANK('Capacity summary'!$H85:$BG85)&lt;52,IF('Capacity summary'!BG85&lt;&gt;"",IF(LOWER('Capacity summary'!BG85)="x",$BI173*BG173,VALUE('Capacity summary'!BG85)),0),BG173*$BI173),BG173*$BI173),0)</f>
        <v>0</v>
      </c>
      <c r="DK173" s="5">
        <f t="shared" ref="DK173" si="67">SUM(DK174:DK273)</f>
        <v>0</v>
      </c>
    </row>
    <row r="174" spans="3:115" x14ac:dyDescent="0.25">
      <c r="C174" s="67" t="str">
        <f>ROW(A63)&amp;". "&amp;Capacity!N79</f>
        <v xml:space="preserve">63. </v>
      </c>
      <c r="D174" s="67">
        <f>'Capacity setup'!C180</f>
        <v>0</v>
      </c>
      <c r="E174" s="67">
        <f>'Capacity setup'!D180</f>
        <v>0</v>
      </c>
      <c r="F174" s="67">
        <f>'Capacity setup'!E180</f>
        <v>0</v>
      </c>
      <c r="H174" s="67">
        <f ca="1">IF(AND(SUMIF(Capacity_Resource,$D174,'Critical resources (hide)'!U$6:U$105)+SUMIF(Capacity_Resource,$E174,'Critical resources (hide)'!U$6:U$105)+SUMIF(Capacity_Resource,$F174,'Critical resources (hide)'!U$6:U$105)&gt;0,$E$1=2),0,1)</f>
        <v>1</v>
      </c>
      <c r="I174" s="67">
        <f ca="1">IF(AND(SUMIF(Capacity_Resource,$D174,'Critical resources (hide)'!V$6:V$105)+SUMIF(Capacity_Resource,$E174,'Critical resources (hide)'!V$6:V$105)+SUMIF(Capacity_Resource,$F174,'Critical resources (hide)'!V$6:V$105)&gt;0,$E$1=2),0,1)</f>
        <v>1</v>
      </c>
      <c r="J174" s="67">
        <f ca="1">IF(AND(SUMIF(Capacity_Resource,$D174,'Critical resources (hide)'!W$6:W$105)+SUMIF(Capacity_Resource,$E174,'Critical resources (hide)'!W$6:W$105)+SUMIF(Capacity_Resource,$F174,'Critical resources (hide)'!W$6:W$105)&gt;0,$E$1=2),0,1)</f>
        <v>1</v>
      </c>
      <c r="K174" s="67">
        <f ca="1">IF(AND(SUMIF(Capacity_Resource,$D174,'Critical resources (hide)'!X$6:X$105)+SUMIF(Capacity_Resource,$E174,'Critical resources (hide)'!X$6:X$105)+SUMIF(Capacity_Resource,$F174,'Critical resources (hide)'!X$6:X$105)&gt;0,$E$1=2),0,1)</f>
        <v>1</v>
      </c>
      <c r="L174" s="67">
        <f ca="1">IF(AND(SUMIF(Capacity_Resource,$D174,'Critical resources (hide)'!Y$6:Y$105)+SUMIF(Capacity_Resource,$E174,'Critical resources (hide)'!Y$6:Y$105)+SUMIF(Capacity_Resource,$F174,'Critical resources (hide)'!Y$6:Y$105)&gt;0,$E$1=2),0,1)</f>
        <v>1</v>
      </c>
      <c r="M174" s="67">
        <f ca="1">IF(AND(SUMIF(Capacity_Resource,$D174,'Critical resources (hide)'!Z$6:Z$105)+SUMIF(Capacity_Resource,$E174,'Critical resources (hide)'!Z$6:Z$105)+SUMIF(Capacity_Resource,$F174,'Critical resources (hide)'!Z$6:Z$105)&gt;0,$E$1=2),0,1)</f>
        <v>1</v>
      </c>
      <c r="N174" s="67">
        <f ca="1">IF(AND(SUMIF(Capacity_Resource,$D174,'Critical resources (hide)'!AA$6:AA$105)+SUMIF(Capacity_Resource,$E174,'Critical resources (hide)'!AA$6:AA$105)+SUMIF(Capacity_Resource,$F174,'Critical resources (hide)'!AA$6:AA$105)&gt;0,$E$1=2),0,1)</f>
        <v>1</v>
      </c>
      <c r="O174" s="67">
        <f ca="1">IF(AND(SUMIF(Capacity_Resource,$D174,'Critical resources (hide)'!AB$6:AB$105)+SUMIF(Capacity_Resource,$E174,'Critical resources (hide)'!AB$6:AB$105)+SUMIF(Capacity_Resource,$F174,'Critical resources (hide)'!AB$6:AB$105)&gt;0,$E$1=2),0,1)</f>
        <v>1</v>
      </c>
      <c r="P174" s="67">
        <f ca="1">IF(AND(SUMIF(Capacity_Resource,$D174,'Critical resources (hide)'!AC$6:AC$105)+SUMIF(Capacity_Resource,$E174,'Critical resources (hide)'!AC$6:AC$105)+SUMIF(Capacity_Resource,$F174,'Critical resources (hide)'!AC$6:AC$105)&gt;0,$E$1=2),0,1)</f>
        <v>1</v>
      </c>
      <c r="Q174" s="67">
        <f ca="1">IF(AND(SUMIF(Capacity_Resource,$D174,'Critical resources (hide)'!AD$6:AD$105)+SUMIF(Capacity_Resource,$E174,'Critical resources (hide)'!AD$6:AD$105)+SUMIF(Capacity_Resource,$F174,'Critical resources (hide)'!AD$6:AD$105)&gt;0,$E$1=2),0,1)</f>
        <v>1</v>
      </c>
      <c r="R174" s="67">
        <f ca="1">IF(AND(SUMIF(Capacity_Resource,$D174,'Critical resources (hide)'!AE$6:AE$105)+SUMIF(Capacity_Resource,$E174,'Critical resources (hide)'!AE$6:AE$105)+SUMIF(Capacity_Resource,$F174,'Critical resources (hide)'!AE$6:AE$105)&gt;0,$E$1=2),0,1)</f>
        <v>1</v>
      </c>
      <c r="S174" s="67">
        <f ca="1">IF(AND(SUMIF(Capacity_Resource,$D174,'Critical resources (hide)'!AF$6:AF$105)+SUMIF(Capacity_Resource,$E174,'Critical resources (hide)'!AF$6:AF$105)+SUMIF(Capacity_Resource,$F174,'Critical resources (hide)'!AF$6:AF$105)&gt;0,$E$1=2),0,1)</f>
        <v>1</v>
      </c>
      <c r="T174" s="67">
        <f ca="1">IF(AND(SUMIF(Capacity_Resource,$D174,'Critical resources (hide)'!AG$6:AG$105)+SUMIF(Capacity_Resource,$E174,'Critical resources (hide)'!AG$6:AG$105)+SUMIF(Capacity_Resource,$F174,'Critical resources (hide)'!AG$6:AG$105)&gt;0,$E$1=2),0,1)</f>
        <v>1</v>
      </c>
      <c r="U174" s="67">
        <f ca="1">IF(AND(SUMIF(Capacity_Resource,$D174,'Critical resources (hide)'!AH$6:AH$105)+SUMIF(Capacity_Resource,$E174,'Critical resources (hide)'!AH$6:AH$105)+SUMIF(Capacity_Resource,$F174,'Critical resources (hide)'!AH$6:AH$105)&gt;0,$E$1=2),0,1)</f>
        <v>1</v>
      </c>
      <c r="V174" s="67">
        <f ca="1">IF(AND(SUMIF(Capacity_Resource,$D174,'Critical resources (hide)'!AI$6:AI$105)+SUMIF(Capacity_Resource,$E174,'Critical resources (hide)'!AI$6:AI$105)+SUMIF(Capacity_Resource,$F174,'Critical resources (hide)'!AI$6:AI$105)&gt;0,$E$1=2),0,1)</f>
        <v>1</v>
      </c>
      <c r="W174" s="67">
        <f ca="1">IF(AND(SUMIF(Capacity_Resource,$D174,'Critical resources (hide)'!AJ$6:AJ$105)+SUMIF(Capacity_Resource,$E174,'Critical resources (hide)'!AJ$6:AJ$105)+SUMIF(Capacity_Resource,$F174,'Critical resources (hide)'!AJ$6:AJ$105)&gt;0,$E$1=2),0,1)</f>
        <v>1</v>
      </c>
      <c r="X174" s="67">
        <f ca="1">IF(AND(SUMIF(Capacity_Resource,$D174,'Critical resources (hide)'!AK$6:AK$105)+SUMIF(Capacity_Resource,$E174,'Critical resources (hide)'!AK$6:AK$105)+SUMIF(Capacity_Resource,$F174,'Critical resources (hide)'!AK$6:AK$105)&gt;0,$E$1=2),0,1)</f>
        <v>1</v>
      </c>
      <c r="Y174" s="67">
        <f ca="1">IF(AND(SUMIF(Capacity_Resource,$D174,'Critical resources (hide)'!AL$6:AL$105)+SUMIF(Capacity_Resource,$E174,'Critical resources (hide)'!AL$6:AL$105)+SUMIF(Capacity_Resource,$F174,'Critical resources (hide)'!AL$6:AL$105)&gt;0,$E$1=2),0,1)</f>
        <v>1</v>
      </c>
      <c r="Z174" s="67">
        <f ca="1">IF(AND(SUMIF(Capacity_Resource,$D174,'Critical resources (hide)'!AM$6:AM$105)+SUMIF(Capacity_Resource,$E174,'Critical resources (hide)'!AM$6:AM$105)+SUMIF(Capacity_Resource,$F174,'Critical resources (hide)'!AM$6:AM$105)&gt;0,$E$1=2),0,1)</f>
        <v>1</v>
      </c>
      <c r="AA174" s="67">
        <f ca="1">IF(AND(SUMIF(Capacity_Resource,$D174,'Critical resources (hide)'!AN$6:AN$105)+SUMIF(Capacity_Resource,$E174,'Critical resources (hide)'!AN$6:AN$105)+SUMIF(Capacity_Resource,$F174,'Critical resources (hide)'!AN$6:AN$105)&gt;0,$E$1=2),0,1)</f>
        <v>1</v>
      </c>
      <c r="AB174" s="67">
        <f ca="1">IF(AND(SUMIF(Capacity_Resource,$D174,'Critical resources (hide)'!AO$6:AO$105)+SUMIF(Capacity_Resource,$E174,'Critical resources (hide)'!AO$6:AO$105)+SUMIF(Capacity_Resource,$F174,'Critical resources (hide)'!AO$6:AO$105)&gt;0,$E$1=2),0,1)</f>
        <v>1</v>
      </c>
      <c r="AC174" s="67">
        <f ca="1">IF(AND(SUMIF(Capacity_Resource,$D174,'Critical resources (hide)'!AP$6:AP$105)+SUMIF(Capacity_Resource,$E174,'Critical resources (hide)'!AP$6:AP$105)+SUMIF(Capacity_Resource,$F174,'Critical resources (hide)'!AP$6:AP$105)&gt;0,$E$1=2),0,1)</f>
        <v>1</v>
      </c>
      <c r="AD174" s="67">
        <f ca="1">IF(AND(SUMIF(Capacity_Resource,$D174,'Critical resources (hide)'!AQ$6:AQ$105)+SUMIF(Capacity_Resource,$E174,'Critical resources (hide)'!AQ$6:AQ$105)+SUMIF(Capacity_Resource,$F174,'Critical resources (hide)'!AQ$6:AQ$105)&gt;0,$E$1=2),0,1)</f>
        <v>1</v>
      </c>
      <c r="AE174" s="67">
        <f ca="1">IF(AND(SUMIF(Capacity_Resource,$D174,'Critical resources (hide)'!AR$6:AR$105)+SUMIF(Capacity_Resource,$E174,'Critical resources (hide)'!AR$6:AR$105)+SUMIF(Capacity_Resource,$F174,'Critical resources (hide)'!AR$6:AR$105)&gt;0,$E$1=2),0,1)</f>
        <v>1</v>
      </c>
      <c r="AF174" s="67">
        <f ca="1">IF(AND(SUMIF(Capacity_Resource,$D174,'Critical resources (hide)'!AS$6:AS$105)+SUMIF(Capacity_Resource,$E174,'Critical resources (hide)'!AS$6:AS$105)+SUMIF(Capacity_Resource,$F174,'Critical resources (hide)'!AS$6:AS$105)&gt;0,$E$1=2),0,1)</f>
        <v>1</v>
      </c>
      <c r="AG174" s="67">
        <f ca="1">IF(AND(SUMIF(Capacity_Resource,$D174,'Critical resources (hide)'!AT$6:AT$105)+SUMIF(Capacity_Resource,$E174,'Critical resources (hide)'!AT$6:AT$105)+SUMIF(Capacity_Resource,$F174,'Critical resources (hide)'!AT$6:AT$105)&gt;0,$E$1=2),0,1)</f>
        <v>1</v>
      </c>
      <c r="AH174" s="67">
        <f ca="1">IF(AND(SUMIF(Capacity_Resource,$D174,'Critical resources (hide)'!AU$6:AU$105)+SUMIF(Capacity_Resource,$E174,'Critical resources (hide)'!AU$6:AU$105)+SUMIF(Capacity_Resource,$F174,'Critical resources (hide)'!AU$6:AU$105)&gt;0,$E$1=2),0,1)</f>
        <v>1</v>
      </c>
      <c r="AI174" s="67">
        <f ca="1">IF(AND(SUMIF(Capacity_Resource,$D174,'Critical resources (hide)'!AV$6:AV$105)+SUMIF(Capacity_Resource,$E174,'Critical resources (hide)'!AV$6:AV$105)+SUMIF(Capacity_Resource,$F174,'Critical resources (hide)'!AV$6:AV$105)&gt;0,$E$1=2),0,1)</f>
        <v>1</v>
      </c>
      <c r="AJ174" s="67">
        <f ca="1">IF(AND(SUMIF(Capacity_Resource,$D174,'Critical resources (hide)'!AW$6:AW$105)+SUMIF(Capacity_Resource,$E174,'Critical resources (hide)'!AW$6:AW$105)+SUMIF(Capacity_Resource,$F174,'Critical resources (hide)'!AW$6:AW$105)&gt;0,$E$1=2),0,1)</f>
        <v>1</v>
      </c>
      <c r="AK174" s="67">
        <f ca="1">IF(AND(SUMIF(Capacity_Resource,$D174,'Critical resources (hide)'!AX$6:AX$105)+SUMIF(Capacity_Resource,$E174,'Critical resources (hide)'!AX$6:AX$105)+SUMIF(Capacity_Resource,$F174,'Critical resources (hide)'!AX$6:AX$105)&gt;0,$E$1=2),0,1)</f>
        <v>1</v>
      </c>
      <c r="AL174" s="67">
        <f ca="1">IF(AND(SUMIF(Capacity_Resource,$D174,'Critical resources (hide)'!AY$6:AY$105)+SUMIF(Capacity_Resource,$E174,'Critical resources (hide)'!AY$6:AY$105)+SUMIF(Capacity_Resource,$F174,'Critical resources (hide)'!AY$6:AY$105)&gt;0,$E$1=2),0,1)</f>
        <v>1</v>
      </c>
      <c r="AM174" s="67">
        <f ca="1">IF(AND(SUMIF(Capacity_Resource,$D174,'Critical resources (hide)'!AZ$6:AZ$105)+SUMIF(Capacity_Resource,$E174,'Critical resources (hide)'!AZ$6:AZ$105)+SUMIF(Capacity_Resource,$F174,'Critical resources (hide)'!AZ$6:AZ$105)&gt;0,$E$1=2),0,1)</f>
        <v>1</v>
      </c>
      <c r="AN174" s="67">
        <f ca="1">IF(AND(SUMIF(Capacity_Resource,$D174,'Critical resources (hide)'!BA$6:BA$105)+SUMIF(Capacity_Resource,$E174,'Critical resources (hide)'!BA$6:BA$105)+SUMIF(Capacity_Resource,$F174,'Critical resources (hide)'!BA$6:BA$105)&gt;0,$E$1=2),0,1)</f>
        <v>1</v>
      </c>
      <c r="AO174" s="67">
        <f ca="1">IF(AND(SUMIF(Capacity_Resource,$D174,'Critical resources (hide)'!BB$6:BB$105)+SUMIF(Capacity_Resource,$E174,'Critical resources (hide)'!BB$6:BB$105)+SUMIF(Capacity_Resource,$F174,'Critical resources (hide)'!BB$6:BB$105)&gt;0,$E$1=2),0,1)</f>
        <v>1</v>
      </c>
      <c r="AP174" s="67">
        <f ca="1">IF(AND(SUMIF(Capacity_Resource,$D174,'Critical resources (hide)'!BC$6:BC$105)+SUMIF(Capacity_Resource,$E174,'Critical resources (hide)'!BC$6:BC$105)+SUMIF(Capacity_Resource,$F174,'Critical resources (hide)'!BC$6:BC$105)&gt;0,$E$1=2),0,1)</f>
        <v>1</v>
      </c>
      <c r="AQ174" s="67">
        <f ca="1">IF(AND(SUMIF(Capacity_Resource,$D174,'Critical resources (hide)'!BD$6:BD$105)+SUMIF(Capacity_Resource,$E174,'Critical resources (hide)'!BD$6:BD$105)+SUMIF(Capacity_Resource,$F174,'Critical resources (hide)'!BD$6:BD$105)&gt;0,$E$1=2),0,1)</f>
        <v>1</v>
      </c>
      <c r="AR174" s="67">
        <f ca="1">IF(AND(SUMIF(Capacity_Resource,$D174,'Critical resources (hide)'!BE$6:BE$105)+SUMIF(Capacity_Resource,$E174,'Critical resources (hide)'!BE$6:BE$105)+SUMIF(Capacity_Resource,$F174,'Critical resources (hide)'!BE$6:BE$105)&gt;0,$E$1=2),0,1)</f>
        <v>1</v>
      </c>
      <c r="AS174" s="67">
        <f ca="1">IF(AND(SUMIF(Capacity_Resource,$D174,'Critical resources (hide)'!BF$6:BF$105)+SUMIF(Capacity_Resource,$E174,'Critical resources (hide)'!BF$6:BF$105)+SUMIF(Capacity_Resource,$F174,'Critical resources (hide)'!BF$6:BF$105)&gt;0,$E$1=2),0,1)</f>
        <v>1</v>
      </c>
      <c r="AT174" s="67">
        <f ca="1">IF(AND(SUMIF(Capacity_Resource,$D174,'Critical resources (hide)'!BG$6:BG$105)+SUMIF(Capacity_Resource,$E174,'Critical resources (hide)'!BG$6:BG$105)+SUMIF(Capacity_Resource,$F174,'Critical resources (hide)'!BG$6:BG$105)&gt;0,$E$1=2),0,1)</f>
        <v>1</v>
      </c>
      <c r="AU174" s="67">
        <f ca="1">IF(AND(SUMIF(Capacity_Resource,$D174,'Critical resources (hide)'!BH$6:BH$105)+SUMIF(Capacity_Resource,$E174,'Critical resources (hide)'!BH$6:BH$105)+SUMIF(Capacity_Resource,$F174,'Critical resources (hide)'!BH$6:BH$105)&gt;0,$E$1=2),0,1)</f>
        <v>1</v>
      </c>
      <c r="AV174" s="67">
        <f ca="1">IF(AND(SUMIF(Capacity_Resource,$D174,'Critical resources (hide)'!BI$6:BI$105)+SUMIF(Capacity_Resource,$E174,'Critical resources (hide)'!BI$6:BI$105)+SUMIF(Capacity_Resource,$F174,'Critical resources (hide)'!BI$6:BI$105)&gt;0,$E$1=2),0,1)</f>
        <v>1</v>
      </c>
      <c r="AW174" s="67">
        <f ca="1">IF(AND(SUMIF(Capacity_Resource,$D174,'Critical resources (hide)'!BJ$6:BJ$105)+SUMIF(Capacity_Resource,$E174,'Critical resources (hide)'!BJ$6:BJ$105)+SUMIF(Capacity_Resource,$F174,'Critical resources (hide)'!BJ$6:BJ$105)&gt;0,$E$1=2),0,1)</f>
        <v>1</v>
      </c>
      <c r="AX174" s="67">
        <f ca="1">IF(AND(SUMIF(Capacity_Resource,$D174,'Critical resources (hide)'!BK$6:BK$105)+SUMIF(Capacity_Resource,$E174,'Critical resources (hide)'!BK$6:BK$105)+SUMIF(Capacity_Resource,$F174,'Critical resources (hide)'!BK$6:BK$105)&gt;0,$E$1=2),0,1)</f>
        <v>1</v>
      </c>
      <c r="AY174" s="67">
        <f ca="1">IF(AND(SUMIF(Capacity_Resource,$D174,'Critical resources (hide)'!BL$6:BL$105)+SUMIF(Capacity_Resource,$E174,'Critical resources (hide)'!BL$6:BL$105)+SUMIF(Capacity_Resource,$F174,'Critical resources (hide)'!BL$6:BL$105)&gt;0,$E$1=2),0,1)</f>
        <v>1</v>
      </c>
      <c r="AZ174" s="67">
        <f ca="1">IF(AND(SUMIF(Capacity_Resource,$D174,'Critical resources (hide)'!BM$6:BM$105)+SUMIF(Capacity_Resource,$E174,'Critical resources (hide)'!BM$6:BM$105)+SUMIF(Capacity_Resource,$F174,'Critical resources (hide)'!BM$6:BM$105)&gt;0,$E$1=2),0,1)</f>
        <v>1</v>
      </c>
      <c r="BA174" s="67">
        <f ca="1">IF(AND(SUMIF(Capacity_Resource,$D174,'Critical resources (hide)'!BN$6:BN$105)+SUMIF(Capacity_Resource,$E174,'Critical resources (hide)'!BN$6:BN$105)+SUMIF(Capacity_Resource,$F174,'Critical resources (hide)'!BN$6:BN$105)&gt;0,$E$1=2),0,1)</f>
        <v>1</v>
      </c>
      <c r="BB174" s="67">
        <f ca="1">IF(AND(SUMIF(Capacity_Resource,$D174,'Critical resources (hide)'!BO$6:BO$105)+SUMIF(Capacity_Resource,$E174,'Critical resources (hide)'!BO$6:BO$105)+SUMIF(Capacity_Resource,$F174,'Critical resources (hide)'!BO$6:BO$105)&gt;0,$E$1=2),0,1)</f>
        <v>1</v>
      </c>
      <c r="BC174" s="67">
        <f ca="1">IF(AND(SUMIF(Capacity_Resource,$D174,'Critical resources (hide)'!BP$6:BP$105)+SUMIF(Capacity_Resource,$E174,'Critical resources (hide)'!BP$6:BP$105)+SUMIF(Capacity_Resource,$F174,'Critical resources (hide)'!BP$6:BP$105)&gt;0,$E$1=2),0,1)</f>
        <v>1</v>
      </c>
      <c r="BD174" s="67">
        <f ca="1">IF(AND(SUMIF(Capacity_Resource,$D174,'Critical resources (hide)'!BQ$6:BQ$105)+SUMIF(Capacity_Resource,$E174,'Critical resources (hide)'!BQ$6:BQ$105)+SUMIF(Capacity_Resource,$F174,'Critical resources (hide)'!BQ$6:BQ$105)&gt;0,$E$1=2),0,1)</f>
        <v>1</v>
      </c>
      <c r="BE174" s="67">
        <f ca="1">IF(AND(SUMIF(Capacity_Resource,$D174,'Critical resources (hide)'!BR$6:BR$105)+SUMIF(Capacity_Resource,$E174,'Critical resources (hide)'!BR$6:BR$105)+SUMIF(Capacity_Resource,$F174,'Critical resources (hide)'!BR$6:BR$105)&gt;0,$E$1=2),0,1)</f>
        <v>1</v>
      </c>
      <c r="BF174" s="67">
        <f ca="1">IF(AND(SUMIF(Capacity_Resource,$D174,'Critical resources (hide)'!BS$6:BS$105)+SUMIF(Capacity_Resource,$E174,'Critical resources (hide)'!BS$6:BS$105)+SUMIF(Capacity_Resource,$F174,'Critical resources (hide)'!BS$6:BS$105)&gt;0,$E$1=2),0,1)</f>
        <v>1</v>
      </c>
      <c r="BG174" s="67">
        <f ca="1">IF(AND(SUMIF(Capacity_Resource,$D174,'Critical resources (hide)'!BT$6:BT$105)+SUMIF(Capacity_Resource,$E174,'Critical resources (hide)'!BT$6:BT$105)+SUMIF(Capacity_Resource,$F174,'Critical resources (hide)'!BT$6:BT$105)&gt;0,$E$1=2),0,1)</f>
        <v>1</v>
      </c>
      <c r="BH174" s="67">
        <f>IF(ROW(A63)&lt;=Capacity!$M$16,IF('Capacity summary'!$C$14="No",SUM(H174:BG174),'Capacity summary'!$E86),0)</f>
        <v>0</v>
      </c>
      <c r="BI174" s="67" t="str">
        <f>IF(BH174&gt;0,IF(BH174&lt;Capacity!Q79,Capacity!R79,Capacity!T79/'Capacity calculation (hide)'!BH174),"")</f>
        <v/>
      </c>
      <c r="BJ174" s="5"/>
      <c r="BK174" s="5">
        <f>IF($BI174&lt;&gt;"",IF('Capacity summary'!$C$14="Yes",IF(COUNTBLANK('Capacity summary'!$H86:$BG86)&lt;52,IF('Capacity summary'!H86&lt;&gt;"",IF(LOWER('Capacity summary'!H86)="x",$BI174*H174,VALUE('Capacity summary'!H86)),0),H174*$BI174),H174*$BI174),0)</f>
        <v>0</v>
      </c>
      <c r="BL174" s="5">
        <f>IF($BI174&lt;&gt;"",IF('Capacity summary'!$C$14="Yes",IF(COUNTBLANK('Capacity summary'!$H86:$BG86)&lt;52,IF('Capacity summary'!I86&lt;&gt;"",IF(LOWER('Capacity summary'!I86)="x",$BI174*I174,VALUE('Capacity summary'!I86)),0),I174*$BI174),I174*$BI174),0)</f>
        <v>0</v>
      </c>
      <c r="BM174" s="5">
        <f>IF($BI174&lt;&gt;"",IF('Capacity summary'!$C$14="Yes",IF(COUNTBLANK('Capacity summary'!$H86:$BG86)&lt;52,IF('Capacity summary'!J86&lt;&gt;"",IF(LOWER('Capacity summary'!J86)="x",$BI174*J174,VALUE('Capacity summary'!J86)),0),J174*$BI174),J174*$BI174),0)</f>
        <v>0</v>
      </c>
      <c r="BN174" s="5">
        <f>IF($BI174&lt;&gt;"",IF('Capacity summary'!$C$14="Yes",IF(COUNTBLANK('Capacity summary'!$H86:$BG86)&lt;52,IF('Capacity summary'!K86&lt;&gt;"",IF(LOWER('Capacity summary'!K86)="x",$BI174*K174,VALUE('Capacity summary'!K86)),0),K174*$BI174),K174*$BI174),0)</f>
        <v>0</v>
      </c>
      <c r="BO174" s="5">
        <f>IF($BI174&lt;&gt;"",IF('Capacity summary'!$C$14="Yes",IF(COUNTBLANK('Capacity summary'!$H86:$BG86)&lt;52,IF('Capacity summary'!L86&lt;&gt;"",IF(LOWER('Capacity summary'!L86)="x",$BI174*L174,VALUE('Capacity summary'!L86)),0),L174*$BI174),L174*$BI174),0)</f>
        <v>0</v>
      </c>
      <c r="BP174" s="5">
        <f>IF($BI174&lt;&gt;"",IF('Capacity summary'!$C$14="Yes",IF(COUNTBLANK('Capacity summary'!$H86:$BG86)&lt;52,IF('Capacity summary'!M86&lt;&gt;"",IF(LOWER('Capacity summary'!M86)="x",$BI174*M174,VALUE('Capacity summary'!M86)),0),M174*$BI174),M174*$BI174),0)</f>
        <v>0</v>
      </c>
      <c r="BQ174" s="5">
        <f>IF($BI174&lt;&gt;"",IF('Capacity summary'!$C$14="Yes",IF(COUNTBLANK('Capacity summary'!$H86:$BG86)&lt;52,IF('Capacity summary'!N86&lt;&gt;"",IF(LOWER('Capacity summary'!N86)="x",$BI174*N174,VALUE('Capacity summary'!N86)),0),N174*$BI174),N174*$BI174),0)</f>
        <v>0</v>
      </c>
      <c r="BR174" s="5">
        <f>IF($BI174&lt;&gt;"",IF('Capacity summary'!$C$14="Yes",IF(COUNTBLANK('Capacity summary'!$H86:$BG86)&lt;52,IF('Capacity summary'!O86&lt;&gt;"",IF(LOWER('Capacity summary'!O86)="x",$BI174*O174,VALUE('Capacity summary'!O86)),0),O174*$BI174),O174*$BI174),0)</f>
        <v>0</v>
      </c>
      <c r="BS174" s="5">
        <f>IF($BI174&lt;&gt;"",IF('Capacity summary'!$C$14="Yes",IF(COUNTBLANK('Capacity summary'!$H86:$BG86)&lt;52,IF('Capacity summary'!P86&lt;&gt;"",IF(LOWER('Capacity summary'!P86)="x",$BI174*P174,VALUE('Capacity summary'!P86)),0),P174*$BI174),P174*$BI174),0)</f>
        <v>0</v>
      </c>
      <c r="BT174" s="5">
        <f>IF($BI174&lt;&gt;"",IF('Capacity summary'!$C$14="Yes",IF(COUNTBLANK('Capacity summary'!$H86:$BG86)&lt;52,IF('Capacity summary'!Q86&lt;&gt;"",IF(LOWER('Capacity summary'!Q86)="x",$BI174*Q174,VALUE('Capacity summary'!Q86)),0),Q174*$BI174),Q174*$BI174),0)</f>
        <v>0</v>
      </c>
      <c r="BU174" s="5">
        <f>IF($BI174&lt;&gt;"",IF('Capacity summary'!$C$14="Yes",IF(COUNTBLANK('Capacity summary'!$H86:$BG86)&lt;52,IF('Capacity summary'!R86&lt;&gt;"",IF(LOWER('Capacity summary'!R86)="x",$BI174*R174,VALUE('Capacity summary'!R86)),0),R174*$BI174),R174*$BI174),0)</f>
        <v>0</v>
      </c>
      <c r="BV174" s="5">
        <f>IF($BI174&lt;&gt;"",IF('Capacity summary'!$C$14="Yes",IF(COUNTBLANK('Capacity summary'!$H86:$BG86)&lt;52,IF('Capacity summary'!S86&lt;&gt;"",IF(LOWER('Capacity summary'!S86)="x",$BI174*S174,VALUE('Capacity summary'!S86)),0),S174*$BI174),S174*$BI174),0)</f>
        <v>0</v>
      </c>
      <c r="BW174" s="5">
        <f>IF($BI174&lt;&gt;"",IF('Capacity summary'!$C$14="Yes",IF(COUNTBLANK('Capacity summary'!$H86:$BG86)&lt;52,IF('Capacity summary'!T86&lt;&gt;"",IF(LOWER('Capacity summary'!T86)="x",$BI174*T174,VALUE('Capacity summary'!T86)),0),T174*$BI174),T174*$BI174),0)</f>
        <v>0</v>
      </c>
      <c r="BX174" s="5">
        <f>IF($BI174&lt;&gt;"",IF('Capacity summary'!$C$14="Yes",IF(COUNTBLANK('Capacity summary'!$H86:$BG86)&lt;52,IF('Capacity summary'!U86&lt;&gt;"",IF(LOWER('Capacity summary'!U86)="x",$BI174*U174,VALUE('Capacity summary'!U86)),0),U174*$BI174),U174*$BI174),0)</f>
        <v>0</v>
      </c>
      <c r="BY174" s="5">
        <f>IF($BI174&lt;&gt;"",IF('Capacity summary'!$C$14="Yes",IF(COUNTBLANK('Capacity summary'!$H86:$BG86)&lt;52,IF('Capacity summary'!V86&lt;&gt;"",IF(LOWER('Capacity summary'!V86)="x",$BI174*V174,VALUE('Capacity summary'!V86)),0),V174*$BI174),V174*$BI174),0)</f>
        <v>0</v>
      </c>
      <c r="BZ174" s="5">
        <f>IF($BI174&lt;&gt;"",IF('Capacity summary'!$C$14="Yes",IF(COUNTBLANK('Capacity summary'!$H86:$BG86)&lt;52,IF('Capacity summary'!W86&lt;&gt;"",IF(LOWER('Capacity summary'!W86)="x",$BI174*W174,VALUE('Capacity summary'!W86)),0),W174*$BI174),W174*$BI174),0)</f>
        <v>0</v>
      </c>
      <c r="CA174" s="5">
        <f>IF($BI174&lt;&gt;"",IF('Capacity summary'!$C$14="Yes",IF(COUNTBLANK('Capacity summary'!$H86:$BG86)&lt;52,IF('Capacity summary'!X86&lt;&gt;"",IF(LOWER('Capacity summary'!X86)="x",$BI174*X174,VALUE('Capacity summary'!X86)),0),X174*$BI174),X174*$BI174),0)</f>
        <v>0</v>
      </c>
      <c r="CB174" s="5">
        <f>IF($BI174&lt;&gt;"",IF('Capacity summary'!$C$14="Yes",IF(COUNTBLANK('Capacity summary'!$H86:$BG86)&lt;52,IF('Capacity summary'!Y86&lt;&gt;"",IF(LOWER('Capacity summary'!Y86)="x",$BI174*Y174,VALUE('Capacity summary'!Y86)),0),Y174*$BI174),Y174*$BI174),0)</f>
        <v>0</v>
      </c>
      <c r="CC174" s="5">
        <f>IF($BI174&lt;&gt;"",IF('Capacity summary'!$C$14="Yes",IF(COUNTBLANK('Capacity summary'!$H86:$BG86)&lt;52,IF('Capacity summary'!Z86&lt;&gt;"",IF(LOWER('Capacity summary'!Z86)="x",$BI174*Z174,VALUE('Capacity summary'!Z86)),0),Z174*$BI174),Z174*$BI174),0)</f>
        <v>0</v>
      </c>
      <c r="CD174" s="5">
        <f>IF($BI174&lt;&gt;"",IF('Capacity summary'!$C$14="Yes",IF(COUNTBLANK('Capacity summary'!$H86:$BG86)&lt;52,IF('Capacity summary'!AA86&lt;&gt;"",IF(LOWER('Capacity summary'!AA86)="x",$BI174*AA174,VALUE('Capacity summary'!AA86)),0),AA174*$BI174),AA174*$BI174),0)</f>
        <v>0</v>
      </c>
      <c r="CE174" s="5">
        <f>IF($BI174&lt;&gt;"",IF('Capacity summary'!$C$14="Yes",IF(COUNTBLANK('Capacity summary'!$H86:$BG86)&lt;52,IF('Capacity summary'!AB86&lt;&gt;"",IF(LOWER('Capacity summary'!AB86)="x",$BI174*AB174,VALUE('Capacity summary'!AB86)),0),AB174*$BI174),AB174*$BI174),0)</f>
        <v>0</v>
      </c>
      <c r="CF174" s="5">
        <f>IF($BI174&lt;&gt;"",IF('Capacity summary'!$C$14="Yes",IF(COUNTBLANK('Capacity summary'!$H86:$BG86)&lt;52,IF('Capacity summary'!AC86&lt;&gt;"",IF(LOWER('Capacity summary'!AC86)="x",$BI174*AC174,VALUE('Capacity summary'!AC86)),0),AC174*$BI174),AC174*$BI174),0)</f>
        <v>0</v>
      </c>
      <c r="CG174" s="5">
        <f>IF($BI174&lt;&gt;"",IF('Capacity summary'!$C$14="Yes",IF(COUNTBLANK('Capacity summary'!$H86:$BG86)&lt;52,IF('Capacity summary'!AD86&lt;&gt;"",IF(LOWER('Capacity summary'!AD86)="x",$BI174*AD174,VALUE('Capacity summary'!AD86)),0),AD174*$BI174),AD174*$BI174),0)</f>
        <v>0</v>
      </c>
      <c r="CH174" s="5">
        <f>IF($BI174&lt;&gt;"",IF('Capacity summary'!$C$14="Yes",IF(COUNTBLANK('Capacity summary'!$H86:$BG86)&lt;52,IF('Capacity summary'!AE86&lt;&gt;"",IF(LOWER('Capacity summary'!AE86)="x",$BI174*AE174,VALUE('Capacity summary'!AE86)),0),AE174*$BI174),AE174*$BI174),0)</f>
        <v>0</v>
      </c>
      <c r="CI174" s="5">
        <f>IF($BI174&lt;&gt;"",IF('Capacity summary'!$C$14="Yes",IF(COUNTBLANK('Capacity summary'!$H86:$BG86)&lt;52,IF('Capacity summary'!AF86&lt;&gt;"",IF(LOWER('Capacity summary'!AF86)="x",$BI174*AF174,VALUE('Capacity summary'!AF86)),0),AF174*$BI174),AF174*$BI174),0)</f>
        <v>0</v>
      </c>
      <c r="CJ174" s="5">
        <f>IF($BI174&lt;&gt;"",IF('Capacity summary'!$C$14="Yes",IF(COUNTBLANK('Capacity summary'!$H86:$BG86)&lt;52,IF('Capacity summary'!AG86&lt;&gt;"",IF(LOWER('Capacity summary'!AG86)="x",$BI174*AG174,VALUE('Capacity summary'!AG86)),0),AG174*$BI174),AG174*$BI174),0)</f>
        <v>0</v>
      </c>
      <c r="CK174" s="5">
        <f>IF($BI174&lt;&gt;"",IF('Capacity summary'!$C$14="Yes",IF(COUNTBLANK('Capacity summary'!$H86:$BG86)&lt;52,IF('Capacity summary'!AH86&lt;&gt;"",IF(LOWER('Capacity summary'!AH86)="x",$BI174*AH174,VALUE('Capacity summary'!AH86)),0),AH174*$BI174),AH174*$BI174),0)</f>
        <v>0</v>
      </c>
      <c r="CL174" s="5">
        <f>IF($BI174&lt;&gt;"",IF('Capacity summary'!$C$14="Yes",IF(COUNTBLANK('Capacity summary'!$H86:$BG86)&lt;52,IF('Capacity summary'!AI86&lt;&gt;"",IF(LOWER('Capacity summary'!AI86)="x",$BI174*AI174,VALUE('Capacity summary'!AI86)),0),AI174*$BI174),AI174*$BI174),0)</f>
        <v>0</v>
      </c>
      <c r="CM174" s="5">
        <f>IF($BI174&lt;&gt;"",IF('Capacity summary'!$C$14="Yes",IF(COUNTBLANK('Capacity summary'!$H86:$BG86)&lt;52,IF('Capacity summary'!AJ86&lt;&gt;"",IF(LOWER('Capacity summary'!AJ86)="x",$BI174*AJ174,VALUE('Capacity summary'!AJ86)),0),AJ174*$BI174),AJ174*$BI174),0)</f>
        <v>0</v>
      </c>
      <c r="CN174" s="5">
        <f>IF($BI174&lt;&gt;"",IF('Capacity summary'!$C$14="Yes",IF(COUNTBLANK('Capacity summary'!$H86:$BG86)&lt;52,IF('Capacity summary'!AK86&lt;&gt;"",IF(LOWER('Capacity summary'!AK86)="x",$BI174*AK174,VALUE('Capacity summary'!AK86)),0),AK174*$BI174),AK174*$BI174),0)</f>
        <v>0</v>
      </c>
      <c r="CO174" s="5">
        <f>IF($BI174&lt;&gt;"",IF('Capacity summary'!$C$14="Yes",IF(COUNTBLANK('Capacity summary'!$H86:$BG86)&lt;52,IF('Capacity summary'!AL86&lt;&gt;"",IF(LOWER('Capacity summary'!AL86)="x",$BI174*AL174,VALUE('Capacity summary'!AL86)),0),AL174*$BI174),AL174*$BI174),0)</f>
        <v>0</v>
      </c>
      <c r="CP174" s="5">
        <f>IF($BI174&lt;&gt;"",IF('Capacity summary'!$C$14="Yes",IF(COUNTBLANK('Capacity summary'!$H86:$BG86)&lt;52,IF('Capacity summary'!AM86&lt;&gt;"",IF(LOWER('Capacity summary'!AM86)="x",$BI174*AM174,VALUE('Capacity summary'!AM86)),0),AM174*$BI174),AM174*$BI174),0)</f>
        <v>0</v>
      </c>
      <c r="CQ174" s="5">
        <f>IF($BI174&lt;&gt;"",IF('Capacity summary'!$C$14="Yes",IF(COUNTBLANK('Capacity summary'!$H86:$BG86)&lt;52,IF('Capacity summary'!AN86&lt;&gt;"",IF(LOWER('Capacity summary'!AN86)="x",$BI174*AN174,VALUE('Capacity summary'!AN86)),0),AN174*$BI174),AN174*$BI174),0)</f>
        <v>0</v>
      </c>
      <c r="CR174" s="5">
        <f>IF($BI174&lt;&gt;"",IF('Capacity summary'!$C$14="Yes",IF(COUNTBLANK('Capacity summary'!$H86:$BG86)&lt;52,IF('Capacity summary'!AO86&lt;&gt;"",IF(LOWER('Capacity summary'!AO86)="x",$BI174*AO174,VALUE('Capacity summary'!AO86)),0),AO174*$BI174),AO174*$BI174),0)</f>
        <v>0</v>
      </c>
      <c r="CS174" s="5">
        <f>IF($BI174&lt;&gt;"",IF('Capacity summary'!$C$14="Yes",IF(COUNTBLANK('Capacity summary'!$H86:$BG86)&lt;52,IF('Capacity summary'!AP86&lt;&gt;"",IF(LOWER('Capacity summary'!AP86)="x",$BI174*AP174,VALUE('Capacity summary'!AP86)),0),AP174*$BI174),AP174*$BI174),0)</f>
        <v>0</v>
      </c>
      <c r="CT174" s="5">
        <f>IF($BI174&lt;&gt;"",IF('Capacity summary'!$C$14="Yes",IF(COUNTBLANK('Capacity summary'!$H86:$BG86)&lt;52,IF('Capacity summary'!AQ86&lt;&gt;"",IF(LOWER('Capacity summary'!AQ86)="x",$BI174*AQ174,VALUE('Capacity summary'!AQ86)),0),AQ174*$BI174),AQ174*$BI174),0)</f>
        <v>0</v>
      </c>
      <c r="CU174" s="5">
        <f>IF($BI174&lt;&gt;"",IF('Capacity summary'!$C$14="Yes",IF(COUNTBLANK('Capacity summary'!$H86:$BG86)&lt;52,IF('Capacity summary'!AR86&lt;&gt;"",IF(LOWER('Capacity summary'!AR86)="x",$BI174*AR174,VALUE('Capacity summary'!AR86)),0),AR174*$BI174),AR174*$BI174),0)</f>
        <v>0</v>
      </c>
      <c r="CV174" s="5">
        <f>IF($BI174&lt;&gt;"",IF('Capacity summary'!$C$14="Yes",IF(COUNTBLANK('Capacity summary'!$H86:$BG86)&lt;52,IF('Capacity summary'!AS86&lt;&gt;"",IF(LOWER('Capacity summary'!AS86)="x",$BI174*AS174,VALUE('Capacity summary'!AS86)),0),AS174*$BI174),AS174*$BI174),0)</f>
        <v>0</v>
      </c>
      <c r="CW174" s="5">
        <f>IF($BI174&lt;&gt;"",IF('Capacity summary'!$C$14="Yes",IF(COUNTBLANK('Capacity summary'!$H86:$BG86)&lt;52,IF('Capacity summary'!AT86&lt;&gt;"",IF(LOWER('Capacity summary'!AT86)="x",$BI174*AT174,VALUE('Capacity summary'!AT86)),0),AT174*$BI174),AT174*$BI174),0)</f>
        <v>0</v>
      </c>
      <c r="CX174" s="5">
        <f>IF($BI174&lt;&gt;"",IF('Capacity summary'!$C$14="Yes",IF(COUNTBLANK('Capacity summary'!$H86:$BG86)&lt;52,IF('Capacity summary'!AU86&lt;&gt;"",IF(LOWER('Capacity summary'!AU86)="x",$BI174*AU174,VALUE('Capacity summary'!AU86)),0),AU174*$BI174),AU174*$BI174),0)</f>
        <v>0</v>
      </c>
      <c r="CY174" s="5">
        <f>IF($BI174&lt;&gt;"",IF('Capacity summary'!$C$14="Yes",IF(COUNTBLANK('Capacity summary'!$H86:$BG86)&lt;52,IF('Capacity summary'!AV86&lt;&gt;"",IF(LOWER('Capacity summary'!AV86)="x",$BI174*AV174,VALUE('Capacity summary'!AV86)),0),AV174*$BI174),AV174*$BI174),0)</f>
        <v>0</v>
      </c>
      <c r="CZ174" s="5">
        <f>IF($BI174&lt;&gt;"",IF('Capacity summary'!$C$14="Yes",IF(COUNTBLANK('Capacity summary'!$H86:$BG86)&lt;52,IF('Capacity summary'!AW86&lt;&gt;"",IF(LOWER('Capacity summary'!AW86)="x",$BI174*AW174,VALUE('Capacity summary'!AW86)),0),AW174*$BI174),AW174*$BI174),0)</f>
        <v>0</v>
      </c>
      <c r="DA174" s="5">
        <f>IF($BI174&lt;&gt;"",IF('Capacity summary'!$C$14="Yes",IF(COUNTBLANK('Capacity summary'!$H86:$BG86)&lt;52,IF('Capacity summary'!AX86&lt;&gt;"",IF(LOWER('Capacity summary'!AX86)="x",$BI174*AX174,VALUE('Capacity summary'!AX86)),0),AX174*$BI174),AX174*$BI174),0)</f>
        <v>0</v>
      </c>
      <c r="DB174" s="5">
        <f>IF($BI174&lt;&gt;"",IF('Capacity summary'!$C$14="Yes",IF(COUNTBLANK('Capacity summary'!$H86:$BG86)&lt;52,IF('Capacity summary'!AY86&lt;&gt;"",IF(LOWER('Capacity summary'!AY86)="x",$BI174*AY174,VALUE('Capacity summary'!AY86)),0),AY174*$BI174),AY174*$BI174),0)</f>
        <v>0</v>
      </c>
      <c r="DC174" s="5">
        <f>IF($BI174&lt;&gt;"",IF('Capacity summary'!$C$14="Yes",IF(COUNTBLANK('Capacity summary'!$H86:$BG86)&lt;52,IF('Capacity summary'!AZ86&lt;&gt;"",IF(LOWER('Capacity summary'!AZ86)="x",$BI174*AZ174,VALUE('Capacity summary'!AZ86)),0),AZ174*$BI174),AZ174*$BI174),0)</f>
        <v>0</v>
      </c>
      <c r="DD174" s="5">
        <f>IF($BI174&lt;&gt;"",IF('Capacity summary'!$C$14="Yes",IF(COUNTBLANK('Capacity summary'!$H86:$BG86)&lt;52,IF('Capacity summary'!BA86&lt;&gt;"",IF(LOWER('Capacity summary'!BA86)="x",$BI174*BA174,VALUE('Capacity summary'!BA86)),0),BA174*$BI174),BA174*$BI174),0)</f>
        <v>0</v>
      </c>
      <c r="DE174" s="5">
        <f>IF($BI174&lt;&gt;"",IF('Capacity summary'!$C$14="Yes",IF(COUNTBLANK('Capacity summary'!$H86:$BG86)&lt;52,IF('Capacity summary'!BB86&lt;&gt;"",IF(LOWER('Capacity summary'!BB86)="x",$BI174*BB174,VALUE('Capacity summary'!BB86)),0),BB174*$BI174),BB174*$BI174),0)</f>
        <v>0</v>
      </c>
      <c r="DF174" s="5">
        <f>IF($BI174&lt;&gt;"",IF('Capacity summary'!$C$14="Yes",IF(COUNTBLANK('Capacity summary'!$H86:$BG86)&lt;52,IF('Capacity summary'!BC86&lt;&gt;"",IF(LOWER('Capacity summary'!BC86)="x",$BI174*BC174,VALUE('Capacity summary'!BC86)),0),BC174*$BI174),BC174*$BI174),0)</f>
        <v>0</v>
      </c>
      <c r="DG174" s="5">
        <f>IF($BI174&lt;&gt;"",IF('Capacity summary'!$C$14="Yes",IF(COUNTBLANK('Capacity summary'!$H86:$BG86)&lt;52,IF('Capacity summary'!BD86&lt;&gt;"",IF(LOWER('Capacity summary'!BD86)="x",$BI174*BD174,VALUE('Capacity summary'!BD86)),0),BD174*$BI174),BD174*$BI174),0)</f>
        <v>0</v>
      </c>
      <c r="DH174" s="5">
        <f>IF($BI174&lt;&gt;"",IF('Capacity summary'!$C$14="Yes",IF(COUNTBLANK('Capacity summary'!$H86:$BG86)&lt;52,IF('Capacity summary'!BE86&lt;&gt;"",IF(LOWER('Capacity summary'!BE86)="x",$BI174*BE174,VALUE('Capacity summary'!BE86)),0),BE174*$BI174),BE174*$BI174),0)</f>
        <v>0</v>
      </c>
      <c r="DI174" s="5">
        <f>IF($BI174&lt;&gt;"",IF('Capacity summary'!$C$14="Yes",IF(COUNTBLANK('Capacity summary'!$H86:$BG86)&lt;52,IF('Capacity summary'!BF86&lt;&gt;"",IF(LOWER('Capacity summary'!BF86)="x",$BI174*BF174,VALUE('Capacity summary'!BF86)),0),BF174*$BI174),BF174*$BI174),0)</f>
        <v>0</v>
      </c>
      <c r="DJ174" s="5">
        <f>IF($BI174&lt;&gt;"",IF('Capacity summary'!$C$14="Yes",IF(COUNTBLANK('Capacity summary'!$H86:$BG86)&lt;52,IF('Capacity summary'!BG86&lt;&gt;"",IF(LOWER('Capacity summary'!BG86)="x",$BI174*BG174,VALUE('Capacity summary'!BG86)),0),BG174*$BI174),BG174*$BI174),0)</f>
        <v>0</v>
      </c>
      <c r="DK174" s="5">
        <f t="shared" ref="DK174" si="68">SUM(DK175:DK274)</f>
        <v>0</v>
      </c>
    </row>
    <row r="175" spans="3:115" x14ac:dyDescent="0.25">
      <c r="C175" s="67" t="str">
        <f>ROW(A64)&amp;". "&amp;Capacity!N80</f>
        <v xml:space="preserve">64. </v>
      </c>
      <c r="D175" s="67">
        <f>'Capacity setup'!C181</f>
        <v>0</v>
      </c>
      <c r="E175" s="67">
        <f>'Capacity setup'!D181</f>
        <v>0</v>
      </c>
      <c r="F175" s="67">
        <f>'Capacity setup'!E181</f>
        <v>0</v>
      </c>
      <c r="H175" s="67">
        <f ca="1">IF(AND(SUMIF(Capacity_Resource,$D175,'Critical resources (hide)'!U$6:U$105)+SUMIF(Capacity_Resource,$E175,'Critical resources (hide)'!U$6:U$105)+SUMIF(Capacity_Resource,$F175,'Critical resources (hide)'!U$6:U$105)&gt;0,$E$1=2),0,1)</f>
        <v>1</v>
      </c>
      <c r="I175" s="67">
        <f ca="1">IF(AND(SUMIF(Capacity_Resource,$D175,'Critical resources (hide)'!V$6:V$105)+SUMIF(Capacity_Resource,$E175,'Critical resources (hide)'!V$6:V$105)+SUMIF(Capacity_Resource,$F175,'Critical resources (hide)'!V$6:V$105)&gt;0,$E$1=2),0,1)</f>
        <v>1</v>
      </c>
      <c r="J175" s="67">
        <f ca="1">IF(AND(SUMIF(Capacity_Resource,$D175,'Critical resources (hide)'!W$6:W$105)+SUMIF(Capacity_Resource,$E175,'Critical resources (hide)'!W$6:W$105)+SUMIF(Capacity_Resource,$F175,'Critical resources (hide)'!W$6:W$105)&gt;0,$E$1=2),0,1)</f>
        <v>1</v>
      </c>
      <c r="K175" s="67">
        <f ca="1">IF(AND(SUMIF(Capacity_Resource,$D175,'Critical resources (hide)'!X$6:X$105)+SUMIF(Capacity_Resource,$E175,'Critical resources (hide)'!X$6:X$105)+SUMIF(Capacity_Resource,$F175,'Critical resources (hide)'!X$6:X$105)&gt;0,$E$1=2),0,1)</f>
        <v>1</v>
      </c>
      <c r="L175" s="67">
        <f ca="1">IF(AND(SUMIF(Capacity_Resource,$D175,'Critical resources (hide)'!Y$6:Y$105)+SUMIF(Capacity_Resource,$E175,'Critical resources (hide)'!Y$6:Y$105)+SUMIF(Capacity_Resource,$F175,'Critical resources (hide)'!Y$6:Y$105)&gt;0,$E$1=2),0,1)</f>
        <v>1</v>
      </c>
      <c r="M175" s="67">
        <f ca="1">IF(AND(SUMIF(Capacity_Resource,$D175,'Critical resources (hide)'!Z$6:Z$105)+SUMIF(Capacity_Resource,$E175,'Critical resources (hide)'!Z$6:Z$105)+SUMIF(Capacity_Resource,$F175,'Critical resources (hide)'!Z$6:Z$105)&gt;0,$E$1=2),0,1)</f>
        <v>1</v>
      </c>
      <c r="N175" s="67">
        <f ca="1">IF(AND(SUMIF(Capacity_Resource,$D175,'Critical resources (hide)'!AA$6:AA$105)+SUMIF(Capacity_Resource,$E175,'Critical resources (hide)'!AA$6:AA$105)+SUMIF(Capacity_Resource,$F175,'Critical resources (hide)'!AA$6:AA$105)&gt;0,$E$1=2),0,1)</f>
        <v>1</v>
      </c>
      <c r="O175" s="67">
        <f ca="1">IF(AND(SUMIF(Capacity_Resource,$D175,'Critical resources (hide)'!AB$6:AB$105)+SUMIF(Capacity_Resource,$E175,'Critical resources (hide)'!AB$6:AB$105)+SUMIF(Capacity_Resource,$F175,'Critical resources (hide)'!AB$6:AB$105)&gt;0,$E$1=2),0,1)</f>
        <v>1</v>
      </c>
      <c r="P175" s="67">
        <f ca="1">IF(AND(SUMIF(Capacity_Resource,$D175,'Critical resources (hide)'!AC$6:AC$105)+SUMIF(Capacity_Resource,$E175,'Critical resources (hide)'!AC$6:AC$105)+SUMIF(Capacity_Resource,$F175,'Critical resources (hide)'!AC$6:AC$105)&gt;0,$E$1=2),0,1)</f>
        <v>1</v>
      </c>
      <c r="Q175" s="67">
        <f ca="1">IF(AND(SUMIF(Capacity_Resource,$D175,'Critical resources (hide)'!AD$6:AD$105)+SUMIF(Capacity_Resource,$E175,'Critical resources (hide)'!AD$6:AD$105)+SUMIF(Capacity_Resource,$F175,'Critical resources (hide)'!AD$6:AD$105)&gt;0,$E$1=2),0,1)</f>
        <v>1</v>
      </c>
      <c r="R175" s="67">
        <f ca="1">IF(AND(SUMIF(Capacity_Resource,$D175,'Critical resources (hide)'!AE$6:AE$105)+SUMIF(Capacity_Resource,$E175,'Critical resources (hide)'!AE$6:AE$105)+SUMIF(Capacity_Resource,$F175,'Critical resources (hide)'!AE$6:AE$105)&gt;0,$E$1=2),0,1)</f>
        <v>1</v>
      </c>
      <c r="S175" s="67">
        <f ca="1">IF(AND(SUMIF(Capacity_Resource,$D175,'Critical resources (hide)'!AF$6:AF$105)+SUMIF(Capacity_Resource,$E175,'Critical resources (hide)'!AF$6:AF$105)+SUMIF(Capacity_Resource,$F175,'Critical resources (hide)'!AF$6:AF$105)&gt;0,$E$1=2),0,1)</f>
        <v>1</v>
      </c>
      <c r="T175" s="67">
        <f ca="1">IF(AND(SUMIF(Capacity_Resource,$D175,'Critical resources (hide)'!AG$6:AG$105)+SUMIF(Capacity_Resource,$E175,'Critical resources (hide)'!AG$6:AG$105)+SUMIF(Capacity_Resource,$F175,'Critical resources (hide)'!AG$6:AG$105)&gt;0,$E$1=2),0,1)</f>
        <v>1</v>
      </c>
      <c r="U175" s="67">
        <f ca="1">IF(AND(SUMIF(Capacity_Resource,$D175,'Critical resources (hide)'!AH$6:AH$105)+SUMIF(Capacity_Resource,$E175,'Critical resources (hide)'!AH$6:AH$105)+SUMIF(Capacity_Resource,$F175,'Critical resources (hide)'!AH$6:AH$105)&gt;0,$E$1=2),0,1)</f>
        <v>1</v>
      </c>
      <c r="V175" s="67">
        <f ca="1">IF(AND(SUMIF(Capacity_Resource,$D175,'Critical resources (hide)'!AI$6:AI$105)+SUMIF(Capacity_Resource,$E175,'Critical resources (hide)'!AI$6:AI$105)+SUMIF(Capacity_Resource,$F175,'Critical resources (hide)'!AI$6:AI$105)&gt;0,$E$1=2),0,1)</f>
        <v>1</v>
      </c>
      <c r="W175" s="67">
        <f ca="1">IF(AND(SUMIF(Capacity_Resource,$D175,'Critical resources (hide)'!AJ$6:AJ$105)+SUMIF(Capacity_Resource,$E175,'Critical resources (hide)'!AJ$6:AJ$105)+SUMIF(Capacity_Resource,$F175,'Critical resources (hide)'!AJ$6:AJ$105)&gt;0,$E$1=2),0,1)</f>
        <v>1</v>
      </c>
      <c r="X175" s="67">
        <f ca="1">IF(AND(SUMIF(Capacity_Resource,$D175,'Critical resources (hide)'!AK$6:AK$105)+SUMIF(Capacity_Resource,$E175,'Critical resources (hide)'!AK$6:AK$105)+SUMIF(Capacity_Resource,$F175,'Critical resources (hide)'!AK$6:AK$105)&gt;0,$E$1=2),0,1)</f>
        <v>1</v>
      </c>
      <c r="Y175" s="67">
        <f ca="1">IF(AND(SUMIF(Capacity_Resource,$D175,'Critical resources (hide)'!AL$6:AL$105)+SUMIF(Capacity_Resource,$E175,'Critical resources (hide)'!AL$6:AL$105)+SUMIF(Capacity_Resource,$F175,'Critical resources (hide)'!AL$6:AL$105)&gt;0,$E$1=2),0,1)</f>
        <v>1</v>
      </c>
      <c r="Z175" s="67">
        <f ca="1">IF(AND(SUMIF(Capacity_Resource,$D175,'Critical resources (hide)'!AM$6:AM$105)+SUMIF(Capacity_Resource,$E175,'Critical resources (hide)'!AM$6:AM$105)+SUMIF(Capacity_Resource,$F175,'Critical resources (hide)'!AM$6:AM$105)&gt;0,$E$1=2),0,1)</f>
        <v>1</v>
      </c>
      <c r="AA175" s="67">
        <f ca="1">IF(AND(SUMIF(Capacity_Resource,$D175,'Critical resources (hide)'!AN$6:AN$105)+SUMIF(Capacity_Resource,$E175,'Critical resources (hide)'!AN$6:AN$105)+SUMIF(Capacity_Resource,$F175,'Critical resources (hide)'!AN$6:AN$105)&gt;0,$E$1=2),0,1)</f>
        <v>1</v>
      </c>
      <c r="AB175" s="67">
        <f ca="1">IF(AND(SUMIF(Capacity_Resource,$D175,'Critical resources (hide)'!AO$6:AO$105)+SUMIF(Capacity_Resource,$E175,'Critical resources (hide)'!AO$6:AO$105)+SUMIF(Capacity_Resource,$F175,'Critical resources (hide)'!AO$6:AO$105)&gt;0,$E$1=2),0,1)</f>
        <v>1</v>
      </c>
      <c r="AC175" s="67">
        <f ca="1">IF(AND(SUMIF(Capacity_Resource,$D175,'Critical resources (hide)'!AP$6:AP$105)+SUMIF(Capacity_Resource,$E175,'Critical resources (hide)'!AP$6:AP$105)+SUMIF(Capacity_Resource,$F175,'Critical resources (hide)'!AP$6:AP$105)&gt;0,$E$1=2),0,1)</f>
        <v>1</v>
      </c>
      <c r="AD175" s="67">
        <f ca="1">IF(AND(SUMIF(Capacity_Resource,$D175,'Critical resources (hide)'!AQ$6:AQ$105)+SUMIF(Capacity_Resource,$E175,'Critical resources (hide)'!AQ$6:AQ$105)+SUMIF(Capacity_Resource,$F175,'Critical resources (hide)'!AQ$6:AQ$105)&gt;0,$E$1=2),0,1)</f>
        <v>1</v>
      </c>
      <c r="AE175" s="67">
        <f ca="1">IF(AND(SUMIF(Capacity_Resource,$D175,'Critical resources (hide)'!AR$6:AR$105)+SUMIF(Capacity_Resource,$E175,'Critical resources (hide)'!AR$6:AR$105)+SUMIF(Capacity_Resource,$F175,'Critical resources (hide)'!AR$6:AR$105)&gt;0,$E$1=2),0,1)</f>
        <v>1</v>
      </c>
      <c r="AF175" s="67">
        <f ca="1">IF(AND(SUMIF(Capacity_Resource,$D175,'Critical resources (hide)'!AS$6:AS$105)+SUMIF(Capacity_Resource,$E175,'Critical resources (hide)'!AS$6:AS$105)+SUMIF(Capacity_Resource,$F175,'Critical resources (hide)'!AS$6:AS$105)&gt;0,$E$1=2),0,1)</f>
        <v>1</v>
      </c>
      <c r="AG175" s="67">
        <f ca="1">IF(AND(SUMIF(Capacity_Resource,$D175,'Critical resources (hide)'!AT$6:AT$105)+SUMIF(Capacity_Resource,$E175,'Critical resources (hide)'!AT$6:AT$105)+SUMIF(Capacity_Resource,$F175,'Critical resources (hide)'!AT$6:AT$105)&gt;0,$E$1=2),0,1)</f>
        <v>1</v>
      </c>
      <c r="AH175" s="67">
        <f ca="1">IF(AND(SUMIF(Capacity_Resource,$D175,'Critical resources (hide)'!AU$6:AU$105)+SUMIF(Capacity_Resource,$E175,'Critical resources (hide)'!AU$6:AU$105)+SUMIF(Capacity_Resource,$F175,'Critical resources (hide)'!AU$6:AU$105)&gt;0,$E$1=2),0,1)</f>
        <v>1</v>
      </c>
      <c r="AI175" s="67">
        <f ca="1">IF(AND(SUMIF(Capacity_Resource,$D175,'Critical resources (hide)'!AV$6:AV$105)+SUMIF(Capacity_Resource,$E175,'Critical resources (hide)'!AV$6:AV$105)+SUMIF(Capacity_Resource,$F175,'Critical resources (hide)'!AV$6:AV$105)&gt;0,$E$1=2),0,1)</f>
        <v>1</v>
      </c>
      <c r="AJ175" s="67">
        <f ca="1">IF(AND(SUMIF(Capacity_Resource,$D175,'Critical resources (hide)'!AW$6:AW$105)+SUMIF(Capacity_Resource,$E175,'Critical resources (hide)'!AW$6:AW$105)+SUMIF(Capacity_Resource,$F175,'Critical resources (hide)'!AW$6:AW$105)&gt;0,$E$1=2),0,1)</f>
        <v>1</v>
      </c>
      <c r="AK175" s="67">
        <f ca="1">IF(AND(SUMIF(Capacity_Resource,$D175,'Critical resources (hide)'!AX$6:AX$105)+SUMIF(Capacity_Resource,$E175,'Critical resources (hide)'!AX$6:AX$105)+SUMIF(Capacity_Resource,$F175,'Critical resources (hide)'!AX$6:AX$105)&gt;0,$E$1=2),0,1)</f>
        <v>1</v>
      </c>
      <c r="AL175" s="67">
        <f ca="1">IF(AND(SUMIF(Capacity_Resource,$D175,'Critical resources (hide)'!AY$6:AY$105)+SUMIF(Capacity_Resource,$E175,'Critical resources (hide)'!AY$6:AY$105)+SUMIF(Capacity_Resource,$F175,'Critical resources (hide)'!AY$6:AY$105)&gt;0,$E$1=2),0,1)</f>
        <v>1</v>
      </c>
      <c r="AM175" s="67">
        <f ca="1">IF(AND(SUMIF(Capacity_Resource,$D175,'Critical resources (hide)'!AZ$6:AZ$105)+SUMIF(Capacity_Resource,$E175,'Critical resources (hide)'!AZ$6:AZ$105)+SUMIF(Capacity_Resource,$F175,'Critical resources (hide)'!AZ$6:AZ$105)&gt;0,$E$1=2),0,1)</f>
        <v>1</v>
      </c>
      <c r="AN175" s="67">
        <f ca="1">IF(AND(SUMIF(Capacity_Resource,$D175,'Critical resources (hide)'!BA$6:BA$105)+SUMIF(Capacity_Resource,$E175,'Critical resources (hide)'!BA$6:BA$105)+SUMIF(Capacity_Resource,$F175,'Critical resources (hide)'!BA$6:BA$105)&gt;0,$E$1=2),0,1)</f>
        <v>1</v>
      </c>
      <c r="AO175" s="67">
        <f ca="1">IF(AND(SUMIF(Capacity_Resource,$D175,'Critical resources (hide)'!BB$6:BB$105)+SUMIF(Capacity_Resource,$E175,'Critical resources (hide)'!BB$6:BB$105)+SUMIF(Capacity_Resource,$F175,'Critical resources (hide)'!BB$6:BB$105)&gt;0,$E$1=2),0,1)</f>
        <v>1</v>
      </c>
      <c r="AP175" s="67">
        <f ca="1">IF(AND(SUMIF(Capacity_Resource,$D175,'Critical resources (hide)'!BC$6:BC$105)+SUMIF(Capacity_Resource,$E175,'Critical resources (hide)'!BC$6:BC$105)+SUMIF(Capacity_Resource,$F175,'Critical resources (hide)'!BC$6:BC$105)&gt;0,$E$1=2),0,1)</f>
        <v>1</v>
      </c>
      <c r="AQ175" s="67">
        <f ca="1">IF(AND(SUMIF(Capacity_Resource,$D175,'Critical resources (hide)'!BD$6:BD$105)+SUMIF(Capacity_Resource,$E175,'Critical resources (hide)'!BD$6:BD$105)+SUMIF(Capacity_Resource,$F175,'Critical resources (hide)'!BD$6:BD$105)&gt;0,$E$1=2),0,1)</f>
        <v>1</v>
      </c>
      <c r="AR175" s="67">
        <f ca="1">IF(AND(SUMIF(Capacity_Resource,$D175,'Critical resources (hide)'!BE$6:BE$105)+SUMIF(Capacity_Resource,$E175,'Critical resources (hide)'!BE$6:BE$105)+SUMIF(Capacity_Resource,$F175,'Critical resources (hide)'!BE$6:BE$105)&gt;0,$E$1=2),0,1)</f>
        <v>1</v>
      </c>
      <c r="AS175" s="67">
        <f ca="1">IF(AND(SUMIF(Capacity_Resource,$D175,'Critical resources (hide)'!BF$6:BF$105)+SUMIF(Capacity_Resource,$E175,'Critical resources (hide)'!BF$6:BF$105)+SUMIF(Capacity_Resource,$F175,'Critical resources (hide)'!BF$6:BF$105)&gt;0,$E$1=2),0,1)</f>
        <v>1</v>
      </c>
      <c r="AT175" s="67">
        <f ca="1">IF(AND(SUMIF(Capacity_Resource,$D175,'Critical resources (hide)'!BG$6:BG$105)+SUMIF(Capacity_Resource,$E175,'Critical resources (hide)'!BG$6:BG$105)+SUMIF(Capacity_Resource,$F175,'Critical resources (hide)'!BG$6:BG$105)&gt;0,$E$1=2),0,1)</f>
        <v>1</v>
      </c>
      <c r="AU175" s="67">
        <f ca="1">IF(AND(SUMIF(Capacity_Resource,$D175,'Critical resources (hide)'!BH$6:BH$105)+SUMIF(Capacity_Resource,$E175,'Critical resources (hide)'!BH$6:BH$105)+SUMIF(Capacity_Resource,$F175,'Critical resources (hide)'!BH$6:BH$105)&gt;0,$E$1=2),0,1)</f>
        <v>1</v>
      </c>
      <c r="AV175" s="67">
        <f ca="1">IF(AND(SUMIF(Capacity_Resource,$D175,'Critical resources (hide)'!BI$6:BI$105)+SUMIF(Capacity_Resource,$E175,'Critical resources (hide)'!BI$6:BI$105)+SUMIF(Capacity_Resource,$F175,'Critical resources (hide)'!BI$6:BI$105)&gt;0,$E$1=2),0,1)</f>
        <v>1</v>
      </c>
      <c r="AW175" s="67">
        <f ca="1">IF(AND(SUMIF(Capacity_Resource,$D175,'Critical resources (hide)'!BJ$6:BJ$105)+SUMIF(Capacity_Resource,$E175,'Critical resources (hide)'!BJ$6:BJ$105)+SUMIF(Capacity_Resource,$F175,'Critical resources (hide)'!BJ$6:BJ$105)&gt;0,$E$1=2),0,1)</f>
        <v>1</v>
      </c>
      <c r="AX175" s="67">
        <f ca="1">IF(AND(SUMIF(Capacity_Resource,$D175,'Critical resources (hide)'!BK$6:BK$105)+SUMIF(Capacity_Resource,$E175,'Critical resources (hide)'!BK$6:BK$105)+SUMIF(Capacity_Resource,$F175,'Critical resources (hide)'!BK$6:BK$105)&gt;0,$E$1=2),0,1)</f>
        <v>1</v>
      </c>
      <c r="AY175" s="67">
        <f ca="1">IF(AND(SUMIF(Capacity_Resource,$D175,'Critical resources (hide)'!BL$6:BL$105)+SUMIF(Capacity_Resource,$E175,'Critical resources (hide)'!BL$6:BL$105)+SUMIF(Capacity_Resource,$F175,'Critical resources (hide)'!BL$6:BL$105)&gt;0,$E$1=2),0,1)</f>
        <v>1</v>
      </c>
      <c r="AZ175" s="67">
        <f ca="1">IF(AND(SUMIF(Capacity_Resource,$D175,'Critical resources (hide)'!BM$6:BM$105)+SUMIF(Capacity_Resource,$E175,'Critical resources (hide)'!BM$6:BM$105)+SUMIF(Capacity_Resource,$F175,'Critical resources (hide)'!BM$6:BM$105)&gt;0,$E$1=2),0,1)</f>
        <v>1</v>
      </c>
      <c r="BA175" s="67">
        <f ca="1">IF(AND(SUMIF(Capacity_Resource,$D175,'Critical resources (hide)'!BN$6:BN$105)+SUMIF(Capacity_Resource,$E175,'Critical resources (hide)'!BN$6:BN$105)+SUMIF(Capacity_Resource,$F175,'Critical resources (hide)'!BN$6:BN$105)&gt;0,$E$1=2),0,1)</f>
        <v>1</v>
      </c>
      <c r="BB175" s="67">
        <f ca="1">IF(AND(SUMIF(Capacity_Resource,$D175,'Critical resources (hide)'!BO$6:BO$105)+SUMIF(Capacity_Resource,$E175,'Critical resources (hide)'!BO$6:BO$105)+SUMIF(Capacity_Resource,$F175,'Critical resources (hide)'!BO$6:BO$105)&gt;0,$E$1=2),0,1)</f>
        <v>1</v>
      </c>
      <c r="BC175" s="67">
        <f ca="1">IF(AND(SUMIF(Capacity_Resource,$D175,'Critical resources (hide)'!BP$6:BP$105)+SUMIF(Capacity_Resource,$E175,'Critical resources (hide)'!BP$6:BP$105)+SUMIF(Capacity_Resource,$F175,'Critical resources (hide)'!BP$6:BP$105)&gt;0,$E$1=2),0,1)</f>
        <v>1</v>
      </c>
      <c r="BD175" s="67">
        <f ca="1">IF(AND(SUMIF(Capacity_Resource,$D175,'Critical resources (hide)'!BQ$6:BQ$105)+SUMIF(Capacity_Resource,$E175,'Critical resources (hide)'!BQ$6:BQ$105)+SUMIF(Capacity_Resource,$F175,'Critical resources (hide)'!BQ$6:BQ$105)&gt;0,$E$1=2),0,1)</f>
        <v>1</v>
      </c>
      <c r="BE175" s="67">
        <f ca="1">IF(AND(SUMIF(Capacity_Resource,$D175,'Critical resources (hide)'!BR$6:BR$105)+SUMIF(Capacity_Resource,$E175,'Critical resources (hide)'!BR$6:BR$105)+SUMIF(Capacity_Resource,$F175,'Critical resources (hide)'!BR$6:BR$105)&gt;0,$E$1=2),0,1)</f>
        <v>1</v>
      </c>
      <c r="BF175" s="67">
        <f ca="1">IF(AND(SUMIF(Capacity_Resource,$D175,'Critical resources (hide)'!BS$6:BS$105)+SUMIF(Capacity_Resource,$E175,'Critical resources (hide)'!BS$6:BS$105)+SUMIF(Capacity_Resource,$F175,'Critical resources (hide)'!BS$6:BS$105)&gt;0,$E$1=2),0,1)</f>
        <v>1</v>
      </c>
      <c r="BG175" s="67">
        <f ca="1">IF(AND(SUMIF(Capacity_Resource,$D175,'Critical resources (hide)'!BT$6:BT$105)+SUMIF(Capacity_Resource,$E175,'Critical resources (hide)'!BT$6:BT$105)+SUMIF(Capacity_Resource,$F175,'Critical resources (hide)'!BT$6:BT$105)&gt;0,$E$1=2),0,1)</f>
        <v>1</v>
      </c>
      <c r="BH175" s="67">
        <f>IF(ROW(A64)&lt;=Capacity!$M$16,IF('Capacity summary'!$C$14="No",SUM(H175:BG175),'Capacity summary'!$E87),0)</f>
        <v>0</v>
      </c>
      <c r="BI175" s="67" t="str">
        <f>IF(BH175&gt;0,IF(BH175&lt;Capacity!Q80,Capacity!R80,Capacity!T80/'Capacity calculation (hide)'!BH175),"")</f>
        <v/>
      </c>
      <c r="BJ175" s="5"/>
      <c r="BK175" s="5">
        <f>IF($BI175&lt;&gt;"",IF('Capacity summary'!$C$14="Yes",IF(COUNTBLANK('Capacity summary'!$H87:$BG87)&lt;52,IF('Capacity summary'!H87&lt;&gt;"",IF(LOWER('Capacity summary'!H87)="x",$BI175*H175,VALUE('Capacity summary'!H87)),0),H175*$BI175),H175*$BI175),0)</f>
        <v>0</v>
      </c>
      <c r="BL175" s="5">
        <f>IF($BI175&lt;&gt;"",IF('Capacity summary'!$C$14="Yes",IF(COUNTBLANK('Capacity summary'!$H87:$BG87)&lt;52,IF('Capacity summary'!I87&lt;&gt;"",IF(LOWER('Capacity summary'!I87)="x",$BI175*I175,VALUE('Capacity summary'!I87)),0),I175*$BI175),I175*$BI175),0)</f>
        <v>0</v>
      </c>
      <c r="BM175" s="5">
        <f>IF($BI175&lt;&gt;"",IF('Capacity summary'!$C$14="Yes",IF(COUNTBLANK('Capacity summary'!$H87:$BG87)&lt;52,IF('Capacity summary'!J87&lt;&gt;"",IF(LOWER('Capacity summary'!J87)="x",$BI175*J175,VALUE('Capacity summary'!J87)),0),J175*$BI175),J175*$BI175),0)</f>
        <v>0</v>
      </c>
      <c r="BN175" s="5">
        <f>IF($BI175&lt;&gt;"",IF('Capacity summary'!$C$14="Yes",IF(COUNTBLANK('Capacity summary'!$H87:$BG87)&lt;52,IF('Capacity summary'!K87&lt;&gt;"",IF(LOWER('Capacity summary'!K87)="x",$BI175*K175,VALUE('Capacity summary'!K87)),0),K175*$BI175),K175*$BI175),0)</f>
        <v>0</v>
      </c>
      <c r="BO175" s="5">
        <f>IF($BI175&lt;&gt;"",IF('Capacity summary'!$C$14="Yes",IF(COUNTBLANK('Capacity summary'!$H87:$BG87)&lt;52,IF('Capacity summary'!L87&lt;&gt;"",IF(LOWER('Capacity summary'!L87)="x",$BI175*L175,VALUE('Capacity summary'!L87)),0),L175*$BI175),L175*$BI175),0)</f>
        <v>0</v>
      </c>
      <c r="BP175" s="5">
        <f>IF($BI175&lt;&gt;"",IF('Capacity summary'!$C$14="Yes",IF(COUNTBLANK('Capacity summary'!$H87:$BG87)&lt;52,IF('Capacity summary'!M87&lt;&gt;"",IF(LOWER('Capacity summary'!M87)="x",$BI175*M175,VALUE('Capacity summary'!M87)),0),M175*$BI175),M175*$BI175),0)</f>
        <v>0</v>
      </c>
      <c r="BQ175" s="5">
        <f>IF($BI175&lt;&gt;"",IF('Capacity summary'!$C$14="Yes",IF(COUNTBLANK('Capacity summary'!$H87:$BG87)&lt;52,IF('Capacity summary'!N87&lt;&gt;"",IF(LOWER('Capacity summary'!N87)="x",$BI175*N175,VALUE('Capacity summary'!N87)),0),N175*$BI175),N175*$BI175),0)</f>
        <v>0</v>
      </c>
      <c r="BR175" s="5">
        <f>IF($BI175&lt;&gt;"",IF('Capacity summary'!$C$14="Yes",IF(COUNTBLANK('Capacity summary'!$H87:$BG87)&lt;52,IF('Capacity summary'!O87&lt;&gt;"",IF(LOWER('Capacity summary'!O87)="x",$BI175*O175,VALUE('Capacity summary'!O87)),0),O175*$BI175),O175*$BI175),0)</f>
        <v>0</v>
      </c>
      <c r="BS175" s="5">
        <f>IF($BI175&lt;&gt;"",IF('Capacity summary'!$C$14="Yes",IF(COUNTBLANK('Capacity summary'!$H87:$BG87)&lt;52,IF('Capacity summary'!P87&lt;&gt;"",IF(LOWER('Capacity summary'!P87)="x",$BI175*P175,VALUE('Capacity summary'!P87)),0),P175*$BI175),P175*$BI175),0)</f>
        <v>0</v>
      </c>
      <c r="BT175" s="5">
        <f>IF($BI175&lt;&gt;"",IF('Capacity summary'!$C$14="Yes",IF(COUNTBLANK('Capacity summary'!$H87:$BG87)&lt;52,IF('Capacity summary'!Q87&lt;&gt;"",IF(LOWER('Capacity summary'!Q87)="x",$BI175*Q175,VALUE('Capacity summary'!Q87)),0),Q175*$BI175),Q175*$BI175),0)</f>
        <v>0</v>
      </c>
      <c r="BU175" s="5">
        <f>IF($BI175&lt;&gt;"",IF('Capacity summary'!$C$14="Yes",IF(COUNTBLANK('Capacity summary'!$H87:$BG87)&lt;52,IF('Capacity summary'!R87&lt;&gt;"",IF(LOWER('Capacity summary'!R87)="x",$BI175*R175,VALUE('Capacity summary'!R87)),0),R175*$BI175),R175*$BI175),0)</f>
        <v>0</v>
      </c>
      <c r="BV175" s="5">
        <f>IF($BI175&lt;&gt;"",IF('Capacity summary'!$C$14="Yes",IF(COUNTBLANK('Capacity summary'!$H87:$BG87)&lt;52,IF('Capacity summary'!S87&lt;&gt;"",IF(LOWER('Capacity summary'!S87)="x",$BI175*S175,VALUE('Capacity summary'!S87)),0),S175*$BI175),S175*$BI175),0)</f>
        <v>0</v>
      </c>
      <c r="BW175" s="5">
        <f>IF($BI175&lt;&gt;"",IF('Capacity summary'!$C$14="Yes",IF(COUNTBLANK('Capacity summary'!$H87:$BG87)&lt;52,IF('Capacity summary'!T87&lt;&gt;"",IF(LOWER('Capacity summary'!T87)="x",$BI175*T175,VALUE('Capacity summary'!T87)),0),T175*$BI175),T175*$BI175),0)</f>
        <v>0</v>
      </c>
      <c r="BX175" s="5">
        <f>IF($BI175&lt;&gt;"",IF('Capacity summary'!$C$14="Yes",IF(COUNTBLANK('Capacity summary'!$H87:$BG87)&lt;52,IF('Capacity summary'!U87&lt;&gt;"",IF(LOWER('Capacity summary'!U87)="x",$BI175*U175,VALUE('Capacity summary'!U87)),0),U175*$BI175),U175*$BI175),0)</f>
        <v>0</v>
      </c>
      <c r="BY175" s="5">
        <f>IF($BI175&lt;&gt;"",IF('Capacity summary'!$C$14="Yes",IF(COUNTBLANK('Capacity summary'!$H87:$BG87)&lt;52,IF('Capacity summary'!V87&lt;&gt;"",IF(LOWER('Capacity summary'!V87)="x",$BI175*V175,VALUE('Capacity summary'!V87)),0),V175*$BI175),V175*$BI175),0)</f>
        <v>0</v>
      </c>
      <c r="BZ175" s="5">
        <f>IF($BI175&lt;&gt;"",IF('Capacity summary'!$C$14="Yes",IF(COUNTBLANK('Capacity summary'!$H87:$BG87)&lt;52,IF('Capacity summary'!W87&lt;&gt;"",IF(LOWER('Capacity summary'!W87)="x",$BI175*W175,VALUE('Capacity summary'!W87)),0),W175*$BI175),W175*$BI175),0)</f>
        <v>0</v>
      </c>
      <c r="CA175" s="5">
        <f>IF($BI175&lt;&gt;"",IF('Capacity summary'!$C$14="Yes",IF(COUNTBLANK('Capacity summary'!$H87:$BG87)&lt;52,IF('Capacity summary'!X87&lt;&gt;"",IF(LOWER('Capacity summary'!X87)="x",$BI175*X175,VALUE('Capacity summary'!X87)),0),X175*$BI175),X175*$BI175),0)</f>
        <v>0</v>
      </c>
      <c r="CB175" s="5">
        <f>IF($BI175&lt;&gt;"",IF('Capacity summary'!$C$14="Yes",IF(COUNTBLANK('Capacity summary'!$H87:$BG87)&lt;52,IF('Capacity summary'!Y87&lt;&gt;"",IF(LOWER('Capacity summary'!Y87)="x",$BI175*Y175,VALUE('Capacity summary'!Y87)),0),Y175*$BI175),Y175*$BI175),0)</f>
        <v>0</v>
      </c>
      <c r="CC175" s="5">
        <f>IF($BI175&lt;&gt;"",IF('Capacity summary'!$C$14="Yes",IF(COUNTBLANK('Capacity summary'!$H87:$BG87)&lt;52,IF('Capacity summary'!Z87&lt;&gt;"",IF(LOWER('Capacity summary'!Z87)="x",$BI175*Z175,VALUE('Capacity summary'!Z87)),0),Z175*$BI175),Z175*$BI175),0)</f>
        <v>0</v>
      </c>
      <c r="CD175" s="5">
        <f>IF($BI175&lt;&gt;"",IF('Capacity summary'!$C$14="Yes",IF(COUNTBLANK('Capacity summary'!$H87:$BG87)&lt;52,IF('Capacity summary'!AA87&lt;&gt;"",IF(LOWER('Capacity summary'!AA87)="x",$BI175*AA175,VALUE('Capacity summary'!AA87)),0),AA175*$BI175),AA175*$BI175),0)</f>
        <v>0</v>
      </c>
      <c r="CE175" s="5">
        <f>IF($BI175&lt;&gt;"",IF('Capacity summary'!$C$14="Yes",IF(COUNTBLANK('Capacity summary'!$H87:$BG87)&lt;52,IF('Capacity summary'!AB87&lt;&gt;"",IF(LOWER('Capacity summary'!AB87)="x",$BI175*AB175,VALUE('Capacity summary'!AB87)),0),AB175*$BI175),AB175*$BI175),0)</f>
        <v>0</v>
      </c>
      <c r="CF175" s="5">
        <f>IF($BI175&lt;&gt;"",IF('Capacity summary'!$C$14="Yes",IF(COUNTBLANK('Capacity summary'!$H87:$BG87)&lt;52,IF('Capacity summary'!AC87&lt;&gt;"",IF(LOWER('Capacity summary'!AC87)="x",$BI175*AC175,VALUE('Capacity summary'!AC87)),0),AC175*$BI175),AC175*$BI175),0)</f>
        <v>0</v>
      </c>
      <c r="CG175" s="5">
        <f>IF($BI175&lt;&gt;"",IF('Capacity summary'!$C$14="Yes",IF(COUNTBLANK('Capacity summary'!$H87:$BG87)&lt;52,IF('Capacity summary'!AD87&lt;&gt;"",IF(LOWER('Capacity summary'!AD87)="x",$BI175*AD175,VALUE('Capacity summary'!AD87)),0),AD175*$BI175),AD175*$BI175),0)</f>
        <v>0</v>
      </c>
      <c r="CH175" s="5">
        <f>IF($BI175&lt;&gt;"",IF('Capacity summary'!$C$14="Yes",IF(COUNTBLANK('Capacity summary'!$H87:$BG87)&lt;52,IF('Capacity summary'!AE87&lt;&gt;"",IF(LOWER('Capacity summary'!AE87)="x",$BI175*AE175,VALUE('Capacity summary'!AE87)),0),AE175*$BI175),AE175*$BI175),0)</f>
        <v>0</v>
      </c>
      <c r="CI175" s="5">
        <f>IF($BI175&lt;&gt;"",IF('Capacity summary'!$C$14="Yes",IF(COUNTBLANK('Capacity summary'!$H87:$BG87)&lt;52,IF('Capacity summary'!AF87&lt;&gt;"",IF(LOWER('Capacity summary'!AF87)="x",$BI175*AF175,VALUE('Capacity summary'!AF87)),0),AF175*$BI175),AF175*$BI175),0)</f>
        <v>0</v>
      </c>
      <c r="CJ175" s="5">
        <f>IF($BI175&lt;&gt;"",IF('Capacity summary'!$C$14="Yes",IF(COUNTBLANK('Capacity summary'!$H87:$BG87)&lt;52,IF('Capacity summary'!AG87&lt;&gt;"",IF(LOWER('Capacity summary'!AG87)="x",$BI175*AG175,VALUE('Capacity summary'!AG87)),0),AG175*$BI175),AG175*$BI175),0)</f>
        <v>0</v>
      </c>
      <c r="CK175" s="5">
        <f>IF($BI175&lt;&gt;"",IF('Capacity summary'!$C$14="Yes",IF(COUNTBLANK('Capacity summary'!$H87:$BG87)&lt;52,IF('Capacity summary'!AH87&lt;&gt;"",IF(LOWER('Capacity summary'!AH87)="x",$BI175*AH175,VALUE('Capacity summary'!AH87)),0),AH175*$BI175),AH175*$BI175),0)</f>
        <v>0</v>
      </c>
      <c r="CL175" s="5">
        <f>IF($BI175&lt;&gt;"",IF('Capacity summary'!$C$14="Yes",IF(COUNTBLANK('Capacity summary'!$H87:$BG87)&lt;52,IF('Capacity summary'!AI87&lt;&gt;"",IF(LOWER('Capacity summary'!AI87)="x",$BI175*AI175,VALUE('Capacity summary'!AI87)),0),AI175*$BI175),AI175*$BI175),0)</f>
        <v>0</v>
      </c>
      <c r="CM175" s="5">
        <f>IF($BI175&lt;&gt;"",IF('Capacity summary'!$C$14="Yes",IF(COUNTBLANK('Capacity summary'!$H87:$BG87)&lt;52,IF('Capacity summary'!AJ87&lt;&gt;"",IF(LOWER('Capacity summary'!AJ87)="x",$BI175*AJ175,VALUE('Capacity summary'!AJ87)),0),AJ175*$BI175),AJ175*$BI175),0)</f>
        <v>0</v>
      </c>
      <c r="CN175" s="5">
        <f>IF($BI175&lt;&gt;"",IF('Capacity summary'!$C$14="Yes",IF(COUNTBLANK('Capacity summary'!$H87:$BG87)&lt;52,IF('Capacity summary'!AK87&lt;&gt;"",IF(LOWER('Capacity summary'!AK87)="x",$BI175*AK175,VALUE('Capacity summary'!AK87)),0),AK175*$BI175),AK175*$BI175),0)</f>
        <v>0</v>
      </c>
      <c r="CO175" s="5">
        <f>IF($BI175&lt;&gt;"",IF('Capacity summary'!$C$14="Yes",IF(COUNTBLANK('Capacity summary'!$H87:$BG87)&lt;52,IF('Capacity summary'!AL87&lt;&gt;"",IF(LOWER('Capacity summary'!AL87)="x",$BI175*AL175,VALUE('Capacity summary'!AL87)),0),AL175*$BI175),AL175*$BI175),0)</f>
        <v>0</v>
      </c>
      <c r="CP175" s="5">
        <f>IF($BI175&lt;&gt;"",IF('Capacity summary'!$C$14="Yes",IF(COUNTBLANK('Capacity summary'!$H87:$BG87)&lt;52,IF('Capacity summary'!AM87&lt;&gt;"",IF(LOWER('Capacity summary'!AM87)="x",$BI175*AM175,VALUE('Capacity summary'!AM87)),0),AM175*$BI175),AM175*$BI175),0)</f>
        <v>0</v>
      </c>
      <c r="CQ175" s="5">
        <f>IF($BI175&lt;&gt;"",IF('Capacity summary'!$C$14="Yes",IF(COUNTBLANK('Capacity summary'!$H87:$BG87)&lt;52,IF('Capacity summary'!AN87&lt;&gt;"",IF(LOWER('Capacity summary'!AN87)="x",$BI175*AN175,VALUE('Capacity summary'!AN87)),0),AN175*$BI175),AN175*$BI175),0)</f>
        <v>0</v>
      </c>
      <c r="CR175" s="5">
        <f>IF($BI175&lt;&gt;"",IF('Capacity summary'!$C$14="Yes",IF(COUNTBLANK('Capacity summary'!$H87:$BG87)&lt;52,IF('Capacity summary'!AO87&lt;&gt;"",IF(LOWER('Capacity summary'!AO87)="x",$BI175*AO175,VALUE('Capacity summary'!AO87)),0),AO175*$BI175),AO175*$BI175),0)</f>
        <v>0</v>
      </c>
      <c r="CS175" s="5">
        <f>IF($BI175&lt;&gt;"",IF('Capacity summary'!$C$14="Yes",IF(COUNTBLANK('Capacity summary'!$H87:$BG87)&lt;52,IF('Capacity summary'!AP87&lt;&gt;"",IF(LOWER('Capacity summary'!AP87)="x",$BI175*AP175,VALUE('Capacity summary'!AP87)),0),AP175*$BI175),AP175*$BI175),0)</f>
        <v>0</v>
      </c>
      <c r="CT175" s="5">
        <f>IF($BI175&lt;&gt;"",IF('Capacity summary'!$C$14="Yes",IF(COUNTBLANK('Capacity summary'!$H87:$BG87)&lt;52,IF('Capacity summary'!AQ87&lt;&gt;"",IF(LOWER('Capacity summary'!AQ87)="x",$BI175*AQ175,VALUE('Capacity summary'!AQ87)),0),AQ175*$BI175),AQ175*$BI175),0)</f>
        <v>0</v>
      </c>
      <c r="CU175" s="5">
        <f>IF($BI175&lt;&gt;"",IF('Capacity summary'!$C$14="Yes",IF(COUNTBLANK('Capacity summary'!$H87:$BG87)&lt;52,IF('Capacity summary'!AR87&lt;&gt;"",IF(LOWER('Capacity summary'!AR87)="x",$BI175*AR175,VALUE('Capacity summary'!AR87)),0),AR175*$BI175),AR175*$BI175),0)</f>
        <v>0</v>
      </c>
      <c r="CV175" s="5">
        <f>IF($BI175&lt;&gt;"",IF('Capacity summary'!$C$14="Yes",IF(COUNTBLANK('Capacity summary'!$H87:$BG87)&lt;52,IF('Capacity summary'!AS87&lt;&gt;"",IF(LOWER('Capacity summary'!AS87)="x",$BI175*AS175,VALUE('Capacity summary'!AS87)),0),AS175*$BI175),AS175*$BI175),0)</f>
        <v>0</v>
      </c>
      <c r="CW175" s="5">
        <f>IF($BI175&lt;&gt;"",IF('Capacity summary'!$C$14="Yes",IF(COUNTBLANK('Capacity summary'!$H87:$BG87)&lt;52,IF('Capacity summary'!AT87&lt;&gt;"",IF(LOWER('Capacity summary'!AT87)="x",$BI175*AT175,VALUE('Capacity summary'!AT87)),0),AT175*$BI175),AT175*$BI175),0)</f>
        <v>0</v>
      </c>
      <c r="CX175" s="5">
        <f>IF($BI175&lt;&gt;"",IF('Capacity summary'!$C$14="Yes",IF(COUNTBLANK('Capacity summary'!$H87:$BG87)&lt;52,IF('Capacity summary'!AU87&lt;&gt;"",IF(LOWER('Capacity summary'!AU87)="x",$BI175*AU175,VALUE('Capacity summary'!AU87)),0),AU175*$BI175),AU175*$BI175),0)</f>
        <v>0</v>
      </c>
      <c r="CY175" s="5">
        <f>IF($BI175&lt;&gt;"",IF('Capacity summary'!$C$14="Yes",IF(COUNTBLANK('Capacity summary'!$H87:$BG87)&lt;52,IF('Capacity summary'!AV87&lt;&gt;"",IF(LOWER('Capacity summary'!AV87)="x",$BI175*AV175,VALUE('Capacity summary'!AV87)),0),AV175*$BI175),AV175*$BI175),0)</f>
        <v>0</v>
      </c>
      <c r="CZ175" s="5">
        <f>IF($BI175&lt;&gt;"",IF('Capacity summary'!$C$14="Yes",IF(COUNTBLANK('Capacity summary'!$H87:$BG87)&lt;52,IF('Capacity summary'!AW87&lt;&gt;"",IF(LOWER('Capacity summary'!AW87)="x",$BI175*AW175,VALUE('Capacity summary'!AW87)),0),AW175*$BI175),AW175*$BI175),0)</f>
        <v>0</v>
      </c>
      <c r="DA175" s="5">
        <f>IF($BI175&lt;&gt;"",IF('Capacity summary'!$C$14="Yes",IF(COUNTBLANK('Capacity summary'!$H87:$BG87)&lt;52,IF('Capacity summary'!AX87&lt;&gt;"",IF(LOWER('Capacity summary'!AX87)="x",$BI175*AX175,VALUE('Capacity summary'!AX87)),0),AX175*$BI175),AX175*$BI175),0)</f>
        <v>0</v>
      </c>
      <c r="DB175" s="5">
        <f>IF($BI175&lt;&gt;"",IF('Capacity summary'!$C$14="Yes",IF(COUNTBLANK('Capacity summary'!$H87:$BG87)&lt;52,IF('Capacity summary'!AY87&lt;&gt;"",IF(LOWER('Capacity summary'!AY87)="x",$BI175*AY175,VALUE('Capacity summary'!AY87)),0),AY175*$BI175),AY175*$BI175),0)</f>
        <v>0</v>
      </c>
      <c r="DC175" s="5">
        <f>IF($BI175&lt;&gt;"",IF('Capacity summary'!$C$14="Yes",IF(COUNTBLANK('Capacity summary'!$H87:$BG87)&lt;52,IF('Capacity summary'!AZ87&lt;&gt;"",IF(LOWER('Capacity summary'!AZ87)="x",$BI175*AZ175,VALUE('Capacity summary'!AZ87)),0),AZ175*$BI175),AZ175*$BI175),0)</f>
        <v>0</v>
      </c>
      <c r="DD175" s="5">
        <f>IF($BI175&lt;&gt;"",IF('Capacity summary'!$C$14="Yes",IF(COUNTBLANK('Capacity summary'!$H87:$BG87)&lt;52,IF('Capacity summary'!BA87&lt;&gt;"",IF(LOWER('Capacity summary'!BA87)="x",$BI175*BA175,VALUE('Capacity summary'!BA87)),0),BA175*$BI175),BA175*$BI175),0)</f>
        <v>0</v>
      </c>
      <c r="DE175" s="5">
        <f>IF($BI175&lt;&gt;"",IF('Capacity summary'!$C$14="Yes",IF(COUNTBLANK('Capacity summary'!$H87:$BG87)&lt;52,IF('Capacity summary'!BB87&lt;&gt;"",IF(LOWER('Capacity summary'!BB87)="x",$BI175*BB175,VALUE('Capacity summary'!BB87)),0),BB175*$BI175),BB175*$BI175),0)</f>
        <v>0</v>
      </c>
      <c r="DF175" s="5">
        <f>IF($BI175&lt;&gt;"",IF('Capacity summary'!$C$14="Yes",IF(COUNTBLANK('Capacity summary'!$H87:$BG87)&lt;52,IF('Capacity summary'!BC87&lt;&gt;"",IF(LOWER('Capacity summary'!BC87)="x",$BI175*BC175,VALUE('Capacity summary'!BC87)),0),BC175*$BI175),BC175*$BI175),0)</f>
        <v>0</v>
      </c>
      <c r="DG175" s="5">
        <f>IF($BI175&lt;&gt;"",IF('Capacity summary'!$C$14="Yes",IF(COUNTBLANK('Capacity summary'!$H87:$BG87)&lt;52,IF('Capacity summary'!BD87&lt;&gt;"",IF(LOWER('Capacity summary'!BD87)="x",$BI175*BD175,VALUE('Capacity summary'!BD87)),0),BD175*$BI175),BD175*$BI175),0)</f>
        <v>0</v>
      </c>
      <c r="DH175" s="5">
        <f>IF($BI175&lt;&gt;"",IF('Capacity summary'!$C$14="Yes",IF(COUNTBLANK('Capacity summary'!$H87:$BG87)&lt;52,IF('Capacity summary'!BE87&lt;&gt;"",IF(LOWER('Capacity summary'!BE87)="x",$BI175*BE175,VALUE('Capacity summary'!BE87)),0),BE175*$BI175),BE175*$BI175),0)</f>
        <v>0</v>
      </c>
      <c r="DI175" s="5">
        <f>IF($BI175&lt;&gt;"",IF('Capacity summary'!$C$14="Yes",IF(COUNTBLANK('Capacity summary'!$H87:$BG87)&lt;52,IF('Capacity summary'!BF87&lt;&gt;"",IF(LOWER('Capacity summary'!BF87)="x",$BI175*BF175,VALUE('Capacity summary'!BF87)),0),BF175*$BI175),BF175*$BI175),0)</f>
        <v>0</v>
      </c>
      <c r="DJ175" s="5">
        <f>IF($BI175&lt;&gt;"",IF('Capacity summary'!$C$14="Yes",IF(COUNTBLANK('Capacity summary'!$H87:$BG87)&lt;52,IF('Capacity summary'!BG87&lt;&gt;"",IF(LOWER('Capacity summary'!BG87)="x",$BI175*BG175,VALUE('Capacity summary'!BG87)),0),BG175*$BI175),BG175*$BI175),0)</f>
        <v>0</v>
      </c>
      <c r="DK175" s="5">
        <f t="shared" ref="DK175" si="69">SUM(DK176:DK275)</f>
        <v>0</v>
      </c>
    </row>
    <row r="176" spans="3:115" x14ac:dyDescent="0.25">
      <c r="C176" s="67" t="str">
        <f>ROW(A65)&amp;". "&amp;Capacity!N81</f>
        <v xml:space="preserve">65. </v>
      </c>
      <c r="D176" s="67">
        <f>'Capacity setup'!C182</f>
        <v>0</v>
      </c>
      <c r="E176" s="67">
        <f>'Capacity setup'!D182</f>
        <v>0</v>
      </c>
      <c r="F176" s="67">
        <f>'Capacity setup'!E182</f>
        <v>0</v>
      </c>
      <c r="H176" s="67">
        <f ca="1">IF(AND(SUMIF(Capacity_Resource,$D176,'Critical resources (hide)'!U$6:U$105)+SUMIF(Capacity_Resource,$E176,'Critical resources (hide)'!U$6:U$105)+SUMIF(Capacity_Resource,$F176,'Critical resources (hide)'!U$6:U$105)&gt;0,$E$1=2),0,1)</f>
        <v>1</v>
      </c>
      <c r="I176" s="67">
        <f ca="1">IF(AND(SUMIF(Capacity_Resource,$D176,'Critical resources (hide)'!V$6:V$105)+SUMIF(Capacity_Resource,$E176,'Critical resources (hide)'!V$6:V$105)+SUMIF(Capacity_Resource,$F176,'Critical resources (hide)'!V$6:V$105)&gt;0,$E$1=2),0,1)</f>
        <v>1</v>
      </c>
      <c r="J176" s="67">
        <f ca="1">IF(AND(SUMIF(Capacity_Resource,$D176,'Critical resources (hide)'!W$6:W$105)+SUMIF(Capacity_Resource,$E176,'Critical resources (hide)'!W$6:W$105)+SUMIF(Capacity_Resource,$F176,'Critical resources (hide)'!W$6:W$105)&gt;0,$E$1=2),0,1)</f>
        <v>1</v>
      </c>
      <c r="K176" s="67">
        <f ca="1">IF(AND(SUMIF(Capacity_Resource,$D176,'Critical resources (hide)'!X$6:X$105)+SUMIF(Capacity_Resource,$E176,'Critical resources (hide)'!X$6:X$105)+SUMIF(Capacity_Resource,$F176,'Critical resources (hide)'!X$6:X$105)&gt;0,$E$1=2),0,1)</f>
        <v>1</v>
      </c>
      <c r="L176" s="67">
        <f ca="1">IF(AND(SUMIF(Capacity_Resource,$D176,'Critical resources (hide)'!Y$6:Y$105)+SUMIF(Capacity_Resource,$E176,'Critical resources (hide)'!Y$6:Y$105)+SUMIF(Capacity_Resource,$F176,'Critical resources (hide)'!Y$6:Y$105)&gt;0,$E$1=2),0,1)</f>
        <v>1</v>
      </c>
      <c r="M176" s="67">
        <f ca="1">IF(AND(SUMIF(Capacity_Resource,$D176,'Critical resources (hide)'!Z$6:Z$105)+SUMIF(Capacity_Resource,$E176,'Critical resources (hide)'!Z$6:Z$105)+SUMIF(Capacity_Resource,$F176,'Critical resources (hide)'!Z$6:Z$105)&gt;0,$E$1=2),0,1)</f>
        <v>1</v>
      </c>
      <c r="N176" s="67">
        <f ca="1">IF(AND(SUMIF(Capacity_Resource,$D176,'Critical resources (hide)'!AA$6:AA$105)+SUMIF(Capacity_Resource,$E176,'Critical resources (hide)'!AA$6:AA$105)+SUMIF(Capacity_Resource,$F176,'Critical resources (hide)'!AA$6:AA$105)&gt;0,$E$1=2),0,1)</f>
        <v>1</v>
      </c>
      <c r="O176" s="67">
        <f ca="1">IF(AND(SUMIF(Capacity_Resource,$D176,'Critical resources (hide)'!AB$6:AB$105)+SUMIF(Capacity_Resource,$E176,'Critical resources (hide)'!AB$6:AB$105)+SUMIF(Capacity_Resource,$F176,'Critical resources (hide)'!AB$6:AB$105)&gt;0,$E$1=2),0,1)</f>
        <v>1</v>
      </c>
      <c r="P176" s="67">
        <f ca="1">IF(AND(SUMIF(Capacity_Resource,$D176,'Critical resources (hide)'!AC$6:AC$105)+SUMIF(Capacity_Resource,$E176,'Critical resources (hide)'!AC$6:AC$105)+SUMIF(Capacity_Resource,$F176,'Critical resources (hide)'!AC$6:AC$105)&gt;0,$E$1=2),0,1)</f>
        <v>1</v>
      </c>
      <c r="Q176" s="67">
        <f ca="1">IF(AND(SUMIF(Capacity_Resource,$D176,'Critical resources (hide)'!AD$6:AD$105)+SUMIF(Capacity_Resource,$E176,'Critical resources (hide)'!AD$6:AD$105)+SUMIF(Capacity_Resource,$F176,'Critical resources (hide)'!AD$6:AD$105)&gt;0,$E$1=2),0,1)</f>
        <v>1</v>
      </c>
      <c r="R176" s="67">
        <f ca="1">IF(AND(SUMIF(Capacity_Resource,$D176,'Critical resources (hide)'!AE$6:AE$105)+SUMIF(Capacity_Resource,$E176,'Critical resources (hide)'!AE$6:AE$105)+SUMIF(Capacity_Resource,$F176,'Critical resources (hide)'!AE$6:AE$105)&gt;0,$E$1=2),0,1)</f>
        <v>1</v>
      </c>
      <c r="S176" s="67">
        <f ca="1">IF(AND(SUMIF(Capacity_Resource,$D176,'Critical resources (hide)'!AF$6:AF$105)+SUMIF(Capacity_Resource,$E176,'Critical resources (hide)'!AF$6:AF$105)+SUMIF(Capacity_Resource,$F176,'Critical resources (hide)'!AF$6:AF$105)&gt;0,$E$1=2),0,1)</f>
        <v>1</v>
      </c>
      <c r="T176" s="67">
        <f ca="1">IF(AND(SUMIF(Capacity_Resource,$D176,'Critical resources (hide)'!AG$6:AG$105)+SUMIF(Capacity_Resource,$E176,'Critical resources (hide)'!AG$6:AG$105)+SUMIF(Capacity_Resource,$F176,'Critical resources (hide)'!AG$6:AG$105)&gt;0,$E$1=2),0,1)</f>
        <v>1</v>
      </c>
      <c r="U176" s="67">
        <f ca="1">IF(AND(SUMIF(Capacity_Resource,$D176,'Critical resources (hide)'!AH$6:AH$105)+SUMIF(Capacity_Resource,$E176,'Critical resources (hide)'!AH$6:AH$105)+SUMIF(Capacity_Resource,$F176,'Critical resources (hide)'!AH$6:AH$105)&gt;0,$E$1=2),0,1)</f>
        <v>1</v>
      </c>
      <c r="V176" s="67">
        <f ca="1">IF(AND(SUMIF(Capacity_Resource,$D176,'Critical resources (hide)'!AI$6:AI$105)+SUMIF(Capacity_Resource,$E176,'Critical resources (hide)'!AI$6:AI$105)+SUMIF(Capacity_Resource,$F176,'Critical resources (hide)'!AI$6:AI$105)&gt;0,$E$1=2),0,1)</f>
        <v>1</v>
      </c>
      <c r="W176" s="67">
        <f ca="1">IF(AND(SUMIF(Capacity_Resource,$D176,'Critical resources (hide)'!AJ$6:AJ$105)+SUMIF(Capacity_Resource,$E176,'Critical resources (hide)'!AJ$6:AJ$105)+SUMIF(Capacity_Resource,$F176,'Critical resources (hide)'!AJ$6:AJ$105)&gt;0,$E$1=2),0,1)</f>
        <v>1</v>
      </c>
      <c r="X176" s="67">
        <f ca="1">IF(AND(SUMIF(Capacity_Resource,$D176,'Critical resources (hide)'!AK$6:AK$105)+SUMIF(Capacity_Resource,$E176,'Critical resources (hide)'!AK$6:AK$105)+SUMIF(Capacity_Resource,$F176,'Critical resources (hide)'!AK$6:AK$105)&gt;0,$E$1=2),0,1)</f>
        <v>1</v>
      </c>
      <c r="Y176" s="67">
        <f ca="1">IF(AND(SUMIF(Capacity_Resource,$D176,'Critical resources (hide)'!AL$6:AL$105)+SUMIF(Capacity_Resource,$E176,'Critical resources (hide)'!AL$6:AL$105)+SUMIF(Capacity_Resource,$F176,'Critical resources (hide)'!AL$6:AL$105)&gt;0,$E$1=2),0,1)</f>
        <v>1</v>
      </c>
      <c r="Z176" s="67">
        <f ca="1">IF(AND(SUMIF(Capacity_Resource,$D176,'Critical resources (hide)'!AM$6:AM$105)+SUMIF(Capacity_Resource,$E176,'Critical resources (hide)'!AM$6:AM$105)+SUMIF(Capacity_Resource,$F176,'Critical resources (hide)'!AM$6:AM$105)&gt;0,$E$1=2),0,1)</f>
        <v>1</v>
      </c>
      <c r="AA176" s="67">
        <f ca="1">IF(AND(SUMIF(Capacity_Resource,$D176,'Critical resources (hide)'!AN$6:AN$105)+SUMIF(Capacity_Resource,$E176,'Critical resources (hide)'!AN$6:AN$105)+SUMIF(Capacity_Resource,$F176,'Critical resources (hide)'!AN$6:AN$105)&gt;0,$E$1=2),0,1)</f>
        <v>1</v>
      </c>
      <c r="AB176" s="67">
        <f ca="1">IF(AND(SUMIF(Capacity_Resource,$D176,'Critical resources (hide)'!AO$6:AO$105)+SUMIF(Capacity_Resource,$E176,'Critical resources (hide)'!AO$6:AO$105)+SUMIF(Capacity_Resource,$F176,'Critical resources (hide)'!AO$6:AO$105)&gt;0,$E$1=2),0,1)</f>
        <v>1</v>
      </c>
      <c r="AC176" s="67">
        <f ca="1">IF(AND(SUMIF(Capacity_Resource,$D176,'Critical resources (hide)'!AP$6:AP$105)+SUMIF(Capacity_Resource,$E176,'Critical resources (hide)'!AP$6:AP$105)+SUMIF(Capacity_Resource,$F176,'Critical resources (hide)'!AP$6:AP$105)&gt;0,$E$1=2),0,1)</f>
        <v>1</v>
      </c>
      <c r="AD176" s="67">
        <f ca="1">IF(AND(SUMIF(Capacity_Resource,$D176,'Critical resources (hide)'!AQ$6:AQ$105)+SUMIF(Capacity_Resource,$E176,'Critical resources (hide)'!AQ$6:AQ$105)+SUMIF(Capacity_Resource,$F176,'Critical resources (hide)'!AQ$6:AQ$105)&gt;0,$E$1=2),0,1)</f>
        <v>1</v>
      </c>
      <c r="AE176" s="67">
        <f ca="1">IF(AND(SUMIF(Capacity_Resource,$D176,'Critical resources (hide)'!AR$6:AR$105)+SUMIF(Capacity_Resource,$E176,'Critical resources (hide)'!AR$6:AR$105)+SUMIF(Capacity_Resource,$F176,'Critical resources (hide)'!AR$6:AR$105)&gt;0,$E$1=2),0,1)</f>
        <v>1</v>
      </c>
      <c r="AF176" s="67">
        <f ca="1">IF(AND(SUMIF(Capacity_Resource,$D176,'Critical resources (hide)'!AS$6:AS$105)+SUMIF(Capacity_Resource,$E176,'Critical resources (hide)'!AS$6:AS$105)+SUMIF(Capacity_Resource,$F176,'Critical resources (hide)'!AS$6:AS$105)&gt;0,$E$1=2),0,1)</f>
        <v>1</v>
      </c>
      <c r="AG176" s="67">
        <f ca="1">IF(AND(SUMIF(Capacity_Resource,$D176,'Critical resources (hide)'!AT$6:AT$105)+SUMIF(Capacity_Resource,$E176,'Critical resources (hide)'!AT$6:AT$105)+SUMIF(Capacity_Resource,$F176,'Critical resources (hide)'!AT$6:AT$105)&gt;0,$E$1=2),0,1)</f>
        <v>1</v>
      </c>
      <c r="AH176" s="67">
        <f ca="1">IF(AND(SUMIF(Capacity_Resource,$D176,'Critical resources (hide)'!AU$6:AU$105)+SUMIF(Capacity_Resource,$E176,'Critical resources (hide)'!AU$6:AU$105)+SUMIF(Capacity_Resource,$F176,'Critical resources (hide)'!AU$6:AU$105)&gt;0,$E$1=2),0,1)</f>
        <v>1</v>
      </c>
      <c r="AI176" s="67">
        <f ca="1">IF(AND(SUMIF(Capacity_Resource,$D176,'Critical resources (hide)'!AV$6:AV$105)+SUMIF(Capacity_Resource,$E176,'Critical resources (hide)'!AV$6:AV$105)+SUMIF(Capacity_Resource,$F176,'Critical resources (hide)'!AV$6:AV$105)&gt;0,$E$1=2),0,1)</f>
        <v>1</v>
      </c>
      <c r="AJ176" s="67">
        <f ca="1">IF(AND(SUMIF(Capacity_Resource,$D176,'Critical resources (hide)'!AW$6:AW$105)+SUMIF(Capacity_Resource,$E176,'Critical resources (hide)'!AW$6:AW$105)+SUMIF(Capacity_Resource,$F176,'Critical resources (hide)'!AW$6:AW$105)&gt;0,$E$1=2),0,1)</f>
        <v>1</v>
      </c>
      <c r="AK176" s="67">
        <f ca="1">IF(AND(SUMIF(Capacity_Resource,$D176,'Critical resources (hide)'!AX$6:AX$105)+SUMIF(Capacity_Resource,$E176,'Critical resources (hide)'!AX$6:AX$105)+SUMIF(Capacity_Resource,$F176,'Critical resources (hide)'!AX$6:AX$105)&gt;0,$E$1=2),0,1)</f>
        <v>1</v>
      </c>
      <c r="AL176" s="67">
        <f ca="1">IF(AND(SUMIF(Capacity_Resource,$D176,'Critical resources (hide)'!AY$6:AY$105)+SUMIF(Capacity_Resource,$E176,'Critical resources (hide)'!AY$6:AY$105)+SUMIF(Capacity_Resource,$F176,'Critical resources (hide)'!AY$6:AY$105)&gt;0,$E$1=2),0,1)</f>
        <v>1</v>
      </c>
      <c r="AM176" s="67">
        <f ca="1">IF(AND(SUMIF(Capacity_Resource,$D176,'Critical resources (hide)'!AZ$6:AZ$105)+SUMIF(Capacity_Resource,$E176,'Critical resources (hide)'!AZ$6:AZ$105)+SUMIF(Capacity_Resource,$F176,'Critical resources (hide)'!AZ$6:AZ$105)&gt;0,$E$1=2),0,1)</f>
        <v>1</v>
      </c>
      <c r="AN176" s="67">
        <f ca="1">IF(AND(SUMIF(Capacity_Resource,$D176,'Critical resources (hide)'!BA$6:BA$105)+SUMIF(Capacity_Resource,$E176,'Critical resources (hide)'!BA$6:BA$105)+SUMIF(Capacity_Resource,$F176,'Critical resources (hide)'!BA$6:BA$105)&gt;0,$E$1=2),0,1)</f>
        <v>1</v>
      </c>
      <c r="AO176" s="67">
        <f ca="1">IF(AND(SUMIF(Capacity_Resource,$D176,'Critical resources (hide)'!BB$6:BB$105)+SUMIF(Capacity_Resource,$E176,'Critical resources (hide)'!BB$6:BB$105)+SUMIF(Capacity_Resource,$F176,'Critical resources (hide)'!BB$6:BB$105)&gt;0,$E$1=2),0,1)</f>
        <v>1</v>
      </c>
      <c r="AP176" s="67">
        <f ca="1">IF(AND(SUMIF(Capacity_Resource,$D176,'Critical resources (hide)'!BC$6:BC$105)+SUMIF(Capacity_Resource,$E176,'Critical resources (hide)'!BC$6:BC$105)+SUMIF(Capacity_Resource,$F176,'Critical resources (hide)'!BC$6:BC$105)&gt;0,$E$1=2),0,1)</f>
        <v>1</v>
      </c>
      <c r="AQ176" s="67">
        <f ca="1">IF(AND(SUMIF(Capacity_Resource,$D176,'Critical resources (hide)'!BD$6:BD$105)+SUMIF(Capacity_Resource,$E176,'Critical resources (hide)'!BD$6:BD$105)+SUMIF(Capacity_Resource,$F176,'Critical resources (hide)'!BD$6:BD$105)&gt;0,$E$1=2),0,1)</f>
        <v>1</v>
      </c>
      <c r="AR176" s="67">
        <f ca="1">IF(AND(SUMIF(Capacity_Resource,$D176,'Critical resources (hide)'!BE$6:BE$105)+SUMIF(Capacity_Resource,$E176,'Critical resources (hide)'!BE$6:BE$105)+SUMIF(Capacity_Resource,$F176,'Critical resources (hide)'!BE$6:BE$105)&gt;0,$E$1=2),0,1)</f>
        <v>1</v>
      </c>
      <c r="AS176" s="67">
        <f ca="1">IF(AND(SUMIF(Capacity_Resource,$D176,'Critical resources (hide)'!BF$6:BF$105)+SUMIF(Capacity_Resource,$E176,'Critical resources (hide)'!BF$6:BF$105)+SUMIF(Capacity_Resource,$F176,'Critical resources (hide)'!BF$6:BF$105)&gt;0,$E$1=2),0,1)</f>
        <v>1</v>
      </c>
      <c r="AT176" s="67">
        <f ca="1">IF(AND(SUMIF(Capacity_Resource,$D176,'Critical resources (hide)'!BG$6:BG$105)+SUMIF(Capacity_Resource,$E176,'Critical resources (hide)'!BG$6:BG$105)+SUMIF(Capacity_Resource,$F176,'Critical resources (hide)'!BG$6:BG$105)&gt;0,$E$1=2),0,1)</f>
        <v>1</v>
      </c>
      <c r="AU176" s="67">
        <f ca="1">IF(AND(SUMIF(Capacity_Resource,$D176,'Critical resources (hide)'!BH$6:BH$105)+SUMIF(Capacity_Resource,$E176,'Critical resources (hide)'!BH$6:BH$105)+SUMIF(Capacity_Resource,$F176,'Critical resources (hide)'!BH$6:BH$105)&gt;0,$E$1=2),0,1)</f>
        <v>1</v>
      </c>
      <c r="AV176" s="67">
        <f ca="1">IF(AND(SUMIF(Capacity_Resource,$D176,'Critical resources (hide)'!BI$6:BI$105)+SUMIF(Capacity_Resource,$E176,'Critical resources (hide)'!BI$6:BI$105)+SUMIF(Capacity_Resource,$F176,'Critical resources (hide)'!BI$6:BI$105)&gt;0,$E$1=2),0,1)</f>
        <v>1</v>
      </c>
      <c r="AW176" s="67">
        <f ca="1">IF(AND(SUMIF(Capacity_Resource,$D176,'Critical resources (hide)'!BJ$6:BJ$105)+SUMIF(Capacity_Resource,$E176,'Critical resources (hide)'!BJ$6:BJ$105)+SUMIF(Capacity_Resource,$F176,'Critical resources (hide)'!BJ$6:BJ$105)&gt;0,$E$1=2),0,1)</f>
        <v>1</v>
      </c>
      <c r="AX176" s="67">
        <f ca="1">IF(AND(SUMIF(Capacity_Resource,$D176,'Critical resources (hide)'!BK$6:BK$105)+SUMIF(Capacity_Resource,$E176,'Critical resources (hide)'!BK$6:BK$105)+SUMIF(Capacity_Resource,$F176,'Critical resources (hide)'!BK$6:BK$105)&gt;0,$E$1=2),0,1)</f>
        <v>1</v>
      </c>
      <c r="AY176" s="67">
        <f ca="1">IF(AND(SUMIF(Capacity_Resource,$D176,'Critical resources (hide)'!BL$6:BL$105)+SUMIF(Capacity_Resource,$E176,'Critical resources (hide)'!BL$6:BL$105)+SUMIF(Capacity_Resource,$F176,'Critical resources (hide)'!BL$6:BL$105)&gt;0,$E$1=2),0,1)</f>
        <v>1</v>
      </c>
      <c r="AZ176" s="67">
        <f ca="1">IF(AND(SUMIF(Capacity_Resource,$D176,'Critical resources (hide)'!BM$6:BM$105)+SUMIF(Capacity_Resource,$E176,'Critical resources (hide)'!BM$6:BM$105)+SUMIF(Capacity_Resource,$F176,'Critical resources (hide)'!BM$6:BM$105)&gt;0,$E$1=2),0,1)</f>
        <v>1</v>
      </c>
      <c r="BA176" s="67">
        <f ca="1">IF(AND(SUMIF(Capacity_Resource,$D176,'Critical resources (hide)'!BN$6:BN$105)+SUMIF(Capacity_Resource,$E176,'Critical resources (hide)'!BN$6:BN$105)+SUMIF(Capacity_Resource,$F176,'Critical resources (hide)'!BN$6:BN$105)&gt;0,$E$1=2),0,1)</f>
        <v>1</v>
      </c>
      <c r="BB176" s="67">
        <f ca="1">IF(AND(SUMIF(Capacity_Resource,$D176,'Critical resources (hide)'!BO$6:BO$105)+SUMIF(Capacity_Resource,$E176,'Critical resources (hide)'!BO$6:BO$105)+SUMIF(Capacity_Resource,$F176,'Critical resources (hide)'!BO$6:BO$105)&gt;0,$E$1=2),0,1)</f>
        <v>1</v>
      </c>
      <c r="BC176" s="67">
        <f ca="1">IF(AND(SUMIF(Capacity_Resource,$D176,'Critical resources (hide)'!BP$6:BP$105)+SUMIF(Capacity_Resource,$E176,'Critical resources (hide)'!BP$6:BP$105)+SUMIF(Capacity_Resource,$F176,'Critical resources (hide)'!BP$6:BP$105)&gt;0,$E$1=2),0,1)</f>
        <v>1</v>
      </c>
      <c r="BD176" s="67">
        <f ca="1">IF(AND(SUMIF(Capacity_Resource,$D176,'Critical resources (hide)'!BQ$6:BQ$105)+SUMIF(Capacity_Resource,$E176,'Critical resources (hide)'!BQ$6:BQ$105)+SUMIF(Capacity_Resource,$F176,'Critical resources (hide)'!BQ$6:BQ$105)&gt;0,$E$1=2),0,1)</f>
        <v>1</v>
      </c>
      <c r="BE176" s="67">
        <f ca="1">IF(AND(SUMIF(Capacity_Resource,$D176,'Critical resources (hide)'!BR$6:BR$105)+SUMIF(Capacity_Resource,$E176,'Critical resources (hide)'!BR$6:BR$105)+SUMIF(Capacity_Resource,$F176,'Critical resources (hide)'!BR$6:BR$105)&gt;0,$E$1=2),0,1)</f>
        <v>1</v>
      </c>
      <c r="BF176" s="67">
        <f ca="1">IF(AND(SUMIF(Capacity_Resource,$D176,'Critical resources (hide)'!BS$6:BS$105)+SUMIF(Capacity_Resource,$E176,'Critical resources (hide)'!BS$6:BS$105)+SUMIF(Capacity_Resource,$F176,'Critical resources (hide)'!BS$6:BS$105)&gt;0,$E$1=2),0,1)</f>
        <v>1</v>
      </c>
      <c r="BG176" s="67">
        <f ca="1">IF(AND(SUMIF(Capacity_Resource,$D176,'Critical resources (hide)'!BT$6:BT$105)+SUMIF(Capacity_Resource,$E176,'Critical resources (hide)'!BT$6:BT$105)+SUMIF(Capacity_Resource,$F176,'Critical resources (hide)'!BT$6:BT$105)&gt;0,$E$1=2),0,1)</f>
        <v>1</v>
      </c>
      <c r="BH176" s="67">
        <f>IF(ROW(A65)&lt;=Capacity!$M$16,IF('Capacity summary'!$C$14="No",SUM(H176:BG176),'Capacity summary'!$E88),0)</f>
        <v>0</v>
      </c>
      <c r="BI176" s="67" t="str">
        <f>IF(BH176&gt;0,IF(BH176&lt;Capacity!Q81,Capacity!R81,Capacity!T81/'Capacity calculation (hide)'!BH176),"")</f>
        <v/>
      </c>
      <c r="BJ176" s="5"/>
      <c r="BK176" s="5">
        <f>IF($BI176&lt;&gt;"",IF('Capacity summary'!$C$14="Yes",IF(COUNTBLANK('Capacity summary'!$H88:$BG88)&lt;52,IF('Capacity summary'!H88&lt;&gt;"",IF(LOWER('Capacity summary'!H88)="x",$BI176*H176,VALUE('Capacity summary'!H88)),0),H176*$BI176),H176*$BI176),0)</f>
        <v>0</v>
      </c>
      <c r="BL176" s="5">
        <f>IF($BI176&lt;&gt;"",IF('Capacity summary'!$C$14="Yes",IF(COUNTBLANK('Capacity summary'!$H88:$BG88)&lt;52,IF('Capacity summary'!I88&lt;&gt;"",IF(LOWER('Capacity summary'!I88)="x",$BI176*I176,VALUE('Capacity summary'!I88)),0),I176*$BI176),I176*$BI176),0)</f>
        <v>0</v>
      </c>
      <c r="BM176" s="5">
        <f>IF($BI176&lt;&gt;"",IF('Capacity summary'!$C$14="Yes",IF(COUNTBLANK('Capacity summary'!$H88:$BG88)&lt;52,IF('Capacity summary'!J88&lt;&gt;"",IF(LOWER('Capacity summary'!J88)="x",$BI176*J176,VALUE('Capacity summary'!J88)),0),J176*$BI176),J176*$BI176),0)</f>
        <v>0</v>
      </c>
      <c r="BN176" s="5">
        <f>IF($BI176&lt;&gt;"",IF('Capacity summary'!$C$14="Yes",IF(COUNTBLANK('Capacity summary'!$H88:$BG88)&lt;52,IF('Capacity summary'!K88&lt;&gt;"",IF(LOWER('Capacity summary'!K88)="x",$BI176*K176,VALUE('Capacity summary'!K88)),0),K176*$BI176),K176*$BI176),0)</f>
        <v>0</v>
      </c>
      <c r="BO176" s="5">
        <f>IF($BI176&lt;&gt;"",IF('Capacity summary'!$C$14="Yes",IF(COUNTBLANK('Capacity summary'!$H88:$BG88)&lt;52,IF('Capacity summary'!L88&lt;&gt;"",IF(LOWER('Capacity summary'!L88)="x",$BI176*L176,VALUE('Capacity summary'!L88)),0),L176*$BI176),L176*$BI176),0)</f>
        <v>0</v>
      </c>
      <c r="BP176" s="5">
        <f>IF($BI176&lt;&gt;"",IF('Capacity summary'!$C$14="Yes",IF(COUNTBLANK('Capacity summary'!$H88:$BG88)&lt;52,IF('Capacity summary'!M88&lt;&gt;"",IF(LOWER('Capacity summary'!M88)="x",$BI176*M176,VALUE('Capacity summary'!M88)),0),M176*$BI176),M176*$BI176),0)</f>
        <v>0</v>
      </c>
      <c r="BQ176" s="5">
        <f>IF($BI176&lt;&gt;"",IF('Capacity summary'!$C$14="Yes",IF(COUNTBLANK('Capacity summary'!$H88:$BG88)&lt;52,IF('Capacity summary'!N88&lt;&gt;"",IF(LOWER('Capacity summary'!N88)="x",$BI176*N176,VALUE('Capacity summary'!N88)),0),N176*$BI176),N176*$BI176),0)</f>
        <v>0</v>
      </c>
      <c r="BR176" s="5">
        <f>IF($BI176&lt;&gt;"",IF('Capacity summary'!$C$14="Yes",IF(COUNTBLANK('Capacity summary'!$H88:$BG88)&lt;52,IF('Capacity summary'!O88&lt;&gt;"",IF(LOWER('Capacity summary'!O88)="x",$BI176*O176,VALUE('Capacity summary'!O88)),0),O176*$BI176),O176*$BI176),0)</f>
        <v>0</v>
      </c>
      <c r="BS176" s="5">
        <f>IF($BI176&lt;&gt;"",IF('Capacity summary'!$C$14="Yes",IF(COUNTBLANK('Capacity summary'!$H88:$BG88)&lt;52,IF('Capacity summary'!P88&lt;&gt;"",IF(LOWER('Capacity summary'!P88)="x",$BI176*P176,VALUE('Capacity summary'!P88)),0),P176*$BI176),P176*$BI176),0)</f>
        <v>0</v>
      </c>
      <c r="BT176" s="5">
        <f>IF($BI176&lt;&gt;"",IF('Capacity summary'!$C$14="Yes",IF(COUNTBLANK('Capacity summary'!$H88:$BG88)&lt;52,IF('Capacity summary'!Q88&lt;&gt;"",IF(LOWER('Capacity summary'!Q88)="x",$BI176*Q176,VALUE('Capacity summary'!Q88)),0),Q176*$BI176),Q176*$BI176),0)</f>
        <v>0</v>
      </c>
      <c r="BU176" s="5">
        <f>IF($BI176&lt;&gt;"",IF('Capacity summary'!$C$14="Yes",IF(COUNTBLANK('Capacity summary'!$H88:$BG88)&lt;52,IF('Capacity summary'!R88&lt;&gt;"",IF(LOWER('Capacity summary'!R88)="x",$BI176*R176,VALUE('Capacity summary'!R88)),0),R176*$BI176),R176*$BI176),0)</f>
        <v>0</v>
      </c>
      <c r="BV176" s="5">
        <f>IF($BI176&lt;&gt;"",IF('Capacity summary'!$C$14="Yes",IF(COUNTBLANK('Capacity summary'!$H88:$BG88)&lt;52,IF('Capacity summary'!S88&lt;&gt;"",IF(LOWER('Capacity summary'!S88)="x",$BI176*S176,VALUE('Capacity summary'!S88)),0),S176*$BI176),S176*$BI176),0)</f>
        <v>0</v>
      </c>
      <c r="BW176" s="5">
        <f>IF($BI176&lt;&gt;"",IF('Capacity summary'!$C$14="Yes",IF(COUNTBLANK('Capacity summary'!$H88:$BG88)&lt;52,IF('Capacity summary'!T88&lt;&gt;"",IF(LOWER('Capacity summary'!T88)="x",$BI176*T176,VALUE('Capacity summary'!T88)),0),T176*$BI176),T176*$BI176),0)</f>
        <v>0</v>
      </c>
      <c r="BX176" s="5">
        <f>IF($BI176&lt;&gt;"",IF('Capacity summary'!$C$14="Yes",IF(COUNTBLANK('Capacity summary'!$H88:$BG88)&lt;52,IF('Capacity summary'!U88&lt;&gt;"",IF(LOWER('Capacity summary'!U88)="x",$BI176*U176,VALUE('Capacity summary'!U88)),0),U176*$BI176),U176*$BI176),0)</f>
        <v>0</v>
      </c>
      <c r="BY176" s="5">
        <f>IF($BI176&lt;&gt;"",IF('Capacity summary'!$C$14="Yes",IF(COUNTBLANK('Capacity summary'!$H88:$BG88)&lt;52,IF('Capacity summary'!V88&lt;&gt;"",IF(LOWER('Capacity summary'!V88)="x",$BI176*V176,VALUE('Capacity summary'!V88)),0),V176*$BI176),V176*$BI176),0)</f>
        <v>0</v>
      </c>
      <c r="BZ176" s="5">
        <f>IF($BI176&lt;&gt;"",IF('Capacity summary'!$C$14="Yes",IF(COUNTBLANK('Capacity summary'!$H88:$BG88)&lt;52,IF('Capacity summary'!W88&lt;&gt;"",IF(LOWER('Capacity summary'!W88)="x",$BI176*W176,VALUE('Capacity summary'!W88)),0),W176*$BI176),W176*$BI176),0)</f>
        <v>0</v>
      </c>
      <c r="CA176" s="5">
        <f>IF($BI176&lt;&gt;"",IF('Capacity summary'!$C$14="Yes",IF(COUNTBLANK('Capacity summary'!$H88:$BG88)&lt;52,IF('Capacity summary'!X88&lt;&gt;"",IF(LOWER('Capacity summary'!X88)="x",$BI176*X176,VALUE('Capacity summary'!X88)),0),X176*$BI176),X176*$BI176),0)</f>
        <v>0</v>
      </c>
      <c r="CB176" s="5">
        <f>IF($BI176&lt;&gt;"",IF('Capacity summary'!$C$14="Yes",IF(COUNTBLANK('Capacity summary'!$H88:$BG88)&lt;52,IF('Capacity summary'!Y88&lt;&gt;"",IF(LOWER('Capacity summary'!Y88)="x",$BI176*Y176,VALUE('Capacity summary'!Y88)),0),Y176*$BI176),Y176*$BI176),0)</f>
        <v>0</v>
      </c>
      <c r="CC176" s="5">
        <f>IF($BI176&lt;&gt;"",IF('Capacity summary'!$C$14="Yes",IF(COUNTBLANK('Capacity summary'!$H88:$BG88)&lt;52,IF('Capacity summary'!Z88&lt;&gt;"",IF(LOWER('Capacity summary'!Z88)="x",$BI176*Z176,VALUE('Capacity summary'!Z88)),0),Z176*$BI176),Z176*$BI176),0)</f>
        <v>0</v>
      </c>
      <c r="CD176" s="5">
        <f>IF($BI176&lt;&gt;"",IF('Capacity summary'!$C$14="Yes",IF(COUNTBLANK('Capacity summary'!$H88:$BG88)&lt;52,IF('Capacity summary'!AA88&lt;&gt;"",IF(LOWER('Capacity summary'!AA88)="x",$BI176*AA176,VALUE('Capacity summary'!AA88)),0),AA176*$BI176),AA176*$BI176),0)</f>
        <v>0</v>
      </c>
      <c r="CE176" s="5">
        <f>IF($BI176&lt;&gt;"",IF('Capacity summary'!$C$14="Yes",IF(COUNTBLANK('Capacity summary'!$H88:$BG88)&lt;52,IF('Capacity summary'!AB88&lt;&gt;"",IF(LOWER('Capacity summary'!AB88)="x",$BI176*AB176,VALUE('Capacity summary'!AB88)),0),AB176*$BI176),AB176*$BI176),0)</f>
        <v>0</v>
      </c>
      <c r="CF176" s="5">
        <f>IF($BI176&lt;&gt;"",IF('Capacity summary'!$C$14="Yes",IF(COUNTBLANK('Capacity summary'!$H88:$BG88)&lt;52,IF('Capacity summary'!AC88&lt;&gt;"",IF(LOWER('Capacity summary'!AC88)="x",$BI176*AC176,VALUE('Capacity summary'!AC88)),0),AC176*$BI176),AC176*$BI176),0)</f>
        <v>0</v>
      </c>
      <c r="CG176" s="5">
        <f>IF($BI176&lt;&gt;"",IF('Capacity summary'!$C$14="Yes",IF(COUNTBLANK('Capacity summary'!$H88:$BG88)&lt;52,IF('Capacity summary'!AD88&lt;&gt;"",IF(LOWER('Capacity summary'!AD88)="x",$BI176*AD176,VALUE('Capacity summary'!AD88)),0),AD176*$BI176),AD176*$BI176),0)</f>
        <v>0</v>
      </c>
      <c r="CH176" s="5">
        <f>IF($BI176&lt;&gt;"",IF('Capacity summary'!$C$14="Yes",IF(COUNTBLANK('Capacity summary'!$H88:$BG88)&lt;52,IF('Capacity summary'!AE88&lt;&gt;"",IF(LOWER('Capacity summary'!AE88)="x",$BI176*AE176,VALUE('Capacity summary'!AE88)),0),AE176*$BI176),AE176*$BI176),0)</f>
        <v>0</v>
      </c>
      <c r="CI176" s="5">
        <f>IF($BI176&lt;&gt;"",IF('Capacity summary'!$C$14="Yes",IF(COUNTBLANK('Capacity summary'!$H88:$BG88)&lt;52,IF('Capacity summary'!AF88&lt;&gt;"",IF(LOWER('Capacity summary'!AF88)="x",$BI176*AF176,VALUE('Capacity summary'!AF88)),0),AF176*$BI176),AF176*$BI176),0)</f>
        <v>0</v>
      </c>
      <c r="CJ176" s="5">
        <f>IF($BI176&lt;&gt;"",IF('Capacity summary'!$C$14="Yes",IF(COUNTBLANK('Capacity summary'!$H88:$BG88)&lt;52,IF('Capacity summary'!AG88&lt;&gt;"",IF(LOWER('Capacity summary'!AG88)="x",$BI176*AG176,VALUE('Capacity summary'!AG88)),0),AG176*$BI176),AG176*$BI176),0)</f>
        <v>0</v>
      </c>
      <c r="CK176" s="5">
        <f>IF($BI176&lt;&gt;"",IF('Capacity summary'!$C$14="Yes",IF(COUNTBLANK('Capacity summary'!$H88:$BG88)&lt;52,IF('Capacity summary'!AH88&lt;&gt;"",IF(LOWER('Capacity summary'!AH88)="x",$BI176*AH176,VALUE('Capacity summary'!AH88)),0),AH176*$BI176),AH176*$BI176),0)</f>
        <v>0</v>
      </c>
      <c r="CL176" s="5">
        <f>IF($BI176&lt;&gt;"",IF('Capacity summary'!$C$14="Yes",IF(COUNTBLANK('Capacity summary'!$H88:$BG88)&lt;52,IF('Capacity summary'!AI88&lt;&gt;"",IF(LOWER('Capacity summary'!AI88)="x",$BI176*AI176,VALUE('Capacity summary'!AI88)),0),AI176*$BI176),AI176*$BI176),0)</f>
        <v>0</v>
      </c>
      <c r="CM176" s="5">
        <f>IF($BI176&lt;&gt;"",IF('Capacity summary'!$C$14="Yes",IF(COUNTBLANK('Capacity summary'!$H88:$BG88)&lt;52,IF('Capacity summary'!AJ88&lt;&gt;"",IF(LOWER('Capacity summary'!AJ88)="x",$BI176*AJ176,VALUE('Capacity summary'!AJ88)),0),AJ176*$BI176),AJ176*$BI176),0)</f>
        <v>0</v>
      </c>
      <c r="CN176" s="5">
        <f>IF($BI176&lt;&gt;"",IF('Capacity summary'!$C$14="Yes",IF(COUNTBLANK('Capacity summary'!$H88:$BG88)&lt;52,IF('Capacity summary'!AK88&lt;&gt;"",IF(LOWER('Capacity summary'!AK88)="x",$BI176*AK176,VALUE('Capacity summary'!AK88)),0),AK176*$BI176),AK176*$BI176),0)</f>
        <v>0</v>
      </c>
      <c r="CO176" s="5">
        <f>IF($BI176&lt;&gt;"",IF('Capacity summary'!$C$14="Yes",IF(COUNTBLANK('Capacity summary'!$H88:$BG88)&lt;52,IF('Capacity summary'!AL88&lt;&gt;"",IF(LOWER('Capacity summary'!AL88)="x",$BI176*AL176,VALUE('Capacity summary'!AL88)),0),AL176*$BI176),AL176*$BI176),0)</f>
        <v>0</v>
      </c>
      <c r="CP176" s="5">
        <f>IF($BI176&lt;&gt;"",IF('Capacity summary'!$C$14="Yes",IF(COUNTBLANK('Capacity summary'!$H88:$BG88)&lt;52,IF('Capacity summary'!AM88&lt;&gt;"",IF(LOWER('Capacity summary'!AM88)="x",$BI176*AM176,VALUE('Capacity summary'!AM88)),0),AM176*$BI176),AM176*$BI176),0)</f>
        <v>0</v>
      </c>
      <c r="CQ176" s="5">
        <f>IF($BI176&lt;&gt;"",IF('Capacity summary'!$C$14="Yes",IF(COUNTBLANK('Capacity summary'!$H88:$BG88)&lt;52,IF('Capacity summary'!AN88&lt;&gt;"",IF(LOWER('Capacity summary'!AN88)="x",$BI176*AN176,VALUE('Capacity summary'!AN88)),0),AN176*$BI176),AN176*$BI176),0)</f>
        <v>0</v>
      </c>
      <c r="CR176" s="5">
        <f>IF($BI176&lt;&gt;"",IF('Capacity summary'!$C$14="Yes",IF(COUNTBLANK('Capacity summary'!$H88:$BG88)&lt;52,IF('Capacity summary'!AO88&lt;&gt;"",IF(LOWER('Capacity summary'!AO88)="x",$BI176*AO176,VALUE('Capacity summary'!AO88)),0),AO176*$BI176),AO176*$BI176),0)</f>
        <v>0</v>
      </c>
      <c r="CS176" s="5">
        <f>IF($BI176&lt;&gt;"",IF('Capacity summary'!$C$14="Yes",IF(COUNTBLANK('Capacity summary'!$H88:$BG88)&lt;52,IF('Capacity summary'!AP88&lt;&gt;"",IF(LOWER('Capacity summary'!AP88)="x",$BI176*AP176,VALUE('Capacity summary'!AP88)),0),AP176*$BI176),AP176*$BI176),0)</f>
        <v>0</v>
      </c>
      <c r="CT176" s="5">
        <f>IF($BI176&lt;&gt;"",IF('Capacity summary'!$C$14="Yes",IF(COUNTBLANK('Capacity summary'!$H88:$BG88)&lt;52,IF('Capacity summary'!AQ88&lt;&gt;"",IF(LOWER('Capacity summary'!AQ88)="x",$BI176*AQ176,VALUE('Capacity summary'!AQ88)),0),AQ176*$BI176),AQ176*$BI176),0)</f>
        <v>0</v>
      </c>
      <c r="CU176" s="5">
        <f>IF($BI176&lt;&gt;"",IF('Capacity summary'!$C$14="Yes",IF(COUNTBLANK('Capacity summary'!$H88:$BG88)&lt;52,IF('Capacity summary'!AR88&lt;&gt;"",IF(LOWER('Capacity summary'!AR88)="x",$BI176*AR176,VALUE('Capacity summary'!AR88)),0),AR176*$BI176),AR176*$BI176),0)</f>
        <v>0</v>
      </c>
      <c r="CV176" s="5">
        <f>IF($BI176&lt;&gt;"",IF('Capacity summary'!$C$14="Yes",IF(COUNTBLANK('Capacity summary'!$H88:$BG88)&lt;52,IF('Capacity summary'!AS88&lt;&gt;"",IF(LOWER('Capacity summary'!AS88)="x",$BI176*AS176,VALUE('Capacity summary'!AS88)),0),AS176*$BI176),AS176*$BI176),0)</f>
        <v>0</v>
      </c>
      <c r="CW176" s="5">
        <f>IF($BI176&lt;&gt;"",IF('Capacity summary'!$C$14="Yes",IF(COUNTBLANK('Capacity summary'!$H88:$BG88)&lt;52,IF('Capacity summary'!AT88&lt;&gt;"",IF(LOWER('Capacity summary'!AT88)="x",$BI176*AT176,VALUE('Capacity summary'!AT88)),0),AT176*$BI176),AT176*$BI176),0)</f>
        <v>0</v>
      </c>
      <c r="CX176" s="5">
        <f>IF($BI176&lt;&gt;"",IF('Capacity summary'!$C$14="Yes",IF(COUNTBLANK('Capacity summary'!$H88:$BG88)&lt;52,IF('Capacity summary'!AU88&lt;&gt;"",IF(LOWER('Capacity summary'!AU88)="x",$BI176*AU176,VALUE('Capacity summary'!AU88)),0),AU176*$BI176),AU176*$BI176),0)</f>
        <v>0</v>
      </c>
      <c r="CY176" s="5">
        <f>IF($BI176&lt;&gt;"",IF('Capacity summary'!$C$14="Yes",IF(COUNTBLANK('Capacity summary'!$H88:$BG88)&lt;52,IF('Capacity summary'!AV88&lt;&gt;"",IF(LOWER('Capacity summary'!AV88)="x",$BI176*AV176,VALUE('Capacity summary'!AV88)),0),AV176*$BI176),AV176*$BI176),0)</f>
        <v>0</v>
      </c>
      <c r="CZ176" s="5">
        <f>IF($BI176&lt;&gt;"",IF('Capacity summary'!$C$14="Yes",IF(COUNTBLANK('Capacity summary'!$H88:$BG88)&lt;52,IF('Capacity summary'!AW88&lt;&gt;"",IF(LOWER('Capacity summary'!AW88)="x",$BI176*AW176,VALUE('Capacity summary'!AW88)),0),AW176*$BI176),AW176*$BI176),0)</f>
        <v>0</v>
      </c>
      <c r="DA176" s="5">
        <f>IF($BI176&lt;&gt;"",IF('Capacity summary'!$C$14="Yes",IF(COUNTBLANK('Capacity summary'!$H88:$BG88)&lt;52,IF('Capacity summary'!AX88&lt;&gt;"",IF(LOWER('Capacity summary'!AX88)="x",$BI176*AX176,VALUE('Capacity summary'!AX88)),0),AX176*$BI176),AX176*$BI176),0)</f>
        <v>0</v>
      </c>
      <c r="DB176" s="5">
        <f>IF($BI176&lt;&gt;"",IF('Capacity summary'!$C$14="Yes",IF(COUNTBLANK('Capacity summary'!$H88:$BG88)&lt;52,IF('Capacity summary'!AY88&lt;&gt;"",IF(LOWER('Capacity summary'!AY88)="x",$BI176*AY176,VALUE('Capacity summary'!AY88)),0),AY176*$BI176),AY176*$BI176),0)</f>
        <v>0</v>
      </c>
      <c r="DC176" s="5">
        <f>IF($BI176&lt;&gt;"",IF('Capacity summary'!$C$14="Yes",IF(COUNTBLANK('Capacity summary'!$H88:$BG88)&lt;52,IF('Capacity summary'!AZ88&lt;&gt;"",IF(LOWER('Capacity summary'!AZ88)="x",$BI176*AZ176,VALUE('Capacity summary'!AZ88)),0),AZ176*$BI176),AZ176*$BI176),0)</f>
        <v>0</v>
      </c>
      <c r="DD176" s="5">
        <f>IF($BI176&lt;&gt;"",IF('Capacity summary'!$C$14="Yes",IF(COUNTBLANK('Capacity summary'!$H88:$BG88)&lt;52,IF('Capacity summary'!BA88&lt;&gt;"",IF(LOWER('Capacity summary'!BA88)="x",$BI176*BA176,VALUE('Capacity summary'!BA88)),0),BA176*$BI176),BA176*$BI176),0)</f>
        <v>0</v>
      </c>
      <c r="DE176" s="5">
        <f>IF($BI176&lt;&gt;"",IF('Capacity summary'!$C$14="Yes",IF(COUNTBLANK('Capacity summary'!$H88:$BG88)&lt;52,IF('Capacity summary'!BB88&lt;&gt;"",IF(LOWER('Capacity summary'!BB88)="x",$BI176*BB176,VALUE('Capacity summary'!BB88)),0),BB176*$BI176),BB176*$BI176),0)</f>
        <v>0</v>
      </c>
      <c r="DF176" s="5">
        <f>IF($BI176&lt;&gt;"",IF('Capacity summary'!$C$14="Yes",IF(COUNTBLANK('Capacity summary'!$H88:$BG88)&lt;52,IF('Capacity summary'!BC88&lt;&gt;"",IF(LOWER('Capacity summary'!BC88)="x",$BI176*BC176,VALUE('Capacity summary'!BC88)),0),BC176*$BI176),BC176*$BI176),0)</f>
        <v>0</v>
      </c>
      <c r="DG176" s="5">
        <f>IF($BI176&lt;&gt;"",IF('Capacity summary'!$C$14="Yes",IF(COUNTBLANK('Capacity summary'!$H88:$BG88)&lt;52,IF('Capacity summary'!BD88&lt;&gt;"",IF(LOWER('Capacity summary'!BD88)="x",$BI176*BD176,VALUE('Capacity summary'!BD88)),0),BD176*$BI176),BD176*$BI176),0)</f>
        <v>0</v>
      </c>
      <c r="DH176" s="5">
        <f>IF($BI176&lt;&gt;"",IF('Capacity summary'!$C$14="Yes",IF(COUNTBLANK('Capacity summary'!$H88:$BG88)&lt;52,IF('Capacity summary'!BE88&lt;&gt;"",IF(LOWER('Capacity summary'!BE88)="x",$BI176*BE176,VALUE('Capacity summary'!BE88)),0),BE176*$BI176),BE176*$BI176),0)</f>
        <v>0</v>
      </c>
      <c r="DI176" s="5">
        <f>IF($BI176&lt;&gt;"",IF('Capacity summary'!$C$14="Yes",IF(COUNTBLANK('Capacity summary'!$H88:$BG88)&lt;52,IF('Capacity summary'!BF88&lt;&gt;"",IF(LOWER('Capacity summary'!BF88)="x",$BI176*BF176,VALUE('Capacity summary'!BF88)),0),BF176*$BI176),BF176*$BI176),0)</f>
        <v>0</v>
      </c>
      <c r="DJ176" s="5">
        <f>IF($BI176&lt;&gt;"",IF('Capacity summary'!$C$14="Yes",IF(COUNTBLANK('Capacity summary'!$H88:$BG88)&lt;52,IF('Capacity summary'!BG88&lt;&gt;"",IF(LOWER('Capacity summary'!BG88)="x",$BI176*BG176,VALUE('Capacity summary'!BG88)),0),BG176*$BI176),BG176*$BI176),0)</f>
        <v>0</v>
      </c>
      <c r="DK176" s="5">
        <f t="shared" ref="DK176" si="70">SUM(DK177:DK276)</f>
        <v>0</v>
      </c>
    </row>
    <row r="177" spans="3:115" x14ac:dyDescent="0.25">
      <c r="C177" s="67" t="str">
        <f>ROW(A66)&amp;". "&amp;Capacity!N82</f>
        <v xml:space="preserve">66. </v>
      </c>
      <c r="D177" s="67">
        <f>'Capacity setup'!C183</f>
        <v>0</v>
      </c>
      <c r="E177" s="67">
        <f>'Capacity setup'!D183</f>
        <v>0</v>
      </c>
      <c r="F177" s="67">
        <f>'Capacity setup'!E183</f>
        <v>0</v>
      </c>
      <c r="H177" s="67">
        <f ca="1">IF(AND(SUMIF(Capacity_Resource,$D177,'Critical resources (hide)'!U$6:U$105)+SUMIF(Capacity_Resource,$E177,'Critical resources (hide)'!U$6:U$105)+SUMIF(Capacity_Resource,$F177,'Critical resources (hide)'!U$6:U$105)&gt;0,$E$1=2),0,1)</f>
        <v>1</v>
      </c>
      <c r="I177" s="67">
        <f ca="1">IF(AND(SUMIF(Capacity_Resource,$D177,'Critical resources (hide)'!V$6:V$105)+SUMIF(Capacity_Resource,$E177,'Critical resources (hide)'!V$6:V$105)+SUMIF(Capacity_Resource,$F177,'Critical resources (hide)'!V$6:V$105)&gt;0,$E$1=2),0,1)</f>
        <v>1</v>
      </c>
      <c r="J177" s="67">
        <f ca="1">IF(AND(SUMIF(Capacity_Resource,$D177,'Critical resources (hide)'!W$6:W$105)+SUMIF(Capacity_Resource,$E177,'Critical resources (hide)'!W$6:W$105)+SUMIF(Capacity_Resource,$F177,'Critical resources (hide)'!W$6:W$105)&gt;0,$E$1=2),0,1)</f>
        <v>1</v>
      </c>
      <c r="K177" s="67">
        <f ca="1">IF(AND(SUMIF(Capacity_Resource,$D177,'Critical resources (hide)'!X$6:X$105)+SUMIF(Capacity_Resource,$E177,'Critical resources (hide)'!X$6:X$105)+SUMIF(Capacity_Resource,$F177,'Critical resources (hide)'!X$6:X$105)&gt;0,$E$1=2),0,1)</f>
        <v>1</v>
      </c>
      <c r="L177" s="67">
        <f ca="1">IF(AND(SUMIF(Capacity_Resource,$D177,'Critical resources (hide)'!Y$6:Y$105)+SUMIF(Capacity_Resource,$E177,'Critical resources (hide)'!Y$6:Y$105)+SUMIF(Capacity_Resource,$F177,'Critical resources (hide)'!Y$6:Y$105)&gt;0,$E$1=2),0,1)</f>
        <v>1</v>
      </c>
      <c r="M177" s="67">
        <f ca="1">IF(AND(SUMIF(Capacity_Resource,$D177,'Critical resources (hide)'!Z$6:Z$105)+SUMIF(Capacity_Resource,$E177,'Critical resources (hide)'!Z$6:Z$105)+SUMIF(Capacity_Resource,$F177,'Critical resources (hide)'!Z$6:Z$105)&gt;0,$E$1=2),0,1)</f>
        <v>1</v>
      </c>
      <c r="N177" s="67">
        <f ca="1">IF(AND(SUMIF(Capacity_Resource,$D177,'Critical resources (hide)'!AA$6:AA$105)+SUMIF(Capacity_Resource,$E177,'Critical resources (hide)'!AA$6:AA$105)+SUMIF(Capacity_Resource,$F177,'Critical resources (hide)'!AA$6:AA$105)&gt;0,$E$1=2),0,1)</f>
        <v>1</v>
      </c>
      <c r="O177" s="67">
        <f ca="1">IF(AND(SUMIF(Capacity_Resource,$D177,'Critical resources (hide)'!AB$6:AB$105)+SUMIF(Capacity_Resource,$E177,'Critical resources (hide)'!AB$6:AB$105)+SUMIF(Capacity_Resource,$F177,'Critical resources (hide)'!AB$6:AB$105)&gt;0,$E$1=2),0,1)</f>
        <v>1</v>
      </c>
      <c r="P177" s="67">
        <f ca="1">IF(AND(SUMIF(Capacity_Resource,$D177,'Critical resources (hide)'!AC$6:AC$105)+SUMIF(Capacity_Resource,$E177,'Critical resources (hide)'!AC$6:AC$105)+SUMIF(Capacity_Resource,$F177,'Critical resources (hide)'!AC$6:AC$105)&gt;0,$E$1=2),0,1)</f>
        <v>1</v>
      </c>
      <c r="Q177" s="67">
        <f ca="1">IF(AND(SUMIF(Capacity_Resource,$D177,'Critical resources (hide)'!AD$6:AD$105)+SUMIF(Capacity_Resource,$E177,'Critical resources (hide)'!AD$6:AD$105)+SUMIF(Capacity_Resource,$F177,'Critical resources (hide)'!AD$6:AD$105)&gt;0,$E$1=2),0,1)</f>
        <v>1</v>
      </c>
      <c r="R177" s="67">
        <f ca="1">IF(AND(SUMIF(Capacity_Resource,$D177,'Critical resources (hide)'!AE$6:AE$105)+SUMIF(Capacity_Resource,$E177,'Critical resources (hide)'!AE$6:AE$105)+SUMIF(Capacity_Resource,$F177,'Critical resources (hide)'!AE$6:AE$105)&gt;0,$E$1=2),0,1)</f>
        <v>1</v>
      </c>
      <c r="S177" s="67">
        <f ca="1">IF(AND(SUMIF(Capacity_Resource,$D177,'Critical resources (hide)'!AF$6:AF$105)+SUMIF(Capacity_Resource,$E177,'Critical resources (hide)'!AF$6:AF$105)+SUMIF(Capacity_Resource,$F177,'Critical resources (hide)'!AF$6:AF$105)&gt;0,$E$1=2),0,1)</f>
        <v>1</v>
      </c>
      <c r="T177" s="67">
        <f ca="1">IF(AND(SUMIF(Capacity_Resource,$D177,'Critical resources (hide)'!AG$6:AG$105)+SUMIF(Capacity_Resource,$E177,'Critical resources (hide)'!AG$6:AG$105)+SUMIF(Capacity_Resource,$F177,'Critical resources (hide)'!AG$6:AG$105)&gt;0,$E$1=2),0,1)</f>
        <v>1</v>
      </c>
      <c r="U177" s="67">
        <f ca="1">IF(AND(SUMIF(Capacity_Resource,$D177,'Critical resources (hide)'!AH$6:AH$105)+SUMIF(Capacity_Resource,$E177,'Critical resources (hide)'!AH$6:AH$105)+SUMIF(Capacity_Resource,$F177,'Critical resources (hide)'!AH$6:AH$105)&gt;0,$E$1=2),0,1)</f>
        <v>1</v>
      </c>
      <c r="V177" s="67">
        <f ca="1">IF(AND(SUMIF(Capacity_Resource,$D177,'Critical resources (hide)'!AI$6:AI$105)+SUMIF(Capacity_Resource,$E177,'Critical resources (hide)'!AI$6:AI$105)+SUMIF(Capacity_Resource,$F177,'Critical resources (hide)'!AI$6:AI$105)&gt;0,$E$1=2),0,1)</f>
        <v>1</v>
      </c>
      <c r="W177" s="67">
        <f ca="1">IF(AND(SUMIF(Capacity_Resource,$D177,'Critical resources (hide)'!AJ$6:AJ$105)+SUMIF(Capacity_Resource,$E177,'Critical resources (hide)'!AJ$6:AJ$105)+SUMIF(Capacity_Resource,$F177,'Critical resources (hide)'!AJ$6:AJ$105)&gt;0,$E$1=2),0,1)</f>
        <v>1</v>
      </c>
      <c r="X177" s="67">
        <f ca="1">IF(AND(SUMIF(Capacity_Resource,$D177,'Critical resources (hide)'!AK$6:AK$105)+SUMIF(Capacity_Resource,$E177,'Critical resources (hide)'!AK$6:AK$105)+SUMIF(Capacity_Resource,$F177,'Critical resources (hide)'!AK$6:AK$105)&gt;0,$E$1=2),0,1)</f>
        <v>1</v>
      </c>
      <c r="Y177" s="67">
        <f ca="1">IF(AND(SUMIF(Capacity_Resource,$D177,'Critical resources (hide)'!AL$6:AL$105)+SUMIF(Capacity_Resource,$E177,'Critical resources (hide)'!AL$6:AL$105)+SUMIF(Capacity_Resource,$F177,'Critical resources (hide)'!AL$6:AL$105)&gt;0,$E$1=2),0,1)</f>
        <v>1</v>
      </c>
      <c r="Z177" s="67">
        <f ca="1">IF(AND(SUMIF(Capacity_Resource,$D177,'Critical resources (hide)'!AM$6:AM$105)+SUMIF(Capacity_Resource,$E177,'Critical resources (hide)'!AM$6:AM$105)+SUMIF(Capacity_Resource,$F177,'Critical resources (hide)'!AM$6:AM$105)&gt;0,$E$1=2),0,1)</f>
        <v>1</v>
      </c>
      <c r="AA177" s="67">
        <f ca="1">IF(AND(SUMIF(Capacity_Resource,$D177,'Critical resources (hide)'!AN$6:AN$105)+SUMIF(Capacity_Resource,$E177,'Critical resources (hide)'!AN$6:AN$105)+SUMIF(Capacity_Resource,$F177,'Critical resources (hide)'!AN$6:AN$105)&gt;0,$E$1=2),0,1)</f>
        <v>1</v>
      </c>
      <c r="AB177" s="67">
        <f ca="1">IF(AND(SUMIF(Capacity_Resource,$D177,'Critical resources (hide)'!AO$6:AO$105)+SUMIF(Capacity_Resource,$E177,'Critical resources (hide)'!AO$6:AO$105)+SUMIF(Capacity_Resource,$F177,'Critical resources (hide)'!AO$6:AO$105)&gt;0,$E$1=2),0,1)</f>
        <v>1</v>
      </c>
      <c r="AC177" s="67">
        <f ca="1">IF(AND(SUMIF(Capacity_Resource,$D177,'Critical resources (hide)'!AP$6:AP$105)+SUMIF(Capacity_Resource,$E177,'Critical resources (hide)'!AP$6:AP$105)+SUMIF(Capacity_Resource,$F177,'Critical resources (hide)'!AP$6:AP$105)&gt;0,$E$1=2),0,1)</f>
        <v>1</v>
      </c>
      <c r="AD177" s="67">
        <f ca="1">IF(AND(SUMIF(Capacity_Resource,$D177,'Critical resources (hide)'!AQ$6:AQ$105)+SUMIF(Capacity_Resource,$E177,'Critical resources (hide)'!AQ$6:AQ$105)+SUMIF(Capacity_Resource,$F177,'Critical resources (hide)'!AQ$6:AQ$105)&gt;0,$E$1=2),0,1)</f>
        <v>1</v>
      </c>
      <c r="AE177" s="67">
        <f ca="1">IF(AND(SUMIF(Capacity_Resource,$D177,'Critical resources (hide)'!AR$6:AR$105)+SUMIF(Capacity_Resource,$E177,'Critical resources (hide)'!AR$6:AR$105)+SUMIF(Capacity_Resource,$F177,'Critical resources (hide)'!AR$6:AR$105)&gt;0,$E$1=2),0,1)</f>
        <v>1</v>
      </c>
      <c r="AF177" s="67">
        <f ca="1">IF(AND(SUMIF(Capacity_Resource,$D177,'Critical resources (hide)'!AS$6:AS$105)+SUMIF(Capacity_Resource,$E177,'Critical resources (hide)'!AS$6:AS$105)+SUMIF(Capacity_Resource,$F177,'Critical resources (hide)'!AS$6:AS$105)&gt;0,$E$1=2),0,1)</f>
        <v>1</v>
      </c>
      <c r="AG177" s="67">
        <f ca="1">IF(AND(SUMIF(Capacity_Resource,$D177,'Critical resources (hide)'!AT$6:AT$105)+SUMIF(Capacity_Resource,$E177,'Critical resources (hide)'!AT$6:AT$105)+SUMIF(Capacity_Resource,$F177,'Critical resources (hide)'!AT$6:AT$105)&gt;0,$E$1=2),0,1)</f>
        <v>1</v>
      </c>
      <c r="AH177" s="67">
        <f ca="1">IF(AND(SUMIF(Capacity_Resource,$D177,'Critical resources (hide)'!AU$6:AU$105)+SUMIF(Capacity_Resource,$E177,'Critical resources (hide)'!AU$6:AU$105)+SUMIF(Capacity_Resource,$F177,'Critical resources (hide)'!AU$6:AU$105)&gt;0,$E$1=2),0,1)</f>
        <v>1</v>
      </c>
      <c r="AI177" s="67">
        <f ca="1">IF(AND(SUMIF(Capacity_Resource,$D177,'Critical resources (hide)'!AV$6:AV$105)+SUMIF(Capacity_Resource,$E177,'Critical resources (hide)'!AV$6:AV$105)+SUMIF(Capacity_Resource,$F177,'Critical resources (hide)'!AV$6:AV$105)&gt;0,$E$1=2),0,1)</f>
        <v>1</v>
      </c>
      <c r="AJ177" s="67">
        <f ca="1">IF(AND(SUMIF(Capacity_Resource,$D177,'Critical resources (hide)'!AW$6:AW$105)+SUMIF(Capacity_Resource,$E177,'Critical resources (hide)'!AW$6:AW$105)+SUMIF(Capacity_Resource,$F177,'Critical resources (hide)'!AW$6:AW$105)&gt;0,$E$1=2),0,1)</f>
        <v>1</v>
      </c>
      <c r="AK177" s="67">
        <f ca="1">IF(AND(SUMIF(Capacity_Resource,$D177,'Critical resources (hide)'!AX$6:AX$105)+SUMIF(Capacity_Resource,$E177,'Critical resources (hide)'!AX$6:AX$105)+SUMIF(Capacity_Resource,$F177,'Critical resources (hide)'!AX$6:AX$105)&gt;0,$E$1=2),0,1)</f>
        <v>1</v>
      </c>
      <c r="AL177" s="67">
        <f ca="1">IF(AND(SUMIF(Capacity_Resource,$D177,'Critical resources (hide)'!AY$6:AY$105)+SUMIF(Capacity_Resource,$E177,'Critical resources (hide)'!AY$6:AY$105)+SUMIF(Capacity_Resource,$F177,'Critical resources (hide)'!AY$6:AY$105)&gt;0,$E$1=2),0,1)</f>
        <v>1</v>
      </c>
      <c r="AM177" s="67">
        <f ca="1">IF(AND(SUMIF(Capacity_Resource,$D177,'Critical resources (hide)'!AZ$6:AZ$105)+SUMIF(Capacity_Resource,$E177,'Critical resources (hide)'!AZ$6:AZ$105)+SUMIF(Capacity_Resource,$F177,'Critical resources (hide)'!AZ$6:AZ$105)&gt;0,$E$1=2),0,1)</f>
        <v>1</v>
      </c>
      <c r="AN177" s="67">
        <f ca="1">IF(AND(SUMIF(Capacity_Resource,$D177,'Critical resources (hide)'!BA$6:BA$105)+SUMIF(Capacity_Resource,$E177,'Critical resources (hide)'!BA$6:BA$105)+SUMIF(Capacity_Resource,$F177,'Critical resources (hide)'!BA$6:BA$105)&gt;0,$E$1=2),0,1)</f>
        <v>1</v>
      </c>
      <c r="AO177" s="67">
        <f ca="1">IF(AND(SUMIF(Capacity_Resource,$D177,'Critical resources (hide)'!BB$6:BB$105)+SUMIF(Capacity_Resource,$E177,'Critical resources (hide)'!BB$6:BB$105)+SUMIF(Capacity_Resource,$F177,'Critical resources (hide)'!BB$6:BB$105)&gt;0,$E$1=2),0,1)</f>
        <v>1</v>
      </c>
      <c r="AP177" s="67">
        <f ca="1">IF(AND(SUMIF(Capacity_Resource,$D177,'Critical resources (hide)'!BC$6:BC$105)+SUMIF(Capacity_Resource,$E177,'Critical resources (hide)'!BC$6:BC$105)+SUMIF(Capacity_Resource,$F177,'Critical resources (hide)'!BC$6:BC$105)&gt;0,$E$1=2),0,1)</f>
        <v>1</v>
      </c>
      <c r="AQ177" s="67">
        <f ca="1">IF(AND(SUMIF(Capacity_Resource,$D177,'Critical resources (hide)'!BD$6:BD$105)+SUMIF(Capacity_Resource,$E177,'Critical resources (hide)'!BD$6:BD$105)+SUMIF(Capacity_Resource,$F177,'Critical resources (hide)'!BD$6:BD$105)&gt;0,$E$1=2),0,1)</f>
        <v>1</v>
      </c>
      <c r="AR177" s="67">
        <f ca="1">IF(AND(SUMIF(Capacity_Resource,$D177,'Critical resources (hide)'!BE$6:BE$105)+SUMIF(Capacity_Resource,$E177,'Critical resources (hide)'!BE$6:BE$105)+SUMIF(Capacity_Resource,$F177,'Critical resources (hide)'!BE$6:BE$105)&gt;0,$E$1=2),0,1)</f>
        <v>1</v>
      </c>
      <c r="AS177" s="67">
        <f ca="1">IF(AND(SUMIF(Capacity_Resource,$D177,'Critical resources (hide)'!BF$6:BF$105)+SUMIF(Capacity_Resource,$E177,'Critical resources (hide)'!BF$6:BF$105)+SUMIF(Capacity_Resource,$F177,'Critical resources (hide)'!BF$6:BF$105)&gt;0,$E$1=2),0,1)</f>
        <v>1</v>
      </c>
      <c r="AT177" s="67">
        <f ca="1">IF(AND(SUMIF(Capacity_Resource,$D177,'Critical resources (hide)'!BG$6:BG$105)+SUMIF(Capacity_Resource,$E177,'Critical resources (hide)'!BG$6:BG$105)+SUMIF(Capacity_Resource,$F177,'Critical resources (hide)'!BG$6:BG$105)&gt;0,$E$1=2),0,1)</f>
        <v>1</v>
      </c>
      <c r="AU177" s="67">
        <f ca="1">IF(AND(SUMIF(Capacity_Resource,$D177,'Critical resources (hide)'!BH$6:BH$105)+SUMIF(Capacity_Resource,$E177,'Critical resources (hide)'!BH$6:BH$105)+SUMIF(Capacity_Resource,$F177,'Critical resources (hide)'!BH$6:BH$105)&gt;0,$E$1=2),0,1)</f>
        <v>1</v>
      </c>
      <c r="AV177" s="67">
        <f ca="1">IF(AND(SUMIF(Capacity_Resource,$D177,'Critical resources (hide)'!BI$6:BI$105)+SUMIF(Capacity_Resource,$E177,'Critical resources (hide)'!BI$6:BI$105)+SUMIF(Capacity_Resource,$F177,'Critical resources (hide)'!BI$6:BI$105)&gt;0,$E$1=2),0,1)</f>
        <v>1</v>
      </c>
      <c r="AW177" s="67">
        <f ca="1">IF(AND(SUMIF(Capacity_Resource,$D177,'Critical resources (hide)'!BJ$6:BJ$105)+SUMIF(Capacity_Resource,$E177,'Critical resources (hide)'!BJ$6:BJ$105)+SUMIF(Capacity_Resource,$F177,'Critical resources (hide)'!BJ$6:BJ$105)&gt;0,$E$1=2),0,1)</f>
        <v>1</v>
      </c>
      <c r="AX177" s="67">
        <f ca="1">IF(AND(SUMIF(Capacity_Resource,$D177,'Critical resources (hide)'!BK$6:BK$105)+SUMIF(Capacity_Resource,$E177,'Critical resources (hide)'!BK$6:BK$105)+SUMIF(Capacity_Resource,$F177,'Critical resources (hide)'!BK$6:BK$105)&gt;0,$E$1=2),0,1)</f>
        <v>1</v>
      </c>
      <c r="AY177" s="67">
        <f ca="1">IF(AND(SUMIF(Capacity_Resource,$D177,'Critical resources (hide)'!BL$6:BL$105)+SUMIF(Capacity_Resource,$E177,'Critical resources (hide)'!BL$6:BL$105)+SUMIF(Capacity_Resource,$F177,'Critical resources (hide)'!BL$6:BL$105)&gt;0,$E$1=2),0,1)</f>
        <v>1</v>
      </c>
      <c r="AZ177" s="67">
        <f ca="1">IF(AND(SUMIF(Capacity_Resource,$D177,'Critical resources (hide)'!BM$6:BM$105)+SUMIF(Capacity_Resource,$E177,'Critical resources (hide)'!BM$6:BM$105)+SUMIF(Capacity_Resource,$F177,'Critical resources (hide)'!BM$6:BM$105)&gt;0,$E$1=2),0,1)</f>
        <v>1</v>
      </c>
      <c r="BA177" s="67">
        <f ca="1">IF(AND(SUMIF(Capacity_Resource,$D177,'Critical resources (hide)'!BN$6:BN$105)+SUMIF(Capacity_Resource,$E177,'Critical resources (hide)'!BN$6:BN$105)+SUMIF(Capacity_Resource,$F177,'Critical resources (hide)'!BN$6:BN$105)&gt;0,$E$1=2),0,1)</f>
        <v>1</v>
      </c>
      <c r="BB177" s="67">
        <f ca="1">IF(AND(SUMIF(Capacity_Resource,$D177,'Critical resources (hide)'!BO$6:BO$105)+SUMIF(Capacity_Resource,$E177,'Critical resources (hide)'!BO$6:BO$105)+SUMIF(Capacity_Resource,$F177,'Critical resources (hide)'!BO$6:BO$105)&gt;0,$E$1=2),0,1)</f>
        <v>1</v>
      </c>
      <c r="BC177" s="67">
        <f ca="1">IF(AND(SUMIF(Capacity_Resource,$D177,'Critical resources (hide)'!BP$6:BP$105)+SUMIF(Capacity_Resource,$E177,'Critical resources (hide)'!BP$6:BP$105)+SUMIF(Capacity_Resource,$F177,'Critical resources (hide)'!BP$6:BP$105)&gt;0,$E$1=2),0,1)</f>
        <v>1</v>
      </c>
      <c r="BD177" s="67">
        <f ca="1">IF(AND(SUMIF(Capacity_Resource,$D177,'Critical resources (hide)'!BQ$6:BQ$105)+SUMIF(Capacity_Resource,$E177,'Critical resources (hide)'!BQ$6:BQ$105)+SUMIF(Capacity_Resource,$F177,'Critical resources (hide)'!BQ$6:BQ$105)&gt;0,$E$1=2),0,1)</f>
        <v>1</v>
      </c>
      <c r="BE177" s="67">
        <f ca="1">IF(AND(SUMIF(Capacity_Resource,$D177,'Critical resources (hide)'!BR$6:BR$105)+SUMIF(Capacity_Resource,$E177,'Critical resources (hide)'!BR$6:BR$105)+SUMIF(Capacity_Resource,$F177,'Critical resources (hide)'!BR$6:BR$105)&gt;0,$E$1=2),0,1)</f>
        <v>1</v>
      </c>
      <c r="BF177" s="67">
        <f ca="1">IF(AND(SUMIF(Capacity_Resource,$D177,'Critical resources (hide)'!BS$6:BS$105)+SUMIF(Capacity_Resource,$E177,'Critical resources (hide)'!BS$6:BS$105)+SUMIF(Capacity_Resource,$F177,'Critical resources (hide)'!BS$6:BS$105)&gt;0,$E$1=2),0,1)</f>
        <v>1</v>
      </c>
      <c r="BG177" s="67">
        <f ca="1">IF(AND(SUMIF(Capacity_Resource,$D177,'Critical resources (hide)'!BT$6:BT$105)+SUMIF(Capacity_Resource,$E177,'Critical resources (hide)'!BT$6:BT$105)+SUMIF(Capacity_Resource,$F177,'Critical resources (hide)'!BT$6:BT$105)&gt;0,$E$1=2),0,1)</f>
        <v>1</v>
      </c>
      <c r="BH177" s="67">
        <f>IF(ROW(A66)&lt;=Capacity!$M$16,IF('Capacity summary'!$C$14="No",SUM(H177:BG177),'Capacity summary'!$E89),0)</f>
        <v>0</v>
      </c>
      <c r="BI177" s="67" t="str">
        <f>IF(BH177&gt;0,IF(BH177&lt;Capacity!Q82,Capacity!R82,Capacity!T82/'Capacity calculation (hide)'!BH177),"")</f>
        <v/>
      </c>
      <c r="BJ177" s="5"/>
      <c r="BK177" s="5">
        <f>IF($BI177&lt;&gt;"",IF('Capacity summary'!$C$14="Yes",IF(COUNTBLANK('Capacity summary'!$H89:$BG89)&lt;52,IF('Capacity summary'!H89&lt;&gt;"",IF(LOWER('Capacity summary'!H89)="x",$BI177*H177,VALUE('Capacity summary'!H89)),0),H177*$BI177),H177*$BI177),0)</f>
        <v>0</v>
      </c>
      <c r="BL177" s="5">
        <f>IF($BI177&lt;&gt;"",IF('Capacity summary'!$C$14="Yes",IF(COUNTBLANK('Capacity summary'!$H89:$BG89)&lt;52,IF('Capacity summary'!I89&lt;&gt;"",IF(LOWER('Capacity summary'!I89)="x",$BI177*I177,VALUE('Capacity summary'!I89)),0),I177*$BI177),I177*$BI177),0)</f>
        <v>0</v>
      </c>
      <c r="BM177" s="5">
        <f>IF($BI177&lt;&gt;"",IF('Capacity summary'!$C$14="Yes",IF(COUNTBLANK('Capacity summary'!$H89:$BG89)&lt;52,IF('Capacity summary'!J89&lt;&gt;"",IF(LOWER('Capacity summary'!J89)="x",$BI177*J177,VALUE('Capacity summary'!J89)),0),J177*$BI177),J177*$BI177),0)</f>
        <v>0</v>
      </c>
      <c r="BN177" s="5">
        <f>IF($BI177&lt;&gt;"",IF('Capacity summary'!$C$14="Yes",IF(COUNTBLANK('Capacity summary'!$H89:$BG89)&lt;52,IF('Capacity summary'!K89&lt;&gt;"",IF(LOWER('Capacity summary'!K89)="x",$BI177*K177,VALUE('Capacity summary'!K89)),0),K177*$BI177),K177*$BI177),0)</f>
        <v>0</v>
      </c>
      <c r="BO177" s="5">
        <f>IF($BI177&lt;&gt;"",IF('Capacity summary'!$C$14="Yes",IF(COUNTBLANK('Capacity summary'!$H89:$BG89)&lt;52,IF('Capacity summary'!L89&lt;&gt;"",IF(LOWER('Capacity summary'!L89)="x",$BI177*L177,VALUE('Capacity summary'!L89)),0),L177*$BI177),L177*$BI177),0)</f>
        <v>0</v>
      </c>
      <c r="BP177" s="5">
        <f>IF($BI177&lt;&gt;"",IF('Capacity summary'!$C$14="Yes",IF(COUNTBLANK('Capacity summary'!$H89:$BG89)&lt;52,IF('Capacity summary'!M89&lt;&gt;"",IF(LOWER('Capacity summary'!M89)="x",$BI177*M177,VALUE('Capacity summary'!M89)),0),M177*$BI177),M177*$BI177),0)</f>
        <v>0</v>
      </c>
      <c r="BQ177" s="5">
        <f>IF($BI177&lt;&gt;"",IF('Capacity summary'!$C$14="Yes",IF(COUNTBLANK('Capacity summary'!$H89:$BG89)&lt;52,IF('Capacity summary'!N89&lt;&gt;"",IF(LOWER('Capacity summary'!N89)="x",$BI177*N177,VALUE('Capacity summary'!N89)),0),N177*$BI177),N177*$BI177),0)</f>
        <v>0</v>
      </c>
      <c r="BR177" s="5">
        <f>IF($BI177&lt;&gt;"",IF('Capacity summary'!$C$14="Yes",IF(COUNTBLANK('Capacity summary'!$H89:$BG89)&lt;52,IF('Capacity summary'!O89&lt;&gt;"",IF(LOWER('Capacity summary'!O89)="x",$BI177*O177,VALUE('Capacity summary'!O89)),0),O177*$BI177),O177*$BI177),0)</f>
        <v>0</v>
      </c>
      <c r="BS177" s="5">
        <f>IF($BI177&lt;&gt;"",IF('Capacity summary'!$C$14="Yes",IF(COUNTBLANK('Capacity summary'!$H89:$BG89)&lt;52,IF('Capacity summary'!P89&lt;&gt;"",IF(LOWER('Capacity summary'!P89)="x",$BI177*P177,VALUE('Capacity summary'!P89)),0),P177*$BI177),P177*$BI177),0)</f>
        <v>0</v>
      </c>
      <c r="BT177" s="5">
        <f>IF($BI177&lt;&gt;"",IF('Capacity summary'!$C$14="Yes",IF(COUNTBLANK('Capacity summary'!$H89:$BG89)&lt;52,IF('Capacity summary'!Q89&lt;&gt;"",IF(LOWER('Capacity summary'!Q89)="x",$BI177*Q177,VALUE('Capacity summary'!Q89)),0),Q177*$BI177),Q177*$BI177),0)</f>
        <v>0</v>
      </c>
      <c r="BU177" s="5">
        <f>IF($BI177&lt;&gt;"",IF('Capacity summary'!$C$14="Yes",IF(COUNTBLANK('Capacity summary'!$H89:$BG89)&lt;52,IF('Capacity summary'!R89&lt;&gt;"",IF(LOWER('Capacity summary'!R89)="x",$BI177*R177,VALUE('Capacity summary'!R89)),0),R177*$BI177),R177*$BI177),0)</f>
        <v>0</v>
      </c>
      <c r="BV177" s="5">
        <f>IF($BI177&lt;&gt;"",IF('Capacity summary'!$C$14="Yes",IF(COUNTBLANK('Capacity summary'!$H89:$BG89)&lt;52,IF('Capacity summary'!S89&lt;&gt;"",IF(LOWER('Capacity summary'!S89)="x",$BI177*S177,VALUE('Capacity summary'!S89)),0),S177*$BI177),S177*$BI177),0)</f>
        <v>0</v>
      </c>
      <c r="BW177" s="5">
        <f>IF($BI177&lt;&gt;"",IF('Capacity summary'!$C$14="Yes",IF(COUNTBLANK('Capacity summary'!$H89:$BG89)&lt;52,IF('Capacity summary'!T89&lt;&gt;"",IF(LOWER('Capacity summary'!T89)="x",$BI177*T177,VALUE('Capacity summary'!T89)),0),T177*$BI177),T177*$BI177),0)</f>
        <v>0</v>
      </c>
      <c r="BX177" s="5">
        <f>IF($BI177&lt;&gt;"",IF('Capacity summary'!$C$14="Yes",IF(COUNTBLANK('Capacity summary'!$H89:$BG89)&lt;52,IF('Capacity summary'!U89&lt;&gt;"",IF(LOWER('Capacity summary'!U89)="x",$BI177*U177,VALUE('Capacity summary'!U89)),0),U177*$BI177),U177*$BI177),0)</f>
        <v>0</v>
      </c>
      <c r="BY177" s="5">
        <f>IF($BI177&lt;&gt;"",IF('Capacity summary'!$C$14="Yes",IF(COUNTBLANK('Capacity summary'!$H89:$BG89)&lt;52,IF('Capacity summary'!V89&lt;&gt;"",IF(LOWER('Capacity summary'!V89)="x",$BI177*V177,VALUE('Capacity summary'!V89)),0),V177*$BI177),V177*$BI177),0)</f>
        <v>0</v>
      </c>
      <c r="BZ177" s="5">
        <f>IF($BI177&lt;&gt;"",IF('Capacity summary'!$C$14="Yes",IF(COUNTBLANK('Capacity summary'!$H89:$BG89)&lt;52,IF('Capacity summary'!W89&lt;&gt;"",IF(LOWER('Capacity summary'!W89)="x",$BI177*W177,VALUE('Capacity summary'!W89)),0),W177*$BI177),W177*$BI177),0)</f>
        <v>0</v>
      </c>
      <c r="CA177" s="5">
        <f>IF($BI177&lt;&gt;"",IF('Capacity summary'!$C$14="Yes",IF(COUNTBLANK('Capacity summary'!$H89:$BG89)&lt;52,IF('Capacity summary'!X89&lt;&gt;"",IF(LOWER('Capacity summary'!X89)="x",$BI177*X177,VALUE('Capacity summary'!X89)),0),X177*$BI177),X177*$BI177),0)</f>
        <v>0</v>
      </c>
      <c r="CB177" s="5">
        <f>IF($BI177&lt;&gt;"",IF('Capacity summary'!$C$14="Yes",IF(COUNTBLANK('Capacity summary'!$H89:$BG89)&lt;52,IF('Capacity summary'!Y89&lt;&gt;"",IF(LOWER('Capacity summary'!Y89)="x",$BI177*Y177,VALUE('Capacity summary'!Y89)),0),Y177*$BI177),Y177*$BI177),0)</f>
        <v>0</v>
      </c>
      <c r="CC177" s="5">
        <f>IF($BI177&lt;&gt;"",IF('Capacity summary'!$C$14="Yes",IF(COUNTBLANK('Capacity summary'!$H89:$BG89)&lt;52,IF('Capacity summary'!Z89&lt;&gt;"",IF(LOWER('Capacity summary'!Z89)="x",$BI177*Z177,VALUE('Capacity summary'!Z89)),0),Z177*$BI177),Z177*$BI177),0)</f>
        <v>0</v>
      </c>
      <c r="CD177" s="5">
        <f>IF($BI177&lt;&gt;"",IF('Capacity summary'!$C$14="Yes",IF(COUNTBLANK('Capacity summary'!$H89:$BG89)&lt;52,IF('Capacity summary'!AA89&lt;&gt;"",IF(LOWER('Capacity summary'!AA89)="x",$BI177*AA177,VALUE('Capacity summary'!AA89)),0),AA177*$BI177),AA177*$BI177),0)</f>
        <v>0</v>
      </c>
      <c r="CE177" s="5">
        <f>IF($BI177&lt;&gt;"",IF('Capacity summary'!$C$14="Yes",IF(COUNTBLANK('Capacity summary'!$H89:$BG89)&lt;52,IF('Capacity summary'!AB89&lt;&gt;"",IF(LOWER('Capacity summary'!AB89)="x",$BI177*AB177,VALUE('Capacity summary'!AB89)),0),AB177*$BI177),AB177*$BI177),0)</f>
        <v>0</v>
      </c>
      <c r="CF177" s="5">
        <f>IF($BI177&lt;&gt;"",IF('Capacity summary'!$C$14="Yes",IF(COUNTBLANK('Capacity summary'!$H89:$BG89)&lt;52,IF('Capacity summary'!AC89&lt;&gt;"",IF(LOWER('Capacity summary'!AC89)="x",$BI177*AC177,VALUE('Capacity summary'!AC89)),0),AC177*$BI177),AC177*$BI177),0)</f>
        <v>0</v>
      </c>
      <c r="CG177" s="5">
        <f>IF($BI177&lt;&gt;"",IF('Capacity summary'!$C$14="Yes",IF(COUNTBLANK('Capacity summary'!$H89:$BG89)&lt;52,IF('Capacity summary'!AD89&lt;&gt;"",IF(LOWER('Capacity summary'!AD89)="x",$BI177*AD177,VALUE('Capacity summary'!AD89)),0),AD177*$BI177),AD177*$BI177),0)</f>
        <v>0</v>
      </c>
      <c r="CH177" s="5">
        <f>IF($BI177&lt;&gt;"",IF('Capacity summary'!$C$14="Yes",IF(COUNTBLANK('Capacity summary'!$H89:$BG89)&lt;52,IF('Capacity summary'!AE89&lt;&gt;"",IF(LOWER('Capacity summary'!AE89)="x",$BI177*AE177,VALUE('Capacity summary'!AE89)),0),AE177*$BI177),AE177*$BI177),0)</f>
        <v>0</v>
      </c>
      <c r="CI177" s="5">
        <f>IF($BI177&lt;&gt;"",IF('Capacity summary'!$C$14="Yes",IF(COUNTBLANK('Capacity summary'!$H89:$BG89)&lt;52,IF('Capacity summary'!AF89&lt;&gt;"",IF(LOWER('Capacity summary'!AF89)="x",$BI177*AF177,VALUE('Capacity summary'!AF89)),0),AF177*$BI177),AF177*$BI177),0)</f>
        <v>0</v>
      </c>
      <c r="CJ177" s="5">
        <f>IF($BI177&lt;&gt;"",IF('Capacity summary'!$C$14="Yes",IF(COUNTBLANK('Capacity summary'!$H89:$BG89)&lt;52,IF('Capacity summary'!AG89&lt;&gt;"",IF(LOWER('Capacity summary'!AG89)="x",$BI177*AG177,VALUE('Capacity summary'!AG89)),0),AG177*$BI177),AG177*$BI177),0)</f>
        <v>0</v>
      </c>
      <c r="CK177" s="5">
        <f>IF($BI177&lt;&gt;"",IF('Capacity summary'!$C$14="Yes",IF(COUNTBLANK('Capacity summary'!$H89:$BG89)&lt;52,IF('Capacity summary'!AH89&lt;&gt;"",IF(LOWER('Capacity summary'!AH89)="x",$BI177*AH177,VALUE('Capacity summary'!AH89)),0),AH177*$BI177),AH177*$BI177),0)</f>
        <v>0</v>
      </c>
      <c r="CL177" s="5">
        <f>IF($BI177&lt;&gt;"",IF('Capacity summary'!$C$14="Yes",IF(COUNTBLANK('Capacity summary'!$H89:$BG89)&lt;52,IF('Capacity summary'!AI89&lt;&gt;"",IF(LOWER('Capacity summary'!AI89)="x",$BI177*AI177,VALUE('Capacity summary'!AI89)),0),AI177*$BI177),AI177*$BI177),0)</f>
        <v>0</v>
      </c>
      <c r="CM177" s="5">
        <f>IF($BI177&lt;&gt;"",IF('Capacity summary'!$C$14="Yes",IF(COUNTBLANK('Capacity summary'!$H89:$BG89)&lt;52,IF('Capacity summary'!AJ89&lt;&gt;"",IF(LOWER('Capacity summary'!AJ89)="x",$BI177*AJ177,VALUE('Capacity summary'!AJ89)),0),AJ177*$BI177),AJ177*$BI177),0)</f>
        <v>0</v>
      </c>
      <c r="CN177" s="5">
        <f>IF($BI177&lt;&gt;"",IF('Capacity summary'!$C$14="Yes",IF(COUNTBLANK('Capacity summary'!$H89:$BG89)&lt;52,IF('Capacity summary'!AK89&lt;&gt;"",IF(LOWER('Capacity summary'!AK89)="x",$BI177*AK177,VALUE('Capacity summary'!AK89)),0),AK177*$BI177),AK177*$BI177),0)</f>
        <v>0</v>
      </c>
      <c r="CO177" s="5">
        <f>IF($BI177&lt;&gt;"",IF('Capacity summary'!$C$14="Yes",IF(COUNTBLANK('Capacity summary'!$H89:$BG89)&lt;52,IF('Capacity summary'!AL89&lt;&gt;"",IF(LOWER('Capacity summary'!AL89)="x",$BI177*AL177,VALUE('Capacity summary'!AL89)),0),AL177*$BI177),AL177*$BI177),0)</f>
        <v>0</v>
      </c>
      <c r="CP177" s="5">
        <f>IF($BI177&lt;&gt;"",IF('Capacity summary'!$C$14="Yes",IF(COUNTBLANK('Capacity summary'!$H89:$BG89)&lt;52,IF('Capacity summary'!AM89&lt;&gt;"",IF(LOWER('Capacity summary'!AM89)="x",$BI177*AM177,VALUE('Capacity summary'!AM89)),0),AM177*$BI177),AM177*$BI177),0)</f>
        <v>0</v>
      </c>
      <c r="CQ177" s="5">
        <f>IF($BI177&lt;&gt;"",IF('Capacity summary'!$C$14="Yes",IF(COUNTBLANK('Capacity summary'!$H89:$BG89)&lt;52,IF('Capacity summary'!AN89&lt;&gt;"",IF(LOWER('Capacity summary'!AN89)="x",$BI177*AN177,VALUE('Capacity summary'!AN89)),0),AN177*$BI177),AN177*$BI177),0)</f>
        <v>0</v>
      </c>
      <c r="CR177" s="5">
        <f>IF($BI177&lt;&gt;"",IF('Capacity summary'!$C$14="Yes",IF(COUNTBLANK('Capacity summary'!$H89:$BG89)&lt;52,IF('Capacity summary'!AO89&lt;&gt;"",IF(LOWER('Capacity summary'!AO89)="x",$BI177*AO177,VALUE('Capacity summary'!AO89)),0),AO177*$BI177),AO177*$BI177),0)</f>
        <v>0</v>
      </c>
      <c r="CS177" s="5">
        <f>IF($BI177&lt;&gt;"",IF('Capacity summary'!$C$14="Yes",IF(COUNTBLANK('Capacity summary'!$H89:$BG89)&lt;52,IF('Capacity summary'!AP89&lt;&gt;"",IF(LOWER('Capacity summary'!AP89)="x",$BI177*AP177,VALUE('Capacity summary'!AP89)),0),AP177*$BI177),AP177*$BI177),0)</f>
        <v>0</v>
      </c>
      <c r="CT177" s="5">
        <f>IF($BI177&lt;&gt;"",IF('Capacity summary'!$C$14="Yes",IF(COUNTBLANK('Capacity summary'!$H89:$BG89)&lt;52,IF('Capacity summary'!AQ89&lt;&gt;"",IF(LOWER('Capacity summary'!AQ89)="x",$BI177*AQ177,VALUE('Capacity summary'!AQ89)),0),AQ177*$BI177),AQ177*$BI177),0)</f>
        <v>0</v>
      </c>
      <c r="CU177" s="5">
        <f>IF($BI177&lt;&gt;"",IF('Capacity summary'!$C$14="Yes",IF(COUNTBLANK('Capacity summary'!$H89:$BG89)&lt;52,IF('Capacity summary'!AR89&lt;&gt;"",IF(LOWER('Capacity summary'!AR89)="x",$BI177*AR177,VALUE('Capacity summary'!AR89)),0),AR177*$BI177),AR177*$BI177),0)</f>
        <v>0</v>
      </c>
      <c r="CV177" s="5">
        <f>IF($BI177&lt;&gt;"",IF('Capacity summary'!$C$14="Yes",IF(COUNTBLANK('Capacity summary'!$H89:$BG89)&lt;52,IF('Capacity summary'!AS89&lt;&gt;"",IF(LOWER('Capacity summary'!AS89)="x",$BI177*AS177,VALUE('Capacity summary'!AS89)),0),AS177*$BI177),AS177*$BI177),0)</f>
        <v>0</v>
      </c>
      <c r="CW177" s="5">
        <f>IF($BI177&lt;&gt;"",IF('Capacity summary'!$C$14="Yes",IF(COUNTBLANK('Capacity summary'!$H89:$BG89)&lt;52,IF('Capacity summary'!AT89&lt;&gt;"",IF(LOWER('Capacity summary'!AT89)="x",$BI177*AT177,VALUE('Capacity summary'!AT89)),0),AT177*$BI177),AT177*$BI177),0)</f>
        <v>0</v>
      </c>
      <c r="CX177" s="5">
        <f>IF($BI177&lt;&gt;"",IF('Capacity summary'!$C$14="Yes",IF(COUNTBLANK('Capacity summary'!$H89:$BG89)&lt;52,IF('Capacity summary'!AU89&lt;&gt;"",IF(LOWER('Capacity summary'!AU89)="x",$BI177*AU177,VALUE('Capacity summary'!AU89)),0),AU177*$BI177),AU177*$BI177),0)</f>
        <v>0</v>
      </c>
      <c r="CY177" s="5">
        <f>IF($BI177&lt;&gt;"",IF('Capacity summary'!$C$14="Yes",IF(COUNTBLANK('Capacity summary'!$H89:$BG89)&lt;52,IF('Capacity summary'!AV89&lt;&gt;"",IF(LOWER('Capacity summary'!AV89)="x",$BI177*AV177,VALUE('Capacity summary'!AV89)),0),AV177*$BI177),AV177*$BI177),0)</f>
        <v>0</v>
      </c>
      <c r="CZ177" s="5">
        <f>IF($BI177&lt;&gt;"",IF('Capacity summary'!$C$14="Yes",IF(COUNTBLANK('Capacity summary'!$H89:$BG89)&lt;52,IF('Capacity summary'!AW89&lt;&gt;"",IF(LOWER('Capacity summary'!AW89)="x",$BI177*AW177,VALUE('Capacity summary'!AW89)),0),AW177*$BI177),AW177*$BI177),0)</f>
        <v>0</v>
      </c>
      <c r="DA177" s="5">
        <f>IF($BI177&lt;&gt;"",IF('Capacity summary'!$C$14="Yes",IF(COUNTBLANK('Capacity summary'!$H89:$BG89)&lt;52,IF('Capacity summary'!AX89&lt;&gt;"",IF(LOWER('Capacity summary'!AX89)="x",$BI177*AX177,VALUE('Capacity summary'!AX89)),0),AX177*$BI177),AX177*$BI177),0)</f>
        <v>0</v>
      </c>
      <c r="DB177" s="5">
        <f>IF($BI177&lt;&gt;"",IF('Capacity summary'!$C$14="Yes",IF(COUNTBLANK('Capacity summary'!$H89:$BG89)&lt;52,IF('Capacity summary'!AY89&lt;&gt;"",IF(LOWER('Capacity summary'!AY89)="x",$BI177*AY177,VALUE('Capacity summary'!AY89)),0),AY177*$BI177),AY177*$BI177),0)</f>
        <v>0</v>
      </c>
      <c r="DC177" s="5">
        <f>IF($BI177&lt;&gt;"",IF('Capacity summary'!$C$14="Yes",IF(COUNTBLANK('Capacity summary'!$H89:$BG89)&lt;52,IF('Capacity summary'!AZ89&lt;&gt;"",IF(LOWER('Capacity summary'!AZ89)="x",$BI177*AZ177,VALUE('Capacity summary'!AZ89)),0),AZ177*$BI177),AZ177*$BI177),0)</f>
        <v>0</v>
      </c>
      <c r="DD177" s="5">
        <f>IF($BI177&lt;&gt;"",IF('Capacity summary'!$C$14="Yes",IF(COUNTBLANK('Capacity summary'!$H89:$BG89)&lt;52,IF('Capacity summary'!BA89&lt;&gt;"",IF(LOWER('Capacity summary'!BA89)="x",$BI177*BA177,VALUE('Capacity summary'!BA89)),0),BA177*$BI177),BA177*$BI177),0)</f>
        <v>0</v>
      </c>
      <c r="DE177" s="5">
        <f>IF($BI177&lt;&gt;"",IF('Capacity summary'!$C$14="Yes",IF(COUNTBLANK('Capacity summary'!$H89:$BG89)&lt;52,IF('Capacity summary'!BB89&lt;&gt;"",IF(LOWER('Capacity summary'!BB89)="x",$BI177*BB177,VALUE('Capacity summary'!BB89)),0),BB177*$BI177),BB177*$BI177),0)</f>
        <v>0</v>
      </c>
      <c r="DF177" s="5">
        <f>IF($BI177&lt;&gt;"",IF('Capacity summary'!$C$14="Yes",IF(COUNTBLANK('Capacity summary'!$H89:$BG89)&lt;52,IF('Capacity summary'!BC89&lt;&gt;"",IF(LOWER('Capacity summary'!BC89)="x",$BI177*BC177,VALUE('Capacity summary'!BC89)),0),BC177*$BI177),BC177*$BI177),0)</f>
        <v>0</v>
      </c>
      <c r="DG177" s="5">
        <f>IF($BI177&lt;&gt;"",IF('Capacity summary'!$C$14="Yes",IF(COUNTBLANK('Capacity summary'!$H89:$BG89)&lt;52,IF('Capacity summary'!BD89&lt;&gt;"",IF(LOWER('Capacity summary'!BD89)="x",$BI177*BD177,VALUE('Capacity summary'!BD89)),0),BD177*$BI177),BD177*$BI177),0)</f>
        <v>0</v>
      </c>
      <c r="DH177" s="5">
        <f>IF($BI177&lt;&gt;"",IF('Capacity summary'!$C$14="Yes",IF(COUNTBLANK('Capacity summary'!$H89:$BG89)&lt;52,IF('Capacity summary'!BE89&lt;&gt;"",IF(LOWER('Capacity summary'!BE89)="x",$BI177*BE177,VALUE('Capacity summary'!BE89)),0),BE177*$BI177),BE177*$BI177),0)</f>
        <v>0</v>
      </c>
      <c r="DI177" s="5">
        <f>IF($BI177&lt;&gt;"",IF('Capacity summary'!$C$14="Yes",IF(COUNTBLANK('Capacity summary'!$H89:$BG89)&lt;52,IF('Capacity summary'!BF89&lt;&gt;"",IF(LOWER('Capacity summary'!BF89)="x",$BI177*BF177,VALUE('Capacity summary'!BF89)),0),BF177*$BI177),BF177*$BI177),0)</f>
        <v>0</v>
      </c>
      <c r="DJ177" s="5">
        <f>IF($BI177&lt;&gt;"",IF('Capacity summary'!$C$14="Yes",IF(COUNTBLANK('Capacity summary'!$H89:$BG89)&lt;52,IF('Capacity summary'!BG89&lt;&gt;"",IF(LOWER('Capacity summary'!BG89)="x",$BI177*BG177,VALUE('Capacity summary'!BG89)),0),BG177*$BI177),BG177*$BI177),0)</f>
        <v>0</v>
      </c>
      <c r="DK177" s="5">
        <f t="shared" ref="DK177" si="71">SUM(DK178:DK277)</f>
        <v>0</v>
      </c>
    </row>
    <row r="178" spans="3:115" x14ac:dyDescent="0.25">
      <c r="C178" s="67" t="str">
        <f>ROW(A67)&amp;". "&amp;Capacity!N83</f>
        <v xml:space="preserve">67. </v>
      </c>
      <c r="D178" s="67">
        <f>'Capacity setup'!C184</f>
        <v>0</v>
      </c>
      <c r="E178" s="67">
        <f>'Capacity setup'!D184</f>
        <v>0</v>
      </c>
      <c r="F178" s="67">
        <f>'Capacity setup'!E184</f>
        <v>0</v>
      </c>
      <c r="H178" s="67">
        <f ca="1">IF(AND(SUMIF(Capacity_Resource,$D178,'Critical resources (hide)'!U$6:U$105)+SUMIF(Capacity_Resource,$E178,'Critical resources (hide)'!U$6:U$105)+SUMIF(Capacity_Resource,$F178,'Critical resources (hide)'!U$6:U$105)&gt;0,$E$1=2),0,1)</f>
        <v>1</v>
      </c>
      <c r="I178" s="67">
        <f ca="1">IF(AND(SUMIF(Capacity_Resource,$D178,'Critical resources (hide)'!V$6:V$105)+SUMIF(Capacity_Resource,$E178,'Critical resources (hide)'!V$6:V$105)+SUMIF(Capacity_Resource,$F178,'Critical resources (hide)'!V$6:V$105)&gt;0,$E$1=2),0,1)</f>
        <v>1</v>
      </c>
      <c r="J178" s="67">
        <f ca="1">IF(AND(SUMIF(Capacity_Resource,$D178,'Critical resources (hide)'!W$6:W$105)+SUMIF(Capacity_Resource,$E178,'Critical resources (hide)'!W$6:W$105)+SUMIF(Capacity_Resource,$F178,'Critical resources (hide)'!W$6:W$105)&gt;0,$E$1=2),0,1)</f>
        <v>1</v>
      </c>
      <c r="K178" s="67">
        <f ca="1">IF(AND(SUMIF(Capacity_Resource,$D178,'Critical resources (hide)'!X$6:X$105)+SUMIF(Capacity_Resource,$E178,'Critical resources (hide)'!X$6:X$105)+SUMIF(Capacity_Resource,$F178,'Critical resources (hide)'!X$6:X$105)&gt;0,$E$1=2),0,1)</f>
        <v>1</v>
      </c>
      <c r="L178" s="67">
        <f ca="1">IF(AND(SUMIF(Capacity_Resource,$D178,'Critical resources (hide)'!Y$6:Y$105)+SUMIF(Capacity_Resource,$E178,'Critical resources (hide)'!Y$6:Y$105)+SUMIF(Capacity_Resource,$F178,'Critical resources (hide)'!Y$6:Y$105)&gt;0,$E$1=2),0,1)</f>
        <v>1</v>
      </c>
      <c r="M178" s="67">
        <f ca="1">IF(AND(SUMIF(Capacity_Resource,$D178,'Critical resources (hide)'!Z$6:Z$105)+SUMIF(Capacity_Resource,$E178,'Critical resources (hide)'!Z$6:Z$105)+SUMIF(Capacity_Resource,$F178,'Critical resources (hide)'!Z$6:Z$105)&gt;0,$E$1=2),0,1)</f>
        <v>1</v>
      </c>
      <c r="N178" s="67">
        <f ca="1">IF(AND(SUMIF(Capacity_Resource,$D178,'Critical resources (hide)'!AA$6:AA$105)+SUMIF(Capacity_Resource,$E178,'Critical resources (hide)'!AA$6:AA$105)+SUMIF(Capacity_Resource,$F178,'Critical resources (hide)'!AA$6:AA$105)&gt;0,$E$1=2),0,1)</f>
        <v>1</v>
      </c>
      <c r="O178" s="67">
        <f ca="1">IF(AND(SUMIF(Capacity_Resource,$D178,'Critical resources (hide)'!AB$6:AB$105)+SUMIF(Capacity_Resource,$E178,'Critical resources (hide)'!AB$6:AB$105)+SUMIF(Capacity_Resource,$F178,'Critical resources (hide)'!AB$6:AB$105)&gt;0,$E$1=2),0,1)</f>
        <v>1</v>
      </c>
      <c r="P178" s="67">
        <f ca="1">IF(AND(SUMIF(Capacity_Resource,$D178,'Critical resources (hide)'!AC$6:AC$105)+SUMIF(Capacity_Resource,$E178,'Critical resources (hide)'!AC$6:AC$105)+SUMIF(Capacity_Resource,$F178,'Critical resources (hide)'!AC$6:AC$105)&gt;0,$E$1=2),0,1)</f>
        <v>1</v>
      </c>
      <c r="Q178" s="67">
        <f ca="1">IF(AND(SUMIF(Capacity_Resource,$D178,'Critical resources (hide)'!AD$6:AD$105)+SUMIF(Capacity_Resource,$E178,'Critical resources (hide)'!AD$6:AD$105)+SUMIF(Capacity_Resource,$F178,'Critical resources (hide)'!AD$6:AD$105)&gt;0,$E$1=2),0,1)</f>
        <v>1</v>
      </c>
      <c r="R178" s="67">
        <f ca="1">IF(AND(SUMIF(Capacity_Resource,$D178,'Critical resources (hide)'!AE$6:AE$105)+SUMIF(Capacity_Resource,$E178,'Critical resources (hide)'!AE$6:AE$105)+SUMIF(Capacity_Resource,$F178,'Critical resources (hide)'!AE$6:AE$105)&gt;0,$E$1=2),0,1)</f>
        <v>1</v>
      </c>
      <c r="S178" s="67">
        <f ca="1">IF(AND(SUMIF(Capacity_Resource,$D178,'Critical resources (hide)'!AF$6:AF$105)+SUMIF(Capacity_Resource,$E178,'Critical resources (hide)'!AF$6:AF$105)+SUMIF(Capacity_Resource,$F178,'Critical resources (hide)'!AF$6:AF$105)&gt;0,$E$1=2),0,1)</f>
        <v>1</v>
      </c>
      <c r="T178" s="67">
        <f ca="1">IF(AND(SUMIF(Capacity_Resource,$D178,'Critical resources (hide)'!AG$6:AG$105)+SUMIF(Capacity_Resource,$E178,'Critical resources (hide)'!AG$6:AG$105)+SUMIF(Capacity_Resource,$F178,'Critical resources (hide)'!AG$6:AG$105)&gt;0,$E$1=2),0,1)</f>
        <v>1</v>
      </c>
      <c r="U178" s="67">
        <f ca="1">IF(AND(SUMIF(Capacity_Resource,$D178,'Critical resources (hide)'!AH$6:AH$105)+SUMIF(Capacity_Resource,$E178,'Critical resources (hide)'!AH$6:AH$105)+SUMIF(Capacity_Resource,$F178,'Critical resources (hide)'!AH$6:AH$105)&gt;0,$E$1=2),0,1)</f>
        <v>1</v>
      </c>
      <c r="V178" s="67">
        <f ca="1">IF(AND(SUMIF(Capacity_Resource,$D178,'Critical resources (hide)'!AI$6:AI$105)+SUMIF(Capacity_Resource,$E178,'Critical resources (hide)'!AI$6:AI$105)+SUMIF(Capacity_Resource,$F178,'Critical resources (hide)'!AI$6:AI$105)&gt;0,$E$1=2),0,1)</f>
        <v>1</v>
      </c>
      <c r="W178" s="67">
        <f ca="1">IF(AND(SUMIF(Capacity_Resource,$D178,'Critical resources (hide)'!AJ$6:AJ$105)+SUMIF(Capacity_Resource,$E178,'Critical resources (hide)'!AJ$6:AJ$105)+SUMIF(Capacity_Resource,$F178,'Critical resources (hide)'!AJ$6:AJ$105)&gt;0,$E$1=2),0,1)</f>
        <v>1</v>
      </c>
      <c r="X178" s="67">
        <f ca="1">IF(AND(SUMIF(Capacity_Resource,$D178,'Critical resources (hide)'!AK$6:AK$105)+SUMIF(Capacity_Resource,$E178,'Critical resources (hide)'!AK$6:AK$105)+SUMIF(Capacity_Resource,$F178,'Critical resources (hide)'!AK$6:AK$105)&gt;0,$E$1=2),0,1)</f>
        <v>1</v>
      </c>
      <c r="Y178" s="67">
        <f ca="1">IF(AND(SUMIF(Capacity_Resource,$D178,'Critical resources (hide)'!AL$6:AL$105)+SUMIF(Capacity_Resource,$E178,'Critical resources (hide)'!AL$6:AL$105)+SUMIF(Capacity_Resource,$F178,'Critical resources (hide)'!AL$6:AL$105)&gt;0,$E$1=2),0,1)</f>
        <v>1</v>
      </c>
      <c r="Z178" s="67">
        <f ca="1">IF(AND(SUMIF(Capacity_Resource,$D178,'Critical resources (hide)'!AM$6:AM$105)+SUMIF(Capacity_Resource,$E178,'Critical resources (hide)'!AM$6:AM$105)+SUMIF(Capacity_Resource,$F178,'Critical resources (hide)'!AM$6:AM$105)&gt;0,$E$1=2),0,1)</f>
        <v>1</v>
      </c>
      <c r="AA178" s="67">
        <f ca="1">IF(AND(SUMIF(Capacity_Resource,$D178,'Critical resources (hide)'!AN$6:AN$105)+SUMIF(Capacity_Resource,$E178,'Critical resources (hide)'!AN$6:AN$105)+SUMIF(Capacity_Resource,$F178,'Critical resources (hide)'!AN$6:AN$105)&gt;0,$E$1=2),0,1)</f>
        <v>1</v>
      </c>
      <c r="AB178" s="67">
        <f ca="1">IF(AND(SUMIF(Capacity_Resource,$D178,'Critical resources (hide)'!AO$6:AO$105)+SUMIF(Capacity_Resource,$E178,'Critical resources (hide)'!AO$6:AO$105)+SUMIF(Capacity_Resource,$F178,'Critical resources (hide)'!AO$6:AO$105)&gt;0,$E$1=2),0,1)</f>
        <v>1</v>
      </c>
      <c r="AC178" s="67">
        <f ca="1">IF(AND(SUMIF(Capacity_Resource,$D178,'Critical resources (hide)'!AP$6:AP$105)+SUMIF(Capacity_Resource,$E178,'Critical resources (hide)'!AP$6:AP$105)+SUMIF(Capacity_Resource,$F178,'Critical resources (hide)'!AP$6:AP$105)&gt;0,$E$1=2),0,1)</f>
        <v>1</v>
      </c>
      <c r="AD178" s="67">
        <f ca="1">IF(AND(SUMIF(Capacity_Resource,$D178,'Critical resources (hide)'!AQ$6:AQ$105)+SUMIF(Capacity_Resource,$E178,'Critical resources (hide)'!AQ$6:AQ$105)+SUMIF(Capacity_Resource,$F178,'Critical resources (hide)'!AQ$6:AQ$105)&gt;0,$E$1=2),0,1)</f>
        <v>1</v>
      </c>
      <c r="AE178" s="67">
        <f ca="1">IF(AND(SUMIF(Capacity_Resource,$D178,'Critical resources (hide)'!AR$6:AR$105)+SUMIF(Capacity_Resource,$E178,'Critical resources (hide)'!AR$6:AR$105)+SUMIF(Capacity_Resource,$F178,'Critical resources (hide)'!AR$6:AR$105)&gt;0,$E$1=2),0,1)</f>
        <v>1</v>
      </c>
      <c r="AF178" s="67">
        <f ca="1">IF(AND(SUMIF(Capacity_Resource,$D178,'Critical resources (hide)'!AS$6:AS$105)+SUMIF(Capacity_Resource,$E178,'Critical resources (hide)'!AS$6:AS$105)+SUMIF(Capacity_Resource,$F178,'Critical resources (hide)'!AS$6:AS$105)&gt;0,$E$1=2),0,1)</f>
        <v>1</v>
      </c>
      <c r="AG178" s="67">
        <f ca="1">IF(AND(SUMIF(Capacity_Resource,$D178,'Critical resources (hide)'!AT$6:AT$105)+SUMIF(Capacity_Resource,$E178,'Critical resources (hide)'!AT$6:AT$105)+SUMIF(Capacity_Resource,$F178,'Critical resources (hide)'!AT$6:AT$105)&gt;0,$E$1=2),0,1)</f>
        <v>1</v>
      </c>
      <c r="AH178" s="67">
        <f ca="1">IF(AND(SUMIF(Capacity_Resource,$D178,'Critical resources (hide)'!AU$6:AU$105)+SUMIF(Capacity_Resource,$E178,'Critical resources (hide)'!AU$6:AU$105)+SUMIF(Capacity_Resource,$F178,'Critical resources (hide)'!AU$6:AU$105)&gt;0,$E$1=2),0,1)</f>
        <v>1</v>
      </c>
      <c r="AI178" s="67">
        <f ca="1">IF(AND(SUMIF(Capacity_Resource,$D178,'Critical resources (hide)'!AV$6:AV$105)+SUMIF(Capacity_Resource,$E178,'Critical resources (hide)'!AV$6:AV$105)+SUMIF(Capacity_Resource,$F178,'Critical resources (hide)'!AV$6:AV$105)&gt;0,$E$1=2),0,1)</f>
        <v>1</v>
      </c>
      <c r="AJ178" s="67">
        <f ca="1">IF(AND(SUMIF(Capacity_Resource,$D178,'Critical resources (hide)'!AW$6:AW$105)+SUMIF(Capacity_Resource,$E178,'Critical resources (hide)'!AW$6:AW$105)+SUMIF(Capacity_Resource,$F178,'Critical resources (hide)'!AW$6:AW$105)&gt;0,$E$1=2),0,1)</f>
        <v>1</v>
      </c>
      <c r="AK178" s="67">
        <f ca="1">IF(AND(SUMIF(Capacity_Resource,$D178,'Critical resources (hide)'!AX$6:AX$105)+SUMIF(Capacity_Resource,$E178,'Critical resources (hide)'!AX$6:AX$105)+SUMIF(Capacity_Resource,$F178,'Critical resources (hide)'!AX$6:AX$105)&gt;0,$E$1=2),0,1)</f>
        <v>1</v>
      </c>
      <c r="AL178" s="67">
        <f ca="1">IF(AND(SUMIF(Capacity_Resource,$D178,'Critical resources (hide)'!AY$6:AY$105)+SUMIF(Capacity_Resource,$E178,'Critical resources (hide)'!AY$6:AY$105)+SUMIF(Capacity_Resource,$F178,'Critical resources (hide)'!AY$6:AY$105)&gt;0,$E$1=2),0,1)</f>
        <v>1</v>
      </c>
      <c r="AM178" s="67">
        <f ca="1">IF(AND(SUMIF(Capacity_Resource,$D178,'Critical resources (hide)'!AZ$6:AZ$105)+SUMIF(Capacity_Resource,$E178,'Critical resources (hide)'!AZ$6:AZ$105)+SUMIF(Capacity_Resource,$F178,'Critical resources (hide)'!AZ$6:AZ$105)&gt;0,$E$1=2),0,1)</f>
        <v>1</v>
      </c>
      <c r="AN178" s="67">
        <f ca="1">IF(AND(SUMIF(Capacity_Resource,$D178,'Critical resources (hide)'!BA$6:BA$105)+SUMIF(Capacity_Resource,$E178,'Critical resources (hide)'!BA$6:BA$105)+SUMIF(Capacity_Resource,$F178,'Critical resources (hide)'!BA$6:BA$105)&gt;0,$E$1=2),0,1)</f>
        <v>1</v>
      </c>
      <c r="AO178" s="67">
        <f ca="1">IF(AND(SUMIF(Capacity_Resource,$D178,'Critical resources (hide)'!BB$6:BB$105)+SUMIF(Capacity_Resource,$E178,'Critical resources (hide)'!BB$6:BB$105)+SUMIF(Capacity_Resource,$F178,'Critical resources (hide)'!BB$6:BB$105)&gt;0,$E$1=2),0,1)</f>
        <v>1</v>
      </c>
      <c r="AP178" s="67">
        <f ca="1">IF(AND(SUMIF(Capacity_Resource,$D178,'Critical resources (hide)'!BC$6:BC$105)+SUMIF(Capacity_Resource,$E178,'Critical resources (hide)'!BC$6:BC$105)+SUMIF(Capacity_Resource,$F178,'Critical resources (hide)'!BC$6:BC$105)&gt;0,$E$1=2),0,1)</f>
        <v>1</v>
      </c>
      <c r="AQ178" s="67">
        <f ca="1">IF(AND(SUMIF(Capacity_Resource,$D178,'Critical resources (hide)'!BD$6:BD$105)+SUMIF(Capacity_Resource,$E178,'Critical resources (hide)'!BD$6:BD$105)+SUMIF(Capacity_Resource,$F178,'Critical resources (hide)'!BD$6:BD$105)&gt;0,$E$1=2),0,1)</f>
        <v>1</v>
      </c>
      <c r="AR178" s="67">
        <f ca="1">IF(AND(SUMIF(Capacity_Resource,$D178,'Critical resources (hide)'!BE$6:BE$105)+SUMIF(Capacity_Resource,$E178,'Critical resources (hide)'!BE$6:BE$105)+SUMIF(Capacity_Resource,$F178,'Critical resources (hide)'!BE$6:BE$105)&gt;0,$E$1=2),0,1)</f>
        <v>1</v>
      </c>
      <c r="AS178" s="67">
        <f ca="1">IF(AND(SUMIF(Capacity_Resource,$D178,'Critical resources (hide)'!BF$6:BF$105)+SUMIF(Capacity_Resource,$E178,'Critical resources (hide)'!BF$6:BF$105)+SUMIF(Capacity_Resource,$F178,'Critical resources (hide)'!BF$6:BF$105)&gt;0,$E$1=2),0,1)</f>
        <v>1</v>
      </c>
      <c r="AT178" s="67">
        <f ca="1">IF(AND(SUMIF(Capacity_Resource,$D178,'Critical resources (hide)'!BG$6:BG$105)+SUMIF(Capacity_Resource,$E178,'Critical resources (hide)'!BG$6:BG$105)+SUMIF(Capacity_Resource,$F178,'Critical resources (hide)'!BG$6:BG$105)&gt;0,$E$1=2),0,1)</f>
        <v>1</v>
      </c>
      <c r="AU178" s="67">
        <f ca="1">IF(AND(SUMIF(Capacity_Resource,$D178,'Critical resources (hide)'!BH$6:BH$105)+SUMIF(Capacity_Resource,$E178,'Critical resources (hide)'!BH$6:BH$105)+SUMIF(Capacity_Resource,$F178,'Critical resources (hide)'!BH$6:BH$105)&gt;0,$E$1=2),0,1)</f>
        <v>1</v>
      </c>
      <c r="AV178" s="67">
        <f ca="1">IF(AND(SUMIF(Capacity_Resource,$D178,'Critical resources (hide)'!BI$6:BI$105)+SUMIF(Capacity_Resource,$E178,'Critical resources (hide)'!BI$6:BI$105)+SUMIF(Capacity_Resource,$F178,'Critical resources (hide)'!BI$6:BI$105)&gt;0,$E$1=2),0,1)</f>
        <v>1</v>
      </c>
      <c r="AW178" s="67">
        <f ca="1">IF(AND(SUMIF(Capacity_Resource,$D178,'Critical resources (hide)'!BJ$6:BJ$105)+SUMIF(Capacity_Resource,$E178,'Critical resources (hide)'!BJ$6:BJ$105)+SUMIF(Capacity_Resource,$F178,'Critical resources (hide)'!BJ$6:BJ$105)&gt;0,$E$1=2),0,1)</f>
        <v>1</v>
      </c>
      <c r="AX178" s="67">
        <f ca="1">IF(AND(SUMIF(Capacity_Resource,$D178,'Critical resources (hide)'!BK$6:BK$105)+SUMIF(Capacity_Resource,$E178,'Critical resources (hide)'!BK$6:BK$105)+SUMIF(Capacity_Resource,$F178,'Critical resources (hide)'!BK$6:BK$105)&gt;0,$E$1=2),0,1)</f>
        <v>1</v>
      </c>
      <c r="AY178" s="67">
        <f ca="1">IF(AND(SUMIF(Capacity_Resource,$D178,'Critical resources (hide)'!BL$6:BL$105)+SUMIF(Capacity_Resource,$E178,'Critical resources (hide)'!BL$6:BL$105)+SUMIF(Capacity_Resource,$F178,'Critical resources (hide)'!BL$6:BL$105)&gt;0,$E$1=2),0,1)</f>
        <v>1</v>
      </c>
      <c r="AZ178" s="67">
        <f ca="1">IF(AND(SUMIF(Capacity_Resource,$D178,'Critical resources (hide)'!BM$6:BM$105)+SUMIF(Capacity_Resource,$E178,'Critical resources (hide)'!BM$6:BM$105)+SUMIF(Capacity_Resource,$F178,'Critical resources (hide)'!BM$6:BM$105)&gt;0,$E$1=2),0,1)</f>
        <v>1</v>
      </c>
      <c r="BA178" s="67">
        <f ca="1">IF(AND(SUMIF(Capacity_Resource,$D178,'Critical resources (hide)'!BN$6:BN$105)+SUMIF(Capacity_Resource,$E178,'Critical resources (hide)'!BN$6:BN$105)+SUMIF(Capacity_Resource,$F178,'Critical resources (hide)'!BN$6:BN$105)&gt;0,$E$1=2),0,1)</f>
        <v>1</v>
      </c>
      <c r="BB178" s="67">
        <f ca="1">IF(AND(SUMIF(Capacity_Resource,$D178,'Critical resources (hide)'!BO$6:BO$105)+SUMIF(Capacity_Resource,$E178,'Critical resources (hide)'!BO$6:BO$105)+SUMIF(Capacity_Resource,$F178,'Critical resources (hide)'!BO$6:BO$105)&gt;0,$E$1=2),0,1)</f>
        <v>1</v>
      </c>
      <c r="BC178" s="67">
        <f ca="1">IF(AND(SUMIF(Capacity_Resource,$D178,'Critical resources (hide)'!BP$6:BP$105)+SUMIF(Capacity_Resource,$E178,'Critical resources (hide)'!BP$6:BP$105)+SUMIF(Capacity_Resource,$F178,'Critical resources (hide)'!BP$6:BP$105)&gt;0,$E$1=2),0,1)</f>
        <v>1</v>
      </c>
      <c r="BD178" s="67">
        <f ca="1">IF(AND(SUMIF(Capacity_Resource,$D178,'Critical resources (hide)'!BQ$6:BQ$105)+SUMIF(Capacity_Resource,$E178,'Critical resources (hide)'!BQ$6:BQ$105)+SUMIF(Capacity_Resource,$F178,'Critical resources (hide)'!BQ$6:BQ$105)&gt;0,$E$1=2),0,1)</f>
        <v>1</v>
      </c>
      <c r="BE178" s="67">
        <f ca="1">IF(AND(SUMIF(Capacity_Resource,$D178,'Critical resources (hide)'!BR$6:BR$105)+SUMIF(Capacity_Resource,$E178,'Critical resources (hide)'!BR$6:BR$105)+SUMIF(Capacity_Resource,$F178,'Critical resources (hide)'!BR$6:BR$105)&gt;0,$E$1=2),0,1)</f>
        <v>1</v>
      </c>
      <c r="BF178" s="67">
        <f ca="1">IF(AND(SUMIF(Capacity_Resource,$D178,'Critical resources (hide)'!BS$6:BS$105)+SUMIF(Capacity_Resource,$E178,'Critical resources (hide)'!BS$6:BS$105)+SUMIF(Capacity_Resource,$F178,'Critical resources (hide)'!BS$6:BS$105)&gt;0,$E$1=2),0,1)</f>
        <v>1</v>
      </c>
      <c r="BG178" s="67">
        <f ca="1">IF(AND(SUMIF(Capacity_Resource,$D178,'Critical resources (hide)'!BT$6:BT$105)+SUMIF(Capacity_Resource,$E178,'Critical resources (hide)'!BT$6:BT$105)+SUMIF(Capacity_Resource,$F178,'Critical resources (hide)'!BT$6:BT$105)&gt;0,$E$1=2),0,1)</f>
        <v>1</v>
      </c>
      <c r="BH178" s="67">
        <f>IF(ROW(A67)&lt;=Capacity!$M$16,IF('Capacity summary'!$C$14="No",SUM(H178:BG178),'Capacity summary'!$E90),0)</f>
        <v>0</v>
      </c>
      <c r="BI178" s="67" t="str">
        <f>IF(BH178&gt;0,IF(BH178&lt;Capacity!Q83,Capacity!R83,Capacity!T83/'Capacity calculation (hide)'!BH178),"")</f>
        <v/>
      </c>
      <c r="BJ178" s="5"/>
      <c r="BK178" s="5">
        <f>IF($BI178&lt;&gt;"",IF('Capacity summary'!$C$14="Yes",IF(COUNTBLANK('Capacity summary'!$H90:$BG90)&lt;52,IF('Capacity summary'!H90&lt;&gt;"",IF(LOWER('Capacity summary'!H90)="x",$BI178*H178,VALUE('Capacity summary'!H90)),0),H178*$BI178),H178*$BI178),0)</f>
        <v>0</v>
      </c>
      <c r="BL178" s="5">
        <f>IF($BI178&lt;&gt;"",IF('Capacity summary'!$C$14="Yes",IF(COUNTBLANK('Capacity summary'!$H90:$BG90)&lt;52,IF('Capacity summary'!I90&lt;&gt;"",IF(LOWER('Capacity summary'!I90)="x",$BI178*I178,VALUE('Capacity summary'!I90)),0),I178*$BI178),I178*$BI178),0)</f>
        <v>0</v>
      </c>
      <c r="BM178" s="5">
        <f>IF($BI178&lt;&gt;"",IF('Capacity summary'!$C$14="Yes",IF(COUNTBLANK('Capacity summary'!$H90:$BG90)&lt;52,IF('Capacity summary'!J90&lt;&gt;"",IF(LOWER('Capacity summary'!J90)="x",$BI178*J178,VALUE('Capacity summary'!J90)),0),J178*$BI178),J178*$BI178),0)</f>
        <v>0</v>
      </c>
      <c r="BN178" s="5">
        <f>IF($BI178&lt;&gt;"",IF('Capacity summary'!$C$14="Yes",IF(COUNTBLANK('Capacity summary'!$H90:$BG90)&lt;52,IF('Capacity summary'!K90&lt;&gt;"",IF(LOWER('Capacity summary'!K90)="x",$BI178*K178,VALUE('Capacity summary'!K90)),0),K178*$BI178),K178*$BI178),0)</f>
        <v>0</v>
      </c>
      <c r="BO178" s="5">
        <f>IF($BI178&lt;&gt;"",IF('Capacity summary'!$C$14="Yes",IF(COUNTBLANK('Capacity summary'!$H90:$BG90)&lt;52,IF('Capacity summary'!L90&lt;&gt;"",IF(LOWER('Capacity summary'!L90)="x",$BI178*L178,VALUE('Capacity summary'!L90)),0),L178*$BI178),L178*$BI178),0)</f>
        <v>0</v>
      </c>
      <c r="BP178" s="5">
        <f>IF($BI178&lt;&gt;"",IF('Capacity summary'!$C$14="Yes",IF(COUNTBLANK('Capacity summary'!$H90:$BG90)&lt;52,IF('Capacity summary'!M90&lt;&gt;"",IF(LOWER('Capacity summary'!M90)="x",$BI178*M178,VALUE('Capacity summary'!M90)),0),M178*$BI178),M178*$BI178),0)</f>
        <v>0</v>
      </c>
      <c r="BQ178" s="5">
        <f>IF($BI178&lt;&gt;"",IF('Capacity summary'!$C$14="Yes",IF(COUNTBLANK('Capacity summary'!$H90:$BG90)&lt;52,IF('Capacity summary'!N90&lt;&gt;"",IF(LOWER('Capacity summary'!N90)="x",$BI178*N178,VALUE('Capacity summary'!N90)),0),N178*$BI178),N178*$BI178),0)</f>
        <v>0</v>
      </c>
      <c r="BR178" s="5">
        <f>IF($BI178&lt;&gt;"",IF('Capacity summary'!$C$14="Yes",IF(COUNTBLANK('Capacity summary'!$H90:$BG90)&lt;52,IF('Capacity summary'!O90&lt;&gt;"",IF(LOWER('Capacity summary'!O90)="x",$BI178*O178,VALUE('Capacity summary'!O90)),0),O178*$BI178),O178*$BI178),0)</f>
        <v>0</v>
      </c>
      <c r="BS178" s="5">
        <f>IF($BI178&lt;&gt;"",IF('Capacity summary'!$C$14="Yes",IF(COUNTBLANK('Capacity summary'!$H90:$BG90)&lt;52,IF('Capacity summary'!P90&lt;&gt;"",IF(LOWER('Capacity summary'!P90)="x",$BI178*P178,VALUE('Capacity summary'!P90)),0),P178*$BI178),P178*$BI178),0)</f>
        <v>0</v>
      </c>
      <c r="BT178" s="5">
        <f>IF($BI178&lt;&gt;"",IF('Capacity summary'!$C$14="Yes",IF(COUNTBLANK('Capacity summary'!$H90:$BG90)&lt;52,IF('Capacity summary'!Q90&lt;&gt;"",IF(LOWER('Capacity summary'!Q90)="x",$BI178*Q178,VALUE('Capacity summary'!Q90)),0),Q178*$BI178),Q178*$BI178),0)</f>
        <v>0</v>
      </c>
      <c r="BU178" s="5">
        <f>IF($BI178&lt;&gt;"",IF('Capacity summary'!$C$14="Yes",IF(COUNTBLANK('Capacity summary'!$H90:$BG90)&lt;52,IF('Capacity summary'!R90&lt;&gt;"",IF(LOWER('Capacity summary'!R90)="x",$BI178*R178,VALUE('Capacity summary'!R90)),0),R178*$BI178),R178*$BI178),0)</f>
        <v>0</v>
      </c>
      <c r="BV178" s="5">
        <f>IF($BI178&lt;&gt;"",IF('Capacity summary'!$C$14="Yes",IF(COUNTBLANK('Capacity summary'!$H90:$BG90)&lt;52,IF('Capacity summary'!S90&lt;&gt;"",IF(LOWER('Capacity summary'!S90)="x",$BI178*S178,VALUE('Capacity summary'!S90)),0),S178*$BI178),S178*$BI178),0)</f>
        <v>0</v>
      </c>
      <c r="BW178" s="5">
        <f>IF($BI178&lt;&gt;"",IF('Capacity summary'!$C$14="Yes",IF(COUNTBLANK('Capacity summary'!$H90:$BG90)&lt;52,IF('Capacity summary'!T90&lt;&gt;"",IF(LOWER('Capacity summary'!T90)="x",$BI178*T178,VALUE('Capacity summary'!T90)),0),T178*$BI178),T178*$BI178),0)</f>
        <v>0</v>
      </c>
      <c r="BX178" s="5">
        <f>IF($BI178&lt;&gt;"",IF('Capacity summary'!$C$14="Yes",IF(COUNTBLANK('Capacity summary'!$H90:$BG90)&lt;52,IF('Capacity summary'!U90&lt;&gt;"",IF(LOWER('Capacity summary'!U90)="x",$BI178*U178,VALUE('Capacity summary'!U90)),0),U178*$BI178),U178*$BI178),0)</f>
        <v>0</v>
      </c>
      <c r="BY178" s="5">
        <f>IF($BI178&lt;&gt;"",IF('Capacity summary'!$C$14="Yes",IF(COUNTBLANK('Capacity summary'!$H90:$BG90)&lt;52,IF('Capacity summary'!V90&lt;&gt;"",IF(LOWER('Capacity summary'!V90)="x",$BI178*V178,VALUE('Capacity summary'!V90)),0),V178*$BI178),V178*$BI178),0)</f>
        <v>0</v>
      </c>
      <c r="BZ178" s="5">
        <f>IF($BI178&lt;&gt;"",IF('Capacity summary'!$C$14="Yes",IF(COUNTBLANK('Capacity summary'!$H90:$BG90)&lt;52,IF('Capacity summary'!W90&lt;&gt;"",IF(LOWER('Capacity summary'!W90)="x",$BI178*W178,VALUE('Capacity summary'!W90)),0),W178*$BI178),W178*$BI178),0)</f>
        <v>0</v>
      </c>
      <c r="CA178" s="5">
        <f>IF($BI178&lt;&gt;"",IF('Capacity summary'!$C$14="Yes",IF(COUNTBLANK('Capacity summary'!$H90:$BG90)&lt;52,IF('Capacity summary'!X90&lt;&gt;"",IF(LOWER('Capacity summary'!X90)="x",$BI178*X178,VALUE('Capacity summary'!X90)),0),X178*$BI178),X178*$BI178),0)</f>
        <v>0</v>
      </c>
      <c r="CB178" s="5">
        <f>IF($BI178&lt;&gt;"",IF('Capacity summary'!$C$14="Yes",IF(COUNTBLANK('Capacity summary'!$H90:$BG90)&lt;52,IF('Capacity summary'!Y90&lt;&gt;"",IF(LOWER('Capacity summary'!Y90)="x",$BI178*Y178,VALUE('Capacity summary'!Y90)),0),Y178*$BI178),Y178*$BI178),0)</f>
        <v>0</v>
      </c>
      <c r="CC178" s="5">
        <f>IF($BI178&lt;&gt;"",IF('Capacity summary'!$C$14="Yes",IF(COUNTBLANK('Capacity summary'!$H90:$BG90)&lt;52,IF('Capacity summary'!Z90&lt;&gt;"",IF(LOWER('Capacity summary'!Z90)="x",$BI178*Z178,VALUE('Capacity summary'!Z90)),0),Z178*$BI178),Z178*$BI178),0)</f>
        <v>0</v>
      </c>
      <c r="CD178" s="5">
        <f>IF($BI178&lt;&gt;"",IF('Capacity summary'!$C$14="Yes",IF(COUNTBLANK('Capacity summary'!$H90:$BG90)&lt;52,IF('Capacity summary'!AA90&lt;&gt;"",IF(LOWER('Capacity summary'!AA90)="x",$BI178*AA178,VALUE('Capacity summary'!AA90)),0),AA178*$BI178),AA178*$BI178),0)</f>
        <v>0</v>
      </c>
      <c r="CE178" s="5">
        <f>IF($BI178&lt;&gt;"",IF('Capacity summary'!$C$14="Yes",IF(COUNTBLANK('Capacity summary'!$H90:$BG90)&lt;52,IF('Capacity summary'!AB90&lt;&gt;"",IF(LOWER('Capacity summary'!AB90)="x",$BI178*AB178,VALUE('Capacity summary'!AB90)),0),AB178*$BI178),AB178*$BI178),0)</f>
        <v>0</v>
      </c>
      <c r="CF178" s="5">
        <f>IF($BI178&lt;&gt;"",IF('Capacity summary'!$C$14="Yes",IF(COUNTBLANK('Capacity summary'!$H90:$BG90)&lt;52,IF('Capacity summary'!AC90&lt;&gt;"",IF(LOWER('Capacity summary'!AC90)="x",$BI178*AC178,VALUE('Capacity summary'!AC90)),0),AC178*$BI178),AC178*$BI178),0)</f>
        <v>0</v>
      </c>
      <c r="CG178" s="5">
        <f>IF($BI178&lt;&gt;"",IF('Capacity summary'!$C$14="Yes",IF(COUNTBLANK('Capacity summary'!$H90:$BG90)&lt;52,IF('Capacity summary'!AD90&lt;&gt;"",IF(LOWER('Capacity summary'!AD90)="x",$BI178*AD178,VALUE('Capacity summary'!AD90)),0),AD178*$BI178),AD178*$BI178),0)</f>
        <v>0</v>
      </c>
      <c r="CH178" s="5">
        <f>IF($BI178&lt;&gt;"",IF('Capacity summary'!$C$14="Yes",IF(COUNTBLANK('Capacity summary'!$H90:$BG90)&lt;52,IF('Capacity summary'!AE90&lt;&gt;"",IF(LOWER('Capacity summary'!AE90)="x",$BI178*AE178,VALUE('Capacity summary'!AE90)),0),AE178*$BI178),AE178*$BI178),0)</f>
        <v>0</v>
      </c>
      <c r="CI178" s="5">
        <f>IF($BI178&lt;&gt;"",IF('Capacity summary'!$C$14="Yes",IF(COUNTBLANK('Capacity summary'!$H90:$BG90)&lt;52,IF('Capacity summary'!AF90&lt;&gt;"",IF(LOWER('Capacity summary'!AF90)="x",$BI178*AF178,VALUE('Capacity summary'!AF90)),0),AF178*$BI178),AF178*$BI178),0)</f>
        <v>0</v>
      </c>
      <c r="CJ178" s="5">
        <f>IF($BI178&lt;&gt;"",IF('Capacity summary'!$C$14="Yes",IF(COUNTBLANK('Capacity summary'!$H90:$BG90)&lt;52,IF('Capacity summary'!AG90&lt;&gt;"",IF(LOWER('Capacity summary'!AG90)="x",$BI178*AG178,VALUE('Capacity summary'!AG90)),0),AG178*$BI178),AG178*$BI178),0)</f>
        <v>0</v>
      </c>
      <c r="CK178" s="5">
        <f>IF($BI178&lt;&gt;"",IF('Capacity summary'!$C$14="Yes",IF(COUNTBLANK('Capacity summary'!$H90:$BG90)&lt;52,IF('Capacity summary'!AH90&lt;&gt;"",IF(LOWER('Capacity summary'!AH90)="x",$BI178*AH178,VALUE('Capacity summary'!AH90)),0),AH178*$BI178),AH178*$BI178),0)</f>
        <v>0</v>
      </c>
      <c r="CL178" s="5">
        <f>IF($BI178&lt;&gt;"",IF('Capacity summary'!$C$14="Yes",IF(COUNTBLANK('Capacity summary'!$H90:$BG90)&lt;52,IF('Capacity summary'!AI90&lt;&gt;"",IF(LOWER('Capacity summary'!AI90)="x",$BI178*AI178,VALUE('Capacity summary'!AI90)),0),AI178*$BI178),AI178*$BI178),0)</f>
        <v>0</v>
      </c>
      <c r="CM178" s="5">
        <f>IF($BI178&lt;&gt;"",IF('Capacity summary'!$C$14="Yes",IF(COUNTBLANK('Capacity summary'!$H90:$BG90)&lt;52,IF('Capacity summary'!AJ90&lt;&gt;"",IF(LOWER('Capacity summary'!AJ90)="x",$BI178*AJ178,VALUE('Capacity summary'!AJ90)),0),AJ178*$BI178),AJ178*$BI178),0)</f>
        <v>0</v>
      </c>
      <c r="CN178" s="5">
        <f>IF($BI178&lt;&gt;"",IF('Capacity summary'!$C$14="Yes",IF(COUNTBLANK('Capacity summary'!$H90:$BG90)&lt;52,IF('Capacity summary'!AK90&lt;&gt;"",IF(LOWER('Capacity summary'!AK90)="x",$BI178*AK178,VALUE('Capacity summary'!AK90)),0),AK178*$BI178),AK178*$BI178),0)</f>
        <v>0</v>
      </c>
      <c r="CO178" s="5">
        <f>IF($BI178&lt;&gt;"",IF('Capacity summary'!$C$14="Yes",IF(COUNTBLANK('Capacity summary'!$H90:$BG90)&lt;52,IF('Capacity summary'!AL90&lt;&gt;"",IF(LOWER('Capacity summary'!AL90)="x",$BI178*AL178,VALUE('Capacity summary'!AL90)),0),AL178*$BI178),AL178*$BI178),0)</f>
        <v>0</v>
      </c>
      <c r="CP178" s="5">
        <f>IF($BI178&lt;&gt;"",IF('Capacity summary'!$C$14="Yes",IF(COUNTBLANK('Capacity summary'!$H90:$BG90)&lt;52,IF('Capacity summary'!AM90&lt;&gt;"",IF(LOWER('Capacity summary'!AM90)="x",$BI178*AM178,VALUE('Capacity summary'!AM90)),0),AM178*$BI178),AM178*$BI178),0)</f>
        <v>0</v>
      </c>
      <c r="CQ178" s="5">
        <f>IF($BI178&lt;&gt;"",IF('Capacity summary'!$C$14="Yes",IF(COUNTBLANK('Capacity summary'!$H90:$BG90)&lt;52,IF('Capacity summary'!AN90&lt;&gt;"",IF(LOWER('Capacity summary'!AN90)="x",$BI178*AN178,VALUE('Capacity summary'!AN90)),0),AN178*$BI178),AN178*$BI178),0)</f>
        <v>0</v>
      </c>
      <c r="CR178" s="5">
        <f>IF($BI178&lt;&gt;"",IF('Capacity summary'!$C$14="Yes",IF(COUNTBLANK('Capacity summary'!$H90:$BG90)&lt;52,IF('Capacity summary'!AO90&lt;&gt;"",IF(LOWER('Capacity summary'!AO90)="x",$BI178*AO178,VALUE('Capacity summary'!AO90)),0),AO178*$BI178),AO178*$BI178),0)</f>
        <v>0</v>
      </c>
      <c r="CS178" s="5">
        <f>IF($BI178&lt;&gt;"",IF('Capacity summary'!$C$14="Yes",IF(COUNTBLANK('Capacity summary'!$H90:$BG90)&lt;52,IF('Capacity summary'!AP90&lt;&gt;"",IF(LOWER('Capacity summary'!AP90)="x",$BI178*AP178,VALUE('Capacity summary'!AP90)),0),AP178*$BI178),AP178*$BI178),0)</f>
        <v>0</v>
      </c>
      <c r="CT178" s="5">
        <f>IF($BI178&lt;&gt;"",IF('Capacity summary'!$C$14="Yes",IF(COUNTBLANK('Capacity summary'!$H90:$BG90)&lt;52,IF('Capacity summary'!AQ90&lt;&gt;"",IF(LOWER('Capacity summary'!AQ90)="x",$BI178*AQ178,VALUE('Capacity summary'!AQ90)),0),AQ178*$BI178),AQ178*$BI178),0)</f>
        <v>0</v>
      </c>
      <c r="CU178" s="5">
        <f>IF($BI178&lt;&gt;"",IF('Capacity summary'!$C$14="Yes",IF(COUNTBLANK('Capacity summary'!$H90:$BG90)&lt;52,IF('Capacity summary'!AR90&lt;&gt;"",IF(LOWER('Capacity summary'!AR90)="x",$BI178*AR178,VALUE('Capacity summary'!AR90)),0),AR178*$BI178),AR178*$BI178),0)</f>
        <v>0</v>
      </c>
      <c r="CV178" s="5">
        <f>IF($BI178&lt;&gt;"",IF('Capacity summary'!$C$14="Yes",IF(COUNTBLANK('Capacity summary'!$H90:$BG90)&lt;52,IF('Capacity summary'!AS90&lt;&gt;"",IF(LOWER('Capacity summary'!AS90)="x",$BI178*AS178,VALUE('Capacity summary'!AS90)),0),AS178*$BI178),AS178*$BI178),0)</f>
        <v>0</v>
      </c>
      <c r="CW178" s="5">
        <f>IF($BI178&lt;&gt;"",IF('Capacity summary'!$C$14="Yes",IF(COUNTBLANK('Capacity summary'!$H90:$BG90)&lt;52,IF('Capacity summary'!AT90&lt;&gt;"",IF(LOWER('Capacity summary'!AT90)="x",$BI178*AT178,VALUE('Capacity summary'!AT90)),0),AT178*$BI178),AT178*$BI178),0)</f>
        <v>0</v>
      </c>
      <c r="CX178" s="5">
        <f>IF($BI178&lt;&gt;"",IF('Capacity summary'!$C$14="Yes",IF(COUNTBLANK('Capacity summary'!$H90:$BG90)&lt;52,IF('Capacity summary'!AU90&lt;&gt;"",IF(LOWER('Capacity summary'!AU90)="x",$BI178*AU178,VALUE('Capacity summary'!AU90)),0),AU178*$BI178),AU178*$BI178),0)</f>
        <v>0</v>
      </c>
      <c r="CY178" s="5">
        <f>IF($BI178&lt;&gt;"",IF('Capacity summary'!$C$14="Yes",IF(COUNTBLANK('Capacity summary'!$H90:$BG90)&lt;52,IF('Capacity summary'!AV90&lt;&gt;"",IF(LOWER('Capacity summary'!AV90)="x",$BI178*AV178,VALUE('Capacity summary'!AV90)),0),AV178*$BI178),AV178*$BI178),0)</f>
        <v>0</v>
      </c>
      <c r="CZ178" s="5">
        <f>IF($BI178&lt;&gt;"",IF('Capacity summary'!$C$14="Yes",IF(COUNTBLANK('Capacity summary'!$H90:$BG90)&lt;52,IF('Capacity summary'!AW90&lt;&gt;"",IF(LOWER('Capacity summary'!AW90)="x",$BI178*AW178,VALUE('Capacity summary'!AW90)),0),AW178*$BI178),AW178*$BI178),0)</f>
        <v>0</v>
      </c>
      <c r="DA178" s="5">
        <f>IF($BI178&lt;&gt;"",IF('Capacity summary'!$C$14="Yes",IF(COUNTBLANK('Capacity summary'!$H90:$BG90)&lt;52,IF('Capacity summary'!AX90&lt;&gt;"",IF(LOWER('Capacity summary'!AX90)="x",$BI178*AX178,VALUE('Capacity summary'!AX90)),0),AX178*$BI178),AX178*$BI178),0)</f>
        <v>0</v>
      </c>
      <c r="DB178" s="5">
        <f>IF($BI178&lt;&gt;"",IF('Capacity summary'!$C$14="Yes",IF(COUNTBLANK('Capacity summary'!$H90:$BG90)&lt;52,IF('Capacity summary'!AY90&lt;&gt;"",IF(LOWER('Capacity summary'!AY90)="x",$BI178*AY178,VALUE('Capacity summary'!AY90)),0),AY178*$BI178),AY178*$BI178),0)</f>
        <v>0</v>
      </c>
      <c r="DC178" s="5">
        <f>IF($BI178&lt;&gt;"",IF('Capacity summary'!$C$14="Yes",IF(COUNTBLANK('Capacity summary'!$H90:$BG90)&lt;52,IF('Capacity summary'!AZ90&lt;&gt;"",IF(LOWER('Capacity summary'!AZ90)="x",$BI178*AZ178,VALUE('Capacity summary'!AZ90)),0),AZ178*$BI178),AZ178*$BI178),0)</f>
        <v>0</v>
      </c>
      <c r="DD178" s="5">
        <f>IF($BI178&lt;&gt;"",IF('Capacity summary'!$C$14="Yes",IF(COUNTBLANK('Capacity summary'!$H90:$BG90)&lt;52,IF('Capacity summary'!BA90&lt;&gt;"",IF(LOWER('Capacity summary'!BA90)="x",$BI178*BA178,VALUE('Capacity summary'!BA90)),0),BA178*$BI178),BA178*$BI178),0)</f>
        <v>0</v>
      </c>
      <c r="DE178" s="5">
        <f>IF($BI178&lt;&gt;"",IF('Capacity summary'!$C$14="Yes",IF(COUNTBLANK('Capacity summary'!$H90:$BG90)&lt;52,IF('Capacity summary'!BB90&lt;&gt;"",IF(LOWER('Capacity summary'!BB90)="x",$BI178*BB178,VALUE('Capacity summary'!BB90)),0),BB178*$BI178),BB178*$BI178),0)</f>
        <v>0</v>
      </c>
      <c r="DF178" s="5">
        <f>IF($BI178&lt;&gt;"",IF('Capacity summary'!$C$14="Yes",IF(COUNTBLANK('Capacity summary'!$H90:$BG90)&lt;52,IF('Capacity summary'!BC90&lt;&gt;"",IF(LOWER('Capacity summary'!BC90)="x",$BI178*BC178,VALUE('Capacity summary'!BC90)),0),BC178*$BI178),BC178*$BI178),0)</f>
        <v>0</v>
      </c>
      <c r="DG178" s="5">
        <f>IF($BI178&lt;&gt;"",IF('Capacity summary'!$C$14="Yes",IF(COUNTBLANK('Capacity summary'!$H90:$BG90)&lt;52,IF('Capacity summary'!BD90&lt;&gt;"",IF(LOWER('Capacity summary'!BD90)="x",$BI178*BD178,VALUE('Capacity summary'!BD90)),0),BD178*$BI178),BD178*$BI178),0)</f>
        <v>0</v>
      </c>
      <c r="DH178" s="5">
        <f>IF($BI178&lt;&gt;"",IF('Capacity summary'!$C$14="Yes",IF(COUNTBLANK('Capacity summary'!$H90:$BG90)&lt;52,IF('Capacity summary'!BE90&lt;&gt;"",IF(LOWER('Capacity summary'!BE90)="x",$BI178*BE178,VALUE('Capacity summary'!BE90)),0),BE178*$BI178),BE178*$BI178),0)</f>
        <v>0</v>
      </c>
      <c r="DI178" s="5">
        <f>IF($BI178&lt;&gt;"",IF('Capacity summary'!$C$14="Yes",IF(COUNTBLANK('Capacity summary'!$H90:$BG90)&lt;52,IF('Capacity summary'!BF90&lt;&gt;"",IF(LOWER('Capacity summary'!BF90)="x",$BI178*BF178,VALUE('Capacity summary'!BF90)),0),BF178*$BI178),BF178*$BI178),0)</f>
        <v>0</v>
      </c>
      <c r="DJ178" s="5">
        <f>IF($BI178&lt;&gt;"",IF('Capacity summary'!$C$14="Yes",IF(COUNTBLANK('Capacity summary'!$H90:$BG90)&lt;52,IF('Capacity summary'!BG90&lt;&gt;"",IF(LOWER('Capacity summary'!BG90)="x",$BI178*BG178,VALUE('Capacity summary'!BG90)),0),BG178*$BI178),BG178*$BI178),0)</f>
        <v>0</v>
      </c>
      <c r="DK178" s="5">
        <f t="shared" ref="DK178" si="72">SUM(DK179:DK278)</f>
        <v>0</v>
      </c>
    </row>
    <row r="179" spans="3:115" x14ac:dyDescent="0.25">
      <c r="C179" s="67" t="str">
        <f>ROW(A68)&amp;". "&amp;Capacity!N84</f>
        <v xml:space="preserve">68. </v>
      </c>
      <c r="D179" s="67">
        <f>'Capacity setup'!C185</f>
        <v>0</v>
      </c>
      <c r="E179" s="67">
        <f>'Capacity setup'!D185</f>
        <v>0</v>
      </c>
      <c r="F179" s="67">
        <f>'Capacity setup'!E185</f>
        <v>0</v>
      </c>
      <c r="H179" s="67">
        <f ca="1">IF(AND(SUMIF(Capacity_Resource,$D179,'Critical resources (hide)'!U$6:U$105)+SUMIF(Capacity_Resource,$E179,'Critical resources (hide)'!U$6:U$105)+SUMIF(Capacity_Resource,$F179,'Critical resources (hide)'!U$6:U$105)&gt;0,$E$1=2),0,1)</f>
        <v>1</v>
      </c>
      <c r="I179" s="67">
        <f ca="1">IF(AND(SUMIF(Capacity_Resource,$D179,'Critical resources (hide)'!V$6:V$105)+SUMIF(Capacity_Resource,$E179,'Critical resources (hide)'!V$6:V$105)+SUMIF(Capacity_Resource,$F179,'Critical resources (hide)'!V$6:V$105)&gt;0,$E$1=2),0,1)</f>
        <v>1</v>
      </c>
      <c r="J179" s="67">
        <f ca="1">IF(AND(SUMIF(Capacity_Resource,$D179,'Critical resources (hide)'!W$6:W$105)+SUMIF(Capacity_Resource,$E179,'Critical resources (hide)'!W$6:W$105)+SUMIF(Capacity_Resource,$F179,'Critical resources (hide)'!W$6:W$105)&gt;0,$E$1=2),0,1)</f>
        <v>1</v>
      </c>
      <c r="K179" s="67">
        <f ca="1">IF(AND(SUMIF(Capacity_Resource,$D179,'Critical resources (hide)'!X$6:X$105)+SUMIF(Capacity_Resource,$E179,'Critical resources (hide)'!X$6:X$105)+SUMIF(Capacity_Resource,$F179,'Critical resources (hide)'!X$6:X$105)&gt;0,$E$1=2),0,1)</f>
        <v>1</v>
      </c>
      <c r="L179" s="67">
        <f ca="1">IF(AND(SUMIF(Capacity_Resource,$D179,'Critical resources (hide)'!Y$6:Y$105)+SUMIF(Capacity_Resource,$E179,'Critical resources (hide)'!Y$6:Y$105)+SUMIF(Capacity_Resource,$F179,'Critical resources (hide)'!Y$6:Y$105)&gt;0,$E$1=2),0,1)</f>
        <v>1</v>
      </c>
      <c r="M179" s="67">
        <f ca="1">IF(AND(SUMIF(Capacity_Resource,$D179,'Critical resources (hide)'!Z$6:Z$105)+SUMIF(Capacity_Resource,$E179,'Critical resources (hide)'!Z$6:Z$105)+SUMIF(Capacity_Resource,$F179,'Critical resources (hide)'!Z$6:Z$105)&gt;0,$E$1=2),0,1)</f>
        <v>1</v>
      </c>
      <c r="N179" s="67">
        <f ca="1">IF(AND(SUMIF(Capacity_Resource,$D179,'Critical resources (hide)'!AA$6:AA$105)+SUMIF(Capacity_Resource,$E179,'Critical resources (hide)'!AA$6:AA$105)+SUMIF(Capacity_Resource,$F179,'Critical resources (hide)'!AA$6:AA$105)&gt;0,$E$1=2),0,1)</f>
        <v>1</v>
      </c>
      <c r="O179" s="67">
        <f ca="1">IF(AND(SUMIF(Capacity_Resource,$D179,'Critical resources (hide)'!AB$6:AB$105)+SUMIF(Capacity_Resource,$E179,'Critical resources (hide)'!AB$6:AB$105)+SUMIF(Capacity_Resource,$F179,'Critical resources (hide)'!AB$6:AB$105)&gt;0,$E$1=2),0,1)</f>
        <v>1</v>
      </c>
      <c r="P179" s="67">
        <f ca="1">IF(AND(SUMIF(Capacity_Resource,$D179,'Critical resources (hide)'!AC$6:AC$105)+SUMIF(Capacity_Resource,$E179,'Critical resources (hide)'!AC$6:AC$105)+SUMIF(Capacity_Resource,$F179,'Critical resources (hide)'!AC$6:AC$105)&gt;0,$E$1=2),0,1)</f>
        <v>1</v>
      </c>
      <c r="Q179" s="67">
        <f ca="1">IF(AND(SUMIF(Capacity_Resource,$D179,'Critical resources (hide)'!AD$6:AD$105)+SUMIF(Capacity_Resource,$E179,'Critical resources (hide)'!AD$6:AD$105)+SUMIF(Capacity_Resource,$F179,'Critical resources (hide)'!AD$6:AD$105)&gt;0,$E$1=2),0,1)</f>
        <v>1</v>
      </c>
      <c r="R179" s="67">
        <f ca="1">IF(AND(SUMIF(Capacity_Resource,$D179,'Critical resources (hide)'!AE$6:AE$105)+SUMIF(Capacity_Resource,$E179,'Critical resources (hide)'!AE$6:AE$105)+SUMIF(Capacity_Resource,$F179,'Critical resources (hide)'!AE$6:AE$105)&gt;0,$E$1=2),0,1)</f>
        <v>1</v>
      </c>
      <c r="S179" s="67">
        <f ca="1">IF(AND(SUMIF(Capacity_Resource,$D179,'Critical resources (hide)'!AF$6:AF$105)+SUMIF(Capacity_Resource,$E179,'Critical resources (hide)'!AF$6:AF$105)+SUMIF(Capacity_Resource,$F179,'Critical resources (hide)'!AF$6:AF$105)&gt;0,$E$1=2),0,1)</f>
        <v>1</v>
      </c>
      <c r="T179" s="67">
        <f ca="1">IF(AND(SUMIF(Capacity_Resource,$D179,'Critical resources (hide)'!AG$6:AG$105)+SUMIF(Capacity_Resource,$E179,'Critical resources (hide)'!AG$6:AG$105)+SUMIF(Capacity_Resource,$F179,'Critical resources (hide)'!AG$6:AG$105)&gt;0,$E$1=2),0,1)</f>
        <v>1</v>
      </c>
      <c r="U179" s="67">
        <f ca="1">IF(AND(SUMIF(Capacity_Resource,$D179,'Critical resources (hide)'!AH$6:AH$105)+SUMIF(Capacity_Resource,$E179,'Critical resources (hide)'!AH$6:AH$105)+SUMIF(Capacity_Resource,$F179,'Critical resources (hide)'!AH$6:AH$105)&gt;0,$E$1=2),0,1)</f>
        <v>1</v>
      </c>
      <c r="V179" s="67">
        <f ca="1">IF(AND(SUMIF(Capacity_Resource,$D179,'Critical resources (hide)'!AI$6:AI$105)+SUMIF(Capacity_Resource,$E179,'Critical resources (hide)'!AI$6:AI$105)+SUMIF(Capacity_Resource,$F179,'Critical resources (hide)'!AI$6:AI$105)&gt;0,$E$1=2),0,1)</f>
        <v>1</v>
      </c>
      <c r="W179" s="67">
        <f ca="1">IF(AND(SUMIF(Capacity_Resource,$D179,'Critical resources (hide)'!AJ$6:AJ$105)+SUMIF(Capacity_Resource,$E179,'Critical resources (hide)'!AJ$6:AJ$105)+SUMIF(Capacity_Resource,$F179,'Critical resources (hide)'!AJ$6:AJ$105)&gt;0,$E$1=2),0,1)</f>
        <v>1</v>
      </c>
      <c r="X179" s="67">
        <f ca="1">IF(AND(SUMIF(Capacity_Resource,$D179,'Critical resources (hide)'!AK$6:AK$105)+SUMIF(Capacity_Resource,$E179,'Critical resources (hide)'!AK$6:AK$105)+SUMIF(Capacity_Resource,$F179,'Critical resources (hide)'!AK$6:AK$105)&gt;0,$E$1=2),0,1)</f>
        <v>1</v>
      </c>
      <c r="Y179" s="67">
        <f ca="1">IF(AND(SUMIF(Capacity_Resource,$D179,'Critical resources (hide)'!AL$6:AL$105)+SUMIF(Capacity_Resource,$E179,'Critical resources (hide)'!AL$6:AL$105)+SUMIF(Capacity_Resource,$F179,'Critical resources (hide)'!AL$6:AL$105)&gt;0,$E$1=2),0,1)</f>
        <v>1</v>
      </c>
      <c r="Z179" s="67">
        <f ca="1">IF(AND(SUMIF(Capacity_Resource,$D179,'Critical resources (hide)'!AM$6:AM$105)+SUMIF(Capacity_Resource,$E179,'Critical resources (hide)'!AM$6:AM$105)+SUMIF(Capacity_Resource,$F179,'Critical resources (hide)'!AM$6:AM$105)&gt;0,$E$1=2),0,1)</f>
        <v>1</v>
      </c>
      <c r="AA179" s="67">
        <f ca="1">IF(AND(SUMIF(Capacity_Resource,$D179,'Critical resources (hide)'!AN$6:AN$105)+SUMIF(Capacity_Resource,$E179,'Critical resources (hide)'!AN$6:AN$105)+SUMIF(Capacity_Resource,$F179,'Critical resources (hide)'!AN$6:AN$105)&gt;0,$E$1=2),0,1)</f>
        <v>1</v>
      </c>
      <c r="AB179" s="67">
        <f ca="1">IF(AND(SUMIF(Capacity_Resource,$D179,'Critical resources (hide)'!AO$6:AO$105)+SUMIF(Capacity_Resource,$E179,'Critical resources (hide)'!AO$6:AO$105)+SUMIF(Capacity_Resource,$F179,'Critical resources (hide)'!AO$6:AO$105)&gt;0,$E$1=2),0,1)</f>
        <v>1</v>
      </c>
      <c r="AC179" s="67">
        <f ca="1">IF(AND(SUMIF(Capacity_Resource,$D179,'Critical resources (hide)'!AP$6:AP$105)+SUMIF(Capacity_Resource,$E179,'Critical resources (hide)'!AP$6:AP$105)+SUMIF(Capacity_Resource,$F179,'Critical resources (hide)'!AP$6:AP$105)&gt;0,$E$1=2),0,1)</f>
        <v>1</v>
      </c>
      <c r="AD179" s="67">
        <f ca="1">IF(AND(SUMIF(Capacity_Resource,$D179,'Critical resources (hide)'!AQ$6:AQ$105)+SUMIF(Capacity_Resource,$E179,'Critical resources (hide)'!AQ$6:AQ$105)+SUMIF(Capacity_Resource,$F179,'Critical resources (hide)'!AQ$6:AQ$105)&gt;0,$E$1=2),0,1)</f>
        <v>1</v>
      </c>
      <c r="AE179" s="67">
        <f ca="1">IF(AND(SUMIF(Capacity_Resource,$D179,'Critical resources (hide)'!AR$6:AR$105)+SUMIF(Capacity_Resource,$E179,'Critical resources (hide)'!AR$6:AR$105)+SUMIF(Capacity_Resource,$F179,'Critical resources (hide)'!AR$6:AR$105)&gt;0,$E$1=2),0,1)</f>
        <v>1</v>
      </c>
      <c r="AF179" s="67">
        <f ca="1">IF(AND(SUMIF(Capacity_Resource,$D179,'Critical resources (hide)'!AS$6:AS$105)+SUMIF(Capacity_Resource,$E179,'Critical resources (hide)'!AS$6:AS$105)+SUMIF(Capacity_Resource,$F179,'Critical resources (hide)'!AS$6:AS$105)&gt;0,$E$1=2),0,1)</f>
        <v>1</v>
      </c>
      <c r="AG179" s="67">
        <f ca="1">IF(AND(SUMIF(Capacity_Resource,$D179,'Critical resources (hide)'!AT$6:AT$105)+SUMIF(Capacity_Resource,$E179,'Critical resources (hide)'!AT$6:AT$105)+SUMIF(Capacity_Resource,$F179,'Critical resources (hide)'!AT$6:AT$105)&gt;0,$E$1=2),0,1)</f>
        <v>1</v>
      </c>
      <c r="AH179" s="67">
        <f ca="1">IF(AND(SUMIF(Capacity_Resource,$D179,'Critical resources (hide)'!AU$6:AU$105)+SUMIF(Capacity_Resource,$E179,'Critical resources (hide)'!AU$6:AU$105)+SUMIF(Capacity_Resource,$F179,'Critical resources (hide)'!AU$6:AU$105)&gt;0,$E$1=2),0,1)</f>
        <v>1</v>
      </c>
      <c r="AI179" s="67">
        <f ca="1">IF(AND(SUMIF(Capacity_Resource,$D179,'Critical resources (hide)'!AV$6:AV$105)+SUMIF(Capacity_Resource,$E179,'Critical resources (hide)'!AV$6:AV$105)+SUMIF(Capacity_Resource,$F179,'Critical resources (hide)'!AV$6:AV$105)&gt;0,$E$1=2),0,1)</f>
        <v>1</v>
      </c>
      <c r="AJ179" s="67">
        <f ca="1">IF(AND(SUMIF(Capacity_Resource,$D179,'Critical resources (hide)'!AW$6:AW$105)+SUMIF(Capacity_Resource,$E179,'Critical resources (hide)'!AW$6:AW$105)+SUMIF(Capacity_Resource,$F179,'Critical resources (hide)'!AW$6:AW$105)&gt;0,$E$1=2),0,1)</f>
        <v>1</v>
      </c>
      <c r="AK179" s="67">
        <f ca="1">IF(AND(SUMIF(Capacity_Resource,$D179,'Critical resources (hide)'!AX$6:AX$105)+SUMIF(Capacity_Resource,$E179,'Critical resources (hide)'!AX$6:AX$105)+SUMIF(Capacity_Resource,$F179,'Critical resources (hide)'!AX$6:AX$105)&gt;0,$E$1=2),0,1)</f>
        <v>1</v>
      </c>
      <c r="AL179" s="67">
        <f ca="1">IF(AND(SUMIF(Capacity_Resource,$D179,'Critical resources (hide)'!AY$6:AY$105)+SUMIF(Capacity_Resource,$E179,'Critical resources (hide)'!AY$6:AY$105)+SUMIF(Capacity_Resource,$F179,'Critical resources (hide)'!AY$6:AY$105)&gt;0,$E$1=2),0,1)</f>
        <v>1</v>
      </c>
      <c r="AM179" s="67">
        <f ca="1">IF(AND(SUMIF(Capacity_Resource,$D179,'Critical resources (hide)'!AZ$6:AZ$105)+SUMIF(Capacity_Resource,$E179,'Critical resources (hide)'!AZ$6:AZ$105)+SUMIF(Capacity_Resource,$F179,'Critical resources (hide)'!AZ$6:AZ$105)&gt;0,$E$1=2),0,1)</f>
        <v>1</v>
      </c>
      <c r="AN179" s="67">
        <f ca="1">IF(AND(SUMIF(Capacity_Resource,$D179,'Critical resources (hide)'!BA$6:BA$105)+SUMIF(Capacity_Resource,$E179,'Critical resources (hide)'!BA$6:BA$105)+SUMIF(Capacity_Resource,$F179,'Critical resources (hide)'!BA$6:BA$105)&gt;0,$E$1=2),0,1)</f>
        <v>1</v>
      </c>
      <c r="AO179" s="67">
        <f ca="1">IF(AND(SUMIF(Capacity_Resource,$D179,'Critical resources (hide)'!BB$6:BB$105)+SUMIF(Capacity_Resource,$E179,'Critical resources (hide)'!BB$6:BB$105)+SUMIF(Capacity_Resource,$F179,'Critical resources (hide)'!BB$6:BB$105)&gt;0,$E$1=2),0,1)</f>
        <v>1</v>
      </c>
      <c r="AP179" s="67">
        <f ca="1">IF(AND(SUMIF(Capacity_Resource,$D179,'Critical resources (hide)'!BC$6:BC$105)+SUMIF(Capacity_Resource,$E179,'Critical resources (hide)'!BC$6:BC$105)+SUMIF(Capacity_Resource,$F179,'Critical resources (hide)'!BC$6:BC$105)&gt;0,$E$1=2),0,1)</f>
        <v>1</v>
      </c>
      <c r="AQ179" s="67">
        <f ca="1">IF(AND(SUMIF(Capacity_Resource,$D179,'Critical resources (hide)'!BD$6:BD$105)+SUMIF(Capacity_Resource,$E179,'Critical resources (hide)'!BD$6:BD$105)+SUMIF(Capacity_Resource,$F179,'Critical resources (hide)'!BD$6:BD$105)&gt;0,$E$1=2),0,1)</f>
        <v>1</v>
      </c>
      <c r="AR179" s="67">
        <f ca="1">IF(AND(SUMIF(Capacity_Resource,$D179,'Critical resources (hide)'!BE$6:BE$105)+SUMIF(Capacity_Resource,$E179,'Critical resources (hide)'!BE$6:BE$105)+SUMIF(Capacity_Resource,$F179,'Critical resources (hide)'!BE$6:BE$105)&gt;0,$E$1=2),0,1)</f>
        <v>1</v>
      </c>
      <c r="AS179" s="67">
        <f ca="1">IF(AND(SUMIF(Capacity_Resource,$D179,'Critical resources (hide)'!BF$6:BF$105)+SUMIF(Capacity_Resource,$E179,'Critical resources (hide)'!BF$6:BF$105)+SUMIF(Capacity_Resource,$F179,'Critical resources (hide)'!BF$6:BF$105)&gt;0,$E$1=2),0,1)</f>
        <v>1</v>
      </c>
      <c r="AT179" s="67">
        <f ca="1">IF(AND(SUMIF(Capacity_Resource,$D179,'Critical resources (hide)'!BG$6:BG$105)+SUMIF(Capacity_Resource,$E179,'Critical resources (hide)'!BG$6:BG$105)+SUMIF(Capacity_Resource,$F179,'Critical resources (hide)'!BG$6:BG$105)&gt;0,$E$1=2),0,1)</f>
        <v>1</v>
      </c>
      <c r="AU179" s="67">
        <f ca="1">IF(AND(SUMIF(Capacity_Resource,$D179,'Critical resources (hide)'!BH$6:BH$105)+SUMIF(Capacity_Resource,$E179,'Critical resources (hide)'!BH$6:BH$105)+SUMIF(Capacity_Resource,$F179,'Critical resources (hide)'!BH$6:BH$105)&gt;0,$E$1=2),0,1)</f>
        <v>1</v>
      </c>
      <c r="AV179" s="67">
        <f ca="1">IF(AND(SUMIF(Capacity_Resource,$D179,'Critical resources (hide)'!BI$6:BI$105)+SUMIF(Capacity_Resource,$E179,'Critical resources (hide)'!BI$6:BI$105)+SUMIF(Capacity_Resource,$F179,'Critical resources (hide)'!BI$6:BI$105)&gt;0,$E$1=2),0,1)</f>
        <v>1</v>
      </c>
      <c r="AW179" s="67">
        <f ca="1">IF(AND(SUMIF(Capacity_Resource,$D179,'Critical resources (hide)'!BJ$6:BJ$105)+SUMIF(Capacity_Resource,$E179,'Critical resources (hide)'!BJ$6:BJ$105)+SUMIF(Capacity_Resource,$F179,'Critical resources (hide)'!BJ$6:BJ$105)&gt;0,$E$1=2),0,1)</f>
        <v>1</v>
      </c>
      <c r="AX179" s="67">
        <f ca="1">IF(AND(SUMIF(Capacity_Resource,$D179,'Critical resources (hide)'!BK$6:BK$105)+SUMIF(Capacity_Resource,$E179,'Critical resources (hide)'!BK$6:BK$105)+SUMIF(Capacity_Resource,$F179,'Critical resources (hide)'!BK$6:BK$105)&gt;0,$E$1=2),0,1)</f>
        <v>1</v>
      </c>
      <c r="AY179" s="67">
        <f ca="1">IF(AND(SUMIF(Capacity_Resource,$D179,'Critical resources (hide)'!BL$6:BL$105)+SUMIF(Capacity_Resource,$E179,'Critical resources (hide)'!BL$6:BL$105)+SUMIF(Capacity_Resource,$F179,'Critical resources (hide)'!BL$6:BL$105)&gt;0,$E$1=2),0,1)</f>
        <v>1</v>
      </c>
      <c r="AZ179" s="67">
        <f ca="1">IF(AND(SUMIF(Capacity_Resource,$D179,'Critical resources (hide)'!BM$6:BM$105)+SUMIF(Capacity_Resource,$E179,'Critical resources (hide)'!BM$6:BM$105)+SUMIF(Capacity_Resource,$F179,'Critical resources (hide)'!BM$6:BM$105)&gt;0,$E$1=2),0,1)</f>
        <v>1</v>
      </c>
      <c r="BA179" s="67">
        <f ca="1">IF(AND(SUMIF(Capacity_Resource,$D179,'Critical resources (hide)'!BN$6:BN$105)+SUMIF(Capacity_Resource,$E179,'Critical resources (hide)'!BN$6:BN$105)+SUMIF(Capacity_Resource,$F179,'Critical resources (hide)'!BN$6:BN$105)&gt;0,$E$1=2),0,1)</f>
        <v>1</v>
      </c>
      <c r="BB179" s="67">
        <f ca="1">IF(AND(SUMIF(Capacity_Resource,$D179,'Critical resources (hide)'!BO$6:BO$105)+SUMIF(Capacity_Resource,$E179,'Critical resources (hide)'!BO$6:BO$105)+SUMIF(Capacity_Resource,$F179,'Critical resources (hide)'!BO$6:BO$105)&gt;0,$E$1=2),0,1)</f>
        <v>1</v>
      </c>
      <c r="BC179" s="67">
        <f ca="1">IF(AND(SUMIF(Capacity_Resource,$D179,'Critical resources (hide)'!BP$6:BP$105)+SUMIF(Capacity_Resource,$E179,'Critical resources (hide)'!BP$6:BP$105)+SUMIF(Capacity_Resource,$F179,'Critical resources (hide)'!BP$6:BP$105)&gt;0,$E$1=2),0,1)</f>
        <v>1</v>
      </c>
      <c r="BD179" s="67">
        <f ca="1">IF(AND(SUMIF(Capacity_Resource,$D179,'Critical resources (hide)'!BQ$6:BQ$105)+SUMIF(Capacity_Resource,$E179,'Critical resources (hide)'!BQ$6:BQ$105)+SUMIF(Capacity_Resource,$F179,'Critical resources (hide)'!BQ$6:BQ$105)&gt;0,$E$1=2),0,1)</f>
        <v>1</v>
      </c>
      <c r="BE179" s="67">
        <f ca="1">IF(AND(SUMIF(Capacity_Resource,$D179,'Critical resources (hide)'!BR$6:BR$105)+SUMIF(Capacity_Resource,$E179,'Critical resources (hide)'!BR$6:BR$105)+SUMIF(Capacity_Resource,$F179,'Critical resources (hide)'!BR$6:BR$105)&gt;0,$E$1=2),0,1)</f>
        <v>1</v>
      </c>
      <c r="BF179" s="67">
        <f ca="1">IF(AND(SUMIF(Capacity_Resource,$D179,'Critical resources (hide)'!BS$6:BS$105)+SUMIF(Capacity_Resource,$E179,'Critical resources (hide)'!BS$6:BS$105)+SUMIF(Capacity_Resource,$F179,'Critical resources (hide)'!BS$6:BS$105)&gt;0,$E$1=2),0,1)</f>
        <v>1</v>
      </c>
      <c r="BG179" s="67">
        <f ca="1">IF(AND(SUMIF(Capacity_Resource,$D179,'Critical resources (hide)'!BT$6:BT$105)+SUMIF(Capacity_Resource,$E179,'Critical resources (hide)'!BT$6:BT$105)+SUMIF(Capacity_Resource,$F179,'Critical resources (hide)'!BT$6:BT$105)&gt;0,$E$1=2),0,1)</f>
        <v>1</v>
      </c>
      <c r="BH179" s="67">
        <f>IF(ROW(A68)&lt;=Capacity!$M$16,IF('Capacity summary'!$C$14="No",SUM(H179:BG179),'Capacity summary'!$E91),0)</f>
        <v>0</v>
      </c>
      <c r="BI179" s="67" t="str">
        <f>IF(BH179&gt;0,IF(BH179&lt;Capacity!Q84,Capacity!R84,Capacity!T84/'Capacity calculation (hide)'!BH179),"")</f>
        <v/>
      </c>
      <c r="BJ179" s="5"/>
      <c r="BK179" s="5">
        <f>IF($BI179&lt;&gt;"",IF('Capacity summary'!$C$14="Yes",IF(COUNTBLANK('Capacity summary'!$H91:$BG91)&lt;52,IF('Capacity summary'!H91&lt;&gt;"",IF(LOWER('Capacity summary'!H91)="x",$BI179*H179,VALUE('Capacity summary'!H91)),0),H179*$BI179),H179*$BI179),0)</f>
        <v>0</v>
      </c>
      <c r="BL179" s="5">
        <f>IF($BI179&lt;&gt;"",IF('Capacity summary'!$C$14="Yes",IF(COUNTBLANK('Capacity summary'!$H91:$BG91)&lt;52,IF('Capacity summary'!I91&lt;&gt;"",IF(LOWER('Capacity summary'!I91)="x",$BI179*I179,VALUE('Capacity summary'!I91)),0),I179*$BI179),I179*$BI179),0)</f>
        <v>0</v>
      </c>
      <c r="BM179" s="5">
        <f>IF($BI179&lt;&gt;"",IF('Capacity summary'!$C$14="Yes",IF(COUNTBLANK('Capacity summary'!$H91:$BG91)&lt;52,IF('Capacity summary'!J91&lt;&gt;"",IF(LOWER('Capacity summary'!J91)="x",$BI179*J179,VALUE('Capacity summary'!J91)),0),J179*$BI179),J179*$BI179),0)</f>
        <v>0</v>
      </c>
      <c r="BN179" s="5">
        <f>IF($BI179&lt;&gt;"",IF('Capacity summary'!$C$14="Yes",IF(COUNTBLANK('Capacity summary'!$H91:$BG91)&lt;52,IF('Capacity summary'!K91&lt;&gt;"",IF(LOWER('Capacity summary'!K91)="x",$BI179*K179,VALUE('Capacity summary'!K91)),0),K179*$BI179),K179*$BI179),0)</f>
        <v>0</v>
      </c>
      <c r="BO179" s="5">
        <f>IF($BI179&lt;&gt;"",IF('Capacity summary'!$C$14="Yes",IF(COUNTBLANK('Capacity summary'!$H91:$BG91)&lt;52,IF('Capacity summary'!L91&lt;&gt;"",IF(LOWER('Capacity summary'!L91)="x",$BI179*L179,VALUE('Capacity summary'!L91)),0),L179*$BI179),L179*$BI179),0)</f>
        <v>0</v>
      </c>
      <c r="BP179" s="5">
        <f>IF($BI179&lt;&gt;"",IF('Capacity summary'!$C$14="Yes",IF(COUNTBLANK('Capacity summary'!$H91:$BG91)&lt;52,IF('Capacity summary'!M91&lt;&gt;"",IF(LOWER('Capacity summary'!M91)="x",$BI179*M179,VALUE('Capacity summary'!M91)),0),M179*$BI179),M179*$BI179),0)</f>
        <v>0</v>
      </c>
      <c r="BQ179" s="5">
        <f>IF($BI179&lt;&gt;"",IF('Capacity summary'!$C$14="Yes",IF(COUNTBLANK('Capacity summary'!$H91:$BG91)&lt;52,IF('Capacity summary'!N91&lt;&gt;"",IF(LOWER('Capacity summary'!N91)="x",$BI179*N179,VALUE('Capacity summary'!N91)),0),N179*$BI179),N179*$BI179),0)</f>
        <v>0</v>
      </c>
      <c r="BR179" s="5">
        <f>IF($BI179&lt;&gt;"",IF('Capacity summary'!$C$14="Yes",IF(COUNTBLANK('Capacity summary'!$H91:$BG91)&lt;52,IF('Capacity summary'!O91&lt;&gt;"",IF(LOWER('Capacity summary'!O91)="x",$BI179*O179,VALUE('Capacity summary'!O91)),0),O179*$BI179),O179*$BI179),0)</f>
        <v>0</v>
      </c>
      <c r="BS179" s="5">
        <f>IF($BI179&lt;&gt;"",IF('Capacity summary'!$C$14="Yes",IF(COUNTBLANK('Capacity summary'!$H91:$BG91)&lt;52,IF('Capacity summary'!P91&lt;&gt;"",IF(LOWER('Capacity summary'!P91)="x",$BI179*P179,VALUE('Capacity summary'!P91)),0),P179*$BI179),P179*$BI179),0)</f>
        <v>0</v>
      </c>
      <c r="BT179" s="5">
        <f>IF($BI179&lt;&gt;"",IF('Capacity summary'!$C$14="Yes",IF(COUNTBLANK('Capacity summary'!$H91:$BG91)&lt;52,IF('Capacity summary'!Q91&lt;&gt;"",IF(LOWER('Capacity summary'!Q91)="x",$BI179*Q179,VALUE('Capacity summary'!Q91)),0),Q179*$BI179),Q179*$BI179),0)</f>
        <v>0</v>
      </c>
      <c r="BU179" s="5">
        <f>IF($BI179&lt;&gt;"",IF('Capacity summary'!$C$14="Yes",IF(COUNTBLANK('Capacity summary'!$H91:$BG91)&lt;52,IF('Capacity summary'!R91&lt;&gt;"",IF(LOWER('Capacity summary'!R91)="x",$BI179*R179,VALUE('Capacity summary'!R91)),0),R179*$BI179),R179*$BI179),0)</f>
        <v>0</v>
      </c>
      <c r="BV179" s="5">
        <f>IF($BI179&lt;&gt;"",IF('Capacity summary'!$C$14="Yes",IF(COUNTBLANK('Capacity summary'!$H91:$BG91)&lt;52,IF('Capacity summary'!S91&lt;&gt;"",IF(LOWER('Capacity summary'!S91)="x",$BI179*S179,VALUE('Capacity summary'!S91)),0),S179*$BI179),S179*$BI179),0)</f>
        <v>0</v>
      </c>
      <c r="BW179" s="5">
        <f>IF($BI179&lt;&gt;"",IF('Capacity summary'!$C$14="Yes",IF(COUNTBLANK('Capacity summary'!$H91:$BG91)&lt;52,IF('Capacity summary'!T91&lt;&gt;"",IF(LOWER('Capacity summary'!T91)="x",$BI179*T179,VALUE('Capacity summary'!T91)),0),T179*$BI179),T179*$BI179),0)</f>
        <v>0</v>
      </c>
      <c r="BX179" s="5">
        <f>IF($BI179&lt;&gt;"",IF('Capacity summary'!$C$14="Yes",IF(COUNTBLANK('Capacity summary'!$H91:$BG91)&lt;52,IF('Capacity summary'!U91&lt;&gt;"",IF(LOWER('Capacity summary'!U91)="x",$BI179*U179,VALUE('Capacity summary'!U91)),0),U179*$BI179),U179*$BI179),0)</f>
        <v>0</v>
      </c>
      <c r="BY179" s="5">
        <f>IF($BI179&lt;&gt;"",IF('Capacity summary'!$C$14="Yes",IF(COUNTBLANK('Capacity summary'!$H91:$BG91)&lt;52,IF('Capacity summary'!V91&lt;&gt;"",IF(LOWER('Capacity summary'!V91)="x",$BI179*V179,VALUE('Capacity summary'!V91)),0),V179*$BI179),V179*$BI179),0)</f>
        <v>0</v>
      </c>
      <c r="BZ179" s="5">
        <f>IF($BI179&lt;&gt;"",IF('Capacity summary'!$C$14="Yes",IF(COUNTBLANK('Capacity summary'!$H91:$BG91)&lt;52,IF('Capacity summary'!W91&lt;&gt;"",IF(LOWER('Capacity summary'!W91)="x",$BI179*W179,VALUE('Capacity summary'!W91)),0),W179*$BI179),W179*$BI179),0)</f>
        <v>0</v>
      </c>
      <c r="CA179" s="5">
        <f>IF($BI179&lt;&gt;"",IF('Capacity summary'!$C$14="Yes",IF(COUNTBLANK('Capacity summary'!$H91:$BG91)&lt;52,IF('Capacity summary'!X91&lt;&gt;"",IF(LOWER('Capacity summary'!X91)="x",$BI179*X179,VALUE('Capacity summary'!X91)),0),X179*$BI179),X179*$BI179),0)</f>
        <v>0</v>
      </c>
      <c r="CB179" s="5">
        <f>IF($BI179&lt;&gt;"",IF('Capacity summary'!$C$14="Yes",IF(COUNTBLANK('Capacity summary'!$H91:$BG91)&lt;52,IF('Capacity summary'!Y91&lt;&gt;"",IF(LOWER('Capacity summary'!Y91)="x",$BI179*Y179,VALUE('Capacity summary'!Y91)),0),Y179*$BI179),Y179*$BI179),0)</f>
        <v>0</v>
      </c>
      <c r="CC179" s="5">
        <f>IF($BI179&lt;&gt;"",IF('Capacity summary'!$C$14="Yes",IF(COUNTBLANK('Capacity summary'!$H91:$BG91)&lt;52,IF('Capacity summary'!Z91&lt;&gt;"",IF(LOWER('Capacity summary'!Z91)="x",$BI179*Z179,VALUE('Capacity summary'!Z91)),0),Z179*$BI179),Z179*$BI179),0)</f>
        <v>0</v>
      </c>
      <c r="CD179" s="5">
        <f>IF($BI179&lt;&gt;"",IF('Capacity summary'!$C$14="Yes",IF(COUNTBLANK('Capacity summary'!$H91:$BG91)&lt;52,IF('Capacity summary'!AA91&lt;&gt;"",IF(LOWER('Capacity summary'!AA91)="x",$BI179*AA179,VALUE('Capacity summary'!AA91)),0),AA179*$BI179),AA179*$BI179),0)</f>
        <v>0</v>
      </c>
      <c r="CE179" s="5">
        <f>IF($BI179&lt;&gt;"",IF('Capacity summary'!$C$14="Yes",IF(COUNTBLANK('Capacity summary'!$H91:$BG91)&lt;52,IF('Capacity summary'!AB91&lt;&gt;"",IF(LOWER('Capacity summary'!AB91)="x",$BI179*AB179,VALUE('Capacity summary'!AB91)),0),AB179*$BI179),AB179*$BI179),0)</f>
        <v>0</v>
      </c>
      <c r="CF179" s="5">
        <f>IF($BI179&lt;&gt;"",IF('Capacity summary'!$C$14="Yes",IF(COUNTBLANK('Capacity summary'!$H91:$BG91)&lt;52,IF('Capacity summary'!AC91&lt;&gt;"",IF(LOWER('Capacity summary'!AC91)="x",$BI179*AC179,VALUE('Capacity summary'!AC91)),0),AC179*$BI179),AC179*$BI179),0)</f>
        <v>0</v>
      </c>
      <c r="CG179" s="5">
        <f>IF($BI179&lt;&gt;"",IF('Capacity summary'!$C$14="Yes",IF(COUNTBLANK('Capacity summary'!$H91:$BG91)&lt;52,IF('Capacity summary'!AD91&lt;&gt;"",IF(LOWER('Capacity summary'!AD91)="x",$BI179*AD179,VALUE('Capacity summary'!AD91)),0),AD179*$BI179),AD179*$BI179),0)</f>
        <v>0</v>
      </c>
      <c r="CH179" s="5">
        <f>IF($BI179&lt;&gt;"",IF('Capacity summary'!$C$14="Yes",IF(COUNTBLANK('Capacity summary'!$H91:$BG91)&lt;52,IF('Capacity summary'!AE91&lt;&gt;"",IF(LOWER('Capacity summary'!AE91)="x",$BI179*AE179,VALUE('Capacity summary'!AE91)),0),AE179*$BI179),AE179*$BI179),0)</f>
        <v>0</v>
      </c>
      <c r="CI179" s="5">
        <f>IF($BI179&lt;&gt;"",IF('Capacity summary'!$C$14="Yes",IF(COUNTBLANK('Capacity summary'!$H91:$BG91)&lt;52,IF('Capacity summary'!AF91&lt;&gt;"",IF(LOWER('Capacity summary'!AF91)="x",$BI179*AF179,VALUE('Capacity summary'!AF91)),0),AF179*$BI179),AF179*$BI179),0)</f>
        <v>0</v>
      </c>
      <c r="CJ179" s="5">
        <f>IF($BI179&lt;&gt;"",IF('Capacity summary'!$C$14="Yes",IF(COUNTBLANK('Capacity summary'!$H91:$BG91)&lt;52,IF('Capacity summary'!AG91&lt;&gt;"",IF(LOWER('Capacity summary'!AG91)="x",$BI179*AG179,VALUE('Capacity summary'!AG91)),0),AG179*$BI179),AG179*$BI179),0)</f>
        <v>0</v>
      </c>
      <c r="CK179" s="5">
        <f>IF($BI179&lt;&gt;"",IF('Capacity summary'!$C$14="Yes",IF(COUNTBLANK('Capacity summary'!$H91:$BG91)&lt;52,IF('Capacity summary'!AH91&lt;&gt;"",IF(LOWER('Capacity summary'!AH91)="x",$BI179*AH179,VALUE('Capacity summary'!AH91)),0),AH179*$BI179),AH179*$BI179),0)</f>
        <v>0</v>
      </c>
      <c r="CL179" s="5">
        <f>IF($BI179&lt;&gt;"",IF('Capacity summary'!$C$14="Yes",IF(COUNTBLANK('Capacity summary'!$H91:$BG91)&lt;52,IF('Capacity summary'!AI91&lt;&gt;"",IF(LOWER('Capacity summary'!AI91)="x",$BI179*AI179,VALUE('Capacity summary'!AI91)),0),AI179*$BI179),AI179*$BI179),0)</f>
        <v>0</v>
      </c>
      <c r="CM179" s="5">
        <f>IF($BI179&lt;&gt;"",IF('Capacity summary'!$C$14="Yes",IF(COUNTBLANK('Capacity summary'!$H91:$BG91)&lt;52,IF('Capacity summary'!AJ91&lt;&gt;"",IF(LOWER('Capacity summary'!AJ91)="x",$BI179*AJ179,VALUE('Capacity summary'!AJ91)),0),AJ179*$BI179),AJ179*$BI179),0)</f>
        <v>0</v>
      </c>
      <c r="CN179" s="5">
        <f>IF($BI179&lt;&gt;"",IF('Capacity summary'!$C$14="Yes",IF(COUNTBLANK('Capacity summary'!$H91:$BG91)&lt;52,IF('Capacity summary'!AK91&lt;&gt;"",IF(LOWER('Capacity summary'!AK91)="x",$BI179*AK179,VALUE('Capacity summary'!AK91)),0),AK179*$BI179),AK179*$BI179),0)</f>
        <v>0</v>
      </c>
      <c r="CO179" s="5">
        <f>IF($BI179&lt;&gt;"",IF('Capacity summary'!$C$14="Yes",IF(COUNTBLANK('Capacity summary'!$H91:$BG91)&lt;52,IF('Capacity summary'!AL91&lt;&gt;"",IF(LOWER('Capacity summary'!AL91)="x",$BI179*AL179,VALUE('Capacity summary'!AL91)),0),AL179*$BI179),AL179*$BI179),0)</f>
        <v>0</v>
      </c>
      <c r="CP179" s="5">
        <f>IF($BI179&lt;&gt;"",IF('Capacity summary'!$C$14="Yes",IF(COUNTBLANK('Capacity summary'!$H91:$BG91)&lt;52,IF('Capacity summary'!AM91&lt;&gt;"",IF(LOWER('Capacity summary'!AM91)="x",$BI179*AM179,VALUE('Capacity summary'!AM91)),0),AM179*$BI179),AM179*$BI179),0)</f>
        <v>0</v>
      </c>
      <c r="CQ179" s="5">
        <f>IF($BI179&lt;&gt;"",IF('Capacity summary'!$C$14="Yes",IF(COUNTBLANK('Capacity summary'!$H91:$BG91)&lt;52,IF('Capacity summary'!AN91&lt;&gt;"",IF(LOWER('Capacity summary'!AN91)="x",$BI179*AN179,VALUE('Capacity summary'!AN91)),0),AN179*$BI179),AN179*$BI179),0)</f>
        <v>0</v>
      </c>
      <c r="CR179" s="5">
        <f>IF($BI179&lt;&gt;"",IF('Capacity summary'!$C$14="Yes",IF(COUNTBLANK('Capacity summary'!$H91:$BG91)&lt;52,IF('Capacity summary'!AO91&lt;&gt;"",IF(LOWER('Capacity summary'!AO91)="x",$BI179*AO179,VALUE('Capacity summary'!AO91)),0),AO179*$BI179),AO179*$BI179),0)</f>
        <v>0</v>
      </c>
      <c r="CS179" s="5">
        <f>IF($BI179&lt;&gt;"",IF('Capacity summary'!$C$14="Yes",IF(COUNTBLANK('Capacity summary'!$H91:$BG91)&lt;52,IF('Capacity summary'!AP91&lt;&gt;"",IF(LOWER('Capacity summary'!AP91)="x",$BI179*AP179,VALUE('Capacity summary'!AP91)),0),AP179*$BI179),AP179*$BI179),0)</f>
        <v>0</v>
      </c>
      <c r="CT179" s="5">
        <f>IF($BI179&lt;&gt;"",IF('Capacity summary'!$C$14="Yes",IF(COUNTBLANK('Capacity summary'!$H91:$BG91)&lt;52,IF('Capacity summary'!AQ91&lt;&gt;"",IF(LOWER('Capacity summary'!AQ91)="x",$BI179*AQ179,VALUE('Capacity summary'!AQ91)),0),AQ179*$BI179),AQ179*$BI179),0)</f>
        <v>0</v>
      </c>
      <c r="CU179" s="5">
        <f>IF($BI179&lt;&gt;"",IF('Capacity summary'!$C$14="Yes",IF(COUNTBLANK('Capacity summary'!$H91:$BG91)&lt;52,IF('Capacity summary'!AR91&lt;&gt;"",IF(LOWER('Capacity summary'!AR91)="x",$BI179*AR179,VALUE('Capacity summary'!AR91)),0),AR179*$BI179),AR179*$BI179),0)</f>
        <v>0</v>
      </c>
      <c r="CV179" s="5">
        <f>IF($BI179&lt;&gt;"",IF('Capacity summary'!$C$14="Yes",IF(COUNTBLANK('Capacity summary'!$H91:$BG91)&lt;52,IF('Capacity summary'!AS91&lt;&gt;"",IF(LOWER('Capacity summary'!AS91)="x",$BI179*AS179,VALUE('Capacity summary'!AS91)),0),AS179*$BI179),AS179*$BI179),0)</f>
        <v>0</v>
      </c>
      <c r="CW179" s="5">
        <f>IF($BI179&lt;&gt;"",IF('Capacity summary'!$C$14="Yes",IF(COUNTBLANK('Capacity summary'!$H91:$BG91)&lt;52,IF('Capacity summary'!AT91&lt;&gt;"",IF(LOWER('Capacity summary'!AT91)="x",$BI179*AT179,VALUE('Capacity summary'!AT91)),0),AT179*$BI179),AT179*$BI179),0)</f>
        <v>0</v>
      </c>
      <c r="CX179" s="5">
        <f>IF($BI179&lt;&gt;"",IF('Capacity summary'!$C$14="Yes",IF(COUNTBLANK('Capacity summary'!$H91:$BG91)&lt;52,IF('Capacity summary'!AU91&lt;&gt;"",IF(LOWER('Capacity summary'!AU91)="x",$BI179*AU179,VALUE('Capacity summary'!AU91)),0),AU179*$BI179),AU179*$BI179),0)</f>
        <v>0</v>
      </c>
      <c r="CY179" s="5">
        <f>IF($BI179&lt;&gt;"",IF('Capacity summary'!$C$14="Yes",IF(COUNTBLANK('Capacity summary'!$H91:$BG91)&lt;52,IF('Capacity summary'!AV91&lt;&gt;"",IF(LOWER('Capacity summary'!AV91)="x",$BI179*AV179,VALUE('Capacity summary'!AV91)),0),AV179*$BI179),AV179*$BI179),0)</f>
        <v>0</v>
      </c>
      <c r="CZ179" s="5">
        <f>IF($BI179&lt;&gt;"",IF('Capacity summary'!$C$14="Yes",IF(COUNTBLANK('Capacity summary'!$H91:$BG91)&lt;52,IF('Capacity summary'!AW91&lt;&gt;"",IF(LOWER('Capacity summary'!AW91)="x",$BI179*AW179,VALUE('Capacity summary'!AW91)),0),AW179*$BI179),AW179*$BI179),0)</f>
        <v>0</v>
      </c>
      <c r="DA179" s="5">
        <f>IF($BI179&lt;&gt;"",IF('Capacity summary'!$C$14="Yes",IF(COUNTBLANK('Capacity summary'!$H91:$BG91)&lt;52,IF('Capacity summary'!AX91&lt;&gt;"",IF(LOWER('Capacity summary'!AX91)="x",$BI179*AX179,VALUE('Capacity summary'!AX91)),0),AX179*$BI179),AX179*$BI179),0)</f>
        <v>0</v>
      </c>
      <c r="DB179" s="5">
        <f>IF($BI179&lt;&gt;"",IF('Capacity summary'!$C$14="Yes",IF(COUNTBLANK('Capacity summary'!$H91:$BG91)&lt;52,IF('Capacity summary'!AY91&lt;&gt;"",IF(LOWER('Capacity summary'!AY91)="x",$BI179*AY179,VALUE('Capacity summary'!AY91)),0),AY179*$BI179),AY179*$BI179),0)</f>
        <v>0</v>
      </c>
      <c r="DC179" s="5">
        <f>IF($BI179&lt;&gt;"",IF('Capacity summary'!$C$14="Yes",IF(COUNTBLANK('Capacity summary'!$H91:$BG91)&lt;52,IF('Capacity summary'!AZ91&lt;&gt;"",IF(LOWER('Capacity summary'!AZ91)="x",$BI179*AZ179,VALUE('Capacity summary'!AZ91)),0),AZ179*$BI179),AZ179*$BI179),0)</f>
        <v>0</v>
      </c>
      <c r="DD179" s="5">
        <f>IF($BI179&lt;&gt;"",IF('Capacity summary'!$C$14="Yes",IF(COUNTBLANK('Capacity summary'!$H91:$BG91)&lt;52,IF('Capacity summary'!BA91&lt;&gt;"",IF(LOWER('Capacity summary'!BA91)="x",$BI179*BA179,VALUE('Capacity summary'!BA91)),0),BA179*$BI179),BA179*$BI179),0)</f>
        <v>0</v>
      </c>
      <c r="DE179" s="5">
        <f>IF($BI179&lt;&gt;"",IF('Capacity summary'!$C$14="Yes",IF(COUNTBLANK('Capacity summary'!$H91:$BG91)&lt;52,IF('Capacity summary'!BB91&lt;&gt;"",IF(LOWER('Capacity summary'!BB91)="x",$BI179*BB179,VALUE('Capacity summary'!BB91)),0),BB179*$BI179),BB179*$BI179),0)</f>
        <v>0</v>
      </c>
      <c r="DF179" s="5">
        <f>IF($BI179&lt;&gt;"",IF('Capacity summary'!$C$14="Yes",IF(COUNTBLANK('Capacity summary'!$H91:$BG91)&lt;52,IF('Capacity summary'!BC91&lt;&gt;"",IF(LOWER('Capacity summary'!BC91)="x",$BI179*BC179,VALUE('Capacity summary'!BC91)),0),BC179*$BI179),BC179*$BI179),0)</f>
        <v>0</v>
      </c>
      <c r="DG179" s="5">
        <f>IF($BI179&lt;&gt;"",IF('Capacity summary'!$C$14="Yes",IF(COUNTBLANK('Capacity summary'!$H91:$BG91)&lt;52,IF('Capacity summary'!BD91&lt;&gt;"",IF(LOWER('Capacity summary'!BD91)="x",$BI179*BD179,VALUE('Capacity summary'!BD91)),0),BD179*$BI179),BD179*$BI179),0)</f>
        <v>0</v>
      </c>
      <c r="DH179" s="5">
        <f>IF($BI179&lt;&gt;"",IF('Capacity summary'!$C$14="Yes",IF(COUNTBLANK('Capacity summary'!$H91:$BG91)&lt;52,IF('Capacity summary'!BE91&lt;&gt;"",IF(LOWER('Capacity summary'!BE91)="x",$BI179*BE179,VALUE('Capacity summary'!BE91)),0),BE179*$BI179),BE179*$BI179),0)</f>
        <v>0</v>
      </c>
      <c r="DI179" s="5">
        <f>IF($BI179&lt;&gt;"",IF('Capacity summary'!$C$14="Yes",IF(COUNTBLANK('Capacity summary'!$H91:$BG91)&lt;52,IF('Capacity summary'!BF91&lt;&gt;"",IF(LOWER('Capacity summary'!BF91)="x",$BI179*BF179,VALUE('Capacity summary'!BF91)),0),BF179*$BI179),BF179*$BI179),0)</f>
        <v>0</v>
      </c>
      <c r="DJ179" s="5">
        <f>IF($BI179&lt;&gt;"",IF('Capacity summary'!$C$14="Yes",IF(COUNTBLANK('Capacity summary'!$H91:$BG91)&lt;52,IF('Capacity summary'!BG91&lt;&gt;"",IF(LOWER('Capacity summary'!BG91)="x",$BI179*BG179,VALUE('Capacity summary'!BG91)),0),BG179*$BI179),BG179*$BI179),0)</f>
        <v>0</v>
      </c>
      <c r="DK179" s="5">
        <f t="shared" ref="DK179" si="73">SUM(DK180:DK279)</f>
        <v>0</v>
      </c>
    </row>
    <row r="180" spans="3:115" x14ac:dyDescent="0.25">
      <c r="C180" s="67" t="str">
        <f>ROW(A69)&amp;". "&amp;Capacity!N85</f>
        <v xml:space="preserve">69. </v>
      </c>
      <c r="D180" s="67">
        <f>'Capacity setup'!C186</f>
        <v>0</v>
      </c>
      <c r="E180" s="67">
        <f>'Capacity setup'!D186</f>
        <v>0</v>
      </c>
      <c r="F180" s="67">
        <f>'Capacity setup'!E186</f>
        <v>0</v>
      </c>
      <c r="H180" s="67">
        <f ca="1">IF(AND(SUMIF(Capacity_Resource,$D180,'Critical resources (hide)'!U$6:U$105)+SUMIF(Capacity_Resource,$E180,'Critical resources (hide)'!U$6:U$105)+SUMIF(Capacity_Resource,$F180,'Critical resources (hide)'!U$6:U$105)&gt;0,$E$1=2),0,1)</f>
        <v>1</v>
      </c>
      <c r="I180" s="67">
        <f ca="1">IF(AND(SUMIF(Capacity_Resource,$D180,'Critical resources (hide)'!V$6:V$105)+SUMIF(Capacity_Resource,$E180,'Critical resources (hide)'!V$6:V$105)+SUMIF(Capacity_Resource,$F180,'Critical resources (hide)'!V$6:V$105)&gt;0,$E$1=2),0,1)</f>
        <v>1</v>
      </c>
      <c r="J180" s="67">
        <f ca="1">IF(AND(SUMIF(Capacity_Resource,$D180,'Critical resources (hide)'!W$6:W$105)+SUMIF(Capacity_Resource,$E180,'Critical resources (hide)'!W$6:W$105)+SUMIF(Capacity_Resource,$F180,'Critical resources (hide)'!W$6:W$105)&gt;0,$E$1=2),0,1)</f>
        <v>1</v>
      </c>
      <c r="K180" s="67">
        <f ca="1">IF(AND(SUMIF(Capacity_Resource,$D180,'Critical resources (hide)'!X$6:X$105)+SUMIF(Capacity_Resource,$E180,'Critical resources (hide)'!X$6:X$105)+SUMIF(Capacity_Resource,$F180,'Critical resources (hide)'!X$6:X$105)&gt;0,$E$1=2),0,1)</f>
        <v>1</v>
      </c>
      <c r="L180" s="67">
        <f ca="1">IF(AND(SUMIF(Capacity_Resource,$D180,'Critical resources (hide)'!Y$6:Y$105)+SUMIF(Capacity_Resource,$E180,'Critical resources (hide)'!Y$6:Y$105)+SUMIF(Capacity_Resource,$F180,'Critical resources (hide)'!Y$6:Y$105)&gt;0,$E$1=2),0,1)</f>
        <v>1</v>
      </c>
      <c r="M180" s="67">
        <f ca="1">IF(AND(SUMIF(Capacity_Resource,$D180,'Critical resources (hide)'!Z$6:Z$105)+SUMIF(Capacity_Resource,$E180,'Critical resources (hide)'!Z$6:Z$105)+SUMIF(Capacity_Resource,$F180,'Critical resources (hide)'!Z$6:Z$105)&gt;0,$E$1=2),0,1)</f>
        <v>1</v>
      </c>
      <c r="N180" s="67">
        <f ca="1">IF(AND(SUMIF(Capacity_Resource,$D180,'Critical resources (hide)'!AA$6:AA$105)+SUMIF(Capacity_Resource,$E180,'Critical resources (hide)'!AA$6:AA$105)+SUMIF(Capacity_Resource,$F180,'Critical resources (hide)'!AA$6:AA$105)&gt;0,$E$1=2),0,1)</f>
        <v>1</v>
      </c>
      <c r="O180" s="67">
        <f ca="1">IF(AND(SUMIF(Capacity_Resource,$D180,'Critical resources (hide)'!AB$6:AB$105)+SUMIF(Capacity_Resource,$E180,'Critical resources (hide)'!AB$6:AB$105)+SUMIF(Capacity_Resource,$F180,'Critical resources (hide)'!AB$6:AB$105)&gt;0,$E$1=2),0,1)</f>
        <v>1</v>
      </c>
      <c r="P180" s="67">
        <f ca="1">IF(AND(SUMIF(Capacity_Resource,$D180,'Critical resources (hide)'!AC$6:AC$105)+SUMIF(Capacity_Resource,$E180,'Critical resources (hide)'!AC$6:AC$105)+SUMIF(Capacity_Resource,$F180,'Critical resources (hide)'!AC$6:AC$105)&gt;0,$E$1=2),0,1)</f>
        <v>1</v>
      </c>
      <c r="Q180" s="67">
        <f ca="1">IF(AND(SUMIF(Capacity_Resource,$D180,'Critical resources (hide)'!AD$6:AD$105)+SUMIF(Capacity_Resource,$E180,'Critical resources (hide)'!AD$6:AD$105)+SUMIF(Capacity_Resource,$F180,'Critical resources (hide)'!AD$6:AD$105)&gt;0,$E$1=2),0,1)</f>
        <v>1</v>
      </c>
      <c r="R180" s="67">
        <f ca="1">IF(AND(SUMIF(Capacity_Resource,$D180,'Critical resources (hide)'!AE$6:AE$105)+SUMIF(Capacity_Resource,$E180,'Critical resources (hide)'!AE$6:AE$105)+SUMIF(Capacity_Resource,$F180,'Critical resources (hide)'!AE$6:AE$105)&gt;0,$E$1=2),0,1)</f>
        <v>1</v>
      </c>
      <c r="S180" s="67">
        <f ca="1">IF(AND(SUMIF(Capacity_Resource,$D180,'Critical resources (hide)'!AF$6:AF$105)+SUMIF(Capacity_Resource,$E180,'Critical resources (hide)'!AF$6:AF$105)+SUMIF(Capacity_Resource,$F180,'Critical resources (hide)'!AF$6:AF$105)&gt;0,$E$1=2),0,1)</f>
        <v>1</v>
      </c>
      <c r="T180" s="67">
        <f ca="1">IF(AND(SUMIF(Capacity_Resource,$D180,'Critical resources (hide)'!AG$6:AG$105)+SUMIF(Capacity_Resource,$E180,'Critical resources (hide)'!AG$6:AG$105)+SUMIF(Capacity_Resource,$F180,'Critical resources (hide)'!AG$6:AG$105)&gt;0,$E$1=2),0,1)</f>
        <v>1</v>
      </c>
      <c r="U180" s="67">
        <f ca="1">IF(AND(SUMIF(Capacity_Resource,$D180,'Critical resources (hide)'!AH$6:AH$105)+SUMIF(Capacity_Resource,$E180,'Critical resources (hide)'!AH$6:AH$105)+SUMIF(Capacity_Resource,$F180,'Critical resources (hide)'!AH$6:AH$105)&gt;0,$E$1=2),0,1)</f>
        <v>1</v>
      </c>
      <c r="V180" s="67">
        <f ca="1">IF(AND(SUMIF(Capacity_Resource,$D180,'Critical resources (hide)'!AI$6:AI$105)+SUMIF(Capacity_Resource,$E180,'Critical resources (hide)'!AI$6:AI$105)+SUMIF(Capacity_Resource,$F180,'Critical resources (hide)'!AI$6:AI$105)&gt;0,$E$1=2),0,1)</f>
        <v>1</v>
      </c>
      <c r="W180" s="67">
        <f ca="1">IF(AND(SUMIF(Capacity_Resource,$D180,'Critical resources (hide)'!AJ$6:AJ$105)+SUMIF(Capacity_Resource,$E180,'Critical resources (hide)'!AJ$6:AJ$105)+SUMIF(Capacity_Resource,$F180,'Critical resources (hide)'!AJ$6:AJ$105)&gt;0,$E$1=2),0,1)</f>
        <v>1</v>
      </c>
      <c r="X180" s="67">
        <f ca="1">IF(AND(SUMIF(Capacity_Resource,$D180,'Critical resources (hide)'!AK$6:AK$105)+SUMIF(Capacity_Resource,$E180,'Critical resources (hide)'!AK$6:AK$105)+SUMIF(Capacity_Resource,$F180,'Critical resources (hide)'!AK$6:AK$105)&gt;0,$E$1=2),0,1)</f>
        <v>1</v>
      </c>
      <c r="Y180" s="67">
        <f ca="1">IF(AND(SUMIF(Capacity_Resource,$D180,'Critical resources (hide)'!AL$6:AL$105)+SUMIF(Capacity_Resource,$E180,'Critical resources (hide)'!AL$6:AL$105)+SUMIF(Capacity_Resource,$F180,'Critical resources (hide)'!AL$6:AL$105)&gt;0,$E$1=2),0,1)</f>
        <v>1</v>
      </c>
      <c r="Z180" s="67">
        <f ca="1">IF(AND(SUMIF(Capacity_Resource,$D180,'Critical resources (hide)'!AM$6:AM$105)+SUMIF(Capacity_Resource,$E180,'Critical resources (hide)'!AM$6:AM$105)+SUMIF(Capacity_Resource,$F180,'Critical resources (hide)'!AM$6:AM$105)&gt;0,$E$1=2),0,1)</f>
        <v>1</v>
      </c>
      <c r="AA180" s="67">
        <f ca="1">IF(AND(SUMIF(Capacity_Resource,$D180,'Critical resources (hide)'!AN$6:AN$105)+SUMIF(Capacity_Resource,$E180,'Critical resources (hide)'!AN$6:AN$105)+SUMIF(Capacity_Resource,$F180,'Critical resources (hide)'!AN$6:AN$105)&gt;0,$E$1=2),0,1)</f>
        <v>1</v>
      </c>
      <c r="AB180" s="67">
        <f ca="1">IF(AND(SUMIF(Capacity_Resource,$D180,'Critical resources (hide)'!AO$6:AO$105)+SUMIF(Capacity_Resource,$E180,'Critical resources (hide)'!AO$6:AO$105)+SUMIF(Capacity_Resource,$F180,'Critical resources (hide)'!AO$6:AO$105)&gt;0,$E$1=2),0,1)</f>
        <v>1</v>
      </c>
      <c r="AC180" s="67">
        <f ca="1">IF(AND(SUMIF(Capacity_Resource,$D180,'Critical resources (hide)'!AP$6:AP$105)+SUMIF(Capacity_Resource,$E180,'Critical resources (hide)'!AP$6:AP$105)+SUMIF(Capacity_Resource,$F180,'Critical resources (hide)'!AP$6:AP$105)&gt;0,$E$1=2),0,1)</f>
        <v>1</v>
      </c>
      <c r="AD180" s="67">
        <f ca="1">IF(AND(SUMIF(Capacity_Resource,$D180,'Critical resources (hide)'!AQ$6:AQ$105)+SUMIF(Capacity_Resource,$E180,'Critical resources (hide)'!AQ$6:AQ$105)+SUMIF(Capacity_Resource,$F180,'Critical resources (hide)'!AQ$6:AQ$105)&gt;0,$E$1=2),0,1)</f>
        <v>1</v>
      </c>
      <c r="AE180" s="67">
        <f ca="1">IF(AND(SUMIF(Capacity_Resource,$D180,'Critical resources (hide)'!AR$6:AR$105)+SUMIF(Capacity_Resource,$E180,'Critical resources (hide)'!AR$6:AR$105)+SUMIF(Capacity_Resource,$F180,'Critical resources (hide)'!AR$6:AR$105)&gt;0,$E$1=2),0,1)</f>
        <v>1</v>
      </c>
      <c r="AF180" s="67">
        <f ca="1">IF(AND(SUMIF(Capacity_Resource,$D180,'Critical resources (hide)'!AS$6:AS$105)+SUMIF(Capacity_Resource,$E180,'Critical resources (hide)'!AS$6:AS$105)+SUMIF(Capacity_Resource,$F180,'Critical resources (hide)'!AS$6:AS$105)&gt;0,$E$1=2),0,1)</f>
        <v>1</v>
      </c>
      <c r="AG180" s="67">
        <f ca="1">IF(AND(SUMIF(Capacity_Resource,$D180,'Critical resources (hide)'!AT$6:AT$105)+SUMIF(Capacity_Resource,$E180,'Critical resources (hide)'!AT$6:AT$105)+SUMIF(Capacity_Resource,$F180,'Critical resources (hide)'!AT$6:AT$105)&gt;0,$E$1=2),0,1)</f>
        <v>1</v>
      </c>
      <c r="AH180" s="67">
        <f ca="1">IF(AND(SUMIF(Capacity_Resource,$D180,'Critical resources (hide)'!AU$6:AU$105)+SUMIF(Capacity_Resource,$E180,'Critical resources (hide)'!AU$6:AU$105)+SUMIF(Capacity_Resource,$F180,'Critical resources (hide)'!AU$6:AU$105)&gt;0,$E$1=2),0,1)</f>
        <v>1</v>
      </c>
      <c r="AI180" s="67">
        <f ca="1">IF(AND(SUMIF(Capacity_Resource,$D180,'Critical resources (hide)'!AV$6:AV$105)+SUMIF(Capacity_Resource,$E180,'Critical resources (hide)'!AV$6:AV$105)+SUMIF(Capacity_Resource,$F180,'Critical resources (hide)'!AV$6:AV$105)&gt;0,$E$1=2),0,1)</f>
        <v>1</v>
      </c>
      <c r="AJ180" s="67">
        <f ca="1">IF(AND(SUMIF(Capacity_Resource,$D180,'Critical resources (hide)'!AW$6:AW$105)+SUMIF(Capacity_Resource,$E180,'Critical resources (hide)'!AW$6:AW$105)+SUMIF(Capacity_Resource,$F180,'Critical resources (hide)'!AW$6:AW$105)&gt;0,$E$1=2),0,1)</f>
        <v>1</v>
      </c>
      <c r="AK180" s="67">
        <f ca="1">IF(AND(SUMIF(Capacity_Resource,$D180,'Critical resources (hide)'!AX$6:AX$105)+SUMIF(Capacity_Resource,$E180,'Critical resources (hide)'!AX$6:AX$105)+SUMIF(Capacity_Resource,$F180,'Critical resources (hide)'!AX$6:AX$105)&gt;0,$E$1=2),0,1)</f>
        <v>1</v>
      </c>
      <c r="AL180" s="67">
        <f ca="1">IF(AND(SUMIF(Capacity_Resource,$D180,'Critical resources (hide)'!AY$6:AY$105)+SUMIF(Capacity_Resource,$E180,'Critical resources (hide)'!AY$6:AY$105)+SUMIF(Capacity_Resource,$F180,'Critical resources (hide)'!AY$6:AY$105)&gt;0,$E$1=2),0,1)</f>
        <v>1</v>
      </c>
      <c r="AM180" s="67">
        <f ca="1">IF(AND(SUMIF(Capacity_Resource,$D180,'Critical resources (hide)'!AZ$6:AZ$105)+SUMIF(Capacity_Resource,$E180,'Critical resources (hide)'!AZ$6:AZ$105)+SUMIF(Capacity_Resource,$F180,'Critical resources (hide)'!AZ$6:AZ$105)&gt;0,$E$1=2),0,1)</f>
        <v>1</v>
      </c>
      <c r="AN180" s="67">
        <f ca="1">IF(AND(SUMIF(Capacity_Resource,$D180,'Critical resources (hide)'!BA$6:BA$105)+SUMIF(Capacity_Resource,$E180,'Critical resources (hide)'!BA$6:BA$105)+SUMIF(Capacity_Resource,$F180,'Critical resources (hide)'!BA$6:BA$105)&gt;0,$E$1=2),0,1)</f>
        <v>1</v>
      </c>
      <c r="AO180" s="67">
        <f ca="1">IF(AND(SUMIF(Capacity_Resource,$D180,'Critical resources (hide)'!BB$6:BB$105)+SUMIF(Capacity_Resource,$E180,'Critical resources (hide)'!BB$6:BB$105)+SUMIF(Capacity_Resource,$F180,'Critical resources (hide)'!BB$6:BB$105)&gt;0,$E$1=2),0,1)</f>
        <v>1</v>
      </c>
      <c r="AP180" s="67">
        <f ca="1">IF(AND(SUMIF(Capacity_Resource,$D180,'Critical resources (hide)'!BC$6:BC$105)+SUMIF(Capacity_Resource,$E180,'Critical resources (hide)'!BC$6:BC$105)+SUMIF(Capacity_Resource,$F180,'Critical resources (hide)'!BC$6:BC$105)&gt;0,$E$1=2),0,1)</f>
        <v>1</v>
      </c>
      <c r="AQ180" s="67">
        <f ca="1">IF(AND(SUMIF(Capacity_Resource,$D180,'Critical resources (hide)'!BD$6:BD$105)+SUMIF(Capacity_Resource,$E180,'Critical resources (hide)'!BD$6:BD$105)+SUMIF(Capacity_Resource,$F180,'Critical resources (hide)'!BD$6:BD$105)&gt;0,$E$1=2),0,1)</f>
        <v>1</v>
      </c>
      <c r="AR180" s="67">
        <f ca="1">IF(AND(SUMIF(Capacity_Resource,$D180,'Critical resources (hide)'!BE$6:BE$105)+SUMIF(Capacity_Resource,$E180,'Critical resources (hide)'!BE$6:BE$105)+SUMIF(Capacity_Resource,$F180,'Critical resources (hide)'!BE$6:BE$105)&gt;0,$E$1=2),0,1)</f>
        <v>1</v>
      </c>
      <c r="AS180" s="67">
        <f ca="1">IF(AND(SUMIF(Capacity_Resource,$D180,'Critical resources (hide)'!BF$6:BF$105)+SUMIF(Capacity_Resource,$E180,'Critical resources (hide)'!BF$6:BF$105)+SUMIF(Capacity_Resource,$F180,'Critical resources (hide)'!BF$6:BF$105)&gt;0,$E$1=2),0,1)</f>
        <v>1</v>
      </c>
      <c r="AT180" s="67">
        <f ca="1">IF(AND(SUMIF(Capacity_Resource,$D180,'Critical resources (hide)'!BG$6:BG$105)+SUMIF(Capacity_Resource,$E180,'Critical resources (hide)'!BG$6:BG$105)+SUMIF(Capacity_Resource,$F180,'Critical resources (hide)'!BG$6:BG$105)&gt;0,$E$1=2),0,1)</f>
        <v>1</v>
      </c>
      <c r="AU180" s="67">
        <f ca="1">IF(AND(SUMIF(Capacity_Resource,$D180,'Critical resources (hide)'!BH$6:BH$105)+SUMIF(Capacity_Resource,$E180,'Critical resources (hide)'!BH$6:BH$105)+SUMIF(Capacity_Resource,$F180,'Critical resources (hide)'!BH$6:BH$105)&gt;0,$E$1=2),0,1)</f>
        <v>1</v>
      </c>
      <c r="AV180" s="67">
        <f ca="1">IF(AND(SUMIF(Capacity_Resource,$D180,'Critical resources (hide)'!BI$6:BI$105)+SUMIF(Capacity_Resource,$E180,'Critical resources (hide)'!BI$6:BI$105)+SUMIF(Capacity_Resource,$F180,'Critical resources (hide)'!BI$6:BI$105)&gt;0,$E$1=2),0,1)</f>
        <v>1</v>
      </c>
      <c r="AW180" s="67">
        <f ca="1">IF(AND(SUMIF(Capacity_Resource,$D180,'Critical resources (hide)'!BJ$6:BJ$105)+SUMIF(Capacity_Resource,$E180,'Critical resources (hide)'!BJ$6:BJ$105)+SUMIF(Capacity_Resource,$F180,'Critical resources (hide)'!BJ$6:BJ$105)&gt;0,$E$1=2),0,1)</f>
        <v>1</v>
      </c>
      <c r="AX180" s="67">
        <f ca="1">IF(AND(SUMIF(Capacity_Resource,$D180,'Critical resources (hide)'!BK$6:BK$105)+SUMIF(Capacity_Resource,$E180,'Critical resources (hide)'!BK$6:BK$105)+SUMIF(Capacity_Resource,$F180,'Critical resources (hide)'!BK$6:BK$105)&gt;0,$E$1=2),0,1)</f>
        <v>1</v>
      </c>
      <c r="AY180" s="67">
        <f ca="1">IF(AND(SUMIF(Capacity_Resource,$D180,'Critical resources (hide)'!BL$6:BL$105)+SUMIF(Capacity_Resource,$E180,'Critical resources (hide)'!BL$6:BL$105)+SUMIF(Capacity_Resource,$F180,'Critical resources (hide)'!BL$6:BL$105)&gt;0,$E$1=2),0,1)</f>
        <v>1</v>
      </c>
      <c r="AZ180" s="67">
        <f ca="1">IF(AND(SUMIF(Capacity_Resource,$D180,'Critical resources (hide)'!BM$6:BM$105)+SUMIF(Capacity_Resource,$E180,'Critical resources (hide)'!BM$6:BM$105)+SUMIF(Capacity_Resource,$F180,'Critical resources (hide)'!BM$6:BM$105)&gt;0,$E$1=2),0,1)</f>
        <v>1</v>
      </c>
      <c r="BA180" s="67">
        <f ca="1">IF(AND(SUMIF(Capacity_Resource,$D180,'Critical resources (hide)'!BN$6:BN$105)+SUMIF(Capacity_Resource,$E180,'Critical resources (hide)'!BN$6:BN$105)+SUMIF(Capacity_Resource,$F180,'Critical resources (hide)'!BN$6:BN$105)&gt;0,$E$1=2),0,1)</f>
        <v>1</v>
      </c>
      <c r="BB180" s="67">
        <f ca="1">IF(AND(SUMIF(Capacity_Resource,$D180,'Critical resources (hide)'!BO$6:BO$105)+SUMIF(Capacity_Resource,$E180,'Critical resources (hide)'!BO$6:BO$105)+SUMIF(Capacity_Resource,$F180,'Critical resources (hide)'!BO$6:BO$105)&gt;0,$E$1=2),0,1)</f>
        <v>1</v>
      </c>
      <c r="BC180" s="67">
        <f ca="1">IF(AND(SUMIF(Capacity_Resource,$D180,'Critical resources (hide)'!BP$6:BP$105)+SUMIF(Capacity_Resource,$E180,'Critical resources (hide)'!BP$6:BP$105)+SUMIF(Capacity_Resource,$F180,'Critical resources (hide)'!BP$6:BP$105)&gt;0,$E$1=2),0,1)</f>
        <v>1</v>
      </c>
      <c r="BD180" s="67">
        <f ca="1">IF(AND(SUMIF(Capacity_Resource,$D180,'Critical resources (hide)'!BQ$6:BQ$105)+SUMIF(Capacity_Resource,$E180,'Critical resources (hide)'!BQ$6:BQ$105)+SUMIF(Capacity_Resource,$F180,'Critical resources (hide)'!BQ$6:BQ$105)&gt;0,$E$1=2),0,1)</f>
        <v>1</v>
      </c>
      <c r="BE180" s="67">
        <f ca="1">IF(AND(SUMIF(Capacity_Resource,$D180,'Critical resources (hide)'!BR$6:BR$105)+SUMIF(Capacity_Resource,$E180,'Critical resources (hide)'!BR$6:BR$105)+SUMIF(Capacity_Resource,$F180,'Critical resources (hide)'!BR$6:BR$105)&gt;0,$E$1=2),0,1)</f>
        <v>1</v>
      </c>
      <c r="BF180" s="67">
        <f ca="1">IF(AND(SUMIF(Capacity_Resource,$D180,'Critical resources (hide)'!BS$6:BS$105)+SUMIF(Capacity_Resource,$E180,'Critical resources (hide)'!BS$6:BS$105)+SUMIF(Capacity_Resource,$F180,'Critical resources (hide)'!BS$6:BS$105)&gt;0,$E$1=2),0,1)</f>
        <v>1</v>
      </c>
      <c r="BG180" s="67">
        <f ca="1">IF(AND(SUMIF(Capacity_Resource,$D180,'Critical resources (hide)'!BT$6:BT$105)+SUMIF(Capacity_Resource,$E180,'Critical resources (hide)'!BT$6:BT$105)+SUMIF(Capacity_Resource,$F180,'Critical resources (hide)'!BT$6:BT$105)&gt;0,$E$1=2),0,1)</f>
        <v>1</v>
      </c>
      <c r="BH180" s="67">
        <f>IF(ROW(A69)&lt;=Capacity!$M$16,IF('Capacity summary'!$C$14="No",SUM(H180:BG180),'Capacity summary'!$E92),0)</f>
        <v>0</v>
      </c>
      <c r="BI180" s="67" t="str">
        <f>IF(BH180&gt;0,IF(BH180&lt;Capacity!Q85,Capacity!R85,Capacity!T85/'Capacity calculation (hide)'!BH180),"")</f>
        <v/>
      </c>
      <c r="BJ180" s="5"/>
      <c r="BK180" s="5">
        <f>IF($BI180&lt;&gt;"",IF('Capacity summary'!$C$14="Yes",IF(COUNTBLANK('Capacity summary'!$H92:$BG92)&lt;52,IF('Capacity summary'!H92&lt;&gt;"",IF(LOWER('Capacity summary'!H92)="x",$BI180*H180,VALUE('Capacity summary'!H92)),0),H180*$BI180),H180*$BI180),0)</f>
        <v>0</v>
      </c>
      <c r="BL180" s="5">
        <f>IF($BI180&lt;&gt;"",IF('Capacity summary'!$C$14="Yes",IF(COUNTBLANK('Capacity summary'!$H92:$BG92)&lt;52,IF('Capacity summary'!I92&lt;&gt;"",IF(LOWER('Capacity summary'!I92)="x",$BI180*I180,VALUE('Capacity summary'!I92)),0),I180*$BI180),I180*$BI180),0)</f>
        <v>0</v>
      </c>
      <c r="BM180" s="5">
        <f>IF($BI180&lt;&gt;"",IF('Capacity summary'!$C$14="Yes",IF(COUNTBLANK('Capacity summary'!$H92:$BG92)&lt;52,IF('Capacity summary'!J92&lt;&gt;"",IF(LOWER('Capacity summary'!J92)="x",$BI180*J180,VALUE('Capacity summary'!J92)),0),J180*$BI180),J180*$BI180),0)</f>
        <v>0</v>
      </c>
      <c r="BN180" s="5">
        <f>IF($BI180&lt;&gt;"",IF('Capacity summary'!$C$14="Yes",IF(COUNTBLANK('Capacity summary'!$H92:$BG92)&lt;52,IF('Capacity summary'!K92&lt;&gt;"",IF(LOWER('Capacity summary'!K92)="x",$BI180*K180,VALUE('Capacity summary'!K92)),0),K180*$BI180),K180*$BI180),0)</f>
        <v>0</v>
      </c>
      <c r="BO180" s="5">
        <f>IF($BI180&lt;&gt;"",IF('Capacity summary'!$C$14="Yes",IF(COUNTBLANK('Capacity summary'!$H92:$BG92)&lt;52,IF('Capacity summary'!L92&lt;&gt;"",IF(LOWER('Capacity summary'!L92)="x",$BI180*L180,VALUE('Capacity summary'!L92)),0),L180*$BI180),L180*$BI180),0)</f>
        <v>0</v>
      </c>
      <c r="BP180" s="5">
        <f>IF($BI180&lt;&gt;"",IF('Capacity summary'!$C$14="Yes",IF(COUNTBLANK('Capacity summary'!$H92:$BG92)&lt;52,IF('Capacity summary'!M92&lt;&gt;"",IF(LOWER('Capacity summary'!M92)="x",$BI180*M180,VALUE('Capacity summary'!M92)),0),M180*$BI180),M180*$BI180),0)</f>
        <v>0</v>
      </c>
      <c r="BQ180" s="5">
        <f>IF($BI180&lt;&gt;"",IF('Capacity summary'!$C$14="Yes",IF(COUNTBLANK('Capacity summary'!$H92:$BG92)&lt;52,IF('Capacity summary'!N92&lt;&gt;"",IF(LOWER('Capacity summary'!N92)="x",$BI180*N180,VALUE('Capacity summary'!N92)),0),N180*$BI180),N180*$BI180),0)</f>
        <v>0</v>
      </c>
      <c r="BR180" s="5">
        <f>IF($BI180&lt;&gt;"",IF('Capacity summary'!$C$14="Yes",IF(COUNTBLANK('Capacity summary'!$H92:$BG92)&lt;52,IF('Capacity summary'!O92&lt;&gt;"",IF(LOWER('Capacity summary'!O92)="x",$BI180*O180,VALUE('Capacity summary'!O92)),0),O180*$BI180),O180*$BI180),0)</f>
        <v>0</v>
      </c>
      <c r="BS180" s="5">
        <f>IF($BI180&lt;&gt;"",IF('Capacity summary'!$C$14="Yes",IF(COUNTBLANK('Capacity summary'!$H92:$BG92)&lt;52,IF('Capacity summary'!P92&lt;&gt;"",IF(LOWER('Capacity summary'!P92)="x",$BI180*P180,VALUE('Capacity summary'!P92)),0),P180*$BI180),P180*$BI180),0)</f>
        <v>0</v>
      </c>
      <c r="BT180" s="5">
        <f>IF($BI180&lt;&gt;"",IF('Capacity summary'!$C$14="Yes",IF(COUNTBLANK('Capacity summary'!$H92:$BG92)&lt;52,IF('Capacity summary'!Q92&lt;&gt;"",IF(LOWER('Capacity summary'!Q92)="x",$BI180*Q180,VALUE('Capacity summary'!Q92)),0),Q180*$BI180),Q180*$BI180),0)</f>
        <v>0</v>
      </c>
      <c r="BU180" s="5">
        <f>IF($BI180&lt;&gt;"",IF('Capacity summary'!$C$14="Yes",IF(COUNTBLANK('Capacity summary'!$H92:$BG92)&lt;52,IF('Capacity summary'!R92&lt;&gt;"",IF(LOWER('Capacity summary'!R92)="x",$BI180*R180,VALUE('Capacity summary'!R92)),0),R180*$BI180),R180*$BI180),0)</f>
        <v>0</v>
      </c>
      <c r="BV180" s="5">
        <f>IF($BI180&lt;&gt;"",IF('Capacity summary'!$C$14="Yes",IF(COUNTBLANK('Capacity summary'!$H92:$BG92)&lt;52,IF('Capacity summary'!S92&lt;&gt;"",IF(LOWER('Capacity summary'!S92)="x",$BI180*S180,VALUE('Capacity summary'!S92)),0),S180*$BI180),S180*$BI180),0)</f>
        <v>0</v>
      </c>
      <c r="BW180" s="5">
        <f>IF($BI180&lt;&gt;"",IF('Capacity summary'!$C$14="Yes",IF(COUNTBLANK('Capacity summary'!$H92:$BG92)&lt;52,IF('Capacity summary'!T92&lt;&gt;"",IF(LOWER('Capacity summary'!T92)="x",$BI180*T180,VALUE('Capacity summary'!T92)),0),T180*$BI180),T180*$BI180),0)</f>
        <v>0</v>
      </c>
      <c r="BX180" s="5">
        <f>IF($BI180&lt;&gt;"",IF('Capacity summary'!$C$14="Yes",IF(COUNTBLANK('Capacity summary'!$H92:$BG92)&lt;52,IF('Capacity summary'!U92&lt;&gt;"",IF(LOWER('Capacity summary'!U92)="x",$BI180*U180,VALUE('Capacity summary'!U92)),0),U180*$BI180),U180*$BI180),0)</f>
        <v>0</v>
      </c>
      <c r="BY180" s="5">
        <f>IF($BI180&lt;&gt;"",IF('Capacity summary'!$C$14="Yes",IF(COUNTBLANK('Capacity summary'!$H92:$BG92)&lt;52,IF('Capacity summary'!V92&lt;&gt;"",IF(LOWER('Capacity summary'!V92)="x",$BI180*V180,VALUE('Capacity summary'!V92)),0),V180*$BI180),V180*$BI180),0)</f>
        <v>0</v>
      </c>
      <c r="BZ180" s="5">
        <f>IF($BI180&lt;&gt;"",IF('Capacity summary'!$C$14="Yes",IF(COUNTBLANK('Capacity summary'!$H92:$BG92)&lt;52,IF('Capacity summary'!W92&lt;&gt;"",IF(LOWER('Capacity summary'!W92)="x",$BI180*W180,VALUE('Capacity summary'!W92)),0),W180*$BI180),W180*$BI180),0)</f>
        <v>0</v>
      </c>
      <c r="CA180" s="5">
        <f>IF($BI180&lt;&gt;"",IF('Capacity summary'!$C$14="Yes",IF(COUNTBLANK('Capacity summary'!$H92:$BG92)&lt;52,IF('Capacity summary'!X92&lt;&gt;"",IF(LOWER('Capacity summary'!X92)="x",$BI180*X180,VALUE('Capacity summary'!X92)),0),X180*$BI180),X180*$BI180),0)</f>
        <v>0</v>
      </c>
      <c r="CB180" s="5">
        <f>IF($BI180&lt;&gt;"",IF('Capacity summary'!$C$14="Yes",IF(COUNTBLANK('Capacity summary'!$H92:$BG92)&lt;52,IF('Capacity summary'!Y92&lt;&gt;"",IF(LOWER('Capacity summary'!Y92)="x",$BI180*Y180,VALUE('Capacity summary'!Y92)),0),Y180*$BI180),Y180*$BI180),0)</f>
        <v>0</v>
      </c>
      <c r="CC180" s="5">
        <f>IF($BI180&lt;&gt;"",IF('Capacity summary'!$C$14="Yes",IF(COUNTBLANK('Capacity summary'!$H92:$BG92)&lt;52,IF('Capacity summary'!Z92&lt;&gt;"",IF(LOWER('Capacity summary'!Z92)="x",$BI180*Z180,VALUE('Capacity summary'!Z92)),0),Z180*$BI180),Z180*$BI180),0)</f>
        <v>0</v>
      </c>
      <c r="CD180" s="5">
        <f>IF($BI180&lt;&gt;"",IF('Capacity summary'!$C$14="Yes",IF(COUNTBLANK('Capacity summary'!$H92:$BG92)&lt;52,IF('Capacity summary'!AA92&lt;&gt;"",IF(LOWER('Capacity summary'!AA92)="x",$BI180*AA180,VALUE('Capacity summary'!AA92)),0),AA180*$BI180),AA180*$BI180),0)</f>
        <v>0</v>
      </c>
      <c r="CE180" s="5">
        <f>IF($BI180&lt;&gt;"",IF('Capacity summary'!$C$14="Yes",IF(COUNTBLANK('Capacity summary'!$H92:$BG92)&lt;52,IF('Capacity summary'!AB92&lt;&gt;"",IF(LOWER('Capacity summary'!AB92)="x",$BI180*AB180,VALUE('Capacity summary'!AB92)),0),AB180*$BI180),AB180*$BI180),0)</f>
        <v>0</v>
      </c>
      <c r="CF180" s="5">
        <f>IF($BI180&lt;&gt;"",IF('Capacity summary'!$C$14="Yes",IF(COUNTBLANK('Capacity summary'!$H92:$BG92)&lt;52,IF('Capacity summary'!AC92&lt;&gt;"",IF(LOWER('Capacity summary'!AC92)="x",$BI180*AC180,VALUE('Capacity summary'!AC92)),0),AC180*$BI180),AC180*$BI180),0)</f>
        <v>0</v>
      </c>
      <c r="CG180" s="5">
        <f>IF($BI180&lt;&gt;"",IF('Capacity summary'!$C$14="Yes",IF(COUNTBLANK('Capacity summary'!$H92:$BG92)&lt;52,IF('Capacity summary'!AD92&lt;&gt;"",IF(LOWER('Capacity summary'!AD92)="x",$BI180*AD180,VALUE('Capacity summary'!AD92)),0),AD180*$BI180),AD180*$BI180),0)</f>
        <v>0</v>
      </c>
      <c r="CH180" s="5">
        <f>IF($BI180&lt;&gt;"",IF('Capacity summary'!$C$14="Yes",IF(COUNTBLANK('Capacity summary'!$H92:$BG92)&lt;52,IF('Capacity summary'!AE92&lt;&gt;"",IF(LOWER('Capacity summary'!AE92)="x",$BI180*AE180,VALUE('Capacity summary'!AE92)),0),AE180*$BI180),AE180*$BI180),0)</f>
        <v>0</v>
      </c>
      <c r="CI180" s="5">
        <f>IF($BI180&lt;&gt;"",IF('Capacity summary'!$C$14="Yes",IF(COUNTBLANK('Capacity summary'!$H92:$BG92)&lt;52,IF('Capacity summary'!AF92&lt;&gt;"",IF(LOWER('Capacity summary'!AF92)="x",$BI180*AF180,VALUE('Capacity summary'!AF92)),0),AF180*$BI180),AF180*$BI180),0)</f>
        <v>0</v>
      </c>
      <c r="CJ180" s="5">
        <f>IF($BI180&lt;&gt;"",IF('Capacity summary'!$C$14="Yes",IF(COUNTBLANK('Capacity summary'!$H92:$BG92)&lt;52,IF('Capacity summary'!AG92&lt;&gt;"",IF(LOWER('Capacity summary'!AG92)="x",$BI180*AG180,VALUE('Capacity summary'!AG92)),0),AG180*$BI180),AG180*$BI180),0)</f>
        <v>0</v>
      </c>
      <c r="CK180" s="5">
        <f>IF($BI180&lt;&gt;"",IF('Capacity summary'!$C$14="Yes",IF(COUNTBLANK('Capacity summary'!$H92:$BG92)&lt;52,IF('Capacity summary'!AH92&lt;&gt;"",IF(LOWER('Capacity summary'!AH92)="x",$BI180*AH180,VALUE('Capacity summary'!AH92)),0),AH180*$BI180),AH180*$BI180),0)</f>
        <v>0</v>
      </c>
      <c r="CL180" s="5">
        <f>IF($BI180&lt;&gt;"",IF('Capacity summary'!$C$14="Yes",IF(COUNTBLANK('Capacity summary'!$H92:$BG92)&lt;52,IF('Capacity summary'!AI92&lt;&gt;"",IF(LOWER('Capacity summary'!AI92)="x",$BI180*AI180,VALUE('Capacity summary'!AI92)),0),AI180*$BI180),AI180*$BI180),0)</f>
        <v>0</v>
      </c>
      <c r="CM180" s="5">
        <f>IF($BI180&lt;&gt;"",IF('Capacity summary'!$C$14="Yes",IF(COUNTBLANK('Capacity summary'!$H92:$BG92)&lt;52,IF('Capacity summary'!AJ92&lt;&gt;"",IF(LOWER('Capacity summary'!AJ92)="x",$BI180*AJ180,VALUE('Capacity summary'!AJ92)),0),AJ180*$BI180),AJ180*$BI180),0)</f>
        <v>0</v>
      </c>
      <c r="CN180" s="5">
        <f>IF($BI180&lt;&gt;"",IF('Capacity summary'!$C$14="Yes",IF(COUNTBLANK('Capacity summary'!$H92:$BG92)&lt;52,IF('Capacity summary'!AK92&lt;&gt;"",IF(LOWER('Capacity summary'!AK92)="x",$BI180*AK180,VALUE('Capacity summary'!AK92)),0),AK180*$BI180),AK180*$BI180),0)</f>
        <v>0</v>
      </c>
      <c r="CO180" s="5">
        <f>IF($BI180&lt;&gt;"",IF('Capacity summary'!$C$14="Yes",IF(COUNTBLANK('Capacity summary'!$H92:$BG92)&lt;52,IF('Capacity summary'!AL92&lt;&gt;"",IF(LOWER('Capacity summary'!AL92)="x",$BI180*AL180,VALUE('Capacity summary'!AL92)),0),AL180*$BI180),AL180*$BI180),0)</f>
        <v>0</v>
      </c>
      <c r="CP180" s="5">
        <f>IF($BI180&lt;&gt;"",IF('Capacity summary'!$C$14="Yes",IF(COUNTBLANK('Capacity summary'!$H92:$BG92)&lt;52,IF('Capacity summary'!AM92&lt;&gt;"",IF(LOWER('Capacity summary'!AM92)="x",$BI180*AM180,VALUE('Capacity summary'!AM92)),0),AM180*$BI180),AM180*$BI180),0)</f>
        <v>0</v>
      </c>
      <c r="CQ180" s="5">
        <f>IF($BI180&lt;&gt;"",IF('Capacity summary'!$C$14="Yes",IF(COUNTBLANK('Capacity summary'!$H92:$BG92)&lt;52,IF('Capacity summary'!AN92&lt;&gt;"",IF(LOWER('Capacity summary'!AN92)="x",$BI180*AN180,VALUE('Capacity summary'!AN92)),0),AN180*$BI180),AN180*$BI180),0)</f>
        <v>0</v>
      </c>
      <c r="CR180" s="5">
        <f>IF($BI180&lt;&gt;"",IF('Capacity summary'!$C$14="Yes",IF(COUNTBLANK('Capacity summary'!$H92:$BG92)&lt;52,IF('Capacity summary'!AO92&lt;&gt;"",IF(LOWER('Capacity summary'!AO92)="x",$BI180*AO180,VALUE('Capacity summary'!AO92)),0),AO180*$BI180),AO180*$BI180),0)</f>
        <v>0</v>
      </c>
      <c r="CS180" s="5">
        <f>IF($BI180&lt;&gt;"",IF('Capacity summary'!$C$14="Yes",IF(COUNTBLANK('Capacity summary'!$H92:$BG92)&lt;52,IF('Capacity summary'!AP92&lt;&gt;"",IF(LOWER('Capacity summary'!AP92)="x",$BI180*AP180,VALUE('Capacity summary'!AP92)),0),AP180*$BI180),AP180*$BI180),0)</f>
        <v>0</v>
      </c>
      <c r="CT180" s="5">
        <f>IF($BI180&lt;&gt;"",IF('Capacity summary'!$C$14="Yes",IF(COUNTBLANK('Capacity summary'!$H92:$BG92)&lt;52,IF('Capacity summary'!AQ92&lt;&gt;"",IF(LOWER('Capacity summary'!AQ92)="x",$BI180*AQ180,VALUE('Capacity summary'!AQ92)),0),AQ180*$BI180),AQ180*$BI180),0)</f>
        <v>0</v>
      </c>
      <c r="CU180" s="5">
        <f>IF($BI180&lt;&gt;"",IF('Capacity summary'!$C$14="Yes",IF(COUNTBLANK('Capacity summary'!$H92:$BG92)&lt;52,IF('Capacity summary'!AR92&lt;&gt;"",IF(LOWER('Capacity summary'!AR92)="x",$BI180*AR180,VALUE('Capacity summary'!AR92)),0),AR180*$BI180),AR180*$BI180),0)</f>
        <v>0</v>
      </c>
      <c r="CV180" s="5">
        <f>IF($BI180&lt;&gt;"",IF('Capacity summary'!$C$14="Yes",IF(COUNTBLANK('Capacity summary'!$H92:$BG92)&lt;52,IF('Capacity summary'!AS92&lt;&gt;"",IF(LOWER('Capacity summary'!AS92)="x",$BI180*AS180,VALUE('Capacity summary'!AS92)),0),AS180*$BI180),AS180*$BI180),0)</f>
        <v>0</v>
      </c>
      <c r="CW180" s="5">
        <f>IF($BI180&lt;&gt;"",IF('Capacity summary'!$C$14="Yes",IF(COUNTBLANK('Capacity summary'!$H92:$BG92)&lt;52,IF('Capacity summary'!AT92&lt;&gt;"",IF(LOWER('Capacity summary'!AT92)="x",$BI180*AT180,VALUE('Capacity summary'!AT92)),0),AT180*$BI180),AT180*$BI180),0)</f>
        <v>0</v>
      </c>
      <c r="CX180" s="5">
        <f>IF($BI180&lt;&gt;"",IF('Capacity summary'!$C$14="Yes",IF(COUNTBLANK('Capacity summary'!$H92:$BG92)&lt;52,IF('Capacity summary'!AU92&lt;&gt;"",IF(LOWER('Capacity summary'!AU92)="x",$BI180*AU180,VALUE('Capacity summary'!AU92)),0),AU180*$BI180),AU180*$BI180),0)</f>
        <v>0</v>
      </c>
      <c r="CY180" s="5">
        <f>IF($BI180&lt;&gt;"",IF('Capacity summary'!$C$14="Yes",IF(COUNTBLANK('Capacity summary'!$H92:$BG92)&lt;52,IF('Capacity summary'!AV92&lt;&gt;"",IF(LOWER('Capacity summary'!AV92)="x",$BI180*AV180,VALUE('Capacity summary'!AV92)),0),AV180*$BI180),AV180*$BI180),0)</f>
        <v>0</v>
      </c>
      <c r="CZ180" s="5">
        <f>IF($BI180&lt;&gt;"",IF('Capacity summary'!$C$14="Yes",IF(COUNTBLANK('Capacity summary'!$H92:$BG92)&lt;52,IF('Capacity summary'!AW92&lt;&gt;"",IF(LOWER('Capacity summary'!AW92)="x",$BI180*AW180,VALUE('Capacity summary'!AW92)),0),AW180*$BI180),AW180*$BI180),0)</f>
        <v>0</v>
      </c>
      <c r="DA180" s="5">
        <f>IF($BI180&lt;&gt;"",IF('Capacity summary'!$C$14="Yes",IF(COUNTBLANK('Capacity summary'!$H92:$BG92)&lt;52,IF('Capacity summary'!AX92&lt;&gt;"",IF(LOWER('Capacity summary'!AX92)="x",$BI180*AX180,VALUE('Capacity summary'!AX92)),0),AX180*$BI180),AX180*$BI180),0)</f>
        <v>0</v>
      </c>
      <c r="DB180" s="5">
        <f>IF($BI180&lt;&gt;"",IF('Capacity summary'!$C$14="Yes",IF(COUNTBLANK('Capacity summary'!$H92:$BG92)&lt;52,IF('Capacity summary'!AY92&lt;&gt;"",IF(LOWER('Capacity summary'!AY92)="x",$BI180*AY180,VALUE('Capacity summary'!AY92)),0),AY180*$BI180),AY180*$BI180),0)</f>
        <v>0</v>
      </c>
      <c r="DC180" s="5">
        <f>IF($BI180&lt;&gt;"",IF('Capacity summary'!$C$14="Yes",IF(COUNTBLANK('Capacity summary'!$H92:$BG92)&lt;52,IF('Capacity summary'!AZ92&lt;&gt;"",IF(LOWER('Capacity summary'!AZ92)="x",$BI180*AZ180,VALUE('Capacity summary'!AZ92)),0),AZ180*$BI180),AZ180*$BI180),0)</f>
        <v>0</v>
      </c>
      <c r="DD180" s="5">
        <f>IF($BI180&lt;&gt;"",IF('Capacity summary'!$C$14="Yes",IF(COUNTBLANK('Capacity summary'!$H92:$BG92)&lt;52,IF('Capacity summary'!BA92&lt;&gt;"",IF(LOWER('Capacity summary'!BA92)="x",$BI180*BA180,VALUE('Capacity summary'!BA92)),0),BA180*$BI180),BA180*$BI180),0)</f>
        <v>0</v>
      </c>
      <c r="DE180" s="5">
        <f>IF($BI180&lt;&gt;"",IF('Capacity summary'!$C$14="Yes",IF(COUNTBLANK('Capacity summary'!$H92:$BG92)&lt;52,IF('Capacity summary'!BB92&lt;&gt;"",IF(LOWER('Capacity summary'!BB92)="x",$BI180*BB180,VALUE('Capacity summary'!BB92)),0),BB180*$BI180),BB180*$BI180),0)</f>
        <v>0</v>
      </c>
      <c r="DF180" s="5">
        <f>IF($BI180&lt;&gt;"",IF('Capacity summary'!$C$14="Yes",IF(COUNTBLANK('Capacity summary'!$H92:$BG92)&lt;52,IF('Capacity summary'!BC92&lt;&gt;"",IF(LOWER('Capacity summary'!BC92)="x",$BI180*BC180,VALUE('Capacity summary'!BC92)),0),BC180*$BI180),BC180*$BI180),0)</f>
        <v>0</v>
      </c>
      <c r="DG180" s="5">
        <f>IF($BI180&lt;&gt;"",IF('Capacity summary'!$C$14="Yes",IF(COUNTBLANK('Capacity summary'!$H92:$BG92)&lt;52,IF('Capacity summary'!BD92&lt;&gt;"",IF(LOWER('Capacity summary'!BD92)="x",$BI180*BD180,VALUE('Capacity summary'!BD92)),0),BD180*$BI180),BD180*$BI180),0)</f>
        <v>0</v>
      </c>
      <c r="DH180" s="5">
        <f>IF($BI180&lt;&gt;"",IF('Capacity summary'!$C$14="Yes",IF(COUNTBLANK('Capacity summary'!$H92:$BG92)&lt;52,IF('Capacity summary'!BE92&lt;&gt;"",IF(LOWER('Capacity summary'!BE92)="x",$BI180*BE180,VALUE('Capacity summary'!BE92)),0),BE180*$BI180),BE180*$BI180),0)</f>
        <v>0</v>
      </c>
      <c r="DI180" s="5">
        <f>IF($BI180&lt;&gt;"",IF('Capacity summary'!$C$14="Yes",IF(COUNTBLANK('Capacity summary'!$H92:$BG92)&lt;52,IF('Capacity summary'!BF92&lt;&gt;"",IF(LOWER('Capacity summary'!BF92)="x",$BI180*BF180,VALUE('Capacity summary'!BF92)),0),BF180*$BI180),BF180*$BI180),0)</f>
        <v>0</v>
      </c>
      <c r="DJ180" s="5">
        <f>IF($BI180&lt;&gt;"",IF('Capacity summary'!$C$14="Yes",IF(COUNTBLANK('Capacity summary'!$H92:$BG92)&lt;52,IF('Capacity summary'!BG92&lt;&gt;"",IF(LOWER('Capacity summary'!BG92)="x",$BI180*BG180,VALUE('Capacity summary'!BG92)),0),BG180*$BI180),BG180*$BI180),0)</f>
        <v>0</v>
      </c>
      <c r="DK180" s="5">
        <f t="shared" ref="DK180" si="74">SUM(DK181:DK280)</f>
        <v>0</v>
      </c>
    </row>
    <row r="181" spans="3:115" x14ac:dyDescent="0.25">
      <c r="C181" s="67" t="str">
        <f>ROW(A70)&amp;". "&amp;Capacity!N86</f>
        <v xml:space="preserve">70. </v>
      </c>
      <c r="D181" s="67">
        <f>'Capacity setup'!C187</f>
        <v>0</v>
      </c>
      <c r="E181" s="67">
        <f>'Capacity setup'!D187</f>
        <v>0</v>
      </c>
      <c r="F181" s="67">
        <f>'Capacity setup'!E187</f>
        <v>0</v>
      </c>
      <c r="H181" s="67">
        <f ca="1">IF(AND(SUMIF(Capacity_Resource,$D181,'Critical resources (hide)'!U$6:U$105)+SUMIF(Capacity_Resource,$E181,'Critical resources (hide)'!U$6:U$105)+SUMIF(Capacity_Resource,$F181,'Critical resources (hide)'!U$6:U$105)&gt;0,$E$1=2),0,1)</f>
        <v>1</v>
      </c>
      <c r="I181" s="67">
        <f ca="1">IF(AND(SUMIF(Capacity_Resource,$D181,'Critical resources (hide)'!V$6:V$105)+SUMIF(Capacity_Resource,$E181,'Critical resources (hide)'!V$6:V$105)+SUMIF(Capacity_Resource,$F181,'Critical resources (hide)'!V$6:V$105)&gt;0,$E$1=2),0,1)</f>
        <v>1</v>
      </c>
      <c r="J181" s="67">
        <f ca="1">IF(AND(SUMIF(Capacity_Resource,$D181,'Critical resources (hide)'!W$6:W$105)+SUMIF(Capacity_Resource,$E181,'Critical resources (hide)'!W$6:W$105)+SUMIF(Capacity_Resource,$F181,'Critical resources (hide)'!W$6:W$105)&gt;0,$E$1=2),0,1)</f>
        <v>1</v>
      </c>
      <c r="K181" s="67">
        <f ca="1">IF(AND(SUMIF(Capacity_Resource,$D181,'Critical resources (hide)'!X$6:X$105)+SUMIF(Capacity_Resource,$E181,'Critical resources (hide)'!X$6:X$105)+SUMIF(Capacity_Resource,$F181,'Critical resources (hide)'!X$6:X$105)&gt;0,$E$1=2),0,1)</f>
        <v>1</v>
      </c>
      <c r="L181" s="67">
        <f ca="1">IF(AND(SUMIF(Capacity_Resource,$D181,'Critical resources (hide)'!Y$6:Y$105)+SUMIF(Capacity_Resource,$E181,'Critical resources (hide)'!Y$6:Y$105)+SUMIF(Capacity_Resource,$F181,'Critical resources (hide)'!Y$6:Y$105)&gt;0,$E$1=2),0,1)</f>
        <v>1</v>
      </c>
      <c r="M181" s="67">
        <f ca="1">IF(AND(SUMIF(Capacity_Resource,$D181,'Critical resources (hide)'!Z$6:Z$105)+SUMIF(Capacity_Resource,$E181,'Critical resources (hide)'!Z$6:Z$105)+SUMIF(Capacity_Resource,$F181,'Critical resources (hide)'!Z$6:Z$105)&gt;0,$E$1=2),0,1)</f>
        <v>1</v>
      </c>
      <c r="N181" s="67">
        <f ca="1">IF(AND(SUMIF(Capacity_Resource,$D181,'Critical resources (hide)'!AA$6:AA$105)+SUMIF(Capacity_Resource,$E181,'Critical resources (hide)'!AA$6:AA$105)+SUMIF(Capacity_Resource,$F181,'Critical resources (hide)'!AA$6:AA$105)&gt;0,$E$1=2),0,1)</f>
        <v>1</v>
      </c>
      <c r="O181" s="67">
        <f ca="1">IF(AND(SUMIF(Capacity_Resource,$D181,'Critical resources (hide)'!AB$6:AB$105)+SUMIF(Capacity_Resource,$E181,'Critical resources (hide)'!AB$6:AB$105)+SUMIF(Capacity_Resource,$F181,'Critical resources (hide)'!AB$6:AB$105)&gt;0,$E$1=2),0,1)</f>
        <v>1</v>
      </c>
      <c r="P181" s="67">
        <f ca="1">IF(AND(SUMIF(Capacity_Resource,$D181,'Critical resources (hide)'!AC$6:AC$105)+SUMIF(Capacity_Resource,$E181,'Critical resources (hide)'!AC$6:AC$105)+SUMIF(Capacity_Resource,$F181,'Critical resources (hide)'!AC$6:AC$105)&gt;0,$E$1=2),0,1)</f>
        <v>1</v>
      </c>
      <c r="Q181" s="67">
        <f ca="1">IF(AND(SUMIF(Capacity_Resource,$D181,'Critical resources (hide)'!AD$6:AD$105)+SUMIF(Capacity_Resource,$E181,'Critical resources (hide)'!AD$6:AD$105)+SUMIF(Capacity_Resource,$F181,'Critical resources (hide)'!AD$6:AD$105)&gt;0,$E$1=2),0,1)</f>
        <v>1</v>
      </c>
      <c r="R181" s="67">
        <f ca="1">IF(AND(SUMIF(Capacity_Resource,$D181,'Critical resources (hide)'!AE$6:AE$105)+SUMIF(Capacity_Resource,$E181,'Critical resources (hide)'!AE$6:AE$105)+SUMIF(Capacity_Resource,$F181,'Critical resources (hide)'!AE$6:AE$105)&gt;0,$E$1=2),0,1)</f>
        <v>1</v>
      </c>
      <c r="S181" s="67">
        <f ca="1">IF(AND(SUMIF(Capacity_Resource,$D181,'Critical resources (hide)'!AF$6:AF$105)+SUMIF(Capacity_Resource,$E181,'Critical resources (hide)'!AF$6:AF$105)+SUMIF(Capacity_Resource,$F181,'Critical resources (hide)'!AF$6:AF$105)&gt;0,$E$1=2),0,1)</f>
        <v>1</v>
      </c>
      <c r="T181" s="67">
        <f ca="1">IF(AND(SUMIF(Capacity_Resource,$D181,'Critical resources (hide)'!AG$6:AG$105)+SUMIF(Capacity_Resource,$E181,'Critical resources (hide)'!AG$6:AG$105)+SUMIF(Capacity_Resource,$F181,'Critical resources (hide)'!AG$6:AG$105)&gt;0,$E$1=2),0,1)</f>
        <v>1</v>
      </c>
      <c r="U181" s="67">
        <f ca="1">IF(AND(SUMIF(Capacity_Resource,$D181,'Critical resources (hide)'!AH$6:AH$105)+SUMIF(Capacity_Resource,$E181,'Critical resources (hide)'!AH$6:AH$105)+SUMIF(Capacity_Resource,$F181,'Critical resources (hide)'!AH$6:AH$105)&gt;0,$E$1=2),0,1)</f>
        <v>1</v>
      </c>
      <c r="V181" s="67">
        <f ca="1">IF(AND(SUMIF(Capacity_Resource,$D181,'Critical resources (hide)'!AI$6:AI$105)+SUMIF(Capacity_Resource,$E181,'Critical resources (hide)'!AI$6:AI$105)+SUMIF(Capacity_Resource,$F181,'Critical resources (hide)'!AI$6:AI$105)&gt;0,$E$1=2),0,1)</f>
        <v>1</v>
      </c>
      <c r="W181" s="67">
        <f ca="1">IF(AND(SUMIF(Capacity_Resource,$D181,'Critical resources (hide)'!AJ$6:AJ$105)+SUMIF(Capacity_Resource,$E181,'Critical resources (hide)'!AJ$6:AJ$105)+SUMIF(Capacity_Resource,$F181,'Critical resources (hide)'!AJ$6:AJ$105)&gt;0,$E$1=2),0,1)</f>
        <v>1</v>
      </c>
      <c r="X181" s="67">
        <f ca="1">IF(AND(SUMIF(Capacity_Resource,$D181,'Critical resources (hide)'!AK$6:AK$105)+SUMIF(Capacity_Resource,$E181,'Critical resources (hide)'!AK$6:AK$105)+SUMIF(Capacity_Resource,$F181,'Critical resources (hide)'!AK$6:AK$105)&gt;0,$E$1=2),0,1)</f>
        <v>1</v>
      </c>
      <c r="Y181" s="67">
        <f ca="1">IF(AND(SUMIF(Capacity_Resource,$D181,'Critical resources (hide)'!AL$6:AL$105)+SUMIF(Capacity_Resource,$E181,'Critical resources (hide)'!AL$6:AL$105)+SUMIF(Capacity_Resource,$F181,'Critical resources (hide)'!AL$6:AL$105)&gt;0,$E$1=2),0,1)</f>
        <v>1</v>
      </c>
      <c r="Z181" s="67">
        <f ca="1">IF(AND(SUMIF(Capacity_Resource,$D181,'Critical resources (hide)'!AM$6:AM$105)+SUMIF(Capacity_Resource,$E181,'Critical resources (hide)'!AM$6:AM$105)+SUMIF(Capacity_Resource,$F181,'Critical resources (hide)'!AM$6:AM$105)&gt;0,$E$1=2),0,1)</f>
        <v>1</v>
      </c>
      <c r="AA181" s="67">
        <f ca="1">IF(AND(SUMIF(Capacity_Resource,$D181,'Critical resources (hide)'!AN$6:AN$105)+SUMIF(Capacity_Resource,$E181,'Critical resources (hide)'!AN$6:AN$105)+SUMIF(Capacity_Resource,$F181,'Critical resources (hide)'!AN$6:AN$105)&gt;0,$E$1=2),0,1)</f>
        <v>1</v>
      </c>
      <c r="AB181" s="67">
        <f ca="1">IF(AND(SUMIF(Capacity_Resource,$D181,'Critical resources (hide)'!AO$6:AO$105)+SUMIF(Capacity_Resource,$E181,'Critical resources (hide)'!AO$6:AO$105)+SUMIF(Capacity_Resource,$F181,'Critical resources (hide)'!AO$6:AO$105)&gt;0,$E$1=2),0,1)</f>
        <v>1</v>
      </c>
      <c r="AC181" s="67">
        <f ca="1">IF(AND(SUMIF(Capacity_Resource,$D181,'Critical resources (hide)'!AP$6:AP$105)+SUMIF(Capacity_Resource,$E181,'Critical resources (hide)'!AP$6:AP$105)+SUMIF(Capacity_Resource,$F181,'Critical resources (hide)'!AP$6:AP$105)&gt;0,$E$1=2),0,1)</f>
        <v>1</v>
      </c>
      <c r="AD181" s="67">
        <f ca="1">IF(AND(SUMIF(Capacity_Resource,$D181,'Critical resources (hide)'!AQ$6:AQ$105)+SUMIF(Capacity_Resource,$E181,'Critical resources (hide)'!AQ$6:AQ$105)+SUMIF(Capacity_Resource,$F181,'Critical resources (hide)'!AQ$6:AQ$105)&gt;0,$E$1=2),0,1)</f>
        <v>1</v>
      </c>
      <c r="AE181" s="67">
        <f ca="1">IF(AND(SUMIF(Capacity_Resource,$D181,'Critical resources (hide)'!AR$6:AR$105)+SUMIF(Capacity_Resource,$E181,'Critical resources (hide)'!AR$6:AR$105)+SUMIF(Capacity_Resource,$F181,'Critical resources (hide)'!AR$6:AR$105)&gt;0,$E$1=2),0,1)</f>
        <v>1</v>
      </c>
      <c r="AF181" s="67">
        <f ca="1">IF(AND(SUMIF(Capacity_Resource,$D181,'Critical resources (hide)'!AS$6:AS$105)+SUMIF(Capacity_Resource,$E181,'Critical resources (hide)'!AS$6:AS$105)+SUMIF(Capacity_Resource,$F181,'Critical resources (hide)'!AS$6:AS$105)&gt;0,$E$1=2),0,1)</f>
        <v>1</v>
      </c>
      <c r="AG181" s="67">
        <f ca="1">IF(AND(SUMIF(Capacity_Resource,$D181,'Critical resources (hide)'!AT$6:AT$105)+SUMIF(Capacity_Resource,$E181,'Critical resources (hide)'!AT$6:AT$105)+SUMIF(Capacity_Resource,$F181,'Critical resources (hide)'!AT$6:AT$105)&gt;0,$E$1=2),0,1)</f>
        <v>1</v>
      </c>
      <c r="AH181" s="67">
        <f ca="1">IF(AND(SUMIF(Capacity_Resource,$D181,'Critical resources (hide)'!AU$6:AU$105)+SUMIF(Capacity_Resource,$E181,'Critical resources (hide)'!AU$6:AU$105)+SUMIF(Capacity_Resource,$F181,'Critical resources (hide)'!AU$6:AU$105)&gt;0,$E$1=2),0,1)</f>
        <v>1</v>
      </c>
      <c r="AI181" s="67">
        <f ca="1">IF(AND(SUMIF(Capacity_Resource,$D181,'Critical resources (hide)'!AV$6:AV$105)+SUMIF(Capacity_Resource,$E181,'Critical resources (hide)'!AV$6:AV$105)+SUMIF(Capacity_Resource,$F181,'Critical resources (hide)'!AV$6:AV$105)&gt;0,$E$1=2),0,1)</f>
        <v>1</v>
      </c>
      <c r="AJ181" s="67">
        <f ca="1">IF(AND(SUMIF(Capacity_Resource,$D181,'Critical resources (hide)'!AW$6:AW$105)+SUMIF(Capacity_Resource,$E181,'Critical resources (hide)'!AW$6:AW$105)+SUMIF(Capacity_Resource,$F181,'Critical resources (hide)'!AW$6:AW$105)&gt;0,$E$1=2),0,1)</f>
        <v>1</v>
      </c>
      <c r="AK181" s="67">
        <f ca="1">IF(AND(SUMIF(Capacity_Resource,$D181,'Critical resources (hide)'!AX$6:AX$105)+SUMIF(Capacity_Resource,$E181,'Critical resources (hide)'!AX$6:AX$105)+SUMIF(Capacity_Resource,$F181,'Critical resources (hide)'!AX$6:AX$105)&gt;0,$E$1=2),0,1)</f>
        <v>1</v>
      </c>
      <c r="AL181" s="67">
        <f ca="1">IF(AND(SUMIF(Capacity_Resource,$D181,'Critical resources (hide)'!AY$6:AY$105)+SUMIF(Capacity_Resource,$E181,'Critical resources (hide)'!AY$6:AY$105)+SUMIF(Capacity_Resource,$F181,'Critical resources (hide)'!AY$6:AY$105)&gt;0,$E$1=2),0,1)</f>
        <v>1</v>
      </c>
      <c r="AM181" s="67">
        <f ca="1">IF(AND(SUMIF(Capacity_Resource,$D181,'Critical resources (hide)'!AZ$6:AZ$105)+SUMIF(Capacity_Resource,$E181,'Critical resources (hide)'!AZ$6:AZ$105)+SUMIF(Capacity_Resource,$F181,'Critical resources (hide)'!AZ$6:AZ$105)&gt;0,$E$1=2),0,1)</f>
        <v>1</v>
      </c>
      <c r="AN181" s="67">
        <f ca="1">IF(AND(SUMIF(Capacity_Resource,$D181,'Critical resources (hide)'!BA$6:BA$105)+SUMIF(Capacity_Resource,$E181,'Critical resources (hide)'!BA$6:BA$105)+SUMIF(Capacity_Resource,$F181,'Critical resources (hide)'!BA$6:BA$105)&gt;0,$E$1=2),0,1)</f>
        <v>1</v>
      </c>
      <c r="AO181" s="67">
        <f ca="1">IF(AND(SUMIF(Capacity_Resource,$D181,'Critical resources (hide)'!BB$6:BB$105)+SUMIF(Capacity_Resource,$E181,'Critical resources (hide)'!BB$6:BB$105)+SUMIF(Capacity_Resource,$F181,'Critical resources (hide)'!BB$6:BB$105)&gt;0,$E$1=2),0,1)</f>
        <v>1</v>
      </c>
      <c r="AP181" s="67">
        <f ca="1">IF(AND(SUMIF(Capacity_Resource,$D181,'Critical resources (hide)'!BC$6:BC$105)+SUMIF(Capacity_Resource,$E181,'Critical resources (hide)'!BC$6:BC$105)+SUMIF(Capacity_Resource,$F181,'Critical resources (hide)'!BC$6:BC$105)&gt;0,$E$1=2),0,1)</f>
        <v>1</v>
      </c>
      <c r="AQ181" s="67">
        <f ca="1">IF(AND(SUMIF(Capacity_Resource,$D181,'Critical resources (hide)'!BD$6:BD$105)+SUMIF(Capacity_Resource,$E181,'Critical resources (hide)'!BD$6:BD$105)+SUMIF(Capacity_Resource,$F181,'Critical resources (hide)'!BD$6:BD$105)&gt;0,$E$1=2),0,1)</f>
        <v>1</v>
      </c>
      <c r="AR181" s="67">
        <f ca="1">IF(AND(SUMIF(Capacity_Resource,$D181,'Critical resources (hide)'!BE$6:BE$105)+SUMIF(Capacity_Resource,$E181,'Critical resources (hide)'!BE$6:BE$105)+SUMIF(Capacity_Resource,$F181,'Critical resources (hide)'!BE$6:BE$105)&gt;0,$E$1=2),0,1)</f>
        <v>1</v>
      </c>
      <c r="AS181" s="67">
        <f ca="1">IF(AND(SUMIF(Capacity_Resource,$D181,'Critical resources (hide)'!BF$6:BF$105)+SUMIF(Capacity_Resource,$E181,'Critical resources (hide)'!BF$6:BF$105)+SUMIF(Capacity_Resource,$F181,'Critical resources (hide)'!BF$6:BF$105)&gt;0,$E$1=2),0,1)</f>
        <v>1</v>
      </c>
      <c r="AT181" s="67">
        <f ca="1">IF(AND(SUMIF(Capacity_Resource,$D181,'Critical resources (hide)'!BG$6:BG$105)+SUMIF(Capacity_Resource,$E181,'Critical resources (hide)'!BG$6:BG$105)+SUMIF(Capacity_Resource,$F181,'Critical resources (hide)'!BG$6:BG$105)&gt;0,$E$1=2),0,1)</f>
        <v>1</v>
      </c>
      <c r="AU181" s="67">
        <f ca="1">IF(AND(SUMIF(Capacity_Resource,$D181,'Critical resources (hide)'!BH$6:BH$105)+SUMIF(Capacity_Resource,$E181,'Critical resources (hide)'!BH$6:BH$105)+SUMIF(Capacity_Resource,$F181,'Critical resources (hide)'!BH$6:BH$105)&gt;0,$E$1=2),0,1)</f>
        <v>1</v>
      </c>
      <c r="AV181" s="67">
        <f ca="1">IF(AND(SUMIF(Capacity_Resource,$D181,'Critical resources (hide)'!BI$6:BI$105)+SUMIF(Capacity_Resource,$E181,'Critical resources (hide)'!BI$6:BI$105)+SUMIF(Capacity_Resource,$F181,'Critical resources (hide)'!BI$6:BI$105)&gt;0,$E$1=2),0,1)</f>
        <v>1</v>
      </c>
      <c r="AW181" s="67">
        <f ca="1">IF(AND(SUMIF(Capacity_Resource,$D181,'Critical resources (hide)'!BJ$6:BJ$105)+SUMIF(Capacity_Resource,$E181,'Critical resources (hide)'!BJ$6:BJ$105)+SUMIF(Capacity_Resource,$F181,'Critical resources (hide)'!BJ$6:BJ$105)&gt;0,$E$1=2),0,1)</f>
        <v>1</v>
      </c>
      <c r="AX181" s="67">
        <f ca="1">IF(AND(SUMIF(Capacity_Resource,$D181,'Critical resources (hide)'!BK$6:BK$105)+SUMIF(Capacity_Resource,$E181,'Critical resources (hide)'!BK$6:BK$105)+SUMIF(Capacity_Resource,$F181,'Critical resources (hide)'!BK$6:BK$105)&gt;0,$E$1=2),0,1)</f>
        <v>1</v>
      </c>
      <c r="AY181" s="67">
        <f ca="1">IF(AND(SUMIF(Capacity_Resource,$D181,'Critical resources (hide)'!BL$6:BL$105)+SUMIF(Capacity_Resource,$E181,'Critical resources (hide)'!BL$6:BL$105)+SUMIF(Capacity_Resource,$F181,'Critical resources (hide)'!BL$6:BL$105)&gt;0,$E$1=2),0,1)</f>
        <v>1</v>
      </c>
      <c r="AZ181" s="67">
        <f ca="1">IF(AND(SUMIF(Capacity_Resource,$D181,'Critical resources (hide)'!BM$6:BM$105)+SUMIF(Capacity_Resource,$E181,'Critical resources (hide)'!BM$6:BM$105)+SUMIF(Capacity_Resource,$F181,'Critical resources (hide)'!BM$6:BM$105)&gt;0,$E$1=2),0,1)</f>
        <v>1</v>
      </c>
      <c r="BA181" s="67">
        <f ca="1">IF(AND(SUMIF(Capacity_Resource,$D181,'Critical resources (hide)'!BN$6:BN$105)+SUMIF(Capacity_Resource,$E181,'Critical resources (hide)'!BN$6:BN$105)+SUMIF(Capacity_Resource,$F181,'Critical resources (hide)'!BN$6:BN$105)&gt;0,$E$1=2),0,1)</f>
        <v>1</v>
      </c>
      <c r="BB181" s="67">
        <f ca="1">IF(AND(SUMIF(Capacity_Resource,$D181,'Critical resources (hide)'!BO$6:BO$105)+SUMIF(Capacity_Resource,$E181,'Critical resources (hide)'!BO$6:BO$105)+SUMIF(Capacity_Resource,$F181,'Critical resources (hide)'!BO$6:BO$105)&gt;0,$E$1=2),0,1)</f>
        <v>1</v>
      </c>
      <c r="BC181" s="67">
        <f ca="1">IF(AND(SUMIF(Capacity_Resource,$D181,'Critical resources (hide)'!BP$6:BP$105)+SUMIF(Capacity_Resource,$E181,'Critical resources (hide)'!BP$6:BP$105)+SUMIF(Capacity_Resource,$F181,'Critical resources (hide)'!BP$6:BP$105)&gt;0,$E$1=2),0,1)</f>
        <v>1</v>
      </c>
      <c r="BD181" s="67">
        <f ca="1">IF(AND(SUMIF(Capacity_Resource,$D181,'Critical resources (hide)'!BQ$6:BQ$105)+SUMIF(Capacity_Resource,$E181,'Critical resources (hide)'!BQ$6:BQ$105)+SUMIF(Capacity_Resource,$F181,'Critical resources (hide)'!BQ$6:BQ$105)&gt;0,$E$1=2),0,1)</f>
        <v>1</v>
      </c>
      <c r="BE181" s="67">
        <f ca="1">IF(AND(SUMIF(Capacity_Resource,$D181,'Critical resources (hide)'!BR$6:BR$105)+SUMIF(Capacity_Resource,$E181,'Critical resources (hide)'!BR$6:BR$105)+SUMIF(Capacity_Resource,$F181,'Critical resources (hide)'!BR$6:BR$105)&gt;0,$E$1=2),0,1)</f>
        <v>1</v>
      </c>
      <c r="BF181" s="67">
        <f ca="1">IF(AND(SUMIF(Capacity_Resource,$D181,'Critical resources (hide)'!BS$6:BS$105)+SUMIF(Capacity_Resource,$E181,'Critical resources (hide)'!BS$6:BS$105)+SUMIF(Capacity_Resource,$F181,'Critical resources (hide)'!BS$6:BS$105)&gt;0,$E$1=2),0,1)</f>
        <v>1</v>
      </c>
      <c r="BG181" s="67">
        <f ca="1">IF(AND(SUMIF(Capacity_Resource,$D181,'Critical resources (hide)'!BT$6:BT$105)+SUMIF(Capacity_Resource,$E181,'Critical resources (hide)'!BT$6:BT$105)+SUMIF(Capacity_Resource,$F181,'Critical resources (hide)'!BT$6:BT$105)&gt;0,$E$1=2),0,1)</f>
        <v>1</v>
      </c>
      <c r="BH181" s="67">
        <f>IF(ROW(A70)&lt;=Capacity!$M$16,IF('Capacity summary'!$C$14="No",SUM(H181:BG181),'Capacity summary'!$E93),0)</f>
        <v>0</v>
      </c>
      <c r="BI181" s="67" t="str">
        <f>IF(BH181&gt;0,IF(BH181&lt;Capacity!Q86,Capacity!R86,Capacity!T86/'Capacity calculation (hide)'!BH181),"")</f>
        <v/>
      </c>
      <c r="BJ181" s="5"/>
      <c r="BK181" s="5">
        <f>IF($BI181&lt;&gt;"",IF('Capacity summary'!$C$14="Yes",IF(COUNTBLANK('Capacity summary'!$H93:$BG93)&lt;52,IF('Capacity summary'!H93&lt;&gt;"",IF(LOWER('Capacity summary'!H93)="x",$BI181*H181,VALUE('Capacity summary'!H93)),0),H181*$BI181),H181*$BI181),0)</f>
        <v>0</v>
      </c>
      <c r="BL181" s="5">
        <f>IF($BI181&lt;&gt;"",IF('Capacity summary'!$C$14="Yes",IF(COUNTBLANK('Capacity summary'!$H93:$BG93)&lt;52,IF('Capacity summary'!I93&lt;&gt;"",IF(LOWER('Capacity summary'!I93)="x",$BI181*I181,VALUE('Capacity summary'!I93)),0),I181*$BI181),I181*$BI181),0)</f>
        <v>0</v>
      </c>
      <c r="BM181" s="5">
        <f>IF($BI181&lt;&gt;"",IF('Capacity summary'!$C$14="Yes",IF(COUNTBLANK('Capacity summary'!$H93:$BG93)&lt;52,IF('Capacity summary'!J93&lt;&gt;"",IF(LOWER('Capacity summary'!J93)="x",$BI181*J181,VALUE('Capacity summary'!J93)),0),J181*$BI181),J181*$BI181),0)</f>
        <v>0</v>
      </c>
      <c r="BN181" s="5">
        <f>IF($BI181&lt;&gt;"",IF('Capacity summary'!$C$14="Yes",IF(COUNTBLANK('Capacity summary'!$H93:$BG93)&lt;52,IF('Capacity summary'!K93&lt;&gt;"",IF(LOWER('Capacity summary'!K93)="x",$BI181*K181,VALUE('Capacity summary'!K93)),0),K181*$BI181),K181*$BI181),0)</f>
        <v>0</v>
      </c>
      <c r="BO181" s="5">
        <f>IF($BI181&lt;&gt;"",IF('Capacity summary'!$C$14="Yes",IF(COUNTBLANK('Capacity summary'!$H93:$BG93)&lt;52,IF('Capacity summary'!L93&lt;&gt;"",IF(LOWER('Capacity summary'!L93)="x",$BI181*L181,VALUE('Capacity summary'!L93)),0),L181*$BI181),L181*$BI181),0)</f>
        <v>0</v>
      </c>
      <c r="BP181" s="5">
        <f>IF($BI181&lt;&gt;"",IF('Capacity summary'!$C$14="Yes",IF(COUNTBLANK('Capacity summary'!$H93:$BG93)&lt;52,IF('Capacity summary'!M93&lt;&gt;"",IF(LOWER('Capacity summary'!M93)="x",$BI181*M181,VALUE('Capacity summary'!M93)),0),M181*$BI181),M181*$BI181),0)</f>
        <v>0</v>
      </c>
      <c r="BQ181" s="5">
        <f>IF($BI181&lt;&gt;"",IF('Capacity summary'!$C$14="Yes",IF(COUNTBLANK('Capacity summary'!$H93:$BG93)&lt;52,IF('Capacity summary'!N93&lt;&gt;"",IF(LOWER('Capacity summary'!N93)="x",$BI181*N181,VALUE('Capacity summary'!N93)),0),N181*$BI181),N181*$BI181),0)</f>
        <v>0</v>
      </c>
      <c r="BR181" s="5">
        <f>IF($BI181&lt;&gt;"",IF('Capacity summary'!$C$14="Yes",IF(COUNTBLANK('Capacity summary'!$H93:$BG93)&lt;52,IF('Capacity summary'!O93&lt;&gt;"",IF(LOWER('Capacity summary'!O93)="x",$BI181*O181,VALUE('Capacity summary'!O93)),0),O181*$BI181),O181*$BI181),0)</f>
        <v>0</v>
      </c>
      <c r="BS181" s="5">
        <f>IF($BI181&lt;&gt;"",IF('Capacity summary'!$C$14="Yes",IF(COUNTBLANK('Capacity summary'!$H93:$BG93)&lt;52,IF('Capacity summary'!P93&lt;&gt;"",IF(LOWER('Capacity summary'!P93)="x",$BI181*P181,VALUE('Capacity summary'!P93)),0),P181*$BI181),P181*$BI181),0)</f>
        <v>0</v>
      </c>
      <c r="BT181" s="5">
        <f>IF($BI181&lt;&gt;"",IF('Capacity summary'!$C$14="Yes",IF(COUNTBLANK('Capacity summary'!$H93:$BG93)&lt;52,IF('Capacity summary'!Q93&lt;&gt;"",IF(LOWER('Capacity summary'!Q93)="x",$BI181*Q181,VALUE('Capacity summary'!Q93)),0),Q181*$BI181),Q181*$BI181),0)</f>
        <v>0</v>
      </c>
      <c r="BU181" s="5">
        <f>IF($BI181&lt;&gt;"",IF('Capacity summary'!$C$14="Yes",IF(COUNTBLANK('Capacity summary'!$H93:$BG93)&lt;52,IF('Capacity summary'!R93&lt;&gt;"",IF(LOWER('Capacity summary'!R93)="x",$BI181*R181,VALUE('Capacity summary'!R93)),0),R181*$BI181),R181*$BI181),0)</f>
        <v>0</v>
      </c>
      <c r="BV181" s="5">
        <f>IF($BI181&lt;&gt;"",IF('Capacity summary'!$C$14="Yes",IF(COUNTBLANK('Capacity summary'!$H93:$BG93)&lt;52,IF('Capacity summary'!S93&lt;&gt;"",IF(LOWER('Capacity summary'!S93)="x",$BI181*S181,VALUE('Capacity summary'!S93)),0),S181*$BI181),S181*$BI181),0)</f>
        <v>0</v>
      </c>
      <c r="BW181" s="5">
        <f>IF($BI181&lt;&gt;"",IF('Capacity summary'!$C$14="Yes",IF(COUNTBLANK('Capacity summary'!$H93:$BG93)&lt;52,IF('Capacity summary'!T93&lt;&gt;"",IF(LOWER('Capacity summary'!T93)="x",$BI181*T181,VALUE('Capacity summary'!T93)),0),T181*$BI181),T181*$BI181),0)</f>
        <v>0</v>
      </c>
      <c r="BX181" s="5">
        <f>IF($BI181&lt;&gt;"",IF('Capacity summary'!$C$14="Yes",IF(COUNTBLANK('Capacity summary'!$H93:$BG93)&lt;52,IF('Capacity summary'!U93&lt;&gt;"",IF(LOWER('Capacity summary'!U93)="x",$BI181*U181,VALUE('Capacity summary'!U93)),0),U181*$BI181),U181*$BI181),0)</f>
        <v>0</v>
      </c>
      <c r="BY181" s="5">
        <f>IF($BI181&lt;&gt;"",IF('Capacity summary'!$C$14="Yes",IF(COUNTBLANK('Capacity summary'!$H93:$BG93)&lt;52,IF('Capacity summary'!V93&lt;&gt;"",IF(LOWER('Capacity summary'!V93)="x",$BI181*V181,VALUE('Capacity summary'!V93)),0),V181*$BI181),V181*$BI181),0)</f>
        <v>0</v>
      </c>
      <c r="BZ181" s="5">
        <f>IF($BI181&lt;&gt;"",IF('Capacity summary'!$C$14="Yes",IF(COUNTBLANK('Capacity summary'!$H93:$BG93)&lt;52,IF('Capacity summary'!W93&lt;&gt;"",IF(LOWER('Capacity summary'!W93)="x",$BI181*W181,VALUE('Capacity summary'!W93)),0),W181*$BI181),W181*$BI181),0)</f>
        <v>0</v>
      </c>
      <c r="CA181" s="5">
        <f>IF($BI181&lt;&gt;"",IF('Capacity summary'!$C$14="Yes",IF(COUNTBLANK('Capacity summary'!$H93:$BG93)&lt;52,IF('Capacity summary'!X93&lt;&gt;"",IF(LOWER('Capacity summary'!X93)="x",$BI181*X181,VALUE('Capacity summary'!X93)),0),X181*$BI181),X181*$BI181),0)</f>
        <v>0</v>
      </c>
      <c r="CB181" s="5">
        <f>IF($BI181&lt;&gt;"",IF('Capacity summary'!$C$14="Yes",IF(COUNTBLANK('Capacity summary'!$H93:$BG93)&lt;52,IF('Capacity summary'!Y93&lt;&gt;"",IF(LOWER('Capacity summary'!Y93)="x",$BI181*Y181,VALUE('Capacity summary'!Y93)),0),Y181*$BI181),Y181*$BI181),0)</f>
        <v>0</v>
      </c>
      <c r="CC181" s="5">
        <f>IF($BI181&lt;&gt;"",IF('Capacity summary'!$C$14="Yes",IF(COUNTBLANK('Capacity summary'!$H93:$BG93)&lt;52,IF('Capacity summary'!Z93&lt;&gt;"",IF(LOWER('Capacity summary'!Z93)="x",$BI181*Z181,VALUE('Capacity summary'!Z93)),0),Z181*$BI181),Z181*$BI181),0)</f>
        <v>0</v>
      </c>
      <c r="CD181" s="5">
        <f>IF($BI181&lt;&gt;"",IF('Capacity summary'!$C$14="Yes",IF(COUNTBLANK('Capacity summary'!$H93:$BG93)&lt;52,IF('Capacity summary'!AA93&lt;&gt;"",IF(LOWER('Capacity summary'!AA93)="x",$BI181*AA181,VALUE('Capacity summary'!AA93)),0),AA181*$BI181),AA181*$BI181),0)</f>
        <v>0</v>
      </c>
      <c r="CE181" s="5">
        <f>IF($BI181&lt;&gt;"",IF('Capacity summary'!$C$14="Yes",IF(COUNTBLANK('Capacity summary'!$H93:$BG93)&lt;52,IF('Capacity summary'!AB93&lt;&gt;"",IF(LOWER('Capacity summary'!AB93)="x",$BI181*AB181,VALUE('Capacity summary'!AB93)),0),AB181*$BI181),AB181*$BI181),0)</f>
        <v>0</v>
      </c>
      <c r="CF181" s="5">
        <f>IF($BI181&lt;&gt;"",IF('Capacity summary'!$C$14="Yes",IF(COUNTBLANK('Capacity summary'!$H93:$BG93)&lt;52,IF('Capacity summary'!AC93&lt;&gt;"",IF(LOWER('Capacity summary'!AC93)="x",$BI181*AC181,VALUE('Capacity summary'!AC93)),0),AC181*$BI181),AC181*$BI181),0)</f>
        <v>0</v>
      </c>
      <c r="CG181" s="5">
        <f>IF($BI181&lt;&gt;"",IF('Capacity summary'!$C$14="Yes",IF(COUNTBLANK('Capacity summary'!$H93:$BG93)&lt;52,IF('Capacity summary'!AD93&lt;&gt;"",IF(LOWER('Capacity summary'!AD93)="x",$BI181*AD181,VALUE('Capacity summary'!AD93)),0),AD181*$BI181),AD181*$BI181),0)</f>
        <v>0</v>
      </c>
      <c r="CH181" s="5">
        <f>IF($BI181&lt;&gt;"",IF('Capacity summary'!$C$14="Yes",IF(COUNTBLANK('Capacity summary'!$H93:$BG93)&lt;52,IF('Capacity summary'!AE93&lt;&gt;"",IF(LOWER('Capacity summary'!AE93)="x",$BI181*AE181,VALUE('Capacity summary'!AE93)),0),AE181*$BI181),AE181*$BI181),0)</f>
        <v>0</v>
      </c>
      <c r="CI181" s="5">
        <f>IF($BI181&lt;&gt;"",IF('Capacity summary'!$C$14="Yes",IF(COUNTBLANK('Capacity summary'!$H93:$BG93)&lt;52,IF('Capacity summary'!AF93&lt;&gt;"",IF(LOWER('Capacity summary'!AF93)="x",$BI181*AF181,VALUE('Capacity summary'!AF93)),0),AF181*$BI181),AF181*$BI181),0)</f>
        <v>0</v>
      </c>
      <c r="CJ181" s="5">
        <f>IF($BI181&lt;&gt;"",IF('Capacity summary'!$C$14="Yes",IF(COUNTBLANK('Capacity summary'!$H93:$BG93)&lt;52,IF('Capacity summary'!AG93&lt;&gt;"",IF(LOWER('Capacity summary'!AG93)="x",$BI181*AG181,VALUE('Capacity summary'!AG93)),0),AG181*$BI181),AG181*$BI181),0)</f>
        <v>0</v>
      </c>
      <c r="CK181" s="5">
        <f>IF($BI181&lt;&gt;"",IF('Capacity summary'!$C$14="Yes",IF(COUNTBLANK('Capacity summary'!$H93:$BG93)&lt;52,IF('Capacity summary'!AH93&lt;&gt;"",IF(LOWER('Capacity summary'!AH93)="x",$BI181*AH181,VALUE('Capacity summary'!AH93)),0),AH181*$BI181),AH181*$BI181),0)</f>
        <v>0</v>
      </c>
      <c r="CL181" s="5">
        <f>IF($BI181&lt;&gt;"",IF('Capacity summary'!$C$14="Yes",IF(COUNTBLANK('Capacity summary'!$H93:$BG93)&lt;52,IF('Capacity summary'!AI93&lt;&gt;"",IF(LOWER('Capacity summary'!AI93)="x",$BI181*AI181,VALUE('Capacity summary'!AI93)),0),AI181*$BI181),AI181*$BI181),0)</f>
        <v>0</v>
      </c>
      <c r="CM181" s="5">
        <f>IF($BI181&lt;&gt;"",IF('Capacity summary'!$C$14="Yes",IF(COUNTBLANK('Capacity summary'!$H93:$BG93)&lt;52,IF('Capacity summary'!AJ93&lt;&gt;"",IF(LOWER('Capacity summary'!AJ93)="x",$BI181*AJ181,VALUE('Capacity summary'!AJ93)),0),AJ181*$BI181),AJ181*$BI181),0)</f>
        <v>0</v>
      </c>
      <c r="CN181" s="5">
        <f>IF($BI181&lt;&gt;"",IF('Capacity summary'!$C$14="Yes",IF(COUNTBLANK('Capacity summary'!$H93:$BG93)&lt;52,IF('Capacity summary'!AK93&lt;&gt;"",IF(LOWER('Capacity summary'!AK93)="x",$BI181*AK181,VALUE('Capacity summary'!AK93)),0),AK181*$BI181),AK181*$BI181),0)</f>
        <v>0</v>
      </c>
      <c r="CO181" s="5">
        <f>IF($BI181&lt;&gt;"",IF('Capacity summary'!$C$14="Yes",IF(COUNTBLANK('Capacity summary'!$H93:$BG93)&lt;52,IF('Capacity summary'!AL93&lt;&gt;"",IF(LOWER('Capacity summary'!AL93)="x",$BI181*AL181,VALUE('Capacity summary'!AL93)),0),AL181*$BI181),AL181*$BI181),0)</f>
        <v>0</v>
      </c>
      <c r="CP181" s="5">
        <f>IF($BI181&lt;&gt;"",IF('Capacity summary'!$C$14="Yes",IF(COUNTBLANK('Capacity summary'!$H93:$BG93)&lt;52,IF('Capacity summary'!AM93&lt;&gt;"",IF(LOWER('Capacity summary'!AM93)="x",$BI181*AM181,VALUE('Capacity summary'!AM93)),0),AM181*$BI181),AM181*$BI181),0)</f>
        <v>0</v>
      </c>
      <c r="CQ181" s="5">
        <f>IF($BI181&lt;&gt;"",IF('Capacity summary'!$C$14="Yes",IF(COUNTBLANK('Capacity summary'!$H93:$BG93)&lt;52,IF('Capacity summary'!AN93&lt;&gt;"",IF(LOWER('Capacity summary'!AN93)="x",$BI181*AN181,VALUE('Capacity summary'!AN93)),0),AN181*$BI181),AN181*$BI181),0)</f>
        <v>0</v>
      </c>
      <c r="CR181" s="5">
        <f>IF($BI181&lt;&gt;"",IF('Capacity summary'!$C$14="Yes",IF(COUNTBLANK('Capacity summary'!$H93:$BG93)&lt;52,IF('Capacity summary'!AO93&lt;&gt;"",IF(LOWER('Capacity summary'!AO93)="x",$BI181*AO181,VALUE('Capacity summary'!AO93)),0),AO181*$BI181),AO181*$BI181),0)</f>
        <v>0</v>
      </c>
      <c r="CS181" s="5">
        <f>IF($BI181&lt;&gt;"",IF('Capacity summary'!$C$14="Yes",IF(COUNTBLANK('Capacity summary'!$H93:$BG93)&lt;52,IF('Capacity summary'!AP93&lt;&gt;"",IF(LOWER('Capacity summary'!AP93)="x",$BI181*AP181,VALUE('Capacity summary'!AP93)),0),AP181*$BI181),AP181*$BI181),0)</f>
        <v>0</v>
      </c>
      <c r="CT181" s="5">
        <f>IF($BI181&lt;&gt;"",IF('Capacity summary'!$C$14="Yes",IF(COUNTBLANK('Capacity summary'!$H93:$BG93)&lt;52,IF('Capacity summary'!AQ93&lt;&gt;"",IF(LOWER('Capacity summary'!AQ93)="x",$BI181*AQ181,VALUE('Capacity summary'!AQ93)),0),AQ181*$BI181),AQ181*$BI181),0)</f>
        <v>0</v>
      </c>
      <c r="CU181" s="5">
        <f>IF($BI181&lt;&gt;"",IF('Capacity summary'!$C$14="Yes",IF(COUNTBLANK('Capacity summary'!$H93:$BG93)&lt;52,IF('Capacity summary'!AR93&lt;&gt;"",IF(LOWER('Capacity summary'!AR93)="x",$BI181*AR181,VALUE('Capacity summary'!AR93)),0),AR181*$BI181),AR181*$BI181),0)</f>
        <v>0</v>
      </c>
      <c r="CV181" s="5">
        <f>IF($BI181&lt;&gt;"",IF('Capacity summary'!$C$14="Yes",IF(COUNTBLANK('Capacity summary'!$H93:$BG93)&lt;52,IF('Capacity summary'!AS93&lt;&gt;"",IF(LOWER('Capacity summary'!AS93)="x",$BI181*AS181,VALUE('Capacity summary'!AS93)),0),AS181*$BI181),AS181*$BI181),0)</f>
        <v>0</v>
      </c>
      <c r="CW181" s="5">
        <f>IF($BI181&lt;&gt;"",IF('Capacity summary'!$C$14="Yes",IF(COUNTBLANK('Capacity summary'!$H93:$BG93)&lt;52,IF('Capacity summary'!AT93&lt;&gt;"",IF(LOWER('Capacity summary'!AT93)="x",$BI181*AT181,VALUE('Capacity summary'!AT93)),0),AT181*$BI181),AT181*$BI181),0)</f>
        <v>0</v>
      </c>
      <c r="CX181" s="5">
        <f>IF($BI181&lt;&gt;"",IF('Capacity summary'!$C$14="Yes",IF(COUNTBLANK('Capacity summary'!$H93:$BG93)&lt;52,IF('Capacity summary'!AU93&lt;&gt;"",IF(LOWER('Capacity summary'!AU93)="x",$BI181*AU181,VALUE('Capacity summary'!AU93)),0),AU181*$BI181),AU181*$BI181),0)</f>
        <v>0</v>
      </c>
      <c r="CY181" s="5">
        <f>IF($BI181&lt;&gt;"",IF('Capacity summary'!$C$14="Yes",IF(COUNTBLANK('Capacity summary'!$H93:$BG93)&lt;52,IF('Capacity summary'!AV93&lt;&gt;"",IF(LOWER('Capacity summary'!AV93)="x",$BI181*AV181,VALUE('Capacity summary'!AV93)),0),AV181*$BI181),AV181*$BI181),0)</f>
        <v>0</v>
      </c>
      <c r="CZ181" s="5">
        <f>IF($BI181&lt;&gt;"",IF('Capacity summary'!$C$14="Yes",IF(COUNTBLANK('Capacity summary'!$H93:$BG93)&lt;52,IF('Capacity summary'!AW93&lt;&gt;"",IF(LOWER('Capacity summary'!AW93)="x",$BI181*AW181,VALUE('Capacity summary'!AW93)),0),AW181*$BI181),AW181*$BI181),0)</f>
        <v>0</v>
      </c>
      <c r="DA181" s="5">
        <f>IF($BI181&lt;&gt;"",IF('Capacity summary'!$C$14="Yes",IF(COUNTBLANK('Capacity summary'!$H93:$BG93)&lt;52,IF('Capacity summary'!AX93&lt;&gt;"",IF(LOWER('Capacity summary'!AX93)="x",$BI181*AX181,VALUE('Capacity summary'!AX93)),0),AX181*$BI181),AX181*$BI181),0)</f>
        <v>0</v>
      </c>
      <c r="DB181" s="5">
        <f>IF($BI181&lt;&gt;"",IF('Capacity summary'!$C$14="Yes",IF(COUNTBLANK('Capacity summary'!$H93:$BG93)&lt;52,IF('Capacity summary'!AY93&lt;&gt;"",IF(LOWER('Capacity summary'!AY93)="x",$BI181*AY181,VALUE('Capacity summary'!AY93)),0),AY181*$BI181),AY181*$BI181),0)</f>
        <v>0</v>
      </c>
      <c r="DC181" s="5">
        <f>IF($BI181&lt;&gt;"",IF('Capacity summary'!$C$14="Yes",IF(COUNTBLANK('Capacity summary'!$H93:$BG93)&lt;52,IF('Capacity summary'!AZ93&lt;&gt;"",IF(LOWER('Capacity summary'!AZ93)="x",$BI181*AZ181,VALUE('Capacity summary'!AZ93)),0),AZ181*$BI181),AZ181*$BI181),0)</f>
        <v>0</v>
      </c>
      <c r="DD181" s="5">
        <f>IF($BI181&lt;&gt;"",IF('Capacity summary'!$C$14="Yes",IF(COUNTBLANK('Capacity summary'!$H93:$BG93)&lt;52,IF('Capacity summary'!BA93&lt;&gt;"",IF(LOWER('Capacity summary'!BA93)="x",$BI181*BA181,VALUE('Capacity summary'!BA93)),0),BA181*$BI181),BA181*$BI181),0)</f>
        <v>0</v>
      </c>
      <c r="DE181" s="5">
        <f>IF($BI181&lt;&gt;"",IF('Capacity summary'!$C$14="Yes",IF(COUNTBLANK('Capacity summary'!$H93:$BG93)&lt;52,IF('Capacity summary'!BB93&lt;&gt;"",IF(LOWER('Capacity summary'!BB93)="x",$BI181*BB181,VALUE('Capacity summary'!BB93)),0),BB181*$BI181),BB181*$BI181),0)</f>
        <v>0</v>
      </c>
      <c r="DF181" s="5">
        <f>IF($BI181&lt;&gt;"",IF('Capacity summary'!$C$14="Yes",IF(COUNTBLANK('Capacity summary'!$H93:$BG93)&lt;52,IF('Capacity summary'!BC93&lt;&gt;"",IF(LOWER('Capacity summary'!BC93)="x",$BI181*BC181,VALUE('Capacity summary'!BC93)),0),BC181*$BI181),BC181*$BI181),0)</f>
        <v>0</v>
      </c>
      <c r="DG181" s="5">
        <f>IF($BI181&lt;&gt;"",IF('Capacity summary'!$C$14="Yes",IF(COUNTBLANK('Capacity summary'!$H93:$BG93)&lt;52,IF('Capacity summary'!BD93&lt;&gt;"",IF(LOWER('Capacity summary'!BD93)="x",$BI181*BD181,VALUE('Capacity summary'!BD93)),0),BD181*$BI181),BD181*$BI181),0)</f>
        <v>0</v>
      </c>
      <c r="DH181" s="5">
        <f>IF($BI181&lt;&gt;"",IF('Capacity summary'!$C$14="Yes",IF(COUNTBLANK('Capacity summary'!$H93:$BG93)&lt;52,IF('Capacity summary'!BE93&lt;&gt;"",IF(LOWER('Capacity summary'!BE93)="x",$BI181*BE181,VALUE('Capacity summary'!BE93)),0),BE181*$BI181),BE181*$BI181),0)</f>
        <v>0</v>
      </c>
      <c r="DI181" s="5">
        <f>IF($BI181&lt;&gt;"",IF('Capacity summary'!$C$14="Yes",IF(COUNTBLANK('Capacity summary'!$H93:$BG93)&lt;52,IF('Capacity summary'!BF93&lt;&gt;"",IF(LOWER('Capacity summary'!BF93)="x",$BI181*BF181,VALUE('Capacity summary'!BF93)),0),BF181*$BI181),BF181*$BI181),0)</f>
        <v>0</v>
      </c>
      <c r="DJ181" s="5">
        <f>IF($BI181&lt;&gt;"",IF('Capacity summary'!$C$14="Yes",IF(COUNTBLANK('Capacity summary'!$H93:$BG93)&lt;52,IF('Capacity summary'!BG93&lt;&gt;"",IF(LOWER('Capacity summary'!BG93)="x",$BI181*BG181,VALUE('Capacity summary'!BG93)),0),BG181*$BI181),BG181*$BI181),0)</f>
        <v>0</v>
      </c>
      <c r="DK181" s="5">
        <f t="shared" ref="DK181" si="75">SUM(DK182:DK281)</f>
        <v>0</v>
      </c>
    </row>
    <row r="182" spans="3:115" x14ac:dyDescent="0.25">
      <c r="C182" s="67" t="str">
        <f>ROW(A71)&amp;". "&amp;Capacity!N87</f>
        <v xml:space="preserve">71. </v>
      </c>
      <c r="D182" s="67">
        <f>'Capacity setup'!C188</f>
        <v>0</v>
      </c>
      <c r="E182" s="67">
        <f>'Capacity setup'!D188</f>
        <v>0</v>
      </c>
      <c r="F182" s="67">
        <f>'Capacity setup'!E188</f>
        <v>0</v>
      </c>
      <c r="H182" s="67">
        <f ca="1">IF(AND(SUMIF(Capacity_Resource,$D182,'Critical resources (hide)'!U$6:U$105)+SUMIF(Capacity_Resource,$E182,'Critical resources (hide)'!U$6:U$105)+SUMIF(Capacity_Resource,$F182,'Critical resources (hide)'!U$6:U$105)&gt;0,$E$1=2),0,1)</f>
        <v>1</v>
      </c>
      <c r="I182" s="67">
        <f ca="1">IF(AND(SUMIF(Capacity_Resource,$D182,'Critical resources (hide)'!V$6:V$105)+SUMIF(Capacity_Resource,$E182,'Critical resources (hide)'!V$6:V$105)+SUMIF(Capacity_Resource,$F182,'Critical resources (hide)'!V$6:V$105)&gt;0,$E$1=2),0,1)</f>
        <v>1</v>
      </c>
      <c r="J182" s="67">
        <f ca="1">IF(AND(SUMIF(Capacity_Resource,$D182,'Critical resources (hide)'!W$6:W$105)+SUMIF(Capacity_Resource,$E182,'Critical resources (hide)'!W$6:W$105)+SUMIF(Capacity_Resource,$F182,'Critical resources (hide)'!W$6:W$105)&gt;0,$E$1=2),0,1)</f>
        <v>1</v>
      </c>
      <c r="K182" s="67">
        <f ca="1">IF(AND(SUMIF(Capacity_Resource,$D182,'Critical resources (hide)'!X$6:X$105)+SUMIF(Capacity_Resource,$E182,'Critical resources (hide)'!X$6:X$105)+SUMIF(Capacity_Resource,$F182,'Critical resources (hide)'!X$6:X$105)&gt;0,$E$1=2),0,1)</f>
        <v>1</v>
      </c>
      <c r="L182" s="67">
        <f ca="1">IF(AND(SUMIF(Capacity_Resource,$D182,'Critical resources (hide)'!Y$6:Y$105)+SUMIF(Capacity_Resource,$E182,'Critical resources (hide)'!Y$6:Y$105)+SUMIF(Capacity_Resource,$F182,'Critical resources (hide)'!Y$6:Y$105)&gt;0,$E$1=2),0,1)</f>
        <v>1</v>
      </c>
      <c r="M182" s="67">
        <f ca="1">IF(AND(SUMIF(Capacity_Resource,$D182,'Critical resources (hide)'!Z$6:Z$105)+SUMIF(Capacity_Resource,$E182,'Critical resources (hide)'!Z$6:Z$105)+SUMIF(Capacity_Resource,$F182,'Critical resources (hide)'!Z$6:Z$105)&gt;0,$E$1=2),0,1)</f>
        <v>1</v>
      </c>
      <c r="N182" s="67">
        <f ca="1">IF(AND(SUMIF(Capacity_Resource,$D182,'Critical resources (hide)'!AA$6:AA$105)+SUMIF(Capacity_Resource,$E182,'Critical resources (hide)'!AA$6:AA$105)+SUMIF(Capacity_Resource,$F182,'Critical resources (hide)'!AA$6:AA$105)&gt;0,$E$1=2),0,1)</f>
        <v>1</v>
      </c>
      <c r="O182" s="67">
        <f ca="1">IF(AND(SUMIF(Capacity_Resource,$D182,'Critical resources (hide)'!AB$6:AB$105)+SUMIF(Capacity_Resource,$E182,'Critical resources (hide)'!AB$6:AB$105)+SUMIF(Capacity_Resource,$F182,'Critical resources (hide)'!AB$6:AB$105)&gt;0,$E$1=2),0,1)</f>
        <v>1</v>
      </c>
      <c r="P182" s="67">
        <f ca="1">IF(AND(SUMIF(Capacity_Resource,$D182,'Critical resources (hide)'!AC$6:AC$105)+SUMIF(Capacity_Resource,$E182,'Critical resources (hide)'!AC$6:AC$105)+SUMIF(Capacity_Resource,$F182,'Critical resources (hide)'!AC$6:AC$105)&gt;0,$E$1=2),0,1)</f>
        <v>1</v>
      </c>
      <c r="Q182" s="67">
        <f ca="1">IF(AND(SUMIF(Capacity_Resource,$D182,'Critical resources (hide)'!AD$6:AD$105)+SUMIF(Capacity_Resource,$E182,'Critical resources (hide)'!AD$6:AD$105)+SUMIF(Capacity_Resource,$F182,'Critical resources (hide)'!AD$6:AD$105)&gt;0,$E$1=2),0,1)</f>
        <v>1</v>
      </c>
      <c r="R182" s="67">
        <f ca="1">IF(AND(SUMIF(Capacity_Resource,$D182,'Critical resources (hide)'!AE$6:AE$105)+SUMIF(Capacity_Resource,$E182,'Critical resources (hide)'!AE$6:AE$105)+SUMIF(Capacity_Resource,$F182,'Critical resources (hide)'!AE$6:AE$105)&gt;0,$E$1=2),0,1)</f>
        <v>1</v>
      </c>
      <c r="S182" s="67">
        <f ca="1">IF(AND(SUMIF(Capacity_Resource,$D182,'Critical resources (hide)'!AF$6:AF$105)+SUMIF(Capacity_Resource,$E182,'Critical resources (hide)'!AF$6:AF$105)+SUMIF(Capacity_Resource,$F182,'Critical resources (hide)'!AF$6:AF$105)&gt;0,$E$1=2),0,1)</f>
        <v>1</v>
      </c>
      <c r="T182" s="67">
        <f ca="1">IF(AND(SUMIF(Capacity_Resource,$D182,'Critical resources (hide)'!AG$6:AG$105)+SUMIF(Capacity_Resource,$E182,'Critical resources (hide)'!AG$6:AG$105)+SUMIF(Capacity_Resource,$F182,'Critical resources (hide)'!AG$6:AG$105)&gt;0,$E$1=2),0,1)</f>
        <v>1</v>
      </c>
      <c r="U182" s="67">
        <f ca="1">IF(AND(SUMIF(Capacity_Resource,$D182,'Critical resources (hide)'!AH$6:AH$105)+SUMIF(Capacity_Resource,$E182,'Critical resources (hide)'!AH$6:AH$105)+SUMIF(Capacity_Resource,$F182,'Critical resources (hide)'!AH$6:AH$105)&gt;0,$E$1=2),0,1)</f>
        <v>1</v>
      </c>
      <c r="V182" s="67">
        <f ca="1">IF(AND(SUMIF(Capacity_Resource,$D182,'Critical resources (hide)'!AI$6:AI$105)+SUMIF(Capacity_Resource,$E182,'Critical resources (hide)'!AI$6:AI$105)+SUMIF(Capacity_Resource,$F182,'Critical resources (hide)'!AI$6:AI$105)&gt;0,$E$1=2),0,1)</f>
        <v>1</v>
      </c>
      <c r="W182" s="67">
        <f ca="1">IF(AND(SUMIF(Capacity_Resource,$D182,'Critical resources (hide)'!AJ$6:AJ$105)+SUMIF(Capacity_Resource,$E182,'Critical resources (hide)'!AJ$6:AJ$105)+SUMIF(Capacity_Resource,$F182,'Critical resources (hide)'!AJ$6:AJ$105)&gt;0,$E$1=2),0,1)</f>
        <v>1</v>
      </c>
      <c r="X182" s="67">
        <f ca="1">IF(AND(SUMIF(Capacity_Resource,$D182,'Critical resources (hide)'!AK$6:AK$105)+SUMIF(Capacity_Resource,$E182,'Critical resources (hide)'!AK$6:AK$105)+SUMIF(Capacity_Resource,$F182,'Critical resources (hide)'!AK$6:AK$105)&gt;0,$E$1=2),0,1)</f>
        <v>1</v>
      </c>
      <c r="Y182" s="67">
        <f ca="1">IF(AND(SUMIF(Capacity_Resource,$D182,'Critical resources (hide)'!AL$6:AL$105)+SUMIF(Capacity_Resource,$E182,'Critical resources (hide)'!AL$6:AL$105)+SUMIF(Capacity_Resource,$F182,'Critical resources (hide)'!AL$6:AL$105)&gt;0,$E$1=2),0,1)</f>
        <v>1</v>
      </c>
      <c r="Z182" s="67">
        <f ca="1">IF(AND(SUMIF(Capacity_Resource,$D182,'Critical resources (hide)'!AM$6:AM$105)+SUMIF(Capacity_Resource,$E182,'Critical resources (hide)'!AM$6:AM$105)+SUMIF(Capacity_Resource,$F182,'Critical resources (hide)'!AM$6:AM$105)&gt;0,$E$1=2),0,1)</f>
        <v>1</v>
      </c>
      <c r="AA182" s="67">
        <f ca="1">IF(AND(SUMIF(Capacity_Resource,$D182,'Critical resources (hide)'!AN$6:AN$105)+SUMIF(Capacity_Resource,$E182,'Critical resources (hide)'!AN$6:AN$105)+SUMIF(Capacity_Resource,$F182,'Critical resources (hide)'!AN$6:AN$105)&gt;0,$E$1=2),0,1)</f>
        <v>1</v>
      </c>
      <c r="AB182" s="67">
        <f ca="1">IF(AND(SUMIF(Capacity_Resource,$D182,'Critical resources (hide)'!AO$6:AO$105)+SUMIF(Capacity_Resource,$E182,'Critical resources (hide)'!AO$6:AO$105)+SUMIF(Capacity_Resource,$F182,'Critical resources (hide)'!AO$6:AO$105)&gt;0,$E$1=2),0,1)</f>
        <v>1</v>
      </c>
      <c r="AC182" s="67">
        <f ca="1">IF(AND(SUMIF(Capacity_Resource,$D182,'Critical resources (hide)'!AP$6:AP$105)+SUMIF(Capacity_Resource,$E182,'Critical resources (hide)'!AP$6:AP$105)+SUMIF(Capacity_Resource,$F182,'Critical resources (hide)'!AP$6:AP$105)&gt;0,$E$1=2),0,1)</f>
        <v>1</v>
      </c>
      <c r="AD182" s="67">
        <f ca="1">IF(AND(SUMIF(Capacity_Resource,$D182,'Critical resources (hide)'!AQ$6:AQ$105)+SUMIF(Capacity_Resource,$E182,'Critical resources (hide)'!AQ$6:AQ$105)+SUMIF(Capacity_Resource,$F182,'Critical resources (hide)'!AQ$6:AQ$105)&gt;0,$E$1=2),0,1)</f>
        <v>1</v>
      </c>
      <c r="AE182" s="67">
        <f ca="1">IF(AND(SUMIF(Capacity_Resource,$D182,'Critical resources (hide)'!AR$6:AR$105)+SUMIF(Capacity_Resource,$E182,'Critical resources (hide)'!AR$6:AR$105)+SUMIF(Capacity_Resource,$F182,'Critical resources (hide)'!AR$6:AR$105)&gt;0,$E$1=2),0,1)</f>
        <v>1</v>
      </c>
      <c r="AF182" s="67">
        <f ca="1">IF(AND(SUMIF(Capacity_Resource,$D182,'Critical resources (hide)'!AS$6:AS$105)+SUMIF(Capacity_Resource,$E182,'Critical resources (hide)'!AS$6:AS$105)+SUMIF(Capacity_Resource,$F182,'Critical resources (hide)'!AS$6:AS$105)&gt;0,$E$1=2),0,1)</f>
        <v>1</v>
      </c>
      <c r="AG182" s="67">
        <f ca="1">IF(AND(SUMIF(Capacity_Resource,$D182,'Critical resources (hide)'!AT$6:AT$105)+SUMIF(Capacity_Resource,$E182,'Critical resources (hide)'!AT$6:AT$105)+SUMIF(Capacity_Resource,$F182,'Critical resources (hide)'!AT$6:AT$105)&gt;0,$E$1=2),0,1)</f>
        <v>1</v>
      </c>
      <c r="AH182" s="67">
        <f ca="1">IF(AND(SUMIF(Capacity_Resource,$D182,'Critical resources (hide)'!AU$6:AU$105)+SUMIF(Capacity_Resource,$E182,'Critical resources (hide)'!AU$6:AU$105)+SUMIF(Capacity_Resource,$F182,'Critical resources (hide)'!AU$6:AU$105)&gt;0,$E$1=2),0,1)</f>
        <v>1</v>
      </c>
      <c r="AI182" s="67">
        <f ca="1">IF(AND(SUMIF(Capacity_Resource,$D182,'Critical resources (hide)'!AV$6:AV$105)+SUMIF(Capacity_Resource,$E182,'Critical resources (hide)'!AV$6:AV$105)+SUMIF(Capacity_Resource,$F182,'Critical resources (hide)'!AV$6:AV$105)&gt;0,$E$1=2),0,1)</f>
        <v>1</v>
      </c>
      <c r="AJ182" s="67">
        <f ca="1">IF(AND(SUMIF(Capacity_Resource,$D182,'Critical resources (hide)'!AW$6:AW$105)+SUMIF(Capacity_Resource,$E182,'Critical resources (hide)'!AW$6:AW$105)+SUMIF(Capacity_Resource,$F182,'Critical resources (hide)'!AW$6:AW$105)&gt;0,$E$1=2),0,1)</f>
        <v>1</v>
      </c>
      <c r="AK182" s="67">
        <f ca="1">IF(AND(SUMIF(Capacity_Resource,$D182,'Critical resources (hide)'!AX$6:AX$105)+SUMIF(Capacity_Resource,$E182,'Critical resources (hide)'!AX$6:AX$105)+SUMIF(Capacity_Resource,$F182,'Critical resources (hide)'!AX$6:AX$105)&gt;0,$E$1=2),0,1)</f>
        <v>1</v>
      </c>
      <c r="AL182" s="67">
        <f ca="1">IF(AND(SUMIF(Capacity_Resource,$D182,'Critical resources (hide)'!AY$6:AY$105)+SUMIF(Capacity_Resource,$E182,'Critical resources (hide)'!AY$6:AY$105)+SUMIF(Capacity_Resource,$F182,'Critical resources (hide)'!AY$6:AY$105)&gt;0,$E$1=2),0,1)</f>
        <v>1</v>
      </c>
      <c r="AM182" s="67">
        <f ca="1">IF(AND(SUMIF(Capacity_Resource,$D182,'Critical resources (hide)'!AZ$6:AZ$105)+SUMIF(Capacity_Resource,$E182,'Critical resources (hide)'!AZ$6:AZ$105)+SUMIF(Capacity_Resource,$F182,'Critical resources (hide)'!AZ$6:AZ$105)&gt;0,$E$1=2),0,1)</f>
        <v>1</v>
      </c>
      <c r="AN182" s="67">
        <f ca="1">IF(AND(SUMIF(Capacity_Resource,$D182,'Critical resources (hide)'!BA$6:BA$105)+SUMIF(Capacity_Resource,$E182,'Critical resources (hide)'!BA$6:BA$105)+SUMIF(Capacity_Resource,$F182,'Critical resources (hide)'!BA$6:BA$105)&gt;0,$E$1=2),0,1)</f>
        <v>1</v>
      </c>
      <c r="AO182" s="67">
        <f ca="1">IF(AND(SUMIF(Capacity_Resource,$D182,'Critical resources (hide)'!BB$6:BB$105)+SUMIF(Capacity_Resource,$E182,'Critical resources (hide)'!BB$6:BB$105)+SUMIF(Capacity_Resource,$F182,'Critical resources (hide)'!BB$6:BB$105)&gt;0,$E$1=2),0,1)</f>
        <v>1</v>
      </c>
      <c r="AP182" s="67">
        <f ca="1">IF(AND(SUMIF(Capacity_Resource,$D182,'Critical resources (hide)'!BC$6:BC$105)+SUMIF(Capacity_Resource,$E182,'Critical resources (hide)'!BC$6:BC$105)+SUMIF(Capacity_Resource,$F182,'Critical resources (hide)'!BC$6:BC$105)&gt;0,$E$1=2),0,1)</f>
        <v>1</v>
      </c>
      <c r="AQ182" s="67">
        <f ca="1">IF(AND(SUMIF(Capacity_Resource,$D182,'Critical resources (hide)'!BD$6:BD$105)+SUMIF(Capacity_Resource,$E182,'Critical resources (hide)'!BD$6:BD$105)+SUMIF(Capacity_Resource,$F182,'Critical resources (hide)'!BD$6:BD$105)&gt;0,$E$1=2),0,1)</f>
        <v>1</v>
      </c>
      <c r="AR182" s="67">
        <f ca="1">IF(AND(SUMIF(Capacity_Resource,$D182,'Critical resources (hide)'!BE$6:BE$105)+SUMIF(Capacity_Resource,$E182,'Critical resources (hide)'!BE$6:BE$105)+SUMIF(Capacity_Resource,$F182,'Critical resources (hide)'!BE$6:BE$105)&gt;0,$E$1=2),0,1)</f>
        <v>1</v>
      </c>
      <c r="AS182" s="67">
        <f ca="1">IF(AND(SUMIF(Capacity_Resource,$D182,'Critical resources (hide)'!BF$6:BF$105)+SUMIF(Capacity_Resource,$E182,'Critical resources (hide)'!BF$6:BF$105)+SUMIF(Capacity_Resource,$F182,'Critical resources (hide)'!BF$6:BF$105)&gt;0,$E$1=2),0,1)</f>
        <v>1</v>
      </c>
      <c r="AT182" s="67">
        <f ca="1">IF(AND(SUMIF(Capacity_Resource,$D182,'Critical resources (hide)'!BG$6:BG$105)+SUMIF(Capacity_Resource,$E182,'Critical resources (hide)'!BG$6:BG$105)+SUMIF(Capacity_Resource,$F182,'Critical resources (hide)'!BG$6:BG$105)&gt;0,$E$1=2),0,1)</f>
        <v>1</v>
      </c>
      <c r="AU182" s="67">
        <f ca="1">IF(AND(SUMIF(Capacity_Resource,$D182,'Critical resources (hide)'!BH$6:BH$105)+SUMIF(Capacity_Resource,$E182,'Critical resources (hide)'!BH$6:BH$105)+SUMIF(Capacity_Resource,$F182,'Critical resources (hide)'!BH$6:BH$105)&gt;0,$E$1=2),0,1)</f>
        <v>1</v>
      </c>
      <c r="AV182" s="67">
        <f ca="1">IF(AND(SUMIF(Capacity_Resource,$D182,'Critical resources (hide)'!BI$6:BI$105)+SUMIF(Capacity_Resource,$E182,'Critical resources (hide)'!BI$6:BI$105)+SUMIF(Capacity_Resource,$F182,'Critical resources (hide)'!BI$6:BI$105)&gt;0,$E$1=2),0,1)</f>
        <v>1</v>
      </c>
      <c r="AW182" s="67">
        <f ca="1">IF(AND(SUMIF(Capacity_Resource,$D182,'Critical resources (hide)'!BJ$6:BJ$105)+SUMIF(Capacity_Resource,$E182,'Critical resources (hide)'!BJ$6:BJ$105)+SUMIF(Capacity_Resource,$F182,'Critical resources (hide)'!BJ$6:BJ$105)&gt;0,$E$1=2),0,1)</f>
        <v>1</v>
      </c>
      <c r="AX182" s="67">
        <f ca="1">IF(AND(SUMIF(Capacity_Resource,$D182,'Critical resources (hide)'!BK$6:BK$105)+SUMIF(Capacity_Resource,$E182,'Critical resources (hide)'!BK$6:BK$105)+SUMIF(Capacity_Resource,$F182,'Critical resources (hide)'!BK$6:BK$105)&gt;0,$E$1=2),0,1)</f>
        <v>1</v>
      </c>
      <c r="AY182" s="67">
        <f ca="1">IF(AND(SUMIF(Capacity_Resource,$D182,'Critical resources (hide)'!BL$6:BL$105)+SUMIF(Capacity_Resource,$E182,'Critical resources (hide)'!BL$6:BL$105)+SUMIF(Capacity_Resource,$F182,'Critical resources (hide)'!BL$6:BL$105)&gt;0,$E$1=2),0,1)</f>
        <v>1</v>
      </c>
      <c r="AZ182" s="67">
        <f ca="1">IF(AND(SUMIF(Capacity_Resource,$D182,'Critical resources (hide)'!BM$6:BM$105)+SUMIF(Capacity_Resource,$E182,'Critical resources (hide)'!BM$6:BM$105)+SUMIF(Capacity_Resource,$F182,'Critical resources (hide)'!BM$6:BM$105)&gt;0,$E$1=2),0,1)</f>
        <v>1</v>
      </c>
      <c r="BA182" s="67">
        <f ca="1">IF(AND(SUMIF(Capacity_Resource,$D182,'Critical resources (hide)'!BN$6:BN$105)+SUMIF(Capacity_Resource,$E182,'Critical resources (hide)'!BN$6:BN$105)+SUMIF(Capacity_Resource,$F182,'Critical resources (hide)'!BN$6:BN$105)&gt;0,$E$1=2),0,1)</f>
        <v>1</v>
      </c>
      <c r="BB182" s="67">
        <f ca="1">IF(AND(SUMIF(Capacity_Resource,$D182,'Critical resources (hide)'!BO$6:BO$105)+SUMIF(Capacity_Resource,$E182,'Critical resources (hide)'!BO$6:BO$105)+SUMIF(Capacity_Resource,$F182,'Critical resources (hide)'!BO$6:BO$105)&gt;0,$E$1=2),0,1)</f>
        <v>1</v>
      </c>
      <c r="BC182" s="67">
        <f ca="1">IF(AND(SUMIF(Capacity_Resource,$D182,'Critical resources (hide)'!BP$6:BP$105)+SUMIF(Capacity_Resource,$E182,'Critical resources (hide)'!BP$6:BP$105)+SUMIF(Capacity_Resource,$F182,'Critical resources (hide)'!BP$6:BP$105)&gt;0,$E$1=2),0,1)</f>
        <v>1</v>
      </c>
      <c r="BD182" s="67">
        <f ca="1">IF(AND(SUMIF(Capacity_Resource,$D182,'Critical resources (hide)'!BQ$6:BQ$105)+SUMIF(Capacity_Resource,$E182,'Critical resources (hide)'!BQ$6:BQ$105)+SUMIF(Capacity_Resource,$F182,'Critical resources (hide)'!BQ$6:BQ$105)&gt;0,$E$1=2),0,1)</f>
        <v>1</v>
      </c>
      <c r="BE182" s="67">
        <f ca="1">IF(AND(SUMIF(Capacity_Resource,$D182,'Critical resources (hide)'!BR$6:BR$105)+SUMIF(Capacity_Resource,$E182,'Critical resources (hide)'!BR$6:BR$105)+SUMIF(Capacity_Resource,$F182,'Critical resources (hide)'!BR$6:BR$105)&gt;0,$E$1=2),0,1)</f>
        <v>1</v>
      </c>
      <c r="BF182" s="67">
        <f ca="1">IF(AND(SUMIF(Capacity_Resource,$D182,'Critical resources (hide)'!BS$6:BS$105)+SUMIF(Capacity_Resource,$E182,'Critical resources (hide)'!BS$6:BS$105)+SUMIF(Capacity_Resource,$F182,'Critical resources (hide)'!BS$6:BS$105)&gt;0,$E$1=2),0,1)</f>
        <v>1</v>
      </c>
      <c r="BG182" s="67">
        <f ca="1">IF(AND(SUMIF(Capacity_Resource,$D182,'Critical resources (hide)'!BT$6:BT$105)+SUMIF(Capacity_Resource,$E182,'Critical resources (hide)'!BT$6:BT$105)+SUMIF(Capacity_Resource,$F182,'Critical resources (hide)'!BT$6:BT$105)&gt;0,$E$1=2),0,1)</f>
        <v>1</v>
      </c>
      <c r="BH182" s="67">
        <f>IF(ROW(A71)&lt;=Capacity!$M$16,IF('Capacity summary'!$C$14="No",SUM(H182:BG182),'Capacity summary'!$E94),0)</f>
        <v>0</v>
      </c>
      <c r="BI182" s="67" t="str">
        <f>IF(BH182&gt;0,IF(BH182&lt;Capacity!Q87,Capacity!R87,Capacity!T87/'Capacity calculation (hide)'!BH182),"")</f>
        <v/>
      </c>
      <c r="BJ182" s="5"/>
      <c r="BK182" s="5">
        <f>IF($BI182&lt;&gt;"",IF('Capacity summary'!$C$14="Yes",IF(COUNTBLANK('Capacity summary'!$H94:$BG94)&lt;52,IF('Capacity summary'!H94&lt;&gt;"",IF(LOWER('Capacity summary'!H94)="x",$BI182*H182,VALUE('Capacity summary'!H94)),0),H182*$BI182),H182*$BI182),0)</f>
        <v>0</v>
      </c>
      <c r="BL182" s="5">
        <f>IF($BI182&lt;&gt;"",IF('Capacity summary'!$C$14="Yes",IF(COUNTBLANK('Capacity summary'!$H94:$BG94)&lt;52,IF('Capacity summary'!I94&lt;&gt;"",IF(LOWER('Capacity summary'!I94)="x",$BI182*I182,VALUE('Capacity summary'!I94)),0),I182*$BI182),I182*$BI182),0)</f>
        <v>0</v>
      </c>
      <c r="BM182" s="5">
        <f>IF($BI182&lt;&gt;"",IF('Capacity summary'!$C$14="Yes",IF(COUNTBLANK('Capacity summary'!$H94:$BG94)&lt;52,IF('Capacity summary'!J94&lt;&gt;"",IF(LOWER('Capacity summary'!J94)="x",$BI182*J182,VALUE('Capacity summary'!J94)),0),J182*$BI182),J182*$BI182),0)</f>
        <v>0</v>
      </c>
      <c r="BN182" s="5">
        <f>IF($BI182&lt;&gt;"",IF('Capacity summary'!$C$14="Yes",IF(COUNTBLANK('Capacity summary'!$H94:$BG94)&lt;52,IF('Capacity summary'!K94&lt;&gt;"",IF(LOWER('Capacity summary'!K94)="x",$BI182*K182,VALUE('Capacity summary'!K94)),0),K182*$BI182),K182*$BI182),0)</f>
        <v>0</v>
      </c>
      <c r="BO182" s="5">
        <f>IF($BI182&lt;&gt;"",IF('Capacity summary'!$C$14="Yes",IF(COUNTBLANK('Capacity summary'!$H94:$BG94)&lt;52,IF('Capacity summary'!L94&lt;&gt;"",IF(LOWER('Capacity summary'!L94)="x",$BI182*L182,VALUE('Capacity summary'!L94)),0),L182*$BI182),L182*$BI182),0)</f>
        <v>0</v>
      </c>
      <c r="BP182" s="5">
        <f>IF($BI182&lt;&gt;"",IF('Capacity summary'!$C$14="Yes",IF(COUNTBLANK('Capacity summary'!$H94:$BG94)&lt;52,IF('Capacity summary'!M94&lt;&gt;"",IF(LOWER('Capacity summary'!M94)="x",$BI182*M182,VALUE('Capacity summary'!M94)),0),M182*$BI182),M182*$BI182),0)</f>
        <v>0</v>
      </c>
      <c r="BQ182" s="5">
        <f>IF($BI182&lt;&gt;"",IF('Capacity summary'!$C$14="Yes",IF(COUNTBLANK('Capacity summary'!$H94:$BG94)&lt;52,IF('Capacity summary'!N94&lt;&gt;"",IF(LOWER('Capacity summary'!N94)="x",$BI182*N182,VALUE('Capacity summary'!N94)),0),N182*$BI182),N182*$BI182),0)</f>
        <v>0</v>
      </c>
      <c r="BR182" s="5">
        <f>IF($BI182&lt;&gt;"",IF('Capacity summary'!$C$14="Yes",IF(COUNTBLANK('Capacity summary'!$H94:$BG94)&lt;52,IF('Capacity summary'!O94&lt;&gt;"",IF(LOWER('Capacity summary'!O94)="x",$BI182*O182,VALUE('Capacity summary'!O94)),0),O182*$BI182),O182*$BI182),0)</f>
        <v>0</v>
      </c>
      <c r="BS182" s="5">
        <f>IF($BI182&lt;&gt;"",IF('Capacity summary'!$C$14="Yes",IF(COUNTBLANK('Capacity summary'!$H94:$BG94)&lt;52,IF('Capacity summary'!P94&lt;&gt;"",IF(LOWER('Capacity summary'!P94)="x",$BI182*P182,VALUE('Capacity summary'!P94)),0),P182*$BI182),P182*$BI182),0)</f>
        <v>0</v>
      </c>
      <c r="BT182" s="5">
        <f>IF($BI182&lt;&gt;"",IF('Capacity summary'!$C$14="Yes",IF(COUNTBLANK('Capacity summary'!$H94:$BG94)&lt;52,IF('Capacity summary'!Q94&lt;&gt;"",IF(LOWER('Capacity summary'!Q94)="x",$BI182*Q182,VALUE('Capacity summary'!Q94)),0),Q182*$BI182),Q182*$BI182),0)</f>
        <v>0</v>
      </c>
      <c r="BU182" s="5">
        <f>IF($BI182&lt;&gt;"",IF('Capacity summary'!$C$14="Yes",IF(COUNTBLANK('Capacity summary'!$H94:$BG94)&lt;52,IF('Capacity summary'!R94&lt;&gt;"",IF(LOWER('Capacity summary'!R94)="x",$BI182*R182,VALUE('Capacity summary'!R94)),0),R182*$BI182),R182*$BI182),0)</f>
        <v>0</v>
      </c>
      <c r="BV182" s="5">
        <f>IF($BI182&lt;&gt;"",IF('Capacity summary'!$C$14="Yes",IF(COUNTBLANK('Capacity summary'!$H94:$BG94)&lt;52,IF('Capacity summary'!S94&lt;&gt;"",IF(LOWER('Capacity summary'!S94)="x",$BI182*S182,VALUE('Capacity summary'!S94)),0),S182*$BI182),S182*$BI182),0)</f>
        <v>0</v>
      </c>
      <c r="BW182" s="5">
        <f>IF($BI182&lt;&gt;"",IF('Capacity summary'!$C$14="Yes",IF(COUNTBLANK('Capacity summary'!$H94:$BG94)&lt;52,IF('Capacity summary'!T94&lt;&gt;"",IF(LOWER('Capacity summary'!T94)="x",$BI182*T182,VALUE('Capacity summary'!T94)),0),T182*$BI182),T182*$BI182),0)</f>
        <v>0</v>
      </c>
      <c r="BX182" s="5">
        <f>IF($BI182&lt;&gt;"",IF('Capacity summary'!$C$14="Yes",IF(COUNTBLANK('Capacity summary'!$H94:$BG94)&lt;52,IF('Capacity summary'!U94&lt;&gt;"",IF(LOWER('Capacity summary'!U94)="x",$BI182*U182,VALUE('Capacity summary'!U94)),0),U182*$BI182),U182*$BI182),0)</f>
        <v>0</v>
      </c>
      <c r="BY182" s="5">
        <f>IF($BI182&lt;&gt;"",IF('Capacity summary'!$C$14="Yes",IF(COUNTBLANK('Capacity summary'!$H94:$BG94)&lt;52,IF('Capacity summary'!V94&lt;&gt;"",IF(LOWER('Capacity summary'!V94)="x",$BI182*V182,VALUE('Capacity summary'!V94)),0),V182*$BI182),V182*$BI182),0)</f>
        <v>0</v>
      </c>
      <c r="BZ182" s="5">
        <f>IF($BI182&lt;&gt;"",IF('Capacity summary'!$C$14="Yes",IF(COUNTBLANK('Capacity summary'!$H94:$BG94)&lt;52,IF('Capacity summary'!W94&lt;&gt;"",IF(LOWER('Capacity summary'!W94)="x",$BI182*W182,VALUE('Capacity summary'!W94)),0),W182*$BI182),W182*$BI182),0)</f>
        <v>0</v>
      </c>
      <c r="CA182" s="5">
        <f>IF($BI182&lt;&gt;"",IF('Capacity summary'!$C$14="Yes",IF(COUNTBLANK('Capacity summary'!$H94:$BG94)&lt;52,IF('Capacity summary'!X94&lt;&gt;"",IF(LOWER('Capacity summary'!X94)="x",$BI182*X182,VALUE('Capacity summary'!X94)),0),X182*$BI182),X182*$BI182),0)</f>
        <v>0</v>
      </c>
      <c r="CB182" s="5">
        <f>IF($BI182&lt;&gt;"",IF('Capacity summary'!$C$14="Yes",IF(COUNTBLANK('Capacity summary'!$H94:$BG94)&lt;52,IF('Capacity summary'!Y94&lt;&gt;"",IF(LOWER('Capacity summary'!Y94)="x",$BI182*Y182,VALUE('Capacity summary'!Y94)),0),Y182*$BI182),Y182*$BI182),0)</f>
        <v>0</v>
      </c>
      <c r="CC182" s="5">
        <f>IF($BI182&lt;&gt;"",IF('Capacity summary'!$C$14="Yes",IF(COUNTBLANK('Capacity summary'!$H94:$BG94)&lt;52,IF('Capacity summary'!Z94&lt;&gt;"",IF(LOWER('Capacity summary'!Z94)="x",$BI182*Z182,VALUE('Capacity summary'!Z94)),0),Z182*$BI182),Z182*$BI182),0)</f>
        <v>0</v>
      </c>
      <c r="CD182" s="5">
        <f>IF($BI182&lt;&gt;"",IF('Capacity summary'!$C$14="Yes",IF(COUNTBLANK('Capacity summary'!$H94:$BG94)&lt;52,IF('Capacity summary'!AA94&lt;&gt;"",IF(LOWER('Capacity summary'!AA94)="x",$BI182*AA182,VALUE('Capacity summary'!AA94)),0),AA182*$BI182),AA182*$BI182),0)</f>
        <v>0</v>
      </c>
      <c r="CE182" s="5">
        <f>IF($BI182&lt;&gt;"",IF('Capacity summary'!$C$14="Yes",IF(COUNTBLANK('Capacity summary'!$H94:$BG94)&lt;52,IF('Capacity summary'!AB94&lt;&gt;"",IF(LOWER('Capacity summary'!AB94)="x",$BI182*AB182,VALUE('Capacity summary'!AB94)),0),AB182*$BI182),AB182*$BI182),0)</f>
        <v>0</v>
      </c>
      <c r="CF182" s="5">
        <f>IF($BI182&lt;&gt;"",IF('Capacity summary'!$C$14="Yes",IF(COUNTBLANK('Capacity summary'!$H94:$BG94)&lt;52,IF('Capacity summary'!AC94&lt;&gt;"",IF(LOWER('Capacity summary'!AC94)="x",$BI182*AC182,VALUE('Capacity summary'!AC94)),0),AC182*$BI182),AC182*$BI182),0)</f>
        <v>0</v>
      </c>
      <c r="CG182" s="5">
        <f>IF($BI182&lt;&gt;"",IF('Capacity summary'!$C$14="Yes",IF(COUNTBLANK('Capacity summary'!$H94:$BG94)&lt;52,IF('Capacity summary'!AD94&lt;&gt;"",IF(LOWER('Capacity summary'!AD94)="x",$BI182*AD182,VALUE('Capacity summary'!AD94)),0),AD182*$BI182),AD182*$BI182),0)</f>
        <v>0</v>
      </c>
      <c r="CH182" s="5">
        <f>IF($BI182&lt;&gt;"",IF('Capacity summary'!$C$14="Yes",IF(COUNTBLANK('Capacity summary'!$H94:$BG94)&lt;52,IF('Capacity summary'!AE94&lt;&gt;"",IF(LOWER('Capacity summary'!AE94)="x",$BI182*AE182,VALUE('Capacity summary'!AE94)),0),AE182*$BI182),AE182*$BI182),0)</f>
        <v>0</v>
      </c>
      <c r="CI182" s="5">
        <f>IF($BI182&lt;&gt;"",IF('Capacity summary'!$C$14="Yes",IF(COUNTBLANK('Capacity summary'!$H94:$BG94)&lt;52,IF('Capacity summary'!AF94&lt;&gt;"",IF(LOWER('Capacity summary'!AF94)="x",$BI182*AF182,VALUE('Capacity summary'!AF94)),0),AF182*$BI182),AF182*$BI182),0)</f>
        <v>0</v>
      </c>
      <c r="CJ182" s="5">
        <f>IF($BI182&lt;&gt;"",IF('Capacity summary'!$C$14="Yes",IF(COUNTBLANK('Capacity summary'!$H94:$BG94)&lt;52,IF('Capacity summary'!AG94&lt;&gt;"",IF(LOWER('Capacity summary'!AG94)="x",$BI182*AG182,VALUE('Capacity summary'!AG94)),0),AG182*$BI182),AG182*$BI182),0)</f>
        <v>0</v>
      </c>
      <c r="CK182" s="5">
        <f>IF($BI182&lt;&gt;"",IF('Capacity summary'!$C$14="Yes",IF(COUNTBLANK('Capacity summary'!$H94:$BG94)&lt;52,IF('Capacity summary'!AH94&lt;&gt;"",IF(LOWER('Capacity summary'!AH94)="x",$BI182*AH182,VALUE('Capacity summary'!AH94)),0),AH182*$BI182),AH182*$BI182),0)</f>
        <v>0</v>
      </c>
      <c r="CL182" s="5">
        <f>IF($BI182&lt;&gt;"",IF('Capacity summary'!$C$14="Yes",IF(COUNTBLANK('Capacity summary'!$H94:$BG94)&lt;52,IF('Capacity summary'!AI94&lt;&gt;"",IF(LOWER('Capacity summary'!AI94)="x",$BI182*AI182,VALUE('Capacity summary'!AI94)),0),AI182*$BI182),AI182*$BI182),0)</f>
        <v>0</v>
      </c>
      <c r="CM182" s="5">
        <f>IF($BI182&lt;&gt;"",IF('Capacity summary'!$C$14="Yes",IF(COUNTBLANK('Capacity summary'!$H94:$BG94)&lt;52,IF('Capacity summary'!AJ94&lt;&gt;"",IF(LOWER('Capacity summary'!AJ94)="x",$BI182*AJ182,VALUE('Capacity summary'!AJ94)),0),AJ182*$BI182),AJ182*$BI182),0)</f>
        <v>0</v>
      </c>
      <c r="CN182" s="5">
        <f>IF($BI182&lt;&gt;"",IF('Capacity summary'!$C$14="Yes",IF(COUNTBLANK('Capacity summary'!$H94:$BG94)&lt;52,IF('Capacity summary'!AK94&lt;&gt;"",IF(LOWER('Capacity summary'!AK94)="x",$BI182*AK182,VALUE('Capacity summary'!AK94)),0),AK182*$BI182),AK182*$BI182),0)</f>
        <v>0</v>
      </c>
      <c r="CO182" s="5">
        <f>IF($BI182&lt;&gt;"",IF('Capacity summary'!$C$14="Yes",IF(COUNTBLANK('Capacity summary'!$H94:$BG94)&lt;52,IF('Capacity summary'!AL94&lt;&gt;"",IF(LOWER('Capacity summary'!AL94)="x",$BI182*AL182,VALUE('Capacity summary'!AL94)),0),AL182*$BI182),AL182*$BI182),0)</f>
        <v>0</v>
      </c>
      <c r="CP182" s="5">
        <f>IF($BI182&lt;&gt;"",IF('Capacity summary'!$C$14="Yes",IF(COUNTBLANK('Capacity summary'!$H94:$BG94)&lt;52,IF('Capacity summary'!AM94&lt;&gt;"",IF(LOWER('Capacity summary'!AM94)="x",$BI182*AM182,VALUE('Capacity summary'!AM94)),0),AM182*$BI182),AM182*$BI182),0)</f>
        <v>0</v>
      </c>
      <c r="CQ182" s="5">
        <f>IF($BI182&lt;&gt;"",IF('Capacity summary'!$C$14="Yes",IF(COUNTBLANK('Capacity summary'!$H94:$BG94)&lt;52,IF('Capacity summary'!AN94&lt;&gt;"",IF(LOWER('Capacity summary'!AN94)="x",$BI182*AN182,VALUE('Capacity summary'!AN94)),0),AN182*$BI182),AN182*$BI182),0)</f>
        <v>0</v>
      </c>
      <c r="CR182" s="5">
        <f>IF($BI182&lt;&gt;"",IF('Capacity summary'!$C$14="Yes",IF(COUNTBLANK('Capacity summary'!$H94:$BG94)&lt;52,IF('Capacity summary'!AO94&lt;&gt;"",IF(LOWER('Capacity summary'!AO94)="x",$BI182*AO182,VALUE('Capacity summary'!AO94)),0),AO182*$BI182),AO182*$BI182),0)</f>
        <v>0</v>
      </c>
      <c r="CS182" s="5">
        <f>IF($BI182&lt;&gt;"",IF('Capacity summary'!$C$14="Yes",IF(COUNTBLANK('Capacity summary'!$H94:$BG94)&lt;52,IF('Capacity summary'!AP94&lt;&gt;"",IF(LOWER('Capacity summary'!AP94)="x",$BI182*AP182,VALUE('Capacity summary'!AP94)),0),AP182*$BI182),AP182*$BI182),0)</f>
        <v>0</v>
      </c>
      <c r="CT182" s="5">
        <f>IF($BI182&lt;&gt;"",IF('Capacity summary'!$C$14="Yes",IF(COUNTBLANK('Capacity summary'!$H94:$BG94)&lt;52,IF('Capacity summary'!AQ94&lt;&gt;"",IF(LOWER('Capacity summary'!AQ94)="x",$BI182*AQ182,VALUE('Capacity summary'!AQ94)),0),AQ182*$BI182),AQ182*$BI182),0)</f>
        <v>0</v>
      </c>
      <c r="CU182" s="5">
        <f>IF($BI182&lt;&gt;"",IF('Capacity summary'!$C$14="Yes",IF(COUNTBLANK('Capacity summary'!$H94:$BG94)&lt;52,IF('Capacity summary'!AR94&lt;&gt;"",IF(LOWER('Capacity summary'!AR94)="x",$BI182*AR182,VALUE('Capacity summary'!AR94)),0),AR182*$BI182),AR182*$BI182),0)</f>
        <v>0</v>
      </c>
      <c r="CV182" s="5">
        <f>IF($BI182&lt;&gt;"",IF('Capacity summary'!$C$14="Yes",IF(COUNTBLANK('Capacity summary'!$H94:$BG94)&lt;52,IF('Capacity summary'!AS94&lt;&gt;"",IF(LOWER('Capacity summary'!AS94)="x",$BI182*AS182,VALUE('Capacity summary'!AS94)),0),AS182*$BI182),AS182*$BI182),0)</f>
        <v>0</v>
      </c>
      <c r="CW182" s="5">
        <f>IF($BI182&lt;&gt;"",IF('Capacity summary'!$C$14="Yes",IF(COUNTBLANK('Capacity summary'!$H94:$BG94)&lt;52,IF('Capacity summary'!AT94&lt;&gt;"",IF(LOWER('Capacity summary'!AT94)="x",$BI182*AT182,VALUE('Capacity summary'!AT94)),0),AT182*$BI182),AT182*$BI182),0)</f>
        <v>0</v>
      </c>
      <c r="CX182" s="5">
        <f>IF($BI182&lt;&gt;"",IF('Capacity summary'!$C$14="Yes",IF(COUNTBLANK('Capacity summary'!$H94:$BG94)&lt;52,IF('Capacity summary'!AU94&lt;&gt;"",IF(LOWER('Capacity summary'!AU94)="x",$BI182*AU182,VALUE('Capacity summary'!AU94)),0),AU182*$BI182),AU182*$BI182),0)</f>
        <v>0</v>
      </c>
      <c r="CY182" s="5">
        <f>IF($BI182&lt;&gt;"",IF('Capacity summary'!$C$14="Yes",IF(COUNTBLANK('Capacity summary'!$H94:$BG94)&lt;52,IF('Capacity summary'!AV94&lt;&gt;"",IF(LOWER('Capacity summary'!AV94)="x",$BI182*AV182,VALUE('Capacity summary'!AV94)),0),AV182*$BI182),AV182*$BI182),0)</f>
        <v>0</v>
      </c>
      <c r="CZ182" s="5">
        <f>IF($BI182&lt;&gt;"",IF('Capacity summary'!$C$14="Yes",IF(COUNTBLANK('Capacity summary'!$H94:$BG94)&lt;52,IF('Capacity summary'!AW94&lt;&gt;"",IF(LOWER('Capacity summary'!AW94)="x",$BI182*AW182,VALUE('Capacity summary'!AW94)),0),AW182*$BI182),AW182*$BI182),0)</f>
        <v>0</v>
      </c>
      <c r="DA182" s="5">
        <f>IF($BI182&lt;&gt;"",IF('Capacity summary'!$C$14="Yes",IF(COUNTBLANK('Capacity summary'!$H94:$BG94)&lt;52,IF('Capacity summary'!AX94&lt;&gt;"",IF(LOWER('Capacity summary'!AX94)="x",$BI182*AX182,VALUE('Capacity summary'!AX94)),0),AX182*$BI182),AX182*$BI182),0)</f>
        <v>0</v>
      </c>
      <c r="DB182" s="5">
        <f>IF($BI182&lt;&gt;"",IF('Capacity summary'!$C$14="Yes",IF(COUNTBLANK('Capacity summary'!$H94:$BG94)&lt;52,IF('Capacity summary'!AY94&lt;&gt;"",IF(LOWER('Capacity summary'!AY94)="x",$BI182*AY182,VALUE('Capacity summary'!AY94)),0),AY182*$BI182),AY182*$BI182),0)</f>
        <v>0</v>
      </c>
      <c r="DC182" s="5">
        <f>IF($BI182&lt;&gt;"",IF('Capacity summary'!$C$14="Yes",IF(COUNTBLANK('Capacity summary'!$H94:$BG94)&lt;52,IF('Capacity summary'!AZ94&lt;&gt;"",IF(LOWER('Capacity summary'!AZ94)="x",$BI182*AZ182,VALUE('Capacity summary'!AZ94)),0),AZ182*$BI182),AZ182*$BI182),0)</f>
        <v>0</v>
      </c>
      <c r="DD182" s="5">
        <f>IF($BI182&lt;&gt;"",IF('Capacity summary'!$C$14="Yes",IF(COUNTBLANK('Capacity summary'!$H94:$BG94)&lt;52,IF('Capacity summary'!BA94&lt;&gt;"",IF(LOWER('Capacity summary'!BA94)="x",$BI182*BA182,VALUE('Capacity summary'!BA94)),0),BA182*$BI182),BA182*$BI182),0)</f>
        <v>0</v>
      </c>
      <c r="DE182" s="5">
        <f>IF($BI182&lt;&gt;"",IF('Capacity summary'!$C$14="Yes",IF(COUNTBLANK('Capacity summary'!$H94:$BG94)&lt;52,IF('Capacity summary'!BB94&lt;&gt;"",IF(LOWER('Capacity summary'!BB94)="x",$BI182*BB182,VALUE('Capacity summary'!BB94)),0),BB182*$BI182),BB182*$BI182),0)</f>
        <v>0</v>
      </c>
      <c r="DF182" s="5">
        <f>IF($BI182&lt;&gt;"",IF('Capacity summary'!$C$14="Yes",IF(COUNTBLANK('Capacity summary'!$H94:$BG94)&lt;52,IF('Capacity summary'!BC94&lt;&gt;"",IF(LOWER('Capacity summary'!BC94)="x",$BI182*BC182,VALUE('Capacity summary'!BC94)),0),BC182*$BI182),BC182*$BI182),0)</f>
        <v>0</v>
      </c>
      <c r="DG182" s="5">
        <f>IF($BI182&lt;&gt;"",IF('Capacity summary'!$C$14="Yes",IF(COUNTBLANK('Capacity summary'!$H94:$BG94)&lt;52,IF('Capacity summary'!BD94&lt;&gt;"",IF(LOWER('Capacity summary'!BD94)="x",$BI182*BD182,VALUE('Capacity summary'!BD94)),0),BD182*$BI182),BD182*$BI182),0)</f>
        <v>0</v>
      </c>
      <c r="DH182" s="5">
        <f>IF($BI182&lt;&gt;"",IF('Capacity summary'!$C$14="Yes",IF(COUNTBLANK('Capacity summary'!$H94:$BG94)&lt;52,IF('Capacity summary'!BE94&lt;&gt;"",IF(LOWER('Capacity summary'!BE94)="x",$BI182*BE182,VALUE('Capacity summary'!BE94)),0),BE182*$BI182),BE182*$BI182),0)</f>
        <v>0</v>
      </c>
      <c r="DI182" s="5">
        <f>IF($BI182&lt;&gt;"",IF('Capacity summary'!$C$14="Yes",IF(COUNTBLANK('Capacity summary'!$H94:$BG94)&lt;52,IF('Capacity summary'!BF94&lt;&gt;"",IF(LOWER('Capacity summary'!BF94)="x",$BI182*BF182,VALUE('Capacity summary'!BF94)),0),BF182*$BI182),BF182*$BI182),0)</f>
        <v>0</v>
      </c>
      <c r="DJ182" s="5">
        <f>IF($BI182&lt;&gt;"",IF('Capacity summary'!$C$14="Yes",IF(COUNTBLANK('Capacity summary'!$H94:$BG94)&lt;52,IF('Capacity summary'!BG94&lt;&gt;"",IF(LOWER('Capacity summary'!BG94)="x",$BI182*BG182,VALUE('Capacity summary'!BG94)),0),BG182*$BI182),BG182*$BI182),0)</f>
        <v>0</v>
      </c>
      <c r="DK182" s="5">
        <f t="shared" ref="DK182" si="76">SUM(DK183:DK282)</f>
        <v>0</v>
      </c>
    </row>
    <row r="183" spans="3:115" x14ac:dyDescent="0.25">
      <c r="C183" s="67" t="str">
        <f>ROW(A72)&amp;". "&amp;Capacity!N88</f>
        <v xml:space="preserve">72. </v>
      </c>
      <c r="D183" s="67">
        <f>'Capacity setup'!C189</f>
        <v>0</v>
      </c>
      <c r="E183" s="67">
        <f>'Capacity setup'!D189</f>
        <v>0</v>
      </c>
      <c r="F183" s="67">
        <f>'Capacity setup'!E189</f>
        <v>0</v>
      </c>
      <c r="H183" s="67">
        <f ca="1">IF(AND(SUMIF(Capacity_Resource,$D183,'Critical resources (hide)'!U$6:U$105)+SUMIF(Capacity_Resource,$E183,'Critical resources (hide)'!U$6:U$105)+SUMIF(Capacity_Resource,$F183,'Critical resources (hide)'!U$6:U$105)&gt;0,$E$1=2),0,1)</f>
        <v>1</v>
      </c>
      <c r="I183" s="67">
        <f ca="1">IF(AND(SUMIF(Capacity_Resource,$D183,'Critical resources (hide)'!V$6:V$105)+SUMIF(Capacity_Resource,$E183,'Critical resources (hide)'!V$6:V$105)+SUMIF(Capacity_Resource,$F183,'Critical resources (hide)'!V$6:V$105)&gt;0,$E$1=2),0,1)</f>
        <v>1</v>
      </c>
      <c r="J183" s="67">
        <f ca="1">IF(AND(SUMIF(Capacity_Resource,$D183,'Critical resources (hide)'!W$6:W$105)+SUMIF(Capacity_Resource,$E183,'Critical resources (hide)'!W$6:W$105)+SUMIF(Capacity_Resource,$F183,'Critical resources (hide)'!W$6:W$105)&gt;0,$E$1=2),0,1)</f>
        <v>1</v>
      </c>
      <c r="K183" s="67">
        <f ca="1">IF(AND(SUMIF(Capacity_Resource,$D183,'Critical resources (hide)'!X$6:X$105)+SUMIF(Capacity_Resource,$E183,'Critical resources (hide)'!X$6:X$105)+SUMIF(Capacity_Resource,$F183,'Critical resources (hide)'!X$6:X$105)&gt;0,$E$1=2),0,1)</f>
        <v>1</v>
      </c>
      <c r="L183" s="67">
        <f ca="1">IF(AND(SUMIF(Capacity_Resource,$D183,'Critical resources (hide)'!Y$6:Y$105)+SUMIF(Capacity_Resource,$E183,'Critical resources (hide)'!Y$6:Y$105)+SUMIF(Capacity_Resource,$F183,'Critical resources (hide)'!Y$6:Y$105)&gt;0,$E$1=2),0,1)</f>
        <v>1</v>
      </c>
      <c r="M183" s="67">
        <f ca="1">IF(AND(SUMIF(Capacity_Resource,$D183,'Critical resources (hide)'!Z$6:Z$105)+SUMIF(Capacity_Resource,$E183,'Critical resources (hide)'!Z$6:Z$105)+SUMIF(Capacity_Resource,$F183,'Critical resources (hide)'!Z$6:Z$105)&gt;0,$E$1=2),0,1)</f>
        <v>1</v>
      </c>
      <c r="N183" s="67">
        <f ca="1">IF(AND(SUMIF(Capacity_Resource,$D183,'Critical resources (hide)'!AA$6:AA$105)+SUMIF(Capacity_Resource,$E183,'Critical resources (hide)'!AA$6:AA$105)+SUMIF(Capacity_Resource,$F183,'Critical resources (hide)'!AA$6:AA$105)&gt;0,$E$1=2),0,1)</f>
        <v>1</v>
      </c>
      <c r="O183" s="67">
        <f ca="1">IF(AND(SUMIF(Capacity_Resource,$D183,'Critical resources (hide)'!AB$6:AB$105)+SUMIF(Capacity_Resource,$E183,'Critical resources (hide)'!AB$6:AB$105)+SUMIF(Capacity_Resource,$F183,'Critical resources (hide)'!AB$6:AB$105)&gt;0,$E$1=2),0,1)</f>
        <v>1</v>
      </c>
      <c r="P183" s="67">
        <f ca="1">IF(AND(SUMIF(Capacity_Resource,$D183,'Critical resources (hide)'!AC$6:AC$105)+SUMIF(Capacity_Resource,$E183,'Critical resources (hide)'!AC$6:AC$105)+SUMIF(Capacity_Resource,$F183,'Critical resources (hide)'!AC$6:AC$105)&gt;0,$E$1=2),0,1)</f>
        <v>1</v>
      </c>
      <c r="Q183" s="67">
        <f ca="1">IF(AND(SUMIF(Capacity_Resource,$D183,'Critical resources (hide)'!AD$6:AD$105)+SUMIF(Capacity_Resource,$E183,'Critical resources (hide)'!AD$6:AD$105)+SUMIF(Capacity_Resource,$F183,'Critical resources (hide)'!AD$6:AD$105)&gt;0,$E$1=2),0,1)</f>
        <v>1</v>
      </c>
      <c r="R183" s="67">
        <f ca="1">IF(AND(SUMIF(Capacity_Resource,$D183,'Critical resources (hide)'!AE$6:AE$105)+SUMIF(Capacity_Resource,$E183,'Critical resources (hide)'!AE$6:AE$105)+SUMIF(Capacity_Resource,$F183,'Critical resources (hide)'!AE$6:AE$105)&gt;0,$E$1=2),0,1)</f>
        <v>1</v>
      </c>
      <c r="S183" s="67">
        <f ca="1">IF(AND(SUMIF(Capacity_Resource,$D183,'Critical resources (hide)'!AF$6:AF$105)+SUMIF(Capacity_Resource,$E183,'Critical resources (hide)'!AF$6:AF$105)+SUMIF(Capacity_Resource,$F183,'Critical resources (hide)'!AF$6:AF$105)&gt;0,$E$1=2),0,1)</f>
        <v>1</v>
      </c>
      <c r="T183" s="67">
        <f ca="1">IF(AND(SUMIF(Capacity_Resource,$D183,'Critical resources (hide)'!AG$6:AG$105)+SUMIF(Capacity_Resource,$E183,'Critical resources (hide)'!AG$6:AG$105)+SUMIF(Capacity_Resource,$F183,'Critical resources (hide)'!AG$6:AG$105)&gt;0,$E$1=2),0,1)</f>
        <v>1</v>
      </c>
      <c r="U183" s="67">
        <f ca="1">IF(AND(SUMIF(Capacity_Resource,$D183,'Critical resources (hide)'!AH$6:AH$105)+SUMIF(Capacity_Resource,$E183,'Critical resources (hide)'!AH$6:AH$105)+SUMIF(Capacity_Resource,$F183,'Critical resources (hide)'!AH$6:AH$105)&gt;0,$E$1=2),0,1)</f>
        <v>1</v>
      </c>
      <c r="V183" s="67">
        <f ca="1">IF(AND(SUMIF(Capacity_Resource,$D183,'Critical resources (hide)'!AI$6:AI$105)+SUMIF(Capacity_Resource,$E183,'Critical resources (hide)'!AI$6:AI$105)+SUMIF(Capacity_Resource,$F183,'Critical resources (hide)'!AI$6:AI$105)&gt;0,$E$1=2),0,1)</f>
        <v>1</v>
      </c>
      <c r="W183" s="67">
        <f ca="1">IF(AND(SUMIF(Capacity_Resource,$D183,'Critical resources (hide)'!AJ$6:AJ$105)+SUMIF(Capacity_Resource,$E183,'Critical resources (hide)'!AJ$6:AJ$105)+SUMIF(Capacity_Resource,$F183,'Critical resources (hide)'!AJ$6:AJ$105)&gt;0,$E$1=2),0,1)</f>
        <v>1</v>
      </c>
      <c r="X183" s="67">
        <f ca="1">IF(AND(SUMIF(Capacity_Resource,$D183,'Critical resources (hide)'!AK$6:AK$105)+SUMIF(Capacity_Resource,$E183,'Critical resources (hide)'!AK$6:AK$105)+SUMIF(Capacity_Resource,$F183,'Critical resources (hide)'!AK$6:AK$105)&gt;0,$E$1=2),0,1)</f>
        <v>1</v>
      </c>
      <c r="Y183" s="67">
        <f ca="1">IF(AND(SUMIF(Capacity_Resource,$D183,'Critical resources (hide)'!AL$6:AL$105)+SUMIF(Capacity_Resource,$E183,'Critical resources (hide)'!AL$6:AL$105)+SUMIF(Capacity_Resource,$F183,'Critical resources (hide)'!AL$6:AL$105)&gt;0,$E$1=2),0,1)</f>
        <v>1</v>
      </c>
      <c r="Z183" s="67">
        <f ca="1">IF(AND(SUMIF(Capacity_Resource,$D183,'Critical resources (hide)'!AM$6:AM$105)+SUMIF(Capacity_Resource,$E183,'Critical resources (hide)'!AM$6:AM$105)+SUMIF(Capacity_Resource,$F183,'Critical resources (hide)'!AM$6:AM$105)&gt;0,$E$1=2),0,1)</f>
        <v>1</v>
      </c>
      <c r="AA183" s="67">
        <f ca="1">IF(AND(SUMIF(Capacity_Resource,$D183,'Critical resources (hide)'!AN$6:AN$105)+SUMIF(Capacity_Resource,$E183,'Critical resources (hide)'!AN$6:AN$105)+SUMIF(Capacity_Resource,$F183,'Critical resources (hide)'!AN$6:AN$105)&gt;0,$E$1=2),0,1)</f>
        <v>1</v>
      </c>
      <c r="AB183" s="67">
        <f ca="1">IF(AND(SUMIF(Capacity_Resource,$D183,'Critical resources (hide)'!AO$6:AO$105)+SUMIF(Capacity_Resource,$E183,'Critical resources (hide)'!AO$6:AO$105)+SUMIF(Capacity_Resource,$F183,'Critical resources (hide)'!AO$6:AO$105)&gt;0,$E$1=2),0,1)</f>
        <v>1</v>
      </c>
      <c r="AC183" s="67">
        <f ca="1">IF(AND(SUMIF(Capacity_Resource,$D183,'Critical resources (hide)'!AP$6:AP$105)+SUMIF(Capacity_Resource,$E183,'Critical resources (hide)'!AP$6:AP$105)+SUMIF(Capacity_Resource,$F183,'Critical resources (hide)'!AP$6:AP$105)&gt;0,$E$1=2),0,1)</f>
        <v>1</v>
      </c>
      <c r="AD183" s="67">
        <f ca="1">IF(AND(SUMIF(Capacity_Resource,$D183,'Critical resources (hide)'!AQ$6:AQ$105)+SUMIF(Capacity_Resource,$E183,'Critical resources (hide)'!AQ$6:AQ$105)+SUMIF(Capacity_Resource,$F183,'Critical resources (hide)'!AQ$6:AQ$105)&gt;0,$E$1=2),0,1)</f>
        <v>1</v>
      </c>
      <c r="AE183" s="67">
        <f ca="1">IF(AND(SUMIF(Capacity_Resource,$D183,'Critical resources (hide)'!AR$6:AR$105)+SUMIF(Capacity_Resource,$E183,'Critical resources (hide)'!AR$6:AR$105)+SUMIF(Capacity_Resource,$F183,'Critical resources (hide)'!AR$6:AR$105)&gt;0,$E$1=2),0,1)</f>
        <v>1</v>
      </c>
      <c r="AF183" s="67">
        <f ca="1">IF(AND(SUMIF(Capacity_Resource,$D183,'Critical resources (hide)'!AS$6:AS$105)+SUMIF(Capacity_Resource,$E183,'Critical resources (hide)'!AS$6:AS$105)+SUMIF(Capacity_Resource,$F183,'Critical resources (hide)'!AS$6:AS$105)&gt;0,$E$1=2),0,1)</f>
        <v>1</v>
      </c>
      <c r="AG183" s="67">
        <f ca="1">IF(AND(SUMIF(Capacity_Resource,$D183,'Critical resources (hide)'!AT$6:AT$105)+SUMIF(Capacity_Resource,$E183,'Critical resources (hide)'!AT$6:AT$105)+SUMIF(Capacity_Resource,$F183,'Critical resources (hide)'!AT$6:AT$105)&gt;0,$E$1=2),0,1)</f>
        <v>1</v>
      </c>
      <c r="AH183" s="67">
        <f ca="1">IF(AND(SUMIF(Capacity_Resource,$D183,'Critical resources (hide)'!AU$6:AU$105)+SUMIF(Capacity_Resource,$E183,'Critical resources (hide)'!AU$6:AU$105)+SUMIF(Capacity_Resource,$F183,'Critical resources (hide)'!AU$6:AU$105)&gt;0,$E$1=2),0,1)</f>
        <v>1</v>
      </c>
      <c r="AI183" s="67">
        <f ca="1">IF(AND(SUMIF(Capacity_Resource,$D183,'Critical resources (hide)'!AV$6:AV$105)+SUMIF(Capacity_Resource,$E183,'Critical resources (hide)'!AV$6:AV$105)+SUMIF(Capacity_Resource,$F183,'Critical resources (hide)'!AV$6:AV$105)&gt;0,$E$1=2),0,1)</f>
        <v>1</v>
      </c>
      <c r="AJ183" s="67">
        <f ca="1">IF(AND(SUMIF(Capacity_Resource,$D183,'Critical resources (hide)'!AW$6:AW$105)+SUMIF(Capacity_Resource,$E183,'Critical resources (hide)'!AW$6:AW$105)+SUMIF(Capacity_Resource,$F183,'Critical resources (hide)'!AW$6:AW$105)&gt;0,$E$1=2),0,1)</f>
        <v>1</v>
      </c>
      <c r="AK183" s="67">
        <f ca="1">IF(AND(SUMIF(Capacity_Resource,$D183,'Critical resources (hide)'!AX$6:AX$105)+SUMIF(Capacity_Resource,$E183,'Critical resources (hide)'!AX$6:AX$105)+SUMIF(Capacity_Resource,$F183,'Critical resources (hide)'!AX$6:AX$105)&gt;0,$E$1=2),0,1)</f>
        <v>1</v>
      </c>
      <c r="AL183" s="67">
        <f ca="1">IF(AND(SUMIF(Capacity_Resource,$D183,'Critical resources (hide)'!AY$6:AY$105)+SUMIF(Capacity_Resource,$E183,'Critical resources (hide)'!AY$6:AY$105)+SUMIF(Capacity_Resource,$F183,'Critical resources (hide)'!AY$6:AY$105)&gt;0,$E$1=2),0,1)</f>
        <v>1</v>
      </c>
      <c r="AM183" s="67">
        <f ca="1">IF(AND(SUMIF(Capacity_Resource,$D183,'Critical resources (hide)'!AZ$6:AZ$105)+SUMIF(Capacity_Resource,$E183,'Critical resources (hide)'!AZ$6:AZ$105)+SUMIF(Capacity_Resource,$F183,'Critical resources (hide)'!AZ$6:AZ$105)&gt;0,$E$1=2),0,1)</f>
        <v>1</v>
      </c>
      <c r="AN183" s="67">
        <f ca="1">IF(AND(SUMIF(Capacity_Resource,$D183,'Critical resources (hide)'!BA$6:BA$105)+SUMIF(Capacity_Resource,$E183,'Critical resources (hide)'!BA$6:BA$105)+SUMIF(Capacity_Resource,$F183,'Critical resources (hide)'!BA$6:BA$105)&gt;0,$E$1=2),0,1)</f>
        <v>1</v>
      </c>
      <c r="AO183" s="67">
        <f ca="1">IF(AND(SUMIF(Capacity_Resource,$D183,'Critical resources (hide)'!BB$6:BB$105)+SUMIF(Capacity_Resource,$E183,'Critical resources (hide)'!BB$6:BB$105)+SUMIF(Capacity_Resource,$F183,'Critical resources (hide)'!BB$6:BB$105)&gt;0,$E$1=2),0,1)</f>
        <v>1</v>
      </c>
      <c r="AP183" s="67">
        <f ca="1">IF(AND(SUMIF(Capacity_Resource,$D183,'Critical resources (hide)'!BC$6:BC$105)+SUMIF(Capacity_Resource,$E183,'Critical resources (hide)'!BC$6:BC$105)+SUMIF(Capacity_Resource,$F183,'Critical resources (hide)'!BC$6:BC$105)&gt;0,$E$1=2),0,1)</f>
        <v>1</v>
      </c>
      <c r="AQ183" s="67">
        <f ca="1">IF(AND(SUMIF(Capacity_Resource,$D183,'Critical resources (hide)'!BD$6:BD$105)+SUMIF(Capacity_Resource,$E183,'Critical resources (hide)'!BD$6:BD$105)+SUMIF(Capacity_Resource,$F183,'Critical resources (hide)'!BD$6:BD$105)&gt;0,$E$1=2),0,1)</f>
        <v>1</v>
      </c>
      <c r="AR183" s="67">
        <f ca="1">IF(AND(SUMIF(Capacity_Resource,$D183,'Critical resources (hide)'!BE$6:BE$105)+SUMIF(Capacity_Resource,$E183,'Critical resources (hide)'!BE$6:BE$105)+SUMIF(Capacity_Resource,$F183,'Critical resources (hide)'!BE$6:BE$105)&gt;0,$E$1=2),0,1)</f>
        <v>1</v>
      </c>
      <c r="AS183" s="67">
        <f ca="1">IF(AND(SUMIF(Capacity_Resource,$D183,'Critical resources (hide)'!BF$6:BF$105)+SUMIF(Capacity_Resource,$E183,'Critical resources (hide)'!BF$6:BF$105)+SUMIF(Capacity_Resource,$F183,'Critical resources (hide)'!BF$6:BF$105)&gt;0,$E$1=2),0,1)</f>
        <v>1</v>
      </c>
      <c r="AT183" s="67">
        <f ca="1">IF(AND(SUMIF(Capacity_Resource,$D183,'Critical resources (hide)'!BG$6:BG$105)+SUMIF(Capacity_Resource,$E183,'Critical resources (hide)'!BG$6:BG$105)+SUMIF(Capacity_Resource,$F183,'Critical resources (hide)'!BG$6:BG$105)&gt;0,$E$1=2),0,1)</f>
        <v>1</v>
      </c>
      <c r="AU183" s="67">
        <f ca="1">IF(AND(SUMIF(Capacity_Resource,$D183,'Critical resources (hide)'!BH$6:BH$105)+SUMIF(Capacity_Resource,$E183,'Critical resources (hide)'!BH$6:BH$105)+SUMIF(Capacity_Resource,$F183,'Critical resources (hide)'!BH$6:BH$105)&gt;0,$E$1=2),0,1)</f>
        <v>1</v>
      </c>
      <c r="AV183" s="67">
        <f ca="1">IF(AND(SUMIF(Capacity_Resource,$D183,'Critical resources (hide)'!BI$6:BI$105)+SUMIF(Capacity_Resource,$E183,'Critical resources (hide)'!BI$6:BI$105)+SUMIF(Capacity_Resource,$F183,'Critical resources (hide)'!BI$6:BI$105)&gt;0,$E$1=2),0,1)</f>
        <v>1</v>
      </c>
      <c r="AW183" s="67">
        <f ca="1">IF(AND(SUMIF(Capacity_Resource,$D183,'Critical resources (hide)'!BJ$6:BJ$105)+SUMIF(Capacity_Resource,$E183,'Critical resources (hide)'!BJ$6:BJ$105)+SUMIF(Capacity_Resource,$F183,'Critical resources (hide)'!BJ$6:BJ$105)&gt;0,$E$1=2),0,1)</f>
        <v>1</v>
      </c>
      <c r="AX183" s="67">
        <f ca="1">IF(AND(SUMIF(Capacity_Resource,$D183,'Critical resources (hide)'!BK$6:BK$105)+SUMIF(Capacity_Resource,$E183,'Critical resources (hide)'!BK$6:BK$105)+SUMIF(Capacity_Resource,$F183,'Critical resources (hide)'!BK$6:BK$105)&gt;0,$E$1=2),0,1)</f>
        <v>1</v>
      </c>
      <c r="AY183" s="67">
        <f ca="1">IF(AND(SUMIF(Capacity_Resource,$D183,'Critical resources (hide)'!BL$6:BL$105)+SUMIF(Capacity_Resource,$E183,'Critical resources (hide)'!BL$6:BL$105)+SUMIF(Capacity_Resource,$F183,'Critical resources (hide)'!BL$6:BL$105)&gt;0,$E$1=2),0,1)</f>
        <v>1</v>
      </c>
      <c r="AZ183" s="67">
        <f ca="1">IF(AND(SUMIF(Capacity_Resource,$D183,'Critical resources (hide)'!BM$6:BM$105)+SUMIF(Capacity_Resource,$E183,'Critical resources (hide)'!BM$6:BM$105)+SUMIF(Capacity_Resource,$F183,'Critical resources (hide)'!BM$6:BM$105)&gt;0,$E$1=2),0,1)</f>
        <v>1</v>
      </c>
      <c r="BA183" s="67">
        <f ca="1">IF(AND(SUMIF(Capacity_Resource,$D183,'Critical resources (hide)'!BN$6:BN$105)+SUMIF(Capacity_Resource,$E183,'Critical resources (hide)'!BN$6:BN$105)+SUMIF(Capacity_Resource,$F183,'Critical resources (hide)'!BN$6:BN$105)&gt;0,$E$1=2),0,1)</f>
        <v>1</v>
      </c>
      <c r="BB183" s="67">
        <f ca="1">IF(AND(SUMIF(Capacity_Resource,$D183,'Critical resources (hide)'!BO$6:BO$105)+SUMIF(Capacity_Resource,$E183,'Critical resources (hide)'!BO$6:BO$105)+SUMIF(Capacity_Resource,$F183,'Critical resources (hide)'!BO$6:BO$105)&gt;0,$E$1=2),0,1)</f>
        <v>1</v>
      </c>
      <c r="BC183" s="67">
        <f ca="1">IF(AND(SUMIF(Capacity_Resource,$D183,'Critical resources (hide)'!BP$6:BP$105)+SUMIF(Capacity_Resource,$E183,'Critical resources (hide)'!BP$6:BP$105)+SUMIF(Capacity_Resource,$F183,'Critical resources (hide)'!BP$6:BP$105)&gt;0,$E$1=2),0,1)</f>
        <v>1</v>
      </c>
      <c r="BD183" s="67">
        <f ca="1">IF(AND(SUMIF(Capacity_Resource,$D183,'Critical resources (hide)'!BQ$6:BQ$105)+SUMIF(Capacity_Resource,$E183,'Critical resources (hide)'!BQ$6:BQ$105)+SUMIF(Capacity_Resource,$F183,'Critical resources (hide)'!BQ$6:BQ$105)&gt;0,$E$1=2),0,1)</f>
        <v>1</v>
      </c>
      <c r="BE183" s="67">
        <f ca="1">IF(AND(SUMIF(Capacity_Resource,$D183,'Critical resources (hide)'!BR$6:BR$105)+SUMIF(Capacity_Resource,$E183,'Critical resources (hide)'!BR$6:BR$105)+SUMIF(Capacity_Resource,$F183,'Critical resources (hide)'!BR$6:BR$105)&gt;0,$E$1=2),0,1)</f>
        <v>1</v>
      </c>
      <c r="BF183" s="67">
        <f ca="1">IF(AND(SUMIF(Capacity_Resource,$D183,'Critical resources (hide)'!BS$6:BS$105)+SUMIF(Capacity_Resource,$E183,'Critical resources (hide)'!BS$6:BS$105)+SUMIF(Capacity_Resource,$F183,'Critical resources (hide)'!BS$6:BS$105)&gt;0,$E$1=2),0,1)</f>
        <v>1</v>
      </c>
      <c r="BG183" s="67">
        <f ca="1">IF(AND(SUMIF(Capacity_Resource,$D183,'Critical resources (hide)'!BT$6:BT$105)+SUMIF(Capacity_Resource,$E183,'Critical resources (hide)'!BT$6:BT$105)+SUMIF(Capacity_Resource,$F183,'Critical resources (hide)'!BT$6:BT$105)&gt;0,$E$1=2),0,1)</f>
        <v>1</v>
      </c>
      <c r="BH183" s="67">
        <f>IF(ROW(A72)&lt;=Capacity!$M$16,IF('Capacity summary'!$C$14="No",SUM(H183:BG183),'Capacity summary'!$E95),0)</f>
        <v>0</v>
      </c>
      <c r="BI183" s="67" t="str">
        <f>IF(BH183&gt;0,IF(BH183&lt;Capacity!Q88,Capacity!R88,Capacity!T88/'Capacity calculation (hide)'!BH183),"")</f>
        <v/>
      </c>
      <c r="BJ183" s="5"/>
      <c r="BK183" s="5">
        <f>IF($BI183&lt;&gt;"",IF('Capacity summary'!$C$14="Yes",IF(COUNTBLANK('Capacity summary'!$H95:$BG95)&lt;52,IF('Capacity summary'!H95&lt;&gt;"",IF(LOWER('Capacity summary'!H95)="x",$BI183*H183,VALUE('Capacity summary'!H95)),0),H183*$BI183),H183*$BI183),0)</f>
        <v>0</v>
      </c>
      <c r="BL183" s="5">
        <f>IF($BI183&lt;&gt;"",IF('Capacity summary'!$C$14="Yes",IF(COUNTBLANK('Capacity summary'!$H95:$BG95)&lt;52,IF('Capacity summary'!I95&lt;&gt;"",IF(LOWER('Capacity summary'!I95)="x",$BI183*I183,VALUE('Capacity summary'!I95)),0),I183*$BI183),I183*$BI183),0)</f>
        <v>0</v>
      </c>
      <c r="BM183" s="5">
        <f>IF($BI183&lt;&gt;"",IF('Capacity summary'!$C$14="Yes",IF(COUNTBLANK('Capacity summary'!$H95:$BG95)&lt;52,IF('Capacity summary'!J95&lt;&gt;"",IF(LOWER('Capacity summary'!J95)="x",$BI183*J183,VALUE('Capacity summary'!J95)),0),J183*$BI183),J183*$BI183),0)</f>
        <v>0</v>
      </c>
      <c r="BN183" s="5">
        <f>IF($BI183&lt;&gt;"",IF('Capacity summary'!$C$14="Yes",IF(COUNTBLANK('Capacity summary'!$H95:$BG95)&lt;52,IF('Capacity summary'!K95&lt;&gt;"",IF(LOWER('Capacity summary'!K95)="x",$BI183*K183,VALUE('Capacity summary'!K95)),0),K183*$BI183),K183*$BI183),0)</f>
        <v>0</v>
      </c>
      <c r="BO183" s="5">
        <f>IF($BI183&lt;&gt;"",IF('Capacity summary'!$C$14="Yes",IF(COUNTBLANK('Capacity summary'!$H95:$BG95)&lt;52,IF('Capacity summary'!L95&lt;&gt;"",IF(LOWER('Capacity summary'!L95)="x",$BI183*L183,VALUE('Capacity summary'!L95)),0),L183*$BI183),L183*$BI183),0)</f>
        <v>0</v>
      </c>
      <c r="BP183" s="5">
        <f>IF($BI183&lt;&gt;"",IF('Capacity summary'!$C$14="Yes",IF(COUNTBLANK('Capacity summary'!$H95:$BG95)&lt;52,IF('Capacity summary'!M95&lt;&gt;"",IF(LOWER('Capacity summary'!M95)="x",$BI183*M183,VALUE('Capacity summary'!M95)),0),M183*$BI183),M183*$BI183),0)</f>
        <v>0</v>
      </c>
      <c r="BQ183" s="5">
        <f>IF($BI183&lt;&gt;"",IF('Capacity summary'!$C$14="Yes",IF(COUNTBLANK('Capacity summary'!$H95:$BG95)&lt;52,IF('Capacity summary'!N95&lt;&gt;"",IF(LOWER('Capacity summary'!N95)="x",$BI183*N183,VALUE('Capacity summary'!N95)),0),N183*$BI183),N183*$BI183),0)</f>
        <v>0</v>
      </c>
      <c r="BR183" s="5">
        <f>IF($BI183&lt;&gt;"",IF('Capacity summary'!$C$14="Yes",IF(COUNTBLANK('Capacity summary'!$H95:$BG95)&lt;52,IF('Capacity summary'!O95&lt;&gt;"",IF(LOWER('Capacity summary'!O95)="x",$BI183*O183,VALUE('Capacity summary'!O95)),0),O183*$BI183),O183*$BI183),0)</f>
        <v>0</v>
      </c>
      <c r="BS183" s="5">
        <f>IF($BI183&lt;&gt;"",IF('Capacity summary'!$C$14="Yes",IF(COUNTBLANK('Capacity summary'!$H95:$BG95)&lt;52,IF('Capacity summary'!P95&lt;&gt;"",IF(LOWER('Capacity summary'!P95)="x",$BI183*P183,VALUE('Capacity summary'!P95)),0),P183*$BI183),P183*$BI183),0)</f>
        <v>0</v>
      </c>
      <c r="BT183" s="5">
        <f>IF($BI183&lt;&gt;"",IF('Capacity summary'!$C$14="Yes",IF(COUNTBLANK('Capacity summary'!$H95:$BG95)&lt;52,IF('Capacity summary'!Q95&lt;&gt;"",IF(LOWER('Capacity summary'!Q95)="x",$BI183*Q183,VALUE('Capacity summary'!Q95)),0),Q183*$BI183),Q183*$BI183),0)</f>
        <v>0</v>
      </c>
      <c r="BU183" s="5">
        <f>IF($BI183&lt;&gt;"",IF('Capacity summary'!$C$14="Yes",IF(COUNTBLANK('Capacity summary'!$H95:$BG95)&lt;52,IF('Capacity summary'!R95&lt;&gt;"",IF(LOWER('Capacity summary'!R95)="x",$BI183*R183,VALUE('Capacity summary'!R95)),0),R183*$BI183),R183*$BI183),0)</f>
        <v>0</v>
      </c>
      <c r="BV183" s="5">
        <f>IF($BI183&lt;&gt;"",IF('Capacity summary'!$C$14="Yes",IF(COUNTBLANK('Capacity summary'!$H95:$BG95)&lt;52,IF('Capacity summary'!S95&lt;&gt;"",IF(LOWER('Capacity summary'!S95)="x",$BI183*S183,VALUE('Capacity summary'!S95)),0),S183*$BI183),S183*$BI183),0)</f>
        <v>0</v>
      </c>
      <c r="BW183" s="5">
        <f>IF($BI183&lt;&gt;"",IF('Capacity summary'!$C$14="Yes",IF(COUNTBLANK('Capacity summary'!$H95:$BG95)&lt;52,IF('Capacity summary'!T95&lt;&gt;"",IF(LOWER('Capacity summary'!T95)="x",$BI183*T183,VALUE('Capacity summary'!T95)),0),T183*$BI183),T183*$BI183),0)</f>
        <v>0</v>
      </c>
      <c r="BX183" s="5">
        <f>IF($BI183&lt;&gt;"",IF('Capacity summary'!$C$14="Yes",IF(COUNTBLANK('Capacity summary'!$H95:$BG95)&lt;52,IF('Capacity summary'!U95&lt;&gt;"",IF(LOWER('Capacity summary'!U95)="x",$BI183*U183,VALUE('Capacity summary'!U95)),0),U183*$BI183),U183*$BI183),0)</f>
        <v>0</v>
      </c>
      <c r="BY183" s="5">
        <f>IF($BI183&lt;&gt;"",IF('Capacity summary'!$C$14="Yes",IF(COUNTBLANK('Capacity summary'!$H95:$BG95)&lt;52,IF('Capacity summary'!V95&lt;&gt;"",IF(LOWER('Capacity summary'!V95)="x",$BI183*V183,VALUE('Capacity summary'!V95)),0),V183*$BI183),V183*$BI183),0)</f>
        <v>0</v>
      </c>
      <c r="BZ183" s="5">
        <f>IF($BI183&lt;&gt;"",IF('Capacity summary'!$C$14="Yes",IF(COUNTBLANK('Capacity summary'!$H95:$BG95)&lt;52,IF('Capacity summary'!W95&lt;&gt;"",IF(LOWER('Capacity summary'!W95)="x",$BI183*W183,VALUE('Capacity summary'!W95)),0),W183*$BI183),W183*$BI183),0)</f>
        <v>0</v>
      </c>
      <c r="CA183" s="5">
        <f>IF($BI183&lt;&gt;"",IF('Capacity summary'!$C$14="Yes",IF(COUNTBLANK('Capacity summary'!$H95:$BG95)&lt;52,IF('Capacity summary'!X95&lt;&gt;"",IF(LOWER('Capacity summary'!X95)="x",$BI183*X183,VALUE('Capacity summary'!X95)),0),X183*$BI183),X183*$BI183),0)</f>
        <v>0</v>
      </c>
      <c r="CB183" s="5">
        <f>IF($BI183&lt;&gt;"",IF('Capacity summary'!$C$14="Yes",IF(COUNTBLANK('Capacity summary'!$H95:$BG95)&lt;52,IF('Capacity summary'!Y95&lt;&gt;"",IF(LOWER('Capacity summary'!Y95)="x",$BI183*Y183,VALUE('Capacity summary'!Y95)),0),Y183*$BI183),Y183*$BI183),0)</f>
        <v>0</v>
      </c>
      <c r="CC183" s="5">
        <f>IF($BI183&lt;&gt;"",IF('Capacity summary'!$C$14="Yes",IF(COUNTBLANK('Capacity summary'!$H95:$BG95)&lt;52,IF('Capacity summary'!Z95&lt;&gt;"",IF(LOWER('Capacity summary'!Z95)="x",$BI183*Z183,VALUE('Capacity summary'!Z95)),0),Z183*$BI183),Z183*$BI183),0)</f>
        <v>0</v>
      </c>
      <c r="CD183" s="5">
        <f>IF($BI183&lt;&gt;"",IF('Capacity summary'!$C$14="Yes",IF(COUNTBLANK('Capacity summary'!$H95:$BG95)&lt;52,IF('Capacity summary'!AA95&lt;&gt;"",IF(LOWER('Capacity summary'!AA95)="x",$BI183*AA183,VALUE('Capacity summary'!AA95)),0),AA183*$BI183),AA183*$BI183),0)</f>
        <v>0</v>
      </c>
      <c r="CE183" s="5">
        <f>IF($BI183&lt;&gt;"",IF('Capacity summary'!$C$14="Yes",IF(COUNTBLANK('Capacity summary'!$H95:$BG95)&lt;52,IF('Capacity summary'!AB95&lt;&gt;"",IF(LOWER('Capacity summary'!AB95)="x",$BI183*AB183,VALUE('Capacity summary'!AB95)),0),AB183*$BI183),AB183*$BI183),0)</f>
        <v>0</v>
      </c>
      <c r="CF183" s="5">
        <f>IF($BI183&lt;&gt;"",IF('Capacity summary'!$C$14="Yes",IF(COUNTBLANK('Capacity summary'!$H95:$BG95)&lt;52,IF('Capacity summary'!AC95&lt;&gt;"",IF(LOWER('Capacity summary'!AC95)="x",$BI183*AC183,VALUE('Capacity summary'!AC95)),0),AC183*$BI183),AC183*$BI183),0)</f>
        <v>0</v>
      </c>
      <c r="CG183" s="5">
        <f>IF($BI183&lt;&gt;"",IF('Capacity summary'!$C$14="Yes",IF(COUNTBLANK('Capacity summary'!$H95:$BG95)&lt;52,IF('Capacity summary'!AD95&lt;&gt;"",IF(LOWER('Capacity summary'!AD95)="x",$BI183*AD183,VALUE('Capacity summary'!AD95)),0),AD183*$BI183),AD183*$BI183),0)</f>
        <v>0</v>
      </c>
      <c r="CH183" s="5">
        <f>IF($BI183&lt;&gt;"",IF('Capacity summary'!$C$14="Yes",IF(COUNTBLANK('Capacity summary'!$H95:$BG95)&lt;52,IF('Capacity summary'!AE95&lt;&gt;"",IF(LOWER('Capacity summary'!AE95)="x",$BI183*AE183,VALUE('Capacity summary'!AE95)),0),AE183*$BI183),AE183*$BI183),0)</f>
        <v>0</v>
      </c>
      <c r="CI183" s="5">
        <f>IF($BI183&lt;&gt;"",IF('Capacity summary'!$C$14="Yes",IF(COUNTBLANK('Capacity summary'!$H95:$BG95)&lt;52,IF('Capacity summary'!AF95&lt;&gt;"",IF(LOWER('Capacity summary'!AF95)="x",$BI183*AF183,VALUE('Capacity summary'!AF95)),0),AF183*$BI183),AF183*$BI183),0)</f>
        <v>0</v>
      </c>
      <c r="CJ183" s="5">
        <f>IF($BI183&lt;&gt;"",IF('Capacity summary'!$C$14="Yes",IF(COUNTBLANK('Capacity summary'!$H95:$BG95)&lt;52,IF('Capacity summary'!AG95&lt;&gt;"",IF(LOWER('Capacity summary'!AG95)="x",$BI183*AG183,VALUE('Capacity summary'!AG95)),0),AG183*$BI183),AG183*$BI183),0)</f>
        <v>0</v>
      </c>
      <c r="CK183" s="5">
        <f>IF($BI183&lt;&gt;"",IF('Capacity summary'!$C$14="Yes",IF(COUNTBLANK('Capacity summary'!$H95:$BG95)&lt;52,IF('Capacity summary'!AH95&lt;&gt;"",IF(LOWER('Capacity summary'!AH95)="x",$BI183*AH183,VALUE('Capacity summary'!AH95)),0),AH183*$BI183),AH183*$BI183),0)</f>
        <v>0</v>
      </c>
      <c r="CL183" s="5">
        <f>IF($BI183&lt;&gt;"",IF('Capacity summary'!$C$14="Yes",IF(COUNTBLANK('Capacity summary'!$H95:$BG95)&lt;52,IF('Capacity summary'!AI95&lt;&gt;"",IF(LOWER('Capacity summary'!AI95)="x",$BI183*AI183,VALUE('Capacity summary'!AI95)),0),AI183*$BI183),AI183*$BI183),0)</f>
        <v>0</v>
      </c>
      <c r="CM183" s="5">
        <f>IF($BI183&lt;&gt;"",IF('Capacity summary'!$C$14="Yes",IF(COUNTBLANK('Capacity summary'!$H95:$BG95)&lt;52,IF('Capacity summary'!AJ95&lt;&gt;"",IF(LOWER('Capacity summary'!AJ95)="x",$BI183*AJ183,VALUE('Capacity summary'!AJ95)),0),AJ183*$BI183),AJ183*$BI183),0)</f>
        <v>0</v>
      </c>
      <c r="CN183" s="5">
        <f>IF($BI183&lt;&gt;"",IF('Capacity summary'!$C$14="Yes",IF(COUNTBLANK('Capacity summary'!$H95:$BG95)&lt;52,IF('Capacity summary'!AK95&lt;&gt;"",IF(LOWER('Capacity summary'!AK95)="x",$BI183*AK183,VALUE('Capacity summary'!AK95)),0),AK183*$BI183),AK183*$BI183),0)</f>
        <v>0</v>
      </c>
      <c r="CO183" s="5">
        <f>IF($BI183&lt;&gt;"",IF('Capacity summary'!$C$14="Yes",IF(COUNTBLANK('Capacity summary'!$H95:$BG95)&lt;52,IF('Capacity summary'!AL95&lt;&gt;"",IF(LOWER('Capacity summary'!AL95)="x",$BI183*AL183,VALUE('Capacity summary'!AL95)),0),AL183*$BI183),AL183*$BI183),0)</f>
        <v>0</v>
      </c>
      <c r="CP183" s="5">
        <f>IF($BI183&lt;&gt;"",IF('Capacity summary'!$C$14="Yes",IF(COUNTBLANK('Capacity summary'!$H95:$BG95)&lt;52,IF('Capacity summary'!AM95&lt;&gt;"",IF(LOWER('Capacity summary'!AM95)="x",$BI183*AM183,VALUE('Capacity summary'!AM95)),0),AM183*$BI183),AM183*$BI183),0)</f>
        <v>0</v>
      </c>
      <c r="CQ183" s="5">
        <f>IF($BI183&lt;&gt;"",IF('Capacity summary'!$C$14="Yes",IF(COUNTBLANK('Capacity summary'!$H95:$BG95)&lt;52,IF('Capacity summary'!AN95&lt;&gt;"",IF(LOWER('Capacity summary'!AN95)="x",$BI183*AN183,VALUE('Capacity summary'!AN95)),0),AN183*$BI183),AN183*$BI183),0)</f>
        <v>0</v>
      </c>
      <c r="CR183" s="5">
        <f>IF($BI183&lt;&gt;"",IF('Capacity summary'!$C$14="Yes",IF(COUNTBLANK('Capacity summary'!$H95:$BG95)&lt;52,IF('Capacity summary'!AO95&lt;&gt;"",IF(LOWER('Capacity summary'!AO95)="x",$BI183*AO183,VALUE('Capacity summary'!AO95)),0),AO183*$BI183),AO183*$BI183),0)</f>
        <v>0</v>
      </c>
      <c r="CS183" s="5">
        <f>IF($BI183&lt;&gt;"",IF('Capacity summary'!$C$14="Yes",IF(COUNTBLANK('Capacity summary'!$H95:$BG95)&lt;52,IF('Capacity summary'!AP95&lt;&gt;"",IF(LOWER('Capacity summary'!AP95)="x",$BI183*AP183,VALUE('Capacity summary'!AP95)),0),AP183*$BI183),AP183*$BI183),0)</f>
        <v>0</v>
      </c>
      <c r="CT183" s="5">
        <f>IF($BI183&lt;&gt;"",IF('Capacity summary'!$C$14="Yes",IF(COUNTBLANK('Capacity summary'!$H95:$BG95)&lt;52,IF('Capacity summary'!AQ95&lt;&gt;"",IF(LOWER('Capacity summary'!AQ95)="x",$BI183*AQ183,VALUE('Capacity summary'!AQ95)),0),AQ183*$BI183),AQ183*$BI183),0)</f>
        <v>0</v>
      </c>
      <c r="CU183" s="5">
        <f>IF($BI183&lt;&gt;"",IF('Capacity summary'!$C$14="Yes",IF(COUNTBLANK('Capacity summary'!$H95:$BG95)&lt;52,IF('Capacity summary'!AR95&lt;&gt;"",IF(LOWER('Capacity summary'!AR95)="x",$BI183*AR183,VALUE('Capacity summary'!AR95)),0),AR183*$BI183),AR183*$BI183),0)</f>
        <v>0</v>
      </c>
      <c r="CV183" s="5">
        <f>IF($BI183&lt;&gt;"",IF('Capacity summary'!$C$14="Yes",IF(COUNTBLANK('Capacity summary'!$H95:$BG95)&lt;52,IF('Capacity summary'!AS95&lt;&gt;"",IF(LOWER('Capacity summary'!AS95)="x",$BI183*AS183,VALUE('Capacity summary'!AS95)),0),AS183*$BI183),AS183*$BI183),0)</f>
        <v>0</v>
      </c>
      <c r="CW183" s="5">
        <f>IF($BI183&lt;&gt;"",IF('Capacity summary'!$C$14="Yes",IF(COUNTBLANK('Capacity summary'!$H95:$BG95)&lt;52,IF('Capacity summary'!AT95&lt;&gt;"",IF(LOWER('Capacity summary'!AT95)="x",$BI183*AT183,VALUE('Capacity summary'!AT95)),0),AT183*$BI183),AT183*$BI183),0)</f>
        <v>0</v>
      </c>
      <c r="CX183" s="5">
        <f>IF($BI183&lt;&gt;"",IF('Capacity summary'!$C$14="Yes",IF(COUNTBLANK('Capacity summary'!$H95:$BG95)&lt;52,IF('Capacity summary'!AU95&lt;&gt;"",IF(LOWER('Capacity summary'!AU95)="x",$BI183*AU183,VALUE('Capacity summary'!AU95)),0),AU183*$BI183),AU183*$BI183),0)</f>
        <v>0</v>
      </c>
      <c r="CY183" s="5">
        <f>IF($BI183&lt;&gt;"",IF('Capacity summary'!$C$14="Yes",IF(COUNTBLANK('Capacity summary'!$H95:$BG95)&lt;52,IF('Capacity summary'!AV95&lt;&gt;"",IF(LOWER('Capacity summary'!AV95)="x",$BI183*AV183,VALUE('Capacity summary'!AV95)),0),AV183*$BI183),AV183*$BI183),0)</f>
        <v>0</v>
      </c>
      <c r="CZ183" s="5">
        <f>IF($BI183&lt;&gt;"",IF('Capacity summary'!$C$14="Yes",IF(COUNTBLANK('Capacity summary'!$H95:$BG95)&lt;52,IF('Capacity summary'!AW95&lt;&gt;"",IF(LOWER('Capacity summary'!AW95)="x",$BI183*AW183,VALUE('Capacity summary'!AW95)),0),AW183*$BI183),AW183*$BI183),0)</f>
        <v>0</v>
      </c>
      <c r="DA183" s="5">
        <f>IF($BI183&lt;&gt;"",IF('Capacity summary'!$C$14="Yes",IF(COUNTBLANK('Capacity summary'!$H95:$BG95)&lt;52,IF('Capacity summary'!AX95&lt;&gt;"",IF(LOWER('Capacity summary'!AX95)="x",$BI183*AX183,VALUE('Capacity summary'!AX95)),0),AX183*$BI183),AX183*$BI183),0)</f>
        <v>0</v>
      </c>
      <c r="DB183" s="5">
        <f>IF($BI183&lt;&gt;"",IF('Capacity summary'!$C$14="Yes",IF(COUNTBLANK('Capacity summary'!$H95:$BG95)&lt;52,IF('Capacity summary'!AY95&lt;&gt;"",IF(LOWER('Capacity summary'!AY95)="x",$BI183*AY183,VALUE('Capacity summary'!AY95)),0),AY183*$BI183),AY183*$BI183),0)</f>
        <v>0</v>
      </c>
      <c r="DC183" s="5">
        <f>IF($BI183&lt;&gt;"",IF('Capacity summary'!$C$14="Yes",IF(COUNTBLANK('Capacity summary'!$H95:$BG95)&lt;52,IF('Capacity summary'!AZ95&lt;&gt;"",IF(LOWER('Capacity summary'!AZ95)="x",$BI183*AZ183,VALUE('Capacity summary'!AZ95)),0),AZ183*$BI183),AZ183*$BI183),0)</f>
        <v>0</v>
      </c>
      <c r="DD183" s="5">
        <f>IF($BI183&lt;&gt;"",IF('Capacity summary'!$C$14="Yes",IF(COUNTBLANK('Capacity summary'!$H95:$BG95)&lt;52,IF('Capacity summary'!BA95&lt;&gt;"",IF(LOWER('Capacity summary'!BA95)="x",$BI183*BA183,VALUE('Capacity summary'!BA95)),0),BA183*$BI183),BA183*$BI183),0)</f>
        <v>0</v>
      </c>
      <c r="DE183" s="5">
        <f>IF($BI183&lt;&gt;"",IF('Capacity summary'!$C$14="Yes",IF(COUNTBLANK('Capacity summary'!$H95:$BG95)&lt;52,IF('Capacity summary'!BB95&lt;&gt;"",IF(LOWER('Capacity summary'!BB95)="x",$BI183*BB183,VALUE('Capacity summary'!BB95)),0),BB183*$BI183),BB183*$BI183),0)</f>
        <v>0</v>
      </c>
      <c r="DF183" s="5">
        <f>IF($BI183&lt;&gt;"",IF('Capacity summary'!$C$14="Yes",IF(COUNTBLANK('Capacity summary'!$H95:$BG95)&lt;52,IF('Capacity summary'!BC95&lt;&gt;"",IF(LOWER('Capacity summary'!BC95)="x",$BI183*BC183,VALUE('Capacity summary'!BC95)),0),BC183*$BI183),BC183*$BI183),0)</f>
        <v>0</v>
      </c>
      <c r="DG183" s="5">
        <f>IF($BI183&lt;&gt;"",IF('Capacity summary'!$C$14="Yes",IF(COUNTBLANK('Capacity summary'!$H95:$BG95)&lt;52,IF('Capacity summary'!BD95&lt;&gt;"",IF(LOWER('Capacity summary'!BD95)="x",$BI183*BD183,VALUE('Capacity summary'!BD95)),0),BD183*$BI183),BD183*$BI183),0)</f>
        <v>0</v>
      </c>
      <c r="DH183" s="5">
        <f>IF($BI183&lt;&gt;"",IF('Capacity summary'!$C$14="Yes",IF(COUNTBLANK('Capacity summary'!$H95:$BG95)&lt;52,IF('Capacity summary'!BE95&lt;&gt;"",IF(LOWER('Capacity summary'!BE95)="x",$BI183*BE183,VALUE('Capacity summary'!BE95)),0),BE183*$BI183),BE183*$BI183),0)</f>
        <v>0</v>
      </c>
      <c r="DI183" s="5">
        <f>IF($BI183&lt;&gt;"",IF('Capacity summary'!$C$14="Yes",IF(COUNTBLANK('Capacity summary'!$H95:$BG95)&lt;52,IF('Capacity summary'!BF95&lt;&gt;"",IF(LOWER('Capacity summary'!BF95)="x",$BI183*BF183,VALUE('Capacity summary'!BF95)),0),BF183*$BI183),BF183*$BI183),0)</f>
        <v>0</v>
      </c>
      <c r="DJ183" s="5">
        <f>IF($BI183&lt;&gt;"",IF('Capacity summary'!$C$14="Yes",IF(COUNTBLANK('Capacity summary'!$H95:$BG95)&lt;52,IF('Capacity summary'!BG95&lt;&gt;"",IF(LOWER('Capacity summary'!BG95)="x",$BI183*BG183,VALUE('Capacity summary'!BG95)),0),BG183*$BI183),BG183*$BI183),0)</f>
        <v>0</v>
      </c>
      <c r="DK183" s="5">
        <f t="shared" ref="DK183" si="77">SUM(DK184:DK283)</f>
        <v>0</v>
      </c>
    </row>
    <row r="184" spans="3:115" x14ac:dyDescent="0.25">
      <c r="C184" s="67" t="str">
        <f>ROW(A73)&amp;". "&amp;Capacity!N89</f>
        <v xml:space="preserve">73. </v>
      </c>
      <c r="D184" s="67">
        <f>'Capacity setup'!C190</f>
        <v>0</v>
      </c>
      <c r="E184" s="67">
        <f>'Capacity setup'!D190</f>
        <v>0</v>
      </c>
      <c r="F184" s="67">
        <f>'Capacity setup'!E190</f>
        <v>0</v>
      </c>
      <c r="H184" s="67">
        <f ca="1">IF(AND(SUMIF(Capacity_Resource,$D184,'Critical resources (hide)'!U$6:U$105)+SUMIF(Capacity_Resource,$E184,'Critical resources (hide)'!U$6:U$105)+SUMIF(Capacity_Resource,$F184,'Critical resources (hide)'!U$6:U$105)&gt;0,$E$1=2),0,1)</f>
        <v>1</v>
      </c>
      <c r="I184" s="67">
        <f ca="1">IF(AND(SUMIF(Capacity_Resource,$D184,'Critical resources (hide)'!V$6:V$105)+SUMIF(Capacity_Resource,$E184,'Critical resources (hide)'!V$6:V$105)+SUMIF(Capacity_Resource,$F184,'Critical resources (hide)'!V$6:V$105)&gt;0,$E$1=2),0,1)</f>
        <v>1</v>
      </c>
      <c r="J184" s="67">
        <f ca="1">IF(AND(SUMIF(Capacity_Resource,$D184,'Critical resources (hide)'!W$6:W$105)+SUMIF(Capacity_Resource,$E184,'Critical resources (hide)'!W$6:W$105)+SUMIF(Capacity_Resource,$F184,'Critical resources (hide)'!W$6:W$105)&gt;0,$E$1=2),0,1)</f>
        <v>1</v>
      </c>
      <c r="K184" s="67">
        <f ca="1">IF(AND(SUMIF(Capacity_Resource,$D184,'Critical resources (hide)'!X$6:X$105)+SUMIF(Capacity_Resource,$E184,'Critical resources (hide)'!X$6:X$105)+SUMIF(Capacity_Resource,$F184,'Critical resources (hide)'!X$6:X$105)&gt;0,$E$1=2),0,1)</f>
        <v>1</v>
      </c>
      <c r="L184" s="67">
        <f ca="1">IF(AND(SUMIF(Capacity_Resource,$D184,'Critical resources (hide)'!Y$6:Y$105)+SUMIF(Capacity_Resource,$E184,'Critical resources (hide)'!Y$6:Y$105)+SUMIF(Capacity_Resource,$F184,'Critical resources (hide)'!Y$6:Y$105)&gt;0,$E$1=2),0,1)</f>
        <v>1</v>
      </c>
      <c r="M184" s="67">
        <f ca="1">IF(AND(SUMIF(Capacity_Resource,$D184,'Critical resources (hide)'!Z$6:Z$105)+SUMIF(Capacity_Resource,$E184,'Critical resources (hide)'!Z$6:Z$105)+SUMIF(Capacity_Resource,$F184,'Critical resources (hide)'!Z$6:Z$105)&gt;0,$E$1=2),0,1)</f>
        <v>1</v>
      </c>
      <c r="N184" s="67">
        <f ca="1">IF(AND(SUMIF(Capacity_Resource,$D184,'Critical resources (hide)'!AA$6:AA$105)+SUMIF(Capacity_Resource,$E184,'Critical resources (hide)'!AA$6:AA$105)+SUMIF(Capacity_Resource,$F184,'Critical resources (hide)'!AA$6:AA$105)&gt;0,$E$1=2),0,1)</f>
        <v>1</v>
      </c>
      <c r="O184" s="67">
        <f ca="1">IF(AND(SUMIF(Capacity_Resource,$D184,'Critical resources (hide)'!AB$6:AB$105)+SUMIF(Capacity_Resource,$E184,'Critical resources (hide)'!AB$6:AB$105)+SUMIF(Capacity_Resource,$F184,'Critical resources (hide)'!AB$6:AB$105)&gt;0,$E$1=2),0,1)</f>
        <v>1</v>
      </c>
      <c r="P184" s="67">
        <f ca="1">IF(AND(SUMIF(Capacity_Resource,$D184,'Critical resources (hide)'!AC$6:AC$105)+SUMIF(Capacity_Resource,$E184,'Critical resources (hide)'!AC$6:AC$105)+SUMIF(Capacity_Resource,$F184,'Critical resources (hide)'!AC$6:AC$105)&gt;0,$E$1=2),0,1)</f>
        <v>1</v>
      </c>
      <c r="Q184" s="67">
        <f ca="1">IF(AND(SUMIF(Capacity_Resource,$D184,'Critical resources (hide)'!AD$6:AD$105)+SUMIF(Capacity_Resource,$E184,'Critical resources (hide)'!AD$6:AD$105)+SUMIF(Capacity_Resource,$F184,'Critical resources (hide)'!AD$6:AD$105)&gt;0,$E$1=2),0,1)</f>
        <v>1</v>
      </c>
      <c r="R184" s="67">
        <f ca="1">IF(AND(SUMIF(Capacity_Resource,$D184,'Critical resources (hide)'!AE$6:AE$105)+SUMIF(Capacity_Resource,$E184,'Critical resources (hide)'!AE$6:AE$105)+SUMIF(Capacity_Resource,$F184,'Critical resources (hide)'!AE$6:AE$105)&gt;0,$E$1=2),0,1)</f>
        <v>1</v>
      </c>
      <c r="S184" s="67">
        <f ca="1">IF(AND(SUMIF(Capacity_Resource,$D184,'Critical resources (hide)'!AF$6:AF$105)+SUMIF(Capacity_Resource,$E184,'Critical resources (hide)'!AF$6:AF$105)+SUMIF(Capacity_Resource,$F184,'Critical resources (hide)'!AF$6:AF$105)&gt;0,$E$1=2),0,1)</f>
        <v>1</v>
      </c>
      <c r="T184" s="67">
        <f ca="1">IF(AND(SUMIF(Capacity_Resource,$D184,'Critical resources (hide)'!AG$6:AG$105)+SUMIF(Capacity_Resource,$E184,'Critical resources (hide)'!AG$6:AG$105)+SUMIF(Capacity_Resource,$F184,'Critical resources (hide)'!AG$6:AG$105)&gt;0,$E$1=2),0,1)</f>
        <v>1</v>
      </c>
      <c r="U184" s="67">
        <f ca="1">IF(AND(SUMIF(Capacity_Resource,$D184,'Critical resources (hide)'!AH$6:AH$105)+SUMIF(Capacity_Resource,$E184,'Critical resources (hide)'!AH$6:AH$105)+SUMIF(Capacity_Resource,$F184,'Critical resources (hide)'!AH$6:AH$105)&gt;0,$E$1=2),0,1)</f>
        <v>1</v>
      </c>
      <c r="V184" s="67">
        <f ca="1">IF(AND(SUMIF(Capacity_Resource,$D184,'Critical resources (hide)'!AI$6:AI$105)+SUMIF(Capacity_Resource,$E184,'Critical resources (hide)'!AI$6:AI$105)+SUMIF(Capacity_Resource,$F184,'Critical resources (hide)'!AI$6:AI$105)&gt;0,$E$1=2),0,1)</f>
        <v>1</v>
      </c>
      <c r="W184" s="67">
        <f ca="1">IF(AND(SUMIF(Capacity_Resource,$D184,'Critical resources (hide)'!AJ$6:AJ$105)+SUMIF(Capacity_Resource,$E184,'Critical resources (hide)'!AJ$6:AJ$105)+SUMIF(Capacity_Resource,$F184,'Critical resources (hide)'!AJ$6:AJ$105)&gt;0,$E$1=2),0,1)</f>
        <v>1</v>
      </c>
      <c r="X184" s="67">
        <f ca="1">IF(AND(SUMIF(Capacity_Resource,$D184,'Critical resources (hide)'!AK$6:AK$105)+SUMIF(Capacity_Resource,$E184,'Critical resources (hide)'!AK$6:AK$105)+SUMIF(Capacity_Resource,$F184,'Critical resources (hide)'!AK$6:AK$105)&gt;0,$E$1=2),0,1)</f>
        <v>1</v>
      </c>
      <c r="Y184" s="67">
        <f ca="1">IF(AND(SUMIF(Capacity_Resource,$D184,'Critical resources (hide)'!AL$6:AL$105)+SUMIF(Capacity_Resource,$E184,'Critical resources (hide)'!AL$6:AL$105)+SUMIF(Capacity_Resource,$F184,'Critical resources (hide)'!AL$6:AL$105)&gt;0,$E$1=2),0,1)</f>
        <v>1</v>
      </c>
      <c r="Z184" s="67">
        <f ca="1">IF(AND(SUMIF(Capacity_Resource,$D184,'Critical resources (hide)'!AM$6:AM$105)+SUMIF(Capacity_Resource,$E184,'Critical resources (hide)'!AM$6:AM$105)+SUMIF(Capacity_Resource,$F184,'Critical resources (hide)'!AM$6:AM$105)&gt;0,$E$1=2),0,1)</f>
        <v>1</v>
      </c>
      <c r="AA184" s="67">
        <f ca="1">IF(AND(SUMIF(Capacity_Resource,$D184,'Critical resources (hide)'!AN$6:AN$105)+SUMIF(Capacity_Resource,$E184,'Critical resources (hide)'!AN$6:AN$105)+SUMIF(Capacity_Resource,$F184,'Critical resources (hide)'!AN$6:AN$105)&gt;0,$E$1=2),0,1)</f>
        <v>1</v>
      </c>
      <c r="AB184" s="67">
        <f ca="1">IF(AND(SUMIF(Capacity_Resource,$D184,'Critical resources (hide)'!AO$6:AO$105)+SUMIF(Capacity_Resource,$E184,'Critical resources (hide)'!AO$6:AO$105)+SUMIF(Capacity_Resource,$F184,'Critical resources (hide)'!AO$6:AO$105)&gt;0,$E$1=2),0,1)</f>
        <v>1</v>
      </c>
      <c r="AC184" s="67">
        <f ca="1">IF(AND(SUMIF(Capacity_Resource,$D184,'Critical resources (hide)'!AP$6:AP$105)+SUMIF(Capacity_Resource,$E184,'Critical resources (hide)'!AP$6:AP$105)+SUMIF(Capacity_Resource,$F184,'Critical resources (hide)'!AP$6:AP$105)&gt;0,$E$1=2),0,1)</f>
        <v>1</v>
      </c>
      <c r="AD184" s="67">
        <f ca="1">IF(AND(SUMIF(Capacity_Resource,$D184,'Critical resources (hide)'!AQ$6:AQ$105)+SUMIF(Capacity_Resource,$E184,'Critical resources (hide)'!AQ$6:AQ$105)+SUMIF(Capacity_Resource,$F184,'Critical resources (hide)'!AQ$6:AQ$105)&gt;0,$E$1=2),0,1)</f>
        <v>1</v>
      </c>
      <c r="AE184" s="67">
        <f ca="1">IF(AND(SUMIF(Capacity_Resource,$D184,'Critical resources (hide)'!AR$6:AR$105)+SUMIF(Capacity_Resource,$E184,'Critical resources (hide)'!AR$6:AR$105)+SUMIF(Capacity_Resource,$F184,'Critical resources (hide)'!AR$6:AR$105)&gt;0,$E$1=2),0,1)</f>
        <v>1</v>
      </c>
      <c r="AF184" s="67">
        <f ca="1">IF(AND(SUMIF(Capacity_Resource,$D184,'Critical resources (hide)'!AS$6:AS$105)+SUMIF(Capacity_Resource,$E184,'Critical resources (hide)'!AS$6:AS$105)+SUMIF(Capacity_Resource,$F184,'Critical resources (hide)'!AS$6:AS$105)&gt;0,$E$1=2),0,1)</f>
        <v>1</v>
      </c>
      <c r="AG184" s="67">
        <f ca="1">IF(AND(SUMIF(Capacity_Resource,$D184,'Critical resources (hide)'!AT$6:AT$105)+SUMIF(Capacity_Resource,$E184,'Critical resources (hide)'!AT$6:AT$105)+SUMIF(Capacity_Resource,$F184,'Critical resources (hide)'!AT$6:AT$105)&gt;0,$E$1=2),0,1)</f>
        <v>1</v>
      </c>
      <c r="AH184" s="67">
        <f ca="1">IF(AND(SUMIF(Capacity_Resource,$D184,'Critical resources (hide)'!AU$6:AU$105)+SUMIF(Capacity_Resource,$E184,'Critical resources (hide)'!AU$6:AU$105)+SUMIF(Capacity_Resource,$F184,'Critical resources (hide)'!AU$6:AU$105)&gt;0,$E$1=2),0,1)</f>
        <v>1</v>
      </c>
      <c r="AI184" s="67">
        <f ca="1">IF(AND(SUMIF(Capacity_Resource,$D184,'Critical resources (hide)'!AV$6:AV$105)+SUMIF(Capacity_Resource,$E184,'Critical resources (hide)'!AV$6:AV$105)+SUMIF(Capacity_Resource,$F184,'Critical resources (hide)'!AV$6:AV$105)&gt;0,$E$1=2),0,1)</f>
        <v>1</v>
      </c>
      <c r="AJ184" s="67">
        <f ca="1">IF(AND(SUMIF(Capacity_Resource,$D184,'Critical resources (hide)'!AW$6:AW$105)+SUMIF(Capacity_Resource,$E184,'Critical resources (hide)'!AW$6:AW$105)+SUMIF(Capacity_Resource,$F184,'Critical resources (hide)'!AW$6:AW$105)&gt;0,$E$1=2),0,1)</f>
        <v>1</v>
      </c>
      <c r="AK184" s="67">
        <f ca="1">IF(AND(SUMIF(Capacity_Resource,$D184,'Critical resources (hide)'!AX$6:AX$105)+SUMIF(Capacity_Resource,$E184,'Critical resources (hide)'!AX$6:AX$105)+SUMIF(Capacity_Resource,$F184,'Critical resources (hide)'!AX$6:AX$105)&gt;0,$E$1=2),0,1)</f>
        <v>1</v>
      </c>
      <c r="AL184" s="67">
        <f ca="1">IF(AND(SUMIF(Capacity_Resource,$D184,'Critical resources (hide)'!AY$6:AY$105)+SUMIF(Capacity_Resource,$E184,'Critical resources (hide)'!AY$6:AY$105)+SUMIF(Capacity_Resource,$F184,'Critical resources (hide)'!AY$6:AY$105)&gt;0,$E$1=2),0,1)</f>
        <v>1</v>
      </c>
      <c r="AM184" s="67">
        <f ca="1">IF(AND(SUMIF(Capacity_Resource,$D184,'Critical resources (hide)'!AZ$6:AZ$105)+SUMIF(Capacity_Resource,$E184,'Critical resources (hide)'!AZ$6:AZ$105)+SUMIF(Capacity_Resource,$F184,'Critical resources (hide)'!AZ$6:AZ$105)&gt;0,$E$1=2),0,1)</f>
        <v>1</v>
      </c>
      <c r="AN184" s="67">
        <f ca="1">IF(AND(SUMIF(Capacity_Resource,$D184,'Critical resources (hide)'!BA$6:BA$105)+SUMIF(Capacity_Resource,$E184,'Critical resources (hide)'!BA$6:BA$105)+SUMIF(Capacity_Resource,$F184,'Critical resources (hide)'!BA$6:BA$105)&gt;0,$E$1=2),0,1)</f>
        <v>1</v>
      </c>
      <c r="AO184" s="67">
        <f ca="1">IF(AND(SUMIF(Capacity_Resource,$D184,'Critical resources (hide)'!BB$6:BB$105)+SUMIF(Capacity_Resource,$E184,'Critical resources (hide)'!BB$6:BB$105)+SUMIF(Capacity_Resource,$F184,'Critical resources (hide)'!BB$6:BB$105)&gt;0,$E$1=2),0,1)</f>
        <v>1</v>
      </c>
      <c r="AP184" s="67">
        <f ca="1">IF(AND(SUMIF(Capacity_Resource,$D184,'Critical resources (hide)'!BC$6:BC$105)+SUMIF(Capacity_Resource,$E184,'Critical resources (hide)'!BC$6:BC$105)+SUMIF(Capacity_Resource,$F184,'Critical resources (hide)'!BC$6:BC$105)&gt;0,$E$1=2),0,1)</f>
        <v>1</v>
      </c>
      <c r="AQ184" s="67">
        <f ca="1">IF(AND(SUMIF(Capacity_Resource,$D184,'Critical resources (hide)'!BD$6:BD$105)+SUMIF(Capacity_Resource,$E184,'Critical resources (hide)'!BD$6:BD$105)+SUMIF(Capacity_Resource,$F184,'Critical resources (hide)'!BD$6:BD$105)&gt;0,$E$1=2),0,1)</f>
        <v>1</v>
      </c>
      <c r="AR184" s="67">
        <f ca="1">IF(AND(SUMIF(Capacity_Resource,$D184,'Critical resources (hide)'!BE$6:BE$105)+SUMIF(Capacity_Resource,$E184,'Critical resources (hide)'!BE$6:BE$105)+SUMIF(Capacity_Resource,$F184,'Critical resources (hide)'!BE$6:BE$105)&gt;0,$E$1=2),0,1)</f>
        <v>1</v>
      </c>
      <c r="AS184" s="67">
        <f ca="1">IF(AND(SUMIF(Capacity_Resource,$D184,'Critical resources (hide)'!BF$6:BF$105)+SUMIF(Capacity_Resource,$E184,'Critical resources (hide)'!BF$6:BF$105)+SUMIF(Capacity_Resource,$F184,'Critical resources (hide)'!BF$6:BF$105)&gt;0,$E$1=2),0,1)</f>
        <v>1</v>
      </c>
      <c r="AT184" s="67">
        <f ca="1">IF(AND(SUMIF(Capacity_Resource,$D184,'Critical resources (hide)'!BG$6:BG$105)+SUMIF(Capacity_Resource,$E184,'Critical resources (hide)'!BG$6:BG$105)+SUMIF(Capacity_Resource,$F184,'Critical resources (hide)'!BG$6:BG$105)&gt;0,$E$1=2),0,1)</f>
        <v>1</v>
      </c>
      <c r="AU184" s="67">
        <f ca="1">IF(AND(SUMIF(Capacity_Resource,$D184,'Critical resources (hide)'!BH$6:BH$105)+SUMIF(Capacity_Resource,$E184,'Critical resources (hide)'!BH$6:BH$105)+SUMIF(Capacity_Resource,$F184,'Critical resources (hide)'!BH$6:BH$105)&gt;0,$E$1=2),0,1)</f>
        <v>1</v>
      </c>
      <c r="AV184" s="67">
        <f ca="1">IF(AND(SUMIF(Capacity_Resource,$D184,'Critical resources (hide)'!BI$6:BI$105)+SUMIF(Capacity_Resource,$E184,'Critical resources (hide)'!BI$6:BI$105)+SUMIF(Capacity_Resource,$F184,'Critical resources (hide)'!BI$6:BI$105)&gt;0,$E$1=2),0,1)</f>
        <v>1</v>
      </c>
      <c r="AW184" s="67">
        <f ca="1">IF(AND(SUMIF(Capacity_Resource,$D184,'Critical resources (hide)'!BJ$6:BJ$105)+SUMIF(Capacity_Resource,$E184,'Critical resources (hide)'!BJ$6:BJ$105)+SUMIF(Capacity_Resource,$F184,'Critical resources (hide)'!BJ$6:BJ$105)&gt;0,$E$1=2),0,1)</f>
        <v>1</v>
      </c>
      <c r="AX184" s="67">
        <f ca="1">IF(AND(SUMIF(Capacity_Resource,$D184,'Critical resources (hide)'!BK$6:BK$105)+SUMIF(Capacity_Resource,$E184,'Critical resources (hide)'!BK$6:BK$105)+SUMIF(Capacity_Resource,$F184,'Critical resources (hide)'!BK$6:BK$105)&gt;0,$E$1=2),0,1)</f>
        <v>1</v>
      </c>
      <c r="AY184" s="67">
        <f ca="1">IF(AND(SUMIF(Capacity_Resource,$D184,'Critical resources (hide)'!BL$6:BL$105)+SUMIF(Capacity_Resource,$E184,'Critical resources (hide)'!BL$6:BL$105)+SUMIF(Capacity_Resource,$F184,'Critical resources (hide)'!BL$6:BL$105)&gt;0,$E$1=2),0,1)</f>
        <v>1</v>
      </c>
      <c r="AZ184" s="67">
        <f ca="1">IF(AND(SUMIF(Capacity_Resource,$D184,'Critical resources (hide)'!BM$6:BM$105)+SUMIF(Capacity_Resource,$E184,'Critical resources (hide)'!BM$6:BM$105)+SUMIF(Capacity_Resource,$F184,'Critical resources (hide)'!BM$6:BM$105)&gt;0,$E$1=2),0,1)</f>
        <v>1</v>
      </c>
      <c r="BA184" s="67">
        <f ca="1">IF(AND(SUMIF(Capacity_Resource,$D184,'Critical resources (hide)'!BN$6:BN$105)+SUMIF(Capacity_Resource,$E184,'Critical resources (hide)'!BN$6:BN$105)+SUMIF(Capacity_Resource,$F184,'Critical resources (hide)'!BN$6:BN$105)&gt;0,$E$1=2),0,1)</f>
        <v>1</v>
      </c>
      <c r="BB184" s="67">
        <f ca="1">IF(AND(SUMIF(Capacity_Resource,$D184,'Critical resources (hide)'!BO$6:BO$105)+SUMIF(Capacity_Resource,$E184,'Critical resources (hide)'!BO$6:BO$105)+SUMIF(Capacity_Resource,$F184,'Critical resources (hide)'!BO$6:BO$105)&gt;0,$E$1=2),0,1)</f>
        <v>1</v>
      </c>
      <c r="BC184" s="67">
        <f ca="1">IF(AND(SUMIF(Capacity_Resource,$D184,'Critical resources (hide)'!BP$6:BP$105)+SUMIF(Capacity_Resource,$E184,'Critical resources (hide)'!BP$6:BP$105)+SUMIF(Capacity_Resource,$F184,'Critical resources (hide)'!BP$6:BP$105)&gt;0,$E$1=2),0,1)</f>
        <v>1</v>
      </c>
      <c r="BD184" s="67">
        <f ca="1">IF(AND(SUMIF(Capacity_Resource,$D184,'Critical resources (hide)'!BQ$6:BQ$105)+SUMIF(Capacity_Resource,$E184,'Critical resources (hide)'!BQ$6:BQ$105)+SUMIF(Capacity_Resource,$F184,'Critical resources (hide)'!BQ$6:BQ$105)&gt;0,$E$1=2),0,1)</f>
        <v>1</v>
      </c>
      <c r="BE184" s="67">
        <f ca="1">IF(AND(SUMIF(Capacity_Resource,$D184,'Critical resources (hide)'!BR$6:BR$105)+SUMIF(Capacity_Resource,$E184,'Critical resources (hide)'!BR$6:BR$105)+SUMIF(Capacity_Resource,$F184,'Critical resources (hide)'!BR$6:BR$105)&gt;0,$E$1=2),0,1)</f>
        <v>1</v>
      </c>
      <c r="BF184" s="67">
        <f ca="1">IF(AND(SUMIF(Capacity_Resource,$D184,'Critical resources (hide)'!BS$6:BS$105)+SUMIF(Capacity_Resource,$E184,'Critical resources (hide)'!BS$6:BS$105)+SUMIF(Capacity_Resource,$F184,'Critical resources (hide)'!BS$6:BS$105)&gt;0,$E$1=2),0,1)</f>
        <v>1</v>
      </c>
      <c r="BG184" s="67">
        <f ca="1">IF(AND(SUMIF(Capacity_Resource,$D184,'Critical resources (hide)'!BT$6:BT$105)+SUMIF(Capacity_Resource,$E184,'Critical resources (hide)'!BT$6:BT$105)+SUMIF(Capacity_Resource,$F184,'Critical resources (hide)'!BT$6:BT$105)&gt;0,$E$1=2),0,1)</f>
        <v>1</v>
      </c>
      <c r="BH184" s="67">
        <f>IF(ROW(A73)&lt;=Capacity!$M$16,IF('Capacity summary'!$C$14="No",SUM(H184:BG184),'Capacity summary'!$E96),0)</f>
        <v>0</v>
      </c>
      <c r="BI184" s="67" t="str">
        <f>IF(BH184&gt;0,IF(BH184&lt;Capacity!Q89,Capacity!R89,Capacity!T89/'Capacity calculation (hide)'!BH184),"")</f>
        <v/>
      </c>
      <c r="BJ184" s="5"/>
      <c r="BK184" s="5">
        <f>IF($BI184&lt;&gt;"",IF('Capacity summary'!$C$14="Yes",IF(COUNTBLANK('Capacity summary'!$H96:$BG96)&lt;52,IF('Capacity summary'!H96&lt;&gt;"",IF(LOWER('Capacity summary'!H96)="x",$BI184*H184,VALUE('Capacity summary'!H96)),0),H184*$BI184),H184*$BI184),0)</f>
        <v>0</v>
      </c>
      <c r="BL184" s="5">
        <f>IF($BI184&lt;&gt;"",IF('Capacity summary'!$C$14="Yes",IF(COUNTBLANK('Capacity summary'!$H96:$BG96)&lt;52,IF('Capacity summary'!I96&lt;&gt;"",IF(LOWER('Capacity summary'!I96)="x",$BI184*I184,VALUE('Capacity summary'!I96)),0),I184*$BI184),I184*$BI184),0)</f>
        <v>0</v>
      </c>
      <c r="BM184" s="5">
        <f>IF($BI184&lt;&gt;"",IF('Capacity summary'!$C$14="Yes",IF(COUNTBLANK('Capacity summary'!$H96:$BG96)&lt;52,IF('Capacity summary'!J96&lt;&gt;"",IF(LOWER('Capacity summary'!J96)="x",$BI184*J184,VALUE('Capacity summary'!J96)),0),J184*$BI184),J184*$BI184),0)</f>
        <v>0</v>
      </c>
      <c r="BN184" s="5">
        <f>IF($BI184&lt;&gt;"",IF('Capacity summary'!$C$14="Yes",IF(COUNTBLANK('Capacity summary'!$H96:$BG96)&lt;52,IF('Capacity summary'!K96&lt;&gt;"",IF(LOWER('Capacity summary'!K96)="x",$BI184*K184,VALUE('Capacity summary'!K96)),0),K184*$BI184),K184*$BI184),0)</f>
        <v>0</v>
      </c>
      <c r="BO184" s="5">
        <f>IF($BI184&lt;&gt;"",IF('Capacity summary'!$C$14="Yes",IF(COUNTBLANK('Capacity summary'!$H96:$BG96)&lt;52,IF('Capacity summary'!L96&lt;&gt;"",IF(LOWER('Capacity summary'!L96)="x",$BI184*L184,VALUE('Capacity summary'!L96)),0),L184*$BI184),L184*$BI184),0)</f>
        <v>0</v>
      </c>
      <c r="BP184" s="5">
        <f>IF($BI184&lt;&gt;"",IF('Capacity summary'!$C$14="Yes",IF(COUNTBLANK('Capacity summary'!$H96:$BG96)&lt;52,IF('Capacity summary'!M96&lt;&gt;"",IF(LOWER('Capacity summary'!M96)="x",$BI184*M184,VALUE('Capacity summary'!M96)),0),M184*$BI184),M184*$BI184),0)</f>
        <v>0</v>
      </c>
      <c r="BQ184" s="5">
        <f>IF($BI184&lt;&gt;"",IF('Capacity summary'!$C$14="Yes",IF(COUNTBLANK('Capacity summary'!$H96:$BG96)&lt;52,IF('Capacity summary'!N96&lt;&gt;"",IF(LOWER('Capacity summary'!N96)="x",$BI184*N184,VALUE('Capacity summary'!N96)),0),N184*$BI184),N184*$BI184),0)</f>
        <v>0</v>
      </c>
      <c r="BR184" s="5">
        <f>IF($BI184&lt;&gt;"",IF('Capacity summary'!$C$14="Yes",IF(COUNTBLANK('Capacity summary'!$H96:$BG96)&lt;52,IF('Capacity summary'!O96&lt;&gt;"",IF(LOWER('Capacity summary'!O96)="x",$BI184*O184,VALUE('Capacity summary'!O96)),0),O184*$BI184),O184*$BI184),0)</f>
        <v>0</v>
      </c>
      <c r="BS184" s="5">
        <f>IF($BI184&lt;&gt;"",IF('Capacity summary'!$C$14="Yes",IF(COUNTBLANK('Capacity summary'!$H96:$BG96)&lt;52,IF('Capacity summary'!P96&lt;&gt;"",IF(LOWER('Capacity summary'!P96)="x",$BI184*P184,VALUE('Capacity summary'!P96)),0),P184*$BI184),P184*$BI184),0)</f>
        <v>0</v>
      </c>
      <c r="BT184" s="5">
        <f>IF($BI184&lt;&gt;"",IF('Capacity summary'!$C$14="Yes",IF(COUNTBLANK('Capacity summary'!$H96:$BG96)&lt;52,IF('Capacity summary'!Q96&lt;&gt;"",IF(LOWER('Capacity summary'!Q96)="x",$BI184*Q184,VALUE('Capacity summary'!Q96)),0),Q184*$BI184),Q184*$BI184),0)</f>
        <v>0</v>
      </c>
      <c r="BU184" s="5">
        <f>IF($BI184&lt;&gt;"",IF('Capacity summary'!$C$14="Yes",IF(COUNTBLANK('Capacity summary'!$H96:$BG96)&lt;52,IF('Capacity summary'!R96&lt;&gt;"",IF(LOWER('Capacity summary'!R96)="x",$BI184*R184,VALUE('Capacity summary'!R96)),0),R184*$BI184),R184*$BI184),0)</f>
        <v>0</v>
      </c>
      <c r="BV184" s="5">
        <f>IF($BI184&lt;&gt;"",IF('Capacity summary'!$C$14="Yes",IF(COUNTBLANK('Capacity summary'!$H96:$BG96)&lt;52,IF('Capacity summary'!S96&lt;&gt;"",IF(LOWER('Capacity summary'!S96)="x",$BI184*S184,VALUE('Capacity summary'!S96)),0),S184*$BI184),S184*$BI184),0)</f>
        <v>0</v>
      </c>
      <c r="BW184" s="5">
        <f>IF($BI184&lt;&gt;"",IF('Capacity summary'!$C$14="Yes",IF(COUNTBLANK('Capacity summary'!$H96:$BG96)&lt;52,IF('Capacity summary'!T96&lt;&gt;"",IF(LOWER('Capacity summary'!T96)="x",$BI184*T184,VALUE('Capacity summary'!T96)),0),T184*$BI184),T184*$BI184),0)</f>
        <v>0</v>
      </c>
      <c r="BX184" s="5">
        <f>IF($BI184&lt;&gt;"",IF('Capacity summary'!$C$14="Yes",IF(COUNTBLANK('Capacity summary'!$H96:$BG96)&lt;52,IF('Capacity summary'!U96&lt;&gt;"",IF(LOWER('Capacity summary'!U96)="x",$BI184*U184,VALUE('Capacity summary'!U96)),0),U184*$BI184),U184*$BI184),0)</f>
        <v>0</v>
      </c>
      <c r="BY184" s="5">
        <f>IF($BI184&lt;&gt;"",IF('Capacity summary'!$C$14="Yes",IF(COUNTBLANK('Capacity summary'!$H96:$BG96)&lt;52,IF('Capacity summary'!V96&lt;&gt;"",IF(LOWER('Capacity summary'!V96)="x",$BI184*V184,VALUE('Capacity summary'!V96)),0),V184*$BI184),V184*$BI184),0)</f>
        <v>0</v>
      </c>
      <c r="BZ184" s="5">
        <f>IF($BI184&lt;&gt;"",IF('Capacity summary'!$C$14="Yes",IF(COUNTBLANK('Capacity summary'!$H96:$BG96)&lt;52,IF('Capacity summary'!W96&lt;&gt;"",IF(LOWER('Capacity summary'!W96)="x",$BI184*W184,VALUE('Capacity summary'!W96)),0),W184*$BI184),W184*$BI184),0)</f>
        <v>0</v>
      </c>
      <c r="CA184" s="5">
        <f>IF($BI184&lt;&gt;"",IF('Capacity summary'!$C$14="Yes",IF(COUNTBLANK('Capacity summary'!$H96:$BG96)&lt;52,IF('Capacity summary'!X96&lt;&gt;"",IF(LOWER('Capacity summary'!X96)="x",$BI184*X184,VALUE('Capacity summary'!X96)),0),X184*$BI184),X184*$BI184),0)</f>
        <v>0</v>
      </c>
      <c r="CB184" s="5">
        <f>IF($BI184&lt;&gt;"",IF('Capacity summary'!$C$14="Yes",IF(COUNTBLANK('Capacity summary'!$H96:$BG96)&lt;52,IF('Capacity summary'!Y96&lt;&gt;"",IF(LOWER('Capacity summary'!Y96)="x",$BI184*Y184,VALUE('Capacity summary'!Y96)),0),Y184*$BI184),Y184*$BI184),0)</f>
        <v>0</v>
      </c>
      <c r="CC184" s="5">
        <f>IF($BI184&lt;&gt;"",IF('Capacity summary'!$C$14="Yes",IF(COUNTBLANK('Capacity summary'!$H96:$BG96)&lt;52,IF('Capacity summary'!Z96&lt;&gt;"",IF(LOWER('Capacity summary'!Z96)="x",$BI184*Z184,VALUE('Capacity summary'!Z96)),0),Z184*$BI184),Z184*$BI184),0)</f>
        <v>0</v>
      </c>
      <c r="CD184" s="5">
        <f>IF($BI184&lt;&gt;"",IF('Capacity summary'!$C$14="Yes",IF(COUNTBLANK('Capacity summary'!$H96:$BG96)&lt;52,IF('Capacity summary'!AA96&lt;&gt;"",IF(LOWER('Capacity summary'!AA96)="x",$BI184*AA184,VALUE('Capacity summary'!AA96)),0),AA184*$BI184),AA184*$BI184),0)</f>
        <v>0</v>
      </c>
      <c r="CE184" s="5">
        <f>IF($BI184&lt;&gt;"",IF('Capacity summary'!$C$14="Yes",IF(COUNTBLANK('Capacity summary'!$H96:$BG96)&lt;52,IF('Capacity summary'!AB96&lt;&gt;"",IF(LOWER('Capacity summary'!AB96)="x",$BI184*AB184,VALUE('Capacity summary'!AB96)),0),AB184*$BI184),AB184*$BI184),0)</f>
        <v>0</v>
      </c>
      <c r="CF184" s="5">
        <f>IF($BI184&lt;&gt;"",IF('Capacity summary'!$C$14="Yes",IF(COUNTBLANK('Capacity summary'!$H96:$BG96)&lt;52,IF('Capacity summary'!AC96&lt;&gt;"",IF(LOWER('Capacity summary'!AC96)="x",$BI184*AC184,VALUE('Capacity summary'!AC96)),0),AC184*$BI184),AC184*$BI184),0)</f>
        <v>0</v>
      </c>
      <c r="CG184" s="5">
        <f>IF($BI184&lt;&gt;"",IF('Capacity summary'!$C$14="Yes",IF(COUNTBLANK('Capacity summary'!$H96:$BG96)&lt;52,IF('Capacity summary'!AD96&lt;&gt;"",IF(LOWER('Capacity summary'!AD96)="x",$BI184*AD184,VALUE('Capacity summary'!AD96)),0),AD184*$BI184),AD184*$BI184),0)</f>
        <v>0</v>
      </c>
      <c r="CH184" s="5">
        <f>IF($BI184&lt;&gt;"",IF('Capacity summary'!$C$14="Yes",IF(COUNTBLANK('Capacity summary'!$H96:$BG96)&lt;52,IF('Capacity summary'!AE96&lt;&gt;"",IF(LOWER('Capacity summary'!AE96)="x",$BI184*AE184,VALUE('Capacity summary'!AE96)),0),AE184*$BI184),AE184*$BI184),0)</f>
        <v>0</v>
      </c>
      <c r="CI184" s="5">
        <f>IF($BI184&lt;&gt;"",IF('Capacity summary'!$C$14="Yes",IF(COUNTBLANK('Capacity summary'!$H96:$BG96)&lt;52,IF('Capacity summary'!AF96&lt;&gt;"",IF(LOWER('Capacity summary'!AF96)="x",$BI184*AF184,VALUE('Capacity summary'!AF96)),0),AF184*$BI184),AF184*$BI184),0)</f>
        <v>0</v>
      </c>
      <c r="CJ184" s="5">
        <f>IF($BI184&lt;&gt;"",IF('Capacity summary'!$C$14="Yes",IF(COUNTBLANK('Capacity summary'!$H96:$BG96)&lt;52,IF('Capacity summary'!AG96&lt;&gt;"",IF(LOWER('Capacity summary'!AG96)="x",$BI184*AG184,VALUE('Capacity summary'!AG96)),0),AG184*$BI184),AG184*$BI184),0)</f>
        <v>0</v>
      </c>
      <c r="CK184" s="5">
        <f>IF($BI184&lt;&gt;"",IF('Capacity summary'!$C$14="Yes",IF(COUNTBLANK('Capacity summary'!$H96:$BG96)&lt;52,IF('Capacity summary'!AH96&lt;&gt;"",IF(LOWER('Capacity summary'!AH96)="x",$BI184*AH184,VALUE('Capacity summary'!AH96)),0),AH184*$BI184),AH184*$BI184),0)</f>
        <v>0</v>
      </c>
      <c r="CL184" s="5">
        <f>IF($BI184&lt;&gt;"",IF('Capacity summary'!$C$14="Yes",IF(COUNTBLANK('Capacity summary'!$H96:$BG96)&lt;52,IF('Capacity summary'!AI96&lt;&gt;"",IF(LOWER('Capacity summary'!AI96)="x",$BI184*AI184,VALUE('Capacity summary'!AI96)),0),AI184*$BI184),AI184*$BI184),0)</f>
        <v>0</v>
      </c>
      <c r="CM184" s="5">
        <f>IF($BI184&lt;&gt;"",IF('Capacity summary'!$C$14="Yes",IF(COUNTBLANK('Capacity summary'!$H96:$BG96)&lt;52,IF('Capacity summary'!AJ96&lt;&gt;"",IF(LOWER('Capacity summary'!AJ96)="x",$BI184*AJ184,VALUE('Capacity summary'!AJ96)),0),AJ184*$BI184),AJ184*$BI184),0)</f>
        <v>0</v>
      </c>
      <c r="CN184" s="5">
        <f>IF($BI184&lt;&gt;"",IF('Capacity summary'!$C$14="Yes",IF(COUNTBLANK('Capacity summary'!$H96:$BG96)&lt;52,IF('Capacity summary'!AK96&lt;&gt;"",IF(LOWER('Capacity summary'!AK96)="x",$BI184*AK184,VALUE('Capacity summary'!AK96)),0),AK184*$BI184),AK184*$BI184),0)</f>
        <v>0</v>
      </c>
      <c r="CO184" s="5">
        <f>IF($BI184&lt;&gt;"",IF('Capacity summary'!$C$14="Yes",IF(COUNTBLANK('Capacity summary'!$H96:$BG96)&lt;52,IF('Capacity summary'!AL96&lt;&gt;"",IF(LOWER('Capacity summary'!AL96)="x",$BI184*AL184,VALUE('Capacity summary'!AL96)),0),AL184*$BI184),AL184*$BI184),0)</f>
        <v>0</v>
      </c>
      <c r="CP184" s="5">
        <f>IF($BI184&lt;&gt;"",IF('Capacity summary'!$C$14="Yes",IF(COUNTBLANK('Capacity summary'!$H96:$BG96)&lt;52,IF('Capacity summary'!AM96&lt;&gt;"",IF(LOWER('Capacity summary'!AM96)="x",$BI184*AM184,VALUE('Capacity summary'!AM96)),0),AM184*$BI184),AM184*$BI184),0)</f>
        <v>0</v>
      </c>
      <c r="CQ184" s="5">
        <f>IF($BI184&lt;&gt;"",IF('Capacity summary'!$C$14="Yes",IF(COUNTBLANK('Capacity summary'!$H96:$BG96)&lt;52,IF('Capacity summary'!AN96&lt;&gt;"",IF(LOWER('Capacity summary'!AN96)="x",$BI184*AN184,VALUE('Capacity summary'!AN96)),0),AN184*$BI184),AN184*$BI184),0)</f>
        <v>0</v>
      </c>
      <c r="CR184" s="5">
        <f>IF($BI184&lt;&gt;"",IF('Capacity summary'!$C$14="Yes",IF(COUNTBLANK('Capacity summary'!$H96:$BG96)&lt;52,IF('Capacity summary'!AO96&lt;&gt;"",IF(LOWER('Capacity summary'!AO96)="x",$BI184*AO184,VALUE('Capacity summary'!AO96)),0),AO184*$BI184),AO184*$BI184),0)</f>
        <v>0</v>
      </c>
      <c r="CS184" s="5">
        <f>IF($BI184&lt;&gt;"",IF('Capacity summary'!$C$14="Yes",IF(COUNTBLANK('Capacity summary'!$H96:$BG96)&lt;52,IF('Capacity summary'!AP96&lt;&gt;"",IF(LOWER('Capacity summary'!AP96)="x",$BI184*AP184,VALUE('Capacity summary'!AP96)),0),AP184*$BI184),AP184*$BI184),0)</f>
        <v>0</v>
      </c>
      <c r="CT184" s="5">
        <f>IF($BI184&lt;&gt;"",IF('Capacity summary'!$C$14="Yes",IF(COUNTBLANK('Capacity summary'!$H96:$BG96)&lt;52,IF('Capacity summary'!AQ96&lt;&gt;"",IF(LOWER('Capacity summary'!AQ96)="x",$BI184*AQ184,VALUE('Capacity summary'!AQ96)),0),AQ184*$BI184),AQ184*$BI184),0)</f>
        <v>0</v>
      </c>
      <c r="CU184" s="5">
        <f>IF($BI184&lt;&gt;"",IF('Capacity summary'!$C$14="Yes",IF(COUNTBLANK('Capacity summary'!$H96:$BG96)&lt;52,IF('Capacity summary'!AR96&lt;&gt;"",IF(LOWER('Capacity summary'!AR96)="x",$BI184*AR184,VALUE('Capacity summary'!AR96)),0),AR184*$BI184),AR184*$BI184),0)</f>
        <v>0</v>
      </c>
      <c r="CV184" s="5">
        <f>IF($BI184&lt;&gt;"",IF('Capacity summary'!$C$14="Yes",IF(COUNTBLANK('Capacity summary'!$H96:$BG96)&lt;52,IF('Capacity summary'!AS96&lt;&gt;"",IF(LOWER('Capacity summary'!AS96)="x",$BI184*AS184,VALUE('Capacity summary'!AS96)),0),AS184*$BI184),AS184*$BI184),0)</f>
        <v>0</v>
      </c>
      <c r="CW184" s="5">
        <f>IF($BI184&lt;&gt;"",IF('Capacity summary'!$C$14="Yes",IF(COUNTBLANK('Capacity summary'!$H96:$BG96)&lt;52,IF('Capacity summary'!AT96&lt;&gt;"",IF(LOWER('Capacity summary'!AT96)="x",$BI184*AT184,VALUE('Capacity summary'!AT96)),0),AT184*$BI184),AT184*$BI184),0)</f>
        <v>0</v>
      </c>
      <c r="CX184" s="5">
        <f>IF($BI184&lt;&gt;"",IF('Capacity summary'!$C$14="Yes",IF(COUNTBLANK('Capacity summary'!$H96:$BG96)&lt;52,IF('Capacity summary'!AU96&lt;&gt;"",IF(LOWER('Capacity summary'!AU96)="x",$BI184*AU184,VALUE('Capacity summary'!AU96)),0),AU184*$BI184),AU184*$BI184),0)</f>
        <v>0</v>
      </c>
      <c r="CY184" s="5">
        <f>IF($BI184&lt;&gt;"",IF('Capacity summary'!$C$14="Yes",IF(COUNTBLANK('Capacity summary'!$H96:$BG96)&lt;52,IF('Capacity summary'!AV96&lt;&gt;"",IF(LOWER('Capacity summary'!AV96)="x",$BI184*AV184,VALUE('Capacity summary'!AV96)),0),AV184*$BI184),AV184*$BI184),0)</f>
        <v>0</v>
      </c>
      <c r="CZ184" s="5">
        <f>IF($BI184&lt;&gt;"",IF('Capacity summary'!$C$14="Yes",IF(COUNTBLANK('Capacity summary'!$H96:$BG96)&lt;52,IF('Capacity summary'!AW96&lt;&gt;"",IF(LOWER('Capacity summary'!AW96)="x",$BI184*AW184,VALUE('Capacity summary'!AW96)),0),AW184*$BI184),AW184*$BI184),0)</f>
        <v>0</v>
      </c>
      <c r="DA184" s="5">
        <f>IF($BI184&lt;&gt;"",IF('Capacity summary'!$C$14="Yes",IF(COUNTBLANK('Capacity summary'!$H96:$BG96)&lt;52,IF('Capacity summary'!AX96&lt;&gt;"",IF(LOWER('Capacity summary'!AX96)="x",$BI184*AX184,VALUE('Capacity summary'!AX96)),0),AX184*$BI184),AX184*$BI184),0)</f>
        <v>0</v>
      </c>
      <c r="DB184" s="5">
        <f>IF($BI184&lt;&gt;"",IF('Capacity summary'!$C$14="Yes",IF(COUNTBLANK('Capacity summary'!$H96:$BG96)&lt;52,IF('Capacity summary'!AY96&lt;&gt;"",IF(LOWER('Capacity summary'!AY96)="x",$BI184*AY184,VALUE('Capacity summary'!AY96)),0),AY184*$BI184),AY184*$BI184),0)</f>
        <v>0</v>
      </c>
      <c r="DC184" s="5">
        <f>IF($BI184&lt;&gt;"",IF('Capacity summary'!$C$14="Yes",IF(COUNTBLANK('Capacity summary'!$H96:$BG96)&lt;52,IF('Capacity summary'!AZ96&lt;&gt;"",IF(LOWER('Capacity summary'!AZ96)="x",$BI184*AZ184,VALUE('Capacity summary'!AZ96)),0),AZ184*$BI184),AZ184*$BI184),0)</f>
        <v>0</v>
      </c>
      <c r="DD184" s="5">
        <f>IF($BI184&lt;&gt;"",IF('Capacity summary'!$C$14="Yes",IF(COUNTBLANK('Capacity summary'!$H96:$BG96)&lt;52,IF('Capacity summary'!BA96&lt;&gt;"",IF(LOWER('Capacity summary'!BA96)="x",$BI184*BA184,VALUE('Capacity summary'!BA96)),0),BA184*$BI184),BA184*$BI184),0)</f>
        <v>0</v>
      </c>
      <c r="DE184" s="5">
        <f>IF($BI184&lt;&gt;"",IF('Capacity summary'!$C$14="Yes",IF(COUNTBLANK('Capacity summary'!$H96:$BG96)&lt;52,IF('Capacity summary'!BB96&lt;&gt;"",IF(LOWER('Capacity summary'!BB96)="x",$BI184*BB184,VALUE('Capacity summary'!BB96)),0),BB184*$BI184),BB184*$BI184),0)</f>
        <v>0</v>
      </c>
      <c r="DF184" s="5">
        <f>IF($BI184&lt;&gt;"",IF('Capacity summary'!$C$14="Yes",IF(COUNTBLANK('Capacity summary'!$H96:$BG96)&lt;52,IF('Capacity summary'!BC96&lt;&gt;"",IF(LOWER('Capacity summary'!BC96)="x",$BI184*BC184,VALUE('Capacity summary'!BC96)),0),BC184*$BI184),BC184*$BI184),0)</f>
        <v>0</v>
      </c>
      <c r="DG184" s="5">
        <f>IF($BI184&lt;&gt;"",IF('Capacity summary'!$C$14="Yes",IF(COUNTBLANK('Capacity summary'!$H96:$BG96)&lt;52,IF('Capacity summary'!BD96&lt;&gt;"",IF(LOWER('Capacity summary'!BD96)="x",$BI184*BD184,VALUE('Capacity summary'!BD96)),0),BD184*$BI184),BD184*$BI184),0)</f>
        <v>0</v>
      </c>
      <c r="DH184" s="5">
        <f>IF($BI184&lt;&gt;"",IF('Capacity summary'!$C$14="Yes",IF(COUNTBLANK('Capacity summary'!$H96:$BG96)&lt;52,IF('Capacity summary'!BE96&lt;&gt;"",IF(LOWER('Capacity summary'!BE96)="x",$BI184*BE184,VALUE('Capacity summary'!BE96)),0),BE184*$BI184),BE184*$BI184),0)</f>
        <v>0</v>
      </c>
      <c r="DI184" s="5">
        <f>IF($BI184&lt;&gt;"",IF('Capacity summary'!$C$14="Yes",IF(COUNTBLANK('Capacity summary'!$H96:$BG96)&lt;52,IF('Capacity summary'!BF96&lt;&gt;"",IF(LOWER('Capacity summary'!BF96)="x",$BI184*BF184,VALUE('Capacity summary'!BF96)),0),BF184*$BI184),BF184*$BI184),0)</f>
        <v>0</v>
      </c>
      <c r="DJ184" s="5">
        <f>IF($BI184&lt;&gt;"",IF('Capacity summary'!$C$14="Yes",IF(COUNTBLANK('Capacity summary'!$H96:$BG96)&lt;52,IF('Capacity summary'!BG96&lt;&gt;"",IF(LOWER('Capacity summary'!BG96)="x",$BI184*BG184,VALUE('Capacity summary'!BG96)),0),BG184*$BI184),BG184*$BI184),0)</f>
        <v>0</v>
      </c>
      <c r="DK184" s="5">
        <f t="shared" ref="DK184" si="78">SUM(DK185:DK284)</f>
        <v>0</v>
      </c>
    </row>
    <row r="185" spans="3:115" x14ac:dyDescent="0.25">
      <c r="C185" s="67" t="str">
        <f>ROW(A74)&amp;". "&amp;Capacity!N90</f>
        <v xml:space="preserve">74. </v>
      </c>
      <c r="D185" s="67">
        <f>'Capacity setup'!C191</f>
        <v>0</v>
      </c>
      <c r="E185" s="67">
        <f>'Capacity setup'!D191</f>
        <v>0</v>
      </c>
      <c r="F185" s="67">
        <f>'Capacity setup'!E191</f>
        <v>0</v>
      </c>
      <c r="H185" s="67">
        <f ca="1">IF(AND(SUMIF(Capacity_Resource,$D185,'Critical resources (hide)'!U$6:U$105)+SUMIF(Capacity_Resource,$E185,'Critical resources (hide)'!U$6:U$105)+SUMIF(Capacity_Resource,$F185,'Critical resources (hide)'!U$6:U$105)&gt;0,$E$1=2),0,1)</f>
        <v>1</v>
      </c>
      <c r="I185" s="67">
        <f ca="1">IF(AND(SUMIF(Capacity_Resource,$D185,'Critical resources (hide)'!V$6:V$105)+SUMIF(Capacity_Resource,$E185,'Critical resources (hide)'!V$6:V$105)+SUMIF(Capacity_Resource,$F185,'Critical resources (hide)'!V$6:V$105)&gt;0,$E$1=2),0,1)</f>
        <v>1</v>
      </c>
      <c r="J185" s="67">
        <f ca="1">IF(AND(SUMIF(Capacity_Resource,$D185,'Critical resources (hide)'!W$6:W$105)+SUMIF(Capacity_Resource,$E185,'Critical resources (hide)'!W$6:W$105)+SUMIF(Capacity_Resource,$F185,'Critical resources (hide)'!W$6:W$105)&gt;0,$E$1=2),0,1)</f>
        <v>1</v>
      </c>
      <c r="K185" s="67">
        <f ca="1">IF(AND(SUMIF(Capacity_Resource,$D185,'Critical resources (hide)'!X$6:X$105)+SUMIF(Capacity_Resource,$E185,'Critical resources (hide)'!X$6:X$105)+SUMIF(Capacity_Resource,$F185,'Critical resources (hide)'!X$6:X$105)&gt;0,$E$1=2),0,1)</f>
        <v>1</v>
      </c>
      <c r="L185" s="67">
        <f ca="1">IF(AND(SUMIF(Capacity_Resource,$D185,'Critical resources (hide)'!Y$6:Y$105)+SUMIF(Capacity_Resource,$E185,'Critical resources (hide)'!Y$6:Y$105)+SUMIF(Capacity_Resource,$F185,'Critical resources (hide)'!Y$6:Y$105)&gt;0,$E$1=2),0,1)</f>
        <v>1</v>
      </c>
      <c r="M185" s="67">
        <f ca="1">IF(AND(SUMIF(Capacity_Resource,$D185,'Critical resources (hide)'!Z$6:Z$105)+SUMIF(Capacity_Resource,$E185,'Critical resources (hide)'!Z$6:Z$105)+SUMIF(Capacity_Resource,$F185,'Critical resources (hide)'!Z$6:Z$105)&gt;0,$E$1=2),0,1)</f>
        <v>1</v>
      </c>
      <c r="N185" s="67">
        <f ca="1">IF(AND(SUMIF(Capacity_Resource,$D185,'Critical resources (hide)'!AA$6:AA$105)+SUMIF(Capacity_Resource,$E185,'Critical resources (hide)'!AA$6:AA$105)+SUMIF(Capacity_Resource,$F185,'Critical resources (hide)'!AA$6:AA$105)&gt;0,$E$1=2),0,1)</f>
        <v>1</v>
      </c>
      <c r="O185" s="67">
        <f ca="1">IF(AND(SUMIF(Capacity_Resource,$D185,'Critical resources (hide)'!AB$6:AB$105)+SUMIF(Capacity_Resource,$E185,'Critical resources (hide)'!AB$6:AB$105)+SUMIF(Capacity_Resource,$F185,'Critical resources (hide)'!AB$6:AB$105)&gt;0,$E$1=2),0,1)</f>
        <v>1</v>
      </c>
      <c r="P185" s="67">
        <f ca="1">IF(AND(SUMIF(Capacity_Resource,$D185,'Critical resources (hide)'!AC$6:AC$105)+SUMIF(Capacity_Resource,$E185,'Critical resources (hide)'!AC$6:AC$105)+SUMIF(Capacity_Resource,$F185,'Critical resources (hide)'!AC$6:AC$105)&gt;0,$E$1=2),0,1)</f>
        <v>1</v>
      </c>
      <c r="Q185" s="67">
        <f ca="1">IF(AND(SUMIF(Capacity_Resource,$D185,'Critical resources (hide)'!AD$6:AD$105)+SUMIF(Capacity_Resource,$E185,'Critical resources (hide)'!AD$6:AD$105)+SUMIF(Capacity_Resource,$F185,'Critical resources (hide)'!AD$6:AD$105)&gt;0,$E$1=2),0,1)</f>
        <v>1</v>
      </c>
      <c r="R185" s="67">
        <f ca="1">IF(AND(SUMIF(Capacity_Resource,$D185,'Critical resources (hide)'!AE$6:AE$105)+SUMIF(Capacity_Resource,$E185,'Critical resources (hide)'!AE$6:AE$105)+SUMIF(Capacity_Resource,$F185,'Critical resources (hide)'!AE$6:AE$105)&gt;0,$E$1=2),0,1)</f>
        <v>1</v>
      </c>
      <c r="S185" s="67">
        <f ca="1">IF(AND(SUMIF(Capacity_Resource,$D185,'Critical resources (hide)'!AF$6:AF$105)+SUMIF(Capacity_Resource,$E185,'Critical resources (hide)'!AF$6:AF$105)+SUMIF(Capacity_Resource,$F185,'Critical resources (hide)'!AF$6:AF$105)&gt;0,$E$1=2),0,1)</f>
        <v>1</v>
      </c>
      <c r="T185" s="67">
        <f ca="1">IF(AND(SUMIF(Capacity_Resource,$D185,'Critical resources (hide)'!AG$6:AG$105)+SUMIF(Capacity_Resource,$E185,'Critical resources (hide)'!AG$6:AG$105)+SUMIF(Capacity_Resource,$F185,'Critical resources (hide)'!AG$6:AG$105)&gt;0,$E$1=2),0,1)</f>
        <v>1</v>
      </c>
      <c r="U185" s="67">
        <f ca="1">IF(AND(SUMIF(Capacity_Resource,$D185,'Critical resources (hide)'!AH$6:AH$105)+SUMIF(Capacity_Resource,$E185,'Critical resources (hide)'!AH$6:AH$105)+SUMIF(Capacity_Resource,$F185,'Critical resources (hide)'!AH$6:AH$105)&gt;0,$E$1=2),0,1)</f>
        <v>1</v>
      </c>
      <c r="V185" s="67">
        <f ca="1">IF(AND(SUMIF(Capacity_Resource,$D185,'Critical resources (hide)'!AI$6:AI$105)+SUMIF(Capacity_Resource,$E185,'Critical resources (hide)'!AI$6:AI$105)+SUMIF(Capacity_Resource,$F185,'Critical resources (hide)'!AI$6:AI$105)&gt;0,$E$1=2),0,1)</f>
        <v>1</v>
      </c>
      <c r="W185" s="67">
        <f ca="1">IF(AND(SUMIF(Capacity_Resource,$D185,'Critical resources (hide)'!AJ$6:AJ$105)+SUMIF(Capacity_Resource,$E185,'Critical resources (hide)'!AJ$6:AJ$105)+SUMIF(Capacity_Resource,$F185,'Critical resources (hide)'!AJ$6:AJ$105)&gt;0,$E$1=2),0,1)</f>
        <v>1</v>
      </c>
      <c r="X185" s="67">
        <f ca="1">IF(AND(SUMIF(Capacity_Resource,$D185,'Critical resources (hide)'!AK$6:AK$105)+SUMIF(Capacity_Resource,$E185,'Critical resources (hide)'!AK$6:AK$105)+SUMIF(Capacity_Resource,$F185,'Critical resources (hide)'!AK$6:AK$105)&gt;0,$E$1=2),0,1)</f>
        <v>1</v>
      </c>
      <c r="Y185" s="67">
        <f ca="1">IF(AND(SUMIF(Capacity_Resource,$D185,'Critical resources (hide)'!AL$6:AL$105)+SUMIF(Capacity_Resource,$E185,'Critical resources (hide)'!AL$6:AL$105)+SUMIF(Capacity_Resource,$F185,'Critical resources (hide)'!AL$6:AL$105)&gt;0,$E$1=2),0,1)</f>
        <v>1</v>
      </c>
      <c r="Z185" s="67">
        <f ca="1">IF(AND(SUMIF(Capacity_Resource,$D185,'Critical resources (hide)'!AM$6:AM$105)+SUMIF(Capacity_Resource,$E185,'Critical resources (hide)'!AM$6:AM$105)+SUMIF(Capacity_Resource,$F185,'Critical resources (hide)'!AM$6:AM$105)&gt;0,$E$1=2),0,1)</f>
        <v>1</v>
      </c>
      <c r="AA185" s="67">
        <f ca="1">IF(AND(SUMIF(Capacity_Resource,$D185,'Critical resources (hide)'!AN$6:AN$105)+SUMIF(Capacity_Resource,$E185,'Critical resources (hide)'!AN$6:AN$105)+SUMIF(Capacity_Resource,$F185,'Critical resources (hide)'!AN$6:AN$105)&gt;0,$E$1=2),0,1)</f>
        <v>1</v>
      </c>
      <c r="AB185" s="67">
        <f ca="1">IF(AND(SUMIF(Capacity_Resource,$D185,'Critical resources (hide)'!AO$6:AO$105)+SUMIF(Capacity_Resource,$E185,'Critical resources (hide)'!AO$6:AO$105)+SUMIF(Capacity_Resource,$F185,'Critical resources (hide)'!AO$6:AO$105)&gt;0,$E$1=2),0,1)</f>
        <v>1</v>
      </c>
      <c r="AC185" s="67">
        <f ca="1">IF(AND(SUMIF(Capacity_Resource,$D185,'Critical resources (hide)'!AP$6:AP$105)+SUMIF(Capacity_Resource,$E185,'Critical resources (hide)'!AP$6:AP$105)+SUMIF(Capacity_Resource,$F185,'Critical resources (hide)'!AP$6:AP$105)&gt;0,$E$1=2),0,1)</f>
        <v>1</v>
      </c>
      <c r="AD185" s="67">
        <f ca="1">IF(AND(SUMIF(Capacity_Resource,$D185,'Critical resources (hide)'!AQ$6:AQ$105)+SUMIF(Capacity_Resource,$E185,'Critical resources (hide)'!AQ$6:AQ$105)+SUMIF(Capacity_Resource,$F185,'Critical resources (hide)'!AQ$6:AQ$105)&gt;0,$E$1=2),0,1)</f>
        <v>1</v>
      </c>
      <c r="AE185" s="67">
        <f ca="1">IF(AND(SUMIF(Capacity_Resource,$D185,'Critical resources (hide)'!AR$6:AR$105)+SUMIF(Capacity_Resource,$E185,'Critical resources (hide)'!AR$6:AR$105)+SUMIF(Capacity_Resource,$F185,'Critical resources (hide)'!AR$6:AR$105)&gt;0,$E$1=2),0,1)</f>
        <v>1</v>
      </c>
      <c r="AF185" s="67">
        <f ca="1">IF(AND(SUMIF(Capacity_Resource,$D185,'Critical resources (hide)'!AS$6:AS$105)+SUMIF(Capacity_Resource,$E185,'Critical resources (hide)'!AS$6:AS$105)+SUMIF(Capacity_Resource,$F185,'Critical resources (hide)'!AS$6:AS$105)&gt;0,$E$1=2),0,1)</f>
        <v>1</v>
      </c>
      <c r="AG185" s="67">
        <f ca="1">IF(AND(SUMIF(Capacity_Resource,$D185,'Critical resources (hide)'!AT$6:AT$105)+SUMIF(Capacity_Resource,$E185,'Critical resources (hide)'!AT$6:AT$105)+SUMIF(Capacity_Resource,$F185,'Critical resources (hide)'!AT$6:AT$105)&gt;0,$E$1=2),0,1)</f>
        <v>1</v>
      </c>
      <c r="AH185" s="67">
        <f ca="1">IF(AND(SUMIF(Capacity_Resource,$D185,'Critical resources (hide)'!AU$6:AU$105)+SUMIF(Capacity_Resource,$E185,'Critical resources (hide)'!AU$6:AU$105)+SUMIF(Capacity_Resource,$F185,'Critical resources (hide)'!AU$6:AU$105)&gt;0,$E$1=2),0,1)</f>
        <v>1</v>
      </c>
      <c r="AI185" s="67">
        <f ca="1">IF(AND(SUMIF(Capacity_Resource,$D185,'Critical resources (hide)'!AV$6:AV$105)+SUMIF(Capacity_Resource,$E185,'Critical resources (hide)'!AV$6:AV$105)+SUMIF(Capacity_Resource,$F185,'Critical resources (hide)'!AV$6:AV$105)&gt;0,$E$1=2),0,1)</f>
        <v>1</v>
      </c>
      <c r="AJ185" s="67">
        <f ca="1">IF(AND(SUMIF(Capacity_Resource,$D185,'Critical resources (hide)'!AW$6:AW$105)+SUMIF(Capacity_Resource,$E185,'Critical resources (hide)'!AW$6:AW$105)+SUMIF(Capacity_Resource,$F185,'Critical resources (hide)'!AW$6:AW$105)&gt;0,$E$1=2),0,1)</f>
        <v>1</v>
      </c>
      <c r="AK185" s="67">
        <f ca="1">IF(AND(SUMIF(Capacity_Resource,$D185,'Critical resources (hide)'!AX$6:AX$105)+SUMIF(Capacity_Resource,$E185,'Critical resources (hide)'!AX$6:AX$105)+SUMIF(Capacity_Resource,$F185,'Critical resources (hide)'!AX$6:AX$105)&gt;0,$E$1=2),0,1)</f>
        <v>1</v>
      </c>
      <c r="AL185" s="67">
        <f ca="1">IF(AND(SUMIF(Capacity_Resource,$D185,'Critical resources (hide)'!AY$6:AY$105)+SUMIF(Capacity_Resource,$E185,'Critical resources (hide)'!AY$6:AY$105)+SUMIF(Capacity_Resource,$F185,'Critical resources (hide)'!AY$6:AY$105)&gt;0,$E$1=2),0,1)</f>
        <v>1</v>
      </c>
      <c r="AM185" s="67">
        <f ca="1">IF(AND(SUMIF(Capacity_Resource,$D185,'Critical resources (hide)'!AZ$6:AZ$105)+SUMIF(Capacity_Resource,$E185,'Critical resources (hide)'!AZ$6:AZ$105)+SUMIF(Capacity_Resource,$F185,'Critical resources (hide)'!AZ$6:AZ$105)&gt;0,$E$1=2),0,1)</f>
        <v>1</v>
      </c>
      <c r="AN185" s="67">
        <f ca="1">IF(AND(SUMIF(Capacity_Resource,$D185,'Critical resources (hide)'!BA$6:BA$105)+SUMIF(Capacity_Resource,$E185,'Critical resources (hide)'!BA$6:BA$105)+SUMIF(Capacity_Resource,$F185,'Critical resources (hide)'!BA$6:BA$105)&gt;0,$E$1=2),0,1)</f>
        <v>1</v>
      </c>
      <c r="AO185" s="67">
        <f ca="1">IF(AND(SUMIF(Capacity_Resource,$D185,'Critical resources (hide)'!BB$6:BB$105)+SUMIF(Capacity_Resource,$E185,'Critical resources (hide)'!BB$6:BB$105)+SUMIF(Capacity_Resource,$F185,'Critical resources (hide)'!BB$6:BB$105)&gt;0,$E$1=2),0,1)</f>
        <v>1</v>
      </c>
      <c r="AP185" s="67">
        <f ca="1">IF(AND(SUMIF(Capacity_Resource,$D185,'Critical resources (hide)'!BC$6:BC$105)+SUMIF(Capacity_Resource,$E185,'Critical resources (hide)'!BC$6:BC$105)+SUMIF(Capacity_Resource,$F185,'Critical resources (hide)'!BC$6:BC$105)&gt;0,$E$1=2),0,1)</f>
        <v>1</v>
      </c>
      <c r="AQ185" s="67">
        <f ca="1">IF(AND(SUMIF(Capacity_Resource,$D185,'Critical resources (hide)'!BD$6:BD$105)+SUMIF(Capacity_Resource,$E185,'Critical resources (hide)'!BD$6:BD$105)+SUMIF(Capacity_Resource,$F185,'Critical resources (hide)'!BD$6:BD$105)&gt;0,$E$1=2),0,1)</f>
        <v>1</v>
      </c>
      <c r="AR185" s="67">
        <f ca="1">IF(AND(SUMIF(Capacity_Resource,$D185,'Critical resources (hide)'!BE$6:BE$105)+SUMIF(Capacity_Resource,$E185,'Critical resources (hide)'!BE$6:BE$105)+SUMIF(Capacity_Resource,$F185,'Critical resources (hide)'!BE$6:BE$105)&gt;0,$E$1=2),0,1)</f>
        <v>1</v>
      </c>
      <c r="AS185" s="67">
        <f ca="1">IF(AND(SUMIF(Capacity_Resource,$D185,'Critical resources (hide)'!BF$6:BF$105)+SUMIF(Capacity_Resource,$E185,'Critical resources (hide)'!BF$6:BF$105)+SUMIF(Capacity_Resource,$F185,'Critical resources (hide)'!BF$6:BF$105)&gt;0,$E$1=2),0,1)</f>
        <v>1</v>
      </c>
      <c r="AT185" s="67">
        <f ca="1">IF(AND(SUMIF(Capacity_Resource,$D185,'Critical resources (hide)'!BG$6:BG$105)+SUMIF(Capacity_Resource,$E185,'Critical resources (hide)'!BG$6:BG$105)+SUMIF(Capacity_Resource,$F185,'Critical resources (hide)'!BG$6:BG$105)&gt;0,$E$1=2),0,1)</f>
        <v>1</v>
      </c>
      <c r="AU185" s="67">
        <f ca="1">IF(AND(SUMIF(Capacity_Resource,$D185,'Critical resources (hide)'!BH$6:BH$105)+SUMIF(Capacity_Resource,$E185,'Critical resources (hide)'!BH$6:BH$105)+SUMIF(Capacity_Resource,$F185,'Critical resources (hide)'!BH$6:BH$105)&gt;0,$E$1=2),0,1)</f>
        <v>1</v>
      </c>
      <c r="AV185" s="67">
        <f ca="1">IF(AND(SUMIF(Capacity_Resource,$D185,'Critical resources (hide)'!BI$6:BI$105)+SUMIF(Capacity_Resource,$E185,'Critical resources (hide)'!BI$6:BI$105)+SUMIF(Capacity_Resource,$F185,'Critical resources (hide)'!BI$6:BI$105)&gt;0,$E$1=2),0,1)</f>
        <v>1</v>
      </c>
      <c r="AW185" s="67">
        <f ca="1">IF(AND(SUMIF(Capacity_Resource,$D185,'Critical resources (hide)'!BJ$6:BJ$105)+SUMIF(Capacity_Resource,$E185,'Critical resources (hide)'!BJ$6:BJ$105)+SUMIF(Capacity_Resource,$F185,'Critical resources (hide)'!BJ$6:BJ$105)&gt;0,$E$1=2),0,1)</f>
        <v>1</v>
      </c>
      <c r="AX185" s="67">
        <f ca="1">IF(AND(SUMIF(Capacity_Resource,$D185,'Critical resources (hide)'!BK$6:BK$105)+SUMIF(Capacity_Resource,$E185,'Critical resources (hide)'!BK$6:BK$105)+SUMIF(Capacity_Resource,$F185,'Critical resources (hide)'!BK$6:BK$105)&gt;0,$E$1=2),0,1)</f>
        <v>1</v>
      </c>
      <c r="AY185" s="67">
        <f ca="1">IF(AND(SUMIF(Capacity_Resource,$D185,'Critical resources (hide)'!BL$6:BL$105)+SUMIF(Capacity_Resource,$E185,'Critical resources (hide)'!BL$6:BL$105)+SUMIF(Capacity_Resource,$F185,'Critical resources (hide)'!BL$6:BL$105)&gt;0,$E$1=2),0,1)</f>
        <v>1</v>
      </c>
      <c r="AZ185" s="67">
        <f ca="1">IF(AND(SUMIF(Capacity_Resource,$D185,'Critical resources (hide)'!BM$6:BM$105)+SUMIF(Capacity_Resource,$E185,'Critical resources (hide)'!BM$6:BM$105)+SUMIF(Capacity_Resource,$F185,'Critical resources (hide)'!BM$6:BM$105)&gt;0,$E$1=2),0,1)</f>
        <v>1</v>
      </c>
      <c r="BA185" s="67">
        <f ca="1">IF(AND(SUMIF(Capacity_Resource,$D185,'Critical resources (hide)'!BN$6:BN$105)+SUMIF(Capacity_Resource,$E185,'Critical resources (hide)'!BN$6:BN$105)+SUMIF(Capacity_Resource,$F185,'Critical resources (hide)'!BN$6:BN$105)&gt;0,$E$1=2),0,1)</f>
        <v>1</v>
      </c>
      <c r="BB185" s="67">
        <f ca="1">IF(AND(SUMIF(Capacity_Resource,$D185,'Critical resources (hide)'!BO$6:BO$105)+SUMIF(Capacity_Resource,$E185,'Critical resources (hide)'!BO$6:BO$105)+SUMIF(Capacity_Resource,$F185,'Critical resources (hide)'!BO$6:BO$105)&gt;0,$E$1=2),0,1)</f>
        <v>1</v>
      </c>
      <c r="BC185" s="67">
        <f ca="1">IF(AND(SUMIF(Capacity_Resource,$D185,'Critical resources (hide)'!BP$6:BP$105)+SUMIF(Capacity_Resource,$E185,'Critical resources (hide)'!BP$6:BP$105)+SUMIF(Capacity_Resource,$F185,'Critical resources (hide)'!BP$6:BP$105)&gt;0,$E$1=2),0,1)</f>
        <v>1</v>
      </c>
      <c r="BD185" s="67">
        <f ca="1">IF(AND(SUMIF(Capacity_Resource,$D185,'Critical resources (hide)'!BQ$6:BQ$105)+SUMIF(Capacity_Resource,$E185,'Critical resources (hide)'!BQ$6:BQ$105)+SUMIF(Capacity_Resource,$F185,'Critical resources (hide)'!BQ$6:BQ$105)&gt;0,$E$1=2),0,1)</f>
        <v>1</v>
      </c>
      <c r="BE185" s="67">
        <f ca="1">IF(AND(SUMIF(Capacity_Resource,$D185,'Critical resources (hide)'!BR$6:BR$105)+SUMIF(Capacity_Resource,$E185,'Critical resources (hide)'!BR$6:BR$105)+SUMIF(Capacity_Resource,$F185,'Critical resources (hide)'!BR$6:BR$105)&gt;0,$E$1=2),0,1)</f>
        <v>1</v>
      </c>
      <c r="BF185" s="67">
        <f ca="1">IF(AND(SUMIF(Capacity_Resource,$D185,'Critical resources (hide)'!BS$6:BS$105)+SUMIF(Capacity_Resource,$E185,'Critical resources (hide)'!BS$6:BS$105)+SUMIF(Capacity_Resource,$F185,'Critical resources (hide)'!BS$6:BS$105)&gt;0,$E$1=2),0,1)</f>
        <v>1</v>
      </c>
      <c r="BG185" s="67">
        <f ca="1">IF(AND(SUMIF(Capacity_Resource,$D185,'Critical resources (hide)'!BT$6:BT$105)+SUMIF(Capacity_Resource,$E185,'Critical resources (hide)'!BT$6:BT$105)+SUMIF(Capacity_Resource,$F185,'Critical resources (hide)'!BT$6:BT$105)&gt;0,$E$1=2),0,1)</f>
        <v>1</v>
      </c>
      <c r="BH185" s="67">
        <f>IF(ROW(A74)&lt;=Capacity!$M$16,IF('Capacity summary'!$C$14="No",SUM(H185:BG185),'Capacity summary'!$E97),0)</f>
        <v>0</v>
      </c>
      <c r="BI185" s="67" t="str">
        <f>IF(BH185&gt;0,IF(BH185&lt;Capacity!Q90,Capacity!R90,Capacity!T90/'Capacity calculation (hide)'!BH185),"")</f>
        <v/>
      </c>
      <c r="BJ185" s="5"/>
      <c r="BK185" s="5">
        <f>IF($BI185&lt;&gt;"",IF('Capacity summary'!$C$14="Yes",IF(COUNTBLANK('Capacity summary'!$H97:$BG97)&lt;52,IF('Capacity summary'!H97&lt;&gt;"",IF(LOWER('Capacity summary'!H97)="x",$BI185*H185,VALUE('Capacity summary'!H97)),0),H185*$BI185),H185*$BI185),0)</f>
        <v>0</v>
      </c>
      <c r="BL185" s="5">
        <f>IF($BI185&lt;&gt;"",IF('Capacity summary'!$C$14="Yes",IF(COUNTBLANK('Capacity summary'!$H97:$BG97)&lt;52,IF('Capacity summary'!I97&lt;&gt;"",IF(LOWER('Capacity summary'!I97)="x",$BI185*I185,VALUE('Capacity summary'!I97)),0),I185*$BI185),I185*$BI185),0)</f>
        <v>0</v>
      </c>
      <c r="BM185" s="5">
        <f>IF($BI185&lt;&gt;"",IF('Capacity summary'!$C$14="Yes",IF(COUNTBLANK('Capacity summary'!$H97:$BG97)&lt;52,IF('Capacity summary'!J97&lt;&gt;"",IF(LOWER('Capacity summary'!J97)="x",$BI185*J185,VALUE('Capacity summary'!J97)),0),J185*$BI185),J185*$BI185),0)</f>
        <v>0</v>
      </c>
      <c r="BN185" s="5">
        <f>IF($BI185&lt;&gt;"",IF('Capacity summary'!$C$14="Yes",IF(COUNTBLANK('Capacity summary'!$H97:$BG97)&lt;52,IF('Capacity summary'!K97&lt;&gt;"",IF(LOWER('Capacity summary'!K97)="x",$BI185*K185,VALUE('Capacity summary'!K97)),0),K185*$BI185),K185*$BI185),0)</f>
        <v>0</v>
      </c>
      <c r="BO185" s="5">
        <f>IF($BI185&lt;&gt;"",IF('Capacity summary'!$C$14="Yes",IF(COUNTBLANK('Capacity summary'!$H97:$BG97)&lt;52,IF('Capacity summary'!L97&lt;&gt;"",IF(LOWER('Capacity summary'!L97)="x",$BI185*L185,VALUE('Capacity summary'!L97)),0),L185*$BI185),L185*$BI185),0)</f>
        <v>0</v>
      </c>
      <c r="BP185" s="5">
        <f>IF($BI185&lt;&gt;"",IF('Capacity summary'!$C$14="Yes",IF(COUNTBLANK('Capacity summary'!$H97:$BG97)&lt;52,IF('Capacity summary'!M97&lt;&gt;"",IF(LOWER('Capacity summary'!M97)="x",$BI185*M185,VALUE('Capacity summary'!M97)),0),M185*$BI185),M185*$BI185),0)</f>
        <v>0</v>
      </c>
      <c r="BQ185" s="5">
        <f>IF($BI185&lt;&gt;"",IF('Capacity summary'!$C$14="Yes",IF(COUNTBLANK('Capacity summary'!$H97:$BG97)&lt;52,IF('Capacity summary'!N97&lt;&gt;"",IF(LOWER('Capacity summary'!N97)="x",$BI185*N185,VALUE('Capacity summary'!N97)),0),N185*$BI185),N185*$BI185),0)</f>
        <v>0</v>
      </c>
      <c r="BR185" s="5">
        <f>IF($BI185&lt;&gt;"",IF('Capacity summary'!$C$14="Yes",IF(COUNTBLANK('Capacity summary'!$H97:$BG97)&lt;52,IF('Capacity summary'!O97&lt;&gt;"",IF(LOWER('Capacity summary'!O97)="x",$BI185*O185,VALUE('Capacity summary'!O97)),0),O185*$BI185),O185*$BI185),0)</f>
        <v>0</v>
      </c>
      <c r="BS185" s="5">
        <f>IF($BI185&lt;&gt;"",IF('Capacity summary'!$C$14="Yes",IF(COUNTBLANK('Capacity summary'!$H97:$BG97)&lt;52,IF('Capacity summary'!P97&lt;&gt;"",IF(LOWER('Capacity summary'!P97)="x",$BI185*P185,VALUE('Capacity summary'!P97)),0),P185*$BI185),P185*$BI185),0)</f>
        <v>0</v>
      </c>
      <c r="BT185" s="5">
        <f>IF($BI185&lt;&gt;"",IF('Capacity summary'!$C$14="Yes",IF(COUNTBLANK('Capacity summary'!$H97:$BG97)&lt;52,IF('Capacity summary'!Q97&lt;&gt;"",IF(LOWER('Capacity summary'!Q97)="x",$BI185*Q185,VALUE('Capacity summary'!Q97)),0),Q185*$BI185),Q185*$BI185),0)</f>
        <v>0</v>
      </c>
      <c r="BU185" s="5">
        <f>IF($BI185&lt;&gt;"",IF('Capacity summary'!$C$14="Yes",IF(COUNTBLANK('Capacity summary'!$H97:$BG97)&lt;52,IF('Capacity summary'!R97&lt;&gt;"",IF(LOWER('Capacity summary'!R97)="x",$BI185*R185,VALUE('Capacity summary'!R97)),0),R185*$BI185),R185*$BI185),0)</f>
        <v>0</v>
      </c>
      <c r="BV185" s="5">
        <f>IF($BI185&lt;&gt;"",IF('Capacity summary'!$C$14="Yes",IF(COUNTBLANK('Capacity summary'!$H97:$BG97)&lt;52,IF('Capacity summary'!S97&lt;&gt;"",IF(LOWER('Capacity summary'!S97)="x",$BI185*S185,VALUE('Capacity summary'!S97)),0),S185*$BI185),S185*$BI185),0)</f>
        <v>0</v>
      </c>
      <c r="BW185" s="5">
        <f>IF($BI185&lt;&gt;"",IF('Capacity summary'!$C$14="Yes",IF(COUNTBLANK('Capacity summary'!$H97:$BG97)&lt;52,IF('Capacity summary'!T97&lt;&gt;"",IF(LOWER('Capacity summary'!T97)="x",$BI185*T185,VALUE('Capacity summary'!T97)),0),T185*$BI185),T185*$BI185),0)</f>
        <v>0</v>
      </c>
      <c r="BX185" s="5">
        <f>IF($BI185&lt;&gt;"",IF('Capacity summary'!$C$14="Yes",IF(COUNTBLANK('Capacity summary'!$H97:$BG97)&lt;52,IF('Capacity summary'!U97&lt;&gt;"",IF(LOWER('Capacity summary'!U97)="x",$BI185*U185,VALUE('Capacity summary'!U97)),0),U185*$BI185),U185*$BI185),0)</f>
        <v>0</v>
      </c>
      <c r="BY185" s="5">
        <f>IF($BI185&lt;&gt;"",IF('Capacity summary'!$C$14="Yes",IF(COUNTBLANK('Capacity summary'!$H97:$BG97)&lt;52,IF('Capacity summary'!V97&lt;&gt;"",IF(LOWER('Capacity summary'!V97)="x",$BI185*V185,VALUE('Capacity summary'!V97)),0),V185*$BI185),V185*$BI185),0)</f>
        <v>0</v>
      </c>
      <c r="BZ185" s="5">
        <f>IF($BI185&lt;&gt;"",IF('Capacity summary'!$C$14="Yes",IF(COUNTBLANK('Capacity summary'!$H97:$BG97)&lt;52,IF('Capacity summary'!W97&lt;&gt;"",IF(LOWER('Capacity summary'!W97)="x",$BI185*W185,VALUE('Capacity summary'!W97)),0),W185*$BI185),W185*$BI185),0)</f>
        <v>0</v>
      </c>
      <c r="CA185" s="5">
        <f>IF($BI185&lt;&gt;"",IF('Capacity summary'!$C$14="Yes",IF(COUNTBLANK('Capacity summary'!$H97:$BG97)&lt;52,IF('Capacity summary'!X97&lt;&gt;"",IF(LOWER('Capacity summary'!X97)="x",$BI185*X185,VALUE('Capacity summary'!X97)),0),X185*$BI185),X185*$BI185),0)</f>
        <v>0</v>
      </c>
      <c r="CB185" s="5">
        <f>IF($BI185&lt;&gt;"",IF('Capacity summary'!$C$14="Yes",IF(COUNTBLANK('Capacity summary'!$H97:$BG97)&lt;52,IF('Capacity summary'!Y97&lt;&gt;"",IF(LOWER('Capacity summary'!Y97)="x",$BI185*Y185,VALUE('Capacity summary'!Y97)),0),Y185*$BI185),Y185*$BI185),0)</f>
        <v>0</v>
      </c>
      <c r="CC185" s="5">
        <f>IF($BI185&lt;&gt;"",IF('Capacity summary'!$C$14="Yes",IF(COUNTBLANK('Capacity summary'!$H97:$BG97)&lt;52,IF('Capacity summary'!Z97&lt;&gt;"",IF(LOWER('Capacity summary'!Z97)="x",$BI185*Z185,VALUE('Capacity summary'!Z97)),0),Z185*$BI185),Z185*$BI185),0)</f>
        <v>0</v>
      </c>
      <c r="CD185" s="5">
        <f>IF($BI185&lt;&gt;"",IF('Capacity summary'!$C$14="Yes",IF(COUNTBLANK('Capacity summary'!$H97:$BG97)&lt;52,IF('Capacity summary'!AA97&lt;&gt;"",IF(LOWER('Capacity summary'!AA97)="x",$BI185*AA185,VALUE('Capacity summary'!AA97)),0),AA185*$BI185),AA185*$BI185),0)</f>
        <v>0</v>
      </c>
      <c r="CE185" s="5">
        <f>IF($BI185&lt;&gt;"",IF('Capacity summary'!$C$14="Yes",IF(COUNTBLANK('Capacity summary'!$H97:$BG97)&lt;52,IF('Capacity summary'!AB97&lt;&gt;"",IF(LOWER('Capacity summary'!AB97)="x",$BI185*AB185,VALUE('Capacity summary'!AB97)),0),AB185*$BI185),AB185*$BI185),0)</f>
        <v>0</v>
      </c>
      <c r="CF185" s="5">
        <f>IF($BI185&lt;&gt;"",IF('Capacity summary'!$C$14="Yes",IF(COUNTBLANK('Capacity summary'!$H97:$BG97)&lt;52,IF('Capacity summary'!AC97&lt;&gt;"",IF(LOWER('Capacity summary'!AC97)="x",$BI185*AC185,VALUE('Capacity summary'!AC97)),0),AC185*$BI185),AC185*$BI185),0)</f>
        <v>0</v>
      </c>
      <c r="CG185" s="5">
        <f>IF($BI185&lt;&gt;"",IF('Capacity summary'!$C$14="Yes",IF(COUNTBLANK('Capacity summary'!$H97:$BG97)&lt;52,IF('Capacity summary'!AD97&lt;&gt;"",IF(LOWER('Capacity summary'!AD97)="x",$BI185*AD185,VALUE('Capacity summary'!AD97)),0),AD185*$BI185),AD185*$BI185),0)</f>
        <v>0</v>
      </c>
      <c r="CH185" s="5">
        <f>IF($BI185&lt;&gt;"",IF('Capacity summary'!$C$14="Yes",IF(COUNTBLANK('Capacity summary'!$H97:$BG97)&lt;52,IF('Capacity summary'!AE97&lt;&gt;"",IF(LOWER('Capacity summary'!AE97)="x",$BI185*AE185,VALUE('Capacity summary'!AE97)),0),AE185*$BI185),AE185*$BI185),0)</f>
        <v>0</v>
      </c>
      <c r="CI185" s="5">
        <f>IF($BI185&lt;&gt;"",IF('Capacity summary'!$C$14="Yes",IF(COUNTBLANK('Capacity summary'!$H97:$BG97)&lt;52,IF('Capacity summary'!AF97&lt;&gt;"",IF(LOWER('Capacity summary'!AF97)="x",$BI185*AF185,VALUE('Capacity summary'!AF97)),0),AF185*$BI185),AF185*$BI185),0)</f>
        <v>0</v>
      </c>
      <c r="CJ185" s="5">
        <f>IF($BI185&lt;&gt;"",IF('Capacity summary'!$C$14="Yes",IF(COUNTBLANK('Capacity summary'!$H97:$BG97)&lt;52,IF('Capacity summary'!AG97&lt;&gt;"",IF(LOWER('Capacity summary'!AG97)="x",$BI185*AG185,VALUE('Capacity summary'!AG97)),0),AG185*$BI185),AG185*$BI185),0)</f>
        <v>0</v>
      </c>
      <c r="CK185" s="5">
        <f>IF($BI185&lt;&gt;"",IF('Capacity summary'!$C$14="Yes",IF(COUNTBLANK('Capacity summary'!$H97:$BG97)&lt;52,IF('Capacity summary'!AH97&lt;&gt;"",IF(LOWER('Capacity summary'!AH97)="x",$BI185*AH185,VALUE('Capacity summary'!AH97)),0),AH185*$BI185),AH185*$BI185),0)</f>
        <v>0</v>
      </c>
      <c r="CL185" s="5">
        <f>IF($BI185&lt;&gt;"",IF('Capacity summary'!$C$14="Yes",IF(COUNTBLANK('Capacity summary'!$H97:$BG97)&lt;52,IF('Capacity summary'!AI97&lt;&gt;"",IF(LOWER('Capacity summary'!AI97)="x",$BI185*AI185,VALUE('Capacity summary'!AI97)),0),AI185*$BI185),AI185*$BI185),0)</f>
        <v>0</v>
      </c>
      <c r="CM185" s="5">
        <f>IF($BI185&lt;&gt;"",IF('Capacity summary'!$C$14="Yes",IF(COUNTBLANK('Capacity summary'!$H97:$BG97)&lt;52,IF('Capacity summary'!AJ97&lt;&gt;"",IF(LOWER('Capacity summary'!AJ97)="x",$BI185*AJ185,VALUE('Capacity summary'!AJ97)),0),AJ185*$BI185),AJ185*$BI185),0)</f>
        <v>0</v>
      </c>
      <c r="CN185" s="5">
        <f>IF($BI185&lt;&gt;"",IF('Capacity summary'!$C$14="Yes",IF(COUNTBLANK('Capacity summary'!$H97:$BG97)&lt;52,IF('Capacity summary'!AK97&lt;&gt;"",IF(LOWER('Capacity summary'!AK97)="x",$BI185*AK185,VALUE('Capacity summary'!AK97)),0),AK185*$BI185),AK185*$BI185),0)</f>
        <v>0</v>
      </c>
      <c r="CO185" s="5">
        <f>IF($BI185&lt;&gt;"",IF('Capacity summary'!$C$14="Yes",IF(COUNTBLANK('Capacity summary'!$H97:$BG97)&lt;52,IF('Capacity summary'!AL97&lt;&gt;"",IF(LOWER('Capacity summary'!AL97)="x",$BI185*AL185,VALUE('Capacity summary'!AL97)),0),AL185*$BI185),AL185*$BI185),0)</f>
        <v>0</v>
      </c>
      <c r="CP185" s="5">
        <f>IF($BI185&lt;&gt;"",IF('Capacity summary'!$C$14="Yes",IF(COUNTBLANK('Capacity summary'!$H97:$BG97)&lt;52,IF('Capacity summary'!AM97&lt;&gt;"",IF(LOWER('Capacity summary'!AM97)="x",$BI185*AM185,VALUE('Capacity summary'!AM97)),0),AM185*$BI185),AM185*$BI185),0)</f>
        <v>0</v>
      </c>
      <c r="CQ185" s="5">
        <f>IF($BI185&lt;&gt;"",IF('Capacity summary'!$C$14="Yes",IF(COUNTBLANK('Capacity summary'!$H97:$BG97)&lt;52,IF('Capacity summary'!AN97&lt;&gt;"",IF(LOWER('Capacity summary'!AN97)="x",$BI185*AN185,VALUE('Capacity summary'!AN97)),0),AN185*$BI185),AN185*$BI185),0)</f>
        <v>0</v>
      </c>
      <c r="CR185" s="5">
        <f>IF($BI185&lt;&gt;"",IF('Capacity summary'!$C$14="Yes",IF(COUNTBLANK('Capacity summary'!$H97:$BG97)&lt;52,IF('Capacity summary'!AO97&lt;&gt;"",IF(LOWER('Capacity summary'!AO97)="x",$BI185*AO185,VALUE('Capacity summary'!AO97)),0),AO185*$BI185),AO185*$BI185),0)</f>
        <v>0</v>
      </c>
      <c r="CS185" s="5">
        <f>IF($BI185&lt;&gt;"",IF('Capacity summary'!$C$14="Yes",IF(COUNTBLANK('Capacity summary'!$H97:$BG97)&lt;52,IF('Capacity summary'!AP97&lt;&gt;"",IF(LOWER('Capacity summary'!AP97)="x",$BI185*AP185,VALUE('Capacity summary'!AP97)),0),AP185*$BI185),AP185*$BI185),0)</f>
        <v>0</v>
      </c>
      <c r="CT185" s="5">
        <f>IF($BI185&lt;&gt;"",IF('Capacity summary'!$C$14="Yes",IF(COUNTBLANK('Capacity summary'!$H97:$BG97)&lt;52,IF('Capacity summary'!AQ97&lt;&gt;"",IF(LOWER('Capacity summary'!AQ97)="x",$BI185*AQ185,VALUE('Capacity summary'!AQ97)),0),AQ185*$BI185),AQ185*$BI185),0)</f>
        <v>0</v>
      </c>
      <c r="CU185" s="5">
        <f>IF($BI185&lt;&gt;"",IF('Capacity summary'!$C$14="Yes",IF(COUNTBLANK('Capacity summary'!$H97:$BG97)&lt;52,IF('Capacity summary'!AR97&lt;&gt;"",IF(LOWER('Capacity summary'!AR97)="x",$BI185*AR185,VALUE('Capacity summary'!AR97)),0),AR185*$BI185),AR185*$BI185),0)</f>
        <v>0</v>
      </c>
      <c r="CV185" s="5">
        <f>IF($BI185&lt;&gt;"",IF('Capacity summary'!$C$14="Yes",IF(COUNTBLANK('Capacity summary'!$H97:$BG97)&lt;52,IF('Capacity summary'!AS97&lt;&gt;"",IF(LOWER('Capacity summary'!AS97)="x",$BI185*AS185,VALUE('Capacity summary'!AS97)),0),AS185*$BI185),AS185*$BI185),0)</f>
        <v>0</v>
      </c>
      <c r="CW185" s="5">
        <f>IF($BI185&lt;&gt;"",IF('Capacity summary'!$C$14="Yes",IF(COUNTBLANK('Capacity summary'!$H97:$BG97)&lt;52,IF('Capacity summary'!AT97&lt;&gt;"",IF(LOWER('Capacity summary'!AT97)="x",$BI185*AT185,VALUE('Capacity summary'!AT97)),0),AT185*$BI185),AT185*$BI185),0)</f>
        <v>0</v>
      </c>
      <c r="CX185" s="5">
        <f>IF($BI185&lt;&gt;"",IF('Capacity summary'!$C$14="Yes",IF(COUNTBLANK('Capacity summary'!$H97:$BG97)&lt;52,IF('Capacity summary'!AU97&lt;&gt;"",IF(LOWER('Capacity summary'!AU97)="x",$BI185*AU185,VALUE('Capacity summary'!AU97)),0),AU185*$BI185),AU185*$BI185),0)</f>
        <v>0</v>
      </c>
      <c r="CY185" s="5">
        <f>IF($BI185&lt;&gt;"",IF('Capacity summary'!$C$14="Yes",IF(COUNTBLANK('Capacity summary'!$H97:$BG97)&lt;52,IF('Capacity summary'!AV97&lt;&gt;"",IF(LOWER('Capacity summary'!AV97)="x",$BI185*AV185,VALUE('Capacity summary'!AV97)),0),AV185*$BI185),AV185*$BI185),0)</f>
        <v>0</v>
      </c>
      <c r="CZ185" s="5">
        <f>IF($BI185&lt;&gt;"",IF('Capacity summary'!$C$14="Yes",IF(COUNTBLANK('Capacity summary'!$H97:$BG97)&lt;52,IF('Capacity summary'!AW97&lt;&gt;"",IF(LOWER('Capacity summary'!AW97)="x",$BI185*AW185,VALUE('Capacity summary'!AW97)),0),AW185*$BI185),AW185*$BI185),0)</f>
        <v>0</v>
      </c>
      <c r="DA185" s="5">
        <f>IF($BI185&lt;&gt;"",IF('Capacity summary'!$C$14="Yes",IF(COUNTBLANK('Capacity summary'!$H97:$BG97)&lt;52,IF('Capacity summary'!AX97&lt;&gt;"",IF(LOWER('Capacity summary'!AX97)="x",$BI185*AX185,VALUE('Capacity summary'!AX97)),0),AX185*$BI185),AX185*$BI185),0)</f>
        <v>0</v>
      </c>
      <c r="DB185" s="5">
        <f>IF($BI185&lt;&gt;"",IF('Capacity summary'!$C$14="Yes",IF(COUNTBLANK('Capacity summary'!$H97:$BG97)&lt;52,IF('Capacity summary'!AY97&lt;&gt;"",IF(LOWER('Capacity summary'!AY97)="x",$BI185*AY185,VALUE('Capacity summary'!AY97)),0),AY185*$BI185),AY185*$BI185),0)</f>
        <v>0</v>
      </c>
      <c r="DC185" s="5">
        <f>IF($BI185&lt;&gt;"",IF('Capacity summary'!$C$14="Yes",IF(COUNTBLANK('Capacity summary'!$H97:$BG97)&lt;52,IF('Capacity summary'!AZ97&lt;&gt;"",IF(LOWER('Capacity summary'!AZ97)="x",$BI185*AZ185,VALUE('Capacity summary'!AZ97)),0),AZ185*$BI185),AZ185*$BI185),0)</f>
        <v>0</v>
      </c>
      <c r="DD185" s="5">
        <f>IF($BI185&lt;&gt;"",IF('Capacity summary'!$C$14="Yes",IF(COUNTBLANK('Capacity summary'!$H97:$BG97)&lt;52,IF('Capacity summary'!BA97&lt;&gt;"",IF(LOWER('Capacity summary'!BA97)="x",$BI185*BA185,VALUE('Capacity summary'!BA97)),0),BA185*$BI185),BA185*$BI185),0)</f>
        <v>0</v>
      </c>
      <c r="DE185" s="5">
        <f>IF($BI185&lt;&gt;"",IF('Capacity summary'!$C$14="Yes",IF(COUNTBLANK('Capacity summary'!$H97:$BG97)&lt;52,IF('Capacity summary'!BB97&lt;&gt;"",IF(LOWER('Capacity summary'!BB97)="x",$BI185*BB185,VALUE('Capacity summary'!BB97)),0),BB185*$BI185),BB185*$BI185),0)</f>
        <v>0</v>
      </c>
      <c r="DF185" s="5">
        <f>IF($BI185&lt;&gt;"",IF('Capacity summary'!$C$14="Yes",IF(COUNTBLANK('Capacity summary'!$H97:$BG97)&lt;52,IF('Capacity summary'!BC97&lt;&gt;"",IF(LOWER('Capacity summary'!BC97)="x",$BI185*BC185,VALUE('Capacity summary'!BC97)),0),BC185*$BI185),BC185*$BI185),0)</f>
        <v>0</v>
      </c>
      <c r="DG185" s="5">
        <f>IF($BI185&lt;&gt;"",IF('Capacity summary'!$C$14="Yes",IF(COUNTBLANK('Capacity summary'!$H97:$BG97)&lt;52,IF('Capacity summary'!BD97&lt;&gt;"",IF(LOWER('Capacity summary'!BD97)="x",$BI185*BD185,VALUE('Capacity summary'!BD97)),0),BD185*$BI185),BD185*$BI185),0)</f>
        <v>0</v>
      </c>
      <c r="DH185" s="5">
        <f>IF($BI185&lt;&gt;"",IF('Capacity summary'!$C$14="Yes",IF(COUNTBLANK('Capacity summary'!$H97:$BG97)&lt;52,IF('Capacity summary'!BE97&lt;&gt;"",IF(LOWER('Capacity summary'!BE97)="x",$BI185*BE185,VALUE('Capacity summary'!BE97)),0),BE185*$BI185),BE185*$BI185),0)</f>
        <v>0</v>
      </c>
      <c r="DI185" s="5">
        <f>IF($BI185&lt;&gt;"",IF('Capacity summary'!$C$14="Yes",IF(COUNTBLANK('Capacity summary'!$H97:$BG97)&lt;52,IF('Capacity summary'!BF97&lt;&gt;"",IF(LOWER('Capacity summary'!BF97)="x",$BI185*BF185,VALUE('Capacity summary'!BF97)),0),BF185*$BI185),BF185*$BI185),0)</f>
        <v>0</v>
      </c>
      <c r="DJ185" s="5">
        <f>IF($BI185&lt;&gt;"",IF('Capacity summary'!$C$14="Yes",IF(COUNTBLANK('Capacity summary'!$H97:$BG97)&lt;52,IF('Capacity summary'!BG97&lt;&gt;"",IF(LOWER('Capacity summary'!BG97)="x",$BI185*BG185,VALUE('Capacity summary'!BG97)),0),BG185*$BI185),BG185*$BI185),0)</f>
        <v>0</v>
      </c>
      <c r="DK185" s="5">
        <f t="shared" ref="DK185" si="79">SUM(DK186:DK285)</f>
        <v>0</v>
      </c>
    </row>
    <row r="186" spans="3:115" x14ac:dyDescent="0.25">
      <c r="C186" s="67" t="str">
        <f>ROW(A75)&amp;". "&amp;Capacity!N91</f>
        <v xml:space="preserve">75. </v>
      </c>
      <c r="D186" s="67">
        <f>'Capacity setup'!C192</f>
        <v>0</v>
      </c>
      <c r="E186" s="67">
        <f>'Capacity setup'!D192</f>
        <v>0</v>
      </c>
      <c r="F186" s="67">
        <f>'Capacity setup'!E192</f>
        <v>0</v>
      </c>
      <c r="H186" s="67">
        <f ca="1">IF(AND(SUMIF(Capacity_Resource,$D186,'Critical resources (hide)'!U$6:U$105)+SUMIF(Capacity_Resource,$E186,'Critical resources (hide)'!U$6:U$105)+SUMIF(Capacity_Resource,$F186,'Critical resources (hide)'!U$6:U$105)&gt;0,$E$1=2),0,1)</f>
        <v>1</v>
      </c>
      <c r="I186" s="67">
        <f ca="1">IF(AND(SUMIF(Capacity_Resource,$D186,'Critical resources (hide)'!V$6:V$105)+SUMIF(Capacity_Resource,$E186,'Critical resources (hide)'!V$6:V$105)+SUMIF(Capacity_Resource,$F186,'Critical resources (hide)'!V$6:V$105)&gt;0,$E$1=2),0,1)</f>
        <v>1</v>
      </c>
      <c r="J186" s="67">
        <f ca="1">IF(AND(SUMIF(Capacity_Resource,$D186,'Critical resources (hide)'!W$6:W$105)+SUMIF(Capacity_Resource,$E186,'Critical resources (hide)'!W$6:W$105)+SUMIF(Capacity_Resource,$F186,'Critical resources (hide)'!W$6:W$105)&gt;0,$E$1=2),0,1)</f>
        <v>1</v>
      </c>
      <c r="K186" s="67">
        <f ca="1">IF(AND(SUMIF(Capacity_Resource,$D186,'Critical resources (hide)'!X$6:X$105)+SUMIF(Capacity_Resource,$E186,'Critical resources (hide)'!X$6:X$105)+SUMIF(Capacity_Resource,$F186,'Critical resources (hide)'!X$6:X$105)&gt;0,$E$1=2),0,1)</f>
        <v>1</v>
      </c>
      <c r="L186" s="67">
        <f ca="1">IF(AND(SUMIF(Capacity_Resource,$D186,'Critical resources (hide)'!Y$6:Y$105)+SUMIF(Capacity_Resource,$E186,'Critical resources (hide)'!Y$6:Y$105)+SUMIF(Capacity_Resource,$F186,'Critical resources (hide)'!Y$6:Y$105)&gt;0,$E$1=2),0,1)</f>
        <v>1</v>
      </c>
      <c r="M186" s="67">
        <f ca="1">IF(AND(SUMIF(Capacity_Resource,$D186,'Critical resources (hide)'!Z$6:Z$105)+SUMIF(Capacity_Resource,$E186,'Critical resources (hide)'!Z$6:Z$105)+SUMIF(Capacity_Resource,$F186,'Critical resources (hide)'!Z$6:Z$105)&gt;0,$E$1=2),0,1)</f>
        <v>1</v>
      </c>
      <c r="N186" s="67">
        <f ca="1">IF(AND(SUMIF(Capacity_Resource,$D186,'Critical resources (hide)'!AA$6:AA$105)+SUMIF(Capacity_Resource,$E186,'Critical resources (hide)'!AA$6:AA$105)+SUMIF(Capacity_Resource,$F186,'Critical resources (hide)'!AA$6:AA$105)&gt;0,$E$1=2),0,1)</f>
        <v>1</v>
      </c>
      <c r="O186" s="67">
        <f ca="1">IF(AND(SUMIF(Capacity_Resource,$D186,'Critical resources (hide)'!AB$6:AB$105)+SUMIF(Capacity_Resource,$E186,'Critical resources (hide)'!AB$6:AB$105)+SUMIF(Capacity_Resource,$F186,'Critical resources (hide)'!AB$6:AB$105)&gt;0,$E$1=2),0,1)</f>
        <v>1</v>
      </c>
      <c r="P186" s="67">
        <f ca="1">IF(AND(SUMIF(Capacity_Resource,$D186,'Critical resources (hide)'!AC$6:AC$105)+SUMIF(Capacity_Resource,$E186,'Critical resources (hide)'!AC$6:AC$105)+SUMIF(Capacity_Resource,$F186,'Critical resources (hide)'!AC$6:AC$105)&gt;0,$E$1=2),0,1)</f>
        <v>1</v>
      </c>
      <c r="Q186" s="67">
        <f ca="1">IF(AND(SUMIF(Capacity_Resource,$D186,'Critical resources (hide)'!AD$6:AD$105)+SUMIF(Capacity_Resource,$E186,'Critical resources (hide)'!AD$6:AD$105)+SUMIF(Capacity_Resource,$F186,'Critical resources (hide)'!AD$6:AD$105)&gt;0,$E$1=2),0,1)</f>
        <v>1</v>
      </c>
      <c r="R186" s="67">
        <f ca="1">IF(AND(SUMIF(Capacity_Resource,$D186,'Critical resources (hide)'!AE$6:AE$105)+SUMIF(Capacity_Resource,$E186,'Critical resources (hide)'!AE$6:AE$105)+SUMIF(Capacity_Resource,$F186,'Critical resources (hide)'!AE$6:AE$105)&gt;0,$E$1=2),0,1)</f>
        <v>1</v>
      </c>
      <c r="S186" s="67">
        <f ca="1">IF(AND(SUMIF(Capacity_Resource,$D186,'Critical resources (hide)'!AF$6:AF$105)+SUMIF(Capacity_Resource,$E186,'Critical resources (hide)'!AF$6:AF$105)+SUMIF(Capacity_Resource,$F186,'Critical resources (hide)'!AF$6:AF$105)&gt;0,$E$1=2),0,1)</f>
        <v>1</v>
      </c>
      <c r="T186" s="67">
        <f ca="1">IF(AND(SUMIF(Capacity_Resource,$D186,'Critical resources (hide)'!AG$6:AG$105)+SUMIF(Capacity_Resource,$E186,'Critical resources (hide)'!AG$6:AG$105)+SUMIF(Capacity_Resource,$F186,'Critical resources (hide)'!AG$6:AG$105)&gt;0,$E$1=2),0,1)</f>
        <v>1</v>
      </c>
      <c r="U186" s="67">
        <f ca="1">IF(AND(SUMIF(Capacity_Resource,$D186,'Critical resources (hide)'!AH$6:AH$105)+SUMIF(Capacity_Resource,$E186,'Critical resources (hide)'!AH$6:AH$105)+SUMIF(Capacity_Resource,$F186,'Critical resources (hide)'!AH$6:AH$105)&gt;0,$E$1=2),0,1)</f>
        <v>1</v>
      </c>
      <c r="V186" s="67">
        <f ca="1">IF(AND(SUMIF(Capacity_Resource,$D186,'Critical resources (hide)'!AI$6:AI$105)+SUMIF(Capacity_Resource,$E186,'Critical resources (hide)'!AI$6:AI$105)+SUMIF(Capacity_Resource,$F186,'Critical resources (hide)'!AI$6:AI$105)&gt;0,$E$1=2),0,1)</f>
        <v>1</v>
      </c>
      <c r="W186" s="67">
        <f ca="1">IF(AND(SUMIF(Capacity_Resource,$D186,'Critical resources (hide)'!AJ$6:AJ$105)+SUMIF(Capacity_Resource,$E186,'Critical resources (hide)'!AJ$6:AJ$105)+SUMIF(Capacity_Resource,$F186,'Critical resources (hide)'!AJ$6:AJ$105)&gt;0,$E$1=2),0,1)</f>
        <v>1</v>
      </c>
      <c r="X186" s="67">
        <f ca="1">IF(AND(SUMIF(Capacity_Resource,$D186,'Critical resources (hide)'!AK$6:AK$105)+SUMIF(Capacity_Resource,$E186,'Critical resources (hide)'!AK$6:AK$105)+SUMIF(Capacity_Resource,$F186,'Critical resources (hide)'!AK$6:AK$105)&gt;0,$E$1=2),0,1)</f>
        <v>1</v>
      </c>
      <c r="Y186" s="67">
        <f ca="1">IF(AND(SUMIF(Capacity_Resource,$D186,'Critical resources (hide)'!AL$6:AL$105)+SUMIF(Capacity_Resource,$E186,'Critical resources (hide)'!AL$6:AL$105)+SUMIF(Capacity_Resource,$F186,'Critical resources (hide)'!AL$6:AL$105)&gt;0,$E$1=2),0,1)</f>
        <v>1</v>
      </c>
      <c r="Z186" s="67">
        <f ca="1">IF(AND(SUMIF(Capacity_Resource,$D186,'Critical resources (hide)'!AM$6:AM$105)+SUMIF(Capacity_Resource,$E186,'Critical resources (hide)'!AM$6:AM$105)+SUMIF(Capacity_Resource,$F186,'Critical resources (hide)'!AM$6:AM$105)&gt;0,$E$1=2),0,1)</f>
        <v>1</v>
      </c>
      <c r="AA186" s="67">
        <f ca="1">IF(AND(SUMIF(Capacity_Resource,$D186,'Critical resources (hide)'!AN$6:AN$105)+SUMIF(Capacity_Resource,$E186,'Critical resources (hide)'!AN$6:AN$105)+SUMIF(Capacity_Resource,$F186,'Critical resources (hide)'!AN$6:AN$105)&gt;0,$E$1=2),0,1)</f>
        <v>1</v>
      </c>
      <c r="AB186" s="67">
        <f ca="1">IF(AND(SUMIF(Capacity_Resource,$D186,'Critical resources (hide)'!AO$6:AO$105)+SUMIF(Capacity_Resource,$E186,'Critical resources (hide)'!AO$6:AO$105)+SUMIF(Capacity_Resource,$F186,'Critical resources (hide)'!AO$6:AO$105)&gt;0,$E$1=2),0,1)</f>
        <v>1</v>
      </c>
      <c r="AC186" s="67">
        <f ca="1">IF(AND(SUMIF(Capacity_Resource,$D186,'Critical resources (hide)'!AP$6:AP$105)+SUMIF(Capacity_Resource,$E186,'Critical resources (hide)'!AP$6:AP$105)+SUMIF(Capacity_Resource,$F186,'Critical resources (hide)'!AP$6:AP$105)&gt;0,$E$1=2),0,1)</f>
        <v>1</v>
      </c>
      <c r="AD186" s="67">
        <f ca="1">IF(AND(SUMIF(Capacity_Resource,$D186,'Critical resources (hide)'!AQ$6:AQ$105)+SUMIF(Capacity_Resource,$E186,'Critical resources (hide)'!AQ$6:AQ$105)+SUMIF(Capacity_Resource,$F186,'Critical resources (hide)'!AQ$6:AQ$105)&gt;0,$E$1=2),0,1)</f>
        <v>1</v>
      </c>
      <c r="AE186" s="67">
        <f ca="1">IF(AND(SUMIF(Capacity_Resource,$D186,'Critical resources (hide)'!AR$6:AR$105)+SUMIF(Capacity_Resource,$E186,'Critical resources (hide)'!AR$6:AR$105)+SUMIF(Capacity_Resource,$F186,'Critical resources (hide)'!AR$6:AR$105)&gt;0,$E$1=2),0,1)</f>
        <v>1</v>
      </c>
      <c r="AF186" s="67">
        <f ca="1">IF(AND(SUMIF(Capacity_Resource,$D186,'Critical resources (hide)'!AS$6:AS$105)+SUMIF(Capacity_Resource,$E186,'Critical resources (hide)'!AS$6:AS$105)+SUMIF(Capacity_Resource,$F186,'Critical resources (hide)'!AS$6:AS$105)&gt;0,$E$1=2),0,1)</f>
        <v>1</v>
      </c>
      <c r="AG186" s="67">
        <f ca="1">IF(AND(SUMIF(Capacity_Resource,$D186,'Critical resources (hide)'!AT$6:AT$105)+SUMIF(Capacity_Resource,$E186,'Critical resources (hide)'!AT$6:AT$105)+SUMIF(Capacity_Resource,$F186,'Critical resources (hide)'!AT$6:AT$105)&gt;0,$E$1=2),0,1)</f>
        <v>1</v>
      </c>
      <c r="AH186" s="67">
        <f ca="1">IF(AND(SUMIF(Capacity_Resource,$D186,'Critical resources (hide)'!AU$6:AU$105)+SUMIF(Capacity_Resource,$E186,'Critical resources (hide)'!AU$6:AU$105)+SUMIF(Capacity_Resource,$F186,'Critical resources (hide)'!AU$6:AU$105)&gt;0,$E$1=2),0,1)</f>
        <v>1</v>
      </c>
      <c r="AI186" s="67">
        <f ca="1">IF(AND(SUMIF(Capacity_Resource,$D186,'Critical resources (hide)'!AV$6:AV$105)+SUMIF(Capacity_Resource,$E186,'Critical resources (hide)'!AV$6:AV$105)+SUMIF(Capacity_Resource,$F186,'Critical resources (hide)'!AV$6:AV$105)&gt;0,$E$1=2),0,1)</f>
        <v>1</v>
      </c>
      <c r="AJ186" s="67">
        <f ca="1">IF(AND(SUMIF(Capacity_Resource,$D186,'Critical resources (hide)'!AW$6:AW$105)+SUMIF(Capacity_Resource,$E186,'Critical resources (hide)'!AW$6:AW$105)+SUMIF(Capacity_Resource,$F186,'Critical resources (hide)'!AW$6:AW$105)&gt;0,$E$1=2),0,1)</f>
        <v>1</v>
      </c>
      <c r="AK186" s="67">
        <f ca="1">IF(AND(SUMIF(Capacity_Resource,$D186,'Critical resources (hide)'!AX$6:AX$105)+SUMIF(Capacity_Resource,$E186,'Critical resources (hide)'!AX$6:AX$105)+SUMIF(Capacity_Resource,$F186,'Critical resources (hide)'!AX$6:AX$105)&gt;0,$E$1=2),0,1)</f>
        <v>1</v>
      </c>
      <c r="AL186" s="67">
        <f ca="1">IF(AND(SUMIF(Capacity_Resource,$D186,'Critical resources (hide)'!AY$6:AY$105)+SUMIF(Capacity_Resource,$E186,'Critical resources (hide)'!AY$6:AY$105)+SUMIF(Capacity_Resource,$F186,'Critical resources (hide)'!AY$6:AY$105)&gt;0,$E$1=2),0,1)</f>
        <v>1</v>
      </c>
      <c r="AM186" s="67">
        <f ca="1">IF(AND(SUMIF(Capacity_Resource,$D186,'Critical resources (hide)'!AZ$6:AZ$105)+SUMIF(Capacity_Resource,$E186,'Critical resources (hide)'!AZ$6:AZ$105)+SUMIF(Capacity_Resource,$F186,'Critical resources (hide)'!AZ$6:AZ$105)&gt;0,$E$1=2),0,1)</f>
        <v>1</v>
      </c>
      <c r="AN186" s="67">
        <f ca="1">IF(AND(SUMIF(Capacity_Resource,$D186,'Critical resources (hide)'!BA$6:BA$105)+SUMIF(Capacity_Resource,$E186,'Critical resources (hide)'!BA$6:BA$105)+SUMIF(Capacity_Resource,$F186,'Critical resources (hide)'!BA$6:BA$105)&gt;0,$E$1=2),0,1)</f>
        <v>1</v>
      </c>
      <c r="AO186" s="67">
        <f ca="1">IF(AND(SUMIF(Capacity_Resource,$D186,'Critical resources (hide)'!BB$6:BB$105)+SUMIF(Capacity_Resource,$E186,'Critical resources (hide)'!BB$6:BB$105)+SUMIF(Capacity_Resource,$F186,'Critical resources (hide)'!BB$6:BB$105)&gt;0,$E$1=2),0,1)</f>
        <v>1</v>
      </c>
      <c r="AP186" s="67">
        <f ca="1">IF(AND(SUMIF(Capacity_Resource,$D186,'Critical resources (hide)'!BC$6:BC$105)+SUMIF(Capacity_Resource,$E186,'Critical resources (hide)'!BC$6:BC$105)+SUMIF(Capacity_Resource,$F186,'Critical resources (hide)'!BC$6:BC$105)&gt;0,$E$1=2),0,1)</f>
        <v>1</v>
      </c>
      <c r="AQ186" s="67">
        <f ca="1">IF(AND(SUMIF(Capacity_Resource,$D186,'Critical resources (hide)'!BD$6:BD$105)+SUMIF(Capacity_Resource,$E186,'Critical resources (hide)'!BD$6:BD$105)+SUMIF(Capacity_Resource,$F186,'Critical resources (hide)'!BD$6:BD$105)&gt;0,$E$1=2),0,1)</f>
        <v>1</v>
      </c>
      <c r="AR186" s="67">
        <f ca="1">IF(AND(SUMIF(Capacity_Resource,$D186,'Critical resources (hide)'!BE$6:BE$105)+SUMIF(Capacity_Resource,$E186,'Critical resources (hide)'!BE$6:BE$105)+SUMIF(Capacity_Resource,$F186,'Critical resources (hide)'!BE$6:BE$105)&gt;0,$E$1=2),0,1)</f>
        <v>1</v>
      </c>
      <c r="AS186" s="67">
        <f ca="1">IF(AND(SUMIF(Capacity_Resource,$D186,'Critical resources (hide)'!BF$6:BF$105)+SUMIF(Capacity_Resource,$E186,'Critical resources (hide)'!BF$6:BF$105)+SUMIF(Capacity_Resource,$F186,'Critical resources (hide)'!BF$6:BF$105)&gt;0,$E$1=2),0,1)</f>
        <v>1</v>
      </c>
      <c r="AT186" s="67">
        <f ca="1">IF(AND(SUMIF(Capacity_Resource,$D186,'Critical resources (hide)'!BG$6:BG$105)+SUMIF(Capacity_Resource,$E186,'Critical resources (hide)'!BG$6:BG$105)+SUMIF(Capacity_Resource,$F186,'Critical resources (hide)'!BG$6:BG$105)&gt;0,$E$1=2),0,1)</f>
        <v>1</v>
      </c>
      <c r="AU186" s="67">
        <f ca="1">IF(AND(SUMIF(Capacity_Resource,$D186,'Critical resources (hide)'!BH$6:BH$105)+SUMIF(Capacity_Resource,$E186,'Critical resources (hide)'!BH$6:BH$105)+SUMIF(Capacity_Resource,$F186,'Critical resources (hide)'!BH$6:BH$105)&gt;0,$E$1=2),0,1)</f>
        <v>1</v>
      </c>
      <c r="AV186" s="67">
        <f ca="1">IF(AND(SUMIF(Capacity_Resource,$D186,'Critical resources (hide)'!BI$6:BI$105)+SUMIF(Capacity_Resource,$E186,'Critical resources (hide)'!BI$6:BI$105)+SUMIF(Capacity_Resource,$F186,'Critical resources (hide)'!BI$6:BI$105)&gt;0,$E$1=2),0,1)</f>
        <v>1</v>
      </c>
      <c r="AW186" s="67">
        <f ca="1">IF(AND(SUMIF(Capacity_Resource,$D186,'Critical resources (hide)'!BJ$6:BJ$105)+SUMIF(Capacity_Resource,$E186,'Critical resources (hide)'!BJ$6:BJ$105)+SUMIF(Capacity_Resource,$F186,'Critical resources (hide)'!BJ$6:BJ$105)&gt;0,$E$1=2),0,1)</f>
        <v>1</v>
      </c>
      <c r="AX186" s="67">
        <f ca="1">IF(AND(SUMIF(Capacity_Resource,$D186,'Critical resources (hide)'!BK$6:BK$105)+SUMIF(Capacity_Resource,$E186,'Critical resources (hide)'!BK$6:BK$105)+SUMIF(Capacity_Resource,$F186,'Critical resources (hide)'!BK$6:BK$105)&gt;0,$E$1=2),0,1)</f>
        <v>1</v>
      </c>
      <c r="AY186" s="67">
        <f ca="1">IF(AND(SUMIF(Capacity_Resource,$D186,'Critical resources (hide)'!BL$6:BL$105)+SUMIF(Capacity_Resource,$E186,'Critical resources (hide)'!BL$6:BL$105)+SUMIF(Capacity_Resource,$F186,'Critical resources (hide)'!BL$6:BL$105)&gt;0,$E$1=2),0,1)</f>
        <v>1</v>
      </c>
      <c r="AZ186" s="67">
        <f ca="1">IF(AND(SUMIF(Capacity_Resource,$D186,'Critical resources (hide)'!BM$6:BM$105)+SUMIF(Capacity_Resource,$E186,'Critical resources (hide)'!BM$6:BM$105)+SUMIF(Capacity_Resource,$F186,'Critical resources (hide)'!BM$6:BM$105)&gt;0,$E$1=2),0,1)</f>
        <v>1</v>
      </c>
      <c r="BA186" s="67">
        <f ca="1">IF(AND(SUMIF(Capacity_Resource,$D186,'Critical resources (hide)'!BN$6:BN$105)+SUMIF(Capacity_Resource,$E186,'Critical resources (hide)'!BN$6:BN$105)+SUMIF(Capacity_Resource,$F186,'Critical resources (hide)'!BN$6:BN$105)&gt;0,$E$1=2),0,1)</f>
        <v>1</v>
      </c>
      <c r="BB186" s="67">
        <f ca="1">IF(AND(SUMIF(Capacity_Resource,$D186,'Critical resources (hide)'!BO$6:BO$105)+SUMIF(Capacity_Resource,$E186,'Critical resources (hide)'!BO$6:BO$105)+SUMIF(Capacity_Resource,$F186,'Critical resources (hide)'!BO$6:BO$105)&gt;0,$E$1=2),0,1)</f>
        <v>1</v>
      </c>
      <c r="BC186" s="67">
        <f ca="1">IF(AND(SUMIF(Capacity_Resource,$D186,'Critical resources (hide)'!BP$6:BP$105)+SUMIF(Capacity_Resource,$E186,'Critical resources (hide)'!BP$6:BP$105)+SUMIF(Capacity_Resource,$F186,'Critical resources (hide)'!BP$6:BP$105)&gt;0,$E$1=2),0,1)</f>
        <v>1</v>
      </c>
      <c r="BD186" s="67">
        <f ca="1">IF(AND(SUMIF(Capacity_Resource,$D186,'Critical resources (hide)'!BQ$6:BQ$105)+SUMIF(Capacity_Resource,$E186,'Critical resources (hide)'!BQ$6:BQ$105)+SUMIF(Capacity_Resource,$F186,'Critical resources (hide)'!BQ$6:BQ$105)&gt;0,$E$1=2),0,1)</f>
        <v>1</v>
      </c>
      <c r="BE186" s="67">
        <f ca="1">IF(AND(SUMIF(Capacity_Resource,$D186,'Critical resources (hide)'!BR$6:BR$105)+SUMIF(Capacity_Resource,$E186,'Critical resources (hide)'!BR$6:BR$105)+SUMIF(Capacity_Resource,$F186,'Critical resources (hide)'!BR$6:BR$105)&gt;0,$E$1=2),0,1)</f>
        <v>1</v>
      </c>
      <c r="BF186" s="67">
        <f ca="1">IF(AND(SUMIF(Capacity_Resource,$D186,'Critical resources (hide)'!BS$6:BS$105)+SUMIF(Capacity_Resource,$E186,'Critical resources (hide)'!BS$6:BS$105)+SUMIF(Capacity_Resource,$F186,'Critical resources (hide)'!BS$6:BS$105)&gt;0,$E$1=2),0,1)</f>
        <v>1</v>
      </c>
      <c r="BG186" s="67">
        <f ca="1">IF(AND(SUMIF(Capacity_Resource,$D186,'Critical resources (hide)'!BT$6:BT$105)+SUMIF(Capacity_Resource,$E186,'Critical resources (hide)'!BT$6:BT$105)+SUMIF(Capacity_Resource,$F186,'Critical resources (hide)'!BT$6:BT$105)&gt;0,$E$1=2),0,1)</f>
        <v>1</v>
      </c>
      <c r="BH186" s="67">
        <f>IF(ROW(A75)&lt;=Capacity!$M$16,IF('Capacity summary'!$C$14="No",SUM(H186:BG186),'Capacity summary'!$E98),0)</f>
        <v>0</v>
      </c>
      <c r="BI186" s="67" t="str">
        <f>IF(BH186&gt;0,IF(BH186&lt;Capacity!Q91,Capacity!R91,Capacity!T91/'Capacity calculation (hide)'!BH186),"")</f>
        <v/>
      </c>
      <c r="BJ186" s="5"/>
      <c r="BK186" s="5">
        <f>IF($BI186&lt;&gt;"",IF('Capacity summary'!$C$14="Yes",IF(COUNTBLANK('Capacity summary'!$H98:$BG98)&lt;52,IF('Capacity summary'!H98&lt;&gt;"",IF(LOWER('Capacity summary'!H98)="x",$BI186*H186,VALUE('Capacity summary'!H98)),0),H186*$BI186),H186*$BI186),0)</f>
        <v>0</v>
      </c>
      <c r="BL186" s="5">
        <f>IF($BI186&lt;&gt;"",IF('Capacity summary'!$C$14="Yes",IF(COUNTBLANK('Capacity summary'!$H98:$BG98)&lt;52,IF('Capacity summary'!I98&lt;&gt;"",IF(LOWER('Capacity summary'!I98)="x",$BI186*I186,VALUE('Capacity summary'!I98)),0),I186*$BI186),I186*$BI186),0)</f>
        <v>0</v>
      </c>
      <c r="BM186" s="5">
        <f>IF($BI186&lt;&gt;"",IF('Capacity summary'!$C$14="Yes",IF(COUNTBLANK('Capacity summary'!$H98:$BG98)&lt;52,IF('Capacity summary'!J98&lt;&gt;"",IF(LOWER('Capacity summary'!J98)="x",$BI186*J186,VALUE('Capacity summary'!J98)),0),J186*$BI186),J186*$BI186),0)</f>
        <v>0</v>
      </c>
      <c r="BN186" s="5">
        <f>IF($BI186&lt;&gt;"",IF('Capacity summary'!$C$14="Yes",IF(COUNTBLANK('Capacity summary'!$H98:$BG98)&lt;52,IF('Capacity summary'!K98&lt;&gt;"",IF(LOWER('Capacity summary'!K98)="x",$BI186*K186,VALUE('Capacity summary'!K98)),0),K186*$BI186),K186*$BI186),0)</f>
        <v>0</v>
      </c>
      <c r="BO186" s="5">
        <f>IF($BI186&lt;&gt;"",IF('Capacity summary'!$C$14="Yes",IF(COUNTBLANK('Capacity summary'!$H98:$BG98)&lt;52,IF('Capacity summary'!L98&lt;&gt;"",IF(LOWER('Capacity summary'!L98)="x",$BI186*L186,VALUE('Capacity summary'!L98)),0),L186*$BI186),L186*$BI186),0)</f>
        <v>0</v>
      </c>
      <c r="BP186" s="5">
        <f>IF($BI186&lt;&gt;"",IF('Capacity summary'!$C$14="Yes",IF(COUNTBLANK('Capacity summary'!$H98:$BG98)&lt;52,IF('Capacity summary'!M98&lt;&gt;"",IF(LOWER('Capacity summary'!M98)="x",$BI186*M186,VALUE('Capacity summary'!M98)),0),M186*$BI186),M186*$BI186),0)</f>
        <v>0</v>
      </c>
      <c r="BQ186" s="5">
        <f>IF($BI186&lt;&gt;"",IF('Capacity summary'!$C$14="Yes",IF(COUNTBLANK('Capacity summary'!$H98:$BG98)&lt;52,IF('Capacity summary'!N98&lt;&gt;"",IF(LOWER('Capacity summary'!N98)="x",$BI186*N186,VALUE('Capacity summary'!N98)),0),N186*$BI186),N186*$BI186),0)</f>
        <v>0</v>
      </c>
      <c r="BR186" s="5">
        <f>IF($BI186&lt;&gt;"",IF('Capacity summary'!$C$14="Yes",IF(COUNTBLANK('Capacity summary'!$H98:$BG98)&lt;52,IF('Capacity summary'!O98&lt;&gt;"",IF(LOWER('Capacity summary'!O98)="x",$BI186*O186,VALUE('Capacity summary'!O98)),0),O186*$BI186),O186*$BI186),0)</f>
        <v>0</v>
      </c>
      <c r="BS186" s="5">
        <f>IF($BI186&lt;&gt;"",IF('Capacity summary'!$C$14="Yes",IF(COUNTBLANK('Capacity summary'!$H98:$BG98)&lt;52,IF('Capacity summary'!P98&lt;&gt;"",IF(LOWER('Capacity summary'!P98)="x",$BI186*P186,VALUE('Capacity summary'!P98)),0),P186*$BI186),P186*$BI186),0)</f>
        <v>0</v>
      </c>
      <c r="BT186" s="5">
        <f>IF($BI186&lt;&gt;"",IF('Capacity summary'!$C$14="Yes",IF(COUNTBLANK('Capacity summary'!$H98:$BG98)&lt;52,IF('Capacity summary'!Q98&lt;&gt;"",IF(LOWER('Capacity summary'!Q98)="x",$BI186*Q186,VALUE('Capacity summary'!Q98)),0),Q186*$BI186),Q186*$BI186),0)</f>
        <v>0</v>
      </c>
      <c r="BU186" s="5">
        <f>IF($BI186&lt;&gt;"",IF('Capacity summary'!$C$14="Yes",IF(COUNTBLANK('Capacity summary'!$H98:$BG98)&lt;52,IF('Capacity summary'!R98&lt;&gt;"",IF(LOWER('Capacity summary'!R98)="x",$BI186*R186,VALUE('Capacity summary'!R98)),0),R186*$BI186),R186*$BI186),0)</f>
        <v>0</v>
      </c>
      <c r="BV186" s="5">
        <f>IF($BI186&lt;&gt;"",IF('Capacity summary'!$C$14="Yes",IF(COUNTBLANK('Capacity summary'!$H98:$BG98)&lt;52,IF('Capacity summary'!S98&lt;&gt;"",IF(LOWER('Capacity summary'!S98)="x",$BI186*S186,VALUE('Capacity summary'!S98)),0),S186*$BI186),S186*$BI186),0)</f>
        <v>0</v>
      </c>
      <c r="BW186" s="5">
        <f>IF($BI186&lt;&gt;"",IF('Capacity summary'!$C$14="Yes",IF(COUNTBLANK('Capacity summary'!$H98:$BG98)&lt;52,IF('Capacity summary'!T98&lt;&gt;"",IF(LOWER('Capacity summary'!T98)="x",$BI186*T186,VALUE('Capacity summary'!T98)),0),T186*$BI186),T186*$BI186),0)</f>
        <v>0</v>
      </c>
      <c r="BX186" s="5">
        <f>IF($BI186&lt;&gt;"",IF('Capacity summary'!$C$14="Yes",IF(COUNTBLANK('Capacity summary'!$H98:$BG98)&lt;52,IF('Capacity summary'!U98&lt;&gt;"",IF(LOWER('Capacity summary'!U98)="x",$BI186*U186,VALUE('Capacity summary'!U98)),0),U186*$BI186),U186*$BI186),0)</f>
        <v>0</v>
      </c>
      <c r="BY186" s="5">
        <f>IF($BI186&lt;&gt;"",IF('Capacity summary'!$C$14="Yes",IF(COUNTBLANK('Capacity summary'!$H98:$BG98)&lt;52,IF('Capacity summary'!V98&lt;&gt;"",IF(LOWER('Capacity summary'!V98)="x",$BI186*V186,VALUE('Capacity summary'!V98)),0),V186*$BI186),V186*$BI186),0)</f>
        <v>0</v>
      </c>
      <c r="BZ186" s="5">
        <f>IF($BI186&lt;&gt;"",IF('Capacity summary'!$C$14="Yes",IF(COUNTBLANK('Capacity summary'!$H98:$BG98)&lt;52,IF('Capacity summary'!W98&lt;&gt;"",IF(LOWER('Capacity summary'!W98)="x",$BI186*W186,VALUE('Capacity summary'!W98)),0),W186*$BI186),W186*$BI186),0)</f>
        <v>0</v>
      </c>
      <c r="CA186" s="5">
        <f>IF($BI186&lt;&gt;"",IF('Capacity summary'!$C$14="Yes",IF(COUNTBLANK('Capacity summary'!$H98:$BG98)&lt;52,IF('Capacity summary'!X98&lt;&gt;"",IF(LOWER('Capacity summary'!X98)="x",$BI186*X186,VALUE('Capacity summary'!X98)),0),X186*$BI186),X186*$BI186),0)</f>
        <v>0</v>
      </c>
      <c r="CB186" s="5">
        <f>IF($BI186&lt;&gt;"",IF('Capacity summary'!$C$14="Yes",IF(COUNTBLANK('Capacity summary'!$H98:$BG98)&lt;52,IF('Capacity summary'!Y98&lt;&gt;"",IF(LOWER('Capacity summary'!Y98)="x",$BI186*Y186,VALUE('Capacity summary'!Y98)),0),Y186*$BI186),Y186*$BI186),0)</f>
        <v>0</v>
      </c>
      <c r="CC186" s="5">
        <f>IF($BI186&lt;&gt;"",IF('Capacity summary'!$C$14="Yes",IF(COUNTBLANK('Capacity summary'!$H98:$BG98)&lt;52,IF('Capacity summary'!Z98&lt;&gt;"",IF(LOWER('Capacity summary'!Z98)="x",$BI186*Z186,VALUE('Capacity summary'!Z98)),0),Z186*$BI186),Z186*$BI186),0)</f>
        <v>0</v>
      </c>
      <c r="CD186" s="5">
        <f>IF($BI186&lt;&gt;"",IF('Capacity summary'!$C$14="Yes",IF(COUNTBLANK('Capacity summary'!$H98:$BG98)&lt;52,IF('Capacity summary'!AA98&lt;&gt;"",IF(LOWER('Capacity summary'!AA98)="x",$BI186*AA186,VALUE('Capacity summary'!AA98)),0),AA186*$BI186),AA186*$BI186),0)</f>
        <v>0</v>
      </c>
      <c r="CE186" s="5">
        <f>IF($BI186&lt;&gt;"",IF('Capacity summary'!$C$14="Yes",IF(COUNTBLANK('Capacity summary'!$H98:$BG98)&lt;52,IF('Capacity summary'!AB98&lt;&gt;"",IF(LOWER('Capacity summary'!AB98)="x",$BI186*AB186,VALUE('Capacity summary'!AB98)),0),AB186*$BI186),AB186*$BI186),0)</f>
        <v>0</v>
      </c>
      <c r="CF186" s="5">
        <f>IF($BI186&lt;&gt;"",IF('Capacity summary'!$C$14="Yes",IF(COUNTBLANK('Capacity summary'!$H98:$BG98)&lt;52,IF('Capacity summary'!AC98&lt;&gt;"",IF(LOWER('Capacity summary'!AC98)="x",$BI186*AC186,VALUE('Capacity summary'!AC98)),0),AC186*$BI186),AC186*$BI186),0)</f>
        <v>0</v>
      </c>
      <c r="CG186" s="5">
        <f>IF($BI186&lt;&gt;"",IF('Capacity summary'!$C$14="Yes",IF(COUNTBLANK('Capacity summary'!$H98:$BG98)&lt;52,IF('Capacity summary'!AD98&lt;&gt;"",IF(LOWER('Capacity summary'!AD98)="x",$BI186*AD186,VALUE('Capacity summary'!AD98)),0),AD186*$BI186),AD186*$BI186),0)</f>
        <v>0</v>
      </c>
      <c r="CH186" s="5">
        <f>IF($BI186&lt;&gt;"",IF('Capacity summary'!$C$14="Yes",IF(COUNTBLANK('Capacity summary'!$H98:$BG98)&lt;52,IF('Capacity summary'!AE98&lt;&gt;"",IF(LOWER('Capacity summary'!AE98)="x",$BI186*AE186,VALUE('Capacity summary'!AE98)),0),AE186*$BI186),AE186*$BI186),0)</f>
        <v>0</v>
      </c>
      <c r="CI186" s="5">
        <f>IF($BI186&lt;&gt;"",IF('Capacity summary'!$C$14="Yes",IF(COUNTBLANK('Capacity summary'!$H98:$BG98)&lt;52,IF('Capacity summary'!AF98&lt;&gt;"",IF(LOWER('Capacity summary'!AF98)="x",$BI186*AF186,VALUE('Capacity summary'!AF98)),0),AF186*$BI186),AF186*$BI186),0)</f>
        <v>0</v>
      </c>
      <c r="CJ186" s="5">
        <f>IF($BI186&lt;&gt;"",IF('Capacity summary'!$C$14="Yes",IF(COUNTBLANK('Capacity summary'!$H98:$BG98)&lt;52,IF('Capacity summary'!AG98&lt;&gt;"",IF(LOWER('Capacity summary'!AG98)="x",$BI186*AG186,VALUE('Capacity summary'!AG98)),0),AG186*$BI186),AG186*$BI186),0)</f>
        <v>0</v>
      </c>
      <c r="CK186" s="5">
        <f>IF($BI186&lt;&gt;"",IF('Capacity summary'!$C$14="Yes",IF(COUNTBLANK('Capacity summary'!$H98:$BG98)&lt;52,IF('Capacity summary'!AH98&lt;&gt;"",IF(LOWER('Capacity summary'!AH98)="x",$BI186*AH186,VALUE('Capacity summary'!AH98)),0),AH186*$BI186),AH186*$BI186),0)</f>
        <v>0</v>
      </c>
      <c r="CL186" s="5">
        <f>IF($BI186&lt;&gt;"",IF('Capacity summary'!$C$14="Yes",IF(COUNTBLANK('Capacity summary'!$H98:$BG98)&lt;52,IF('Capacity summary'!AI98&lt;&gt;"",IF(LOWER('Capacity summary'!AI98)="x",$BI186*AI186,VALUE('Capacity summary'!AI98)),0),AI186*$BI186),AI186*$BI186),0)</f>
        <v>0</v>
      </c>
      <c r="CM186" s="5">
        <f>IF($BI186&lt;&gt;"",IF('Capacity summary'!$C$14="Yes",IF(COUNTBLANK('Capacity summary'!$H98:$BG98)&lt;52,IF('Capacity summary'!AJ98&lt;&gt;"",IF(LOWER('Capacity summary'!AJ98)="x",$BI186*AJ186,VALUE('Capacity summary'!AJ98)),0),AJ186*$BI186),AJ186*$BI186),0)</f>
        <v>0</v>
      </c>
      <c r="CN186" s="5">
        <f>IF($BI186&lt;&gt;"",IF('Capacity summary'!$C$14="Yes",IF(COUNTBLANK('Capacity summary'!$H98:$BG98)&lt;52,IF('Capacity summary'!AK98&lt;&gt;"",IF(LOWER('Capacity summary'!AK98)="x",$BI186*AK186,VALUE('Capacity summary'!AK98)),0),AK186*$BI186),AK186*$BI186),0)</f>
        <v>0</v>
      </c>
      <c r="CO186" s="5">
        <f>IF($BI186&lt;&gt;"",IF('Capacity summary'!$C$14="Yes",IF(COUNTBLANK('Capacity summary'!$H98:$BG98)&lt;52,IF('Capacity summary'!AL98&lt;&gt;"",IF(LOWER('Capacity summary'!AL98)="x",$BI186*AL186,VALUE('Capacity summary'!AL98)),0),AL186*$BI186),AL186*$BI186),0)</f>
        <v>0</v>
      </c>
      <c r="CP186" s="5">
        <f>IF($BI186&lt;&gt;"",IF('Capacity summary'!$C$14="Yes",IF(COUNTBLANK('Capacity summary'!$H98:$BG98)&lt;52,IF('Capacity summary'!AM98&lt;&gt;"",IF(LOWER('Capacity summary'!AM98)="x",$BI186*AM186,VALUE('Capacity summary'!AM98)),0),AM186*$BI186),AM186*$BI186),0)</f>
        <v>0</v>
      </c>
      <c r="CQ186" s="5">
        <f>IF($BI186&lt;&gt;"",IF('Capacity summary'!$C$14="Yes",IF(COUNTBLANK('Capacity summary'!$H98:$BG98)&lt;52,IF('Capacity summary'!AN98&lt;&gt;"",IF(LOWER('Capacity summary'!AN98)="x",$BI186*AN186,VALUE('Capacity summary'!AN98)),0),AN186*$BI186),AN186*$BI186),0)</f>
        <v>0</v>
      </c>
      <c r="CR186" s="5">
        <f>IF($BI186&lt;&gt;"",IF('Capacity summary'!$C$14="Yes",IF(COUNTBLANK('Capacity summary'!$H98:$BG98)&lt;52,IF('Capacity summary'!AO98&lt;&gt;"",IF(LOWER('Capacity summary'!AO98)="x",$BI186*AO186,VALUE('Capacity summary'!AO98)),0),AO186*$BI186),AO186*$BI186),0)</f>
        <v>0</v>
      </c>
      <c r="CS186" s="5">
        <f>IF($BI186&lt;&gt;"",IF('Capacity summary'!$C$14="Yes",IF(COUNTBLANK('Capacity summary'!$H98:$BG98)&lt;52,IF('Capacity summary'!AP98&lt;&gt;"",IF(LOWER('Capacity summary'!AP98)="x",$BI186*AP186,VALUE('Capacity summary'!AP98)),0),AP186*$BI186),AP186*$BI186),0)</f>
        <v>0</v>
      </c>
      <c r="CT186" s="5">
        <f>IF($BI186&lt;&gt;"",IF('Capacity summary'!$C$14="Yes",IF(COUNTBLANK('Capacity summary'!$H98:$BG98)&lt;52,IF('Capacity summary'!AQ98&lt;&gt;"",IF(LOWER('Capacity summary'!AQ98)="x",$BI186*AQ186,VALUE('Capacity summary'!AQ98)),0),AQ186*$BI186),AQ186*$BI186),0)</f>
        <v>0</v>
      </c>
      <c r="CU186" s="5">
        <f>IF($BI186&lt;&gt;"",IF('Capacity summary'!$C$14="Yes",IF(COUNTBLANK('Capacity summary'!$H98:$BG98)&lt;52,IF('Capacity summary'!AR98&lt;&gt;"",IF(LOWER('Capacity summary'!AR98)="x",$BI186*AR186,VALUE('Capacity summary'!AR98)),0),AR186*$BI186),AR186*$BI186),0)</f>
        <v>0</v>
      </c>
      <c r="CV186" s="5">
        <f>IF($BI186&lt;&gt;"",IF('Capacity summary'!$C$14="Yes",IF(COUNTBLANK('Capacity summary'!$H98:$BG98)&lt;52,IF('Capacity summary'!AS98&lt;&gt;"",IF(LOWER('Capacity summary'!AS98)="x",$BI186*AS186,VALUE('Capacity summary'!AS98)),0),AS186*$BI186),AS186*$BI186),0)</f>
        <v>0</v>
      </c>
      <c r="CW186" s="5">
        <f>IF($BI186&lt;&gt;"",IF('Capacity summary'!$C$14="Yes",IF(COUNTBLANK('Capacity summary'!$H98:$BG98)&lt;52,IF('Capacity summary'!AT98&lt;&gt;"",IF(LOWER('Capacity summary'!AT98)="x",$BI186*AT186,VALUE('Capacity summary'!AT98)),0),AT186*$BI186),AT186*$BI186),0)</f>
        <v>0</v>
      </c>
      <c r="CX186" s="5">
        <f>IF($BI186&lt;&gt;"",IF('Capacity summary'!$C$14="Yes",IF(COUNTBLANK('Capacity summary'!$H98:$BG98)&lt;52,IF('Capacity summary'!AU98&lt;&gt;"",IF(LOWER('Capacity summary'!AU98)="x",$BI186*AU186,VALUE('Capacity summary'!AU98)),0),AU186*$BI186),AU186*$BI186),0)</f>
        <v>0</v>
      </c>
      <c r="CY186" s="5">
        <f>IF($BI186&lt;&gt;"",IF('Capacity summary'!$C$14="Yes",IF(COUNTBLANK('Capacity summary'!$H98:$BG98)&lt;52,IF('Capacity summary'!AV98&lt;&gt;"",IF(LOWER('Capacity summary'!AV98)="x",$BI186*AV186,VALUE('Capacity summary'!AV98)),0),AV186*$BI186),AV186*$BI186),0)</f>
        <v>0</v>
      </c>
      <c r="CZ186" s="5">
        <f>IF($BI186&lt;&gt;"",IF('Capacity summary'!$C$14="Yes",IF(COUNTBLANK('Capacity summary'!$H98:$BG98)&lt;52,IF('Capacity summary'!AW98&lt;&gt;"",IF(LOWER('Capacity summary'!AW98)="x",$BI186*AW186,VALUE('Capacity summary'!AW98)),0),AW186*$BI186),AW186*$BI186),0)</f>
        <v>0</v>
      </c>
      <c r="DA186" s="5">
        <f>IF($BI186&lt;&gt;"",IF('Capacity summary'!$C$14="Yes",IF(COUNTBLANK('Capacity summary'!$H98:$BG98)&lt;52,IF('Capacity summary'!AX98&lt;&gt;"",IF(LOWER('Capacity summary'!AX98)="x",$BI186*AX186,VALUE('Capacity summary'!AX98)),0),AX186*$BI186),AX186*$BI186),0)</f>
        <v>0</v>
      </c>
      <c r="DB186" s="5">
        <f>IF($BI186&lt;&gt;"",IF('Capacity summary'!$C$14="Yes",IF(COUNTBLANK('Capacity summary'!$H98:$BG98)&lt;52,IF('Capacity summary'!AY98&lt;&gt;"",IF(LOWER('Capacity summary'!AY98)="x",$BI186*AY186,VALUE('Capacity summary'!AY98)),0),AY186*$BI186),AY186*$BI186),0)</f>
        <v>0</v>
      </c>
      <c r="DC186" s="5">
        <f>IF($BI186&lt;&gt;"",IF('Capacity summary'!$C$14="Yes",IF(COUNTBLANK('Capacity summary'!$H98:$BG98)&lt;52,IF('Capacity summary'!AZ98&lt;&gt;"",IF(LOWER('Capacity summary'!AZ98)="x",$BI186*AZ186,VALUE('Capacity summary'!AZ98)),0),AZ186*$BI186),AZ186*$BI186),0)</f>
        <v>0</v>
      </c>
      <c r="DD186" s="5">
        <f>IF($BI186&lt;&gt;"",IF('Capacity summary'!$C$14="Yes",IF(COUNTBLANK('Capacity summary'!$H98:$BG98)&lt;52,IF('Capacity summary'!BA98&lt;&gt;"",IF(LOWER('Capacity summary'!BA98)="x",$BI186*BA186,VALUE('Capacity summary'!BA98)),0),BA186*$BI186),BA186*$BI186),0)</f>
        <v>0</v>
      </c>
      <c r="DE186" s="5">
        <f>IF($BI186&lt;&gt;"",IF('Capacity summary'!$C$14="Yes",IF(COUNTBLANK('Capacity summary'!$H98:$BG98)&lt;52,IF('Capacity summary'!BB98&lt;&gt;"",IF(LOWER('Capacity summary'!BB98)="x",$BI186*BB186,VALUE('Capacity summary'!BB98)),0),BB186*$BI186),BB186*$BI186),0)</f>
        <v>0</v>
      </c>
      <c r="DF186" s="5">
        <f>IF($BI186&lt;&gt;"",IF('Capacity summary'!$C$14="Yes",IF(COUNTBLANK('Capacity summary'!$H98:$BG98)&lt;52,IF('Capacity summary'!BC98&lt;&gt;"",IF(LOWER('Capacity summary'!BC98)="x",$BI186*BC186,VALUE('Capacity summary'!BC98)),0),BC186*$BI186),BC186*$BI186),0)</f>
        <v>0</v>
      </c>
      <c r="DG186" s="5">
        <f>IF($BI186&lt;&gt;"",IF('Capacity summary'!$C$14="Yes",IF(COUNTBLANK('Capacity summary'!$H98:$BG98)&lt;52,IF('Capacity summary'!BD98&lt;&gt;"",IF(LOWER('Capacity summary'!BD98)="x",$BI186*BD186,VALUE('Capacity summary'!BD98)),0),BD186*$BI186),BD186*$BI186),0)</f>
        <v>0</v>
      </c>
      <c r="DH186" s="5">
        <f>IF($BI186&lt;&gt;"",IF('Capacity summary'!$C$14="Yes",IF(COUNTBLANK('Capacity summary'!$H98:$BG98)&lt;52,IF('Capacity summary'!BE98&lt;&gt;"",IF(LOWER('Capacity summary'!BE98)="x",$BI186*BE186,VALUE('Capacity summary'!BE98)),0),BE186*$BI186),BE186*$BI186),0)</f>
        <v>0</v>
      </c>
      <c r="DI186" s="5">
        <f>IF($BI186&lt;&gt;"",IF('Capacity summary'!$C$14="Yes",IF(COUNTBLANK('Capacity summary'!$H98:$BG98)&lt;52,IF('Capacity summary'!BF98&lt;&gt;"",IF(LOWER('Capacity summary'!BF98)="x",$BI186*BF186,VALUE('Capacity summary'!BF98)),0),BF186*$BI186),BF186*$BI186),0)</f>
        <v>0</v>
      </c>
      <c r="DJ186" s="5">
        <f>IF($BI186&lt;&gt;"",IF('Capacity summary'!$C$14="Yes",IF(COUNTBLANK('Capacity summary'!$H98:$BG98)&lt;52,IF('Capacity summary'!BG98&lt;&gt;"",IF(LOWER('Capacity summary'!BG98)="x",$BI186*BG186,VALUE('Capacity summary'!BG98)),0),BG186*$BI186),BG186*$BI186),0)</f>
        <v>0</v>
      </c>
      <c r="DK186" s="5">
        <f t="shared" ref="DK186" si="80">SUM(DK187:DK286)</f>
        <v>0</v>
      </c>
    </row>
    <row r="187" spans="3:115" x14ac:dyDescent="0.25">
      <c r="C187" s="67" t="str">
        <f>ROW(A76)&amp;". "&amp;Capacity!N92</f>
        <v xml:space="preserve">76. </v>
      </c>
      <c r="D187" s="67">
        <f>'Capacity setup'!C193</f>
        <v>0</v>
      </c>
      <c r="E187" s="67">
        <f>'Capacity setup'!D193</f>
        <v>0</v>
      </c>
      <c r="F187" s="67">
        <f>'Capacity setup'!E193</f>
        <v>0</v>
      </c>
      <c r="H187" s="67">
        <f ca="1">IF(AND(SUMIF(Capacity_Resource,$D187,'Critical resources (hide)'!U$6:U$105)+SUMIF(Capacity_Resource,$E187,'Critical resources (hide)'!U$6:U$105)+SUMIF(Capacity_Resource,$F187,'Critical resources (hide)'!U$6:U$105)&gt;0,$E$1=2),0,1)</f>
        <v>1</v>
      </c>
      <c r="I187" s="67">
        <f ca="1">IF(AND(SUMIF(Capacity_Resource,$D187,'Critical resources (hide)'!V$6:V$105)+SUMIF(Capacity_Resource,$E187,'Critical resources (hide)'!V$6:V$105)+SUMIF(Capacity_Resource,$F187,'Critical resources (hide)'!V$6:V$105)&gt;0,$E$1=2),0,1)</f>
        <v>1</v>
      </c>
      <c r="J187" s="67">
        <f ca="1">IF(AND(SUMIF(Capacity_Resource,$D187,'Critical resources (hide)'!W$6:W$105)+SUMIF(Capacity_Resource,$E187,'Critical resources (hide)'!W$6:W$105)+SUMIF(Capacity_Resource,$F187,'Critical resources (hide)'!W$6:W$105)&gt;0,$E$1=2),0,1)</f>
        <v>1</v>
      </c>
      <c r="K187" s="67">
        <f ca="1">IF(AND(SUMIF(Capacity_Resource,$D187,'Critical resources (hide)'!X$6:X$105)+SUMIF(Capacity_Resource,$E187,'Critical resources (hide)'!X$6:X$105)+SUMIF(Capacity_Resource,$F187,'Critical resources (hide)'!X$6:X$105)&gt;0,$E$1=2),0,1)</f>
        <v>1</v>
      </c>
      <c r="L187" s="67">
        <f ca="1">IF(AND(SUMIF(Capacity_Resource,$D187,'Critical resources (hide)'!Y$6:Y$105)+SUMIF(Capacity_Resource,$E187,'Critical resources (hide)'!Y$6:Y$105)+SUMIF(Capacity_Resource,$F187,'Critical resources (hide)'!Y$6:Y$105)&gt;0,$E$1=2),0,1)</f>
        <v>1</v>
      </c>
      <c r="M187" s="67">
        <f ca="1">IF(AND(SUMIF(Capacity_Resource,$D187,'Critical resources (hide)'!Z$6:Z$105)+SUMIF(Capacity_Resource,$E187,'Critical resources (hide)'!Z$6:Z$105)+SUMIF(Capacity_Resource,$F187,'Critical resources (hide)'!Z$6:Z$105)&gt;0,$E$1=2),0,1)</f>
        <v>1</v>
      </c>
      <c r="N187" s="67">
        <f ca="1">IF(AND(SUMIF(Capacity_Resource,$D187,'Critical resources (hide)'!AA$6:AA$105)+SUMIF(Capacity_Resource,$E187,'Critical resources (hide)'!AA$6:AA$105)+SUMIF(Capacity_Resource,$F187,'Critical resources (hide)'!AA$6:AA$105)&gt;0,$E$1=2),0,1)</f>
        <v>1</v>
      </c>
      <c r="O187" s="67">
        <f ca="1">IF(AND(SUMIF(Capacity_Resource,$D187,'Critical resources (hide)'!AB$6:AB$105)+SUMIF(Capacity_Resource,$E187,'Critical resources (hide)'!AB$6:AB$105)+SUMIF(Capacity_Resource,$F187,'Critical resources (hide)'!AB$6:AB$105)&gt;0,$E$1=2),0,1)</f>
        <v>1</v>
      </c>
      <c r="P187" s="67">
        <f ca="1">IF(AND(SUMIF(Capacity_Resource,$D187,'Critical resources (hide)'!AC$6:AC$105)+SUMIF(Capacity_Resource,$E187,'Critical resources (hide)'!AC$6:AC$105)+SUMIF(Capacity_Resource,$F187,'Critical resources (hide)'!AC$6:AC$105)&gt;0,$E$1=2),0,1)</f>
        <v>1</v>
      </c>
      <c r="Q187" s="67">
        <f ca="1">IF(AND(SUMIF(Capacity_Resource,$D187,'Critical resources (hide)'!AD$6:AD$105)+SUMIF(Capacity_Resource,$E187,'Critical resources (hide)'!AD$6:AD$105)+SUMIF(Capacity_Resource,$F187,'Critical resources (hide)'!AD$6:AD$105)&gt;0,$E$1=2),0,1)</f>
        <v>1</v>
      </c>
      <c r="R187" s="67">
        <f ca="1">IF(AND(SUMIF(Capacity_Resource,$D187,'Critical resources (hide)'!AE$6:AE$105)+SUMIF(Capacity_Resource,$E187,'Critical resources (hide)'!AE$6:AE$105)+SUMIF(Capacity_Resource,$F187,'Critical resources (hide)'!AE$6:AE$105)&gt;0,$E$1=2),0,1)</f>
        <v>1</v>
      </c>
      <c r="S187" s="67">
        <f ca="1">IF(AND(SUMIF(Capacity_Resource,$D187,'Critical resources (hide)'!AF$6:AF$105)+SUMIF(Capacity_Resource,$E187,'Critical resources (hide)'!AF$6:AF$105)+SUMIF(Capacity_Resource,$F187,'Critical resources (hide)'!AF$6:AF$105)&gt;0,$E$1=2),0,1)</f>
        <v>1</v>
      </c>
      <c r="T187" s="67">
        <f ca="1">IF(AND(SUMIF(Capacity_Resource,$D187,'Critical resources (hide)'!AG$6:AG$105)+SUMIF(Capacity_Resource,$E187,'Critical resources (hide)'!AG$6:AG$105)+SUMIF(Capacity_Resource,$F187,'Critical resources (hide)'!AG$6:AG$105)&gt;0,$E$1=2),0,1)</f>
        <v>1</v>
      </c>
      <c r="U187" s="67">
        <f ca="1">IF(AND(SUMIF(Capacity_Resource,$D187,'Critical resources (hide)'!AH$6:AH$105)+SUMIF(Capacity_Resource,$E187,'Critical resources (hide)'!AH$6:AH$105)+SUMIF(Capacity_Resource,$F187,'Critical resources (hide)'!AH$6:AH$105)&gt;0,$E$1=2),0,1)</f>
        <v>1</v>
      </c>
      <c r="V187" s="67">
        <f ca="1">IF(AND(SUMIF(Capacity_Resource,$D187,'Critical resources (hide)'!AI$6:AI$105)+SUMIF(Capacity_Resource,$E187,'Critical resources (hide)'!AI$6:AI$105)+SUMIF(Capacity_Resource,$F187,'Critical resources (hide)'!AI$6:AI$105)&gt;0,$E$1=2),0,1)</f>
        <v>1</v>
      </c>
      <c r="W187" s="67">
        <f ca="1">IF(AND(SUMIF(Capacity_Resource,$D187,'Critical resources (hide)'!AJ$6:AJ$105)+SUMIF(Capacity_Resource,$E187,'Critical resources (hide)'!AJ$6:AJ$105)+SUMIF(Capacity_Resource,$F187,'Critical resources (hide)'!AJ$6:AJ$105)&gt;0,$E$1=2),0,1)</f>
        <v>1</v>
      </c>
      <c r="X187" s="67">
        <f ca="1">IF(AND(SUMIF(Capacity_Resource,$D187,'Critical resources (hide)'!AK$6:AK$105)+SUMIF(Capacity_Resource,$E187,'Critical resources (hide)'!AK$6:AK$105)+SUMIF(Capacity_Resource,$F187,'Critical resources (hide)'!AK$6:AK$105)&gt;0,$E$1=2),0,1)</f>
        <v>1</v>
      </c>
      <c r="Y187" s="67">
        <f ca="1">IF(AND(SUMIF(Capacity_Resource,$D187,'Critical resources (hide)'!AL$6:AL$105)+SUMIF(Capacity_Resource,$E187,'Critical resources (hide)'!AL$6:AL$105)+SUMIF(Capacity_Resource,$F187,'Critical resources (hide)'!AL$6:AL$105)&gt;0,$E$1=2),0,1)</f>
        <v>1</v>
      </c>
      <c r="Z187" s="67">
        <f ca="1">IF(AND(SUMIF(Capacity_Resource,$D187,'Critical resources (hide)'!AM$6:AM$105)+SUMIF(Capacity_Resource,$E187,'Critical resources (hide)'!AM$6:AM$105)+SUMIF(Capacity_Resource,$F187,'Critical resources (hide)'!AM$6:AM$105)&gt;0,$E$1=2),0,1)</f>
        <v>1</v>
      </c>
      <c r="AA187" s="67">
        <f ca="1">IF(AND(SUMIF(Capacity_Resource,$D187,'Critical resources (hide)'!AN$6:AN$105)+SUMIF(Capacity_Resource,$E187,'Critical resources (hide)'!AN$6:AN$105)+SUMIF(Capacity_Resource,$F187,'Critical resources (hide)'!AN$6:AN$105)&gt;0,$E$1=2),0,1)</f>
        <v>1</v>
      </c>
      <c r="AB187" s="67">
        <f ca="1">IF(AND(SUMIF(Capacity_Resource,$D187,'Critical resources (hide)'!AO$6:AO$105)+SUMIF(Capacity_Resource,$E187,'Critical resources (hide)'!AO$6:AO$105)+SUMIF(Capacity_Resource,$F187,'Critical resources (hide)'!AO$6:AO$105)&gt;0,$E$1=2),0,1)</f>
        <v>1</v>
      </c>
      <c r="AC187" s="67">
        <f ca="1">IF(AND(SUMIF(Capacity_Resource,$D187,'Critical resources (hide)'!AP$6:AP$105)+SUMIF(Capacity_Resource,$E187,'Critical resources (hide)'!AP$6:AP$105)+SUMIF(Capacity_Resource,$F187,'Critical resources (hide)'!AP$6:AP$105)&gt;0,$E$1=2),0,1)</f>
        <v>1</v>
      </c>
      <c r="AD187" s="67">
        <f ca="1">IF(AND(SUMIF(Capacity_Resource,$D187,'Critical resources (hide)'!AQ$6:AQ$105)+SUMIF(Capacity_Resource,$E187,'Critical resources (hide)'!AQ$6:AQ$105)+SUMIF(Capacity_Resource,$F187,'Critical resources (hide)'!AQ$6:AQ$105)&gt;0,$E$1=2),0,1)</f>
        <v>1</v>
      </c>
      <c r="AE187" s="67">
        <f ca="1">IF(AND(SUMIF(Capacity_Resource,$D187,'Critical resources (hide)'!AR$6:AR$105)+SUMIF(Capacity_Resource,$E187,'Critical resources (hide)'!AR$6:AR$105)+SUMIF(Capacity_Resource,$F187,'Critical resources (hide)'!AR$6:AR$105)&gt;0,$E$1=2),0,1)</f>
        <v>1</v>
      </c>
      <c r="AF187" s="67">
        <f ca="1">IF(AND(SUMIF(Capacity_Resource,$D187,'Critical resources (hide)'!AS$6:AS$105)+SUMIF(Capacity_Resource,$E187,'Critical resources (hide)'!AS$6:AS$105)+SUMIF(Capacity_Resource,$F187,'Critical resources (hide)'!AS$6:AS$105)&gt;0,$E$1=2),0,1)</f>
        <v>1</v>
      </c>
      <c r="AG187" s="67">
        <f ca="1">IF(AND(SUMIF(Capacity_Resource,$D187,'Critical resources (hide)'!AT$6:AT$105)+SUMIF(Capacity_Resource,$E187,'Critical resources (hide)'!AT$6:AT$105)+SUMIF(Capacity_Resource,$F187,'Critical resources (hide)'!AT$6:AT$105)&gt;0,$E$1=2),0,1)</f>
        <v>1</v>
      </c>
      <c r="AH187" s="67">
        <f ca="1">IF(AND(SUMIF(Capacity_Resource,$D187,'Critical resources (hide)'!AU$6:AU$105)+SUMIF(Capacity_Resource,$E187,'Critical resources (hide)'!AU$6:AU$105)+SUMIF(Capacity_Resource,$F187,'Critical resources (hide)'!AU$6:AU$105)&gt;0,$E$1=2),0,1)</f>
        <v>1</v>
      </c>
      <c r="AI187" s="67">
        <f ca="1">IF(AND(SUMIF(Capacity_Resource,$D187,'Critical resources (hide)'!AV$6:AV$105)+SUMIF(Capacity_Resource,$E187,'Critical resources (hide)'!AV$6:AV$105)+SUMIF(Capacity_Resource,$F187,'Critical resources (hide)'!AV$6:AV$105)&gt;0,$E$1=2),0,1)</f>
        <v>1</v>
      </c>
      <c r="AJ187" s="67">
        <f ca="1">IF(AND(SUMIF(Capacity_Resource,$D187,'Critical resources (hide)'!AW$6:AW$105)+SUMIF(Capacity_Resource,$E187,'Critical resources (hide)'!AW$6:AW$105)+SUMIF(Capacity_Resource,$F187,'Critical resources (hide)'!AW$6:AW$105)&gt;0,$E$1=2),0,1)</f>
        <v>1</v>
      </c>
      <c r="AK187" s="67">
        <f ca="1">IF(AND(SUMIF(Capacity_Resource,$D187,'Critical resources (hide)'!AX$6:AX$105)+SUMIF(Capacity_Resource,$E187,'Critical resources (hide)'!AX$6:AX$105)+SUMIF(Capacity_Resource,$F187,'Critical resources (hide)'!AX$6:AX$105)&gt;0,$E$1=2),0,1)</f>
        <v>1</v>
      </c>
      <c r="AL187" s="67">
        <f ca="1">IF(AND(SUMIF(Capacity_Resource,$D187,'Critical resources (hide)'!AY$6:AY$105)+SUMIF(Capacity_Resource,$E187,'Critical resources (hide)'!AY$6:AY$105)+SUMIF(Capacity_Resource,$F187,'Critical resources (hide)'!AY$6:AY$105)&gt;0,$E$1=2),0,1)</f>
        <v>1</v>
      </c>
      <c r="AM187" s="67">
        <f ca="1">IF(AND(SUMIF(Capacity_Resource,$D187,'Critical resources (hide)'!AZ$6:AZ$105)+SUMIF(Capacity_Resource,$E187,'Critical resources (hide)'!AZ$6:AZ$105)+SUMIF(Capacity_Resource,$F187,'Critical resources (hide)'!AZ$6:AZ$105)&gt;0,$E$1=2),0,1)</f>
        <v>1</v>
      </c>
      <c r="AN187" s="67">
        <f ca="1">IF(AND(SUMIF(Capacity_Resource,$D187,'Critical resources (hide)'!BA$6:BA$105)+SUMIF(Capacity_Resource,$E187,'Critical resources (hide)'!BA$6:BA$105)+SUMIF(Capacity_Resource,$F187,'Critical resources (hide)'!BA$6:BA$105)&gt;0,$E$1=2),0,1)</f>
        <v>1</v>
      </c>
      <c r="AO187" s="67">
        <f ca="1">IF(AND(SUMIF(Capacity_Resource,$D187,'Critical resources (hide)'!BB$6:BB$105)+SUMIF(Capacity_Resource,$E187,'Critical resources (hide)'!BB$6:BB$105)+SUMIF(Capacity_Resource,$F187,'Critical resources (hide)'!BB$6:BB$105)&gt;0,$E$1=2),0,1)</f>
        <v>1</v>
      </c>
      <c r="AP187" s="67">
        <f ca="1">IF(AND(SUMIF(Capacity_Resource,$D187,'Critical resources (hide)'!BC$6:BC$105)+SUMIF(Capacity_Resource,$E187,'Critical resources (hide)'!BC$6:BC$105)+SUMIF(Capacity_Resource,$F187,'Critical resources (hide)'!BC$6:BC$105)&gt;0,$E$1=2),0,1)</f>
        <v>1</v>
      </c>
      <c r="AQ187" s="67">
        <f ca="1">IF(AND(SUMIF(Capacity_Resource,$D187,'Critical resources (hide)'!BD$6:BD$105)+SUMIF(Capacity_Resource,$E187,'Critical resources (hide)'!BD$6:BD$105)+SUMIF(Capacity_Resource,$F187,'Critical resources (hide)'!BD$6:BD$105)&gt;0,$E$1=2),0,1)</f>
        <v>1</v>
      </c>
      <c r="AR187" s="67">
        <f ca="1">IF(AND(SUMIF(Capacity_Resource,$D187,'Critical resources (hide)'!BE$6:BE$105)+SUMIF(Capacity_Resource,$E187,'Critical resources (hide)'!BE$6:BE$105)+SUMIF(Capacity_Resource,$F187,'Critical resources (hide)'!BE$6:BE$105)&gt;0,$E$1=2),0,1)</f>
        <v>1</v>
      </c>
      <c r="AS187" s="67">
        <f ca="1">IF(AND(SUMIF(Capacity_Resource,$D187,'Critical resources (hide)'!BF$6:BF$105)+SUMIF(Capacity_Resource,$E187,'Critical resources (hide)'!BF$6:BF$105)+SUMIF(Capacity_Resource,$F187,'Critical resources (hide)'!BF$6:BF$105)&gt;0,$E$1=2),0,1)</f>
        <v>1</v>
      </c>
      <c r="AT187" s="67">
        <f ca="1">IF(AND(SUMIF(Capacity_Resource,$D187,'Critical resources (hide)'!BG$6:BG$105)+SUMIF(Capacity_Resource,$E187,'Critical resources (hide)'!BG$6:BG$105)+SUMIF(Capacity_Resource,$F187,'Critical resources (hide)'!BG$6:BG$105)&gt;0,$E$1=2),0,1)</f>
        <v>1</v>
      </c>
      <c r="AU187" s="67">
        <f ca="1">IF(AND(SUMIF(Capacity_Resource,$D187,'Critical resources (hide)'!BH$6:BH$105)+SUMIF(Capacity_Resource,$E187,'Critical resources (hide)'!BH$6:BH$105)+SUMIF(Capacity_Resource,$F187,'Critical resources (hide)'!BH$6:BH$105)&gt;0,$E$1=2),0,1)</f>
        <v>1</v>
      </c>
      <c r="AV187" s="67">
        <f ca="1">IF(AND(SUMIF(Capacity_Resource,$D187,'Critical resources (hide)'!BI$6:BI$105)+SUMIF(Capacity_Resource,$E187,'Critical resources (hide)'!BI$6:BI$105)+SUMIF(Capacity_Resource,$F187,'Critical resources (hide)'!BI$6:BI$105)&gt;0,$E$1=2),0,1)</f>
        <v>1</v>
      </c>
      <c r="AW187" s="67">
        <f ca="1">IF(AND(SUMIF(Capacity_Resource,$D187,'Critical resources (hide)'!BJ$6:BJ$105)+SUMIF(Capacity_Resource,$E187,'Critical resources (hide)'!BJ$6:BJ$105)+SUMIF(Capacity_Resource,$F187,'Critical resources (hide)'!BJ$6:BJ$105)&gt;0,$E$1=2),0,1)</f>
        <v>1</v>
      </c>
      <c r="AX187" s="67">
        <f ca="1">IF(AND(SUMIF(Capacity_Resource,$D187,'Critical resources (hide)'!BK$6:BK$105)+SUMIF(Capacity_Resource,$E187,'Critical resources (hide)'!BK$6:BK$105)+SUMIF(Capacity_Resource,$F187,'Critical resources (hide)'!BK$6:BK$105)&gt;0,$E$1=2),0,1)</f>
        <v>1</v>
      </c>
      <c r="AY187" s="67">
        <f ca="1">IF(AND(SUMIF(Capacity_Resource,$D187,'Critical resources (hide)'!BL$6:BL$105)+SUMIF(Capacity_Resource,$E187,'Critical resources (hide)'!BL$6:BL$105)+SUMIF(Capacity_Resource,$F187,'Critical resources (hide)'!BL$6:BL$105)&gt;0,$E$1=2),0,1)</f>
        <v>1</v>
      </c>
      <c r="AZ187" s="67">
        <f ca="1">IF(AND(SUMIF(Capacity_Resource,$D187,'Critical resources (hide)'!BM$6:BM$105)+SUMIF(Capacity_Resource,$E187,'Critical resources (hide)'!BM$6:BM$105)+SUMIF(Capacity_Resource,$F187,'Critical resources (hide)'!BM$6:BM$105)&gt;0,$E$1=2),0,1)</f>
        <v>1</v>
      </c>
      <c r="BA187" s="67">
        <f ca="1">IF(AND(SUMIF(Capacity_Resource,$D187,'Critical resources (hide)'!BN$6:BN$105)+SUMIF(Capacity_Resource,$E187,'Critical resources (hide)'!BN$6:BN$105)+SUMIF(Capacity_Resource,$F187,'Critical resources (hide)'!BN$6:BN$105)&gt;0,$E$1=2),0,1)</f>
        <v>1</v>
      </c>
      <c r="BB187" s="67">
        <f ca="1">IF(AND(SUMIF(Capacity_Resource,$D187,'Critical resources (hide)'!BO$6:BO$105)+SUMIF(Capacity_Resource,$E187,'Critical resources (hide)'!BO$6:BO$105)+SUMIF(Capacity_Resource,$F187,'Critical resources (hide)'!BO$6:BO$105)&gt;0,$E$1=2),0,1)</f>
        <v>1</v>
      </c>
      <c r="BC187" s="67">
        <f ca="1">IF(AND(SUMIF(Capacity_Resource,$D187,'Critical resources (hide)'!BP$6:BP$105)+SUMIF(Capacity_Resource,$E187,'Critical resources (hide)'!BP$6:BP$105)+SUMIF(Capacity_Resource,$F187,'Critical resources (hide)'!BP$6:BP$105)&gt;0,$E$1=2),0,1)</f>
        <v>1</v>
      </c>
      <c r="BD187" s="67">
        <f ca="1">IF(AND(SUMIF(Capacity_Resource,$D187,'Critical resources (hide)'!BQ$6:BQ$105)+SUMIF(Capacity_Resource,$E187,'Critical resources (hide)'!BQ$6:BQ$105)+SUMIF(Capacity_Resource,$F187,'Critical resources (hide)'!BQ$6:BQ$105)&gt;0,$E$1=2),0,1)</f>
        <v>1</v>
      </c>
      <c r="BE187" s="67">
        <f ca="1">IF(AND(SUMIF(Capacity_Resource,$D187,'Critical resources (hide)'!BR$6:BR$105)+SUMIF(Capacity_Resource,$E187,'Critical resources (hide)'!BR$6:BR$105)+SUMIF(Capacity_Resource,$F187,'Critical resources (hide)'!BR$6:BR$105)&gt;0,$E$1=2),0,1)</f>
        <v>1</v>
      </c>
      <c r="BF187" s="67">
        <f ca="1">IF(AND(SUMIF(Capacity_Resource,$D187,'Critical resources (hide)'!BS$6:BS$105)+SUMIF(Capacity_Resource,$E187,'Critical resources (hide)'!BS$6:BS$105)+SUMIF(Capacity_Resource,$F187,'Critical resources (hide)'!BS$6:BS$105)&gt;0,$E$1=2),0,1)</f>
        <v>1</v>
      </c>
      <c r="BG187" s="67">
        <f ca="1">IF(AND(SUMIF(Capacity_Resource,$D187,'Critical resources (hide)'!BT$6:BT$105)+SUMIF(Capacity_Resource,$E187,'Critical resources (hide)'!BT$6:BT$105)+SUMIF(Capacity_Resource,$F187,'Critical resources (hide)'!BT$6:BT$105)&gt;0,$E$1=2),0,1)</f>
        <v>1</v>
      </c>
      <c r="BH187" s="67">
        <f>IF(ROW(A76)&lt;=Capacity!$M$16,IF('Capacity summary'!$C$14="No",SUM(H187:BG187),'Capacity summary'!$E99),0)</f>
        <v>0</v>
      </c>
      <c r="BI187" s="67" t="str">
        <f>IF(BH187&gt;0,IF(BH187&lt;Capacity!Q92,Capacity!R92,Capacity!T92/'Capacity calculation (hide)'!BH187),"")</f>
        <v/>
      </c>
      <c r="BJ187" s="5"/>
      <c r="BK187" s="5">
        <f>IF($BI187&lt;&gt;"",IF('Capacity summary'!$C$14="Yes",IF(COUNTBLANK('Capacity summary'!$H99:$BG99)&lt;52,IF('Capacity summary'!H99&lt;&gt;"",IF(LOWER('Capacity summary'!H99)="x",$BI187*H187,VALUE('Capacity summary'!H99)),0),H187*$BI187),H187*$BI187),0)</f>
        <v>0</v>
      </c>
      <c r="BL187" s="5">
        <f>IF($BI187&lt;&gt;"",IF('Capacity summary'!$C$14="Yes",IF(COUNTBLANK('Capacity summary'!$H99:$BG99)&lt;52,IF('Capacity summary'!I99&lt;&gt;"",IF(LOWER('Capacity summary'!I99)="x",$BI187*I187,VALUE('Capacity summary'!I99)),0),I187*$BI187),I187*$BI187),0)</f>
        <v>0</v>
      </c>
      <c r="BM187" s="5">
        <f>IF($BI187&lt;&gt;"",IF('Capacity summary'!$C$14="Yes",IF(COUNTBLANK('Capacity summary'!$H99:$BG99)&lt;52,IF('Capacity summary'!J99&lt;&gt;"",IF(LOWER('Capacity summary'!J99)="x",$BI187*J187,VALUE('Capacity summary'!J99)),0),J187*$BI187),J187*$BI187),0)</f>
        <v>0</v>
      </c>
      <c r="BN187" s="5">
        <f>IF($BI187&lt;&gt;"",IF('Capacity summary'!$C$14="Yes",IF(COUNTBLANK('Capacity summary'!$H99:$BG99)&lt;52,IF('Capacity summary'!K99&lt;&gt;"",IF(LOWER('Capacity summary'!K99)="x",$BI187*K187,VALUE('Capacity summary'!K99)),0),K187*$BI187),K187*$BI187),0)</f>
        <v>0</v>
      </c>
      <c r="BO187" s="5">
        <f>IF($BI187&lt;&gt;"",IF('Capacity summary'!$C$14="Yes",IF(COUNTBLANK('Capacity summary'!$H99:$BG99)&lt;52,IF('Capacity summary'!L99&lt;&gt;"",IF(LOWER('Capacity summary'!L99)="x",$BI187*L187,VALUE('Capacity summary'!L99)),0),L187*$BI187),L187*$BI187),0)</f>
        <v>0</v>
      </c>
      <c r="BP187" s="5">
        <f>IF($BI187&lt;&gt;"",IF('Capacity summary'!$C$14="Yes",IF(COUNTBLANK('Capacity summary'!$H99:$BG99)&lt;52,IF('Capacity summary'!M99&lt;&gt;"",IF(LOWER('Capacity summary'!M99)="x",$BI187*M187,VALUE('Capacity summary'!M99)),0),M187*$BI187),M187*$BI187),0)</f>
        <v>0</v>
      </c>
      <c r="BQ187" s="5">
        <f>IF($BI187&lt;&gt;"",IF('Capacity summary'!$C$14="Yes",IF(COUNTBLANK('Capacity summary'!$H99:$BG99)&lt;52,IF('Capacity summary'!N99&lt;&gt;"",IF(LOWER('Capacity summary'!N99)="x",$BI187*N187,VALUE('Capacity summary'!N99)),0),N187*$BI187),N187*$BI187),0)</f>
        <v>0</v>
      </c>
      <c r="BR187" s="5">
        <f>IF($BI187&lt;&gt;"",IF('Capacity summary'!$C$14="Yes",IF(COUNTBLANK('Capacity summary'!$H99:$BG99)&lt;52,IF('Capacity summary'!O99&lt;&gt;"",IF(LOWER('Capacity summary'!O99)="x",$BI187*O187,VALUE('Capacity summary'!O99)),0),O187*$BI187),O187*$BI187),0)</f>
        <v>0</v>
      </c>
      <c r="BS187" s="5">
        <f>IF($BI187&lt;&gt;"",IF('Capacity summary'!$C$14="Yes",IF(COUNTBLANK('Capacity summary'!$H99:$BG99)&lt;52,IF('Capacity summary'!P99&lt;&gt;"",IF(LOWER('Capacity summary'!P99)="x",$BI187*P187,VALUE('Capacity summary'!P99)),0),P187*$BI187),P187*$BI187),0)</f>
        <v>0</v>
      </c>
      <c r="BT187" s="5">
        <f>IF($BI187&lt;&gt;"",IF('Capacity summary'!$C$14="Yes",IF(COUNTBLANK('Capacity summary'!$H99:$BG99)&lt;52,IF('Capacity summary'!Q99&lt;&gt;"",IF(LOWER('Capacity summary'!Q99)="x",$BI187*Q187,VALUE('Capacity summary'!Q99)),0),Q187*$BI187),Q187*$BI187),0)</f>
        <v>0</v>
      </c>
      <c r="BU187" s="5">
        <f>IF($BI187&lt;&gt;"",IF('Capacity summary'!$C$14="Yes",IF(COUNTBLANK('Capacity summary'!$H99:$BG99)&lt;52,IF('Capacity summary'!R99&lt;&gt;"",IF(LOWER('Capacity summary'!R99)="x",$BI187*R187,VALUE('Capacity summary'!R99)),0),R187*$BI187),R187*$BI187),0)</f>
        <v>0</v>
      </c>
      <c r="BV187" s="5">
        <f>IF($BI187&lt;&gt;"",IF('Capacity summary'!$C$14="Yes",IF(COUNTBLANK('Capacity summary'!$H99:$BG99)&lt;52,IF('Capacity summary'!S99&lt;&gt;"",IF(LOWER('Capacity summary'!S99)="x",$BI187*S187,VALUE('Capacity summary'!S99)),0),S187*$BI187),S187*$BI187),0)</f>
        <v>0</v>
      </c>
      <c r="BW187" s="5">
        <f>IF($BI187&lt;&gt;"",IF('Capacity summary'!$C$14="Yes",IF(COUNTBLANK('Capacity summary'!$H99:$BG99)&lt;52,IF('Capacity summary'!T99&lt;&gt;"",IF(LOWER('Capacity summary'!T99)="x",$BI187*T187,VALUE('Capacity summary'!T99)),0),T187*$BI187),T187*$BI187),0)</f>
        <v>0</v>
      </c>
      <c r="BX187" s="5">
        <f>IF($BI187&lt;&gt;"",IF('Capacity summary'!$C$14="Yes",IF(COUNTBLANK('Capacity summary'!$H99:$BG99)&lt;52,IF('Capacity summary'!U99&lt;&gt;"",IF(LOWER('Capacity summary'!U99)="x",$BI187*U187,VALUE('Capacity summary'!U99)),0),U187*$BI187),U187*$BI187),0)</f>
        <v>0</v>
      </c>
      <c r="BY187" s="5">
        <f>IF($BI187&lt;&gt;"",IF('Capacity summary'!$C$14="Yes",IF(COUNTBLANK('Capacity summary'!$H99:$BG99)&lt;52,IF('Capacity summary'!V99&lt;&gt;"",IF(LOWER('Capacity summary'!V99)="x",$BI187*V187,VALUE('Capacity summary'!V99)),0),V187*$BI187),V187*$BI187),0)</f>
        <v>0</v>
      </c>
      <c r="BZ187" s="5">
        <f>IF($BI187&lt;&gt;"",IF('Capacity summary'!$C$14="Yes",IF(COUNTBLANK('Capacity summary'!$H99:$BG99)&lt;52,IF('Capacity summary'!W99&lt;&gt;"",IF(LOWER('Capacity summary'!W99)="x",$BI187*W187,VALUE('Capacity summary'!W99)),0),W187*$BI187),W187*$BI187),0)</f>
        <v>0</v>
      </c>
      <c r="CA187" s="5">
        <f>IF($BI187&lt;&gt;"",IF('Capacity summary'!$C$14="Yes",IF(COUNTBLANK('Capacity summary'!$H99:$BG99)&lt;52,IF('Capacity summary'!X99&lt;&gt;"",IF(LOWER('Capacity summary'!X99)="x",$BI187*X187,VALUE('Capacity summary'!X99)),0),X187*$BI187),X187*$BI187),0)</f>
        <v>0</v>
      </c>
      <c r="CB187" s="5">
        <f>IF($BI187&lt;&gt;"",IF('Capacity summary'!$C$14="Yes",IF(COUNTBLANK('Capacity summary'!$H99:$BG99)&lt;52,IF('Capacity summary'!Y99&lt;&gt;"",IF(LOWER('Capacity summary'!Y99)="x",$BI187*Y187,VALUE('Capacity summary'!Y99)),0),Y187*$BI187),Y187*$BI187),0)</f>
        <v>0</v>
      </c>
      <c r="CC187" s="5">
        <f>IF($BI187&lt;&gt;"",IF('Capacity summary'!$C$14="Yes",IF(COUNTBLANK('Capacity summary'!$H99:$BG99)&lt;52,IF('Capacity summary'!Z99&lt;&gt;"",IF(LOWER('Capacity summary'!Z99)="x",$BI187*Z187,VALUE('Capacity summary'!Z99)),0),Z187*$BI187),Z187*$BI187),0)</f>
        <v>0</v>
      </c>
      <c r="CD187" s="5">
        <f>IF($BI187&lt;&gt;"",IF('Capacity summary'!$C$14="Yes",IF(COUNTBLANK('Capacity summary'!$H99:$BG99)&lt;52,IF('Capacity summary'!AA99&lt;&gt;"",IF(LOWER('Capacity summary'!AA99)="x",$BI187*AA187,VALUE('Capacity summary'!AA99)),0),AA187*$BI187),AA187*$BI187),0)</f>
        <v>0</v>
      </c>
      <c r="CE187" s="5">
        <f>IF($BI187&lt;&gt;"",IF('Capacity summary'!$C$14="Yes",IF(COUNTBLANK('Capacity summary'!$H99:$BG99)&lt;52,IF('Capacity summary'!AB99&lt;&gt;"",IF(LOWER('Capacity summary'!AB99)="x",$BI187*AB187,VALUE('Capacity summary'!AB99)),0),AB187*$BI187),AB187*$BI187),0)</f>
        <v>0</v>
      </c>
      <c r="CF187" s="5">
        <f>IF($BI187&lt;&gt;"",IF('Capacity summary'!$C$14="Yes",IF(COUNTBLANK('Capacity summary'!$H99:$BG99)&lt;52,IF('Capacity summary'!AC99&lt;&gt;"",IF(LOWER('Capacity summary'!AC99)="x",$BI187*AC187,VALUE('Capacity summary'!AC99)),0),AC187*$BI187),AC187*$BI187),0)</f>
        <v>0</v>
      </c>
      <c r="CG187" s="5">
        <f>IF($BI187&lt;&gt;"",IF('Capacity summary'!$C$14="Yes",IF(COUNTBLANK('Capacity summary'!$H99:$BG99)&lt;52,IF('Capacity summary'!AD99&lt;&gt;"",IF(LOWER('Capacity summary'!AD99)="x",$BI187*AD187,VALUE('Capacity summary'!AD99)),0),AD187*$BI187),AD187*$BI187),0)</f>
        <v>0</v>
      </c>
      <c r="CH187" s="5">
        <f>IF($BI187&lt;&gt;"",IF('Capacity summary'!$C$14="Yes",IF(COUNTBLANK('Capacity summary'!$H99:$BG99)&lt;52,IF('Capacity summary'!AE99&lt;&gt;"",IF(LOWER('Capacity summary'!AE99)="x",$BI187*AE187,VALUE('Capacity summary'!AE99)),0),AE187*$BI187),AE187*$BI187),0)</f>
        <v>0</v>
      </c>
      <c r="CI187" s="5">
        <f>IF($BI187&lt;&gt;"",IF('Capacity summary'!$C$14="Yes",IF(COUNTBLANK('Capacity summary'!$H99:$BG99)&lt;52,IF('Capacity summary'!AF99&lt;&gt;"",IF(LOWER('Capacity summary'!AF99)="x",$BI187*AF187,VALUE('Capacity summary'!AF99)),0),AF187*$BI187),AF187*$BI187),0)</f>
        <v>0</v>
      </c>
      <c r="CJ187" s="5">
        <f>IF($BI187&lt;&gt;"",IF('Capacity summary'!$C$14="Yes",IF(COUNTBLANK('Capacity summary'!$H99:$BG99)&lt;52,IF('Capacity summary'!AG99&lt;&gt;"",IF(LOWER('Capacity summary'!AG99)="x",$BI187*AG187,VALUE('Capacity summary'!AG99)),0),AG187*$BI187),AG187*$BI187),0)</f>
        <v>0</v>
      </c>
      <c r="CK187" s="5">
        <f>IF($BI187&lt;&gt;"",IF('Capacity summary'!$C$14="Yes",IF(COUNTBLANK('Capacity summary'!$H99:$BG99)&lt;52,IF('Capacity summary'!AH99&lt;&gt;"",IF(LOWER('Capacity summary'!AH99)="x",$BI187*AH187,VALUE('Capacity summary'!AH99)),0),AH187*$BI187),AH187*$BI187),0)</f>
        <v>0</v>
      </c>
      <c r="CL187" s="5">
        <f>IF($BI187&lt;&gt;"",IF('Capacity summary'!$C$14="Yes",IF(COUNTBLANK('Capacity summary'!$H99:$BG99)&lt;52,IF('Capacity summary'!AI99&lt;&gt;"",IF(LOWER('Capacity summary'!AI99)="x",$BI187*AI187,VALUE('Capacity summary'!AI99)),0),AI187*$BI187),AI187*$BI187),0)</f>
        <v>0</v>
      </c>
      <c r="CM187" s="5">
        <f>IF($BI187&lt;&gt;"",IF('Capacity summary'!$C$14="Yes",IF(COUNTBLANK('Capacity summary'!$H99:$BG99)&lt;52,IF('Capacity summary'!AJ99&lt;&gt;"",IF(LOWER('Capacity summary'!AJ99)="x",$BI187*AJ187,VALUE('Capacity summary'!AJ99)),0),AJ187*$BI187),AJ187*$BI187),0)</f>
        <v>0</v>
      </c>
      <c r="CN187" s="5">
        <f>IF($BI187&lt;&gt;"",IF('Capacity summary'!$C$14="Yes",IF(COUNTBLANK('Capacity summary'!$H99:$BG99)&lt;52,IF('Capacity summary'!AK99&lt;&gt;"",IF(LOWER('Capacity summary'!AK99)="x",$BI187*AK187,VALUE('Capacity summary'!AK99)),0),AK187*$BI187),AK187*$BI187),0)</f>
        <v>0</v>
      </c>
      <c r="CO187" s="5">
        <f>IF($BI187&lt;&gt;"",IF('Capacity summary'!$C$14="Yes",IF(COUNTBLANK('Capacity summary'!$H99:$BG99)&lt;52,IF('Capacity summary'!AL99&lt;&gt;"",IF(LOWER('Capacity summary'!AL99)="x",$BI187*AL187,VALUE('Capacity summary'!AL99)),0),AL187*$BI187),AL187*$BI187),0)</f>
        <v>0</v>
      </c>
      <c r="CP187" s="5">
        <f>IF($BI187&lt;&gt;"",IF('Capacity summary'!$C$14="Yes",IF(COUNTBLANK('Capacity summary'!$H99:$BG99)&lt;52,IF('Capacity summary'!AM99&lt;&gt;"",IF(LOWER('Capacity summary'!AM99)="x",$BI187*AM187,VALUE('Capacity summary'!AM99)),0),AM187*$BI187),AM187*$BI187),0)</f>
        <v>0</v>
      </c>
      <c r="CQ187" s="5">
        <f>IF($BI187&lt;&gt;"",IF('Capacity summary'!$C$14="Yes",IF(COUNTBLANK('Capacity summary'!$H99:$BG99)&lt;52,IF('Capacity summary'!AN99&lt;&gt;"",IF(LOWER('Capacity summary'!AN99)="x",$BI187*AN187,VALUE('Capacity summary'!AN99)),0),AN187*$BI187),AN187*$BI187),0)</f>
        <v>0</v>
      </c>
      <c r="CR187" s="5">
        <f>IF($BI187&lt;&gt;"",IF('Capacity summary'!$C$14="Yes",IF(COUNTBLANK('Capacity summary'!$H99:$BG99)&lt;52,IF('Capacity summary'!AO99&lt;&gt;"",IF(LOWER('Capacity summary'!AO99)="x",$BI187*AO187,VALUE('Capacity summary'!AO99)),0),AO187*$BI187),AO187*$BI187),0)</f>
        <v>0</v>
      </c>
      <c r="CS187" s="5">
        <f>IF($BI187&lt;&gt;"",IF('Capacity summary'!$C$14="Yes",IF(COUNTBLANK('Capacity summary'!$H99:$BG99)&lt;52,IF('Capacity summary'!AP99&lt;&gt;"",IF(LOWER('Capacity summary'!AP99)="x",$BI187*AP187,VALUE('Capacity summary'!AP99)),0),AP187*$BI187),AP187*$BI187),0)</f>
        <v>0</v>
      </c>
      <c r="CT187" s="5">
        <f>IF($BI187&lt;&gt;"",IF('Capacity summary'!$C$14="Yes",IF(COUNTBLANK('Capacity summary'!$H99:$BG99)&lt;52,IF('Capacity summary'!AQ99&lt;&gt;"",IF(LOWER('Capacity summary'!AQ99)="x",$BI187*AQ187,VALUE('Capacity summary'!AQ99)),0),AQ187*$BI187),AQ187*$BI187),0)</f>
        <v>0</v>
      </c>
      <c r="CU187" s="5">
        <f>IF($BI187&lt;&gt;"",IF('Capacity summary'!$C$14="Yes",IF(COUNTBLANK('Capacity summary'!$H99:$BG99)&lt;52,IF('Capacity summary'!AR99&lt;&gt;"",IF(LOWER('Capacity summary'!AR99)="x",$BI187*AR187,VALUE('Capacity summary'!AR99)),0),AR187*$BI187),AR187*$BI187),0)</f>
        <v>0</v>
      </c>
      <c r="CV187" s="5">
        <f>IF($BI187&lt;&gt;"",IF('Capacity summary'!$C$14="Yes",IF(COUNTBLANK('Capacity summary'!$H99:$BG99)&lt;52,IF('Capacity summary'!AS99&lt;&gt;"",IF(LOWER('Capacity summary'!AS99)="x",$BI187*AS187,VALUE('Capacity summary'!AS99)),0),AS187*$BI187),AS187*$BI187),0)</f>
        <v>0</v>
      </c>
      <c r="CW187" s="5">
        <f>IF($BI187&lt;&gt;"",IF('Capacity summary'!$C$14="Yes",IF(COUNTBLANK('Capacity summary'!$H99:$BG99)&lt;52,IF('Capacity summary'!AT99&lt;&gt;"",IF(LOWER('Capacity summary'!AT99)="x",$BI187*AT187,VALUE('Capacity summary'!AT99)),0),AT187*$BI187),AT187*$BI187),0)</f>
        <v>0</v>
      </c>
      <c r="CX187" s="5">
        <f>IF($BI187&lt;&gt;"",IF('Capacity summary'!$C$14="Yes",IF(COUNTBLANK('Capacity summary'!$H99:$BG99)&lt;52,IF('Capacity summary'!AU99&lt;&gt;"",IF(LOWER('Capacity summary'!AU99)="x",$BI187*AU187,VALUE('Capacity summary'!AU99)),0),AU187*$BI187),AU187*$BI187),0)</f>
        <v>0</v>
      </c>
      <c r="CY187" s="5">
        <f>IF($BI187&lt;&gt;"",IF('Capacity summary'!$C$14="Yes",IF(COUNTBLANK('Capacity summary'!$H99:$BG99)&lt;52,IF('Capacity summary'!AV99&lt;&gt;"",IF(LOWER('Capacity summary'!AV99)="x",$BI187*AV187,VALUE('Capacity summary'!AV99)),0),AV187*$BI187),AV187*$BI187),0)</f>
        <v>0</v>
      </c>
      <c r="CZ187" s="5">
        <f>IF($BI187&lt;&gt;"",IF('Capacity summary'!$C$14="Yes",IF(COUNTBLANK('Capacity summary'!$H99:$BG99)&lt;52,IF('Capacity summary'!AW99&lt;&gt;"",IF(LOWER('Capacity summary'!AW99)="x",$BI187*AW187,VALUE('Capacity summary'!AW99)),0),AW187*$BI187),AW187*$BI187),0)</f>
        <v>0</v>
      </c>
      <c r="DA187" s="5">
        <f>IF($BI187&lt;&gt;"",IF('Capacity summary'!$C$14="Yes",IF(COUNTBLANK('Capacity summary'!$H99:$BG99)&lt;52,IF('Capacity summary'!AX99&lt;&gt;"",IF(LOWER('Capacity summary'!AX99)="x",$BI187*AX187,VALUE('Capacity summary'!AX99)),0),AX187*$BI187),AX187*$BI187),0)</f>
        <v>0</v>
      </c>
      <c r="DB187" s="5">
        <f>IF($BI187&lt;&gt;"",IF('Capacity summary'!$C$14="Yes",IF(COUNTBLANK('Capacity summary'!$H99:$BG99)&lt;52,IF('Capacity summary'!AY99&lt;&gt;"",IF(LOWER('Capacity summary'!AY99)="x",$BI187*AY187,VALUE('Capacity summary'!AY99)),0),AY187*$BI187),AY187*$BI187),0)</f>
        <v>0</v>
      </c>
      <c r="DC187" s="5">
        <f>IF($BI187&lt;&gt;"",IF('Capacity summary'!$C$14="Yes",IF(COUNTBLANK('Capacity summary'!$H99:$BG99)&lt;52,IF('Capacity summary'!AZ99&lt;&gt;"",IF(LOWER('Capacity summary'!AZ99)="x",$BI187*AZ187,VALUE('Capacity summary'!AZ99)),0),AZ187*$BI187),AZ187*$BI187),0)</f>
        <v>0</v>
      </c>
      <c r="DD187" s="5">
        <f>IF($BI187&lt;&gt;"",IF('Capacity summary'!$C$14="Yes",IF(COUNTBLANK('Capacity summary'!$H99:$BG99)&lt;52,IF('Capacity summary'!BA99&lt;&gt;"",IF(LOWER('Capacity summary'!BA99)="x",$BI187*BA187,VALUE('Capacity summary'!BA99)),0),BA187*$BI187),BA187*$BI187),0)</f>
        <v>0</v>
      </c>
      <c r="DE187" s="5">
        <f>IF($BI187&lt;&gt;"",IF('Capacity summary'!$C$14="Yes",IF(COUNTBLANK('Capacity summary'!$H99:$BG99)&lt;52,IF('Capacity summary'!BB99&lt;&gt;"",IF(LOWER('Capacity summary'!BB99)="x",$BI187*BB187,VALUE('Capacity summary'!BB99)),0),BB187*$BI187),BB187*$BI187),0)</f>
        <v>0</v>
      </c>
      <c r="DF187" s="5">
        <f>IF($BI187&lt;&gt;"",IF('Capacity summary'!$C$14="Yes",IF(COUNTBLANK('Capacity summary'!$H99:$BG99)&lt;52,IF('Capacity summary'!BC99&lt;&gt;"",IF(LOWER('Capacity summary'!BC99)="x",$BI187*BC187,VALUE('Capacity summary'!BC99)),0),BC187*$BI187),BC187*$BI187),0)</f>
        <v>0</v>
      </c>
      <c r="DG187" s="5">
        <f>IF($BI187&lt;&gt;"",IF('Capacity summary'!$C$14="Yes",IF(COUNTBLANK('Capacity summary'!$H99:$BG99)&lt;52,IF('Capacity summary'!BD99&lt;&gt;"",IF(LOWER('Capacity summary'!BD99)="x",$BI187*BD187,VALUE('Capacity summary'!BD99)),0),BD187*$BI187),BD187*$BI187),0)</f>
        <v>0</v>
      </c>
      <c r="DH187" s="5">
        <f>IF($BI187&lt;&gt;"",IF('Capacity summary'!$C$14="Yes",IF(COUNTBLANK('Capacity summary'!$H99:$BG99)&lt;52,IF('Capacity summary'!BE99&lt;&gt;"",IF(LOWER('Capacity summary'!BE99)="x",$BI187*BE187,VALUE('Capacity summary'!BE99)),0),BE187*$BI187),BE187*$BI187),0)</f>
        <v>0</v>
      </c>
      <c r="DI187" s="5">
        <f>IF($BI187&lt;&gt;"",IF('Capacity summary'!$C$14="Yes",IF(COUNTBLANK('Capacity summary'!$H99:$BG99)&lt;52,IF('Capacity summary'!BF99&lt;&gt;"",IF(LOWER('Capacity summary'!BF99)="x",$BI187*BF187,VALUE('Capacity summary'!BF99)),0),BF187*$BI187),BF187*$BI187),0)</f>
        <v>0</v>
      </c>
      <c r="DJ187" s="5">
        <f>IF($BI187&lt;&gt;"",IF('Capacity summary'!$C$14="Yes",IF(COUNTBLANK('Capacity summary'!$H99:$BG99)&lt;52,IF('Capacity summary'!BG99&lt;&gt;"",IF(LOWER('Capacity summary'!BG99)="x",$BI187*BG187,VALUE('Capacity summary'!BG99)),0),BG187*$BI187),BG187*$BI187),0)</f>
        <v>0</v>
      </c>
      <c r="DK187" s="5">
        <f t="shared" ref="DK187" si="81">SUM(DK188:DK287)</f>
        <v>0</v>
      </c>
    </row>
    <row r="188" spans="3:115" x14ac:dyDescent="0.25">
      <c r="C188" s="67" t="str">
        <f>ROW(A77)&amp;". "&amp;Capacity!N93</f>
        <v xml:space="preserve">77. </v>
      </c>
      <c r="D188" s="67">
        <f>'Capacity setup'!C194</f>
        <v>0</v>
      </c>
      <c r="E188" s="67">
        <f>'Capacity setup'!D194</f>
        <v>0</v>
      </c>
      <c r="F188" s="67">
        <f>'Capacity setup'!E194</f>
        <v>0</v>
      </c>
      <c r="H188" s="67">
        <f ca="1">IF(AND(SUMIF(Capacity_Resource,$D188,'Critical resources (hide)'!U$6:U$105)+SUMIF(Capacity_Resource,$E188,'Critical resources (hide)'!U$6:U$105)+SUMIF(Capacity_Resource,$F188,'Critical resources (hide)'!U$6:U$105)&gt;0,$E$1=2),0,1)</f>
        <v>1</v>
      </c>
      <c r="I188" s="67">
        <f ca="1">IF(AND(SUMIF(Capacity_Resource,$D188,'Critical resources (hide)'!V$6:V$105)+SUMIF(Capacity_Resource,$E188,'Critical resources (hide)'!V$6:V$105)+SUMIF(Capacity_Resource,$F188,'Critical resources (hide)'!V$6:V$105)&gt;0,$E$1=2),0,1)</f>
        <v>1</v>
      </c>
      <c r="J188" s="67">
        <f ca="1">IF(AND(SUMIF(Capacity_Resource,$D188,'Critical resources (hide)'!W$6:W$105)+SUMIF(Capacity_Resource,$E188,'Critical resources (hide)'!W$6:W$105)+SUMIF(Capacity_Resource,$F188,'Critical resources (hide)'!W$6:W$105)&gt;0,$E$1=2),0,1)</f>
        <v>1</v>
      </c>
      <c r="K188" s="67">
        <f ca="1">IF(AND(SUMIF(Capacity_Resource,$D188,'Critical resources (hide)'!X$6:X$105)+SUMIF(Capacity_Resource,$E188,'Critical resources (hide)'!X$6:X$105)+SUMIF(Capacity_Resource,$F188,'Critical resources (hide)'!X$6:X$105)&gt;0,$E$1=2),0,1)</f>
        <v>1</v>
      </c>
      <c r="L188" s="67">
        <f ca="1">IF(AND(SUMIF(Capacity_Resource,$D188,'Critical resources (hide)'!Y$6:Y$105)+SUMIF(Capacity_Resource,$E188,'Critical resources (hide)'!Y$6:Y$105)+SUMIF(Capacity_Resource,$F188,'Critical resources (hide)'!Y$6:Y$105)&gt;0,$E$1=2),0,1)</f>
        <v>1</v>
      </c>
      <c r="M188" s="67">
        <f ca="1">IF(AND(SUMIF(Capacity_Resource,$D188,'Critical resources (hide)'!Z$6:Z$105)+SUMIF(Capacity_Resource,$E188,'Critical resources (hide)'!Z$6:Z$105)+SUMIF(Capacity_Resource,$F188,'Critical resources (hide)'!Z$6:Z$105)&gt;0,$E$1=2),0,1)</f>
        <v>1</v>
      </c>
      <c r="N188" s="67">
        <f ca="1">IF(AND(SUMIF(Capacity_Resource,$D188,'Critical resources (hide)'!AA$6:AA$105)+SUMIF(Capacity_Resource,$E188,'Critical resources (hide)'!AA$6:AA$105)+SUMIF(Capacity_Resource,$F188,'Critical resources (hide)'!AA$6:AA$105)&gt;0,$E$1=2),0,1)</f>
        <v>1</v>
      </c>
      <c r="O188" s="67">
        <f ca="1">IF(AND(SUMIF(Capacity_Resource,$D188,'Critical resources (hide)'!AB$6:AB$105)+SUMIF(Capacity_Resource,$E188,'Critical resources (hide)'!AB$6:AB$105)+SUMIF(Capacity_Resource,$F188,'Critical resources (hide)'!AB$6:AB$105)&gt;0,$E$1=2),0,1)</f>
        <v>1</v>
      </c>
      <c r="P188" s="67">
        <f ca="1">IF(AND(SUMIF(Capacity_Resource,$D188,'Critical resources (hide)'!AC$6:AC$105)+SUMIF(Capacity_Resource,$E188,'Critical resources (hide)'!AC$6:AC$105)+SUMIF(Capacity_Resource,$F188,'Critical resources (hide)'!AC$6:AC$105)&gt;0,$E$1=2),0,1)</f>
        <v>1</v>
      </c>
      <c r="Q188" s="67">
        <f ca="1">IF(AND(SUMIF(Capacity_Resource,$D188,'Critical resources (hide)'!AD$6:AD$105)+SUMIF(Capacity_Resource,$E188,'Critical resources (hide)'!AD$6:AD$105)+SUMIF(Capacity_Resource,$F188,'Critical resources (hide)'!AD$6:AD$105)&gt;0,$E$1=2),0,1)</f>
        <v>1</v>
      </c>
      <c r="R188" s="67">
        <f ca="1">IF(AND(SUMIF(Capacity_Resource,$D188,'Critical resources (hide)'!AE$6:AE$105)+SUMIF(Capacity_Resource,$E188,'Critical resources (hide)'!AE$6:AE$105)+SUMIF(Capacity_Resource,$F188,'Critical resources (hide)'!AE$6:AE$105)&gt;0,$E$1=2),0,1)</f>
        <v>1</v>
      </c>
      <c r="S188" s="67">
        <f ca="1">IF(AND(SUMIF(Capacity_Resource,$D188,'Critical resources (hide)'!AF$6:AF$105)+SUMIF(Capacity_Resource,$E188,'Critical resources (hide)'!AF$6:AF$105)+SUMIF(Capacity_Resource,$F188,'Critical resources (hide)'!AF$6:AF$105)&gt;0,$E$1=2),0,1)</f>
        <v>1</v>
      </c>
      <c r="T188" s="67">
        <f ca="1">IF(AND(SUMIF(Capacity_Resource,$D188,'Critical resources (hide)'!AG$6:AG$105)+SUMIF(Capacity_Resource,$E188,'Critical resources (hide)'!AG$6:AG$105)+SUMIF(Capacity_Resource,$F188,'Critical resources (hide)'!AG$6:AG$105)&gt;0,$E$1=2),0,1)</f>
        <v>1</v>
      </c>
      <c r="U188" s="67">
        <f ca="1">IF(AND(SUMIF(Capacity_Resource,$D188,'Critical resources (hide)'!AH$6:AH$105)+SUMIF(Capacity_Resource,$E188,'Critical resources (hide)'!AH$6:AH$105)+SUMIF(Capacity_Resource,$F188,'Critical resources (hide)'!AH$6:AH$105)&gt;0,$E$1=2),0,1)</f>
        <v>1</v>
      </c>
      <c r="V188" s="67">
        <f ca="1">IF(AND(SUMIF(Capacity_Resource,$D188,'Critical resources (hide)'!AI$6:AI$105)+SUMIF(Capacity_Resource,$E188,'Critical resources (hide)'!AI$6:AI$105)+SUMIF(Capacity_Resource,$F188,'Critical resources (hide)'!AI$6:AI$105)&gt;0,$E$1=2),0,1)</f>
        <v>1</v>
      </c>
      <c r="W188" s="67">
        <f ca="1">IF(AND(SUMIF(Capacity_Resource,$D188,'Critical resources (hide)'!AJ$6:AJ$105)+SUMIF(Capacity_Resource,$E188,'Critical resources (hide)'!AJ$6:AJ$105)+SUMIF(Capacity_Resource,$F188,'Critical resources (hide)'!AJ$6:AJ$105)&gt;0,$E$1=2),0,1)</f>
        <v>1</v>
      </c>
      <c r="X188" s="67">
        <f ca="1">IF(AND(SUMIF(Capacity_Resource,$D188,'Critical resources (hide)'!AK$6:AK$105)+SUMIF(Capacity_Resource,$E188,'Critical resources (hide)'!AK$6:AK$105)+SUMIF(Capacity_Resource,$F188,'Critical resources (hide)'!AK$6:AK$105)&gt;0,$E$1=2),0,1)</f>
        <v>1</v>
      </c>
      <c r="Y188" s="67">
        <f ca="1">IF(AND(SUMIF(Capacity_Resource,$D188,'Critical resources (hide)'!AL$6:AL$105)+SUMIF(Capacity_Resource,$E188,'Critical resources (hide)'!AL$6:AL$105)+SUMIF(Capacity_Resource,$F188,'Critical resources (hide)'!AL$6:AL$105)&gt;0,$E$1=2),0,1)</f>
        <v>1</v>
      </c>
      <c r="Z188" s="67">
        <f ca="1">IF(AND(SUMIF(Capacity_Resource,$D188,'Critical resources (hide)'!AM$6:AM$105)+SUMIF(Capacity_Resource,$E188,'Critical resources (hide)'!AM$6:AM$105)+SUMIF(Capacity_Resource,$F188,'Critical resources (hide)'!AM$6:AM$105)&gt;0,$E$1=2),0,1)</f>
        <v>1</v>
      </c>
      <c r="AA188" s="67">
        <f ca="1">IF(AND(SUMIF(Capacity_Resource,$D188,'Critical resources (hide)'!AN$6:AN$105)+SUMIF(Capacity_Resource,$E188,'Critical resources (hide)'!AN$6:AN$105)+SUMIF(Capacity_Resource,$F188,'Critical resources (hide)'!AN$6:AN$105)&gt;0,$E$1=2),0,1)</f>
        <v>1</v>
      </c>
      <c r="AB188" s="67">
        <f ca="1">IF(AND(SUMIF(Capacity_Resource,$D188,'Critical resources (hide)'!AO$6:AO$105)+SUMIF(Capacity_Resource,$E188,'Critical resources (hide)'!AO$6:AO$105)+SUMIF(Capacity_Resource,$F188,'Critical resources (hide)'!AO$6:AO$105)&gt;0,$E$1=2),0,1)</f>
        <v>1</v>
      </c>
      <c r="AC188" s="67">
        <f ca="1">IF(AND(SUMIF(Capacity_Resource,$D188,'Critical resources (hide)'!AP$6:AP$105)+SUMIF(Capacity_Resource,$E188,'Critical resources (hide)'!AP$6:AP$105)+SUMIF(Capacity_Resource,$F188,'Critical resources (hide)'!AP$6:AP$105)&gt;0,$E$1=2),0,1)</f>
        <v>1</v>
      </c>
      <c r="AD188" s="67">
        <f ca="1">IF(AND(SUMIF(Capacity_Resource,$D188,'Critical resources (hide)'!AQ$6:AQ$105)+SUMIF(Capacity_Resource,$E188,'Critical resources (hide)'!AQ$6:AQ$105)+SUMIF(Capacity_Resource,$F188,'Critical resources (hide)'!AQ$6:AQ$105)&gt;0,$E$1=2),0,1)</f>
        <v>1</v>
      </c>
      <c r="AE188" s="67">
        <f ca="1">IF(AND(SUMIF(Capacity_Resource,$D188,'Critical resources (hide)'!AR$6:AR$105)+SUMIF(Capacity_Resource,$E188,'Critical resources (hide)'!AR$6:AR$105)+SUMIF(Capacity_Resource,$F188,'Critical resources (hide)'!AR$6:AR$105)&gt;0,$E$1=2),0,1)</f>
        <v>1</v>
      </c>
      <c r="AF188" s="67">
        <f ca="1">IF(AND(SUMIF(Capacity_Resource,$D188,'Critical resources (hide)'!AS$6:AS$105)+SUMIF(Capacity_Resource,$E188,'Critical resources (hide)'!AS$6:AS$105)+SUMIF(Capacity_Resource,$F188,'Critical resources (hide)'!AS$6:AS$105)&gt;0,$E$1=2),0,1)</f>
        <v>1</v>
      </c>
      <c r="AG188" s="67">
        <f ca="1">IF(AND(SUMIF(Capacity_Resource,$D188,'Critical resources (hide)'!AT$6:AT$105)+SUMIF(Capacity_Resource,$E188,'Critical resources (hide)'!AT$6:AT$105)+SUMIF(Capacity_Resource,$F188,'Critical resources (hide)'!AT$6:AT$105)&gt;0,$E$1=2),0,1)</f>
        <v>1</v>
      </c>
      <c r="AH188" s="67">
        <f ca="1">IF(AND(SUMIF(Capacity_Resource,$D188,'Critical resources (hide)'!AU$6:AU$105)+SUMIF(Capacity_Resource,$E188,'Critical resources (hide)'!AU$6:AU$105)+SUMIF(Capacity_Resource,$F188,'Critical resources (hide)'!AU$6:AU$105)&gt;0,$E$1=2),0,1)</f>
        <v>1</v>
      </c>
      <c r="AI188" s="67">
        <f ca="1">IF(AND(SUMIF(Capacity_Resource,$D188,'Critical resources (hide)'!AV$6:AV$105)+SUMIF(Capacity_Resource,$E188,'Critical resources (hide)'!AV$6:AV$105)+SUMIF(Capacity_Resource,$F188,'Critical resources (hide)'!AV$6:AV$105)&gt;0,$E$1=2),0,1)</f>
        <v>1</v>
      </c>
      <c r="AJ188" s="67">
        <f ca="1">IF(AND(SUMIF(Capacity_Resource,$D188,'Critical resources (hide)'!AW$6:AW$105)+SUMIF(Capacity_Resource,$E188,'Critical resources (hide)'!AW$6:AW$105)+SUMIF(Capacity_Resource,$F188,'Critical resources (hide)'!AW$6:AW$105)&gt;0,$E$1=2),0,1)</f>
        <v>1</v>
      </c>
      <c r="AK188" s="67">
        <f ca="1">IF(AND(SUMIF(Capacity_Resource,$D188,'Critical resources (hide)'!AX$6:AX$105)+SUMIF(Capacity_Resource,$E188,'Critical resources (hide)'!AX$6:AX$105)+SUMIF(Capacity_Resource,$F188,'Critical resources (hide)'!AX$6:AX$105)&gt;0,$E$1=2),0,1)</f>
        <v>1</v>
      </c>
      <c r="AL188" s="67">
        <f ca="1">IF(AND(SUMIF(Capacity_Resource,$D188,'Critical resources (hide)'!AY$6:AY$105)+SUMIF(Capacity_Resource,$E188,'Critical resources (hide)'!AY$6:AY$105)+SUMIF(Capacity_Resource,$F188,'Critical resources (hide)'!AY$6:AY$105)&gt;0,$E$1=2),0,1)</f>
        <v>1</v>
      </c>
      <c r="AM188" s="67">
        <f ca="1">IF(AND(SUMIF(Capacity_Resource,$D188,'Critical resources (hide)'!AZ$6:AZ$105)+SUMIF(Capacity_Resource,$E188,'Critical resources (hide)'!AZ$6:AZ$105)+SUMIF(Capacity_Resource,$F188,'Critical resources (hide)'!AZ$6:AZ$105)&gt;0,$E$1=2),0,1)</f>
        <v>1</v>
      </c>
      <c r="AN188" s="67">
        <f ca="1">IF(AND(SUMIF(Capacity_Resource,$D188,'Critical resources (hide)'!BA$6:BA$105)+SUMIF(Capacity_Resource,$E188,'Critical resources (hide)'!BA$6:BA$105)+SUMIF(Capacity_Resource,$F188,'Critical resources (hide)'!BA$6:BA$105)&gt;0,$E$1=2),0,1)</f>
        <v>1</v>
      </c>
      <c r="AO188" s="67">
        <f ca="1">IF(AND(SUMIF(Capacity_Resource,$D188,'Critical resources (hide)'!BB$6:BB$105)+SUMIF(Capacity_Resource,$E188,'Critical resources (hide)'!BB$6:BB$105)+SUMIF(Capacity_Resource,$F188,'Critical resources (hide)'!BB$6:BB$105)&gt;0,$E$1=2),0,1)</f>
        <v>1</v>
      </c>
      <c r="AP188" s="67">
        <f ca="1">IF(AND(SUMIF(Capacity_Resource,$D188,'Critical resources (hide)'!BC$6:BC$105)+SUMIF(Capacity_Resource,$E188,'Critical resources (hide)'!BC$6:BC$105)+SUMIF(Capacity_Resource,$F188,'Critical resources (hide)'!BC$6:BC$105)&gt;0,$E$1=2),0,1)</f>
        <v>1</v>
      </c>
      <c r="AQ188" s="67">
        <f ca="1">IF(AND(SUMIF(Capacity_Resource,$D188,'Critical resources (hide)'!BD$6:BD$105)+SUMIF(Capacity_Resource,$E188,'Critical resources (hide)'!BD$6:BD$105)+SUMIF(Capacity_Resource,$F188,'Critical resources (hide)'!BD$6:BD$105)&gt;0,$E$1=2),0,1)</f>
        <v>1</v>
      </c>
      <c r="AR188" s="67">
        <f ca="1">IF(AND(SUMIF(Capacity_Resource,$D188,'Critical resources (hide)'!BE$6:BE$105)+SUMIF(Capacity_Resource,$E188,'Critical resources (hide)'!BE$6:BE$105)+SUMIF(Capacity_Resource,$F188,'Critical resources (hide)'!BE$6:BE$105)&gt;0,$E$1=2),0,1)</f>
        <v>1</v>
      </c>
      <c r="AS188" s="67">
        <f ca="1">IF(AND(SUMIF(Capacity_Resource,$D188,'Critical resources (hide)'!BF$6:BF$105)+SUMIF(Capacity_Resource,$E188,'Critical resources (hide)'!BF$6:BF$105)+SUMIF(Capacity_Resource,$F188,'Critical resources (hide)'!BF$6:BF$105)&gt;0,$E$1=2),0,1)</f>
        <v>1</v>
      </c>
      <c r="AT188" s="67">
        <f ca="1">IF(AND(SUMIF(Capacity_Resource,$D188,'Critical resources (hide)'!BG$6:BG$105)+SUMIF(Capacity_Resource,$E188,'Critical resources (hide)'!BG$6:BG$105)+SUMIF(Capacity_Resource,$F188,'Critical resources (hide)'!BG$6:BG$105)&gt;0,$E$1=2),0,1)</f>
        <v>1</v>
      </c>
      <c r="AU188" s="67">
        <f ca="1">IF(AND(SUMIF(Capacity_Resource,$D188,'Critical resources (hide)'!BH$6:BH$105)+SUMIF(Capacity_Resource,$E188,'Critical resources (hide)'!BH$6:BH$105)+SUMIF(Capacity_Resource,$F188,'Critical resources (hide)'!BH$6:BH$105)&gt;0,$E$1=2),0,1)</f>
        <v>1</v>
      </c>
      <c r="AV188" s="67">
        <f ca="1">IF(AND(SUMIF(Capacity_Resource,$D188,'Critical resources (hide)'!BI$6:BI$105)+SUMIF(Capacity_Resource,$E188,'Critical resources (hide)'!BI$6:BI$105)+SUMIF(Capacity_Resource,$F188,'Critical resources (hide)'!BI$6:BI$105)&gt;0,$E$1=2),0,1)</f>
        <v>1</v>
      </c>
      <c r="AW188" s="67">
        <f ca="1">IF(AND(SUMIF(Capacity_Resource,$D188,'Critical resources (hide)'!BJ$6:BJ$105)+SUMIF(Capacity_Resource,$E188,'Critical resources (hide)'!BJ$6:BJ$105)+SUMIF(Capacity_Resource,$F188,'Critical resources (hide)'!BJ$6:BJ$105)&gt;0,$E$1=2),0,1)</f>
        <v>1</v>
      </c>
      <c r="AX188" s="67">
        <f ca="1">IF(AND(SUMIF(Capacity_Resource,$D188,'Critical resources (hide)'!BK$6:BK$105)+SUMIF(Capacity_Resource,$E188,'Critical resources (hide)'!BK$6:BK$105)+SUMIF(Capacity_Resource,$F188,'Critical resources (hide)'!BK$6:BK$105)&gt;0,$E$1=2),0,1)</f>
        <v>1</v>
      </c>
      <c r="AY188" s="67">
        <f ca="1">IF(AND(SUMIF(Capacity_Resource,$D188,'Critical resources (hide)'!BL$6:BL$105)+SUMIF(Capacity_Resource,$E188,'Critical resources (hide)'!BL$6:BL$105)+SUMIF(Capacity_Resource,$F188,'Critical resources (hide)'!BL$6:BL$105)&gt;0,$E$1=2),0,1)</f>
        <v>1</v>
      </c>
      <c r="AZ188" s="67">
        <f ca="1">IF(AND(SUMIF(Capacity_Resource,$D188,'Critical resources (hide)'!BM$6:BM$105)+SUMIF(Capacity_Resource,$E188,'Critical resources (hide)'!BM$6:BM$105)+SUMIF(Capacity_Resource,$F188,'Critical resources (hide)'!BM$6:BM$105)&gt;0,$E$1=2),0,1)</f>
        <v>1</v>
      </c>
      <c r="BA188" s="67">
        <f ca="1">IF(AND(SUMIF(Capacity_Resource,$D188,'Critical resources (hide)'!BN$6:BN$105)+SUMIF(Capacity_Resource,$E188,'Critical resources (hide)'!BN$6:BN$105)+SUMIF(Capacity_Resource,$F188,'Critical resources (hide)'!BN$6:BN$105)&gt;0,$E$1=2),0,1)</f>
        <v>1</v>
      </c>
      <c r="BB188" s="67">
        <f ca="1">IF(AND(SUMIF(Capacity_Resource,$D188,'Critical resources (hide)'!BO$6:BO$105)+SUMIF(Capacity_Resource,$E188,'Critical resources (hide)'!BO$6:BO$105)+SUMIF(Capacity_Resource,$F188,'Critical resources (hide)'!BO$6:BO$105)&gt;0,$E$1=2),0,1)</f>
        <v>1</v>
      </c>
      <c r="BC188" s="67">
        <f ca="1">IF(AND(SUMIF(Capacity_Resource,$D188,'Critical resources (hide)'!BP$6:BP$105)+SUMIF(Capacity_Resource,$E188,'Critical resources (hide)'!BP$6:BP$105)+SUMIF(Capacity_Resource,$F188,'Critical resources (hide)'!BP$6:BP$105)&gt;0,$E$1=2),0,1)</f>
        <v>1</v>
      </c>
      <c r="BD188" s="67">
        <f ca="1">IF(AND(SUMIF(Capacity_Resource,$D188,'Critical resources (hide)'!BQ$6:BQ$105)+SUMIF(Capacity_Resource,$E188,'Critical resources (hide)'!BQ$6:BQ$105)+SUMIF(Capacity_Resource,$F188,'Critical resources (hide)'!BQ$6:BQ$105)&gt;0,$E$1=2),0,1)</f>
        <v>1</v>
      </c>
      <c r="BE188" s="67">
        <f ca="1">IF(AND(SUMIF(Capacity_Resource,$D188,'Critical resources (hide)'!BR$6:BR$105)+SUMIF(Capacity_Resource,$E188,'Critical resources (hide)'!BR$6:BR$105)+SUMIF(Capacity_Resource,$F188,'Critical resources (hide)'!BR$6:BR$105)&gt;0,$E$1=2),0,1)</f>
        <v>1</v>
      </c>
      <c r="BF188" s="67">
        <f ca="1">IF(AND(SUMIF(Capacity_Resource,$D188,'Critical resources (hide)'!BS$6:BS$105)+SUMIF(Capacity_Resource,$E188,'Critical resources (hide)'!BS$6:BS$105)+SUMIF(Capacity_Resource,$F188,'Critical resources (hide)'!BS$6:BS$105)&gt;0,$E$1=2),0,1)</f>
        <v>1</v>
      </c>
      <c r="BG188" s="67">
        <f ca="1">IF(AND(SUMIF(Capacity_Resource,$D188,'Critical resources (hide)'!BT$6:BT$105)+SUMIF(Capacity_Resource,$E188,'Critical resources (hide)'!BT$6:BT$105)+SUMIF(Capacity_Resource,$F188,'Critical resources (hide)'!BT$6:BT$105)&gt;0,$E$1=2),0,1)</f>
        <v>1</v>
      </c>
      <c r="BH188" s="67">
        <f>IF(ROW(A77)&lt;=Capacity!$M$16,IF('Capacity summary'!$C$14="No",SUM(H188:BG188),'Capacity summary'!$E100),0)</f>
        <v>0</v>
      </c>
      <c r="BI188" s="67" t="str">
        <f>IF(BH188&gt;0,IF(BH188&lt;Capacity!Q93,Capacity!R93,Capacity!T93/'Capacity calculation (hide)'!BH188),"")</f>
        <v/>
      </c>
      <c r="BJ188" s="5"/>
      <c r="BK188" s="5">
        <f>IF($BI188&lt;&gt;"",IF('Capacity summary'!$C$14="Yes",IF(COUNTBLANK('Capacity summary'!$H100:$BG100)&lt;52,IF('Capacity summary'!H100&lt;&gt;"",IF(LOWER('Capacity summary'!H100)="x",$BI188*H188,VALUE('Capacity summary'!H100)),0),H188*$BI188),H188*$BI188),0)</f>
        <v>0</v>
      </c>
      <c r="BL188" s="5">
        <f>IF($BI188&lt;&gt;"",IF('Capacity summary'!$C$14="Yes",IF(COUNTBLANK('Capacity summary'!$H100:$BG100)&lt;52,IF('Capacity summary'!I100&lt;&gt;"",IF(LOWER('Capacity summary'!I100)="x",$BI188*I188,VALUE('Capacity summary'!I100)),0),I188*$BI188),I188*$BI188),0)</f>
        <v>0</v>
      </c>
      <c r="BM188" s="5">
        <f>IF($BI188&lt;&gt;"",IF('Capacity summary'!$C$14="Yes",IF(COUNTBLANK('Capacity summary'!$H100:$BG100)&lt;52,IF('Capacity summary'!J100&lt;&gt;"",IF(LOWER('Capacity summary'!J100)="x",$BI188*J188,VALUE('Capacity summary'!J100)),0),J188*$BI188),J188*$BI188),0)</f>
        <v>0</v>
      </c>
      <c r="BN188" s="5">
        <f>IF($BI188&lt;&gt;"",IF('Capacity summary'!$C$14="Yes",IF(COUNTBLANK('Capacity summary'!$H100:$BG100)&lt;52,IF('Capacity summary'!K100&lt;&gt;"",IF(LOWER('Capacity summary'!K100)="x",$BI188*K188,VALUE('Capacity summary'!K100)),0),K188*$BI188),K188*$BI188),0)</f>
        <v>0</v>
      </c>
      <c r="BO188" s="5">
        <f>IF($BI188&lt;&gt;"",IF('Capacity summary'!$C$14="Yes",IF(COUNTBLANK('Capacity summary'!$H100:$BG100)&lt;52,IF('Capacity summary'!L100&lt;&gt;"",IF(LOWER('Capacity summary'!L100)="x",$BI188*L188,VALUE('Capacity summary'!L100)),0),L188*$BI188),L188*$BI188),0)</f>
        <v>0</v>
      </c>
      <c r="BP188" s="5">
        <f>IF($BI188&lt;&gt;"",IF('Capacity summary'!$C$14="Yes",IF(COUNTBLANK('Capacity summary'!$H100:$BG100)&lt;52,IF('Capacity summary'!M100&lt;&gt;"",IF(LOWER('Capacity summary'!M100)="x",$BI188*M188,VALUE('Capacity summary'!M100)),0),M188*$BI188),M188*$BI188),0)</f>
        <v>0</v>
      </c>
      <c r="BQ188" s="5">
        <f>IF($BI188&lt;&gt;"",IF('Capacity summary'!$C$14="Yes",IF(COUNTBLANK('Capacity summary'!$H100:$BG100)&lt;52,IF('Capacity summary'!N100&lt;&gt;"",IF(LOWER('Capacity summary'!N100)="x",$BI188*N188,VALUE('Capacity summary'!N100)),0),N188*$BI188),N188*$BI188),0)</f>
        <v>0</v>
      </c>
      <c r="BR188" s="5">
        <f>IF($BI188&lt;&gt;"",IF('Capacity summary'!$C$14="Yes",IF(COUNTBLANK('Capacity summary'!$H100:$BG100)&lt;52,IF('Capacity summary'!O100&lt;&gt;"",IF(LOWER('Capacity summary'!O100)="x",$BI188*O188,VALUE('Capacity summary'!O100)),0),O188*$BI188),O188*$BI188),0)</f>
        <v>0</v>
      </c>
      <c r="BS188" s="5">
        <f>IF($BI188&lt;&gt;"",IF('Capacity summary'!$C$14="Yes",IF(COUNTBLANK('Capacity summary'!$H100:$BG100)&lt;52,IF('Capacity summary'!P100&lt;&gt;"",IF(LOWER('Capacity summary'!P100)="x",$BI188*P188,VALUE('Capacity summary'!P100)),0),P188*$BI188),P188*$BI188),0)</f>
        <v>0</v>
      </c>
      <c r="BT188" s="5">
        <f>IF($BI188&lt;&gt;"",IF('Capacity summary'!$C$14="Yes",IF(COUNTBLANK('Capacity summary'!$H100:$BG100)&lt;52,IF('Capacity summary'!Q100&lt;&gt;"",IF(LOWER('Capacity summary'!Q100)="x",$BI188*Q188,VALUE('Capacity summary'!Q100)),0),Q188*$BI188),Q188*$BI188),0)</f>
        <v>0</v>
      </c>
      <c r="BU188" s="5">
        <f>IF($BI188&lt;&gt;"",IF('Capacity summary'!$C$14="Yes",IF(COUNTBLANK('Capacity summary'!$H100:$BG100)&lt;52,IF('Capacity summary'!R100&lt;&gt;"",IF(LOWER('Capacity summary'!R100)="x",$BI188*R188,VALUE('Capacity summary'!R100)),0),R188*$BI188),R188*$BI188),0)</f>
        <v>0</v>
      </c>
      <c r="BV188" s="5">
        <f>IF($BI188&lt;&gt;"",IF('Capacity summary'!$C$14="Yes",IF(COUNTBLANK('Capacity summary'!$H100:$BG100)&lt;52,IF('Capacity summary'!S100&lt;&gt;"",IF(LOWER('Capacity summary'!S100)="x",$BI188*S188,VALUE('Capacity summary'!S100)),0),S188*$BI188),S188*$BI188),0)</f>
        <v>0</v>
      </c>
      <c r="BW188" s="5">
        <f>IF($BI188&lt;&gt;"",IF('Capacity summary'!$C$14="Yes",IF(COUNTBLANK('Capacity summary'!$H100:$BG100)&lt;52,IF('Capacity summary'!T100&lt;&gt;"",IF(LOWER('Capacity summary'!T100)="x",$BI188*T188,VALUE('Capacity summary'!T100)),0),T188*$BI188),T188*$BI188),0)</f>
        <v>0</v>
      </c>
      <c r="BX188" s="5">
        <f>IF($BI188&lt;&gt;"",IF('Capacity summary'!$C$14="Yes",IF(COUNTBLANK('Capacity summary'!$H100:$BG100)&lt;52,IF('Capacity summary'!U100&lt;&gt;"",IF(LOWER('Capacity summary'!U100)="x",$BI188*U188,VALUE('Capacity summary'!U100)),0),U188*$BI188),U188*$BI188),0)</f>
        <v>0</v>
      </c>
      <c r="BY188" s="5">
        <f>IF($BI188&lt;&gt;"",IF('Capacity summary'!$C$14="Yes",IF(COUNTBLANK('Capacity summary'!$H100:$BG100)&lt;52,IF('Capacity summary'!V100&lt;&gt;"",IF(LOWER('Capacity summary'!V100)="x",$BI188*V188,VALUE('Capacity summary'!V100)),0),V188*$BI188),V188*$BI188),0)</f>
        <v>0</v>
      </c>
      <c r="BZ188" s="5">
        <f>IF($BI188&lt;&gt;"",IF('Capacity summary'!$C$14="Yes",IF(COUNTBLANK('Capacity summary'!$H100:$BG100)&lt;52,IF('Capacity summary'!W100&lt;&gt;"",IF(LOWER('Capacity summary'!W100)="x",$BI188*W188,VALUE('Capacity summary'!W100)),0),W188*$BI188),W188*$BI188),0)</f>
        <v>0</v>
      </c>
      <c r="CA188" s="5">
        <f>IF($BI188&lt;&gt;"",IF('Capacity summary'!$C$14="Yes",IF(COUNTBLANK('Capacity summary'!$H100:$BG100)&lt;52,IF('Capacity summary'!X100&lt;&gt;"",IF(LOWER('Capacity summary'!X100)="x",$BI188*X188,VALUE('Capacity summary'!X100)),0),X188*$BI188),X188*$BI188),0)</f>
        <v>0</v>
      </c>
      <c r="CB188" s="5">
        <f>IF($BI188&lt;&gt;"",IF('Capacity summary'!$C$14="Yes",IF(COUNTBLANK('Capacity summary'!$H100:$BG100)&lt;52,IF('Capacity summary'!Y100&lt;&gt;"",IF(LOWER('Capacity summary'!Y100)="x",$BI188*Y188,VALUE('Capacity summary'!Y100)),0),Y188*$BI188),Y188*$BI188),0)</f>
        <v>0</v>
      </c>
      <c r="CC188" s="5">
        <f>IF($BI188&lt;&gt;"",IF('Capacity summary'!$C$14="Yes",IF(COUNTBLANK('Capacity summary'!$H100:$BG100)&lt;52,IF('Capacity summary'!Z100&lt;&gt;"",IF(LOWER('Capacity summary'!Z100)="x",$BI188*Z188,VALUE('Capacity summary'!Z100)),0),Z188*$BI188),Z188*$BI188),0)</f>
        <v>0</v>
      </c>
      <c r="CD188" s="5">
        <f>IF($BI188&lt;&gt;"",IF('Capacity summary'!$C$14="Yes",IF(COUNTBLANK('Capacity summary'!$H100:$BG100)&lt;52,IF('Capacity summary'!AA100&lt;&gt;"",IF(LOWER('Capacity summary'!AA100)="x",$BI188*AA188,VALUE('Capacity summary'!AA100)),0),AA188*$BI188),AA188*$BI188),0)</f>
        <v>0</v>
      </c>
      <c r="CE188" s="5">
        <f>IF($BI188&lt;&gt;"",IF('Capacity summary'!$C$14="Yes",IF(COUNTBLANK('Capacity summary'!$H100:$BG100)&lt;52,IF('Capacity summary'!AB100&lt;&gt;"",IF(LOWER('Capacity summary'!AB100)="x",$BI188*AB188,VALUE('Capacity summary'!AB100)),0),AB188*$BI188),AB188*$BI188),0)</f>
        <v>0</v>
      </c>
      <c r="CF188" s="5">
        <f>IF($BI188&lt;&gt;"",IF('Capacity summary'!$C$14="Yes",IF(COUNTBLANK('Capacity summary'!$H100:$BG100)&lt;52,IF('Capacity summary'!AC100&lt;&gt;"",IF(LOWER('Capacity summary'!AC100)="x",$BI188*AC188,VALUE('Capacity summary'!AC100)),0),AC188*$BI188),AC188*$BI188),0)</f>
        <v>0</v>
      </c>
      <c r="CG188" s="5">
        <f>IF($BI188&lt;&gt;"",IF('Capacity summary'!$C$14="Yes",IF(COUNTBLANK('Capacity summary'!$H100:$BG100)&lt;52,IF('Capacity summary'!AD100&lt;&gt;"",IF(LOWER('Capacity summary'!AD100)="x",$BI188*AD188,VALUE('Capacity summary'!AD100)),0),AD188*$BI188),AD188*$BI188),0)</f>
        <v>0</v>
      </c>
      <c r="CH188" s="5">
        <f>IF($BI188&lt;&gt;"",IF('Capacity summary'!$C$14="Yes",IF(COUNTBLANK('Capacity summary'!$H100:$BG100)&lt;52,IF('Capacity summary'!AE100&lt;&gt;"",IF(LOWER('Capacity summary'!AE100)="x",$BI188*AE188,VALUE('Capacity summary'!AE100)),0),AE188*$BI188),AE188*$BI188),0)</f>
        <v>0</v>
      </c>
      <c r="CI188" s="5">
        <f>IF($BI188&lt;&gt;"",IF('Capacity summary'!$C$14="Yes",IF(COUNTBLANK('Capacity summary'!$H100:$BG100)&lt;52,IF('Capacity summary'!AF100&lt;&gt;"",IF(LOWER('Capacity summary'!AF100)="x",$BI188*AF188,VALUE('Capacity summary'!AF100)),0),AF188*$BI188),AF188*$BI188),0)</f>
        <v>0</v>
      </c>
      <c r="CJ188" s="5">
        <f>IF($BI188&lt;&gt;"",IF('Capacity summary'!$C$14="Yes",IF(COUNTBLANK('Capacity summary'!$H100:$BG100)&lt;52,IF('Capacity summary'!AG100&lt;&gt;"",IF(LOWER('Capacity summary'!AG100)="x",$BI188*AG188,VALUE('Capacity summary'!AG100)),0),AG188*$BI188),AG188*$BI188),0)</f>
        <v>0</v>
      </c>
      <c r="CK188" s="5">
        <f>IF($BI188&lt;&gt;"",IF('Capacity summary'!$C$14="Yes",IF(COUNTBLANK('Capacity summary'!$H100:$BG100)&lt;52,IF('Capacity summary'!AH100&lt;&gt;"",IF(LOWER('Capacity summary'!AH100)="x",$BI188*AH188,VALUE('Capacity summary'!AH100)),0),AH188*$BI188),AH188*$BI188),0)</f>
        <v>0</v>
      </c>
      <c r="CL188" s="5">
        <f>IF($BI188&lt;&gt;"",IF('Capacity summary'!$C$14="Yes",IF(COUNTBLANK('Capacity summary'!$H100:$BG100)&lt;52,IF('Capacity summary'!AI100&lt;&gt;"",IF(LOWER('Capacity summary'!AI100)="x",$BI188*AI188,VALUE('Capacity summary'!AI100)),0),AI188*$BI188),AI188*$BI188),0)</f>
        <v>0</v>
      </c>
      <c r="CM188" s="5">
        <f>IF($BI188&lt;&gt;"",IF('Capacity summary'!$C$14="Yes",IF(COUNTBLANK('Capacity summary'!$H100:$BG100)&lt;52,IF('Capacity summary'!AJ100&lt;&gt;"",IF(LOWER('Capacity summary'!AJ100)="x",$BI188*AJ188,VALUE('Capacity summary'!AJ100)),0),AJ188*$BI188),AJ188*$BI188),0)</f>
        <v>0</v>
      </c>
      <c r="CN188" s="5">
        <f>IF($BI188&lt;&gt;"",IF('Capacity summary'!$C$14="Yes",IF(COUNTBLANK('Capacity summary'!$H100:$BG100)&lt;52,IF('Capacity summary'!AK100&lt;&gt;"",IF(LOWER('Capacity summary'!AK100)="x",$BI188*AK188,VALUE('Capacity summary'!AK100)),0),AK188*$BI188),AK188*$BI188),0)</f>
        <v>0</v>
      </c>
      <c r="CO188" s="5">
        <f>IF($BI188&lt;&gt;"",IF('Capacity summary'!$C$14="Yes",IF(COUNTBLANK('Capacity summary'!$H100:$BG100)&lt;52,IF('Capacity summary'!AL100&lt;&gt;"",IF(LOWER('Capacity summary'!AL100)="x",$BI188*AL188,VALUE('Capacity summary'!AL100)),0),AL188*$BI188),AL188*$BI188),0)</f>
        <v>0</v>
      </c>
      <c r="CP188" s="5">
        <f>IF($BI188&lt;&gt;"",IF('Capacity summary'!$C$14="Yes",IF(COUNTBLANK('Capacity summary'!$H100:$BG100)&lt;52,IF('Capacity summary'!AM100&lt;&gt;"",IF(LOWER('Capacity summary'!AM100)="x",$BI188*AM188,VALUE('Capacity summary'!AM100)),0),AM188*$BI188),AM188*$BI188),0)</f>
        <v>0</v>
      </c>
      <c r="CQ188" s="5">
        <f>IF($BI188&lt;&gt;"",IF('Capacity summary'!$C$14="Yes",IF(COUNTBLANK('Capacity summary'!$H100:$BG100)&lt;52,IF('Capacity summary'!AN100&lt;&gt;"",IF(LOWER('Capacity summary'!AN100)="x",$BI188*AN188,VALUE('Capacity summary'!AN100)),0),AN188*$BI188),AN188*$BI188),0)</f>
        <v>0</v>
      </c>
      <c r="CR188" s="5">
        <f>IF($BI188&lt;&gt;"",IF('Capacity summary'!$C$14="Yes",IF(COUNTBLANK('Capacity summary'!$H100:$BG100)&lt;52,IF('Capacity summary'!AO100&lt;&gt;"",IF(LOWER('Capacity summary'!AO100)="x",$BI188*AO188,VALUE('Capacity summary'!AO100)),0),AO188*$BI188),AO188*$BI188),0)</f>
        <v>0</v>
      </c>
      <c r="CS188" s="5">
        <f>IF($BI188&lt;&gt;"",IF('Capacity summary'!$C$14="Yes",IF(COUNTBLANK('Capacity summary'!$H100:$BG100)&lt;52,IF('Capacity summary'!AP100&lt;&gt;"",IF(LOWER('Capacity summary'!AP100)="x",$BI188*AP188,VALUE('Capacity summary'!AP100)),0),AP188*$BI188),AP188*$BI188),0)</f>
        <v>0</v>
      </c>
      <c r="CT188" s="5">
        <f>IF($BI188&lt;&gt;"",IF('Capacity summary'!$C$14="Yes",IF(COUNTBLANK('Capacity summary'!$H100:$BG100)&lt;52,IF('Capacity summary'!AQ100&lt;&gt;"",IF(LOWER('Capacity summary'!AQ100)="x",$BI188*AQ188,VALUE('Capacity summary'!AQ100)),0),AQ188*$BI188),AQ188*$BI188),0)</f>
        <v>0</v>
      </c>
      <c r="CU188" s="5">
        <f>IF($BI188&lt;&gt;"",IF('Capacity summary'!$C$14="Yes",IF(COUNTBLANK('Capacity summary'!$H100:$BG100)&lt;52,IF('Capacity summary'!AR100&lt;&gt;"",IF(LOWER('Capacity summary'!AR100)="x",$BI188*AR188,VALUE('Capacity summary'!AR100)),0),AR188*$BI188),AR188*$BI188),0)</f>
        <v>0</v>
      </c>
      <c r="CV188" s="5">
        <f>IF($BI188&lt;&gt;"",IF('Capacity summary'!$C$14="Yes",IF(COUNTBLANK('Capacity summary'!$H100:$BG100)&lt;52,IF('Capacity summary'!AS100&lt;&gt;"",IF(LOWER('Capacity summary'!AS100)="x",$BI188*AS188,VALUE('Capacity summary'!AS100)),0),AS188*$BI188),AS188*$BI188),0)</f>
        <v>0</v>
      </c>
      <c r="CW188" s="5">
        <f>IF($BI188&lt;&gt;"",IF('Capacity summary'!$C$14="Yes",IF(COUNTBLANK('Capacity summary'!$H100:$BG100)&lt;52,IF('Capacity summary'!AT100&lt;&gt;"",IF(LOWER('Capacity summary'!AT100)="x",$BI188*AT188,VALUE('Capacity summary'!AT100)),0),AT188*$BI188),AT188*$BI188),0)</f>
        <v>0</v>
      </c>
      <c r="CX188" s="5">
        <f>IF($BI188&lt;&gt;"",IF('Capacity summary'!$C$14="Yes",IF(COUNTBLANK('Capacity summary'!$H100:$BG100)&lt;52,IF('Capacity summary'!AU100&lt;&gt;"",IF(LOWER('Capacity summary'!AU100)="x",$BI188*AU188,VALUE('Capacity summary'!AU100)),0),AU188*$BI188),AU188*$BI188),0)</f>
        <v>0</v>
      </c>
      <c r="CY188" s="5">
        <f>IF($BI188&lt;&gt;"",IF('Capacity summary'!$C$14="Yes",IF(COUNTBLANK('Capacity summary'!$H100:$BG100)&lt;52,IF('Capacity summary'!AV100&lt;&gt;"",IF(LOWER('Capacity summary'!AV100)="x",$BI188*AV188,VALUE('Capacity summary'!AV100)),0),AV188*$BI188),AV188*$BI188),0)</f>
        <v>0</v>
      </c>
      <c r="CZ188" s="5">
        <f>IF($BI188&lt;&gt;"",IF('Capacity summary'!$C$14="Yes",IF(COUNTBLANK('Capacity summary'!$H100:$BG100)&lt;52,IF('Capacity summary'!AW100&lt;&gt;"",IF(LOWER('Capacity summary'!AW100)="x",$BI188*AW188,VALUE('Capacity summary'!AW100)),0),AW188*$BI188),AW188*$BI188),0)</f>
        <v>0</v>
      </c>
      <c r="DA188" s="5">
        <f>IF($BI188&lt;&gt;"",IF('Capacity summary'!$C$14="Yes",IF(COUNTBLANK('Capacity summary'!$H100:$BG100)&lt;52,IF('Capacity summary'!AX100&lt;&gt;"",IF(LOWER('Capacity summary'!AX100)="x",$BI188*AX188,VALUE('Capacity summary'!AX100)),0),AX188*$BI188),AX188*$BI188),0)</f>
        <v>0</v>
      </c>
      <c r="DB188" s="5">
        <f>IF($BI188&lt;&gt;"",IF('Capacity summary'!$C$14="Yes",IF(COUNTBLANK('Capacity summary'!$H100:$BG100)&lt;52,IF('Capacity summary'!AY100&lt;&gt;"",IF(LOWER('Capacity summary'!AY100)="x",$BI188*AY188,VALUE('Capacity summary'!AY100)),0),AY188*$BI188),AY188*$BI188),0)</f>
        <v>0</v>
      </c>
      <c r="DC188" s="5">
        <f>IF($BI188&lt;&gt;"",IF('Capacity summary'!$C$14="Yes",IF(COUNTBLANK('Capacity summary'!$H100:$BG100)&lt;52,IF('Capacity summary'!AZ100&lt;&gt;"",IF(LOWER('Capacity summary'!AZ100)="x",$BI188*AZ188,VALUE('Capacity summary'!AZ100)),0),AZ188*$BI188),AZ188*$BI188),0)</f>
        <v>0</v>
      </c>
      <c r="DD188" s="5">
        <f>IF($BI188&lt;&gt;"",IF('Capacity summary'!$C$14="Yes",IF(COUNTBLANK('Capacity summary'!$H100:$BG100)&lt;52,IF('Capacity summary'!BA100&lt;&gt;"",IF(LOWER('Capacity summary'!BA100)="x",$BI188*BA188,VALUE('Capacity summary'!BA100)),0),BA188*$BI188),BA188*$BI188),0)</f>
        <v>0</v>
      </c>
      <c r="DE188" s="5">
        <f>IF($BI188&lt;&gt;"",IF('Capacity summary'!$C$14="Yes",IF(COUNTBLANK('Capacity summary'!$H100:$BG100)&lt;52,IF('Capacity summary'!BB100&lt;&gt;"",IF(LOWER('Capacity summary'!BB100)="x",$BI188*BB188,VALUE('Capacity summary'!BB100)),0),BB188*$BI188),BB188*$BI188),0)</f>
        <v>0</v>
      </c>
      <c r="DF188" s="5">
        <f>IF($BI188&lt;&gt;"",IF('Capacity summary'!$C$14="Yes",IF(COUNTBLANK('Capacity summary'!$H100:$BG100)&lt;52,IF('Capacity summary'!BC100&lt;&gt;"",IF(LOWER('Capacity summary'!BC100)="x",$BI188*BC188,VALUE('Capacity summary'!BC100)),0),BC188*$BI188),BC188*$BI188),0)</f>
        <v>0</v>
      </c>
      <c r="DG188" s="5">
        <f>IF($BI188&lt;&gt;"",IF('Capacity summary'!$C$14="Yes",IF(COUNTBLANK('Capacity summary'!$H100:$BG100)&lt;52,IF('Capacity summary'!BD100&lt;&gt;"",IF(LOWER('Capacity summary'!BD100)="x",$BI188*BD188,VALUE('Capacity summary'!BD100)),0),BD188*$BI188),BD188*$BI188),0)</f>
        <v>0</v>
      </c>
      <c r="DH188" s="5">
        <f>IF($BI188&lt;&gt;"",IF('Capacity summary'!$C$14="Yes",IF(COUNTBLANK('Capacity summary'!$H100:$BG100)&lt;52,IF('Capacity summary'!BE100&lt;&gt;"",IF(LOWER('Capacity summary'!BE100)="x",$BI188*BE188,VALUE('Capacity summary'!BE100)),0),BE188*$BI188),BE188*$BI188),0)</f>
        <v>0</v>
      </c>
      <c r="DI188" s="5">
        <f>IF($BI188&lt;&gt;"",IF('Capacity summary'!$C$14="Yes",IF(COUNTBLANK('Capacity summary'!$H100:$BG100)&lt;52,IF('Capacity summary'!BF100&lt;&gt;"",IF(LOWER('Capacity summary'!BF100)="x",$BI188*BF188,VALUE('Capacity summary'!BF100)),0),BF188*$BI188),BF188*$BI188),0)</f>
        <v>0</v>
      </c>
      <c r="DJ188" s="5">
        <f>IF($BI188&lt;&gt;"",IF('Capacity summary'!$C$14="Yes",IF(COUNTBLANK('Capacity summary'!$H100:$BG100)&lt;52,IF('Capacity summary'!BG100&lt;&gt;"",IF(LOWER('Capacity summary'!BG100)="x",$BI188*BG188,VALUE('Capacity summary'!BG100)),0),BG188*$BI188),BG188*$BI188),0)</f>
        <v>0</v>
      </c>
      <c r="DK188" s="5">
        <f t="shared" ref="DK188" si="82">SUM(DK189:DK288)</f>
        <v>0</v>
      </c>
    </row>
    <row r="189" spans="3:115" x14ac:dyDescent="0.25">
      <c r="C189" s="67" t="str">
        <f>ROW(A78)&amp;". "&amp;Capacity!N94</f>
        <v xml:space="preserve">78. </v>
      </c>
      <c r="D189" s="67">
        <f>'Capacity setup'!C195</f>
        <v>0</v>
      </c>
      <c r="E189" s="67">
        <f>'Capacity setup'!D195</f>
        <v>0</v>
      </c>
      <c r="F189" s="67">
        <f>'Capacity setup'!E195</f>
        <v>0</v>
      </c>
      <c r="H189" s="67">
        <f ca="1">IF(AND(SUMIF(Capacity_Resource,$D189,'Critical resources (hide)'!U$6:U$105)+SUMIF(Capacity_Resource,$E189,'Critical resources (hide)'!U$6:U$105)+SUMIF(Capacity_Resource,$F189,'Critical resources (hide)'!U$6:U$105)&gt;0,$E$1=2),0,1)</f>
        <v>1</v>
      </c>
      <c r="I189" s="67">
        <f ca="1">IF(AND(SUMIF(Capacity_Resource,$D189,'Critical resources (hide)'!V$6:V$105)+SUMIF(Capacity_Resource,$E189,'Critical resources (hide)'!V$6:V$105)+SUMIF(Capacity_Resource,$F189,'Critical resources (hide)'!V$6:V$105)&gt;0,$E$1=2),0,1)</f>
        <v>1</v>
      </c>
      <c r="J189" s="67">
        <f ca="1">IF(AND(SUMIF(Capacity_Resource,$D189,'Critical resources (hide)'!W$6:W$105)+SUMIF(Capacity_Resource,$E189,'Critical resources (hide)'!W$6:W$105)+SUMIF(Capacity_Resource,$F189,'Critical resources (hide)'!W$6:W$105)&gt;0,$E$1=2),0,1)</f>
        <v>1</v>
      </c>
      <c r="K189" s="67">
        <f ca="1">IF(AND(SUMIF(Capacity_Resource,$D189,'Critical resources (hide)'!X$6:X$105)+SUMIF(Capacity_Resource,$E189,'Critical resources (hide)'!X$6:X$105)+SUMIF(Capacity_Resource,$F189,'Critical resources (hide)'!X$6:X$105)&gt;0,$E$1=2),0,1)</f>
        <v>1</v>
      </c>
      <c r="L189" s="67">
        <f ca="1">IF(AND(SUMIF(Capacity_Resource,$D189,'Critical resources (hide)'!Y$6:Y$105)+SUMIF(Capacity_Resource,$E189,'Critical resources (hide)'!Y$6:Y$105)+SUMIF(Capacity_Resource,$F189,'Critical resources (hide)'!Y$6:Y$105)&gt;0,$E$1=2),0,1)</f>
        <v>1</v>
      </c>
      <c r="M189" s="67">
        <f ca="1">IF(AND(SUMIF(Capacity_Resource,$D189,'Critical resources (hide)'!Z$6:Z$105)+SUMIF(Capacity_Resource,$E189,'Critical resources (hide)'!Z$6:Z$105)+SUMIF(Capacity_Resource,$F189,'Critical resources (hide)'!Z$6:Z$105)&gt;0,$E$1=2),0,1)</f>
        <v>1</v>
      </c>
      <c r="N189" s="67">
        <f ca="1">IF(AND(SUMIF(Capacity_Resource,$D189,'Critical resources (hide)'!AA$6:AA$105)+SUMIF(Capacity_Resource,$E189,'Critical resources (hide)'!AA$6:AA$105)+SUMIF(Capacity_Resource,$F189,'Critical resources (hide)'!AA$6:AA$105)&gt;0,$E$1=2),0,1)</f>
        <v>1</v>
      </c>
      <c r="O189" s="67">
        <f ca="1">IF(AND(SUMIF(Capacity_Resource,$D189,'Critical resources (hide)'!AB$6:AB$105)+SUMIF(Capacity_Resource,$E189,'Critical resources (hide)'!AB$6:AB$105)+SUMIF(Capacity_Resource,$F189,'Critical resources (hide)'!AB$6:AB$105)&gt;0,$E$1=2),0,1)</f>
        <v>1</v>
      </c>
      <c r="P189" s="67">
        <f ca="1">IF(AND(SUMIF(Capacity_Resource,$D189,'Critical resources (hide)'!AC$6:AC$105)+SUMIF(Capacity_Resource,$E189,'Critical resources (hide)'!AC$6:AC$105)+SUMIF(Capacity_Resource,$F189,'Critical resources (hide)'!AC$6:AC$105)&gt;0,$E$1=2),0,1)</f>
        <v>1</v>
      </c>
      <c r="Q189" s="67">
        <f ca="1">IF(AND(SUMIF(Capacity_Resource,$D189,'Critical resources (hide)'!AD$6:AD$105)+SUMIF(Capacity_Resource,$E189,'Critical resources (hide)'!AD$6:AD$105)+SUMIF(Capacity_Resource,$F189,'Critical resources (hide)'!AD$6:AD$105)&gt;0,$E$1=2),0,1)</f>
        <v>1</v>
      </c>
      <c r="R189" s="67">
        <f ca="1">IF(AND(SUMIF(Capacity_Resource,$D189,'Critical resources (hide)'!AE$6:AE$105)+SUMIF(Capacity_Resource,$E189,'Critical resources (hide)'!AE$6:AE$105)+SUMIF(Capacity_Resource,$F189,'Critical resources (hide)'!AE$6:AE$105)&gt;0,$E$1=2),0,1)</f>
        <v>1</v>
      </c>
      <c r="S189" s="67">
        <f ca="1">IF(AND(SUMIF(Capacity_Resource,$D189,'Critical resources (hide)'!AF$6:AF$105)+SUMIF(Capacity_Resource,$E189,'Critical resources (hide)'!AF$6:AF$105)+SUMIF(Capacity_Resource,$F189,'Critical resources (hide)'!AF$6:AF$105)&gt;0,$E$1=2),0,1)</f>
        <v>1</v>
      </c>
      <c r="T189" s="67">
        <f ca="1">IF(AND(SUMIF(Capacity_Resource,$D189,'Critical resources (hide)'!AG$6:AG$105)+SUMIF(Capacity_Resource,$E189,'Critical resources (hide)'!AG$6:AG$105)+SUMIF(Capacity_Resource,$F189,'Critical resources (hide)'!AG$6:AG$105)&gt;0,$E$1=2),0,1)</f>
        <v>1</v>
      </c>
      <c r="U189" s="67">
        <f ca="1">IF(AND(SUMIF(Capacity_Resource,$D189,'Critical resources (hide)'!AH$6:AH$105)+SUMIF(Capacity_Resource,$E189,'Critical resources (hide)'!AH$6:AH$105)+SUMIF(Capacity_Resource,$F189,'Critical resources (hide)'!AH$6:AH$105)&gt;0,$E$1=2),0,1)</f>
        <v>1</v>
      </c>
      <c r="V189" s="67">
        <f ca="1">IF(AND(SUMIF(Capacity_Resource,$D189,'Critical resources (hide)'!AI$6:AI$105)+SUMIF(Capacity_Resource,$E189,'Critical resources (hide)'!AI$6:AI$105)+SUMIF(Capacity_Resource,$F189,'Critical resources (hide)'!AI$6:AI$105)&gt;0,$E$1=2),0,1)</f>
        <v>1</v>
      </c>
      <c r="W189" s="67">
        <f ca="1">IF(AND(SUMIF(Capacity_Resource,$D189,'Critical resources (hide)'!AJ$6:AJ$105)+SUMIF(Capacity_Resource,$E189,'Critical resources (hide)'!AJ$6:AJ$105)+SUMIF(Capacity_Resource,$F189,'Critical resources (hide)'!AJ$6:AJ$105)&gt;0,$E$1=2),0,1)</f>
        <v>1</v>
      </c>
      <c r="X189" s="67">
        <f ca="1">IF(AND(SUMIF(Capacity_Resource,$D189,'Critical resources (hide)'!AK$6:AK$105)+SUMIF(Capacity_Resource,$E189,'Critical resources (hide)'!AK$6:AK$105)+SUMIF(Capacity_Resource,$F189,'Critical resources (hide)'!AK$6:AK$105)&gt;0,$E$1=2),0,1)</f>
        <v>1</v>
      </c>
      <c r="Y189" s="67">
        <f ca="1">IF(AND(SUMIF(Capacity_Resource,$D189,'Critical resources (hide)'!AL$6:AL$105)+SUMIF(Capacity_Resource,$E189,'Critical resources (hide)'!AL$6:AL$105)+SUMIF(Capacity_Resource,$F189,'Critical resources (hide)'!AL$6:AL$105)&gt;0,$E$1=2),0,1)</f>
        <v>1</v>
      </c>
      <c r="Z189" s="67">
        <f ca="1">IF(AND(SUMIF(Capacity_Resource,$D189,'Critical resources (hide)'!AM$6:AM$105)+SUMIF(Capacity_Resource,$E189,'Critical resources (hide)'!AM$6:AM$105)+SUMIF(Capacity_Resource,$F189,'Critical resources (hide)'!AM$6:AM$105)&gt;0,$E$1=2),0,1)</f>
        <v>1</v>
      </c>
      <c r="AA189" s="67">
        <f ca="1">IF(AND(SUMIF(Capacity_Resource,$D189,'Critical resources (hide)'!AN$6:AN$105)+SUMIF(Capacity_Resource,$E189,'Critical resources (hide)'!AN$6:AN$105)+SUMIF(Capacity_Resource,$F189,'Critical resources (hide)'!AN$6:AN$105)&gt;0,$E$1=2),0,1)</f>
        <v>1</v>
      </c>
      <c r="AB189" s="67">
        <f ca="1">IF(AND(SUMIF(Capacity_Resource,$D189,'Critical resources (hide)'!AO$6:AO$105)+SUMIF(Capacity_Resource,$E189,'Critical resources (hide)'!AO$6:AO$105)+SUMIF(Capacity_Resource,$F189,'Critical resources (hide)'!AO$6:AO$105)&gt;0,$E$1=2),0,1)</f>
        <v>1</v>
      </c>
      <c r="AC189" s="67">
        <f ca="1">IF(AND(SUMIF(Capacity_Resource,$D189,'Critical resources (hide)'!AP$6:AP$105)+SUMIF(Capacity_Resource,$E189,'Critical resources (hide)'!AP$6:AP$105)+SUMIF(Capacity_Resource,$F189,'Critical resources (hide)'!AP$6:AP$105)&gt;0,$E$1=2),0,1)</f>
        <v>1</v>
      </c>
      <c r="AD189" s="67">
        <f ca="1">IF(AND(SUMIF(Capacity_Resource,$D189,'Critical resources (hide)'!AQ$6:AQ$105)+SUMIF(Capacity_Resource,$E189,'Critical resources (hide)'!AQ$6:AQ$105)+SUMIF(Capacity_Resource,$F189,'Critical resources (hide)'!AQ$6:AQ$105)&gt;0,$E$1=2),0,1)</f>
        <v>1</v>
      </c>
      <c r="AE189" s="67">
        <f ca="1">IF(AND(SUMIF(Capacity_Resource,$D189,'Critical resources (hide)'!AR$6:AR$105)+SUMIF(Capacity_Resource,$E189,'Critical resources (hide)'!AR$6:AR$105)+SUMIF(Capacity_Resource,$F189,'Critical resources (hide)'!AR$6:AR$105)&gt;0,$E$1=2),0,1)</f>
        <v>1</v>
      </c>
      <c r="AF189" s="67">
        <f ca="1">IF(AND(SUMIF(Capacity_Resource,$D189,'Critical resources (hide)'!AS$6:AS$105)+SUMIF(Capacity_Resource,$E189,'Critical resources (hide)'!AS$6:AS$105)+SUMIF(Capacity_Resource,$F189,'Critical resources (hide)'!AS$6:AS$105)&gt;0,$E$1=2),0,1)</f>
        <v>1</v>
      </c>
      <c r="AG189" s="67">
        <f ca="1">IF(AND(SUMIF(Capacity_Resource,$D189,'Critical resources (hide)'!AT$6:AT$105)+SUMIF(Capacity_Resource,$E189,'Critical resources (hide)'!AT$6:AT$105)+SUMIF(Capacity_Resource,$F189,'Critical resources (hide)'!AT$6:AT$105)&gt;0,$E$1=2),0,1)</f>
        <v>1</v>
      </c>
      <c r="AH189" s="67">
        <f ca="1">IF(AND(SUMIF(Capacity_Resource,$D189,'Critical resources (hide)'!AU$6:AU$105)+SUMIF(Capacity_Resource,$E189,'Critical resources (hide)'!AU$6:AU$105)+SUMIF(Capacity_Resource,$F189,'Critical resources (hide)'!AU$6:AU$105)&gt;0,$E$1=2),0,1)</f>
        <v>1</v>
      </c>
      <c r="AI189" s="67">
        <f ca="1">IF(AND(SUMIF(Capacity_Resource,$D189,'Critical resources (hide)'!AV$6:AV$105)+SUMIF(Capacity_Resource,$E189,'Critical resources (hide)'!AV$6:AV$105)+SUMIF(Capacity_Resource,$F189,'Critical resources (hide)'!AV$6:AV$105)&gt;0,$E$1=2),0,1)</f>
        <v>1</v>
      </c>
      <c r="AJ189" s="67">
        <f ca="1">IF(AND(SUMIF(Capacity_Resource,$D189,'Critical resources (hide)'!AW$6:AW$105)+SUMIF(Capacity_Resource,$E189,'Critical resources (hide)'!AW$6:AW$105)+SUMIF(Capacity_Resource,$F189,'Critical resources (hide)'!AW$6:AW$105)&gt;0,$E$1=2),0,1)</f>
        <v>1</v>
      </c>
      <c r="AK189" s="67">
        <f ca="1">IF(AND(SUMIF(Capacity_Resource,$D189,'Critical resources (hide)'!AX$6:AX$105)+SUMIF(Capacity_Resource,$E189,'Critical resources (hide)'!AX$6:AX$105)+SUMIF(Capacity_Resource,$F189,'Critical resources (hide)'!AX$6:AX$105)&gt;0,$E$1=2),0,1)</f>
        <v>1</v>
      </c>
      <c r="AL189" s="67">
        <f ca="1">IF(AND(SUMIF(Capacity_Resource,$D189,'Critical resources (hide)'!AY$6:AY$105)+SUMIF(Capacity_Resource,$E189,'Critical resources (hide)'!AY$6:AY$105)+SUMIF(Capacity_Resource,$F189,'Critical resources (hide)'!AY$6:AY$105)&gt;0,$E$1=2),0,1)</f>
        <v>1</v>
      </c>
      <c r="AM189" s="67">
        <f ca="1">IF(AND(SUMIF(Capacity_Resource,$D189,'Critical resources (hide)'!AZ$6:AZ$105)+SUMIF(Capacity_Resource,$E189,'Critical resources (hide)'!AZ$6:AZ$105)+SUMIF(Capacity_Resource,$F189,'Critical resources (hide)'!AZ$6:AZ$105)&gt;0,$E$1=2),0,1)</f>
        <v>1</v>
      </c>
      <c r="AN189" s="67">
        <f ca="1">IF(AND(SUMIF(Capacity_Resource,$D189,'Critical resources (hide)'!BA$6:BA$105)+SUMIF(Capacity_Resource,$E189,'Critical resources (hide)'!BA$6:BA$105)+SUMIF(Capacity_Resource,$F189,'Critical resources (hide)'!BA$6:BA$105)&gt;0,$E$1=2),0,1)</f>
        <v>1</v>
      </c>
      <c r="AO189" s="67">
        <f ca="1">IF(AND(SUMIF(Capacity_Resource,$D189,'Critical resources (hide)'!BB$6:BB$105)+SUMIF(Capacity_Resource,$E189,'Critical resources (hide)'!BB$6:BB$105)+SUMIF(Capacity_Resource,$F189,'Critical resources (hide)'!BB$6:BB$105)&gt;0,$E$1=2),0,1)</f>
        <v>1</v>
      </c>
      <c r="AP189" s="67">
        <f ca="1">IF(AND(SUMIF(Capacity_Resource,$D189,'Critical resources (hide)'!BC$6:BC$105)+SUMIF(Capacity_Resource,$E189,'Critical resources (hide)'!BC$6:BC$105)+SUMIF(Capacity_Resource,$F189,'Critical resources (hide)'!BC$6:BC$105)&gt;0,$E$1=2),0,1)</f>
        <v>1</v>
      </c>
      <c r="AQ189" s="67">
        <f ca="1">IF(AND(SUMIF(Capacity_Resource,$D189,'Critical resources (hide)'!BD$6:BD$105)+SUMIF(Capacity_Resource,$E189,'Critical resources (hide)'!BD$6:BD$105)+SUMIF(Capacity_Resource,$F189,'Critical resources (hide)'!BD$6:BD$105)&gt;0,$E$1=2),0,1)</f>
        <v>1</v>
      </c>
      <c r="AR189" s="67">
        <f ca="1">IF(AND(SUMIF(Capacity_Resource,$D189,'Critical resources (hide)'!BE$6:BE$105)+SUMIF(Capacity_Resource,$E189,'Critical resources (hide)'!BE$6:BE$105)+SUMIF(Capacity_Resource,$F189,'Critical resources (hide)'!BE$6:BE$105)&gt;0,$E$1=2),0,1)</f>
        <v>1</v>
      </c>
      <c r="AS189" s="67">
        <f ca="1">IF(AND(SUMIF(Capacity_Resource,$D189,'Critical resources (hide)'!BF$6:BF$105)+SUMIF(Capacity_Resource,$E189,'Critical resources (hide)'!BF$6:BF$105)+SUMIF(Capacity_Resource,$F189,'Critical resources (hide)'!BF$6:BF$105)&gt;0,$E$1=2),0,1)</f>
        <v>1</v>
      </c>
      <c r="AT189" s="67">
        <f ca="1">IF(AND(SUMIF(Capacity_Resource,$D189,'Critical resources (hide)'!BG$6:BG$105)+SUMIF(Capacity_Resource,$E189,'Critical resources (hide)'!BG$6:BG$105)+SUMIF(Capacity_Resource,$F189,'Critical resources (hide)'!BG$6:BG$105)&gt;0,$E$1=2),0,1)</f>
        <v>1</v>
      </c>
      <c r="AU189" s="67">
        <f ca="1">IF(AND(SUMIF(Capacity_Resource,$D189,'Critical resources (hide)'!BH$6:BH$105)+SUMIF(Capacity_Resource,$E189,'Critical resources (hide)'!BH$6:BH$105)+SUMIF(Capacity_Resource,$F189,'Critical resources (hide)'!BH$6:BH$105)&gt;0,$E$1=2),0,1)</f>
        <v>1</v>
      </c>
      <c r="AV189" s="67">
        <f ca="1">IF(AND(SUMIF(Capacity_Resource,$D189,'Critical resources (hide)'!BI$6:BI$105)+SUMIF(Capacity_Resource,$E189,'Critical resources (hide)'!BI$6:BI$105)+SUMIF(Capacity_Resource,$F189,'Critical resources (hide)'!BI$6:BI$105)&gt;0,$E$1=2),0,1)</f>
        <v>1</v>
      </c>
      <c r="AW189" s="67">
        <f ca="1">IF(AND(SUMIF(Capacity_Resource,$D189,'Critical resources (hide)'!BJ$6:BJ$105)+SUMIF(Capacity_Resource,$E189,'Critical resources (hide)'!BJ$6:BJ$105)+SUMIF(Capacity_Resource,$F189,'Critical resources (hide)'!BJ$6:BJ$105)&gt;0,$E$1=2),0,1)</f>
        <v>1</v>
      </c>
      <c r="AX189" s="67">
        <f ca="1">IF(AND(SUMIF(Capacity_Resource,$D189,'Critical resources (hide)'!BK$6:BK$105)+SUMIF(Capacity_Resource,$E189,'Critical resources (hide)'!BK$6:BK$105)+SUMIF(Capacity_Resource,$F189,'Critical resources (hide)'!BK$6:BK$105)&gt;0,$E$1=2),0,1)</f>
        <v>1</v>
      </c>
      <c r="AY189" s="67">
        <f ca="1">IF(AND(SUMIF(Capacity_Resource,$D189,'Critical resources (hide)'!BL$6:BL$105)+SUMIF(Capacity_Resource,$E189,'Critical resources (hide)'!BL$6:BL$105)+SUMIF(Capacity_Resource,$F189,'Critical resources (hide)'!BL$6:BL$105)&gt;0,$E$1=2),0,1)</f>
        <v>1</v>
      </c>
      <c r="AZ189" s="67">
        <f ca="1">IF(AND(SUMIF(Capacity_Resource,$D189,'Critical resources (hide)'!BM$6:BM$105)+SUMIF(Capacity_Resource,$E189,'Critical resources (hide)'!BM$6:BM$105)+SUMIF(Capacity_Resource,$F189,'Critical resources (hide)'!BM$6:BM$105)&gt;0,$E$1=2),0,1)</f>
        <v>1</v>
      </c>
      <c r="BA189" s="67">
        <f ca="1">IF(AND(SUMIF(Capacity_Resource,$D189,'Critical resources (hide)'!BN$6:BN$105)+SUMIF(Capacity_Resource,$E189,'Critical resources (hide)'!BN$6:BN$105)+SUMIF(Capacity_Resource,$F189,'Critical resources (hide)'!BN$6:BN$105)&gt;0,$E$1=2),0,1)</f>
        <v>1</v>
      </c>
      <c r="BB189" s="67">
        <f ca="1">IF(AND(SUMIF(Capacity_Resource,$D189,'Critical resources (hide)'!BO$6:BO$105)+SUMIF(Capacity_Resource,$E189,'Critical resources (hide)'!BO$6:BO$105)+SUMIF(Capacity_Resource,$F189,'Critical resources (hide)'!BO$6:BO$105)&gt;0,$E$1=2),0,1)</f>
        <v>1</v>
      </c>
      <c r="BC189" s="67">
        <f ca="1">IF(AND(SUMIF(Capacity_Resource,$D189,'Critical resources (hide)'!BP$6:BP$105)+SUMIF(Capacity_Resource,$E189,'Critical resources (hide)'!BP$6:BP$105)+SUMIF(Capacity_Resource,$F189,'Critical resources (hide)'!BP$6:BP$105)&gt;0,$E$1=2),0,1)</f>
        <v>1</v>
      </c>
      <c r="BD189" s="67">
        <f ca="1">IF(AND(SUMIF(Capacity_Resource,$D189,'Critical resources (hide)'!BQ$6:BQ$105)+SUMIF(Capacity_Resource,$E189,'Critical resources (hide)'!BQ$6:BQ$105)+SUMIF(Capacity_Resource,$F189,'Critical resources (hide)'!BQ$6:BQ$105)&gt;0,$E$1=2),0,1)</f>
        <v>1</v>
      </c>
      <c r="BE189" s="67">
        <f ca="1">IF(AND(SUMIF(Capacity_Resource,$D189,'Critical resources (hide)'!BR$6:BR$105)+SUMIF(Capacity_Resource,$E189,'Critical resources (hide)'!BR$6:BR$105)+SUMIF(Capacity_Resource,$F189,'Critical resources (hide)'!BR$6:BR$105)&gt;0,$E$1=2),0,1)</f>
        <v>1</v>
      </c>
      <c r="BF189" s="67">
        <f ca="1">IF(AND(SUMIF(Capacity_Resource,$D189,'Critical resources (hide)'!BS$6:BS$105)+SUMIF(Capacity_Resource,$E189,'Critical resources (hide)'!BS$6:BS$105)+SUMIF(Capacity_Resource,$F189,'Critical resources (hide)'!BS$6:BS$105)&gt;0,$E$1=2),0,1)</f>
        <v>1</v>
      </c>
      <c r="BG189" s="67">
        <f ca="1">IF(AND(SUMIF(Capacity_Resource,$D189,'Critical resources (hide)'!BT$6:BT$105)+SUMIF(Capacity_Resource,$E189,'Critical resources (hide)'!BT$6:BT$105)+SUMIF(Capacity_Resource,$F189,'Critical resources (hide)'!BT$6:BT$105)&gt;0,$E$1=2),0,1)</f>
        <v>1</v>
      </c>
      <c r="BH189" s="67">
        <f>IF(ROW(A78)&lt;=Capacity!$M$16,IF('Capacity summary'!$C$14="No",SUM(H189:BG189),'Capacity summary'!$E101),0)</f>
        <v>0</v>
      </c>
      <c r="BI189" s="67" t="str">
        <f>IF(BH189&gt;0,IF(BH189&lt;Capacity!Q94,Capacity!R94,Capacity!T94/'Capacity calculation (hide)'!BH189),"")</f>
        <v/>
      </c>
      <c r="BJ189" s="5"/>
      <c r="BK189" s="5">
        <f>IF($BI189&lt;&gt;"",IF('Capacity summary'!$C$14="Yes",IF(COUNTBLANK('Capacity summary'!$H101:$BG101)&lt;52,IF('Capacity summary'!H101&lt;&gt;"",IF(LOWER('Capacity summary'!H101)="x",$BI189*H189,VALUE('Capacity summary'!H101)),0),H189*$BI189),H189*$BI189),0)</f>
        <v>0</v>
      </c>
      <c r="BL189" s="5">
        <f>IF($BI189&lt;&gt;"",IF('Capacity summary'!$C$14="Yes",IF(COUNTBLANK('Capacity summary'!$H101:$BG101)&lt;52,IF('Capacity summary'!I101&lt;&gt;"",IF(LOWER('Capacity summary'!I101)="x",$BI189*I189,VALUE('Capacity summary'!I101)),0),I189*$BI189),I189*$BI189),0)</f>
        <v>0</v>
      </c>
      <c r="BM189" s="5">
        <f>IF($BI189&lt;&gt;"",IF('Capacity summary'!$C$14="Yes",IF(COUNTBLANK('Capacity summary'!$H101:$BG101)&lt;52,IF('Capacity summary'!J101&lt;&gt;"",IF(LOWER('Capacity summary'!J101)="x",$BI189*J189,VALUE('Capacity summary'!J101)),0),J189*$BI189),J189*$BI189),0)</f>
        <v>0</v>
      </c>
      <c r="BN189" s="5">
        <f>IF($BI189&lt;&gt;"",IF('Capacity summary'!$C$14="Yes",IF(COUNTBLANK('Capacity summary'!$H101:$BG101)&lt;52,IF('Capacity summary'!K101&lt;&gt;"",IF(LOWER('Capacity summary'!K101)="x",$BI189*K189,VALUE('Capacity summary'!K101)),0),K189*$BI189),K189*$BI189),0)</f>
        <v>0</v>
      </c>
      <c r="BO189" s="5">
        <f>IF($BI189&lt;&gt;"",IF('Capacity summary'!$C$14="Yes",IF(COUNTBLANK('Capacity summary'!$H101:$BG101)&lt;52,IF('Capacity summary'!L101&lt;&gt;"",IF(LOWER('Capacity summary'!L101)="x",$BI189*L189,VALUE('Capacity summary'!L101)),0),L189*$BI189),L189*$BI189),0)</f>
        <v>0</v>
      </c>
      <c r="BP189" s="5">
        <f>IF($BI189&lt;&gt;"",IF('Capacity summary'!$C$14="Yes",IF(COUNTBLANK('Capacity summary'!$H101:$BG101)&lt;52,IF('Capacity summary'!M101&lt;&gt;"",IF(LOWER('Capacity summary'!M101)="x",$BI189*M189,VALUE('Capacity summary'!M101)),0),M189*$BI189),M189*$BI189),0)</f>
        <v>0</v>
      </c>
      <c r="BQ189" s="5">
        <f>IF($BI189&lt;&gt;"",IF('Capacity summary'!$C$14="Yes",IF(COUNTBLANK('Capacity summary'!$H101:$BG101)&lt;52,IF('Capacity summary'!N101&lt;&gt;"",IF(LOWER('Capacity summary'!N101)="x",$BI189*N189,VALUE('Capacity summary'!N101)),0),N189*$BI189),N189*$BI189),0)</f>
        <v>0</v>
      </c>
      <c r="BR189" s="5">
        <f>IF($BI189&lt;&gt;"",IF('Capacity summary'!$C$14="Yes",IF(COUNTBLANK('Capacity summary'!$H101:$BG101)&lt;52,IF('Capacity summary'!O101&lt;&gt;"",IF(LOWER('Capacity summary'!O101)="x",$BI189*O189,VALUE('Capacity summary'!O101)),0),O189*$BI189),O189*$BI189),0)</f>
        <v>0</v>
      </c>
      <c r="BS189" s="5">
        <f>IF($BI189&lt;&gt;"",IF('Capacity summary'!$C$14="Yes",IF(COUNTBLANK('Capacity summary'!$H101:$BG101)&lt;52,IF('Capacity summary'!P101&lt;&gt;"",IF(LOWER('Capacity summary'!P101)="x",$BI189*P189,VALUE('Capacity summary'!P101)),0),P189*$BI189),P189*$BI189),0)</f>
        <v>0</v>
      </c>
      <c r="BT189" s="5">
        <f>IF($BI189&lt;&gt;"",IF('Capacity summary'!$C$14="Yes",IF(COUNTBLANK('Capacity summary'!$H101:$BG101)&lt;52,IF('Capacity summary'!Q101&lt;&gt;"",IF(LOWER('Capacity summary'!Q101)="x",$BI189*Q189,VALUE('Capacity summary'!Q101)),0),Q189*$BI189),Q189*$BI189),0)</f>
        <v>0</v>
      </c>
      <c r="BU189" s="5">
        <f>IF($BI189&lt;&gt;"",IF('Capacity summary'!$C$14="Yes",IF(COUNTBLANK('Capacity summary'!$H101:$BG101)&lt;52,IF('Capacity summary'!R101&lt;&gt;"",IF(LOWER('Capacity summary'!R101)="x",$BI189*R189,VALUE('Capacity summary'!R101)),0),R189*$BI189),R189*$BI189),0)</f>
        <v>0</v>
      </c>
      <c r="BV189" s="5">
        <f>IF($BI189&lt;&gt;"",IF('Capacity summary'!$C$14="Yes",IF(COUNTBLANK('Capacity summary'!$H101:$BG101)&lt;52,IF('Capacity summary'!S101&lt;&gt;"",IF(LOWER('Capacity summary'!S101)="x",$BI189*S189,VALUE('Capacity summary'!S101)),0),S189*$BI189),S189*$BI189),0)</f>
        <v>0</v>
      </c>
      <c r="BW189" s="5">
        <f>IF($BI189&lt;&gt;"",IF('Capacity summary'!$C$14="Yes",IF(COUNTBLANK('Capacity summary'!$H101:$BG101)&lt;52,IF('Capacity summary'!T101&lt;&gt;"",IF(LOWER('Capacity summary'!T101)="x",$BI189*T189,VALUE('Capacity summary'!T101)),0),T189*$BI189),T189*$BI189),0)</f>
        <v>0</v>
      </c>
      <c r="BX189" s="5">
        <f>IF($BI189&lt;&gt;"",IF('Capacity summary'!$C$14="Yes",IF(COUNTBLANK('Capacity summary'!$H101:$BG101)&lt;52,IF('Capacity summary'!U101&lt;&gt;"",IF(LOWER('Capacity summary'!U101)="x",$BI189*U189,VALUE('Capacity summary'!U101)),0),U189*$BI189),U189*$BI189),0)</f>
        <v>0</v>
      </c>
      <c r="BY189" s="5">
        <f>IF($BI189&lt;&gt;"",IF('Capacity summary'!$C$14="Yes",IF(COUNTBLANK('Capacity summary'!$H101:$BG101)&lt;52,IF('Capacity summary'!V101&lt;&gt;"",IF(LOWER('Capacity summary'!V101)="x",$BI189*V189,VALUE('Capacity summary'!V101)),0),V189*$BI189),V189*$BI189),0)</f>
        <v>0</v>
      </c>
      <c r="BZ189" s="5">
        <f>IF($BI189&lt;&gt;"",IF('Capacity summary'!$C$14="Yes",IF(COUNTBLANK('Capacity summary'!$H101:$BG101)&lt;52,IF('Capacity summary'!W101&lt;&gt;"",IF(LOWER('Capacity summary'!W101)="x",$BI189*W189,VALUE('Capacity summary'!W101)),0),W189*$BI189),W189*$BI189),0)</f>
        <v>0</v>
      </c>
      <c r="CA189" s="5">
        <f>IF($BI189&lt;&gt;"",IF('Capacity summary'!$C$14="Yes",IF(COUNTBLANK('Capacity summary'!$H101:$BG101)&lt;52,IF('Capacity summary'!X101&lt;&gt;"",IF(LOWER('Capacity summary'!X101)="x",$BI189*X189,VALUE('Capacity summary'!X101)),0),X189*$BI189),X189*$BI189),0)</f>
        <v>0</v>
      </c>
      <c r="CB189" s="5">
        <f>IF($BI189&lt;&gt;"",IF('Capacity summary'!$C$14="Yes",IF(COUNTBLANK('Capacity summary'!$H101:$BG101)&lt;52,IF('Capacity summary'!Y101&lt;&gt;"",IF(LOWER('Capacity summary'!Y101)="x",$BI189*Y189,VALUE('Capacity summary'!Y101)),0),Y189*$BI189),Y189*$BI189),0)</f>
        <v>0</v>
      </c>
      <c r="CC189" s="5">
        <f>IF($BI189&lt;&gt;"",IF('Capacity summary'!$C$14="Yes",IF(COUNTBLANK('Capacity summary'!$H101:$BG101)&lt;52,IF('Capacity summary'!Z101&lt;&gt;"",IF(LOWER('Capacity summary'!Z101)="x",$BI189*Z189,VALUE('Capacity summary'!Z101)),0),Z189*$BI189),Z189*$BI189),0)</f>
        <v>0</v>
      </c>
      <c r="CD189" s="5">
        <f>IF($BI189&lt;&gt;"",IF('Capacity summary'!$C$14="Yes",IF(COUNTBLANK('Capacity summary'!$H101:$BG101)&lt;52,IF('Capacity summary'!AA101&lt;&gt;"",IF(LOWER('Capacity summary'!AA101)="x",$BI189*AA189,VALUE('Capacity summary'!AA101)),0),AA189*$BI189),AA189*$BI189),0)</f>
        <v>0</v>
      </c>
      <c r="CE189" s="5">
        <f>IF($BI189&lt;&gt;"",IF('Capacity summary'!$C$14="Yes",IF(COUNTBLANK('Capacity summary'!$H101:$BG101)&lt;52,IF('Capacity summary'!AB101&lt;&gt;"",IF(LOWER('Capacity summary'!AB101)="x",$BI189*AB189,VALUE('Capacity summary'!AB101)),0),AB189*$BI189),AB189*$BI189),0)</f>
        <v>0</v>
      </c>
      <c r="CF189" s="5">
        <f>IF($BI189&lt;&gt;"",IF('Capacity summary'!$C$14="Yes",IF(COUNTBLANK('Capacity summary'!$H101:$BG101)&lt;52,IF('Capacity summary'!AC101&lt;&gt;"",IF(LOWER('Capacity summary'!AC101)="x",$BI189*AC189,VALUE('Capacity summary'!AC101)),0),AC189*$BI189),AC189*$BI189),0)</f>
        <v>0</v>
      </c>
      <c r="CG189" s="5">
        <f>IF($BI189&lt;&gt;"",IF('Capacity summary'!$C$14="Yes",IF(COUNTBLANK('Capacity summary'!$H101:$BG101)&lt;52,IF('Capacity summary'!AD101&lt;&gt;"",IF(LOWER('Capacity summary'!AD101)="x",$BI189*AD189,VALUE('Capacity summary'!AD101)),0),AD189*$BI189),AD189*$BI189),0)</f>
        <v>0</v>
      </c>
      <c r="CH189" s="5">
        <f>IF($BI189&lt;&gt;"",IF('Capacity summary'!$C$14="Yes",IF(COUNTBLANK('Capacity summary'!$H101:$BG101)&lt;52,IF('Capacity summary'!AE101&lt;&gt;"",IF(LOWER('Capacity summary'!AE101)="x",$BI189*AE189,VALUE('Capacity summary'!AE101)),0),AE189*$BI189),AE189*$BI189),0)</f>
        <v>0</v>
      </c>
      <c r="CI189" s="5">
        <f>IF($BI189&lt;&gt;"",IF('Capacity summary'!$C$14="Yes",IF(COUNTBLANK('Capacity summary'!$H101:$BG101)&lt;52,IF('Capacity summary'!AF101&lt;&gt;"",IF(LOWER('Capacity summary'!AF101)="x",$BI189*AF189,VALUE('Capacity summary'!AF101)),0),AF189*$BI189),AF189*$BI189),0)</f>
        <v>0</v>
      </c>
      <c r="CJ189" s="5">
        <f>IF($BI189&lt;&gt;"",IF('Capacity summary'!$C$14="Yes",IF(COUNTBLANK('Capacity summary'!$H101:$BG101)&lt;52,IF('Capacity summary'!AG101&lt;&gt;"",IF(LOWER('Capacity summary'!AG101)="x",$BI189*AG189,VALUE('Capacity summary'!AG101)),0),AG189*$BI189),AG189*$BI189),0)</f>
        <v>0</v>
      </c>
      <c r="CK189" s="5">
        <f>IF($BI189&lt;&gt;"",IF('Capacity summary'!$C$14="Yes",IF(COUNTBLANK('Capacity summary'!$H101:$BG101)&lt;52,IF('Capacity summary'!AH101&lt;&gt;"",IF(LOWER('Capacity summary'!AH101)="x",$BI189*AH189,VALUE('Capacity summary'!AH101)),0),AH189*$BI189),AH189*$BI189),0)</f>
        <v>0</v>
      </c>
      <c r="CL189" s="5">
        <f>IF($BI189&lt;&gt;"",IF('Capacity summary'!$C$14="Yes",IF(COUNTBLANK('Capacity summary'!$H101:$BG101)&lt;52,IF('Capacity summary'!AI101&lt;&gt;"",IF(LOWER('Capacity summary'!AI101)="x",$BI189*AI189,VALUE('Capacity summary'!AI101)),0),AI189*$BI189),AI189*$BI189),0)</f>
        <v>0</v>
      </c>
      <c r="CM189" s="5">
        <f>IF($BI189&lt;&gt;"",IF('Capacity summary'!$C$14="Yes",IF(COUNTBLANK('Capacity summary'!$H101:$BG101)&lt;52,IF('Capacity summary'!AJ101&lt;&gt;"",IF(LOWER('Capacity summary'!AJ101)="x",$BI189*AJ189,VALUE('Capacity summary'!AJ101)),0),AJ189*$BI189),AJ189*$BI189),0)</f>
        <v>0</v>
      </c>
      <c r="CN189" s="5">
        <f>IF($BI189&lt;&gt;"",IF('Capacity summary'!$C$14="Yes",IF(COUNTBLANK('Capacity summary'!$H101:$BG101)&lt;52,IF('Capacity summary'!AK101&lt;&gt;"",IF(LOWER('Capacity summary'!AK101)="x",$BI189*AK189,VALUE('Capacity summary'!AK101)),0),AK189*$BI189),AK189*$BI189),0)</f>
        <v>0</v>
      </c>
      <c r="CO189" s="5">
        <f>IF($BI189&lt;&gt;"",IF('Capacity summary'!$C$14="Yes",IF(COUNTBLANK('Capacity summary'!$H101:$BG101)&lt;52,IF('Capacity summary'!AL101&lt;&gt;"",IF(LOWER('Capacity summary'!AL101)="x",$BI189*AL189,VALUE('Capacity summary'!AL101)),0),AL189*$BI189),AL189*$BI189),0)</f>
        <v>0</v>
      </c>
      <c r="CP189" s="5">
        <f>IF($BI189&lt;&gt;"",IF('Capacity summary'!$C$14="Yes",IF(COUNTBLANK('Capacity summary'!$H101:$BG101)&lt;52,IF('Capacity summary'!AM101&lt;&gt;"",IF(LOWER('Capacity summary'!AM101)="x",$BI189*AM189,VALUE('Capacity summary'!AM101)),0),AM189*$BI189),AM189*$BI189),0)</f>
        <v>0</v>
      </c>
      <c r="CQ189" s="5">
        <f>IF($BI189&lt;&gt;"",IF('Capacity summary'!$C$14="Yes",IF(COUNTBLANK('Capacity summary'!$H101:$BG101)&lt;52,IF('Capacity summary'!AN101&lt;&gt;"",IF(LOWER('Capacity summary'!AN101)="x",$BI189*AN189,VALUE('Capacity summary'!AN101)),0),AN189*$BI189),AN189*$BI189),0)</f>
        <v>0</v>
      </c>
      <c r="CR189" s="5">
        <f>IF($BI189&lt;&gt;"",IF('Capacity summary'!$C$14="Yes",IF(COUNTBLANK('Capacity summary'!$H101:$BG101)&lt;52,IF('Capacity summary'!AO101&lt;&gt;"",IF(LOWER('Capacity summary'!AO101)="x",$BI189*AO189,VALUE('Capacity summary'!AO101)),0),AO189*$BI189),AO189*$BI189),0)</f>
        <v>0</v>
      </c>
      <c r="CS189" s="5">
        <f>IF($BI189&lt;&gt;"",IF('Capacity summary'!$C$14="Yes",IF(COUNTBLANK('Capacity summary'!$H101:$BG101)&lt;52,IF('Capacity summary'!AP101&lt;&gt;"",IF(LOWER('Capacity summary'!AP101)="x",$BI189*AP189,VALUE('Capacity summary'!AP101)),0),AP189*$BI189),AP189*$BI189),0)</f>
        <v>0</v>
      </c>
      <c r="CT189" s="5">
        <f>IF($BI189&lt;&gt;"",IF('Capacity summary'!$C$14="Yes",IF(COUNTBLANK('Capacity summary'!$H101:$BG101)&lt;52,IF('Capacity summary'!AQ101&lt;&gt;"",IF(LOWER('Capacity summary'!AQ101)="x",$BI189*AQ189,VALUE('Capacity summary'!AQ101)),0),AQ189*$BI189),AQ189*$BI189),0)</f>
        <v>0</v>
      </c>
      <c r="CU189" s="5">
        <f>IF($BI189&lt;&gt;"",IF('Capacity summary'!$C$14="Yes",IF(COUNTBLANK('Capacity summary'!$H101:$BG101)&lt;52,IF('Capacity summary'!AR101&lt;&gt;"",IF(LOWER('Capacity summary'!AR101)="x",$BI189*AR189,VALUE('Capacity summary'!AR101)),0),AR189*$BI189),AR189*$BI189),0)</f>
        <v>0</v>
      </c>
      <c r="CV189" s="5">
        <f>IF($BI189&lt;&gt;"",IF('Capacity summary'!$C$14="Yes",IF(COUNTBLANK('Capacity summary'!$H101:$BG101)&lt;52,IF('Capacity summary'!AS101&lt;&gt;"",IF(LOWER('Capacity summary'!AS101)="x",$BI189*AS189,VALUE('Capacity summary'!AS101)),0),AS189*$BI189),AS189*$BI189),0)</f>
        <v>0</v>
      </c>
      <c r="CW189" s="5">
        <f>IF($BI189&lt;&gt;"",IF('Capacity summary'!$C$14="Yes",IF(COUNTBLANK('Capacity summary'!$H101:$BG101)&lt;52,IF('Capacity summary'!AT101&lt;&gt;"",IF(LOWER('Capacity summary'!AT101)="x",$BI189*AT189,VALUE('Capacity summary'!AT101)),0),AT189*$BI189),AT189*$BI189),0)</f>
        <v>0</v>
      </c>
      <c r="CX189" s="5">
        <f>IF($BI189&lt;&gt;"",IF('Capacity summary'!$C$14="Yes",IF(COUNTBLANK('Capacity summary'!$H101:$BG101)&lt;52,IF('Capacity summary'!AU101&lt;&gt;"",IF(LOWER('Capacity summary'!AU101)="x",$BI189*AU189,VALUE('Capacity summary'!AU101)),0),AU189*$BI189),AU189*$BI189),0)</f>
        <v>0</v>
      </c>
      <c r="CY189" s="5">
        <f>IF($BI189&lt;&gt;"",IF('Capacity summary'!$C$14="Yes",IF(COUNTBLANK('Capacity summary'!$H101:$BG101)&lt;52,IF('Capacity summary'!AV101&lt;&gt;"",IF(LOWER('Capacity summary'!AV101)="x",$BI189*AV189,VALUE('Capacity summary'!AV101)),0),AV189*$BI189),AV189*$BI189),0)</f>
        <v>0</v>
      </c>
      <c r="CZ189" s="5">
        <f>IF($BI189&lt;&gt;"",IF('Capacity summary'!$C$14="Yes",IF(COUNTBLANK('Capacity summary'!$H101:$BG101)&lt;52,IF('Capacity summary'!AW101&lt;&gt;"",IF(LOWER('Capacity summary'!AW101)="x",$BI189*AW189,VALUE('Capacity summary'!AW101)),0),AW189*$BI189),AW189*$BI189),0)</f>
        <v>0</v>
      </c>
      <c r="DA189" s="5">
        <f>IF($BI189&lt;&gt;"",IF('Capacity summary'!$C$14="Yes",IF(COUNTBLANK('Capacity summary'!$H101:$BG101)&lt;52,IF('Capacity summary'!AX101&lt;&gt;"",IF(LOWER('Capacity summary'!AX101)="x",$BI189*AX189,VALUE('Capacity summary'!AX101)),0),AX189*$BI189),AX189*$BI189),0)</f>
        <v>0</v>
      </c>
      <c r="DB189" s="5">
        <f>IF($BI189&lt;&gt;"",IF('Capacity summary'!$C$14="Yes",IF(COUNTBLANK('Capacity summary'!$H101:$BG101)&lt;52,IF('Capacity summary'!AY101&lt;&gt;"",IF(LOWER('Capacity summary'!AY101)="x",$BI189*AY189,VALUE('Capacity summary'!AY101)),0),AY189*$BI189),AY189*$BI189),0)</f>
        <v>0</v>
      </c>
      <c r="DC189" s="5">
        <f>IF($BI189&lt;&gt;"",IF('Capacity summary'!$C$14="Yes",IF(COUNTBLANK('Capacity summary'!$H101:$BG101)&lt;52,IF('Capacity summary'!AZ101&lt;&gt;"",IF(LOWER('Capacity summary'!AZ101)="x",$BI189*AZ189,VALUE('Capacity summary'!AZ101)),0),AZ189*$BI189),AZ189*$BI189),0)</f>
        <v>0</v>
      </c>
      <c r="DD189" s="5">
        <f>IF($BI189&lt;&gt;"",IF('Capacity summary'!$C$14="Yes",IF(COUNTBLANK('Capacity summary'!$H101:$BG101)&lt;52,IF('Capacity summary'!BA101&lt;&gt;"",IF(LOWER('Capacity summary'!BA101)="x",$BI189*BA189,VALUE('Capacity summary'!BA101)),0),BA189*$BI189),BA189*$BI189),0)</f>
        <v>0</v>
      </c>
      <c r="DE189" s="5">
        <f>IF($BI189&lt;&gt;"",IF('Capacity summary'!$C$14="Yes",IF(COUNTBLANK('Capacity summary'!$H101:$BG101)&lt;52,IF('Capacity summary'!BB101&lt;&gt;"",IF(LOWER('Capacity summary'!BB101)="x",$BI189*BB189,VALUE('Capacity summary'!BB101)),0),BB189*$BI189),BB189*$BI189),0)</f>
        <v>0</v>
      </c>
      <c r="DF189" s="5">
        <f>IF($BI189&lt;&gt;"",IF('Capacity summary'!$C$14="Yes",IF(COUNTBLANK('Capacity summary'!$H101:$BG101)&lt;52,IF('Capacity summary'!BC101&lt;&gt;"",IF(LOWER('Capacity summary'!BC101)="x",$BI189*BC189,VALUE('Capacity summary'!BC101)),0),BC189*$BI189),BC189*$BI189),0)</f>
        <v>0</v>
      </c>
      <c r="DG189" s="5">
        <f>IF($BI189&lt;&gt;"",IF('Capacity summary'!$C$14="Yes",IF(COUNTBLANK('Capacity summary'!$H101:$BG101)&lt;52,IF('Capacity summary'!BD101&lt;&gt;"",IF(LOWER('Capacity summary'!BD101)="x",$BI189*BD189,VALUE('Capacity summary'!BD101)),0),BD189*$BI189),BD189*$BI189),0)</f>
        <v>0</v>
      </c>
      <c r="DH189" s="5">
        <f>IF($BI189&lt;&gt;"",IF('Capacity summary'!$C$14="Yes",IF(COUNTBLANK('Capacity summary'!$H101:$BG101)&lt;52,IF('Capacity summary'!BE101&lt;&gt;"",IF(LOWER('Capacity summary'!BE101)="x",$BI189*BE189,VALUE('Capacity summary'!BE101)),0),BE189*$BI189),BE189*$BI189),0)</f>
        <v>0</v>
      </c>
      <c r="DI189" s="5">
        <f>IF($BI189&lt;&gt;"",IF('Capacity summary'!$C$14="Yes",IF(COUNTBLANK('Capacity summary'!$H101:$BG101)&lt;52,IF('Capacity summary'!BF101&lt;&gt;"",IF(LOWER('Capacity summary'!BF101)="x",$BI189*BF189,VALUE('Capacity summary'!BF101)),0),BF189*$BI189),BF189*$BI189),0)</f>
        <v>0</v>
      </c>
      <c r="DJ189" s="5">
        <f>IF($BI189&lt;&gt;"",IF('Capacity summary'!$C$14="Yes",IF(COUNTBLANK('Capacity summary'!$H101:$BG101)&lt;52,IF('Capacity summary'!BG101&lt;&gt;"",IF(LOWER('Capacity summary'!BG101)="x",$BI189*BG189,VALUE('Capacity summary'!BG101)),0),BG189*$BI189),BG189*$BI189),0)</f>
        <v>0</v>
      </c>
      <c r="DK189" s="5">
        <f t="shared" ref="DK189" si="83">SUM(DK190:DK289)</f>
        <v>0</v>
      </c>
    </row>
    <row r="190" spans="3:115" x14ac:dyDescent="0.25">
      <c r="C190" s="67" t="str">
        <f>ROW(A79)&amp;". "&amp;Capacity!N95</f>
        <v xml:space="preserve">79. </v>
      </c>
      <c r="D190" s="67">
        <f>'Capacity setup'!C196</f>
        <v>0</v>
      </c>
      <c r="E190" s="67">
        <f>'Capacity setup'!D196</f>
        <v>0</v>
      </c>
      <c r="F190" s="67">
        <f>'Capacity setup'!E196</f>
        <v>0</v>
      </c>
      <c r="H190" s="67">
        <f ca="1">IF(AND(SUMIF(Capacity_Resource,$D190,'Critical resources (hide)'!U$6:U$105)+SUMIF(Capacity_Resource,$E190,'Critical resources (hide)'!U$6:U$105)+SUMIF(Capacity_Resource,$F190,'Critical resources (hide)'!U$6:U$105)&gt;0,$E$1=2),0,1)</f>
        <v>1</v>
      </c>
      <c r="I190" s="67">
        <f ca="1">IF(AND(SUMIF(Capacity_Resource,$D190,'Critical resources (hide)'!V$6:V$105)+SUMIF(Capacity_Resource,$E190,'Critical resources (hide)'!V$6:V$105)+SUMIF(Capacity_Resource,$F190,'Critical resources (hide)'!V$6:V$105)&gt;0,$E$1=2),0,1)</f>
        <v>1</v>
      </c>
      <c r="J190" s="67">
        <f ca="1">IF(AND(SUMIF(Capacity_Resource,$D190,'Critical resources (hide)'!W$6:W$105)+SUMIF(Capacity_Resource,$E190,'Critical resources (hide)'!W$6:W$105)+SUMIF(Capacity_Resource,$F190,'Critical resources (hide)'!W$6:W$105)&gt;0,$E$1=2),0,1)</f>
        <v>1</v>
      </c>
      <c r="K190" s="67">
        <f ca="1">IF(AND(SUMIF(Capacity_Resource,$D190,'Critical resources (hide)'!X$6:X$105)+SUMIF(Capacity_Resource,$E190,'Critical resources (hide)'!X$6:X$105)+SUMIF(Capacity_Resource,$F190,'Critical resources (hide)'!X$6:X$105)&gt;0,$E$1=2),0,1)</f>
        <v>1</v>
      </c>
      <c r="L190" s="67">
        <f ca="1">IF(AND(SUMIF(Capacity_Resource,$D190,'Critical resources (hide)'!Y$6:Y$105)+SUMIF(Capacity_Resource,$E190,'Critical resources (hide)'!Y$6:Y$105)+SUMIF(Capacity_Resource,$F190,'Critical resources (hide)'!Y$6:Y$105)&gt;0,$E$1=2),0,1)</f>
        <v>1</v>
      </c>
      <c r="M190" s="67">
        <f ca="1">IF(AND(SUMIF(Capacity_Resource,$D190,'Critical resources (hide)'!Z$6:Z$105)+SUMIF(Capacity_Resource,$E190,'Critical resources (hide)'!Z$6:Z$105)+SUMIF(Capacity_Resource,$F190,'Critical resources (hide)'!Z$6:Z$105)&gt;0,$E$1=2),0,1)</f>
        <v>1</v>
      </c>
      <c r="N190" s="67">
        <f ca="1">IF(AND(SUMIF(Capacity_Resource,$D190,'Critical resources (hide)'!AA$6:AA$105)+SUMIF(Capacity_Resource,$E190,'Critical resources (hide)'!AA$6:AA$105)+SUMIF(Capacity_Resource,$F190,'Critical resources (hide)'!AA$6:AA$105)&gt;0,$E$1=2),0,1)</f>
        <v>1</v>
      </c>
      <c r="O190" s="67">
        <f ca="1">IF(AND(SUMIF(Capacity_Resource,$D190,'Critical resources (hide)'!AB$6:AB$105)+SUMIF(Capacity_Resource,$E190,'Critical resources (hide)'!AB$6:AB$105)+SUMIF(Capacity_Resource,$F190,'Critical resources (hide)'!AB$6:AB$105)&gt;0,$E$1=2),0,1)</f>
        <v>1</v>
      </c>
      <c r="P190" s="67">
        <f ca="1">IF(AND(SUMIF(Capacity_Resource,$D190,'Critical resources (hide)'!AC$6:AC$105)+SUMIF(Capacity_Resource,$E190,'Critical resources (hide)'!AC$6:AC$105)+SUMIF(Capacity_Resource,$F190,'Critical resources (hide)'!AC$6:AC$105)&gt;0,$E$1=2),0,1)</f>
        <v>1</v>
      </c>
      <c r="Q190" s="67">
        <f ca="1">IF(AND(SUMIF(Capacity_Resource,$D190,'Critical resources (hide)'!AD$6:AD$105)+SUMIF(Capacity_Resource,$E190,'Critical resources (hide)'!AD$6:AD$105)+SUMIF(Capacity_Resource,$F190,'Critical resources (hide)'!AD$6:AD$105)&gt;0,$E$1=2),0,1)</f>
        <v>1</v>
      </c>
      <c r="R190" s="67">
        <f ca="1">IF(AND(SUMIF(Capacity_Resource,$D190,'Critical resources (hide)'!AE$6:AE$105)+SUMIF(Capacity_Resource,$E190,'Critical resources (hide)'!AE$6:AE$105)+SUMIF(Capacity_Resource,$F190,'Critical resources (hide)'!AE$6:AE$105)&gt;0,$E$1=2),0,1)</f>
        <v>1</v>
      </c>
      <c r="S190" s="67">
        <f ca="1">IF(AND(SUMIF(Capacity_Resource,$D190,'Critical resources (hide)'!AF$6:AF$105)+SUMIF(Capacity_Resource,$E190,'Critical resources (hide)'!AF$6:AF$105)+SUMIF(Capacity_Resource,$F190,'Critical resources (hide)'!AF$6:AF$105)&gt;0,$E$1=2),0,1)</f>
        <v>1</v>
      </c>
      <c r="T190" s="67">
        <f ca="1">IF(AND(SUMIF(Capacity_Resource,$D190,'Critical resources (hide)'!AG$6:AG$105)+SUMIF(Capacity_Resource,$E190,'Critical resources (hide)'!AG$6:AG$105)+SUMIF(Capacity_Resource,$F190,'Critical resources (hide)'!AG$6:AG$105)&gt;0,$E$1=2),0,1)</f>
        <v>1</v>
      </c>
      <c r="U190" s="67">
        <f ca="1">IF(AND(SUMIF(Capacity_Resource,$D190,'Critical resources (hide)'!AH$6:AH$105)+SUMIF(Capacity_Resource,$E190,'Critical resources (hide)'!AH$6:AH$105)+SUMIF(Capacity_Resource,$F190,'Critical resources (hide)'!AH$6:AH$105)&gt;0,$E$1=2),0,1)</f>
        <v>1</v>
      </c>
      <c r="V190" s="67">
        <f ca="1">IF(AND(SUMIF(Capacity_Resource,$D190,'Critical resources (hide)'!AI$6:AI$105)+SUMIF(Capacity_Resource,$E190,'Critical resources (hide)'!AI$6:AI$105)+SUMIF(Capacity_Resource,$F190,'Critical resources (hide)'!AI$6:AI$105)&gt;0,$E$1=2),0,1)</f>
        <v>1</v>
      </c>
      <c r="W190" s="67">
        <f ca="1">IF(AND(SUMIF(Capacity_Resource,$D190,'Critical resources (hide)'!AJ$6:AJ$105)+SUMIF(Capacity_Resource,$E190,'Critical resources (hide)'!AJ$6:AJ$105)+SUMIF(Capacity_Resource,$F190,'Critical resources (hide)'!AJ$6:AJ$105)&gt;0,$E$1=2),0,1)</f>
        <v>1</v>
      </c>
      <c r="X190" s="67">
        <f ca="1">IF(AND(SUMIF(Capacity_Resource,$D190,'Critical resources (hide)'!AK$6:AK$105)+SUMIF(Capacity_Resource,$E190,'Critical resources (hide)'!AK$6:AK$105)+SUMIF(Capacity_Resource,$F190,'Critical resources (hide)'!AK$6:AK$105)&gt;0,$E$1=2),0,1)</f>
        <v>1</v>
      </c>
      <c r="Y190" s="67">
        <f ca="1">IF(AND(SUMIF(Capacity_Resource,$D190,'Critical resources (hide)'!AL$6:AL$105)+SUMIF(Capacity_Resource,$E190,'Critical resources (hide)'!AL$6:AL$105)+SUMIF(Capacity_Resource,$F190,'Critical resources (hide)'!AL$6:AL$105)&gt;0,$E$1=2),0,1)</f>
        <v>1</v>
      </c>
      <c r="Z190" s="67">
        <f ca="1">IF(AND(SUMIF(Capacity_Resource,$D190,'Critical resources (hide)'!AM$6:AM$105)+SUMIF(Capacity_Resource,$E190,'Critical resources (hide)'!AM$6:AM$105)+SUMIF(Capacity_Resource,$F190,'Critical resources (hide)'!AM$6:AM$105)&gt;0,$E$1=2),0,1)</f>
        <v>1</v>
      </c>
      <c r="AA190" s="67">
        <f ca="1">IF(AND(SUMIF(Capacity_Resource,$D190,'Critical resources (hide)'!AN$6:AN$105)+SUMIF(Capacity_Resource,$E190,'Critical resources (hide)'!AN$6:AN$105)+SUMIF(Capacity_Resource,$F190,'Critical resources (hide)'!AN$6:AN$105)&gt;0,$E$1=2),0,1)</f>
        <v>1</v>
      </c>
      <c r="AB190" s="67">
        <f ca="1">IF(AND(SUMIF(Capacity_Resource,$D190,'Critical resources (hide)'!AO$6:AO$105)+SUMIF(Capacity_Resource,$E190,'Critical resources (hide)'!AO$6:AO$105)+SUMIF(Capacity_Resource,$F190,'Critical resources (hide)'!AO$6:AO$105)&gt;0,$E$1=2),0,1)</f>
        <v>1</v>
      </c>
      <c r="AC190" s="67">
        <f ca="1">IF(AND(SUMIF(Capacity_Resource,$D190,'Critical resources (hide)'!AP$6:AP$105)+SUMIF(Capacity_Resource,$E190,'Critical resources (hide)'!AP$6:AP$105)+SUMIF(Capacity_Resource,$F190,'Critical resources (hide)'!AP$6:AP$105)&gt;0,$E$1=2),0,1)</f>
        <v>1</v>
      </c>
      <c r="AD190" s="67">
        <f ca="1">IF(AND(SUMIF(Capacity_Resource,$D190,'Critical resources (hide)'!AQ$6:AQ$105)+SUMIF(Capacity_Resource,$E190,'Critical resources (hide)'!AQ$6:AQ$105)+SUMIF(Capacity_Resource,$F190,'Critical resources (hide)'!AQ$6:AQ$105)&gt;0,$E$1=2),0,1)</f>
        <v>1</v>
      </c>
      <c r="AE190" s="67">
        <f ca="1">IF(AND(SUMIF(Capacity_Resource,$D190,'Critical resources (hide)'!AR$6:AR$105)+SUMIF(Capacity_Resource,$E190,'Critical resources (hide)'!AR$6:AR$105)+SUMIF(Capacity_Resource,$F190,'Critical resources (hide)'!AR$6:AR$105)&gt;0,$E$1=2),0,1)</f>
        <v>1</v>
      </c>
      <c r="AF190" s="67">
        <f ca="1">IF(AND(SUMIF(Capacity_Resource,$D190,'Critical resources (hide)'!AS$6:AS$105)+SUMIF(Capacity_Resource,$E190,'Critical resources (hide)'!AS$6:AS$105)+SUMIF(Capacity_Resource,$F190,'Critical resources (hide)'!AS$6:AS$105)&gt;0,$E$1=2),0,1)</f>
        <v>1</v>
      </c>
      <c r="AG190" s="67">
        <f ca="1">IF(AND(SUMIF(Capacity_Resource,$D190,'Critical resources (hide)'!AT$6:AT$105)+SUMIF(Capacity_Resource,$E190,'Critical resources (hide)'!AT$6:AT$105)+SUMIF(Capacity_Resource,$F190,'Critical resources (hide)'!AT$6:AT$105)&gt;0,$E$1=2),0,1)</f>
        <v>1</v>
      </c>
      <c r="AH190" s="67">
        <f ca="1">IF(AND(SUMIF(Capacity_Resource,$D190,'Critical resources (hide)'!AU$6:AU$105)+SUMIF(Capacity_Resource,$E190,'Critical resources (hide)'!AU$6:AU$105)+SUMIF(Capacity_Resource,$F190,'Critical resources (hide)'!AU$6:AU$105)&gt;0,$E$1=2),0,1)</f>
        <v>1</v>
      </c>
      <c r="AI190" s="67">
        <f ca="1">IF(AND(SUMIF(Capacity_Resource,$D190,'Critical resources (hide)'!AV$6:AV$105)+SUMIF(Capacity_Resource,$E190,'Critical resources (hide)'!AV$6:AV$105)+SUMIF(Capacity_Resource,$F190,'Critical resources (hide)'!AV$6:AV$105)&gt;0,$E$1=2),0,1)</f>
        <v>1</v>
      </c>
      <c r="AJ190" s="67">
        <f ca="1">IF(AND(SUMIF(Capacity_Resource,$D190,'Critical resources (hide)'!AW$6:AW$105)+SUMIF(Capacity_Resource,$E190,'Critical resources (hide)'!AW$6:AW$105)+SUMIF(Capacity_Resource,$F190,'Critical resources (hide)'!AW$6:AW$105)&gt;0,$E$1=2),0,1)</f>
        <v>1</v>
      </c>
      <c r="AK190" s="67">
        <f ca="1">IF(AND(SUMIF(Capacity_Resource,$D190,'Critical resources (hide)'!AX$6:AX$105)+SUMIF(Capacity_Resource,$E190,'Critical resources (hide)'!AX$6:AX$105)+SUMIF(Capacity_Resource,$F190,'Critical resources (hide)'!AX$6:AX$105)&gt;0,$E$1=2),0,1)</f>
        <v>1</v>
      </c>
      <c r="AL190" s="67">
        <f ca="1">IF(AND(SUMIF(Capacity_Resource,$D190,'Critical resources (hide)'!AY$6:AY$105)+SUMIF(Capacity_Resource,$E190,'Critical resources (hide)'!AY$6:AY$105)+SUMIF(Capacity_Resource,$F190,'Critical resources (hide)'!AY$6:AY$105)&gt;0,$E$1=2),0,1)</f>
        <v>1</v>
      </c>
      <c r="AM190" s="67">
        <f ca="1">IF(AND(SUMIF(Capacity_Resource,$D190,'Critical resources (hide)'!AZ$6:AZ$105)+SUMIF(Capacity_Resource,$E190,'Critical resources (hide)'!AZ$6:AZ$105)+SUMIF(Capacity_Resource,$F190,'Critical resources (hide)'!AZ$6:AZ$105)&gt;0,$E$1=2),0,1)</f>
        <v>1</v>
      </c>
      <c r="AN190" s="67">
        <f ca="1">IF(AND(SUMIF(Capacity_Resource,$D190,'Critical resources (hide)'!BA$6:BA$105)+SUMIF(Capacity_Resource,$E190,'Critical resources (hide)'!BA$6:BA$105)+SUMIF(Capacity_Resource,$F190,'Critical resources (hide)'!BA$6:BA$105)&gt;0,$E$1=2),0,1)</f>
        <v>1</v>
      </c>
      <c r="AO190" s="67">
        <f ca="1">IF(AND(SUMIF(Capacity_Resource,$D190,'Critical resources (hide)'!BB$6:BB$105)+SUMIF(Capacity_Resource,$E190,'Critical resources (hide)'!BB$6:BB$105)+SUMIF(Capacity_Resource,$F190,'Critical resources (hide)'!BB$6:BB$105)&gt;0,$E$1=2),0,1)</f>
        <v>1</v>
      </c>
      <c r="AP190" s="67">
        <f ca="1">IF(AND(SUMIF(Capacity_Resource,$D190,'Critical resources (hide)'!BC$6:BC$105)+SUMIF(Capacity_Resource,$E190,'Critical resources (hide)'!BC$6:BC$105)+SUMIF(Capacity_Resource,$F190,'Critical resources (hide)'!BC$6:BC$105)&gt;0,$E$1=2),0,1)</f>
        <v>1</v>
      </c>
      <c r="AQ190" s="67">
        <f ca="1">IF(AND(SUMIF(Capacity_Resource,$D190,'Critical resources (hide)'!BD$6:BD$105)+SUMIF(Capacity_Resource,$E190,'Critical resources (hide)'!BD$6:BD$105)+SUMIF(Capacity_Resource,$F190,'Critical resources (hide)'!BD$6:BD$105)&gt;0,$E$1=2),0,1)</f>
        <v>1</v>
      </c>
      <c r="AR190" s="67">
        <f ca="1">IF(AND(SUMIF(Capacity_Resource,$D190,'Critical resources (hide)'!BE$6:BE$105)+SUMIF(Capacity_Resource,$E190,'Critical resources (hide)'!BE$6:BE$105)+SUMIF(Capacity_Resource,$F190,'Critical resources (hide)'!BE$6:BE$105)&gt;0,$E$1=2),0,1)</f>
        <v>1</v>
      </c>
      <c r="AS190" s="67">
        <f ca="1">IF(AND(SUMIF(Capacity_Resource,$D190,'Critical resources (hide)'!BF$6:BF$105)+SUMIF(Capacity_Resource,$E190,'Critical resources (hide)'!BF$6:BF$105)+SUMIF(Capacity_Resource,$F190,'Critical resources (hide)'!BF$6:BF$105)&gt;0,$E$1=2),0,1)</f>
        <v>1</v>
      </c>
      <c r="AT190" s="67">
        <f ca="1">IF(AND(SUMIF(Capacity_Resource,$D190,'Critical resources (hide)'!BG$6:BG$105)+SUMIF(Capacity_Resource,$E190,'Critical resources (hide)'!BG$6:BG$105)+SUMIF(Capacity_Resource,$F190,'Critical resources (hide)'!BG$6:BG$105)&gt;0,$E$1=2),0,1)</f>
        <v>1</v>
      </c>
      <c r="AU190" s="67">
        <f ca="1">IF(AND(SUMIF(Capacity_Resource,$D190,'Critical resources (hide)'!BH$6:BH$105)+SUMIF(Capacity_Resource,$E190,'Critical resources (hide)'!BH$6:BH$105)+SUMIF(Capacity_Resource,$F190,'Critical resources (hide)'!BH$6:BH$105)&gt;0,$E$1=2),0,1)</f>
        <v>1</v>
      </c>
      <c r="AV190" s="67">
        <f ca="1">IF(AND(SUMIF(Capacity_Resource,$D190,'Critical resources (hide)'!BI$6:BI$105)+SUMIF(Capacity_Resource,$E190,'Critical resources (hide)'!BI$6:BI$105)+SUMIF(Capacity_Resource,$F190,'Critical resources (hide)'!BI$6:BI$105)&gt;0,$E$1=2),0,1)</f>
        <v>1</v>
      </c>
      <c r="AW190" s="67">
        <f ca="1">IF(AND(SUMIF(Capacity_Resource,$D190,'Critical resources (hide)'!BJ$6:BJ$105)+SUMIF(Capacity_Resource,$E190,'Critical resources (hide)'!BJ$6:BJ$105)+SUMIF(Capacity_Resource,$F190,'Critical resources (hide)'!BJ$6:BJ$105)&gt;0,$E$1=2),0,1)</f>
        <v>1</v>
      </c>
      <c r="AX190" s="67">
        <f ca="1">IF(AND(SUMIF(Capacity_Resource,$D190,'Critical resources (hide)'!BK$6:BK$105)+SUMIF(Capacity_Resource,$E190,'Critical resources (hide)'!BK$6:BK$105)+SUMIF(Capacity_Resource,$F190,'Critical resources (hide)'!BK$6:BK$105)&gt;0,$E$1=2),0,1)</f>
        <v>1</v>
      </c>
      <c r="AY190" s="67">
        <f ca="1">IF(AND(SUMIF(Capacity_Resource,$D190,'Critical resources (hide)'!BL$6:BL$105)+SUMIF(Capacity_Resource,$E190,'Critical resources (hide)'!BL$6:BL$105)+SUMIF(Capacity_Resource,$F190,'Critical resources (hide)'!BL$6:BL$105)&gt;0,$E$1=2),0,1)</f>
        <v>1</v>
      </c>
      <c r="AZ190" s="67">
        <f ca="1">IF(AND(SUMIF(Capacity_Resource,$D190,'Critical resources (hide)'!BM$6:BM$105)+SUMIF(Capacity_Resource,$E190,'Critical resources (hide)'!BM$6:BM$105)+SUMIF(Capacity_Resource,$F190,'Critical resources (hide)'!BM$6:BM$105)&gt;0,$E$1=2),0,1)</f>
        <v>1</v>
      </c>
      <c r="BA190" s="67">
        <f ca="1">IF(AND(SUMIF(Capacity_Resource,$D190,'Critical resources (hide)'!BN$6:BN$105)+SUMIF(Capacity_Resource,$E190,'Critical resources (hide)'!BN$6:BN$105)+SUMIF(Capacity_Resource,$F190,'Critical resources (hide)'!BN$6:BN$105)&gt;0,$E$1=2),0,1)</f>
        <v>1</v>
      </c>
      <c r="BB190" s="67">
        <f ca="1">IF(AND(SUMIF(Capacity_Resource,$D190,'Critical resources (hide)'!BO$6:BO$105)+SUMIF(Capacity_Resource,$E190,'Critical resources (hide)'!BO$6:BO$105)+SUMIF(Capacity_Resource,$F190,'Critical resources (hide)'!BO$6:BO$105)&gt;0,$E$1=2),0,1)</f>
        <v>1</v>
      </c>
      <c r="BC190" s="67">
        <f ca="1">IF(AND(SUMIF(Capacity_Resource,$D190,'Critical resources (hide)'!BP$6:BP$105)+SUMIF(Capacity_Resource,$E190,'Critical resources (hide)'!BP$6:BP$105)+SUMIF(Capacity_Resource,$F190,'Critical resources (hide)'!BP$6:BP$105)&gt;0,$E$1=2),0,1)</f>
        <v>1</v>
      </c>
      <c r="BD190" s="67">
        <f ca="1">IF(AND(SUMIF(Capacity_Resource,$D190,'Critical resources (hide)'!BQ$6:BQ$105)+SUMIF(Capacity_Resource,$E190,'Critical resources (hide)'!BQ$6:BQ$105)+SUMIF(Capacity_Resource,$F190,'Critical resources (hide)'!BQ$6:BQ$105)&gt;0,$E$1=2),0,1)</f>
        <v>1</v>
      </c>
      <c r="BE190" s="67">
        <f ca="1">IF(AND(SUMIF(Capacity_Resource,$D190,'Critical resources (hide)'!BR$6:BR$105)+SUMIF(Capacity_Resource,$E190,'Critical resources (hide)'!BR$6:BR$105)+SUMIF(Capacity_Resource,$F190,'Critical resources (hide)'!BR$6:BR$105)&gt;0,$E$1=2),0,1)</f>
        <v>1</v>
      </c>
      <c r="BF190" s="67">
        <f ca="1">IF(AND(SUMIF(Capacity_Resource,$D190,'Critical resources (hide)'!BS$6:BS$105)+SUMIF(Capacity_Resource,$E190,'Critical resources (hide)'!BS$6:BS$105)+SUMIF(Capacity_Resource,$F190,'Critical resources (hide)'!BS$6:BS$105)&gt;0,$E$1=2),0,1)</f>
        <v>1</v>
      </c>
      <c r="BG190" s="67">
        <f ca="1">IF(AND(SUMIF(Capacity_Resource,$D190,'Critical resources (hide)'!BT$6:BT$105)+SUMIF(Capacity_Resource,$E190,'Critical resources (hide)'!BT$6:BT$105)+SUMIF(Capacity_Resource,$F190,'Critical resources (hide)'!BT$6:BT$105)&gt;0,$E$1=2),0,1)</f>
        <v>1</v>
      </c>
      <c r="BH190" s="67">
        <f>IF(ROW(A79)&lt;=Capacity!$M$16,IF('Capacity summary'!$C$14="No",SUM(H190:BG190),'Capacity summary'!$E102),0)</f>
        <v>0</v>
      </c>
      <c r="BI190" s="67" t="str">
        <f>IF(BH190&gt;0,IF(BH190&lt;Capacity!Q95,Capacity!R95,Capacity!T95/'Capacity calculation (hide)'!BH190),"")</f>
        <v/>
      </c>
      <c r="BJ190" s="5"/>
      <c r="BK190" s="5">
        <f>IF($BI190&lt;&gt;"",IF('Capacity summary'!$C$14="Yes",IF(COUNTBLANK('Capacity summary'!$H102:$BG102)&lt;52,IF('Capacity summary'!H102&lt;&gt;"",IF(LOWER('Capacity summary'!H102)="x",$BI190*H190,VALUE('Capacity summary'!H102)),0),H190*$BI190),H190*$BI190),0)</f>
        <v>0</v>
      </c>
      <c r="BL190" s="5">
        <f>IF($BI190&lt;&gt;"",IF('Capacity summary'!$C$14="Yes",IF(COUNTBLANK('Capacity summary'!$H102:$BG102)&lt;52,IF('Capacity summary'!I102&lt;&gt;"",IF(LOWER('Capacity summary'!I102)="x",$BI190*I190,VALUE('Capacity summary'!I102)),0),I190*$BI190),I190*$BI190),0)</f>
        <v>0</v>
      </c>
      <c r="BM190" s="5">
        <f>IF($BI190&lt;&gt;"",IF('Capacity summary'!$C$14="Yes",IF(COUNTBLANK('Capacity summary'!$H102:$BG102)&lt;52,IF('Capacity summary'!J102&lt;&gt;"",IF(LOWER('Capacity summary'!J102)="x",$BI190*J190,VALUE('Capacity summary'!J102)),0),J190*$BI190),J190*$BI190),0)</f>
        <v>0</v>
      </c>
      <c r="BN190" s="5">
        <f>IF($BI190&lt;&gt;"",IF('Capacity summary'!$C$14="Yes",IF(COUNTBLANK('Capacity summary'!$H102:$BG102)&lt;52,IF('Capacity summary'!K102&lt;&gt;"",IF(LOWER('Capacity summary'!K102)="x",$BI190*K190,VALUE('Capacity summary'!K102)),0),K190*$BI190),K190*$BI190),0)</f>
        <v>0</v>
      </c>
      <c r="BO190" s="5">
        <f>IF($BI190&lt;&gt;"",IF('Capacity summary'!$C$14="Yes",IF(COUNTBLANK('Capacity summary'!$H102:$BG102)&lt;52,IF('Capacity summary'!L102&lt;&gt;"",IF(LOWER('Capacity summary'!L102)="x",$BI190*L190,VALUE('Capacity summary'!L102)),0),L190*$BI190),L190*$BI190),0)</f>
        <v>0</v>
      </c>
      <c r="BP190" s="5">
        <f>IF($BI190&lt;&gt;"",IF('Capacity summary'!$C$14="Yes",IF(COUNTBLANK('Capacity summary'!$H102:$BG102)&lt;52,IF('Capacity summary'!M102&lt;&gt;"",IF(LOWER('Capacity summary'!M102)="x",$BI190*M190,VALUE('Capacity summary'!M102)),0),M190*$BI190),M190*$BI190),0)</f>
        <v>0</v>
      </c>
      <c r="BQ190" s="5">
        <f>IF($BI190&lt;&gt;"",IF('Capacity summary'!$C$14="Yes",IF(COUNTBLANK('Capacity summary'!$H102:$BG102)&lt;52,IF('Capacity summary'!N102&lt;&gt;"",IF(LOWER('Capacity summary'!N102)="x",$BI190*N190,VALUE('Capacity summary'!N102)),0),N190*$BI190),N190*$BI190),0)</f>
        <v>0</v>
      </c>
      <c r="BR190" s="5">
        <f>IF($BI190&lt;&gt;"",IF('Capacity summary'!$C$14="Yes",IF(COUNTBLANK('Capacity summary'!$H102:$BG102)&lt;52,IF('Capacity summary'!O102&lt;&gt;"",IF(LOWER('Capacity summary'!O102)="x",$BI190*O190,VALUE('Capacity summary'!O102)),0),O190*$BI190),O190*$BI190),0)</f>
        <v>0</v>
      </c>
      <c r="BS190" s="5">
        <f>IF($BI190&lt;&gt;"",IF('Capacity summary'!$C$14="Yes",IF(COUNTBLANK('Capacity summary'!$H102:$BG102)&lt;52,IF('Capacity summary'!P102&lt;&gt;"",IF(LOWER('Capacity summary'!P102)="x",$BI190*P190,VALUE('Capacity summary'!P102)),0),P190*$BI190),P190*$BI190),0)</f>
        <v>0</v>
      </c>
      <c r="BT190" s="5">
        <f>IF($BI190&lt;&gt;"",IF('Capacity summary'!$C$14="Yes",IF(COUNTBLANK('Capacity summary'!$H102:$BG102)&lt;52,IF('Capacity summary'!Q102&lt;&gt;"",IF(LOWER('Capacity summary'!Q102)="x",$BI190*Q190,VALUE('Capacity summary'!Q102)),0),Q190*$BI190),Q190*$BI190),0)</f>
        <v>0</v>
      </c>
      <c r="BU190" s="5">
        <f>IF($BI190&lt;&gt;"",IF('Capacity summary'!$C$14="Yes",IF(COUNTBLANK('Capacity summary'!$H102:$BG102)&lt;52,IF('Capacity summary'!R102&lt;&gt;"",IF(LOWER('Capacity summary'!R102)="x",$BI190*R190,VALUE('Capacity summary'!R102)),0),R190*$BI190),R190*$BI190),0)</f>
        <v>0</v>
      </c>
      <c r="BV190" s="5">
        <f>IF($BI190&lt;&gt;"",IF('Capacity summary'!$C$14="Yes",IF(COUNTBLANK('Capacity summary'!$H102:$BG102)&lt;52,IF('Capacity summary'!S102&lt;&gt;"",IF(LOWER('Capacity summary'!S102)="x",$BI190*S190,VALUE('Capacity summary'!S102)),0),S190*$BI190),S190*$BI190),0)</f>
        <v>0</v>
      </c>
      <c r="BW190" s="5">
        <f>IF($BI190&lt;&gt;"",IF('Capacity summary'!$C$14="Yes",IF(COUNTBLANK('Capacity summary'!$H102:$BG102)&lt;52,IF('Capacity summary'!T102&lt;&gt;"",IF(LOWER('Capacity summary'!T102)="x",$BI190*T190,VALUE('Capacity summary'!T102)),0),T190*$BI190),T190*$BI190),0)</f>
        <v>0</v>
      </c>
      <c r="BX190" s="5">
        <f>IF($BI190&lt;&gt;"",IF('Capacity summary'!$C$14="Yes",IF(COUNTBLANK('Capacity summary'!$H102:$BG102)&lt;52,IF('Capacity summary'!U102&lt;&gt;"",IF(LOWER('Capacity summary'!U102)="x",$BI190*U190,VALUE('Capacity summary'!U102)),0),U190*$BI190),U190*$BI190),0)</f>
        <v>0</v>
      </c>
      <c r="BY190" s="5">
        <f>IF($BI190&lt;&gt;"",IF('Capacity summary'!$C$14="Yes",IF(COUNTBLANK('Capacity summary'!$H102:$BG102)&lt;52,IF('Capacity summary'!V102&lt;&gt;"",IF(LOWER('Capacity summary'!V102)="x",$BI190*V190,VALUE('Capacity summary'!V102)),0),V190*$BI190),V190*$BI190),0)</f>
        <v>0</v>
      </c>
      <c r="BZ190" s="5">
        <f>IF($BI190&lt;&gt;"",IF('Capacity summary'!$C$14="Yes",IF(COUNTBLANK('Capacity summary'!$H102:$BG102)&lt;52,IF('Capacity summary'!W102&lt;&gt;"",IF(LOWER('Capacity summary'!W102)="x",$BI190*W190,VALUE('Capacity summary'!W102)),0),W190*$BI190),W190*$BI190),0)</f>
        <v>0</v>
      </c>
      <c r="CA190" s="5">
        <f>IF($BI190&lt;&gt;"",IF('Capacity summary'!$C$14="Yes",IF(COUNTBLANK('Capacity summary'!$H102:$BG102)&lt;52,IF('Capacity summary'!X102&lt;&gt;"",IF(LOWER('Capacity summary'!X102)="x",$BI190*X190,VALUE('Capacity summary'!X102)),0),X190*$BI190),X190*$BI190),0)</f>
        <v>0</v>
      </c>
      <c r="CB190" s="5">
        <f>IF($BI190&lt;&gt;"",IF('Capacity summary'!$C$14="Yes",IF(COUNTBLANK('Capacity summary'!$H102:$BG102)&lt;52,IF('Capacity summary'!Y102&lt;&gt;"",IF(LOWER('Capacity summary'!Y102)="x",$BI190*Y190,VALUE('Capacity summary'!Y102)),0),Y190*$BI190),Y190*$BI190),0)</f>
        <v>0</v>
      </c>
      <c r="CC190" s="5">
        <f>IF($BI190&lt;&gt;"",IF('Capacity summary'!$C$14="Yes",IF(COUNTBLANK('Capacity summary'!$H102:$BG102)&lt;52,IF('Capacity summary'!Z102&lt;&gt;"",IF(LOWER('Capacity summary'!Z102)="x",$BI190*Z190,VALUE('Capacity summary'!Z102)),0),Z190*$BI190),Z190*$BI190),0)</f>
        <v>0</v>
      </c>
      <c r="CD190" s="5">
        <f>IF($BI190&lt;&gt;"",IF('Capacity summary'!$C$14="Yes",IF(COUNTBLANK('Capacity summary'!$H102:$BG102)&lt;52,IF('Capacity summary'!AA102&lt;&gt;"",IF(LOWER('Capacity summary'!AA102)="x",$BI190*AA190,VALUE('Capacity summary'!AA102)),0),AA190*$BI190),AA190*$BI190),0)</f>
        <v>0</v>
      </c>
      <c r="CE190" s="5">
        <f>IF($BI190&lt;&gt;"",IF('Capacity summary'!$C$14="Yes",IF(COUNTBLANK('Capacity summary'!$H102:$BG102)&lt;52,IF('Capacity summary'!AB102&lt;&gt;"",IF(LOWER('Capacity summary'!AB102)="x",$BI190*AB190,VALUE('Capacity summary'!AB102)),0),AB190*$BI190),AB190*$BI190),0)</f>
        <v>0</v>
      </c>
      <c r="CF190" s="5">
        <f>IF($BI190&lt;&gt;"",IF('Capacity summary'!$C$14="Yes",IF(COUNTBLANK('Capacity summary'!$H102:$BG102)&lt;52,IF('Capacity summary'!AC102&lt;&gt;"",IF(LOWER('Capacity summary'!AC102)="x",$BI190*AC190,VALUE('Capacity summary'!AC102)),0),AC190*$BI190),AC190*$BI190),0)</f>
        <v>0</v>
      </c>
      <c r="CG190" s="5">
        <f>IF($BI190&lt;&gt;"",IF('Capacity summary'!$C$14="Yes",IF(COUNTBLANK('Capacity summary'!$H102:$BG102)&lt;52,IF('Capacity summary'!AD102&lt;&gt;"",IF(LOWER('Capacity summary'!AD102)="x",$BI190*AD190,VALUE('Capacity summary'!AD102)),0),AD190*$BI190),AD190*$BI190),0)</f>
        <v>0</v>
      </c>
      <c r="CH190" s="5">
        <f>IF($BI190&lt;&gt;"",IF('Capacity summary'!$C$14="Yes",IF(COUNTBLANK('Capacity summary'!$H102:$BG102)&lt;52,IF('Capacity summary'!AE102&lt;&gt;"",IF(LOWER('Capacity summary'!AE102)="x",$BI190*AE190,VALUE('Capacity summary'!AE102)),0),AE190*$BI190),AE190*$BI190),0)</f>
        <v>0</v>
      </c>
      <c r="CI190" s="5">
        <f>IF($BI190&lt;&gt;"",IF('Capacity summary'!$C$14="Yes",IF(COUNTBLANK('Capacity summary'!$H102:$BG102)&lt;52,IF('Capacity summary'!AF102&lt;&gt;"",IF(LOWER('Capacity summary'!AF102)="x",$BI190*AF190,VALUE('Capacity summary'!AF102)),0),AF190*$BI190),AF190*$BI190),0)</f>
        <v>0</v>
      </c>
      <c r="CJ190" s="5">
        <f>IF($BI190&lt;&gt;"",IF('Capacity summary'!$C$14="Yes",IF(COUNTBLANK('Capacity summary'!$H102:$BG102)&lt;52,IF('Capacity summary'!AG102&lt;&gt;"",IF(LOWER('Capacity summary'!AG102)="x",$BI190*AG190,VALUE('Capacity summary'!AG102)),0),AG190*$BI190),AG190*$BI190),0)</f>
        <v>0</v>
      </c>
      <c r="CK190" s="5">
        <f>IF($BI190&lt;&gt;"",IF('Capacity summary'!$C$14="Yes",IF(COUNTBLANK('Capacity summary'!$H102:$BG102)&lt;52,IF('Capacity summary'!AH102&lt;&gt;"",IF(LOWER('Capacity summary'!AH102)="x",$BI190*AH190,VALUE('Capacity summary'!AH102)),0),AH190*$BI190),AH190*$BI190),0)</f>
        <v>0</v>
      </c>
      <c r="CL190" s="5">
        <f>IF($BI190&lt;&gt;"",IF('Capacity summary'!$C$14="Yes",IF(COUNTBLANK('Capacity summary'!$H102:$BG102)&lt;52,IF('Capacity summary'!AI102&lt;&gt;"",IF(LOWER('Capacity summary'!AI102)="x",$BI190*AI190,VALUE('Capacity summary'!AI102)),0),AI190*$BI190),AI190*$BI190),0)</f>
        <v>0</v>
      </c>
      <c r="CM190" s="5">
        <f>IF($BI190&lt;&gt;"",IF('Capacity summary'!$C$14="Yes",IF(COUNTBLANK('Capacity summary'!$H102:$BG102)&lt;52,IF('Capacity summary'!AJ102&lt;&gt;"",IF(LOWER('Capacity summary'!AJ102)="x",$BI190*AJ190,VALUE('Capacity summary'!AJ102)),0),AJ190*$BI190),AJ190*$BI190),0)</f>
        <v>0</v>
      </c>
      <c r="CN190" s="5">
        <f>IF($BI190&lt;&gt;"",IF('Capacity summary'!$C$14="Yes",IF(COUNTBLANK('Capacity summary'!$H102:$BG102)&lt;52,IF('Capacity summary'!AK102&lt;&gt;"",IF(LOWER('Capacity summary'!AK102)="x",$BI190*AK190,VALUE('Capacity summary'!AK102)),0),AK190*$BI190),AK190*$BI190),0)</f>
        <v>0</v>
      </c>
      <c r="CO190" s="5">
        <f>IF($BI190&lt;&gt;"",IF('Capacity summary'!$C$14="Yes",IF(COUNTBLANK('Capacity summary'!$H102:$BG102)&lt;52,IF('Capacity summary'!AL102&lt;&gt;"",IF(LOWER('Capacity summary'!AL102)="x",$BI190*AL190,VALUE('Capacity summary'!AL102)),0),AL190*$BI190),AL190*$BI190),0)</f>
        <v>0</v>
      </c>
      <c r="CP190" s="5">
        <f>IF($BI190&lt;&gt;"",IF('Capacity summary'!$C$14="Yes",IF(COUNTBLANK('Capacity summary'!$H102:$BG102)&lt;52,IF('Capacity summary'!AM102&lt;&gt;"",IF(LOWER('Capacity summary'!AM102)="x",$BI190*AM190,VALUE('Capacity summary'!AM102)),0),AM190*$BI190),AM190*$BI190),0)</f>
        <v>0</v>
      </c>
      <c r="CQ190" s="5">
        <f>IF($BI190&lt;&gt;"",IF('Capacity summary'!$C$14="Yes",IF(COUNTBLANK('Capacity summary'!$H102:$BG102)&lt;52,IF('Capacity summary'!AN102&lt;&gt;"",IF(LOWER('Capacity summary'!AN102)="x",$BI190*AN190,VALUE('Capacity summary'!AN102)),0),AN190*$BI190),AN190*$BI190),0)</f>
        <v>0</v>
      </c>
      <c r="CR190" s="5">
        <f>IF($BI190&lt;&gt;"",IF('Capacity summary'!$C$14="Yes",IF(COUNTBLANK('Capacity summary'!$H102:$BG102)&lt;52,IF('Capacity summary'!AO102&lt;&gt;"",IF(LOWER('Capacity summary'!AO102)="x",$BI190*AO190,VALUE('Capacity summary'!AO102)),0),AO190*$BI190),AO190*$BI190),0)</f>
        <v>0</v>
      </c>
      <c r="CS190" s="5">
        <f>IF($BI190&lt;&gt;"",IF('Capacity summary'!$C$14="Yes",IF(COUNTBLANK('Capacity summary'!$H102:$BG102)&lt;52,IF('Capacity summary'!AP102&lt;&gt;"",IF(LOWER('Capacity summary'!AP102)="x",$BI190*AP190,VALUE('Capacity summary'!AP102)),0),AP190*$BI190),AP190*$BI190),0)</f>
        <v>0</v>
      </c>
      <c r="CT190" s="5">
        <f>IF($BI190&lt;&gt;"",IF('Capacity summary'!$C$14="Yes",IF(COUNTBLANK('Capacity summary'!$H102:$BG102)&lt;52,IF('Capacity summary'!AQ102&lt;&gt;"",IF(LOWER('Capacity summary'!AQ102)="x",$BI190*AQ190,VALUE('Capacity summary'!AQ102)),0),AQ190*$BI190),AQ190*$BI190),0)</f>
        <v>0</v>
      </c>
      <c r="CU190" s="5">
        <f>IF($BI190&lt;&gt;"",IF('Capacity summary'!$C$14="Yes",IF(COUNTBLANK('Capacity summary'!$H102:$BG102)&lt;52,IF('Capacity summary'!AR102&lt;&gt;"",IF(LOWER('Capacity summary'!AR102)="x",$BI190*AR190,VALUE('Capacity summary'!AR102)),0),AR190*$BI190),AR190*$BI190),0)</f>
        <v>0</v>
      </c>
      <c r="CV190" s="5">
        <f>IF($BI190&lt;&gt;"",IF('Capacity summary'!$C$14="Yes",IF(COUNTBLANK('Capacity summary'!$H102:$BG102)&lt;52,IF('Capacity summary'!AS102&lt;&gt;"",IF(LOWER('Capacity summary'!AS102)="x",$BI190*AS190,VALUE('Capacity summary'!AS102)),0),AS190*$BI190),AS190*$BI190),0)</f>
        <v>0</v>
      </c>
      <c r="CW190" s="5">
        <f>IF($BI190&lt;&gt;"",IF('Capacity summary'!$C$14="Yes",IF(COUNTBLANK('Capacity summary'!$H102:$BG102)&lt;52,IF('Capacity summary'!AT102&lt;&gt;"",IF(LOWER('Capacity summary'!AT102)="x",$BI190*AT190,VALUE('Capacity summary'!AT102)),0),AT190*$BI190),AT190*$BI190),0)</f>
        <v>0</v>
      </c>
      <c r="CX190" s="5">
        <f>IF($BI190&lt;&gt;"",IF('Capacity summary'!$C$14="Yes",IF(COUNTBLANK('Capacity summary'!$H102:$BG102)&lt;52,IF('Capacity summary'!AU102&lt;&gt;"",IF(LOWER('Capacity summary'!AU102)="x",$BI190*AU190,VALUE('Capacity summary'!AU102)),0),AU190*$BI190),AU190*$BI190),0)</f>
        <v>0</v>
      </c>
      <c r="CY190" s="5">
        <f>IF($BI190&lt;&gt;"",IF('Capacity summary'!$C$14="Yes",IF(COUNTBLANK('Capacity summary'!$H102:$BG102)&lt;52,IF('Capacity summary'!AV102&lt;&gt;"",IF(LOWER('Capacity summary'!AV102)="x",$BI190*AV190,VALUE('Capacity summary'!AV102)),0),AV190*$BI190),AV190*$BI190),0)</f>
        <v>0</v>
      </c>
      <c r="CZ190" s="5">
        <f>IF($BI190&lt;&gt;"",IF('Capacity summary'!$C$14="Yes",IF(COUNTBLANK('Capacity summary'!$H102:$BG102)&lt;52,IF('Capacity summary'!AW102&lt;&gt;"",IF(LOWER('Capacity summary'!AW102)="x",$BI190*AW190,VALUE('Capacity summary'!AW102)),0),AW190*$BI190),AW190*$BI190),0)</f>
        <v>0</v>
      </c>
      <c r="DA190" s="5">
        <f>IF($BI190&lt;&gt;"",IF('Capacity summary'!$C$14="Yes",IF(COUNTBLANK('Capacity summary'!$H102:$BG102)&lt;52,IF('Capacity summary'!AX102&lt;&gt;"",IF(LOWER('Capacity summary'!AX102)="x",$BI190*AX190,VALUE('Capacity summary'!AX102)),0),AX190*$BI190),AX190*$BI190),0)</f>
        <v>0</v>
      </c>
      <c r="DB190" s="5">
        <f>IF($BI190&lt;&gt;"",IF('Capacity summary'!$C$14="Yes",IF(COUNTBLANK('Capacity summary'!$H102:$BG102)&lt;52,IF('Capacity summary'!AY102&lt;&gt;"",IF(LOWER('Capacity summary'!AY102)="x",$BI190*AY190,VALUE('Capacity summary'!AY102)),0),AY190*$BI190),AY190*$BI190),0)</f>
        <v>0</v>
      </c>
      <c r="DC190" s="5">
        <f>IF($BI190&lt;&gt;"",IF('Capacity summary'!$C$14="Yes",IF(COUNTBLANK('Capacity summary'!$H102:$BG102)&lt;52,IF('Capacity summary'!AZ102&lt;&gt;"",IF(LOWER('Capacity summary'!AZ102)="x",$BI190*AZ190,VALUE('Capacity summary'!AZ102)),0),AZ190*$BI190),AZ190*$BI190),0)</f>
        <v>0</v>
      </c>
      <c r="DD190" s="5">
        <f>IF($BI190&lt;&gt;"",IF('Capacity summary'!$C$14="Yes",IF(COUNTBLANK('Capacity summary'!$H102:$BG102)&lt;52,IF('Capacity summary'!BA102&lt;&gt;"",IF(LOWER('Capacity summary'!BA102)="x",$BI190*BA190,VALUE('Capacity summary'!BA102)),0),BA190*$BI190),BA190*$BI190),0)</f>
        <v>0</v>
      </c>
      <c r="DE190" s="5">
        <f>IF($BI190&lt;&gt;"",IF('Capacity summary'!$C$14="Yes",IF(COUNTBLANK('Capacity summary'!$H102:$BG102)&lt;52,IF('Capacity summary'!BB102&lt;&gt;"",IF(LOWER('Capacity summary'!BB102)="x",$BI190*BB190,VALUE('Capacity summary'!BB102)),0),BB190*$BI190),BB190*$BI190),0)</f>
        <v>0</v>
      </c>
      <c r="DF190" s="5">
        <f>IF($BI190&lt;&gt;"",IF('Capacity summary'!$C$14="Yes",IF(COUNTBLANK('Capacity summary'!$H102:$BG102)&lt;52,IF('Capacity summary'!BC102&lt;&gt;"",IF(LOWER('Capacity summary'!BC102)="x",$BI190*BC190,VALUE('Capacity summary'!BC102)),0),BC190*$BI190),BC190*$BI190),0)</f>
        <v>0</v>
      </c>
      <c r="DG190" s="5">
        <f>IF($BI190&lt;&gt;"",IF('Capacity summary'!$C$14="Yes",IF(COUNTBLANK('Capacity summary'!$H102:$BG102)&lt;52,IF('Capacity summary'!BD102&lt;&gt;"",IF(LOWER('Capacity summary'!BD102)="x",$BI190*BD190,VALUE('Capacity summary'!BD102)),0),BD190*$BI190),BD190*$BI190),0)</f>
        <v>0</v>
      </c>
      <c r="DH190" s="5">
        <f>IF($BI190&lt;&gt;"",IF('Capacity summary'!$C$14="Yes",IF(COUNTBLANK('Capacity summary'!$H102:$BG102)&lt;52,IF('Capacity summary'!BE102&lt;&gt;"",IF(LOWER('Capacity summary'!BE102)="x",$BI190*BE190,VALUE('Capacity summary'!BE102)),0),BE190*$BI190),BE190*$BI190),0)</f>
        <v>0</v>
      </c>
      <c r="DI190" s="5">
        <f>IF($BI190&lt;&gt;"",IF('Capacity summary'!$C$14="Yes",IF(COUNTBLANK('Capacity summary'!$H102:$BG102)&lt;52,IF('Capacity summary'!BF102&lt;&gt;"",IF(LOWER('Capacity summary'!BF102)="x",$BI190*BF190,VALUE('Capacity summary'!BF102)),0),BF190*$BI190),BF190*$BI190),0)</f>
        <v>0</v>
      </c>
      <c r="DJ190" s="5">
        <f>IF($BI190&lt;&gt;"",IF('Capacity summary'!$C$14="Yes",IF(COUNTBLANK('Capacity summary'!$H102:$BG102)&lt;52,IF('Capacity summary'!BG102&lt;&gt;"",IF(LOWER('Capacity summary'!BG102)="x",$BI190*BG190,VALUE('Capacity summary'!BG102)),0),BG190*$BI190),BG190*$BI190),0)</f>
        <v>0</v>
      </c>
      <c r="DK190" s="5">
        <f t="shared" ref="DK190" si="84">SUM(DK191:DK290)</f>
        <v>0</v>
      </c>
    </row>
    <row r="191" spans="3:115" x14ac:dyDescent="0.25">
      <c r="C191" s="67" t="str">
        <f>ROW(A80)&amp;". "&amp;Capacity!N96</f>
        <v xml:space="preserve">80. </v>
      </c>
      <c r="D191" s="67">
        <f>'Capacity setup'!C197</f>
        <v>0</v>
      </c>
      <c r="E191" s="67">
        <f>'Capacity setup'!D197</f>
        <v>0</v>
      </c>
      <c r="F191" s="67">
        <f>'Capacity setup'!E197</f>
        <v>0</v>
      </c>
      <c r="H191" s="67">
        <f ca="1">IF(AND(SUMIF(Capacity_Resource,$D191,'Critical resources (hide)'!U$6:U$105)+SUMIF(Capacity_Resource,$E191,'Critical resources (hide)'!U$6:U$105)+SUMIF(Capacity_Resource,$F191,'Critical resources (hide)'!U$6:U$105)&gt;0,$E$1=2),0,1)</f>
        <v>1</v>
      </c>
      <c r="I191" s="67">
        <f ca="1">IF(AND(SUMIF(Capacity_Resource,$D191,'Critical resources (hide)'!V$6:V$105)+SUMIF(Capacity_Resource,$E191,'Critical resources (hide)'!V$6:V$105)+SUMIF(Capacity_Resource,$F191,'Critical resources (hide)'!V$6:V$105)&gt;0,$E$1=2),0,1)</f>
        <v>1</v>
      </c>
      <c r="J191" s="67">
        <f ca="1">IF(AND(SUMIF(Capacity_Resource,$D191,'Critical resources (hide)'!W$6:W$105)+SUMIF(Capacity_Resource,$E191,'Critical resources (hide)'!W$6:W$105)+SUMIF(Capacity_Resource,$F191,'Critical resources (hide)'!W$6:W$105)&gt;0,$E$1=2),0,1)</f>
        <v>1</v>
      </c>
      <c r="K191" s="67">
        <f ca="1">IF(AND(SUMIF(Capacity_Resource,$D191,'Critical resources (hide)'!X$6:X$105)+SUMIF(Capacity_Resource,$E191,'Critical resources (hide)'!X$6:X$105)+SUMIF(Capacity_Resource,$F191,'Critical resources (hide)'!X$6:X$105)&gt;0,$E$1=2),0,1)</f>
        <v>1</v>
      </c>
      <c r="L191" s="67">
        <f ca="1">IF(AND(SUMIF(Capacity_Resource,$D191,'Critical resources (hide)'!Y$6:Y$105)+SUMIF(Capacity_Resource,$E191,'Critical resources (hide)'!Y$6:Y$105)+SUMIF(Capacity_Resource,$F191,'Critical resources (hide)'!Y$6:Y$105)&gt;0,$E$1=2),0,1)</f>
        <v>1</v>
      </c>
      <c r="M191" s="67">
        <f ca="1">IF(AND(SUMIF(Capacity_Resource,$D191,'Critical resources (hide)'!Z$6:Z$105)+SUMIF(Capacity_Resource,$E191,'Critical resources (hide)'!Z$6:Z$105)+SUMIF(Capacity_Resource,$F191,'Critical resources (hide)'!Z$6:Z$105)&gt;0,$E$1=2),0,1)</f>
        <v>1</v>
      </c>
      <c r="N191" s="67">
        <f ca="1">IF(AND(SUMIF(Capacity_Resource,$D191,'Critical resources (hide)'!AA$6:AA$105)+SUMIF(Capacity_Resource,$E191,'Critical resources (hide)'!AA$6:AA$105)+SUMIF(Capacity_Resource,$F191,'Critical resources (hide)'!AA$6:AA$105)&gt;0,$E$1=2),0,1)</f>
        <v>1</v>
      </c>
      <c r="O191" s="67">
        <f ca="1">IF(AND(SUMIF(Capacity_Resource,$D191,'Critical resources (hide)'!AB$6:AB$105)+SUMIF(Capacity_Resource,$E191,'Critical resources (hide)'!AB$6:AB$105)+SUMIF(Capacity_Resource,$F191,'Critical resources (hide)'!AB$6:AB$105)&gt;0,$E$1=2),0,1)</f>
        <v>1</v>
      </c>
      <c r="P191" s="67">
        <f ca="1">IF(AND(SUMIF(Capacity_Resource,$D191,'Critical resources (hide)'!AC$6:AC$105)+SUMIF(Capacity_Resource,$E191,'Critical resources (hide)'!AC$6:AC$105)+SUMIF(Capacity_Resource,$F191,'Critical resources (hide)'!AC$6:AC$105)&gt;0,$E$1=2),0,1)</f>
        <v>1</v>
      </c>
      <c r="Q191" s="67">
        <f ca="1">IF(AND(SUMIF(Capacity_Resource,$D191,'Critical resources (hide)'!AD$6:AD$105)+SUMIF(Capacity_Resource,$E191,'Critical resources (hide)'!AD$6:AD$105)+SUMIF(Capacity_Resource,$F191,'Critical resources (hide)'!AD$6:AD$105)&gt;0,$E$1=2),0,1)</f>
        <v>1</v>
      </c>
      <c r="R191" s="67">
        <f ca="1">IF(AND(SUMIF(Capacity_Resource,$D191,'Critical resources (hide)'!AE$6:AE$105)+SUMIF(Capacity_Resource,$E191,'Critical resources (hide)'!AE$6:AE$105)+SUMIF(Capacity_Resource,$F191,'Critical resources (hide)'!AE$6:AE$105)&gt;0,$E$1=2),0,1)</f>
        <v>1</v>
      </c>
      <c r="S191" s="67">
        <f ca="1">IF(AND(SUMIF(Capacity_Resource,$D191,'Critical resources (hide)'!AF$6:AF$105)+SUMIF(Capacity_Resource,$E191,'Critical resources (hide)'!AF$6:AF$105)+SUMIF(Capacity_Resource,$F191,'Critical resources (hide)'!AF$6:AF$105)&gt;0,$E$1=2),0,1)</f>
        <v>1</v>
      </c>
      <c r="T191" s="67">
        <f ca="1">IF(AND(SUMIF(Capacity_Resource,$D191,'Critical resources (hide)'!AG$6:AG$105)+SUMIF(Capacity_Resource,$E191,'Critical resources (hide)'!AG$6:AG$105)+SUMIF(Capacity_Resource,$F191,'Critical resources (hide)'!AG$6:AG$105)&gt;0,$E$1=2),0,1)</f>
        <v>1</v>
      </c>
      <c r="U191" s="67">
        <f ca="1">IF(AND(SUMIF(Capacity_Resource,$D191,'Critical resources (hide)'!AH$6:AH$105)+SUMIF(Capacity_Resource,$E191,'Critical resources (hide)'!AH$6:AH$105)+SUMIF(Capacity_Resource,$F191,'Critical resources (hide)'!AH$6:AH$105)&gt;0,$E$1=2),0,1)</f>
        <v>1</v>
      </c>
      <c r="V191" s="67">
        <f ca="1">IF(AND(SUMIF(Capacity_Resource,$D191,'Critical resources (hide)'!AI$6:AI$105)+SUMIF(Capacity_Resource,$E191,'Critical resources (hide)'!AI$6:AI$105)+SUMIF(Capacity_Resource,$F191,'Critical resources (hide)'!AI$6:AI$105)&gt;0,$E$1=2),0,1)</f>
        <v>1</v>
      </c>
      <c r="W191" s="67">
        <f ca="1">IF(AND(SUMIF(Capacity_Resource,$D191,'Critical resources (hide)'!AJ$6:AJ$105)+SUMIF(Capacity_Resource,$E191,'Critical resources (hide)'!AJ$6:AJ$105)+SUMIF(Capacity_Resource,$F191,'Critical resources (hide)'!AJ$6:AJ$105)&gt;0,$E$1=2),0,1)</f>
        <v>1</v>
      </c>
      <c r="X191" s="67">
        <f ca="1">IF(AND(SUMIF(Capacity_Resource,$D191,'Critical resources (hide)'!AK$6:AK$105)+SUMIF(Capacity_Resource,$E191,'Critical resources (hide)'!AK$6:AK$105)+SUMIF(Capacity_Resource,$F191,'Critical resources (hide)'!AK$6:AK$105)&gt;0,$E$1=2),0,1)</f>
        <v>1</v>
      </c>
      <c r="Y191" s="67">
        <f ca="1">IF(AND(SUMIF(Capacity_Resource,$D191,'Critical resources (hide)'!AL$6:AL$105)+SUMIF(Capacity_Resource,$E191,'Critical resources (hide)'!AL$6:AL$105)+SUMIF(Capacity_Resource,$F191,'Critical resources (hide)'!AL$6:AL$105)&gt;0,$E$1=2),0,1)</f>
        <v>1</v>
      </c>
      <c r="Z191" s="67">
        <f ca="1">IF(AND(SUMIF(Capacity_Resource,$D191,'Critical resources (hide)'!AM$6:AM$105)+SUMIF(Capacity_Resource,$E191,'Critical resources (hide)'!AM$6:AM$105)+SUMIF(Capacity_Resource,$F191,'Critical resources (hide)'!AM$6:AM$105)&gt;0,$E$1=2),0,1)</f>
        <v>1</v>
      </c>
      <c r="AA191" s="67">
        <f ca="1">IF(AND(SUMIF(Capacity_Resource,$D191,'Critical resources (hide)'!AN$6:AN$105)+SUMIF(Capacity_Resource,$E191,'Critical resources (hide)'!AN$6:AN$105)+SUMIF(Capacity_Resource,$F191,'Critical resources (hide)'!AN$6:AN$105)&gt;0,$E$1=2),0,1)</f>
        <v>1</v>
      </c>
      <c r="AB191" s="67">
        <f ca="1">IF(AND(SUMIF(Capacity_Resource,$D191,'Critical resources (hide)'!AO$6:AO$105)+SUMIF(Capacity_Resource,$E191,'Critical resources (hide)'!AO$6:AO$105)+SUMIF(Capacity_Resource,$F191,'Critical resources (hide)'!AO$6:AO$105)&gt;0,$E$1=2),0,1)</f>
        <v>1</v>
      </c>
      <c r="AC191" s="67">
        <f ca="1">IF(AND(SUMIF(Capacity_Resource,$D191,'Critical resources (hide)'!AP$6:AP$105)+SUMIF(Capacity_Resource,$E191,'Critical resources (hide)'!AP$6:AP$105)+SUMIF(Capacity_Resource,$F191,'Critical resources (hide)'!AP$6:AP$105)&gt;0,$E$1=2),0,1)</f>
        <v>1</v>
      </c>
      <c r="AD191" s="67">
        <f ca="1">IF(AND(SUMIF(Capacity_Resource,$D191,'Critical resources (hide)'!AQ$6:AQ$105)+SUMIF(Capacity_Resource,$E191,'Critical resources (hide)'!AQ$6:AQ$105)+SUMIF(Capacity_Resource,$F191,'Critical resources (hide)'!AQ$6:AQ$105)&gt;0,$E$1=2),0,1)</f>
        <v>1</v>
      </c>
      <c r="AE191" s="67">
        <f ca="1">IF(AND(SUMIF(Capacity_Resource,$D191,'Critical resources (hide)'!AR$6:AR$105)+SUMIF(Capacity_Resource,$E191,'Critical resources (hide)'!AR$6:AR$105)+SUMIF(Capacity_Resource,$F191,'Critical resources (hide)'!AR$6:AR$105)&gt;0,$E$1=2),0,1)</f>
        <v>1</v>
      </c>
      <c r="AF191" s="67">
        <f ca="1">IF(AND(SUMIF(Capacity_Resource,$D191,'Critical resources (hide)'!AS$6:AS$105)+SUMIF(Capacity_Resource,$E191,'Critical resources (hide)'!AS$6:AS$105)+SUMIF(Capacity_Resource,$F191,'Critical resources (hide)'!AS$6:AS$105)&gt;0,$E$1=2),0,1)</f>
        <v>1</v>
      </c>
      <c r="AG191" s="67">
        <f ca="1">IF(AND(SUMIF(Capacity_Resource,$D191,'Critical resources (hide)'!AT$6:AT$105)+SUMIF(Capacity_Resource,$E191,'Critical resources (hide)'!AT$6:AT$105)+SUMIF(Capacity_Resource,$F191,'Critical resources (hide)'!AT$6:AT$105)&gt;0,$E$1=2),0,1)</f>
        <v>1</v>
      </c>
      <c r="AH191" s="67">
        <f ca="1">IF(AND(SUMIF(Capacity_Resource,$D191,'Critical resources (hide)'!AU$6:AU$105)+SUMIF(Capacity_Resource,$E191,'Critical resources (hide)'!AU$6:AU$105)+SUMIF(Capacity_Resource,$F191,'Critical resources (hide)'!AU$6:AU$105)&gt;0,$E$1=2),0,1)</f>
        <v>1</v>
      </c>
      <c r="AI191" s="67">
        <f ca="1">IF(AND(SUMIF(Capacity_Resource,$D191,'Critical resources (hide)'!AV$6:AV$105)+SUMIF(Capacity_Resource,$E191,'Critical resources (hide)'!AV$6:AV$105)+SUMIF(Capacity_Resource,$F191,'Critical resources (hide)'!AV$6:AV$105)&gt;0,$E$1=2),0,1)</f>
        <v>1</v>
      </c>
      <c r="AJ191" s="67">
        <f ca="1">IF(AND(SUMIF(Capacity_Resource,$D191,'Critical resources (hide)'!AW$6:AW$105)+SUMIF(Capacity_Resource,$E191,'Critical resources (hide)'!AW$6:AW$105)+SUMIF(Capacity_Resource,$F191,'Critical resources (hide)'!AW$6:AW$105)&gt;0,$E$1=2),0,1)</f>
        <v>1</v>
      </c>
      <c r="AK191" s="67">
        <f ca="1">IF(AND(SUMIF(Capacity_Resource,$D191,'Critical resources (hide)'!AX$6:AX$105)+SUMIF(Capacity_Resource,$E191,'Critical resources (hide)'!AX$6:AX$105)+SUMIF(Capacity_Resource,$F191,'Critical resources (hide)'!AX$6:AX$105)&gt;0,$E$1=2),0,1)</f>
        <v>1</v>
      </c>
      <c r="AL191" s="67">
        <f ca="1">IF(AND(SUMIF(Capacity_Resource,$D191,'Critical resources (hide)'!AY$6:AY$105)+SUMIF(Capacity_Resource,$E191,'Critical resources (hide)'!AY$6:AY$105)+SUMIF(Capacity_Resource,$F191,'Critical resources (hide)'!AY$6:AY$105)&gt;0,$E$1=2),0,1)</f>
        <v>1</v>
      </c>
      <c r="AM191" s="67">
        <f ca="1">IF(AND(SUMIF(Capacity_Resource,$D191,'Critical resources (hide)'!AZ$6:AZ$105)+SUMIF(Capacity_Resource,$E191,'Critical resources (hide)'!AZ$6:AZ$105)+SUMIF(Capacity_Resource,$F191,'Critical resources (hide)'!AZ$6:AZ$105)&gt;0,$E$1=2),0,1)</f>
        <v>1</v>
      </c>
      <c r="AN191" s="67">
        <f ca="1">IF(AND(SUMIF(Capacity_Resource,$D191,'Critical resources (hide)'!BA$6:BA$105)+SUMIF(Capacity_Resource,$E191,'Critical resources (hide)'!BA$6:BA$105)+SUMIF(Capacity_Resource,$F191,'Critical resources (hide)'!BA$6:BA$105)&gt;0,$E$1=2),0,1)</f>
        <v>1</v>
      </c>
      <c r="AO191" s="67">
        <f ca="1">IF(AND(SUMIF(Capacity_Resource,$D191,'Critical resources (hide)'!BB$6:BB$105)+SUMIF(Capacity_Resource,$E191,'Critical resources (hide)'!BB$6:BB$105)+SUMIF(Capacity_Resource,$F191,'Critical resources (hide)'!BB$6:BB$105)&gt;0,$E$1=2),0,1)</f>
        <v>1</v>
      </c>
      <c r="AP191" s="67">
        <f ca="1">IF(AND(SUMIF(Capacity_Resource,$D191,'Critical resources (hide)'!BC$6:BC$105)+SUMIF(Capacity_Resource,$E191,'Critical resources (hide)'!BC$6:BC$105)+SUMIF(Capacity_Resource,$F191,'Critical resources (hide)'!BC$6:BC$105)&gt;0,$E$1=2),0,1)</f>
        <v>1</v>
      </c>
      <c r="AQ191" s="67">
        <f ca="1">IF(AND(SUMIF(Capacity_Resource,$D191,'Critical resources (hide)'!BD$6:BD$105)+SUMIF(Capacity_Resource,$E191,'Critical resources (hide)'!BD$6:BD$105)+SUMIF(Capacity_Resource,$F191,'Critical resources (hide)'!BD$6:BD$105)&gt;0,$E$1=2),0,1)</f>
        <v>1</v>
      </c>
      <c r="AR191" s="67">
        <f ca="1">IF(AND(SUMIF(Capacity_Resource,$D191,'Critical resources (hide)'!BE$6:BE$105)+SUMIF(Capacity_Resource,$E191,'Critical resources (hide)'!BE$6:BE$105)+SUMIF(Capacity_Resource,$F191,'Critical resources (hide)'!BE$6:BE$105)&gt;0,$E$1=2),0,1)</f>
        <v>1</v>
      </c>
      <c r="AS191" s="67">
        <f ca="1">IF(AND(SUMIF(Capacity_Resource,$D191,'Critical resources (hide)'!BF$6:BF$105)+SUMIF(Capacity_Resource,$E191,'Critical resources (hide)'!BF$6:BF$105)+SUMIF(Capacity_Resource,$F191,'Critical resources (hide)'!BF$6:BF$105)&gt;0,$E$1=2),0,1)</f>
        <v>1</v>
      </c>
      <c r="AT191" s="67">
        <f ca="1">IF(AND(SUMIF(Capacity_Resource,$D191,'Critical resources (hide)'!BG$6:BG$105)+SUMIF(Capacity_Resource,$E191,'Critical resources (hide)'!BG$6:BG$105)+SUMIF(Capacity_Resource,$F191,'Critical resources (hide)'!BG$6:BG$105)&gt;0,$E$1=2),0,1)</f>
        <v>1</v>
      </c>
      <c r="AU191" s="67">
        <f ca="1">IF(AND(SUMIF(Capacity_Resource,$D191,'Critical resources (hide)'!BH$6:BH$105)+SUMIF(Capacity_Resource,$E191,'Critical resources (hide)'!BH$6:BH$105)+SUMIF(Capacity_Resource,$F191,'Critical resources (hide)'!BH$6:BH$105)&gt;0,$E$1=2),0,1)</f>
        <v>1</v>
      </c>
      <c r="AV191" s="67">
        <f ca="1">IF(AND(SUMIF(Capacity_Resource,$D191,'Critical resources (hide)'!BI$6:BI$105)+SUMIF(Capacity_Resource,$E191,'Critical resources (hide)'!BI$6:BI$105)+SUMIF(Capacity_Resource,$F191,'Critical resources (hide)'!BI$6:BI$105)&gt;0,$E$1=2),0,1)</f>
        <v>1</v>
      </c>
      <c r="AW191" s="67">
        <f ca="1">IF(AND(SUMIF(Capacity_Resource,$D191,'Critical resources (hide)'!BJ$6:BJ$105)+SUMIF(Capacity_Resource,$E191,'Critical resources (hide)'!BJ$6:BJ$105)+SUMIF(Capacity_Resource,$F191,'Critical resources (hide)'!BJ$6:BJ$105)&gt;0,$E$1=2),0,1)</f>
        <v>1</v>
      </c>
      <c r="AX191" s="67">
        <f ca="1">IF(AND(SUMIF(Capacity_Resource,$D191,'Critical resources (hide)'!BK$6:BK$105)+SUMIF(Capacity_Resource,$E191,'Critical resources (hide)'!BK$6:BK$105)+SUMIF(Capacity_Resource,$F191,'Critical resources (hide)'!BK$6:BK$105)&gt;0,$E$1=2),0,1)</f>
        <v>1</v>
      </c>
      <c r="AY191" s="67">
        <f ca="1">IF(AND(SUMIF(Capacity_Resource,$D191,'Critical resources (hide)'!BL$6:BL$105)+SUMIF(Capacity_Resource,$E191,'Critical resources (hide)'!BL$6:BL$105)+SUMIF(Capacity_Resource,$F191,'Critical resources (hide)'!BL$6:BL$105)&gt;0,$E$1=2),0,1)</f>
        <v>1</v>
      </c>
      <c r="AZ191" s="67">
        <f ca="1">IF(AND(SUMIF(Capacity_Resource,$D191,'Critical resources (hide)'!BM$6:BM$105)+SUMIF(Capacity_Resource,$E191,'Critical resources (hide)'!BM$6:BM$105)+SUMIF(Capacity_Resource,$F191,'Critical resources (hide)'!BM$6:BM$105)&gt;0,$E$1=2),0,1)</f>
        <v>1</v>
      </c>
      <c r="BA191" s="67">
        <f ca="1">IF(AND(SUMIF(Capacity_Resource,$D191,'Critical resources (hide)'!BN$6:BN$105)+SUMIF(Capacity_Resource,$E191,'Critical resources (hide)'!BN$6:BN$105)+SUMIF(Capacity_Resource,$F191,'Critical resources (hide)'!BN$6:BN$105)&gt;0,$E$1=2),0,1)</f>
        <v>1</v>
      </c>
      <c r="BB191" s="67">
        <f ca="1">IF(AND(SUMIF(Capacity_Resource,$D191,'Critical resources (hide)'!BO$6:BO$105)+SUMIF(Capacity_Resource,$E191,'Critical resources (hide)'!BO$6:BO$105)+SUMIF(Capacity_Resource,$F191,'Critical resources (hide)'!BO$6:BO$105)&gt;0,$E$1=2),0,1)</f>
        <v>1</v>
      </c>
      <c r="BC191" s="67">
        <f ca="1">IF(AND(SUMIF(Capacity_Resource,$D191,'Critical resources (hide)'!BP$6:BP$105)+SUMIF(Capacity_Resource,$E191,'Critical resources (hide)'!BP$6:BP$105)+SUMIF(Capacity_Resource,$F191,'Critical resources (hide)'!BP$6:BP$105)&gt;0,$E$1=2),0,1)</f>
        <v>1</v>
      </c>
      <c r="BD191" s="67">
        <f ca="1">IF(AND(SUMIF(Capacity_Resource,$D191,'Critical resources (hide)'!BQ$6:BQ$105)+SUMIF(Capacity_Resource,$E191,'Critical resources (hide)'!BQ$6:BQ$105)+SUMIF(Capacity_Resource,$F191,'Critical resources (hide)'!BQ$6:BQ$105)&gt;0,$E$1=2),0,1)</f>
        <v>1</v>
      </c>
      <c r="BE191" s="67">
        <f ca="1">IF(AND(SUMIF(Capacity_Resource,$D191,'Critical resources (hide)'!BR$6:BR$105)+SUMIF(Capacity_Resource,$E191,'Critical resources (hide)'!BR$6:BR$105)+SUMIF(Capacity_Resource,$F191,'Critical resources (hide)'!BR$6:BR$105)&gt;0,$E$1=2),0,1)</f>
        <v>1</v>
      </c>
      <c r="BF191" s="67">
        <f ca="1">IF(AND(SUMIF(Capacity_Resource,$D191,'Critical resources (hide)'!BS$6:BS$105)+SUMIF(Capacity_Resource,$E191,'Critical resources (hide)'!BS$6:BS$105)+SUMIF(Capacity_Resource,$F191,'Critical resources (hide)'!BS$6:BS$105)&gt;0,$E$1=2),0,1)</f>
        <v>1</v>
      </c>
      <c r="BG191" s="67">
        <f ca="1">IF(AND(SUMIF(Capacity_Resource,$D191,'Critical resources (hide)'!BT$6:BT$105)+SUMIF(Capacity_Resource,$E191,'Critical resources (hide)'!BT$6:BT$105)+SUMIF(Capacity_Resource,$F191,'Critical resources (hide)'!BT$6:BT$105)&gt;0,$E$1=2),0,1)</f>
        <v>1</v>
      </c>
      <c r="BH191" s="67">
        <f>IF(ROW(A80)&lt;=Capacity!$M$16,IF('Capacity summary'!$C$14="No",SUM(H191:BG191),'Capacity summary'!$E103),0)</f>
        <v>0</v>
      </c>
      <c r="BI191" s="67" t="str">
        <f>IF(BH191&gt;0,IF(BH191&lt;Capacity!Q96,Capacity!R96,Capacity!T96/'Capacity calculation (hide)'!BH191),"")</f>
        <v/>
      </c>
      <c r="BJ191" s="5"/>
      <c r="BK191" s="5">
        <f>IF($BI191&lt;&gt;"",IF('Capacity summary'!$C$14="Yes",IF(COUNTBLANK('Capacity summary'!$H103:$BG103)&lt;52,IF('Capacity summary'!H103&lt;&gt;"",IF(LOWER('Capacity summary'!H103)="x",$BI191*H191,VALUE('Capacity summary'!H103)),0),H191*$BI191),H191*$BI191),0)</f>
        <v>0</v>
      </c>
      <c r="BL191" s="5">
        <f>IF($BI191&lt;&gt;"",IF('Capacity summary'!$C$14="Yes",IF(COUNTBLANK('Capacity summary'!$H103:$BG103)&lt;52,IF('Capacity summary'!I103&lt;&gt;"",IF(LOWER('Capacity summary'!I103)="x",$BI191*I191,VALUE('Capacity summary'!I103)),0),I191*$BI191),I191*$BI191),0)</f>
        <v>0</v>
      </c>
      <c r="BM191" s="5">
        <f>IF($BI191&lt;&gt;"",IF('Capacity summary'!$C$14="Yes",IF(COUNTBLANK('Capacity summary'!$H103:$BG103)&lt;52,IF('Capacity summary'!J103&lt;&gt;"",IF(LOWER('Capacity summary'!J103)="x",$BI191*J191,VALUE('Capacity summary'!J103)),0),J191*$BI191),J191*$BI191),0)</f>
        <v>0</v>
      </c>
      <c r="BN191" s="5">
        <f>IF($BI191&lt;&gt;"",IF('Capacity summary'!$C$14="Yes",IF(COUNTBLANK('Capacity summary'!$H103:$BG103)&lt;52,IF('Capacity summary'!K103&lt;&gt;"",IF(LOWER('Capacity summary'!K103)="x",$BI191*K191,VALUE('Capacity summary'!K103)),0),K191*$BI191),K191*$BI191),0)</f>
        <v>0</v>
      </c>
      <c r="BO191" s="5">
        <f>IF($BI191&lt;&gt;"",IF('Capacity summary'!$C$14="Yes",IF(COUNTBLANK('Capacity summary'!$H103:$BG103)&lt;52,IF('Capacity summary'!L103&lt;&gt;"",IF(LOWER('Capacity summary'!L103)="x",$BI191*L191,VALUE('Capacity summary'!L103)),0),L191*$BI191),L191*$BI191),0)</f>
        <v>0</v>
      </c>
      <c r="BP191" s="5">
        <f>IF($BI191&lt;&gt;"",IF('Capacity summary'!$C$14="Yes",IF(COUNTBLANK('Capacity summary'!$H103:$BG103)&lt;52,IF('Capacity summary'!M103&lt;&gt;"",IF(LOWER('Capacity summary'!M103)="x",$BI191*M191,VALUE('Capacity summary'!M103)),0),M191*$BI191),M191*$BI191),0)</f>
        <v>0</v>
      </c>
      <c r="BQ191" s="5">
        <f>IF($BI191&lt;&gt;"",IF('Capacity summary'!$C$14="Yes",IF(COUNTBLANK('Capacity summary'!$H103:$BG103)&lt;52,IF('Capacity summary'!N103&lt;&gt;"",IF(LOWER('Capacity summary'!N103)="x",$BI191*N191,VALUE('Capacity summary'!N103)),0),N191*$BI191),N191*$BI191),0)</f>
        <v>0</v>
      </c>
      <c r="BR191" s="5">
        <f>IF($BI191&lt;&gt;"",IF('Capacity summary'!$C$14="Yes",IF(COUNTBLANK('Capacity summary'!$H103:$BG103)&lt;52,IF('Capacity summary'!O103&lt;&gt;"",IF(LOWER('Capacity summary'!O103)="x",$BI191*O191,VALUE('Capacity summary'!O103)),0),O191*$BI191),O191*$BI191),0)</f>
        <v>0</v>
      </c>
      <c r="BS191" s="5">
        <f>IF($BI191&lt;&gt;"",IF('Capacity summary'!$C$14="Yes",IF(COUNTBLANK('Capacity summary'!$H103:$BG103)&lt;52,IF('Capacity summary'!P103&lt;&gt;"",IF(LOWER('Capacity summary'!P103)="x",$BI191*P191,VALUE('Capacity summary'!P103)),0),P191*$BI191),P191*$BI191),0)</f>
        <v>0</v>
      </c>
      <c r="BT191" s="5">
        <f>IF($BI191&lt;&gt;"",IF('Capacity summary'!$C$14="Yes",IF(COUNTBLANK('Capacity summary'!$H103:$BG103)&lt;52,IF('Capacity summary'!Q103&lt;&gt;"",IF(LOWER('Capacity summary'!Q103)="x",$BI191*Q191,VALUE('Capacity summary'!Q103)),0),Q191*$BI191),Q191*$BI191),0)</f>
        <v>0</v>
      </c>
      <c r="BU191" s="5">
        <f>IF($BI191&lt;&gt;"",IF('Capacity summary'!$C$14="Yes",IF(COUNTBLANK('Capacity summary'!$H103:$BG103)&lt;52,IF('Capacity summary'!R103&lt;&gt;"",IF(LOWER('Capacity summary'!R103)="x",$BI191*R191,VALUE('Capacity summary'!R103)),0),R191*$BI191),R191*$BI191),0)</f>
        <v>0</v>
      </c>
      <c r="BV191" s="5">
        <f>IF($BI191&lt;&gt;"",IF('Capacity summary'!$C$14="Yes",IF(COUNTBLANK('Capacity summary'!$H103:$BG103)&lt;52,IF('Capacity summary'!S103&lt;&gt;"",IF(LOWER('Capacity summary'!S103)="x",$BI191*S191,VALUE('Capacity summary'!S103)),0),S191*$BI191),S191*$BI191),0)</f>
        <v>0</v>
      </c>
      <c r="BW191" s="5">
        <f>IF($BI191&lt;&gt;"",IF('Capacity summary'!$C$14="Yes",IF(COUNTBLANK('Capacity summary'!$H103:$BG103)&lt;52,IF('Capacity summary'!T103&lt;&gt;"",IF(LOWER('Capacity summary'!T103)="x",$BI191*T191,VALUE('Capacity summary'!T103)),0),T191*$BI191),T191*$BI191),0)</f>
        <v>0</v>
      </c>
      <c r="BX191" s="5">
        <f>IF($BI191&lt;&gt;"",IF('Capacity summary'!$C$14="Yes",IF(COUNTBLANK('Capacity summary'!$H103:$BG103)&lt;52,IF('Capacity summary'!U103&lt;&gt;"",IF(LOWER('Capacity summary'!U103)="x",$BI191*U191,VALUE('Capacity summary'!U103)),0),U191*$BI191),U191*$BI191),0)</f>
        <v>0</v>
      </c>
      <c r="BY191" s="5">
        <f>IF($BI191&lt;&gt;"",IF('Capacity summary'!$C$14="Yes",IF(COUNTBLANK('Capacity summary'!$H103:$BG103)&lt;52,IF('Capacity summary'!V103&lt;&gt;"",IF(LOWER('Capacity summary'!V103)="x",$BI191*V191,VALUE('Capacity summary'!V103)),0),V191*$BI191),V191*$BI191),0)</f>
        <v>0</v>
      </c>
      <c r="BZ191" s="5">
        <f>IF($BI191&lt;&gt;"",IF('Capacity summary'!$C$14="Yes",IF(COUNTBLANK('Capacity summary'!$H103:$BG103)&lt;52,IF('Capacity summary'!W103&lt;&gt;"",IF(LOWER('Capacity summary'!W103)="x",$BI191*W191,VALUE('Capacity summary'!W103)),0),W191*$BI191),W191*$BI191),0)</f>
        <v>0</v>
      </c>
      <c r="CA191" s="5">
        <f>IF($BI191&lt;&gt;"",IF('Capacity summary'!$C$14="Yes",IF(COUNTBLANK('Capacity summary'!$H103:$BG103)&lt;52,IF('Capacity summary'!X103&lt;&gt;"",IF(LOWER('Capacity summary'!X103)="x",$BI191*X191,VALUE('Capacity summary'!X103)),0),X191*$BI191),X191*$BI191),0)</f>
        <v>0</v>
      </c>
      <c r="CB191" s="5">
        <f>IF($BI191&lt;&gt;"",IF('Capacity summary'!$C$14="Yes",IF(COUNTBLANK('Capacity summary'!$H103:$BG103)&lt;52,IF('Capacity summary'!Y103&lt;&gt;"",IF(LOWER('Capacity summary'!Y103)="x",$BI191*Y191,VALUE('Capacity summary'!Y103)),0),Y191*$BI191),Y191*$BI191),0)</f>
        <v>0</v>
      </c>
      <c r="CC191" s="5">
        <f>IF($BI191&lt;&gt;"",IF('Capacity summary'!$C$14="Yes",IF(COUNTBLANK('Capacity summary'!$H103:$BG103)&lt;52,IF('Capacity summary'!Z103&lt;&gt;"",IF(LOWER('Capacity summary'!Z103)="x",$BI191*Z191,VALUE('Capacity summary'!Z103)),0),Z191*$BI191),Z191*$BI191),0)</f>
        <v>0</v>
      </c>
      <c r="CD191" s="5">
        <f>IF($BI191&lt;&gt;"",IF('Capacity summary'!$C$14="Yes",IF(COUNTBLANK('Capacity summary'!$H103:$BG103)&lt;52,IF('Capacity summary'!AA103&lt;&gt;"",IF(LOWER('Capacity summary'!AA103)="x",$BI191*AA191,VALUE('Capacity summary'!AA103)),0),AA191*$BI191),AA191*$BI191),0)</f>
        <v>0</v>
      </c>
      <c r="CE191" s="5">
        <f>IF($BI191&lt;&gt;"",IF('Capacity summary'!$C$14="Yes",IF(COUNTBLANK('Capacity summary'!$H103:$BG103)&lt;52,IF('Capacity summary'!AB103&lt;&gt;"",IF(LOWER('Capacity summary'!AB103)="x",$BI191*AB191,VALUE('Capacity summary'!AB103)),0),AB191*$BI191),AB191*$BI191),0)</f>
        <v>0</v>
      </c>
      <c r="CF191" s="5">
        <f>IF($BI191&lt;&gt;"",IF('Capacity summary'!$C$14="Yes",IF(COUNTBLANK('Capacity summary'!$H103:$BG103)&lt;52,IF('Capacity summary'!AC103&lt;&gt;"",IF(LOWER('Capacity summary'!AC103)="x",$BI191*AC191,VALUE('Capacity summary'!AC103)),0),AC191*$BI191),AC191*$BI191),0)</f>
        <v>0</v>
      </c>
      <c r="CG191" s="5">
        <f>IF($BI191&lt;&gt;"",IF('Capacity summary'!$C$14="Yes",IF(COUNTBLANK('Capacity summary'!$H103:$BG103)&lt;52,IF('Capacity summary'!AD103&lt;&gt;"",IF(LOWER('Capacity summary'!AD103)="x",$BI191*AD191,VALUE('Capacity summary'!AD103)),0),AD191*$BI191),AD191*$BI191),0)</f>
        <v>0</v>
      </c>
      <c r="CH191" s="5">
        <f>IF($BI191&lt;&gt;"",IF('Capacity summary'!$C$14="Yes",IF(COUNTBLANK('Capacity summary'!$H103:$BG103)&lt;52,IF('Capacity summary'!AE103&lt;&gt;"",IF(LOWER('Capacity summary'!AE103)="x",$BI191*AE191,VALUE('Capacity summary'!AE103)),0),AE191*$BI191),AE191*$BI191),0)</f>
        <v>0</v>
      </c>
      <c r="CI191" s="5">
        <f>IF($BI191&lt;&gt;"",IF('Capacity summary'!$C$14="Yes",IF(COUNTBLANK('Capacity summary'!$H103:$BG103)&lt;52,IF('Capacity summary'!AF103&lt;&gt;"",IF(LOWER('Capacity summary'!AF103)="x",$BI191*AF191,VALUE('Capacity summary'!AF103)),0),AF191*$BI191),AF191*$BI191),0)</f>
        <v>0</v>
      </c>
      <c r="CJ191" s="5">
        <f>IF($BI191&lt;&gt;"",IF('Capacity summary'!$C$14="Yes",IF(COUNTBLANK('Capacity summary'!$H103:$BG103)&lt;52,IF('Capacity summary'!AG103&lt;&gt;"",IF(LOWER('Capacity summary'!AG103)="x",$BI191*AG191,VALUE('Capacity summary'!AG103)),0),AG191*$BI191),AG191*$BI191),0)</f>
        <v>0</v>
      </c>
      <c r="CK191" s="5">
        <f>IF($BI191&lt;&gt;"",IF('Capacity summary'!$C$14="Yes",IF(COUNTBLANK('Capacity summary'!$H103:$BG103)&lt;52,IF('Capacity summary'!AH103&lt;&gt;"",IF(LOWER('Capacity summary'!AH103)="x",$BI191*AH191,VALUE('Capacity summary'!AH103)),0),AH191*$BI191),AH191*$BI191),0)</f>
        <v>0</v>
      </c>
      <c r="CL191" s="5">
        <f>IF($BI191&lt;&gt;"",IF('Capacity summary'!$C$14="Yes",IF(COUNTBLANK('Capacity summary'!$H103:$BG103)&lt;52,IF('Capacity summary'!AI103&lt;&gt;"",IF(LOWER('Capacity summary'!AI103)="x",$BI191*AI191,VALUE('Capacity summary'!AI103)),0),AI191*$BI191),AI191*$BI191),0)</f>
        <v>0</v>
      </c>
      <c r="CM191" s="5">
        <f>IF($BI191&lt;&gt;"",IF('Capacity summary'!$C$14="Yes",IF(COUNTBLANK('Capacity summary'!$H103:$BG103)&lt;52,IF('Capacity summary'!AJ103&lt;&gt;"",IF(LOWER('Capacity summary'!AJ103)="x",$BI191*AJ191,VALUE('Capacity summary'!AJ103)),0),AJ191*$BI191),AJ191*$BI191),0)</f>
        <v>0</v>
      </c>
      <c r="CN191" s="5">
        <f>IF($BI191&lt;&gt;"",IF('Capacity summary'!$C$14="Yes",IF(COUNTBLANK('Capacity summary'!$H103:$BG103)&lt;52,IF('Capacity summary'!AK103&lt;&gt;"",IF(LOWER('Capacity summary'!AK103)="x",$BI191*AK191,VALUE('Capacity summary'!AK103)),0),AK191*$BI191),AK191*$BI191),0)</f>
        <v>0</v>
      </c>
      <c r="CO191" s="5">
        <f>IF($BI191&lt;&gt;"",IF('Capacity summary'!$C$14="Yes",IF(COUNTBLANK('Capacity summary'!$H103:$BG103)&lt;52,IF('Capacity summary'!AL103&lt;&gt;"",IF(LOWER('Capacity summary'!AL103)="x",$BI191*AL191,VALUE('Capacity summary'!AL103)),0),AL191*$BI191),AL191*$BI191),0)</f>
        <v>0</v>
      </c>
      <c r="CP191" s="5">
        <f>IF($BI191&lt;&gt;"",IF('Capacity summary'!$C$14="Yes",IF(COUNTBLANK('Capacity summary'!$H103:$BG103)&lt;52,IF('Capacity summary'!AM103&lt;&gt;"",IF(LOWER('Capacity summary'!AM103)="x",$BI191*AM191,VALUE('Capacity summary'!AM103)),0),AM191*$BI191),AM191*$BI191),0)</f>
        <v>0</v>
      </c>
      <c r="CQ191" s="5">
        <f>IF($BI191&lt;&gt;"",IF('Capacity summary'!$C$14="Yes",IF(COUNTBLANK('Capacity summary'!$H103:$BG103)&lt;52,IF('Capacity summary'!AN103&lt;&gt;"",IF(LOWER('Capacity summary'!AN103)="x",$BI191*AN191,VALUE('Capacity summary'!AN103)),0),AN191*$BI191),AN191*$BI191),0)</f>
        <v>0</v>
      </c>
      <c r="CR191" s="5">
        <f>IF($BI191&lt;&gt;"",IF('Capacity summary'!$C$14="Yes",IF(COUNTBLANK('Capacity summary'!$H103:$BG103)&lt;52,IF('Capacity summary'!AO103&lt;&gt;"",IF(LOWER('Capacity summary'!AO103)="x",$BI191*AO191,VALUE('Capacity summary'!AO103)),0),AO191*$BI191),AO191*$BI191),0)</f>
        <v>0</v>
      </c>
      <c r="CS191" s="5">
        <f>IF($BI191&lt;&gt;"",IF('Capacity summary'!$C$14="Yes",IF(COUNTBLANK('Capacity summary'!$H103:$BG103)&lt;52,IF('Capacity summary'!AP103&lt;&gt;"",IF(LOWER('Capacity summary'!AP103)="x",$BI191*AP191,VALUE('Capacity summary'!AP103)),0),AP191*$BI191),AP191*$BI191),0)</f>
        <v>0</v>
      </c>
      <c r="CT191" s="5">
        <f>IF($BI191&lt;&gt;"",IF('Capacity summary'!$C$14="Yes",IF(COUNTBLANK('Capacity summary'!$H103:$BG103)&lt;52,IF('Capacity summary'!AQ103&lt;&gt;"",IF(LOWER('Capacity summary'!AQ103)="x",$BI191*AQ191,VALUE('Capacity summary'!AQ103)),0),AQ191*$BI191),AQ191*$BI191),0)</f>
        <v>0</v>
      </c>
      <c r="CU191" s="5">
        <f>IF($BI191&lt;&gt;"",IF('Capacity summary'!$C$14="Yes",IF(COUNTBLANK('Capacity summary'!$H103:$BG103)&lt;52,IF('Capacity summary'!AR103&lt;&gt;"",IF(LOWER('Capacity summary'!AR103)="x",$BI191*AR191,VALUE('Capacity summary'!AR103)),0),AR191*$BI191),AR191*$BI191),0)</f>
        <v>0</v>
      </c>
      <c r="CV191" s="5">
        <f>IF($BI191&lt;&gt;"",IF('Capacity summary'!$C$14="Yes",IF(COUNTBLANK('Capacity summary'!$H103:$BG103)&lt;52,IF('Capacity summary'!AS103&lt;&gt;"",IF(LOWER('Capacity summary'!AS103)="x",$BI191*AS191,VALUE('Capacity summary'!AS103)),0),AS191*$BI191),AS191*$BI191),0)</f>
        <v>0</v>
      </c>
      <c r="CW191" s="5">
        <f>IF($BI191&lt;&gt;"",IF('Capacity summary'!$C$14="Yes",IF(COUNTBLANK('Capacity summary'!$H103:$BG103)&lt;52,IF('Capacity summary'!AT103&lt;&gt;"",IF(LOWER('Capacity summary'!AT103)="x",$BI191*AT191,VALUE('Capacity summary'!AT103)),0),AT191*$BI191),AT191*$BI191),0)</f>
        <v>0</v>
      </c>
      <c r="CX191" s="5">
        <f>IF($BI191&lt;&gt;"",IF('Capacity summary'!$C$14="Yes",IF(COUNTBLANK('Capacity summary'!$H103:$BG103)&lt;52,IF('Capacity summary'!AU103&lt;&gt;"",IF(LOWER('Capacity summary'!AU103)="x",$BI191*AU191,VALUE('Capacity summary'!AU103)),0),AU191*$BI191),AU191*$BI191),0)</f>
        <v>0</v>
      </c>
      <c r="CY191" s="5">
        <f>IF($BI191&lt;&gt;"",IF('Capacity summary'!$C$14="Yes",IF(COUNTBLANK('Capacity summary'!$H103:$BG103)&lt;52,IF('Capacity summary'!AV103&lt;&gt;"",IF(LOWER('Capacity summary'!AV103)="x",$BI191*AV191,VALUE('Capacity summary'!AV103)),0),AV191*$BI191),AV191*$BI191),0)</f>
        <v>0</v>
      </c>
      <c r="CZ191" s="5">
        <f>IF($BI191&lt;&gt;"",IF('Capacity summary'!$C$14="Yes",IF(COUNTBLANK('Capacity summary'!$H103:$BG103)&lt;52,IF('Capacity summary'!AW103&lt;&gt;"",IF(LOWER('Capacity summary'!AW103)="x",$BI191*AW191,VALUE('Capacity summary'!AW103)),0),AW191*$BI191),AW191*$BI191),0)</f>
        <v>0</v>
      </c>
      <c r="DA191" s="5">
        <f>IF($BI191&lt;&gt;"",IF('Capacity summary'!$C$14="Yes",IF(COUNTBLANK('Capacity summary'!$H103:$BG103)&lt;52,IF('Capacity summary'!AX103&lt;&gt;"",IF(LOWER('Capacity summary'!AX103)="x",$BI191*AX191,VALUE('Capacity summary'!AX103)),0),AX191*$BI191),AX191*$BI191),0)</f>
        <v>0</v>
      </c>
      <c r="DB191" s="5">
        <f>IF($BI191&lt;&gt;"",IF('Capacity summary'!$C$14="Yes",IF(COUNTBLANK('Capacity summary'!$H103:$BG103)&lt;52,IF('Capacity summary'!AY103&lt;&gt;"",IF(LOWER('Capacity summary'!AY103)="x",$BI191*AY191,VALUE('Capacity summary'!AY103)),0),AY191*$BI191),AY191*$BI191),0)</f>
        <v>0</v>
      </c>
      <c r="DC191" s="5">
        <f>IF($BI191&lt;&gt;"",IF('Capacity summary'!$C$14="Yes",IF(COUNTBLANK('Capacity summary'!$H103:$BG103)&lt;52,IF('Capacity summary'!AZ103&lt;&gt;"",IF(LOWER('Capacity summary'!AZ103)="x",$BI191*AZ191,VALUE('Capacity summary'!AZ103)),0),AZ191*$BI191),AZ191*$BI191),0)</f>
        <v>0</v>
      </c>
      <c r="DD191" s="5">
        <f>IF($BI191&lt;&gt;"",IF('Capacity summary'!$C$14="Yes",IF(COUNTBLANK('Capacity summary'!$H103:$BG103)&lt;52,IF('Capacity summary'!BA103&lt;&gt;"",IF(LOWER('Capacity summary'!BA103)="x",$BI191*BA191,VALUE('Capacity summary'!BA103)),0),BA191*$BI191),BA191*$BI191),0)</f>
        <v>0</v>
      </c>
      <c r="DE191" s="5">
        <f>IF($BI191&lt;&gt;"",IF('Capacity summary'!$C$14="Yes",IF(COUNTBLANK('Capacity summary'!$H103:$BG103)&lt;52,IF('Capacity summary'!BB103&lt;&gt;"",IF(LOWER('Capacity summary'!BB103)="x",$BI191*BB191,VALUE('Capacity summary'!BB103)),0),BB191*$BI191),BB191*$BI191),0)</f>
        <v>0</v>
      </c>
      <c r="DF191" s="5">
        <f>IF($BI191&lt;&gt;"",IF('Capacity summary'!$C$14="Yes",IF(COUNTBLANK('Capacity summary'!$H103:$BG103)&lt;52,IF('Capacity summary'!BC103&lt;&gt;"",IF(LOWER('Capacity summary'!BC103)="x",$BI191*BC191,VALUE('Capacity summary'!BC103)),0),BC191*$BI191),BC191*$BI191),0)</f>
        <v>0</v>
      </c>
      <c r="DG191" s="5">
        <f>IF($BI191&lt;&gt;"",IF('Capacity summary'!$C$14="Yes",IF(COUNTBLANK('Capacity summary'!$H103:$BG103)&lt;52,IF('Capacity summary'!BD103&lt;&gt;"",IF(LOWER('Capacity summary'!BD103)="x",$BI191*BD191,VALUE('Capacity summary'!BD103)),0),BD191*$BI191),BD191*$BI191),0)</f>
        <v>0</v>
      </c>
      <c r="DH191" s="5">
        <f>IF($BI191&lt;&gt;"",IF('Capacity summary'!$C$14="Yes",IF(COUNTBLANK('Capacity summary'!$H103:$BG103)&lt;52,IF('Capacity summary'!BE103&lt;&gt;"",IF(LOWER('Capacity summary'!BE103)="x",$BI191*BE191,VALUE('Capacity summary'!BE103)),0),BE191*$BI191),BE191*$BI191),0)</f>
        <v>0</v>
      </c>
      <c r="DI191" s="5">
        <f>IF($BI191&lt;&gt;"",IF('Capacity summary'!$C$14="Yes",IF(COUNTBLANK('Capacity summary'!$H103:$BG103)&lt;52,IF('Capacity summary'!BF103&lt;&gt;"",IF(LOWER('Capacity summary'!BF103)="x",$BI191*BF191,VALUE('Capacity summary'!BF103)),0),BF191*$BI191),BF191*$BI191),0)</f>
        <v>0</v>
      </c>
      <c r="DJ191" s="5">
        <f>IF($BI191&lt;&gt;"",IF('Capacity summary'!$C$14="Yes",IF(COUNTBLANK('Capacity summary'!$H103:$BG103)&lt;52,IF('Capacity summary'!BG103&lt;&gt;"",IF(LOWER('Capacity summary'!BG103)="x",$BI191*BG191,VALUE('Capacity summary'!BG103)),0),BG191*$BI191),BG191*$BI191),0)</f>
        <v>0</v>
      </c>
      <c r="DK191" s="5">
        <f t="shared" ref="DK191" si="85">SUM(DK192:DK291)</f>
        <v>0</v>
      </c>
    </row>
    <row r="192" spans="3:115" x14ac:dyDescent="0.25">
      <c r="C192" s="67" t="str">
        <f>ROW(A81)&amp;". "&amp;Capacity!N97</f>
        <v xml:space="preserve">81. </v>
      </c>
      <c r="D192" s="67">
        <f>'Capacity setup'!C198</f>
        <v>0</v>
      </c>
      <c r="E192" s="67">
        <f>'Capacity setup'!D198</f>
        <v>0</v>
      </c>
      <c r="F192" s="67">
        <f>'Capacity setup'!E198</f>
        <v>0</v>
      </c>
      <c r="H192" s="67">
        <f ca="1">IF(AND(SUMIF(Capacity_Resource,$D192,'Critical resources (hide)'!U$6:U$105)+SUMIF(Capacity_Resource,$E192,'Critical resources (hide)'!U$6:U$105)+SUMIF(Capacity_Resource,$F192,'Critical resources (hide)'!U$6:U$105)&gt;0,$E$1=2),0,1)</f>
        <v>1</v>
      </c>
      <c r="I192" s="67">
        <f ca="1">IF(AND(SUMIF(Capacity_Resource,$D192,'Critical resources (hide)'!V$6:V$105)+SUMIF(Capacity_Resource,$E192,'Critical resources (hide)'!V$6:V$105)+SUMIF(Capacity_Resource,$F192,'Critical resources (hide)'!V$6:V$105)&gt;0,$E$1=2),0,1)</f>
        <v>1</v>
      </c>
      <c r="J192" s="67">
        <f ca="1">IF(AND(SUMIF(Capacity_Resource,$D192,'Critical resources (hide)'!W$6:W$105)+SUMIF(Capacity_Resource,$E192,'Critical resources (hide)'!W$6:W$105)+SUMIF(Capacity_Resource,$F192,'Critical resources (hide)'!W$6:W$105)&gt;0,$E$1=2),0,1)</f>
        <v>1</v>
      </c>
      <c r="K192" s="67">
        <f ca="1">IF(AND(SUMIF(Capacity_Resource,$D192,'Critical resources (hide)'!X$6:X$105)+SUMIF(Capacity_Resource,$E192,'Critical resources (hide)'!X$6:X$105)+SUMIF(Capacity_Resource,$F192,'Critical resources (hide)'!X$6:X$105)&gt;0,$E$1=2),0,1)</f>
        <v>1</v>
      </c>
      <c r="L192" s="67">
        <f ca="1">IF(AND(SUMIF(Capacity_Resource,$D192,'Critical resources (hide)'!Y$6:Y$105)+SUMIF(Capacity_Resource,$E192,'Critical resources (hide)'!Y$6:Y$105)+SUMIF(Capacity_Resource,$F192,'Critical resources (hide)'!Y$6:Y$105)&gt;0,$E$1=2),0,1)</f>
        <v>1</v>
      </c>
      <c r="M192" s="67">
        <f ca="1">IF(AND(SUMIF(Capacity_Resource,$D192,'Critical resources (hide)'!Z$6:Z$105)+SUMIF(Capacity_Resource,$E192,'Critical resources (hide)'!Z$6:Z$105)+SUMIF(Capacity_Resource,$F192,'Critical resources (hide)'!Z$6:Z$105)&gt;0,$E$1=2),0,1)</f>
        <v>1</v>
      </c>
      <c r="N192" s="67">
        <f ca="1">IF(AND(SUMIF(Capacity_Resource,$D192,'Critical resources (hide)'!AA$6:AA$105)+SUMIF(Capacity_Resource,$E192,'Critical resources (hide)'!AA$6:AA$105)+SUMIF(Capacity_Resource,$F192,'Critical resources (hide)'!AA$6:AA$105)&gt;0,$E$1=2),0,1)</f>
        <v>1</v>
      </c>
      <c r="O192" s="67">
        <f ca="1">IF(AND(SUMIF(Capacity_Resource,$D192,'Critical resources (hide)'!AB$6:AB$105)+SUMIF(Capacity_Resource,$E192,'Critical resources (hide)'!AB$6:AB$105)+SUMIF(Capacity_Resource,$F192,'Critical resources (hide)'!AB$6:AB$105)&gt;0,$E$1=2),0,1)</f>
        <v>1</v>
      </c>
      <c r="P192" s="67">
        <f ca="1">IF(AND(SUMIF(Capacity_Resource,$D192,'Critical resources (hide)'!AC$6:AC$105)+SUMIF(Capacity_Resource,$E192,'Critical resources (hide)'!AC$6:AC$105)+SUMIF(Capacity_Resource,$F192,'Critical resources (hide)'!AC$6:AC$105)&gt;0,$E$1=2),0,1)</f>
        <v>1</v>
      </c>
      <c r="Q192" s="67">
        <f ca="1">IF(AND(SUMIF(Capacity_Resource,$D192,'Critical resources (hide)'!AD$6:AD$105)+SUMIF(Capacity_Resource,$E192,'Critical resources (hide)'!AD$6:AD$105)+SUMIF(Capacity_Resource,$F192,'Critical resources (hide)'!AD$6:AD$105)&gt;0,$E$1=2),0,1)</f>
        <v>1</v>
      </c>
      <c r="R192" s="67">
        <f ca="1">IF(AND(SUMIF(Capacity_Resource,$D192,'Critical resources (hide)'!AE$6:AE$105)+SUMIF(Capacity_Resource,$E192,'Critical resources (hide)'!AE$6:AE$105)+SUMIF(Capacity_Resource,$F192,'Critical resources (hide)'!AE$6:AE$105)&gt;0,$E$1=2),0,1)</f>
        <v>1</v>
      </c>
      <c r="S192" s="67">
        <f ca="1">IF(AND(SUMIF(Capacity_Resource,$D192,'Critical resources (hide)'!AF$6:AF$105)+SUMIF(Capacity_Resource,$E192,'Critical resources (hide)'!AF$6:AF$105)+SUMIF(Capacity_Resource,$F192,'Critical resources (hide)'!AF$6:AF$105)&gt;0,$E$1=2),0,1)</f>
        <v>1</v>
      </c>
      <c r="T192" s="67">
        <f ca="1">IF(AND(SUMIF(Capacity_Resource,$D192,'Critical resources (hide)'!AG$6:AG$105)+SUMIF(Capacity_Resource,$E192,'Critical resources (hide)'!AG$6:AG$105)+SUMIF(Capacity_Resource,$F192,'Critical resources (hide)'!AG$6:AG$105)&gt;0,$E$1=2),0,1)</f>
        <v>1</v>
      </c>
      <c r="U192" s="67">
        <f ca="1">IF(AND(SUMIF(Capacity_Resource,$D192,'Critical resources (hide)'!AH$6:AH$105)+SUMIF(Capacity_Resource,$E192,'Critical resources (hide)'!AH$6:AH$105)+SUMIF(Capacity_Resource,$F192,'Critical resources (hide)'!AH$6:AH$105)&gt;0,$E$1=2),0,1)</f>
        <v>1</v>
      </c>
      <c r="V192" s="67">
        <f ca="1">IF(AND(SUMIF(Capacity_Resource,$D192,'Critical resources (hide)'!AI$6:AI$105)+SUMIF(Capacity_Resource,$E192,'Critical resources (hide)'!AI$6:AI$105)+SUMIF(Capacity_Resource,$F192,'Critical resources (hide)'!AI$6:AI$105)&gt;0,$E$1=2),0,1)</f>
        <v>1</v>
      </c>
      <c r="W192" s="67">
        <f ca="1">IF(AND(SUMIF(Capacity_Resource,$D192,'Critical resources (hide)'!AJ$6:AJ$105)+SUMIF(Capacity_Resource,$E192,'Critical resources (hide)'!AJ$6:AJ$105)+SUMIF(Capacity_Resource,$F192,'Critical resources (hide)'!AJ$6:AJ$105)&gt;0,$E$1=2),0,1)</f>
        <v>1</v>
      </c>
      <c r="X192" s="67">
        <f ca="1">IF(AND(SUMIF(Capacity_Resource,$D192,'Critical resources (hide)'!AK$6:AK$105)+SUMIF(Capacity_Resource,$E192,'Critical resources (hide)'!AK$6:AK$105)+SUMIF(Capacity_Resource,$F192,'Critical resources (hide)'!AK$6:AK$105)&gt;0,$E$1=2),0,1)</f>
        <v>1</v>
      </c>
      <c r="Y192" s="67">
        <f ca="1">IF(AND(SUMIF(Capacity_Resource,$D192,'Critical resources (hide)'!AL$6:AL$105)+SUMIF(Capacity_Resource,$E192,'Critical resources (hide)'!AL$6:AL$105)+SUMIF(Capacity_Resource,$F192,'Critical resources (hide)'!AL$6:AL$105)&gt;0,$E$1=2),0,1)</f>
        <v>1</v>
      </c>
      <c r="Z192" s="67">
        <f ca="1">IF(AND(SUMIF(Capacity_Resource,$D192,'Critical resources (hide)'!AM$6:AM$105)+SUMIF(Capacity_Resource,$E192,'Critical resources (hide)'!AM$6:AM$105)+SUMIF(Capacity_Resource,$F192,'Critical resources (hide)'!AM$6:AM$105)&gt;0,$E$1=2),0,1)</f>
        <v>1</v>
      </c>
      <c r="AA192" s="67">
        <f ca="1">IF(AND(SUMIF(Capacity_Resource,$D192,'Critical resources (hide)'!AN$6:AN$105)+SUMIF(Capacity_Resource,$E192,'Critical resources (hide)'!AN$6:AN$105)+SUMIF(Capacity_Resource,$F192,'Critical resources (hide)'!AN$6:AN$105)&gt;0,$E$1=2),0,1)</f>
        <v>1</v>
      </c>
      <c r="AB192" s="67">
        <f ca="1">IF(AND(SUMIF(Capacity_Resource,$D192,'Critical resources (hide)'!AO$6:AO$105)+SUMIF(Capacity_Resource,$E192,'Critical resources (hide)'!AO$6:AO$105)+SUMIF(Capacity_Resource,$F192,'Critical resources (hide)'!AO$6:AO$105)&gt;0,$E$1=2),0,1)</f>
        <v>1</v>
      </c>
      <c r="AC192" s="67">
        <f ca="1">IF(AND(SUMIF(Capacity_Resource,$D192,'Critical resources (hide)'!AP$6:AP$105)+SUMIF(Capacity_Resource,$E192,'Critical resources (hide)'!AP$6:AP$105)+SUMIF(Capacity_Resource,$F192,'Critical resources (hide)'!AP$6:AP$105)&gt;0,$E$1=2),0,1)</f>
        <v>1</v>
      </c>
      <c r="AD192" s="67">
        <f ca="1">IF(AND(SUMIF(Capacity_Resource,$D192,'Critical resources (hide)'!AQ$6:AQ$105)+SUMIF(Capacity_Resource,$E192,'Critical resources (hide)'!AQ$6:AQ$105)+SUMIF(Capacity_Resource,$F192,'Critical resources (hide)'!AQ$6:AQ$105)&gt;0,$E$1=2),0,1)</f>
        <v>1</v>
      </c>
      <c r="AE192" s="67">
        <f ca="1">IF(AND(SUMIF(Capacity_Resource,$D192,'Critical resources (hide)'!AR$6:AR$105)+SUMIF(Capacity_Resource,$E192,'Critical resources (hide)'!AR$6:AR$105)+SUMIF(Capacity_Resource,$F192,'Critical resources (hide)'!AR$6:AR$105)&gt;0,$E$1=2),0,1)</f>
        <v>1</v>
      </c>
      <c r="AF192" s="67">
        <f ca="1">IF(AND(SUMIF(Capacity_Resource,$D192,'Critical resources (hide)'!AS$6:AS$105)+SUMIF(Capacity_Resource,$E192,'Critical resources (hide)'!AS$6:AS$105)+SUMIF(Capacity_Resource,$F192,'Critical resources (hide)'!AS$6:AS$105)&gt;0,$E$1=2),0,1)</f>
        <v>1</v>
      </c>
      <c r="AG192" s="67">
        <f ca="1">IF(AND(SUMIF(Capacity_Resource,$D192,'Critical resources (hide)'!AT$6:AT$105)+SUMIF(Capacity_Resource,$E192,'Critical resources (hide)'!AT$6:AT$105)+SUMIF(Capacity_Resource,$F192,'Critical resources (hide)'!AT$6:AT$105)&gt;0,$E$1=2),0,1)</f>
        <v>1</v>
      </c>
      <c r="AH192" s="67">
        <f ca="1">IF(AND(SUMIF(Capacity_Resource,$D192,'Critical resources (hide)'!AU$6:AU$105)+SUMIF(Capacity_Resource,$E192,'Critical resources (hide)'!AU$6:AU$105)+SUMIF(Capacity_Resource,$F192,'Critical resources (hide)'!AU$6:AU$105)&gt;0,$E$1=2),0,1)</f>
        <v>1</v>
      </c>
      <c r="AI192" s="67">
        <f ca="1">IF(AND(SUMIF(Capacity_Resource,$D192,'Critical resources (hide)'!AV$6:AV$105)+SUMIF(Capacity_Resource,$E192,'Critical resources (hide)'!AV$6:AV$105)+SUMIF(Capacity_Resource,$F192,'Critical resources (hide)'!AV$6:AV$105)&gt;0,$E$1=2),0,1)</f>
        <v>1</v>
      </c>
      <c r="AJ192" s="67">
        <f ca="1">IF(AND(SUMIF(Capacity_Resource,$D192,'Critical resources (hide)'!AW$6:AW$105)+SUMIF(Capacity_Resource,$E192,'Critical resources (hide)'!AW$6:AW$105)+SUMIF(Capacity_Resource,$F192,'Critical resources (hide)'!AW$6:AW$105)&gt;0,$E$1=2),0,1)</f>
        <v>1</v>
      </c>
      <c r="AK192" s="67">
        <f ca="1">IF(AND(SUMIF(Capacity_Resource,$D192,'Critical resources (hide)'!AX$6:AX$105)+SUMIF(Capacity_Resource,$E192,'Critical resources (hide)'!AX$6:AX$105)+SUMIF(Capacity_Resource,$F192,'Critical resources (hide)'!AX$6:AX$105)&gt;0,$E$1=2),0,1)</f>
        <v>1</v>
      </c>
      <c r="AL192" s="67">
        <f ca="1">IF(AND(SUMIF(Capacity_Resource,$D192,'Critical resources (hide)'!AY$6:AY$105)+SUMIF(Capacity_Resource,$E192,'Critical resources (hide)'!AY$6:AY$105)+SUMIF(Capacity_Resource,$F192,'Critical resources (hide)'!AY$6:AY$105)&gt;0,$E$1=2),0,1)</f>
        <v>1</v>
      </c>
      <c r="AM192" s="67">
        <f ca="1">IF(AND(SUMIF(Capacity_Resource,$D192,'Critical resources (hide)'!AZ$6:AZ$105)+SUMIF(Capacity_Resource,$E192,'Critical resources (hide)'!AZ$6:AZ$105)+SUMIF(Capacity_Resource,$F192,'Critical resources (hide)'!AZ$6:AZ$105)&gt;0,$E$1=2),0,1)</f>
        <v>1</v>
      </c>
      <c r="AN192" s="67">
        <f ca="1">IF(AND(SUMIF(Capacity_Resource,$D192,'Critical resources (hide)'!BA$6:BA$105)+SUMIF(Capacity_Resource,$E192,'Critical resources (hide)'!BA$6:BA$105)+SUMIF(Capacity_Resource,$F192,'Critical resources (hide)'!BA$6:BA$105)&gt;0,$E$1=2),0,1)</f>
        <v>1</v>
      </c>
      <c r="AO192" s="67">
        <f ca="1">IF(AND(SUMIF(Capacity_Resource,$D192,'Critical resources (hide)'!BB$6:BB$105)+SUMIF(Capacity_Resource,$E192,'Critical resources (hide)'!BB$6:BB$105)+SUMIF(Capacity_Resource,$F192,'Critical resources (hide)'!BB$6:BB$105)&gt;0,$E$1=2),0,1)</f>
        <v>1</v>
      </c>
      <c r="AP192" s="67">
        <f ca="1">IF(AND(SUMIF(Capacity_Resource,$D192,'Critical resources (hide)'!BC$6:BC$105)+SUMIF(Capacity_Resource,$E192,'Critical resources (hide)'!BC$6:BC$105)+SUMIF(Capacity_Resource,$F192,'Critical resources (hide)'!BC$6:BC$105)&gt;0,$E$1=2),0,1)</f>
        <v>1</v>
      </c>
      <c r="AQ192" s="67">
        <f ca="1">IF(AND(SUMIF(Capacity_Resource,$D192,'Critical resources (hide)'!BD$6:BD$105)+SUMIF(Capacity_Resource,$E192,'Critical resources (hide)'!BD$6:BD$105)+SUMIF(Capacity_Resource,$F192,'Critical resources (hide)'!BD$6:BD$105)&gt;0,$E$1=2),0,1)</f>
        <v>1</v>
      </c>
      <c r="AR192" s="67">
        <f ca="1">IF(AND(SUMIF(Capacity_Resource,$D192,'Critical resources (hide)'!BE$6:BE$105)+SUMIF(Capacity_Resource,$E192,'Critical resources (hide)'!BE$6:BE$105)+SUMIF(Capacity_Resource,$F192,'Critical resources (hide)'!BE$6:BE$105)&gt;0,$E$1=2),0,1)</f>
        <v>1</v>
      </c>
      <c r="AS192" s="67">
        <f ca="1">IF(AND(SUMIF(Capacity_Resource,$D192,'Critical resources (hide)'!BF$6:BF$105)+SUMIF(Capacity_Resource,$E192,'Critical resources (hide)'!BF$6:BF$105)+SUMIF(Capacity_Resource,$F192,'Critical resources (hide)'!BF$6:BF$105)&gt;0,$E$1=2),0,1)</f>
        <v>1</v>
      </c>
      <c r="AT192" s="67">
        <f ca="1">IF(AND(SUMIF(Capacity_Resource,$D192,'Critical resources (hide)'!BG$6:BG$105)+SUMIF(Capacity_Resource,$E192,'Critical resources (hide)'!BG$6:BG$105)+SUMIF(Capacity_Resource,$F192,'Critical resources (hide)'!BG$6:BG$105)&gt;0,$E$1=2),0,1)</f>
        <v>1</v>
      </c>
      <c r="AU192" s="67">
        <f ca="1">IF(AND(SUMIF(Capacity_Resource,$D192,'Critical resources (hide)'!BH$6:BH$105)+SUMIF(Capacity_Resource,$E192,'Critical resources (hide)'!BH$6:BH$105)+SUMIF(Capacity_Resource,$F192,'Critical resources (hide)'!BH$6:BH$105)&gt;0,$E$1=2),0,1)</f>
        <v>1</v>
      </c>
      <c r="AV192" s="67">
        <f ca="1">IF(AND(SUMIF(Capacity_Resource,$D192,'Critical resources (hide)'!BI$6:BI$105)+SUMIF(Capacity_Resource,$E192,'Critical resources (hide)'!BI$6:BI$105)+SUMIF(Capacity_Resource,$F192,'Critical resources (hide)'!BI$6:BI$105)&gt;0,$E$1=2),0,1)</f>
        <v>1</v>
      </c>
      <c r="AW192" s="67">
        <f ca="1">IF(AND(SUMIF(Capacity_Resource,$D192,'Critical resources (hide)'!BJ$6:BJ$105)+SUMIF(Capacity_Resource,$E192,'Critical resources (hide)'!BJ$6:BJ$105)+SUMIF(Capacity_Resource,$F192,'Critical resources (hide)'!BJ$6:BJ$105)&gt;0,$E$1=2),0,1)</f>
        <v>1</v>
      </c>
      <c r="AX192" s="67">
        <f ca="1">IF(AND(SUMIF(Capacity_Resource,$D192,'Critical resources (hide)'!BK$6:BK$105)+SUMIF(Capacity_Resource,$E192,'Critical resources (hide)'!BK$6:BK$105)+SUMIF(Capacity_Resource,$F192,'Critical resources (hide)'!BK$6:BK$105)&gt;0,$E$1=2),0,1)</f>
        <v>1</v>
      </c>
      <c r="AY192" s="67">
        <f ca="1">IF(AND(SUMIF(Capacity_Resource,$D192,'Critical resources (hide)'!BL$6:BL$105)+SUMIF(Capacity_Resource,$E192,'Critical resources (hide)'!BL$6:BL$105)+SUMIF(Capacity_Resource,$F192,'Critical resources (hide)'!BL$6:BL$105)&gt;0,$E$1=2),0,1)</f>
        <v>1</v>
      </c>
      <c r="AZ192" s="67">
        <f ca="1">IF(AND(SUMIF(Capacity_Resource,$D192,'Critical resources (hide)'!BM$6:BM$105)+SUMIF(Capacity_Resource,$E192,'Critical resources (hide)'!BM$6:BM$105)+SUMIF(Capacity_Resource,$F192,'Critical resources (hide)'!BM$6:BM$105)&gt;0,$E$1=2),0,1)</f>
        <v>1</v>
      </c>
      <c r="BA192" s="67">
        <f ca="1">IF(AND(SUMIF(Capacity_Resource,$D192,'Critical resources (hide)'!BN$6:BN$105)+SUMIF(Capacity_Resource,$E192,'Critical resources (hide)'!BN$6:BN$105)+SUMIF(Capacity_Resource,$F192,'Critical resources (hide)'!BN$6:BN$105)&gt;0,$E$1=2),0,1)</f>
        <v>1</v>
      </c>
      <c r="BB192" s="67">
        <f ca="1">IF(AND(SUMIF(Capacity_Resource,$D192,'Critical resources (hide)'!BO$6:BO$105)+SUMIF(Capacity_Resource,$E192,'Critical resources (hide)'!BO$6:BO$105)+SUMIF(Capacity_Resource,$F192,'Critical resources (hide)'!BO$6:BO$105)&gt;0,$E$1=2),0,1)</f>
        <v>1</v>
      </c>
      <c r="BC192" s="67">
        <f ca="1">IF(AND(SUMIF(Capacity_Resource,$D192,'Critical resources (hide)'!BP$6:BP$105)+SUMIF(Capacity_Resource,$E192,'Critical resources (hide)'!BP$6:BP$105)+SUMIF(Capacity_Resource,$F192,'Critical resources (hide)'!BP$6:BP$105)&gt;0,$E$1=2),0,1)</f>
        <v>1</v>
      </c>
      <c r="BD192" s="67">
        <f ca="1">IF(AND(SUMIF(Capacity_Resource,$D192,'Critical resources (hide)'!BQ$6:BQ$105)+SUMIF(Capacity_Resource,$E192,'Critical resources (hide)'!BQ$6:BQ$105)+SUMIF(Capacity_Resource,$F192,'Critical resources (hide)'!BQ$6:BQ$105)&gt;0,$E$1=2),0,1)</f>
        <v>1</v>
      </c>
      <c r="BE192" s="67">
        <f ca="1">IF(AND(SUMIF(Capacity_Resource,$D192,'Critical resources (hide)'!BR$6:BR$105)+SUMIF(Capacity_Resource,$E192,'Critical resources (hide)'!BR$6:BR$105)+SUMIF(Capacity_Resource,$F192,'Critical resources (hide)'!BR$6:BR$105)&gt;0,$E$1=2),0,1)</f>
        <v>1</v>
      </c>
      <c r="BF192" s="67">
        <f ca="1">IF(AND(SUMIF(Capacity_Resource,$D192,'Critical resources (hide)'!BS$6:BS$105)+SUMIF(Capacity_Resource,$E192,'Critical resources (hide)'!BS$6:BS$105)+SUMIF(Capacity_Resource,$F192,'Critical resources (hide)'!BS$6:BS$105)&gt;0,$E$1=2),0,1)</f>
        <v>1</v>
      </c>
      <c r="BG192" s="67">
        <f ca="1">IF(AND(SUMIF(Capacity_Resource,$D192,'Critical resources (hide)'!BT$6:BT$105)+SUMIF(Capacity_Resource,$E192,'Critical resources (hide)'!BT$6:BT$105)+SUMIF(Capacity_Resource,$F192,'Critical resources (hide)'!BT$6:BT$105)&gt;0,$E$1=2),0,1)</f>
        <v>1</v>
      </c>
      <c r="BH192" s="67">
        <f>IF(ROW(A81)&lt;=Capacity!$M$16,IF('Capacity summary'!$C$14="No",SUM(H192:BG192),'Capacity summary'!$E104),0)</f>
        <v>0</v>
      </c>
      <c r="BI192" s="67" t="str">
        <f>IF(BH192&gt;0,IF(BH192&lt;Capacity!Q97,Capacity!R97,Capacity!T97/'Capacity calculation (hide)'!BH192),"")</f>
        <v/>
      </c>
      <c r="BJ192" s="5"/>
      <c r="BK192" s="5">
        <f>IF($BI192&lt;&gt;"",IF('Capacity summary'!$C$14="Yes",IF(COUNTBLANK('Capacity summary'!$H104:$BG104)&lt;52,IF('Capacity summary'!H104&lt;&gt;"",IF(LOWER('Capacity summary'!H104)="x",$BI192*H192,VALUE('Capacity summary'!H104)),0),H192*$BI192),H192*$BI192),0)</f>
        <v>0</v>
      </c>
      <c r="BL192" s="5">
        <f>IF($BI192&lt;&gt;"",IF('Capacity summary'!$C$14="Yes",IF(COUNTBLANK('Capacity summary'!$H104:$BG104)&lt;52,IF('Capacity summary'!I104&lt;&gt;"",IF(LOWER('Capacity summary'!I104)="x",$BI192*I192,VALUE('Capacity summary'!I104)),0),I192*$BI192),I192*$BI192),0)</f>
        <v>0</v>
      </c>
      <c r="BM192" s="5">
        <f>IF($BI192&lt;&gt;"",IF('Capacity summary'!$C$14="Yes",IF(COUNTBLANK('Capacity summary'!$H104:$BG104)&lt;52,IF('Capacity summary'!J104&lt;&gt;"",IF(LOWER('Capacity summary'!J104)="x",$BI192*J192,VALUE('Capacity summary'!J104)),0),J192*$BI192),J192*$BI192),0)</f>
        <v>0</v>
      </c>
      <c r="BN192" s="5">
        <f>IF($BI192&lt;&gt;"",IF('Capacity summary'!$C$14="Yes",IF(COUNTBLANK('Capacity summary'!$H104:$BG104)&lt;52,IF('Capacity summary'!K104&lt;&gt;"",IF(LOWER('Capacity summary'!K104)="x",$BI192*K192,VALUE('Capacity summary'!K104)),0),K192*$BI192),K192*$BI192),0)</f>
        <v>0</v>
      </c>
      <c r="BO192" s="5">
        <f>IF($BI192&lt;&gt;"",IF('Capacity summary'!$C$14="Yes",IF(COUNTBLANK('Capacity summary'!$H104:$BG104)&lt;52,IF('Capacity summary'!L104&lt;&gt;"",IF(LOWER('Capacity summary'!L104)="x",$BI192*L192,VALUE('Capacity summary'!L104)),0),L192*$BI192),L192*$BI192),0)</f>
        <v>0</v>
      </c>
      <c r="BP192" s="5">
        <f>IF($BI192&lt;&gt;"",IF('Capacity summary'!$C$14="Yes",IF(COUNTBLANK('Capacity summary'!$H104:$BG104)&lt;52,IF('Capacity summary'!M104&lt;&gt;"",IF(LOWER('Capacity summary'!M104)="x",$BI192*M192,VALUE('Capacity summary'!M104)),0),M192*$BI192),M192*$BI192),0)</f>
        <v>0</v>
      </c>
      <c r="BQ192" s="5">
        <f>IF($BI192&lt;&gt;"",IF('Capacity summary'!$C$14="Yes",IF(COUNTBLANK('Capacity summary'!$H104:$BG104)&lt;52,IF('Capacity summary'!N104&lt;&gt;"",IF(LOWER('Capacity summary'!N104)="x",$BI192*N192,VALUE('Capacity summary'!N104)),0),N192*$BI192),N192*$BI192),0)</f>
        <v>0</v>
      </c>
      <c r="BR192" s="5">
        <f>IF($BI192&lt;&gt;"",IF('Capacity summary'!$C$14="Yes",IF(COUNTBLANK('Capacity summary'!$H104:$BG104)&lt;52,IF('Capacity summary'!O104&lt;&gt;"",IF(LOWER('Capacity summary'!O104)="x",$BI192*O192,VALUE('Capacity summary'!O104)),0),O192*$BI192),O192*$BI192),0)</f>
        <v>0</v>
      </c>
      <c r="BS192" s="5">
        <f>IF($BI192&lt;&gt;"",IF('Capacity summary'!$C$14="Yes",IF(COUNTBLANK('Capacity summary'!$H104:$BG104)&lt;52,IF('Capacity summary'!P104&lt;&gt;"",IF(LOWER('Capacity summary'!P104)="x",$BI192*P192,VALUE('Capacity summary'!P104)),0),P192*$BI192),P192*$BI192),0)</f>
        <v>0</v>
      </c>
      <c r="BT192" s="5">
        <f>IF($BI192&lt;&gt;"",IF('Capacity summary'!$C$14="Yes",IF(COUNTBLANK('Capacity summary'!$H104:$BG104)&lt;52,IF('Capacity summary'!Q104&lt;&gt;"",IF(LOWER('Capacity summary'!Q104)="x",$BI192*Q192,VALUE('Capacity summary'!Q104)),0),Q192*$BI192),Q192*$BI192),0)</f>
        <v>0</v>
      </c>
      <c r="BU192" s="5">
        <f>IF($BI192&lt;&gt;"",IF('Capacity summary'!$C$14="Yes",IF(COUNTBLANK('Capacity summary'!$H104:$BG104)&lt;52,IF('Capacity summary'!R104&lt;&gt;"",IF(LOWER('Capacity summary'!R104)="x",$BI192*R192,VALUE('Capacity summary'!R104)),0),R192*$BI192),R192*$BI192),0)</f>
        <v>0</v>
      </c>
      <c r="BV192" s="5">
        <f>IF($BI192&lt;&gt;"",IF('Capacity summary'!$C$14="Yes",IF(COUNTBLANK('Capacity summary'!$H104:$BG104)&lt;52,IF('Capacity summary'!S104&lt;&gt;"",IF(LOWER('Capacity summary'!S104)="x",$BI192*S192,VALUE('Capacity summary'!S104)),0),S192*$BI192),S192*$BI192),0)</f>
        <v>0</v>
      </c>
      <c r="BW192" s="5">
        <f>IF($BI192&lt;&gt;"",IF('Capacity summary'!$C$14="Yes",IF(COUNTBLANK('Capacity summary'!$H104:$BG104)&lt;52,IF('Capacity summary'!T104&lt;&gt;"",IF(LOWER('Capacity summary'!T104)="x",$BI192*T192,VALUE('Capacity summary'!T104)),0),T192*$BI192),T192*$BI192),0)</f>
        <v>0</v>
      </c>
      <c r="BX192" s="5">
        <f>IF($BI192&lt;&gt;"",IF('Capacity summary'!$C$14="Yes",IF(COUNTBLANK('Capacity summary'!$H104:$BG104)&lt;52,IF('Capacity summary'!U104&lt;&gt;"",IF(LOWER('Capacity summary'!U104)="x",$BI192*U192,VALUE('Capacity summary'!U104)),0),U192*$BI192),U192*$BI192),0)</f>
        <v>0</v>
      </c>
      <c r="BY192" s="5">
        <f>IF($BI192&lt;&gt;"",IF('Capacity summary'!$C$14="Yes",IF(COUNTBLANK('Capacity summary'!$H104:$BG104)&lt;52,IF('Capacity summary'!V104&lt;&gt;"",IF(LOWER('Capacity summary'!V104)="x",$BI192*V192,VALUE('Capacity summary'!V104)),0),V192*$BI192),V192*$BI192),0)</f>
        <v>0</v>
      </c>
      <c r="BZ192" s="5">
        <f>IF($BI192&lt;&gt;"",IF('Capacity summary'!$C$14="Yes",IF(COUNTBLANK('Capacity summary'!$H104:$BG104)&lt;52,IF('Capacity summary'!W104&lt;&gt;"",IF(LOWER('Capacity summary'!W104)="x",$BI192*W192,VALUE('Capacity summary'!W104)),0),W192*$BI192),W192*$BI192),0)</f>
        <v>0</v>
      </c>
      <c r="CA192" s="5">
        <f>IF($BI192&lt;&gt;"",IF('Capacity summary'!$C$14="Yes",IF(COUNTBLANK('Capacity summary'!$H104:$BG104)&lt;52,IF('Capacity summary'!X104&lt;&gt;"",IF(LOWER('Capacity summary'!X104)="x",$BI192*X192,VALUE('Capacity summary'!X104)),0),X192*$BI192),X192*$BI192),0)</f>
        <v>0</v>
      </c>
      <c r="CB192" s="5">
        <f>IF($BI192&lt;&gt;"",IF('Capacity summary'!$C$14="Yes",IF(COUNTBLANK('Capacity summary'!$H104:$BG104)&lt;52,IF('Capacity summary'!Y104&lt;&gt;"",IF(LOWER('Capacity summary'!Y104)="x",$BI192*Y192,VALUE('Capacity summary'!Y104)),0),Y192*$BI192),Y192*$BI192),0)</f>
        <v>0</v>
      </c>
      <c r="CC192" s="5">
        <f>IF($BI192&lt;&gt;"",IF('Capacity summary'!$C$14="Yes",IF(COUNTBLANK('Capacity summary'!$H104:$BG104)&lt;52,IF('Capacity summary'!Z104&lt;&gt;"",IF(LOWER('Capacity summary'!Z104)="x",$BI192*Z192,VALUE('Capacity summary'!Z104)),0),Z192*$BI192),Z192*$BI192),0)</f>
        <v>0</v>
      </c>
      <c r="CD192" s="5">
        <f>IF($BI192&lt;&gt;"",IF('Capacity summary'!$C$14="Yes",IF(COUNTBLANK('Capacity summary'!$H104:$BG104)&lt;52,IF('Capacity summary'!AA104&lt;&gt;"",IF(LOWER('Capacity summary'!AA104)="x",$BI192*AA192,VALUE('Capacity summary'!AA104)),0),AA192*$BI192),AA192*$BI192),0)</f>
        <v>0</v>
      </c>
      <c r="CE192" s="5">
        <f>IF($BI192&lt;&gt;"",IF('Capacity summary'!$C$14="Yes",IF(COUNTBLANK('Capacity summary'!$H104:$BG104)&lt;52,IF('Capacity summary'!AB104&lt;&gt;"",IF(LOWER('Capacity summary'!AB104)="x",$BI192*AB192,VALUE('Capacity summary'!AB104)),0),AB192*$BI192),AB192*$BI192),0)</f>
        <v>0</v>
      </c>
      <c r="CF192" s="5">
        <f>IF($BI192&lt;&gt;"",IF('Capacity summary'!$C$14="Yes",IF(COUNTBLANK('Capacity summary'!$H104:$BG104)&lt;52,IF('Capacity summary'!AC104&lt;&gt;"",IF(LOWER('Capacity summary'!AC104)="x",$BI192*AC192,VALUE('Capacity summary'!AC104)),0),AC192*$BI192),AC192*$BI192),0)</f>
        <v>0</v>
      </c>
      <c r="CG192" s="5">
        <f>IF($BI192&lt;&gt;"",IF('Capacity summary'!$C$14="Yes",IF(COUNTBLANK('Capacity summary'!$H104:$BG104)&lt;52,IF('Capacity summary'!AD104&lt;&gt;"",IF(LOWER('Capacity summary'!AD104)="x",$BI192*AD192,VALUE('Capacity summary'!AD104)),0),AD192*$BI192),AD192*$BI192),0)</f>
        <v>0</v>
      </c>
      <c r="CH192" s="5">
        <f>IF($BI192&lt;&gt;"",IF('Capacity summary'!$C$14="Yes",IF(COUNTBLANK('Capacity summary'!$H104:$BG104)&lt;52,IF('Capacity summary'!AE104&lt;&gt;"",IF(LOWER('Capacity summary'!AE104)="x",$BI192*AE192,VALUE('Capacity summary'!AE104)),0),AE192*$BI192),AE192*$BI192),0)</f>
        <v>0</v>
      </c>
      <c r="CI192" s="5">
        <f>IF($BI192&lt;&gt;"",IF('Capacity summary'!$C$14="Yes",IF(COUNTBLANK('Capacity summary'!$H104:$BG104)&lt;52,IF('Capacity summary'!AF104&lt;&gt;"",IF(LOWER('Capacity summary'!AF104)="x",$BI192*AF192,VALUE('Capacity summary'!AF104)),0),AF192*$BI192),AF192*$BI192),0)</f>
        <v>0</v>
      </c>
      <c r="CJ192" s="5">
        <f>IF($BI192&lt;&gt;"",IF('Capacity summary'!$C$14="Yes",IF(COUNTBLANK('Capacity summary'!$H104:$BG104)&lt;52,IF('Capacity summary'!AG104&lt;&gt;"",IF(LOWER('Capacity summary'!AG104)="x",$BI192*AG192,VALUE('Capacity summary'!AG104)),0),AG192*$BI192),AG192*$BI192),0)</f>
        <v>0</v>
      </c>
      <c r="CK192" s="5">
        <f>IF($BI192&lt;&gt;"",IF('Capacity summary'!$C$14="Yes",IF(COUNTBLANK('Capacity summary'!$H104:$BG104)&lt;52,IF('Capacity summary'!AH104&lt;&gt;"",IF(LOWER('Capacity summary'!AH104)="x",$BI192*AH192,VALUE('Capacity summary'!AH104)),0),AH192*$BI192),AH192*$BI192),0)</f>
        <v>0</v>
      </c>
      <c r="CL192" s="5">
        <f>IF($BI192&lt;&gt;"",IF('Capacity summary'!$C$14="Yes",IF(COUNTBLANK('Capacity summary'!$H104:$BG104)&lt;52,IF('Capacity summary'!AI104&lt;&gt;"",IF(LOWER('Capacity summary'!AI104)="x",$BI192*AI192,VALUE('Capacity summary'!AI104)),0),AI192*$BI192),AI192*$BI192),0)</f>
        <v>0</v>
      </c>
      <c r="CM192" s="5">
        <f>IF($BI192&lt;&gt;"",IF('Capacity summary'!$C$14="Yes",IF(COUNTBLANK('Capacity summary'!$H104:$BG104)&lt;52,IF('Capacity summary'!AJ104&lt;&gt;"",IF(LOWER('Capacity summary'!AJ104)="x",$BI192*AJ192,VALUE('Capacity summary'!AJ104)),0),AJ192*$BI192),AJ192*$BI192),0)</f>
        <v>0</v>
      </c>
      <c r="CN192" s="5">
        <f>IF($BI192&lt;&gt;"",IF('Capacity summary'!$C$14="Yes",IF(COUNTBLANK('Capacity summary'!$H104:$BG104)&lt;52,IF('Capacity summary'!AK104&lt;&gt;"",IF(LOWER('Capacity summary'!AK104)="x",$BI192*AK192,VALUE('Capacity summary'!AK104)),0),AK192*$BI192),AK192*$BI192),0)</f>
        <v>0</v>
      </c>
      <c r="CO192" s="5">
        <f>IF($BI192&lt;&gt;"",IF('Capacity summary'!$C$14="Yes",IF(COUNTBLANK('Capacity summary'!$H104:$BG104)&lt;52,IF('Capacity summary'!AL104&lt;&gt;"",IF(LOWER('Capacity summary'!AL104)="x",$BI192*AL192,VALUE('Capacity summary'!AL104)),0),AL192*$BI192),AL192*$BI192),0)</f>
        <v>0</v>
      </c>
      <c r="CP192" s="5">
        <f>IF($BI192&lt;&gt;"",IF('Capacity summary'!$C$14="Yes",IF(COUNTBLANK('Capacity summary'!$H104:$BG104)&lt;52,IF('Capacity summary'!AM104&lt;&gt;"",IF(LOWER('Capacity summary'!AM104)="x",$BI192*AM192,VALUE('Capacity summary'!AM104)),0),AM192*$BI192),AM192*$BI192),0)</f>
        <v>0</v>
      </c>
      <c r="CQ192" s="5">
        <f>IF($BI192&lt;&gt;"",IF('Capacity summary'!$C$14="Yes",IF(COUNTBLANK('Capacity summary'!$H104:$BG104)&lt;52,IF('Capacity summary'!AN104&lt;&gt;"",IF(LOWER('Capacity summary'!AN104)="x",$BI192*AN192,VALUE('Capacity summary'!AN104)),0),AN192*$BI192),AN192*$BI192),0)</f>
        <v>0</v>
      </c>
      <c r="CR192" s="5">
        <f>IF($BI192&lt;&gt;"",IF('Capacity summary'!$C$14="Yes",IF(COUNTBLANK('Capacity summary'!$H104:$BG104)&lt;52,IF('Capacity summary'!AO104&lt;&gt;"",IF(LOWER('Capacity summary'!AO104)="x",$BI192*AO192,VALUE('Capacity summary'!AO104)),0),AO192*$BI192),AO192*$BI192),0)</f>
        <v>0</v>
      </c>
      <c r="CS192" s="5">
        <f>IF($BI192&lt;&gt;"",IF('Capacity summary'!$C$14="Yes",IF(COUNTBLANK('Capacity summary'!$H104:$BG104)&lt;52,IF('Capacity summary'!AP104&lt;&gt;"",IF(LOWER('Capacity summary'!AP104)="x",$BI192*AP192,VALUE('Capacity summary'!AP104)),0),AP192*$BI192),AP192*$BI192),0)</f>
        <v>0</v>
      </c>
      <c r="CT192" s="5">
        <f>IF($BI192&lt;&gt;"",IF('Capacity summary'!$C$14="Yes",IF(COUNTBLANK('Capacity summary'!$H104:$BG104)&lt;52,IF('Capacity summary'!AQ104&lt;&gt;"",IF(LOWER('Capacity summary'!AQ104)="x",$BI192*AQ192,VALUE('Capacity summary'!AQ104)),0),AQ192*$BI192),AQ192*$BI192),0)</f>
        <v>0</v>
      </c>
      <c r="CU192" s="5">
        <f>IF($BI192&lt;&gt;"",IF('Capacity summary'!$C$14="Yes",IF(COUNTBLANK('Capacity summary'!$H104:$BG104)&lt;52,IF('Capacity summary'!AR104&lt;&gt;"",IF(LOWER('Capacity summary'!AR104)="x",$BI192*AR192,VALUE('Capacity summary'!AR104)),0),AR192*$BI192),AR192*$BI192),0)</f>
        <v>0</v>
      </c>
      <c r="CV192" s="5">
        <f>IF($BI192&lt;&gt;"",IF('Capacity summary'!$C$14="Yes",IF(COUNTBLANK('Capacity summary'!$H104:$BG104)&lt;52,IF('Capacity summary'!AS104&lt;&gt;"",IF(LOWER('Capacity summary'!AS104)="x",$BI192*AS192,VALUE('Capacity summary'!AS104)),0),AS192*$BI192),AS192*$BI192),0)</f>
        <v>0</v>
      </c>
      <c r="CW192" s="5">
        <f>IF($BI192&lt;&gt;"",IF('Capacity summary'!$C$14="Yes",IF(COUNTBLANK('Capacity summary'!$H104:$BG104)&lt;52,IF('Capacity summary'!AT104&lt;&gt;"",IF(LOWER('Capacity summary'!AT104)="x",$BI192*AT192,VALUE('Capacity summary'!AT104)),0),AT192*$BI192),AT192*$BI192),0)</f>
        <v>0</v>
      </c>
      <c r="CX192" s="5">
        <f>IF($BI192&lt;&gt;"",IF('Capacity summary'!$C$14="Yes",IF(COUNTBLANK('Capacity summary'!$H104:$BG104)&lt;52,IF('Capacity summary'!AU104&lt;&gt;"",IF(LOWER('Capacity summary'!AU104)="x",$BI192*AU192,VALUE('Capacity summary'!AU104)),0),AU192*$BI192),AU192*$BI192),0)</f>
        <v>0</v>
      </c>
      <c r="CY192" s="5">
        <f>IF($BI192&lt;&gt;"",IF('Capacity summary'!$C$14="Yes",IF(COUNTBLANK('Capacity summary'!$H104:$BG104)&lt;52,IF('Capacity summary'!AV104&lt;&gt;"",IF(LOWER('Capacity summary'!AV104)="x",$BI192*AV192,VALUE('Capacity summary'!AV104)),0),AV192*$BI192),AV192*$BI192),0)</f>
        <v>0</v>
      </c>
      <c r="CZ192" s="5">
        <f>IF($BI192&lt;&gt;"",IF('Capacity summary'!$C$14="Yes",IF(COUNTBLANK('Capacity summary'!$H104:$BG104)&lt;52,IF('Capacity summary'!AW104&lt;&gt;"",IF(LOWER('Capacity summary'!AW104)="x",$BI192*AW192,VALUE('Capacity summary'!AW104)),0),AW192*$BI192),AW192*$BI192),0)</f>
        <v>0</v>
      </c>
      <c r="DA192" s="5">
        <f>IF($BI192&lt;&gt;"",IF('Capacity summary'!$C$14="Yes",IF(COUNTBLANK('Capacity summary'!$H104:$BG104)&lt;52,IF('Capacity summary'!AX104&lt;&gt;"",IF(LOWER('Capacity summary'!AX104)="x",$BI192*AX192,VALUE('Capacity summary'!AX104)),0),AX192*$BI192),AX192*$BI192),0)</f>
        <v>0</v>
      </c>
      <c r="DB192" s="5">
        <f>IF($BI192&lt;&gt;"",IF('Capacity summary'!$C$14="Yes",IF(COUNTBLANK('Capacity summary'!$H104:$BG104)&lt;52,IF('Capacity summary'!AY104&lt;&gt;"",IF(LOWER('Capacity summary'!AY104)="x",$BI192*AY192,VALUE('Capacity summary'!AY104)),0),AY192*$BI192),AY192*$BI192),0)</f>
        <v>0</v>
      </c>
      <c r="DC192" s="5">
        <f>IF($BI192&lt;&gt;"",IF('Capacity summary'!$C$14="Yes",IF(COUNTBLANK('Capacity summary'!$H104:$BG104)&lt;52,IF('Capacity summary'!AZ104&lt;&gt;"",IF(LOWER('Capacity summary'!AZ104)="x",$BI192*AZ192,VALUE('Capacity summary'!AZ104)),0),AZ192*$BI192),AZ192*$BI192),0)</f>
        <v>0</v>
      </c>
      <c r="DD192" s="5">
        <f>IF($BI192&lt;&gt;"",IF('Capacity summary'!$C$14="Yes",IF(COUNTBLANK('Capacity summary'!$H104:$BG104)&lt;52,IF('Capacity summary'!BA104&lt;&gt;"",IF(LOWER('Capacity summary'!BA104)="x",$BI192*BA192,VALUE('Capacity summary'!BA104)),0),BA192*$BI192),BA192*$BI192),0)</f>
        <v>0</v>
      </c>
      <c r="DE192" s="5">
        <f>IF($BI192&lt;&gt;"",IF('Capacity summary'!$C$14="Yes",IF(COUNTBLANK('Capacity summary'!$H104:$BG104)&lt;52,IF('Capacity summary'!BB104&lt;&gt;"",IF(LOWER('Capacity summary'!BB104)="x",$BI192*BB192,VALUE('Capacity summary'!BB104)),0),BB192*$BI192),BB192*$BI192),0)</f>
        <v>0</v>
      </c>
      <c r="DF192" s="5">
        <f>IF($BI192&lt;&gt;"",IF('Capacity summary'!$C$14="Yes",IF(COUNTBLANK('Capacity summary'!$H104:$BG104)&lt;52,IF('Capacity summary'!BC104&lt;&gt;"",IF(LOWER('Capacity summary'!BC104)="x",$BI192*BC192,VALUE('Capacity summary'!BC104)),0),BC192*$BI192),BC192*$BI192),0)</f>
        <v>0</v>
      </c>
      <c r="DG192" s="5">
        <f>IF($BI192&lt;&gt;"",IF('Capacity summary'!$C$14="Yes",IF(COUNTBLANK('Capacity summary'!$H104:$BG104)&lt;52,IF('Capacity summary'!BD104&lt;&gt;"",IF(LOWER('Capacity summary'!BD104)="x",$BI192*BD192,VALUE('Capacity summary'!BD104)),0),BD192*$BI192),BD192*$BI192),0)</f>
        <v>0</v>
      </c>
      <c r="DH192" s="5">
        <f>IF($BI192&lt;&gt;"",IF('Capacity summary'!$C$14="Yes",IF(COUNTBLANK('Capacity summary'!$H104:$BG104)&lt;52,IF('Capacity summary'!BE104&lt;&gt;"",IF(LOWER('Capacity summary'!BE104)="x",$BI192*BE192,VALUE('Capacity summary'!BE104)),0),BE192*$BI192),BE192*$BI192),0)</f>
        <v>0</v>
      </c>
      <c r="DI192" s="5">
        <f>IF($BI192&lt;&gt;"",IF('Capacity summary'!$C$14="Yes",IF(COUNTBLANK('Capacity summary'!$H104:$BG104)&lt;52,IF('Capacity summary'!BF104&lt;&gt;"",IF(LOWER('Capacity summary'!BF104)="x",$BI192*BF192,VALUE('Capacity summary'!BF104)),0),BF192*$BI192),BF192*$BI192),0)</f>
        <v>0</v>
      </c>
      <c r="DJ192" s="5">
        <f>IF($BI192&lt;&gt;"",IF('Capacity summary'!$C$14="Yes",IF(COUNTBLANK('Capacity summary'!$H104:$BG104)&lt;52,IF('Capacity summary'!BG104&lt;&gt;"",IF(LOWER('Capacity summary'!BG104)="x",$BI192*BG192,VALUE('Capacity summary'!BG104)),0),BG192*$BI192),BG192*$BI192),0)</f>
        <v>0</v>
      </c>
      <c r="DK192" s="5">
        <f t="shared" ref="DK192" si="86">SUM(DK193:DK292)</f>
        <v>0</v>
      </c>
    </row>
    <row r="193" spans="3:115" x14ac:dyDescent="0.25">
      <c r="C193" s="67" t="str">
        <f>ROW(A82)&amp;". "&amp;Capacity!N98</f>
        <v xml:space="preserve">82. </v>
      </c>
      <c r="D193" s="67">
        <f>'Capacity setup'!C199</f>
        <v>0</v>
      </c>
      <c r="E193" s="67">
        <f>'Capacity setup'!D199</f>
        <v>0</v>
      </c>
      <c r="F193" s="67">
        <f>'Capacity setup'!E199</f>
        <v>0</v>
      </c>
      <c r="H193" s="67">
        <f ca="1">IF(AND(SUMIF(Capacity_Resource,$D193,'Critical resources (hide)'!U$6:U$105)+SUMIF(Capacity_Resource,$E193,'Critical resources (hide)'!U$6:U$105)+SUMIF(Capacity_Resource,$F193,'Critical resources (hide)'!U$6:U$105)&gt;0,$E$1=2),0,1)</f>
        <v>1</v>
      </c>
      <c r="I193" s="67">
        <f ca="1">IF(AND(SUMIF(Capacity_Resource,$D193,'Critical resources (hide)'!V$6:V$105)+SUMIF(Capacity_Resource,$E193,'Critical resources (hide)'!V$6:V$105)+SUMIF(Capacity_Resource,$F193,'Critical resources (hide)'!V$6:V$105)&gt;0,$E$1=2),0,1)</f>
        <v>1</v>
      </c>
      <c r="J193" s="67">
        <f ca="1">IF(AND(SUMIF(Capacity_Resource,$D193,'Critical resources (hide)'!W$6:W$105)+SUMIF(Capacity_Resource,$E193,'Critical resources (hide)'!W$6:W$105)+SUMIF(Capacity_Resource,$F193,'Critical resources (hide)'!W$6:W$105)&gt;0,$E$1=2),0,1)</f>
        <v>1</v>
      </c>
      <c r="K193" s="67">
        <f ca="1">IF(AND(SUMIF(Capacity_Resource,$D193,'Critical resources (hide)'!X$6:X$105)+SUMIF(Capacity_Resource,$E193,'Critical resources (hide)'!X$6:X$105)+SUMIF(Capacity_Resource,$F193,'Critical resources (hide)'!X$6:X$105)&gt;0,$E$1=2),0,1)</f>
        <v>1</v>
      </c>
      <c r="L193" s="67">
        <f ca="1">IF(AND(SUMIF(Capacity_Resource,$D193,'Critical resources (hide)'!Y$6:Y$105)+SUMIF(Capacity_Resource,$E193,'Critical resources (hide)'!Y$6:Y$105)+SUMIF(Capacity_Resource,$F193,'Critical resources (hide)'!Y$6:Y$105)&gt;0,$E$1=2),0,1)</f>
        <v>1</v>
      </c>
      <c r="M193" s="67">
        <f ca="1">IF(AND(SUMIF(Capacity_Resource,$D193,'Critical resources (hide)'!Z$6:Z$105)+SUMIF(Capacity_Resource,$E193,'Critical resources (hide)'!Z$6:Z$105)+SUMIF(Capacity_Resource,$F193,'Critical resources (hide)'!Z$6:Z$105)&gt;0,$E$1=2),0,1)</f>
        <v>1</v>
      </c>
      <c r="N193" s="67">
        <f ca="1">IF(AND(SUMIF(Capacity_Resource,$D193,'Critical resources (hide)'!AA$6:AA$105)+SUMIF(Capacity_Resource,$E193,'Critical resources (hide)'!AA$6:AA$105)+SUMIF(Capacity_Resource,$F193,'Critical resources (hide)'!AA$6:AA$105)&gt;0,$E$1=2),0,1)</f>
        <v>1</v>
      </c>
      <c r="O193" s="67">
        <f ca="1">IF(AND(SUMIF(Capacity_Resource,$D193,'Critical resources (hide)'!AB$6:AB$105)+SUMIF(Capacity_Resource,$E193,'Critical resources (hide)'!AB$6:AB$105)+SUMIF(Capacity_Resource,$F193,'Critical resources (hide)'!AB$6:AB$105)&gt;0,$E$1=2),0,1)</f>
        <v>1</v>
      </c>
      <c r="P193" s="67">
        <f ca="1">IF(AND(SUMIF(Capacity_Resource,$D193,'Critical resources (hide)'!AC$6:AC$105)+SUMIF(Capacity_Resource,$E193,'Critical resources (hide)'!AC$6:AC$105)+SUMIF(Capacity_Resource,$F193,'Critical resources (hide)'!AC$6:AC$105)&gt;0,$E$1=2),0,1)</f>
        <v>1</v>
      </c>
      <c r="Q193" s="67">
        <f ca="1">IF(AND(SUMIF(Capacity_Resource,$D193,'Critical resources (hide)'!AD$6:AD$105)+SUMIF(Capacity_Resource,$E193,'Critical resources (hide)'!AD$6:AD$105)+SUMIF(Capacity_Resource,$F193,'Critical resources (hide)'!AD$6:AD$105)&gt;0,$E$1=2),0,1)</f>
        <v>1</v>
      </c>
      <c r="R193" s="67">
        <f ca="1">IF(AND(SUMIF(Capacity_Resource,$D193,'Critical resources (hide)'!AE$6:AE$105)+SUMIF(Capacity_Resource,$E193,'Critical resources (hide)'!AE$6:AE$105)+SUMIF(Capacity_Resource,$F193,'Critical resources (hide)'!AE$6:AE$105)&gt;0,$E$1=2),0,1)</f>
        <v>1</v>
      </c>
      <c r="S193" s="67">
        <f ca="1">IF(AND(SUMIF(Capacity_Resource,$D193,'Critical resources (hide)'!AF$6:AF$105)+SUMIF(Capacity_Resource,$E193,'Critical resources (hide)'!AF$6:AF$105)+SUMIF(Capacity_Resource,$F193,'Critical resources (hide)'!AF$6:AF$105)&gt;0,$E$1=2),0,1)</f>
        <v>1</v>
      </c>
      <c r="T193" s="67">
        <f ca="1">IF(AND(SUMIF(Capacity_Resource,$D193,'Critical resources (hide)'!AG$6:AG$105)+SUMIF(Capacity_Resource,$E193,'Critical resources (hide)'!AG$6:AG$105)+SUMIF(Capacity_Resource,$F193,'Critical resources (hide)'!AG$6:AG$105)&gt;0,$E$1=2),0,1)</f>
        <v>1</v>
      </c>
      <c r="U193" s="67">
        <f ca="1">IF(AND(SUMIF(Capacity_Resource,$D193,'Critical resources (hide)'!AH$6:AH$105)+SUMIF(Capacity_Resource,$E193,'Critical resources (hide)'!AH$6:AH$105)+SUMIF(Capacity_Resource,$F193,'Critical resources (hide)'!AH$6:AH$105)&gt;0,$E$1=2),0,1)</f>
        <v>1</v>
      </c>
      <c r="V193" s="67">
        <f ca="1">IF(AND(SUMIF(Capacity_Resource,$D193,'Critical resources (hide)'!AI$6:AI$105)+SUMIF(Capacity_Resource,$E193,'Critical resources (hide)'!AI$6:AI$105)+SUMIF(Capacity_Resource,$F193,'Critical resources (hide)'!AI$6:AI$105)&gt;0,$E$1=2),0,1)</f>
        <v>1</v>
      </c>
      <c r="W193" s="67">
        <f ca="1">IF(AND(SUMIF(Capacity_Resource,$D193,'Critical resources (hide)'!AJ$6:AJ$105)+SUMIF(Capacity_Resource,$E193,'Critical resources (hide)'!AJ$6:AJ$105)+SUMIF(Capacity_Resource,$F193,'Critical resources (hide)'!AJ$6:AJ$105)&gt;0,$E$1=2),0,1)</f>
        <v>1</v>
      </c>
      <c r="X193" s="67">
        <f ca="1">IF(AND(SUMIF(Capacity_Resource,$D193,'Critical resources (hide)'!AK$6:AK$105)+SUMIF(Capacity_Resource,$E193,'Critical resources (hide)'!AK$6:AK$105)+SUMIF(Capacity_Resource,$F193,'Critical resources (hide)'!AK$6:AK$105)&gt;0,$E$1=2),0,1)</f>
        <v>1</v>
      </c>
      <c r="Y193" s="67">
        <f ca="1">IF(AND(SUMIF(Capacity_Resource,$D193,'Critical resources (hide)'!AL$6:AL$105)+SUMIF(Capacity_Resource,$E193,'Critical resources (hide)'!AL$6:AL$105)+SUMIF(Capacity_Resource,$F193,'Critical resources (hide)'!AL$6:AL$105)&gt;0,$E$1=2),0,1)</f>
        <v>1</v>
      </c>
      <c r="Z193" s="67">
        <f ca="1">IF(AND(SUMIF(Capacity_Resource,$D193,'Critical resources (hide)'!AM$6:AM$105)+SUMIF(Capacity_Resource,$E193,'Critical resources (hide)'!AM$6:AM$105)+SUMIF(Capacity_Resource,$F193,'Critical resources (hide)'!AM$6:AM$105)&gt;0,$E$1=2),0,1)</f>
        <v>1</v>
      </c>
      <c r="AA193" s="67">
        <f ca="1">IF(AND(SUMIF(Capacity_Resource,$D193,'Critical resources (hide)'!AN$6:AN$105)+SUMIF(Capacity_Resource,$E193,'Critical resources (hide)'!AN$6:AN$105)+SUMIF(Capacity_Resource,$F193,'Critical resources (hide)'!AN$6:AN$105)&gt;0,$E$1=2),0,1)</f>
        <v>1</v>
      </c>
      <c r="AB193" s="67">
        <f ca="1">IF(AND(SUMIF(Capacity_Resource,$D193,'Critical resources (hide)'!AO$6:AO$105)+SUMIF(Capacity_Resource,$E193,'Critical resources (hide)'!AO$6:AO$105)+SUMIF(Capacity_Resource,$F193,'Critical resources (hide)'!AO$6:AO$105)&gt;0,$E$1=2),0,1)</f>
        <v>1</v>
      </c>
      <c r="AC193" s="67">
        <f ca="1">IF(AND(SUMIF(Capacity_Resource,$D193,'Critical resources (hide)'!AP$6:AP$105)+SUMIF(Capacity_Resource,$E193,'Critical resources (hide)'!AP$6:AP$105)+SUMIF(Capacity_Resource,$F193,'Critical resources (hide)'!AP$6:AP$105)&gt;0,$E$1=2),0,1)</f>
        <v>1</v>
      </c>
      <c r="AD193" s="67">
        <f ca="1">IF(AND(SUMIF(Capacity_Resource,$D193,'Critical resources (hide)'!AQ$6:AQ$105)+SUMIF(Capacity_Resource,$E193,'Critical resources (hide)'!AQ$6:AQ$105)+SUMIF(Capacity_Resource,$F193,'Critical resources (hide)'!AQ$6:AQ$105)&gt;0,$E$1=2),0,1)</f>
        <v>1</v>
      </c>
      <c r="AE193" s="67">
        <f ca="1">IF(AND(SUMIF(Capacity_Resource,$D193,'Critical resources (hide)'!AR$6:AR$105)+SUMIF(Capacity_Resource,$E193,'Critical resources (hide)'!AR$6:AR$105)+SUMIF(Capacity_Resource,$F193,'Critical resources (hide)'!AR$6:AR$105)&gt;0,$E$1=2),0,1)</f>
        <v>1</v>
      </c>
      <c r="AF193" s="67">
        <f ca="1">IF(AND(SUMIF(Capacity_Resource,$D193,'Critical resources (hide)'!AS$6:AS$105)+SUMIF(Capacity_Resource,$E193,'Critical resources (hide)'!AS$6:AS$105)+SUMIF(Capacity_Resource,$F193,'Critical resources (hide)'!AS$6:AS$105)&gt;0,$E$1=2),0,1)</f>
        <v>1</v>
      </c>
      <c r="AG193" s="67">
        <f ca="1">IF(AND(SUMIF(Capacity_Resource,$D193,'Critical resources (hide)'!AT$6:AT$105)+SUMIF(Capacity_Resource,$E193,'Critical resources (hide)'!AT$6:AT$105)+SUMIF(Capacity_Resource,$F193,'Critical resources (hide)'!AT$6:AT$105)&gt;0,$E$1=2),0,1)</f>
        <v>1</v>
      </c>
      <c r="AH193" s="67">
        <f ca="1">IF(AND(SUMIF(Capacity_Resource,$D193,'Critical resources (hide)'!AU$6:AU$105)+SUMIF(Capacity_Resource,$E193,'Critical resources (hide)'!AU$6:AU$105)+SUMIF(Capacity_Resource,$F193,'Critical resources (hide)'!AU$6:AU$105)&gt;0,$E$1=2),0,1)</f>
        <v>1</v>
      </c>
      <c r="AI193" s="67">
        <f ca="1">IF(AND(SUMIF(Capacity_Resource,$D193,'Critical resources (hide)'!AV$6:AV$105)+SUMIF(Capacity_Resource,$E193,'Critical resources (hide)'!AV$6:AV$105)+SUMIF(Capacity_Resource,$F193,'Critical resources (hide)'!AV$6:AV$105)&gt;0,$E$1=2),0,1)</f>
        <v>1</v>
      </c>
      <c r="AJ193" s="67">
        <f ca="1">IF(AND(SUMIF(Capacity_Resource,$D193,'Critical resources (hide)'!AW$6:AW$105)+SUMIF(Capacity_Resource,$E193,'Critical resources (hide)'!AW$6:AW$105)+SUMIF(Capacity_Resource,$F193,'Critical resources (hide)'!AW$6:AW$105)&gt;0,$E$1=2),0,1)</f>
        <v>1</v>
      </c>
      <c r="AK193" s="67">
        <f ca="1">IF(AND(SUMIF(Capacity_Resource,$D193,'Critical resources (hide)'!AX$6:AX$105)+SUMIF(Capacity_Resource,$E193,'Critical resources (hide)'!AX$6:AX$105)+SUMIF(Capacity_Resource,$F193,'Critical resources (hide)'!AX$6:AX$105)&gt;0,$E$1=2),0,1)</f>
        <v>1</v>
      </c>
      <c r="AL193" s="67">
        <f ca="1">IF(AND(SUMIF(Capacity_Resource,$D193,'Critical resources (hide)'!AY$6:AY$105)+SUMIF(Capacity_Resource,$E193,'Critical resources (hide)'!AY$6:AY$105)+SUMIF(Capacity_Resource,$F193,'Critical resources (hide)'!AY$6:AY$105)&gt;0,$E$1=2),0,1)</f>
        <v>1</v>
      </c>
      <c r="AM193" s="67">
        <f ca="1">IF(AND(SUMIF(Capacity_Resource,$D193,'Critical resources (hide)'!AZ$6:AZ$105)+SUMIF(Capacity_Resource,$E193,'Critical resources (hide)'!AZ$6:AZ$105)+SUMIF(Capacity_Resource,$F193,'Critical resources (hide)'!AZ$6:AZ$105)&gt;0,$E$1=2),0,1)</f>
        <v>1</v>
      </c>
      <c r="AN193" s="67">
        <f ca="1">IF(AND(SUMIF(Capacity_Resource,$D193,'Critical resources (hide)'!BA$6:BA$105)+SUMIF(Capacity_Resource,$E193,'Critical resources (hide)'!BA$6:BA$105)+SUMIF(Capacity_Resource,$F193,'Critical resources (hide)'!BA$6:BA$105)&gt;0,$E$1=2),0,1)</f>
        <v>1</v>
      </c>
      <c r="AO193" s="67">
        <f ca="1">IF(AND(SUMIF(Capacity_Resource,$D193,'Critical resources (hide)'!BB$6:BB$105)+SUMIF(Capacity_Resource,$E193,'Critical resources (hide)'!BB$6:BB$105)+SUMIF(Capacity_Resource,$F193,'Critical resources (hide)'!BB$6:BB$105)&gt;0,$E$1=2),0,1)</f>
        <v>1</v>
      </c>
      <c r="AP193" s="67">
        <f ca="1">IF(AND(SUMIF(Capacity_Resource,$D193,'Critical resources (hide)'!BC$6:BC$105)+SUMIF(Capacity_Resource,$E193,'Critical resources (hide)'!BC$6:BC$105)+SUMIF(Capacity_Resource,$F193,'Critical resources (hide)'!BC$6:BC$105)&gt;0,$E$1=2),0,1)</f>
        <v>1</v>
      </c>
      <c r="AQ193" s="67">
        <f ca="1">IF(AND(SUMIF(Capacity_Resource,$D193,'Critical resources (hide)'!BD$6:BD$105)+SUMIF(Capacity_Resource,$E193,'Critical resources (hide)'!BD$6:BD$105)+SUMIF(Capacity_Resource,$F193,'Critical resources (hide)'!BD$6:BD$105)&gt;0,$E$1=2),0,1)</f>
        <v>1</v>
      </c>
      <c r="AR193" s="67">
        <f ca="1">IF(AND(SUMIF(Capacity_Resource,$D193,'Critical resources (hide)'!BE$6:BE$105)+SUMIF(Capacity_Resource,$E193,'Critical resources (hide)'!BE$6:BE$105)+SUMIF(Capacity_Resource,$F193,'Critical resources (hide)'!BE$6:BE$105)&gt;0,$E$1=2),0,1)</f>
        <v>1</v>
      </c>
      <c r="AS193" s="67">
        <f ca="1">IF(AND(SUMIF(Capacity_Resource,$D193,'Critical resources (hide)'!BF$6:BF$105)+SUMIF(Capacity_Resource,$E193,'Critical resources (hide)'!BF$6:BF$105)+SUMIF(Capacity_Resource,$F193,'Critical resources (hide)'!BF$6:BF$105)&gt;0,$E$1=2),0,1)</f>
        <v>1</v>
      </c>
      <c r="AT193" s="67">
        <f ca="1">IF(AND(SUMIF(Capacity_Resource,$D193,'Critical resources (hide)'!BG$6:BG$105)+SUMIF(Capacity_Resource,$E193,'Critical resources (hide)'!BG$6:BG$105)+SUMIF(Capacity_Resource,$F193,'Critical resources (hide)'!BG$6:BG$105)&gt;0,$E$1=2),0,1)</f>
        <v>1</v>
      </c>
      <c r="AU193" s="67">
        <f ca="1">IF(AND(SUMIF(Capacity_Resource,$D193,'Critical resources (hide)'!BH$6:BH$105)+SUMIF(Capacity_Resource,$E193,'Critical resources (hide)'!BH$6:BH$105)+SUMIF(Capacity_Resource,$F193,'Critical resources (hide)'!BH$6:BH$105)&gt;0,$E$1=2),0,1)</f>
        <v>1</v>
      </c>
      <c r="AV193" s="67">
        <f ca="1">IF(AND(SUMIF(Capacity_Resource,$D193,'Critical resources (hide)'!BI$6:BI$105)+SUMIF(Capacity_Resource,$E193,'Critical resources (hide)'!BI$6:BI$105)+SUMIF(Capacity_Resource,$F193,'Critical resources (hide)'!BI$6:BI$105)&gt;0,$E$1=2),0,1)</f>
        <v>1</v>
      </c>
      <c r="AW193" s="67">
        <f ca="1">IF(AND(SUMIF(Capacity_Resource,$D193,'Critical resources (hide)'!BJ$6:BJ$105)+SUMIF(Capacity_Resource,$E193,'Critical resources (hide)'!BJ$6:BJ$105)+SUMIF(Capacity_Resource,$F193,'Critical resources (hide)'!BJ$6:BJ$105)&gt;0,$E$1=2),0,1)</f>
        <v>1</v>
      </c>
      <c r="AX193" s="67">
        <f ca="1">IF(AND(SUMIF(Capacity_Resource,$D193,'Critical resources (hide)'!BK$6:BK$105)+SUMIF(Capacity_Resource,$E193,'Critical resources (hide)'!BK$6:BK$105)+SUMIF(Capacity_Resource,$F193,'Critical resources (hide)'!BK$6:BK$105)&gt;0,$E$1=2),0,1)</f>
        <v>1</v>
      </c>
      <c r="AY193" s="67">
        <f ca="1">IF(AND(SUMIF(Capacity_Resource,$D193,'Critical resources (hide)'!BL$6:BL$105)+SUMIF(Capacity_Resource,$E193,'Critical resources (hide)'!BL$6:BL$105)+SUMIF(Capacity_Resource,$F193,'Critical resources (hide)'!BL$6:BL$105)&gt;0,$E$1=2),0,1)</f>
        <v>1</v>
      </c>
      <c r="AZ193" s="67">
        <f ca="1">IF(AND(SUMIF(Capacity_Resource,$D193,'Critical resources (hide)'!BM$6:BM$105)+SUMIF(Capacity_Resource,$E193,'Critical resources (hide)'!BM$6:BM$105)+SUMIF(Capacity_Resource,$F193,'Critical resources (hide)'!BM$6:BM$105)&gt;0,$E$1=2),0,1)</f>
        <v>1</v>
      </c>
      <c r="BA193" s="67">
        <f ca="1">IF(AND(SUMIF(Capacity_Resource,$D193,'Critical resources (hide)'!BN$6:BN$105)+SUMIF(Capacity_Resource,$E193,'Critical resources (hide)'!BN$6:BN$105)+SUMIF(Capacity_Resource,$F193,'Critical resources (hide)'!BN$6:BN$105)&gt;0,$E$1=2),0,1)</f>
        <v>1</v>
      </c>
      <c r="BB193" s="67">
        <f ca="1">IF(AND(SUMIF(Capacity_Resource,$D193,'Critical resources (hide)'!BO$6:BO$105)+SUMIF(Capacity_Resource,$E193,'Critical resources (hide)'!BO$6:BO$105)+SUMIF(Capacity_Resource,$F193,'Critical resources (hide)'!BO$6:BO$105)&gt;0,$E$1=2),0,1)</f>
        <v>1</v>
      </c>
      <c r="BC193" s="67">
        <f ca="1">IF(AND(SUMIF(Capacity_Resource,$D193,'Critical resources (hide)'!BP$6:BP$105)+SUMIF(Capacity_Resource,$E193,'Critical resources (hide)'!BP$6:BP$105)+SUMIF(Capacity_Resource,$F193,'Critical resources (hide)'!BP$6:BP$105)&gt;0,$E$1=2),0,1)</f>
        <v>1</v>
      </c>
      <c r="BD193" s="67">
        <f ca="1">IF(AND(SUMIF(Capacity_Resource,$D193,'Critical resources (hide)'!BQ$6:BQ$105)+SUMIF(Capacity_Resource,$E193,'Critical resources (hide)'!BQ$6:BQ$105)+SUMIF(Capacity_Resource,$F193,'Critical resources (hide)'!BQ$6:BQ$105)&gt;0,$E$1=2),0,1)</f>
        <v>1</v>
      </c>
      <c r="BE193" s="67">
        <f ca="1">IF(AND(SUMIF(Capacity_Resource,$D193,'Critical resources (hide)'!BR$6:BR$105)+SUMIF(Capacity_Resource,$E193,'Critical resources (hide)'!BR$6:BR$105)+SUMIF(Capacity_Resource,$F193,'Critical resources (hide)'!BR$6:BR$105)&gt;0,$E$1=2),0,1)</f>
        <v>1</v>
      </c>
      <c r="BF193" s="67">
        <f ca="1">IF(AND(SUMIF(Capacity_Resource,$D193,'Critical resources (hide)'!BS$6:BS$105)+SUMIF(Capacity_Resource,$E193,'Critical resources (hide)'!BS$6:BS$105)+SUMIF(Capacity_Resource,$F193,'Critical resources (hide)'!BS$6:BS$105)&gt;0,$E$1=2),0,1)</f>
        <v>1</v>
      </c>
      <c r="BG193" s="67">
        <f ca="1">IF(AND(SUMIF(Capacity_Resource,$D193,'Critical resources (hide)'!BT$6:BT$105)+SUMIF(Capacity_Resource,$E193,'Critical resources (hide)'!BT$6:BT$105)+SUMIF(Capacity_Resource,$F193,'Critical resources (hide)'!BT$6:BT$105)&gt;0,$E$1=2),0,1)</f>
        <v>1</v>
      </c>
      <c r="BH193" s="67">
        <f>IF(ROW(A82)&lt;=Capacity!$M$16,IF('Capacity summary'!$C$14="No",SUM(H193:BG193),'Capacity summary'!$E105),0)</f>
        <v>0</v>
      </c>
      <c r="BI193" s="67" t="str">
        <f>IF(BH193&gt;0,IF(BH193&lt;Capacity!Q98,Capacity!R98,Capacity!T98/'Capacity calculation (hide)'!BH193),"")</f>
        <v/>
      </c>
      <c r="BJ193" s="5"/>
      <c r="BK193" s="5">
        <f>IF($BI193&lt;&gt;"",IF('Capacity summary'!$C$14="Yes",IF(COUNTBLANK('Capacity summary'!$H105:$BG105)&lt;52,IF('Capacity summary'!H105&lt;&gt;"",IF(LOWER('Capacity summary'!H105)="x",$BI193*H193,VALUE('Capacity summary'!H105)),0),H193*$BI193),H193*$BI193),0)</f>
        <v>0</v>
      </c>
      <c r="BL193" s="5">
        <f>IF($BI193&lt;&gt;"",IF('Capacity summary'!$C$14="Yes",IF(COUNTBLANK('Capacity summary'!$H105:$BG105)&lt;52,IF('Capacity summary'!I105&lt;&gt;"",IF(LOWER('Capacity summary'!I105)="x",$BI193*I193,VALUE('Capacity summary'!I105)),0),I193*$BI193),I193*$BI193),0)</f>
        <v>0</v>
      </c>
      <c r="BM193" s="5">
        <f>IF($BI193&lt;&gt;"",IF('Capacity summary'!$C$14="Yes",IF(COUNTBLANK('Capacity summary'!$H105:$BG105)&lt;52,IF('Capacity summary'!J105&lt;&gt;"",IF(LOWER('Capacity summary'!J105)="x",$BI193*J193,VALUE('Capacity summary'!J105)),0),J193*$BI193),J193*$BI193),0)</f>
        <v>0</v>
      </c>
      <c r="BN193" s="5">
        <f>IF($BI193&lt;&gt;"",IF('Capacity summary'!$C$14="Yes",IF(COUNTBLANK('Capacity summary'!$H105:$BG105)&lt;52,IF('Capacity summary'!K105&lt;&gt;"",IF(LOWER('Capacity summary'!K105)="x",$BI193*K193,VALUE('Capacity summary'!K105)),0),K193*$BI193),K193*$BI193),0)</f>
        <v>0</v>
      </c>
      <c r="BO193" s="5">
        <f>IF($BI193&lt;&gt;"",IF('Capacity summary'!$C$14="Yes",IF(COUNTBLANK('Capacity summary'!$H105:$BG105)&lt;52,IF('Capacity summary'!L105&lt;&gt;"",IF(LOWER('Capacity summary'!L105)="x",$BI193*L193,VALUE('Capacity summary'!L105)),0),L193*$BI193),L193*$BI193),0)</f>
        <v>0</v>
      </c>
      <c r="BP193" s="5">
        <f>IF($BI193&lt;&gt;"",IF('Capacity summary'!$C$14="Yes",IF(COUNTBLANK('Capacity summary'!$H105:$BG105)&lt;52,IF('Capacity summary'!M105&lt;&gt;"",IF(LOWER('Capacity summary'!M105)="x",$BI193*M193,VALUE('Capacity summary'!M105)),0),M193*$BI193),M193*$BI193),0)</f>
        <v>0</v>
      </c>
      <c r="BQ193" s="5">
        <f>IF($BI193&lt;&gt;"",IF('Capacity summary'!$C$14="Yes",IF(COUNTBLANK('Capacity summary'!$H105:$BG105)&lt;52,IF('Capacity summary'!N105&lt;&gt;"",IF(LOWER('Capacity summary'!N105)="x",$BI193*N193,VALUE('Capacity summary'!N105)),0),N193*$BI193),N193*$BI193),0)</f>
        <v>0</v>
      </c>
      <c r="BR193" s="5">
        <f>IF($BI193&lt;&gt;"",IF('Capacity summary'!$C$14="Yes",IF(COUNTBLANK('Capacity summary'!$H105:$BG105)&lt;52,IF('Capacity summary'!O105&lt;&gt;"",IF(LOWER('Capacity summary'!O105)="x",$BI193*O193,VALUE('Capacity summary'!O105)),0),O193*$BI193),O193*$BI193),0)</f>
        <v>0</v>
      </c>
      <c r="BS193" s="5">
        <f>IF($BI193&lt;&gt;"",IF('Capacity summary'!$C$14="Yes",IF(COUNTBLANK('Capacity summary'!$H105:$BG105)&lt;52,IF('Capacity summary'!P105&lt;&gt;"",IF(LOWER('Capacity summary'!P105)="x",$BI193*P193,VALUE('Capacity summary'!P105)),0),P193*$BI193),P193*$BI193),0)</f>
        <v>0</v>
      </c>
      <c r="BT193" s="5">
        <f>IF($BI193&lt;&gt;"",IF('Capacity summary'!$C$14="Yes",IF(COUNTBLANK('Capacity summary'!$H105:$BG105)&lt;52,IF('Capacity summary'!Q105&lt;&gt;"",IF(LOWER('Capacity summary'!Q105)="x",$BI193*Q193,VALUE('Capacity summary'!Q105)),0),Q193*$BI193),Q193*$BI193),0)</f>
        <v>0</v>
      </c>
      <c r="BU193" s="5">
        <f>IF($BI193&lt;&gt;"",IF('Capacity summary'!$C$14="Yes",IF(COUNTBLANK('Capacity summary'!$H105:$BG105)&lt;52,IF('Capacity summary'!R105&lt;&gt;"",IF(LOWER('Capacity summary'!R105)="x",$BI193*R193,VALUE('Capacity summary'!R105)),0),R193*$BI193),R193*$BI193),0)</f>
        <v>0</v>
      </c>
      <c r="BV193" s="5">
        <f>IF($BI193&lt;&gt;"",IF('Capacity summary'!$C$14="Yes",IF(COUNTBLANK('Capacity summary'!$H105:$BG105)&lt;52,IF('Capacity summary'!S105&lt;&gt;"",IF(LOWER('Capacity summary'!S105)="x",$BI193*S193,VALUE('Capacity summary'!S105)),0),S193*$BI193),S193*$BI193),0)</f>
        <v>0</v>
      </c>
      <c r="BW193" s="5">
        <f>IF($BI193&lt;&gt;"",IF('Capacity summary'!$C$14="Yes",IF(COUNTBLANK('Capacity summary'!$H105:$BG105)&lt;52,IF('Capacity summary'!T105&lt;&gt;"",IF(LOWER('Capacity summary'!T105)="x",$BI193*T193,VALUE('Capacity summary'!T105)),0),T193*$BI193),T193*$BI193),0)</f>
        <v>0</v>
      </c>
      <c r="BX193" s="5">
        <f>IF($BI193&lt;&gt;"",IF('Capacity summary'!$C$14="Yes",IF(COUNTBLANK('Capacity summary'!$H105:$BG105)&lt;52,IF('Capacity summary'!U105&lt;&gt;"",IF(LOWER('Capacity summary'!U105)="x",$BI193*U193,VALUE('Capacity summary'!U105)),0),U193*$BI193),U193*$BI193),0)</f>
        <v>0</v>
      </c>
      <c r="BY193" s="5">
        <f>IF($BI193&lt;&gt;"",IF('Capacity summary'!$C$14="Yes",IF(COUNTBLANK('Capacity summary'!$H105:$BG105)&lt;52,IF('Capacity summary'!V105&lt;&gt;"",IF(LOWER('Capacity summary'!V105)="x",$BI193*V193,VALUE('Capacity summary'!V105)),0),V193*$BI193),V193*$BI193),0)</f>
        <v>0</v>
      </c>
      <c r="BZ193" s="5">
        <f>IF($BI193&lt;&gt;"",IF('Capacity summary'!$C$14="Yes",IF(COUNTBLANK('Capacity summary'!$H105:$BG105)&lt;52,IF('Capacity summary'!W105&lt;&gt;"",IF(LOWER('Capacity summary'!W105)="x",$BI193*W193,VALUE('Capacity summary'!W105)),0),W193*$BI193),W193*$BI193),0)</f>
        <v>0</v>
      </c>
      <c r="CA193" s="5">
        <f>IF($BI193&lt;&gt;"",IF('Capacity summary'!$C$14="Yes",IF(COUNTBLANK('Capacity summary'!$H105:$BG105)&lt;52,IF('Capacity summary'!X105&lt;&gt;"",IF(LOWER('Capacity summary'!X105)="x",$BI193*X193,VALUE('Capacity summary'!X105)),0),X193*$BI193),X193*$BI193),0)</f>
        <v>0</v>
      </c>
      <c r="CB193" s="5">
        <f>IF($BI193&lt;&gt;"",IF('Capacity summary'!$C$14="Yes",IF(COUNTBLANK('Capacity summary'!$H105:$BG105)&lt;52,IF('Capacity summary'!Y105&lt;&gt;"",IF(LOWER('Capacity summary'!Y105)="x",$BI193*Y193,VALUE('Capacity summary'!Y105)),0),Y193*$BI193),Y193*$BI193),0)</f>
        <v>0</v>
      </c>
      <c r="CC193" s="5">
        <f>IF($BI193&lt;&gt;"",IF('Capacity summary'!$C$14="Yes",IF(COUNTBLANK('Capacity summary'!$H105:$BG105)&lt;52,IF('Capacity summary'!Z105&lt;&gt;"",IF(LOWER('Capacity summary'!Z105)="x",$BI193*Z193,VALUE('Capacity summary'!Z105)),0),Z193*$BI193),Z193*$BI193),0)</f>
        <v>0</v>
      </c>
      <c r="CD193" s="5">
        <f>IF($BI193&lt;&gt;"",IF('Capacity summary'!$C$14="Yes",IF(COUNTBLANK('Capacity summary'!$H105:$BG105)&lt;52,IF('Capacity summary'!AA105&lt;&gt;"",IF(LOWER('Capacity summary'!AA105)="x",$BI193*AA193,VALUE('Capacity summary'!AA105)),0),AA193*$BI193),AA193*$BI193),0)</f>
        <v>0</v>
      </c>
      <c r="CE193" s="5">
        <f>IF($BI193&lt;&gt;"",IF('Capacity summary'!$C$14="Yes",IF(COUNTBLANK('Capacity summary'!$H105:$BG105)&lt;52,IF('Capacity summary'!AB105&lt;&gt;"",IF(LOWER('Capacity summary'!AB105)="x",$BI193*AB193,VALUE('Capacity summary'!AB105)),0),AB193*$BI193),AB193*$BI193),0)</f>
        <v>0</v>
      </c>
      <c r="CF193" s="5">
        <f>IF($BI193&lt;&gt;"",IF('Capacity summary'!$C$14="Yes",IF(COUNTBLANK('Capacity summary'!$H105:$BG105)&lt;52,IF('Capacity summary'!AC105&lt;&gt;"",IF(LOWER('Capacity summary'!AC105)="x",$BI193*AC193,VALUE('Capacity summary'!AC105)),0),AC193*$BI193),AC193*$BI193),0)</f>
        <v>0</v>
      </c>
      <c r="CG193" s="5">
        <f>IF($BI193&lt;&gt;"",IF('Capacity summary'!$C$14="Yes",IF(COUNTBLANK('Capacity summary'!$H105:$BG105)&lt;52,IF('Capacity summary'!AD105&lt;&gt;"",IF(LOWER('Capacity summary'!AD105)="x",$BI193*AD193,VALUE('Capacity summary'!AD105)),0),AD193*$BI193),AD193*$BI193),0)</f>
        <v>0</v>
      </c>
      <c r="CH193" s="5">
        <f>IF($BI193&lt;&gt;"",IF('Capacity summary'!$C$14="Yes",IF(COUNTBLANK('Capacity summary'!$H105:$BG105)&lt;52,IF('Capacity summary'!AE105&lt;&gt;"",IF(LOWER('Capacity summary'!AE105)="x",$BI193*AE193,VALUE('Capacity summary'!AE105)),0),AE193*$BI193),AE193*$BI193),0)</f>
        <v>0</v>
      </c>
      <c r="CI193" s="5">
        <f>IF($BI193&lt;&gt;"",IF('Capacity summary'!$C$14="Yes",IF(COUNTBLANK('Capacity summary'!$H105:$BG105)&lt;52,IF('Capacity summary'!AF105&lt;&gt;"",IF(LOWER('Capacity summary'!AF105)="x",$BI193*AF193,VALUE('Capacity summary'!AF105)),0),AF193*$BI193),AF193*$BI193),0)</f>
        <v>0</v>
      </c>
      <c r="CJ193" s="5">
        <f>IF($BI193&lt;&gt;"",IF('Capacity summary'!$C$14="Yes",IF(COUNTBLANK('Capacity summary'!$H105:$BG105)&lt;52,IF('Capacity summary'!AG105&lt;&gt;"",IF(LOWER('Capacity summary'!AG105)="x",$BI193*AG193,VALUE('Capacity summary'!AG105)),0),AG193*$BI193),AG193*$BI193),0)</f>
        <v>0</v>
      </c>
      <c r="CK193" s="5">
        <f>IF($BI193&lt;&gt;"",IF('Capacity summary'!$C$14="Yes",IF(COUNTBLANK('Capacity summary'!$H105:$BG105)&lt;52,IF('Capacity summary'!AH105&lt;&gt;"",IF(LOWER('Capacity summary'!AH105)="x",$BI193*AH193,VALUE('Capacity summary'!AH105)),0),AH193*$BI193),AH193*$BI193),0)</f>
        <v>0</v>
      </c>
      <c r="CL193" s="5">
        <f>IF($BI193&lt;&gt;"",IF('Capacity summary'!$C$14="Yes",IF(COUNTBLANK('Capacity summary'!$H105:$BG105)&lt;52,IF('Capacity summary'!AI105&lt;&gt;"",IF(LOWER('Capacity summary'!AI105)="x",$BI193*AI193,VALUE('Capacity summary'!AI105)),0),AI193*$BI193),AI193*$BI193),0)</f>
        <v>0</v>
      </c>
      <c r="CM193" s="5">
        <f>IF($BI193&lt;&gt;"",IF('Capacity summary'!$C$14="Yes",IF(COUNTBLANK('Capacity summary'!$H105:$BG105)&lt;52,IF('Capacity summary'!AJ105&lt;&gt;"",IF(LOWER('Capacity summary'!AJ105)="x",$BI193*AJ193,VALUE('Capacity summary'!AJ105)),0),AJ193*$BI193),AJ193*$BI193),0)</f>
        <v>0</v>
      </c>
      <c r="CN193" s="5">
        <f>IF($BI193&lt;&gt;"",IF('Capacity summary'!$C$14="Yes",IF(COUNTBLANK('Capacity summary'!$H105:$BG105)&lt;52,IF('Capacity summary'!AK105&lt;&gt;"",IF(LOWER('Capacity summary'!AK105)="x",$BI193*AK193,VALUE('Capacity summary'!AK105)),0),AK193*$BI193),AK193*$BI193),0)</f>
        <v>0</v>
      </c>
      <c r="CO193" s="5">
        <f>IF($BI193&lt;&gt;"",IF('Capacity summary'!$C$14="Yes",IF(COUNTBLANK('Capacity summary'!$H105:$BG105)&lt;52,IF('Capacity summary'!AL105&lt;&gt;"",IF(LOWER('Capacity summary'!AL105)="x",$BI193*AL193,VALUE('Capacity summary'!AL105)),0),AL193*$BI193),AL193*$BI193),0)</f>
        <v>0</v>
      </c>
      <c r="CP193" s="5">
        <f>IF($BI193&lt;&gt;"",IF('Capacity summary'!$C$14="Yes",IF(COUNTBLANK('Capacity summary'!$H105:$BG105)&lt;52,IF('Capacity summary'!AM105&lt;&gt;"",IF(LOWER('Capacity summary'!AM105)="x",$BI193*AM193,VALUE('Capacity summary'!AM105)),0),AM193*$BI193),AM193*$BI193),0)</f>
        <v>0</v>
      </c>
      <c r="CQ193" s="5">
        <f>IF($BI193&lt;&gt;"",IF('Capacity summary'!$C$14="Yes",IF(COUNTBLANK('Capacity summary'!$H105:$BG105)&lt;52,IF('Capacity summary'!AN105&lt;&gt;"",IF(LOWER('Capacity summary'!AN105)="x",$BI193*AN193,VALUE('Capacity summary'!AN105)),0),AN193*$BI193),AN193*$BI193),0)</f>
        <v>0</v>
      </c>
      <c r="CR193" s="5">
        <f>IF($BI193&lt;&gt;"",IF('Capacity summary'!$C$14="Yes",IF(COUNTBLANK('Capacity summary'!$H105:$BG105)&lt;52,IF('Capacity summary'!AO105&lt;&gt;"",IF(LOWER('Capacity summary'!AO105)="x",$BI193*AO193,VALUE('Capacity summary'!AO105)),0),AO193*$BI193),AO193*$BI193),0)</f>
        <v>0</v>
      </c>
      <c r="CS193" s="5">
        <f>IF($BI193&lt;&gt;"",IF('Capacity summary'!$C$14="Yes",IF(COUNTBLANK('Capacity summary'!$H105:$BG105)&lt;52,IF('Capacity summary'!AP105&lt;&gt;"",IF(LOWER('Capacity summary'!AP105)="x",$BI193*AP193,VALUE('Capacity summary'!AP105)),0),AP193*$BI193),AP193*$BI193),0)</f>
        <v>0</v>
      </c>
      <c r="CT193" s="5">
        <f>IF($BI193&lt;&gt;"",IF('Capacity summary'!$C$14="Yes",IF(COUNTBLANK('Capacity summary'!$H105:$BG105)&lt;52,IF('Capacity summary'!AQ105&lt;&gt;"",IF(LOWER('Capacity summary'!AQ105)="x",$BI193*AQ193,VALUE('Capacity summary'!AQ105)),0),AQ193*$BI193),AQ193*$BI193),0)</f>
        <v>0</v>
      </c>
      <c r="CU193" s="5">
        <f>IF($BI193&lt;&gt;"",IF('Capacity summary'!$C$14="Yes",IF(COUNTBLANK('Capacity summary'!$H105:$BG105)&lt;52,IF('Capacity summary'!AR105&lt;&gt;"",IF(LOWER('Capacity summary'!AR105)="x",$BI193*AR193,VALUE('Capacity summary'!AR105)),0),AR193*$BI193),AR193*$BI193),0)</f>
        <v>0</v>
      </c>
      <c r="CV193" s="5">
        <f>IF($BI193&lt;&gt;"",IF('Capacity summary'!$C$14="Yes",IF(COUNTBLANK('Capacity summary'!$H105:$BG105)&lt;52,IF('Capacity summary'!AS105&lt;&gt;"",IF(LOWER('Capacity summary'!AS105)="x",$BI193*AS193,VALUE('Capacity summary'!AS105)),0),AS193*$BI193),AS193*$BI193),0)</f>
        <v>0</v>
      </c>
      <c r="CW193" s="5">
        <f>IF($BI193&lt;&gt;"",IF('Capacity summary'!$C$14="Yes",IF(COUNTBLANK('Capacity summary'!$H105:$BG105)&lt;52,IF('Capacity summary'!AT105&lt;&gt;"",IF(LOWER('Capacity summary'!AT105)="x",$BI193*AT193,VALUE('Capacity summary'!AT105)),0),AT193*$BI193),AT193*$BI193),0)</f>
        <v>0</v>
      </c>
      <c r="CX193" s="5">
        <f>IF($BI193&lt;&gt;"",IF('Capacity summary'!$C$14="Yes",IF(COUNTBLANK('Capacity summary'!$H105:$BG105)&lt;52,IF('Capacity summary'!AU105&lt;&gt;"",IF(LOWER('Capacity summary'!AU105)="x",$BI193*AU193,VALUE('Capacity summary'!AU105)),0),AU193*$BI193),AU193*$BI193),0)</f>
        <v>0</v>
      </c>
      <c r="CY193" s="5">
        <f>IF($BI193&lt;&gt;"",IF('Capacity summary'!$C$14="Yes",IF(COUNTBLANK('Capacity summary'!$H105:$BG105)&lt;52,IF('Capacity summary'!AV105&lt;&gt;"",IF(LOWER('Capacity summary'!AV105)="x",$BI193*AV193,VALUE('Capacity summary'!AV105)),0),AV193*$BI193),AV193*$BI193),0)</f>
        <v>0</v>
      </c>
      <c r="CZ193" s="5">
        <f>IF($BI193&lt;&gt;"",IF('Capacity summary'!$C$14="Yes",IF(COUNTBLANK('Capacity summary'!$H105:$BG105)&lt;52,IF('Capacity summary'!AW105&lt;&gt;"",IF(LOWER('Capacity summary'!AW105)="x",$BI193*AW193,VALUE('Capacity summary'!AW105)),0),AW193*$BI193),AW193*$BI193),0)</f>
        <v>0</v>
      </c>
      <c r="DA193" s="5">
        <f>IF($BI193&lt;&gt;"",IF('Capacity summary'!$C$14="Yes",IF(COUNTBLANK('Capacity summary'!$H105:$BG105)&lt;52,IF('Capacity summary'!AX105&lt;&gt;"",IF(LOWER('Capacity summary'!AX105)="x",$BI193*AX193,VALUE('Capacity summary'!AX105)),0),AX193*$BI193),AX193*$BI193),0)</f>
        <v>0</v>
      </c>
      <c r="DB193" s="5">
        <f>IF($BI193&lt;&gt;"",IF('Capacity summary'!$C$14="Yes",IF(COUNTBLANK('Capacity summary'!$H105:$BG105)&lt;52,IF('Capacity summary'!AY105&lt;&gt;"",IF(LOWER('Capacity summary'!AY105)="x",$BI193*AY193,VALUE('Capacity summary'!AY105)),0),AY193*$BI193),AY193*$BI193),0)</f>
        <v>0</v>
      </c>
      <c r="DC193" s="5">
        <f>IF($BI193&lt;&gt;"",IF('Capacity summary'!$C$14="Yes",IF(COUNTBLANK('Capacity summary'!$H105:$BG105)&lt;52,IF('Capacity summary'!AZ105&lt;&gt;"",IF(LOWER('Capacity summary'!AZ105)="x",$BI193*AZ193,VALUE('Capacity summary'!AZ105)),0),AZ193*$BI193),AZ193*$BI193),0)</f>
        <v>0</v>
      </c>
      <c r="DD193" s="5">
        <f>IF($BI193&lt;&gt;"",IF('Capacity summary'!$C$14="Yes",IF(COUNTBLANK('Capacity summary'!$H105:$BG105)&lt;52,IF('Capacity summary'!BA105&lt;&gt;"",IF(LOWER('Capacity summary'!BA105)="x",$BI193*BA193,VALUE('Capacity summary'!BA105)),0),BA193*$BI193),BA193*$BI193),0)</f>
        <v>0</v>
      </c>
      <c r="DE193" s="5">
        <f>IF($BI193&lt;&gt;"",IF('Capacity summary'!$C$14="Yes",IF(COUNTBLANK('Capacity summary'!$H105:$BG105)&lt;52,IF('Capacity summary'!BB105&lt;&gt;"",IF(LOWER('Capacity summary'!BB105)="x",$BI193*BB193,VALUE('Capacity summary'!BB105)),0),BB193*$BI193),BB193*$BI193),0)</f>
        <v>0</v>
      </c>
      <c r="DF193" s="5">
        <f>IF($BI193&lt;&gt;"",IF('Capacity summary'!$C$14="Yes",IF(COUNTBLANK('Capacity summary'!$H105:$BG105)&lt;52,IF('Capacity summary'!BC105&lt;&gt;"",IF(LOWER('Capacity summary'!BC105)="x",$BI193*BC193,VALUE('Capacity summary'!BC105)),0),BC193*$BI193),BC193*$BI193),0)</f>
        <v>0</v>
      </c>
      <c r="DG193" s="5">
        <f>IF($BI193&lt;&gt;"",IF('Capacity summary'!$C$14="Yes",IF(COUNTBLANK('Capacity summary'!$H105:$BG105)&lt;52,IF('Capacity summary'!BD105&lt;&gt;"",IF(LOWER('Capacity summary'!BD105)="x",$BI193*BD193,VALUE('Capacity summary'!BD105)),0),BD193*$BI193),BD193*$BI193),0)</f>
        <v>0</v>
      </c>
      <c r="DH193" s="5">
        <f>IF($BI193&lt;&gt;"",IF('Capacity summary'!$C$14="Yes",IF(COUNTBLANK('Capacity summary'!$H105:$BG105)&lt;52,IF('Capacity summary'!BE105&lt;&gt;"",IF(LOWER('Capacity summary'!BE105)="x",$BI193*BE193,VALUE('Capacity summary'!BE105)),0),BE193*$BI193),BE193*$BI193),0)</f>
        <v>0</v>
      </c>
      <c r="DI193" s="5">
        <f>IF($BI193&lt;&gt;"",IF('Capacity summary'!$C$14="Yes",IF(COUNTBLANK('Capacity summary'!$H105:$BG105)&lt;52,IF('Capacity summary'!BF105&lt;&gt;"",IF(LOWER('Capacity summary'!BF105)="x",$BI193*BF193,VALUE('Capacity summary'!BF105)),0),BF193*$BI193),BF193*$BI193),0)</f>
        <v>0</v>
      </c>
      <c r="DJ193" s="5">
        <f>IF($BI193&lt;&gt;"",IF('Capacity summary'!$C$14="Yes",IF(COUNTBLANK('Capacity summary'!$H105:$BG105)&lt;52,IF('Capacity summary'!BG105&lt;&gt;"",IF(LOWER('Capacity summary'!BG105)="x",$BI193*BG193,VALUE('Capacity summary'!BG105)),0),BG193*$BI193),BG193*$BI193),0)</f>
        <v>0</v>
      </c>
      <c r="DK193" s="5">
        <f t="shared" ref="DK193" si="87">SUM(DK194:DK293)</f>
        <v>0</v>
      </c>
    </row>
    <row r="194" spans="3:115" x14ac:dyDescent="0.25">
      <c r="C194" s="67" t="str">
        <f>ROW(A83)&amp;". "&amp;Capacity!N99</f>
        <v xml:space="preserve">83. </v>
      </c>
      <c r="D194" s="67">
        <f>'Capacity setup'!C200</f>
        <v>0</v>
      </c>
      <c r="E194" s="67">
        <f>'Capacity setup'!D200</f>
        <v>0</v>
      </c>
      <c r="F194" s="67">
        <f>'Capacity setup'!E200</f>
        <v>0</v>
      </c>
      <c r="H194" s="67">
        <f ca="1">IF(AND(SUMIF(Capacity_Resource,$D194,'Critical resources (hide)'!U$6:U$105)+SUMIF(Capacity_Resource,$E194,'Critical resources (hide)'!U$6:U$105)+SUMIF(Capacity_Resource,$F194,'Critical resources (hide)'!U$6:U$105)&gt;0,$E$1=2),0,1)</f>
        <v>1</v>
      </c>
      <c r="I194" s="67">
        <f ca="1">IF(AND(SUMIF(Capacity_Resource,$D194,'Critical resources (hide)'!V$6:V$105)+SUMIF(Capacity_Resource,$E194,'Critical resources (hide)'!V$6:V$105)+SUMIF(Capacity_Resource,$F194,'Critical resources (hide)'!V$6:V$105)&gt;0,$E$1=2),0,1)</f>
        <v>1</v>
      </c>
      <c r="J194" s="67">
        <f ca="1">IF(AND(SUMIF(Capacity_Resource,$D194,'Critical resources (hide)'!W$6:W$105)+SUMIF(Capacity_Resource,$E194,'Critical resources (hide)'!W$6:W$105)+SUMIF(Capacity_Resource,$F194,'Critical resources (hide)'!W$6:W$105)&gt;0,$E$1=2),0,1)</f>
        <v>1</v>
      </c>
      <c r="K194" s="67">
        <f ca="1">IF(AND(SUMIF(Capacity_Resource,$D194,'Critical resources (hide)'!X$6:X$105)+SUMIF(Capacity_Resource,$E194,'Critical resources (hide)'!X$6:X$105)+SUMIF(Capacity_Resource,$F194,'Critical resources (hide)'!X$6:X$105)&gt;0,$E$1=2),0,1)</f>
        <v>1</v>
      </c>
      <c r="L194" s="67">
        <f ca="1">IF(AND(SUMIF(Capacity_Resource,$D194,'Critical resources (hide)'!Y$6:Y$105)+SUMIF(Capacity_Resource,$E194,'Critical resources (hide)'!Y$6:Y$105)+SUMIF(Capacity_Resource,$F194,'Critical resources (hide)'!Y$6:Y$105)&gt;0,$E$1=2),0,1)</f>
        <v>1</v>
      </c>
      <c r="M194" s="67">
        <f ca="1">IF(AND(SUMIF(Capacity_Resource,$D194,'Critical resources (hide)'!Z$6:Z$105)+SUMIF(Capacity_Resource,$E194,'Critical resources (hide)'!Z$6:Z$105)+SUMIF(Capacity_Resource,$F194,'Critical resources (hide)'!Z$6:Z$105)&gt;0,$E$1=2),0,1)</f>
        <v>1</v>
      </c>
      <c r="N194" s="67">
        <f ca="1">IF(AND(SUMIF(Capacity_Resource,$D194,'Critical resources (hide)'!AA$6:AA$105)+SUMIF(Capacity_Resource,$E194,'Critical resources (hide)'!AA$6:AA$105)+SUMIF(Capacity_Resource,$F194,'Critical resources (hide)'!AA$6:AA$105)&gt;0,$E$1=2),0,1)</f>
        <v>1</v>
      </c>
      <c r="O194" s="67">
        <f ca="1">IF(AND(SUMIF(Capacity_Resource,$D194,'Critical resources (hide)'!AB$6:AB$105)+SUMIF(Capacity_Resource,$E194,'Critical resources (hide)'!AB$6:AB$105)+SUMIF(Capacity_Resource,$F194,'Critical resources (hide)'!AB$6:AB$105)&gt;0,$E$1=2),0,1)</f>
        <v>1</v>
      </c>
      <c r="P194" s="67">
        <f ca="1">IF(AND(SUMIF(Capacity_Resource,$D194,'Critical resources (hide)'!AC$6:AC$105)+SUMIF(Capacity_Resource,$E194,'Critical resources (hide)'!AC$6:AC$105)+SUMIF(Capacity_Resource,$F194,'Critical resources (hide)'!AC$6:AC$105)&gt;0,$E$1=2),0,1)</f>
        <v>1</v>
      </c>
      <c r="Q194" s="67">
        <f ca="1">IF(AND(SUMIF(Capacity_Resource,$D194,'Critical resources (hide)'!AD$6:AD$105)+SUMIF(Capacity_Resource,$E194,'Critical resources (hide)'!AD$6:AD$105)+SUMIF(Capacity_Resource,$F194,'Critical resources (hide)'!AD$6:AD$105)&gt;0,$E$1=2),0,1)</f>
        <v>1</v>
      </c>
      <c r="R194" s="67">
        <f ca="1">IF(AND(SUMIF(Capacity_Resource,$D194,'Critical resources (hide)'!AE$6:AE$105)+SUMIF(Capacity_Resource,$E194,'Critical resources (hide)'!AE$6:AE$105)+SUMIF(Capacity_Resource,$F194,'Critical resources (hide)'!AE$6:AE$105)&gt;0,$E$1=2),0,1)</f>
        <v>1</v>
      </c>
      <c r="S194" s="67">
        <f ca="1">IF(AND(SUMIF(Capacity_Resource,$D194,'Critical resources (hide)'!AF$6:AF$105)+SUMIF(Capacity_Resource,$E194,'Critical resources (hide)'!AF$6:AF$105)+SUMIF(Capacity_Resource,$F194,'Critical resources (hide)'!AF$6:AF$105)&gt;0,$E$1=2),0,1)</f>
        <v>1</v>
      </c>
      <c r="T194" s="67">
        <f ca="1">IF(AND(SUMIF(Capacity_Resource,$D194,'Critical resources (hide)'!AG$6:AG$105)+SUMIF(Capacity_Resource,$E194,'Critical resources (hide)'!AG$6:AG$105)+SUMIF(Capacity_Resource,$F194,'Critical resources (hide)'!AG$6:AG$105)&gt;0,$E$1=2),0,1)</f>
        <v>1</v>
      </c>
      <c r="U194" s="67">
        <f ca="1">IF(AND(SUMIF(Capacity_Resource,$D194,'Critical resources (hide)'!AH$6:AH$105)+SUMIF(Capacity_Resource,$E194,'Critical resources (hide)'!AH$6:AH$105)+SUMIF(Capacity_Resource,$F194,'Critical resources (hide)'!AH$6:AH$105)&gt;0,$E$1=2),0,1)</f>
        <v>1</v>
      </c>
      <c r="V194" s="67">
        <f ca="1">IF(AND(SUMIF(Capacity_Resource,$D194,'Critical resources (hide)'!AI$6:AI$105)+SUMIF(Capacity_Resource,$E194,'Critical resources (hide)'!AI$6:AI$105)+SUMIF(Capacity_Resource,$F194,'Critical resources (hide)'!AI$6:AI$105)&gt;0,$E$1=2),0,1)</f>
        <v>1</v>
      </c>
      <c r="W194" s="67">
        <f ca="1">IF(AND(SUMIF(Capacity_Resource,$D194,'Critical resources (hide)'!AJ$6:AJ$105)+SUMIF(Capacity_Resource,$E194,'Critical resources (hide)'!AJ$6:AJ$105)+SUMIF(Capacity_Resource,$F194,'Critical resources (hide)'!AJ$6:AJ$105)&gt;0,$E$1=2),0,1)</f>
        <v>1</v>
      </c>
      <c r="X194" s="67">
        <f ca="1">IF(AND(SUMIF(Capacity_Resource,$D194,'Critical resources (hide)'!AK$6:AK$105)+SUMIF(Capacity_Resource,$E194,'Critical resources (hide)'!AK$6:AK$105)+SUMIF(Capacity_Resource,$F194,'Critical resources (hide)'!AK$6:AK$105)&gt;0,$E$1=2),0,1)</f>
        <v>1</v>
      </c>
      <c r="Y194" s="67">
        <f ca="1">IF(AND(SUMIF(Capacity_Resource,$D194,'Critical resources (hide)'!AL$6:AL$105)+SUMIF(Capacity_Resource,$E194,'Critical resources (hide)'!AL$6:AL$105)+SUMIF(Capacity_Resource,$F194,'Critical resources (hide)'!AL$6:AL$105)&gt;0,$E$1=2),0,1)</f>
        <v>1</v>
      </c>
      <c r="Z194" s="67">
        <f ca="1">IF(AND(SUMIF(Capacity_Resource,$D194,'Critical resources (hide)'!AM$6:AM$105)+SUMIF(Capacity_Resource,$E194,'Critical resources (hide)'!AM$6:AM$105)+SUMIF(Capacity_Resource,$F194,'Critical resources (hide)'!AM$6:AM$105)&gt;0,$E$1=2),0,1)</f>
        <v>1</v>
      </c>
      <c r="AA194" s="67">
        <f ca="1">IF(AND(SUMIF(Capacity_Resource,$D194,'Critical resources (hide)'!AN$6:AN$105)+SUMIF(Capacity_Resource,$E194,'Critical resources (hide)'!AN$6:AN$105)+SUMIF(Capacity_Resource,$F194,'Critical resources (hide)'!AN$6:AN$105)&gt;0,$E$1=2),0,1)</f>
        <v>1</v>
      </c>
      <c r="AB194" s="67">
        <f ca="1">IF(AND(SUMIF(Capacity_Resource,$D194,'Critical resources (hide)'!AO$6:AO$105)+SUMIF(Capacity_Resource,$E194,'Critical resources (hide)'!AO$6:AO$105)+SUMIF(Capacity_Resource,$F194,'Critical resources (hide)'!AO$6:AO$105)&gt;0,$E$1=2),0,1)</f>
        <v>1</v>
      </c>
      <c r="AC194" s="67">
        <f ca="1">IF(AND(SUMIF(Capacity_Resource,$D194,'Critical resources (hide)'!AP$6:AP$105)+SUMIF(Capacity_Resource,$E194,'Critical resources (hide)'!AP$6:AP$105)+SUMIF(Capacity_Resource,$F194,'Critical resources (hide)'!AP$6:AP$105)&gt;0,$E$1=2),0,1)</f>
        <v>1</v>
      </c>
      <c r="AD194" s="67">
        <f ca="1">IF(AND(SUMIF(Capacity_Resource,$D194,'Critical resources (hide)'!AQ$6:AQ$105)+SUMIF(Capacity_Resource,$E194,'Critical resources (hide)'!AQ$6:AQ$105)+SUMIF(Capacity_Resource,$F194,'Critical resources (hide)'!AQ$6:AQ$105)&gt;0,$E$1=2),0,1)</f>
        <v>1</v>
      </c>
      <c r="AE194" s="67">
        <f ca="1">IF(AND(SUMIF(Capacity_Resource,$D194,'Critical resources (hide)'!AR$6:AR$105)+SUMIF(Capacity_Resource,$E194,'Critical resources (hide)'!AR$6:AR$105)+SUMIF(Capacity_Resource,$F194,'Critical resources (hide)'!AR$6:AR$105)&gt;0,$E$1=2),0,1)</f>
        <v>1</v>
      </c>
      <c r="AF194" s="67">
        <f ca="1">IF(AND(SUMIF(Capacity_Resource,$D194,'Critical resources (hide)'!AS$6:AS$105)+SUMIF(Capacity_Resource,$E194,'Critical resources (hide)'!AS$6:AS$105)+SUMIF(Capacity_Resource,$F194,'Critical resources (hide)'!AS$6:AS$105)&gt;0,$E$1=2),0,1)</f>
        <v>1</v>
      </c>
      <c r="AG194" s="67">
        <f ca="1">IF(AND(SUMIF(Capacity_Resource,$D194,'Critical resources (hide)'!AT$6:AT$105)+SUMIF(Capacity_Resource,$E194,'Critical resources (hide)'!AT$6:AT$105)+SUMIF(Capacity_Resource,$F194,'Critical resources (hide)'!AT$6:AT$105)&gt;0,$E$1=2),0,1)</f>
        <v>1</v>
      </c>
      <c r="AH194" s="67">
        <f ca="1">IF(AND(SUMIF(Capacity_Resource,$D194,'Critical resources (hide)'!AU$6:AU$105)+SUMIF(Capacity_Resource,$E194,'Critical resources (hide)'!AU$6:AU$105)+SUMIF(Capacity_Resource,$F194,'Critical resources (hide)'!AU$6:AU$105)&gt;0,$E$1=2),0,1)</f>
        <v>1</v>
      </c>
      <c r="AI194" s="67">
        <f ca="1">IF(AND(SUMIF(Capacity_Resource,$D194,'Critical resources (hide)'!AV$6:AV$105)+SUMIF(Capacity_Resource,$E194,'Critical resources (hide)'!AV$6:AV$105)+SUMIF(Capacity_Resource,$F194,'Critical resources (hide)'!AV$6:AV$105)&gt;0,$E$1=2),0,1)</f>
        <v>1</v>
      </c>
      <c r="AJ194" s="67">
        <f ca="1">IF(AND(SUMIF(Capacity_Resource,$D194,'Critical resources (hide)'!AW$6:AW$105)+SUMIF(Capacity_Resource,$E194,'Critical resources (hide)'!AW$6:AW$105)+SUMIF(Capacity_Resource,$F194,'Critical resources (hide)'!AW$6:AW$105)&gt;0,$E$1=2),0,1)</f>
        <v>1</v>
      </c>
      <c r="AK194" s="67">
        <f ca="1">IF(AND(SUMIF(Capacity_Resource,$D194,'Critical resources (hide)'!AX$6:AX$105)+SUMIF(Capacity_Resource,$E194,'Critical resources (hide)'!AX$6:AX$105)+SUMIF(Capacity_Resource,$F194,'Critical resources (hide)'!AX$6:AX$105)&gt;0,$E$1=2),0,1)</f>
        <v>1</v>
      </c>
      <c r="AL194" s="67">
        <f ca="1">IF(AND(SUMIF(Capacity_Resource,$D194,'Critical resources (hide)'!AY$6:AY$105)+SUMIF(Capacity_Resource,$E194,'Critical resources (hide)'!AY$6:AY$105)+SUMIF(Capacity_Resource,$F194,'Critical resources (hide)'!AY$6:AY$105)&gt;0,$E$1=2),0,1)</f>
        <v>1</v>
      </c>
      <c r="AM194" s="67">
        <f ca="1">IF(AND(SUMIF(Capacity_Resource,$D194,'Critical resources (hide)'!AZ$6:AZ$105)+SUMIF(Capacity_Resource,$E194,'Critical resources (hide)'!AZ$6:AZ$105)+SUMIF(Capacity_Resource,$F194,'Critical resources (hide)'!AZ$6:AZ$105)&gt;0,$E$1=2),0,1)</f>
        <v>1</v>
      </c>
      <c r="AN194" s="67">
        <f ca="1">IF(AND(SUMIF(Capacity_Resource,$D194,'Critical resources (hide)'!BA$6:BA$105)+SUMIF(Capacity_Resource,$E194,'Critical resources (hide)'!BA$6:BA$105)+SUMIF(Capacity_Resource,$F194,'Critical resources (hide)'!BA$6:BA$105)&gt;0,$E$1=2),0,1)</f>
        <v>1</v>
      </c>
      <c r="AO194" s="67">
        <f ca="1">IF(AND(SUMIF(Capacity_Resource,$D194,'Critical resources (hide)'!BB$6:BB$105)+SUMIF(Capacity_Resource,$E194,'Critical resources (hide)'!BB$6:BB$105)+SUMIF(Capacity_Resource,$F194,'Critical resources (hide)'!BB$6:BB$105)&gt;0,$E$1=2),0,1)</f>
        <v>1</v>
      </c>
      <c r="AP194" s="67">
        <f ca="1">IF(AND(SUMIF(Capacity_Resource,$D194,'Critical resources (hide)'!BC$6:BC$105)+SUMIF(Capacity_Resource,$E194,'Critical resources (hide)'!BC$6:BC$105)+SUMIF(Capacity_Resource,$F194,'Critical resources (hide)'!BC$6:BC$105)&gt;0,$E$1=2),0,1)</f>
        <v>1</v>
      </c>
      <c r="AQ194" s="67">
        <f ca="1">IF(AND(SUMIF(Capacity_Resource,$D194,'Critical resources (hide)'!BD$6:BD$105)+SUMIF(Capacity_Resource,$E194,'Critical resources (hide)'!BD$6:BD$105)+SUMIF(Capacity_Resource,$F194,'Critical resources (hide)'!BD$6:BD$105)&gt;0,$E$1=2),0,1)</f>
        <v>1</v>
      </c>
      <c r="AR194" s="67">
        <f ca="1">IF(AND(SUMIF(Capacity_Resource,$D194,'Critical resources (hide)'!BE$6:BE$105)+SUMIF(Capacity_Resource,$E194,'Critical resources (hide)'!BE$6:BE$105)+SUMIF(Capacity_Resource,$F194,'Critical resources (hide)'!BE$6:BE$105)&gt;0,$E$1=2),0,1)</f>
        <v>1</v>
      </c>
      <c r="AS194" s="67">
        <f ca="1">IF(AND(SUMIF(Capacity_Resource,$D194,'Critical resources (hide)'!BF$6:BF$105)+SUMIF(Capacity_Resource,$E194,'Critical resources (hide)'!BF$6:BF$105)+SUMIF(Capacity_Resource,$F194,'Critical resources (hide)'!BF$6:BF$105)&gt;0,$E$1=2),0,1)</f>
        <v>1</v>
      </c>
      <c r="AT194" s="67">
        <f ca="1">IF(AND(SUMIF(Capacity_Resource,$D194,'Critical resources (hide)'!BG$6:BG$105)+SUMIF(Capacity_Resource,$E194,'Critical resources (hide)'!BG$6:BG$105)+SUMIF(Capacity_Resource,$F194,'Critical resources (hide)'!BG$6:BG$105)&gt;0,$E$1=2),0,1)</f>
        <v>1</v>
      </c>
      <c r="AU194" s="67">
        <f ca="1">IF(AND(SUMIF(Capacity_Resource,$D194,'Critical resources (hide)'!BH$6:BH$105)+SUMIF(Capacity_Resource,$E194,'Critical resources (hide)'!BH$6:BH$105)+SUMIF(Capacity_Resource,$F194,'Critical resources (hide)'!BH$6:BH$105)&gt;0,$E$1=2),0,1)</f>
        <v>1</v>
      </c>
      <c r="AV194" s="67">
        <f ca="1">IF(AND(SUMIF(Capacity_Resource,$D194,'Critical resources (hide)'!BI$6:BI$105)+SUMIF(Capacity_Resource,$E194,'Critical resources (hide)'!BI$6:BI$105)+SUMIF(Capacity_Resource,$F194,'Critical resources (hide)'!BI$6:BI$105)&gt;0,$E$1=2),0,1)</f>
        <v>1</v>
      </c>
      <c r="AW194" s="67">
        <f ca="1">IF(AND(SUMIF(Capacity_Resource,$D194,'Critical resources (hide)'!BJ$6:BJ$105)+SUMIF(Capacity_Resource,$E194,'Critical resources (hide)'!BJ$6:BJ$105)+SUMIF(Capacity_Resource,$F194,'Critical resources (hide)'!BJ$6:BJ$105)&gt;0,$E$1=2),0,1)</f>
        <v>1</v>
      </c>
      <c r="AX194" s="67">
        <f ca="1">IF(AND(SUMIF(Capacity_Resource,$D194,'Critical resources (hide)'!BK$6:BK$105)+SUMIF(Capacity_Resource,$E194,'Critical resources (hide)'!BK$6:BK$105)+SUMIF(Capacity_Resource,$F194,'Critical resources (hide)'!BK$6:BK$105)&gt;0,$E$1=2),0,1)</f>
        <v>1</v>
      </c>
      <c r="AY194" s="67">
        <f ca="1">IF(AND(SUMIF(Capacity_Resource,$D194,'Critical resources (hide)'!BL$6:BL$105)+SUMIF(Capacity_Resource,$E194,'Critical resources (hide)'!BL$6:BL$105)+SUMIF(Capacity_Resource,$F194,'Critical resources (hide)'!BL$6:BL$105)&gt;0,$E$1=2),0,1)</f>
        <v>1</v>
      </c>
      <c r="AZ194" s="67">
        <f ca="1">IF(AND(SUMIF(Capacity_Resource,$D194,'Critical resources (hide)'!BM$6:BM$105)+SUMIF(Capacity_Resource,$E194,'Critical resources (hide)'!BM$6:BM$105)+SUMIF(Capacity_Resource,$F194,'Critical resources (hide)'!BM$6:BM$105)&gt;0,$E$1=2),0,1)</f>
        <v>1</v>
      </c>
      <c r="BA194" s="67">
        <f ca="1">IF(AND(SUMIF(Capacity_Resource,$D194,'Critical resources (hide)'!BN$6:BN$105)+SUMIF(Capacity_Resource,$E194,'Critical resources (hide)'!BN$6:BN$105)+SUMIF(Capacity_Resource,$F194,'Critical resources (hide)'!BN$6:BN$105)&gt;0,$E$1=2),0,1)</f>
        <v>1</v>
      </c>
      <c r="BB194" s="67">
        <f ca="1">IF(AND(SUMIF(Capacity_Resource,$D194,'Critical resources (hide)'!BO$6:BO$105)+SUMIF(Capacity_Resource,$E194,'Critical resources (hide)'!BO$6:BO$105)+SUMIF(Capacity_Resource,$F194,'Critical resources (hide)'!BO$6:BO$105)&gt;0,$E$1=2),0,1)</f>
        <v>1</v>
      </c>
      <c r="BC194" s="67">
        <f ca="1">IF(AND(SUMIF(Capacity_Resource,$D194,'Critical resources (hide)'!BP$6:BP$105)+SUMIF(Capacity_Resource,$E194,'Critical resources (hide)'!BP$6:BP$105)+SUMIF(Capacity_Resource,$F194,'Critical resources (hide)'!BP$6:BP$105)&gt;0,$E$1=2),0,1)</f>
        <v>1</v>
      </c>
      <c r="BD194" s="67">
        <f ca="1">IF(AND(SUMIF(Capacity_Resource,$D194,'Critical resources (hide)'!BQ$6:BQ$105)+SUMIF(Capacity_Resource,$E194,'Critical resources (hide)'!BQ$6:BQ$105)+SUMIF(Capacity_Resource,$F194,'Critical resources (hide)'!BQ$6:BQ$105)&gt;0,$E$1=2),0,1)</f>
        <v>1</v>
      </c>
      <c r="BE194" s="67">
        <f ca="1">IF(AND(SUMIF(Capacity_Resource,$D194,'Critical resources (hide)'!BR$6:BR$105)+SUMIF(Capacity_Resource,$E194,'Critical resources (hide)'!BR$6:BR$105)+SUMIF(Capacity_Resource,$F194,'Critical resources (hide)'!BR$6:BR$105)&gt;0,$E$1=2),0,1)</f>
        <v>1</v>
      </c>
      <c r="BF194" s="67">
        <f ca="1">IF(AND(SUMIF(Capacity_Resource,$D194,'Critical resources (hide)'!BS$6:BS$105)+SUMIF(Capacity_Resource,$E194,'Critical resources (hide)'!BS$6:BS$105)+SUMIF(Capacity_Resource,$F194,'Critical resources (hide)'!BS$6:BS$105)&gt;0,$E$1=2),0,1)</f>
        <v>1</v>
      </c>
      <c r="BG194" s="67">
        <f ca="1">IF(AND(SUMIF(Capacity_Resource,$D194,'Critical resources (hide)'!BT$6:BT$105)+SUMIF(Capacity_Resource,$E194,'Critical resources (hide)'!BT$6:BT$105)+SUMIF(Capacity_Resource,$F194,'Critical resources (hide)'!BT$6:BT$105)&gt;0,$E$1=2),0,1)</f>
        <v>1</v>
      </c>
      <c r="BH194" s="67">
        <f>IF(ROW(A83)&lt;=Capacity!$M$16,IF('Capacity summary'!$C$14="No",SUM(H194:BG194),'Capacity summary'!$E106),0)</f>
        <v>0</v>
      </c>
      <c r="BI194" s="67" t="str">
        <f>IF(BH194&gt;0,IF(BH194&lt;Capacity!Q99,Capacity!R99,Capacity!T99/'Capacity calculation (hide)'!BH194),"")</f>
        <v/>
      </c>
      <c r="BJ194" s="5"/>
      <c r="BK194" s="5">
        <f>IF($BI194&lt;&gt;"",IF('Capacity summary'!$C$14="Yes",IF(COUNTBLANK('Capacity summary'!$H106:$BG106)&lt;52,IF('Capacity summary'!H106&lt;&gt;"",IF(LOWER('Capacity summary'!H106)="x",$BI194*H194,VALUE('Capacity summary'!H106)),0),H194*$BI194),H194*$BI194),0)</f>
        <v>0</v>
      </c>
      <c r="BL194" s="5">
        <f>IF($BI194&lt;&gt;"",IF('Capacity summary'!$C$14="Yes",IF(COUNTBLANK('Capacity summary'!$H106:$BG106)&lt;52,IF('Capacity summary'!I106&lt;&gt;"",IF(LOWER('Capacity summary'!I106)="x",$BI194*I194,VALUE('Capacity summary'!I106)),0),I194*$BI194),I194*$BI194),0)</f>
        <v>0</v>
      </c>
      <c r="BM194" s="5">
        <f>IF($BI194&lt;&gt;"",IF('Capacity summary'!$C$14="Yes",IF(COUNTBLANK('Capacity summary'!$H106:$BG106)&lt;52,IF('Capacity summary'!J106&lt;&gt;"",IF(LOWER('Capacity summary'!J106)="x",$BI194*J194,VALUE('Capacity summary'!J106)),0),J194*$BI194),J194*$BI194),0)</f>
        <v>0</v>
      </c>
      <c r="BN194" s="5">
        <f>IF($BI194&lt;&gt;"",IF('Capacity summary'!$C$14="Yes",IF(COUNTBLANK('Capacity summary'!$H106:$BG106)&lt;52,IF('Capacity summary'!K106&lt;&gt;"",IF(LOWER('Capacity summary'!K106)="x",$BI194*K194,VALUE('Capacity summary'!K106)),0),K194*$BI194),K194*$BI194),0)</f>
        <v>0</v>
      </c>
      <c r="BO194" s="5">
        <f>IF($BI194&lt;&gt;"",IF('Capacity summary'!$C$14="Yes",IF(COUNTBLANK('Capacity summary'!$H106:$BG106)&lt;52,IF('Capacity summary'!L106&lt;&gt;"",IF(LOWER('Capacity summary'!L106)="x",$BI194*L194,VALUE('Capacity summary'!L106)),0),L194*$BI194),L194*$BI194),0)</f>
        <v>0</v>
      </c>
      <c r="BP194" s="5">
        <f>IF($BI194&lt;&gt;"",IF('Capacity summary'!$C$14="Yes",IF(COUNTBLANK('Capacity summary'!$H106:$BG106)&lt;52,IF('Capacity summary'!M106&lt;&gt;"",IF(LOWER('Capacity summary'!M106)="x",$BI194*M194,VALUE('Capacity summary'!M106)),0),M194*$BI194),M194*$BI194),0)</f>
        <v>0</v>
      </c>
      <c r="BQ194" s="5">
        <f>IF($BI194&lt;&gt;"",IF('Capacity summary'!$C$14="Yes",IF(COUNTBLANK('Capacity summary'!$H106:$BG106)&lt;52,IF('Capacity summary'!N106&lt;&gt;"",IF(LOWER('Capacity summary'!N106)="x",$BI194*N194,VALUE('Capacity summary'!N106)),0),N194*$BI194),N194*$BI194),0)</f>
        <v>0</v>
      </c>
      <c r="BR194" s="5">
        <f>IF($BI194&lt;&gt;"",IF('Capacity summary'!$C$14="Yes",IF(COUNTBLANK('Capacity summary'!$H106:$BG106)&lt;52,IF('Capacity summary'!O106&lt;&gt;"",IF(LOWER('Capacity summary'!O106)="x",$BI194*O194,VALUE('Capacity summary'!O106)),0),O194*$BI194),O194*$BI194),0)</f>
        <v>0</v>
      </c>
      <c r="BS194" s="5">
        <f>IF($BI194&lt;&gt;"",IF('Capacity summary'!$C$14="Yes",IF(COUNTBLANK('Capacity summary'!$H106:$BG106)&lt;52,IF('Capacity summary'!P106&lt;&gt;"",IF(LOWER('Capacity summary'!P106)="x",$BI194*P194,VALUE('Capacity summary'!P106)),0),P194*$BI194),P194*$BI194),0)</f>
        <v>0</v>
      </c>
      <c r="BT194" s="5">
        <f>IF($BI194&lt;&gt;"",IF('Capacity summary'!$C$14="Yes",IF(COUNTBLANK('Capacity summary'!$H106:$BG106)&lt;52,IF('Capacity summary'!Q106&lt;&gt;"",IF(LOWER('Capacity summary'!Q106)="x",$BI194*Q194,VALUE('Capacity summary'!Q106)),0),Q194*$BI194),Q194*$BI194),0)</f>
        <v>0</v>
      </c>
      <c r="BU194" s="5">
        <f>IF($BI194&lt;&gt;"",IF('Capacity summary'!$C$14="Yes",IF(COUNTBLANK('Capacity summary'!$H106:$BG106)&lt;52,IF('Capacity summary'!R106&lt;&gt;"",IF(LOWER('Capacity summary'!R106)="x",$BI194*R194,VALUE('Capacity summary'!R106)),0),R194*$BI194),R194*$BI194),0)</f>
        <v>0</v>
      </c>
      <c r="BV194" s="5">
        <f>IF($BI194&lt;&gt;"",IF('Capacity summary'!$C$14="Yes",IF(COUNTBLANK('Capacity summary'!$H106:$BG106)&lt;52,IF('Capacity summary'!S106&lt;&gt;"",IF(LOWER('Capacity summary'!S106)="x",$BI194*S194,VALUE('Capacity summary'!S106)),0),S194*$BI194),S194*$BI194),0)</f>
        <v>0</v>
      </c>
      <c r="BW194" s="5">
        <f>IF($BI194&lt;&gt;"",IF('Capacity summary'!$C$14="Yes",IF(COUNTBLANK('Capacity summary'!$H106:$BG106)&lt;52,IF('Capacity summary'!T106&lt;&gt;"",IF(LOWER('Capacity summary'!T106)="x",$BI194*T194,VALUE('Capacity summary'!T106)),0),T194*$BI194),T194*$BI194),0)</f>
        <v>0</v>
      </c>
      <c r="BX194" s="5">
        <f>IF($BI194&lt;&gt;"",IF('Capacity summary'!$C$14="Yes",IF(COUNTBLANK('Capacity summary'!$H106:$BG106)&lt;52,IF('Capacity summary'!U106&lt;&gt;"",IF(LOWER('Capacity summary'!U106)="x",$BI194*U194,VALUE('Capacity summary'!U106)),0),U194*$BI194),U194*$BI194),0)</f>
        <v>0</v>
      </c>
      <c r="BY194" s="5">
        <f>IF($BI194&lt;&gt;"",IF('Capacity summary'!$C$14="Yes",IF(COUNTBLANK('Capacity summary'!$H106:$BG106)&lt;52,IF('Capacity summary'!V106&lt;&gt;"",IF(LOWER('Capacity summary'!V106)="x",$BI194*V194,VALUE('Capacity summary'!V106)),0),V194*$BI194),V194*$BI194),0)</f>
        <v>0</v>
      </c>
      <c r="BZ194" s="5">
        <f>IF($BI194&lt;&gt;"",IF('Capacity summary'!$C$14="Yes",IF(COUNTBLANK('Capacity summary'!$H106:$BG106)&lt;52,IF('Capacity summary'!W106&lt;&gt;"",IF(LOWER('Capacity summary'!W106)="x",$BI194*W194,VALUE('Capacity summary'!W106)),0),W194*$BI194),W194*$BI194),0)</f>
        <v>0</v>
      </c>
      <c r="CA194" s="5">
        <f>IF($BI194&lt;&gt;"",IF('Capacity summary'!$C$14="Yes",IF(COUNTBLANK('Capacity summary'!$H106:$BG106)&lt;52,IF('Capacity summary'!X106&lt;&gt;"",IF(LOWER('Capacity summary'!X106)="x",$BI194*X194,VALUE('Capacity summary'!X106)),0),X194*$BI194),X194*$BI194),0)</f>
        <v>0</v>
      </c>
      <c r="CB194" s="5">
        <f>IF($BI194&lt;&gt;"",IF('Capacity summary'!$C$14="Yes",IF(COUNTBLANK('Capacity summary'!$H106:$BG106)&lt;52,IF('Capacity summary'!Y106&lt;&gt;"",IF(LOWER('Capacity summary'!Y106)="x",$BI194*Y194,VALUE('Capacity summary'!Y106)),0),Y194*$BI194),Y194*$BI194),0)</f>
        <v>0</v>
      </c>
      <c r="CC194" s="5">
        <f>IF($BI194&lt;&gt;"",IF('Capacity summary'!$C$14="Yes",IF(COUNTBLANK('Capacity summary'!$H106:$BG106)&lt;52,IF('Capacity summary'!Z106&lt;&gt;"",IF(LOWER('Capacity summary'!Z106)="x",$BI194*Z194,VALUE('Capacity summary'!Z106)),0),Z194*$BI194),Z194*$BI194),0)</f>
        <v>0</v>
      </c>
      <c r="CD194" s="5">
        <f>IF($BI194&lt;&gt;"",IF('Capacity summary'!$C$14="Yes",IF(COUNTBLANK('Capacity summary'!$H106:$BG106)&lt;52,IF('Capacity summary'!AA106&lt;&gt;"",IF(LOWER('Capacity summary'!AA106)="x",$BI194*AA194,VALUE('Capacity summary'!AA106)),0),AA194*$BI194),AA194*$BI194),0)</f>
        <v>0</v>
      </c>
      <c r="CE194" s="5">
        <f>IF($BI194&lt;&gt;"",IF('Capacity summary'!$C$14="Yes",IF(COUNTBLANK('Capacity summary'!$H106:$BG106)&lt;52,IF('Capacity summary'!AB106&lt;&gt;"",IF(LOWER('Capacity summary'!AB106)="x",$BI194*AB194,VALUE('Capacity summary'!AB106)),0),AB194*$BI194),AB194*$BI194),0)</f>
        <v>0</v>
      </c>
      <c r="CF194" s="5">
        <f>IF($BI194&lt;&gt;"",IF('Capacity summary'!$C$14="Yes",IF(COUNTBLANK('Capacity summary'!$H106:$BG106)&lt;52,IF('Capacity summary'!AC106&lt;&gt;"",IF(LOWER('Capacity summary'!AC106)="x",$BI194*AC194,VALUE('Capacity summary'!AC106)),0),AC194*$BI194),AC194*$BI194),0)</f>
        <v>0</v>
      </c>
      <c r="CG194" s="5">
        <f>IF($BI194&lt;&gt;"",IF('Capacity summary'!$C$14="Yes",IF(COUNTBLANK('Capacity summary'!$H106:$BG106)&lt;52,IF('Capacity summary'!AD106&lt;&gt;"",IF(LOWER('Capacity summary'!AD106)="x",$BI194*AD194,VALUE('Capacity summary'!AD106)),0),AD194*$BI194),AD194*$BI194),0)</f>
        <v>0</v>
      </c>
      <c r="CH194" s="5">
        <f>IF($BI194&lt;&gt;"",IF('Capacity summary'!$C$14="Yes",IF(COUNTBLANK('Capacity summary'!$H106:$BG106)&lt;52,IF('Capacity summary'!AE106&lt;&gt;"",IF(LOWER('Capacity summary'!AE106)="x",$BI194*AE194,VALUE('Capacity summary'!AE106)),0),AE194*$BI194),AE194*$BI194),0)</f>
        <v>0</v>
      </c>
      <c r="CI194" s="5">
        <f>IF($BI194&lt;&gt;"",IF('Capacity summary'!$C$14="Yes",IF(COUNTBLANK('Capacity summary'!$H106:$BG106)&lt;52,IF('Capacity summary'!AF106&lt;&gt;"",IF(LOWER('Capacity summary'!AF106)="x",$BI194*AF194,VALUE('Capacity summary'!AF106)),0),AF194*$BI194),AF194*$BI194),0)</f>
        <v>0</v>
      </c>
      <c r="CJ194" s="5">
        <f>IF($BI194&lt;&gt;"",IF('Capacity summary'!$C$14="Yes",IF(COUNTBLANK('Capacity summary'!$H106:$BG106)&lt;52,IF('Capacity summary'!AG106&lt;&gt;"",IF(LOWER('Capacity summary'!AG106)="x",$BI194*AG194,VALUE('Capacity summary'!AG106)),0),AG194*$BI194),AG194*$BI194),0)</f>
        <v>0</v>
      </c>
      <c r="CK194" s="5">
        <f>IF($BI194&lt;&gt;"",IF('Capacity summary'!$C$14="Yes",IF(COUNTBLANK('Capacity summary'!$H106:$BG106)&lt;52,IF('Capacity summary'!AH106&lt;&gt;"",IF(LOWER('Capacity summary'!AH106)="x",$BI194*AH194,VALUE('Capacity summary'!AH106)),0),AH194*$BI194),AH194*$BI194),0)</f>
        <v>0</v>
      </c>
      <c r="CL194" s="5">
        <f>IF($BI194&lt;&gt;"",IF('Capacity summary'!$C$14="Yes",IF(COUNTBLANK('Capacity summary'!$H106:$BG106)&lt;52,IF('Capacity summary'!AI106&lt;&gt;"",IF(LOWER('Capacity summary'!AI106)="x",$BI194*AI194,VALUE('Capacity summary'!AI106)),0),AI194*$BI194),AI194*$BI194),0)</f>
        <v>0</v>
      </c>
      <c r="CM194" s="5">
        <f>IF($BI194&lt;&gt;"",IF('Capacity summary'!$C$14="Yes",IF(COUNTBLANK('Capacity summary'!$H106:$BG106)&lt;52,IF('Capacity summary'!AJ106&lt;&gt;"",IF(LOWER('Capacity summary'!AJ106)="x",$BI194*AJ194,VALUE('Capacity summary'!AJ106)),0),AJ194*$BI194),AJ194*$BI194),0)</f>
        <v>0</v>
      </c>
      <c r="CN194" s="5">
        <f>IF($BI194&lt;&gt;"",IF('Capacity summary'!$C$14="Yes",IF(COUNTBLANK('Capacity summary'!$H106:$BG106)&lt;52,IF('Capacity summary'!AK106&lt;&gt;"",IF(LOWER('Capacity summary'!AK106)="x",$BI194*AK194,VALUE('Capacity summary'!AK106)),0),AK194*$BI194),AK194*$BI194),0)</f>
        <v>0</v>
      </c>
      <c r="CO194" s="5">
        <f>IF($BI194&lt;&gt;"",IF('Capacity summary'!$C$14="Yes",IF(COUNTBLANK('Capacity summary'!$H106:$BG106)&lt;52,IF('Capacity summary'!AL106&lt;&gt;"",IF(LOWER('Capacity summary'!AL106)="x",$BI194*AL194,VALUE('Capacity summary'!AL106)),0),AL194*$BI194),AL194*$BI194),0)</f>
        <v>0</v>
      </c>
      <c r="CP194" s="5">
        <f>IF($BI194&lt;&gt;"",IF('Capacity summary'!$C$14="Yes",IF(COUNTBLANK('Capacity summary'!$H106:$BG106)&lt;52,IF('Capacity summary'!AM106&lt;&gt;"",IF(LOWER('Capacity summary'!AM106)="x",$BI194*AM194,VALUE('Capacity summary'!AM106)),0),AM194*$BI194),AM194*$BI194),0)</f>
        <v>0</v>
      </c>
      <c r="CQ194" s="5">
        <f>IF($BI194&lt;&gt;"",IF('Capacity summary'!$C$14="Yes",IF(COUNTBLANK('Capacity summary'!$H106:$BG106)&lt;52,IF('Capacity summary'!AN106&lt;&gt;"",IF(LOWER('Capacity summary'!AN106)="x",$BI194*AN194,VALUE('Capacity summary'!AN106)),0),AN194*$BI194),AN194*$BI194),0)</f>
        <v>0</v>
      </c>
      <c r="CR194" s="5">
        <f>IF($BI194&lt;&gt;"",IF('Capacity summary'!$C$14="Yes",IF(COUNTBLANK('Capacity summary'!$H106:$BG106)&lt;52,IF('Capacity summary'!AO106&lt;&gt;"",IF(LOWER('Capacity summary'!AO106)="x",$BI194*AO194,VALUE('Capacity summary'!AO106)),0),AO194*$BI194),AO194*$BI194),0)</f>
        <v>0</v>
      </c>
      <c r="CS194" s="5">
        <f>IF($BI194&lt;&gt;"",IF('Capacity summary'!$C$14="Yes",IF(COUNTBLANK('Capacity summary'!$H106:$BG106)&lt;52,IF('Capacity summary'!AP106&lt;&gt;"",IF(LOWER('Capacity summary'!AP106)="x",$BI194*AP194,VALUE('Capacity summary'!AP106)),0),AP194*$BI194),AP194*$BI194),0)</f>
        <v>0</v>
      </c>
      <c r="CT194" s="5">
        <f>IF($BI194&lt;&gt;"",IF('Capacity summary'!$C$14="Yes",IF(COUNTBLANK('Capacity summary'!$H106:$BG106)&lt;52,IF('Capacity summary'!AQ106&lt;&gt;"",IF(LOWER('Capacity summary'!AQ106)="x",$BI194*AQ194,VALUE('Capacity summary'!AQ106)),0),AQ194*$BI194),AQ194*$BI194),0)</f>
        <v>0</v>
      </c>
      <c r="CU194" s="5">
        <f>IF($BI194&lt;&gt;"",IF('Capacity summary'!$C$14="Yes",IF(COUNTBLANK('Capacity summary'!$H106:$BG106)&lt;52,IF('Capacity summary'!AR106&lt;&gt;"",IF(LOWER('Capacity summary'!AR106)="x",$BI194*AR194,VALUE('Capacity summary'!AR106)),0),AR194*$BI194),AR194*$BI194),0)</f>
        <v>0</v>
      </c>
      <c r="CV194" s="5">
        <f>IF($BI194&lt;&gt;"",IF('Capacity summary'!$C$14="Yes",IF(COUNTBLANK('Capacity summary'!$H106:$BG106)&lt;52,IF('Capacity summary'!AS106&lt;&gt;"",IF(LOWER('Capacity summary'!AS106)="x",$BI194*AS194,VALUE('Capacity summary'!AS106)),0),AS194*$BI194),AS194*$BI194),0)</f>
        <v>0</v>
      </c>
      <c r="CW194" s="5">
        <f>IF($BI194&lt;&gt;"",IF('Capacity summary'!$C$14="Yes",IF(COUNTBLANK('Capacity summary'!$H106:$BG106)&lt;52,IF('Capacity summary'!AT106&lt;&gt;"",IF(LOWER('Capacity summary'!AT106)="x",$BI194*AT194,VALUE('Capacity summary'!AT106)),0),AT194*$BI194),AT194*$BI194),0)</f>
        <v>0</v>
      </c>
      <c r="CX194" s="5">
        <f>IF($BI194&lt;&gt;"",IF('Capacity summary'!$C$14="Yes",IF(COUNTBLANK('Capacity summary'!$H106:$BG106)&lt;52,IF('Capacity summary'!AU106&lt;&gt;"",IF(LOWER('Capacity summary'!AU106)="x",$BI194*AU194,VALUE('Capacity summary'!AU106)),0),AU194*$BI194),AU194*$BI194),0)</f>
        <v>0</v>
      </c>
      <c r="CY194" s="5">
        <f>IF($BI194&lt;&gt;"",IF('Capacity summary'!$C$14="Yes",IF(COUNTBLANK('Capacity summary'!$H106:$BG106)&lt;52,IF('Capacity summary'!AV106&lt;&gt;"",IF(LOWER('Capacity summary'!AV106)="x",$BI194*AV194,VALUE('Capacity summary'!AV106)),0),AV194*$BI194),AV194*$BI194),0)</f>
        <v>0</v>
      </c>
      <c r="CZ194" s="5">
        <f>IF($BI194&lt;&gt;"",IF('Capacity summary'!$C$14="Yes",IF(COUNTBLANK('Capacity summary'!$H106:$BG106)&lt;52,IF('Capacity summary'!AW106&lt;&gt;"",IF(LOWER('Capacity summary'!AW106)="x",$BI194*AW194,VALUE('Capacity summary'!AW106)),0),AW194*$BI194),AW194*$BI194),0)</f>
        <v>0</v>
      </c>
      <c r="DA194" s="5">
        <f>IF($BI194&lt;&gt;"",IF('Capacity summary'!$C$14="Yes",IF(COUNTBLANK('Capacity summary'!$H106:$BG106)&lt;52,IF('Capacity summary'!AX106&lt;&gt;"",IF(LOWER('Capacity summary'!AX106)="x",$BI194*AX194,VALUE('Capacity summary'!AX106)),0),AX194*$BI194),AX194*$BI194),0)</f>
        <v>0</v>
      </c>
      <c r="DB194" s="5">
        <f>IF($BI194&lt;&gt;"",IF('Capacity summary'!$C$14="Yes",IF(COUNTBLANK('Capacity summary'!$H106:$BG106)&lt;52,IF('Capacity summary'!AY106&lt;&gt;"",IF(LOWER('Capacity summary'!AY106)="x",$BI194*AY194,VALUE('Capacity summary'!AY106)),0),AY194*$BI194),AY194*$BI194),0)</f>
        <v>0</v>
      </c>
      <c r="DC194" s="5">
        <f>IF($BI194&lt;&gt;"",IF('Capacity summary'!$C$14="Yes",IF(COUNTBLANK('Capacity summary'!$H106:$BG106)&lt;52,IF('Capacity summary'!AZ106&lt;&gt;"",IF(LOWER('Capacity summary'!AZ106)="x",$BI194*AZ194,VALUE('Capacity summary'!AZ106)),0),AZ194*$BI194),AZ194*$BI194),0)</f>
        <v>0</v>
      </c>
      <c r="DD194" s="5">
        <f>IF($BI194&lt;&gt;"",IF('Capacity summary'!$C$14="Yes",IF(COUNTBLANK('Capacity summary'!$H106:$BG106)&lt;52,IF('Capacity summary'!BA106&lt;&gt;"",IF(LOWER('Capacity summary'!BA106)="x",$BI194*BA194,VALUE('Capacity summary'!BA106)),0),BA194*$BI194),BA194*$BI194),0)</f>
        <v>0</v>
      </c>
      <c r="DE194" s="5">
        <f>IF($BI194&lt;&gt;"",IF('Capacity summary'!$C$14="Yes",IF(COUNTBLANK('Capacity summary'!$H106:$BG106)&lt;52,IF('Capacity summary'!BB106&lt;&gt;"",IF(LOWER('Capacity summary'!BB106)="x",$BI194*BB194,VALUE('Capacity summary'!BB106)),0),BB194*$BI194),BB194*$BI194),0)</f>
        <v>0</v>
      </c>
      <c r="DF194" s="5">
        <f>IF($BI194&lt;&gt;"",IF('Capacity summary'!$C$14="Yes",IF(COUNTBLANK('Capacity summary'!$H106:$BG106)&lt;52,IF('Capacity summary'!BC106&lt;&gt;"",IF(LOWER('Capacity summary'!BC106)="x",$BI194*BC194,VALUE('Capacity summary'!BC106)),0),BC194*$BI194),BC194*$BI194),0)</f>
        <v>0</v>
      </c>
      <c r="DG194" s="5">
        <f>IF($BI194&lt;&gt;"",IF('Capacity summary'!$C$14="Yes",IF(COUNTBLANK('Capacity summary'!$H106:$BG106)&lt;52,IF('Capacity summary'!BD106&lt;&gt;"",IF(LOWER('Capacity summary'!BD106)="x",$BI194*BD194,VALUE('Capacity summary'!BD106)),0),BD194*$BI194),BD194*$BI194),0)</f>
        <v>0</v>
      </c>
      <c r="DH194" s="5">
        <f>IF($BI194&lt;&gt;"",IF('Capacity summary'!$C$14="Yes",IF(COUNTBLANK('Capacity summary'!$H106:$BG106)&lt;52,IF('Capacity summary'!BE106&lt;&gt;"",IF(LOWER('Capacity summary'!BE106)="x",$BI194*BE194,VALUE('Capacity summary'!BE106)),0),BE194*$BI194),BE194*$BI194),0)</f>
        <v>0</v>
      </c>
      <c r="DI194" s="5">
        <f>IF($BI194&lt;&gt;"",IF('Capacity summary'!$C$14="Yes",IF(COUNTBLANK('Capacity summary'!$H106:$BG106)&lt;52,IF('Capacity summary'!BF106&lt;&gt;"",IF(LOWER('Capacity summary'!BF106)="x",$BI194*BF194,VALUE('Capacity summary'!BF106)),0),BF194*$BI194),BF194*$BI194),0)</f>
        <v>0</v>
      </c>
      <c r="DJ194" s="5">
        <f>IF($BI194&lt;&gt;"",IF('Capacity summary'!$C$14="Yes",IF(COUNTBLANK('Capacity summary'!$H106:$BG106)&lt;52,IF('Capacity summary'!BG106&lt;&gt;"",IF(LOWER('Capacity summary'!BG106)="x",$BI194*BG194,VALUE('Capacity summary'!BG106)),0),BG194*$BI194),BG194*$BI194),0)</f>
        <v>0</v>
      </c>
      <c r="DK194" s="5">
        <f t="shared" ref="DK194" si="88">SUM(DK195:DK294)</f>
        <v>0</v>
      </c>
    </row>
    <row r="195" spans="3:115" x14ac:dyDescent="0.25">
      <c r="C195" s="67" t="str">
        <f>ROW(A84)&amp;". "&amp;Capacity!N100</f>
        <v xml:space="preserve">84. </v>
      </c>
      <c r="D195" s="67">
        <f>'Capacity setup'!C201</f>
        <v>0</v>
      </c>
      <c r="E195" s="67">
        <f>'Capacity setup'!D201</f>
        <v>0</v>
      </c>
      <c r="F195" s="67">
        <f>'Capacity setup'!E201</f>
        <v>0</v>
      </c>
      <c r="H195" s="67">
        <f ca="1">IF(AND(SUMIF(Capacity_Resource,$D195,'Critical resources (hide)'!U$6:U$105)+SUMIF(Capacity_Resource,$E195,'Critical resources (hide)'!U$6:U$105)+SUMIF(Capacity_Resource,$F195,'Critical resources (hide)'!U$6:U$105)&gt;0,$E$1=2),0,1)</f>
        <v>1</v>
      </c>
      <c r="I195" s="67">
        <f ca="1">IF(AND(SUMIF(Capacity_Resource,$D195,'Critical resources (hide)'!V$6:V$105)+SUMIF(Capacity_Resource,$E195,'Critical resources (hide)'!V$6:V$105)+SUMIF(Capacity_Resource,$F195,'Critical resources (hide)'!V$6:V$105)&gt;0,$E$1=2),0,1)</f>
        <v>1</v>
      </c>
      <c r="J195" s="67">
        <f ca="1">IF(AND(SUMIF(Capacity_Resource,$D195,'Critical resources (hide)'!W$6:W$105)+SUMIF(Capacity_Resource,$E195,'Critical resources (hide)'!W$6:W$105)+SUMIF(Capacity_Resource,$F195,'Critical resources (hide)'!W$6:W$105)&gt;0,$E$1=2),0,1)</f>
        <v>1</v>
      </c>
      <c r="K195" s="67">
        <f ca="1">IF(AND(SUMIF(Capacity_Resource,$D195,'Critical resources (hide)'!X$6:X$105)+SUMIF(Capacity_Resource,$E195,'Critical resources (hide)'!X$6:X$105)+SUMIF(Capacity_Resource,$F195,'Critical resources (hide)'!X$6:X$105)&gt;0,$E$1=2),0,1)</f>
        <v>1</v>
      </c>
      <c r="L195" s="67">
        <f ca="1">IF(AND(SUMIF(Capacity_Resource,$D195,'Critical resources (hide)'!Y$6:Y$105)+SUMIF(Capacity_Resource,$E195,'Critical resources (hide)'!Y$6:Y$105)+SUMIF(Capacity_Resource,$F195,'Critical resources (hide)'!Y$6:Y$105)&gt;0,$E$1=2),0,1)</f>
        <v>1</v>
      </c>
      <c r="M195" s="67">
        <f ca="1">IF(AND(SUMIF(Capacity_Resource,$D195,'Critical resources (hide)'!Z$6:Z$105)+SUMIF(Capacity_Resource,$E195,'Critical resources (hide)'!Z$6:Z$105)+SUMIF(Capacity_Resource,$F195,'Critical resources (hide)'!Z$6:Z$105)&gt;0,$E$1=2),0,1)</f>
        <v>1</v>
      </c>
      <c r="N195" s="67">
        <f ca="1">IF(AND(SUMIF(Capacity_Resource,$D195,'Critical resources (hide)'!AA$6:AA$105)+SUMIF(Capacity_Resource,$E195,'Critical resources (hide)'!AA$6:AA$105)+SUMIF(Capacity_Resource,$F195,'Critical resources (hide)'!AA$6:AA$105)&gt;0,$E$1=2),0,1)</f>
        <v>1</v>
      </c>
      <c r="O195" s="67">
        <f ca="1">IF(AND(SUMIF(Capacity_Resource,$D195,'Critical resources (hide)'!AB$6:AB$105)+SUMIF(Capacity_Resource,$E195,'Critical resources (hide)'!AB$6:AB$105)+SUMIF(Capacity_Resource,$F195,'Critical resources (hide)'!AB$6:AB$105)&gt;0,$E$1=2),0,1)</f>
        <v>1</v>
      </c>
      <c r="P195" s="67">
        <f ca="1">IF(AND(SUMIF(Capacity_Resource,$D195,'Critical resources (hide)'!AC$6:AC$105)+SUMIF(Capacity_Resource,$E195,'Critical resources (hide)'!AC$6:AC$105)+SUMIF(Capacity_Resource,$F195,'Critical resources (hide)'!AC$6:AC$105)&gt;0,$E$1=2),0,1)</f>
        <v>1</v>
      </c>
      <c r="Q195" s="67">
        <f ca="1">IF(AND(SUMIF(Capacity_Resource,$D195,'Critical resources (hide)'!AD$6:AD$105)+SUMIF(Capacity_Resource,$E195,'Critical resources (hide)'!AD$6:AD$105)+SUMIF(Capacity_Resource,$F195,'Critical resources (hide)'!AD$6:AD$105)&gt;0,$E$1=2),0,1)</f>
        <v>1</v>
      </c>
      <c r="R195" s="67">
        <f ca="1">IF(AND(SUMIF(Capacity_Resource,$D195,'Critical resources (hide)'!AE$6:AE$105)+SUMIF(Capacity_Resource,$E195,'Critical resources (hide)'!AE$6:AE$105)+SUMIF(Capacity_Resource,$F195,'Critical resources (hide)'!AE$6:AE$105)&gt;0,$E$1=2),0,1)</f>
        <v>1</v>
      </c>
      <c r="S195" s="67">
        <f ca="1">IF(AND(SUMIF(Capacity_Resource,$D195,'Critical resources (hide)'!AF$6:AF$105)+SUMIF(Capacity_Resource,$E195,'Critical resources (hide)'!AF$6:AF$105)+SUMIF(Capacity_Resource,$F195,'Critical resources (hide)'!AF$6:AF$105)&gt;0,$E$1=2),0,1)</f>
        <v>1</v>
      </c>
      <c r="T195" s="67">
        <f ca="1">IF(AND(SUMIF(Capacity_Resource,$D195,'Critical resources (hide)'!AG$6:AG$105)+SUMIF(Capacity_Resource,$E195,'Critical resources (hide)'!AG$6:AG$105)+SUMIF(Capacity_Resource,$F195,'Critical resources (hide)'!AG$6:AG$105)&gt;0,$E$1=2),0,1)</f>
        <v>1</v>
      </c>
      <c r="U195" s="67">
        <f ca="1">IF(AND(SUMIF(Capacity_Resource,$D195,'Critical resources (hide)'!AH$6:AH$105)+SUMIF(Capacity_Resource,$E195,'Critical resources (hide)'!AH$6:AH$105)+SUMIF(Capacity_Resource,$F195,'Critical resources (hide)'!AH$6:AH$105)&gt;0,$E$1=2),0,1)</f>
        <v>1</v>
      </c>
      <c r="V195" s="67">
        <f ca="1">IF(AND(SUMIF(Capacity_Resource,$D195,'Critical resources (hide)'!AI$6:AI$105)+SUMIF(Capacity_Resource,$E195,'Critical resources (hide)'!AI$6:AI$105)+SUMIF(Capacity_Resource,$F195,'Critical resources (hide)'!AI$6:AI$105)&gt;0,$E$1=2),0,1)</f>
        <v>1</v>
      </c>
      <c r="W195" s="67">
        <f ca="1">IF(AND(SUMIF(Capacity_Resource,$D195,'Critical resources (hide)'!AJ$6:AJ$105)+SUMIF(Capacity_Resource,$E195,'Critical resources (hide)'!AJ$6:AJ$105)+SUMIF(Capacity_Resource,$F195,'Critical resources (hide)'!AJ$6:AJ$105)&gt;0,$E$1=2),0,1)</f>
        <v>1</v>
      </c>
      <c r="X195" s="67">
        <f ca="1">IF(AND(SUMIF(Capacity_Resource,$D195,'Critical resources (hide)'!AK$6:AK$105)+SUMIF(Capacity_Resource,$E195,'Critical resources (hide)'!AK$6:AK$105)+SUMIF(Capacity_Resource,$F195,'Critical resources (hide)'!AK$6:AK$105)&gt;0,$E$1=2),0,1)</f>
        <v>1</v>
      </c>
      <c r="Y195" s="67">
        <f ca="1">IF(AND(SUMIF(Capacity_Resource,$D195,'Critical resources (hide)'!AL$6:AL$105)+SUMIF(Capacity_Resource,$E195,'Critical resources (hide)'!AL$6:AL$105)+SUMIF(Capacity_Resource,$F195,'Critical resources (hide)'!AL$6:AL$105)&gt;0,$E$1=2),0,1)</f>
        <v>1</v>
      </c>
      <c r="Z195" s="67">
        <f ca="1">IF(AND(SUMIF(Capacity_Resource,$D195,'Critical resources (hide)'!AM$6:AM$105)+SUMIF(Capacity_Resource,$E195,'Critical resources (hide)'!AM$6:AM$105)+SUMIF(Capacity_Resource,$F195,'Critical resources (hide)'!AM$6:AM$105)&gt;0,$E$1=2),0,1)</f>
        <v>1</v>
      </c>
      <c r="AA195" s="67">
        <f ca="1">IF(AND(SUMIF(Capacity_Resource,$D195,'Critical resources (hide)'!AN$6:AN$105)+SUMIF(Capacity_Resource,$E195,'Critical resources (hide)'!AN$6:AN$105)+SUMIF(Capacity_Resource,$F195,'Critical resources (hide)'!AN$6:AN$105)&gt;0,$E$1=2),0,1)</f>
        <v>1</v>
      </c>
      <c r="AB195" s="67">
        <f ca="1">IF(AND(SUMIF(Capacity_Resource,$D195,'Critical resources (hide)'!AO$6:AO$105)+SUMIF(Capacity_Resource,$E195,'Critical resources (hide)'!AO$6:AO$105)+SUMIF(Capacity_Resource,$F195,'Critical resources (hide)'!AO$6:AO$105)&gt;0,$E$1=2),0,1)</f>
        <v>1</v>
      </c>
      <c r="AC195" s="67">
        <f ca="1">IF(AND(SUMIF(Capacity_Resource,$D195,'Critical resources (hide)'!AP$6:AP$105)+SUMIF(Capacity_Resource,$E195,'Critical resources (hide)'!AP$6:AP$105)+SUMIF(Capacity_Resource,$F195,'Critical resources (hide)'!AP$6:AP$105)&gt;0,$E$1=2),0,1)</f>
        <v>1</v>
      </c>
      <c r="AD195" s="67">
        <f ca="1">IF(AND(SUMIF(Capacity_Resource,$D195,'Critical resources (hide)'!AQ$6:AQ$105)+SUMIF(Capacity_Resource,$E195,'Critical resources (hide)'!AQ$6:AQ$105)+SUMIF(Capacity_Resource,$F195,'Critical resources (hide)'!AQ$6:AQ$105)&gt;0,$E$1=2),0,1)</f>
        <v>1</v>
      </c>
      <c r="AE195" s="67">
        <f ca="1">IF(AND(SUMIF(Capacity_Resource,$D195,'Critical resources (hide)'!AR$6:AR$105)+SUMIF(Capacity_Resource,$E195,'Critical resources (hide)'!AR$6:AR$105)+SUMIF(Capacity_Resource,$F195,'Critical resources (hide)'!AR$6:AR$105)&gt;0,$E$1=2),0,1)</f>
        <v>1</v>
      </c>
      <c r="AF195" s="67">
        <f ca="1">IF(AND(SUMIF(Capacity_Resource,$D195,'Critical resources (hide)'!AS$6:AS$105)+SUMIF(Capacity_Resource,$E195,'Critical resources (hide)'!AS$6:AS$105)+SUMIF(Capacity_Resource,$F195,'Critical resources (hide)'!AS$6:AS$105)&gt;0,$E$1=2),0,1)</f>
        <v>1</v>
      </c>
      <c r="AG195" s="67">
        <f ca="1">IF(AND(SUMIF(Capacity_Resource,$D195,'Critical resources (hide)'!AT$6:AT$105)+SUMIF(Capacity_Resource,$E195,'Critical resources (hide)'!AT$6:AT$105)+SUMIF(Capacity_Resource,$F195,'Critical resources (hide)'!AT$6:AT$105)&gt;0,$E$1=2),0,1)</f>
        <v>1</v>
      </c>
      <c r="AH195" s="67">
        <f ca="1">IF(AND(SUMIF(Capacity_Resource,$D195,'Critical resources (hide)'!AU$6:AU$105)+SUMIF(Capacity_Resource,$E195,'Critical resources (hide)'!AU$6:AU$105)+SUMIF(Capacity_Resource,$F195,'Critical resources (hide)'!AU$6:AU$105)&gt;0,$E$1=2),0,1)</f>
        <v>1</v>
      </c>
      <c r="AI195" s="67">
        <f ca="1">IF(AND(SUMIF(Capacity_Resource,$D195,'Critical resources (hide)'!AV$6:AV$105)+SUMIF(Capacity_Resource,$E195,'Critical resources (hide)'!AV$6:AV$105)+SUMIF(Capacity_Resource,$F195,'Critical resources (hide)'!AV$6:AV$105)&gt;0,$E$1=2),0,1)</f>
        <v>1</v>
      </c>
      <c r="AJ195" s="67">
        <f ca="1">IF(AND(SUMIF(Capacity_Resource,$D195,'Critical resources (hide)'!AW$6:AW$105)+SUMIF(Capacity_Resource,$E195,'Critical resources (hide)'!AW$6:AW$105)+SUMIF(Capacity_Resource,$F195,'Critical resources (hide)'!AW$6:AW$105)&gt;0,$E$1=2),0,1)</f>
        <v>1</v>
      </c>
      <c r="AK195" s="67">
        <f ca="1">IF(AND(SUMIF(Capacity_Resource,$D195,'Critical resources (hide)'!AX$6:AX$105)+SUMIF(Capacity_Resource,$E195,'Critical resources (hide)'!AX$6:AX$105)+SUMIF(Capacity_Resource,$F195,'Critical resources (hide)'!AX$6:AX$105)&gt;0,$E$1=2),0,1)</f>
        <v>1</v>
      </c>
      <c r="AL195" s="67">
        <f ca="1">IF(AND(SUMIF(Capacity_Resource,$D195,'Critical resources (hide)'!AY$6:AY$105)+SUMIF(Capacity_Resource,$E195,'Critical resources (hide)'!AY$6:AY$105)+SUMIF(Capacity_Resource,$F195,'Critical resources (hide)'!AY$6:AY$105)&gt;0,$E$1=2),0,1)</f>
        <v>1</v>
      </c>
      <c r="AM195" s="67">
        <f ca="1">IF(AND(SUMIF(Capacity_Resource,$D195,'Critical resources (hide)'!AZ$6:AZ$105)+SUMIF(Capacity_Resource,$E195,'Critical resources (hide)'!AZ$6:AZ$105)+SUMIF(Capacity_Resource,$F195,'Critical resources (hide)'!AZ$6:AZ$105)&gt;0,$E$1=2),0,1)</f>
        <v>1</v>
      </c>
      <c r="AN195" s="67">
        <f ca="1">IF(AND(SUMIF(Capacity_Resource,$D195,'Critical resources (hide)'!BA$6:BA$105)+SUMIF(Capacity_Resource,$E195,'Critical resources (hide)'!BA$6:BA$105)+SUMIF(Capacity_Resource,$F195,'Critical resources (hide)'!BA$6:BA$105)&gt;0,$E$1=2),0,1)</f>
        <v>1</v>
      </c>
      <c r="AO195" s="67">
        <f ca="1">IF(AND(SUMIF(Capacity_Resource,$D195,'Critical resources (hide)'!BB$6:BB$105)+SUMIF(Capacity_Resource,$E195,'Critical resources (hide)'!BB$6:BB$105)+SUMIF(Capacity_Resource,$F195,'Critical resources (hide)'!BB$6:BB$105)&gt;0,$E$1=2),0,1)</f>
        <v>1</v>
      </c>
      <c r="AP195" s="67">
        <f ca="1">IF(AND(SUMIF(Capacity_Resource,$D195,'Critical resources (hide)'!BC$6:BC$105)+SUMIF(Capacity_Resource,$E195,'Critical resources (hide)'!BC$6:BC$105)+SUMIF(Capacity_Resource,$F195,'Critical resources (hide)'!BC$6:BC$105)&gt;0,$E$1=2),0,1)</f>
        <v>1</v>
      </c>
      <c r="AQ195" s="67">
        <f ca="1">IF(AND(SUMIF(Capacity_Resource,$D195,'Critical resources (hide)'!BD$6:BD$105)+SUMIF(Capacity_Resource,$E195,'Critical resources (hide)'!BD$6:BD$105)+SUMIF(Capacity_Resource,$F195,'Critical resources (hide)'!BD$6:BD$105)&gt;0,$E$1=2),0,1)</f>
        <v>1</v>
      </c>
      <c r="AR195" s="67">
        <f ca="1">IF(AND(SUMIF(Capacity_Resource,$D195,'Critical resources (hide)'!BE$6:BE$105)+SUMIF(Capacity_Resource,$E195,'Critical resources (hide)'!BE$6:BE$105)+SUMIF(Capacity_Resource,$F195,'Critical resources (hide)'!BE$6:BE$105)&gt;0,$E$1=2),0,1)</f>
        <v>1</v>
      </c>
      <c r="AS195" s="67">
        <f ca="1">IF(AND(SUMIF(Capacity_Resource,$D195,'Critical resources (hide)'!BF$6:BF$105)+SUMIF(Capacity_Resource,$E195,'Critical resources (hide)'!BF$6:BF$105)+SUMIF(Capacity_Resource,$F195,'Critical resources (hide)'!BF$6:BF$105)&gt;0,$E$1=2),0,1)</f>
        <v>1</v>
      </c>
      <c r="AT195" s="67">
        <f ca="1">IF(AND(SUMIF(Capacity_Resource,$D195,'Critical resources (hide)'!BG$6:BG$105)+SUMIF(Capacity_Resource,$E195,'Critical resources (hide)'!BG$6:BG$105)+SUMIF(Capacity_Resource,$F195,'Critical resources (hide)'!BG$6:BG$105)&gt;0,$E$1=2),0,1)</f>
        <v>1</v>
      </c>
      <c r="AU195" s="67">
        <f ca="1">IF(AND(SUMIF(Capacity_Resource,$D195,'Critical resources (hide)'!BH$6:BH$105)+SUMIF(Capacity_Resource,$E195,'Critical resources (hide)'!BH$6:BH$105)+SUMIF(Capacity_Resource,$F195,'Critical resources (hide)'!BH$6:BH$105)&gt;0,$E$1=2),0,1)</f>
        <v>1</v>
      </c>
      <c r="AV195" s="67">
        <f ca="1">IF(AND(SUMIF(Capacity_Resource,$D195,'Critical resources (hide)'!BI$6:BI$105)+SUMIF(Capacity_Resource,$E195,'Critical resources (hide)'!BI$6:BI$105)+SUMIF(Capacity_Resource,$F195,'Critical resources (hide)'!BI$6:BI$105)&gt;0,$E$1=2),0,1)</f>
        <v>1</v>
      </c>
      <c r="AW195" s="67">
        <f ca="1">IF(AND(SUMIF(Capacity_Resource,$D195,'Critical resources (hide)'!BJ$6:BJ$105)+SUMIF(Capacity_Resource,$E195,'Critical resources (hide)'!BJ$6:BJ$105)+SUMIF(Capacity_Resource,$F195,'Critical resources (hide)'!BJ$6:BJ$105)&gt;0,$E$1=2),0,1)</f>
        <v>1</v>
      </c>
      <c r="AX195" s="67">
        <f ca="1">IF(AND(SUMIF(Capacity_Resource,$D195,'Critical resources (hide)'!BK$6:BK$105)+SUMIF(Capacity_Resource,$E195,'Critical resources (hide)'!BK$6:BK$105)+SUMIF(Capacity_Resource,$F195,'Critical resources (hide)'!BK$6:BK$105)&gt;0,$E$1=2),0,1)</f>
        <v>1</v>
      </c>
      <c r="AY195" s="67">
        <f ca="1">IF(AND(SUMIF(Capacity_Resource,$D195,'Critical resources (hide)'!BL$6:BL$105)+SUMIF(Capacity_Resource,$E195,'Critical resources (hide)'!BL$6:BL$105)+SUMIF(Capacity_Resource,$F195,'Critical resources (hide)'!BL$6:BL$105)&gt;0,$E$1=2),0,1)</f>
        <v>1</v>
      </c>
      <c r="AZ195" s="67">
        <f ca="1">IF(AND(SUMIF(Capacity_Resource,$D195,'Critical resources (hide)'!BM$6:BM$105)+SUMIF(Capacity_Resource,$E195,'Critical resources (hide)'!BM$6:BM$105)+SUMIF(Capacity_Resource,$F195,'Critical resources (hide)'!BM$6:BM$105)&gt;0,$E$1=2),0,1)</f>
        <v>1</v>
      </c>
      <c r="BA195" s="67">
        <f ca="1">IF(AND(SUMIF(Capacity_Resource,$D195,'Critical resources (hide)'!BN$6:BN$105)+SUMIF(Capacity_Resource,$E195,'Critical resources (hide)'!BN$6:BN$105)+SUMIF(Capacity_Resource,$F195,'Critical resources (hide)'!BN$6:BN$105)&gt;0,$E$1=2),0,1)</f>
        <v>1</v>
      </c>
      <c r="BB195" s="67">
        <f ca="1">IF(AND(SUMIF(Capacity_Resource,$D195,'Critical resources (hide)'!BO$6:BO$105)+SUMIF(Capacity_Resource,$E195,'Critical resources (hide)'!BO$6:BO$105)+SUMIF(Capacity_Resource,$F195,'Critical resources (hide)'!BO$6:BO$105)&gt;0,$E$1=2),0,1)</f>
        <v>1</v>
      </c>
      <c r="BC195" s="67">
        <f ca="1">IF(AND(SUMIF(Capacity_Resource,$D195,'Critical resources (hide)'!BP$6:BP$105)+SUMIF(Capacity_Resource,$E195,'Critical resources (hide)'!BP$6:BP$105)+SUMIF(Capacity_Resource,$F195,'Critical resources (hide)'!BP$6:BP$105)&gt;0,$E$1=2),0,1)</f>
        <v>1</v>
      </c>
      <c r="BD195" s="67">
        <f ca="1">IF(AND(SUMIF(Capacity_Resource,$D195,'Critical resources (hide)'!BQ$6:BQ$105)+SUMIF(Capacity_Resource,$E195,'Critical resources (hide)'!BQ$6:BQ$105)+SUMIF(Capacity_Resource,$F195,'Critical resources (hide)'!BQ$6:BQ$105)&gt;0,$E$1=2),0,1)</f>
        <v>1</v>
      </c>
      <c r="BE195" s="67">
        <f ca="1">IF(AND(SUMIF(Capacity_Resource,$D195,'Critical resources (hide)'!BR$6:BR$105)+SUMIF(Capacity_Resource,$E195,'Critical resources (hide)'!BR$6:BR$105)+SUMIF(Capacity_Resource,$F195,'Critical resources (hide)'!BR$6:BR$105)&gt;0,$E$1=2),0,1)</f>
        <v>1</v>
      </c>
      <c r="BF195" s="67">
        <f ca="1">IF(AND(SUMIF(Capacity_Resource,$D195,'Critical resources (hide)'!BS$6:BS$105)+SUMIF(Capacity_Resource,$E195,'Critical resources (hide)'!BS$6:BS$105)+SUMIF(Capacity_Resource,$F195,'Critical resources (hide)'!BS$6:BS$105)&gt;0,$E$1=2),0,1)</f>
        <v>1</v>
      </c>
      <c r="BG195" s="67">
        <f ca="1">IF(AND(SUMIF(Capacity_Resource,$D195,'Critical resources (hide)'!BT$6:BT$105)+SUMIF(Capacity_Resource,$E195,'Critical resources (hide)'!BT$6:BT$105)+SUMIF(Capacity_Resource,$F195,'Critical resources (hide)'!BT$6:BT$105)&gt;0,$E$1=2),0,1)</f>
        <v>1</v>
      </c>
      <c r="BH195" s="67">
        <f>IF(ROW(A84)&lt;=Capacity!$M$16,IF('Capacity summary'!$C$14="No",SUM(H195:BG195),'Capacity summary'!$E107),0)</f>
        <v>0</v>
      </c>
      <c r="BI195" s="67" t="str">
        <f>IF(BH195&gt;0,IF(BH195&lt;Capacity!Q100,Capacity!R100,Capacity!T100/'Capacity calculation (hide)'!BH195),"")</f>
        <v/>
      </c>
      <c r="BJ195" s="5"/>
      <c r="BK195" s="5">
        <f>IF($BI195&lt;&gt;"",IF('Capacity summary'!$C$14="Yes",IF(COUNTBLANK('Capacity summary'!$H107:$BG107)&lt;52,IF('Capacity summary'!H107&lt;&gt;"",IF(LOWER('Capacity summary'!H107)="x",$BI195*H195,VALUE('Capacity summary'!H107)),0),H195*$BI195),H195*$BI195),0)</f>
        <v>0</v>
      </c>
      <c r="BL195" s="5">
        <f>IF($BI195&lt;&gt;"",IF('Capacity summary'!$C$14="Yes",IF(COUNTBLANK('Capacity summary'!$H107:$BG107)&lt;52,IF('Capacity summary'!I107&lt;&gt;"",IF(LOWER('Capacity summary'!I107)="x",$BI195*I195,VALUE('Capacity summary'!I107)),0),I195*$BI195),I195*$BI195),0)</f>
        <v>0</v>
      </c>
      <c r="BM195" s="5">
        <f>IF($BI195&lt;&gt;"",IF('Capacity summary'!$C$14="Yes",IF(COUNTBLANK('Capacity summary'!$H107:$BG107)&lt;52,IF('Capacity summary'!J107&lt;&gt;"",IF(LOWER('Capacity summary'!J107)="x",$BI195*J195,VALUE('Capacity summary'!J107)),0),J195*$BI195),J195*$BI195),0)</f>
        <v>0</v>
      </c>
      <c r="BN195" s="5">
        <f>IF($BI195&lt;&gt;"",IF('Capacity summary'!$C$14="Yes",IF(COUNTBLANK('Capacity summary'!$H107:$BG107)&lt;52,IF('Capacity summary'!K107&lt;&gt;"",IF(LOWER('Capacity summary'!K107)="x",$BI195*K195,VALUE('Capacity summary'!K107)),0),K195*$BI195),K195*$BI195),0)</f>
        <v>0</v>
      </c>
      <c r="BO195" s="5">
        <f>IF($BI195&lt;&gt;"",IF('Capacity summary'!$C$14="Yes",IF(COUNTBLANK('Capacity summary'!$H107:$BG107)&lt;52,IF('Capacity summary'!L107&lt;&gt;"",IF(LOWER('Capacity summary'!L107)="x",$BI195*L195,VALUE('Capacity summary'!L107)),0),L195*$BI195),L195*$BI195),0)</f>
        <v>0</v>
      </c>
      <c r="BP195" s="5">
        <f>IF($BI195&lt;&gt;"",IF('Capacity summary'!$C$14="Yes",IF(COUNTBLANK('Capacity summary'!$H107:$BG107)&lt;52,IF('Capacity summary'!M107&lt;&gt;"",IF(LOWER('Capacity summary'!M107)="x",$BI195*M195,VALUE('Capacity summary'!M107)),0),M195*$BI195),M195*$BI195),0)</f>
        <v>0</v>
      </c>
      <c r="BQ195" s="5">
        <f>IF($BI195&lt;&gt;"",IF('Capacity summary'!$C$14="Yes",IF(COUNTBLANK('Capacity summary'!$H107:$BG107)&lt;52,IF('Capacity summary'!N107&lt;&gt;"",IF(LOWER('Capacity summary'!N107)="x",$BI195*N195,VALUE('Capacity summary'!N107)),0),N195*$BI195),N195*$BI195),0)</f>
        <v>0</v>
      </c>
      <c r="BR195" s="5">
        <f>IF($BI195&lt;&gt;"",IF('Capacity summary'!$C$14="Yes",IF(COUNTBLANK('Capacity summary'!$H107:$BG107)&lt;52,IF('Capacity summary'!O107&lt;&gt;"",IF(LOWER('Capacity summary'!O107)="x",$BI195*O195,VALUE('Capacity summary'!O107)),0),O195*$BI195),O195*$BI195),0)</f>
        <v>0</v>
      </c>
      <c r="BS195" s="5">
        <f>IF($BI195&lt;&gt;"",IF('Capacity summary'!$C$14="Yes",IF(COUNTBLANK('Capacity summary'!$H107:$BG107)&lt;52,IF('Capacity summary'!P107&lt;&gt;"",IF(LOWER('Capacity summary'!P107)="x",$BI195*P195,VALUE('Capacity summary'!P107)),0),P195*$BI195),P195*$BI195),0)</f>
        <v>0</v>
      </c>
      <c r="BT195" s="5">
        <f>IF($BI195&lt;&gt;"",IF('Capacity summary'!$C$14="Yes",IF(COUNTBLANK('Capacity summary'!$H107:$BG107)&lt;52,IF('Capacity summary'!Q107&lt;&gt;"",IF(LOWER('Capacity summary'!Q107)="x",$BI195*Q195,VALUE('Capacity summary'!Q107)),0),Q195*$BI195),Q195*$BI195),0)</f>
        <v>0</v>
      </c>
      <c r="BU195" s="5">
        <f>IF($BI195&lt;&gt;"",IF('Capacity summary'!$C$14="Yes",IF(COUNTBLANK('Capacity summary'!$H107:$BG107)&lt;52,IF('Capacity summary'!R107&lt;&gt;"",IF(LOWER('Capacity summary'!R107)="x",$BI195*R195,VALUE('Capacity summary'!R107)),0),R195*$BI195),R195*$BI195),0)</f>
        <v>0</v>
      </c>
      <c r="BV195" s="5">
        <f>IF($BI195&lt;&gt;"",IF('Capacity summary'!$C$14="Yes",IF(COUNTBLANK('Capacity summary'!$H107:$BG107)&lt;52,IF('Capacity summary'!S107&lt;&gt;"",IF(LOWER('Capacity summary'!S107)="x",$BI195*S195,VALUE('Capacity summary'!S107)),0),S195*$BI195),S195*$BI195),0)</f>
        <v>0</v>
      </c>
      <c r="BW195" s="5">
        <f>IF($BI195&lt;&gt;"",IF('Capacity summary'!$C$14="Yes",IF(COUNTBLANK('Capacity summary'!$H107:$BG107)&lt;52,IF('Capacity summary'!T107&lt;&gt;"",IF(LOWER('Capacity summary'!T107)="x",$BI195*T195,VALUE('Capacity summary'!T107)),0),T195*$BI195),T195*$BI195),0)</f>
        <v>0</v>
      </c>
      <c r="BX195" s="5">
        <f>IF($BI195&lt;&gt;"",IF('Capacity summary'!$C$14="Yes",IF(COUNTBLANK('Capacity summary'!$H107:$BG107)&lt;52,IF('Capacity summary'!U107&lt;&gt;"",IF(LOWER('Capacity summary'!U107)="x",$BI195*U195,VALUE('Capacity summary'!U107)),0),U195*$BI195),U195*$BI195),0)</f>
        <v>0</v>
      </c>
      <c r="BY195" s="5">
        <f>IF($BI195&lt;&gt;"",IF('Capacity summary'!$C$14="Yes",IF(COUNTBLANK('Capacity summary'!$H107:$BG107)&lt;52,IF('Capacity summary'!V107&lt;&gt;"",IF(LOWER('Capacity summary'!V107)="x",$BI195*V195,VALUE('Capacity summary'!V107)),0),V195*$BI195),V195*$BI195),0)</f>
        <v>0</v>
      </c>
      <c r="BZ195" s="5">
        <f>IF($BI195&lt;&gt;"",IF('Capacity summary'!$C$14="Yes",IF(COUNTBLANK('Capacity summary'!$H107:$BG107)&lt;52,IF('Capacity summary'!W107&lt;&gt;"",IF(LOWER('Capacity summary'!W107)="x",$BI195*W195,VALUE('Capacity summary'!W107)),0),W195*$BI195),W195*$BI195),0)</f>
        <v>0</v>
      </c>
      <c r="CA195" s="5">
        <f>IF($BI195&lt;&gt;"",IF('Capacity summary'!$C$14="Yes",IF(COUNTBLANK('Capacity summary'!$H107:$BG107)&lt;52,IF('Capacity summary'!X107&lt;&gt;"",IF(LOWER('Capacity summary'!X107)="x",$BI195*X195,VALUE('Capacity summary'!X107)),0),X195*$BI195),X195*$BI195),0)</f>
        <v>0</v>
      </c>
      <c r="CB195" s="5">
        <f>IF($BI195&lt;&gt;"",IF('Capacity summary'!$C$14="Yes",IF(COUNTBLANK('Capacity summary'!$H107:$BG107)&lt;52,IF('Capacity summary'!Y107&lt;&gt;"",IF(LOWER('Capacity summary'!Y107)="x",$BI195*Y195,VALUE('Capacity summary'!Y107)),0),Y195*$BI195),Y195*$BI195),0)</f>
        <v>0</v>
      </c>
      <c r="CC195" s="5">
        <f>IF($BI195&lt;&gt;"",IF('Capacity summary'!$C$14="Yes",IF(COUNTBLANK('Capacity summary'!$H107:$BG107)&lt;52,IF('Capacity summary'!Z107&lt;&gt;"",IF(LOWER('Capacity summary'!Z107)="x",$BI195*Z195,VALUE('Capacity summary'!Z107)),0),Z195*$BI195),Z195*$BI195),0)</f>
        <v>0</v>
      </c>
      <c r="CD195" s="5">
        <f>IF($BI195&lt;&gt;"",IF('Capacity summary'!$C$14="Yes",IF(COUNTBLANK('Capacity summary'!$H107:$BG107)&lt;52,IF('Capacity summary'!AA107&lt;&gt;"",IF(LOWER('Capacity summary'!AA107)="x",$BI195*AA195,VALUE('Capacity summary'!AA107)),0),AA195*$BI195),AA195*$BI195),0)</f>
        <v>0</v>
      </c>
      <c r="CE195" s="5">
        <f>IF($BI195&lt;&gt;"",IF('Capacity summary'!$C$14="Yes",IF(COUNTBLANK('Capacity summary'!$H107:$BG107)&lt;52,IF('Capacity summary'!AB107&lt;&gt;"",IF(LOWER('Capacity summary'!AB107)="x",$BI195*AB195,VALUE('Capacity summary'!AB107)),0),AB195*$BI195),AB195*$BI195),0)</f>
        <v>0</v>
      </c>
      <c r="CF195" s="5">
        <f>IF($BI195&lt;&gt;"",IF('Capacity summary'!$C$14="Yes",IF(COUNTBLANK('Capacity summary'!$H107:$BG107)&lt;52,IF('Capacity summary'!AC107&lt;&gt;"",IF(LOWER('Capacity summary'!AC107)="x",$BI195*AC195,VALUE('Capacity summary'!AC107)),0),AC195*$BI195),AC195*$BI195),0)</f>
        <v>0</v>
      </c>
      <c r="CG195" s="5">
        <f>IF($BI195&lt;&gt;"",IF('Capacity summary'!$C$14="Yes",IF(COUNTBLANK('Capacity summary'!$H107:$BG107)&lt;52,IF('Capacity summary'!AD107&lt;&gt;"",IF(LOWER('Capacity summary'!AD107)="x",$BI195*AD195,VALUE('Capacity summary'!AD107)),0),AD195*$BI195),AD195*$BI195),0)</f>
        <v>0</v>
      </c>
      <c r="CH195" s="5">
        <f>IF($BI195&lt;&gt;"",IF('Capacity summary'!$C$14="Yes",IF(COUNTBLANK('Capacity summary'!$H107:$BG107)&lt;52,IF('Capacity summary'!AE107&lt;&gt;"",IF(LOWER('Capacity summary'!AE107)="x",$BI195*AE195,VALUE('Capacity summary'!AE107)),0),AE195*$BI195),AE195*$BI195),0)</f>
        <v>0</v>
      </c>
      <c r="CI195" s="5">
        <f>IF($BI195&lt;&gt;"",IF('Capacity summary'!$C$14="Yes",IF(COUNTBLANK('Capacity summary'!$H107:$BG107)&lt;52,IF('Capacity summary'!AF107&lt;&gt;"",IF(LOWER('Capacity summary'!AF107)="x",$BI195*AF195,VALUE('Capacity summary'!AF107)),0),AF195*$BI195),AF195*$BI195),0)</f>
        <v>0</v>
      </c>
      <c r="CJ195" s="5">
        <f>IF($BI195&lt;&gt;"",IF('Capacity summary'!$C$14="Yes",IF(COUNTBLANK('Capacity summary'!$H107:$BG107)&lt;52,IF('Capacity summary'!AG107&lt;&gt;"",IF(LOWER('Capacity summary'!AG107)="x",$BI195*AG195,VALUE('Capacity summary'!AG107)),0),AG195*$BI195),AG195*$BI195),0)</f>
        <v>0</v>
      </c>
      <c r="CK195" s="5">
        <f>IF($BI195&lt;&gt;"",IF('Capacity summary'!$C$14="Yes",IF(COUNTBLANK('Capacity summary'!$H107:$BG107)&lt;52,IF('Capacity summary'!AH107&lt;&gt;"",IF(LOWER('Capacity summary'!AH107)="x",$BI195*AH195,VALUE('Capacity summary'!AH107)),0),AH195*$BI195),AH195*$BI195),0)</f>
        <v>0</v>
      </c>
      <c r="CL195" s="5">
        <f>IF($BI195&lt;&gt;"",IF('Capacity summary'!$C$14="Yes",IF(COUNTBLANK('Capacity summary'!$H107:$BG107)&lt;52,IF('Capacity summary'!AI107&lt;&gt;"",IF(LOWER('Capacity summary'!AI107)="x",$BI195*AI195,VALUE('Capacity summary'!AI107)),0),AI195*$BI195),AI195*$BI195),0)</f>
        <v>0</v>
      </c>
      <c r="CM195" s="5">
        <f>IF($BI195&lt;&gt;"",IF('Capacity summary'!$C$14="Yes",IF(COUNTBLANK('Capacity summary'!$H107:$BG107)&lt;52,IF('Capacity summary'!AJ107&lt;&gt;"",IF(LOWER('Capacity summary'!AJ107)="x",$BI195*AJ195,VALUE('Capacity summary'!AJ107)),0),AJ195*$BI195),AJ195*$BI195),0)</f>
        <v>0</v>
      </c>
      <c r="CN195" s="5">
        <f>IF($BI195&lt;&gt;"",IF('Capacity summary'!$C$14="Yes",IF(COUNTBLANK('Capacity summary'!$H107:$BG107)&lt;52,IF('Capacity summary'!AK107&lt;&gt;"",IF(LOWER('Capacity summary'!AK107)="x",$BI195*AK195,VALUE('Capacity summary'!AK107)),0),AK195*$BI195),AK195*$BI195),0)</f>
        <v>0</v>
      </c>
      <c r="CO195" s="5">
        <f>IF($BI195&lt;&gt;"",IF('Capacity summary'!$C$14="Yes",IF(COUNTBLANK('Capacity summary'!$H107:$BG107)&lt;52,IF('Capacity summary'!AL107&lt;&gt;"",IF(LOWER('Capacity summary'!AL107)="x",$BI195*AL195,VALUE('Capacity summary'!AL107)),0),AL195*$BI195),AL195*$BI195),0)</f>
        <v>0</v>
      </c>
      <c r="CP195" s="5">
        <f>IF($BI195&lt;&gt;"",IF('Capacity summary'!$C$14="Yes",IF(COUNTBLANK('Capacity summary'!$H107:$BG107)&lt;52,IF('Capacity summary'!AM107&lt;&gt;"",IF(LOWER('Capacity summary'!AM107)="x",$BI195*AM195,VALUE('Capacity summary'!AM107)),0),AM195*$BI195),AM195*$BI195),0)</f>
        <v>0</v>
      </c>
      <c r="CQ195" s="5">
        <f>IF($BI195&lt;&gt;"",IF('Capacity summary'!$C$14="Yes",IF(COUNTBLANK('Capacity summary'!$H107:$BG107)&lt;52,IF('Capacity summary'!AN107&lt;&gt;"",IF(LOWER('Capacity summary'!AN107)="x",$BI195*AN195,VALUE('Capacity summary'!AN107)),0),AN195*$BI195),AN195*$BI195),0)</f>
        <v>0</v>
      </c>
      <c r="CR195" s="5">
        <f>IF($BI195&lt;&gt;"",IF('Capacity summary'!$C$14="Yes",IF(COUNTBLANK('Capacity summary'!$H107:$BG107)&lt;52,IF('Capacity summary'!AO107&lt;&gt;"",IF(LOWER('Capacity summary'!AO107)="x",$BI195*AO195,VALUE('Capacity summary'!AO107)),0),AO195*$BI195),AO195*$BI195),0)</f>
        <v>0</v>
      </c>
      <c r="CS195" s="5">
        <f>IF($BI195&lt;&gt;"",IF('Capacity summary'!$C$14="Yes",IF(COUNTBLANK('Capacity summary'!$H107:$BG107)&lt;52,IF('Capacity summary'!AP107&lt;&gt;"",IF(LOWER('Capacity summary'!AP107)="x",$BI195*AP195,VALUE('Capacity summary'!AP107)),0),AP195*$BI195),AP195*$BI195),0)</f>
        <v>0</v>
      </c>
      <c r="CT195" s="5">
        <f>IF($BI195&lt;&gt;"",IF('Capacity summary'!$C$14="Yes",IF(COUNTBLANK('Capacity summary'!$H107:$BG107)&lt;52,IF('Capacity summary'!AQ107&lt;&gt;"",IF(LOWER('Capacity summary'!AQ107)="x",$BI195*AQ195,VALUE('Capacity summary'!AQ107)),0),AQ195*$BI195),AQ195*$BI195),0)</f>
        <v>0</v>
      </c>
      <c r="CU195" s="5">
        <f>IF($BI195&lt;&gt;"",IF('Capacity summary'!$C$14="Yes",IF(COUNTBLANK('Capacity summary'!$H107:$BG107)&lt;52,IF('Capacity summary'!AR107&lt;&gt;"",IF(LOWER('Capacity summary'!AR107)="x",$BI195*AR195,VALUE('Capacity summary'!AR107)),0),AR195*$BI195),AR195*$BI195),0)</f>
        <v>0</v>
      </c>
      <c r="CV195" s="5">
        <f>IF($BI195&lt;&gt;"",IF('Capacity summary'!$C$14="Yes",IF(COUNTBLANK('Capacity summary'!$H107:$BG107)&lt;52,IF('Capacity summary'!AS107&lt;&gt;"",IF(LOWER('Capacity summary'!AS107)="x",$BI195*AS195,VALUE('Capacity summary'!AS107)),0),AS195*$BI195),AS195*$BI195),0)</f>
        <v>0</v>
      </c>
      <c r="CW195" s="5">
        <f>IF($BI195&lt;&gt;"",IF('Capacity summary'!$C$14="Yes",IF(COUNTBLANK('Capacity summary'!$H107:$BG107)&lt;52,IF('Capacity summary'!AT107&lt;&gt;"",IF(LOWER('Capacity summary'!AT107)="x",$BI195*AT195,VALUE('Capacity summary'!AT107)),0),AT195*$BI195),AT195*$BI195),0)</f>
        <v>0</v>
      </c>
      <c r="CX195" s="5">
        <f>IF($BI195&lt;&gt;"",IF('Capacity summary'!$C$14="Yes",IF(COUNTBLANK('Capacity summary'!$H107:$BG107)&lt;52,IF('Capacity summary'!AU107&lt;&gt;"",IF(LOWER('Capacity summary'!AU107)="x",$BI195*AU195,VALUE('Capacity summary'!AU107)),0),AU195*$BI195),AU195*$BI195),0)</f>
        <v>0</v>
      </c>
      <c r="CY195" s="5">
        <f>IF($BI195&lt;&gt;"",IF('Capacity summary'!$C$14="Yes",IF(COUNTBLANK('Capacity summary'!$H107:$BG107)&lt;52,IF('Capacity summary'!AV107&lt;&gt;"",IF(LOWER('Capacity summary'!AV107)="x",$BI195*AV195,VALUE('Capacity summary'!AV107)),0),AV195*$BI195),AV195*$BI195),0)</f>
        <v>0</v>
      </c>
      <c r="CZ195" s="5">
        <f>IF($BI195&lt;&gt;"",IF('Capacity summary'!$C$14="Yes",IF(COUNTBLANK('Capacity summary'!$H107:$BG107)&lt;52,IF('Capacity summary'!AW107&lt;&gt;"",IF(LOWER('Capacity summary'!AW107)="x",$BI195*AW195,VALUE('Capacity summary'!AW107)),0),AW195*$BI195),AW195*$BI195),0)</f>
        <v>0</v>
      </c>
      <c r="DA195" s="5">
        <f>IF($BI195&lt;&gt;"",IF('Capacity summary'!$C$14="Yes",IF(COUNTBLANK('Capacity summary'!$H107:$BG107)&lt;52,IF('Capacity summary'!AX107&lt;&gt;"",IF(LOWER('Capacity summary'!AX107)="x",$BI195*AX195,VALUE('Capacity summary'!AX107)),0),AX195*$BI195),AX195*$BI195),0)</f>
        <v>0</v>
      </c>
      <c r="DB195" s="5">
        <f>IF($BI195&lt;&gt;"",IF('Capacity summary'!$C$14="Yes",IF(COUNTBLANK('Capacity summary'!$H107:$BG107)&lt;52,IF('Capacity summary'!AY107&lt;&gt;"",IF(LOWER('Capacity summary'!AY107)="x",$BI195*AY195,VALUE('Capacity summary'!AY107)),0),AY195*$BI195),AY195*$BI195),0)</f>
        <v>0</v>
      </c>
      <c r="DC195" s="5">
        <f>IF($BI195&lt;&gt;"",IF('Capacity summary'!$C$14="Yes",IF(COUNTBLANK('Capacity summary'!$H107:$BG107)&lt;52,IF('Capacity summary'!AZ107&lt;&gt;"",IF(LOWER('Capacity summary'!AZ107)="x",$BI195*AZ195,VALUE('Capacity summary'!AZ107)),0),AZ195*$BI195),AZ195*$BI195),0)</f>
        <v>0</v>
      </c>
      <c r="DD195" s="5">
        <f>IF($BI195&lt;&gt;"",IF('Capacity summary'!$C$14="Yes",IF(COUNTBLANK('Capacity summary'!$H107:$BG107)&lt;52,IF('Capacity summary'!BA107&lt;&gt;"",IF(LOWER('Capacity summary'!BA107)="x",$BI195*BA195,VALUE('Capacity summary'!BA107)),0),BA195*$BI195),BA195*$BI195),0)</f>
        <v>0</v>
      </c>
      <c r="DE195" s="5">
        <f>IF($BI195&lt;&gt;"",IF('Capacity summary'!$C$14="Yes",IF(COUNTBLANK('Capacity summary'!$H107:$BG107)&lt;52,IF('Capacity summary'!BB107&lt;&gt;"",IF(LOWER('Capacity summary'!BB107)="x",$BI195*BB195,VALUE('Capacity summary'!BB107)),0),BB195*$BI195),BB195*$BI195),0)</f>
        <v>0</v>
      </c>
      <c r="DF195" s="5">
        <f>IF($BI195&lt;&gt;"",IF('Capacity summary'!$C$14="Yes",IF(COUNTBLANK('Capacity summary'!$H107:$BG107)&lt;52,IF('Capacity summary'!BC107&lt;&gt;"",IF(LOWER('Capacity summary'!BC107)="x",$BI195*BC195,VALUE('Capacity summary'!BC107)),0),BC195*$BI195),BC195*$BI195),0)</f>
        <v>0</v>
      </c>
      <c r="DG195" s="5">
        <f>IF($BI195&lt;&gt;"",IF('Capacity summary'!$C$14="Yes",IF(COUNTBLANK('Capacity summary'!$H107:$BG107)&lt;52,IF('Capacity summary'!BD107&lt;&gt;"",IF(LOWER('Capacity summary'!BD107)="x",$BI195*BD195,VALUE('Capacity summary'!BD107)),0),BD195*$BI195),BD195*$BI195),0)</f>
        <v>0</v>
      </c>
      <c r="DH195" s="5">
        <f>IF($BI195&lt;&gt;"",IF('Capacity summary'!$C$14="Yes",IF(COUNTBLANK('Capacity summary'!$H107:$BG107)&lt;52,IF('Capacity summary'!BE107&lt;&gt;"",IF(LOWER('Capacity summary'!BE107)="x",$BI195*BE195,VALUE('Capacity summary'!BE107)),0),BE195*$BI195),BE195*$BI195),0)</f>
        <v>0</v>
      </c>
      <c r="DI195" s="5">
        <f>IF($BI195&lt;&gt;"",IF('Capacity summary'!$C$14="Yes",IF(COUNTBLANK('Capacity summary'!$H107:$BG107)&lt;52,IF('Capacity summary'!BF107&lt;&gt;"",IF(LOWER('Capacity summary'!BF107)="x",$BI195*BF195,VALUE('Capacity summary'!BF107)),0),BF195*$BI195),BF195*$BI195),0)</f>
        <v>0</v>
      </c>
      <c r="DJ195" s="5">
        <f>IF($BI195&lt;&gt;"",IF('Capacity summary'!$C$14="Yes",IF(COUNTBLANK('Capacity summary'!$H107:$BG107)&lt;52,IF('Capacity summary'!BG107&lt;&gt;"",IF(LOWER('Capacity summary'!BG107)="x",$BI195*BG195,VALUE('Capacity summary'!BG107)),0),BG195*$BI195),BG195*$BI195),0)</f>
        <v>0</v>
      </c>
      <c r="DK195" s="5">
        <f t="shared" ref="DK195" si="89">SUM(DK196:DK295)</f>
        <v>0</v>
      </c>
    </row>
    <row r="196" spans="3:115" x14ac:dyDescent="0.25">
      <c r="C196" s="67" t="str">
        <f>ROW(A85)&amp;". "&amp;Capacity!N101</f>
        <v xml:space="preserve">85. </v>
      </c>
      <c r="D196" s="67">
        <f>'Capacity setup'!C202</f>
        <v>0</v>
      </c>
      <c r="E196" s="67">
        <f>'Capacity setup'!D202</f>
        <v>0</v>
      </c>
      <c r="F196" s="67">
        <f>'Capacity setup'!E202</f>
        <v>0</v>
      </c>
      <c r="H196" s="67">
        <f ca="1">IF(AND(SUMIF(Capacity_Resource,$D196,'Critical resources (hide)'!U$6:U$105)+SUMIF(Capacity_Resource,$E196,'Critical resources (hide)'!U$6:U$105)+SUMIF(Capacity_Resource,$F196,'Critical resources (hide)'!U$6:U$105)&gt;0,$E$1=2),0,1)</f>
        <v>1</v>
      </c>
      <c r="I196" s="67">
        <f ca="1">IF(AND(SUMIF(Capacity_Resource,$D196,'Critical resources (hide)'!V$6:V$105)+SUMIF(Capacity_Resource,$E196,'Critical resources (hide)'!V$6:V$105)+SUMIF(Capacity_Resource,$F196,'Critical resources (hide)'!V$6:V$105)&gt;0,$E$1=2),0,1)</f>
        <v>1</v>
      </c>
      <c r="J196" s="67">
        <f ca="1">IF(AND(SUMIF(Capacity_Resource,$D196,'Critical resources (hide)'!W$6:W$105)+SUMIF(Capacity_Resource,$E196,'Critical resources (hide)'!W$6:W$105)+SUMIF(Capacity_Resource,$F196,'Critical resources (hide)'!W$6:W$105)&gt;0,$E$1=2),0,1)</f>
        <v>1</v>
      </c>
      <c r="K196" s="67">
        <f ca="1">IF(AND(SUMIF(Capacity_Resource,$D196,'Critical resources (hide)'!X$6:X$105)+SUMIF(Capacity_Resource,$E196,'Critical resources (hide)'!X$6:X$105)+SUMIF(Capacity_Resource,$F196,'Critical resources (hide)'!X$6:X$105)&gt;0,$E$1=2),0,1)</f>
        <v>1</v>
      </c>
      <c r="L196" s="67">
        <f ca="1">IF(AND(SUMIF(Capacity_Resource,$D196,'Critical resources (hide)'!Y$6:Y$105)+SUMIF(Capacity_Resource,$E196,'Critical resources (hide)'!Y$6:Y$105)+SUMIF(Capacity_Resource,$F196,'Critical resources (hide)'!Y$6:Y$105)&gt;0,$E$1=2),0,1)</f>
        <v>1</v>
      </c>
      <c r="M196" s="67">
        <f ca="1">IF(AND(SUMIF(Capacity_Resource,$D196,'Critical resources (hide)'!Z$6:Z$105)+SUMIF(Capacity_Resource,$E196,'Critical resources (hide)'!Z$6:Z$105)+SUMIF(Capacity_Resource,$F196,'Critical resources (hide)'!Z$6:Z$105)&gt;0,$E$1=2),0,1)</f>
        <v>1</v>
      </c>
      <c r="N196" s="67">
        <f ca="1">IF(AND(SUMIF(Capacity_Resource,$D196,'Critical resources (hide)'!AA$6:AA$105)+SUMIF(Capacity_Resource,$E196,'Critical resources (hide)'!AA$6:AA$105)+SUMIF(Capacity_Resource,$F196,'Critical resources (hide)'!AA$6:AA$105)&gt;0,$E$1=2),0,1)</f>
        <v>1</v>
      </c>
      <c r="O196" s="67">
        <f ca="1">IF(AND(SUMIF(Capacity_Resource,$D196,'Critical resources (hide)'!AB$6:AB$105)+SUMIF(Capacity_Resource,$E196,'Critical resources (hide)'!AB$6:AB$105)+SUMIF(Capacity_Resource,$F196,'Critical resources (hide)'!AB$6:AB$105)&gt;0,$E$1=2),0,1)</f>
        <v>1</v>
      </c>
      <c r="P196" s="67">
        <f ca="1">IF(AND(SUMIF(Capacity_Resource,$D196,'Critical resources (hide)'!AC$6:AC$105)+SUMIF(Capacity_Resource,$E196,'Critical resources (hide)'!AC$6:AC$105)+SUMIF(Capacity_Resource,$F196,'Critical resources (hide)'!AC$6:AC$105)&gt;0,$E$1=2),0,1)</f>
        <v>1</v>
      </c>
      <c r="Q196" s="67">
        <f ca="1">IF(AND(SUMIF(Capacity_Resource,$D196,'Critical resources (hide)'!AD$6:AD$105)+SUMIF(Capacity_Resource,$E196,'Critical resources (hide)'!AD$6:AD$105)+SUMIF(Capacity_Resource,$F196,'Critical resources (hide)'!AD$6:AD$105)&gt;0,$E$1=2),0,1)</f>
        <v>1</v>
      </c>
      <c r="R196" s="67">
        <f ca="1">IF(AND(SUMIF(Capacity_Resource,$D196,'Critical resources (hide)'!AE$6:AE$105)+SUMIF(Capacity_Resource,$E196,'Critical resources (hide)'!AE$6:AE$105)+SUMIF(Capacity_Resource,$F196,'Critical resources (hide)'!AE$6:AE$105)&gt;0,$E$1=2),0,1)</f>
        <v>1</v>
      </c>
      <c r="S196" s="67">
        <f ca="1">IF(AND(SUMIF(Capacity_Resource,$D196,'Critical resources (hide)'!AF$6:AF$105)+SUMIF(Capacity_Resource,$E196,'Critical resources (hide)'!AF$6:AF$105)+SUMIF(Capacity_Resource,$F196,'Critical resources (hide)'!AF$6:AF$105)&gt;0,$E$1=2),0,1)</f>
        <v>1</v>
      </c>
      <c r="T196" s="67">
        <f ca="1">IF(AND(SUMIF(Capacity_Resource,$D196,'Critical resources (hide)'!AG$6:AG$105)+SUMIF(Capacity_Resource,$E196,'Critical resources (hide)'!AG$6:AG$105)+SUMIF(Capacity_Resource,$F196,'Critical resources (hide)'!AG$6:AG$105)&gt;0,$E$1=2),0,1)</f>
        <v>1</v>
      </c>
      <c r="U196" s="67">
        <f ca="1">IF(AND(SUMIF(Capacity_Resource,$D196,'Critical resources (hide)'!AH$6:AH$105)+SUMIF(Capacity_Resource,$E196,'Critical resources (hide)'!AH$6:AH$105)+SUMIF(Capacity_Resource,$F196,'Critical resources (hide)'!AH$6:AH$105)&gt;0,$E$1=2),0,1)</f>
        <v>1</v>
      </c>
      <c r="V196" s="67">
        <f ca="1">IF(AND(SUMIF(Capacity_Resource,$D196,'Critical resources (hide)'!AI$6:AI$105)+SUMIF(Capacity_Resource,$E196,'Critical resources (hide)'!AI$6:AI$105)+SUMIF(Capacity_Resource,$F196,'Critical resources (hide)'!AI$6:AI$105)&gt;0,$E$1=2),0,1)</f>
        <v>1</v>
      </c>
      <c r="W196" s="67">
        <f ca="1">IF(AND(SUMIF(Capacity_Resource,$D196,'Critical resources (hide)'!AJ$6:AJ$105)+SUMIF(Capacity_Resource,$E196,'Critical resources (hide)'!AJ$6:AJ$105)+SUMIF(Capacity_Resource,$F196,'Critical resources (hide)'!AJ$6:AJ$105)&gt;0,$E$1=2),0,1)</f>
        <v>1</v>
      </c>
      <c r="X196" s="67">
        <f ca="1">IF(AND(SUMIF(Capacity_Resource,$D196,'Critical resources (hide)'!AK$6:AK$105)+SUMIF(Capacity_Resource,$E196,'Critical resources (hide)'!AK$6:AK$105)+SUMIF(Capacity_Resource,$F196,'Critical resources (hide)'!AK$6:AK$105)&gt;0,$E$1=2),0,1)</f>
        <v>1</v>
      </c>
      <c r="Y196" s="67">
        <f ca="1">IF(AND(SUMIF(Capacity_Resource,$D196,'Critical resources (hide)'!AL$6:AL$105)+SUMIF(Capacity_Resource,$E196,'Critical resources (hide)'!AL$6:AL$105)+SUMIF(Capacity_Resource,$F196,'Critical resources (hide)'!AL$6:AL$105)&gt;0,$E$1=2),0,1)</f>
        <v>1</v>
      </c>
      <c r="Z196" s="67">
        <f ca="1">IF(AND(SUMIF(Capacity_Resource,$D196,'Critical resources (hide)'!AM$6:AM$105)+SUMIF(Capacity_Resource,$E196,'Critical resources (hide)'!AM$6:AM$105)+SUMIF(Capacity_Resource,$F196,'Critical resources (hide)'!AM$6:AM$105)&gt;0,$E$1=2),0,1)</f>
        <v>1</v>
      </c>
      <c r="AA196" s="67">
        <f ca="1">IF(AND(SUMIF(Capacity_Resource,$D196,'Critical resources (hide)'!AN$6:AN$105)+SUMIF(Capacity_Resource,$E196,'Critical resources (hide)'!AN$6:AN$105)+SUMIF(Capacity_Resource,$F196,'Critical resources (hide)'!AN$6:AN$105)&gt;0,$E$1=2),0,1)</f>
        <v>1</v>
      </c>
      <c r="AB196" s="67">
        <f ca="1">IF(AND(SUMIF(Capacity_Resource,$D196,'Critical resources (hide)'!AO$6:AO$105)+SUMIF(Capacity_Resource,$E196,'Critical resources (hide)'!AO$6:AO$105)+SUMIF(Capacity_Resource,$F196,'Critical resources (hide)'!AO$6:AO$105)&gt;0,$E$1=2),0,1)</f>
        <v>1</v>
      </c>
      <c r="AC196" s="67">
        <f ca="1">IF(AND(SUMIF(Capacity_Resource,$D196,'Critical resources (hide)'!AP$6:AP$105)+SUMIF(Capacity_Resource,$E196,'Critical resources (hide)'!AP$6:AP$105)+SUMIF(Capacity_Resource,$F196,'Critical resources (hide)'!AP$6:AP$105)&gt;0,$E$1=2),0,1)</f>
        <v>1</v>
      </c>
      <c r="AD196" s="67">
        <f ca="1">IF(AND(SUMIF(Capacity_Resource,$D196,'Critical resources (hide)'!AQ$6:AQ$105)+SUMIF(Capacity_Resource,$E196,'Critical resources (hide)'!AQ$6:AQ$105)+SUMIF(Capacity_Resource,$F196,'Critical resources (hide)'!AQ$6:AQ$105)&gt;0,$E$1=2),0,1)</f>
        <v>1</v>
      </c>
      <c r="AE196" s="67">
        <f ca="1">IF(AND(SUMIF(Capacity_Resource,$D196,'Critical resources (hide)'!AR$6:AR$105)+SUMIF(Capacity_Resource,$E196,'Critical resources (hide)'!AR$6:AR$105)+SUMIF(Capacity_Resource,$F196,'Critical resources (hide)'!AR$6:AR$105)&gt;0,$E$1=2),0,1)</f>
        <v>1</v>
      </c>
      <c r="AF196" s="67">
        <f ca="1">IF(AND(SUMIF(Capacity_Resource,$D196,'Critical resources (hide)'!AS$6:AS$105)+SUMIF(Capacity_Resource,$E196,'Critical resources (hide)'!AS$6:AS$105)+SUMIF(Capacity_Resource,$F196,'Critical resources (hide)'!AS$6:AS$105)&gt;0,$E$1=2),0,1)</f>
        <v>1</v>
      </c>
      <c r="AG196" s="67">
        <f ca="1">IF(AND(SUMIF(Capacity_Resource,$D196,'Critical resources (hide)'!AT$6:AT$105)+SUMIF(Capacity_Resource,$E196,'Critical resources (hide)'!AT$6:AT$105)+SUMIF(Capacity_Resource,$F196,'Critical resources (hide)'!AT$6:AT$105)&gt;0,$E$1=2),0,1)</f>
        <v>1</v>
      </c>
      <c r="AH196" s="67">
        <f ca="1">IF(AND(SUMIF(Capacity_Resource,$D196,'Critical resources (hide)'!AU$6:AU$105)+SUMIF(Capacity_Resource,$E196,'Critical resources (hide)'!AU$6:AU$105)+SUMIF(Capacity_Resource,$F196,'Critical resources (hide)'!AU$6:AU$105)&gt;0,$E$1=2),0,1)</f>
        <v>1</v>
      </c>
      <c r="AI196" s="67">
        <f ca="1">IF(AND(SUMIF(Capacity_Resource,$D196,'Critical resources (hide)'!AV$6:AV$105)+SUMIF(Capacity_Resource,$E196,'Critical resources (hide)'!AV$6:AV$105)+SUMIF(Capacity_Resource,$F196,'Critical resources (hide)'!AV$6:AV$105)&gt;0,$E$1=2),0,1)</f>
        <v>1</v>
      </c>
      <c r="AJ196" s="67">
        <f ca="1">IF(AND(SUMIF(Capacity_Resource,$D196,'Critical resources (hide)'!AW$6:AW$105)+SUMIF(Capacity_Resource,$E196,'Critical resources (hide)'!AW$6:AW$105)+SUMIF(Capacity_Resource,$F196,'Critical resources (hide)'!AW$6:AW$105)&gt;0,$E$1=2),0,1)</f>
        <v>1</v>
      </c>
      <c r="AK196" s="67">
        <f ca="1">IF(AND(SUMIF(Capacity_Resource,$D196,'Critical resources (hide)'!AX$6:AX$105)+SUMIF(Capacity_Resource,$E196,'Critical resources (hide)'!AX$6:AX$105)+SUMIF(Capacity_Resource,$F196,'Critical resources (hide)'!AX$6:AX$105)&gt;0,$E$1=2),0,1)</f>
        <v>1</v>
      </c>
      <c r="AL196" s="67">
        <f ca="1">IF(AND(SUMIF(Capacity_Resource,$D196,'Critical resources (hide)'!AY$6:AY$105)+SUMIF(Capacity_Resource,$E196,'Critical resources (hide)'!AY$6:AY$105)+SUMIF(Capacity_Resource,$F196,'Critical resources (hide)'!AY$6:AY$105)&gt;0,$E$1=2),0,1)</f>
        <v>1</v>
      </c>
      <c r="AM196" s="67">
        <f ca="1">IF(AND(SUMIF(Capacity_Resource,$D196,'Critical resources (hide)'!AZ$6:AZ$105)+SUMIF(Capacity_Resource,$E196,'Critical resources (hide)'!AZ$6:AZ$105)+SUMIF(Capacity_Resource,$F196,'Critical resources (hide)'!AZ$6:AZ$105)&gt;0,$E$1=2),0,1)</f>
        <v>1</v>
      </c>
      <c r="AN196" s="67">
        <f ca="1">IF(AND(SUMIF(Capacity_Resource,$D196,'Critical resources (hide)'!BA$6:BA$105)+SUMIF(Capacity_Resource,$E196,'Critical resources (hide)'!BA$6:BA$105)+SUMIF(Capacity_Resource,$F196,'Critical resources (hide)'!BA$6:BA$105)&gt;0,$E$1=2),0,1)</f>
        <v>1</v>
      </c>
      <c r="AO196" s="67">
        <f ca="1">IF(AND(SUMIF(Capacity_Resource,$D196,'Critical resources (hide)'!BB$6:BB$105)+SUMIF(Capacity_Resource,$E196,'Critical resources (hide)'!BB$6:BB$105)+SUMIF(Capacity_Resource,$F196,'Critical resources (hide)'!BB$6:BB$105)&gt;0,$E$1=2),0,1)</f>
        <v>1</v>
      </c>
      <c r="AP196" s="67">
        <f ca="1">IF(AND(SUMIF(Capacity_Resource,$D196,'Critical resources (hide)'!BC$6:BC$105)+SUMIF(Capacity_Resource,$E196,'Critical resources (hide)'!BC$6:BC$105)+SUMIF(Capacity_Resource,$F196,'Critical resources (hide)'!BC$6:BC$105)&gt;0,$E$1=2),0,1)</f>
        <v>1</v>
      </c>
      <c r="AQ196" s="67">
        <f ca="1">IF(AND(SUMIF(Capacity_Resource,$D196,'Critical resources (hide)'!BD$6:BD$105)+SUMIF(Capacity_Resource,$E196,'Critical resources (hide)'!BD$6:BD$105)+SUMIF(Capacity_Resource,$F196,'Critical resources (hide)'!BD$6:BD$105)&gt;0,$E$1=2),0,1)</f>
        <v>1</v>
      </c>
      <c r="AR196" s="67">
        <f ca="1">IF(AND(SUMIF(Capacity_Resource,$D196,'Critical resources (hide)'!BE$6:BE$105)+SUMIF(Capacity_Resource,$E196,'Critical resources (hide)'!BE$6:BE$105)+SUMIF(Capacity_Resource,$F196,'Critical resources (hide)'!BE$6:BE$105)&gt;0,$E$1=2),0,1)</f>
        <v>1</v>
      </c>
      <c r="AS196" s="67">
        <f ca="1">IF(AND(SUMIF(Capacity_Resource,$D196,'Critical resources (hide)'!BF$6:BF$105)+SUMIF(Capacity_Resource,$E196,'Critical resources (hide)'!BF$6:BF$105)+SUMIF(Capacity_Resource,$F196,'Critical resources (hide)'!BF$6:BF$105)&gt;0,$E$1=2),0,1)</f>
        <v>1</v>
      </c>
      <c r="AT196" s="67">
        <f ca="1">IF(AND(SUMIF(Capacity_Resource,$D196,'Critical resources (hide)'!BG$6:BG$105)+SUMIF(Capacity_Resource,$E196,'Critical resources (hide)'!BG$6:BG$105)+SUMIF(Capacity_Resource,$F196,'Critical resources (hide)'!BG$6:BG$105)&gt;0,$E$1=2),0,1)</f>
        <v>1</v>
      </c>
      <c r="AU196" s="67">
        <f ca="1">IF(AND(SUMIF(Capacity_Resource,$D196,'Critical resources (hide)'!BH$6:BH$105)+SUMIF(Capacity_Resource,$E196,'Critical resources (hide)'!BH$6:BH$105)+SUMIF(Capacity_Resource,$F196,'Critical resources (hide)'!BH$6:BH$105)&gt;0,$E$1=2),0,1)</f>
        <v>1</v>
      </c>
      <c r="AV196" s="67">
        <f ca="1">IF(AND(SUMIF(Capacity_Resource,$D196,'Critical resources (hide)'!BI$6:BI$105)+SUMIF(Capacity_Resource,$E196,'Critical resources (hide)'!BI$6:BI$105)+SUMIF(Capacity_Resource,$F196,'Critical resources (hide)'!BI$6:BI$105)&gt;0,$E$1=2),0,1)</f>
        <v>1</v>
      </c>
      <c r="AW196" s="67">
        <f ca="1">IF(AND(SUMIF(Capacity_Resource,$D196,'Critical resources (hide)'!BJ$6:BJ$105)+SUMIF(Capacity_Resource,$E196,'Critical resources (hide)'!BJ$6:BJ$105)+SUMIF(Capacity_Resource,$F196,'Critical resources (hide)'!BJ$6:BJ$105)&gt;0,$E$1=2),0,1)</f>
        <v>1</v>
      </c>
      <c r="AX196" s="67">
        <f ca="1">IF(AND(SUMIF(Capacity_Resource,$D196,'Critical resources (hide)'!BK$6:BK$105)+SUMIF(Capacity_Resource,$E196,'Critical resources (hide)'!BK$6:BK$105)+SUMIF(Capacity_Resource,$F196,'Critical resources (hide)'!BK$6:BK$105)&gt;0,$E$1=2),0,1)</f>
        <v>1</v>
      </c>
      <c r="AY196" s="67">
        <f ca="1">IF(AND(SUMIF(Capacity_Resource,$D196,'Critical resources (hide)'!BL$6:BL$105)+SUMIF(Capacity_Resource,$E196,'Critical resources (hide)'!BL$6:BL$105)+SUMIF(Capacity_Resource,$F196,'Critical resources (hide)'!BL$6:BL$105)&gt;0,$E$1=2),0,1)</f>
        <v>1</v>
      </c>
      <c r="AZ196" s="67">
        <f ca="1">IF(AND(SUMIF(Capacity_Resource,$D196,'Critical resources (hide)'!BM$6:BM$105)+SUMIF(Capacity_Resource,$E196,'Critical resources (hide)'!BM$6:BM$105)+SUMIF(Capacity_Resource,$F196,'Critical resources (hide)'!BM$6:BM$105)&gt;0,$E$1=2),0,1)</f>
        <v>1</v>
      </c>
      <c r="BA196" s="67">
        <f ca="1">IF(AND(SUMIF(Capacity_Resource,$D196,'Critical resources (hide)'!BN$6:BN$105)+SUMIF(Capacity_Resource,$E196,'Critical resources (hide)'!BN$6:BN$105)+SUMIF(Capacity_Resource,$F196,'Critical resources (hide)'!BN$6:BN$105)&gt;0,$E$1=2),0,1)</f>
        <v>1</v>
      </c>
      <c r="BB196" s="67">
        <f ca="1">IF(AND(SUMIF(Capacity_Resource,$D196,'Critical resources (hide)'!BO$6:BO$105)+SUMIF(Capacity_Resource,$E196,'Critical resources (hide)'!BO$6:BO$105)+SUMIF(Capacity_Resource,$F196,'Critical resources (hide)'!BO$6:BO$105)&gt;0,$E$1=2),0,1)</f>
        <v>1</v>
      </c>
      <c r="BC196" s="67">
        <f ca="1">IF(AND(SUMIF(Capacity_Resource,$D196,'Critical resources (hide)'!BP$6:BP$105)+SUMIF(Capacity_Resource,$E196,'Critical resources (hide)'!BP$6:BP$105)+SUMIF(Capacity_Resource,$F196,'Critical resources (hide)'!BP$6:BP$105)&gt;0,$E$1=2),0,1)</f>
        <v>1</v>
      </c>
      <c r="BD196" s="67">
        <f ca="1">IF(AND(SUMIF(Capacity_Resource,$D196,'Critical resources (hide)'!BQ$6:BQ$105)+SUMIF(Capacity_Resource,$E196,'Critical resources (hide)'!BQ$6:BQ$105)+SUMIF(Capacity_Resource,$F196,'Critical resources (hide)'!BQ$6:BQ$105)&gt;0,$E$1=2),0,1)</f>
        <v>1</v>
      </c>
      <c r="BE196" s="67">
        <f ca="1">IF(AND(SUMIF(Capacity_Resource,$D196,'Critical resources (hide)'!BR$6:BR$105)+SUMIF(Capacity_Resource,$E196,'Critical resources (hide)'!BR$6:BR$105)+SUMIF(Capacity_Resource,$F196,'Critical resources (hide)'!BR$6:BR$105)&gt;0,$E$1=2),0,1)</f>
        <v>1</v>
      </c>
      <c r="BF196" s="67">
        <f ca="1">IF(AND(SUMIF(Capacity_Resource,$D196,'Critical resources (hide)'!BS$6:BS$105)+SUMIF(Capacity_Resource,$E196,'Critical resources (hide)'!BS$6:BS$105)+SUMIF(Capacity_Resource,$F196,'Critical resources (hide)'!BS$6:BS$105)&gt;0,$E$1=2),0,1)</f>
        <v>1</v>
      </c>
      <c r="BG196" s="67">
        <f ca="1">IF(AND(SUMIF(Capacity_Resource,$D196,'Critical resources (hide)'!BT$6:BT$105)+SUMIF(Capacity_Resource,$E196,'Critical resources (hide)'!BT$6:BT$105)+SUMIF(Capacity_Resource,$F196,'Critical resources (hide)'!BT$6:BT$105)&gt;0,$E$1=2),0,1)</f>
        <v>1</v>
      </c>
      <c r="BH196" s="67">
        <f>IF(ROW(A85)&lt;=Capacity!$M$16,IF('Capacity summary'!$C$14="No",SUM(H196:BG196),'Capacity summary'!$E108),0)</f>
        <v>0</v>
      </c>
      <c r="BI196" s="67" t="str">
        <f>IF(BH196&gt;0,IF(BH196&lt;Capacity!Q101,Capacity!R101,Capacity!T101/'Capacity calculation (hide)'!BH196),"")</f>
        <v/>
      </c>
      <c r="BJ196" s="5"/>
      <c r="BK196" s="5">
        <f>IF($BI196&lt;&gt;"",IF('Capacity summary'!$C$14="Yes",IF(COUNTBLANK('Capacity summary'!$H108:$BG108)&lt;52,IF('Capacity summary'!H108&lt;&gt;"",IF(LOWER('Capacity summary'!H108)="x",$BI196*H196,VALUE('Capacity summary'!H108)),0),H196*$BI196),H196*$BI196),0)</f>
        <v>0</v>
      </c>
      <c r="BL196" s="5">
        <f>IF($BI196&lt;&gt;"",IF('Capacity summary'!$C$14="Yes",IF(COUNTBLANK('Capacity summary'!$H108:$BG108)&lt;52,IF('Capacity summary'!I108&lt;&gt;"",IF(LOWER('Capacity summary'!I108)="x",$BI196*I196,VALUE('Capacity summary'!I108)),0),I196*$BI196),I196*$BI196),0)</f>
        <v>0</v>
      </c>
      <c r="BM196" s="5">
        <f>IF($BI196&lt;&gt;"",IF('Capacity summary'!$C$14="Yes",IF(COUNTBLANK('Capacity summary'!$H108:$BG108)&lt;52,IF('Capacity summary'!J108&lt;&gt;"",IF(LOWER('Capacity summary'!J108)="x",$BI196*J196,VALUE('Capacity summary'!J108)),0),J196*$BI196),J196*$BI196),0)</f>
        <v>0</v>
      </c>
      <c r="BN196" s="5">
        <f>IF($BI196&lt;&gt;"",IF('Capacity summary'!$C$14="Yes",IF(COUNTBLANK('Capacity summary'!$H108:$BG108)&lt;52,IF('Capacity summary'!K108&lt;&gt;"",IF(LOWER('Capacity summary'!K108)="x",$BI196*K196,VALUE('Capacity summary'!K108)),0),K196*$BI196),K196*$BI196),0)</f>
        <v>0</v>
      </c>
      <c r="BO196" s="5">
        <f>IF($BI196&lt;&gt;"",IF('Capacity summary'!$C$14="Yes",IF(COUNTBLANK('Capacity summary'!$H108:$BG108)&lt;52,IF('Capacity summary'!L108&lt;&gt;"",IF(LOWER('Capacity summary'!L108)="x",$BI196*L196,VALUE('Capacity summary'!L108)),0),L196*$BI196),L196*$BI196),0)</f>
        <v>0</v>
      </c>
      <c r="BP196" s="5">
        <f>IF($BI196&lt;&gt;"",IF('Capacity summary'!$C$14="Yes",IF(COUNTBLANK('Capacity summary'!$H108:$BG108)&lt;52,IF('Capacity summary'!M108&lt;&gt;"",IF(LOWER('Capacity summary'!M108)="x",$BI196*M196,VALUE('Capacity summary'!M108)),0),M196*$BI196),M196*$BI196),0)</f>
        <v>0</v>
      </c>
      <c r="BQ196" s="5">
        <f>IF($BI196&lt;&gt;"",IF('Capacity summary'!$C$14="Yes",IF(COUNTBLANK('Capacity summary'!$H108:$BG108)&lt;52,IF('Capacity summary'!N108&lt;&gt;"",IF(LOWER('Capacity summary'!N108)="x",$BI196*N196,VALUE('Capacity summary'!N108)),0),N196*$BI196),N196*$BI196),0)</f>
        <v>0</v>
      </c>
      <c r="BR196" s="5">
        <f>IF($BI196&lt;&gt;"",IF('Capacity summary'!$C$14="Yes",IF(COUNTBLANK('Capacity summary'!$H108:$BG108)&lt;52,IF('Capacity summary'!O108&lt;&gt;"",IF(LOWER('Capacity summary'!O108)="x",$BI196*O196,VALUE('Capacity summary'!O108)),0),O196*$BI196),O196*$BI196),0)</f>
        <v>0</v>
      </c>
      <c r="BS196" s="5">
        <f>IF($BI196&lt;&gt;"",IF('Capacity summary'!$C$14="Yes",IF(COUNTBLANK('Capacity summary'!$H108:$BG108)&lt;52,IF('Capacity summary'!P108&lt;&gt;"",IF(LOWER('Capacity summary'!P108)="x",$BI196*P196,VALUE('Capacity summary'!P108)),0),P196*$BI196),P196*$BI196),0)</f>
        <v>0</v>
      </c>
      <c r="BT196" s="5">
        <f>IF($BI196&lt;&gt;"",IF('Capacity summary'!$C$14="Yes",IF(COUNTBLANK('Capacity summary'!$H108:$BG108)&lt;52,IF('Capacity summary'!Q108&lt;&gt;"",IF(LOWER('Capacity summary'!Q108)="x",$BI196*Q196,VALUE('Capacity summary'!Q108)),0),Q196*$BI196),Q196*$BI196),0)</f>
        <v>0</v>
      </c>
      <c r="BU196" s="5">
        <f>IF($BI196&lt;&gt;"",IF('Capacity summary'!$C$14="Yes",IF(COUNTBLANK('Capacity summary'!$H108:$BG108)&lt;52,IF('Capacity summary'!R108&lt;&gt;"",IF(LOWER('Capacity summary'!R108)="x",$BI196*R196,VALUE('Capacity summary'!R108)),0),R196*$BI196),R196*$BI196),0)</f>
        <v>0</v>
      </c>
      <c r="BV196" s="5">
        <f>IF($BI196&lt;&gt;"",IF('Capacity summary'!$C$14="Yes",IF(COUNTBLANK('Capacity summary'!$H108:$BG108)&lt;52,IF('Capacity summary'!S108&lt;&gt;"",IF(LOWER('Capacity summary'!S108)="x",$BI196*S196,VALUE('Capacity summary'!S108)),0),S196*$BI196),S196*$BI196),0)</f>
        <v>0</v>
      </c>
      <c r="BW196" s="5">
        <f>IF($BI196&lt;&gt;"",IF('Capacity summary'!$C$14="Yes",IF(COUNTBLANK('Capacity summary'!$H108:$BG108)&lt;52,IF('Capacity summary'!T108&lt;&gt;"",IF(LOWER('Capacity summary'!T108)="x",$BI196*T196,VALUE('Capacity summary'!T108)),0),T196*$BI196),T196*$BI196),0)</f>
        <v>0</v>
      </c>
      <c r="BX196" s="5">
        <f>IF($BI196&lt;&gt;"",IF('Capacity summary'!$C$14="Yes",IF(COUNTBLANK('Capacity summary'!$H108:$BG108)&lt;52,IF('Capacity summary'!U108&lt;&gt;"",IF(LOWER('Capacity summary'!U108)="x",$BI196*U196,VALUE('Capacity summary'!U108)),0),U196*$BI196),U196*$BI196),0)</f>
        <v>0</v>
      </c>
      <c r="BY196" s="5">
        <f>IF($BI196&lt;&gt;"",IF('Capacity summary'!$C$14="Yes",IF(COUNTBLANK('Capacity summary'!$H108:$BG108)&lt;52,IF('Capacity summary'!V108&lt;&gt;"",IF(LOWER('Capacity summary'!V108)="x",$BI196*V196,VALUE('Capacity summary'!V108)),0),V196*$BI196),V196*$BI196),0)</f>
        <v>0</v>
      </c>
      <c r="BZ196" s="5">
        <f>IF($BI196&lt;&gt;"",IF('Capacity summary'!$C$14="Yes",IF(COUNTBLANK('Capacity summary'!$H108:$BG108)&lt;52,IF('Capacity summary'!W108&lt;&gt;"",IF(LOWER('Capacity summary'!W108)="x",$BI196*W196,VALUE('Capacity summary'!W108)),0),W196*$BI196),W196*$BI196),0)</f>
        <v>0</v>
      </c>
      <c r="CA196" s="5">
        <f>IF($BI196&lt;&gt;"",IF('Capacity summary'!$C$14="Yes",IF(COUNTBLANK('Capacity summary'!$H108:$BG108)&lt;52,IF('Capacity summary'!X108&lt;&gt;"",IF(LOWER('Capacity summary'!X108)="x",$BI196*X196,VALUE('Capacity summary'!X108)),0),X196*$BI196),X196*$BI196),0)</f>
        <v>0</v>
      </c>
      <c r="CB196" s="5">
        <f>IF($BI196&lt;&gt;"",IF('Capacity summary'!$C$14="Yes",IF(COUNTBLANK('Capacity summary'!$H108:$BG108)&lt;52,IF('Capacity summary'!Y108&lt;&gt;"",IF(LOWER('Capacity summary'!Y108)="x",$BI196*Y196,VALUE('Capacity summary'!Y108)),0),Y196*$BI196),Y196*$BI196),0)</f>
        <v>0</v>
      </c>
      <c r="CC196" s="5">
        <f>IF($BI196&lt;&gt;"",IF('Capacity summary'!$C$14="Yes",IF(COUNTBLANK('Capacity summary'!$H108:$BG108)&lt;52,IF('Capacity summary'!Z108&lt;&gt;"",IF(LOWER('Capacity summary'!Z108)="x",$BI196*Z196,VALUE('Capacity summary'!Z108)),0),Z196*$BI196),Z196*$BI196),0)</f>
        <v>0</v>
      </c>
      <c r="CD196" s="5">
        <f>IF($BI196&lt;&gt;"",IF('Capacity summary'!$C$14="Yes",IF(COUNTBLANK('Capacity summary'!$H108:$BG108)&lt;52,IF('Capacity summary'!AA108&lt;&gt;"",IF(LOWER('Capacity summary'!AA108)="x",$BI196*AA196,VALUE('Capacity summary'!AA108)),0),AA196*$BI196),AA196*$BI196),0)</f>
        <v>0</v>
      </c>
      <c r="CE196" s="5">
        <f>IF($BI196&lt;&gt;"",IF('Capacity summary'!$C$14="Yes",IF(COUNTBLANK('Capacity summary'!$H108:$BG108)&lt;52,IF('Capacity summary'!AB108&lt;&gt;"",IF(LOWER('Capacity summary'!AB108)="x",$BI196*AB196,VALUE('Capacity summary'!AB108)),0),AB196*$BI196),AB196*$BI196),0)</f>
        <v>0</v>
      </c>
      <c r="CF196" s="5">
        <f>IF($BI196&lt;&gt;"",IF('Capacity summary'!$C$14="Yes",IF(COUNTBLANK('Capacity summary'!$H108:$BG108)&lt;52,IF('Capacity summary'!AC108&lt;&gt;"",IF(LOWER('Capacity summary'!AC108)="x",$BI196*AC196,VALUE('Capacity summary'!AC108)),0),AC196*$BI196),AC196*$BI196),0)</f>
        <v>0</v>
      </c>
      <c r="CG196" s="5">
        <f>IF($BI196&lt;&gt;"",IF('Capacity summary'!$C$14="Yes",IF(COUNTBLANK('Capacity summary'!$H108:$BG108)&lt;52,IF('Capacity summary'!AD108&lt;&gt;"",IF(LOWER('Capacity summary'!AD108)="x",$BI196*AD196,VALUE('Capacity summary'!AD108)),0),AD196*$BI196),AD196*$BI196),0)</f>
        <v>0</v>
      </c>
      <c r="CH196" s="5">
        <f>IF($BI196&lt;&gt;"",IF('Capacity summary'!$C$14="Yes",IF(COUNTBLANK('Capacity summary'!$H108:$BG108)&lt;52,IF('Capacity summary'!AE108&lt;&gt;"",IF(LOWER('Capacity summary'!AE108)="x",$BI196*AE196,VALUE('Capacity summary'!AE108)),0),AE196*$BI196),AE196*$BI196),0)</f>
        <v>0</v>
      </c>
      <c r="CI196" s="5">
        <f>IF($BI196&lt;&gt;"",IF('Capacity summary'!$C$14="Yes",IF(COUNTBLANK('Capacity summary'!$H108:$BG108)&lt;52,IF('Capacity summary'!AF108&lt;&gt;"",IF(LOWER('Capacity summary'!AF108)="x",$BI196*AF196,VALUE('Capacity summary'!AF108)),0),AF196*$BI196),AF196*$BI196),0)</f>
        <v>0</v>
      </c>
      <c r="CJ196" s="5">
        <f>IF($BI196&lt;&gt;"",IF('Capacity summary'!$C$14="Yes",IF(COUNTBLANK('Capacity summary'!$H108:$BG108)&lt;52,IF('Capacity summary'!AG108&lt;&gt;"",IF(LOWER('Capacity summary'!AG108)="x",$BI196*AG196,VALUE('Capacity summary'!AG108)),0),AG196*$BI196),AG196*$BI196),0)</f>
        <v>0</v>
      </c>
      <c r="CK196" s="5">
        <f>IF($BI196&lt;&gt;"",IF('Capacity summary'!$C$14="Yes",IF(COUNTBLANK('Capacity summary'!$H108:$BG108)&lt;52,IF('Capacity summary'!AH108&lt;&gt;"",IF(LOWER('Capacity summary'!AH108)="x",$BI196*AH196,VALUE('Capacity summary'!AH108)),0),AH196*$BI196),AH196*$BI196),0)</f>
        <v>0</v>
      </c>
      <c r="CL196" s="5">
        <f>IF($BI196&lt;&gt;"",IF('Capacity summary'!$C$14="Yes",IF(COUNTBLANK('Capacity summary'!$H108:$BG108)&lt;52,IF('Capacity summary'!AI108&lt;&gt;"",IF(LOWER('Capacity summary'!AI108)="x",$BI196*AI196,VALUE('Capacity summary'!AI108)),0),AI196*$BI196),AI196*$BI196),0)</f>
        <v>0</v>
      </c>
      <c r="CM196" s="5">
        <f>IF($BI196&lt;&gt;"",IF('Capacity summary'!$C$14="Yes",IF(COUNTBLANK('Capacity summary'!$H108:$BG108)&lt;52,IF('Capacity summary'!AJ108&lt;&gt;"",IF(LOWER('Capacity summary'!AJ108)="x",$BI196*AJ196,VALUE('Capacity summary'!AJ108)),0),AJ196*$BI196),AJ196*$BI196),0)</f>
        <v>0</v>
      </c>
      <c r="CN196" s="5">
        <f>IF($BI196&lt;&gt;"",IF('Capacity summary'!$C$14="Yes",IF(COUNTBLANK('Capacity summary'!$H108:$BG108)&lt;52,IF('Capacity summary'!AK108&lt;&gt;"",IF(LOWER('Capacity summary'!AK108)="x",$BI196*AK196,VALUE('Capacity summary'!AK108)),0),AK196*$BI196),AK196*$BI196),0)</f>
        <v>0</v>
      </c>
      <c r="CO196" s="5">
        <f>IF($BI196&lt;&gt;"",IF('Capacity summary'!$C$14="Yes",IF(COUNTBLANK('Capacity summary'!$H108:$BG108)&lt;52,IF('Capacity summary'!AL108&lt;&gt;"",IF(LOWER('Capacity summary'!AL108)="x",$BI196*AL196,VALUE('Capacity summary'!AL108)),0),AL196*$BI196),AL196*$BI196),0)</f>
        <v>0</v>
      </c>
      <c r="CP196" s="5">
        <f>IF($BI196&lt;&gt;"",IF('Capacity summary'!$C$14="Yes",IF(COUNTBLANK('Capacity summary'!$H108:$BG108)&lt;52,IF('Capacity summary'!AM108&lt;&gt;"",IF(LOWER('Capacity summary'!AM108)="x",$BI196*AM196,VALUE('Capacity summary'!AM108)),0),AM196*$BI196),AM196*$BI196),0)</f>
        <v>0</v>
      </c>
      <c r="CQ196" s="5">
        <f>IF($BI196&lt;&gt;"",IF('Capacity summary'!$C$14="Yes",IF(COUNTBLANK('Capacity summary'!$H108:$BG108)&lt;52,IF('Capacity summary'!AN108&lt;&gt;"",IF(LOWER('Capacity summary'!AN108)="x",$BI196*AN196,VALUE('Capacity summary'!AN108)),0),AN196*$BI196),AN196*$BI196),0)</f>
        <v>0</v>
      </c>
      <c r="CR196" s="5">
        <f>IF($BI196&lt;&gt;"",IF('Capacity summary'!$C$14="Yes",IF(COUNTBLANK('Capacity summary'!$H108:$BG108)&lt;52,IF('Capacity summary'!AO108&lt;&gt;"",IF(LOWER('Capacity summary'!AO108)="x",$BI196*AO196,VALUE('Capacity summary'!AO108)),0),AO196*$BI196),AO196*$BI196),0)</f>
        <v>0</v>
      </c>
      <c r="CS196" s="5">
        <f>IF($BI196&lt;&gt;"",IF('Capacity summary'!$C$14="Yes",IF(COUNTBLANK('Capacity summary'!$H108:$BG108)&lt;52,IF('Capacity summary'!AP108&lt;&gt;"",IF(LOWER('Capacity summary'!AP108)="x",$BI196*AP196,VALUE('Capacity summary'!AP108)),0),AP196*$BI196),AP196*$BI196),0)</f>
        <v>0</v>
      </c>
      <c r="CT196" s="5">
        <f>IF($BI196&lt;&gt;"",IF('Capacity summary'!$C$14="Yes",IF(COUNTBLANK('Capacity summary'!$H108:$BG108)&lt;52,IF('Capacity summary'!AQ108&lt;&gt;"",IF(LOWER('Capacity summary'!AQ108)="x",$BI196*AQ196,VALUE('Capacity summary'!AQ108)),0),AQ196*$BI196),AQ196*$BI196),0)</f>
        <v>0</v>
      </c>
      <c r="CU196" s="5">
        <f>IF($BI196&lt;&gt;"",IF('Capacity summary'!$C$14="Yes",IF(COUNTBLANK('Capacity summary'!$H108:$BG108)&lt;52,IF('Capacity summary'!AR108&lt;&gt;"",IF(LOWER('Capacity summary'!AR108)="x",$BI196*AR196,VALUE('Capacity summary'!AR108)),0),AR196*$BI196),AR196*$BI196),0)</f>
        <v>0</v>
      </c>
      <c r="CV196" s="5">
        <f>IF($BI196&lt;&gt;"",IF('Capacity summary'!$C$14="Yes",IF(COUNTBLANK('Capacity summary'!$H108:$BG108)&lt;52,IF('Capacity summary'!AS108&lt;&gt;"",IF(LOWER('Capacity summary'!AS108)="x",$BI196*AS196,VALUE('Capacity summary'!AS108)),0),AS196*$BI196),AS196*$BI196),0)</f>
        <v>0</v>
      </c>
      <c r="CW196" s="5">
        <f>IF($BI196&lt;&gt;"",IF('Capacity summary'!$C$14="Yes",IF(COUNTBLANK('Capacity summary'!$H108:$BG108)&lt;52,IF('Capacity summary'!AT108&lt;&gt;"",IF(LOWER('Capacity summary'!AT108)="x",$BI196*AT196,VALUE('Capacity summary'!AT108)),0),AT196*$BI196),AT196*$BI196),0)</f>
        <v>0</v>
      </c>
      <c r="CX196" s="5">
        <f>IF($BI196&lt;&gt;"",IF('Capacity summary'!$C$14="Yes",IF(COUNTBLANK('Capacity summary'!$H108:$BG108)&lt;52,IF('Capacity summary'!AU108&lt;&gt;"",IF(LOWER('Capacity summary'!AU108)="x",$BI196*AU196,VALUE('Capacity summary'!AU108)),0),AU196*$BI196),AU196*$BI196),0)</f>
        <v>0</v>
      </c>
      <c r="CY196" s="5">
        <f>IF($BI196&lt;&gt;"",IF('Capacity summary'!$C$14="Yes",IF(COUNTBLANK('Capacity summary'!$H108:$BG108)&lt;52,IF('Capacity summary'!AV108&lt;&gt;"",IF(LOWER('Capacity summary'!AV108)="x",$BI196*AV196,VALUE('Capacity summary'!AV108)),0),AV196*$BI196),AV196*$BI196),0)</f>
        <v>0</v>
      </c>
      <c r="CZ196" s="5">
        <f>IF($BI196&lt;&gt;"",IF('Capacity summary'!$C$14="Yes",IF(COUNTBLANK('Capacity summary'!$H108:$BG108)&lt;52,IF('Capacity summary'!AW108&lt;&gt;"",IF(LOWER('Capacity summary'!AW108)="x",$BI196*AW196,VALUE('Capacity summary'!AW108)),0),AW196*$BI196),AW196*$BI196),0)</f>
        <v>0</v>
      </c>
      <c r="DA196" s="5">
        <f>IF($BI196&lt;&gt;"",IF('Capacity summary'!$C$14="Yes",IF(COUNTBLANK('Capacity summary'!$H108:$BG108)&lt;52,IF('Capacity summary'!AX108&lt;&gt;"",IF(LOWER('Capacity summary'!AX108)="x",$BI196*AX196,VALUE('Capacity summary'!AX108)),0),AX196*$BI196),AX196*$BI196),0)</f>
        <v>0</v>
      </c>
      <c r="DB196" s="5">
        <f>IF($BI196&lt;&gt;"",IF('Capacity summary'!$C$14="Yes",IF(COUNTBLANK('Capacity summary'!$H108:$BG108)&lt;52,IF('Capacity summary'!AY108&lt;&gt;"",IF(LOWER('Capacity summary'!AY108)="x",$BI196*AY196,VALUE('Capacity summary'!AY108)),0),AY196*$BI196),AY196*$BI196),0)</f>
        <v>0</v>
      </c>
      <c r="DC196" s="5">
        <f>IF($BI196&lt;&gt;"",IF('Capacity summary'!$C$14="Yes",IF(COUNTBLANK('Capacity summary'!$H108:$BG108)&lt;52,IF('Capacity summary'!AZ108&lt;&gt;"",IF(LOWER('Capacity summary'!AZ108)="x",$BI196*AZ196,VALUE('Capacity summary'!AZ108)),0),AZ196*$BI196),AZ196*$BI196),0)</f>
        <v>0</v>
      </c>
      <c r="DD196" s="5">
        <f>IF($BI196&lt;&gt;"",IF('Capacity summary'!$C$14="Yes",IF(COUNTBLANK('Capacity summary'!$H108:$BG108)&lt;52,IF('Capacity summary'!BA108&lt;&gt;"",IF(LOWER('Capacity summary'!BA108)="x",$BI196*BA196,VALUE('Capacity summary'!BA108)),0),BA196*$BI196),BA196*$BI196),0)</f>
        <v>0</v>
      </c>
      <c r="DE196" s="5">
        <f>IF($BI196&lt;&gt;"",IF('Capacity summary'!$C$14="Yes",IF(COUNTBLANK('Capacity summary'!$H108:$BG108)&lt;52,IF('Capacity summary'!BB108&lt;&gt;"",IF(LOWER('Capacity summary'!BB108)="x",$BI196*BB196,VALUE('Capacity summary'!BB108)),0),BB196*$BI196),BB196*$BI196),0)</f>
        <v>0</v>
      </c>
      <c r="DF196" s="5">
        <f>IF($BI196&lt;&gt;"",IF('Capacity summary'!$C$14="Yes",IF(COUNTBLANK('Capacity summary'!$H108:$BG108)&lt;52,IF('Capacity summary'!BC108&lt;&gt;"",IF(LOWER('Capacity summary'!BC108)="x",$BI196*BC196,VALUE('Capacity summary'!BC108)),0),BC196*$BI196),BC196*$BI196),0)</f>
        <v>0</v>
      </c>
      <c r="DG196" s="5">
        <f>IF($BI196&lt;&gt;"",IF('Capacity summary'!$C$14="Yes",IF(COUNTBLANK('Capacity summary'!$H108:$BG108)&lt;52,IF('Capacity summary'!BD108&lt;&gt;"",IF(LOWER('Capacity summary'!BD108)="x",$BI196*BD196,VALUE('Capacity summary'!BD108)),0),BD196*$BI196),BD196*$BI196),0)</f>
        <v>0</v>
      </c>
      <c r="DH196" s="5">
        <f>IF($BI196&lt;&gt;"",IF('Capacity summary'!$C$14="Yes",IF(COUNTBLANK('Capacity summary'!$H108:$BG108)&lt;52,IF('Capacity summary'!BE108&lt;&gt;"",IF(LOWER('Capacity summary'!BE108)="x",$BI196*BE196,VALUE('Capacity summary'!BE108)),0),BE196*$BI196),BE196*$BI196),0)</f>
        <v>0</v>
      </c>
      <c r="DI196" s="5">
        <f>IF($BI196&lt;&gt;"",IF('Capacity summary'!$C$14="Yes",IF(COUNTBLANK('Capacity summary'!$H108:$BG108)&lt;52,IF('Capacity summary'!BF108&lt;&gt;"",IF(LOWER('Capacity summary'!BF108)="x",$BI196*BF196,VALUE('Capacity summary'!BF108)),0),BF196*$BI196),BF196*$BI196),0)</f>
        <v>0</v>
      </c>
      <c r="DJ196" s="5">
        <f>IF($BI196&lt;&gt;"",IF('Capacity summary'!$C$14="Yes",IF(COUNTBLANK('Capacity summary'!$H108:$BG108)&lt;52,IF('Capacity summary'!BG108&lt;&gt;"",IF(LOWER('Capacity summary'!BG108)="x",$BI196*BG196,VALUE('Capacity summary'!BG108)),0),BG196*$BI196),BG196*$BI196),0)</f>
        <v>0</v>
      </c>
      <c r="DK196" s="5">
        <f t="shared" ref="DK196" si="90">SUM(DK197:DK296)</f>
        <v>0</v>
      </c>
    </row>
    <row r="197" spans="3:115" x14ac:dyDescent="0.25">
      <c r="C197" s="67" t="str">
        <f>ROW(A86)&amp;". "&amp;Capacity!N102</f>
        <v xml:space="preserve">86. </v>
      </c>
      <c r="D197" s="67">
        <f>'Capacity setup'!C203</f>
        <v>0</v>
      </c>
      <c r="E197" s="67">
        <f>'Capacity setup'!D203</f>
        <v>0</v>
      </c>
      <c r="F197" s="67">
        <f>'Capacity setup'!E203</f>
        <v>0</v>
      </c>
      <c r="H197" s="67">
        <f ca="1">IF(AND(SUMIF(Capacity_Resource,$D197,'Critical resources (hide)'!U$6:U$105)+SUMIF(Capacity_Resource,$E197,'Critical resources (hide)'!U$6:U$105)+SUMIF(Capacity_Resource,$F197,'Critical resources (hide)'!U$6:U$105)&gt;0,$E$1=2),0,1)</f>
        <v>1</v>
      </c>
      <c r="I197" s="67">
        <f ca="1">IF(AND(SUMIF(Capacity_Resource,$D197,'Critical resources (hide)'!V$6:V$105)+SUMIF(Capacity_Resource,$E197,'Critical resources (hide)'!V$6:V$105)+SUMIF(Capacity_Resource,$F197,'Critical resources (hide)'!V$6:V$105)&gt;0,$E$1=2),0,1)</f>
        <v>1</v>
      </c>
      <c r="J197" s="67">
        <f ca="1">IF(AND(SUMIF(Capacity_Resource,$D197,'Critical resources (hide)'!W$6:W$105)+SUMIF(Capacity_Resource,$E197,'Critical resources (hide)'!W$6:W$105)+SUMIF(Capacity_Resource,$F197,'Critical resources (hide)'!W$6:W$105)&gt;0,$E$1=2),0,1)</f>
        <v>1</v>
      </c>
      <c r="K197" s="67">
        <f ca="1">IF(AND(SUMIF(Capacity_Resource,$D197,'Critical resources (hide)'!X$6:X$105)+SUMIF(Capacity_Resource,$E197,'Critical resources (hide)'!X$6:X$105)+SUMIF(Capacity_Resource,$F197,'Critical resources (hide)'!X$6:X$105)&gt;0,$E$1=2),0,1)</f>
        <v>1</v>
      </c>
      <c r="L197" s="67">
        <f ca="1">IF(AND(SUMIF(Capacity_Resource,$D197,'Critical resources (hide)'!Y$6:Y$105)+SUMIF(Capacity_Resource,$E197,'Critical resources (hide)'!Y$6:Y$105)+SUMIF(Capacity_Resource,$F197,'Critical resources (hide)'!Y$6:Y$105)&gt;0,$E$1=2),0,1)</f>
        <v>1</v>
      </c>
      <c r="M197" s="67">
        <f ca="1">IF(AND(SUMIF(Capacity_Resource,$D197,'Critical resources (hide)'!Z$6:Z$105)+SUMIF(Capacity_Resource,$E197,'Critical resources (hide)'!Z$6:Z$105)+SUMIF(Capacity_Resource,$F197,'Critical resources (hide)'!Z$6:Z$105)&gt;0,$E$1=2),0,1)</f>
        <v>1</v>
      </c>
      <c r="N197" s="67">
        <f ca="1">IF(AND(SUMIF(Capacity_Resource,$D197,'Critical resources (hide)'!AA$6:AA$105)+SUMIF(Capacity_Resource,$E197,'Critical resources (hide)'!AA$6:AA$105)+SUMIF(Capacity_Resource,$F197,'Critical resources (hide)'!AA$6:AA$105)&gt;0,$E$1=2),0,1)</f>
        <v>1</v>
      </c>
      <c r="O197" s="67">
        <f ca="1">IF(AND(SUMIF(Capacity_Resource,$D197,'Critical resources (hide)'!AB$6:AB$105)+SUMIF(Capacity_Resource,$E197,'Critical resources (hide)'!AB$6:AB$105)+SUMIF(Capacity_Resource,$F197,'Critical resources (hide)'!AB$6:AB$105)&gt;0,$E$1=2),0,1)</f>
        <v>1</v>
      </c>
      <c r="P197" s="67">
        <f ca="1">IF(AND(SUMIF(Capacity_Resource,$D197,'Critical resources (hide)'!AC$6:AC$105)+SUMIF(Capacity_Resource,$E197,'Critical resources (hide)'!AC$6:AC$105)+SUMIF(Capacity_Resource,$F197,'Critical resources (hide)'!AC$6:AC$105)&gt;0,$E$1=2),0,1)</f>
        <v>1</v>
      </c>
      <c r="Q197" s="67">
        <f ca="1">IF(AND(SUMIF(Capacity_Resource,$D197,'Critical resources (hide)'!AD$6:AD$105)+SUMIF(Capacity_Resource,$E197,'Critical resources (hide)'!AD$6:AD$105)+SUMIF(Capacity_Resource,$F197,'Critical resources (hide)'!AD$6:AD$105)&gt;0,$E$1=2),0,1)</f>
        <v>1</v>
      </c>
      <c r="R197" s="67">
        <f ca="1">IF(AND(SUMIF(Capacity_Resource,$D197,'Critical resources (hide)'!AE$6:AE$105)+SUMIF(Capacity_Resource,$E197,'Critical resources (hide)'!AE$6:AE$105)+SUMIF(Capacity_Resource,$F197,'Critical resources (hide)'!AE$6:AE$105)&gt;0,$E$1=2),0,1)</f>
        <v>1</v>
      </c>
      <c r="S197" s="67">
        <f ca="1">IF(AND(SUMIF(Capacity_Resource,$D197,'Critical resources (hide)'!AF$6:AF$105)+SUMIF(Capacity_Resource,$E197,'Critical resources (hide)'!AF$6:AF$105)+SUMIF(Capacity_Resource,$F197,'Critical resources (hide)'!AF$6:AF$105)&gt;0,$E$1=2),0,1)</f>
        <v>1</v>
      </c>
      <c r="T197" s="67">
        <f ca="1">IF(AND(SUMIF(Capacity_Resource,$D197,'Critical resources (hide)'!AG$6:AG$105)+SUMIF(Capacity_Resource,$E197,'Critical resources (hide)'!AG$6:AG$105)+SUMIF(Capacity_Resource,$F197,'Critical resources (hide)'!AG$6:AG$105)&gt;0,$E$1=2),0,1)</f>
        <v>1</v>
      </c>
      <c r="U197" s="67">
        <f ca="1">IF(AND(SUMIF(Capacity_Resource,$D197,'Critical resources (hide)'!AH$6:AH$105)+SUMIF(Capacity_Resource,$E197,'Critical resources (hide)'!AH$6:AH$105)+SUMIF(Capacity_Resource,$F197,'Critical resources (hide)'!AH$6:AH$105)&gt;0,$E$1=2),0,1)</f>
        <v>1</v>
      </c>
      <c r="V197" s="67">
        <f ca="1">IF(AND(SUMIF(Capacity_Resource,$D197,'Critical resources (hide)'!AI$6:AI$105)+SUMIF(Capacity_Resource,$E197,'Critical resources (hide)'!AI$6:AI$105)+SUMIF(Capacity_Resource,$F197,'Critical resources (hide)'!AI$6:AI$105)&gt;0,$E$1=2),0,1)</f>
        <v>1</v>
      </c>
      <c r="W197" s="67">
        <f ca="1">IF(AND(SUMIF(Capacity_Resource,$D197,'Critical resources (hide)'!AJ$6:AJ$105)+SUMIF(Capacity_Resource,$E197,'Critical resources (hide)'!AJ$6:AJ$105)+SUMIF(Capacity_Resource,$F197,'Critical resources (hide)'!AJ$6:AJ$105)&gt;0,$E$1=2),0,1)</f>
        <v>1</v>
      </c>
      <c r="X197" s="67">
        <f ca="1">IF(AND(SUMIF(Capacity_Resource,$D197,'Critical resources (hide)'!AK$6:AK$105)+SUMIF(Capacity_Resource,$E197,'Critical resources (hide)'!AK$6:AK$105)+SUMIF(Capacity_Resource,$F197,'Critical resources (hide)'!AK$6:AK$105)&gt;0,$E$1=2),0,1)</f>
        <v>1</v>
      </c>
      <c r="Y197" s="67">
        <f ca="1">IF(AND(SUMIF(Capacity_Resource,$D197,'Critical resources (hide)'!AL$6:AL$105)+SUMIF(Capacity_Resource,$E197,'Critical resources (hide)'!AL$6:AL$105)+SUMIF(Capacity_Resource,$F197,'Critical resources (hide)'!AL$6:AL$105)&gt;0,$E$1=2),0,1)</f>
        <v>1</v>
      </c>
      <c r="Z197" s="67">
        <f ca="1">IF(AND(SUMIF(Capacity_Resource,$D197,'Critical resources (hide)'!AM$6:AM$105)+SUMIF(Capacity_Resource,$E197,'Critical resources (hide)'!AM$6:AM$105)+SUMIF(Capacity_Resource,$F197,'Critical resources (hide)'!AM$6:AM$105)&gt;0,$E$1=2),0,1)</f>
        <v>1</v>
      </c>
      <c r="AA197" s="67">
        <f ca="1">IF(AND(SUMIF(Capacity_Resource,$D197,'Critical resources (hide)'!AN$6:AN$105)+SUMIF(Capacity_Resource,$E197,'Critical resources (hide)'!AN$6:AN$105)+SUMIF(Capacity_Resource,$F197,'Critical resources (hide)'!AN$6:AN$105)&gt;0,$E$1=2),0,1)</f>
        <v>1</v>
      </c>
      <c r="AB197" s="67">
        <f ca="1">IF(AND(SUMIF(Capacity_Resource,$D197,'Critical resources (hide)'!AO$6:AO$105)+SUMIF(Capacity_Resource,$E197,'Critical resources (hide)'!AO$6:AO$105)+SUMIF(Capacity_Resource,$F197,'Critical resources (hide)'!AO$6:AO$105)&gt;0,$E$1=2),0,1)</f>
        <v>1</v>
      </c>
      <c r="AC197" s="67">
        <f ca="1">IF(AND(SUMIF(Capacity_Resource,$D197,'Critical resources (hide)'!AP$6:AP$105)+SUMIF(Capacity_Resource,$E197,'Critical resources (hide)'!AP$6:AP$105)+SUMIF(Capacity_Resource,$F197,'Critical resources (hide)'!AP$6:AP$105)&gt;0,$E$1=2),0,1)</f>
        <v>1</v>
      </c>
      <c r="AD197" s="67">
        <f ca="1">IF(AND(SUMIF(Capacity_Resource,$D197,'Critical resources (hide)'!AQ$6:AQ$105)+SUMIF(Capacity_Resource,$E197,'Critical resources (hide)'!AQ$6:AQ$105)+SUMIF(Capacity_Resource,$F197,'Critical resources (hide)'!AQ$6:AQ$105)&gt;0,$E$1=2),0,1)</f>
        <v>1</v>
      </c>
      <c r="AE197" s="67">
        <f ca="1">IF(AND(SUMIF(Capacity_Resource,$D197,'Critical resources (hide)'!AR$6:AR$105)+SUMIF(Capacity_Resource,$E197,'Critical resources (hide)'!AR$6:AR$105)+SUMIF(Capacity_Resource,$F197,'Critical resources (hide)'!AR$6:AR$105)&gt;0,$E$1=2),0,1)</f>
        <v>1</v>
      </c>
      <c r="AF197" s="67">
        <f ca="1">IF(AND(SUMIF(Capacity_Resource,$D197,'Critical resources (hide)'!AS$6:AS$105)+SUMIF(Capacity_Resource,$E197,'Critical resources (hide)'!AS$6:AS$105)+SUMIF(Capacity_Resource,$F197,'Critical resources (hide)'!AS$6:AS$105)&gt;0,$E$1=2),0,1)</f>
        <v>1</v>
      </c>
      <c r="AG197" s="67">
        <f ca="1">IF(AND(SUMIF(Capacity_Resource,$D197,'Critical resources (hide)'!AT$6:AT$105)+SUMIF(Capacity_Resource,$E197,'Critical resources (hide)'!AT$6:AT$105)+SUMIF(Capacity_Resource,$F197,'Critical resources (hide)'!AT$6:AT$105)&gt;0,$E$1=2),0,1)</f>
        <v>1</v>
      </c>
      <c r="AH197" s="67">
        <f ca="1">IF(AND(SUMIF(Capacity_Resource,$D197,'Critical resources (hide)'!AU$6:AU$105)+SUMIF(Capacity_Resource,$E197,'Critical resources (hide)'!AU$6:AU$105)+SUMIF(Capacity_Resource,$F197,'Critical resources (hide)'!AU$6:AU$105)&gt;0,$E$1=2),0,1)</f>
        <v>1</v>
      </c>
      <c r="AI197" s="67">
        <f ca="1">IF(AND(SUMIF(Capacity_Resource,$D197,'Critical resources (hide)'!AV$6:AV$105)+SUMIF(Capacity_Resource,$E197,'Critical resources (hide)'!AV$6:AV$105)+SUMIF(Capacity_Resource,$F197,'Critical resources (hide)'!AV$6:AV$105)&gt;0,$E$1=2),0,1)</f>
        <v>1</v>
      </c>
      <c r="AJ197" s="67">
        <f ca="1">IF(AND(SUMIF(Capacity_Resource,$D197,'Critical resources (hide)'!AW$6:AW$105)+SUMIF(Capacity_Resource,$E197,'Critical resources (hide)'!AW$6:AW$105)+SUMIF(Capacity_Resource,$F197,'Critical resources (hide)'!AW$6:AW$105)&gt;0,$E$1=2),0,1)</f>
        <v>1</v>
      </c>
      <c r="AK197" s="67">
        <f ca="1">IF(AND(SUMIF(Capacity_Resource,$D197,'Critical resources (hide)'!AX$6:AX$105)+SUMIF(Capacity_Resource,$E197,'Critical resources (hide)'!AX$6:AX$105)+SUMIF(Capacity_Resource,$F197,'Critical resources (hide)'!AX$6:AX$105)&gt;0,$E$1=2),0,1)</f>
        <v>1</v>
      </c>
      <c r="AL197" s="67">
        <f ca="1">IF(AND(SUMIF(Capacity_Resource,$D197,'Critical resources (hide)'!AY$6:AY$105)+SUMIF(Capacity_Resource,$E197,'Critical resources (hide)'!AY$6:AY$105)+SUMIF(Capacity_Resource,$F197,'Critical resources (hide)'!AY$6:AY$105)&gt;0,$E$1=2),0,1)</f>
        <v>1</v>
      </c>
      <c r="AM197" s="67">
        <f ca="1">IF(AND(SUMIF(Capacity_Resource,$D197,'Critical resources (hide)'!AZ$6:AZ$105)+SUMIF(Capacity_Resource,$E197,'Critical resources (hide)'!AZ$6:AZ$105)+SUMIF(Capacity_Resource,$F197,'Critical resources (hide)'!AZ$6:AZ$105)&gt;0,$E$1=2),0,1)</f>
        <v>1</v>
      </c>
      <c r="AN197" s="67">
        <f ca="1">IF(AND(SUMIF(Capacity_Resource,$D197,'Critical resources (hide)'!BA$6:BA$105)+SUMIF(Capacity_Resource,$E197,'Critical resources (hide)'!BA$6:BA$105)+SUMIF(Capacity_Resource,$F197,'Critical resources (hide)'!BA$6:BA$105)&gt;0,$E$1=2),0,1)</f>
        <v>1</v>
      </c>
      <c r="AO197" s="67">
        <f ca="1">IF(AND(SUMIF(Capacity_Resource,$D197,'Critical resources (hide)'!BB$6:BB$105)+SUMIF(Capacity_Resource,$E197,'Critical resources (hide)'!BB$6:BB$105)+SUMIF(Capacity_Resource,$F197,'Critical resources (hide)'!BB$6:BB$105)&gt;0,$E$1=2),0,1)</f>
        <v>1</v>
      </c>
      <c r="AP197" s="67">
        <f ca="1">IF(AND(SUMIF(Capacity_Resource,$D197,'Critical resources (hide)'!BC$6:BC$105)+SUMIF(Capacity_Resource,$E197,'Critical resources (hide)'!BC$6:BC$105)+SUMIF(Capacity_Resource,$F197,'Critical resources (hide)'!BC$6:BC$105)&gt;0,$E$1=2),0,1)</f>
        <v>1</v>
      </c>
      <c r="AQ197" s="67">
        <f ca="1">IF(AND(SUMIF(Capacity_Resource,$D197,'Critical resources (hide)'!BD$6:BD$105)+SUMIF(Capacity_Resource,$E197,'Critical resources (hide)'!BD$6:BD$105)+SUMIF(Capacity_Resource,$F197,'Critical resources (hide)'!BD$6:BD$105)&gt;0,$E$1=2),0,1)</f>
        <v>1</v>
      </c>
      <c r="AR197" s="67">
        <f ca="1">IF(AND(SUMIF(Capacity_Resource,$D197,'Critical resources (hide)'!BE$6:BE$105)+SUMIF(Capacity_Resource,$E197,'Critical resources (hide)'!BE$6:BE$105)+SUMIF(Capacity_Resource,$F197,'Critical resources (hide)'!BE$6:BE$105)&gt;0,$E$1=2),0,1)</f>
        <v>1</v>
      </c>
      <c r="AS197" s="67">
        <f ca="1">IF(AND(SUMIF(Capacity_Resource,$D197,'Critical resources (hide)'!BF$6:BF$105)+SUMIF(Capacity_Resource,$E197,'Critical resources (hide)'!BF$6:BF$105)+SUMIF(Capacity_Resource,$F197,'Critical resources (hide)'!BF$6:BF$105)&gt;0,$E$1=2),0,1)</f>
        <v>1</v>
      </c>
      <c r="AT197" s="67">
        <f ca="1">IF(AND(SUMIF(Capacity_Resource,$D197,'Critical resources (hide)'!BG$6:BG$105)+SUMIF(Capacity_Resource,$E197,'Critical resources (hide)'!BG$6:BG$105)+SUMIF(Capacity_Resource,$F197,'Critical resources (hide)'!BG$6:BG$105)&gt;0,$E$1=2),0,1)</f>
        <v>1</v>
      </c>
      <c r="AU197" s="67">
        <f ca="1">IF(AND(SUMIF(Capacity_Resource,$D197,'Critical resources (hide)'!BH$6:BH$105)+SUMIF(Capacity_Resource,$E197,'Critical resources (hide)'!BH$6:BH$105)+SUMIF(Capacity_Resource,$F197,'Critical resources (hide)'!BH$6:BH$105)&gt;0,$E$1=2),0,1)</f>
        <v>1</v>
      </c>
      <c r="AV197" s="67">
        <f ca="1">IF(AND(SUMIF(Capacity_Resource,$D197,'Critical resources (hide)'!BI$6:BI$105)+SUMIF(Capacity_Resource,$E197,'Critical resources (hide)'!BI$6:BI$105)+SUMIF(Capacity_Resource,$F197,'Critical resources (hide)'!BI$6:BI$105)&gt;0,$E$1=2),0,1)</f>
        <v>1</v>
      </c>
      <c r="AW197" s="67">
        <f ca="1">IF(AND(SUMIF(Capacity_Resource,$D197,'Critical resources (hide)'!BJ$6:BJ$105)+SUMIF(Capacity_Resource,$E197,'Critical resources (hide)'!BJ$6:BJ$105)+SUMIF(Capacity_Resource,$F197,'Critical resources (hide)'!BJ$6:BJ$105)&gt;0,$E$1=2),0,1)</f>
        <v>1</v>
      </c>
      <c r="AX197" s="67">
        <f ca="1">IF(AND(SUMIF(Capacity_Resource,$D197,'Critical resources (hide)'!BK$6:BK$105)+SUMIF(Capacity_Resource,$E197,'Critical resources (hide)'!BK$6:BK$105)+SUMIF(Capacity_Resource,$F197,'Critical resources (hide)'!BK$6:BK$105)&gt;0,$E$1=2),0,1)</f>
        <v>1</v>
      </c>
      <c r="AY197" s="67">
        <f ca="1">IF(AND(SUMIF(Capacity_Resource,$D197,'Critical resources (hide)'!BL$6:BL$105)+SUMIF(Capacity_Resource,$E197,'Critical resources (hide)'!BL$6:BL$105)+SUMIF(Capacity_Resource,$F197,'Critical resources (hide)'!BL$6:BL$105)&gt;0,$E$1=2),0,1)</f>
        <v>1</v>
      </c>
      <c r="AZ197" s="67">
        <f ca="1">IF(AND(SUMIF(Capacity_Resource,$D197,'Critical resources (hide)'!BM$6:BM$105)+SUMIF(Capacity_Resource,$E197,'Critical resources (hide)'!BM$6:BM$105)+SUMIF(Capacity_Resource,$F197,'Critical resources (hide)'!BM$6:BM$105)&gt;0,$E$1=2),0,1)</f>
        <v>1</v>
      </c>
      <c r="BA197" s="67">
        <f ca="1">IF(AND(SUMIF(Capacity_Resource,$D197,'Critical resources (hide)'!BN$6:BN$105)+SUMIF(Capacity_Resource,$E197,'Critical resources (hide)'!BN$6:BN$105)+SUMIF(Capacity_Resource,$F197,'Critical resources (hide)'!BN$6:BN$105)&gt;0,$E$1=2),0,1)</f>
        <v>1</v>
      </c>
      <c r="BB197" s="67">
        <f ca="1">IF(AND(SUMIF(Capacity_Resource,$D197,'Critical resources (hide)'!BO$6:BO$105)+SUMIF(Capacity_Resource,$E197,'Critical resources (hide)'!BO$6:BO$105)+SUMIF(Capacity_Resource,$F197,'Critical resources (hide)'!BO$6:BO$105)&gt;0,$E$1=2),0,1)</f>
        <v>1</v>
      </c>
      <c r="BC197" s="67">
        <f ca="1">IF(AND(SUMIF(Capacity_Resource,$D197,'Critical resources (hide)'!BP$6:BP$105)+SUMIF(Capacity_Resource,$E197,'Critical resources (hide)'!BP$6:BP$105)+SUMIF(Capacity_Resource,$F197,'Critical resources (hide)'!BP$6:BP$105)&gt;0,$E$1=2),0,1)</f>
        <v>1</v>
      </c>
      <c r="BD197" s="67">
        <f ca="1">IF(AND(SUMIF(Capacity_Resource,$D197,'Critical resources (hide)'!BQ$6:BQ$105)+SUMIF(Capacity_Resource,$E197,'Critical resources (hide)'!BQ$6:BQ$105)+SUMIF(Capacity_Resource,$F197,'Critical resources (hide)'!BQ$6:BQ$105)&gt;0,$E$1=2),0,1)</f>
        <v>1</v>
      </c>
      <c r="BE197" s="67">
        <f ca="1">IF(AND(SUMIF(Capacity_Resource,$D197,'Critical resources (hide)'!BR$6:BR$105)+SUMIF(Capacity_Resource,$E197,'Critical resources (hide)'!BR$6:BR$105)+SUMIF(Capacity_Resource,$F197,'Critical resources (hide)'!BR$6:BR$105)&gt;0,$E$1=2),0,1)</f>
        <v>1</v>
      </c>
      <c r="BF197" s="67">
        <f ca="1">IF(AND(SUMIF(Capacity_Resource,$D197,'Critical resources (hide)'!BS$6:BS$105)+SUMIF(Capacity_Resource,$E197,'Critical resources (hide)'!BS$6:BS$105)+SUMIF(Capacity_Resource,$F197,'Critical resources (hide)'!BS$6:BS$105)&gt;0,$E$1=2),0,1)</f>
        <v>1</v>
      </c>
      <c r="BG197" s="67">
        <f ca="1">IF(AND(SUMIF(Capacity_Resource,$D197,'Critical resources (hide)'!BT$6:BT$105)+SUMIF(Capacity_Resource,$E197,'Critical resources (hide)'!BT$6:BT$105)+SUMIF(Capacity_Resource,$F197,'Critical resources (hide)'!BT$6:BT$105)&gt;0,$E$1=2),0,1)</f>
        <v>1</v>
      </c>
      <c r="BH197" s="67">
        <f>IF(ROW(A86)&lt;=Capacity!$M$16,IF('Capacity summary'!$C$14="No",SUM(H197:BG197),'Capacity summary'!$E109),0)</f>
        <v>0</v>
      </c>
      <c r="BI197" s="67" t="str">
        <f>IF(BH197&gt;0,IF(BH197&lt;Capacity!Q102,Capacity!R102,Capacity!T102/'Capacity calculation (hide)'!BH197),"")</f>
        <v/>
      </c>
      <c r="BJ197" s="5"/>
      <c r="BK197" s="5">
        <f>IF($BI197&lt;&gt;"",IF('Capacity summary'!$C$14="Yes",IF(COUNTBLANK('Capacity summary'!$H109:$BG109)&lt;52,IF('Capacity summary'!H109&lt;&gt;"",IF(LOWER('Capacity summary'!H109)="x",$BI197*H197,VALUE('Capacity summary'!H109)),0),H197*$BI197),H197*$BI197),0)</f>
        <v>0</v>
      </c>
      <c r="BL197" s="5">
        <f>IF($BI197&lt;&gt;"",IF('Capacity summary'!$C$14="Yes",IF(COUNTBLANK('Capacity summary'!$H109:$BG109)&lt;52,IF('Capacity summary'!I109&lt;&gt;"",IF(LOWER('Capacity summary'!I109)="x",$BI197*I197,VALUE('Capacity summary'!I109)),0),I197*$BI197),I197*$BI197),0)</f>
        <v>0</v>
      </c>
      <c r="BM197" s="5">
        <f>IF($BI197&lt;&gt;"",IF('Capacity summary'!$C$14="Yes",IF(COUNTBLANK('Capacity summary'!$H109:$BG109)&lt;52,IF('Capacity summary'!J109&lt;&gt;"",IF(LOWER('Capacity summary'!J109)="x",$BI197*J197,VALUE('Capacity summary'!J109)),0),J197*$BI197),J197*$BI197),0)</f>
        <v>0</v>
      </c>
      <c r="BN197" s="5">
        <f>IF($BI197&lt;&gt;"",IF('Capacity summary'!$C$14="Yes",IF(COUNTBLANK('Capacity summary'!$H109:$BG109)&lt;52,IF('Capacity summary'!K109&lt;&gt;"",IF(LOWER('Capacity summary'!K109)="x",$BI197*K197,VALUE('Capacity summary'!K109)),0),K197*$BI197),K197*$BI197),0)</f>
        <v>0</v>
      </c>
      <c r="BO197" s="5">
        <f>IF($BI197&lt;&gt;"",IF('Capacity summary'!$C$14="Yes",IF(COUNTBLANK('Capacity summary'!$H109:$BG109)&lt;52,IF('Capacity summary'!L109&lt;&gt;"",IF(LOWER('Capacity summary'!L109)="x",$BI197*L197,VALUE('Capacity summary'!L109)),0),L197*$BI197),L197*$BI197),0)</f>
        <v>0</v>
      </c>
      <c r="BP197" s="5">
        <f>IF($BI197&lt;&gt;"",IF('Capacity summary'!$C$14="Yes",IF(COUNTBLANK('Capacity summary'!$H109:$BG109)&lt;52,IF('Capacity summary'!M109&lt;&gt;"",IF(LOWER('Capacity summary'!M109)="x",$BI197*M197,VALUE('Capacity summary'!M109)),0),M197*$BI197),M197*$BI197),0)</f>
        <v>0</v>
      </c>
      <c r="BQ197" s="5">
        <f>IF($BI197&lt;&gt;"",IF('Capacity summary'!$C$14="Yes",IF(COUNTBLANK('Capacity summary'!$H109:$BG109)&lt;52,IF('Capacity summary'!N109&lt;&gt;"",IF(LOWER('Capacity summary'!N109)="x",$BI197*N197,VALUE('Capacity summary'!N109)),0),N197*$BI197),N197*$BI197),0)</f>
        <v>0</v>
      </c>
      <c r="BR197" s="5">
        <f>IF($BI197&lt;&gt;"",IF('Capacity summary'!$C$14="Yes",IF(COUNTBLANK('Capacity summary'!$H109:$BG109)&lt;52,IF('Capacity summary'!O109&lt;&gt;"",IF(LOWER('Capacity summary'!O109)="x",$BI197*O197,VALUE('Capacity summary'!O109)),0),O197*$BI197),O197*$BI197),0)</f>
        <v>0</v>
      </c>
      <c r="BS197" s="5">
        <f>IF($BI197&lt;&gt;"",IF('Capacity summary'!$C$14="Yes",IF(COUNTBLANK('Capacity summary'!$H109:$BG109)&lt;52,IF('Capacity summary'!P109&lt;&gt;"",IF(LOWER('Capacity summary'!P109)="x",$BI197*P197,VALUE('Capacity summary'!P109)),0),P197*$BI197),P197*$BI197),0)</f>
        <v>0</v>
      </c>
      <c r="BT197" s="5">
        <f>IF($BI197&lt;&gt;"",IF('Capacity summary'!$C$14="Yes",IF(COUNTBLANK('Capacity summary'!$H109:$BG109)&lt;52,IF('Capacity summary'!Q109&lt;&gt;"",IF(LOWER('Capacity summary'!Q109)="x",$BI197*Q197,VALUE('Capacity summary'!Q109)),0),Q197*$BI197),Q197*$BI197),0)</f>
        <v>0</v>
      </c>
      <c r="BU197" s="5">
        <f>IF($BI197&lt;&gt;"",IF('Capacity summary'!$C$14="Yes",IF(COUNTBLANK('Capacity summary'!$H109:$BG109)&lt;52,IF('Capacity summary'!R109&lt;&gt;"",IF(LOWER('Capacity summary'!R109)="x",$BI197*R197,VALUE('Capacity summary'!R109)),0),R197*$BI197),R197*$BI197),0)</f>
        <v>0</v>
      </c>
      <c r="BV197" s="5">
        <f>IF($BI197&lt;&gt;"",IF('Capacity summary'!$C$14="Yes",IF(COUNTBLANK('Capacity summary'!$H109:$BG109)&lt;52,IF('Capacity summary'!S109&lt;&gt;"",IF(LOWER('Capacity summary'!S109)="x",$BI197*S197,VALUE('Capacity summary'!S109)),0),S197*$BI197),S197*$BI197),0)</f>
        <v>0</v>
      </c>
      <c r="BW197" s="5">
        <f>IF($BI197&lt;&gt;"",IF('Capacity summary'!$C$14="Yes",IF(COUNTBLANK('Capacity summary'!$H109:$BG109)&lt;52,IF('Capacity summary'!T109&lt;&gt;"",IF(LOWER('Capacity summary'!T109)="x",$BI197*T197,VALUE('Capacity summary'!T109)),0),T197*$BI197),T197*$BI197),0)</f>
        <v>0</v>
      </c>
      <c r="BX197" s="5">
        <f>IF($BI197&lt;&gt;"",IF('Capacity summary'!$C$14="Yes",IF(COUNTBLANK('Capacity summary'!$H109:$BG109)&lt;52,IF('Capacity summary'!U109&lt;&gt;"",IF(LOWER('Capacity summary'!U109)="x",$BI197*U197,VALUE('Capacity summary'!U109)),0),U197*$BI197),U197*$BI197),0)</f>
        <v>0</v>
      </c>
      <c r="BY197" s="5">
        <f>IF($BI197&lt;&gt;"",IF('Capacity summary'!$C$14="Yes",IF(COUNTBLANK('Capacity summary'!$H109:$BG109)&lt;52,IF('Capacity summary'!V109&lt;&gt;"",IF(LOWER('Capacity summary'!V109)="x",$BI197*V197,VALUE('Capacity summary'!V109)),0),V197*$BI197),V197*$BI197),0)</f>
        <v>0</v>
      </c>
      <c r="BZ197" s="5">
        <f>IF($BI197&lt;&gt;"",IF('Capacity summary'!$C$14="Yes",IF(COUNTBLANK('Capacity summary'!$H109:$BG109)&lt;52,IF('Capacity summary'!W109&lt;&gt;"",IF(LOWER('Capacity summary'!W109)="x",$BI197*W197,VALUE('Capacity summary'!W109)),0),W197*$BI197),W197*$BI197),0)</f>
        <v>0</v>
      </c>
      <c r="CA197" s="5">
        <f>IF($BI197&lt;&gt;"",IF('Capacity summary'!$C$14="Yes",IF(COUNTBLANK('Capacity summary'!$H109:$BG109)&lt;52,IF('Capacity summary'!X109&lt;&gt;"",IF(LOWER('Capacity summary'!X109)="x",$BI197*X197,VALUE('Capacity summary'!X109)),0),X197*$BI197),X197*$BI197),0)</f>
        <v>0</v>
      </c>
      <c r="CB197" s="5">
        <f>IF($BI197&lt;&gt;"",IF('Capacity summary'!$C$14="Yes",IF(COUNTBLANK('Capacity summary'!$H109:$BG109)&lt;52,IF('Capacity summary'!Y109&lt;&gt;"",IF(LOWER('Capacity summary'!Y109)="x",$BI197*Y197,VALUE('Capacity summary'!Y109)),0),Y197*$BI197),Y197*$BI197),0)</f>
        <v>0</v>
      </c>
      <c r="CC197" s="5">
        <f>IF($BI197&lt;&gt;"",IF('Capacity summary'!$C$14="Yes",IF(COUNTBLANK('Capacity summary'!$H109:$BG109)&lt;52,IF('Capacity summary'!Z109&lt;&gt;"",IF(LOWER('Capacity summary'!Z109)="x",$BI197*Z197,VALUE('Capacity summary'!Z109)),0),Z197*$BI197),Z197*$BI197),0)</f>
        <v>0</v>
      </c>
      <c r="CD197" s="5">
        <f>IF($BI197&lt;&gt;"",IF('Capacity summary'!$C$14="Yes",IF(COUNTBLANK('Capacity summary'!$H109:$BG109)&lt;52,IF('Capacity summary'!AA109&lt;&gt;"",IF(LOWER('Capacity summary'!AA109)="x",$BI197*AA197,VALUE('Capacity summary'!AA109)),0),AA197*$BI197),AA197*$BI197),0)</f>
        <v>0</v>
      </c>
      <c r="CE197" s="5">
        <f>IF($BI197&lt;&gt;"",IF('Capacity summary'!$C$14="Yes",IF(COUNTBLANK('Capacity summary'!$H109:$BG109)&lt;52,IF('Capacity summary'!AB109&lt;&gt;"",IF(LOWER('Capacity summary'!AB109)="x",$BI197*AB197,VALUE('Capacity summary'!AB109)),0),AB197*$BI197),AB197*$BI197),0)</f>
        <v>0</v>
      </c>
      <c r="CF197" s="5">
        <f>IF($BI197&lt;&gt;"",IF('Capacity summary'!$C$14="Yes",IF(COUNTBLANK('Capacity summary'!$H109:$BG109)&lt;52,IF('Capacity summary'!AC109&lt;&gt;"",IF(LOWER('Capacity summary'!AC109)="x",$BI197*AC197,VALUE('Capacity summary'!AC109)),0),AC197*$BI197),AC197*$BI197),0)</f>
        <v>0</v>
      </c>
      <c r="CG197" s="5">
        <f>IF($BI197&lt;&gt;"",IF('Capacity summary'!$C$14="Yes",IF(COUNTBLANK('Capacity summary'!$H109:$BG109)&lt;52,IF('Capacity summary'!AD109&lt;&gt;"",IF(LOWER('Capacity summary'!AD109)="x",$BI197*AD197,VALUE('Capacity summary'!AD109)),0),AD197*$BI197),AD197*$BI197),0)</f>
        <v>0</v>
      </c>
      <c r="CH197" s="5">
        <f>IF($BI197&lt;&gt;"",IF('Capacity summary'!$C$14="Yes",IF(COUNTBLANK('Capacity summary'!$H109:$BG109)&lt;52,IF('Capacity summary'!AE109&lt;&gt;"",IF(LOWER('Capacity summary'!AE109)="x",$BI197*AE197,VALUE('Capacity summary'!AE109)),0),AE197*$BI197),AE197*$BI197),0)</f>
        <v>0</v>
      </c>
      <c r="CI197" s="5">
        <f>IF($BI197&lt;&gt;"",IF('Capacity summary'!$C$14="Yes",IF(COUNTBLANK('Capacity summary'!$H109:$BG109)&lt;52,IF('Capacity summary'!AF109&lt;&gt;"",IF(LOWER('Capacity summary'!AF109)="x",$BI197*AF197,VALUE('Capacity summary'!AF109)),0),AF197*$BI197),AF197*$BI197),0)</f>
        <v>0</v>
      </c>
      <c r="CJ197" s="5">
        <f>IF($BI197&lt;&gt;"",IF('Capacity summary'!$C$14="Yes",IF(COUNTBLANK('Capacity summary'!$H109:$BG109)&lt;52,IF('Capacity summary'!AG109&lt;&gt;"",IF(LOWER('Capacity summary'!AG109)="x",$BI197*AG197,VALUE('Capacity summary'!AG109)),0),AG197*$BI197),AG197*$BI197),0)</f>
        <v>0</v>
      </c>
      <c r="CK197" s="5">
        <f>IF($BI197&lt;&gt;"",IF('Capacity summary'!$C$14="Yes",IF(COUNTBLANK('Capacity summary'!$H109:$BG109)&lt;52,IF('Capacity summary'!AH109&lt;&gt;"",IF(LOWER('Capacity summary'!AH109)="x",$BI197*AH197,VALUE('Capacity summary'!AH109)),0),AH197*$BI197),AH197*$BI197),0)</f>
        <v>0</v>
      </c>
      <c r="CL197" s="5">
        <f>IF($BI197&lt;&gt;"",IF('Capacity summary'!$C$14="Yes",IF(COUNTBLANK('Capacity summary'!$H109:$BG109)&lt;52,IF('Capacity summary'!AI109&lt;&gt;"",IF(LOWER('Capacity summary'!AI109)="x",$BI197*AI197,VALUE('Capacity summary'!AI109)),0),AI197*$BI197),AI197*$BI197),0)</f>
        <v>0</v>
      </c>
      <c r="CM197" s="5">
        <f>IF($BI197&lt;&gt;"",IF('Capacity summary'!$C$14="Yes",IF(COUNTBLANK('Capacity summary'!$H109:$BG109)&lt;52,IF('Capacity summary'!AJ109&lt;&gt;"",IF(LOWER('Capacity summary'!AJ109)="x",$BI197*AJ197,VALUE('Capacity summary'!AJ109)),0),AJ197*$BI197),AJ197*$BI197),0)</f>
        <v>0</v>
      </c>
      <c r="CN197" s="5">
        <f>IF($BI197&lt;&gt;"",IF('Capacity summary'!$C$14="Yes",IF(COUNTBLANK('Capacity summary'!$H109:$BG109)&lt;52,IF('Capacity summary'!AK109&lt;&gt;"",IF(LOWER('Capacity summary'!AK109)="x",$BI197*AK197,VALUE('Capacity summary'!AK109)),0),AK197*$BI197),AK197*$BI197),0)</f>
        <v>0</v>
      </c>
      <c r="CO197" s="5">
        <f>IF($BI197&lt;&gt;"",IF('Capacity summary'!$C$14="Yes",IF(COUNTBLANK('Capacity summary'!$H109:$BG109)&lt;52,IF('Capacity summary'!AL109&lt;&gt;"",IF(LOWER('Capacity summary'!AL109)="x",$BI197*AL197,VALUE('Capacity summary'!AL109)),0),AL197*$BI197),AL197*$BI197),0)</f>
        <v>0</v>
      </c>
      <c r="CP197" s="5">
        <f>IF($BI197&lt;&gt;"",IF('Capacity summary'!$C$14="Yes",IF(COUNTBLANK('Capacity summary'!$H109:$BG109)&lt;52,IF('Capacity summary'!AM109&lt;&gt;"",IF(LOWER('Capacity summary'!AM109)="x",$BI197*AM197,VALUE('Capacity summary'!AM109)),0),AM197*$BI197),AM197*$BI197),0)</f>
        <v>0</v>
      </c>
      <c r="CQ197" s="5">
        <f>IF($BI197&lt;&gt;"",IF('Capacity summary'!$C$14="Yes",IF(COUNTBLANK('Capacity summary'!$H109:$BG109)&lt;52,IF('Capacity summary'!AN109&lt;&gt;"",IF(LOWER('Capacity summary'!AN109)="x",$BI197*AN197,VALUE('Capacity summary'!AN109)),0),AN197*$BI197),AN197*$BI197),0)</f>
        <v>0</v>
      </c>
      <c r="CR197" s="5">
        <f>IF($BI197&lt;&gt;"",IF('Capacity summary'!$C$14="Yes",IF(COUNTBLANK('Capacity summary'!$H109:$BG109)&lt;52,IF('Capacity summary'!AO109&lt;&gt;"",IF(LOWER('Capacity summary'!AO109)="x",$BI197*AO197,VALUE('Capacity summary'!AO109)),0),AO197*$BI197),AO197*$BI197),0)</f>
        <v>0</v>
      </c>
      <c r="CS197" s="5">
        <f>IF($BI197&lt;&gt;"",IF('Capacity summary'!$C$14="Yes",IF(COUNTBLANK('Capacity summary'!$H109:$BG109)&lt;52,IF('Capacity summary'!AP109&lt;&gt;"",IF(LOWER('Capacity summary'!AP109)="x",$BI197*AP197,VALUE('Capacity summary'!AP109)),0),AP197*$BI197),AP197*$BI197),0)</f>
        <v>0</v>
      </c>
      <c r="CT197" s="5">
        <f>IF($BI197&lt;&gt;"",IF('Capacity summary'!$C$14="Yes",IF(COUNTBLANK('Capacity summary'!$H109:$BG109)&lt;52,IF('Capacity summary'!AQ109&lt;&gt;"",IF(LOWER('Capacity summary'!AQ109)="x",$BI197*AQ197,VALUE('Capacity summary'!AQ109)),0),AQ197*$BI197),AQ197*$BI197),0)</f>
        <v>0</v>
      </c>
      <c r="CU197" s="5">
        <f>IF($BI197&lt;&gt;"",IF('Capacity summary'!$C$14="Yes",IF(COUNTBLANK('Capacity summary'!$H109:$BG109)&lt;52,IF('Capacity summary'!AR109&lt;&gt;"",IF(LOWER('Capacity summary'!AR109)="x",$BI197*AR197,VALUE('Capacity summary'!AR109)),0),AR197*$BI197),AR197*$BI197),0)</f>
        <v>0</v>
      </c>
      <c r="CV197" s="5">
        <f>IF($BI197&lt;&gt;"",IF('Capacity summary'!$C$14="Yes",IF(COUNTBLANK('Capacity summary'!$H109:$BG109)&lt;52,IF('Capacity summary'!AS109&lt;&gt;"",IF(LOWER('Capacity summary'!AS109)="x",$BI197*AS197,VALUE('Capacity summary'!AS109)),0),AS197*$BI197),AS197*$BI197),0)</f>
        <v>0</v>
      </c>
      <c r="CW197" s="5">
        <f>IF($BI197&lt;&gt;"",IF('Capacity summary'!$C$14="Yes",IF(COUNTBLANK('Capacity summary'!$H109:$BG109)&lt;52,IF('Capacity summary'!AT109&lt;&gt;"",IF(LOWER('Capacity summary'!AT109)="x",$BI197*AT197,VALUE('Capacity summary'!AT109)),0),AT197*$BI197),AT197*$BI197),0)</f>
        <v>0</v>
      </c>
      <c r="CX197" s="5">
        <f>IF($BI197&lt;&gt;"",IF('Capacity summary'!$C$14="Yes",IF(COUNTBLANK('Capacity summary'!$H109:$BG109)&lt;52,IF('Capacity summary'!AU109&lt;&gt;"",IF(LOWER('Capacity summary'!AU109)="x",$BI197*AU197,VALUE('Capacity summary'!AU109)),0),AU197*$BI197),AU197*$BI197),0)</f>
        <v>0</v>
      </c>
      <c r="CY197" s="5">
        <f>IF($BI197&lt;&gt;"",IF('Capacity summary'!$C$14="Yes",IF(COUNTBLANK('Capacity summary'!$H109:$BG109)&lt;52,IF('Capacity summary'!AV109&lt;&gt;"",IF(LOWER('Capacity summary'!AV109)="x",$BI197*AV197,VALUE('Capacity summary'!AV109)),0),AV197*$BI197),AV197*$BI197),0)</f>
        <v>0</v>
      </c>
      <c r="CZ197" s="5">
        <f>IF($BI197&lt;&gt;"",IF('Capacity summary'!$C$14="Yes",IF(COUNTBLANK('Capacity summary'!$H109:$BG109)&lt;52,IF('Capacity summary'!AW109&lt;&gt;"",IF(LOWER('Capacity summary'!AW109)="x",$BI197*AW197,VALUE('Capacity summary'!AW109)),0),AW197*$BI197),AW197*$BI197),0)</f>
        <v>0</v>
      </c>
      <c r="DA197" s="5">
        <f>IF($BI197&lt;&gt;"",IF('Capacity summary'!$C$14="Yes",IF(COUNTBLANK('Capacity summary'!$H109:$BG109)&lt;52,IF('Capacity summary'!AX109&lt;&gt;"",IF(LOWER('Capacity summary'!AX109)="x",$BI197*AX197,VALUE('Capacity summary'!AX109)),0),AX197*$BI197),AX197*$BI197),0)</f>
        <v>0</v>
      </c>
      <c r="DB197" s="5">
        <f>IF($BI197&lt;&gt;"",IF('Capacity summary'!$C$14="Yes",IF(COUNTBLANK('Capacity summary'!$H109:$BG109)&lt;52,IF('Capacity summary'!AY109&lt;&gt;"",IF(LOWER('Capacity summary'!AY109)="x",$BI197*AY197,VALUE('Capacity summary'!AY109)),0),AY197*$BI197),AY197*$BI197),0)</f>
        <v>0</v>
      </c>
      <c r="DC197" s="5">
        <f>IF($BI197&lt;&gt;"",IF('Capacity summary'!$C$14="Yes",IF(COUNTBLANK('Capacity summary'!$H109:$BG109)&lt;52,IF('Capacity summary'!AZ109&lt;&gt;"",IF(LOWER('Capacity summary'!AZ109)="x",$BI197*AZ197,VALUE('Capacity summary'!AZ109)),0),AZ197*$BI197),AZ197*$BI197),0)</f>
        <v>0</v>
      </c>
      <c r="DD197" s="5">
        <f>IF($BI197&lt;&gt;"",IF('Capacity summary'!$C$14="Yes",IF(COUNTBLANK('Capacity summary'!$H109:$BG109)&lt;52,IF('Capacity summary'!BA109&lt;&gt;"",IF(LOWER('Capacity summary'!BA109)="x",$BI197*BA197,VALUE('Capacity summary'!BA109)),0),BA197*$BI197),BA197*$BI197),0)</f>
        <v>0</v>
      </c>
      <c r="DE197" s="5">
        <f>IF($BI197&lt;&gt;"",IF('Capacity summary'!$C$14="Yes",IF(COUNTBLANK('Capacity summary'!$H109:$BG109)&lt;52,IF('Capacity summary'!BB109&lt;&gt;"",IF(LOWER('Capacity summary'!BB109)="x",$BI197*BB197,VALUE('Capacity summary'!BB109)),0),BB197*$BI197),BB197*$BI197),0)</f>
        <v>0</v>
      </c>
      <c r="DF197" s="5">
        <f>IF($BI197&lt;&gt;"",IF('Capacity summary'!$C$14="Yes",IF(COUNTBLANK('Capacity summary'!$H109:$BG109)&lt;52,IF('Capacity summary'!BC109&lt;&gt;"",IF(LOWER('Capacity summary'!BC109)="x",$BI197*BC197,VALUE('Capacity summary'!BC109)),0),BC197*$BI197),BC197*$BI197),0)</f>
        <v>0</v>
      </c>
      <c r="DG197" s="5">
        <f>IF($BI197&lt;&gt;"",IF('Capacity summary'!$C$14="Yes",IF(COUNTBLANK('Capacity summary'!$H109:$BG109)&lt;52,IF('Capacity summary'!BD109&lt;&gt;"",IF(LOWER('Capacity summary'!BD109)="x",$BI197*BD197,VALUE('Capacity summary'!BD109)),0),BD197*$BI197),BD197*$BI197),0)</f>
        <v>0</v>
      </c>
      <c r="DH197" s="5">
        <f>IF($BI197&lt;&gt;"",IF('Capacity summary'!$C$14="Yes",IF(COUNTBLANK('Capacity summary'!$H109:$BG109)&lt;52,IF('Capacity summary'!BE109&lt;&gt;"",IF(LOWER('Capacity summary'!BE109)="x",$BI197*BE197,VALUE('Capacity summary'!BE109)),0),BE197*$BI197),BE197*$BI197),0)</f>
        <v>0</v>
      </c>
      <c r="DI197" s="5">
        <f>IF($BI197&lt;&gt;"",IF('Capacity summary'!$C$14="Yes",IF(COUNTBLANK('Capacity summary'!$H109:$BG109)&lt;52,IF('Capacity summary'!BF109&lt;&gt;"",IF(LOWER('Capacity summary'!BF109)="x",$BI197*BF197,VALUE('Capacity summary'!BF109)),0),BF197*$BI197),BF197*$BI197),0)</f>
        <v>0</v>
      </c>
      <c r="DJ197" s="5">
        <f>IF($BI197&lt;&gt;"",IF('Capacity summary'!$C$14="Yes",IF(COUNTBLANK('Capacity summary'!$H109:$BG109)&lt;52,IF('Capacity summary'!BG109&lt;&gt;"",IF(LOWER('Capacity summary'!BG109)="x",$BI197*BG197,VALUE('Capacity summary'!BG109)),0),BG197*$BI197),BG197*$BI197),0)</f>
        <v>0</v>
      </c>
      <c r="DK197" s="5">
        <f t="shared" ref="DK197" si="91">SUM(DK198:DK297)</f>
        <v>0</v>
      </c>
    </row>
    <row r="198" spans="3:115" x14ac:dyDescent="0.25">
      <c r="C198" s="67" t="str">
        <f>ROW(A87)&amp;". "&amp;Capacity!N103</f>
        <v xml:space="preserve">87. </v>
      </c>
      <c r="D198" s="67">
        <f>'Capacity setup'!C204</f>
        <v>0</v>
      </c>
      <c r="E198" s="67">
        <f>'Capacity setup'!D204</f>
        <v>0</v>
      </c>
      <c r="F198" s="67">
        <f>'Capacity setup'!E204</f>
        <v>0</v>
      </c>
      <c r="H198" s="67">
        <f ca="1">IF(AND(SUMIF(Capacity_Resource,$D198,'Critical resources (hide)'!U$6:U$105)+SUMIF(Capacity_Resource,$E198,'Critical resources (hide)'!U$6:U$105)+SUMIF(Capacity_Resource,$F198,'Critical resources (hide)'!U$6:U$105)&gt;0,$E$1=2),0,1)</f>
        <v>1</v>
      </c>
      <c r="I198" s="67">
        <f ca="1">IF(AND(SUMIF(Capacity_Resource,$D198,'Critical resources (hide)'!V$6:V$105)+SUMIF(Capacity_Resource,$E198,'Critical resources (hide)'!V$6:V$105)+SUMIF(Capacity_Resource,$F198,'Critical resources (hide)'!V$6:V$105)&gt;0,$E$1=2),0,1)</f>
        <v>1</v>
      </c>
      <c r="J198" s="67">
        <f ca="1">IF(AND(SUMIF(Capacity_Resource,$D198,'Critical resources (hide)'!W$6:W$105)+SUMIF(Capacity_Resource,$E198,'Critical resources (hide)'!W$6:W$105)+SUMIF(Capacity_Resource,$F198,'Critical resources (hide)'!W$6:W$105)&gt;0,$E$1=2),0,1)</f>
        <v>1</v>
      </c>
      <c r="K198" s="67">
        <f ca="1">IF(AND(SUMIF(Capacity_Resource,$D198,'Critical resources (hide)'!X$6:X$105)+SUMIF(Capacity_Resource,$E198,'Critical resources (hide)'!X$6:X$105)+SUMIF(Capacity_Resource,$F198,'Critical resources (hide)'!X$6:X$105)&gt;0,$E$1=2),0,1)</f>
        <v>1</v>
      </c>
      <c r="L198" s="67">
        <f ca="1">IF(AND(SUMIF(Capacity_Resource,$D198,'Critical resources (hide)'!Y$6:Y$105)+SUMIF(Capacity_Resource,$E198,'Critical resources (hide)'!Y$6:Y$105)+SUMIF(Capacity_Resource,$F198,'Critical resources (hide)'!Y$6:Y$105)&gt;0,$E$1=2),0,1)</f>
        <v>1</v>
      </c>
      <c r="M198" s="67">
        <f ca="1">IF(AND(SUMIF(Capacity_Resource,$D198,'Critical resources (hide)'!Z$6:Z$105)+SUMIF(Capacity_Resource,$E198,'Critical resources (hide)'!Z$6:Z$105)+SUMIF(Capacity_Resource,$F198,'Critical resources (hide)'!Z$6:Z$105)&gt;0,$E$1=2),0,1)</f>
        <v>1</v>
      </c>
      <c r="N198" s="67">
        <f ca="1">IF(AND(SUMIF(Capacity_Resource,$D198,'Critical resources (hide)'!AA$6:AA$105)+SUMIF(Capacity_Resource,$E198,'Critical resources (hide)'!AA$6:AA$105)+SUMIF(Capacity_Resource,$F198,'Critical resources (hide)'!AA$6:AA$105)&gt;0,$E$1=2),0,1)</f>
        <v>1</v>
      </c>
      <c r="O198" s="67">
        <f ca="1">IF(AND(SUMIF(Capacity_Resource,$D198,'Critical resources (hide)'!AB$6:AB$105)+SUMIF(Capacity_Resource,$E198,'Critical resources (hide)'!AB$6:AB$105)+SUMIF(Capacity_Resource,$F198,'Critical resources (hide)'!AB$6:AB$105)&gt;0,$E$1=2),0,1)</f>
        <v>1</v>
      </c>
      <c r="P198" s="67">
        <f ca="1">IF(AND(SUMIF(Capacity_Resource,$D198,'Critical resources (hide)'!AC$6:AC$105)+SUMIF(Capacity_Resource,$E198,'Critical resources (hide)'!AC$6:AC$105)+SUMIF(Capacity_Resource,$F198,'Critical resources (hide)'!AC$6:AC$105)&gt;0,$E$1=2),0,1)</f>
        <v>1</v>
      </c>
      <c r="Q198" s="67">
        <f ca="1">IF(AND(SUMIF(Capacity_Resource,$D198,'Critical resources (hide)'!AD$6:AD$105)+SUMIF(Capacity_Resource,$E198,'Critical resources (hide)'!AD$6:AD$105)+SUMIF(Capacity_Resource,$F198,'Critical resources (hide)'!AD$6:AD$105)&gt;0,$E$1=2),0,1)</f>
        <v>1</v>
      </c>
      <c r="R198" s="67">
        <f ca="1">IF(AND(SUMIF(Capacity_Resource,$D198,'Critical resources (hide)'!AE$6:AE$105)+SUMIF(Capacity_Resource,$E198,'Critical resources (hide)'!AE$6:AE$105)+SUMIF(Capacity_Resource,$F198,'Critical resources (hide)'!AE$6:AE$105)&gt;0,$E$1=2),0,1)</f>
        <v>1</v>
      </c>
      <c r="S198" s="67">
        <f ca="1">IF(AND(SUMIF(Capacity_Resource,$D198,'Critical resources (hide)'!AF$6:AF$105)+SUMIF(Capacity_Resource,$E198,'Critical resources (hide)'!AF$6:AF$105)+SUMIF(Capacity_Resource,$F198,'Critical resources (hide)'!AF$6:AF$105)&gt;0,$E$1=2),0,1)</f>
        <v>1</v>
      </c>
      <c r="T198" s="67">
        <f ca="1">IF(AND(SUMIF(Capacity_Resource,$D198,'Critical resources (hide)'!AG$6:AG$105)+SUMIF(Capacity_Resource,$E198,'Critical resources (hide)'!AG$6:AG$105)+SUMIF(Capacity_Resource,$F198,'Critical resources (hide)'!AG$6:AG$105)&gt;0,$E$1=2),0,1)</f>
        <v>1</v>
      </c>
      <c r="U198" s="67">
        <f ca="1">IF(AND(SUMIF(Capacity_Resource,$D198,'Critical resources (hide)'!AH$6:AH$105)+SUMIF(Capacity_Resource,$E198,'Critical resources (hide)'!AH$6:AH$105)+SUMIF(Capacity_Resource,$F198,'Critical resources (hide)'!AH$6:AH$105)&gt;0,$E$1=2),0,1)</f>
        <v>1</v>
      </c>
      <c r="V198" s="67">
        <f ca="1">IF(AND(SUMIF(Capacity_Resource,$D198,'Critical resources (hide)'!AI$6:AI$105)+SUMIF(Capacity_Resource,$E198,'Critical resources (hide)'!AI$6:AI$105)+SUMIF(Capacity_Resource,$F198,'Critical resources (hide)'!AI$6:AI$105)&gt;0,$E$1=2),0,1)</f>
        <v>1</v>
      </c>
      <c r="W198" s="67">
        <f ca="1">IF(AND(SUMIF(Capacity_Resource,$D198,'Critical resources (hide)'!AJ$6:AJ$105)+SUMIF(Capacity_Resource,$E198,'Critical resources (hide)'!AJ$6:AJ$105)+SUMIF(Capacity_Resource,$F198,'Critical resources (hide)'!AJ$6:AJ$105)&gt;0,$E$1=2),0,1)</f>
        <v>1</v>
      </c>
      <c r="X198" s="67">
        <f ca="1">IF(AND(SUMIF(Capacity_Resource,$D198,'Critical resources (hide)'!AK$6:AK$105)+SUMIF(Capacity_Resource,$E198,'Critical resources (hide)'!AK$6:AK$105)+SUMIF(Capacity_Resource,$F198,'Critical resources (hide)'!AK$6:AK$105)&gt;0,$E$1=2),0,1)</f>
        <v>1</v>
      </c>
      <c r="Y198" s="67">
        <f ca="1">IF(AND(SUMIF(Capacity_Resource,$D198,'Critical resources (hide)'!AL$6:AL$105)+SUMIF(Capacity_Resource,$E198,'Critical resources (hide)'!AL$6:AL$105)+SUMIF(Capacity_Resource,$F198,'Critical resources (hide)'!AL$6:AL$105)&gt;0,$E$1=2),0,1)</f>
        <v>1</v>
      </c>
      <c r="Z198" s="67">
        <f ca="1">IF(AND(SUMIF(Capacity_Resource,$D198,'Critical resources (hide)'!AM$6:AM$105)+SUMIF(Capacity_Resource,$E198,'Critical resources (hide)'!AM$6:AM$105)+SUMIF(Capacity_Resource,$F198,'Critical resources (hide)'!AM$6:AM$105)&gt;0,$E$1=2),0,1)</f>
        <v>1</v>
      </c>
      <c r="AA198" s="67">
        <f ca="1">IF(AND(SUMIF(Capacity_Resource,$D198,'Critical resources (hide)'!AN$6:AN$105)+SUMIF(Capacity_Resource,$E198,'Critical resources (hide)'!AN$6:AN$105)+SUMIF(Capacity_Resource,$F198,'Critical resources (hide)'!AN$6:AN$105)&gt;0,$E$1=2),0,1)</f>
        <v>1</v>
      </c>
      <c r="AB198" s="67">
        <f ca="1">IF(AND(SUMIF(Capacity_Resource,$D198,'Critical resources (hide)'!AO$6:AO$105)+SUMIF(Capacity_Resource,$E198,'Critical resources (hide)'!AO$6:AO$105)+SUMIF(Capacity_Resource,$F198,'Critical resources (hide)'!AO$6:AO$105)&gt;0,$E$1=2),0,1)</f>
        <v>1</v>
      </c>
      <c r="AC198" s="67">
        <f ca="1">IF(AND(SUMIF(Capacity_Resource,$D198,'Critical resources (hide)'!AP$6:AP$105)+SUMIF(Capacity_Resource,$E198,'Critical resources (hide)'!AP$6:AP$105)+SUMIF(Capacity_Resource,$F198,'Critical resources (hide)'!AP$6:AP$105)&gt;0,$E$1=2),0,1)</f>
        <v>1</v>
      </c>
      <c r="AD198" s="67">
        <f ca="1">IF(AND(SUMIF(Capacity_Resource,$D198,'Critical resources (hide)'!AQ$6:AQ$105)+SUMIF(Capacity_Resource,$E198,'Critical resources (hide)'!AQ$6:AQ$105)+SUMIF(Capacity_Resource,$F198,'Critical resources (hide)'!AQ$6:AQ$105)&gt;0,$E$1=2),0,1)</f>
        <v>1</v>
      </c>
      <c r="AE198" s="67">
        <f ca="1">IF(AND(SUMIF(Capacity_Resource,$D198,'Critical resources (hide)'!AR$6:AR$105)+SUMIF(Capacity_Resource,$E198,'Critical resources (hide)'!AR$6:AR$105)+SUMIF(Capacity_Resource,$F198,'Critical resources (hide)'!AR$6:AR$105)&gt;0,$E$1=2),0,1)</f>
        <v>1</v>
      </c>
      <c r="AF198" s="67">
        <f ca="1">IF(AND(SUMIF(Capacity_Resource,$D198,'Critical resources (hide)'!AS$6:AS$105)+SUMIF(Capacity_Resource,$E198,'Critical resources (hide)'!AS$6:AS$105)+SUMIF(Capacity_Resource,$F198,'Critical resources (hide)'!AS$6:AS$105)&gt;0,$E$1=2),0,1)</f>
        <v>1</v>
      </c>
      <c r="AG198" s="67">
        <f ca="1">IF(AND(SUMIF(Capacity_Resource,$D198,'Critical resources (hide)'!AT$6:AT$105)+SUMIF(Capacity_Resource,$E198,'Critical resources (hide)'!AT$6:AT$105)+SUMIF(Capacity_Resource,$F198,'Critical resources (hide)'!AT$6:AT$105)&gt;0,$E$1=2),0,1)</f>
        <v>1</v>
      </c>
      <c r="AH198" s="67">
        <f ca="1">IF(AND(SUMIF(Capacity_Resource,$D198,'Critical resources (hide)'!AU$6:AU$105)+SUMIF(Capacity_Resource,$E198,'Critical resources (hide)'!AU$6:AU$105)+SUMIF(Capacity_Resource,$F198,'Critical resources (hide)'!AU$6:AU$105)&gt;0,$E$1=2),0,1)</f>
        <v>1</v>
      </c>
      <c r="AI198" s="67">
        <f ca="1">IF(AND(SUMIF(Capacity_Resource,$D198,'Critical resources (hide)'!AV$6:AV$105)+SUMIF(Capacity_Resource,$E198,'Critical resources (hide)'!AV$6:AV$105)+SUMIF(Capacity_Resource,$F198,'Critical resources (hide)'!AV$6:AV$105)&gt;0,$E$1=2),0,1)</f>
        <v>1</v>
      </c>
      <c r="AJ198" s="67">
        <f ca="1">IF(AND(SUMIF(Capacity_Resource,$D198,'Critical resources (hide)'!AW$6:AW$105)+SUMIF(Capacity_Resource,$E198,'Critical resources (hide)'!AW$6:AW$105)+SUMIF(Capacity_Resource,$F198,'Critical resources (hide)'!AW$6:AW$105)&gt;0,$E$1=2),0,1)</f>
        <v>1</v>
      </c>
      <c r="AK198" s="67">
        <f ca="1">IF(AND(SUMIF(Capacity_Resource,$D198,'Critical resources (hide)'!AX$6:AX$105)+SUMIF(Capacity_Resource,$E198,'Critical resources (hide)'!AX$6:AX$105)+SUMIF(Capacity_Resource,$F198,'Critical resources (hide)'!AX$6:AX$105)&gt;0,$E$1=2),0,1)</f>
        <v>1</v>
      </c>
      <c r="AL198" s="67">
        <f ca="1">IF(AND(SUMIF(Capacity_Resource,$D198,'Critical resources (hide)'!AY$6:AY$105)+SUMIF(Capacity_Resource,$E198,'Critical resources (hide)'!AY$6:AY$105)+SUMIF(Capacity_Resource,$F198,'Critical resources (hide)'!AY$6:AY$105)&gt;0,$E$1=2),0,1)</f>
        <v>1</v>
      </c>
      <c r="AM198" s="67">
        <f ca="1">IF(AND(SUMIF(Capacity_Resource,$D198,'Critical resources (hide)'!AZ$6:AZ$105)+SUMIF(Capacity_Resource,$E198,'Critical resources (hide)'!AZ$6:AZ$105)+SUMIF(Capacity_Resource,$F198,'Critical resources (hide)'!AZ$6:AZ$105)&gt;0,$E$1=2),0,1)</f>
        <v>1</v>
      </c>
      <c r="AN198" s="67">
        <f ca="1">IF(AND(SUMIF(Capacity_Resource,$D198,'Critical resources (hide)'!BA$6:BA$105)+SUMIF(Capacity_Resource,$E198,'Critical resources (hide)'!BA$6:BA$105)+SUMIF(Capacity_Resource,$F198,'Critical resources (hide)'!BA$6:BA$105)&gt;0,$E$1=2),0,1)</f>
        <v>1</v>
      </c>
      <c r="AO198" s="67">
        <f ca="1">IF(AND(SUMIF(Capacity_Resource,$D198,'Critical resources (hide)'!BB$6:BB$105)+SUMIF(Capacity_Resource,$E198,'Critical resources (hide)'!BB$6:BB$105)+SUMIF(Capacity_Resource,$F198,'Critical resources (hide)'!BB$6:BB$105)&gt;0,$E$1=2),0,1)</f>
        <v>1</v>
      </c>
      <c r="AP198" s="67">
        <f ca="1">IF(AND(SUMIF(Capacity_Resource,$D198,'Critical resources (hide)'!BC$6:BC$105)+SUMIF(Capacity_Resource,$E198,'Critical resources (hide)'!BC$6:BC$105)+SUMIF(Capacity_Resource,$F198,'Critical resources (hide)'!BC$6:BC$105)&gt;0,$E$1=2),0,1)</f>
        <v>1</v>
      </c>
      <c r="AQ198" s="67">
        <f ca="1">IF(AND(SUMIF(Capacity_Resource,$D198,'Critical resources (hide)'!BD$6:BD$105)+SUMIF(Capacity_Resource,$E198,'Critical resources (hide)'!BD$6:BD$105)+SUMIF(Capacity_Resource,$F198,'Critical resources (hide)'!BD$6:BD$105)&gt;0,$E$1=2),0,1)</f>
        <v>1</v>
      </c>
      <c r="AR198" s="67">
        <f ca="1">IF(AND(SUMIF(Capacity_Resource,$D198,'Critical resources (hide)'!BE$6:BE$105)+SUMIF(Capacity_Resource,$E198,'Critical resources (hide)'!BE$6:BE$105)+SUMIF(Capacity_Resource,$F198,'Critical resources (hide)'!BE$6:BE$105)&gt;0,$E$1=2),0,1)</f>
        <v>1</v>
      </c>
      <c r="AS198" s="67">
        <f ca="1">IF(AND(SUMIF(Capacity_Resource,$D198,'Critical resources (hide)'!BF$6:BF$105)+SUMIF(Capacity_Resource,$E198,'Critical resources (hide)'!BF$6:BF$105)+SUMIF(Capacity_Resource,$F198,'Critical resources (hide)'!BF$6:BF$105)&gt;0,$E$1=2),0,1)</f>
        <v>1</v>
      </c>
      <c r="AT198" s="67">
        <f ca="1">IF(AND(SUMIF(Capacity_Resource,$D198,'Critical resources (hide)'!BG$6:BG$105)+SUMIF(Capacity_Resource,$E198,'Critical resources (hide)'!BG$6:BG$105)+SUMIF(Capacity_Resource,$F198,'Critical resources (hide)'!BG$6:BG$105)&gt;0,$E$1=2),0,1)</f>
        <v>1</v>
      </c>
      <c r="AU198" s="67">
        <f ca="1">IF(AND(SUMIF(Capacity_Resource,$D198,'Critical resources (hide)'!BH$6:BH$105)+SUMIF(Capacity_Resource,$E198,'Critical resources (hide)'!BH$6:BH$105)+SUMIF(Capacity_Resource,$F198,'Critical resources (hide)'!BH$6:BH$105)&gt;0,$E$1=2),0,1)</f>
        <v>1</v>
      </c>
      <c r="AV198" s="67">
        <f ca="1">IF(AND(SUMIF(Capacity_Resource,$D198,'Critical resources (hide)'!BI$6:BI$105)+SUMIF(Capacity_Resource,$E198,'Critical resources (hide)'!BI$6:BI$105)+SUMIF(Capacity_Resource,$F198,'Critical resources (hide)'!BI$6:BI$105)&gt;0,$E$1=2),0,1)</f>
        <v>1</v>
      </c>
      <c r="AW198" s="67">
        <f ca="1">IF(AND(SUMIF(Capacity_Resource,$D198,'Critical resources (hide)'!BJ$6:BJ$105)+SUMIF(Capacity_Resource,$E198,'Critical resources (hide)'!BJ$6:BJ$105)+SUMIF(Capacity_Resource,$F198,'Critical resources (hide)'!BJ$6:BJ$105)&gt;0,$E$1=2),0,1)</f>
        <v>1</v>
      </c>
      <c r="AX198" s="67">
        <f ca="1">IF(AND(SUMIF(Capacity_Resource,$D198,'Critical resources (hide)'!BK$6:BK$105)+SUMIF(Capacity_Resource,$E198,'Critical resources (hide)'!BK$6:BK$105)+SUMIF(Capacity_Resource,$F198,'Critical resources (hide)'!BK$6:BK$105)&gt;0,$E$1=2),0,1)</f>
        <v>1</v>
      </c>
      <c r="AY198" s="67">
        <f ca="1">IF(AND(SUMIF(Capacity_Resource,$D198,'Critical resources (hide)'!BL$6:BL$105)+SUMIF(Capacity_Resource,$E198,'Critical resources (hide)'!BL$6:BL$105)+SUMIF(Capacity_Resource,$F198,'Critical resources (hide)'!BL$6:BL$105)&gt;0,$E$1=2),0,1)</f>
        <v>1</v>
      </c>
      <c r="AZ198" s="67">
        <f ca="1">IF(AND(SUMIF(Capacity_Resource,$D198,'Critical resources (hide)'!BM$6:BM$105)+SUMIF(Capacity_Resource,$E198,'Critical resources (hide)'!BM$6:BM$105)+SUMIF(Capacity_Resource,$F198,'Critical resources (hide)'!BM$6:BM$105)&gt;0,$E$1=2),0,1)</f>
        <v>1</v>
      </c>
      <c r="BA198" s="67">
        <f ca="1">IF(AND(SUMIF(Capacity_Resource,$D198,'Critical resources (hide)'!BN$6:BN$105)+SUMIF(Capacity_Resource,$E198,'Critical resources (hide)'!BN$6:BN$105)+SUMIF(Capacity_Resource,$F198,'Critical resources (hide)'!BN$6:BN$105)&gt;0,$E$1=2),0,1)</f>
        <v>1</v>
      </c>
      <c r="BB198" s="67">
        <f ca="1">IF(AND(SUMIF(Capacity_Resource,$D198,'Critical resources (hide)'!BO$6:BO$105)+SUMIF(Capacity_Resource,$E198,'Critical resources (hide)'!BO$6:BO$105)+SUMIF(Capacity_Resource,$F198,'Critical resources (hide)'!BO$6:BO$105)&gt;0,$E$1=2),0,1)</f>
        <v>1</v>
      </c>
      <c r="BC198" s="67">
        <f ca="1">IF(AND(SUMIF(Capacity_Resource,$D198,'Critical resources (hide)'!BP$6:BP$105)+SUMIF(Capacity_Resource,$E198,'Critical resources (hide)'!BP$6:BP$105)+SUMIF(Capacity_Resource,$F198,'Critical resources (hide)'!BP$6:BP$105)&gt;0,$E$1=2),0,1)</f>
        <v>1</v>
      </c>
      <c r="BD198" s="67">
        <f ca="1">IF(AND(SUMIF(Capacity_Resource,$D198,'Critical resources (hide)'!BQ$6:BQ$105)+SUMIF(Capacity_Resource,$E198,'Critical resources (hide)'!BQ$6:BQ$105)+SUMIF(Capacity_Resource,$F198,'Critical resources (hide)'!BQ$6:BQ$105)&gt;0,$E$1=2),0,1)</f>
        <v>1</v>
      </c>
      <c r="BE198" s="67">
        <f ca="1">IF(AND(SUMIF(Capacity_Resource,$D198,'Critical resources (hide)'!BR$6:BR$105)+SUMIF(Capacity_Resource,$E198,'Critical resources (hide)'!BR$6:BR$105)+SUMIF(Capacity_Resource,$F198,'Critical resources (hide)'!BR$6:BR$105)&gt;0,$E$1=2),0,1)</f>
        <v>1</v>
      </c>
      <c r="BF198" s="67">
        <f ca="1">IF(AND(SUMIF(Capacity_Resource,$D198,'Critical resources (hide)'!BS$6:BS$105)+SUMIF(Capacity_Resource,$E198,'Critical resources (hide)'!BS$6:BS$105)+SUMIF(Capacity_Resource,$F198,'Critical resources (hide)'!BS$6:BS$105)&gt;0,$E$1=2),0,1)</f>
        <v>1</v>
      </c>
      <c r="BG198" s="67">
        <f ca="1">IF(AND(SUMIF(Capacity_Resource,$D198,'Critical resources (hide)'!BT$6:BT$105)+SUMIF(Capacity_Resource,$E198,'Critical resources (hide)'!BT$6:BT$105)+SUMIF(Capacity_Resource,$F198,'Critical resources (hide)'!BT$6:BT$105)&gt;0,$E$1=2),0,1)</f>
        <v>1</v>
      </c>
      <c r="BH198" s="67">
        <f>IF(ROW(A87)&lt;=Capacity!$M$16,IF('Capacity summary'!$C$14="No",SUM(H198:BG198),'Capacity summary'!$E110),0)</f>
        <v>0</v>
      </c>
      <c r="BI198" s="67" t="str">
        <f>IF(BH198&gt;0,IF(BH198&lt;Capacity!Q103,Capacity!R103,Capacity!T103/'Capacity calculation (hide)'!BH198),"")</f>
        <v/>
      </c>
      <c r="BJ198" s="5"/>
      <c r="BK198" s="5">
        <f>IF($BI198&lt;&gt;"",IF('Capacity summary'!$C$14="Yes",IF(COUNTBLANK('Capacity summary'!$H110:$BG110)&lt;52,IF('Capacity summary'!H110&lt;&gt;"",IF(LOWER('Capacity summary'!H110)="x",$BI198*H198,VALUE('Capacity summary'!H110)),0),H198*$BI198),H198*$BI198),0)</f>
        <v>0</v>
      </c>
      <c r="BL198" s="5">
        <f>IF($BI198&lt;&gt;"",IF('Capacity summary'!$C$14="Yes",IF(COUNTBLANK('Capacity summary'!$H110:$BG110)&lt;52,IF('Capacity summary'!I110&lt;&gt;"",IF(LOWER('Capacity summary'!I110)="x",$BI198*I198,VALUE('Capacity summary'!I110)),0),I198*$BI198),I198*$BI198),0)</f>
        <v>0</v>
      </c>
      <c r="BM198" s="5">
        <f>IF($BI198&lt;&gt;"",IF('Capacity summary'!$C$14="Yes",IF(COUNTBLANK('Capacity summary'!$H110:$BG110)&lt;52,IF('Capacity summary'!J110&lt;&gt;"",IF(LOWER('Capacity summary'!J110)="x",$BI198*J198,VALUE('Capacity summary'!J110)),0),J198*$BI198),J198*$BI198),0)</f>
        <v>0</v>
      </c>
      <c r="BN198" s="5">
        <f>IF($BI198&lt;&gt;"",IF('Capacity summary'!$C$14="Yes",IF(COUNTBLANK('Capacity summary'!$H110:$BG110)&lt;52,IF('Capacity summary'!K110&lt;&gt;"",IF(LOWER('Capacity summary'!K110)="x",$BI198*K198,VALUE('Capacity summary'!K110)),0),K198*$BI198),K198*$BI198),0)</f>
        <v>0</v>
      </c>
      <c r="BO198" s="5">
        <f>IF($BI198&lt;&gt;"",IF('Capacity summary'!$C$14="Yes",IF(COUNTBLANK('Capacity summary'!$H110:$BG110)&lt;52,IF('Capacity summary'!L110&lt;&gt;"",IF(LOWER('Capacity summary'!L110)="x",$BI198*L198,VALUE('Capacity summary'!L110)),0),L198*$BI198),L198*$BI198),0)</f>
        <v>0</v>
      </c>
      <c r="BP198" s="5">
        <f>IF($BI198&lt;&gt;"",IF('Capacity summary'!$C$14="Yes",IF(COUNTBLANK('Capacity summary'!$H110:$BG110)&lt;52,IF('Capacity summary'!M110&lt;&gt;"",IF(LOWER('Capacity summary'!M110)="x",$BI198*M198,VALUE('Capacity summary'!M110)),0),M198*$BI198),M198*$BI198),0)</f>
        <v>0</v>
      </c>
      <c r="BQ198" s="5">
        <f>IF($BI198&lt;&gt;"",IF('Capacity summary'!$C$14="Yes",IF(COUNTBLANK('Capacity summary'!$H110:$BG110)&lt;52,IF('Capacity summary'!N110&lt;&gt;"",IF(LOWER('Capacity summary'!N110)="x",$BI198*N198,VALUE('Capacity summary'!N110)),0),N198*$BI198),N198*$BI198),0)</f>
        <v>0</v>
      </c>
      <c r="BR198" s="5">
        <f>IF($BI198&lt;&gt;"",IF('Capacity summary'!$C$14="Yes",IF(COUNTBLANK('Capacity summary'!$H110:$BG110)&lt;52,IF('Capacity summary'!O110&lt;&gt;"",IF(LOWER('Capacity summary'!O110)="x",$BI198*O198,VALUE('Capacity summary'!O110)),0),O198*$BI198),O198*$BI198),0)</f>
        <v>0</v>
      </c>
      <c r="BS198" s="5">
        <f>IF($BI198&lt;&gt;"",IF('Capacity summary'!$C$14="Yes",IF(COUNTBLANK('Capacity summary'!$H110:$BG110)&lt;52,IF('Capacity summary'!P110&lt;&gt;"",IF(LOWER('Capacity summary'!P110)="x",$BI198*P198,VALUE('Capacity summary'!P110)),0),P198*$BI198),P198*$BI198),0)</f>
        <v>0</v>
      </c>
      <c r="BT198" s="5">
        <f>IF($BI198&lt;&gt;"",IF('Capacity summary'!$C$14="Yes",IF(COUNTBLANK('Capacity summary'!$H110:$BG110)&lt;52,IF('Capacity summary'!Q110&lt;&gt;"",IF(LOWER('Capacity summary'!Q110)="x",$BI198*Q198,VALUE('Capacity summary'!Q110)),0),Q198*$BI198),Q198*$BI198),0)</f>
        <v>0</v>
      </c>
      <c r="BU198" s="5">
        <f>IF($BI198&lt;&gt;"",IF('Capacity summary'!$C$14="Yes",IF(COUNTBLANK('Capacity summary'!$H110:$BG110)&lt;52,IF('Capacity summary'!R110&lt;&gt;"",IF(LOWER('Capacity summary'!R110)="x",$BI198*R198,VALUE('Capacity summary'!R110)),0),R198*$BI198),R198*$BI198),0)</f>
        <v>0</v>
      </c>
      <c r="BV198" s="5">
        <f>IF($BI198&lt;&gt;"",IF('Capacity summary'!$C$14="Yes",IF(COUNTBLANK('Capacity summary'!$H110:$BG110)&lt;52,IF('Capacity summary'!S110&lt;&gt;"",IF(LOWER('Capacity summary'!S110)="x",$BI198*S198,VALUE('Capacity summary'!S110)),0),S198*$BI198),S198*$BI198),0)</f>
        <v>0</v>
      </c>
      <c r="BW198" s="5">
        <f>IF($BI198&lt;&gt;"",IF('Capacity summary'!$C$14="Yes",IF(COUNTBLANK('Capacity summary'!$H110:$BG110)&lt;52,IF('Capacity summary'!T110&lt;&gt;"",IF(LOWER('Capacity summary'!T110)="x",$BI198*T198,VALUE('Capacity summary'!T110)),0),T198*$BI198),T198*$BI198),0)</f>
        <v>0</v>
      </c>
      <c r="BX198" s="5">
        <f>IF($BI198&lt;&gt;"",IF('Capacity summary'!$C$14="Yes",IF(COUNTBLANK('Capacity summary'!$H110:$BG110)&lt;52,IF('Capacity summary'!U110&lt;&gt;"",IF(LOWER('Capacity summary'!U110)="x",$BI198*U198,VALUE('Capacity summary'!U110)),0),U198*$BI198),U198*$BI198),0)</f>
        <v>0</v>
      </c>
      <c r="BY198" s="5">
        <f>IF($BI198&lt;&gt;"",IF('Capacity summary'!$C$14="Yes",IF(COUNTBLANK('Capacity summary'!$H110:$BG110)&lt;52,IF('Capacity summary'!V110&lt;&gt;"",IF(LOWER('Capacity summary'!V110)="x",$BI198*V198,VALUE('Capacity summary'!V110)),0),V198*$BI198),V198*$BI198),0)</f>
        <v>0</v>
      </c>
      <c r="BZ198" s="5">
        <f>IF($BI198&lt;&gt;"",IF('Capacity summary'!$C$14="Yes",IF(COUNTBLANK('Capacity summary'!$H110:$BG110)&lt;52,IF('Capacity summary'!W110&lt;&gt;"",IF(LOWER('Capacity summary'!W110)="x",$BI198*W198,VALUE('Capacity summary'!W110)),0),W198*$BI198),W198*$BI198),0)</f>
        <v>0</v>
      </c>
      <c r="CA198" s="5">
        <f>IF($BI198&lt;&gt;"",IF('Capacity summary'!$C$14="Yes",IF(COUNTBLANK('Capacity summary'!$H110:$BG110)&lt;52,IF('Capacity summary'!X110&lt;&gt;"",IF(LOWER('Capacity summary'!X110)="x",$BI198*X198,VALUE('Capacity summary'!X110)),0),X198*$BI198),X198*$BI198),0)</f>
        <v>0</v>
      </c>
      <c r="CB198" s="5">
        <f>IF($BI198&lt;&gt;"",IF('Capacity summary'!$C$14="Yes",IF(COUNTBLANK('Capacity summary'!$H110:$BG110)&lt;52,IF('Capacity summary'!Y110&lt;&gt;"",IF(LOWER('Capacity summary'!Y110)="x",$BI198*Y198,VALUE('Capacity summary'!Y110)),0),Y198*$BI198),Y198*$BI198),0)</f>
        <v>0</v>
      </c>
      <c r="CC198" s="5">
        <f>IF($BI198&lt;&gt;"",IF('Capacity summary'!$C$14="Yes",IF(COUNTBLANK('Capacity summary'!$H110:$BG110)&lt;52,IF('Capacity summary'!Z110&lt;&gt;"",IF(LOWER('Capacity summary'!Z110)="x",$BI198*Z198,VALUE('Capacity summary'!Z110)),0),Z198*$BI198),Z198*$BI198),0)</f>
        <v>0</v>
      </c>
      <c r="CD198" s="5">
        <f>IF($BI198&lt;&gt;"",IF('Capacity summary'!$C$14="Yes",IF(COUNTBLANK('Capacity summary'!$H110:$BG110)&lt;52,IF('Capacity summary'!AA110&lt;&gt;"",IF(LOWER('Capacity summary'!AA110)="x",$BI198*AA198,VALUE('Capacity summary'!AA110)),0),AA198*$BI198),AA198*$BI198),0)</f>
        <v>0</v>
      </c>
      <c r="CE198" s="5">
        <f>IF($BI198&lt;&gt;"",IF('Capacity summary'!$C$14="Yes",IF(COUNTBLANK('Capacity summary'!$H110:$BG110)&lt;52,IF('Capacity summary'!AB110&lt;&gt;"",IF(LOWER('Capacity summary'!AB110)="x",$BI198*AB198,VALUE('Capacity summary'!AB110)),0),AB198*$BI198),AB198*$BI198),0)</f>
        <v>0</v>
      </c>
      <c r="CF198" s="5">
        <f>IF($BI198&lt;&gt;"",IF('Capacity summary'!$C$14="Yes",IF(COUNTBLANK('Capacity summary'!$H110:$BG110)&lt;52,IF('Capacity summary'!AC110&lt;&gt;"",IF(LOWER('Capacity summary'!AC110)="x",$BI198*AC198,VALUE('Capacity summary'!AC110)),0),AC198*$BI198),AC198*$BI198),0)</f>
        <v>0</v>
      </c>
      <c r="CG198" s="5">
        <f>IF($BI198&lt;&gt;"",IF('Capacity summary'!$C$14="Yes",IF(COUNTBLANK('Capacity summary'!$H110:$BG110)&lt;52,IF('Capacity summary'!AD110&lt;&gt;"",IF(LOWER('Capacity summary'!AD110)="x",$BI198*AD198,VALUE('Capacity summary'!AD110)),0),AD198*$BI198),AD198*$BI198),0)</f>
        <v>0</v>
      </c>
      <c r="CH198" s="5">
        <f>IF($BI198&lt;&gt;"",IF('Capacity summary'!$C$14="Yes",IF(COUNTBLANK('Capacity summary'!$H110:$BG110)&lt;52,IF('Capacity summary'!AE110&lt;&gt;"",IF(LOWER('Capacity summary'!AE110)="x",$BI198*AE198,VALUE('Capacity summary'!AE110)),0),AE198*$BI198),AE198*$BI198),0)</f>
        <v>0</v>
      </c>
      <c r="CI198" s="5">
        <f>IF($BI198&lt;&gt;"",IF('Capacity summary'!$C$14="Yes",IF(COUNTBLANK('Capacity summary'!$H110:$BG110)&lt;52,IF('Capacity summary'!AF110&lt;&gt;"",IF(LOWER('Capacity summary'!AF110)="x",$BI198*AF198,VALUE('Capacity summary'!AF110)),0),AF198*$BI198),AF198*$BI198),0)</f>
        <v>0</v>
      </c>
      <c r="CJ198" s="5">
        <f>IF($BI198&lt;&gt;"",IF('Capacity summary'!$C$14="Yes",IF(COUNTBLANK('Capacity summary'!$H110:$BG110)&lt;52,IF('Capacity summary'!AG110&lt;&gt;"",IF(LOWER('Capacity summary'!AG110)="x",$BI198*AG198,VALUE('Capacity summary'!AG110)),0),AG198*$BI198),AG198*$BI198),0)</f>
        <v>0</v>
      </c>
      <c r="CK198" s="5">
        <f>IF($BI198&lt;&gt;"",IF('Capacity summary'!$C$14="Yes",IF(COUNTBLANK('Capacity summary'!$H110:$BG110)&lt;52,IF('Capacity summary'!AH110&lt;&gt;"",IF(LOWER('Capacity summary'!AH110)="x",$BI198*AH198,VALUE('Capacity summary'!AH110)),0),AH198*$BI198),AH198*$BI198),0)</f>
        <v>0</v>
      </c>
      <c r="CL198" s="5">
        <f>IF($BI198&lt;&gt;"",IF('Capacity summary'!$C$14="Yes",IF(COUNTBLANK('Capacity summary'!$H110:$BG110)&lt;52,IF('Capacity summary'!AI110&lt;&gt;"",IF(LOWER('Capacity summary'!AI110)="x",$BI198*AI198,VALUE('Capacity summary'!AI110)),0),AI198*$BI198),AI198*$BI198),0)</f>
        <v>0</v>
      </c>
      <c r="CM198" s="5">
        <f>IF($BI198&lt;&gt;"",IF('Capacity summary'!$C$14="Yes",IF(COUNTBLANK('Capacity summary'!$H110:$BG110)&lt;52,IF('Capacity summary'!AJ110&lt;&gt;"",IF(LOWER('Capacity summary'!AJ110)="x",$BI198*AJ198,VALUE('Capacity summary'!AJ110)),0),AJ198*$BI198),AJ198*$BI198),0)</f>
        <v>0</v>
      </c>
      <c r="CN198" s="5">
        <f>IF($BI198&lt;&gt;"",IF('Capacity summary'!$C$14="Yes",IF(COUNTBLANK('Capacity summary'!$H110:$BG110)&lt;52,IF('Capacity summary'!AK110&lt;&gt;"",IF(LOWER('Capacity summary'!AK110)="x",$BI198*AK198,VALUE('Capacity summary'!AK110)),0),AK198*$BI198),AK198*$BI198),0)</f>
        <v>0</v>
      </c>
      <c r="CO198" s="5">
        <f>IF($BI198&lt;&gt;"",IF('Capacity summary'!$C$14="Yes",IF(COUNTBLANK('Capacity summary'!$H110:$BG110)&lt;52,IF('Capacity summary'!AL110&lt;&gt;"",IF(LOWER('Capacity summary'!AL110)="x",$BI198*AL198,VALUE('Capacity summary'!AL110)),0),AL198*$BI198),AL198*$BI198),0)</f>
        <v>0</v>
      </c>
      <c r="CP198" s="5">
        <f>IF($BI198&lt;&gt;"",IF('Capacity summary'!$C$14="Yes",IF(COUNTBLANK('Capacity summary'!$H110:$BG110)&lt;52,IF('Capacity summary'!AM110&lt;&gt;"",IF(LOWER('Capacity summary'!AM110)="x",$BI198*AM198,VALUE('Capacity summary'!AM110)),0),AM198*$BI198),AM198*$BI198),0)</f>
        <v>0</v>
      </c>
      <c r="CQ198" s="5">
        <f>IF($BI198&lt;&gt;"",IF('Capacity summary'!$C$14="Yes",IF(COUNTBLANK('Capacity summary'!$H110:$BG110)&lt;52,IF('Capacity summary'!AN110&lt;&gt;"",IF(LOWER('Capacity summary'!AN110)="x",$BI198*AN198,VALUE('Capacity summary'!AN110)),0),AN198*$BI198),AN198*$BI198),0)</f>
        <v>0</v>
      </c>
      <c r="CR198" s="5">
        <f>IF($BI198&lt;&gt;"",IF('Capacity summary'!$C$14="Yes",IF(COUNTBLANK('Capacity summary'!$H110:$BG110)&lt;52,IF('Capacity summary'!AO110&lt;&gt;"",IF(LOWER('Capacity summary'!AO110)="x",$BI198*AO198,VALUE('Capacity summary'!AO110)),0),AO198*$BI198),AO198*$BI198),0)</f>
        <v>0</v>
      </c>
      <c r="CS198" s="5">
        <f>IF($BI198&lt;&gt;"",IF('Capacity summary'!$C$14="Yes",IF(COUNTBLANK('Capacity summary'!$H110:$BG110)&lt;52,IF('Capacity summary'!AP110&lt;&gt;"",IF(LOWER('Capacity summary'!AP110)="x",$BI198*AP198,VALUE('Capacity summary'!AP110)),0),AP198*$BI198),AP198*$BI198),0)</f>
        <v>0</v>
      </c>
      <c r="CT198" s="5">
        <f>IF($BI198&lt;&gt;"",IF('Capacity summary'!$C$14="Yes",IF(COUNTBLANK('Capacity summary'!$H110:$BG110)&lt;52,IF('Capacity summary'!AQ110&lt;&gt;"",IF(LOWER('Capacity summary'!AQ110)="x",$BI198*AQ198,VALUE('Capacity summary'!AQ110)),0),AQ198*$BI198),AQ198*$BI198),0)</f>
        <v>0</v>
      </c>
      <c r="CU198" s="5">
        <f>IF($BI198&lt;&gt;"",IF('Capacity summary'!$C$14="Yes",IF(COUNTBLANK('Capacity summary'!$H110:$BG110)&lt;52,IF('Capacity summary'!AR110&lt;&gt;"",IF(LOWER('Capacity summary'!AR110)="x",$BI198*AR198,VALUE('Capacity summary'!AR110)),0),AR198*$BI198),AR198*$BI198),0)</f>
        <v>0</v>
      </c>
      <c r="CV198" s="5">
        <f>IF($BI198&lt;&gt;"",IF('Capacity summary'!$C$14="Yes",IF(COUNTBLANK('Capacity summary'!$H110:$BG110)&lt;52,IF('Capacity summary'!AS110&lt;&gt;"",IF(LOWER('Capacity summary'!AS110)="x",$BI198*AS198,VALUE('Capacity summary'!AS110)),0),AS198*$BI198),AS198*$BI198),0)</f>
        <v>0</v>
      </c>
      <c r="CW198" s="5">
        <f>IF($BI198&lt;&gt;"",IF('Capacity summary'!$C$14="Yes",IF(COUNTBLANK('Capacity summary'!$H110:$BG110)&lt;52,IF('Capacity summary'!AT110&lt;&gt;"",IF(LOWER('Capacity summary'!AT110)="x",$BI198*AT198,VALUE('Capacity summary'!AT110)),0),AT198*$BI198),AT198*$BI198),0)</f>
        <v>0</v>
      </c>
      <c r="CX198" s="5">
        <f>IF($BI198&lt;&gt;"",IF('Capacity summary'!$C$14="Yes",IF(COUNTBLANK('Capacity summary'!$H110:$BG110)&lt;52,IF('Capacity summary'!AU110&lt;&gt;"",IF(LOWER('Capacity summary'!AU110)="x",$BI198*AU198,VALUE('Capacity summary'!AU110)),0),AU198*$BI198),AU198*$BI198),0)</f>
        <v>0</v>
      </c>
      <c r="CY198" s="5">
        <f>IF($BI198&lt;&gt;"",IF('Capacity summary'!$C$14="Yes",IF(COUNTBLANK('Capacity summary'!$H110:$BG110)&lt;52,IF('Capacity summary'!AV110&lt;&gt;"",IF(LOWER('Capacity summary'!AV110)="x",$BI198*AV198,VALUE('Capacity summary'!AV110)),0),AV198*$BI198),AV198*$BI198),0)</f>
        <v>0</v>
      </c>
      <c r="CZ198" s="5">
        <f>IF($BI198&lt;&gt;"",IF('Capacity summary'!$C$14="Yes",IF(COUNTBLANK('Capacity summary'!$H110:$BG110)&lt;52,IF('Capacity summary'!AW110&lt;&gt;"",IF(LOWER('Capacity summary'!AW110)="x",$BI198*AW198,VALUE('Capacity summary'!AW110)),0),AW198*$BI198),AW198*$BI198),0)</f>
        <v>0</v>
      </c>
      <c r="DA198" s="5">
        <f>IF($BI198&lt;&gt;"",IF('Capacity summary'!$C$14="Yes",IF(COUNTBLANK('Capacity summary'!$H110:$BG110)&lt;52,IF('Capacity summary'!AX110&lt;&gt;"",IF(LOWER('Capacity summary'!AX110)="x",$BI198*AX198,VALUE('Capacity summary'!AX110)),0),AX198*$BI198),AX198*$BI198),0)</f>
        <v>0</v>
      </c>
      <c r="DB198" s="5">
        <f>IF($BI198&lt;&gt;"",IF('Capacity summary'!$C$14="Yes",IF(COUNTBLANK('Capacity summary'!$H110:$BG110)&lt;52,IF('Capacity summary'!AY110&lt;&gt;"",IF(LOWER('Capacity summary'!AY110)="x",$BI198*AY198,VALUE('Capacity summary'!AY110)),0),AY198*$BI198),AY198*$BI198),0)</f>
        <v>0</v>
      </c>
      <c r="DC198" s="5">
        <f>IF($BI198&lt;&gt;"",IF('Capacity summary'!$C$14="Yes",IF(COUNTBLANK('Capacity summary'!$H110:$BG110)&lt;52,IF('Capacity summary'!AZ110&lt;&gt;"",IF(LOWER('Capacity summary'!AZ110)="x",$BI198*AZ198,VALUE('Capacity summary'!AZ110)),0),AZ198*$BI198),AZ198*$BI198),0)</f>
        <v>0</v>
      </c>
      <c r="DD198" s="5">
        <f>IF($BI198&lt;&gt;"",IF('Capacity summary'!$C$14="Yes",IF(COUNTBLANK('Capacity summary'!$H110:$BG110)&lt;52,IF('Capacity summary'!BA110&lt;&gt;"",IF(LOWER('Capacity summary'!BA110)="x",$BI198*BA198,VALUE('Capacity summary'!BA110)),0),BA198*$BI198),BA198*$BI198),0)</f>
        <v>0</v>
      </c>
      <c r="DE198" s="5">
        <f>IF($BI198&lt;&gt;"",IF('Capacity summary'!$C$14="Yes",IF(COUNTBLANK('Capacity summary'!$H110:$BG110)&lt;52,IF('Capacity summary'!BB110&lt;&gt;"",IF(LOWER('Capacity summary'!BB110)="x",$BI198*BB198,VALUE('Capacity summary'!BB110)),0),BB198*$BI198),BB198*$BI198),0)</f>
        <v>0</v>
      </c>
      <c r="DF198" s="5">
        <f>IF($BI198&lt;&gt;"",IF('Capacity summary'!$C$14="Yes",IF(COUNTBLANK('Capacity summary'!$H110:$BG110)&lt;52,IF('Capacity summary'!BC110&lt;&gt;"",IF(LOWER('Capacity summary'!BC110)="x",$BI198*BC198,VALUE('Capacity summary'!BC110)),0),BC198*$BI198),BC198*$BI198),0)</f>
        <v>0</v>
      </c>
      <c r="DG198" s="5">
        <f>IF($BI198&lt;&gt;"",IF('Capacity summary'!$C$14="Yes",IF(COUNTBLANK('Capacity summary'!$H110:$BG110)&lt;52,IF('Capacity summary'!BD110&lt;&gt;"",IF(LOWER('Capacity summary'!BD110)="x",$BI198*BD198,VALUE('Capacity summary'!BD110)),0),BD198*$BI198),BD198*$BI198),0)</f>
        <v>0</v>
      </c>
      <c r="DH198" s="5">
        <f>IF($BI198&lt;&gt;"",IF('Capacity summary'!$C$14="Yes",IF(COUNTBLANK('Capacity summary'!$H110:$BG110)&lt;52,IF('Capacity summary'!BE110&lt;&gt;"",IF(LOWER('Capacity summary'!BE110)="x",$BI198*BE198,VALUE('Capacity summary'!BE110)),0),BE198*$BI198),BE198*$BI198),0)</f>
        <v>0</v>
      </c>
      <c r="DI198" s="5">
        <f>IF($BI198&lt;&gt;"",IF('Capacity summary'!$C$14="Yes",IF(COUNTBLANK('Capacity summary'!$H110:$BG110)&lt;52,IF('Capacity summary'!BF110&lt;&gt;"",IF(LOWER('Capacity summary'!BF110)="x",$BI198*BF198,VALUE('Capacity summary'!BF110)),0),BF198*$BI198),BF198*$BI198),0)</f>
        <v>0</v>
      </c>
      <c r="DJ198" s="5">
        <f>IF($BI198&lt;&gt;"",IF('Capacity summary'!$C$14="Yes",IF(COUNTBLANK('Capacity summary'!$H110:$BG110)&lt;52,IF('Capacity summary'!BG110&lt;&gt;"",IF(LOWER('Capacity summary'!BG110)="x",$BI198*BG198,VALUE('Capacity summary'!BG110)),0),BG198*$BI198),BG198*$BI198),0)</f>
        <v>0</v>
      </c>
      <c r="DK198" s="5">
        <f t="shared" ref="DK198" si="92">SUM(DK199:DK298)</f>
        <v>0</v>
      </c>
    </row>
    <row r="199" spans="3:115" x14ac:dyDescent="0.25">
      <c r="C199" s="67" t="str">
        <f>ROW(A88)&amp;". "&amp;Capacity!N104</f>
        <v xml:space="preserve">88. </v>
      </c>
      <c r="D199" s="67">
        <f>'Capacity setup'!C205</f>
        <v>0</v>
      </c>
      <c r="E199" s="67">
        <f>'Capacity setup'!D205</f>
        <v>0</v>
      </c>
      <c r="F199" s="67">
        <f>'Capacity setup'!E205</f>
        <v>0</v>
      </c>
      <c r="H199" s="67">
        <f ca="1">IF(AND(SUMIF(Capacity_Resource,$D199,'Critical resources (hide)'!U$6:U$105)+SUMIF(Capacity_Resource,$E199,'Critical resources (hide)'!U$6:U$105)+SUMIF(Capacity_Resource,$F199,'Critical resources (hide)'!U$6:U$105)&gt;0,$E$1=2),0,1)</f>
        <v>1</v>
      </c>
      <c r="I199" s="67">
        <f ca="1">IF(AND(SUMIF(Capacity_Resource,$D199,'Critical resources (hide)'!V$6:V$105)+SUMIF(Capacity_Resource,$E199,'Critical resources (hide)'!V$6:V$105)+SUMIF(Capacity_Resource,$F199,'Critical resources (hide)'!V$6:V$105)&gt;0,$E$1=2),0,1)</f>
        <v>1</v>
      </c>
      <c r="J199" s="67">
        <f ca="1">IF(AND(SUMIF(Capacity_Resource,$D199,'Critical resources (hide)'!W$6:W$105)+SUMIF(Capacity_Resource,$E199,'Critical resources (hide)'!W$6:W$105)+SUMIF(Capacity_Resource,$F199,'Critical resources (hide)'!W$6:W$105)&gt;0,$E$1=2),0,1)</f>
        <v>1</v>
      </c>
      <c r="K199" s="67">
        <f ca="1">IF(AND(SUMIF(Capacity_Resource,$D199,'Critical resources (hide)'!X$6:X$105)+SUMIF(Capacity_Resource,$E199,'Critical resources (hide)'!X$6:X$105)+SUMIF(Capacity_Resource,$F199,'Critical resources (hide)'!X$6:X$105)&gt;0,$E$1=2),0,1)</f>
        <v>1</v>
      </c>
      <c r="L199" s="67">
        <f ca="1">IF(AND(SUMIF(Capacity_Resource,$D199,'Critical resources (hide)'!Y$6:Y$105)+SUMIF(Capacity_Resource,$E199,'Critical resources (hide)'!Y$6:Y$105)+SUMIF(Capacity_Resource,$F199,'Critical resources (hide)'!Y$6:Y$105)&gt;0,$E$1=2),0,1)</f>
        <v>1</v>
      </c>
      <c r="M199" s="67">
        <f ca="1">IF(AND(SUMIF(Capacity_Resource,$D199,'Critical resources (hide)'!Z$6:Z$105)+SUMIF(Capacity_Resource,$E199,'Critical resources (hide)'!Z$6:Z$105)+SUMIF(Capacity_Resource,$F199,'Critical resources (hide)'!Z$6:Z$105)&gt;0,$E$1=2),0,1)</f>
        <v>1</v>
      </c>
      <c r="N199" s="67">
        <f ca="1">IF(AND(SUMIF(Capacity_Resource,$D199,'Critical resources (hide)'!AA$6:AA$105)+SUMIF(Capacity_Resource,$E199,'Critical resources (hide)'!AA$6:AA$105)+SUMIF(Capacity_Resource,$F199,'Critical resources (hide)'!AA$6:AA$105)&gt;0,$E$1=2),0,1)</f>
        <v>1</v>
      </c>
      <c r="O199" s="67">
        <f ca="1">IF(AND(SUMIF(Capacity_Resource,$D199,'Critical resources (hide)'!AB$6:AB$105)+SUMIF(Capacity_Resource,$E199,'Critical resources (hide)'!AB$6:AB$105)+SUMIF(Capacity_Resource,$F199,'Critical resources (hide)'!AB$6:AB$105)&gt;0,$E$1=2),0,1)</f>
        <v>1</v>
      </c>
      <c r="P199" s="67">
        <f ca="1">IF(AND(SUMIF(Capacity_Resource,$D199,'Critical resources (hide)'!AC$6:AC$105)+SUMIF(Capacity_Resource,$E199,'Critical resources (hide)'!AC$6:AC$105)+SUMIF(Capacity_Resource,$F199,'Critical resources (hide)'!AC$6:AC$105)&gt;0,$E$1=2),0,1)</f>
        <v>1</v>
      </c>
      <c r="Q199" s="67">
        <f ca="1">IF(AND(SUMIF(Capacity_Resource,$D199,'Critical resources (hide)'!AD$6:AD$105)+SUMIF(Capacity_Resource,$E199,'Critical resources (hide)'!AD$6:AD$105)+SUMIF(Capacity_Resource,$F199,'Critical resources (hide)'!AD$6:AD$105)&gt;0,$E$1=2),0,1)</f>
        <v>1</v>
      </c>
      <c r="R199" s="67">
        <f ca="1">IF(AND(SUMIF(Capacity_Resource,$D199,'Critical resources (hide)'!AE$6:AE$105)+SUMIF(Capacity_Resource,$E199,'Critical resources (hide)'!AE$6:AE$105)+SUMIF(Capacity_Resource,$F199,'Critical resources (hide)'!AE$6:AE$105)&gt;0,$E$1=2),0,1)</f>
        <v>1</v>
      </c>
      <c r="S199" s="67">
        <f ca="1">IF(AND(SUMIF(Capacity_Resource,$D199,'Critical resources (hide)'!AF$6:AF$105)+SUMIF(Capacity_Resource,$E199,'Critical resources (hide)'!AF$6:AF$105)+SUMIF(Capacity_Resource,$F199,'Critical resources (hide)'!AF$6:AF$105)&gt;0,$E$1=2),0,1)</f>
        <v>1</v>
      </c>
      <c r="T199" s="67">
        <f ca="1">IF(AND(SUMIF(Capacity_Resource,$D199,'Critical resources (hide)'!AG$6:AG$105)+SUMIF(Capacity_Resource,$E199,'Critical resources (hide)'!AG$6:AG$105)+SUMIF(Capacity_Resource,$F199,'Critical resources (hide)'!AG$6:AG$105)&gt;0,$E$1=2),0,1)</f>
        <v>1</v>
      </c>
      <c r="U199" s="67">
        <f ca="1">IF(AND(SUMIF(Capacity_Resource,$D199,'Critical resources (hide)'!AH$6:AH$105)+SUMIF(Capacity_Resource,$E199,'Critical resources (hide)'!AH$6:AH$105)+SUMIF(Capacity_Resource,$F199,'Critical resources (hide)'!AH$6:AH$105)&gt;0,$E$1=2),0,1)</f>
        <v>1</v>
      </c>
      <c r="V199" s="67">
        <f ca="1">IF(AND(SUMIF(Capacity_Resource,$D199,'Critical resources (hide)'!AI$6:AI$105)+SUMIF(Capacity_Resource,$E199,'Critical resources (hide)'!AI$6:AI$105)+SUMIF(Capacity_Resource,$F199,'Critical resources (hide)'!AI$6:AI$105)&gt;0,$E$1=2),0,1)</f>
        <v>1</v>
      </c>
      <c r="W199" s="67">
        <f ca="1">IF(AND(SUMIF(Capacity_Resource,$D199,'Critical resources (hide)'!AJ$6:AJ$105)+SUMIF(Capacity_Resource,$E199,'Critical resources (hide)'!AJ$6:AJ$105)+SUMIF(Capacity_Resource,$F199,'Critical resources (hide)'!AJ$6:AJ$105)&gt;0,$E$1=2),0,1)</f>
        <v>1</v>
      </c>
      <c r="X199" s="67">
        <f ca="1">IF(AND(SUMIF(Capacity_Resource,$D199,'Critical resources (hide)'!AK$6:AK$105)+SUMIF(Capacity_Resource,$E199,'Critical resources (hide)'!AK$6:AK$105)+SUMIF(Capacity_Resource,$F199,'Critical resources (hide)'!AK$6:AK$105)&gt;0,$E$1=2),0,1)</f>
        <v>1</v>
      </c>
      <c r="Y199" s="67">
        <f ca="1">IF(AND(SUMIF(Capacity_Resource,$D199,'Critical resources (hide)'!AL$6:AL$105)+SUMIF(Capacity_Resource,$E199,'Critical resources (hide)'!AL$6:AL$105)+SUMIF(Capacity_Resource,$F199,'Critical resources (hide)'!AL$6:AL$105)&gt;0,$E$1=2),0,1)</f>
        <v>1</v>
      </c>
      <c r="Z199" s="67">
        <f ca="1">IF(AND(SUMIF(Capacity_Resource,$D199,'Critical resources (hide)'!AM$6:AM$105)+SUMIF(Capacity_Resource,$E199,'Critical resources (hide)'!AM$6:AM$105)+SUMIF(Capacity_Resource,$F199,'Critical resources (hide)'!AM$6:AM$105)&gt;0,$E$1=2),0,1)</f>
        <v>1</v>
      </c>
      <c r="AA199" s="67">
        <f ca="1">IF(AND(SUMIF(Capacity_Resource,$D199,'Critical resources (hide)'!AN$6:AN$105)+SUMIF(Capacity_Resource,$E199,'Critical resources (hide)'!AN$6:AN$105)+SUMIF(Capacity_Resource,$F199,'Critical resources (hide)'!AN$6:AN$105)&gt;0,$E$1=2),0,1)</f>
        <v>1</v>
      </c>
      <c r="AB199" s="67">
        <f ca="1">IF(AND(SUMIF(Capacity_Resource,$D199,'Critical resources (hide)'!AO$6:AO$105)+SUMIF(Capacity_Resource,$E199,'Critical resources (hide)'!AO$6:AO$105)+SUMIF(Capacity_Resource,$F199,'Critical resources (hide)'!AO$6:AO$105)&gt;0,$E$1=2),0,1)</f>
        <v>1</v>
      </c>
      <c r="AC199" s="67">
        <f ca="1">IF(AND(SUMIF(Capacity_Resource,$D199,'Critical resources (hide)'!AP$6:AP$105)+SUMIF(Capacity_Resource,$E199,'Critical resources (hide)'!AP$6:AP$105)+SUMIF(Capacity_Resource,$F199,'Critical resources (hide)'!AP$6:AP$105)&gt;0,$E$1=2),0,1)</f>
        <v>1</v>
      </c>
      <c r="AD199" s="67">
        <f ca="1">IF(AND(SUMIF(Capacity_Resource,$D199,'Critical resources (hide)'!AQ$6:AQ$105)+SUMIF(Capacity_Resource,$E199,'Critical resources (hide)'!AQ$6:AQ$105)+SUMIF(Capacity_Resource,$F199,'Critical resources (hide)'!AQ$6:AQ$105)&gt;0,$E$1=2),0,1)</f>
        <v>1</v>
      </c>
      <c r="AE199" s="67">
        <f ca="1">IF(AND(SUMIF(Capacity_Resource,$D199,'Critical resources (hide)'!AR$6:AR$105)+SUMIF(Capacity_Resource,$E199,'Critical resources (hide)'!AR$6:AR$105)+SUMIF(Capacity_Resource,$F199,'Critical resources (hide)'!AR$6:AR$105)&gt;0,$E$1=2),0,1)</f>
        <v>1</v>
      </c>
      <c r="AF199" s="67">
        <f ca="1">IF(AND(SUMIF(Capacity_Resource,$D199,'Critical resources (hide)'!AS$6:AS$105)+SUMIF(Capacity_Resource,$E199,'Critical resources (hide)'!AS$6:AS$105)+SUMIF(Capacity_Resource,$F199,'Critical resources (hide)'!AS$6:AS$105)&gt;0,$E$1=2),0,1)</f>
        <v>1</v>
      </c>
      <c r="AG199" s="67">
        <f ca="1">IF(AND(SUMIF(Capacity_Resource,$D199,'Critical resources (hide)'!AT$6:AT$105)+SUMIF(Capacity_Resource,$E199,'Critical resources (hide)'!AT$6:AT$105)+SUMIF(Capacity_Resource,$F199,'Critical resources (hide)'!AT$6:AT$105)&gt;0,$E$1=2),0,1)</f>
        <v>1</v>
      </c>
      <c r="AH199" s="67">
        <f ca="1">IF(AND(SUMIF(Capacity_Resource,$D199,'Critical resources (hide)'!AU$6:AU$105)+SUMIF(Capacity_Resource,$E199,'Critical resources (hide)'!AU$6:AU$105)+SUMIF(Capacity_Resource,$F199,'Critical resources (hide)'!AU$6:AU$105)&gt;0,$E$1=2),0,1)</f>
        <v>1</v>
      </c>
      <c r="AI199" s="67">
        <f ca="1">IF(AND(SUMIF(Capacity_Resource,$D199,'Critical resources (hide)'!AV$6:AV$105)+SUMIF(Capacity_Resource,$E199,'Critical resources (hide)'!AV$6:AV$105)+SUMIF(Capacity_Resource,$F199,'Critical resources (hide)'!AV$6:AV$105)&gt;0,$E$1=2),0,1)</f>
        <v>1</v>
      </c>
      <c r="AJ199" s="67">
        <f ca="1">IF(AND(SUMIF(Capacity_Resource,$D199,'Critical resources (hide)'!AW$6:AW$105)+SUMIF(Capacity_Resource,$E199,'Critical resources (hide)'!AW$6:AW$105)+SUMIF(Capacity_Resource,$F199,'Critical resources (hide)'!AW$6:AW$105)&gt;0,$E$1=2),0,1)</f>
        <v>1</v>
      </c>
      <c r="AK199" s="67">
        <f ca="1">IF(AND(SUMIF(Capacity_Resource,$D199,'Critical resources (hide)'!AX$6:AX$105)+SUMIF(Capacity_Resource,$E199,'Critical resources (hide)'!AX$6:AX$105)+SUMIF(Capacity_Resource,$F199,'Critical resources (hide)'!AX$6:AX$105)&gt;0,$E$1=2),0,1)</f>
        <v>1</v>
      </c>
      <c r="AL199" s="67">
        <f ca="1">IF(AND(SUMIF(Capacity_Resource,$D199,'Critical resources (hide)'!AY$6:AY$105)+SUMIF(Capacity_Resource,$E199,'Critical resources (hide)'!AY$6:AY$105)+SUMIF(Capacity_Resource,$F199,'Critical resources (hide)'!AY$6:AY$105)&gt;0,$E$1=2),0,1)</f>
        <v>1</v>
      </c>
      <c r="AM199" s="67">
        <f ca="1">IF(AND(SUMIF(Capacity_Resource,$D199,'Critical resources (hide)'!AZ$6:AZ$105)+SUMIF(Capacity_Resource,$E199,'Critical resources (hide)'!AZ$6:AZ$105)+SUMIF(Capacity_Resource,$F199,'Critical resources (hide)'!AZ$6:AZ$105)&gt;0,$E$1=2),0,1)</f>
        <v>1</v>
      </c>
      <c r="AN199" s="67">
        <f ca="1">IF(AND(SUMIF(Capacity_Resource,$D199,'Critical resources (hide)'!BA$6:BA$105)+SUMIF(Capacity_Resource,$E199,'Critical resources (hide)'!BA$6:BA$105)+SUMIF(Capacity_Resource,$F199,'Critical resources (hide)'!BA$6:BA$105)&gt;0,$E$1=2),0,1)</f>
        <v>1</v>
      </c>
      <c r="AO199" s="67">
        <f ca="1">IF(AND(SUMIF(Capacity_Resource,$D199,'Critical resources (hide)'!BB$6:BB$105)+SUMIF(Capacity_Resource,$E199,'Critical resources (hide)'!BB$6:BB$105)+SUMIF(Capacity_Resource,$F199,'Critical resources (hide)'!BB$6:BB$105)&gt;0,$E$1=2),0,1)</f>
        <v>1</v>
      </c>
      <c r="AP199" s="67">
        <f ca="1">IF(AND(SUMIF(Capacity_Resource,$D199,'Critical resources (hide)'!BC$6:BC$105)+SUMIF(Capacity_Resource,$E199,'Critical resources (hide)'!BC$6:BC$105)+SUMIF(Capacity_Resource,$F199,'Critical resources (hide)'!BC$6:BC$105)&gt;0,$E$1=2),0,1)</f>
        <v>1</v>
      </c>
      <c r="AQ199" s="67">
        <f ca="1">IF(AND(SUMIF(Capacity_Resource,$D199,'Critical resources (hide)'!BD$6:BD$105)+SUMIF(Capacity_Resource,$E199,'Critical resources (hide)'!BD$6:BD$105)+SUMIF(Capacity_Resource,$F199,'Critical resources (hide)'!BD$6:BD$105)&gt;0,$E$1=2),0,1)</f>
        <v>1</v>
      </c>
      <c r="AR199" s="67">
        <f ca="1">IF(AND(SUMIF(Capacity_Resource,$D199,'Critical resources (hide)'!BE$6:BE$105)+SUMIF(Capacity_Resource,$E199,'Critical resources (hide)'!BE$6:BE$105)+SUMIF(Capacity_Resource,$F199,'Critical resources (hide)'!BE$6:BE$105)&gt;0,$E$1=2),0,1)</f>
        <v>1</v>
      </c>
      <c r="AS199" s="67">
        <f ca="1">IF(AND(SUMIF(Capacity_Resource,$D199,'Critical resources (hide)'!BF$6:BF$105)+SUMIF(Capacity_Resource,$E199,'Critical resources (hide)'!BF$6:BF$105)+SUMIF(Capacity_Resource,$F199,'Critical resources (hide)'!BF$6:BF$105)&gt;0,$E$1=2),0,1)</f>
        <v>1</v>
      </c>
      <c r="AT199" s="67">
        <f ca="1">IF(AND(SUMIF(Capacity_Resource,$D199,'Critical resources (hide)'!BG$6:BG$105)+SUMIF(Capacity_Resource,$E199,'Critical resources (hide)'!BG$6:BG$105)+SUMIF(Capacity_Resource,$F199,'Critical resources (hide)'!BG$6:BG$105)&gt;0,$E$1=2),0,1)</f>
        <v>1</v>
      </c>
      <c r="AU199" s="67">
        <f ca="1">IF(AND(SUMIF(Capacity_Resource,$D199,'Critical resources (hide)'!BH$6:BH$105)+SUMIF(Capacity_Resource,$E199,'Critical resources (hide)'!BH$6:BH$105)+SUMIF(Capacity_Resource,$F199,'Critical resources (hide)'!BH$6:BH$105)&gt;0,$E$1=2),0,1)</f>
        <v>1</v>
      </c>
      <c r="AV199" s="67">
        <f ca="1">IF(AND(SUMIF(Capacity_Resource,$D199,'Critical resources (hide)'!BI$6:BI$105)+SUMIF(Capacity_Resource,$E199,'Critical resources (hide)'!BI$6:BI$105)+SUMIF(Capacity_Resource,$F199,'Critical resources (hide)'!BI$6:BI$105)&gt;0,$E$1=2),0,1)</f>
        <v>1</v>
      </c>
      <c r="AW199" s="67">
        <f ca="1">IF(AND(SUMIF(Capacity_Resource,$D199,'Critical resources (hide)'!BJ$6:BJ$105)+SUMIF(Capacity_Resource,$E199,'Critical resources (hide)'!BJ$6:BJ$105)+SUMIF(Capacity_Resource,$F199,'Critical resources (hide)'!BJ$6:BJ$105)&gt;0,$E$1=2),0,1)</f>
        <v>1</v>
      </c>
      <c r="AX199" s="67">
        <f ca="1">IF(AND(SUMIF(Capacity_Resource,$D199,'Critical resources (hide)'!BK$6:BK$105)+SUMIF(Capacity_Resource,$E199,'Critical resources (hide)'!BK$6:BK$105)+SUMIF(Capacity_Resource,$F199,'Critical resources (hide)'!BK$6:BK$105)&gt;0,$E$1=2),0,1)</f>
        <v>1</v>
      </c>
      <c r="AY199" s="67">
        <f ca="1">IF(AND(SUMIF(Capacity_Resource,$D199,'Critical resources (hide)'!BL$6:BL$105)+SUMIF(Capacity_Resource,$E199,'Critical resources (hide)'!BL$6:BL$105)+SUMIF(Capacity_Resource,$F199,'Critical resources (hide)'!BL$6:BL$105)&gt;0,$E$1=2),0,1)</f>
        <v>1</v>
      </c>
      <c r="AZ199" s="67">
        <f ca="1">IF(AND(SUMIF(Capacity_Resource,$D199,'Critical resources (hide)'!BM$6:BM$105)+SUMIF(Capacity_Resource,$E199,'Critical resources (hide)'!BM$6:BM$105)+SUMIF(Capacity_Resource,$F199,'Critical resources (hide)'!BM$6:BM$105)&gt;0,$E$1=2),0,1)</f>
        <v>1</v>
      </c>
      <c r="BA199" s="67">
        <f ca="1">IF(AND(SUMIF(Capacity_Resource,$D199,'Critical resources (hide)'!BN$6:BN$105)+SUMIF(Capacity_Resource,$E199,'Critical resources (hide)'!BN$6:BN$105)+SUMIF(Capacity_Resource,$F199,'Critical resources (hide)'!BN$6:BN$105)&gt;0,$E$1=2),0,1)</f>
        <v>1</v>
      </c>
      <c r="BB199" s="67">
        <f ca="1">IF(AND(SUMIF(Capacity_Resource,$D199,'Critical resources (hide)'!BO$6:BO$105)+SUMIF(Capacity_Resource,$E199,'Critical resources (hide)'!BO$6:BO$105)+SUMIF(Capacity_Resource,$F199,'Critical resources (hide)'!BO$6:BO$105)&gt;0,$E$1=2),0,1)</f>
        <v>1</v>
      </c>
      <c r="BC199" s="67">
        <f ca="1">IF(AND(SUMIF(Capacity_Resource,$D199,'Critical resources (hide)'!BP$6:BP$105)+SUMIF(Capacity_Resource,$E199,'Critical resources (hide)'!BP$6:BP$105)+SUMIF(Capacity_Resource,$F199,'Critical resources (hide)'!BP$6:BP$105)&gt;0,$E$1=2),0,1)</f>
        <v>1</v>
      </c>
      <c r="BD199" s="67">
        <f ca="1">IF(AND(SUMIF(Capacity_Resource,$D199,'Critical resources (hide)'!BQ$6:BQ$105)+SUMIF(Capacity_Resource,$E199,'Critical resources (hide)'!BQ$6:BQ$105)+SUMIF(Capacity_Resource,$F199,'Critical resources (hide)'!BQ$6:BQ$105)&gt;0,$E$1=2),0,1)</f>
        <v>1</v>
      </c>
      <c r="BE199" s="67">
        <f ca="1">IF(AND(SUMIF(Capacity_Resource,$D199,'Critical resources (hide)'!BR$6:BR$105)+SUMIF(Capacity_Resource,$E199,'Critical resources (hide)'!BR$6:BR$105)+SUMIF(Capacity_Resource,$F199,'Critical resources (hide)'!BR$6:BR$105)&gt;0,$E$1=2),0,1)</f>
        <v>1</v>
      </c>
      <c r="BF199" s="67">
        <f ca="1">IF(AND(SUMIF(Capacity_Resource,$D199,'Critical resources (hide)'!BS$6:BS$105)+SUMIF(Capacity_Resource,$E199,'Critical resources (hide)'!BS$6:BS$105)+SUMIF(Capacity_Resource,$F199,'Critical resources (hide)'!BS$6:BS$105)&gt;0,$E$1=2),0,1)</f>
        <v>1</v>
      </c>
      <c r="BG199" s="67">
        <f ca="1">IF(AND(SUMIF(Capacity_Resource,$D199,'Critical resources (hide)'!BT$6:BT$105)+SUMIF(Capacity_Resource,$E199,'Critical resources (hide)'!BT$6:BT$105)+SUMIF(Capacity_Resource,$F199,'Critical resources (hide)'!BT$6:BT$105)&gt;0,$E$1=2),0,1)</f>
        <v>1</v>
      </c>
      <c r="BH199" s="67">
        <f>IF(ROW(A88)&lt;=Capacity!$M$16,IF('Capacity summary'!$C$14="No",SUM(H199:BG199),'Capacity summary'!$E111),0)</f>
        <v>0</v>
      </c>
      <c r="BI199" s="67" t="str">
        <f>IF(BH199&gt;0,IF(BH199&lt;Capacity!Q104,Capacity!R104,Capacity!T104/'Capacity calculation (hide)'!BH199),"")</f>
        <v/>
      </c>
      <c r="BJ199" s="5"/>
      <c r="BK199" s="5">
        <f>IF($BI199&lt;&gt;"",IF('Capacity summary'!$C$14="Yes",IF(COUNTBLANK('Capacity summary'!$H111:$BG111)&lt;52,IF('Capacity summary'!H111&lt;&gt;"",IF(LOWER('Capacity summary'!H111)="x",$BI199*H199,VALUE('Capacity summary'!H111)),0),H199*$BI199),H199*$BI199),0)</f>
        <v>0</v>
      </c>
      <c r="BL199" s="5">
        <f>IF($BI199&lt;&gt;"",IF('Capacity summary'!$C$14="Yes",IF(COUNTBLANK('Capacity summary'!$H111:$BG111)&lt;52,IF('Capacity summary'!I111&lt;&gt;"",IF(LOWER('Capacity summary'!I111)="x",$BI199*I199,VALUE('Capacity summary'!I111)),0),I199*$BI199),I199*$BI199),0)</f>
        <v>0</v>
      </c>
      <c r="BM199" s="5">
        <f>IF($BI199&lt;&gt;"",IF('Capacity summary'!$C$14="Yes",IF(COUNTBLANK('Capacity summary'!$H111:$BG111)&lt;52,IF('Capacity summary'!J111&lt;&gt;"",IF(LOWER('Capacity summary'!J111)="x",$BI199*J199,VALUE('Capacity summary'!J111)),0),J199*$BI199),J199*$BI199),0)</f>
        <v>0</v>
      </c>
      <c r="BN199" s="5">
        <f>IF($BI199&lt;&gt;"",IF('Capacity summary'!$C$14="Yes",IF(COUNTBLANK('Capacity summary'!$H111:$BG111)&lt;52,IF('Capacity summary'!K111&lt;&gt;"",IF(LOWER('Capacity summary'!K111)="x",$BI199*K199,VALUE('Capacity summary'!K111)),0),K199*$BI199),K199*$BI199),0)</f>
        <v>0</v>
      </c>
      <c r="BO199" s="5">
        <f>IF($BI199&lt;&gt;"",IF('Capacity summary'!$C$14="Yes",IF(COUNTBLANK('Capacity summary'!$H111:$BG111)&lt;52,IF('Capacity summary'!L111&lt;&gt;"",IF(LOWER('Capacity summary'!L111)="x",$BI199*L199,VALUE('Capacity summary'!L111)),0),L199*$BI199),L199*$BI199),0)</f>
        <v>0</v>
      </c>
      <c r="BP199" s="5">
        <f>IF($BI199&lt;&gt;"",IF('Capacity summary'!$C$14="Yes",IF(COUNTBLANK('Capacity summary'!$H111:$BG111)&lt;52,IF('Capacity summary'!M111&lt;&gt;"",IF(LOWER('Capacity summary'!M111)="x",$BI199*M199,VALUE('Capacity summary'!M111)),0),M199*$BI199),M199*$BI199),0)</f>
        <v>0</v>
      </c>
      <c r="BQ199" s="5">
        <f>IF($BI199&lt;&gt;"",IF('Capacity summary'!$C$14="Yes",IF(COUNTBLANK('Capacity summary'!$H111:$BG111)&lt;52,IF('Capacity summary'!N111&lt;&gt;"",IF(LOWER('Capacity summary'!N111)="x",$BI199*N199,VALUE('Capacity summary'!N111)),0),N199*$BI199),N199*$BI199),0)</f>
        <v>0</v>
      </c>
      <c r="BR199" s="5">
        <f>IF($BI199&lt;&gt;"",IF('Capacity summary'!$C$14="Yes",IF(COUNTBLANK('Capacity summary'!$H111:$BG111)&lt;52,IF('Capacity summary'!O111&lt;&gt;"",IF(LOWER('Capacity summary'!O111)="x",$BI199*O199,VALUE('Capacity summary'!O111)),0),O199*$BI199),O199*$BI199),0)</f>
        <v>0</v>
      </c>
      <c r="BS199" s="5">
        <f>IF($BI199&lt;&gt;"",IF('Capacity summary'!$C$14="Yes",IF(COUNTBLANK('Capacity summary'!$H111:$BG111)&lt;52,IF('Capacity summary'!P111&lt;&gt;"",IF(LOWER('Capacity summary'!P111)="x",$BI199*P199,VALUE('Capacity summary'!P111)),0),P199*$BI199),P199*$BI199),0)</f>
        <v>0</v>
      </c>
      <c r="BT199" s="5">
        <f>IF($BI199&lt;&gt;"",IF('Capacity summary'!$C$14="Yes",IF(COUNTBLANK('Capacity summary'!$H111:$BG111)&lt;52,IF('Capacity summary'!Q111&lt;&gt;"",IF(LOWER('Capacity summary'!Q111)="x",$BI199*Q199,VALUE('Capacity summary'!Q111)),0),Q199*$BI199),Q199*$BI199),0)</f>
        <v>0</v>
      </c>
      <c r="BU199" s="5">
        <f>IF($BI199&lt;&gt;"",IF('Capacity summary'!$C$14="Yes",IF(COUNTBLANK('Capacity summary'!$H111:$BG111)&lt;52,IF('Capacity summary'!R111&lt;&gt;"",IF(LOWER('Capacity summary'!R111)="x",$BI199*R199,VALUE('Capacity summary'!R111)),0),R199*$BI199),R199*$BI199),0)</f>
        <v>0</v>
      </c>
      <c r="BV199" s="5">
        <f>IF($BI199&lt;&gt;"",IF('Capacity summary'!$C$14="Yes",IF(COUNTBLANK('Capacity summary'!$H111:$BG111)&lt;52,IF('Capacity summary'!S111&lt;&gt;"",IF(LOWER('Capacity summary'!S111)="x",$BI199*S199,VALUE('Capacity summary'!S111)),0),S199*$BI199),S199*$BI199),0)</f>
        <v>0</v>
      </c>
      <c r="BW199" s="5">
        <f>IF($BI199&lt;&gt;"",IF('Capacity summary'!$C$14="Yes",IF(COUNTBLANK('Capacity summary'!$H111:$BG111)&lt;52,IF('Capacity summary'!T111&lt;&gt;"",IF(LOWER('Capacity summary'!T111)="x",$BI199*T199,VALUE('Capacity summary'!T111)),0),T199*$BI199),T199*$BI199),0)</f>
        <v>0</v>
      </c>
      <c r="BX199" s="5">
        <f>IF($BI199&lt;&gt;"",IF('Capacity summary'!$C$14="Yes",IF(COUNTBLANK('Capacity summary'!$H111:$BG111)&lt;52,IF('Capacity summary'!U111&lt;&gt;"",IF(LOWER('Capacity summary'!U111)="x",$BI199*U199,VALUE('Capacity summary'!U111)),0),U199*$BI199),U199*$BI199),0)</f>
        <v>0</v>
      </c>
      <c r="BY199" s="5">
        <f>IF($BI199&lt;&gt;"",IF('Capacity summary'!$C$14="Yes",IF(COUNTBLANK('Capacity summary'!$H111:$BG111)&lt;52,IF('Capacity summary'!V111&lt;&gt;"",IF(LOWER('Capacity summary'!V111)="x",$BI199*V199,VALUE('Capacity summary'!V111)),0),V199*$BI199),V199*$BI199),0)</f>
        <v>0</v>
      </c>
      <c r="BZ199" s="5">
        <f>IF($BI199&lt;&gt;"",IF('Capacity summary'!$C$14="Yes",IF(COUNTBLANK('Capacity summary'!$H111:$BG111)&lt;52,IF('Capacity summary'!W111&lt;&gt;"",IF(LOWER('Capacity summary'!W111)="x",$BI199*W199,VALUE('Capacity summary'!W111)),0),W199*$BI199),W199*$BI199),0)</f>
        <v>0</v>
      </c>
      <c r="CA199" s="5">
        <f>IF($BI199&lt;&gt;"",IF('Capacity summary'!$C$14="Yes",IF(COUNTBLANK('Capacity summary'!$H111:$BG111)&lt;52,IF('Capacity summary'!X111&lt;&gt;"",IF(LOWER('Capacity summary'!X111)="x",$BI199*X199,VALUE('Capacity summary'!X111)),0),X199*$BI199),X199*$BI199),0)</f>
        <v>0</v>
      </c>
      <c r="CB199" s="5">
        <f>IF($BI199&lt;&gt;"",IF('Capacity summary'!$C$14="Yes",IF(COUNTBLANK('Capacity summary'!$H111:$BG111)&lt;52,IF('Capacity summary'!Y111&lt;&gt;"",IF(LOWER('Capacity summary'!Y111)="x",$BI199*Y199,VALUE('Capacity summary'!Y111)),0),Y199*$BI199),Y199*$BI199),0)</f>
        <v>0</v>
      </c>
      <c r="CC199" s="5">
        <f>IF($BI199&lt;&gt;"",IF('Capacity summary'!$C$14="Yes",IF(COUNTBLANK('Capacity summary'!$H111:$BG111)&lt;52,IF('Capacity summary'!Z111&lt;&gt;"",IF(LOWER('Capacity summary'!Z111)="x",$BI199*Z199,VALUE('Capacity summary'!Z111)),0),Z199*$BI199),Z199*$BI199),0)</f>
        <v>0</v>
      </c>
      <c r="CD199" s="5">
        <f>IF($BI199&lt;&gt;"",IF('Capacity summary'!$C$14="Yes",IF(COUNTBLANK('Capacity summary'!$H111:$BG111)&lt;52,IF('Capacity summary'!AA111&lt;&gt;"",IF(LOWER('Capacity summary'!AA111)="x",$BI199*AA199,VALUE('Capacity summary'!AA111)),0),AA199*$BI199),AA199*$BI199),0)</f>
        <v>0</v>
      </c>
      <c r="CE199" s="5">
        <f>IF($BI199&lt;&gt;"",IF('Capacity summary'!$C$14="Yes",IF(COUNTBLANK('Capacity summary'!$H111:$BG111)&lt;52,IF('Capacity summary'!AB111&lt;&gt;"",IF(LOWER('Capacity summary'!AB111)="x",$BI199*AB199,VALUE('Capacity summary'!AB111)),0),AB199*$BI199),AB199*$BI199),0)</f>
        <v>0</v>
      </c>
      <c r="CF199" s="5">
        <f>IF($BI199&lt;&gt;"",IF('Capacity summary'!$C$14="Yes",IF(COUNTBLANK('Capacity summary'!$H111:$BG111)&lt;52,IF('Capacity summary'!AC111&lt;&gt;"",IF(LOWER('Capacity summary'!AC111)="x",$BI199*AC199,VALUE('Capacity summary'!AC111)),0),AC199*$BI199),AC199*$BI199),0)</f>
        <v>0</v>
      </c>
      <c r="CG199" s="5">
        <f>IF($BI199&lt;&gt;"",IF('Capacity summary'!$C$14="Yes",IF(COUNTBLANK('Capacity summary'!$H111:$BG111)&lt;52,IF('Capacity summary'!AD111&lt;&gt;"",IF(LOWER('Capacity summary'!AD111)="x",$BI199*AD199,VALUE('Capacity summary'!AD111)),0),AD199*$BI199),AD199*$BI199),0)</f>
        <v>0</v>
      </c>
      <c r="CH199" s="5">
        <f>IF($BI199&lt;&gt;"",IF('Capacity summary'!$C$14="Yes",IF(COUNTBLANK('Capacity summary'!$H111:$BG111)&lt;52,IF('Capacity summary'!AE111&lt;&gt;"",IF(LOWER('Capacity summary'!AE111)="x",$BI199*AE199,VALUE('Capacity summary'!AE111)),0),AE199*$BI199),AE199*$BI199),0)</f>
        <v>0</v>
      </c>
      <c r="CI199" s="5">
        <f>IF($BI199&lt;&gt;"",IF('Capacity summary'!$C$14="Yes",IF(COUNTBLANK('Capacity summary'!$H111:$BG111)&lt;52,IF('Capacity summary'!AF111&lt;&gt;"",IF(LOWER('Capacity summary'!AF111)="x",$BI199*AF199,VALUE('Capacity summary'!AF111)),0),AF199*$BI199),AF199*$BI199),0)</f>
        <v>0</v>
      </c>
      <c r="CJ199" s="5">
        <f>IF($BI199&lt;&gt;"",IF('Capacity summary'!$C$14="Yes",IF(COUNTBLANK('Capacity summary'!$H111:$BG111)&lt;52,IF('Capacity summary'!AG111&lt;&gt;"",IF(LOWER('Capacity summary'!AG111)="x",$BI199*AG199,VALUE('Capacity summary'!AG111)),0),AG199*$BI199),AG199*$BI199),0)</f>
        <v>0</v>
      </c>
      <c r="CK199" s="5">
        <f>IF($BI199&lt;&gt;"",IF('Capacity summary'!$C$14="Yes",IF(COUNTBLANK('Capacity summary'!$H111:$BG111)&lt;52,IF('Capacity summary'!AH111&lt;&gt;"",IF(LOWER('Capacity summary'!AH111)="x",$BI199*AH199,VALUE('Capacity summary'!AH111)),0),AH199*$BI199),AH199*$BI199),0)</f>
        <v>0</v>
      </c>
      <c r="CL199" s="5">
        <f>IF($BI199&lt;&gt;"",IF('Capacity summary'!$C$14="Yes",IF(COUNTBLANK('Capacity summary'!$H111:$BG111)&lt;52,IF('Capacity summary'!AI111&lt;&gt;"",IF(LOWER('Capacity summary'!AI111)="x",$BI199*AI199,VALUE('Capacity summary'!AI111)),0),AI199*$BI199),AI199*$BI199),0)</f>
        <v>0</v>
      </c>
      <c r="CM199" s="5">
        <f>IF($BI199&lt;&gt;"",IF('Capacity summary'!$C$14="Yes",IF(COUNTBLANK('Capacity summary'!$H111:$BG111)&lt;52,IF('Capacity summary'!AJ111&lt;&gt;"",IF(LOWER('Capacity summary'!AJ111)="x",$BI199*AJ199,VALUE('Capacity summary'!AJ111)),0),AJ199*$BI199),AJ199*$BI199),0)</f>
        <v>0</v>
      </c>
      <c r="CN199" s="5">
        <f>IF($BI199&lt;&gt;"",IF('Capacity summary'!$C$14="Yes",IF(COUNTBLANK('Capacity summary'!$H111:$BG111)&lt;52,IF('Capacity summary'!AK111&lt;&gt;"",IF(LOWER('Capacity summary'!AK111)="x",$BI199*AK199,VALUE('Capacity summary'!AK111)),0),AK199*$BI199),AK199*$BI199),0)</f>
        <v>0</v>
      </c>
      <c r="CO199" s="5">
        <f>IF($BI199&lt;&gt;"",IF('Capacity summary'!$C$14="Yes",IF(COUNTBLANK('Capacity summary'!$H111:$BG111)&lt;52,IF('Capacity summary'!AL111&lt;&gt;"",IF(LOWER('Capacity summary'!AL111)="x",$BI199*AL199,VALUE('Capacity summary'!AL111)),0),AL199*$BI199),AL199*$BI199),0)</f>
        <v>0</v>
      </c>
      <c r="CP199" s="5">
        <f>IF($BI199&lt;&gt;"",IF('Capacity summary'!$C$14="Yes",IF(COUNTBLANK('Capacity summary'!$H111:$BG111)&lt;52,IF('Capacity summary'!AM111&lt;&gt;"",IF(LOWER('Capacity summary'!AM111)="x",$BI199*AM199,VALUE('Capacity summary'!AM111)),0),AM199*$BI199),AM199*$BI199),0)</f>
        <v>0</v>
      </c>
      <c r="CQ199" s="5">
        <f>IF($BI199&lt;&gt;"",IF('Capacity summary'!$C$14="Yes",IF(COUNTBLANK('Capacity summary'!$H111:$BG111)&lt;52,IF('Capacity summary'!AN111&lt;&gt;"",IF(LOWER('Capacity summary'!AN111)="x",$BI199*AN199,VALUE('Capacity summary'!AN111)),0),AN199*$BI199),AN199*$BI199),0)</f>
        <v>0</v>
      </c>
      <c r="CR199" s="5">
        <f>IF($BI199&lt;&gt;"",IF('Capacity summary'!$C$14="Yes",IF(COUNTBLANK('Capacity summary'!$H111:$BG111)&lt;52,IF('Capacity summary'!AO111&lt;&gt;"",IF(LOWER('Capacity summary'!AO111)="x",$BI199*AO199,VALUE('Capacity summary'!AO111)),0),AO199*$BI199),AO199*$BI199),0)</f>
        <v>0</v>
      </c>
      <c r="CS199" s="5">
        <f>IF($BI199&lt;&gt;"",IF('Capacity summary'!$C$14="Yes",IF(COUNTBLANK('Capacity summary'!$H111:$BG111)&lt;52,IF('Capacity summary'!AP111&lt;&gt;"",IF(LOWER('Capacity summary'!AP111)="x",$BI199*AP199,VALUE('Capacity summary'!AP111)),0),AP199*$BI199),AP199*$BI199),0)</f>
        <v>0</v>
      </c>
      <c r="CT199" s="5">
        <f>IF($BI199&lt;&gt;"",IF('Capacity summary'!$C$14="Yes",IF(COUNTBLANK('Capacity summary'!$H111:$BG111)&lt;52,IF('Capacity summary'!AQ111&lt;&gt;"",IF(LOWER('Capacity summary'!AQ111)="x",$BI199*AQ199,VALUE('Capacity summary'!AQ111)),0),AQ199*$BI199),AQ199*$BI199),0)</f>
        <v>0</v>
      </c>
      <c r="CU199" s="5">
        <f>IF($BI199&lt;&gt;"",IF('Capacity summary'!$C$14="Yes",IF(COUNTBLANK('Capacity summary'!$H111:$BG111)&lt;52,IF('Capacity summary'!AR111&lt;&gt;"",IF(LOWER('Capacity summary'!AR111)="x",$BI199*AR199,VALUE('Capacity summary'!AR111)),0),AR199*$BI199),AR199*$BI199),0)</f>
        <v>0</v>
      </c>
      <c r="CV199" s="5">
        <f>IF($BI199&lt;&gt;"",IF('Capacity summary'!$C$14="Yes",IF(COUNTBLANK('Capacity summary'!$H111:$BG111)&lt;52,IF('Capacity summary'!AS111&lt;&gt;"",IF(LOWER('Capacity summary'!AS111)="x",$BI199*AS199,VALUE('Capacity summary'!AS111)),0),AS199*$BI199),AS199*$BI199),0)</f>
        <v>0</v>
      </c>
      <c r="CW199" s="5">
        <f>IF($BI199&lt;&gt;"",IF('Capacity summary'!$C$14="Yes",IF(COUNTBLANK('Capacity summary'!$H111:$BG111)&lt;52,IF('Capacity summary'!AT111&lt;&gt;"",IF(LOWER('Capacity summary'!AT111)="x",$BI199*AT199,VALUE('Capacity summary'!AT111)),0),AT199*$BI199),AT199*$BI199),0)</f>
        <v>0</v>
      </c>
      <c r="CX199" s="5">
        <f>IF($BI199&lt;&gt;"",IF('Capacity summary'!$C$14="Yes",IF(COUNTBLANK('Capacity summary'!$H111:$BG111)&lt;52,IF('Capacity summary'!AU111&lt;&gt;"",IF(LOWER('Capacity summary'!AU111)="x",$BI199*AU199,VALUE('Capacity summary'!AU111)),0),AU199*$BI199),AU199*$BI199),0)</f>
        <v>0</v>
      </c>
      <c r="CY199" s="5">
        <f>IF($BI199&lt;&gt;"",IF('Capacity summary'!$C$14="Yes",IF(COUNTBLANK('Capacity summary'!$H111:$BG111)&lt;52,IF('Capacity summary'!AV111&lt;&gt;"",IF(LOWER('Capacity summary'!AV111)="x",$BI199*AV199,VALUE('Capacity summary'!AV111)),0),AV199*$BI199),AV199*$BI199),0)</f>
        <v>0</v>
      </c>
      <c r="CZ199" s="5">
        <f>IF($BI199&lt;&gt;"",IF('Capacity summary'!$C$14="Yes",IF(COUNTBLANK('Capacity summary'!$H111:$BG111)&lt;52,IF('Capacity summary'!AW111&lt;&gt;"",IF(LOWER('Capacity summary'!AW111)="x",$BI199*AW199,VALUE('Capacity summary'!AW111)),0),AW199*$BI199),AW199*$BI199),0)</f>
        <v>0</v>
      </c>
      <c r="DA199" s="5">
        <f>IF($BI199&lt;&gt;"",IF('Capacity summary'!$C$14="Yes",IF(COUNTBLANK('Capacity summary'!$H111:$BG111)&lt;52,IF('Capacity summary'!AX111&lt;&gt;"",IF(LOWER('Capacity summary'!AX111)="x",$BI199*AX199,VALUE('Capacity summary'!AX111)),0),AX199*$BI199),AX199*$BI199),0)</f>
        <v>0</v>
      </c>
      <c r="DB199" s="5">
        <f>IF($BI199&lt;&gt;"",IF('Capacity summary'!$C$14="Yes",IF(COUNTBLANK('Capacity summary'!$H111:$BG111)&lt;52,IF('Capacity summary'!AY111&lt;&gt;"",IF(LOWER('Capacity summary'!AY111)="x",$BI199*AY199,VALUE('Capacity summary'!AY111)),0),AY199*$BI199),AY199*$BI199),0)</f>
        <v>0</v>
      </c>
      <c r="DC199" s="5">
        <f>IF($BI199&lt;&gt;"",IF('Capacity summary'!$C$14="Yes",IF(COUNTBLANK('Capacity summary'!$H111:$BG111)&lt;52,IF('Capacity summary'!AZ111&lt;&gt;"",IF(LOWER('Capacity summary'!AZ111)="x",$BI199*AZ199,VALUE('Capacity summary'!AZ111)),0),AZ199*$BI199),AZ199*$BI199),0)</f>
        <v>0</v>
      </c>
      <c r="DD199" s="5">
        <f>IF($BI199&lt;&gt;"",IF('Capacity summary'!$C$14="Yes",IF(COUNTBLANK('Capacity summary'!$H111:$BG111)&lt;52,IF('Capacity summary'!BA111&lt;&gt;"",IF(LOWER('Capacity summary'!BA111)="x",$BI199*BA199,VALUE('Capacity summary'!BA111)),0),BA199*$BI199),BA199*$BI199),0)</f>
        <v>0</v>
      </c>
      <c r="DE199" s="5">
        <f>IF($BI199&lt;&gt;"",IF('Capacity summary'!$C$14="Yes",IF(COUNTBLANK('Capacity summary'!$H111:$BG111)&lt;52,IF('Capacity summary'!BB111&lt;&gt;"",IF(LOWER('Capacity summary'!BB111)="x",$BI199*BB199,VALUE('Capacity summary'!BB111)),0),BB199*$BI199),BB199*$BI199),0)</f>
        <v>0</v>
      </c>
      <c r="DF199" s="5">
        <f>IF($BI199&lt;&gt;"",IF('Capacity summary'!$C$14="Yes",IF(COUNTBLANK('Capacity summary'!$H111:$BG111)&lt;52,IF('Capacity summary'!BC111&lt;&gt;"",IF(LOWER('Capacity summary'!BC111)="x",$BI199*BC199,VALUE('Capacity summary'!BC111)),0),BC199*$BI199),BC199*$BI199),0)</f>
        <v>0</v>
      </c>
      <c r="DG199" s="5">
        <f>IF($BI199&lt;&gt;"",IF('Capacity summary'!$C$14="Yes",IF(COUNTBLANK('Capacity summary'!$H111:$BG111)&lt;52,IF('Capacity summary'!BD111&lt;&gt;"",IF(LOWER('Capacity summary'!BD111)="x",$BI199*BD199,VALUE('Capacity summary'!BD111)),0),BD199*$BI199),BD199*$BI199),0)</f>
        <v>0</v>
      </c>
      <c r="DH199" s="5">
        <f>IF($BI199&lt;&gt;"",IF('Capacity summary'!$C$14="Yes",IF(COUNTBLANK('Capacity summary'!$H111:$BG111)&lt;52,IF('Capacity summary'!BE111&lt;&gt;"",IF(LOWER('Capacity summary'!BE111)="x",$BI199*BE199,VALUE('Capacity summary'!BE111)),0),BE199*$BI199),BE199*$BI199),0)</f>
        <v>0</v>
      </c>
      <c r="DI199" s="5">
        <f>IF($BI199&lt;&gt;"",IF('Capacity summary'!$C$14="Yes",IF(COUNTBLANK('Capacity summary'!$H111:$BG111)&lt;52,IF('Capacity summary'!BF111&lt;&gt;"",IF(LOWER('Capacity summary'!BF111)="x",$BI199*BF199,VALUE('Capacity summary'!BF111)),0),BF199*$BI199),BF199*$BI199),0)</f>
        <v>0</v>
      </c>
      <c r="DJ199" s="5">
        <f>IF($BI199&lt;&gt;"",IF('Capacity summary'!$C$14="Yes",IF(COUNTBLANK('Capacity summary'!$H111:$BG111)&lt;52,IF('Capacity summary'!BG111&lt;&gt;"",IF(LOWER('Capacity summary'!BG111)="x",$BI199*BG199,VALUE('Capacity summary'!BG111)),0),BG199*$BI199),BG199*$BI199),0)</f>
        <v>0</v>
      </c>
      <c r="DK199" s="5">
        <f t="shared" ref="DK199" si="93">SUM(DK200:DK299)</f>
        <v>0</v>
      </c>
    </row>
    <row r="200" spans="3:115" x14ac:dyDescent="0.25">
      <c r="C200" s="67" t="str">
        <f>ROW(A89)&amp;". "&amp;Capacity!N105</f>
        <v xml:space="preserve">89. </v>
      </c>
      <c r="D200" s="67">
        <f>'Capacity setup'!C206</f>
        <v>0</v>
      </c>
      <c r="E200" s="67">
        <f>'Capacity setup'!D206</f>
        <v>0</v>
      </c>
      <c r="F200" s="67">
        <f>'Capacity setup'!E206</f>
        <v>0</v>
      </c>
      <c r="H200" s="67">
        <f ca="1">IF(AND(SUMIF(Capacity_Resource,$D200,'Critical resources (hide)'!U$6:U$105)+SUMIF(Capacity_Resource,$E200,'Critical resources (hide)'!U$6:U$105)+SUMIF(Capacity_Resource,$F200,'Critical resources (hide)'!U$6:U$105)&gt;0,$E$1=2),0,1)</f>
        <v>1</v>
      </c>
      <c r="I200" s="67">
        <f ca="1">IF(AND(SUMIF(Capacity_Resource,$D200,'Critical resources (hide)'!V$6:V$105)+SUMIF(Capacity_Resource,$E200,'Critical resources (hide)'!V$6:V$105)+SUMIF(Capacity_Resource,$F200,'Critical resources (hide)'!V$6:V$105)&gt;0,$E$1=2),0,1)</f>
        <v>1</v>
      </c>
      <c r="J200" s="67">
        <f ca="1">IF(AND(SUMIF(Capacity_Resource,$D200,'Critical resources (hide)'!W$6:W$105)+SUMIF(Capacity_Resource,$E200,'Critical resources (hide)'!W$6:W$105)+SUMIF(Capacity_Resource,$F200,'Critical resources (hide)'!W$6:W$105)&gt;0,$E$1=2),0,1)</f>
        <v>1</v>
      </c>
      <c r="K200" s="67">
        <f ca="1">IF(AND(SUMIF(Capacity_Resource,$D200,'Critical resources (hide)'!X$6:X$105)+SUMIF(Capacity_Resource,$E200,'Critical resources (hide)'!X$6:X$105)+SUMIF(Capacity_Resource,$F200,'Critical resources (hide)'!X$6:X$105)&gt;0,$E$1=2),0,1)</f>
        <v>1</v>
      </c>
      <c r="L200" s="67">
        <f ca="1">IF(AND(SUMIF(Capacity_Resource,$D200,'Critical resources (hide)'!Y$6:Y$105)+SUMIF(Capacity_Resource,$E200,'Critical resources (hide)'!Y$6:Y$105)+SUMIF(Capacity_Resource,$F200,'Critical resources (hide)'!Y$6:Y$105)&gt;0,$E$1=2),0,1)</f>
        <v>1</v>
      </c>
      <c r="M200" s="67">
        <f ca="1">IF(AND(SUMIF(Capacity_Resource,$D200,'Critical resources (hide)'!Z$6:Z$105)+SUMIF(Capacity_Resource,$E200,'Critical resources (hide)'!Z$6:Z$105)+SUMIF(Capacity_Resource,$F200,'Critical resources (hide)'!Z$6:Z$105)&gt;0,$E$1=2),0,1)</f>
        <v>1</v>
      </c>
      <c r="N200" s="67">
        <f ca="1">IF(AND(SUMIF(Capacity_Resource,$D200,'Critical resources (hide)'!AA$6:AA$105)+SUMIF(Capacity_Resource,$E200,'Critical resources (hide)'!AA$6:AA$105)+SUMIF(Capacity_Resource,$F200,'Critical resources (hide)'!AA$6:AA$105)&gt;0,$E$1=2),0,1)</f>
        <v>1</v>
      </c>
      <c r="O200" s="67">
        <f ca="1">IF(AND(SUMIF(Capacity_Resource,$D200,'Critical resources (hide)'!AB$6:AB$105)+SUMIF(Capacity_Resource,$E200,'Critical resources (hide)'!AB$6:AB$105)+SUMIF(Capacity_Resource,$F200,'Critical resources (hide)'!AB$6:AB$105)&gt;0,$E$1=2),0,1)</f>
        <v>1</v>
      </c>
      <c r="P200" s="67">
        <f ca="1">IF(AND(SUMIF(Capacity_Resource,$D200,'Critical resources (hide)'!AC$6:AC$105)+SUMIF(Capacity_Resource,$E200,'Critical resources (hide)'!AC$6:AC$105)+SUMIF(Capacity_Resource,$F200,'Critical resources (hide)'!AC$6:AC$105)&gt;0,$E$1=2),0,1)</f>
        <v>1</v>
      </c>
      <c r="Q200" s="67">
        <f ca="1">IF(AND(SUMIF(Capacity_Resource,$D200,'Critical resources (hide)'!AD$6:AD$105)+SUMIF(Capacity_Resource,$E200,'Critical resources (hide)'!AD$6:AD$105)+SUMIF(Capacity_Resource,$F200,'Critical resources (hide)'!AD$6:AD$105)&gt;0,$E$1=2),0,1)</f>
        <v>1</v>
      </c>
      <c r="R200" s="67">
        <f ca="1">IF(AND(SUMIF(Capacity_Resource,$D200,'Critical resources (hide)'!AE$6:AE$105)+SUMIF(Capacity_Resource,$E200,'Critical resources (hide)'!AE$6:AE$105)+SUMIF(Capacity_Resource,$F200,'Critical resources (hide)'!AE$6:AE$105)&gt;0,$E$1=2),0,1)</f>
        <v>1</v>
      </c>
      <c r="S200" s="67">
        <f ca="1">IF(AND(SUMIF(Capacity_Resource,$D200,'Critical resources (hide)'!AF$6:AF$105)+SUMIF(Capacity_Resource,$E200,'Critical resources (hide)'!AF$6:AF$105)+SUMIF(Capacity_Resource,$F200,'Critical resources (hide)'!AF$6:AF$105)&gt;0,$E$1=2),0,1)</f>
        <v>1</v>
      </c>
      <c r="T200" s="67">
        <f ca="1">IF(AND(SUMIF(Capacity_Resource,$D200,'Critical resources (hide)'!AG$6:AG$105)+SUMIF(Capacity_Resource,$E200,'Critical resources (hide)'!AG$6:AG$105)+SUMIF(Capacity_Resource,$F200,'Critical resources (hide)'!AG$6:AG$105)&gt;0,$E$1=2),0,1)</f>
        <v>1</v>
      </c>
      <c r="U200" s="67">
        <f ca="1">IF(AND(SUMIF(Capacity_Resource,$D200,'Critical resources (hide)'!AH$6:AH$105)+SUMIF(Capacity_Resource,$E200,'Critical resources (hide)'!AH$6:AH$105)+SUMIF(Capacity_Resource,$F200,'Critical resources (hide)'!AH$6:AH$105)&gt;0,$E$1=2),0,1)</f>
        <v>1</v>
      </c>
      <c r="V200" s="67">
        <f ca="1">IF(AND(SUMIF(Capacity_Resource,$D200,'Critical resources (hide)'!AI$6:AI$105)+SUMIF(Capacity_Resource,$E200,'Critical resources (hide)'!AI$6:AI$105)+SUMIF(Capacity_Resource,$F200,'Critical resources (hide)'!AI$6:AI$105)&gt;0,$E$1=2),0,1)</f>
        <v>1</v>
      </c>
      <c r="W200" s="67">
        <f ca="1">IF(AND(SUMIF(Capacity_Resource,$D200,'Critical resources (hide)'!AJ$6:AJ$105)+SUMIF(Capacity_Resource,$E200,'Critical resources (hide)'!AJ$6:AJ$105)+SUMIF(Capacity_Resource,$F200,'Critical resources (hide)'!AJ$6:AJ$105)&gt;0,$E$1=2),0,1)</f>
        <v>1</v>
      </c>
      <c r="X200" s="67">
        <f ca="1">IF(AND(SUMIF(Capacity_Resource,$D200,'Critical resources (hide)'!AK$6:AK$105)+SUMIF(Capacity_Resource,$E200,'Critical resources (hide)'!AK$6:AK$105)+SUMIF(Capacity_Resource,$F200,'Critical resources (hide)'!AK$6:AK$105)&gt;0,$E$1=2),0,1)</f>
        <v>1</v>
      </c>
      <c r="Y200" s="67">
        <f ca="1">IF(AND(SUMIF(Capacity_Resource,$D200,'Critical resources (hide)'!AL$6:AL$105)+SUMIF(Capacity_Resource,$E200,'Critical resources (hide)'!AL$6:AL$105)+SUMIF(Capacity_Resource,$F200,'Critical resources (hide)'!AL$6:AL$105)&gt;0,$E$1=2),0,1)</f>
        <v>1</v>
      </c>
      <c r="Z200" s="67">
        <f ca="1">IF(AND(SUMIF(Capacity_Resource,$D200,'Critical resources (hide)'!AM$6:AM$105)+SUMIF(Capacity_Resource,$E200,'Critical resources (hide)'!AM$6:AM$105)+SUMIF(Capacity_Resource,$F200,'Critical resources (hide)'!AM$6:AM$105)&gt;0,$E$1=2),0,1)</f>
        <v>1</v>
      </c>
      <c r="AA200" s="67">
        <f ca="1">IF(AND(SUMIF(Capacity_Resource,$D200,'Critical resources (hide)'!AN$6:AN$105)+SUMIF(Capacity_Resource,$E200,'Critical resources (hide)'!AN$6:AN$105)+SUMIF(Capacity_Resource,$F200,'Critical resources (hide)'!AN$6:AN$105)&gt;0,$E$1=2),0,1)</f>
        <v>1</v>
      </c>
      <c r="AB200" s="67">
        <f ca="1">IF(AND(SUMIF(Capacity_Resource,$D200,'Critical resources (hide)'!AO$6:AO$105)+SUMIF(Capacity_Resource,$E200,'Critical resources (hide)'!AO$6:AO$105)+SUMIF(Capacity_Resource,$F200,'Critical resources (hide)'!AO$6:AO$105)&gt;0,$E$1=2),0,1)</f>
        <v>1</v>
      </c>
      <c r="AC200" s="67">
        <f ca="1">IF(AND(SUMIF(Capacity_Resource,$D200,'Critical resources (hide)'!AP$6:AP$105)+SUMIF(Capacity_Resource,$E200,'Critical resources (hide)'!AP$6:AP$105)+SUMIF(Capacity_Resource,$F200,'Critical resources (hide)'!AP$6:AP$105)&gt;0,$E$1=2),0,1)</f>
        <v>1</v>
      </c>
      <c r="AD200" s="67">
        <f ca="1">IF(AND(SUMIF(Capacity_Resource,$D200,'Critical resources (hide)'!AQ$6:AQ$105)+SUMIF(Capacity_Resource,$E200,'Critical resources (hide)'!AQ$6:AQ$105)+SUMIF(Capacity_Resource,$F200,'Critical resources (hide)'!AQ$6:AQ$105)&gt;0,$E$1=2),0,1)</f>
        <v>1</v>
      </c>
      <c r="AE200" s="67">
        <f ca="1">IF(AND(SUMIF(Capacity_Resource,$D200,'Critical resources (hide)'!AR$6:AR$105)+SUMIF(Capacity_Resource,$E200,'Critical resources (hide)'!AR$6:AR$105)+SUMIF(Capacity_Resource,$F200,'Critical resources (hide)'!AR$6:AR$105)&gt;0,$E$1=2),0,1)</f>
        <v>1</v>
      </c>
      <c r="AF200" s="67">
        <f ca="1">IF(AND(SUMIF(Capacity_Resource,$D200,'Critical resources (hide)'!AS$6:AS$105)+SUMIF(Capacity_Resource,$E200,'Critical resources (hide)'!AS$6:AS$105)+SUMIF(Capacity_Resource,$F200,'Critical resources (hide)'!AS$6:AS$105)&gt;0,$E$1=2),0,1)</f>
        <v>1</v>
      </c>
      <c r="AG200" s="67">
        <f ca="1">IF(AND(SUMIF(Capacity_Resource,$D200,'Critical resources (hide)'!AT$6:AT$105)+SUMIF(Capacity_Resource,$E200,'Critical resources (hide)'!AT$6:AT$105)+SUMIF(Capacity_Resource,$F200,'Critical resources (hide)'!AT$6:AT$105)&gt;0,$E$1=2),0,1)</f>
        <v>1</v>
      </c>
      <c r="AH200" s="67">
        <f ca="1">IF(AND(SUMIF(Capacity_Resource,$D200,'Critical resources (hide)'!AU$6:AU$105)+SUMIF(Capacity_Resource,$E200,'Critical resources (hide)'!AU$6:AU$105)+SUMIF(Capacity_Resource,$F200,'Critical resources (hide)'!AU$6:AU$105)&gt;0,$E$1=2),0,1)</f>
        <v>1</v>
      </c>
      <c r="AI200" s="67">
        <f ca="1">IF(AND(SUMIF(Capacity_Resource,$D200,'Critical resources (hide)'!AV$6:AV$105)+SUMIF(Capacity_Resource,$E200,'Critical resources (hide)'!AV$6:AV$105)+SUMIF(Capacity_Resource,$F200,'Critical resources (hide)'!AV$6:AV$105)&gt;0,$E$1=2),0,1)</f>
        <v>1</v>
      </c>
      <c r="AJ200" s="67">
        <f ca="1">IF(AND(SUMIF(Capacity_Resource,$D200,'Critical resources (hide)'!AW$6:AW$105)+SUMIF(Capacity_Resource,$E200,'Critical resources (hide)'!AW$6:AW$105)+SUMIF(Capacity_Resource,$F200,'Critical resources (hide)'!AW$6:AW$105)&gt;0,$E$1=2),0,1)</f>
        <v>1</v>
      </c>
      <c r="AK200" s="67">
        <f ca="1">IF(AND(SUMIF(Capacity_Resource,$D200,'Critical resources (hide)'!AX$6:AX$105)+SUMIF(Capacity_Resource,$E200,'Critical resources (hide)'!AX$6:AX$105)+SUMIF(Capacity_Resource,$F200,'Critical resources (hide)'!AX$6:AX$105)&gt;0,$E$1=2),0,1)</f>
        <v>1</v>
      </c>
      <c r="AL200" s="67">
        <f ca="1">IF(AND(SUMIF(Capacity_Resource,$D200,'Critical resources (hide)'!AY$6:AY$105)+SUMIF(Capacity_Resource,$E200,'Critical resources (hide)'!AY$6:AY$105)+SUMIF(Capacity_Resource,$F200,'Critical resources (hide)'!AY$6:AY$105)&gt;0,$E$1=2),0,1)</f>
        <v>1</v>
      </c>
      <c r="AM200" s="67">
        <f ca="1">IF(AND(SUMIF(Capacity_Resource,$D200,'Critical resources (hide)'!AZ$6:AZ$105)+SUMIF(Capacity_Resource,$E200,'Critical resources (hide)'!AZ$6:AZ$105)+SUMIF(Capacity_Resource,$F200,'Critical resources (hide)'!AZ$6:AZ$105)&gt;0,$E$1=2),0,1)</f>
        <v>1</v>
      </c>
      <c r="AN200" s="67">
        <f ca="1">IF(AND(SUMIF(Capacity_Resource,$D200,'Critical resources (hide)'!BA$6:BA$105)+SUMIF(Capacity_Resource,$E200,'Critical resources (hide)'!BA$6:BA$105)+SUMIF(Capacity_Resource,$F200,'Critical resources (hide)'!BA$6:BA$105)&gt;0,$E$1=2),0,1)</f>
        <v>1</v>
      </c>
      <c r="AO200" s="67">
        <f ca="1">IF(AND(SUMIF(Capacity_Resource,$D200,'Critical resources (hide)'!BB$6:BB$105)+SUMIF(Capacity_Resource,$E200,'Critical resources (hide)'!BB$6:BB$105)+SUMIF(Capacity_Resource,$F200,'Critical resources (hide)'!BB$6:BB$105)&gt;0,$E$1=2),0,1)</f>
        <v>1</v>
      </c>
      <c r="AP200" s="67">
        <f ca="1">IF(AND(SUMIF(Capacity_Resource,$D200,'Critical resources (hide)'!BC$6:BC$105)+SUMIF(Capacity_Resource,$E200,'Critical resources (hide)'!BC$6:BC$105)+SUMIF(Capacity_Resource,$F200,'Critical resources (hide)'!BC$6:BC$105)&gt;0,$E$1=2),0,1)</f>
        <v>1</v>
      </c>
      <c r="AQ200" s="67">
        <f ca="1">IF(AND(SUMIF(Capacity_Resource,$D200,'Critical resources (hide)'!BD$6:BD$105)+SUMIF(Capacity_Resource,$E200,'Critical resources (hide)'!BD$6:BD$105)+SUMIF(Capacity_Resource,$F200,'Critical resources (hide)'!BD$6:BD$105)&gt;0,$E$1=2),0,1)</f>
        <v>1</v>
      </c>
      <c r="AR200" s="67">
        <f ca="1">IF(AND(SUMIF(Capacity_Resource,$D200,'Critical resources (hide)'!BE$6:BE$105)+SUMIF(Capacity_Resource,$E200,'Critical resources (hide)'!BE$6:BE$105)+SUMIF(Capacity_Resource,$F200,'Critical resources (hide)'!BE$6:BE$105)&gt;0,$E$1=2),0,1)</f>
        <v>1</v>
      </c>
      <c r="AS200" s="67">
        <f ca="1">IF(AND(SUMIF(Capacity_Resource,$D200,'Critical resources (hide)'!BF$6:BF$105)+SUMIF(Capacity_Resource,$E200,'Critical resources (hide)'!BF$6:BF$105)+SUMIF(Capacity_Resource,$F200,'Critical resources (hide)'!BF$6:BF$105)&gt;0,$E$1=2),0,1)</f>
        <v>1</v>
      </c>
      <c r="AT200" s="67">
        <f ca="1">IF(AND(SUMIF(Capacity_Resource,$D200,'Critical resources (hide)'!BG$6:BG$105)+SUMIF(Capacity_Resource,$E200,'Critical resources (hide)'!BG$6:BG$105)+SUMIF(Capacity_Resource,$F200,'Critical resources (hide)'!BG$6:BG$105)&gt;0,$E$1=2),0,1)</f>
        <v>1</v>
      </c>
      <c r="AU200" s="67">
        <f ca="1">IF(AND(SUMIF(Capacity_Resource,$D200,'Critical resources (hide)'!BH$6:BH$105)+SUMIF(Capacity_Resource,$E200,'Critical resources (hide)'!BH$6:BH$105)+SUMIF(Capacity_Resource,$F200,'Critical resources (hide)'!BH$6:BH$105)&gt;0,$E$1=2),0,1)</f>
        <v>1</v>
      </c>
      <c r="AV200" s="67">
        <f ca="1">IF(AND(SUMIF(Capacity_Resource,$D200,'Critical resources (hide)'!BI$6:BI$105)+SUMIF(Capacity_Resource,$E200,'Critical resources (hide)'!BI$6:BI$105)+SUMIF(Capacity_Resource,$F200,'Critical resources (hide)'!BI$6:BI$105)&gt;0,$E$1=2),0,1)</f>
        <v>1</v>
      </c>
      <c r="AW200" s="67">
        <f ca="1">IF(AND(SUMIF(Capacity_Resource,$D200,'Critical resources (hide)'!BJ$6:BJ$105)+SUMIF(Capacity_Resource,$E200,'Critical resources (hide)'!BJ$6:BJ$105)+SUMIF(Capacity_Resource,$F200,'Critical resources (hide)'!BJ$6:BJ$105)&gt;0,$E$1=2),0,1)</f>
        <v>1</v>
      </c>
      <c r="AX200" s="67">
        <f ca="1">IF(AND(SUMIF(Capacity_Resource,$D200,'Critical resources (hide)'!BK$6:BK$105)+SUMIF(Capacity_Resource,$E200,'Critical resources (hide)'!BK$6:BK$105)+SUMIF(Capacity_Resource,$F200,'Critical resources (hide)'!BK$6:BK$105)&gt;0,$E$1=2),0,1)</f>
        <v>1</v>
      </c>
      <c r="AY200" s="67">
        <f ca="1">IF(AND(SUMIF(Capacity_Resource,$D200,'Critical resources (hide)'!BL$6:BL$105)+SUMIF(Capacity_Resource,$E200,'Critical resources (hide)'!BL$6:BL$105)+SUMIF(Capacity_Resource,$F200,'Critical resources (hide)'!BL$6:BL$105)&gt;0,$E$1=2),0,1)</f>
        <v>1</v>
      </c>
      <c r="AZ200" s="67">
        <f ca="1">IF(AND(SUMIF(Capacity_Resource,$D200,'Critical resources (hide)'!BM$6:BM$105)+SUMIF(Capacity_Resource,$E200,'Critical resources (hide)'!BM$6:BM$105)+SUMIF(Capacity_Resource,$F200,'Critical resources (hide)'!BM$6:BM$105)&gt;0,$E$1=2),0,1)</f>
        <v>1</v>
      </c>
      <c r="BA200" s="67">
        <f ca="1">IF(AND(SUMIF(Capacity_Resource,$D200,'Critical resources (hide)'!BN$6:BN$105)+SUMIF(Capacity_Resource,$E200,'Critical resources (hide)'!BN$6:BN$105)+SUMIF(Capacity_Resource,$F200,'Critical resources (hide)'!BN$6:BN$105)&gt;0,$E$1=2),0,1)</f>
        <v>1</v>
      </c>
      <c r="BB200" s="67">
        <f ca="1">IF(AND(SUMIF(Capacity_Resource,$D200,'Critical resources (hide)'!BO$6:BO$105)+SUMIF(Capacity_Resource,$E200,'Critical resources (hide)'!BO$6:BO$105)+SUMIF(Capacity_Resource,$F200,'Critical resources (hide)'!BO$6:BO$105)&gt;0,$E$1=2),0,1)</f>
        <v>1</v>
      </c>
      <c r="BC200" s="67">
        <f ca="1">IF(AND(SUMIF(Capacity_Resource,$D200,'Critical resources (hide)'!BP$6:BP$105)+SUMIF(Capacity_Resource,$E200,'Critical resources (hide)'!BP$6:BP$105)+SUMIF(Capacity_Resource,$F200,'Critical resources (hide)'!BP$6:BP$105)&gt;0,$E$1=2),0,1)</f>
        <v>1</v>
      </c>
      <c r="BD200" s="67">
        <f ca="1">IF(AND(SUMIF(Capacity_Resource,$D200,'Critical resources (hide)'!BQ$6:BQ$105)+SUMIF(Capacity_Resource,$E200,'Critical resources (hide)'!BQ$6:BQ$105)+SUMIF(Capacity_Resource,$F200,'Critical resources (hide)'!BQ$6:BQ$105)&gt;0,$E$1=2),0,1)</f>
        <v>1</v>
      </c>
      <c r="BE200" s="67">
        <f ca="1">IF(AND(SUMIF(Capacity_Resource,$D200,'Critical resources (hide)'!BR$6:BR$105)+SUMIF(Capacity_Resource,$E200,'Critical resources (hide)'!BR$6:BR$105)+SUMIF(Capacity_Resource,$F200,'Critical resources (hide)'!BR$6:BR$105)&gt;0,$E$1=2),0,1)</f>
        <v>1</v>
      </c>
      <c r="BF200" s="67">
        <f ca="1">IF(AND(SUMIF(Capacity_Resource,$D200,'Critical resources (hide)'!BS$6:BS$105)+SUMIF(Capacity_Resource,$E200,'Critical resources (hide)'!BS$6:BS$105)+SUMIF(Capacity_Resource,$F200,'Critical resources (hide)'!BS$6:BS$105)&gt;0,$E$1=2),0,1)</f>
        <v>1</v>
      </c>
      <c r="BG200" s="67">
        <f ca="1">IF(AND(SUMIF(Capacity_Resource,$D200,'Critical resources (hide)'!BT$6:BT$105)+SUMIF(Capacity_Resource,$E200,'Critical resources (hide)'!BT$6:BT$105)+SUMIF(Capacity_Resource,$F200,'Critical resources (hide)'!BT$6:BT$105)&gt;0,$E$1=2),0,1)</f>
        <v>1</v>
      </c>
      <c r="BH200" s="67">
        <f>IF(ROW(A89)&lt;=Capacity!$M$16,IF('Capacity summary'!$C$14="No",SUM(H200:BG200),'Capacity summary'!$E112),0)</f>
        <v>0</v>
      </c>
      <c r="BI200" s="67" t="str">
        <f>IF(BH200&gt;0,IF(BH200&lt;Capacity!Q105,Capacity!R105,Capacity!T105/'Capacity calculation (hide)'!BH200),"")</f>
        <v/>
      </c>
      <c r="BJ200" s="5"/>
      <c r="BK200" s="5">
        <f>IF($BI200&lt;&gt;"",IF('Capacity summary'!$C$14="Yes",IF(COUNTBLANK('Capacity summary'!$H112:$BG112)&lt;52,IF('Capacity summary'!H112&lt;&gt;"",IF(LOWER('Capacity summary'!H112)="x",$BI200*H200,VALUE('Capacity summary'!H112)),0),H200*$BI200),H200*$BI200),0)</f>
        <v>0</v>
      </c>
      <c r="BL200" s="5">
        <f>IF($BI200&lt;&gt;"",IF('Capacity summary'!$C$14="Yes",IF(COUNTBLANK('Capacity summary'!$H112:$BG112)&lt;52,IF('Capacity summary'!I112&lt;&gt;"",IF(LOWER('Capacity summary'!I112)="x",$BI200*I200,VALUE('Capacity summary'!I112)),0),I200*$BI200),I200*$BI200),0)</f>
        <v>0</v>
      </c>
      <c r="BM200" s="5">
        <f>IF($BI200&lt;&gt;"",IF('Capacity summary'!$C$14="Yes",IF(COUNTBLANK('Capacity summary'!$H112:$BG112)&lt;52,IF('Capacity summary'!J112&lt;&gt;"",IF(LOWER('Capacity summary'!J112)="x",$BI200*J200,VALUE('Capacity summary'!J112)),0),J200*$BI200),J200*$BI200),0)</f>
        <v>0</v>
      </c>
      <c r="BN200" s="5">
        <f>IF($BI200&lt;&gt;"",IF('Capacity summary'!$C$14="Yes",IF(COUNTBLANK('Capacity summary'!$H112:$BG112)&lt;52,IF('Capacity summary'!K112&lt;&gt;"",IF(LOWER('Capacity summary'!K112)="x",$BI200*K200,VALUE('Capacity summary'!K112)),0),K200*$BI200),K200*$BI200),0)</f>
        <v>0</v>
      </c>
      <c r="BO200" s="5">
        <f>IF($BI200&lt;&gt;"",IF('Capacity summary'!$C$14="Yes",IF(COUNTBLANK('Capacity summary'!$H112:$BG112)&lt;52,IF('Capacity summary'!L112&lt;&gt;"",IF(LOWER('Capacity summary'!L112)="x",$BI200*L200,VALUE('Capacity summary'!L112)),0),L200*$BI200),L200*$BI200),0)</f>
        <v>0</v>
      </c>
      <c r="BP200" s="5">
        <f>IF($BI200&lt;&gt;"",IF('Capacity summary'!$C$14="Yes",IF(COUNTBLANK('Capacity summary'!$H112:$BG112)&lt;52,IF('Capacity summary'!M112&lt;&gt;"",IF(LOWER('Capacity summary'!M112)="x",$BI200*M200,VALUE('Capacity summary'!M112)),0),M200*$BI200),M200*$BI200),0)</f>
        <v>0</v>
      </c>
      <c r="BQ200" s="5">
        <f>IF($BI200&lt;&gt;"",IF('Capacity summary'!$C$14="Yes",IF(COUNTBLANK('Capacity summary'!$H112:$BG112)&lt;52,IF('Capacity summary'!N112&lt;&gt;"",IF(LOWER('Capacity summary'!N112)="x",$BI200*N200,VALUE('Capacity summary'!N112)),0),N200*$BI200),N200*$BI200),0)</f>
        <v>0</v>
      </c>
      <c r="BR200" s="5">
        <f>IF($BI200&lt;&gt;"",IF('Capacity summary'!$C$14="Yes",IF(COUNTBLANK('Capacity summary'!$H112:$BG112)&lt;52,IF('Capacity summary'!O112&lt;&gt;"",IF(LOWER('Capacity summary'!O112)="x",$BI200*O200,VALUE('Capacity summary'!O112)),0),O200*$BI200),O200*$BI200),0)</f>
        <v>0</v>
      </c>
      <c r="BS200" s="5">
        <f>IF($BI200&lt;&gt;"",IF('Capacity summary'!$C$14="Yes",IF(COUNTBLANK('Capacity summary'!$H112:$BG112)&lt;52,IF('Capacity summary'!P112&lt;&gt;"",IF(LOWER('Capacity summary'!P112)="x",$BI200*P200,VALUE('Capacity summary'!P112)),0),P200*$BI200),P200*$BI200),0)</f>
        <v>0</v>
      </c>
      <c r="BT200" s="5">
        <f>IF($BI200&lt;&gt;"",IF('Capacity summary'!$C$14="Yes",IF(COUNTBLANK('Capacity summary'!$H112:$BG112)&lt;52,IF('Capacity summary'!Q112&lt;&gt;"",IF(LOWER('Capacity summary'!Q112)="x",$BI200*Q200,VALUE('Capacity summary'!Q112)),0),Q200*$BI200),Q200*$BI200),0)</f>
        <v>0</v>
      </c>
      <c r="BU200" s="5">
        <f>IF($BI200&lt;&gt;"",IF('Capacity summary'!$C$14="Yes",IF(COUNTBLANK('Capacity summary'!$H112:$BG112)&lt;52,IF('Capacity summary'!R112&lt;&gt;"",IF(LOWER('Capacity summary'!R112)="x",$BI200*R200,VALUE('Capacity summary'!R112)),0),R200*$BI200),R200*$BI200),0)</f>
        <v>0</v>
      </c>
      <c r="BV200" s="5">
        <f>IF($BI200&lt;&gt;"",IF('Capacity summary'!$C$14="Yes",IF(COUNTBLANK('Capacity summary'!$H112:$BG112)&lt;52,IF('Capacity summary'!S112&lt;&gt;"",IF(LOWER('Capacity summary'!S112)="x",$BI200*S200,VALUE('Capacity summary'!S112)),0),S200*$BI200),S200*$BI200),0)</f>
        <v>0</v>
      </c>
      <c r="BW200" s="5">
        <f>IF($BI200&lt;&gt;"",IF('Capacity summary'!$C$14="Yes",IF(COUNTBLANK('Capacity summary'!$H112:$BG112)&lt;52,IF('Capacity summary'!T112&lt;&gt;"",IF(LOWER('Capacity summary'!T112)="x",$BI200*T200,VALUE('Capacity summary'!T112)),0),T200*$BI200),T200*$BI200),0)</f>
        <v>0</v>
      </c>
      <c r="BX200" s="5">
        <f>IF($BI200&lt;&gt;"",IF('Capacity summary'!$C$14="Yes",IF(COUNTBLANK('Capacity summary'!$H112:$BG112)&lt;52,IF('Capacity summary'!U112&lt;&gt;"",IF(LOWER('Capacity summary'!U112)="x",$BI200*U200,VALUE('Capacity summary'!U112)),0),U200*$BI200),U200*$BI200),0)</f>
        <v>0</v>
      </c>
      <c r="BY200" s="5">
        <f>IF($BI200&lt;&gt;"",IF('Capacity summary'!$C$14="Yes",IF(COUNTBLANK('Capacity summary'!$H112:$BG112)&lt;52,IF('Capacity summary'!V112&lt;&gt;"",IF(LOWER('Capacity summary'!V112)="x",$BI200*V200,VALUE('Capacity summary'!V112)),0),V200*$BI200),V200*$BI200),0)</f>
        <v>0</v>
      </c>
      <c r="BZ200" s="5">
        <f>IF($BI200&lt;&gt;"",IF('Capacity summary'!$C$14="Yes",IF(COUNTBLANK('Capacity summary'!$H112:$BG112)&lt;52,IF('Capacity summary'!W112&lt;&gt;"",IF(LOWER('Capacity summary'!W112)="x",$BI200*W200,VALUE('Capacity summary'!W112)),0),W200*$BI200),W200*$BI200),0)</f>
        <v>0</v>
      </c>
      <c r="CA200" s="5">
        <f>IF($BI200&lt;&gt;"",IF('Capacity summary'!$C$14="Yes",IF(COUNTBLANK('Capacity summary'!$H112:$BG112)&lt;52,IF('Capacity summary'!X112&lt;&gt;"",IF(LOWER('Capacity summary'!X112)="x",$BI200*X200,VALUE('Capacity summary'!X112)),0),X200*$BI200),X200*$BI200),0)</f>
        <v>0</v>
      </c>
      <c r="CB200" s="5">
        <f>IF($BI200&lt;&gt;"",IF('Capacity summary'!$C$14="Yes",IF(COUNTBLANK('Capacity summary'!$H112:$BG112)&lt;52,IF('Capacity summary'!Y112&lt;&gt;"",IF(LOWER('Capacity summary'!Y112)="x",$BI200*Y200,VALUE('Capacity summary'!Y112)),0),Y200*$BI200),Y200*$BI200),0)</f>
        <v>0</v>
      </c>
      <c r="CC200" s="5">
        <f>IF($BI200&lt;&gt;"",IF('Capacity summary'!$C$14="Yes",IF(COUNTBLANK('Capacity summary'!$H112:$BG112)&lt;52,IF('Capacity summary'!Z112&lt;&gt;"",IF(LOWER('Capacity summary'!Z112)="x",$BI200*Z200,VALUE('Capacity summary'!Z112)),0),Z200*$BI200),Z200*$BI200),0)</f>
        <v>0</v>
      </c>
      <c r="CD200" s="5">
        <f>IF($BI200&lt;&gt;"",IF('Capacity summary'!$C$14="Yes",IF(COUNTBLANK('Capacity summary'!$H112:$BG112)&lt;52,IF('Capacity summary'!AA112&lt;&gt;"",IF(LOWER('Capacity summary'!AA112)="x",$BI200*AA200,VALUE('Capacity summary'!AA112)),0),AA200*$BI200),AA200*$BI200),0)</f>
        <v>0</v>
      </c>
      <c r="CE200" s="5">
        <f>IF($BI200&lt;&gt;"",IF('Capacity summary'!$C$14="Yes",IF(COUNTBLANK('Capacity summary'!$H112:$BG112)&lt;52,IF('Capacity summary'!AB112&lt;&gt;"",IF(LOWER('Capacity summary'!AB112)="x",$BI200*AB200,VALUE('Capacity summary'!AB112)),0),AB200*$BI200),AB200*$BI200),0)</f>
        <v>0</v>
      </c>
      <c r="CF200" s="5">
        <f>IF($BI200&lt;&gt;"",IF('Capacity summary'!$C$14="Yes",IF(COUNTBLANK('Capacity summary'!$H112:$BG112)&lt;52,IF('Capacity summary'!AC112&lt;&gt;"",IF(LOWER('Capacity summary'!AC112)="x",$BI200*AC200,VALUE('Capacity summary'!AC112)),0),AC200*$BI200),AC200*$BI200),0)</f>
        <v>0</v>
      </c>
      <c r="CG200" s="5">
        <f>IF($BI200&lt;&gt;"",IF('Capacity summary'!$C$14="Yes",IF(COUNTBLANK('Capacity summary'!$H112:$BG112)&lt;52,IF('Capacity summary'!AD112&lt;&gt;"",IF(LOWER('Capacity summary'!AD112)="x",$BI200*AD200,VALUE('Capacity summary'!AD112)),0),AD200*$BI200),AD200*$BI200),0)</f>
        <v>0</v>
      </c>
      <c r="CH200" s="5">
        <f>IF($BI200&lt;&gt;"",IF('Capacity summary'!$C$14="Yes",IF(COUNTBLANK('Capacity summary'!$H112:$BG112)&lt;52,IF('Capacity summary'!AE112&lt;&gt;"",IF(LOWER('Capacity summary'!AE112)="x",$BI200*AE200,VALUE('Capacity summary'!AE112)),0),AE200*$BI200),AE200*$BI200),0)</f>
        <v>0</v>
      </c>
      <c r="CI200" s="5">
        <f>IF($BI200&lt;&gt;"",IF('Capacity summary'!$C$14="Yes",IF(COUNTBLANK('Capacity summary'!$H112:$BG112)&lt;52,IF('Capacity summary'!AF112&lt;&gt;"",IF(LOWER('Capacity summary'!AF112)="x",$BI200*AF200,VALUE('Capacity summary'!AF112)),0),AF200*$BI200),AF200*$BI200),0)</f>
        <v>0</v>
      </c>
      <c r="CJ200" s="5">
        <f>IF($BI200&lt;&gt;"",IF('Capacity summary'!$C$14="Yes",IF(COUNTBLANK('Capacity summary'!$H112:$BG112)&lt;52,IF('Capacity summary'!AG112&lt;&gt;"",IF(LOWER('Capacity summary'!AG112)="x",$BI200*AG200,VALUE('Capacity summary'!AG112)),0),AG200*$BI200),AG200*$BI200),0)</f>
        <v>0</v>
      </c>
      <c r="CK200" s="5">
        <f>IF($BI200&lt;&gt;"",IF('Capacity summary'!$C$14="Yes",IF(COUNTBLANK('Capacity summary'!$H112:$BG112)&lt;52,IF('Capacity summary'!AH112&lt;&gt;"",IF(LOWER('Capacity summary'!AH112)="x",$BI200*AH200,VALUE('Capacity summary'!AH112)),0),AH200*$BI200),AH200*$BI200),0)</f>
        <v>0</v>
      </c>
      <c r="CL200" s="5">
        <f>IF($BI200&lt;&gt;"",IF('Capacity summary'!$C$14="Yes",IF(COUNTBLANK('Capacity summary'!$H112:$BG112)&lt;52,IF('Capacity summary'!AI112&lt;&gt;"",IF(LOWER('Capacity summary'!AI112)="x",$BI200*AI200,VALUE('Capacity summary'!AI112)),0),AI200*$BI200),AI200*$BI200),0)</f>
        <v>0</v>
      </c>
      <c r="CM200" s="5">
        <f>IF($BI200&lt;&gt;"",IF('Capacity summary'!$C$14="Yes",IF(COUNTBLANK('Capacity summary'!$H112:$BG112)&lt;52,IF('Capacity summary'!AJ112&lt;&gt;"",IF(LOWER('Capacity summary'!AJ112)="x",$BI200*AJ200,VALUE('Capacity summary'!AJ112)),0),AJ200*$BI200),AJ200*$BI200),0)</f>
        <v>0</v>
      </c>
      <c r="CN200" s="5">
        <f>IF($BI200&lt;&gt;"",IF('Capacity summary'!$C$14="Yes",IF(COUNTBLANK('Capacity summary'!$H112:$BG112)&lt;52,IF('Capacity summary'!AK112&lt;&gt;"",IF(LOWER('Capacity summary'!AK112)="x",$BI200*AK200,VALUE('Capacity summary'!AK112)),0),AK200*$BI200),AK200*$BI200),0)</f>
        <v>0</v>
      </c>
      <c r="CO200" s="5">
        <f>IF($BI200&lt;&gt;"",IF('Capacity summary'!$C$14="Yes",IF(COUNTBLANK('Capacity summary'!$H112:$BG112)&lt;52,IF('Capacity summary'!AL112&lt;&gt;"",IF(LOWER('Capacity summary'!AL112)="x",$BI200*AL200,VALUE('Capacity summary'!AL112)),0),AL200*$BI200),AL200*$BI200),0)</f>
        <v>0</v>
      </c>
      <c r="CP200" s="5">
        <f>IF($BI200&lt;&gt;"",IF('Capacity summary'!$C$14="Yes",IF(COUNTBLANK('Capacity summary'!$H112:$BG112)&lt;52,IF('Capacity summary'!AM112&lt;&gt;"",IF(LOWER('Capacity summary'!AM112)="x",$BI200*AM200,VALUE('Capacity summary'!AM112)),0),AM200*$BI200),AM200*$BI200),0)</f>
        <v>0</v>
      </c>
      <c r="CQ200" s="5">
        <f>IF($BI200&lt;&gt;"",IF('Capacity summary'!$C$14="Yes",IF(COUNTBLANK('Capacity summary'!$H112:$BG112)&lt;52,IF('Capacity summary'!AN112&lt;&gt;"",IF(LOWER('Capacity summary'!AN112)="x",$BI200*AN200,VALUE('Capacity summary'!AN112)),0),AN200*$BI200),AN200*$BI200),0)</f>
        <v>0</v>
      </c>
      <c r="CR200" s="5">
        <f>IF($BI200&lt;&gt;"",IF('Capacity summary'!$C$14="Yes",IF(COUNTBLANK('Capacity summary'!$H112:$BG112)&lt;52,IF('Capacity summary'!AO112&lt;&gt;"",IF(LOWER('Capacity summary'!AO112)="x",$BI200*AO200,VALUE('Capacity summary'!AO112)),0),AO200*$BI200),AO200*$BI200),0)</f>
        <v>0</v>
      </c>
      <c r="CS200" s="5">
        <f>IF($BI200&lt;&gt;"",IF('Capacity summary'!$C$14="Yes",IF(COUNTBLANK('Capacity summary'!$H112:$BG112)&lt;52,IF('Capacity summary'!AP112&lt;&gt;"",IF(LOWER('Capacity summary'!AP112)="x",$BI200*AP200,VALUE('Capacity summary'!AP112)),0),AP200*$BI200),AP200*$BI200),0)</f>
        <v>0</v>
      </c>
      <c r="CT200" s="5">
        <f>IF($BI200&lt;&gt;"",IF('Capacity summary'!$C$14="Yes",IF(COUNTBLANK('Capacity summary'!$H112:$BG112)&lt;52,IF('Capacity summary'!AQ112&lt;&gt;"",IF(LOWER('Capacity summary'!AQ112)="x",$BI200*AQ200,VALUE('Capacity summary'!AQ112)),0),AQ200*$BI200),AQ200*$BI200),0)</f>
        <v>0</v>
      </c>
      <c r="CU200" s="5">
        <f>IF($BI200&lt;&gt;"",IF('Capacity summary'!$C$14="Yes",IF(COUNTBLANK('Capacity summary'!$H112:$BG112)&lt;52,IF('Capacity summary'!AR112&lt;&gt;"",IF(LOWER('Capacity summary'!AR112)="x",$BI200*AR200,VALUE('Capacity summary'!AR112)),0),AR200*$BI200),AR200*$BI200),0)</f>
        <v>0</v>
      </c>
      <c r="CV200" s="5">
        <f>IF($BI200&lt;&gt;"",IF('Capacity summary'!$C$14="Yes",IF(COUNTBLANK('Capacity summary'!$H112:$BG112)&lt;52,IF('Capacity summary'!AS112&lt;&gt;"",IF(LOWER('Capacity summary'!AS112)="x",$BI200*AS200,VALUE('Capacity summary'!AS112)),0),AS200*$BI200),AS200*$BI200),0)</f>
        <v>0</v>
      </c>
      <c r="CW200" s="5">
        <f>IF($BI200&lt;&gt;"",IF('Capacity summary'!$C$14="Yes",IF(COUNTBLANK('Capacity summary'!$H112:$BG112)&lt;52,IF('Capacity summary'!AT112&lt;&gt;"",IF(LOWER('Capacity summary'!AT112)="x",$BI200*AT200,VALUE('Capacity summary'!AT112)),0),AT200*$BI200),AT200*$BI200),0)</f>
        <v>0</v>
      </c>
      <c r="CX200" s="5">
        <f>IF($BI200&lt;&gt;"",IF('Capacity summary'!$C$14="Yes",IF(COUNTBLANK('Capacity summary'!$H112:$BG112)&lt;52,IF('Capacity summary'!AU112&lt;&gt;"",IF(LOWER('Capacity summary'!AU112)="x",$BI200*AU200,VALUE('Capacity summary'!AU112)),0),AU200*$BI200),AU200*$BI200),0)</f>
        <v>0</v>
      </c>
      <c r="CY200" s="5">
        <f>IF($BI200&lt;&gt;"",IF('Capacity summary'!$C$14="Yes",IF(COUNTBLANK('Capacity summary'!$H112:$BG112)&lt;52,IF('Capacity summary'!AV112&lt;&gt;"",IF(LOWER('Capacity summary'!AV112)="x",$BI200*AV200,VALUE('Capacity summary'!AV112)),0),AV200*$BI200),AV200*$BI200),0)</f>
        <v>0</v>
      </c>
      <c r="CZ200" s="5">
        <f>IF($BI200&lt;&gt;"",IF('Capacity summary'!$C$14="Yes",IF(COUNTBLANK('Capacity summary'!$H112:$BG112)&lt;52,IF('Capacity summary'!AW112&lt;&gt;"",IF(LOWER('Capacity summary'!AW112)="x",$BI200*AW200,VALUE('Capacity summary'!AW112)),0),AW200*$BI200),AW200*$BI200),0)</f>
        <v>0</v>
      </c>
      <c r="DA200" s="5">
        <f>IF($BI200&lt;&gt;"",IF('Capacity summary'!$C$14="Yes",IF(COUNTBLANK('Capacity summary'!$H112:$BG112)&lt;52,IF('Capacity summary'!AX112&lt;&gt;"",IF(LOWER('Capacity summary'!AX112)="x",$BI200*AX200,VALUE('Capacity summary'!AX112)),0),AX200*$BI200),AX200*$BI200),0)</f>
        <v>0</v>
      </c>
      <c r="DB200" s="5">
        <f>IF($BI200&lt;&gt;"",IF('Capacity summary'!$C$14="Yes",IF(COUNTBLANK('Capacity summary'!$H112:$BG112)&lt;52,IF('Capacity summary'!AY112&lt;&gt;"",IF(LOWER('Capacity summary'!AY112)="x",$BI200*AY200,VALUE('Capacity summary'!AY112)),0),AY200*$BI200),AY200*$BI200),0)</f>
        <v>0</v>
      </c>
      <c r="DC200" s="5">
        <f>IF($BI200&lt;&gt;"",IF('Capacity summary'!$C$14="Yes",IF(COUNTBLANK('Capacity summary'!$H112:$BG112)&lt;52,IF('Capacity summary'!AZ112&lt;&gt;"",IF(LOWER('Capacity summary'!AZ112)="x",$BI200*AZ200,VALUE('Capacity summary'!AZ112)),0),AZ200*$BI200),AZ200*$BI200),0)</f>
        <v>0</v>
      </c>
      <c r="DD200" s="5">
        <f>IF($BI200&lt;&gt;"",IF('Capacity summary'!$C$14="Yes",IF(COUNTBLANK('Capacity summary'!$H112:$BG112)&lt;52,IF('Capacity summary'!BA112&lt;&gt;"",IF(LOWER('Capacity summary'!BA112)="x",$BI200*BA200,VALUE('Capacity summary'!BA112)),0),BA200*$BI200),BA200*$BI200),0)</f>
        <v>0</v>
      </c>
      <c r="DE200" s="5">
        <f>IF($BI200&lt;&gt;"",IF('Capacity summary'!$C$14="Yes",IF(COUNTBLANK('Capacity summary'!$H112:$BG112)&lt;52,IF('Capacity summary'!BB112&lt;&gt;"",IF(LOWER('Capacity summary'!BB112)="x",$BI200*BB200,VALUE('Capacity summary'!BB112)),0),BB200*$BI200),BB200*$BI200),0)</f>
        <v>0</v>
      </c>
      <c r="DF200" s="5">
        <f>IF($BI200&lt;&gt;"",IF('Capacity summary'!$C$14="Yes",IF(COUNTBLANK('Capacity summary'!$H112:$BG112)&lt;52,IF('Capacity summary'!BC112&lt;&gt;"",IF(LOWER('Capacity summary'!BC112)="x",$BI200*BC200,VALUE('Capacity summary'!BC112)),0),BC200*$BI200),BC200*$BI200),0)</f>
        <v>0</v>
      </c>
      <c r="DG200" s="5">
        <f>IF($BI200&lt;&gt;"",IF('Capacity summary'!$C$14="Yes",IF(COUNTBLANK('Capacity summary'!$H112:$BG112)&lt;52,IF('Capacity summary'!BD112&lt;&gt;"",IF(LOWER('Capacity summary'!BD112)="x",$BI200*BD200,VALUE('Capacity summary'!BD112)),0),BD200*$BI200),BD200*$BI200),0)</f>
        <v>0</v>
      </c>
      <c r="DH200" s="5">
        <f>IF($BI200&lt;&gt;"",IF('Capacity summary'!$C$14="Yes",IF(COUNTBLANK('Capacity summary'!$H112:$BG112)&lt;52,IF('Capacity summary'!BE112&lt;&gt;"",IF(LOWER('Capacity summary'!BE112)="x",$BI200*BE200,VALUE('Capacity summary'!BE112)),0),BE200*$BI200),BE200*$BI200),0)</f>
        <v>0</v>
      </c>
      <c r="DI200" s="5">
        <f>IF($BI200&lt;&gt;"",IF('Capacity summary'!$C$14="Yes",IF(COUNTBLANK('Capacity summary'!$H112:$BG112)&lt;52,IF('Capacity summary'!BF112&lt;&gt;"",IF(LOWER('Capacity summary'!BF112)="x",$BI200*BF200,VALUE('Capacity summary'!BF112)),0),BF200*$BI200),BF200*$BI200),0)</f>
        <v>0</v>
      </c>
      <c r="DJ200" s="5">
        <f>IF($BI200&lt;&gt;"",IF('Capacity summary'!$C$14="Yes",IF(COUNTBLANK('Capacity summary'!$H112:$BG112)&lt;52,IF('Capacity summary'!BG112&lt;&gt;"",IF(LOWER('Capacity summary'!BG112)="x",$BI200*BG200,VALUE('Capacity summary'!BG112)),0),BG200*$BI200),BG200*$BI200),0)</f>
        <v>0</v>
      </c>
      <c r="DK200" s="5">
        <f t="shared" ref="DK200" si="94">SUM(DK201:DK300)</f>
        <v>0</v>
      </c>
    </row>
    <row r="201" spans="3:115" x14ac:dyDescent="0.25">
      <c r="C201" s="67" t="str">
        <f>ROW(A90)&amp;". "&amp;Capacity!N106</f>
        <v xml:space="preserve">90. </v>
      </c>
      <c r="D201" s="67">
        <f>'Capacity setup'!C207</f>
        <v>0</v>
      </c>
      <c r="E201" s="67">
        <f>'Capacity setup'!D207</f>
        <v>0</v>
      </c>
      <c r="F201" s="67">
        <f>'Capacity setup'!E207</f>
        <v>0</v>
      </c>
      <c r="H201" s="67">
        <f ca="1">IF(AND(SUMIF(Capacity_Resource,$D201,'Critical resources (hide)'!U$6:U$105)+SUMIF(Capacity_Resource,$E201,'Critical resources (hide)'!U$6:U$105)+SUMIF(Capacity_Resource,$F201,'Critical resources (hide)'!U$6:U$105)&gt;0,$E$1=2),0,1)</f>
        <v>1</v>
      </c>
      <c r="I201" s="67">
        <f ca="1">IF(AND(SUMIF(Capacity_Resource,$D201,'Critical resources (hide)'!V$6:V$105)+SUMIF(Capacity_Resource,$E201,'Critical resources (hide)'!V$6:V$105)+SUMIF(Capacity_Resource,$F201,'Critical resources (hide)'!V$6:V$105)&gt;0,$E$1=2),0,1)</f>
        <v>1</v>
      </c>
      <c r="J201" s="67">
        <f ca="1">IF(AND(SUMIF(Capacity_Resource,$D201,'Critical resources (hide)'!W$6:W$105)+SUMIF(Capacity_Resource,$E201,'Critical resources (hide)'!W$6:W$105)+SUMIF(Capacity_Resource,$F201,'Critical resources (hide)'!W$6:W$105)&gt;0,$E$1=2),0,1)</f>
        <v>1</v>
      </c>
      <c r="K201" s="67">
        <f ca="1">IF(AND(SUMIF(Capacity_Resource,$D201,'Critical resources (hide)'!X$6:X$105)+SUMIF(Capacity_Resource,$E201,'Critical resources (hide)'!X$6:X$105)+SUMIF(Capacity_Resource,$F201,'Critical resources (hide)'!X$6:X$105)&gt;0,$E$1=2),0,1)</f>
        <v>1</v>
      </c>
      <c r="L201" s="67">
        <f ca="1">IF(AND(SUMIF(Capacity_Resource,$D201,'Critical resources (hide)'!Y$6:Y$105)+SUMIF(Capacity_Resource,$E201,'Critical resources (hide)'!Y$6:Y$105)+SUMIF(Capacity_Resource,$F201,'Critical resources (hide)'!Y$6:Y$105)&gt;0,$E$1=2),0,1)</f>
        <v>1</v>
      </c>
      <c r="M201" s="67">
        <f ca="1">IF(AND(SUMIF(Capacity_Resource,$D201,'Critical resources (hide)'!Z$6:Z$105)+SUMIF(Capacity_Resource,$E201,'Critical resources (hide)'!Z$6:Z$105)+SUMIF(Capacity_Resource,$F201,'Critical resources (hide)'!Z$6:Z$105)&gt;0,$E$1=2),0,1)</f>
        <v>1</v>
      </c>
      <c r="N201" s="67">
        <f ca="1">IF(AND(SUMIF(Capacity_Resource,$D201,'Critical resources (hide)'!AA$6:AA$105)+SUMIF(Capacity_Resource,$E201,'Critical resources (hide)'!AA$6:AA$105)+SUMIF(Capacity_Resource,$F201,'Critical resources (hide)'!AA$6:AA$105)&gt;0,$E$1=2),0,1)</f>
        <v>1</v>
      </c>
      <c r="O201" s="67">
        <f ca="1">IF(AND(SUMIF(Capacity_Resource,$D201,'Critical resources (hide)'!AB$6:AB$105)+SUMIF(Capacity_Resource,$E201,'Critical resources (hide)'!AB$6:AB$105)+SUMIF(Capacity_Resource,$F201,'Critical resources (hide)'!AB$6:AB$105)&gt;0,$E$1=2),0,1)</f>
        <v>1</v>
      </c>
      <c r="P201" s="67">
        <f ca="1">IF(AND(SUMIF(Capacity_Resource,$D201,'Critical resources (hide)'!AC$6:AC$105)+SUMIF(Capacity_Resource,$E201,'Critical resources (hide)'!AC$6:AC$105)+SUMIF(Capacity_Resource,$F201,'Critical resources (hide)'!AC$6:AC$105)&gt;0,$E$1=2),0,1)</f>
        <v>1</v>
      </c>
      <c r="Q201" s="67">
        <f ca="1">IF(AND(SUMIF(Capacity_Resource,$D201,'Critical resources (hide)'!AD$6:AD$105)+SUMIF(Capacity_Resource,$E201,'Critical resources (hide)'!AD$6:AD$105)+SUMIF(Capacity_Resource,$F201,'Critical resources (hide)'!AD$6:AD$105)&gt;0,$E$1=2),0,1)</f>
        <v>1</v>
      </c>
      <c r="R201" s="67">
        <f ca="1">IF(AND(SUMIF(Capacity_Resource,$D201,'Critical resources (hide)'!AE$6:AE$105)+SUMIF(Capacity_Resource,$E201,'Critical resources (hide)'!AE$6:AE$105)+SUMIF(Capacity_Resource,$F201,'Critical resources (hide)'!AE$6:AE$105)&gt;0,$E$1=2),0,1)</f>
        <v>1</v>
      </c>
      <c r="S201" s="67">
        <f ca="1">IF(AND(SUMIF(Capacity_Resource,$D201,'Critical resources (hide)'!AF$6:AF$105)+SUMIF(Capacity_Resource,$E201,'Critical resources (hide)'!AF$6:AF$105)+SUMIF(Capacity_Resource,$F201,'Critical resources (hide)'!AF$6:AF$105)&gt;0,$E$1=2),0,1)</f>
        <v>1</v>
      </c>
      <c r="T201" s="67">
        <f ca="1">IF(AND(SUMIF(Capacity_Resource,$D201,'Critical resources (hide)'!AG$6:AG$105)+SUMIF(Capacity_Resource,$E201,'Critical resources (hide)'!AG$6:AG$105)+SUMIF(Capacity_Resource,$F201,'Critical resources (hide)'!AG$6:AG$105)&gt;0,$E$1=2),0,1)</f>
        <v>1</v>
      </c>
      <c r="U201" s="67">
        <f ca="1">IF(AND(SUMIF(Capacity_Resource,$D201,'Critical resources (hide)'!AH$6:AH$105)+SUMIF(Capacity_Resource,$E201,'Critical resources (hide)'!AH$6:AH$105)+SUMIF(Capacity_Resource,$F201,'Critical resources (hide)'!AH$6:AH$105)&gt;0,$E$1=2),0,1)</f>
        <v>1</v>
      </c>
      <c r="V201" s="67">
        <f ca="1">IF(AND(SUMIF(Capacity_Resource,$D201,'Critical resources (hide)'!AI$6:AI$105)+SUMIF(Capacity_Resource,$E201,'Critical resources (hide)'!AI$6:AI$105)+SUMIF(Capacity_Resource,$F201,'Critical resources (hide)'!AI$6:AI$105)&gt;0,$E$1=2),0,1)</f>
        <v>1</v>
      </c>
      <c r="W201" s="67">
        <f ca="1">IF(AND(SUMIF(Capacity_Resource,$D201,'Critical resources (hide)'!AJ$6:AJ$105)+SUMIF(Capacity_Resource,$E201,'Critical resources (hide)'!AJ$6:AJ$105)+SUMIF(Capacity_Resource,$F201,'Critical resources (hide)'!AJ$6:AJ$105)&gt;0,$E$1=2),0,1)</f>
        <v>1</v>
      </c>
      <c r="X201" s="67">
        <f ca="1">IF(AND(SUMIF(Capacity_Resource,$D201,'Critical resources (hide)'!AK$6:AK$105)+SUMIF(Capacity_Resource,$E201,'Critical resources (hide)'!AK$6:AK$105)+SUMIF(Capacity_Resource,$F201,'Critical resources (hide)'!AK$6:AK$105)&gt;0,$E$1=2),0,1)</f>
        <v>1</v>
      </c>
      <c r="Y201" s="67">
        <f ca="1">IF(AND(SUMIF(Capacity_Resource,$D201,'Critical resources (hide)'!AL$6:AL$105)+SUMIF(Capacity_Resource,$E201,'Critical resources (hide)'!AL$6:AL$105)+SUMIF(Capacity_Resource,$F201,'Critical resources (hide)'!AL$6:AL$105)&gt;0,$E$1=2),0,1)</f>
        <v>1</v>
      </c>
      <c r="Z201" s="67">
        <f ca="1">IF(AND(SUMIF(Capacity_Resource,$D201,'Critical resources (hide)'!AM$6:AM$105)+SUMIF(Capacity_Resource,$E201,'Critical resources (hide)'!AM$6:AM$105)+SUMIF(Capacity_Resource,$F201,'Critical resources (hide)'!AM$6:AM$105)&gt;0,$E$1=2),0,1)</f>
        <v>1</v>
      </c>
      <c r="AA201" s="67">
        <f ca="1">IF(AND(SUMIF(Capacity_Resource,$D201,'Critical resources (hide)'!AN$6:AN$105)+SUMIF(Capacity_Resource,$E201,'Critical resources (hide)'!AN$6:AN$105)+SUMIF(Capacity_Resource,$F201,'Critical resources (hide)'!AN$6:AN$105)&gt;0,$E$1=2),0,1)</f>
        <v>1</v>
      </c>
      <c r="AB201" s="67">
        <f ca="1">IF(AND(SUMIF(Capacity_Resource,$D201,'Critical resources (hide)'!AO$6:AO$105)+SUMIF(Capacity_Resource,$E201,'Critical resources (hide)'!AO$6:AO$105)+SUMIF(Capacity_Resource,$F201,'Critical resources (hide)'!AO$6:AO$105)&gt;0,$E$1=2),0,1)</f>
        <v>1</v>
      </c>
      <c r="AC201" s="67">
        <f ca="1">IF(AND(SUMIF(Capacity_Resource,$D201,'Critical resources (hide)'!AP$6:AP$105)+SUMIF(Capacity_Resource,$E201,'Critical resources (hide)'!AP$6:AP$105)+SUMIF(Capacity_Resource,$F201,'Critical resources (hide)'!AP$6:AP$105)&gt;0,$E$1=2),0,1)</f>
        <v>1</v>
      </c>
      <c r="AD201" s="67">
        <f ca="1">IF(AND(SUMIF(Capacity_Resource,$D201,'Critical resources (hide)'!AQ$6:AQ$105)+SUMIF(Capacity_Resource,$E201,'Critical resources (hide)'!AQ$6:AQ$105)+SUMIF(Capacity_Resource,$F201,'Critical resources (hide)'!AQ$6:AQ$105)&gt;0,$E$1=2),0,1)</f>
        <v>1</v>
      </c>
      <c r="AE201" s="67">
        <f ca="1">IF(AND(SUMIF(Capacity_Resource,$D201,'Critical resources (hide)'!AR$6:AR$105)+SUMIF(Capacity_Resource,$E201,'Critical resources (hide)'!AR$6:AR$105)+SUMIF(Capacity_Resource,$F201,'Critical resources (hide)'!AR$6:AR$105)&gt;0,$E$1=2),0,1)</f>
        <v>1</v>
      </c>
      <c r="AF201" s="67">
        <f ca="1">IF(AND(SUMIF(Capacity_Resource,$D201,'Critical resources (hide)'!AS$6:AS$105)+SUMIF(Capacity_Resource,$E201,'Critical resources (hide)'!AS$6:AS$105)+SUMIF(Capacity_Resource,$F201,'Critical resources (hide)'!AS$6:AS$105)&gt;0,$E$1=2),0,1)</f>
        <v>1</v>
      </c>
      <c r="AG201" s="67">
        <f ca="1">IF(AND(SUMIF(Capacity_Resource,$D201,'Critical resources (hide)'!AT$6:AT$105)+SUMIF(Capacity_Resource,$E201,'Critical resources (hide)'!AT$6:AT$105)+SUMIF(Capacity_Resource,$F201,'Critical resources (hide)'!AT$6:AT$105)&gt;0,$E$1=2),0,1)</f>
        <v>1</v>
      </c>
      <c r="AH201" s="67">
        <f ca="1">IF(AND(SUMIF(Capacity_Resource,$D201,'Critical resources (hide)'!AU$6:AU$105)+SUMIF(Capacity_Resource,$E201,'Critical resources (hide)'!AU$6:AU$105)+SUMIF(Capacity_Resource,$F201,'Critical resources (hide)'!AU$6:AU$105)&gt;0,$E$1=2),0,1)</f>
        <v>1</v>
      </c>
      <c r="AI201" s="67">
        <f ca="1">IF(AND(SUMIF(Capacity_Resource,$D201,'Critical resources (hide)'!AV$6:AV$105)+SUMIF(Capacity_Resource,$E201,'Critical resources (hide)'!AV$6:AV$105)+SUMIF(Capacity_Resource,$F201,'Critical resources (hide)'!AV$6:AV$105)&gt;0,$E$1=2),0,1)</f>
        <v>1</v>
      </c>
      <c r="AJ201" s="67">
        <f ca="1">IF(AND(SUMIF(Capacity_Resource,$D201,'Critical resources (hide)'!AW$6:AW$105)+SUMIF(Capacity_Resource,$E201,'Critical resources (hide)'!AW$6:AW$105)+SUMIF(Capacity_Resource,$F201,'Critical resources (hide)'!AW$6:AW$105)&gt;0,$E$1=2),0,1)</f>
        <v>1</v>
      </c>
      <c r="AK201" s="67">
        <f ca="1">IF(AND(SUMIF(Capacity_Resource,$D201,'Critical resources (hide)'!AX$6:AX$105)+SUMIF(Capacity_Resource,$E201,'Critical resources (hide)'!AX$6:AX$105)+SUMIF(Capacity_Resource,$F201,'Critical resources (hide)'!AX$6:AX$105)&gt;0,$E$1=2),0,1)</f>
        <v>1</v>
      </c>
      <c r="AL201" s="67">
        <f ca="1">IF(AND(SUMIF(Capacity_Resource,$D201,'Critical resources (hide)'!AY$6:AY$105)+SUMIF(Capacity_Resource,$E201,'Critical resources (hide)'!AY$6:AY$105)+SUMIF(Capacity_Resource,$F201,'Critical resources (hide)'!AY$6:AY$105)&gt;0,$E$1=2),0,1)</f>
        <v>1</v>
      </c>
      <c r="AM201" s="67">
        <f ca="1">IF(AND(SUMIF(Capacity_Resource,$D201,'Critical resources (hide)'!AZ$6:AZ$105)+SUMIF(Capacity_Resource,$E201,'Critical resources (hide)'!AZ$6:AZ$105)+SUMIF(Capacity_Resource,$F201,'Critical resources (hide)'!AZ$6:AZ$105)&gt;0,$E$1=2),0,1)</f>
        <v>1</v>
      </c>
      <c r="AN201" s="67">
        <f ca="1">IF(AND(SUMIF(Capacity_Resource,$D201,'Critical resources (hide)'!BA$6:BA$105)+SUMIF(Capacity_Resource,$E201,'Critical resources (hide)'!BA$6:BA$105)+SUMIF(Capacity_Resource,$F201,'Critical resources (hide)'!BA$6:BA$105)&gt;0,$E$1=2),0,1)</f>
        <v>1</v>
      </c>
      <c r="AO201" s="67">
        <f ca="1">IF(AND(SUMIF(Capacity_Resource,$D201,'Critical resources (hide)'!BB$6:BB$105)+SUMIF(Capacity_Resource,$E201,'Critical resources (hide)'!BB$6:BB$105)+SUMIF(Capacity_Resource,$F201,'Critical resources (hide)'!BB$6:BB$105)&gt;0,$E$1=2),0,1)</f>
        <v>1</v>
      </c>
      <c r="AP201" s="67">
        <f ca="1">IF(AND(SUMIF(Capacity_Resource,$D201,'Critical resources (hide)'!BC$6:BC$105)+SUMIF(Capacity_Resource,$E201,'Critical resources (hide)'!BC$6:BC$105)+SUMIF(Capacity_Resource,$F201,'Critical resources (hide)'!BC$6:BC$105)&gt;0,$E$1=2),0,1)</f>
        <v>1</v>
      </c>
      <c r="AQ201" s="67">
        <f ca="1">IF(AND(SUMIF(Capacity_Resource,$D201,'Critical resources (hide)'!BD$6:BD$105)+SUMIF(Capacity_Resource,$E201,'Critical resources (hide)'!BD$6:BD$105)+SUMIF(Capacity_Resource,$F201,'Critical resources (hide)'!BD$6:BD$105)&gt;0,$E$1=2),0,1)</f>
        <v>1</v>
      </c>
      <c r="AR201" s="67">
        <f ca="1">IF(AND(SUMIF(Capacity_Resource,$D201,'Critical resources (hide)'!BE$6:BE$105)+SUMIF(Capacity_Resource,$E201,'Critical resources (hide)'!BE$6:BE$105)+SUMIF(Capacity_Resource,$F201,'Critical resources (hide)'!BE$6:BE$105)&gt;0,$E$1=2),0,1)</f>
        <v>1</v>
      </c>
      <c r="AS201" s="67">
        <f ca="1">IF(AND(SUMIF(Capacity_Resource,$D201,'Critical resources (hide)'!BF$6:BF$105)+SUMIF(Capacity_Resource,$E201,'Critical resources (hide)'!BF$6:BF$105)+SUMIF(Capacity_Resource,$F201,'Critical resources (hide)'!BF$6:BF$105)&gt;0,$E$1=2),0,1)</f>
        <v>1</v>
      </c>
      <c r="AT201" s="67">
        <f ca="1">IF(AND(SUMIF(Capacity_Resource,$D201,'Critical resources (hide)'!BG$6:BG$105)+SUMIF(Capacity_Resource,$E201,'Critical resources (hide)'!BG$6:BG$105)+SUMIF(Capacity_Resource,$F201,'Critical resources (hide)'!BG$6:BG$105)&gt;0,$E$1=2),0,1)</f>
        <v>1</v>
      </c>
      <c r="AU201" s="67">
        <f ca="1">IF(AND(SUMIF(Capacity_Resource,$D201,'Critical resources (hide)'!BH$6:BH$105)+SUMIF(Capacity_Resource,$E201,'Critical resources (hide)'!BH$6:BH$105)+SUMIF(Capacity_Resource,$F201,'Critical resources (hide)'!BH$6:BH$105)&gt;0,$E$1=2),0,1)</f>
        <v>1</v>
      </c>
      <c r="AV201" s="67">
        <f ca="1">IF(AND(SUMIF(Capacity_Resource,$D201,'Critical resources (hide)'!BI$6:BI$105)+SUMIF(Capacity_Resource,$E201,'Critical resources (hide)'!BI$6:BI$105)+SUMIF(Capacity_Resource,$F201,'Critical resources (hide)'!BI$6:BI$105)&gt;0,$E$1=2),0,1)</f>
        <v>1</v>
      </c>
      <c r="AW201" s="67">
        <f ca="1">IF(AND(SUMIF(Capacity_Resource,$D201,'Critical resources (hide)'!BJ$6:BJ$105)+SUMIF(Capacity_Resource,$E201,'Critical resources (hide)'!BJ$6:BJ$105)+SUMIF(Capacity_Resource,$F201,'Critical resources (hide)'!BJ$6:BJ$105)&gt;0,$E$1=2),0,1)</f>
        <v>1</v>
      </c>
      <c r="AX201" s="67">
        <f ca="1">IF(AND(SUMIF(Capacity_Resource,$D201,'Critical resources (hide)'!BK$6:BK$105)+SUMIF(Capacity_Resource,$E201,'Critical resources (hide)'!BK$6:BK$105)+SUMIF(Capacity_Resource,$F201,'Critical resources (hide)'!BK$6:BK$105)&gt;0,$E$1=2),0,1)</f>
        <v>1</v>
      </c>
      <c r="AY201" s="67">
        <f ca="1">IF(AND(SUMIF(Capacity_Resource,$D201,'Critical resources (hide)'!BL$6:BL$105)+SUMIF(Capacity_Resource,$E201,'Critical resources (hide)'!BL$6:BL$105)+SUMIF(Capacity_Resource,$F201,'Critical resources (hide)'!BL$6:BL$105)&gt;0,$E$1=2),0,1)</f>
        <v>1</v>
      </c>
      <c r="AZ201" s="67">
        <f ca="1">IF(AND(SUMIF(Capacity_Resource,$D201,'Critical resources (hide)'!BM$6:BM$105)+SUMIF(Capacity_Resource,$E201,'Critical resources (hide)'!BM$6:BM$105)+SUMIF(Capacity_Resource,$F201,'Critical resources (hide)'!BM$6:BM$105)&gt;0,$E$1=2),0,1)</f>
        <v>1</v>
      </c>
      <c r="BA201" s="67">
        <f ca="1">IF(AND(SUMIF(Capacity_Resource,$D201,'Critical resources (hide)'!BN$6:BN$105)+SUMIF(Capacity_Resource,$E201,'Critical resources (hide)'!BN$6:BN$105)+SUMIF(Capacity_Resource,$F201,'Critical resources (hide)'!BN$6:BN$105)&gt;0,$E$1=2),0,1)</f>
        <v>1</v>
      </c>
      <c r="BB201" s="67">
        <f ca="1">IF(AND(SUMIF(Capacity_Resource,$D201,'Critical resources (hide)'!BO$6:BO$105)+SUMIF(Capacity_Resource,$E201,'Critical resources (hide)'!BO$6:BO$105)+SUMIF(Capacity_Resource,$F201,'Critical resources (hide)'!BO$6:BO$105)&gt;0,$E$1=2),0,1)</f>
        <v>1</v>
      </c>
      <c r="BC201" s="67">
        <f ca="1">IF(AND(SUMIF(Capacity_Resource,$D201,'Critical resources (hide)'!BP$6:BP$105)+SUMIF(Capacity_Resource,$E201,'Critical resources (hide)'!BP$6:BP$105)+SUMIF(Capacity_Resource,$F201,'Critical resources (hide)'!BP$6:BP$105)&gt;0,$E$1=2),0,1)</f>
        <v>1</v>
      </c>
      <c r="BD201" s="67">
        <f ca="1">IF(AND(SUMIF(Capacity_Resource,$D201,'Critical resources (hide)'!BQ$6:BQ$105)+SUMIF(Capacity_Resource,$E201,'Critical resources (hide)'!BQ$6:BQ$105)+SUMIF(Capacity_Resource,$F201,'Critical resources (hide)'!BQ$6:BQ$105)&gt;0,$E$1=2),0,1)</f>
        <v>1</v>
      </c>
      <c r="BE201" s="67">
        <f ca="1">IF(AND(SUMIF(Capacity_Resource,$D201,'Critical resources (hide)'!BR$6:BR$105)+SUMIF(Capacity_Resource,$E201,'Critical resources (hide)'!BR$6:BR$105)+SUMIF(Capacity_Resource,$F201,'Critical resources (hide)'!BR$6:BR$105)&gt;0,$E$1=2),0,1)</f>
        <v>1</v>
      </c>
      <c r="BF201" s="67">
        <f ca="1">IF(AND(SUMIF(Capacity_Resource,$D201,'Critical resources (hide)'!BS$6:BS$105)+SUMIF(Capacity_Resource,$E201,'Critical resources (hide)'!BS$6:BS$105)+SUMIF(Capacity_Resource,$F201,'Critical resources (hide)'!BS$6:BS$105)&gt;0,$E$1=2),0,1)</f>
        <v>1</v>
      </c>
      <c r="BG201" s="67">
        <f ca="1">IF(AND(SUMIF(Capacity_Resource,$D201,'Critical resources (hide)'!BT$6:BT$105)+SUMIF(Capacity_Resource,$E201,'Critical resources (hide)'!BT$6:BT$105)+SUMIF(Capacity_Resource,$F201,'Critical resources (hide)'!BT$6:BT$105)&gt;0,$E$1=2),0,1)</f>
        <v>1</v>
      </c>
      <c r="BH201" s="67">
        <f>IF(ROW(A90)&lt;=Capacity!$M$16,IF('Capacity summary'!$C$14="No",SUM(H201:BG201),'Capacity summary'!$E113),0)</f>
        <v>0</v>
      </c>
      <c r="BI201" s="67" t="str">
        <f>IF(BH201&gt;0,IF(BH201&lt;Capacity!Q106,Capacity!R106,Capacity!T106/'Capacity calculation (hide)'!BH201),"")</f>
        <v/>
      </c>
      <c r="BJ201" s="5"/>
      <c r="BK201" s="5">
        <f>IF($BI201&lt;&gt;"",IF('Capacity summary'!$C$14="Yes",IF(COUNTBLANK('Capacity summary'!$H113:$BG113)&lt;52,IF('Capacity summary'!H113&lt;&gt;"",IF(LOWER('Capacity summary'!H113)="x",$BI201*H201,VALUE('Capacity summary'!H113)),0),H201*$BI201),H201*$BI201),0)</f>
        <v>0</v>
      </c>
      <c r="BL201" s="5">
        <f>IF($BI201&lt;&gt;"",IF('Capacity summary'!$C$14="Yes",IF(COUNTBLANK('Capacity summary'!$H113:$BG113)&lt;52,IF('Capacity summary'!I113&lt;&gt;"",IF(LOWER('Capacity summary'!I113)="x",$BI201*I201,VALUE('Capacity summary'!I113)),0),I201*$BI201),I201*$BI201),0)</f>
        <v>0</v>
      </c>
      <c r="BM201" s="5">
        <f>IF($BI201&lt;&gt;"",IF('Capacity summary'!$C$14="Yes",IF(COUNTBLANK('Capacity summary'!$H113:$BG113)&lt;52,IF('Capacity summary'!J113&lt;&gt;"",IF(LOWER('Capacity summary'!J113)="x",$BI201*J201,VALUE('Capacity summary'!J113)),0),J201*$BI201),J201*$BI201),0)</f>
        <v>0</v>
      </c>
      <c r="BN201" s="5">
        <f>IF($BI201&lt;&gt;"",IF('Capacity summary'!$C$14="Yes",IF(COUNTBLANK('Capacity summary'!$H113:$BG113)&lt;52,IF('Capacity summary'!K113&lt;&gt;"",IF(LOWER('Capacity summary'!K113)="x",$BI201*K201,VALUE('Capacity summary'!K113)),0),K201*$BI201),K201*$BI201),0)</f>
        <v>0</v>
      </c>
      <c r="BO201" s="5">
        <f>IF($BI201&lt;&gt;"",IF('Capacity summary'!$C$14="Yes",IF(COUNTBLANK('Capacity summary'!$H113:$BG113)&lt;52,IF('Capacity summary'!L113&lt;&gt;"",IF(LOWER('Capacity summary'!L113)="x",$BI201*L201,VALUE('Capacity summary'!L113)),0),L201*$BI201),L201*$BI201),0)</f>
        <v>0</v>
      </c>
      <c r="BP201" s="5">
        <f>IF($BI201&lt;&gt;"",IF('Capacity summary'!$C$14="Yes",IF(COUNTBLANK('Capacity summary'!$H113:$BG113)&lt;52,IF('Capacity summary'!M113&lt;&gt;"",IF(LOWER('Capacity summary'!M113)="x",$BI201*M201,VALUE('Capacity summary'!M113)),0),M201*$BI201),M201*$BI201),0)</f>
        <v>0</v>
      </c>
      <c r="BQ201" s="5">
        <f>IF($BI201&lt;&gt;"",IF('Capacity summary'!$C$14="Yes",IF(COUNTBLANK('Capacity summary'!$H113:$BG113)&lt;52,IF('Capacity summary'!N113&lt;&gt;"",IF(LOWER('Capacity summary'!N113)="x",$BI201*N201,VALUE('Capacity summary'!N113)),0),N201*$BI201),N201*$BI201),0)</f>
        <v>0</v>
      </c>
      <c r="BR201" s="5">
        <f>IF($BI201&lt;&gt;"",IF('Capacity summary'!$C$14="Yes",IF(COUNTBLANK('Capacity summary'!$H113:$BG113)&lt;52,IF('Capacity summary'!O113&lt;&gt;"",IF(LOWER('Capacity summary'!O113)="x",$BI201*O201,VALUE('Capacity summary'!O113)),0),O201*$BI201),O201*$BI201),0)</f>
        <v>0</v>
      </c>
      <c r="BS201" s="5">
        <f>IF($BI201&lt;&gt;"",IF('Capacity summary'!$C$14="Yes",IF(COUNTBLANK('Capacity summary'!$H113:$BG113)&lt;52,IF('Capacity summary'!P113&lt;&gt;"",IF(LOWER('Capacity summary'!P113)="x",$BI201*P201,VALUE('Capacity summary'!P113)),0),P201*$BI201),P201*$BI201),0)</f>
        <v>0</v>
      </c>
      <c r="BT201" s="5">
        <f>IF($BI201&lt;&gt;"",IF('Capacity summary'!$C$14="Yes",IF(COUNTBLANK('Capacity summary'!$H113:$BG113)&lt;52,IF('Capacity summary'!Q113&lt;&gt;"",IF(LOWER('Capacity summary'!Q113)="x",$BI201*Q201,VALUE('Capacity summary'!Q113)),0),Q201*$BI201),Q201*$BI201),0)</f>
        <v>0</v>
      </c>
      <c r="BU201" s="5">
        <f>IF($BI201&lt;&gt;"",IF('Capacity summary'!$C$14="Yes",IF(COUNTBLANK('Capacity summary'!$H113:$BG113)&lt;52,IF('Capacity summary'!R113&lt;&gt;"",IF(LOWER('Capacity summary'!R113)="x",$BI201*R201,VALUE('Capacity summary'!R113)),0),R201*$BI201),R201*$BI201),0)</f>
        <v>0</v>
      </c>
      <c r="BV201" s="5">
        <f>IF($BI201&lt;&gt;"",IF('Capacity summary'!$C$14="Yes",IF(COUNTBLANK('Capacity summary'!$H113:$BG113)&lt;52,IF('Capacity summary'!S113&lt;&gt;"",IF(LOWER('Capacity summary'!S113)="x",$BI201*S201,VALUE('Capacity summary'!S113)),0),S201*$BI201),S201*$BI201),0)</f>
        <v>0</v>
      </c>
      <c r="BW201" s="5">
        <f>IF($BI201&lt;&gt;"",IF('Capacity summary'!$C$14="Yes",IF(COUNTBLANK('Capacity summary'!$H113:$BG113)&lt;52,IF('Capacity summary'!T113&lt;&gt;"",IF(LOWER('Capacity summary'!T113)="x",$BI201*T201,VALUE('Capacity summary'!T113)),0),T201*$BI201),T201*$BI201),0)</f>
        <v>0</v>
      </c>
      <c r="BX201" s="5">
        <f>IF($BI201&lt;&gt;"",IF('Capacity summary'!$C$14="Yes",IF(COUNTBLANK('Capacity summary'!$H113:$BG113)&lt;52,IF('Capacity summary'!U113&lt;&gt;"",IF(LOWER('Capacity summary'!U113)="x",$BI201*U201,VALUE('Capacity summary'!U113)),0),U201*$BI201),U201*$BI201),0)</f>
        <v>0</v>
      </c>
      <c r="BY201" s="5">
        <f>IF($BI201&lt;&gt;"",IF('Capacity summary'!$C$14="Yes",IF(COUNTBLANK('Capacity summary'!$H113:$BG113)&lt;52,IF('Capacity summary'!V113&lt;&gt;"",IF(LOWER('Capacity summary'!V113)="x",$BI201*V201,VALUE('Capacity summary'!V113)),0),V201*$BI201),V201*$BI201),0)</f>
        <v>0</v>
      </c>
      <c r="BZ201" s="5">
        <f>IF($BI201&lt;&gt;"",IF('Capacity summary'!$C$14="Yes",IF(COUNTBLANK('Capacity summary'!$H113:$BG113)&lt;52,IF('Capacity summary'!W113&lt;&gt;"",IF(LOWER('Capacity summary'!W113)="x",$BI201*W201,VALUE('Capacity summary'!W113)),0),W201*$BI201),W201*$BI201),0)</f>
        <v>0</v>
      </c>
      <c r="CA201" s="5">
        <f>IF($BI201&lt;&gt;"",IF('Capacity summary'!$C$14="Yes",IF(COUNTBLANK('Capacity summary'!$H113:$BG113)&lt;52,IF('Capacity summary'!X113&lt;&gt;"",IF(LOWER('Capacity summary'!X113)="x",$BI201*X201,VALUE('Capacity summary'!X113)),0),X201*$BI201),X201*$BI201),0)</f>
        <v>0</v>
      </c>
      <c r="CB201" s="5">
        <f>IF($BI201&lt;&gt;"",IF('Capacity summary'!$C$14="Yes",IF(COUNTBLANK('Capacity summary'!$H113:$BG113)&lt;52,IF('Capacity summary'!Y113&lt;&gt;"",IF(LOWER('Capacity summary'!Y113)="x",$BI201*Y201,VALUE('Capacity summary'!Y113)),0),Y201*$BI201),Y201*$BI201),0)</f>
        <v>0</v>
      </c>
      <c r="CC201" s="5">
        <f>IF($BI201&lt;&gt;"",IF('Capacity summary'!$C$14="Yes",IF(COUNTBLANK('Capacity summary'!$H113:$BG113)&lt;52,IF('Capacity summary'!Z113&lt;&gt;"",IF(LOWER('Capacity summary'!Z113)="x",$BI201*Z201,VALUE('Capacity summary'!Z113)),0),Z201*$BI201),Z201*$BI201),0)</f>
        <v>0</v>
      </c>
      <c r="CD201" s="5">
        <f>IF($BI201&lt;&gt;"",IF('Capacity summary'!$C$14="Yes",IF(COUNTBLANK('Capacity summary'!$H113:$BG113)&lt;52,IF('Capacity summary'!AA113&lt;&gt;"",IF(LOWER('Capacity summary'!AA113)="x",$BI201*AA201,VALUE('Capacity summary'!AA113)),0),AA201*$BI201),AA201*$BI201),0)</f>
        <v>0</v>
      </c>
      <c r="CE201" s="5">
        <f>IF($BI201&lt;&gt;"",IF('Capacity summary'!$C$14="Yes",IF(COUNTBLANK('Capacity summary'!$H113:$BG113)&lt;52,IF('Capacity summary'!AB113&lt;&gt;"",IF(LOWER('Capacity summary'!AB113)="x",$BI201*AB201,VALUE('Capacity summary'!AB113)),0),AB201*$BI201),AB201*$BI201),0)</f>
        <v>0</v>
      </c>
      <c r="CF201" s="5">
        <f>IF($BI201&lt;&gt;"",IF('Capacity summary'!$C$14="Yes",IF(COUNTBLANK('Capacity summary'!$H113:$BG113)&lt;52,IF('Capacity summary'!AC113&lt;&gt;"",IF(LOWER('Capacity summary'!AC113)="x",$BI201*AC201,VALUE('Capacity summary'!AC113)),0),AC201*$BI201),AC201*$BI201),0)</f>
        <v>0</v>
      </c>
      <c r="CG201" s="5">
        <f>IF($BI201&lt;&gt;"",IF('Capacity summary'!$C$14="Yes",IF(COUNTBLANK('Capacity summary'!$H113:$BG113)&lt;52,IF('Capacity summary'!AD113&lt;&gt;"",IF(LOWER('Capacity summary'!AD113)="x",$BI201*AD201,VALUE('Capacity summary'!AD113)),0),AD201*$BI201),AD201*$BI201),0)</f>
        <v>0</v>
      </c>
      <c r="CH201" s="5">
        <f>IF($BI201&lt;&gt;"",IF('Capacity summary'!$C$14="Yes",IF(COUNTBLANK('Capacity summary'!$H113:$BG113)&lt;52,IF('Capacity summary'!AE113&lt;&gt;"",IF(LOWER('Capacity summary'!AE113)="x",$BI201*AE201,VALUE('Capacity summary'!AE113)),0),AE201*$BI201),AE201*$BI201),0)</f>
        <v>0</v>
      </c>
      <c r="CI201" s="5">
        <f>IF($BI201&lt;&gt;"",IF('Capacity summary'!$C$14="Yes",IF(COUNTBLANK('Capacity summary'!$H113:$BG113)&lt;52,IF('Capacity summary'!AF113&lt;&gt;"",IF(LOWER('Capacity summary'!AF113)="x",$BI201*AF201,VALUE('Capacity summary'!AF113)),0),AF201*$BI201),AF201*$BI201),0)</f>
        <v>0</v>
      </c>
      <c r="CJ201" s="5">
        <f>IF($BI201&lt;&gt;"",IF('Capacity summary'!$C$14="Yes",IF(COUNTBLANK('Capacity summary'!$H113:$BG113)&lt;52,IF('Capacity summary'!AG113&lt;&gt;"",IF(LOWER('Capacity summary'!AG113)="x",$BI201*AG201,VALUE('Capacity summary'!AG113)),0),AG201*$BI201),AG201*$BI201),0)</f>
        <v>0</v>
      </c>
      <c r="CK201" s="5">
        <f>IF($BI201&lt;&gt;"",IF('Capacity summary'!$C$14="Yes",IF(COUNTBLANK('Capacity summary'!$H113:$BG113)&lt;52,IF('Capacity summary'!AH113&lt;&gt;"",IF(LOWER('Capacity summary'!AH113)="x",$BI201*AH201,VALUE('Capacity summary'!AH113)),0),AH201*$BI201),AH201*$BI201),0)</f>
        <v>0</v>
      </c>
      <c r="CL201" s="5">
        <f>IF($BI201&lt;&gt;"",IF('Capacity summary'!$C$14="Yes",IF(COUNTBLANK('Capacity summary'!$H113:$BG113)&lt;52,IF('Capacity summary'!AI113&lt;&gt;"",IF(LOWER('Capacity summary'!AI113)="x",$BI201*AI201,VALUE('Capacity summary'!AI113)),0),AI201*$BI201),AI201*$BI201),0)</f>
        <v>0</v>
      </c>
      <c r="CM201" s="5">
        <f>IF($BI201&lt;&gt;"",IF('Capacity summary'!$C$14="Yes",IF(COUNTBLANK('Capacity summary'!$H113:$BG113)&lt;52,IF('Capacity summary'!AJ113&lt;&gt;"",IF(LOWER('Capacity summary'!AJ113)="x",$BI201*AJ201,VALUE('Capacity summary'!AJ113)),0),AJ201*$BI201),AJ201*$BI201),0)</f>
        <v>0</v>
      </c>
      <c r="CN201" s="5">
        <f>IF($BI201&lt;&gt;"",IF('Capacity summary'!$C$14="Yes",IF(COUNTBLANK('Capacity summary'!$H113:$BG113)&lt;52,IF('Capacity summary'!AK113&lt;&gt;"",IF(LOWER('Capacity summary'!AK113)="x",$BI201*AK201,VALUE('Capacity summary'!AK113)),0),AK201*$BI201),AK201*$BI201),0)</f>
        <v>0</v>
      </c>
      <c r="CO201" s="5">
        <f>IF($BI201&lt;&gt;"",IF('Capacity summary'!$C$14="Yes",IF(COUNTBLANK('Capacity summary'!$H113:$BG113)&lt;52,IF('Capacity summary'!AL113&lt;&gt;"",IF(LOWER('Capacity summary'!AL113)="x",$BI201*AL201,VALUE('Capacity summary'!AL113)),0),AL201*$BI201),AL201*$BI201),0)</f>
        <v>0</v>
      </c>
      <c r="CP201" s="5">
        <f>IF($BI201&lt;&gt;"",IF('Capacity summary'!$C$14="Yes",IF(COUNTBLANK('Capacity summary'!$H113:$BG113)&lt;52,IF('Capacity summary'!AM113&lt;&gt;"",IF(LOWER('Capacity summary'!AM113)="x",$BI201*AM201,VALUE('Capacity summary'!AM113)),0),AM201*$BI201),AM201*$BI201),0)</f>
        <v>0</v>
      </c>
      <c r="CQ201" s="5">
        <f>IF($BI201&lt;&gt;"",IF('Capacity summary'!$C$14="Yes",IF(COUNTBLANK('Capacity summary'!$H113:$BG113)&lt;52,IF('Capacity summary'!AN113&lt;&gt;"",IF(LOWER('Capacity summary'!AN113)="x",$BI201*AN201,VALUE('Capacity summary'!AN113)),0),AN201*$BI201),AN201*$BI201),0)</f>
        <v>0</v>
      </c>
      <c r="CR201" s="5">
        <f>IF($BI201&lt;&gt;"",IF('Capacity summary'!$C$14="Yes",IF(COUNTBLANK('Capacity summary'!$H113:$BG113)&lt;52,IF('Capacity summary'!AO113&lt;&gt;"",IF(LOWER('Capacity summary'!AO113)="x",$BI201*AO201,VALUE('Capacity summary'!AO113)),0),AO201*$BI201),AO201*$BI201),0)</f>
        <v>0</v>
      </c>
      <c r="CS201" s="5">
        <f>IF($BI201&lt;&gt;"",IF('Capacity summary'!$C$14="Yes",IF(COUNTBLANK('Capacity summary'!$H113:$BG113)&lt;52,IF('Capacity summary'!AP113&lt;&gt;"",IF(LOWER('Capacity summary'!AP113)="x",$BI201*AP201,VALUE('Capacity summary'!AP113)),0),AP201*$BI201),AP201*$BI201),0)</f>
        <v>0</v>
      </c>
      <c r="CT201" s="5">
        <f>IF($BI201&lt;&gt;"",IF('Capacity summary'!$C$14="Yes",IF(COUNTBLANK('Capacity summary'!$H113:$BG113)&lt;52,IF('Capacity summary'!AQ113&lt;&gt;"",IF(LOWER('Capacity summary'!AQ113)="x",$BI201*AQ201,VALUE('Capacity summary'!AQ113)),0),AQ201*$BI201),AQ201*$BI201),0)</f>
        <v>0</v>
      </c>
      <c r="CU201" s="5">
        <f>IF($BI201&lt;&gt;"",IF('Capacity summary'!$C$14="Yes",IF(COUNTBLANK('Capacity summary'!$H113:$BG113)&lt;52,IF('Capacity summary'!AR113&lt;&gt;"",IF(LOWER('Capacity summary'!AR113)="x",$BI201*AR201,VALUE('Capacity summary'!AR113)),0),AR201*$BI201),AR201*$BI201),0)</f>
        <v>0</v>
      </c>
      <c r="CV201" s="5">
        <f>IF($BI201&lt;&gt;"",IF('Capacity summary'!$C$14="Yes",IF(COUNTBLANK('Capacity summary'!$H113:$BG113)&lt;52,IF('Capacity summary'!AS113&lt;&gt;"",IF(LOWER('Capacity summary'!AS113)="x",$BI201*AS201,VALUE('Capacity summary'!AS113)),0),AS201*$BI201),AS201*$BI201),0)</f>
        <v>0</v>
      </c>
      <c r="CW201" s="5">
        <f>IF($BI201&lt;&gt;"",IF('Capacity summary'!$C$14="Yes",IF(COUNTBLANK('Capacity summary'!$H113:$BG113)&lt;52,IF('Capacity summary'!AT113&lt;&gt;"",IF(LOWER('Capacity summary'!AT113)="x",$BI201*AT201,VALUE('Capacity summary'!AT113)),0),AT201*$BI201),AT201*$BI201),0)</f>
        <v>0</v>
      </c>
      <c r="CX201" s="5">
        <f>IF($BI201&lt;&gt;"",IF('Capacity summary'!$C$14="Yes",IF(COUNTBLANK('Capacity summary'!$H113:$BG113)&lt;52,IF('Capacity summary'!AU113&lt;&gt;"",IF(LOWER('Capacity summary'!AU113)="x",$BI201*AU201,VALUE('Capacity summary'!AU113)),0),AU201*$BI201),AU201*$BI201),0)</f>
        <v>0</v>
      </c>
      <c r="CY201" s="5">
        <f>IF($BI201&lt;&gt;"",IF('Capacity summary'!$C$14="Yes",IF(COUNTBLANK('Capacity summary'!$H113:$BG113)&lt;52,IF('Capacity summary'!AV113&lt;&gt;"",IF(LOWER('Capacity summary'!AV113)="x",$BI201*AV201,VALUE('Capacity summary'!AV113)),0),AV201*$BI201),AV201*$BI201),0)</f>
        <v>0</v>
      </c>
      <c r="CZ201" s="5">
        <f>IF($BI201&lt;&gt;"",IF('Capacity summary'!$C$14="Yes",IF(COUNTBLANK('Capacity summary'!$H113:$BG113)&lt;52,IF('Capacity summary'!AW113&lt;&gt;"",IF(LOWER('Capacity summary'!AW113)="x",$BI201*AW201,VALUE('Capacity summary'!AW113)),0),AW201*$BI201),AW201*$BI201),0)</f>
        <v>0</v>
      </c>
      <c r="DA201" s="5">
        <f>IF($BI201&lt;&gt;"",IF('Capacity summary'!$C$14="Yes",IF(COUNTBLANK('Capacity summary'!$H113:$BG113)&lt;52,IF('Capacity summary'!AX113&lt;&gt;"",IF(LOWER('Capacity summary'!AX113)="x",$BI201*AX201,VALUE('Capacity summary'!AX113)),0),AX201*$BI201),AX201*$BI201),0)</f>
        <v>0</v>
      </c>
      <c r="DB201" s="5">
        <f>IF($BI201&lt;&gt;"",IF('Capacity summary'!$C$14="Yes",IF(COUNTBLANK('Capacity summary'!$H113:$BG113)&lt;52,IF('Capacity summary'!AY113&lt;&gt;"",IF(LOWER('Capacity summary'!AY113)="x",$BI201*AY201,VALUE('Capacity summary'!AY113)),0),AY201*$BI201),AY201*$BI201),0)</f>
        <v>0</v>
      </c>
      <c r="DC201" s="5">
        <f>IF($BI201&lt;&gt;"",IF('Capacity summary'!$C$14="Yes",IF(COUNTBLANK('Capacity summary'!$H113:$BG113)&lt;52,IF('Capacity summary'!AZ113&lt;&gt;"",IF(LOWER('Capacity summary'!AZ113)="x",$BI201*AZ201,VALUE('Capacity summary'!AZ113)),0),AZ201*$BI201),AZ201*$BI201),0)</f>
        <v>0</v>
      </c>
      <c r="DD201" s="5">
        <f>IF($BI201&lt;&gt;"",IF('Capacity summary'!$C$14="Yes",IF(COUNTBLANK('Capacity summary'!$H113:$BG113)&lt;52,IF('Capacity summary'!BA113&lt;&gt;"",IF(LOWER('Capacity summary'!BA113)="x",$BI201*BA201,VALUE('Capacity summary'!BA113)),0),BA201*$BI201),BA201*$BI201),0)</f>
        <v>0</v>
      </c>
      <c r="DE201" s="5">
        <f>IF($BI201&lt;&gt;"",IF('Capacity summary'!$C$14="Yes",IF(COUNTBLANK('Capacity summary'!$H113:$BG113)&lt;52,IF('Capacity summary'!BB113&lt;&gt;"",IF(LOWER('Capacity summary'!BB113)="x",$BI201*BB201,VALUE('Capacity summary'!BB113)),0),BB201*$BI201),BB201*$BI201),0)</f>
        <v>0</v>
      </c>
      <c r="DF201" s="5">
        <f>IF($BI201&lt;&gt;"",IF('Capacity summary'!$C$14="Yes",IF(COUNTBLANK('Capacity summary'!$H113:$BG113)&lt;52,IF('Capacity summary'!BC113&lt;&gt;"",IF(LOWER('Capacity summary'!BC113)="x",$BI201*BC201,VALUE('Capacity summary'!BC113)),0),BC201*$BI201),BC201*$BI201),0)</f>
        <v>0</v>
      </c>
      <c r="DG201" s="5">
        <f>IF($BI201&lt;&gt;"",IF('Capacity summary'!$C$14="Yes",IF(COUNTBLANK('Capacity summary'!$H113:$BG113)&lt;52,IF('Capacity summary'!BD113&lt;&gt;"",IF(LOWER('Capacity summary'!BD113)="x",$BI201*BD201,VALUE('Capacity summary'!BD113)),0),BD201*$BI201),BD201*$BI201),0)</f>
        <v>0</v>
      </c>
      <c r="DH201" s="5">
        <f>IF($BI201&lt;&gt;"",IF('Capacity summary'!$C$14="Yes",IF(COUNTBLANK('Capacity summary'!$H113:$BG113)&lt;52,IF('Capacity summary'!BE113&lt;&gt;"",IF(LOWER('Capacity summary'!BE113)="x",$BI201*BE201,VALUE('Capacity summary'!BE113)),0),BE201*$BI201),BE201*$BI201),0)</f>
        <v>0</v>
      </c>
      <c r="DI201" s="5">
        <f>IF($BI201&lt;&gt;"",IF('Capacity summary'!$C$14="Yes",IF(COUNTBLANK('Capacity summary'!$H113:$BG113)&lt;52,IF('Capacity summary'!BF113&lt;&gt;"",IF(LOWER('Capacity summary'!BF113)="x",$BI201*BF201,VALUE('Capacity summary'!BF113)),0),BF201*$BI201),BF201*$BI201),0)</f>
        <v>0</v>
      </c>
      <c r="DJ201" s="5">
        <f>IF($BI201&lt;&gt;"",IF('Capacity summary'!$C$14="Yes",IF(COUNTBLANK('Capacity summary'!$H113:$BG113)&lt;52,IF('Capacity summary'!BG113&lt;&gt;"",IF(LOWER('Capacity summary'!BG113)="x",$BI201*BG201,VALUE('Capacity summary'!BG113)),0),BG201*$BI201),BG201*$BI201),0)</f>
        <v>0</v>
      </c>
      <c r="DK201" s="5">
        <f t="shared" ref="DK201" si="95">SUM(DK202:DK301)</f>
        <v>0</v>
      </c>
    </row>
    <row r="202" spans="3:115" x14ac:dyDescent="0.25">
      <c r="C202" s="67" t="str">
        <f>ROW(A91)&amp;". "&amp;Capacity!N107</f>
        <v xml:space="preserve">91. </v>
      </c>
      <c r="D202" s="67">
        <f>'Capacity setup'!C208</f>
        <v>0</v>
      </c>
      <c r="E202" s="67">
        <f>'Capacity setup'!D208</f>
        <v>0</v>
      </c>
      <c r="F202" s="67">
        <f>'Capacity setup'!E208</f>
        <v>0</v>
      </c>
      <c r="H202" s="67">
        <f ca="1">IF(AND(SUMIF(Capacity_Resource,$D202,'Critical resources (hide)'!U$6:U$105)+SUMIF(Capacity_Resource,$E202,'Critical resources (hide)'!U$6:U$105)+SUMIF(Capacity_Resource,$F202,'Critical resources (hide)'!U$6:U$105)&gt;0,$E$1=2),0,1)</f>
        <v>1</v>
      </c>
      <c r="I202" s="67">
        <f ca="1">IF(AND(SUMIF(Capacity_Resource,$D202,'Critical resources (hide)'!V$6:V$105)+SUMIF(Capacity_Resource,$E202,'Critical resources (hide)'!V$6:V$105)+SUMIF(Capacity_Resource,$F202,'Critical resources (hide)'!V$6:V$105)&gt;0,$E$1=2),0,1)</f>
        <v>1</v>
      </c>
      <c r="J202" s="67">
        <f ca="1">IF(AND(SUMIF(Capacity_Resource,$D202,'Critical resources (hide)'!W$6:W$105)+SUMIF(Capacity_Resource,$E202,'Critical resources (hide)'!W$6:W$105)+SUMIF(Capacity_Resource,$F202,'Critical resources (hide)'!W$6:W$105)&gt;0,$E$1=2),0,1)</f>
        <v>1</v>
      </c>
      <c r="K202" s="67">
        <f ca="1">IF(AND(SUMIF(Capacity_Resource,$D202,'Critical resources (hide)'!X$6:X$105)+SUMIF(Capacity_Resource,$E202,'Critical resources (hide)'!X$6:X$105)+SUMIF(Capacity_Resource,$F202,'Critical resources (hide)'!X$6:X$105)&gt;0,$E$1=2),0,1)</f>
        <v>1</v>
      </c>
      <c r="L202" s="67">
        <f ca="1">IF(AND(SUMIF(Capacity_Resource,$D202,'Critical resources (hide)'!Y$6:Y$105)+SUMIF(Capacity_Resource,$E202,'Critical resources (hide)'!Y$6:Y$105)+SUMIF(Capacity_Resource,$F202,'Critical resources (hide)'!Y$6:Y$105)&gt;0,$E$1=2),0,1)</f>
        <v>1</v>
      </c>
      <c r="M202" s="67">
        <f ca="1">IF(AND(SUMIF(Capacity_Resource,$D202,'Critical resources (hide)'!Z$6:Z$105)+SUMIF(Capacity_Resource,$E202,'Critical resources (hide)'!Z$6:Z$105)+SUMIF(Capacity_Resource,$F202,'Critical resources (hide)'!Z$6:Z$105)&gt;0,$E$1=2),0,1)</f>
        <v>1</v>
      </c>
      <c r="N202" s="67">
        <f ca="1">IF(AND(SUMIF(Capacity_Resource,$D202,'Critical resources (hide)'!AA$6:AA$105)+SUMIF(Capacity_Resource,$E202,'Critical resources (hide)'!AA$6:AA$105)+SUMIF(Capacity_Resource,$F202,'Critical resources (hide)'!AA$6:AA$105)&gt;0,$E$1=2),0,1)</f>
        <v>1</v>
      </c>
      <c r="O202" s="67">
        <f ca="1">IF(AND(SUMIF(Capacity_Resource,$D202,'Critical resources (hide)'!AB$6:AB$105)+SUMIF(Capacity_Resource,$E202,'Critical resources (hide)'!AB$6:AB$105)+SUMIF(Capacity_Resource,$F202,'Critical resources (hide)'!AB$6:AB$105)&gt;0,$E$1=2),0,1)</f>
        <v>1</v>
      </c>
      <c r="P202" s="67">
        <f ca="1">IF(AND(SUMIF(Capacity_Resource,$D202,'Critical resources (hide)'!AC$6:AC$105)+SUMIF(Capacity_Resource,$E202,'Critical resources (hide)'!AC$6:AC$105)+SUMIF(Capacity_Resource,$F202,'Critical resources (hide)'!AC$6:AC$105)&gt;0,$E$1=2),0,1)</f>
        <v>1</v>
      </c>
      <c r="Q202" s="67">
        <f ca="1">IF(AND(SUMIF(Capacity_Resource,$D202,'Critical resources (hide)'!AD$6:AD$105)+SUMIF(Capacity_Resource,$E202,'Critical resources (hide)'!AD$6:AD$105)+SUMIF(Capacity_Resource,$F202,'Critical resources (hide)'!AD$6:AD$105)&gt;0,$E$1=2),0,1)</f>
        <v>1</v>
      </c>
      <c r="R202" s="67">
        <f ca="1">IF(AND(SUMIF(Capacity_Resource,$D202,'Critical resources (hide)'!AE$6:AE$105)+SUMIF(Capacity_Resource,$E202,'Critical resources (hide)'!AE$6:AE$105)+SUMIF(Capacity_Resource,$F202,'Critical resources (hide)'!AE$6:AE$105)&gt;0,$E$1=2),0,1)</f>
        <v>1</v>
      </c>
      <c r="S202" s="67">
        <f ca="1">IF(AND(SUMIF(Capacity_Resource,$D202,'Critical resources (hide)'!AF$6:AF$105)+SUMIF(Capacity_Resource,$E202,'Critical resources (hide)'!AF$6:AF$105)+SUMIF(Capacity_Resource,$F202,'Critical resources (hide)'!AF$6:AF$105)&gt;0,$E$1=2),0,1)</f>
        <v>1</v>
      </c>
      <c r="T202" s="67">
        <f ca="1">IF(AND(SUMIF(Capacity_Resource,$D202,'Critical resources (hide)'!AG$6:AG$105)+SUMIF(Capacity_Resource,$E202,'Critical resources (hide)'!AG$6:AG$105)+SUMIF(Capacity_Resource,$F202,'Critical resources (hide)'!AG$6:AG$105)&gt;0,$E$1=2),0,1)</f>
        <v>1</v>
      </c>
      <c r="U202" s="67">
        <f ca="1">IF(AND(SUMIF(Capacity_Resource,$D202,'Critical resources (hide)'!AH$6:AH$105)+SUMIF(Capacity_Resource,$E202,'Critical resources (hide)'!AH$6:AH$105)+SUMIF(Capacity_Resource,$F202,'Critical resources (hide)'!AH$6:AH$105)&gt;0,$E$1=2),0,1)</f>
        <v>1</v>
      </c>
      <c r="V202" s="67">
        <f ca="1">IF(AND(SUMIF(Capacity_Resource,$D202,'Critical resources (hide)'!AI$6:AI$105)+SUMIF(Capacity_Resource,$E202,'Critical resources (hide)'!AI$6:AI$105)+SUMIF(Capacity_Resource,$F202,'Critical resources (hide)'!AI$6:AI$105)&gt;0,$E$1=2),0,1)</f>
        <v>1</v>
      </c>
      <c r="W202" s="67">
        <f ca="1">IF(AND(SUMIF(Capacity_Resource,$D202,'Critical resources (hide)'!AJ$6:AJ$105)+SUMIF(Capacity_Resource,$E202,'Critical resources (hide)'!AJ$6:AJ$105)+SUMIF(Capacity_Resource,$F202,'Critical resources (hide)'!AJ$6:AJ$105)&gt;0,$E$1=2),0,1)</f>
        <v>1</v>
      </c>
      <c r="X202" s="67">
        <f ca="1">IF(AND(SUMIF(Capacity_Resource,$D202,'Critical resources (hide)'!AK$6:AK$105)+SUMIF(Capacity_Resource,$E202,'Critical resources (hide)'!AK$6:AK$105)+SUMIF(Capacity_Resource,$F202,'Critical resources (hide)'!AK$6:AK$105)&gt;0,$E$1=2),0,1)</f>
        <v>1</v>
      </c>
      <c r="Y202" s="67">
        <f ca="1">IF(AND(SUMIF(Capacity_Resource,$D202,'Critical resources (hide)'!AL$6:AL$105)+SUMIF(Capacity_Resource,$E202,'Critical resources (hide)'!AL$6:AL$105)+SUMIF(Capacity_Resource,$F202,'Critical resources (hide)'!AL$6:AL$105)&gt;0,$E$1=2),0,1)</f>
        <v>1</v>
      </c>
      <c r="Z202" s="67">
        <f ca="1">IF(AND(SUMIF(Capacity_Resource,$D202,'Critical resources (hide)'!AM$6:AM$105)+SUMIF(Capacity_Resource,$E202,'Critical resources (hide)'!AM$6:AM$105)+SUMIF(Capacity_Resource,$F202,'Critical resources (hide)'!AM$6:AM$105)&gt;0,$E$1=2),0,1)</f>
        <v>1</v>
      </c>
      <c r="AA202" s="67">
        <f ca="1">IF(AND(SUMIF(Capacity_Resource,$D202,'Critical resources (hide)'!AN$6:AN$105)+SUMIF(Capacity_Resource,$E202,'Critical resources (hide)'!AN$6:AN$105)+SUMIF(Capacity_Resource,$F202,'Critical resources (hide)'!AN$6:AN$105)&gt;0,$E$1=2),0,1)</f>
        <v>1</v>
      </c>
      <c r="AB202" s="67">
        <f ca="1">IF(AND(SUMIF(Capacity_Resource,$D202,'Critical resources (hide)'!AO$6:AO$105)+SUMIF(Capacity_Resource,$E202,'Critical resources (hide)'!AO$6:AO$105)+SUMIF(Capacity_Resource,$F202,'Critical resources (hide)'!AO$6:AO$105)&gt;0,$E$1=2),0,1)</f>
        <v>1</v>
      </c>
      <c r="AC202" s="67">
        <f ca="1">IF(AND(SUMIF(Capacity_Resource,$D202,'Critical resources (hide)'!AP$6:AP$105)+SUMIF(Capacity_Resource,$E202,'Critical resources (hide)'!AP$6:AP$105)+SUMIF(Capacity_Resource,$F202,'Critical resources (hide)'!AP$6:AP$105)&gt;0,$E$1=2),0,1)</f>
        <v>1</v>
      </c>
      <c r="AD202" s="67">
        <f ca="1">IF(AND(SUMIF(Capacity_Resource,$D202,'Critical resources (hide)'!AQ$6:AQ$105)+SUMIF(Capacity_Resource,$E202,'Critical resources (hide)'!AQ$6:AQ$105)+SUMIF(Capacity_Resource,$F202,'Critical resources (hide)'!AQ$6:AQ$105)&gt;0,$E$1=2),0,1)</f>
        <v>1</v>
      </c>
      <c r="AE202" s="67">
        <f ca="1">IF(AND(SUMIF(Capacity_Resource,$D202,'Critical resources (hide)'!AR$6:AR$105)+SUMIF(Capacity_Resource,$E202,'Critical resources (hide)'!AR$6:AR$105)+SUMIF(Capacity_Resource,$F202,'Critical resources (hide)'!AR$6:AR$105)&gt;0,$E$1=2),0,1)</f>
        <v>1</v>
      </c>
      <c r="AF202" s="67">
        <f ca="1">IF(AND(SUMIF(Capacity_Resource,$D202,'Critical resources (hide)'!AS$6:AS$105)+SUMIF(Capacity_Resource,$E202,'Critical resources (hide)'!AS$6:AS$105)+SUMIF(Capacity_Resource,$F202,'Critical resources (hide)'!AS$6:AS$105)&gt;0,$E$1=2),0,1)</f>
        <v>1</v>
      </c>
      <c r="AG202" s="67">
        <f ca="1">IF(AND(SUMIF(Capacity_Resource,$D202,'Critical resources (hide)'!AT$6:AT$105)+SUMIF(Capacity_Resource,$E202,'Critical resources (hide)'!AT$6:AT$105)+SUMIF(Capacity_Resource,$F202,'Critical resources (hide)'!AT$6:AT$105)&gt;0,$E$1=2),0,1)</f>
        <v>1</v>
      </c>
      <c r="AH202" s="67">
        <f ca="1">IF(AND(SUMIF(Capacity_Resource,$D202,'Critical resources (hide)'!AU$6:AU$105)+SUMIF(Capacity_Resource,$E202,'Critical resources (hide)'!AU$6:AU$105)+SUMIF(Capacity_Resource,$F202,'Critical resources (hide)'!AU$6:AU$105)&gt;0,$E$1=2),0,1)</f>
        <v>1</v>
      </c>
      <c r="AI202" s="67">
        <f ca="1">IF(AND(SUMIF(Capacity_Resource,$D202,'Critical resources (hide)'!AV$6:AV$105)+SUMIF(Capacity_Resource,$E202,'Critical resources (hide)'!AV$6:AV$105)+SUMIF(Capacity_Resource,$F202,'Critical resources (hide)'!AV$6:AV$105)&gt;0,$E$1=2),0,1)</f>
        <v>1</v>
      </c>
      <c r="AJ202" s="67">
        <f ca="1">IF(AND(SUMIF(Capacity_Resource,$D202,'Critical resources (hide)'!AW$6:AW$105)+SUMIF(Capacity_Resource,$E202,'Critical resources (hide)'!AW$6:AW$105)+SUMIF(Capacity_Resource,$F202,'Critical resources (hide)'!AW$6:AW$105)&gt;0,$E$1=2),0,1)</f>
        <v>1</v>
      </c>
      <c r="AK202" s="67">
        <f ca="1">IF(AND(SUMIF(Capacity_Resource,$D202,'Critical resources (hide)'!AX$6:AX$105)+SUMIF(Capacity_Resource,$E202,'Critical resources (hide)'!AX$6:AX$105)+SUMIF(Capacity_Resource,$F202,'Critical resources (hide)'!AX$6:AX$105)&gt;0,$E$1=2),0,1)</f>
        <v>1</v>
      </c>
      <c r="AL202" s="67">
        <f ca="1">IF(AND(SUMIF(Capacity_Resource,$D202,'Critical resources (hide)'!AY$6:AY$105)+SUMIF(Capacity_Resource,$E202,'Critical resources (hide)'!AY$6:AY$105)+SUMIF(Capacity_Resource,$F202,'Critical resources (hide)'!AY$6:AY$105)&gt;0,$E$1=2),0,1)</f>
        <v>1</v>
      </c>
      <c r="AM202" s="67">
        <f ca="1">IF(AND(SUMIF(Capacity_Resource,$D202,'Critical resources (hide)'!AZ$6:AZ$105)+SUMIF(Capacity_Resource,$E202,'Critical resources (hide)'!AZ$6:AZ$105)+SUMIF(Capacity_Resource,$F202,'Critical resources (hide)'!AZ$6:AZ$105)&gt;0,$E$1=2),0,1)</f>
        <v>1</v>
      </c>
      <c r="AN202" s="67">
        <f ca="1">IF(AND(SUMIF(Capacity_Resource,$D202,'Critical resources (hide)'!BA$6:BA$105)+SUMIF(Capacity_Resource,$E202,'Critical resources (hide)'!BA$6:BA$105)+SUMIF(Capacity_Resource,$F202,'Critical resources (hide)'!BA$6:BA$105)&gt;0,$E$1=2),0,1)</f>
        <v>1</v>
      </c>
      <c r="AO202" s="67">
        <f ca="1">IF(AND(SUMIF(Capacity_Resource,$D202,'Critical resources (hide)'!BB$6:BB$105)+SUMIF(Capacity_Resource,$E202,'Critical resources (hide)'!BB$6:BB$105)+SUMIF(Capacity_Resource,$F202,'Critical resources (hide)'!BB$6:BB$105)&gt;0,$E$1=2),0,1)</f>
        <v>1</v>
      </c>
      <c r="AP202" s="67">
        <f ca="1">IF(AND(SUMIF(Capacity_Resource,$D202,'Critical resources (hide)'!BC$6:BC$105)+SUMIF(Capacity_Resource,$E202,'Critical resources (hide)'!BC$6:BC$105)+SUMIF(Capacity_Resource,$F202,'Critical resources (hide)'!BC$6:BC$105)&gt;0,$E$1=2),0,1)</f>
        <v>1</v>
      </c>
      <c r="AQ202" s="67">
        <f ca="1">IF(AND(SUMIF(Capacity_Resource,$D202,'Critical resources (hide)'!BD$6:BD$105)+SUMIF(Capacity_Resource,$E202,'Critical resources (hide)'!BD$6:BD$105)+SUMIF(Capacity_Resource,$F202,'Critical resources (hide)'!BD$6:BD$105)&gt;0,$E$1=2),0,1)</f>
        <v>1</v>
      </c>
      <c r="AR202" s="67">
        <f ca="1">IF(AND(SUMIF(Capacity_Resource,$D202,'Critical resources (hide)'!BE$6:BE$105)+SUMIF(Capacity_Resource,$E202,'Critical resources (hide)'!BE$6:BE$105)+SUMIF(Capacity_Resource,$F202,'Critical resources (hide)'!BE$6:BE$105)&gt;0,$E$1=2),0,1)</f>
        <v>1</v>
      </c>
      <c r="AS202" s="67">
        <f ca="1">IF(AND(SUMIF(Capacity_Resource,$D202,'Critical resources (hide)'!BF$6:BF$105)+SUMIF(Capacity_Resource,$E202,'Critical resources (hide)'!BF$6:BF$105)+SUMIF(Capacity_Resource,$F202,'Critical resources (hide)'!BF$6:BF$105)&gt;0,$E$1=2),0,1)</f>
        <v>1</v>
      </c>
      <c r="AT202" s="67">
        <f ca="1">IF(AND(SUMIF(Capacity_Resource,$D202,'Critical resources (hide)'!BG$6:BG$105)+SUMIF(Capacity_Resource,$E202,'Critical resources (hide)'!BG$6:BG$105)+SUMIF(Capacity_Resource,$F202,'Critical resources (hide)'!BG$6:BG$105)&gt;0,$E$1=2),0,1)</f>
        <v>1</v>
      </c>
      <c r="AU202" s="67">
        <f ca="1">IF(AND(SUMIF(Capacity_Resource,$D202,'Critical resources (hide)'!BH$6:BH$105)+SUMIF(Capacity_Resource,$E202,'Critical resources (hide)'!BH$6:BH$105)+SUMIF(Capacity_Resource,$F202,'Critical resources (hide)'!BH$6:BH$105)&gt;0,$E$1=2),0,1)</f>
        <v>1</v>
      </c>
      <c r="AV202" s="67">
        <f ca="1">IF(AND(SUMIF(Capacity_Resource,$D202,'Critical resources (hide)'!BI$6:BI$105)+SUMIF(Capacity_Resource,$E202,'Critical resources (hide)'!BI$6:BI$105)+SUMIF(Capacity_Resource,$F202,'Critical resources (hide)'!BI$6:BI$105)&gt;0,$E$1=2),0,1)</f>
        <v>1</v>
      </c>
      <c r="AW202" s="67">
        <f ca="1">IF(AND(SUMIF(Capacity_Resource,$D202,'Critical resources (hide)'!BJ$6:BJ$105)+SUMIF(Capacity_Resource,$E202,'Critical resources (hide)'!BJ$6:BJ$105)+SUMIF(Capacity_Resource,$F202,'Critical resources (hide)'!BJ$6:BJ$105)&gt;0,$E$1=2),0,1)</f>
        <v>1</v>
      </c>
      <c r="AX202" s="67">
        <f ca="1">IF(AND(SUMIF(Capacity_Resource,$D202,'Critical resources (hide)'!BK$6:BK$105)+SUMIF(Capacity_Resource,$E202,'Critical resources (hide)'!BK$6:BK$105)+SUMIF(Capacity_Resource,$F202,'Critical resources (hide)'!BK$6:BK$105)&gt;0,$E$1=2),0,1)</f>
        <v>1</v>
      </c>
      <c r="AY202" s="67">
        <f ca="1">IF(AND(SUMIF(Capacity_Resource,$D202,'Critical resources (hide)'!BL$6:BL$105)+SUMIF(Capacity_Resource,$E202,'Critical resources (hide)'!BL$6:BL$105)+SUMIF(Capacity_Resource,$F202,'Critical resources (hide)'!BL$6:BL$105)&gt;0,$E$1=2),0,1)</f>
        <v>1</v>
      </c>
      <c r="AZ202" s="67">
        <f ca="1">IF(AND(SUMIF(Capacity_Resource,$D202,'Critical resources (hide)'!BM$6:BM$105)+SUMIF(Capacity_Resource,$E202,'Critical resources (hide)'!BM$6:BM$105)+SUMIF(Capacity_Resource,$F202,'Critical resources (hide)'!BM$6:BM$105)&gt;0,$E$1=2),0,1)</f>
        <v>1</v>
      </c>
      <c r="BA202" s="67">
        <f ca="1">IF(AND(SUMIF(Capacity_Resource,$D202,'Critical resources (hide)'!BN$6:BN$105)+SUMIF(Capacity_Resource,$E202,'Critical resources (hide)'!BN$6:BN$105)+SUMIF(Capacity_Resource,$F202,'Critical resources (hide)'!BN$6:BN$105)&gt;0,$E$1=2),0,1)</f>
        <v>1</v>
      </c>
      <c r="BB202" s="67">
        <f ca="1">IF(AND(SUMIF(Capacity_Resource,$D202,'Critical resources (hide)'!BO$6:BO$105)+SUMIF(Capacity_Resource,$E202,'Critical resources (hide)'!BO$6:BO$105)+SUMIF(Capacity_Resource,$F202,'Critical resources (hide)'!BO$6:BO$105)&gt;0,$E$1=2),0,1)</f>
        <v>1</v>
      </c>
      <c r="BC202" s="67">
        <f ca="1">IF(AND(SUMIF(Capacity_Resource,$D202,'Critical resources (hide)'!BP$6:BP$105)+SUMIF(Capacity_Resource,$E202,'Critical resources (hide)'!BP$6:BP$105)+SUMIF(Capacity_Resource,$F202,'Critical resources (hide)'!BP$6:BP$105)&gt;0,$E$1=2),0,1)</f>
        <v>1</v>
      </c>
      <c r="BD202" s="67">
        <f ca="1">IF(AND(SUMIF(Capacity_Resource,$D202,'Critical resources (hide)'!BQ$6:BQ$105)+SUMIF(Capacity_Resource,$E202,'Critical resources (hide)'!BQ$6:BQ$105)+SUMIF(Capacity_Resource,$F202,'Critical resources (hide)'!BQ$6:BQ$105)&gt;0,$E$1=2),0,1)</f>
        <v>1</v>
      </c>
      <c r="BE202" s="67">
        <f ca="1">IF(AND(SUMIF(Capacity_Resource,$D202,'Critical resources (hide)'!BR$6:BR$105)+SUMIF(Capacity_Resource,$E202,'Critical resources (hide)'!BR$6:BR$105)+SUMIF(Capacity_Resource,$F202,'Critical resources (hide)'!BR$6:BR$105)&gt;0,$E$1=2),0,1)</f>
        <v>1</v>
      </c>
      <c r="BF202" s="67">
        <f ca="1">IF(AND(SUMIF(Capacity_Resource,$D202,'Critical resources (hide)'!BS$6:BS$105)+SUMIF(Capacity_Resource,$E202,'Critical resources (hide)'!BS$6:BS$105)+SUMIF(Capacity_Resource,$F202,'Critical resources (hide)'!BS$6:BS$105)&gt;0,$E$1=2),0,1)</f>
        <v>1</v>
      </c>
      <c r="BG202" s="67">
        <f ca="1">IF(AND(SUMIF(Capacity_Resource,$D202,'Critical resources (hide)'!BT$6:BT$105)+SUMIF(Capacity_Resource,$E202,'Critical resources (hide)'!BT$6:BT$105)+SUMIF(Capacity_Resource,$F202,'Critical resources (hide)'!BT$6:BT$105)&gt;0,$E$1=2),0,1)</f>
        <v>1</v>
      </c>
      <c r="BH202" s="67">
        <f>IF(ROW(A91)&lt;=Capacity!$M$16,IF('Capacity summary'!$C$14="No",SUM(H202:BG202),'Capacity summary'!$E114),0)</f>
        <v>0</v>
      </c>
      <c r="BI202" s="67" t="str">
        <f>IF(BH202&gt;0,IF(BH202&lt;Capacity!Q107,Capacity!R107,Capacity!T107/'Capacity calculation (hide)'!BH202),"")</f>
        <v/>
      </c>
      <c r="BJ202" s="5"/>
      <c r="BK202" s="5">
        <f>IF($BI202&lt;&gt;"",IF('Capacity summary'!$C$14="Yes",IF(COUNTBLANK('Capacity summary'!$H114:$BG114)&lt;52,IF('Capacity summary'!H114&lt;&gt;"",IF(LOWER('Capacity summary'!H114)="x",$BI202*H202,VALUE('Capacity summary'!H114)),0),H202*$BI202),H202*$BI202),0)</f>
        <v>0</v>
      </c>
      <c r="BL202" s="5">
        <f>IF($BI202&lt;&gt;"",IF('Capacity summary'!$C$14="Yes",IF(COUNTBLANK('Capacity summary'!$H114:$BG114)&lt;52,IF('Capacity summary'!I114&lt;&gt;"",IF(LOWER('Capacity summary'!I114)="x",$BI202*I202,VALUE('Capacity summary'!I114)),0),I202*$BI202),I202*$BI202),0)</f>
        <v>0</v>
      </c>
      <c r="BM202" s="5">
        <f>IF($BI202&lt;&gt;"",IF('Capacity summary'!$C$14="Yes",IF(COUNTBLANK('Capacity summary'!$H114:$BG114)&lt;52,IF('Capacity summary'!J114&lt;&gt;"",IF(LOWER('Capacity summary'!J114)="x",$BI202*J202,VALUE('Capacity summary'!J114)),0),J202*$BI202),J202*$BI202),0)</f>
        <v>0</v>
      </c>
      <c r="BN202" s="5">
        <f>IF($BI202&lt;&gt;"",IF('Capacity summary'!$C$14="Yes",IF(COUNTBLANK('Capacity summary'!$H114:$BG114)&lt;52,IF('Capacity summary'!K114&lt;&gt;"",IF(LOWER('Capacity summary'!K114)="x",$BI202*K202,VALUE('Capacity summary'!K114)),0),K202*$BI202),K202*$BI202),0)</f>
        <v>0</v>
      </c>
      <c r="BO202" s="5">
        <f>IF($BI202&lt;&gt;"",IF('Capacity summary'!$C$14="Yes",IF(COUNTBLANK('Capacity summary'!$H114:$BG114)&lt;52,IF('Capacity summary'!L114&lt;&gt;"",IF(LOWER('Capacity summary'!L114)="x",$BI202*L202,VALUE('Capacity summary'!L114)),0),L202*$BI202),L202*$BI202),0)</f>
        <v>0</v>
      </c>
      <c r="BP202" s="5">
        <f>IF($BI202&lt;&gt;"",IF('Capacity summary'!$C$14="Yes",IF(COUNTBLANK('Capacity summary'!$H114:$BG114)&lt;52,IF('Capacity summary'!M114&lt;&gt;"",IF(LOWER('Capacity summary'!M114)="x",$BI202*M202,VALUE('Capacity summary'!M114)),0),M202*$BI202),M202*$BI202),0)</f>
        <v>0</v>
      </c>
      <c r="BQ202" s="5">
        <f>IF($BI202&lt;&gt;"",IF('Capacity summary'!$C$14="Yes",IF(COUNTBLANK('Capacity summary'!$H114:$BG114)&lt;52,IF('Capacity summary'!N114&lt;&gt;"",IF(LOWER('Capacity summary'!N114)="x",$BI202*N202,VALUE('Capacity summary'!N114)),0),N202*$BI202),N202*$BI202),0)</f>
        <v>0</v>
      </c>
      <c r="BR202" s="5">
        <f>IF($BI202&lt;&gt;"",IF('Capacity summary'!$C$14="Yes",IF(COUNTBLANK('Capacity summary'!$H114:$BG114)&lt;52,IF('Capacity summary'!O114&lt;&gt;"",IF(LOWER('Capacity summary'!O114)="x",$BI202*O202,VALUE('Capacity summary'!O114)),0),O202*$BI202),O202*$BI202),0)</f>
        <v>0</v>
      </c>
      <c r="BS202" s="5">
        <f>IF($BI202&lt;&gt;"",IF('Capacity summary'!$C$14="Yes",IF(COUNTBLANK('Capacity summary'!$H114:$BG114)&lt;52,IF('Capacity summary'!P114&lt;&gt;"",IF(LOWER('Capacity summary'!P114)="x",$BI202*P202,VALUE('Capacity summary'!P114)),0),P202*$BI202),P202*$BI202),0)</f>
        <v>0</v>
      </c>
      <c r="BT202" s="5">
        <f>IF($BI202&lt;&gt;"",IF('Capacity summary'!$C$14="Yes",IF(COUNTBLANK('Capacity summary'!$H114:$BG114)&lt;52,IF('Capacity summary'!Q114&lt;&gt;"",IF(LOWER('Capacity summary'!Q114)="x",$BI202*Q202,VALUE('Capacity summary'!Q114)),0),Q202*$BI202),Q202*$BI202),0)</f>
        <v>0</v>
      </c>
      <c r="BU202" s="5">
        <f>IF($BI202&lt;&gt;"",IF('Capacity summary'!$C$14="Yes",IF(COUNTBLANK('Capacity summary'!$H114:$BG114)&lt;52,IF('Capacity summary'!R114&lt;&gt;"",IF(LOWER('Capacity summary'!R114)="x",$BI202*R202,VALUE('Capacity summary'!R114)),0),R202*$BI202),R202*$BI202),0)</f>
        <v>0</v>
      </c>
      <c r="BV202" s="5">
        <f>IF($BI202&lt;&gt;"",IF('Capacity summary'!$C$14="Yes",IF(COUNTBLANK('Capacity summary'!$H114:$BG114)&lt;52,IF('Capacity summary'!S114&lt;&gt;"",IF(LOWER('Capacity summary'!S114)="x",$BI202*S202,VALUE('Capacity summary'!S114)),0),S202*$BI202),S202*$BI202),0)</f>
        <v>0</v>
      </c>
      <c r="BW202" s="5">
        <f>IF($BI202&lt;&gt;"",IF('Capacity summary'!$C$14="Yes",IF(COUNTBLANK('Capacity summary'!$H114:$BG114)&lt;52,IF('Capacity summary'!T114&lt;&gt;"",IF(LOWER('Capacity summary'!T114)="x",$BI202*T202,VALUE('Capacity summary'!T114)),0),T202*$BI202),T202*$BI202),0)</f>
        <v>0</v>
      </c>
      <c r="BX202" s="5">
        <f>IF($BI202&lt;&gt;"",IF('Capacity summary'!$C$14="Yes",IF(COUNTBLANK('Capacity summary'!$H114:$BG114)&lt;52,IF('Capacity summary'!U114&lt;&gt;"",IF(LOWER('Capacity summary'!U114)="x",$BI202*U202,VALUE('Capacity summary'!U114)),0),U202*$BI202),U202*$BI202),0)</f>
        <v>0</v>
      </c>
      <c r="BY202" s="5">
        <f>IF($BI202&lt;&gt;"",IF('Capacity summary'!$C$14="Yes",IF(COUNTBLANK('Capacity summary'!$H114:$BG114)&lt;52,IF('Capacity summary'!V114&lt;&gt;"",IF(LOWER('Capacity summary'!V114)="x",$BI202*V202,VALUE('Capacity summary'!V114)),0),V202*$BI202),V202*$BI202),0)</f>
        <v>0</v>
      </c>
      <c r="BZ202" s="5">
        <f>IF($BI202&lt;&gt;"",IF('Capacity summary'!$C$14="Yes",IF(COUNTBLANK('Capacity summary'!$H114:$BG114)&lt;52,IF('Capacity summary'!W114&lt;&gt;"",IF(LOWER('Capacity summary'!W114)="x",$BI202*W202,VALUE('Capacity summary'!W114)),0),W202*$BI202),W202*$BI202),0)</f>
        <v>0</v>
      </c>
      <c r="CA202" s="5">
        <f>IF($BI202&lt;&gt;"",IF('Capacity summary'!$C$14="Yes",IF(COUNTBLANK('Capacity summary'!$H114:$BG114)&lt;52,IF('Capacity summary'!X114&lt;&gt;"",IF(LOWER('Capacity summary'!X114)="x",$BI202*X202,VALUE('Capacity summary'!X114)),0),X202*$BI202),X202*$BI202),0)</f>
        <v>0</v>
      </c>
      <c r="CB202" s="5">
        <f>IF($BI202&lt;&gt;"",IF('Capacity summary'!$C$14="Yes",IF(COUNTBLANK('Capacity summary'!$H114:$BG114)&lt;52,IF('Capacity summary'!Y114&lt;&gt;"",IF(LOWER('Capacity summary'!Y114)="x",$BI202*Y202,VALUE('Capacity summary'!Y114)),0),Y202*$BI202),Y202*$BI202),0)</f>
        <v>0</v>
      </c>
      <c r="CC202" s="5">
        <f>IF($BI202&lt;&gt;"",IF('Capacity summary'!$C$14="Yes",IF(COUNTBLANK('Capacity summary'!$H114:$BG114)&lt;52,IF('Capacity summary'!Z114&lt;&gt;"",IF(LOWER('Capacity summary'!Z114)="x",$BI202*Z202,VALUE('Capacity summary'!Z114)),0),Z202*$BI202),Z202*$BI202),0)</f>
        <v>0</v>
      </c>
      <c r="CD202" s="5">
        <f>IF($BI202&lt;&gt;"",IF('Capacity summary'!$C$14="Yes",IF(COUNTBLANK('Capacity summary'!$H114:$BG114)&lt;52,IF('Capacity summary'!AA114&lt;&gt;"",IF(LOWER('Capacity summary'!AA114)="x",$BI202*AA202,VALUE('Capacity summary'!AA114)),0),AA202*$BI202),AA202*$BI202),0)</f>
        <v>0</v>
      </c>
      <c r="CE202" s="5">
        <f>IF($BI202&lt;&gt;"",IF('Capacity summary'!$C$14="Yes",IF(COUNTBLANK('Capacity summary'!$H114:$BG114)&lt;52,IF('Capacity summary'!AB114&lt;&gt;"",IF(LOWER('Capacity summary'!AB114)="x",$BI202*AB202,VALUE('Capacity summary'!AB114)),0),AB202*$BI202),AB202*$BI202),0)</f>
        <v>0</v>
      </c>
      <c r="CF202" s="5">
        <f>IF($BI202&lt;&gt;"",IF('Capacity summary'!$C$14="Yes",IF(COUNTBLANK('Capacity summary'!$H114:$BG114)&lt;52,IF('Capacity summary'!AC114&lt;&gt;"",IF(LOWER('Capacity summary'!AC114)="x",$BI202*AC202,VALUE('Capacity summary'!AC114)),0),AC202*$BI202),AC202*$BI202),0)</f>
        <v>0</v>
      </c>
      <c r="CG202" s="5">
        <f>IF($BI202&lt;&gt;"",IF('Capacity summary'!$C$14="Yes",IF(COUNTBLANK('Capacity summary'!$H114:$BG114)&lt;52,IF('Capacity summary'!AD114&lt;&gt;"",IF(LOWER('Capacity summary'!AD114)="x",$BI202*AD202,VALUE('Capacity summary'!AD114)),0),AD202*$BI202),AD202*$BI202),0)</f>
        <v>0</v>
      </c>
      <c r="CH202" s="5">
        <f>IF($BI202&lt;&gt;"",IF('Capacity summary'!$C$14="Yes",IF(COUNTBLANK('Capacity summary'!$H114:$BG114)&lt;52,IF('Capacity summary'!AE114&lt;&gt;"",IF(LOWER('Capacity summary'!AE114)="x",$BI202*AE202,VALUE('Capacity summary'!AE114)),0),AE202*$BI202),AE202*$BI202),0)</f>
        <v>0</v>
      </c>
      <c r="CI202" s="5">
        <f>IF($BI202&lt;&gt;"",IF('Capacity summary'!$C$14="Yes",IF(COUNTBLANK('Capacity summary'!$H114:$BG114)&lt;52,IF('Capacity summary'!AF114&lt;&gt;"",IF(LOWER('Capacity summary'!AF114)="x",$BI202*AF202,VALUE('Capacity summary'!AF114)),0),AF202*$BI202),AF202*$BI202),0)</f>
        <v>0</v>
      </c>
      <c r="CJ202" s="5">
        <f>IF($BI202&lt;&gt;"",IF('Capacity summary'!$C$14="Yes",IF(COUNTBLANK('Capacity summary'!$H114:$BG114)&lt;52,IF('Capacity summary'!AG114&lt;&gt;"",IF(LOWER('Capacity summary'!AG114)="x",$BI202*AG202,VALUE('Capacity summary'!AG114)),0),AG202*$BI202),AG202*$BI202),0)</f>
        <v>0</v>
      </c>
      <c r="CK202" s="5">
        <f>IF($BI202&lt;&gt;"",IF('Capacity summary'!$C$14="Yes",IF(COUNTBLANK('Capacity summary'!$H114:$BG114)&lt;52,IF('Capacity summary'!AH114&lt;&gt;"",IF(LOWER('Capacity summary'!AH114)="x",$BI202*AH202,VALUE('Capacity summary'!AH114)),0),AH202*$BI202),AH202*$BI202),0)</f>
        <v>0</v>
      </c>
      <c r="CL202" s="5">
        <f>IF($BI202&lt;&gt;"",IF('Capacity summary'!$C$14="Yes",IF(COUNTBLANK('Capacity summary'!$H114:$BG114)&lt;52,IF('Capacity summary'!AI114&lt;&gt;"",IF(LOWER('Capacity summary'!AI114)="x",$BI202*AI202,VALUE('Capacity summary'!AI114)),0),AI202*$BI202),AI202*$BI202),0)</f>
        <v>0</v>
      </c>
      <c r="CM202" s="5">
        <f>IF($BI202&lt;&gt;"",IF('Capacity summary'!$C$14="Yes",IF(COUNTBLANK('Capacity summary'!$H114:$BG114)&lt;52,IF('Capacity summary'!AJ114&lt;&gt;"",IF(LOWER('Capacity summary'!AJ114)="x",$BI202*AJ202,VALUE('Capacity summary'!AJ114)),0),AJ202*$BI202),AJ202*$BI202),0)</f>
        <v>0</v>
      </c>
      <c r="CN202" s="5">
        <f>IF($BI202&lt;&gt;"",IF('Capacity summary'!$C$14="Yes",IF(COUNTBLANK('Capacity summary'!$H114:$BG114)&lt;52,IF('Capacity summary'!AK114&lt;&gt;"",IF(LOWER('Capacity summary'!AK114)="x",$BI202*AK202,VALUE('Capacity summary'!AK114)),0),AK202*$BI202),AK202*$BI202),0)</f>
        <v>0</v>
      </c>
      <c r="CO202" s="5">
        <f>IF($BI202&lt;&gt;"",IF('Capacity summary'!$C$14="Yes",IF(COUNTBLANK('Capacity summary'!$H114:$BG114)&lt;52,IF('Capacity summary'!AL114&lt;&gt;"",IF(LOWER('Capacity summary'!AL114)="x",$BI202*AL202,VALUE('Capacity summary'!AL114)),0),AL202*$BI202),AL202*$BI202),0)</f>
        <v>0</v>
      </c>
      <c r="CP202" s="5">
        <f>IF($BI202&lt;&gt;"",IF('Capacity summary'!$C$14="Yes",IF(COUNTBLANK('Capacity summary'!$H114:$BG114)&lt;52,IF('Capacity summary'!AM114&lt;&gt;"",IF(LOWER('Capacity summary'!AM114)="x",$BI202*AM202,VALUE('Capacity summary'!AM114)),0),AM202*$BI202),AM202*$BI202),0)</f>
        <v>0</v>
      </c>
      <c r="CQ202" s="5">
        <f>IF($BI202&lt;&gt;"",IF('Capacity summary'!$C$14="Yes",IF(COUNTBLANK('Capacity summary'!$H114:$BG114)&lt;52,IF('Capacity summary'!AN114&lt;&gt;"",IF(LOWER('Capacity summary'!AN114)="x",$BI202*AN202,VALUE('Capacity summary'!AN114)),0),AN202*$BI202),AN202*$BI202),0)</f>
        <v>0</v>
      </c>
      <c r="CR202" s="5">
        <f>IF($BI202&lt;&gt;"",IF('Capacity summary'!$C$14="Yes",IF(COUNTBLANK('Capacity summary'!$H114:$BG114)&lt;52,IF('Capacity summary'!AO114&lt;&gt;"",IF(LOWER('Capacity summary'!AO114)="x",$BI202*AO202,VALUE('Capacity summary'!AO114)),0),AO202*$BI202),AO202*$BI202),0)</f>
        <v>0</v>
      </c>
      <c r="CS202" s="5">
        <f>IF($BI202&lt;&gt;"",IF('Capacity summary'!$C$14="Yes",IF(COUNTBLANK('Capacity summary'!$H114:$BG114)&lt;52,IF('Capacity summary'!AP114&lt;&gt;"",IF(LOWER('Capacity summary'!AP114)="x",$BI202*AP202,VALUE('Capacity summary'!AP114)),0),AP202*$BI202),AP202*$BI202),0)</f>
        <v>0</v>
      </c>
      <c r="CT202" s="5">
        <f>IF($BI202&lt;&gt;"",IF('Capacity summary'!$C$14="Yes",IF(COUNTBLANK('Capacity summary'!$H114:$BG114)&lt;52,IF('Capacity summary'!AQ114&lt;&gt;"",IF(LOWER('Capacity summary'!AQ114)="x",$BI202*AQ202,VALUE('Capacity summary'!AQ114)),0),AQ202*$BI202),AQ202*$BI202),0)</f>
        <v>0</v>
      </c>
      <c r="CU202" s="5">
        <f>IF($BI202&lt;&gt;"",IF('Capacity summary'!$C$14="Yes",IF(COUNTBLANK('Capacity summary'!$H114:$BG114)&lt;52,IF('Capacity summary'!AR114&lt;&gt;"",IF(LOWER('Capacity summary'!AR114)="x",$BI202*AR202,VALUE('Capacity summary'!AR114)),0),AR202*$BI202),AR202*$BI202),0)</f>
        <v>0</v>
      </c>
      <c r="CV202" s="5">
        <f>IF($BI202&lt;&gt;"",IF('Capacity summary'!$C$14="Yes",IF(COUNTBLANK('Capacity summary'!$H114:$BG114)&lt;52,IF('Capacity summary'!AS114&lt;&gt;"",IF(LOWER('Capacity summary'!AS114)="x",$BI202*AS202,VALUE('Capacity summary'!AS114)),0),AS202*$BI202),AS202*$BI202),0)</f>
        <v>0</v>
      </c>
      <c r="CW202" s="5">
        <f>IF($BI202&lt;&gt;"",IF('Capacity summary'!$C$14="Yes",IF(COUNTBLANK('Capacity summary'!$H114:$BG114)&lt;52,IF('Capacity summary'!AT114&lt;&gt;"",IF(LOWER('Capacity summary'!AT114)="x",$BI202*AT202,VALUE('Capacity summary'!AT114)),0),AT202*$BI202),AT202*$BI202),0)</f>
        <v>0</v>
      </c>
      <c r="CX202" s="5">
        <f>IF($BI202&lt;&gt;"",IF('Capacity summary'!$C$14="Yes",IF(COUNTBLANK('Capacity summary'!$H114:$BG114)&lt;52,IF('Capacity summary'!AU114&lt;&gt;"",IF(LOWER('Capacity summary'!AU114)="x",$BI202*AU202,VALUE('Capacity summary'!AU114)),0),AU202*$BI202),AU202*$BI202),0)</f>
        <v>0</v>
      </c>
      <c r="CY202" s="5">
        <f>IF($BI202&lt;&gt;"",IF('Capacity summary'!$C$14="Yes",IF(COUNTBLANK('Capacity summary'!$H114:$BG114)&lt;52,IF('Capacity summary'!AV114&lt;&gt;"",IF(LOWER('Capacity summary'!AV114)="x",$BI202*AV202,VALUE('Capacity summary'!AV114)),0),AV202*$BI202),AV202*$BI202),0)</f>
        <v>0</v>
      </c>
      <c r="CZ202" s="5">
        <f>IF($BI202&lt;&gt;"",IF('Capacity summary'!$C$14="Yes",IF(COUNTBLANK('Capacity summary'!$H114:$BG114)&lt;52,IF('Capacity summary'!AW114&lt;&gt;"",IF(LOWER('Capacity summary'!AW114)="x",$BI202*AW202,VALUE('Capacity summary'!AW114)),0),AW202*$BI202),AW202*$BI202),0)</f>
        <v>0</v>
      </c>
      <c r="DA202" s="5">
        <f>IF($BI202&lt;&gt;"",IF('Capacity summary'!$C$14="Yes",IF(COUNTBLANK('Capacity summary'!$H114:$BG114)&lt;52,IF('Capacity summary'!AX114&lt;&gt;"",IF(LOWER('Capacity summary'!AX114)="x",$BI202*AX202,VALUE('Capacity summary'!AX114)),0),AX202*$BI202),AX202*$BI202),0)</f>
        <v>0</v>
      </c>
      <c r="DB202" s="5">
        <f>IF($BI202&lt;&gt;"",IF('Capacity summary'!$C$14="Yes",IF(COUNTBLANK('Capacity summary'!$H114:$BG114)&lt;52,IF('Capacity summary'!AY114&lt;&gt;"",IF(LOWER('Capacity summary'!AY114)="x",$BI202*AY202,VALUE('Capacity summary'!AY114)),0),AY202*$BI202),AY202*$BI202),0)</f>
        <v>0</v>
      </c>
      <c r="DC202" s="5">
        <f>IF($BI202&lt;&gt;"",IF('Capacity summary'!$C$14="Yes",IF(COUNTBLANK('Capacity summary'!$H114:$BG114)&lt;52,IF('Capacity summary'!AZ114&lt;&gt;"",IF(LOWER('Capacity summary'!AZ114)="x",$BI202*AZ202,VALUE('Capacity summary'!AZ114)),0),AZ202*$BI202),AZ202*$BI202),0)</f>
        <v>0</v>
      </c>
      <c r="DD202" s="5">
        <f>IF($BI202&lt;&gt;"",IF('Capacity summary'!$C$14="Yes",IF(COUNTBLANK('Capacity summary'!$H114:$BG114)&lt;52,IF('Capacity summary'!BA114&lt;&gt;"",IF(LOWER('Capacity summary'!BA114)="x",$BI202*BA202,VALUE('Capacity summary'!BA114)),0),BA202*$BI202),BA202*$BI202),0)</f>
        <v>0</v>
      </c>
      <c r="DE202" s="5">
        <f>IF($BI202&lt;&gt;"",IF('Capacity summary'!$C$14="Yes",IF(COUNTBLANK('Capacity summary'!$H114:$BG114)&lt;52,IF('Capacity summary'!BB114&lt;&gt;"",IF(LOWER('Capacity summary'!BB114)="x",$BI202*BB202,VALUE('Capacity summary'!BB114)),0),BB202*$BI202),BB202*$BI202),0)</f>
        <v>0</v>
      </c>
      <c r="DF202" s="5">
        <f>IF($BI202&lt;&gt;"",IF('Capacity summary'!$C$14="Yes",IF(COUNTBLANK('Capacity summary'!$H114:$BG114)&lt;52,IF('Capacity summary'!BC114&lt;&gt;"",IF(LOWER('Capacity summary'!BC114)="x",$BI202*BC202,VALUE('Capacity summary'!BC114)),0),BC202*$BI202),BC202*$BI202),0)</f>
        <v>0</v>
      </c>
      <c r="DG202" s="5">
        <f>IF($BI202&lt;&gt;"",IF('Capacity summary'!$C$14="Yes",IF(COUNTBLANK('Capacity summary'!$H114:$BG114)&lt;52,IF('Capacity summary'!BD114&lt;&gt;"",IF(LOWER('Capacity summary'!BD114)="x",$BI202*BD202,VALUE('Capacity summary'!BD114)),0),BD202*$BI202),BD202*$BI202),0)</f>
        <v>0</v>
      </c>
      <c r="DH202" s="5">
        <f>IF($BI202&lt;&gt;"",IF('Capacity summary'!$C$14="Yes",IF(COUNTBLANK('Capacity summary'!$H114:$BG114)&lt;52,IF('Capacity summary'!BE114&lt;&gt;"",IF(LOWER('Capacity summary'!BE114)="x",$BI202*BE202,VALUE('Capacity summary'!BE114)),0),BE202*$BI202),BE202*$BI202),0)</f>
        <v>0</v>
      </c>
      <c r="DI202" s="5">
        <f>IF($BI202&lt;&gt;"",IF('Capacity summary'!$C$14="Yes",IF(COUNTBLANK('Capacity summary'!$H114:$BG114)&lt;52,IF('Capacity summary'!BF114&lt;&gt;"",IF(LOWER('Capacity summary'!BF114)="x",$BI202*BF202,VALUE('Capacity summary'!BF114)),0),BF202*$BI202),BF202*$BI202),0)</f>
        <v>0</v>
      </c>
      <c r="DJ202" s="5">
        <f>IF($BI202&lt;&gt;"",IF('Capacity summary'!$C$14="Yes",IF(COUNTBLANK('Capacity summary'!$H114:$BG114)&lt;52,IF('Capacity summary'!BG114&lt;&gt;"",IF(LOWER('Capacity summary'!BG114)="x",$BI202*BG202,VALUE('Capacity summary'!BG114)),0),BG202*$BI202),BG202*$BI202),0)</f>
        <v>0</v>
      </c>
      <c r="DK202" s="5">
        <f t="shared" ref="DK202" si="96">SUM(DK203:DK302)</f>
        <v>0</v>
      </c>
    </row>
    <row r="203" spans="3:115" x14ac:dyDescent="0.25">
      <c r="C203" s="67" t="str">
        <f>ROW(A92)&amp;". "&amp;Capacity!N108</f>
        <v xml:space="preserve">92. </v>
      </c>
      <c r="D203" s="67">
        <f>'Capacity setup'!C209</f>
        <v>0</v>
      </c>
      <c r="E203" s="67">
        <f>'Capacity setup'!D209</f>
        <v>0</v>
      </c>
      <c r="F203" s="67">
        <f>'Capacity setup'!E209</f>
        <v>0</v>
      </c>
      <c r="H203" s="67">
        <f ca="1">IF(AND(SUMIF(Capacity_Resource,$D203,'Critical resources (hide)'!U$6:U$105)+SUMIF(Capacity_Resource,$E203,'Critical resources (hide)'!U$6:U$105)+SUMIF(Capacity_Resource,$F203,'Critical resources (hide)'!U$6:U$105)&gt;0,$E$1=2),0,1)</f>
        <v>1</v>
      </c>
      <c r="I203" s="67">
        <f ca="1">IF(AND(SUMIF(Capacity_Resource,$D203,'Critical resources (hide)'!V$6:V$105)+SUMIF(Capacity_Resource,$E203,'Critical resources (hide)'!V$6:V$105)+SUMIF(Capacity_Resource,$F203,'Critical resources (hide)'!V$6:V$105)&gt;0,$E$1=2),0,1)</f>
        <v>1</v>
      </c>
      <c r="J203" s="67">
        <f ca="1">IF(AND(SUMIF(Capacity_Resource,$D203,'Critical resources (hide)'!W$6:W$105)+SUMIF(Capacity_Resource,$E203,'Critical resources (hide)'!W$6:W$105)+SUMIF(Capacity_Resource,$F203,'Critical resources (hide)'!W$6:W$105)&gt;0,$E$1=2),0,1)</f>
        <v>1</v>
      </c>
      <c r="K203" s="67">
        <f ca="1">IF(AND(SUMIF(Capacity_Resource,$D203,'Critical resources (hide)'!X$6:X$105)+SUMIF(Capacity_Resource,$E203,'Critical resources (hide)'!X$6:X$105)+SUMIF(Capacity_Resource,$F203,'Critical resources (hide)'!X$6:X$105)&gt;0,$E$1=2),0,1)</f>
        <v>1</v>
      </c>
      <c r="L203" s="67">
        <f ca="1">IF(AND(SUMIF(Capacity_Resource,$D203,'Critical resources (hide)'!Y$6:Y$105)+SUMIF(Capacity_Resource,$E203,'Critical resources (hide)'!Y$6:Y$105)+SUMIF(Capacity_Resource,$F203,'Critical resources (hide)'!Y$6:Y$105)&gt;0,$E$1=2),0,1)</f>
        <v>1</v>
      </c>
      <c r="M203" s="67">
        <f ca="1">IF(AND(SUMIF(Capacity_Resource,$D203,'Critical resources (hide)'!Z$6:Z$105)+SUMIF(Capacity_Resource,$E203,'Critical resources (hide)'!Z$6:Z$105)+SUMIF(Capacity_Resource,$F203,'Critical resources (hide)'!Z$6:Z$105)&gt;0,$E$1=2),0,1)</f>
        <v>1</v>
      </c>
      <c r="N203" s="67">
        <f ca="1">IF(AND(SUMIF(Capacity_Resource,$D203,'Critical resources (hide)'!AA$6:AA$105)+SUMIF(Capacity_Resource,$E203,'Critical resources (hide)'!AA$6:AA$105)+SUMIF(Capacity_Resource,$F203,'Critical resources (hide)'!AA$6:AA$105)&gt;0,$E$1=2),0,1)</f>
        <v>1</v>
      </c>
      <c r="O203" s="67">
        <f ca="1">IF(AND(SUMIF(Capacity_Resource,$D203,'Critical resources (hide)'!AB$6:AB$105)+SUMIF(Capacity_Resource,$E203,'Critical resources (hide)'!AB$6:AB$105)+SUMIF(Capacity_Resource,$F203,'Critical resources (hide)'!AB$6:AB$105)&gt;0,$E$1=2),0,1)</f>
        <v>1</v>
      </c>
      <c r="P203" s="67">
        <f ca="1">IF(AND(SUMIF(Capacity_Resource,$D203,'Critical resources (hide)'!AC$6:AC$105)+SUMIF(Capacity_Resource,$E203,'Critical resources (hide)'!AC$6:AC$105)+SUMIF(Capacity_Resource,$F203,'Critical resources (hide)'!AC$6:AC$105)&gt;0,$E$1=2),0,1)</f>
        <v>1</v>
      </c>
      <c r="Q203" s="67">
        <f ca="1">IF(AND(SUMIF(Capacity_Resource,$D203,'Critical resources (hide)'!AD$6:AD$105)+SUMIF(Capacity_Resource,$E203,'Critical resources (hide)'!AD$6:AD$105)+SUMIF(Capacity_Resource,$F203,'Critical resources (hide)'!AD$6:AD$105)&gt;0,$E$1=2),0,1)</f>
        <v>1</v>
      </c>
      <c r="R203" s="67">
        <f ca="1">IF(AND(SUMIF(Capacity_Resource,$D203,'Critical resources (hide)'!AE$6:AE$105)+SUMIF(Capacity_Resource,$E203,'Critical resources (hide)'!AE$6:AE$105)+SUMIF(Capacity_Resource,$F203,'Critical resources (hide)'!AE$6:AE$105)&gt;0,$E$1=2),0,1)</f>
        <v>1</v>
      </c>
      <c r="S203" s="67">
        <f ca="1">IF(AND(SUMIF(Capacity_Resource,$D203,'Critical resources (hide)'!AF$6:AF$105)+SUMIF(Capacity_Resource,$E203,'Critical resources (hide)'!AF$6:AF$105)+SUMIF(Capacity_Resource,$F203,'Critical resources (hide)'!AF$6:AF$105)&gt;0,$E$1=2),0,1)</f>
        <v>1</v>
      </c>
      <c r="T203" s="67">
        <f ca="1">IF(AND(SUMIF(Capacity_Resource,$D203,'Critical resources (hide)'!AG$6:AG$105)+SUMIF(Capacity_Resource,$E203,'Critical resources (hide)'!AG$6:AG$105)+SUMIF(Capacity_Resource,$F203,'Critical resources (hide)'!AG$6:AG$105)&gt;0,$E$1=2),0,1)</f>
        <v>1</v>
      </c>
      <c r="U203" s="67">
        <f ca="1">IF(AND(SUMIF(Capacity_Resource,$D203,'Critical resources (hide)'!AH$6:AH$105)+SUMIF(Capacity_Resource,$E203,'Critical resources (hide)'!AH$6:AH$105)+SUMIF(Capacity_Resource,$F203,'Critical resources (hide)'!AH$6:AH$105)&gt;0,$E$1=2),0,1)</f>
        <v>1</v>
      </c>
      <c r="V203" s="67">
        <f ca="1">IF(AND(SUMIF(Capacity_Resource,$D203,'Critical resources (hide)'!AI$6:AI$105)+SUMIF(Capacity_Resource,$E203,'Critical resources (hide)'!AI$6:AI$105)+SUMIF(Capacity_Resource,$F203,'Critical resources (hide)'!AI$6:AI$105)&gt;0,$E$1=2),0,1)</f>
        <v>1</v>
      </c>
      <c r="W203" s="67">
        <f ca="1">IF(AND(SUMIF(Capacity_Resource,$D203,'Critical resources (hide)'!AJ$6:AJ$105)+SUMIF(Capacity_Resource,$E203,'Critical resources (hide)'!AJ$6:AJ$105)+SUMIF(Capacity_Resource,$F203,'Critical resources (hide)'!AJ$6:AJ$105)&gt;0,$E$1=2),0,1)</f>
        <v>1</v>
      </c>
      <c r="X203" s="67">
        <f ca="1">IF(AND(SUMIF(Capacity_Resource,$D203,'Critical resources (hide)'!AK$6:AK$105)+SUMIF(Capacity_Resource,$E203,'Critical resources (hide)'!AK$6:AK$105)+SUMIF(Capacity_Resource,$F203,'Critical resources (hide)'!AK$6:AK$105)&gt;0,$E$1=2),0,1)</f>
        <v>1</v>
      </c>
      <c r="Y203" s="67">
        <f ca="1">IF(AND(SUMIF(Capacity_Resource,$D203,'Critical resources (hide)'!AL$6:AL$105)+SUMIF(Capacity_Resource,$E203,'Critical resources (hide)'!AL$6:AL$105)+SUMIF(Capacity_Resource,$F203,'Critical resources (hide)'!AL$6:AL$105)&gt;0,$E$1=2),0,1)</f>
        <v>1</v>
      </c>
      <c r="Z203" s="67">
        <f ca="1">IF(AND(SUMIF(Capacity_Resource,$D203,'Critical resources (hide)'!AM$6:AM$105)+SUMIF(Capacity_Resource,$E203,'Critical resources (hide)'!AM$6:AM$105)+SUMIF(Capacity_Resource,$F203,'Critical resources (hide)'!AM$6:AM$105)&gt;0,$E$1=2),0,1)</f>
        <v>1</v>
      </c>
      <c r="AA203" s="67">
        <f ca="1">IF(AND(SUMIF(Capacity_Resource,$D203,'Critical resources (hide)'!AN$6:AN$105)+SUMIF(Capacity_Resource,$E203,'Critical resources (hide)'!AN$6:AN$105)+SUMIF(Capacity_Resource,$F203,'Critical resources (hide)'!AN$6:AN$105)&gt;0,$E$1=2),0,1)</f>
        <v>1</v>
      </c>
      <c r="AB203" s="67">
        <f ca="1">IF(AND(SUMIF(Capacity_Resource,$D203,'Critical resources (hide)'!AO$6:AO$105)+SUMIF(Capacity_Resource,$E203,'Critical resources (hide)'!AO$6:AO$105)+SUMIF(Capacity_Resource,$F203,'Critical resources (hide)'!AO$6:AO$105)&gt;0,$E$1=2),0,1)</f>
        <v>1</v>
      </c>
      <c r="AC203" s="67">
        <f ca="1">IF(AND(SUMIF(Capacity_Resource,$D203,'Critical resources (hide)'!AP$6:AP$105)+SUMIF(Capacity_Resource,$E203,'Critical resources (hide)'!AP$6:AP$105)+SUMIF(Capacity_Resource,$F203,'Critical resources (hide)'!AP$6:AP$105)&gt;0,$E$1=2),0,1)</f>
        <v>1</v>
      </c>
      <c r="AD203" s="67">
        <f ca="1">IF(AND(SUMIF(Capacity_Resource,$D203,'Critical resources (hide)'!AQ$6:AQ$105)+SUMIF(Capacity_Resource,$E203,'Critical resources (hide)'!AQ$6:AQ$105)+SUMIF(Capacity_Resource,$F203,'Critical resources (hide)'!AQ$6:AQ$105)&gt;0,$E$1=2),0,1)</f>
        <v>1</v>
      </c>
      <c r="AE203" s="67">
        <f ca="1">IF(AND(SUMIF(Capacity_Resource,$D203,'Critical resources (hide)'!AR$6:AR$105)+SUMIF(Capacity_Resource,$E203,'Critical resources (hide)'!AR$6:AR$105)+SUMIF(Capacity_Resource,$F203,'Critical resources (hide)'!AR$6:AR$105)&gt;0,$E$1=2),0,1)</f>
        <v>1</v>
      </c>
      <c r="AF203" s="67">
        <f ca="1">IF(AND(SUMIF(Capacity_Resource,$D203,'Critical resources (hide)'!AS$6:AS$105)+SUMIF(Capacity_Resource,$E203,'Critical resources (hide)'!AS$6:AS$105)+SUMIF(Capacity_Resource,$F203,'Critical resources (hide)'!AS$6:AS$105)&gt;0,$E$1=2),0,1)</f>
        <v>1</v>
      </c>
      <c r="AG203" s="67">
        <f ca="1">IF(AND(SUMIF(Capacity_Resource,$D203,'Critical resources (hide)'!AT$6:AT$105)+SUMIF(Capacity_Resource,$E203,'Critical resources (hide)'!AT$6:AT$105)+SUMIF(Capacity_Resource,$F203,'Critical resources (hide)'!AT$6:AT$105)&gt;0,$E$1=2),0,1)</f>
        <v>1</v>
      </c>
      <c r="AH203" s="67">
        <f ca="1">IF(AND(SUMIF(Capacity_Resource,$D203,'Critical resources (hide)'!AU$6:AU$105)+SUMIF(Capacity_Resource,$E203,'Critical resources (hide)'!AU$6:AU$105)+SUMIF(Capacity_Resource,$F203,'Critical resources (hide)'!AU$6:AU$105)&gt;0,$E$1=2),0,1)</f>
        <v>1</v>
      </c>
      <c r="AI203" s="67">
        <f ca="1">IF(AND(SUMIF(Capacity_Resource,$D203,'Critical resources (hide)'!AV$6:AV$105)+SUMIF(Capacity_Resource,$E203,'Critical resources (hide)'!AV$6:AV$105)+SUMIF(Capacity_Resource,$F203,'Critical resources (hide)'!AV$6:AV$105)&gt;0,$E$1=2),0,1)</f>
        <v>1</v>
      </c>
      <c r="AJ203" s="67">
        <f ca="1">IF(AND(SUMIF(Capacity_Resource,$D203,'Critical resources (hide)'!AW$6:AW$105)+SUMIF(Capacity_Resource,$E203,'Critical resources (hide)'!AW$6:AW$105)+SUMIF(Capacity_Resource,$F203,'Critical resources (hide)'!AW$6:AW$105)&gt;0,$E$1=2),0,1)</f>
        <v>1</v>
      </c>
      <c r="AK203" s="67">
        <f ca="1">IF(AND(SUMIF(Capacity_Resource,$D203,'Critical resources (hide)'!AX$6:AX$105)+SUMIF(Capacity_Resource,$E203,'Critical resources (hide)'!AX$6:AX$105)+SUMIF(Capacity_Resource,$F203,'Critical resources (hide)'!AX$6:AX$105)&gt;0,$E$1=2),0,1)</f>
        <v>1</v>
      </c>
      <c r="AL203" s="67">
        <f ca="1">IF(AND(SUMIF(Capacity_Resource,$D203,'Critical resources (hide)'!AY$6:AY$105)+SUMIF(Capacity_Resource,$E203,'Critical resources (hide)'!AY$6:AY$105)+SUMIF(Capacity_Resource,$F203,'Critical resources (hide)'!AY$6:AY$105)&gt;0,$E$1=2),0,1)</f>
        <v>1</v>
      </c>
      <c r="AM203" s="67">
        <f ca="1">IF(AND(SUMIF(Capacity_Resource,$D203,'Critical resources (hide)'!AZ$6:AZ$105)+SUMIF(Capacity_Resource,$E203,'Critical resources (hide)'!AZ$6:AZ$105)+SUMIF(Capacity_Resource,$F203,'Critical resources (hide)'!AZ$6:AZ$105)&gt;0,$E$1=2),0,1)</f>
        <v>1</v>
      </c>
      <c r="AN203" s="67">
        <f ca="1">IF(AND(SUMIF(Capacity_Resource,$D203,'Critical resources (hide)'!BA$6:BA$105)+SUMIF(Capacity_Resource,$E203,'Critical resources (hide)'!BA$6:BA$105)+SUMIF(Capacity_Resource,$F203,'Critical resources (hide)'!BA$6:BA$105)&gt;0,$E$1=2),0,1)</f>
        <v>1</v>
      </c>
      <c r="AO203" s="67">
        <f ca="1">IF(AND(SUMIF(Capacity_Resource,$D203,'Critical resources (hide)'!BB$6:BB$105)+SUMIF(Capacity_Resource,$E203,'Critical resources (hide)'!BB$6:BB$105)+SUMIF(Capacity_Resource,$F203,'Critical resources (hide)'!BB$6:BB$105)&gt;0,$E$1=2),0,1)</f>
        <v>1</v>
      </c>
      <c r="AP203" s="67">
        <f ca="1">IF(AND(SUMIF(Capacity_Resource,$D203,'Critical resources (hide)'!BC$6:BC$105)+SUMIF(Capacity_Resource,$E203,'Critical resources (hide)'!BC$6:BC$105)+SUMIF(Capacity_Resource,$F203,'Critical resources (hide)'!BC$6:BC$105)&gt;0,$E$1=2),0,1)</f>
        <v>1</v>
      </c>
      <c r="AQ203" s="67">
        <f ca="1">IF(AND(SUMIF(Capacity_Resource,$D203,'Critical resources (hide)'!BD$6:BD$105)+SUMIF(Capacity_Resource,$E203,'Critical resources (hide)'!BD$6:BD$105)+SUMIF(Capacity_Resource,$F203,'Critical resources (hide)'!BD$6:BD$105)&gt;0,$E$1=2),0,1)</f>
        <v>1</v>
      </c>
      <c r="AR203" s="67">
        <f ca="1">IF(AND(SUMIF(Capacity_Resource,$D203,'Critical resources (hide)'!BE$6:BE$105)+SUMIF(Capacity_Resource,$E203,'Critical resources (hide)'!BE$6:BE$105)+SUMIF(Capacity_Resource,$F203,'Critical resources (hide)'!BE$6:BE$105)&gt;0,$E$1=2),0,1)</f>
        <v>1</v>
      </c>
      <c r="AS203" s="67">
        <f ca="1">IF(AND(SUMIF(Capacity_Resource,$D203,'Critical resources (hide)'!BF$6:BF$105)+SUMIF(Capacity_Resource,$E203,'Critical resources (hide)'!BF$6:BF$105)+SUMIF(Capacity_Resource,$F203,'Critical resources (hide)'!BF$6:BF$105)&gt;0,$E$1=2),0,1)</f>
        <v>1</v>
      </c>
      <c r="AT203" s="67">
        <f ca="1">IF(AND(SUMIF(Capacity_Resource,$D203,'Critical resources (hide)'!BG$6:BG$105)+SUMIF(Capacity_Resource,$E203,'Critical resources (hide)'!BG$6:BG$105)+SUMIF(Capacity_Resource,$F203,'Critical resources (hide)'!BG$6:BG$105)&gt;0,$E$1=2),0,1)</f>
        <v>1</v>
      </c>
      <c r="AU203" s="67">
        <f ca="1">IF(AND(SUMIF(Capacity_Resource,$D203,'Critical resources (hide)'!BH$6:BH$105)+SUMIF(Capacity_Resource,$E203,'Critical resources (hide)'!BH$6:BH$105)+SUMIF(Capacity_Resource,$F203,'Critical resources (hide)'!BH$6:BH$105)&gt;0,$E$1=2),0,1)</f>
        <v>1</v>
      </c>
      <c r="AV203" s="67">
        <f ca="1">IF(AND(SUMIF(Capacity_Resource,$D203,'Critical resources (hide)'!BI$6:BI$105)+SUMIF(Capacity_Resource,$E203,'Critical resources (hide)'!BI$6:BI$105)+SUMIF(Capacity_Resource,$F203,'Critical resources (hide)'!BI$6:BI$105)&gt;0,$E$1=2),0,1)</f>
        <v>1</v>
      </c>
      <c r="AW203" s="67">
        <f ca="1">IF(AND(SUMIF(Capacity_Resource,$D203,'Critical resources (hide)'!BJ$6:BJ$105)+SUMIF(Capacity_Resource,$E203,'Critical resources (hide)'!BJ$6:BJ$105)+SUMIF(Capacity_Resource,$F203,'Critical resources (hide)'!BJ$6:BJ$105)&gt;0,$E$1=2),0,1)</f>
        <v>1</v>
      </c>
      <c r="AX203" s="67">
        <f ca="1">IF(AND(SUMIF(Capacity_Resource,$D203,'Critical resources (hide)'!BK$6:BK$105)+SUMIF(Capacity_Resource,$E203,'Critical resources (hide)'!BK$6:BK$105)+SUMIF(Capacity_Resource,$F203,'Critical resources (hide)'!BK$6:BK$105)&gt;0,$E$1=2),0,1)</f>
        <v>1</v>
      </c>
      <c r="AY203" s="67">
        <f ca="1">IF(AND(SUMIF(Capacity_Resource,$D203,'Critical resources (hide)'!BL$6:BL$105)+SUMIF(Capacity_Resource,$E203,'Critical resources (hide)'!BL$6:BL$105)+SUMIF(Capacity_Resource,$F203,'Critical resources (hide)'!BL$6:BL$105)&gt;0,$E$1=2),0,1)</f>
        <v>1</v>
      </c>
      <c r="AZ203" s="67">
        <f ca="1">IF(AND(SUMIF(Capacity_Resource,$D203,'Critical resources (hide)'!BM$6:BM$105)+SUMIF(Capacity_Resource,$E203,'Critical resources (hide)'!BM$6:BM$105)+SUMIF(Capacity_Resource,$F203,'Critical resources (hide)'!BM$6:BM$105)&gt;0,$E$1=2),0,1)</f>
        <v>1</v>
      </c>
      <c r="BA203" s="67">
        <f ca="1">IF(AND(SUMIF(Capacity_Resource,$D203,'Critical resources (hide)'!BN$6:BN$105)+SUMIF(Capacity_Resource,$E203,'Critical resources (hide)'!BN$6:BN$105)+SUMIF(Capacity_Resource,$F203,'Critical resources (hide)'!BN$6:BN$105)&gt;0,$E$1=2),0,1)</f>
        <v>1</v>
      </c>
      <c r="BB203" s="67">
        <f ca="1">IF(AND(SUMIF(Capacity_Resource,$D203,'Critical resources (hide)'!BO$6:BO$105)+SUMIF(Capacity_Resource,$E203,'Critical resources (hide)'!BO$6:BO$105)+SUMIF(Capacity_Resource,$F203,'Critical resources (hide)'!BO$6:BO$105)&gt;0,$E$1=2),0,1)</f>
        <v>1</v>
      </c>
      <c r="BC203" s="67">
        <f ca="1">IF(AND(SUMIF(Capacity_Resource,$D203,'Critical resources (hide)'!BP$6:BP$105)+SUMIF(Capacity_Resource,$E203,'Critical resources (hide)'!BP$6:BP$105)+SUMIF(Capacity_Resource,$F203,'Critical resources (hide)'!BP$6:BP$105)&gt;0,$E$1=2),0,1)</f>
        <v>1</v>
      </c>
      <c r="BD203" s="67">
        <f ca="1">IF(AND(SUMIF(Capacity_Resource,$D203,'Critical resources (hide)'!BQ$6:BQ$105)+SUMIF(Capacity_Resource,$E203,'Critical resources (hide)'!BQ$6:BQ$105)+SUMIF(Capacity_Resource,$F203,'Critical resources (hide)'!BQ$6:BQ$105)&gt;0,$E$1=2),0,1)</f>
        <v>1</v>
      </c>
      <c r="BE203" s="67">
        <f ca="1">IF(AND(SUMIF(Capacity_Resource,$D203,'Critical resources (hide)'!BR$6:BR$105)+SUMIF(Capacity_Resource,$E203,'Critical resources (hide)'!BR$6:BR$105)+SUMIF(Capacity_Resource,$F203,'Critical resources (hide)'!BR$6:BR$105)&gt;0,$E$1=2),0,1)</f>
        <v>1</v>
      </c>
      <c r="BF203" s="67">
        <f ca="1">IF(AND(SUMIF(Capacity_Resource,$D203,'Critical resources (hide)'!BS$6:BS$105)+SUMIF(Capacity_Resource,$E203,'Critical resources (hide)'!BS$6:BS$105)+SUMIF(Capacity_Resource,$F203,'Critical resources (hide)'!BS$6:BS$105)&gt;0,$E$1=2),0,1)</f>
        <v>1</v>
      </c>
      <c r="BG203" s="67">
        <f ca="1">IF(AND(SUMIF(Capacity_Resource,$D203,'Critical resources (hide)'!BT$6:BT$105)+SUMIF(Capacity_Resource,$E203,'Critical resources (hide)'!BT$6:BT$105)+SUMIF(Capacity_Resource,$F203,'Critical resources (hide)'!BT$6:BT$105)&gt;0,$E$1=2),0,1)</f>
        <v>1</v>
      </c>
      <c r="BH203" s="67">
        <f>IF(ROW(A92)&lt;=Capacity!$M$16,IF('Capacity summary'!$C$14="No",SUM(H203:BG203),'Capacity summary'!$E115),0)</f>
        <v>0</v>
      </c>
      <c r="BI203" s="67" t="str">
        <f>IF(BH203&gt;0,IF(BH203&lt;Capacity!Q108,Capacity!R108,Capacity!T108/'Capacity calculation (hide)'!BH203),"")</f>
        <v/>
      </c>
      <c r="BJ203" s="5"/>
      <c r="BK203" s="5">
        <f>IF($BI203&lt;&gt;"",IF('Capacity summary'!$C$14="Yes",IF(COUNTBLANK('Capacity summary'!$H115:$BG115)&lt;52,IF('Capacity summary'!H115&lt;&gt;"",IF(LOWER('Capacity summary'!H115)="x",$BI203*H203,VALUE('Capacity summary'!H115)),0),H203*$BI203),H203*$BI203),0)</f>
        <v>0</v>
      </c>
      <c r="BL203" s="5">
        <f>IF($BI203&lt;&gt;"",IF('Capacity summary'!$C$14="Yes",IF(COUNTBLANK('Capacity summary'!$H115:$BG115)&lt;52,IF('Capacity summary'!I115&lt;&gt;"",IF(LOWER('Capacity summary'!I115)="x",$BI203*I203,VALUE('Capacity summary'!I115)),0),I203*$BI203),I203*$BI203),0)</f>
        <v>0</v>
      </c>
      <c r="BM203" s="5">
        <f>IF($BI203&lt;&gt;"",IF('Capacity summary'!$C$14="Yes",IF(COUNTBLANK('Capacity summary'!$H115:$BG115)&lt;52,IF('Capacity summary'!J115&lt;&gt;"",IF(LOWER('Capacity summary'!J115)="x",$BI203*J203,VALUE('Capacity summary'!J115)),0),J203*$BI203),J203*$BI203),0)</f>
        <v>0</v>
      </c>
      <c r="BN203" s="5">
        <f>IF($BI203&lt;&gt;"",IF('Capacity summary'!$C$14="Yes",IF(COUNTBLANK('Capacity summary'!$H115:$BG115)&lt;52,IF('Capacity summary'!K115&lt;&gt;"",IF(LOWER('Capacity summary'!K115)="x",$BI203*K203,VALUE('Capacity summary'!K115)),0),K203*$BI203),K203*$BI203),0)</f>
        <v>0</v>
      </c>
      <c r="BO203" s="5">
        <f>IF($BI203&lt;&gt;"",IF('Capacity summary'!$C$14="Yes",IF(COUNTBLANK('Capacity summary'!$H115:$BG115)&lt;52,IF('Capacity summary'!L115&lt;&gt;"",IF(LOWER('Capacity summary'!L115)="x",$BI203*L203,VALUE('Capacity summary'!L115)),0),L203*$BI203),L203*$BI203),0)</f>
        <v>0</v>
      </c>
      <c r="BP203" s="5">
        <f>IF($BI203&lt;&gt;"",IF('Capacity summary'!$C$14="Yes",IF(COUNTBLANK('Capacity summary'!$H115:$BG115)&lt;52,IF('Capacity summary'!M115&lt;&gt;"",IF(LOWER('Capacity summary'!M115)="x",$BI203*M203,VALUE('Capacity summary'!M115)),0),M203*$BI203),M203*$BI203),0)</f>
        <v>0</v>
      </c>
      <c r="BQ203" s="5">
        <f>IF($BI203&lt;&gt;"",IF('Capacity summary'!$C$14="Yes",IF(COUNTBLANK('Capacity summary'!$H115:$BG115)&lt;52,IF('Capacity summary'!N115&lt;&gt;"",IF(LOWER('Capacity summary'!N115)="x",$BI203*N203,VALUE('Capacity summary'!N115)),0),N203*$BI203),N203*$BI203),0)</f>
        <v>0</v>
      </c>
      <c r="BR203" s="5">
        <f>IF($BI203&lt;&gt;"",IF('Capacity summary'!$C$14="Yes",IF(COUNTBLANK('Capacity summary'!$H115:$BG115)&lt;52,IF('Capacity summary'!O115&lt;&gt;"",IF(LOWER('Capacity summary'!O115)="x",$BI203*O203,VALUE('Capacity summary'!O115)),0),O203*$BI203),O203*$BI203),0)</f>
        <v>0</v>
      </c>
      <c r="BS203" s="5">
        <f>IF($BI203&lt;&gt;"",IF('Capacity summary'!$C$14="Yes",IF(COUNTBLANK('Capacity summary'!$H115:$BG115)&lt;52,IF('Capacity summary'!P115&lt;&gt;"",IF(LOWER('Capacity summary'!P115)="x",$BI203*P203,VALUE('Capacity summary'!P115)),0),P203*$BI203),P203*$BI203),0)</f>
        <v>0</v>
      </c>
      <c r="BT203" s="5">
        <f>IF($BI203&lt;&gt;"",IF('Capacity summary'!$C$14="Yes",IF(COUNTBLANK('Capacity summary'!$H115:$BG115)&lt;52,IF('Capacity summary'!Q115&lt;&gt;"",IF(LOWER('Capacity summary'!Q115)="x",$BI203*Q203,VALUE('Capacity summary'!Q115)),0),Q203*$BI203),Q203*$BI203),0)</f>
        <v>0</v>
      </c>
      <c r="BU203" s="5">
        <f>IF($BI203&lt;&gt;"",IF('Capacity summary'!$C$14="Yes",IF(COUNTBLANK('Capacity summary'!$H115:$BG115)&lt;52,IF('Capacity summary'!R115&lt;&gt;"",IF(LOWER('Capacity summary'!R115)="x",$BI203*R203,VALUE('Capacity summary'!R115)),0),R203*$BI203),R203*$BI203),0)</f>
        <v>0</v>
      </c>
      <c r="BV203" s="5">
        <f>IF($BI203&lt;&gt;"",IF('Capacity summary'!$C$14="Yes",IF(COUNTBLANK('Capacity summary'!$H115:$BG115)&lt;52,IF('Capacity summary'!S115&lt;&gt;"",IF(LOWER('Capacity summary'!S115)="x",$BI203*S203,VALUE('Capacity summary'!S115)),0),S203*$BI203),S203*$BI203),0)</f>
        <v>0</v>
      </c>
      <c r="BW203" s="5">
        <f>IF($BI203&lt;&gt;"",IF('Capacity summary'!$C$14="Yes",IF(COUNTBLANK('Capacity summary'!$H115:$BG115)&lt;52,IF('Capacity summary'!T115&lt;&gt;"",IF(LOWER('Capacity summary'!T115)="x",$BI203*T203,VALUE('Capacity summary'!T115)),0),T203*$BI203),T203*$BI203),0)</f>
        <v>0</v>
      </c>
      <c r="BX203" s="5">
        <f>IF($BI203&lt;&gt;"",IF('Capacity summary'!$C$14="Yes",IF(COUNTBLANK('Capacity summary'!$H115:$BG115)&lt;52,IF('Capacity summary'!U115&lt;&gt;"",IF(LOWER('Capacity summary'!U115)="x",$BI203*U203,VALUE('Capacity summary'!U115)),0),U203*$BI203),U203*$BI203),0)</f>
        <v>0</v>
      </c>
      <c r="BY203" s="5">
        <f>IF($BI203&lt;&gt;"",IF('Capacity summary'!$C$14="Yes",IF(COUNTBLANK('Capacity summary'!$H115:$BG115)&lt;52,IF('Capacity summary'!V115&lt;&gt;"",IF(LOWER('Capacity summary'!V115)="x",$BI203*V203,VALUE('Capacity summary'!V115)),0),V203*$BI203),V203*$BI203),0)</f>
        <v>0</v>
      </c>
      <c r="BZ203" s="5">
        <f>IF($BI203&lt;&gt;"",IF('Capacity summary'!$C$14="Yes",IF(COUNTBLANK('Capacity summary'!$H115:$BG115)&lt;52,IF('Capacity summary'!W115&lt;&gt;"",IF(LOWER('Capacity summary'!W115)="x",$BI203*W203,VALUE('Capacity summary'!W115)),0),W203*$BI203),W203*$BI203),0)</f>
        <v>0</v>
      </c>
      <c r="CA203" s="5">
        <f>IF($BI203&lt;&gt;"",IF('Capacity summary'!$C$14="Yes",IF(COUNTBLANK('Capacity summary'!$H115:$BG115)&lt;52,IF('Capacity summary'!X115&lt;&gt;"",IF(LOWER('Capacity summary'!X115)="x",$BI203*X203,VALUE('Capacity summary'!X115)),0),X203*$BI203),X203*$BI203),0)</f>
        <v>0</v>
      </c>
      <c r="CB203" s="5">
        <f>IF($BI203&lt;&gt;"",IF('Capacity summary'!$C$14="Yes",IF(COUNTBLANK('Capacity summary'!$H115:$BG115)&lt;52,IF('Capacity summary'!Y115&lt;&gt;"",IF(LOWER('Capacity summary'!Y115)="x",$BI203*Y203,VALUE('Capacity summary'!Y115)),0),Y203*$BI203),Y203*$BI203),0)</f>
        <v>0</v>
      </c>
      <c r="CC203" s="5">
        <f>IF($BI203&lt;&gt;"",IF('Capacity summary'!$C$14="Yes",IF(COUNTBLANK('Capacity summary'!$H115:$BG115)&lt;52,IF('Capacity summary'!Z115&lt;&gt;"",IF(LOWER('Capacity summary'!Z115)="x",$BI203*Z203,VALUE('Capacity summary'!Z115)),0),Z203*$BI203),Z203*$BI203),0)</f>
        <v>0</v>
      </c>
      <c r="CD203" s="5">
        <f>IF($BI203&lt;&gt;"",IF('Capacity summary'!$C$14="Yes",IF(COUNTBLANK('Capacity summary'!$H115:$BG115)&lt;52,IF('Capacity summary'!AA115&lt;&gt;"",IF(LOWER('Capacity summary'!AA115)="x",$BI203*AA203,VALUE('Capacity summary'!AA115)),0),AA203*$BI203),AA203*$BI203),0)</f>
        <v>0</v>
      </c>
      <c r="CE203" s="5">
        <f>IF($BI203&lt;&gt;"",IF('Capacity summary'!$C$14="Yes",IF(COUNTBLANK('Capacity summary'!$H115:$BG115)&lt;52,IF('Capacity summary'!AB115&lt;&gt;"",IF(LOWER('Capacity summary'!AB115)="x",$BI203*AB203,VALUE('Capacity summary'!AB115)),0),AB203*$BI203),AB203*$BI203),0)</f>
        <v>0</v>
      </c>
      <c r="CF203" s="5">
        <f>IF($BI203&lt;&gt;"",IF('Capacity summary'!$C$14="Yes",IF(COUNTBLANK('Capacity summary'!$H115:$BG115)&lt;52,IF('Capacity summary'!AC115&lt;&gt;"",IF(LOWER('Capacity summary'!AC115)="x",$BI203*AC203,VALUE('Capacity summary'!AC115)),0),AC203*$BI203),AC203*$BI203),0)</f>
        <v>0</v>
      </c>
      <c r="CG203" s="5">
        <f>IF($BI203&lt;&gt;"",IF('Capacity summary'!$C$14="Yes",IF(COUNTBLANK('Capacity summary'!$H115:$BG115)&lt;52,IF('Capacity summary'!AD115&lt;&gt;"",IF(LOWER('Capacity summary'!AD115)="x",$BI203*AD203,VALUE('Capacity summary'!AD115)),0),AD203*$BI203),AD203*$BI203),0)</f>
        <v>0</v>
      </c>
      <c r="CH203" s="5">
        <f>IF($BI203&lt;&gt;"",IF('Capacity summary'!$C$14="Yes",IF(COUNTBLANK('Capacity summary'!$H115:$BG115)&lt;52,IF('Capacity summary'!AE115&lt;&gt;"",IF(LOWER('Capacity summary'!AE115)="x",$BI203*AE203,VALUE('Capacity summary'!AE115)),0),AE203*$BI203),AE203*$BI203),0)</f>
        <v>0</v>
      </c>
      <c r="CI203" s="5">
        <f>IF($BI203&lt;&gt;"",IF('Capacity summary'!$C$14="Yes",IF(COUNTBLANK('Capacity summary'!$H115:$BG115)&lt;52,IF('Capacity summary'!AF115&lt;&gt;"",IF(LOWER('Capacity summary'!AF115)="x",$BI203*AF203,VALUE('Capacity summary'!AF115)),0),AF203*$BI203),AF203*$BI203),0)</f>
        <v>0</v>
      </c>
      <c r="CJ203" s="5">
        <f>IF($BI203&lt;&gt;"",IF('Capacity summary'!$C$14="Yes",IF(COUNTBLANK('Capacity summary'!$H115:$BG115)&lt;52,IF('Capacity summary'!AG115&lt;&gt;"",IF(LOWER('Capacity summary'!AG115)="x",$BI203*AG203,VALUE('Capacity summary'!AG115)),0),AG203*$BI203),AG203*$BI203),0)</f>
        <v>0</v>
      </c>
      <c r="CK203" s="5">
        <f>IF($BI203&lt;&gt;"",IF('Capacity summary'!$C$14="Yes",IF(COUNTBLANK('Capacity summary'!$H115:$BG115)&lt;52,IF('Capacity summary'!AH115&lt;&gt;"",IF(LOWER('Capacity summary'!AH115)="x",$BI203*AH203,VALUE('Capacity summary'!AH115)),0),AH203*$BI203),AH203*$BI203),0)</f>
        <v>0</v>
      </c>
      <c r="CL203" s="5">
        <f>IF($BI203&lt;&gt;"",IF('Capacity summary'!$C$14="Yes",IF(COUNTBLANK('Capacity summary'!$H115:$BG115)&lt;52,IF('Capacity summary'!AI115&lt;&gt;"",IF(LOWER('Capacity summary'!AI115)="x",$BI203*AI203,VALUE('Capacity summary'!AI115)),0),AI203*$BI203),AI203*$BI203),0)</f>
        <v>0</v>
      </c>
      <c r="CM203" s="5">
        <f>IF($BI203&lt;&gt;"",IF('Capacity summary'!$C$14="Yes",IF(COUNTBLANK('Capacity summary'!$H115:$BG115)&lt;52,IF('Capacity summary'!AJ115&lt;&gt;"",IF(LOWER('Capacity summary'!AJ115)="x",$BI203*AJ203,VALUE('Capacity summary'!AJ115)),0),AJ203*$BI203),AJ203*$BI203),0)</f>
        <v>0</v>
      </c>
      <c r="CN203" s="5">
        <f>IF($BI203&lt;&gt;"",IF('Capacity summary'!$C$14="Yes",IF(COUNTBLANK('Capacity summary'!$H115:$BG115)&lt;52,IF('Capacity summary'!AK115&lt;&gt;"",IF(LOWER('Capacity summary'!AK115)="x",$BI203*AK203,VALUE('Capacity summary'!AK115)),0),AK203*$BI203),AK203*$BI203),0)</f>
        <v>0</v>
      </c>
      <c r="CO203" s="5">
        <f>IF($BI203&lt;&gt;"",IF('Capacity summary'!$C$14="Yes",IF(COUNTBLANK('Capacity summary'!$H115:$BG115)&lt;52,IF('Capacity summary'!AL115&lt;&gt;"",IF(LOWER('Capacity summary'!AL115)="x",$BI203*AL203,VALUE('Capacity summary'!AL115)),0),AL203*$BI203),AL203*$BI203),0)</f>
        <v>0</v>
      </c>
      <c r="CP203" s="5">
        <f>IF($BI203&lt;&gt;"",IF('Capacity summary'!$C$14="Yes",IF(COUNTBLANK('Capacity summary'!$H115:$BG115)&lt;52,IF('Capacity summary'!AM115&lt;&gt;"",IF(LOWER('Capacity summary'!AM115)="x",$BI203*AM203,VALUE('Capacity summary'!AM115)),0),AM203*$BI203),AM203*$BI203),0)</f>
        <v>0</v>
      </c>
      <c r="CQ203" s="5">
        <f>IF($BI203&lt;&gt;"",IF('Capacity summary'!$C$14="Yes",IF(COUNTBLANK('Capacity summary'!$H115:$BG115)&lt;52,IF('Capacity summary'!AN115&lt;&gt;"",IF(LOWER('Capacity summary'!AN115)="x",$BI203*AN203,VALUE('Capacity summary'!AN115)),0),AN203*$BI203),AN203*$BI203),0)</f>
        <v>0</v>
      </c>
      <c r="CR203" s="5">
        <f>IF($BI203&lt;&gt;"",IF('Capacity summary'!$C$14="Yes",IF(COUNTBLANK('Capacity summary'!$H115:$BG115)&lt;52,IF('Capacity summary'!AO115&lt;&gt;"",IF(LOWER('Capacity summary'!AO115)="x",$BI203*AO203,VALUE('Capacity summary'!AO115)),0),AO203*$BI203),AO203*$BI203),0)</f>
        <v>0</v>
      </c>
      <c r="CS203" s="5">
        <f>IF($BI203&lt;&gt;"",IF('Capacity summary'!$C$14="Yes",IF(COUNTBLANK('Capacity summary'!$H115:$BG115)&lt;52,IF('Capacity summary'!AP115&lt;&gt;"",IF(LOWER('Capacity summary'!AP115)="x",$BI203*AP203,VALUE('Capacity summary'!AP115)),0),AP203*$BI203),AP203*$BI203),0)</f>
        <v>0</v>
      </c>
      <c r="CT203" s="5">
        <f>IF($BI203&lt;&gt;"",IF('Capacity summary'!$C$14="Yes",IF(COUNTBLANK('Capacity summary'!$H115:$BG115)&lt;52,IF('Capacity summary'!AQ115&lt;&gt;"",IF(LOWER('Capacity summary'!AQ115)="x",$BI203*AQ203,VALUE('Capacity summary'!AQ115)),0),AQ203*$BI203),AQ203*$BI203),0)</f>
        <v>0</v>
      </c>
      <c r="CU203" s="5">
        <f>IF($BI203&lt;&gt;"",IF('Capacity summary'!$C$14="Yes",IF(COUNTBLANK('Capacity summary'!$H115:$BG115)&lt;52,IF('Capacity summary'!AR115&lt;&gt;"",IF(LOWER('Capacity summary'!AR115)="x",$BI203*AR203,VALUE('Capacity summary'!AR115)),0),AR203*$BI203),AR203*$BI203),0)</f>
        <v>0</v>
      </c>
      <c r="CV203" s="5">
        <f>IF($BI203&lt;&gt;"",IF('Capacity summary'!$C$14="Yes",IF(COUNTBLANK('Capacity summary'!$H115:$BG115)&lt;52,IF('Capacity summary'!AS115&lt;&gt;"",IF(LOWER('Capacity summary'!AS115)="x",$BI203*AS203,VALUE('Capacity summary'!AS115)),0),AS203*$BI203),AS203*$BI203),0)</f>
        <v>0</v>
      </c>
      <c r="CW203" s="5">
        <f>IF($BI203&lt;&gt;"",IF('Capacity summary'!$C$14="Yes",IF(COUNTBLANK('Capacity summary'!$H115:$BG115)&lt;52,IF('Capacity summary'!AT115&lt;&gt;"",IF(LOWER('Capacity summary'!AT115)="x",$BI203*AT203,VALUE('Capacity summary'!AT115)),0),AT203*$BI203),AT203*$BI203),0)</f>
        <v>0</v>
      </c>
      <c r="CX203" s="5">
        <f>IF($BI203&lt;&gt;"",IF('Capacity summary'!$C$14="Yes",IF(COUNTBLANK('Capacity summary'!$H115:$BG115)&lt;52,IF('Capacity summary'!AU115&lt;&gt;"",IF(LOWER('Capacity summary'!AU115)="x",$BI203*AU203,VALUE('Capacity summary'!AU115)),0),AU203*$BI203),AU203*$BI203),0)</f>
        <v>0</v>
      </c>
      <c r="CY203" s="5">
        <f>IF($BI203&lt;&gt;"",IF('Capacity summary'!$C$14="Yes",IF(COUNTBLANK('Capacity summary'!$H115:$BG115)&lt;52,IF('Capacity summary'!AV115&lt;&gt;"",IF(LOWER('Capacity summary'!AV115)="x",$BI203*AV203,VALUE('Capacity summary'!AV115)),0),AV203*$BI203),AV203*$BI203),0)</f>
        <v>0</v>
      </c>
      <c r="CZ203" s="5">
        <f>IF($BI203&lt;&gt;"",IF('Capacity summary'!$C$14="Yes",IF(COUNTBLANK('Capacity summary'!$H115:$BG115)&lt;52,IF('Capacity summary'!AW115&lt;&gt;"",IF(LOWER('Capacity summary'!AW115)="x",$BI203*AW203,VALUE('Capacity summary'!AW115)),0),AW203*$BI203),AW203*$BI203),0)</f>
        <v>0</v>
      </c>
      <c r="DA203" s="5">
        <f>IF($BI203&lt;&gt;"",IF('Capacity summary'!$C$14="Yes",IF(COUNTBLANK('Capacity summary'!$H115:$BG115)&lt;52,IF('Capacity summary'!AX115&lt;&gt;"",IF(LOWER('Capacity summary'!AX115)="x",$BI203*AX203,VALUE('Capacity summary'!AX115)),0),AX203*$BI203),AX203*$BI203),0)</f>
        <v>0</v>
      </c>
      <c r="DB203" s="5">
        <f>IF($BI203&lt;&gt;"",IF('Capacity summary'!$C$14="Yes",IF(COUNTBLANK('Capacity summary'!$H115:$BG115)&lt;52,IF('Capacity summary'!AY115&lt;&gt;"",IF(LOWER('Capacity summary'!AY115)="x",$BI203*AY203,VALUE('Capacity summary'!AY115)),0),AY203*$BI203),AY203*$BI203),0)</f>
        <v>0</v>
      </c>
      <c r="DC203" s="5">
        <f>IF($BI203&lt;&gt;"",IF('Capacity summary'!$C$14="Yes",IF(COUNTBLANK('Capacity summary'!$H115:$BG115)&lt;52,IF('Capacity summary'!AZ115&lt;&gt;"",IF(LOWER('Capacity summary'!AZ115)="x",$BI203*AZ203,VALUE('Capacity summary'!AZ115)),0),AZ203*$BI203),AZ203*$BI203),0)</f>
        <v>0</v>
      </c>
      <c r="DD203" s="5">
        <f>IF($BI203&lt;&gt;"",IF('Capacity summary'!$C$14="Yes",IF(COUNTBLANK('Capacity summary'!$H115:$BG115)&lt;52,IF('Capacity summary'!BA115&lt;&gt;"",IF(LOWER('Capacity summary'!BA115)="x",$BI203*BA203,VALUE('Capacity summary'!BA115)),0),BA203*$BI203),BA203*$BI203),0)</f>
        <v>0</v>
      </c>
      <c r="DE203" s="5">
        <f>IF($BI203&lt;&gt;"",IF('Capacity summary'!$C$14="Yes",IF(COUNTBLANK('Capacity summary'!$H115:$BG115)&lt;52,IF('Capacity summary'!BB115&lt;&gt;"",IF(LOWER('Capacity summary'!BB115)="x",$BI203*BB203,VALUE('Capacity summary'!BB115)),0),BB203*$BI203),BB203*$BI203),0)</f>
        <v>0</v>
      </c>
      <c r="DF203" s="5">
        <f>IF($BI203&lt;&gt;"",IF('Capacity summary'!$C$14="Yes",IF(COUNTBLANK('Capacity summary'!$H115:$BG115)&lt;52,IF('Capacity summary'!BC115&lt;&gt;"",IF(LOWER('Capacity summary'!BC115)="x",$BI203*BC203,VALUE('Capacity summary'!BC115)),0),BC203*$BI203),BC203*$BI203),0)</f>
        <v>0</v>
      </c>
      <c r="DG203" s="5">
        <f>IF($BI203&lt;&gt;"",IF('Capacity summary'!$C$14="Yes",IF(COUNTBLANK('Capacity summary'!$H115:$BG115)&lt;52,IF('Capacity summary'!BD115&lt;&gt;"",IF(LOWER('Capacity summary'!BD115)="x",$BI203*BD203,VALUE('Capacity summary'!BD115)),0),BD203*$BI203),BD203*$BI203),0)</f>
        <v>0</v>
      </c>
      <c r="DH203" s="5">
        <f>IF($BI203&lt;&gt;"",IF('Capacity summary'!$C$14="Yes",IF(COUNTBLANK('Capacity summary'!$H115:$BG115)&lt;52,IF('Capacity summary'!BE115&lt;&gt;"",IF(LOWER('Capacity summary'!BE115)="x",$BI203*BE203,VALUE('Capacity summary'!BE115)),0),BE203*$BI203),BE203*$BI203),0)</f>
        <v>0</v>
      </c>
      <c r="DI203" s="5">
        <f>IF($BI203&lt;&gt;"",IF('Capacity summary'!$C$14="Yes",IF(COUNTBLANK('Capacity summary'!$H115:$BG115)&lt;52,IF('Capacity summary'!BF115&lt;&gt;"",IF(LOWER('Capacity summary'!BF115)="x",$BI203*BF203,VALUE('Capacity summary'!BF115)),0),BF203*$BI203),BF203*$BI203),0)</f>
        <v>0</v>
      </c>
      <c r="DJ203" s="5">
        <f>IF($BI203&lt;&gt;"",IF('Capacity summary'!$C$14="Yes",IF(COUNTBLANK('Capacity summary'!$H115:$BG115)&lt;52,IF('Capacity summary'!BG115&lt;&gt;"",IF(LOWER('Capacity summary'!BG115)="x",$BI203*BG203,VALUE('Capacity summary'!BG115)),0),BG203*$BI203),BG203*$BI203),0)</f>
        <v>0</v>
      </c>
      <c r="DK203" s="5">
        <f t="shared" ref="DK203" si="97">SUM(DK204:DK303)</f>
        <v>0</v>
      </c>
    </row>
    <row r="204" spans="3:115" x14ac:dyDescent="0.25">
      <c r="C204" s="67" t="str">
        <f>ROW(A93)&amp;". "&amp;Capacity!N109</f>
        <v xml:space="preserve">93. </v>
      </c>
      <c r="D204" s="67">
        <f>'Capacity setup'!C210</f>
        <v>0</v>
      </c>
      <c r="E204" s="67">
        <f>'Capacity setup'!D210</f>
        <v>0</v>
      </c>
      <c r="F204" s="67">
        <f>'Capacity setup'!E210</f>
        <v>0</v>
      </c>
      <c r="H204" s="67">
        <f ca="1">IF(AND(SUMIF(Capacity_Resource,$D204,'Critical resources (hide)'!U$6:U$105)+SUMIF(Capacity_Resource,$E204,'Critical resources (hide)'!U$6:U$105)+SUMIF(Capacity_Resource,$F204,'Critical resources (hide)'!U$6:U$105)&gt;0,$E$1=2),0,1)</f>
        <v>1</v>
      </c>
      <c r="I204" s="67">
        <f ca="1">IF(AND(SUMIF(Capacity_Resource,$D204,'Critical resources (hide)'!V$6:V$105)+SUMIF(Capacity_Resource,$E204,'Critical resources (hide)'!V$6:V$105)+SUMIF(Capacity_Resource,$F204,'Critical resources (hide)'!V$6:V$105)&gt;0,$E$1=2),0,1)</f>
        <v>1</v>
      </c>
      <c r="J204" s="67">
        <f ca="1">IF(AND(SUMIF(Capacity_Resource,$D204,'Critical resources (hide)'!W$6:W$105)+SUMIF(Capacity_Resource,$E204,'Critical resources (hide)'!W$6:W$105)+SUMIF(Capacity_Resource,$F204,'Critical resources (hide)'!W$6:W$105)&gt;0,$E$1=2),0,1)</f>
        <v>1</v>
      </c>
      <c r="K204" s="67">
        <f ca="1">IF(AND(SUMIF(Capacity_Resource,$D204,'Critical resources (hide)'!X$6:X$105)+SUMIF(Capacity_Resource,$E204,'Critical resources (hide)'!X$6:X$105)+SUMIF(Capacity_Resource,$F204,'Critical resources (hide)'!X$6:X$105)&gt;0,$E$1=2),0,1)</f>
        <v>1</v>
      </c>
      <c r="L204" s="67">
        <f ca="1">IF(AND(SUMIF(Capacity_Resource,$D204,'Critical resources (hide)'!Y$6:Y$105)+SUMIF(Capacity_Resource,$E204,'Critical resources (hide)'!Y$6:Y$105)+SUMIF(Capacity_Resource,$F204,'Critical resources (hide)'!Y$6:Y$105)&gt;0,$E$1=2),0,1)</f>
        <v>1</v>
      </c>
      <c r="M204" s="67">
        <f ca="1">IF(AND(SUMIF(Capacity_Resource,$D204,'Critical resources (hide)'!Z$6:Z$105)+SUMIF(Capacity_Resource,$E204,'Critical resources (hide)'!Z$6:Z$105)+SUMIF(Capacity_Resource,$F204,'Critical resources (hide)'!Z$6:Z$105)&gt;0,$E$1=2),0,1)</f>
        <v>1</v>
      </c>
      <c r="N204" s="67">
        <f ca="1">IF(AND(SUMIF(Capacity_Resource,$D204,'Critical resources (hide)'!AA$6:AA$105)+SUMIF(Capacity_Resource,$E204,'Critical resources (hide)'!AA$6:AA$105)+SUMIF(Capacity_Resource,$F204,'Critical resources (hide)'!AA$6:AA$105)&gt;0,$E$1=2),0,1)</f>
        <v>1</v>
      </c>
      <c r="O204" s="67">
        <f ca="1">IF(AND(SUMIF(Capacity_Resource,$D204,'Critical resources (hide)'!AB$6:AB$105)+SUMIF(Capacity_Resource,$E204,'Critical resources (hide)'!AB$6:AB$105)+SUMIF(Capacity_Resource,$F204,'Critical resources (hide)'!AB$6:AB$105)&gt;0,$E$1=2),0,1)</f>
        <v>1</v>
      </c>
      <c r="P204" s="67">
        <f ca="1">IF(AND(SUMIF(Capacity_Resource,$D204,'Critical resources (hide)'!AC$6:AC$105)+SUMIF(Capacity_Resource,$E204,'Critical resources (hide)'!AC$6:AC$105)+SUMIF(Capacity_Resource,$F204,'Critical resources (hide)'!AC$6:AC$105)&gt;0,$E$1=2),0,1)</f>
        <v>1</v>
      </c>
      <c r="Q204" s="67">
        <f ca="1">IF(AND(SUMIF(Capacity_Resource,$D204,'Critical resources (hide)'!AD$6:AD$105)+SUMIF(Capacity_Resource,$E204,'Critical resources (hide)'!AD$6:AD$105)+SUMIF(Capacity_Resource,$F204,'Critical resources (hide)'!AD$6:AD$105)&gt;0,$E$1=2),0,1)</f>
        <v>1</v>
      </c>
      <c r="R204" s="67">
        <f ca="1">IF(AND(SUMIF(Capacity_Resource,$D204,'Critical resources (hide)'!AE$6:AE$105)+SUMIF(Capacity_Resource,$E204,'Critical resources (hide)'!AE$6:AE$105)+SUMIF(Capacity_Resource,$F204,'Critical resources (hide)'!AE$6:AE$105)&gt;0,$E$1=2),0,1)</f>
        <v>1</v>
      </c>
      <c r="S204" s="67">
        <f ca="1">IF(AND(SUMIF(Capacity_Resource,$D204,'Critical resources (hide)'!AF$6:AF$105)+SUMIF(Capacity_Resource,$E204,'Critical resources (hide)'!AF$6:AF$105)+SUMIF(Capacity_Resource,$F204,'Critical resources (hide)'!AF$6:AF$105)&gt;0,$E$1=2),0,1)</f>
        <v>1</v>
      </c>
      <c r="T204" s="67">
        <f ca="1">IF(AND(SUMIF(Capacity_Resource,$D204,'Critical resources (hide)'!AG$6:AG$105)+SUMIF(Capacity_Resource,$E204,'Critical resources (hide)'!AG$6:AG$105)+SUMIF(Capacity_Resource,$F204,'Critical resources (hide)'!AG$6:AG$105)&gt;0,$E$1=2),0,1)</f>
        <v>1</v>
      </c>
      <c r="U204" s="67">
        <f ca="1">IF(AND(SUMIF(Capacity_Resource,$D204,'Critical resources (hide)'!AH$6:AH$105)+SUMIF(Capacity_Resource,$E204,'Critical resources (hide)'!AH$6:AH$105)+SUMIF(Capacity_Resource,$F204,'Critical resources (hide)'!AH$6:AH$105)&gt;0,$E$1=2),0,1)</f>
        <v>1</v>
      </c>
      <c r="V204" s="67">
        <f ca="1">IF(AND(SUMIF(Capacity_Resource,$D204,'Critical resources (hide)'!AI$6:AI$105)+SUMIF(Capacity_Resource,$E204,'Critical resources (hide)'!AI$6:AI$105)+SUMIF(Capacity_Resource,$F204,'Critical resources (hide)'!AI$6:AI$105)&gt;0,$E$1=2),0,1)</f>
        <v>1</v>
      </c>
      <c r="W204" s="67">
        <f ca="1">IF(AND(SUMIF(Capacity_Resource,$D204,'Critical resources (hide)'!AJ$6:AJ$105)+SUMIF(Capacity_Resource,$E204,'Critical resources (hide)'!AJ$6:AJ$105)+SUMIF(Capacity_Resource,$F204,'Critical resources (hide)'!AJ$6:AJ$105)&gt;0,$E$1=2),0,1)</f>
        <v>1</v>
      </c>
      <c r="X204" s="67">
        <f ca="1">IF(AND(SUMIF(Capacity_Resource,$D204,'Critical resources (hide)'!AK$6:AK$105)+SUMIF(Capacity_Resource,$E204,'Critical resources (hide)'!AK$6:AK$105)+SUMIF(Capacity_Resource,$F204,'Critical resources (hide)'!AK$6:AK$105)&gt;0,$E$1=2),0,1)</f>
        <v>1</v>
      </c>
      <c r="Y204" s="67">
        <f ca="1">IF(AND(SUMIF(Capacity_Resource,$D204,'Critical resources (hide)'!AL$6:AL$105)+SUMIF(Capacity_Resource,$E204,'Critical resources (hide)'!AL$6:AL$105)+SUMIF(Capacity_Resource,$F204,'Critical resources (hide)'!AL$6:AL$105)&gt;0,$E$1=2),0,1)</f>
        <v>1</v>
      </c>
      <c r="Z204" s="67">
        <f ca="1">IF(AND(SUMIF(Capacity_Resource,$D204,'Critical resources (hide)'!AM$6:AM$105)+SUMIF(Capacity_Resource,$E204,'Critical resources (hide)'!AM$6:AM$105)+SUMIF(Capacity_Resource,$F204,'Critical resources (hide)'!AM$6:AM$105)&gt;0,$E$1=2),0,1)</f>
        <v>1</v>
      </c>
      <c r="AA204" s="67">
        <f ca="1">IF(AND(SUMIF(Capacity_Resource,$D204,'Critical resources (hide)'!AN$6:AN$105)+SUMIF(Capacity_Resource,$E204,'Critical resources (hide)'!AN$6:AN$105)+SUMIF(Capacity_Resource,$F204,'Critical resources (hide)'!AN$6:AN$105)&gt;0,$E$1=2),0,1)</f>
        <v>1</v>
      </c>
      <c r="AB204" s="67">
        <f ca="1">IF(AND(SUMIF(Capacity_Resource,$D204,'Critical resources (hide)'!AO$6:AO$105)+SUMIF(Capacity_Resource,$E204,'Critical resources (hide)'!AO$6:AO$105)+SUMIF(Capacity_Resource,$F204,'Critical resources (hide)'!AO$6:AO$105)&gt;0,$E$1=2),0,1)</f>
        <v>1</v>
      </c>
      <c r="AC204" s="67">
        <f ca="1">IF(AND(SUMIF(Capacity_Resource,$D204,'Critical resources (hide)'!AP$6:AP$105)+SUMIF(Capacity_Resource,$E204,'Critical resources (hide)'!AP$6:AP$105)+SUMIF(Capacity_Resource,$F204,'Critical resources (hide)'!AP$6:AP$105)&gt;0,$E$1=2),0,1)</f>
        <v>1</v>
      </c>
      <c r="AD204" s="67">
        <f ca="1">IF(AND(SUMIF(Capacity_Resource,$D204,'Critical resources (hide)'!AQ$6:AQ$105)+SUMIF(Capacity_Resource,$E204,'Critical resources (hide)'!AQ$6:AQ$105)+SUMIF(Capacity_Resource,$F204,'Critical resources (hide)'!AQ$6:AQ$105)&gt;0,$E$1=2),0,1)</f>
        <v>1</v>
      </c>
      <c r="AE204" s="67">
        <f ca="1">IF(AND(SUMIF(Capacity_Resource,$D204,'Critical resources (hide)'!AR$6:AR$105)+SUMIF(Capacity_Resource,$E204,'Critical resources (hide)'!AR$6:AR$105)+SUMIF(Capacity_Resource,$F204,'Critical resources (hide)'!AR$6:AR$105)&gt;0,$E$1=2),0,1)</f>
        <v>1</v>
      </c>
      <c r="AF204" s="67">
        <f ca="1">IF(AND(SUMIF(Capacity_Resource,$D204,'Critical resources (hide)'!AS$6:AS$105)+SUMIF(Capacity_Resource,$E204,'Critical resources (hide)'!AS$6:AS$105)+SUMIF(Capacity_Resource,$F204,'Critical resources (hide)'!AS$6:AS$105)&gt;0,$E$1=2),0,1)</f>
        <v>1</v>
      </c>
      <c r="AG204" s="67">
        <f ca="1">IF(AND(SUMIF(Capacity_Resource,$D204,'Critical resources (hide)'!AT$6:AT$105)+SUMIF(Capacity_Resource,$E204,'Critical resources (hide)'!AT$6:AT$105)+SUMIF(Capacity_Resource,$F204,'Critical resources (hide)'!AT$6:AT$105)&gt;0,$E$1=2),0,1)</f>
        <v>1</v>
      </c>
      <c r="AH204" s="67">
        <f ca="1">IF(AND(SUMIF(Capacity_Resource,$D204,'Critical resources (hide)'!AU$6:AU$105)+SUMIF(Capacity_Resource,$E204,'Critical resources (hide)'!AU$6:AU$105)+SUMIF(Capacity_Resource,$F204,'Critical resources (hide)'!AU$6:AU$105)&gt;0,$E$1=2),0,1)</f>
        <v>1</v>
      </c>
      <c r="AI204" s="67">
        <f ca="1">IF(AND(SUMIF(Capacity_Resource,$D204,'Critical resources (hide)'!AV$6:AV$105)+SUMIF(Capacity_Resource,$E204,'Critical resources (hide)'!AV$6:AV$105)+SUMIF(Capacity_Resource,$F204,'Critical resources (hide)'!AV$6:AV$105)&gt;0,$E$1=2),0,1)</f>
        <v>1</v>
      </c>
      <c r="AJ204" s="67">
        <f ca="1">IF(AND(SUMIF(Capacity_Resource,$D204,'Critical resources (hide)'!AW$6:AW$105)+SUMIF(Capacity_Resource,$E204,'Critical resources (hide)'!AW$6:AW$105)+SUMIF(Capacity_Resource,$F204,'Critical resources (hide)'!AW$6:AW$105)&gt;0,$E$1=2),0,1)</f>
        <v>1</v>
      </c>
      <c r="AK204" s="67">
        <f ca="1">IF(AND(SUMIF(Capacity_Resource,$D204,'Critical resources (hide)'!AX$6:AX$105)+SUMIF(Capacity_Resource,$E204,'Critical resources (hide)'!AX$6:AX$105)+SUMIF(Capacity_Resource,$F204,'Critical resources (hide)'!AX$6:AX$105)&gt;0,$E$1=2),0,1)</f>
        <v>1</v>
      </c>
      <c r="AL204" s="67">
        <f ca="1">IF(AND(SUMIF(Capacity_Resource,$D204,'Critical resources (hide)'!AY$6:AY$105)+SUMIF(Capacity_Resource,$E204,'Critical resources (hide)'!AY$6:AY$105)+SUMIF(Capacity_Resource,$F204,'Critical resources (hide)'!AY$6:AY$105)&gt;0,$E$1=2),0,1)</f>
        <v>1</v>
      </c>
      <c r="AM204" s="67">
        <f ca="1">IF(AND(SUMIF(Capacity_Resource,$D204,'Critical resources (hide)'!AZ$6:AZ$105)+SUMIF(Capacity_Resource,$E204,'Critical resources (hide)'!AZ$6:AZ$105)+SUMIF(Capacity_Resource,$F204,'Critical resources (hide)'!AZ$6:AZ$105)&gt;0,$E$1=2),0,1)</f>
        <v>1</v>
      </c>
      <c r="AN204" s="67">
        <f ca="1">IF(AND(SUMIF(Capacity_Resource,$D204,'Critical resources (hide)'!BA$6:BA$105)+SUMIF(Capacity_Resource,$E204,'Critical resources (hide)'!BA$6:BA$105)+SUMIF(Capacity_Resource,$F204,'Critical resources (hide)'!BA$6:BA$105)&gt;0,$E$1=2),0,1)</f>
        <v>1</v>
      </c>
      <c r="AO204" s="67">
        <f ca="1">IF(AND(SUMIF(Capacity_Resource,$D204,'Critical resources (hide)'!BB$6:BB$105)+SUMIF(Capacity_Resource,$E204,'Critical resources (hide)'!BB$6:BB$105)+SUMIF(Capacity_Resource,$F204,'Critical resources (hide)'!BB$6:BB$105)&gt;0,$E$1=2),0,1)</f>
        <v>1</v>
      </c>
      <c r="AP204" s="67">
        <f ca="1">IF(AND(SUMIF(Capacity_Resource,$D204,'Critical resources (hide)'!BC$6:BC$105)+SUMIF(Capacity_Resource,$E204,'Critical resources (hide)'!BC$6:BC$105)+SUMIF(Capacity_Resource,$F204,'Critical resources (hide)'!BC$6:BC$105)&gt;0,$E$1=2),0,1)</f>
        <v>1</v>
      </c>
      <c r="AQ204" s="67">
        <f ca="1">IF(AND(SUMIF(Capacity_Resource,$D204,'Critical resources (hide)'!BD$6:BD$105)+SUMIF(Capacity_Resource,$E204,'Critical resources (hide)'!BD$6:BD$105)+SUMIF(Capacity_Resource,$F204,'Critical resources (hide)'!BD$6:BD$105)&gt;0,$E$1=2),0,1)</f>
        <v>1</v>
      </c>
      <c r="AR204" s="67">
        <f ca="1">IF(AND(SUMIF(Capacity_Resource,$D204,'Critical resources (hide)'!BE$6:BE$105)+SUMIF(Capacity_Resource,$E204,'Critical resources (hide)'!BE$6:BE$105)+SUMIF(Capacity_Resource,$F204,'Critical resources (hide)'!BE$6:BE$105)&gt;0,$E$1=2),0,1)</f>
        <v>1</v>
      </c>
      <c r="AS204" s="67">
        <f ca="1">IF(AND(SUMIF(Capacity_Resource,$D204,'Critical resources (hide)'!BF$6:BF$105)+SUMIF(Capacity_Resource,$E204,'Critical resources (hide)'!BF$6:BF$105)+SUMIF(Capacity_Resource,$F204,'Critical resources (hide)'!BF$6:BF$105)&gt;0,$E$1=2),0,1)</f>
        <v>1</v>
      </c>
      <c r="AT204" s="67">
        <f ca="1">IF(AND(SUMIF(Capacity_Resource,$D204,'Critical resources (hide)'!BG$6:BG$105)+SUMIF(Capacity_Resource,$E204,'Critical resources (hide)'!BG$6:BG$105)+SUMIF(Capacity_Resource,$F204,'Critical resources (hide)'!BG$6:BG$105)&gt;0,$E$1=2),0,1)</f>
        <v>1</v>
      </c>
      <c r="AU204" s="67">
        <f ca="1">IF(AND(SUMIF(Capacity_Resource,$D204,'Critical resources (hide)'!BH$6:BH$105)+SUMIF(Capacity_Resource,$E204,'Critical resources (hide)'!BH$6:BH$105)+SUMIF(Capacity_Resource,$F204,'Critical resources (hide)'!BH$6:BH$105)&gt;0,$E$1=2),0,1)</f>
        <v>1</v>
      </c>
      <c r="AV204" s="67">
        <f ca="1">IF(AND(SUMIF(Capacity_Resource,$D204,'Critical resources (hide)'!BI$6:BI$105)+SUMIF(Capacity_Resource,$E204,'Critical resources (hide)'!BI$6:BI$105)+SUMIF(Capacity_Resource,$F204,'Critical resources (hide)'!BI$6:BI$105)&gt;0,$E$1=2),0,1)</f>
        <v>1</v>
      </c>
      <c r="AW204" s="67">
        <f ca="1">IF(AND(SUMIF(Capacity_Resource,$D204,'Critical resources (hide)'!BJ$6:BJ$105)+SUMIF(Capacity_Resource,$E204,'Critical resources (hide)'!BJ$6:BJ$105)+SUMIF(Capacity_Resource,$F204,'Critical resources (hide)'!BJ$6:BJ$105)&gt;0,$E$1=2),0,1)</f>
        <v>1</v>
      </c>
      <c r="AX204" s="67">
        <f ca="1">IF(AND(SUMIF(Capacity_Resource,$D204,'Critical resources (hide)'!BK$6:BK$105)+SUMIF(Capacity_Resource,$E204,'Critical resources (hide)'!BK$6:BK$105)+SUMIF(Capacity_Resource,$F204,'Critical resources (hide)'!BK$6:BK$105)&gt;0,$E$1=2),0,1)</f>
        <v>1</v>
      </c>
      <c r="AY204" s="67">
        <f ca="1">IF(AND(SUMIF(Capacity_Resource,$D204,'Critical resources (hide)'!BL$6:BL$105)+SUMIF(Capacity_Resource,$E204,'Critical resources (hide)'!BL$6:BL$105)+SUMIF(Capacity_Resource,$F204,'Critical resources (hide)'!BL$6:BL$105)&gt;0,$E$1=2),0,1)</f>
        <v>1</v>
      </c>
      <c r="AZ204" s="67">
        <f ca="1">IF(AND(SUMIF(Capacity_Resource,$D204,'Critical resources (hide)'!BM$6:BM$105)+SUMIF(Capacity_Resource,$E204,'Critical resources (hide)'!BM$6:BM$105)+SUMIF(Capacity_Resource,$F204,'Critical resources (hide)'!BM$6:BM$105)&gt;0,$E$1=2),0,1)</f>
        <v>1</v>
      </c>
      <c r="BA204" s="67">
        <f ca="1">IF(AND(SUMIF(Capacity_Resource,$D204,'Critical resources (hide)'!BN$6:BN$105)+SUMIF(Capacity_Resource,$E204,'Critical resources (hide)'!BN$6:BN$105)+SUMIF(Capacity_Resource,$F204,'Critical resources (hide)'!BN$6:BN$105)&gt;0,$E$1=2),0,1)</f>
        <v>1</v>
      </c>
      <c r="BB204" s="67">
        <f ca="1">IF(AND(SUMIF(Capacity_Resource,$D204,'Critical resources (hide)'!BO$6:BO$105)+SUMIF(Capacity_Resource,$E204,'Critical resources (hide)'!BO$6:BO$105)+SUMIF(Capacity_Resource,$F204,'Critical resources (hide)'!BO$6:BO$105)&gt;0,$E$1=2),0,1)</f>
        <v>1</v>
      </c>
      <c r="BC204" s="67">
        <f ca="1">IF(AND(SUMIF(Capacity_Resource,$D204,'Critical resources (hide)'!BP$6:BP$105)+SUMIF(Capacity_Resource,$E204,'Critical resources (hide)'!BP$6:BP$105)+SUMIF(Capacity_Resource,$F204,'Critical resources (hide)'!BP$6:BP$105)&gt;0,$E$1=2),0,1)</f>
        <v>1</v>
      </c>
      <c r="BD204" s="67">
        <f ca="1">IF(AND(SUMIF(Capacity_Resource,$D204,'Critical resources (hide)'!BQ$6:BQ$105)+SUMIF(Capacity_Resource,$E204,'Critical resources (hide)'!BQ$6:BQ$105)+SUMIF(Capacity_Resource,$F204,'Critical resources (hide)'!BQ$6:BQ$105)&gt;0,$E$1=2),0,1)</f>
        <v>1</v>
      </c>
      <c r="BE204" s="67">
        <f ca="1">IF(AND(SUMIF(Capacity_Resource,$D204,'Critical resources (hide)'!BR$6:BR$105)+SUMIF(Capacity_Resource,$E204,'Critical resources (hide)'!BR$6:BR$105)+SUMIF(Capacity_Resource,$F204,'Critical resources (hide)'!BR$6:BR$105)&gt;0,$E$1=2),0,1)</f>
        <v>1</v>
      </c>
      <c r="BF204" s="67">
        <f ca="1">IF(AND(SUMIF(Capacity_Resource,$D204,'Critical resources (hide)'!BS$6:BS$105)+SUMIF(Capacity_Resource,$E204,'Critical resources (hide)'!BS$6:BS$105)+SUMIF(Capacity_Resource,$F204,'Critical resources (hide)'!BS$6:BS$105)&gt;0,$E$1=2),0,1)</f>
        <v>1</v>
      </c>
      <c r="BG204" s="67">
        <f ca="1">IF(AND(SUMIF(Capacity_Resource,$D204,'Critical resources (hide)'!BT$6:BT$105)+SUMIF(Capacity_Resource,$E204,'Critical resources (hide)'!BT$6:BT$105)+SUMIF(Capacity_Resource,$F204,'Critical resources (hide)'!BT$6:BT$105)&gt;0,$E$1=2),0,1)</f>
        <v>1</v>
      </c>
      <c r="BH204" s="67">
        <f>IF(ROW(A93)&lt;=Capacity!$M$16,IF('Capacity summary'!$C$14="No",SUM(H204:BG204),'Capacity summary'!$E116),0)</f>
        <v>0</v>
      </c>
      <c r="BI204" s="67" t="str">
        <f>IF(BH204&gt;0,IF(BH204&lt;Capacity!Q109,Capacity!R109,Capacity!T109/'Capacity calculation (hide)'!BH204),"")</f>
        <v/>
      </c>
      <c r="BJ204" s="5"/>
      <c r="BK204" s="5">
        <f>IF($BI204&lt;&gt;"",IF('Capacity summary'!$C$14="Yes",IF(COUNTBLANK('Capacity summary'!$H116:$BG116)&lt;52,IF('Capacity summary'!H116&lt;&gt;"",IF(LOWER('Capacity summary'!H116)="x",$BI204*H204,VALUE('Capacity summary'!H116)),0),H204*$BI204),H204*$BI204),0)</f>
        <v>0</v>
      </c>
      <c r="BL204" s="5">
        <f>IF($BI204&lt;&gt;"",IF('Capacity summary'!$C$14="Yes",IF(COUNTBLANK('Capacity summary'!$H116:$BG116)&lt;52,IF('Capacity summary'!I116&lt;&gt;"",IF(LOWER('Capacity summary'!I116)="x",$BI204*I204,VALUE('Capacity summary'!I116)),0),I204*$BI204),I204*$BI204),0)</f>
        <v>0</v>
      </c>
      <c r="BM204" s="5">
        <f>IF($BI204&lt;&gt;"",IF('Capacity summary'!$C$14="Yes",IF(COUNTBLANK('Capacity summary'!$H116:$BG116)&lt;52,IF('Capacity summary'!J116&lt;&gt;"",IF(LOWER('Capacity summary'!J116)="x",$BI204*J204,VALUE('Capacity summary'!J116)),0),J204*$BI204),J204*$BI204),0)</f>
        <v>0</v>
      </c>
      <c r="BN204" s="5">
        <f>IF($BI204&lt;&gt;"",IF('Capacity summary'!$C$14="Yes",IF(COUNTBLANK('Capacity summary'!$H116:$BG116)&lt;52,IF('Capacity summary'!K116&lt;&gt;"",IF(LOWER('Capacity summary'!K116)="x",$BI204*K204,VALUE('Capacity summary'!K116)),0),K204*$BI204),K204*$BI204),0)</f>
        <v>0</v>
      </c>
      <c r="BO204" s="5">
        <f>IF($BI204&lt;&gt;"",IF('Capacity summary'!$C$14="Yes",IF(COUNTBLANK('Capacity summary'!$H116:$BG116)&lt;52,IF('Capacity summary'!L116&lt;&gt;"",IF(LOWER('Capacity summary'!L116)="x",$BI204*L204,VALUE('Capacity summary'!L116)),0),L204*$BI204),L204*$BI204),0)</f>
        <v>0</v>
      </c>
      <c r="BP204" s="5">
        <f>IF($BI204&lt;&gt;"",IF('Capacity summary'!$C$14="Yes",IF(COUNTBLANK('Capacity summary'!$H116:$BG116)&lt;52,IF('Capacity summary'!M116&lt;&gt;"",IF(LOWER('Capacity summary'!M116)="x",$BI204*M204,VALUE('Capacity summary'!M116)),0),M204*$BI204),M204*$BI204),0)</f>
        <v>0</v>
      </c>
      <c r="BQ204" s="5">
        <f>IF($BI204&lt;&gt;"",IF('Capacity summary'!$C$14="Yes",IF(COUNTBLANK('Capacity summary'!$H116:$BG116)&lt;52,IF('Capacity summary'!N116&lt;&gt;"",IF(LOWER('Capacity summary'!N116)="x",$BI204*N204,VALUE('Capacity summary'!N116)),0),N204*$BI204),N204*$BI204),0)</f>
        <v>0</v>
      </c>
      <c r="BR204" s="5">
        <f>IF($BI204&lt;&gt;"",IF('Capacity summary'!$C$14="Yes",IF(COUNTBLANK('Capacity summary'!$H116:$BG116)&lt;52,IF('Capacity summary'!O116&lt;&gt;"",IF(LOWER('Capacity summary'!O116)="x",$BI204*O204,VALUE('Capacity summary'!O116)),0),O204*$BI204),O204*$BI204),0)</f>
        <v>0</v>
      </c>
      <c r="BS204" s="5">
        <f>IF($BI204&lt;&gt;"",IF('Capacity summary'!$C$14="Yes",IF(COUNTBLANK('Capacity summary'!$H116:$BG116)&lt;52,IF('Capacity summary'!P116&lt;&gt;"",IF(LOWER('Capacity summary'!P116)="x",$BI204*P204,VALUE('Capacity summary'!P116)),0),P204*$BI204),P204*$BI204),0)</f>
        <v>0</v>
      </c>
      <c r="BT204" s="5">
        <f>IF($BI204&lt;&gt;"",IF('Capacity summary'!$C$14="Yes",IF(COUNTBLANK('Capacity summary'!$H116:$BG116)&lt;52,IF('Capacity summary'!Q116&lt;&gt;"",IF(LOWER('Capacity summary'!Q116)="x",$BI204*Q204,VALUE('Capacity summary'!Q116)),0),Q204*$BI204),Q204*$BI204),0)</f>
        <v>0</v>
      </c>
      <c r="BU204" s="5">
        <f>IF($BI204&lt;&gt;"",IF('Capacity summary'!$C$14="Yes",IF(COUNTBLANK('Capacity summary'!$H116:$BG116)&lt;52,IF('Capacity summary'!R116&lt;&gt;"",IF(LOWER('Capacity summary'!R116)="x",$BI204*R204,VALUE('Capacity summary'!R116)),0),R204*$BI204),R204*$BI204),0)</f>
        <v>0</v>
      </c>
      <c r="BV204" s="5">
        <f>IF($BI204&lt;&gt;"",IF('Capacity summary'!$C$14="Yes",IF(COUNTBLANK('Capacity summary'!$H116:$BG116)&lt;52,IF('Capacity summary'!S116&lt;&gt;"",IF(LOWER('Capacity summary'!S116)="x",$BI204*S204,VALUE('Capacity summary'!S116)),0),S204*$BI204),S204*$BI204),0)</f>
        <v>0</v>
      </c>
      <c r="BW204" s="5">
        <f>IF($BI204&lt;&gt;"",IF('Capacity summary'!$C$14="Yes",IF(COUNTBLANK('Capacity summary'!$H116:$BG116)&lt;52,IF('Capacity summary'!T116&lt;&gt;"",IF(LOWER('Capacity summary'!T116)="x",$BI204*T204,VALUE('Capacity summary'!T116)),0),T204*$BI204),T204*$BI204),0)</f>
        <v>0</v>
      </c>
      <c r="BX204" s="5">
        <f>IF($BI204&lt;&gt;"",IF('Capacity summary'!$C$14="Yes",IF(COUNTBLANK('Capacity summary'!$H116:$BG116)&lt;52,IF('Capacity summary'!U116&lt;&gt;"",IF(LOWER('Capacity summary'!U116)="x",$BI204*U204,VALUE('Capacity summary'!U116)),0),U204*$BI204),U204*$BI204),0)</f>
        <v>0</v>
      </c>
      <c r="BY204" s="5">
        <f>IF($BI204&lt;&gt;"",IF('Capacity summary'!$C$14="Yes",IF(COUNTBLANK('Capacity summary'!$H116:$BG116)&lt;52,IF('Capacity summary'!V116&lt;&gt;"",IF(LOWER('Capacity summary'!V116)="x",$BI204*V204,VALUE('Capacity summary'!V116)),0),V204*$BI204),V204*$BI204),0)</f>
        <v>0</v>
      </c>
      <c r="BZ204" s="5">
        <f>IF($BI204&lt;&gt;"",IF('Capacity summary'!$C$14="Yes",IF(COUNTBLANK('Capacity summary'!$H116:$BG116)&lt;52,IF('Capacity summary'!W116&lt;&gt;"",IF(LOWER('Capacity summary'!W116)="x",$BI204*W204,VALUE('Capacity summary'!W116)),0),W204*$BI204),W204*$BI204),0)</f>
        <v>0</v>
      </c>
      <c r="CA204" s="5">
        <f>IF($BI204&lt;&gt;"",IF('Capacity summary'!$C$14="Yes",IF(COUNTBLANK('Capacity summary'!$H116:$BG116)&lt;52,IF('Capacity summary'!X116&lt;&gt;"",IF(LOWER('Capacity summary'!X116)="x",$BI204*X204,VALUE('Capacity summary'!X116)),0),X204*$BI204),X204*$BI204),0)</f>
        <v>0</v>
      </c>
      <c r="CB204" s="5">
        <f>IF($BI204&lt;&gt;"",IF('Capacity summary'!$C$14="Yes",IF(COUNTBLANK('Capacity summary'!$H116:$BG116)&lt;52,IF('Capacity summary'!Y116&lt;&gt;"",IF(LOWER('Capacity summary'!Y116)="x",$BI204*Y204,VALUE('Capacity summary'!Y116)),0),Y204*$BI204),Y204*$BI204),0)</f>
        <v>0</v>
      </c>
      <c r="CC204" s="5">
        <f>IF($BI204&lt;&gt;"",IF('Capacity summary'!$C$14="Yes",IF(COUNTBLANK('Capacity summary'!$H116:$BG116)&lt;52,IF('Capacity summary'!Z116&lt;&gt;"",IF(LOWER('Capacity summary'!Z116)="x",$BI204*Z204,VALUE('Capacity summary'!Z116)),0),Z204*$BI204),Z204*$BI204),0)</f>
        <v>0</v>
      </c>
      <c r="CD204" s="5">
        <f>IF($BI204&lt;&gt;"",IF('Capacity summary'!$C$14="Yes",IF(COUNTBLANK('Capacity summary'!$H116:$BG116)&lt;52,IF('Capacity summary'!AA116&lt;&gt;"",IF(LOWER('Capacity summary'!AA116)="x",$BI204*AA204,VALUE('Capacity summary'!AA116)),0),AA204*$BI204),AA204*$BI204),0)</f>
        <v>0</v>
      </c>
      <c r="CE204" s="5">
        <f>IF($BI204&lt;&gt;"",IF('Capacity summary'!$C$14="Yes",IF(COUNTBLANK('Capacity summary'!$H116:$BG116)&lt;52,IF('Capacity summary'!AB116&lt;&gt;"",IF(LOWER('Capacity summary'!AB116)="x",$BI204*AB204,VALUE('Capacity summary'!AB116)),0),AB204*$BI204),AB204*$BI204),0)</f>
        <v>0</v>
      </c>
      <c r="CF204" s="5">
        <f>IF($BI204&lt;&gt;"",IF('Capacity summary'!$C$14="Yes",IF(COUNTBLANK('Capacity summary'!$H116:$BG116)&lt;52,IF('Capacity summary'!AC116&lt;&gt;"",IF(LOWER('Capacity summary'!AC116)="x",$BI204*AC204,VALUE('Capacity summary'!AC116)),0),AC204*$BI204),AC204*$BI204),0)</f>
        <v>0</v>
      </c>
      <c r="CG204" s="5">
        <f>IF($BI204&lt;&gt;"",IF('Capacity summary'!$C$14="Yes",IF(COUNTBLANK('Capacity summary'!$H116:$BG116)&lt;52,IF('Capacity summary'!AD116&lt;&gt;"",IF(LOWER('Capacity summary'!AD116)="x",$BI204*AD204,VALUE('Capacity summary'!AD116)),0),AD204*$BI204),AD204*$BI204),0)</f>
        <v>0</v>
      </c>
      <c r="CH204" s="5">
        <f>IF($BI204&lt;&gt;"",IF('Capacity summary'!$C$14="Yes",IF(COUNTBLANK('Capacity summary'!$H116:$BG116)&lt;52,IF('Capacity summary'!AE116&lt;&gt;"",IF(LOWER('Capacity summary'!AE116)="x",$BI204*AE204,VALUE('Capacity summary'!AE116)),0),AE204*$BI204),AE204*$BI204),0)</f>
        <v>0</v>
      </c>
      <c r="CI204" s="5">
        <f>IF($BI204&lt;&gt;"",IF('Capacity summary'!$C$14="Yes",IF(COUNTBLANK('Capacity summary'!$H116:$BG116)&lt;52,IF('Capacity summary'!AF116&lt;&gt;"",IF(LOWER('Capacity summary'!AF116)="x",$BI204*AF204,VALUE('Capacity summary'!AF116)),0),AF204*$BI204),AF204*$BI204),0)</f>
        <v>0</v>
      </c>
      <c r="CJ204" s="5">
        <f>IF($BI204&lt;&gt;"",IF('Capacity summary'!$C$14="Yes",IF(COUNTBLANK('Capacity summary'!$H116:$BG116)&lt;52,IF('Capacity summary'!AG116&lt;&gt;"",IF(LOWER('Capacity summary'!AG116)="x",$BI204*AG204,VALUE('Capacity summary'!AG116)),0),AG204*$BI204),AG204*$BI204),0)</f>
        <v>0</v>
      </c>
      <c r="CK204" s="5">
        <f>IF($BI204&lt;&gt;"",IF('Capacity summary'!$C$14="Yes",IF(COUNTBLANK('Capacity summary'!$H116:$BG116)&lt;52,IF('Capacity summary'!AH116&lt;&gt;"",IF(LOWER('Capacity summary'!AH116)="x",$BI204*AH204,VALUE('Capacity summary'!AH116)),0),AH204*$BI204),AH204*$BI204),0)</f>
        <v>0</v>
      </c>
      <c r="CL204" s="5">
        <f>IF($BI204&lt;&gt;"",IF('Capacity summary'!$C$14="Yes",IF(COUNTBLANK('Capacity summary'!$H116:$BG116)&lt;52,IF('Capacity summary'!AI116&lt;&gt;"",IF(LOWER('Capacity summary'!AI116)="x",$BI204*AI204,VALUE('Capacity summary'!AI116)),0),AI204*$BI204),AI204*$BI204),0)</f>
        <v>0</v>
      </c>
      <c r="CM204" s="5">
        <f>IF($BI204&lt;&gt;"",IF('Capacity summary'!$C$14="Yes",IF(COUNTBLANK('Capacity summary'!$H116:$BG116)&lt;52,IF('Capacity summary'!AJ116&lt;&gt;"",IF(LOWER('Capacity summary'!AJ116)="x",$BI204*AJ204,VALUE('Capacity summary'!AJ116)),0),AJ204*$BI204),AJ204*$BI204),0)</f>
        <v>0</v>
      </c>
      <c r="CN204" s="5">
        <f>IF($BI204&lt;&gt;"",IF('Capacity summary'!$C$14="Yes",IF(COUNTBLANK('Capacity summary'!$H116:$BG116)&lt;52,IF('Capacity summary'!AK116&lt;&gt;"",IF(LOWER('Capacity summary'!AK116)="x",$BI204*AK204,VALUE('Capacity summary'!AK116)),0),AK204*$BI204),AK204*$BI204),0)</f>
        <v>0</v>
      </c>
      <c r="CO204" s="5">
        <f>IF($BI204&lt;&gt;"",IF('Capacity summary'!$C$14="Yes",IF(COUNTBLANK('Capacity summary'!$H116:$BG116)&lt;52,IF('Capacity summary'!AL116&lt;&gt;"",IF(LOWER('Capacity summary'!AL116)="x",$BI204*AL204,VALUE('Capacity summary'!AL116)),0),AL204*$BI204),AL204*$BI204),0)</f>
        <v>0</v>
      </c>
      <c r="CP204" s="5">
        <f>IF($BI204&lt;&gt;"",IF('Capacity summary'!$C$14="Yes",IF(COUNTBLANK('Capacity summary'!$H116:$BG116)&lt;52,IF('Capacity summary'!AM116&lt;&gt;"",IF(LOWER('Capacity summary'!AM116)="x",$BI204*AM204,VALUE('Capacity summary'!AM116)),0),AM204*$BI204),AM204*$BI204),0)</f>
        <v>0</v>
      </c>
      <c r="CQ204" s="5">
        <f>IF($BI204&lt;&gt;"",IF('Capacity summary'!$C$14="Yes",IF(COUNTBLANK('Capacity summary'!$H116:$BG116)&lt;52,IF('Capacity summary'!AN116&lt;&gt;"",IF(LOWER('Capacity summary'!AN116)="x",$BI204*AN204,VALUE('Capacity summary'!AN116)),0),AN204*$BI204),AN204*$BI204),0)</f>
        <v>0</v>
      </c>
      <c r="CR204" s="5">
        <f>IF($BI204&lt;&gt;"",IF('Capacity summary'!$C$14="Yes",IF(COUNTBLANK('Capacity summary'!$H116:$BG116)&lt;52,IF('Capacity summary'!AO116&lt;&gt;"",IF(LOWER('Capacity summary'!AO116)="x",$BI204*AO204,VALUE('Capacity summary'!AO116)),0),AO204*$BI204),AO204*$BI204),0)</f>
        <v>0</v>
      </c>
      <c r="CS204" s="5">
        <f>IF($BI204&lt;&gt;"",IF('Capacity summary'!$C$14="Yes",IF(COUNTBLANK('Capacity summary'!$H116:$BG116)&lt;52,IF('Capacity summary'!AP116&lt;&gt;"",IF(LOWER('Capacity summary'!AP116)="x",$BI204*AP204,VALUE('Capacity summary'!AP116)),0),AP204*$BI204),AP204*$BI204),0)</f>
        <v>0</v>
      </c>
      <c r="CT204" s="5">
        <f>IF($BI204&lt;&gt;"",IF('Capacity summary'!$C$14="Yes",IF(COUNTBLANK('Capacity summary'!$H116:$BG116)&lt;52,IF('Capacity summary'!AQ116&lt;&gt;"",IF(LOWER('Capacity summary'!AQ116)="x",$BI204*AQ204,VALUE('Capacity summary'!AQ116)),0),AQ204*$BI204),AQ204*$BI204),0)</f>
        <v>0</v>
      </c>
      <c r="CU204" s="5">
        <f>IF($BI204&lt;&gt;"",IF('Capacity summary'!$C$14="Yes",IF(COUNTBLANK('Capacity summary'!$H116:$BG116)&lt;52,IF('Capacity summary'!AR116&lt;&gt;"",IF(LOWER('Capacity summary'!AR116)="x",$BI204*AR204,VALUE('Capacity summary'!AR116)),0),AR204*$BI204),AR204*$BI204),0)</f>
        <v>0</v>
      </c>
      <c r="CV204" s="5">
        <f>IF($BI204&lt;&gt;"",IF('Capacity summary'!$C$14="Yes",IF(COUNTBLANK('Capacity summary'!$H116:$BG116)&lt;52,IF('Capacity summary'!AS116&lt;&gt;"",IF(LOWER('Capacity summary'!AS116)="x",$BI204*AS204,VALUE('Capacity summary'!AS116)),0),AS204*$BI204),AS204*$BI204),0)</f>
        <v>0</v>
      </c>
      <c r="CW204" s="5">
        <f>IF($BI204&lt;&gt;"",IF('Capacity summary'!$C$14="Yes",IF(COUNTBLANK('Capacity summary'!$H116:$BG116)&lt;52,IF('Capacity summary'!AT116&lt;&gt;"",IF(LOWER('Capacity summary'!AT116)="x",$BI204*AT204,VALUE('Capacity summary'!AT116)),0),AT204*$BI204),AT204*$BI204),0)</f>
        <v>0</v>
      </c>
      <c r="CX204" s="5">
        <f>IF($BI204&lt;&gt;"",IF('Capacity summary'!$C$14="Yes",IF(COUNTBLANK('Capacity summary'!$H116:$BG116)&lt;52,IF('Capacity summary'!AU116&lt;&gt;"",IF(LOWER('Capacity summary'!AU116)="x",$BI204*AU204,VALUE('Capacity summary'!AU116)),0),AU204*$BI204),AU204*$BI204),0)</f>
        <v>0</v>
      </c>
      <c r="CY204" s="5">
        <f>IF($BI204&lt;&gt;"",IF('Capacity summary'!$C$14="Yes",IF(COUNTBLANK('Capacity summary'!$H116:$BG116)&lt;52,IF('Capacity summary'!AV116&lt;&gt;"",IF(LOWER('Capacity summary'!AV116)="x",$BI204*AV204,VALUE('Capacity summary'!AV116)),0),AV204*$BI204),AV204*$BI204),0)</f>
        <v>0</v>
      </c>
      <c r="CZ204" s="5">
        <f>IF($BI204&lt;&gt;"",IF('Capacity summary'!$C$14="Yes",IF(COUNTBLANK('Capacity summary'!$H116:$BG116)&lt;52,IF('Capacity summary'!AW116&lt;&gt;"",IF(LOWER('Capacity summary'!AW116)="x",$BI204*AW204,VALUE('Capacity summary'!AW116)),0),AW204*$BI204),AW204*$BI204),0)</f>
        <v>0</v>
      </c>
      <c r="DA204" s="5">
        <f>IF($BI204&lt;&gt;"",IF('Capacity summary'!$C$14="Yes",IF(COUNTBLANK('Capacity summary'!$H116:$BG116)&lt;52,IF('Capacity summary'!AX116&lt;&gt;"",IF(LOWER('Capacity summary'!AX116)="x",$BI204*AX204,VALUE('Capacity summary'!AX116)),0),AX204*$BI204),AX204*$BI204),0)</f>
        <v>0</v>
      </c>
      <c r="DB204" s="5">
        <f>IF($BI204&lt;&gt;"",IF('Capacity summary'!$C$14="Yes",IF(COUNTBLANK('Capacity summary'!$H116:$BG116)&lt;52,IF('Capacity summary'!AY116&lt;&gt;"",IF(LOWER('Capacity summary'!AY116)="x",$BI204*AY204,VALUE('Capacity summary'!AY116)),0),AY204*$BI204),AY204*$BI204),0)</f>
        <v>0</v>
      </c>
      <c r="DC204" s="5">
        <f>IF($BI204&lt;&gt;"",IF('Capacity summary'!$C$14="Yes",IF(COUNTBLANK('Capacity summary'!$H116:$BG116)&lt;52,IF('Capacity summary'!AZ116&lt;&gt;"",IF(LOWER('Capacity summary'!AZ116)="x",$BI204*AZ204,VALUE('Capacity summary'!AZ116)),0),AZ204*$BI204),AZ204*$BI204),0)</f>
        <v>0</v>
      </c>
      <c r="DD204" s="5">
        <f>IF($BI204&lt;&gt;"",IF('Capacity summary'!$C$14="Yes",IF(COUNTBLANK('Capacity summary'!$H116:$BG116)&lt;52,IF('Capacity summary'!BA116&lt;&gt;"",IF(LOWER('Capacity summary'!BA116)="x",$BI204*BA204,VALUE('Capacity summary'!BA116)),0),BA204*$BI204),BA204*$BI204),0)</f>
        <v>0</v>
      </c>
      <c r="DE204" s="5">
        <f>IF($BI204&lt;&gt;"",IF('Capacity summary'!$C$14="Yes",IF(COUNTBLANK('Capacity summary'!$H116:$BG116)&lt;52,IF('Capacity summary'!BB116&lt;&gt;"",IF(LOWER('Capacity summary'!BB116)="x",$BI204*BB204,VALUE('Capacity summary'!BB116)),0),BB204*$BI204),BB204*$BI204),0)</f>
        <v>0</v>
      </c>
      <c r="DF204" s="5">
        <f>IF($BI204&lt;&gt;"",IF('Capacity summary'!$C$14="Yes",IF(COUNTBLANK('Capacity summary'!$H116:$BG116)&lt;52,IF('Capacity summary'!BC116&lt;&gt;"",IF(LOWER('Capacity summary'!BC116)="x",$BI204*BC204,VALUE('Capacity summary'!BC116)),0),BC204*$BI204),BC204*$BI204),0)</f>
        <v>0</v>
      </c>
      <c r="DG204" s="5">
        <f>IF($BI204&lt;&gt;"",IF('Capacity summary'!$C$14="Yes",IF(COUNTBLANK('Capacity summary'!$H116:$BG116)&lt;52,IF('Capacity summary'!BD116&lt;&gt;"",IF(LOWER('Capacity summary'!BD116)="x",$BI204*BD204,VALUE('Capacity summary'!BD116)),0),BD204*$BI204),BD204*$BI204),0)</f>
        <v>0</v>
      </c>
      <c r="DH204" s="5">
        <f>IF($BI204&lt;&gt;"",IF('Capacity summary'!$C$14="Yes",IF(COUNTBLANK('Capacity summary'!$H116:$BG116)&lt;52,IF('Capacity summary'!BE116&lt;&gt;"",IF(LOWER('Capacity summary'!BE116)="x",$BI204*BE204,VALUE('Capacity summary'!BE116)),0),BE204*$BI204),BE204*$BI204),0)</f>
        <v>0</v>
      </c>
      <c r="DI204" s="5">
        <f>IF($BI204&lt;&gt;"",IF('Capacity summary'!$C$14="Yes",IF(COUNTBLANK('Capacity summary'!$H116:$BG116)&lt;52,IF('Capacity summary'!BF116&lt;&gt;"",IF(LOWER('Capacity summary'!BF116)="x",$BI204*BF204,VALUE('Capacity summary'!BF116)),0),BF204*$BI204),BF204*$BI204),0)</f>
        <v>0</v>
      </c>
      <c r="DJ204" s="5">
        <f>IF($BI204&lt;&gt;"",IF('Capacity summary'!$C$14="Yes",IF(COUNTBLANK('Capacity summary'!$H116:$BG116)&lt;52,IF('Capacity summary'!BG116&lt;&gt;"",IF(LOWER('Capacity summary'!BG116)="x",$BI204*BG204,VALUE('Capacity summary'!BG116)),0),BG204*$BI204),BG204*$BI204),0)</f>
        <v>0</v>
      </c>
      <c r="DK204" s="5">
        <f t="shared" ref="DK204" si="98">SUM(DK205:DK304)</f>
        <v>0</v>
      </c>
    </row>
    <row r="205" spans="3:115" x14ac:dyDescent="0.25">
      <c r="C205" s="67" t="str">
        <f>ROW(A94)&amp;". "&amp;Capacity!N110</f>
        <v xml:space="preserve">94. </v>
      </c>
      <c r="D205" s="67">
        <f>'Capacity setup'!C211</f>
        <v>0</v>
      </c>
      <c r="E205" s="67">
        <f>'Capacity setup'!D211</f>
        <v>0</v>
      </c>
      <c r="F205" s="67">
        <f>'Capacity setup'!E211</f>
        <v>0</v>
      </c>
      <c r="H205" s="67">
        <f ca="1">IF(AND(SUMIF(Capacity_Resource,$D205,'Critical resources (hide)'!U$6:U$105)+SUMIF(Capacity_Resource,$E205,'Critical resources (hide)'!U$6:U$105)+SUMIF(Capacity_Resource,$F205,'Critical resources (hide)'!U$6:U$105)&gt;0,$E$1=2),0,1)</f>
        <v>1</v>
      </c>
      <c r="I205" s="67">
        <f ca="1">IF(AND(SUMIF(Capacity_Resource,$D205,'Critical resources (hide)'!V$6:V$105)+SUMIF(Capacity_Resource,$E205,'Critical resources (hide)'!V$6:V$105)+SUMIF(Capacity_Resource,$F205,'Critical resources (hide)'!V$6:V$105)&gt;0,$E$1=2),0,1)</f>
        <v>1</v>
      </c>
      <c r="J205" s="67">
        <f ca="1">IF(AND(SUMIF(Capacity_Resource,$D205,'Critical resources (hide)'!W$6:W$105)+SUMIF(Capacity_Resource,$E205,'Critical resources (hide)'!W$6:W$105)+SUMIF(Capacity_Resource,$F205,'Critical resources (hide)'!W$6:W$105)&gt;0,$E$1=2),0,1)</f>
        <v>1</v>
      </c>
      <c r="K205" s="67">
        <f ca="1">IF(AND(SUMIF(Capacity_Resource,$D205,'Critical resources (hide)'!X$6:X$105)+SUMIF(Capacity_Resource,$E205,'Critical resources (hide)'!X$6:X$105)+SUMIF(Capacity_Resource,$F205,'Critical resources (hide)'!X$6:X$105)&gt;0,$E$1=2),0,1)</f>
        <v>1</v>
      </c>
      <c r="L205" s="67">
        <f ca="1">IF(AND(SUMIF(Capacity_Resource,$D205,'Critical resources (hide)'!Y$6:Y$105)+SUMIF(Capacity_Resource,$E205,'Critical resources (hide)'!Y$6:Y$105)+SUMIF(Capacity_Resource,$F205,'Critical resources (hide)'!Y$6:Y$105)&gt;0,$E$1=2),0,1)</f>
        <v>1</v>
      </c>
      <c r="M205" s="67">
        <f ca="1">IF(AND(SUMIF(Capacity_Resource,$D205,'Critical resources (hide)'!Z$6:Z$105)+SUMIF(Capacity_Resource,$E205,'Critical resources (hide)'!Z$6:Z$105)+SUMIF(Capacity_Resource,$F205,'Critical resources (hide)'!Z$6:Z$105)&gt;0,$E$1=2),0,1)</f>
        <v>1</v>
      </c>
      <c r="N205" s="67">
        <f ca="1">IF(AND(SUMIF(Capacity_Resource,$D205,'Critical resources (hide)'!AA$6:AA$105)+SUMIF(Capacity_Resource,$E205,'Critical resources (hide)'!AA$6:AA$105)+SUMIF(Capacity_Resource,$F205,'Critical resources (hide)'!AA$6:AA$105)&gt;0,$E$1=2),0,1)</f>
        <v>1</v>
      </c>
      <c r="O205" s="67">
        <f ca="1">IF(AND(SUMIF(Capacity_Resource,$D205,'Critical resources (hide)'!AB$6:AB$105)+SUMIF(Capacity_Resource,$E205,'Critical resources (hide)'!AB$6:AB$105)+SUMIF(Capacity_Resource,$F205,'Critical resources (hide)'!AB$6:AB$105)&gt;0,$E$1=2),0,1)</f>
        <v>1</v>
      </c>
      <c r="P205" s="67">
        <f ca="1">IF(AND(SUMIF(Capacity_Resource,$D205,'Critical resources (hide)'!AC$6:AC$105)+SUMIF(Capacity_Resource,$E205,'Critical resources (hide)'!AC$6:AC$105)+SUMIF(Capacity_Resource,$F205,'Critical resources (hide)'!AC$6:AC$105)&gt;0,$E$1=2),0,1)</f>
        <v>1</v>
      </c>
      <c r="Q205" s="67">
        <f ca="1">IF(AND(SUMIF(Capacity_Resource,$D205,'Critical resources (hide)'!AD$6:AD$105)+SUMIF(Capacity_Resource,$E205,'Critical resources (hide)'!AD$6:AD$105)+SUMIF(Capacity_Resource,$F205,'Critical resources (hide)'!AD$6:AD$105)&gt;0,$E$1=2),0,1)</f>
        <v>1</v>
      </c>
      <c r="R205" s="67">
        <f ca="1">IF(AND(SUMIF(Capacity_Resource,$D205,'Critical resources (hide)'!AE$6:AE$105)+SUMIF(Capacity_Resource,$E205,'Critical resources (hide)'!AE$6:AE$105)+SUMIF(Capacity_Resource,$F205,'Critical resources (hide)'!AE$6:AE$105)&gt;0,$E$1=2),0,1)</f>
        <v>1</v>
      </c>
      <c r="S205" s="67">
        <f ca="1">IF(AND(SUMIF(Capacity_Resource,$D205,'Critical resources (hide)'!AF$6:AF$105)+SUMIF(Capacity_Resource,$E205,'Critical resources (hide)'!AF$6:AF$105)+SUMIF(Capacity_Resource,$F205,'Critical resources (hide)'!AF$6:AF$105)&gt;0,$E$1=2),0,1)</f>
        <v>1</v>
      </c>
      <c r="T205" s="67">
        <f ca="1">IF(AND(SUMIF(Capacity_Resource,$D205,'Critical resources (hide)'!AG$6:AG$105)+SUMIF(Capacity_Resource,$E205,'Critical resources (hide)'!AG$6:AG$105)+SUMIF(Capacity_Resource,$F205,'Critical resources (hide)'!AG$6:AG$105)&gt;0,$E$1=2),0,1)</f>
        <v>1</v>
      </c>
      <c r="U205" s="67">
        <f ca="1">IF(AND(SUMIF(Capacity_Resource,$D205,'Critical resources (hide)'!AH$6:AH$105)+SUMIF(Capacity_Resource,$E205,'Critical resources (hide)'!AH$6:AH$105)+SUMIF(Capacity_Resource,$F205,'Critical resources (hide)'!AH$6:AH$105)&gt;0,$E$1=2),0,1)</f>
        <v>1</v>
      </c>
      <c r="V205" s="67">
        <f ca="1">IF(AND(SUMIF(Capacity_Resource,$D205,'Critical resources (hide)'!AI$6:AI$105)+SUMIF(Capacity_Resource,$E205,'Critical resources (hide)'!AI$6:AI$105)+SUMIF(Capacity_Resource,$F205,'Critical resources (hide)'!AI$6:AI$105)&gt;0,$E$1=2),0,1)</f>
        <v>1</v>
      </c>
      <c r="W205" s="67">
        <f ca="1">IF(AND(SUMIF(Capacity_Resource,$D205,'Critical resources (hide)'!AJ$6:AJ$105)+SUMIF(Capacity_Resource,$E205,'Critical resources (hide)'!AJ$6:AJ$105)+SUMIF(Capacity_Resource,$F205,'Critical resources (hide)'!AJ$6:AJ$105)&gt;0,$E$1=2),0,1)</f>
        <v>1</v>
      </c>
      <c r="X205" s="67">
        <f ca="1">IF(AND(SUMIF(Capacity_Resource,$D205,'Critical resources (hide)'!AK$6:AK$105)+SUMIF(Capacity_Resource,$E205,'Critical resources (hide)'!AK$6:AK$105)+SUMIF(Capacity_Resource,$F205,'Critical resources (hide)'!AK$6:AK$105)&gt;0,$E$1=2),0,1)</f>
        <v>1</v>
      </c>
      <c r="Y205" s="67">
        <f ca="1">IF(AND(SUMIF(Capacity_Resource,$D205,'Critical resources (hide)'!AL$6:AL$105)+SUMIF(Capacity_Resource,$E205,'Critical resources (hide)'!AL$6:AL$105)+SUMIF(Capacity_Resource,$F205,'Critical resources (hide)'!AL$6:AL$105)&gt;0,$E$1=2),0,1)</f>
        <v>1</v>
      </c>
      <c r="Z205" s="67">
        <f ca="1">IF(AND(SUMIF(Capacity_Resource,$D205,'Critical resources (hide)'!AM$6:AM$105)+SUMIF(Capacity_Resource,$E205,'Critical resources (hide)'!AM$6:AM$105)+SUMIF(Capacity_Resource,$F205,'Critical resources (hide)'!AM$6:AM$105)&gt;0,$E$1=2),0,1)</f>
        <v>1</v>
      </c>
      <c r="AA205" s="67">
        <f ca="1">IF(AND(SUMIF(Capacity_Resource,$D205,'Critical resources (hide)'!AN$6:AN$105)+SUMIF(Capacity_Resource,$E205,'Critical resources (hide)'!AN$6:AN$105)+SUMIF(Capacity_Resource,$F205,'Critical resources (hide)'!AN$6:AN$105)&gt;0,$E$1=2),0,1)</f>
        <v>1</v>
      </c>
      <c r="AB205" s="67">
        <f ca="1">IF(AND(SUMIF(Capacity_Resource,$D205,'Critical resources (hide)'!AO$6:AO$105)+SUMIF(Capacity_Resource,$E205,'Critical resources (hide)'!AO$6:AO$105)+SUMIF(Capacity_Resource,$F205,'Critical resources (hide)'!AO$6:AO$105)&gt;0,$E$1=2),0,1)</f>
        <v>1</v>
      </c>
      <c r="AC205" s="67">
        <f ca="1">IF(AND(SUMIF(Capacity_Resource,$D205,'Critical resources (hide)'!AP$6:AP$105)+SUMIF(Capacity_Resource,$E205,'Critical resources (hide)'!AP$6:AP$105)+SUMIF(Capacity_Resource,$F205,'Critical resources (hide)'!AP$6:AP$105)&gt;0,$E$1=2),0,1)</f>
        <v>1</v>
      </c>
      <c r="AD205" s="67">
        <f ca="1">IF(AND(SUMIF(Capacity_Resource,$D205,'Critical resources (hide)'!AQ$6:AQ$105)+SUMIF(Capacity_Resource,$E205,'Critical resources (hide)'!AQ$6:AQ$105)+SUMIF(Capacity_Resource,$F205,'Critical resources (hide)'!AQ$6:AQ$105)&gt;0,$E$1=2),0,1)</f>
        <v>1</v>
      </c>
      <c r="AE205" s="67">
        <f ca="1">IF(AND(SUMIF(Capacity_Resource,$D205,'Critical resources (hide)'!AR$6:AR$105)+SUMIF(Capacity_Resource,$E205,'Critical resources (hide)'!AR$6:AR$105)+SUMIF(Capacity_Resource,$F205,'Critical resources (hide)'!AR$6:AR$105)&gt;0,$E$1=2),0,1)</f>
        <v>1</v>
      </c>
      <c r="AF205" s="67">
        <f ca="1">IF(AND(SUMIF(Capacity_Resource,$D205,'Critical resources (hide)'!AS$6:AS$105)+SUMIF(Capacity_Resource,$E205,'Critical resources (hide)'!AS$6:AS$105)+SUMIF(Capacity_Resource,$F205,'Critical resources (hide)'!AS$6:AS$105)&gt;0,$E$1=2),0,1)</f>
        <v>1</v>
      </c>
      <c r="AG205" s="67">
        <f ca="1">IF(AND(SUMIF(Capacity_Resource,$D205,'Critical resources (hide)'!AT$6:AT$105)+SUMIF(Capacity_Resource,$E205,'Critical resources (hide)'!AT$6:AT$105)+SUMIF(Capacity_Resource,$F205,'Critical resources (hide)'!AT$6:AT$105)&gt;0,$E$1=2),0,1)</f>
        <v>1</v>
      </c>
      <c r="AH205" s="67">
        <f ca="1">IF(AND(SUMIF(Capacity_Resource,$D205,'Critical resources (hide)'!AU$6:AU$105)+SUMIF(Capacity_Resource,$E205,'Critical resources (hide)'!AU$6:AU$105)+SUMIF(Capacity_Resource,$F205,'Critical resources (hide)'!AU$6:AU$105)&gt;0,$E$1=2),0,1)</f>
        <v>1</v>
      </c>
      <c r="AI205" s="67">
        <f ca="1">IF(AND(SUMIF(Capacity_Resource,$D205,'Critical resources (hide)'!AV$6:AV$105)+SUMIF(Capacity_Resource,$E205,'Critical resources (hide)'!AV$6:AV$105)+SUMIF(Capacity_Resource,$F205,'Critical resources (hide)'!AV$6:AV$105)&gt;0,$E$1=2),0,1)</f>
        <v>1</v>
      </c>
      <c r="AJ205" s="67">
        <f ca="1">IF(AND(SUMIF(Capacity_Resource,$D205,'Critical resources (hide)'!AW$6:AW$105)+SUMIF(Capacity_Resource,$E205,'Critical resources (hide)'!AW$6:AW$105)+SUMIF(Capacity_Resource,$F205,'Critical resources (hide)'!AW$6:AW$105)&gt;0,$E$1=2),0,1)</f>
        <v>1</v>
      </c>
      <c r="AK205" s="67">
        <f ca="1">IF(AND(SUMIF(Capacity_Resource,$D205,'Critical resources (hide)'!AX$6:AX$105)+SUMIF(Capacity_Resource,$E205,'Critical resources (hide)'!AX$6:AX$105)+SUMIF(Capacity_Resource,$F205,'Critical resources (hide)'!AX$6:AX$105)&gt;0,$E$1=2),0,1)</f>
        <v>1</v>
      </c>
      <c r="AL205" s="67">
        <f ca="1">IF(AND(SUMIF(Capacity_Resource,$D205,'Critical resources (hide)'!AY$6:AY$105)+SUMIF(Capacity_Resource,$E205,'Critical resources (hide)'!AY$6:AY$105)+SUMIF(Capacity_Resource,$F205,'Critical resources (hide)'!AY$6:AY$105)&gt;0,$E$1=2),0,1)</f>
        <v>1</v>
      </c>
      <c r="AM205" s="67">
        <f ca="1">IF(AND(SUMIF(Capacity_Resource,$D205,'Critical resources (hide)'!AZ$6:AZ$105)+SUMIF(Capacity_Resource,$E205,'Critical resources (hide)'!AZ$6:AZ$105)+SUMIF(Capacity_Resource,$F205,'Critical resources (hide)'!AZ$6:AZ$105)&gt;0,$E$1=2),0,1)</f>
        <v>1</v>
      </c>
      <c r="AN205" s="67">
        <f ca="1">IF(AND(SUMIF(Capacity_Resource,$D205,'Critical resources (hide)'!BA$6:BA$105)+SUMIF(Capacity_Resource,$E205,'Critical resources (hide)'!BA$6:BA$105)+SUMIF(Capacity_Resource,$F205,'Critical resources (hide)'!BA$6:BA$105)&gt;0,$E$1=2),0,1)</f>
        <v>1</v>
      </c>
      <c r="AO205" s="67">
        <f ca="1">IF(AND(SUMIF(Capacity_Resource,$D205,'Critical resources (hide)'!BB$6:BB$105)+SUMIF(Capacity_Resource,$E205,'Critical resources (hide)'!BB$6:BB$105)+SUMIF(Capacity_Resource,$F205,'Critical resources (hide)'!BB$6:BB$105)&gt;0,$E$1=2),0,1)</f>
        <v>1</v>
      </c>
      <c r="AP205" s="67">
        <f ca="1">IF(AND(SUMIF(Capacity_Resource,$D205,'Critical resources (hide)'!BC$6:BC$105)+SUMIF(Capacity_Resource,$E205,'Critical resources (hide)'!BC$6:BC$105)+SUMIF(Capacity_Resource,$F205,'Critical resources (hide)'!BC$6:BC$105)&gt;0,$E$1=2),0,1)</f>
        <v>1</v>
      </c>
      <c r="AQ205" s="67">
        <f ca="1">IF(AND(SUMIF(Capacity_Resource,$D205,'Critical resources (hide)'!BD$6:BD$105)+SUMIF(Capacity_Resource,$E205,'Critical resources (hide)'!BD$6:BD$105)+SUMIF(Capacity_Resource,$F205,'Critical resources (hide)'!BD$6:BD$105)&gt;0,$E$1=2),0,1)</f>
        <v>1</v>
      </c>
      <c r="AR205" s="67">
        <f ca="1">IF(AND(SUMIF(Capacity_Resource,$D205,'Critical resources (hide)'!BE$6:BE$105)+SUMIF(Capacity_Resource,$E205,'Critical resources (hide)'!BE$6:BE$105)+SUMIF(Capacity_Resource,$F205,'Critical resources (hide)'!BE$6:BE$105)&gt;0,$E$1=2),0,1)</f>
        <v>1</v>
      </c>
      <c r="AS205" s="67">
        <f ca="1">IF(AND(SUMIF(Capacity_Resource,$D205,'Critical resources (hide)'!BF$6:BF$105)+SUMIF(Capacity_Resource,$E205,'Critical resources (hide)'!BF$6:BF$105)+SUMIF(Capacity_Resource,$F205,'Critical resources (hide)'!BF$6:BF$105)&gt;0,$E$1=2),0,1)</f>
        <v>1</v>
      </c>
      <c r="AT205" s="67">
        <f ca="1">IF(AND(SUMIF(Capacity_Resource,$D205,'Critical resources (hide)'!BG$6:BG$105)+SUMIF(Capacity_Resource,$E205,'Critical resources (hide)'!BG$6:BG$105)+SUMIF(Capacity_Resource,$F205,'Critical resources (hide)'!BG$6:BG$105)&gt;0,$E$1=2),0,1)</f>
        <v>1</v>
      </c>
      <c r="AU205" s="67">
        <f ca="1">IF(AND(SUMIF(Capacity_Resource,$D205,'Critical resources (hide)'!BH$6:BH$105)+SUMIF(Capacity_Resource,$E205,'Critical resources (hide)'!BH$6:BH$105)+SUMIF(Capacity_Resource,$F205,'Critical resources (hide)'!BH$6:BH$105)&gt;0,$E$1=2),0,1)</f>
        <v>1</v>
      </c>
      <c r="AV205" s="67">
        <f ca="1">IF(AND(SUMIF(Capacity_Resource,$D205,'Critical resources (hide)'!BI$6:BI$105)+SUMIF(Capacity_Resource,$E205,'Critical resources (hide)'!BI$6:BI$105)+SUMIF(Capacity_Resource,$F205,'Critical resources (hide)'!BI$6:BI$105)&gt;0,$E$1=2),0,1)</f>
        <v>1</v>
      </c>
      <c r="AW205" s="67">
        <f ca="1">IF(AND(SUMIF(Capacity_Resource,$D205,'Critical resources (hide)'!BJ$6:BJ$105)+SUMIF(Capacity_Resource,$E205,'Critical resources (hide)'!BJ$6:BJ$105)+SUMIF(Capacity_Resource,$F205,'Critical resources (hide)'!BJ$6:BJ$105)&gt;0,$E$1=2),0,1)</f>
        <v>1</v>
      </c>
      <c r="AX205" s="67">
        <f ca="1">IF(AND(SUMIF(Capacity_Resource,$D205,'Critical resources (hide)'!BK$6:BK$105)+SUMIF(Capacity_Resource,$E205,'Critical resources (hide)'!BK$6:BK$105)+SUMIF(Capacity_Resource,$F205,'Critical resources (hide)'!BK$6:BK$105)&gt;0,$E$1=2),0,1)</f>
        <v>1</v>
      </c>
      <c r="AY205" s="67">
        <f ca="1">IF(AND(SUMIF(Capacity_Resource,$D205,'Critical resources (hide)'!BL$6:BL$105)+SUMIF(Capacity_Resource,$E205,'Critical resources (hide)'!BL$6:BL$105)+SUMIF(Capacity_Resource,$F205,'Critical resources (hide)'!BL$6:BL$105)&gt;0,$E$1=2),0,1)</f>
        <v>1</v>
      </c>
      <c r="AZ205" s="67">
        <f ca="1">IF(AND(SUMIF(Capacity_Resource,$D205,'Critical resources (hide)'!BM$6:BM$105)+SUMIF(Capacity_Resource,$E205,'Critical resources (hide)'!BM$6:BM$105)+SUMIF(Capacity_Resource,$F205,'Critical resources (hide)'!BM$6:BM$105)&gt;0,$E$1=2),0,1)</f>
        <v>1</v>
      </c>
      <c r="BA205" s="67">
        <f ca="1">IF(AND(SUMIF(Capacity_Resource,$D205,'Critical resources (hide)'!BN$6:BN$105)+SUMIF(Capacity_Resource,$E205,'Critical resources (hide)'!BN$6:BN$105)+SUMIF(Capacity_Resource,$F205,'Critical resources (hide)'!BN$6:BN$105)&gt;0,$E$1=2),0,1)</f>
        <v>1</v>
      </c>
      <c r="BB205" s="67">
        <f ca="1">IF(AND(SUMIF(Capacity_Resource,$D205,'Critical resources (hide)'!BO$6:BO$105)+SUMIF(Capacity_Resource,$E205,'Critical resources (hide)'!BO$6:BO$105)+SUMIF(Capacity_Resource,$F205,'Critical resources (hide)'!BO$6:BO$105)&gt;0,$E$1=2),0,1)</f>
        <v>1</v>
      </c>
      <c r="BC205" s="67">
        <f ca="1">IF(AND(SUMIF(Capacity_Resource,$D205,'Critical resources (hide)'!BP$6:BP$105)+SUMIF(Capacity_Resource,$E205,'Critical resources (hide)'!BP$6:BP$105)+SUMIF(Capacity_Resource,$F205,'Critical resources (hide)'!BP$6:BP$105)&gt;0,$E$1=2),0,1)</f>
        <v>1</v>
      </c>
      <c r="BD205" s="67">
        <f ca="1">IF(AND(SUMIF(Capacity_Resource,$D205,'Critical resources (hide)'!BQ$6:BQ$105)+SUMIF(Capacity_Resource,$E205,'Critical resources (hide)'!BQ$6:BQ$105)+SUMIF(Capacity_Resource,$F205,'Critical resources (hide)'!BQ$6:BQ$105)&gt;0,$E$1=2),0,1)</f>
        <v>1</v>
      </c>
      <c r="BE205" s="67">
        <f ca="1">IF(AND(SUMIF(Capacity_Resource,$D205,'Critical resources (hide)'!BR$6:BR$105)+SUMIF(Capacity_Resource,$E205,'Critical resources (hide)'!BR$6:BR$105)+SUMIF(Capacity_Resource,$F205,'Critical resources (hide)'!BR$6:BR$105)&gt;0,$E$1=2),0,1)</f>
        <v>1</v>
      </c>
      <c r="BF205" s="67">
        <f ca="1">IF(AND(SUMIF(Capacity_Resource,$D205,'Critical resources (hide)'!BS$6:BS$105)+SUMIF(Capacity_Resource,$E205,'Critical resources (hide)'!BS$6:BS$105)+SUMIF(Capacity_Resource,$F205,'Critical resources (hide)'!BS$6:BS$105)&gt;0,$E$1=2),0,1)</f>
        <v>1</v>
      </c>
      <c r="BG205" s="67">
        <f ca="1">IF(AND(SUMIF(Capacity_Resource,$D205,'Critical resources (hide)'!BT$6:BT$105)+SUMIF(Capacity_Resource,$E205,'Critical resources (hide)'!BT$6:BT$105)+SUMIF(Capacity_Resource,$F205,'Critical resources (hide)'!BT$6:BT$105)&gt;0,$E$1=2),0,1)</f>
        <v>1</v>
      </c>
      <c r="BH205" s="67">
        <f>IF(ROW(A94)&lt;=Capacity!$M$16,IF('Capacity summary'!$C$14="No",SUM(H205:BG205),'Capacity summary'!$E117),0)</f>
        <v>0</v>
      </c>
      <c r="BI205" s="67" t="str">
        <f>IF(BH205&gt;0,IF(BH205&lt;Capacity!Q110,Capacity!R110,Capacity!T110/'Capacity calculation (hide)'!BH205),"")</f>
        <v/>
      </c>
      <c r="BJ205" s="5"/>
      <c r="BK205" s="5">
        <f>IF($BI205&lt;&gt;"",IF('Capacity summary'!$C$14="Yes",IF(COUNTBLANK('Capacity summary'!$H117:$BG117)&lt;52,IF('Capacity summary'!H117&lt;&gt;"",IF(LOWER('Capacity summary'!H117)="x",$BI205*H205,VALUE('Capacity summary'!H117)),0),H205*$BI205),H205*$BI205),0)</f>
        <v>0</v>
      </c>
      <c r="BL205" s="5">
        <f>IF($BI205&lt;&gt;"",IF('Capacity summary'!$C$14="Yes",IF(COUNTBLANK('Capacity summary'!$H117:$BG117)&lt;52,IF('Capacity summary'!I117&lt;&gt;"",IF(LOWER('Capacity summary'!I117)="x",$BI205*I205,VALUE('Capacity summary'!I117)),0),I205*$BI205),I205*$BI205),0)</f>
        <v>0</v>
      </c>
      <c r="BM205" s="5">
        <f>IF($BI205&lt;&gt;"",IF('Capacity summary'!$C$14="Yes",IF(COUNTBLANK('Capacity summary'!$H117:$BG117)&lt;52,IF('Capacity summary'!J117&lt;&gt;"",IF(LOWER('Capacity summary'!J117)="x",$BI205*J205,VALUE('Capacity summary'!J117)),0),J205*$BI205),J205*$BI205),0)</f>
        <v>0</v>
      </c>
      <c r="BN205" s="5">
        <f>IF($BI205&lt;&gt;"",IF('Capacity summary'!$C$14="Yes",IF(COUNTBLANK('Capacity summary'!$H117:$BG117)&lt;52,IF('Capacity summary'!K117&lt;&gt;"",IF(LOWER('Capacity summary'!K117)="x",$BI205*K205,VALUE('Capacity summary'!K117)),0),K205*$BI205),K205*$BI205),0)</f>
        <v>0</v>
      </c>
      <c r="BO205" s="5">
        <f>IF($BI205&lt;&gt;"",IF('Capacity summary'!$C$14="Yes",IF(COUNTBLANK('Capacity summary'!$H117:$BG117)&lt;52,IF('Capacity summary'!L117&lt;&gt;"",IF(LOWER('Capacity summary'!L117)="x",$BI205*L205,VALUE('Capacity summary'!L117)),0),L205*$BI205),L205*$BI205),0)</f>
        <v>0</v>
      </c>
      <c r="BP205" s="5">
        <f>IF($BI205&lt;&gt;"",IF('Capacity summary'!$C$14="Yes",IF(COUNTBLANK('Capacity summary'!$H117:$BG117)&lt;52,IF('Capacity summary'!M117&lt;&gt;"",IF(LOWER('Capacity summary'!M117)="x",$BI205*M205,VALUE('Capacity summary'!M117)),0),M205*$BI205),M205*$BI205),0)</f>
        <v>0</v>
      </c>
      <c r="BQ205" s="5">
        <f>IF($BI205&lt;&gt;"",IF('Capacity summary'!$C$14="Yes",IF(COUNTBLANK('Capacity summary'!$H117:$BG117)&lt;52,IF('Capacity summary'!N117&lt;&gt;"",IF(LOWER('Capacity summary'!N117)="x",$BI205*N205,VALUE('Capacity summary'!N117)),0),N205*$BI205),N205*$BI205),0)</f>
        <v>0</v>
      </c>
      <c r="BR205" s="5">
        <f>IF($BI205&lt;&gt;"",IF('Capacity summary'!$C$14="Yes",IF(COUNTBLANK('Capacity summary'!$H117:$BG117)&lt;52,IF('Capacity summary'!O117&lt;&gt;"",IF(LOWER('Capacity summary'!O117)="x",$BI205*O205,VALUE('Capacity summary'!O117)),0),O205*$BI205),O205*$BI205),0)</f>
        <v>0</v>
      </c>
      <c r="BS205" s="5">
        <f>IF($BI205&lt;&gt;"",IF('Capacity summary'!$C$14="Yes",IF(COUNTBLANK('Capacity summary'!$H117:$BG117)&lt;52,IF('Capacity summary'!P117&lt;&gt;"",IF(LOWER('Capacity summary'!P117)="x",$BI205*P205,VALUE('Capacity summary'!P117)),0),P205*$BI205),P205*$BI205),0)</f>
        <v>0</v>
      </c>
      <c r="BT205" s="5">
        <f>IF($BI205&lt;&gt;"",IF('Capacity summary'!$C$14="Yes",IF(COUNTBLANK('Capacity summary'!$H117:$BG117)&lt;52,IF('Capacity summary'!Q117&lt;&gt;"",IF(LOWER('Capacity summary'!Q117)="x",$BI205*Q205,VALUE('Capacity summary'!Q117)),0),Q205*$BI205),Q205*$BI205),0)</f>
        <v>0</v>
      </c>
      <c r="BU205" s="5">
        <f>IF($BI205&lt;&gt;"",IF('Capacity summary'!$C$14="Yes",IF(COUNTBLANK('Capacity summary'!$H117:$BG117)&lt;52,IF('Capacity summary'!R117&lt;&gt;"",IF(LOWER('Capacity summary'!R117)="x",$BI205*R205,VALUE('Capacity summary'!R117)),0),R205*$BI205),R205*$BI205),0)</f>
        <v>0</v>
      </c>
      <c r="BV205" s="5">
        <f>IF($BI205&lt;&gt;"",IF('Capacity summary'!$C$14="Yes",IF(COUNTBLANK('Capacity summary'!$H117:$BG117)&lt;52,IF('Capacity summary'!S117&lt;&gt;"",IF(LOWER('Capacity summary'!S117)="x",$BI205*S205,VALUE('Capacity summary'!S117)),0),S205*$BI205),S205*$BI205),0)</f>
        <v>0</v>
      </c>
      <c r="BW205" s="5">
        <f>IF($BI205&lt;&gt;"",IF('Capacity summary'!$C$14="Yes",IF(COUNTBLANK('Capacity summary'!$H117:$BG117)&lt;52,IF('Capacity summary'!T117&lt;&gt;"",IF(LOWER('Capacity summary'!T117)="x",$BI205*T205,VALUE('Capacity summary'!T117)),0),T205*$BI205),T205*$BI205),0)</f>
        <v>0</v>
      </c>
      <c r="BX205" s="5">
        <f>IF($BI205&lt;&gt;"",IF('Capacity summary'!$C$14="Yes",IF(COUNTBLANK('Capacity summary'!$H117:$BG117)&lt;52,IF('Capacity summary'!U117&lt;&gt;"",IF(LOWER('Capacity summary'!U117)="x",$BI205*U205,VALUE('Capacity summary'!U117)),0),U205*$BI205),U205*$BI205),0)</f>
        <v>0</v>
      </c>
      <c r="BY205" s="5">
        <f>IF($BI205&lt;&gt;"",IF('Capacity summary'!$C$14="Yes",IF(COUNTBLANK('Capacity summary'!$H117:$BG117)&lt;52,IF('Capacity summary'!V117&lt;&gt;"",IF(LOWER('Capacity summary'!V117)="x",$BI205*V205,VALUE('Capacity summary'!V117)),0),V205*$BI205),V205*$BI205),0)</f>
        <v>0</v>
      </c>
      <c r="BZ205" s="5">
        <f>IF($BI205&lt;&gt;"",IF('Capacity summary'!$C$14="Yes",IF(COUNTBLANK('Capacity summary'!$H117:$BG117)&lt;52,IF('Capacity summary'!W117&lt;&gt;"",IF(LOWER('Capacity summary'!W117)="x",$BI205*W205,VALUE('Capacity summary'!W117)),0),W205*$BI205),W205*$BI205),0)</f>
        <v>0</v>
      </c>
      <c r="CA205" s="5">
        <f>IF($BI205&lt;&gt;"",IF('Capacity summary'!$C$14="Yes",IF(COUNTBLANK('Capacity summary'!$H117:$BG117)&lt;52,IF('Capacity summary'!X117&lt;&gt;"",IF(LOWER('Capacity summary'!X117)="x",$BI205*X205,VALUE('Capacity summary'!X117)),0),X205*$BI205),X205*$BI205),0)</f>
        <v>0</v>
      </c>
      <c r="CB205" s="5">
        <f>IF($BI205&lt;&gt;"",IF('Capacity summary'!$C$14="Yes",IF(COUNTBLANK('Capacity summary'!$H117:$BG117)&lt;52,IF('Capacity summary'!Y117&lt;&gt;"",IF(LOWER('Capacity summary'!Y117)="x",$BI205*Y205,VALUE('Capacity summary'!Y117)),0),Y205*$BI205),Y205*$BI205),0)</f>
        <v>0</v>
      </c>
      <c r="CC205" s="5">
        <f>IF($BI205&lt;&gt;"",IF('Capacity summary'!$C$14="Yes",IF(COUNTBLANK('Capacity summary'!$H117:$BG117)&lt;52,IF('Capacity summary'!Z117&lt;&gt;"",IF(LOWER('Capacity summary'!Z117)="x",$BI205*Z205,VALUE('Capacity summary'!Z117)),0),Z205*$BI205),Z205*$BI205),0)</f>
        <v>0</v>
      </c>
      <c r="CD205" s="5">
        <f>IF($BI205&lt;&gt;"",IF('Capacity summary'!$C$14="Yes",IF(COUNTBLANK('Capacity summary'!$H117:$BG117)&lt;52,IF('Capacity summary'!AA117&lt;&gt;"",IF(LOWER('Capacity summary'!AA117)="x",$BI205*AA205,VALUE('Capacity summary'!AA117)),0),AA205*$BI205),AA205*$BI205),0)</f>
        <v>0</v>
      </c>
      <c r="CE205" s="5">
        <f>IF($BI205&lt;&gt;"",IF('Capacity summary'!$C$14="Yes",IF(COUNTBLANK('Capacity summary'!$H117:$BG117)&lt;52,IF('Capacity summary'!AB117&lt;&gt;"",IF(LOWER('Capacity summary'!AB117)="x",$BI205*AB205,VALUE('Capacity summary'!AB117)),0),AB205*$BI205),AB205*$BI205),0)</f>
        <v>0</v>
      </c>
      <c r="CF205" s="5">
        <f>IF($BI205&lt;&gt;"",IF('Capacity summary'!$C$14="Yes",IF(COUNTBLANK('Capacity summary'!$H117:$BG117)&lt;52,IF('Capacity summary'!AC117&lt;&gt;"",IF(LOWER('Capacity summary'!AC117)="x",$BI205*AC205,VALUE('Capacity summary'!AC117)),0),AC205*$BI205),AC205*$BI205),0)</f>
        <v>0</v>
      </c>
      <c r="CG205" s="5">
        <f>IF($BI205&lt;&gt;"",IF('Capacity summary'!$C$14="Yes",IF(COUNTBLANK('Capacity summary'!$H117:$BG117)&lt;52,IF('Capacity summary'!AD117&lt;&gt;"",IF(LOWER('Capacity summary'!AD117)="x",$BI205*AD205,VALUE('Capacity summary'!AD117)),0),AD205*$BI205),AD205*$BI205),0)</f>
        <v>0</v>
      </c>
      <c r="CH205" s="5">
        <f>IF($BI205&lt;&gt;"",IF('Capacity summary'!$C$14="Yes",IF(COUNTBLANK('Capacity summary'!$H117:$BG117)&lt;52,IF('Capacity summary'!AE117&lt;&gt;"",IF(LOWER('Capacity summary'!AE117)="x",$BI205*AE205,VALUE('Capacity summary'!AE117)),0),AE205*$BI205),AE205*$BI205),0)</f>
        <v>0</v>
      </c>
      <c r="CI205" s="5">
        <f>IF($BI205&lt;&gt;"",IF('Capacity summary'!$C$14="Yes",IF(COUNTBLANK('Capacity summary'!$H117:$BG117)&lt;52,IF('Capacity summary'!AF117&lt;&gt;"",IF(LOWER('Capacity summary'!AF117)="x",$BI205*AF205,VALUE('Capacity summary'!AF117)),0),AF205*$BI205),AF205*$BI205),0)</f>
        <v>0</v>
      </c>
      <c r="CJ205" s="5">
        <f>IF($BI205&lt;&gt;"",IF('Capacity summary'!$C$14="Yes",IF(COUNTBLANK('Capacity summary'!$H117:$BG117)&lt;52,IF('Capacity summary'!AG117&lt;&gt;"",IF(LOWER('Capacity summary'!AG117)="x",$BI205*AG205,VALUE('Capacity summary'!AG117)),0),AG205*$BI205),AG205*$BI205),0)</f>
        <v>0</v>
      </c>
      <c r="CK205" s="5">
        <f>IF($BI205&lt;&gt;"",IF('Capacity summary'!$C$14="Yes",IF(COUNTBLANK('Capacity summary'!$H117:$BG117)&lt;52,IF('Capacity summary'!AH117&lt;&gt;"",IF(LOWER('Capacity summary'!AH117)="x",$BI205*AH205,VALUE('Capacity summary'!AH117)),0),AH205*$BI205),AH205*$BI205),0)</f>
        <v>0</v>
      </c>
      <c r="CL205" s="5">
        <f>IF($BI205&lt;&gt;"",IF('Capacity summary'!$C$14="Yes",IF(COUNTBLANK('Capacity summary'!$H117:$BG117)&lt;52,IF('Capacity summary'!AI117&lt;&gt;"",IF(LOWER('Capacity summary'!AI117)="x",$BI205*AI205,VALUE('Capacity summary'!AI117)),0),AI205*$BI205),AI205*$BI205),0)</f>
        <v>0</v>
      </c>
      <c r="CM205" s="5">
        <f>IF($BI205&lt;&gt;"",IF('Capacity summary'!$C$14="Yes",IF(COUNTBLANK('Capacity summary'!$H117:$BG117)&lt;52,IF('Capacity summary'!AJ117&lt;&gt;"",IF(LOWER('Capacity summary'!AJ117)="x",$BI205*AJ205,VALUE('Capacity summary'!AJ117)),0),AJ205*$BI205),AJ205*$BI205),0)</f>
        <v>0</v>
      </c>
      <c r="CN205" s="5">
        <f>IF($BI205&lt;&gt;"",IF('Capacity summary'!$C$14="Yes",IF(COUNTBLANK('Capacity summary'!$H117:$BG117)&lt;52,IF('Capacity summary'!AK117&lt;&gt;"",IF(LOWER('Capacity summary'!AK117)="x",$BI205*AK205,VALUE('Capacity summary'!AK117)),0),AK205*$BI205),AK205*$BI205),0)</f>
        <v>0</v>
      </c>
      <c r="CO205" s="5">
        <f>IF($BI205&lt;&gt;"",IF('Capacity summary'!$C$14="Yes",IF(COUNTBLANK('Capacity summary'!$H117:$BG117)&lt;52,IF('Capacity summary'!AL117&lt;&gt;"",IF(LOWER('Capacity summary'!AL117)="x",$BI205*AL205,VALUE('Capacity summary'!AL117)),0),AL205*$BI205),AL205*$BI205),0)</f>
        <v>0</v>
      </c>
      <c r="CP205" s="5">
        <f>IF($BI205&lt;&gt;"",IF('Capacity summary'!$C$14="Yes",IF(COUNTBLANK('Capacity summary'!$H117:$BG117)&lt;52,IF('Capacity summary'!AM117&lt;&gt;"",IF(LOWER('Capacity summary'!AM117)="x",$BI205*AM205,VALUE('Capacity summary'!AM117)),0),AM205*$BI205),AM205*$BI205),0)</f>
        <v>0</v>
      </c>
      <c r="CQ205" s="5">
        <f>IF($BI205&lt;&gt;"",IF('Capacity summary'!$C$14="Yes",IF(COUNTBLANK('Capacity summary'!$H117:$BG117)&lt;52,IF('Capacity summary'!AN117&lt;&gt;"",IF(LOWER('Capacity summary'!AN117)="x",$BI205*AN205,VALUE('Capacity summary'!AN117)),0),AN205*$BI205),AN205*$BI205),0)</f>
        <v>0</v>
      </c>
      <c r="CR205" s="5">
        <f>IF($BI205&lt;&gt;"",IF('Capacity summary'!$C$14="Yes",IF(COUNTBLANK('Capacity summary'!$H117:$BG117)&lt;52,IF('Capacity summary'!AO117&lt;&gt;"",IF(LOWER('Capacity summary'!AO117)="x",$BI205*AO205,VALUE('Capacity summary'!AO117)),0),AO205*$BI205),AO205*$BI205),0)</f>
        <v>0</v>
      </c>
      <c r="CS205" s="5">
        <f>IF($BI205&lt;&gt;"",IF('Capacity summary'!$C$14="Yes",IF(COUNTBLANK('Capacity summary'!$H117:$BG117)&lt;52,IF('Capacity summary'!AP117&lt;&gt;"",IF(LOWER('Capacity summary'!AP117)="x",$BI205*AP205,VALUE('Capacity summary'!AP117)),0),AP205*$BI205),AP205*$BI205),0)</f>
        <v>0</v>
      </c>
      <c r="CT205" s="5">
        <f>IF($BI205&lt;&gt;"",IF('Capacity summary'!$C$14="Yes",IF(COUNTBLANK('Capacity summary'!$H117:$BG117)&lt;52,IF('Capacity summary'!AQ117&lt;&gt;"",IF(LOWER('Capacity summary'!AQ117)="x",$BI205*AQ205,VALUE('Capacity summary'!AQ117)),0),AQ205*$BI205),AQ205*$BI205),0)</f>
        <v>0</v>
      </c>
      <c r="CU205" s="5">
        <f>IF($BI205&lt;&gt;"",IF('Capacity summary'!$C$14="Yes",IF(COUNTBLANK('Capacity summary'!$H117:$BG117)&lt;52,IF('Capacity summary'!AR117&lt;&gt;"",IF(LOWER('Capacity summary'!AR117)="x",$BI205*AR205,VALUE('Capacity summary'!AR117)),0),AR205*$BI205),AR205*$BI205),0)</f>
        <v>0</v>
      </c>
      <c r="CV205" s="5">
        <f>IF($BI205&lt;&gt;"",IF('Capacity summary'!$C$14="Yes",IF(COUNTBLANK('Capacity summary'!$H117:$BG117)&lt;52,IF('Capacity summary'!AS117&lt;&gt;"",IF(LOWER('Capacity summary'!AS117)="x",$BI205*AS205,VALUE('Capacity summary'!AS117)),0),AS205*$BI205),AS205*$BI205),0)</f>
        <v>0</v>
      </c>
      <c r="CW205" s="5">
        <f>IF($BI205&lt;&gt;"",IF('Capacity summary'!$C$14="Yes",IF(COUNTBLANK('Capacity summary'!$H117:$BG117)&lt;52,IF('Capacity summary'!AT117&lt;&gt;"",IF(LOWER('Capacity summary'!AT117)="x",$BI205*AT205,VALUE('Capacity summary'!AT117)),0),AT205*$BI205),AT205*$BI205),0)</f>
        <v>0</v>
      </c>
      <c r="CX205" s="5">
        <f>IF($BI205&lt;&gt;"",IF('Capacity summary'!$C$14="Yes",IF(COUNTBLANK('Capacity summary'!$H117:$BG117)&lt;52,IF('Capacity summary'!AU117&lt;&gt;"",IF(LOWER('Capacity summary'!AU117)="x",$BI205*AU205,VALUE('Capacity summary'!AU117)),0),AU205*$BI205),AU205*$BI205),0)</f>
        <v>0</v>
      </c>
      <c r="CY205" s="5">
        <f>IF($BI205&lt;&gt;"",IF('Capacity summary'!$C$14="Yes",IF(COUNTBLANK('Capacity summary'!$H117:$BG117)&lt;52,IF('Capacity summary'!AV117&lt;&gt;"",IF(LOWER('Capacity summary'!AV117)="x",$BI205*AV205,VALUE('Capacity summary'!AV117)),0),AV205*$BI205),AV205*$BI205),0)</f>
        <v>0</v>
      </c>
      <c r="CZ205" s="5">
        <f>IF($BI205&lt;&gt;"",IF('Capacity summary'!$C$14="Yes",IF(COUNTBLANK('Capacity summary'!$H117:$BG117)&lt;52,IF('Capacity summary'!AW117&lt;&gt;"",IF(LOWER('Capacity summary'!AW117)="x",$BI205*AW205,VALUE('Capacity summary'!AW117)),0),AW205*$BI205),AW205*$BI205),0)</f>
        <v>0</v>
      </c>
      <c r="DA205" s="5">
        <f>IF($BI205&lt;&gt;"",IF('Capacity summary'!$C$14="Yes",IF(COUNTBLANK('Capacity summary'!$H117:$BG117)&lt;52,IF('Capacity summary'!AX117&lt;&gt;"",IF(LOWER('Capacity summary'!AX117)="x",$BI205*AX205,VALUE('Capacity summary'!AX117)),0),AX205*$BI205),AX205*$BI205),0)</f>
        <v>0</v>
      </c>
      <c r="DB205" s="5">
        <f>IF($BI205&lt;&gt;"",IF('Capacity summary'!$C$14="Yes",IF(COUNTBLANK('Capacity summary'!$H117:$BG117)&lt;52,IF('Capacity summary'!AY117&lt;&gt;"",IF(LOWER('Capacity summary'!AY117)="x",$BI205*AY205,VALUE('Capacity summary'!AY117)),0),AY205*$BI205),AY205*$BI205),0)</f>
        <v>0</v>
      </c>
      <c r="DC205" s="5">
        <f>IF($BI205&lt;&gt;"",IF('Capacity summary'!$C$14="Yes",IF(COUNTBLANK('Capacity summary'!$H117:$BG117)&lt;52,IF('Capacity summary'!AZ117&lt;&gt;"",IF(LOWER('Capacity summary'!AZ117)="x",$BI205*AZ205,VALUE('Capacity summary'!AZ117)),0),AZ205*$BI205),AZ205*$BI205),0)</f>
        <v>0</v>
      </c>
      <c r="DD205" s="5">
        <f>IF($BI205&lt;&gt;"",IF('Capacity summary'!$C$14="Yes",IF(COUNTBLANK('Capacity summary'!$H117:$BG117)&lt;52,IF('Capacity summary'!BA117&lt;&gt;"",IF(LOWER('Capacity summary'!BA117)="x",$BI205*BA205,VALUE('Capacity summary'!BA117)),0),BA205*$BI205),BA205*$BI205),0)</f>
        <v>0</v>
      </c>
      <c r="DE205" s="5">
        <f>IF($BI205&lt;&gt;"",IF('Capacity summary'!$C$14="Yes",IF(COUNTBLANK('Capacity summary'!$H117:$BG117)&lt;52,IF('Capacity summary'!BB117&lt;&gt;"",IF(LOWER('Capacity summary'!BB117)="x",$BI205*BB205,VALUE('Capacity summary'!BB117)),0),BB205*$BI205),BB205*$BI205),0)</f>
        <v>0</v>
      </c>
      <c r="DF205" s="5">
        <f>IF($BI205&lt;&gt;"",IF('Capacity summary'!$C$14="Yes",IF(COUNTBLANK('Capacity summary'!$H117:$BG117)&lt;52,IF('Capacity summary'!BC117&lt;&gt;"",IF(LOWER('Capacity summary'!BC117)="x",$BI205*BC205,VALUE('Capacity summary'!BC117)),0),BC205*$BI205),BC205*$BI205),0)</f>
        <v>0</v>
      </c>
      <c r="DG205" s="5">
        <f>IF($BI205&lt;&gt;"",IF('Capacity summary'!$C$14="Yes",IF(COUNTBLANK('Capacity summary'!$H117:$BG117)&lt;52,IF('Capacity summary'!BD117&lt;&gt;"",IF(LOWER('Capacity summary'!BD117)="x",$BI205*BD205,VALUE('Capacity summary'!BD117)),0),BD205*$BI205),BD205*$BI205),0)</f>
        <v>0</v>
      </c>
      <c r="DH205" s="5">
        <f>IF($BI205&lt;&gt;"",IF('Capacity summary'!$C$14="Yes",IF(COUNTBLANK('Capacity summary'!$H117:$BG117)&lt;52,IF('Capacity summary'!BE117&lt;&gt;"",IF(LOWER('Capacity summary'!BE117)="x",$BI205*BE205,VALUE('Capacity summary'!BE117)),0),BE205*$BI205),BE205*$BI205),0)</f>
        <v>0</v>
      </c>
      <c r="DI205" s="5">
        <f>IF($BI205&lt;&gt;"",IF('Capacity summary'!$C$14="Yes",IF(COUNTBLANK('Capacity summary'!$H117:$BG117)&lt;52,IF('Capacity summary'!BF117&lt;&gt;"",IF(LOWER('Capacity summary'!BF117)="x",$BI205*BF205,VALUE('Capacity summary'!BF117)),0),BF205*$BI205),BF205*$BI205),0)</f>
        <v>0</v>
      </c>
      <c r="DJ205" s="5">
        <f>IF($BI205&lt;&gt;"",IF('Capacity summary'!$C$14="Yes",IF(COUNTBLANK('Capacity summary'!$H117:$BG117)&lt;52,IF('Capacity summary'!BG117&lt;&gt;"",IF(LOWER('Capacity summary'!BG117)="x",$BI205*BG205,VALUE('Capacity summary'!BG117)),0),BG205*$BI205),BG205*$BI205),0)</f>
        <v>0</v>
      </c>
      <c r="DK205" s="5">
        <f t="shared" ref="DK205" si="99">SUM(DK206:DK305)</f>
        <v>0</v>
      </c>
    </row>
    <row r="206" spans="3:115" x14ac:dyDescent="0.25">
      <c r="C206" s="67" t="str">
        <f>ROW(A95)&amp;". "&amp;Capacity!N111</f>
        <v xml:space="preserve">95. </v>
      </c>
      <c r="D206" s="67">
        <f>'Capacity setup'!C212</f>
        <v>0</v>
      </c>
      <c r="E206" s="67">
        <f>'Capacity setup'!D212</f>
        <v>0</v>
      </c>
      <c r="F206" s="67">
        <f>'Capacity setup'!E212</f>
        <v>0</v>
      </c>
      <c r="H206" s="67">
        <f ca="1">IF(AND(SUMIF(Capacity_Resource,$D206,'Critical resources (hide)'!U$6:U$105)+SUMIF(Capacity_Resource,$E206,'Critical resources (hide)'!U$6:U$105)+SUMIF(Capacity_Resource,$F206,'Critical resources (hide)'!U$6:U$105)&gt;0,$E$1=2),0,1)</f>
        <v>1</v>
      </c>
      <c r="I206" s="67">
        <f ca="1">IF(AND(SUMIF(Capacity_Resource,$D206,'Critical resources (hide)'!V$6:V$105)+SUMIF(Capacity_Resource,$E206,'Critical resources (hide)'!V$6:V$105)+SUMIF(Capacity_Resource,$F206,'Critical resources (hide)'!V$6:V$105)&gt;0,$E$1=2),0,1)</f>
        <v>1</v>
      </c>
      <c r="J206" s="67">
        <f ca="1">IF(AND(SUMIF(Capacity_Resource,$D206,'Critical resources (hide)'!W$6:W$105)+SUMIF(Capacity_Resource,$E206,'Critical resources (hide)'!W$6:W$105)+SUMIF(Capacity_Resource,$F206,'Critical resources (hide)'!W$6:W$105)&gt;0,$E$1=2),0,1)</f>
        <v>1</v>
      </c>
      <c r="K206" s="67">
        <f ca="1">IF(AND(SUMIF(Capacity_Resource,$D206,'Critical resources (hide)'!X$6:X$105)+SUMIF(Capacity_Resource,$E206,'Critical resources (hide)'!X$6:X$105)+SUMIF(Capacity_Resource,$F206,'Critical resources (hide)'!X$6:X$105)&gt;0,$E$1=2),0,1)</f>
        <v>1</v>
      </c>
      <c r="L206" s="67">
        <f ca="1">IF(AND(SUMIF(Capacity_Resource,$D206,'Critical resources (hide)'!Y$6:Y$105)+SUMIF(Capacity_Resource,$E206,'Critical resources (hide)'!Y$6:Y$105)+SUMIF(Capacity_Resource,$F206,'Critical resources (hide)'!Y$6:Y$105)&gt;0,$E$1=2),0,1)</f>
        <v>1</v>
      </c>
      <c r="M206" s="67">
        <f ca="1">IF(AND(SUMIF(Capacity_Resource,$D206,'Critical resources (hide)'!Z$6:Z$105)+SUMIF(Capacity_Resource,$E206,'Critical resources (hide)'!Z$6:Z$105)+SUMIF(Capacity_Resource,$F206,'Critical resources (hide)'!Z$6:Z$105)&gt;0,$E$1=2),0,1)</f>
        <v>1</v>
      </c>
      <c r="N206" s="67">
        <f ca="1">IF(AND(SUMIF(Capacity_Resource,$D206,'Critical resources (hide)'!AA$6:AA$105)+SUMIF(Capacity_Resource,$E206,'Critical resources (hide)'!AA$6:AA$105)+SUMIF(Capacity_Resource,$F206,'Critical resources (hide)'!AA$6:AA$105)&gt;0,$E$1=2),0,1)</f>
        <v>1</v>
      </c>
      <c r="O206" s="67">
        <f ca="1">IF(AND(SUMIF(Capacity_Resource,$D206,'Critical resources (hide)'!AB$6:AB$105)+SUMIF(Capacity_Resource,$E206,'Critical resources (hide)'!AB$6:AB$105)+SUMIF(Capacity_Resource,$F206,'Critical resources (hide)'!AB$6:AB$105)&gt;0,$E$1=2),0,1)</f>
        <v>1</v>
      </c>
      <c r="P206" s="67">
        <f ca="1">IF(AND(SUMIF(Capacity_Resource,$D206,'Critical resources (hide)'!AC$6:AC$105)+SUMIF(Capacity_Resource,$E206,'Critical resources (hide)'!AC$6:AC$105)+SUMIF(Capacity_Resource,$F206,'Critical resources (hide)'!AC$6:AC$105)&gt;0,$E$1=2),0,1)</f>
        <v>1</v>
      </c>
      <c r="Q206" s="67">
        <f ca="1">IF(AND(SUMIF(Capacity_Resource,$D206,'Critical resources (hide)'!AD$6:AD$105)+SUMIF(Capacity_Resource,$E206,'Critical resources (hide)'!AD$6:AD$105)+SUMIF(Capacity_Resource,$F206,'Critical resources (hide)'!AD$6:AD$105)&gt;0,$E$1=2),0,1)</f>
        <v>1</v>
      </c>
      <c r="R206" s="67">
        <f ca="1">IF(AND(SUMIF(Capacity_Resource,$D206,'Critical resources (hide)'!AE$6:AE$105)+SUMIF(Capacity_Resource,$E206,'Critical resources (hide)'!AE$6:AE$105)+SUMIF(Capacity_Resource,$F206,'Critical resources (hide)'!AE$6:AE$105)&gt;0,$E$1=2),0,1)</f>
        <v>1</v>
      </c>
      <c r="S206" s="67">
        <f ca="1">IF(AND(SUMIF(Capacity_Resource,$D206,'Critical resources (hide)'!AF$6:AF$105)+SUMIF(Capacity_Resource,$E206,'Critical resources (hide)'!AF$6:AF$105)+SUMIF(Capacity_Resource,$F206,'Critical resources (hide)'!AF$6:AF$105)&gt;0,$E$1=2),0,1)</f>
        <v>1</v>
      </c>
      <c r="T206" s="67">
        <f ca="1">IF(AND(SUMIF(Capacity_Resource,$D206,'Critical resources (hide)'!AG$6:AG$105)+SUMIF(Capacity_Resource,$E206,'Critical resources (hide)'!AG$6:AG$105)+SUMIF(Capacity_Resource,$F206,'Critical resources (hide)'!AG$6:AG$105)&gt;0,$E$1=2),0,1)</f>
        <v>1</v>
      </c>
      <c r="U206" s="67">
        <f ca="1">IF(AND(SUMIF(Capacity_Resource,$D206,'Critical resources (hide)'!AH$6:AH$105)+SUMIF(Capacity_Resource,$E206,'Critical resources (hide)'!AH$6:AH$105)+SUMIF(Capacity_Resource,$F206,'Critical resources (hide)'!AH$6:AH$105)&gt;0,$E$1=2),0,1)</f>
        <v>1</v>
      </c>
      <c r="V206" s="67">
        <f ca="1">IF(AND(SUMIF(Capacity_Resource,$D206,'Critical resources (hide)'!AI$6:AI$105)+SUMIF(Capacity_Resource,$E206,'Critical resources (hide)'!AI$6:AI$105)+SUMIF(Capacity_Resource,$F206,'Critical resources (hide)'!AI$6:AI$105)&gt;0,$E$1=2),0,1)</f>
        <v>1</v>
      </c>
      <c r="W206" s="67">
        <f ca="1">IF(AND(SUMIF(Capacity_Resource,$D206,'Critical resources (hide)'!AJ$6:AJ$105)+SUMIF(Capacity_Resource,$E206,'Critical resources (hide)'!AJ$6:AJ$105)+SUMIF(Capacity_Resource,$F206,'Critical resources (hide)'!AJ$6:AJ$105)&gt;0,$E$1=2),0,1)</f>
        <v>1</v>
      </c>
      <c r="X206" s="67">
        <f ca="1">IF(AND(SUMIF(Capacity_Resource,$D206,'Critical resources (hide)'!AK$6:AK$105)+SUMIF(Capacity_Resource,$E206,'Critical resources (hide)'!AK$6:AK$105)+SUMIF(Capacity_Resource,$F206,'Critical resources (hide)'!AK$6:AK$105)&gt;0,$E$1=2),0,1)</f>
        <v>1</v>
      </c>
      <c r="Y206" s="67">
        <f ca="1">IF(AND(SUMIF(Capacity_Resource,$D206,'Critical resources (hide)'!AL$6:AL$105)+SUMIF(Capacity_Resource,$E206,'Critical resources (hide)'!AL$6:AL$105)+SUMIF(Capacity_Resource,$F206,'Critical resources (hide)'!AL$6:AL$105)&gt;0,$E$1=2),0,1)</f>
        <v>1</v>
      </c>
      <c r="Z206" s="67">
        <f ca="1">IF(AND(SUMIF(Capacity_Resource,$D206,'Critical resources (hide)'!AM$6:AM$105)+SUMIF(Capacity_Resource,$E206,'Critical resources (hide)'!AM$6:AM$105)+SUMIF(Capacity_Resource,$F206,'Critical resources (hide)'!AM$6:AM$105)&gt;0,$E$1=2),0,1)</f>
        <v>1</v>
      </c>
      <c r="AA206" s="67">
        <f ca="1">IF(AND(SUMIF(Capacity_Resource,$D206,'Critical resources (hide)'!AN$6:AN$105)+SUMIF(Capacity_Resource,$E206,'Critical resources (hide)'!AN$6:AN$105)+SUMIF(Capacity_Resource,$F206,'Critical resources (hide)'!AN$6:AN$105)&gt;0,$E$1=2),0,1)</f>
        <v>1</v>
      </c>
      <c r="AB206" s="67">
        <f ca="1">IF(AND(SUMIF(Capacity_Resource,$D206,'Critical resources (hide)'!AO$6:AO$105)+SUMIF(Capacity_Resource,$E206,'Critical resources (hide)'!AO$6:AO$105)+SUMIF(Capacity_Resource,$F206,'Critical resources (hide)'!AO$6:AO$105)&gt;0,$E$1=2),0,1)</f>
        <v>1</v>
      </c>
      <c r="AC206" s="67">
        <f ca="1">IF(AND(SUMIF(Capacity_Resource,$D206,'Critical resources (hide)'!AP$6:AP$105)+SUMIF(Capacity_Resource,$E206,'Critical resources (hide)'!AP$6:AP$105)+SUMIF(Capacity_Resource,$F206,'Critical resources (hide)'!AP$6:AP$105)&gt;0,$E$1=2),0,1)</f>
        <v>1</v>
      </c>
      <c r="AD206" s="67">
        <f ca="1">IF(AND(SUMIF(Capacity_Resource,$D206,'Critical resources (hide)'!AQ$6:AQ$105)+SUMIF(Capacity_Resource,$E206,'Critical resources (hide)'!AQ$6:AQ$105)+SUMIF(Capacity_Resource,$F206,'Critical resources (hide)'!AQ$6:AQ$105)&gt;0,$E$1=2),0,1)</f>
        <v>1</v>
      </c>
      <c r="AE206" s="67">
        <f ca="1">IF(AND(SUMIF(Capacity_Resource,$D206,'Critical resources (hide)'!AR$6:AR$105)+SUMIF(Capacity_Resource,$E206,'Critical resources (hide)'!AR$6:AR$105)+SUMIF(Capacity_Resource,$F206,'Critical resources (hide)'!AR$6:AR$105)&gt;0,$E$1=2),0,1)</f>
        <v>1</v>
      </c>
      <c r="AF206" s="67">
        <f ca="1">IF(AND(SUMIF(Capacity_Resource,$D206,'Critical resources (hide)'!AS$6:AS$105)+SUMIF(Capacity_Resource,$E206,'Critical resources (hide)'!AS$6:AS$105)+SUMIF(Capacity_Resource,$F206,'Critical resources (hide)'!AS$6:AS$105)&gt;0,$E$1=2),0,1)</f>
        <v>1</v>
      </c>
      <c r="AG206" s="67">
        <f ca="1">IF(AND(SUMIF(Capacity_Resource,$D206,'Critical resources (hide)'!AT$6:AT$105)+SUMIF(Capacity_Resource,$E206,'Critical resources (hide)'!AT$6:AT$105)+SUMIF(Capacity_Resource,$F206,'Critical resources (hide)'!AT$6:AT$105)&gt;0,$E$1=2),0,1)</f>
        <v>1</v>
      </c>
      <c r="AH206" s="67">
        <f ca="1">IF(AND(SUMIF(Capacity_Resource,$D206,'Critical resources (hide)'!AU$6:AU$105)+SUMIF(Capacity_Resource,$E206,'Critical resources (hide)'!AU$6:AU$105)+SUMIF(Capacity_Resource,$F206,'Critical resources (hide)'!AU$6:AU$105)&gt;0,$E$1=2),0,1)</f>
        <v>1</v>
      </c>
      <c r="AI206" s="67">
        <f ca="1">IF(AND(SUMIF(Capacity_Resource,$D206,'Critical resources (hide)'!AV$6:AV$105)+SUMIF(Capacity_Resource,$E206,'Critical resources (hide)'!AV$6:AV$105)+SUMIF(Capacity_Resource,$F206,'Critical resources (hide)'!AV$6:AV$105)&gt;0,$E$1=2),0,1)</f>
        <v>1</v>
      </c>
      <c r="AJ206" s="67">
        <f ca="1">IF(AND(SUMIF(Capacity_Resource,$D206,'Critical resources (hide)'!AW$6:AW$105)+SUMIF(Capacity_Resource,$E206,'Critical resources (hide)'!AW$6:AW$105)+SUMIF(Capacity_Resource,$F206,'Critical resources (hide)'!AW$6:AW$105)&gt;0,$E$1=2),0,1)</f>
        <v>1</v>
      </c>
      <c r="AK206" s="67">
        <f ca="1">IF(AND(SUMIF(Capacity_Resource,$D206,'Critical resources (hide)'!AX$6:AX$105)+SUMIF(Capacity_Resource,$E206,'Critical resources (hide)'!AX$6:AX$105)+SUMIF(Capacity_Resource,$F206,'Critical resources (hide)'!AX$6:AX$105)&gt;0,$E$1=2),0,1)</f>
        <v>1</v>
      </c>
      <c r="AL206" s="67">
        <f ca="1">IF(AND(SUMIF(Capacity_Resource,$D206,'Critical resources (hide)'!AY$6:AY$105)+SUMIF(Capacity_Resource,$E206,'Critical resources (hide)'!AY$6:AY$105)+SUMIF(Capacity_Resource,$F206,'Critical resources (hide)'!AY$6:AY$105)&gt;0,$E$1=2),0,1)</f>
        <v>1</v>
      </c>
      <c r="AM206" s="67">
        <f ca="1">IF(AND(SUMIF(Capacity_Resource,$D206,'Critical resources (hide)'!AZ$6:AZ$105)+SUMIF(Capacity_Resource,$E206,'Critical resources (hide)'!AZ$6:AZ$105)+SUMIF(Capacity_Resource,$F206,'Critical resources (hide)'!AZ$6:AZ$105)&gt;0,$E$1=2),0,1)</f>
        <v>1</v>
      </c>
      <c r="AN206" s="67">
        <f ca="1">IF(AND(SUMIF(Capacity_Resource,$D206,'Critical resources (hide)'!BA$6:BA$105)+SUMIF(Capacity_Resource,$E206,'Critical resources (hide)'!BA$6:BA$105)+SUMIF(Capacity_Resource,$F206,'Critical resources (hide)'!BA$6:BA$105)&gt;0,$E$1=2),0,1)</f>
        <v>1</v>
      </c>
      <c r="AO206" s="67">
        <f ca="1">IF(AND(SUMIF(Capacity_Resource,$D206,'Critical resources (hide)'!BB$6:BB$105)+SUMIF(Capacity_Resource,$E206,'Critical resources (hide)'!BB$6:BB$105)+SUMIF(Capacity_Resource,$F206,'Critical resources (hide)'!BB$6:BB$105)&gt;0,$E$1=2),0,1)</f>
        <v>1</v>
      </c>
      <c r="AP206" s="67">
        <f ca="1">IF(AND(SUMIF(Capacity_Resource,$D206,'Critical resources (hide)'!BC$6:BC$105)+SUMIF(Capacity_Resource,$E206,'Critical resources (hide)'!BC$6:BC$105)+SUMIF(Capacity_Resource,$F206,'Critical resources (hide)'!BC$6:BC$105)&gt;0,$E$1=2),0,1)</f>
        <v>1</v>
      </c>
      <c r="AQ206" s="67">
        <f ca="1">IF(AND(SUMIF(Capacity_Resource,$D206,'Critical resources (hide)'!BD$6:BD$105)+SUMIF(Capacity_Resource,$E206,'Critical resources (hide)'!BD$6:BD$105)+SUMIF(Capacity_Resource,$F206,'Critical resources (hide)'!BD$6:BD$105)&gt;0,$E$1=2),0,1)</f>
        <v>1</v>
      </c>
      <c r="AR206" s="67">
        <f ca="1">IF(AND(SUMIF(Capacity_Resource,$D206,'Critical resources (hide)'!BE$6:BE$105)+SUMIF(Capacity_Resource,$E206,'Critical resources (hide)'!BE$6:BE$105)+SUMIF(Capacity_Resource,$F206,'Critical resources (hide)'!BE$6:BE$105)&gt;0,$E$1=2),0,1)</f>
        <v>1</v>
      </c>
      <c r="AS206" s="67">
        <f ca="1">IF(AND(SUMIF(Capacity_Resource,$D206,'Critical resources (hide)'!BF$6:BF$105)+SUMIF(Capacity_Resource,$E206,'Critical resources (hide)'!BF$6:BF$105)+SUMIF(Capacity_Resource,$F206,'Critical resources (hide)'!BF$6:BF$105)&gt;0,$E$1=2),0,1)</f>
        <v>1</v>
      </c>
      <c r="AT206" s="67">
        <f ca="1">IF(AND(SUMIF(Capacity_Resource,$D206,'Critical resources (hide)'!BG$6:BG$105)+SUMIF(Capacity_Resource,$E206,'Critical resources (hide)'!BG$6:BG$105)+SUMIF(Capacity_Resource,$F206,'Critical resources (hide)'!BG$6:BG$105)&gt;0,$E$1=2),0,1)</f>
        <v>1</v>
      </c>
      <c r="AU206" s="67">
        <f ca="1">IF(AND(SUMIF(Capacity_Resource,$D206,'Critical resources (hide)'!BH$6:BH$105)+SUMIF(Capacity_Resource,$E206,'Critical resources (hide)'!BH$6:BH$105)+SUMIF(Capacity_Resource,$F206,'Critical resources (hide)'!BH$6:BH$105)&gt;0,$E$1=2),0,1)</f>
        <v>1</v>
      </c>
      <c r="AV206" s="67">
        <f ca="1">IF(AND(SUMIF(Capacity_Resource,$D206,'Critical resources (hide)'!BI$6:BI$105)+SUMIF(Capacity_Resource,$E206,'Critical resources (hide)'!BI$6:BI$105)+SUMIF(Capacity_Resource,$F206,'Critical resources (hide)'!BI$6:BI$105)&gt;0,$E$1=2),0,1)</f>
        <v>1</v>
      </c>
      <c r="AW206" s="67">
        <f ca="1">IF(AND(SUMIF(Capacity_Resource,$D206,'Critical resources (hide)'!BJ$6:BJ$105)+SUMIF(Capacity_Resource,$E206,'Critical resources (hide)'!BJ$6:BJ$105)+SUMIF(Capacity_Resource,$F206,'Critical resources (hide)'!BJ$6:BJ$105)&gt;0,$E$1=2),0,1)</f>
        <v>1</v>
      </c>
      <c r="AX206" s="67">
        <f ca="1">IF(AND(SUMIF(Capacity_Resource,$D206,'Critical resources (hide)'!BK$6:BK$105)+SUMIF(Capacity_Resource,$E206,'Critical resources (hide)'!BK$6:BK$105)+SUMIF(Capacity_Resource,$F206,'Critical resources (hide)'!BK$6:BK$105)&gt;0,$E$1=2),0,1)</f>
        <v>1</v>
      </c>
      <c r="AY206" s="67">
        <f ca="1">IF(AND(SUMIF(Capacity_Resource,$D206,'Critical resources (hide)'!BL$6:BL$105)+SUMIF(Capacity_Resource,$E206,'Critical resources (hide)'!BL$6:BL$105)+SUMIF(Capacity_Resource,$F206,'Critical resources (hide)'!BL$6:BL$105)&gt;0,$E$1=2),0,1)</f>
        <v>1</v>
      </c>
      <c r="AZ206" s="67">
        <f ca="1">IF(AND(SUMIF(Capacity_Resource,$D206,'Critical resources (hide)'!BM$6:BM$105)+SUMIF(Capacity_Resource,$E206,'Critical resources (hide)'!BM$6:BM$105)+SUMIF(Capacity_Resource,$F206,'Critical resources (hide)'!BM$6:BM$105)&gt;0,$E$1=2),0,1)</f>
        <v>1</v>
      </c>
      <c r="BA206" s="67">
        <f ca="1">IF(AND(SUMIF(Capacity_Resource,$D206,'Critical resources (hide)'!BN$6:BN$105)+SUMIF(Capacity_Resource,$E206,'Critical resources (hide)'!BN$6:BN$105)+SUMIF(Capacity_Resource,$F206,'Critical resources (hide)'!BN$6:BN$105)&gt;0,$E$1=2),0,1)</f>
        <v>1</v>
      </c>
      <c r="BB206" s="67">
        <f ca="1">IF(AND(SUMIF(Capacity_Resource,$D206,'Critical resources (hide)'!BO$6:BO$105)+SUMIF(Capacity_Resource,$E206,'Critical resources (hide)'!BO$6:BO$105)+SUMIF(Capacity_Resource,$F206,'Critical resources (hide)'!BO$6:BO$105)&gt;0,$E$1=2),0,1)</f>
        <v>1</v>
      </c>
      <c r="BC206" s="67">
        <f ca="1">IF(AND(SUMIF(Capacity_Resource,$D206,'Critical resources (hide)'!BP$6:BP$105)+SUMIF(Capacity_Resource,$E206,'Critical resources (hide)'!BP$6:BP$105)+SUMIF(Capacity_Resource,$F206,'Critical resources (hide)'!BP$6:BP$105)&gt;0,$E$1=2),0,1)</f>
        <v>1</v>
      </c>
      <c r="BD206" s="67">
        <f ca="1">IF(AND(SUMIF(Capacity_Resource,$D206,'Critical resources (hide)'!BQ$6:BQ$105)+SUMIF(Capacity_Resource,$E206,'Critical resources (hide)'!BQ$6:BQ$105)+SUMIF(Capacity_Resource,$F206,'Critical resources (hide)'!BQ$6:BQ$105)&gt;0,$E$1=2),0,1)</f>
        <v>1</v>
      </c>
      <c r="BE206" s="67">
        <f ca="1">IF(AND(SUMIF(Capacity_Resource,$D206,'Critical resources (hide)'!BR$6:BR$105)+SUMIF(Capacity_Resource,$E206,'Critical resources (hide)'!BR$6:BR$105)+SUMIF(Capacity_Resource,$F206,'Critical resources (hide)'!BR$6:BR$105)&gt;0,$E$1=2),0,1)</f>
        <v>1</v>
      </c>
      <c r="BF206" s="67">
        <f ca="1">IF(AND(SUMIF(Capacity_Resource,$D206,'Critical resources (hide)'!BS$6:BS$105)+SUMIF(Capacity_Resource,$E206,'Critical resources (hide)'!BS$6:BS$105)+SUMIF(Capacity_Resource,$F206,'Critical resources (hide)'!BS$6:BS$105)&gt;0,$E$1=2),0,1)</f>
        <v>1</v>
      </c>
      <c r="BG206" s="67">
        <f ca="1">IF(AND(SUMIF(Capacity_Resource,$D206,'Critical resources (hide)'!BT$6:BT$105)+SUMIF(Capacity_Resource,$E206,'Critical resources (hide)'!BT$6:BT$105)+SUMIF(Capacity_Resource,$F206,'Critical resources (hide)'!BT$6:BT$105)&gt;0,$E$1=2),0,1)</f>
        <v>1</v>
      </c>
      <c r="BH206" s="67">
        <f>IF(ROW(A95)&lt;=Capacity!$M$16,IF('Capacity summary'!$C$14="No",SUM(H206:BG206),'Capacity summary'!$E118),0)</f>
        <v>0</v>
      </c>
      <c r="BI206" s="67" t="str">
        <f>IF(BH206&gt;0,IF(BH206&lt;Capacity!Q111,Capacity!R111,Capacity!T111/'Capacity calculation (hide)'!BH206),"")</f>
        <v/>
      </c>
      <c r="BJ206" s="5"/>
      <c r="BK206" s="5">
        <f>IF($BI206&lt;&gt;"",IF('Capacity summary'!$C$14="Yes",IF(COUNTBLANK('Capacity summary'!$H118:$BG118)&lt;52,IF('Capacity summary'!H118&lt;&gt;"",IF(LOWER('Capacity summary'!H118)="x",$BI206*H206,VALUE('Capacity summary'!H118)),0),H206*$BI206),H206*$BI206),0)</f>
        <v>0</v>
      </c>
      <c r="BL206" s="5">
        <f>IF($BI206&lt;&gt;"",IF('Capacity summary'!$C$14="Yes",IF(COUNTBLANK('Capacity summary'!$H118:$BG118)&lt;52,IF('Capacity summary'!I118&lt;&gt;"",IF(LOWER('Capacity summary'!I118)="x",$BI206*I206,VALUE('Capacity summary'!I118)),0),I206*$BI206),I206*$BI206),0)</f>
        <v>0</v>
      </c>
      <c r="BM206" s="5">
        <f>IF($BI206&lt;&gt;"",IF('Capacity summary'!$C$14="Yes",IF(COUNTBLANK('Capacity summary'!$H118:$BG118)&lt;52,IF('Capacity summary'!J118&lt;&gt;"",IF(LOWER('Capacity summary'!J118)="x",$BI206*J206,VALUE('Capacity summary'!J118)),0),J206*$BI206),J206*$BI206),0)</f>
        <v>0</v>
      </c>
      <c r="BN206" s="5">
        <f>IF($BI206&lt;&gt;"",IF('Capacity summary'!$C$14="Yes",IF(COUNTBLANK('Capacity summary'!$H118:$BG118)&lt;52,IF('Capacity summary'!K118&lt;&gt;"",IF(LOWER('Capacity summary'!K118)="x",$BI206*K206,VALUE('Capacity summary'!K118)),0),K206*$BI206),K206*$BI206),0)</f>
        <v>0</v>
      </c>
      <c r="BO206" s="5">
        <f>IF($BI206&lt;&gt;"",IF('Capacity summary'!$C$14="Yes",IF(COUNTBLANK('Capacity summary'!$H118:$BG118)&lt;52,IF('Capacity summary'!L118&lt;&gt;"",IF(LOWER('Capacity summary'!L118)="x",$BI206*L206,VALUE('Capacity summary'!L118)),0),L206*$BI206),L206*$BI206),0)</f>
        <v>0</v>
      </c>
      <c r="BP206" s="5">
        <f>IF($BI206&lt;&gt;"",IF('Capacity summary'!$C$14="Yes",IF(COUNTBLANK('Capacity summary'!$H118:$BG118)&lt;52,IF('Capacity summary'!M118&lt;&gt;"",IF(LOWER('Capacity summary'!M118)="x",$BI206*M206,VALUE('Capacity summary'!M118)),0),M206*$BI206),M206*$BI206),0)</f>
        <v>0</v>
      </c>
      <c r="BQ206" s="5">
        <f>IF($BI206&lt;&gt;"",IF('Capacity summary'!$C$14="Yes",IF(COUNTBLANK('Capacity summary'!$H118:$BG118)&lt;52,IF('Capacity summary'!N118&lt;&gt;"",IF(LOWER('Capacity summary'!N118)="x",$BI206*N206,VALUE('Capacity summary'!N118)),0),N206*$BI206),N206*$BI206),0)</f>
        <v>0</v>
      </c>
      <c r="BR206" s="5">
        <f>IF($BI206&lt;&gt;"",IF('Capacity summary'!$C$14="Yes",IF(COUNTBLANK('Capacity summary'!$H118:$BG118)&lt;52,IF('Capacity summary'!O118&lt;&gt;"",IF(LOWER('Capacity summary'!O118)="x",$BI206*O206,VALUE('Capacity summary'!O118)),0),O206*$BI206),O206*$BI206),0)</f>
        <v>0</v>
      </c>
      <c r="BS206" s="5">
        <f>IF($BI206&lt;&gt;"",IF('Capacity summary'!$C$14="Yes",IF(COUNTBLANK('Capacity summary'!$H118:$BG118)&lt;52,IF('Capacity summary'!P118&lt;&gt;"",IF(LOWER('Capacity summary'!P118)="x",$BI206*P206,VALUE('Capacity summary'!P118)),0),P206*$BI206),P206*$BI206),0)</f>
        <v>0</v>
      </c>
      <c r="BT206" s="5">
        <f>IF($BI206&lt;&gt;"",IF('Capacity summary'!$C$14="Yes",IF(COUNTBLANK('Capacity summary'!$H118:$BG118)&lt;52,IF('Capacity summary'!Q118&lt;&gt;"",IF(LOWER('Capacity summary'!Q118)="x",$BI206*Q206,VALUE('Capacity summary'!Q118)),0),Q206*$BI206),Q206*$BI206),0)</f>
        <v>0</v>
      </c>
      <c r="BU206" s="5">
        <f>IF($BI206&lt;&gt;"",IF('Capacity summary'!$C$14="Yes",IF(COUNTBLANK('Capacity summary'!$H118:$BG118)&lt;52,IF('Capacity summary'!R118&lt;&gt;"",IF(LOWER('Capacity summary'!R118)="x",$BI206*R206,VALUE('Capacity summary'!R118)),0),R206*$BI206),R206*$BI206),0)</f>
        <v>0</v>
      </c>
      <c r="BV206" s="5">
        <f>IF($BI206&lt;&gt;"",IF('Capacity summary'!$C$14="Yes",IF(COUNTBLANK('Capacity summary'!$H118:$BG118)&lt;52,IF('Capacity summary'!S118&lt;&gt;"",IF(LOWER('Capacity summary'!S118)="x",$BI206*S206,VALUE('Capacity summary'!S118)),0),S206*$BI206),S206*$BI206),0)</f>
        <v>0</v>
      </c>
      <c r="BW206" s="5">
        <f>IF($BI206&lt;&gt;"",IF('Capacity summary'!$C$14="Yes",IF(COUNTBLANK('Capacity summary'!$H118:$BG118)&lt;52,IF('Capacity summary'!T118&lt;&gt;"",IF(LOWER('Capacity summary'!T118)="x",$BI206*T206,VALUE('Capacity summary'!T118)),0),T206*$BI206),T206*$BI206),0)</f>
        <v>0</v>
      </c>
      <c r="BX206" s="5">
        <f>IF($BI206&lt;&gt;"",IF('Capacity summary'!$C$14="Yes",IF(COUNTBLANK('Capacity summary'!$H118:$BG118)&lt;52,IF('Capacity summary'!U118&lt;&gt;"",IF(LOWER('Capacity summary'!U118)="x",$BI206*U206,VALUE('Capacity summary'!U118)),0),U206*$BI206),U206*$BI206),0)</f>
        <v>0</v>
      </c>
      <c r="BY206" s="5">
        <f>IF($BI206&lt;&gt;"",IF('Capacity summary'!$C$14="Yes",IF(COUNTBLANK('Capacity summary'!$H118:$BG118)&lt;52,IF('Capacity summary'!V118&lt;&gt;"",IF(LOWER('Capacity summary'!V118)="x",$BI206*V206,VALUE('Capacity summary'!V118)),0),V206*$BI206),V206*$BI206),0)</f>
        <v>0</v>
      </c>
      <c r="BZ206" s="5">
        <f>IF($BI206&lt;&gt;"",IF('Capacity summary'!$C$14="Yes",IF(COUNTBLANK('Capacity summary'!$H118:$BG118)&lt;52,IF('Capacity summary'!W118&lt;&gt;"",IF(LOWER('Capacity summary'!W118)="x",$BI206*W206,VALUE('Capacity summary'!W118)),0),W206*$BI206),W206*$BI206),0)</f>
        <v>0</v>
      </c>
      <c r="CA206" s="5">
        <f>IF($BI206&lt;&gt;"",IF('Capacity summary'!$C$14="Yes",IF(COUNTBLANK('Capacity summary'!$H118:$BG118)&lt;52,IF('Capacity summary'!X118&lt;&gt;"",IF(LOWER('Capacity summary'!X118)="x",$BI206*X206,VALUE('Capacity summary'!X118)),0),X206*$BI206),X206*$BI206),0)</f>
        <v>0</v>
      </c>
      <c r="CB206" s="5">
        <f>IF($BI206&lt;&gt;"",IF('Capacity summary'!$C$14="Yes",IF(COUNTBLANK('Capacity summary'!$H118:$BG118)&lt;52,IF('Capacity summary'!Y118&lt;&gt;"",IF(LOWER('Capacity summary'!Y118)="x",$BI206*Y206,VALUE('Capacity summary'!Y118)),0),Y206*$BI206),Y206*$BI206),0)</f>
        <v>0</v>
      </c>
      <c r="CC206" s="5">
        <f>IF($BI206&lt;&gt;"",IF('Capacity summary'!$C$14="Yes",IF(COUNTBLANK('Capacity summary'!$H118:$BG118)&lt;52,IF('Capacity summary'!Z118&lt;&gt;"",IF(LOWER('Capacity summary'!Z118)="x",$BI206*Z206,VALUE('Capacity summary'!Z118)),0),Z206*$BI206),Z206*$BI206),0)</f>
        <v>0</v>
      </c>
      <c r="CD206" s="5">
        <f>IF($BI206&lt;&gt;"",IF('Capacity summary'!$C$14="Yes",IF(COUNTBLANK('Capacity summary'!$H118:$BG118)&lt;52,IF('Capacity summary'!AA118&lt;&gt;"",IF(LOWER('Capacity summary'!AA118)="x",$BI206*AA206,VALUE('Capacity summary'!AA118)),0),AA206*$BI206),AA206*$BI206),0)</f>
        <v>0</v>
      </c>
      <c r="CE206" s="5">
        <f>IF($BI206&lt;&gt;"",IF('Capacity summary'!$C$14="Yes",IF(COUNTBLANK('Capacity summary'!$H118:$BG118)&lt;52,IF('Capacity summary'!AB118&lt;&gt;"",IF(LOWER('Capacity summary'!AB118)="x",$BI206*AB206,VALUE('Capacity summary'!AB118)),0),AB206*$BI206),AB206*$BI206),0)</f>
        <v>0</v>
      </c>
      <c r="CF206" s="5">
        <f>IF($BI206&lt;&gt;"",IF('Capacity summary'!$C$14="Yes",IF(COUNTBLANK('Capacity summary'!$H118:$BG118)&lt;52,IF('Capacity summary'!AC118&lt;&gt;"",IF(LOWER('Capacity summary'!AC118)="x",$BI206*AC206,VALUE('Capacity summary'!AC118)),0),AC206*$BI206),AC206*$BI206),0)</f>
        <v>0</v>
      </c>
      <c r="CG206" s="5">
        <f>IF($BI206&lt;&gt;"",IF('Capacity summary'!$C$14="Yes",IF(COUNTBLANK('Capacity summary'!$H118:$BG118)&lt;52,IF('Capacity summary'!AD118&lt;&gt;"",IF(LOWER('Capacity summary'!AD118)="x",$BI206*AD206,VALUE('Capacity summary'!AD118)),0),AD206*$BI206),AD206*$BI206),0)</f>
        <v>0</v>
      </c>
      <c r="CH206" s="5">
        <f>IF($BI206&lt;&gt;"",IF('Capacity summary'!$C$14="Yes",IF(COUNTBLANK('Capacity summary'!$H118:$BG118)&lt;52,IF('Capacity summary'!AE118&lt;&gt;"",IF(LOWER('Capacity summary'!AE118)="x",$BI206*AE206,VALUE('Capacity summary'!AE118)),0),AE206*$BI206),AE206*$BI206),0)</f>
        <v>0</v>
      </c>
      <c r="CI206" s="5">
        <f>IF($BI206&lt;&gt;"",IF('Capacity summary'!$C$14="Yes",IF(COUNTBLANK('Capacity summary'!$H118:$BG118)&lt;52,IF('Capacity summary'!AF118&lt;&gt;"",IF(LOWER('Capacity summary'!AF118)="x",$BI206*AF206,VALUE('Capacity summary'!AF118)),0),AF206*$BI206),AF206*$BI206),0)</f>
        <v>0</v>
      </c>
      <c r="CJ206" s="5">
        <f>IF($BI206&lt;&gt;"",IF('Capacity summary'!$C$14="Yes",IF(COUNTBLANK('Capacity summary'!$H118:$BG118)&lt;52,IF('Capacity summary'!AG118&lt;&gt;"",IF(LOWER('Capacity summary'!AG118)="x",$BI206*AG206,VALUE('Capacity summary'!AG118)),0),AG206*$BI206),AG206*$BI206),0)</f>
        <v>0</v>
      </c>
      <c r="CK206" s="5">
        <f>IF($BI206&lt;&gt;"",IF('Capacity summary'!$C$14="Yes",IF(COUNTBLANK('Capacity summary'!$H118:$BG118)&lt;52,IF('Capacity summary'!AH118&lt;&gt;"",IF(LOWER('Capacity summary'!AH118)="x",$BI206*AH206,VALUE('Capacity summary'!AH118)),0),AH206*$BI206),AH206*$BI206),0)</f>
        <v>0</v>
      </c>
      <c r="CL206" s="5">
        <f>IF($BI206&lt;&gt;"",IF('Capacity summary'!$C$14="Yes",IF(COUNTBLANK('Capacity summary'!$H118:$BG118)&lt;52,IF('Capacity summary'!AI118&lt;&gt;"",IF(LOWER('Capacity summary'!AI118)="x",$BI206*AI206,VALUE('Capacity summary'!AI118)),0),AI206*$BI206),AI206*$BI206),0)</f>
        <v>0</v>
      </c>
      <c r="CM206" s="5">
        <f>IF($BI206&lt;&gt;"",IF('Capacity summary'!$C$14="Yes",IF(COUNTBLANK('Capacity summary'!$H118:$BG118)&lt;52,IF('Capacity summary'!AJ118&lt;&gt;"",IF(LOWER('Capacity summary'!AJ118)="x",$BI206*AJ206,VALUE('Capacity summary'!AJ118)),0),AJ206*$BI206),AJ206*$BI206),0)</f>
        <v>0</v>
      </c>
      <c r="CN206" s="5">
        <f>IF($BI206&lt;&gt;"",IF('Capacity summary'!$C$14="Yes",IF(COUNTBLANK('Capacity summary'!$H118:$BG118)&lt;52,IF('Capacity summary'!AK118&lt;&gt;"",IF(LOWER('Capacity summary'!AK118)="x",$BI206*AK206,VALUE('Capacity summary'!AK118)),0),AK206*$BI206),AK206*$BI206),0)</f>
        <v>0</v>
      </c>
      <c r="CO206" s="5">
        <f>IF($BI206&lt;&gt;"",IF('Capacity summary'!$C$14="Yes",IF(COUNTBLANK('Capacity summary'!$H118:$BG118)&lt;52,IF('Capacity summary'!AL118&lt;&gt;"",IF(LOWER('Capacity summary'!AL118)="x",$BI206*AL206,VALUE('Capacity summary'!AL118)),0),AL206*$BI206),AL206*$BI206),0)</f>
        <v>0</v>
      </c>
      <c r="CP206" s="5">
        <f>IF($BI206&lt;&gt;"",IF('Capacity summary'!$C$14="Yes",IF(COUNTBLANK('Capacity summary'!$H118:$BG118)&lt;52,IF('Capacity summary'!AM118&lt;&gt;"",IF(LOWER('Capacity summary'!AM118)="x",$BI206*AM206,VALUE('Capacity summary'!AM118)),0),AM206*$BI206),AM206*$BI206),0)</f>
        <v>0</v>
      </c>
      <c r="CQ206" s="5">
        <f>IF($BI206&lt;&gt;"",IF('Capacity summary'!$C$14="Yes",IF(COUNTBLANK('Capacity summary'!$H118:$BG118)&lt;52,IF('Capacity summary'!AN118&lt;&gt;"",IF(LOWER('Capacity summary'!AN118)="x",$BI206*AN206,VALUE('Capacity summary'!AN118)),0),AN206*$BI206),AN206*$BI206),0)</f>
        <v>0</v>
      </c>
      <c r="CR206" s="5">
        <f>IF($BI206&lt;&gt;"",IF('Capacity summary'!$C$14="Yes",IF(COUNTBLANK('Capacity summary'!$H118:$BG118)&lt;52,IF('Capacity summary'!AO118&lt;&gt;"",IF(LOWER('Capacity summary'!AO118)="x",$BI206*AO206,VALUE('Capacity summary'!AO118)),0),AO206*$BI206),AO206*$BI206),0)</f>
        <v>0</v>
      </c>
      <c r="CS206" s="5">
        <f>IF($BI206&lt;&gt;"",IF('Capacity summary'!$C$14="Yes",IF(COUNTBLANK('Capacity summary'!$H118:$BG118)&lt;52,IF('Capacity summary'!AP118&lt;&gt;"",IF(LOWER('Capacity summary'!AP118)="x",$BI206*AP206,VALUE('Capacity summary'!AP118)),0),AP206*$BI206),AP206*$BI206),0)</f>
        <v>0</v>
      </c>
      <c r="CT206" s="5">
        <f>IF($BI206&lt;&gt;"",IF('Capacity summary'!$C$14="Yes",IF(COUNTBLANK('Capacity summary'!$H118:$BG118)&lt;52,IF('Capacity summary'!AQ118&lt;&gt;"",IF(LOWER('Capacity summary'!AQ118)="x",$BI206*AQ206,VALUE('Capacity summary'!AQ118)),0),AQ206*$BI206),AQ206*$BI206),0)</f>
        <v>0</v>
      </c>
      <c r="CU206" s="5">
        <f>IF($BI206&lt;&gt;"",IF('Capacity summary'!$C$14="Yes",IF(COUNTBLANK('Capacity summary'!$H118:$BG118)&lt;52,IF('Capacity summary'!AR118&lt;&gt;"",IF(LOWER('Capacity summary'!AR118)="x",$BI206*AR206,VALUE('Capacity summary'!AR118)),0),AR206*$BI206),AR206*$BI206),0)</f>
        <v>0</v>
      </c>
      <c r="CV206" s="5">
        <f>IF($BI206&lt;&gt;"",IF('Capacity summary'!$C$14="Yes",IF(COUNTBLANK('Capacity summary'!$H118:$BG118)&lt;52,IF('Capacity summary'!AS118&lt;&gt;"",IF(LOWER('Capacity summary'!AS118)="x",$BI206*AS206,VALUE('Capacity summary'!AS118)),0),AS206*$BI206),AS206*$BI206),0)</f>
        <v>0</v>
      </c>
      <c r="CW206" s="5">
        <f>IF($BI206&lt;&gt;"",IF('Capacity summary'!$C$14="Yes",IF(COUNTBLANK('Capacity summary'!$H118:$BG118)&lt;52,IF('Capacity summary'!AT118&lt;&gt;"",IF(LOWER('Capacity summary'!AT118)="x",$BI206*AT206,VALUE('Capacity summary'!AT118)),0),AT206*$BI206),AT206*$BI206),0)</f>
        <v>0</v>
      </c>
      <c r="CX206" s="5">
        <f>IF($BI206&lt;&gt;"",IF('Capacity summary'!$C$14="Yes",IF(COUNTBLANK('Capacity summary'!$H118:$BG118)&lt;52,IF('Capacity summary'!AU118&lt;&gt;"",IF(LOWER('Capacity summary'!AU118)="x",$BI206*AU206,VALUE('Capacity summary'!AU118)),0),AU206*$BI206),AU206*$BI206),0)</f>
        <v>0</v>
      </c>
      <c r="CY206" s="5">
        <f>IF($BI206&lt;&gt;"",IF('Capacity summary'!$C$14="Yes",IF(COUNTBLANK('Capacity summary'!$H118:$BG118)&lt;52,IF('Capacity summary'!AV118&lt;&gt;"",IF(LOWER('Capacity summary'!AV118)="x",$BI206*AV206,VALUE('Capacity summary'!AV118)),0),AV206*$BI206),AV206*$BI206),0)</f>
        <v>0</v>
      </c>
      <c r="CZ206" s="5">
        <f>IF($BI206&lt;&gt;"",IF('Capacity summary'!$C$14="Yes",IF(COUNTBLANK('Capacity summary'!$H118:$BG118)&lt;52,IF('Capacity summary'!AW118&lt;&gt;"",IF(LOWER('Capacity summary'!AW118)="x",$BI206*AW206,VALUE('Capacity summary'!AW118)),0),AW206*$BI206),AW206*$BI206),0)</f>
        <v>0</v>
      </c>
      <c r="DA206" s="5">
        <f>IF($BI206&lt;&gt;"",IF('Capacity summary'!$C$14="Yes",IF(COUNTBLANK('Capacity summary'!$H118:$BG118)&lt;52,IF('Capacity summary'!AX118&lt;&gt;"",IF(LOWER('Capacity summary'!AX118)="x",$BI206*AX206,VALUE('Capacity summary'!AX118)),0),AX206*$BI206),AX206*$BI206),0)</f>
        <v>0</v>
      </c>
      <c r="DB206" s="5">
        <f>IF($BI206&lt;&gt;"",IF('Capacity summary'!$C$14="Yes",IF(COUNTBLANK('Capacity summary'!$H118:$BG118)&lt;52,IF('Capacity summary'!AY118&lt;&gt;"",IF(LOWER('Capacity summary'!AY118)="x",$BI206*AY206,VALUE('Capacity summary'!AY118)),0),AY206*$BI206),AY206*$BI206),0)</f>
        <v>0</v>
      </c>
      <c r="DC206" s="5">
        <f>IF($BI206&lt;&gt;"",IF('Capacity summary'!$C$14="Yes",IF(COUNTBLANK('Capacity summary'!$H118:$BG118)&lt;52,IF('Capacity summary'!AZ118&lt;&gt;"",IF(LOWER('Capacity summary'!AZ118)="x",$BI206*AZ206,VALUE('Capacity summary'!AZ118)),0),AZ206*$BI206),AZ206*$BI206),0)</f>
        <v>0</v>
      </c>
      <c r="DD206" s="5">
        <f>IF($BI206&lt;&gt;"",IF('Capacity summary'!$C$14="Yes",IF(COUNTBLANK('Capacity summary'!$H118:$BG118)&lt;52,IF('Capacity summary'!BA118&lt;&gt;"",IF(LOWER('Capacity summary'!BA118)="x",$BI206*BA206,VALUE('Capacity summary'!BA118)),0),BA206*$BI206),BA206*$BI206),0)</f>
        <v>0</v>
      </c>
      <c r="DE206" s="5">
        <f>IF($BI206&lt;&gt;"",IF('Capacity summary'!$C$14="Yes",IF(COUNTBLANK('Capacity summary'!$H118:$BG118)&lt;52,IF('Capacity summary'!BB118&lt;&gt;"",IF(LOWER('Capacity summary'!BB118)="x",$BI206*BB206,VALUE('Capacity summary'!BB118)),0),BB206*$BI206),BB206*$BI206),0)</f>
        <v>0</v>
      </c>
      <c r="DF206" s="5">
        <f>IF($BI206&lt;&gt;"",IF('Capacity summary'!$C$14="Yes",IF(COUNTBLANK('Capacity summary'!$H118:$BG118)&lt;52,IF('Capacity summary'!BC118&lt;&gt;"",IF(LOWER('Capacity summary'!BC118)="x",$BI206*BC206,VALUE('Capacity summary'!BC118)),0),BC206*$BI206),BC206*$BI206),0)</f>
        <v>0</v>
      </c>
      <c r="DG206" s="5">
        <f>IF($BI206&lt;&gt;"",IF('Capacity summary'!$C$14="Yes",IF(COUNTBLANK('Capacity summary'!$H118:$BG118)&lt;52,IF('Capacity summary'!BD118&lt;&gt;"",IF(LOWER('Capacity summary'!BD118)="x",$BI206*BD206,VALUE('Capacity summary'!BD118)),0),BD206*$BI206),BD206*$BI206),0)</f>
        <v>0</v>
      </c>
      <c r="DH206" s="5">
        <f>IF($BI206&lt;&gt;"",IF('Capacity summary'!$C$14="Yes",IF(COUNTBLANK('Capacity summary'!$H118:$BG118)&lt;52,IF('Capacity summary'!BE118&lt;&gt;"",IF(LOWER('Capacity summary'!BE118)="x",$BI206*BE206,VALUE('Capacity summary'!BE118)),0),BE206*$BI206),BE206*$BI206),0)</f>
        <v>0</v>
      </c>
      <c r="DI206" s="5">
        <f>IF($BI206&lt;&gt;"",IF('Capacity summary'!$C$14="Yes",IF(COUNTBLANK('Capacity summary'!$H118:$BG118)&lt;52,IF('Capacity summary'!BF118&lt;&gt;"",IF(LOWER('Capacity summary'!BF118)="x",$BI206*BF206,VALUE('Capacity summary'!BF118)),0),BF206*$BI206),BF206*$BI206),0)</f>
        <v>0</v>
      </c>
      <c r="DJ206" s="5">
        <f>IF($BI206&lt;&gt;"",IF('Capacity summary'!$C$14="Yes",IF(COUNTBLANK('Capacity summary'!$H118:$BG118)&lt;52,IF('Capacity summary'!BG118&lt;&gt;"",IF(LOWER('Capacity summary'!BG118)="x",$BI206*BG206,VALUE('Capacity summary'!BG118)),0),BG206*$BI206),BG206*$BI206),0)</f>
        <v>0</v>
      </c>
      <c r="DK206" s="5">
        <f t="shared" ref="DK206" si="100">SUM(DK207:DK306)</f>
        <v>0</v>
      </c>
    </row>
    <row r="207" spans="3:115" x14ac:dyDescent="0.25">
      <c r="C207" s="67" t="str">
        <f>ROW(A96)&amp;". "&amp;Capacity!N112</f>
        <v xml:space="preserve">96. </v>
      </c>
      <c r="D207" s="67">
        <f>'Capacity setup'!C213</f>
        <v>0</v>
      </c>
      <c r="E207" s="67">
        <f>'Capacity setup'!D213</f>
        <v>0</v>
      </c>
      <c r="F207" s="67">
        <f>'Capacity setup'!E213</f>
        <v>0</v>
      </c>
      <c r="H207" s="67">
        <f ca="1">IF(AND(SUMIF(Capacity_Resource,$D207,'Critical resources (hide)'!U$6:U$105)+SUMIF(Capacity_Resource,$E207,'Critical resources (hide)'!U$6:U$105)+SUMIF(Capacity_Resource,$F207,'Critical resources (hide)'!U$6:U$105)&gt;0,$E$1=2),0,1)</f>
        <v>1</v>
      </c>
      <c r="I207" s="67">
        <f ca="1">IF(AND(SUMIF(Capacity_Resource,$D207,'Critical resources (hide)'!V$6:V$105)+SUMIF(Capacity_Resource,$E207,'Critical resources (hide)'!V$6:V$105)+SUMIF(Capacity_Resource,$F207,'Critical resources (hide)'!V$6:V$105)&gt;0,$E$1=2),0,1)</f>
        <v>1</v>
      </c>
      <c r="J207" s="67">
        <f ca="1">IF(AND(SUMIF(Capacity_Resource,$D207,'Critical resources (hide)'!W$6:W$105)+SUMIF(Capacity_Resource,$E207,'Critical resources (hide)'!W$6:W$105)+SUMIF(Capacity_Resource,$F207,'Critical resources (hide)'!W$6:W$105)&gt;0,$E$1=2),0,1)</f>
        <v>1</v>
      </c>
      <c r="K207" s="67">
        <f ca="1">IF(AND(SUMIF(Capacity_Resource,$D207,'Critical resources (hide)'!X$6:X$105)+SUMIF(Capacity_Resource,$E207,'Critical resources (hide)'!X$6:X$105)+SUMIF(Capacity_Resource,$F207,'Critical resources (hide)'!X$6:X$105)&gt;0,$E$1=2),0,1)</f>
        <v>1</v>
      </c>
      <c r="L207" s="67">
        <f ca="1">IF(AND(SUMIF(Capacity_Resource,$D207,'Critical resources (hide)'!Y$6:Y$105)+SUMIF(Capacity_Resource,$E207,'Critical resources (hide)'!Y$6:Y$105)+SUMIF(Capacity_Resource,$F207,'Critical resources (hide)'!Y$6:Y$105)&gt;0,$E$1=2),0,1)</f>
        <v>1</v>
      </c>
      <c r="M207" s="67">
        <f ca="1">IF(AND(SUMIF(Capacity_Resource,$D207,'Critical resources (hide)'!Z$6:Z$105)+SUMIF(Capacity_Resource,$E207,'Critical resources (hide)'!Z$6:Z$105)+SUMIF(Capacity_Resource,$F207,'Critical resources (hide)'!Z$6:Z$105)&gt;0,$E$1=2),0,1)</f>
        <v>1</v>
      </c>
      <c r="N207" s="67">
        <f ca="1">IF(AND(SUMIF(Capacity_Resource,$D207,'Critical resources (hide)'!AA$6:AA$105)+SUMIF(Capacity_Resource,$E207,'Critical resources (hide)'!AA$6:AA$105)+SUMIF(Capacity_Resource,$F207,'Critical resources (hide)'!AA$6:AA$105)&gt;0,$E$1=2),0,1)</f>
        <v>1</v>
      </c>
      <c r="O207" s="67">
        <f ca="1">IF(AND(SUMIF(Capacity_Resource,$D207,'Critical resources (hide)'!AB$6:AB$105)+SUMIF(Capacity_Resource,$E207,'Critical resources (hide)'!AB$6:AB$105)+SUMIF(Capacity_Resource,$F207,'Critical resources (hide)'!AB$6:AB$105)&gt;0,$E$1=2),0,1)</f>
        <v>1</v>
      </c>
      <c r="P207" s="67">
        <f ca="1">IF(AND(SUMIF(Capacity_Resource,$D207,'Critical resources (hide)'!AC$6:AC$105)+SUMIF(Capacity_Resource,$E207,'Critical resources (hide)'!AC$6:AC$105)+SUMIF(Capacity_Resource,$F207,'Critical resources (hide)'!AC$6:AC$105)&gt;0,$E$1=2),0,1)</f>
        <v>1</v>
      </c>
      <c r="Q207" s="67">
        <f ca="1">IF(AND(SUMIF(Capacity_Resource,$D207,'Critical resources (hide)'!AD$6:AD$105)+SUMIF(Capacity_Resource,$E207,'Critical resources (hide)'!AD$6:AD$105)+SUMIF(Capacity_Resource,$F207,'Critical resources (hide)'!AD$6:AD$105)&gt;0,$E$1=2),0,1)</f>
        <v>1</v>
      </c>
      <c r="R207" s="67">
        <f ca="1">IF(AND(SUMIF(Capacity_Resource,$D207,'Critical resources (hide)'!AE$6:AE$105)+SUMIF(Capacity_Resource,$E207,'Critical resources (hide)'!AE$6:AE$105)+SUMIF(Capacity_Resource,$F207,'Critical resources (hide)'!AE$6:AE$105)&gt;0,$E$1=2),0,1)</f>
        <v>1</v>
      </c>
      <c r="S207" s="67">
        <f ca="1">IF(AND(SUMIF(Capacity_Resource,$D207,'Critical resources (hide)'!AF$6:AF$105)+SUMIF(Capacity_Resource,$E207,'Critical resources (hide)'!AF$6:AF$105)+SUMIF(Capacity_Resource,$F207,'Critical resources (hide)'!AF$6:AF$105)&gt;0,$E$1=2),0,1)</f>
        <v>1</v>
      </c>
      <c r="T207" s="67">
        <f ca="1">IF(AND(SUMIF(Capacity_Resource,$D207,'Critical resources (hide)'!AG$6:AG$105)+SUMIF(Capacity_Resource,$E207,'Critical resources (hide)'!AG$6:AG$105)+SUMIF(Capacity_Resource,$F207,'Critical resources (hide)'!AG$6:AG$105)&gt;0,$E$1=2),0,1)</f>
        <v>1</v>
      </c>
      <c r="U207" s="67">
        <f ca="1">IF(AND(SUMIF(Capacity_Resource,$D207,'Critical resources (hide)'!AH$6:AH$105)+SUMIF(Capacity_Resource,$E207,'Critical resources (hide)'!AH$6:AH$105)+SUMIF(Capacity_Resource,$F207,'Critical resources (hide)'!AH$6:AH$105)&gt;0,$E$1=2),0,1)</f>
        <v>1</v>
      </c>
      <c r="V207" s="67">
        <f ca="1">IF(AND(SUMIF(Capacity_Resource,$D207,'Critical resources (hide)'!AI$6:AI$105)+SUMIF(Capacity_Resource,$E207,'Critical resources (hide)'!AI$6:AI$105)+SUMIF(Capacity_Resource,$F207,'Critical resources (hide)'!AI$6:AI$105)&gt;0,$E$1=2),0,1)</f>
        <v>1</v>
      </c>
      <c r="W207" s="67">
        <f ca="1">IF(AND(SUMIF(Capacity_Resource,$D207,'Critical resources (hide)'!AJ$6:AJ$105)+SUMIF(Capacity_Resource,$E207,'Critical resources (hide)'!AJ$6:AJ$105)+SUMIF(Capacity_Resource,$F207,'Critical resources (hide)'!AJ$6:AJ$105)&gt;0,$E$1=2),0,1)</f>
        <v>1</v>
      </c>
      <c r="X207" s="67">
        <f ca="1">IF(AND(SUMIF(Capacity_Resource,$D207,'Critical resources (hide)'!AK$6:AK$105)+SUMIF(Capacity_Resource,$E207,'Critical resources (hide)'!AK$6:AK$105)+SUMIF(Capacity_Resource,$F207,'Critical resources (hide)'!AK$6:AK$105)&gt;0,$E$1=2),0,1)</f>
        <v>1</v>
      </c>
      <c r="Y207" s="67">
        <f ca="1">IF(AND(SUMIF(Capacity_Resource,$D207,'Critical resources (hide)'!AL$6:AL$105)+SUMIF(Capacity_Resource,$E207,'Critical resources (hide)'!AL$6:AL$105)+SUMIF(Capacity_Resource,$F207,'Critical resources (hide)'!AL$6:AL$105)&gt;0,$E$1=2),0,1)</f>
        <v>1</v>
      </c>
      <c r="Z207" s="67">
        <f ca="1">IF(AND(SUMIF(Capacity_Resource,$D207,'Critical resources (hide)'!AM$6:AM$105)+SUMIF(Capacity_Resource,$E207,'Critical resources (hide)'!AM$6:AM$105)+SUMIF(Capacity_Resource,$F207,'Critical resources (hide)'!AM$6:AM$105)&gt;0,$E$1=2),0,1)</f>
        <v>1</v>
      </c>
      <c r="AA207" s="67">
        <f ca="1">IF(AND(SUMIF(Capacity_Resource,$D207,'Critical resources (hide)'!AN$6:AN$105)+SUMIF(Capacity_Resource,$E207,'Critical resources (hide)'!AN$6:AN$105)+SUMIF(Capacity_Resource,$F207,'Critical resources (hide)'!AN$6:AN$105)&gt;0,$E$1=2),0,1)</f>
        <v>1</v>
      </c>
      <c r="AB207" s="67">
        <f ca="1">IF(AND(SUMIF(Capacity_Resource,$D207,'Critical resources (hide)'!AO$6:AO$105)+SUMIF(Capacity_Resource,$E207,'Critical resources (hide)'!AO$6:AO$105)+SUMIF(Capacity_Resource,$F207,'Critical resources (hide)'!AO$6:AO$105)&gt;0,$E$1=2),0,1)</f>
        <v>1</v>
      </c>
      <c r="AC207" s="67">
        <f ca="1">IF(AND(SUMIF(Capacity_Resource,$D207,'Critical resources (hide)'!AP$6:AP$105)+SUMIF(Capacity_Resource,$E207,'Critical resources (hide)'!AP$6:AP$105)+SUMIF(Capacity_Resource,$F207,'Critical resources (hide)'!AP$6:AP$105)&gt;0,$E$1=2),0,1)</f>
        <v>1</v>
      </c>
      <c r="AD207" s="67">
        <f ca="1">IF(AND(SUMIF(Capacity_Resource,$D207,'Critical resources (hide)'!AQ$6:AQ$105)+SUMIF(Capacity_Resource,$E207,'Critical resources (hide)'!AQ$6:AQ$105)+SUMIF(Capacity_Resource,$F207,'Critical resources (hide)'!AQ$6:AQ$105)&gt;0,$E$1=2),0,1)</f>
        <v>1</v>
      </c>
      <c r="AE207" s="67">
        <f ca="1">IF(AND(SUMIF(Capacity_Resource,$D207,'Critical resources (hide)'!AR$6:AR$105)+SUMIF(Capacity_Resource,$E207,'Critical resources (hide)'!AR$6:AR$105)+SUMIF(Capacity_Resource,$F207,'Critical resources (hide)'!AR$6:AR$105)&gt;0,$E$1=2),0,1)</f>
        <v>1</v>
      </c>
      <c r="AF207" s="67">
        <f ca="1">IF(AND(SUMIF(Capacity_Resource,$D207,'Critical resources (hide)'!AS$6:AS$105)+SUMIF(Capacity_Resource,$E207,'Critical resources (hide)'!AS$6:AS$105)+SUMIF(Capacity_Resource,$F207,'Critical resources (hide)'!AS$6:AS$105)&gt;0,$E$1=2),0,1)</f>
        <v>1</v>
      </c>
      <c r="AG207" s="67">
        <f ca="1">IF(AND(SUMIF(Capacity_Resource,$D207,'Critical resources (hide)'!AT$6:AT$105)+SUMIF(Capacity_Resource,$E207,'Critical resources (hide)'!AT$6:AT$105)+SUMIF(Capacity_Resource,$F207,'Critical resources (hide)'!AT$6:AT$105)&gt;0,$E$1=2),0,1)</f>
        <v>1</v>
      </c>
      <c r="AH207" s="67">
        <f ca="1">IF(AND(SUMIF(Capacity_Resource,$D207,'Critical resources (hide)'!AU$6:AU$105)+SUMIF(Capacity_Resource,$E207,'Critical resources (hide)'!AU$6:AU$105)+SUMIF(Capacity_Resource,$F207,'Critical resources (hide)'!AU$6:AU$105)&gt;0,$E$1=2),0,1)</f>
        <v>1</v>
      </c>
      <c r="AI207" s="67">
        <f ca="1">IF(AND(SUMIF(Capacity_Resource,$D207,'Critical resources (hide)'!AV$6:AV$105)+SUMIF(Capacity_Resource,$E207,'Critical resources (hide)'!AV$6:AV$105)+SUMIF(Capacity_Resource,$F207,'Critical resources (hide)'!AV$6:AV$105)&gt;0,$E$1=2),0,1)</f>
        <v>1</v>
      </c>
      <c r="AJ207" s="67">
        <f ca="1">IF(AND(SUMIF(Capacity_Resource,$D207,'Critical resources (hide)'!AW$6:AW$105)+SUMIF(Capacity_Resource,$E207,'Critical resources (hide)'!AW$6:AW$105)+SUMIF(Capacity_Resource,$F207,'Critical resources (hide)'!AW$6:AW$105)&gt;0,$E$1=2),0,1)</f>
        <v>1</v>
      </c>
      <c r="AK207" s="67">
        <f ca="1">IF(AND(SUMIF(Capacity_Resource,$D207,'Critical resources (hide)'!AX$6:AX$105)+SUMIF(Capacity_Resource,$E207,'Critical resources (hide)'!AX$6:AX$105)+SUMIF(Capacity_Resource,$F207,'Critical resources (hide)'!AX$6:AX$105)&gt;0,$E$1=2),0,1)</f>
        <v>1</v>
      </c>
      <c r="AL207" s="67">
        <f ca="1">IF(AND(SUMIF(Capacity_Resource,$D207,'Critical resources (hide)'!AY$6:AY$105)+SUMIF(Capacity_Resource,$E207,'Critical resources (hide)'!AY$6:AY$105)+SUMIF(Capacity_Resource,$F207,'Critical resources (hide)'!AY$6:AY$105)&gt;0,$E$1=2),0,1)</f>
        <v>1</v>
      </c>
      <c r="AM207" s="67">
        <f ca="1">IF(AND(SUMIF(Capacity_Resource,$D207,'Critical resources (hide)'!AZ$6:AZ$105)+SUMIF(Capacity_Resource,$E207,'Critical resources (hide)'!AZ$6:AZ$105)+SUMIF(Capacity_Resource,$F207,'Critical resources (hide)'!AZ$6:AZ$105)&gt;0,$E$1=2),0,1)</f>
        <v>1</v>
      </c>
      <c r="AN207" s="67">
        <f ca="1">IF(AND(SUMIF(Capacity_Resource,$D207,'Critical resources (hide)'!BA$6:BA$105)+SUMIF(Capacity_Resource,$E207,'Critical resources (hide)'!BA$6:BA$105)+SUMIF(Capacity_Resource,$F207,'Critical resources (hide)'!BA$6:BA$105)&gt;0,$E$1=2),0,1)</f>
        <v>1</v>
      </c>
      <c r="AO207" s="67">
        <f ca="1">IF(AND(SUMIF(Capacity_Resource,$D207,'Critical resources (hide)'!BB$6:BB$105)+SUMIF(Capacity_Resource,$E207,'Critical resources (hide)'!BB$6:BB$105)+SUMIF(Capacity_Resource,$F207,'Critical resources (hide)'!BB$6:BB$105)&gt;0,$E$1=2),0,1)</f>
        <v>1</v>
      </c>
      <c r="AP207" s="67">
        <f ca="1">IF(AND(SUMIF(Capacity_Resource,$D207,'Critical resources (hide)'!BC$6:BC$105)+SUMIF(Capacity_Resource,$E207,'Critical resources (hide)'!BC$6:BC$105)+SUMIF(Capacity_Resource,$F207,'Critical resources (hide)'!BC$6:BC$105)&gt;0,$E$1=2),0,1)</f>
        <v>1</v>
      </c>
      <c r="AQ207" s="67">
        <f ca="1">IF(AND(SUMIF(Capacity_Resource,$D207,'Critical resources (hide)'!BD$6:BD$105)+SUMIF(Capacity_Resource,$E207,'Critical resources (hide)'!BD$6:BD$105)+SUMIF(Capacity_Resource,$F207,'Critical resources (hide)'!BD$6:BD$105)&gt;0,$E$1=2),0,1)</f>
        <v>1</v>
      </c>
      <c r="AR207" s="67">
        <f ca="1">IF(AND(SUMIF(Capacity_Resource,$D207,'Critical resources (hide)'!BE$6:BE$105)+SUMIF(Capacity_Resource,$E207,'Critical resources (hide)'!BE$6:BE$105)+SUMIF(Capacity_Resource,$F207,'Critical resources (hide)'!BE$6:BE$105)&gt;0,$E$1=2),0,1)</f>
        <v>1</v>
      </c>
      <c r="AS207" s="67">
        <f ca="1">IF(AND(SUMIF(Capacity_Resource,$D207,'Critical resources (hide)'!BF$6:BF$105)+SUMIF(Capacity_Resource,$E207,'Critical resources (hide)'!BF$6:BF$105)+SUMIF(Capacity_Resource,$F207,'Critical resources (hide)'!BF$6:BF$105)&gt;0,$E$1=2),0,1)</f>
        <v>1</v>
      </c>
      <c r="AT207" s="67">
        <f ca="1">IF(AND(SUMIF(Capacity_Resource,$D207,'Critical resources (hide)'!BG$6:BG$105)+SUMIF(Capacity_Resource,$E207,'Critical resources (hide)'!BG$6:BG$105)+SUMIF(Capacity_Resource,$F207,'Critical resources (hide)'!BG$6:BG$105)&gt;0,$E$1=2),0,1)</f>
        <v>1</v>
      </c>
      <c r="AU207" s="67">
        <f ca="1">IF(AND(SUMIF(Capacity_Resource,$D207,'Critical resources (hide)'!BH$6:BH$105)+SUMIF(Capacity_Resource,$E207,'Critical resources (hide)'!BH$6:BH$105)+SUMIF(Capacity_Resource,$F207,'Critical resources (hide)'!BH$6:BH$105)&gt;0,$E$1=2),0,1)</f>
        <v>1</v>
      </c>
      <c r="AV207" s="67">
        <f ca="1">IF(AND(SUMIF(Capacity_Resource,$D207,'Critical resources (hide)'!BI$6:BI$105)+SUMIF(Capacity_Resource,$E207,'Critical resources (hide)'!BI$6:BI$105)+SUMIF(Capacity_Resource,$F207,'Critical resources (hide)'!BI$6:BI$105)&gt;0,$E$1=2),0,1)</f>
        <v>1</v>
      </c>
      <c r="AW207" s="67">
        <f ca="1">IF(AND(SUMIF(Capacity_Resource,$D207,'Critical resources (hide)'!BJ$6:BJ$105)+SUMIF(Capacity_Resource,$E207,'Critical resources (hide)'!BJ$6:BJ$105)+SUMIF(Capacity_Resource,$F207,'Critical resources (hide)'!BJ$6:BJ$105)&gt;0,$E$1=2),0,1)</f>
        <v>1</v>
      </c>
      <c r="AX207" s="67">
        <f ca="1">IF(AND(SUMIF(Capacity_Resource,$D207,'Critical resources (hide)'!BK$6:BK$105)+SUMIF(Capacity_Resource,$E207,'Critical resources (hide)'!BK$6:BK$105)+SUMIF(Capacity_Resource,$F207,'Critical resources (hide)'!BK$6:BK$105)&gt;0,$E$1=2),0,1)</f>
        <v>1</v>
      </c>
      <c r="AY207" s="67">
        <f ca="1">IF(AND(SUMIF(Capacity_Resource,$D207,'Critical resources (hide)'!BL$6:BL$105)+SUMIF(Capacity_Resource,$E207,'Critical resources (hide)'!BL$6:BL$105)+SUMIF(Capacity_Resource,$F207,'Critical resources (hide)'!BL$6:BL$105)&gt;0,$E$1=2),0,1)</f>
        <v>1</v>
      </c>
      <c r="AZ207" s="67">
        <f ca="1">IF(AND(SUMIF(Capacity_Resource,$D207,'Critical resources (hide)'!BM$6:BM$105)+SUMIF(Capacity_Resource,$E207,'Critical resources (hide)'!BM$6:BM$105)+SUMIF(Capacity_Resource,$F207,'Critical resources (hide)'!BM$6:BM$105)&gt;0,$E$1=2),0,1)</f>
        <v>1</v>
      </c>
      <c r="BA207" s="67">
        <f ca="1">IF(AND(SUMIF(Capacity_Resource,$D207,'Critical resources (hide)'!BN$6:BN$105)+SUMIF(Capacity_Resource,$E207,'Critical resources (hide)'!BN$6:BN$105)+SUMIF(Capacity_Resource,$F207,'Critical resources (hide)'!BN$6:BN$105)&gt;0,$E$1=2),0,1)</f>
        <v>1</v>
      </c>
      <c r="BB207" s="67">
        <f ca="1">IF(AND(SUMIF(Capacity_Resource,$D207,'Critical resources (hide)'!BO$6:BO$105)+SUMIF(Capacity_Resource,$E207,'Critical resources (hide)'!BO$6:BO$105)+SUMIF(Capacity_Resource,$F207,'Critical resources (hide)'!BO$6:BO$105)&gt;0,$E$1=2),0,1)</f>
        <v>1</v>
      </c>
      <c r="BC207" s="67">
        <f ca="1">IF(AND(SUMIF(Capacity_Resource,$D207,'Critical resources (hide)'!BP$6:BP$105)+SUMIF(Capacity_Resource,$E207,'Critical resources (hide)'!BP$6:BP$105)+SUMIF(Capacity_Resource,$F207,'Critical resources (hide)'!BP$6:BP$105)&gt;0,$E$1=2),0,1)</f>
        <v>1</v>
      </c>
      <c r="BD207" s="67">
        <f ca="1">IF(AND(SUMIF(Capacity_Resource,$D207,'Critical resources (hide)'!BQ$6:BQ$105)+SUMIF(Capacity_Resource,$E207,'Critical resources (hide)'!BQ$6:BQ$105)+SUMIF(Capacity_Resource,$F207,'Critical resources (hide)'!BQ$6:BQ$105)&gt;0,$E$1=2),0,1)</f>
        <v>1</v>
      </c>
      <c r="BE207" s="67">
        <f ca="1">IF(AND(SUMIF(Capacity_Resource,$D207,'Critical resources (hide)'!BR$6:BR$105)+SUMIF(Capacity_Resource,$E207,'Critical resources (hide)'!BR$6:BR$105)+SUMIF(Capacity_Resource,$F207,'Critical resources (hide)'!BR$6:BR$105)&gt;0,$E$1=2),0,1)</f>
        <v>1</v>
      </c>
      <c r="BF207" s="67">
        <f ca="1">IF(AND(SUMIF(Capacity_Resource,$D207,'Critical resources (hide)'!BS$6:BS$105)+SUMIF(Capacity_Resource,$E207,'Critical resources (hide)'!BS$6:BS$105)+SUMIF(Capacity_Resource,$F207,'Critical resources (hide)'!BS$6:BS$105)&gt;0,$E$1=2),0,1)</f>
        <v>1</v>
      </c>
      <c r="BG207" s="67">
        <f ca="1">IF(AND(SUMIF(Capacity_Resource,$D207,'Critical resources (hide)'!BT$6:BT$105)+SUMIF(Capacity_Resource,$E207,'Critical resources (hide)'!BT$6:BT$105)+SUMIF(Capacity_Resource,$F207,'Critical resources (hide)'!BT$6:BT$105)&gt;0,$E$1=2),0,1)</f>
        <v>1</v>
      </c>
      <c r="BH207" s="67">
        <f>IF(ROW(A96)&lt;=Capacity!$M$16,IF('Capacity summary'!$C$14="No",SUM(H207:BG207),'Capacity summary'!$E119),0)</f>
        <v>0</v>
      </c>
      <c r="BI207" s="67" t="str">
        <f>IF(BH207&gt;0,IF(BH207&lt;Capacity!Q112,Capacity!R112,Capacity!T112/'Capacity calculation (hide)'!BH207),"")</f>
        <v/>
      </c>
      <c r="BJ207" s="5"/>
      <c r="BK207" s="5">
        <f>IF($BI207&lt;&gt;"",IF('Capacity summary'!$C$14="Yes",IF(COUNTBLANK('Capacity summary'!$H119:$BG119)&lt;52,IF('Capacity summary'!H119&lt;&gt;"",IF(LOWER('Capacity summary'!H119)="x",$BI207*H207,VALUE('Capacity summary'!H119)),0),H207*$BI207),H207*$BI207),0)</f>
        <v>0</v>
      </c>
      <c r="BL207" s="5">
        <f>IF($BI207&lt;&gt;"",IF('Capacity summary'!$C$14="Yes",IF(COUNTBLANK('Capacity summary'!$H119:$BG119)&lt;52,IF('Capacity summary'!I119&lt;&gt;"",IF(LOWER('Capacity summary'!I119)="x",$BI207*I207,VALUE('Capacity summary'!I119)),0),I207*$BI207),I207*$BI207),0)</f>
        <v>0</v>
      </c>
      <c r="BM207" s="5">
        <f>IF($BI207&lt;&gt;"",IF('Capacity summary'!$C$14="Yes",IF(COUNTBLANK('Capacity summary'!$H119:$BG119)&lt;52,IF('Capacity summary'!J119&lt;&gt;"",IF(LOWER('Capacity summary'!J119)="x",$BI207*J207,VALUE('Capacity summary'!J119)),0),J207*$BI207),J207*$BI207),0)</f>
        <v>0</v>
      </c>
      <c r="BN207" s="5">
        <f>IF($BI207&lt;&gt;"",IF('Capacity summary'!$C$14="Yes",IF(COUNTBLANK('Capacity summary'!$H119:$BG119)&lt;52,IF('Capacity summary'!K119&lt;&gt;"",IF(LOWER('Capacity summary'!K119)="x",$BI207*K207,VALUE('Capacity summary'!K119)),0),K207*$BI207),K207*$BI207),0)</f>
        <v>0</v>
      </c>
      <c r="BO207" s="5">
        <f>IF($BI207&lt;&gt;"",IF('Capacity summary'!$C$14="Yes",IF(COUNTBLANK('Capacity summary'!$H119:$BG119)&lt;52,IF('Capacity summary'!L119&lt;&gt;"",IF(LOWER('Capacity summary'!L119)="x",$BI207*L207,VALUE('Capacity summary'!L119)),0),L207*$BI207),L207*$BI207),0)</f>
        <v>0</v>
      </c>
      <c r="BP207" s="5">
        <f>IF($BI207&lt;&gt;"",IF('Capacity summary'!$C$14="Yes",IF(COUNTBLANK('Capacity summary'!$H119:$BG119)&lt;52,IF('Capacity summary'!M119&lt;&gt;"",IF(LOWER('Capacity summary'!M119)="x",$BI207*M207,VALUE('Capacity summary'!M119)),0),M207*$BI207),M207*$BI207),0)</f>
        <v>0</v>
      </c>
      <c r="BQ207" s="5">
        <f>IF($BI207&lt;&gt;"",IF('Capacity summary'!$C$14="Yes",IF(COUNTBLANK('Capacity summary'!$H119:$BG119)&lt;52,IF('Capacity summary'!N119&lt;&gt;"",IF(LOWER('Capacity summary'!N119)="x",$BI207*N207,VALUE('Capacity summary'!N119)),0),N207*$BI207),N207*$BI207),0)</f>
        <v>0</v>
      </c>
      <c r="BR207" s="5">
        <f>IF($BI207&lt;&gt;"",IF('Capacity summary'!$C$14="Yes",IF(COUNTBLANK('Capacity summary'!$H119:$BG119)&lt;52,IF('Capacity summary'!O119&lt;&gt;"",IF(LOWER('Capacity summary'!O119)="x",$BI207*O207,VALUE('Capacity summary'!O119)),0),O207*$BI207),O207*$BI207),0)</f>
        <v>0</v>
      </c>
      <c r="BS207" s="5">
        <f>IF($BI207&lt;&gt;"",IF('Capacity summary'!$C$14="Yes",IF(COUNTBLANK('Capacity summary'!$H119:$BG119)&lt;52,IF('Capacity summary'!P119&lt;&gt;"",IF(LOWER('Capacity summary'!P119)="x",$BI207*P207,VALUE('Capacity summary'!P119)),0),P207*$BI207),P207*$BI207),0)</f>
        <v>0</v>
      </c>
      <c r="BT207" s="5">
        <f>IF($BI207&lt;&gt;"",IF('Capacity summary'!$C$14="Yes",IF(COUNTBLANK('Capacity summary'!$H119:$BG119)&lt;52,IF('Capacity summary'!Q119&lt;&gt;"",IF(LOWER('Capacity summary'!Q119)="x",$BI207*Q207,VALUE('Capacity summary'!Q119)),0),Q207*$BI207),Q207*$BI207),0)</f>
        <v>0</v>
      </c>
      <c r="BU207" s="5">
        <f>IF($BI207&lt;&gt;"",IF('Capacity summary'!$C$14="Yes",IF(COUNTBLANK('Capacity summary'!$H119:$BG119)&lt;52,IF('Capacity summary'!R119&lt;&gt;"",IF(LOWER('Capacity summary'!R119)="x",$BI207*R207,VALUE('Capacity summary'!R119)),0),R207*$BI207),R207*$BI207),0)</f>
        <v>0</v>
      </c>
      <c r="BV207" s="5">
        <f>IF($BI207&lt;&gt;"",IF('Capacity summary'!$C$14="Yes",IF(COUNTBLANK('Capacity summary'!$H119:$BG119)&lt;52,IF('Capacity summary'!S119&lt;&gt;"",IF(LOWER('Capacity summary'!S119)="x",$BI207*S207,VALUE('Capacity summary'!S119)),0),S207*$BI207),S207*$BI207),0)</f>
        <v>0</v>
      </c>
      <c r="BW207" s="5">
        <f>IF($BI207&lt;&gt;"",IF('Capacity summary'!$C$14="Yes",IF(COUNTBLANK('Capacity summary'!$H119:$BG119)&lt;52,IF('Capacity summary'!T119&lt;&gt;"",IF(LOWER('Capacity summary'!T119)="x",$BI207*T207,VALUE('Capacity summary'!T119)),0),T207*$BI207),T207*$BI207),0)</f>
        <v>0</v>
      </c>
      <c r="BX207" s="5">
        <f>IF($BI207&lt;&gt;"",IF('Capacity summary'!$C$14="Yes",IF(COUNTBLANK('Capacity summary'!$H119:$BG119)&lt;52,IF('Capacity summary'!U119&lt;&gt;"",IF(LOWER('Capacity summary'!U119)="x",$BI207*U207,VALUE('Capacity summary'!U119)),0),U207*$BI207),U207*$BI207),0)</f>
        <v>0</v>
      </c>
      <c r="BY207" s="5">
        <f>IF($BI207&lt;&gt;"",IF('Capacity summary'!$C$14="Yes",IF(COUNTBLANK('Capacity summary'!$H119:$BG119)&lt;52,IF('Capacity summary'!V119&lt;&gt;"",IF(LOWER('Capacity summary'!V119)="x",$BI207*V207,VALUE('Capacity summary'!V119)),0),V207*$BI207),V207*$BI207),0)</f>
        <v>0</v>
      </c>
      <c r="BZ207" s="5">
        <f>IF($BI207&lt;&gt;"",IF('Capacity summary'!$C$14="Yes",IF(COUNTBLANK('Capacity summary'!$H119:$BG119)&lt;52,IF('Capacity summary'!W119&lt;&gt;"",IF(LOWER('Capacity summary'!W119)="x",$BI207*W207,VALUE('Capacity summary'!W119)),0),W207*$BI207),W207*$BI207),0)</f>
        <v>0</v>
      </c>
      <c r="CA207" s="5">
        <f>IF($BI207&lt;&gt;"",IF('Capacity summary'!$C$14="Yes",IF(COUNTBLANK('Capacity summary'!$H119:$BG119)&lt;52,IF('Capacity summary'!X119&lt;&gt;"",IF(LOWER('Capacity summary'!X119)="x",$BI207*X207,VALUE('Capacity summary'!X119)),0),X207*$BI207),X207*$BI207),0)</f>
        <v>0</v>
      </c>
      <c r="CB207" s="5">
        <f>IF($BI207&lt;&gt;"",IF('Capacity summary'!$C$14="Yes",IF(COUNTBLANK('Capacity summary'!$H119:$BG119)&lt;52,IF('Capacity summary'!Y119&lt;&gt;"",IF(LOWER('Capacity summary'!Y119)="x",$BI207*Y207,VALUE('Capacity summary'!Y119)),0),Y207*$BI207),Y207*$BI207),0)</f>
        <v>0</v>
      </c>
      <c r="CC207" s="5">
        <f>IF($BI207&lt;&gt;"",IF('Capacity summary'!$C$14="Yes",IF(COUNTBLANK('Capacity summary'!$H119:$BG119)&lt;52,IF('Capacity summary'!Z119&lt;&gt;"",IF(LOWER('Capacity summary'!Z119)="x",$BI207*Z207,VALUE('Capacity summary'!Z119)),0),Z207*$BI207),Z207*$BI207),0)</f>
        <v>0</v>
      </c>
      <c r="CD207" s="5">
        <f>IF($BI207&lt;&gt;"",IF('Capacity summary'!$C$14="Yes",IF(COUNTBLANK('Capacity summary'!$H119:$BG119)&lt;52,IF('Capacity summary'!AA119&lt;&gt;"",IF(LOWER('Capacity summary'!AA119)="x",$BI207*AA207,VALUE('Capacity summary'!AA119)),0),AA207*$BI207),AA207*$BI207),0)</f>
        <v>0</v>
      </c>
      <c r="CE207" s="5">
        <f>IF($BI207&lt;&gt;"",IF('Capacity summary'!$C$14="Yes",IF(COUNTBLANK('Capacity summary'!$H119:$BG119)&lt;52,IF('Capacity summary'!AB119&lt;&gt;"",IF(LOWER('Capacity summary'!AB119)="x",$BI207*AB207,VALUE('Capacity summary'!AB119)),0),AB207*$BI207),AB207*$BI207),0)</f>
        <v>0</v>
      </c>
      <c r="CF207" s="5">
        <f>IF($BI207&lt;&gt;"",IF('Capacity summary'!$C$14="Yes",IF(COUNTBLANK('Capacity summary'!$H119:$BG119)&lt;52,IF('Capacity summary'!AC119&lt;&gt;"",IF(LOWER('Capacity summary'!AC119)="x",$BI207*AC207,VALUE('Capacity summary'!AC119)),0),AC207*$BI207),AC207*$BI207),0)</f>
        <v>0</v>
      </c>
      <c r="CG207" s="5">
        <f>IF($BI207&lt;&gt;"",IF('Capacity summary'!$C$14="Yes",IF(COUNTBLANK('Capacity summary'!$H119:$BG119)&lt;52,IF('Capacity summary'!AD119&lt;&gt;"",IF(LOWER('Capacity summary'!AD119)="x",$BI207*AD207,VALUE('Capacity summary'!AD119)),0),AD207*$BI207),AD207*$BI207),0)</f>
        <v>0</v>
      </c>
      <c r="CH207" s="5">
        <f>IF($BI207&lt;&gt;"",IF('Capacity summary'!$C$14="Yes",IF(COUNTBLANK('Capacity summary'!$H119:$BG119)&lt;52,IF('Capacity summary'!AE119&lt;&gt;"",IF(LOWER('Capacity summary'!AE119)="x",$BI207*AE207,VALUE('Capacity summary'!AE119)),0),AE207*$BI207),AE207*$BI207),0)</f>
        <v>0</v>
      </c>
      <c r="CI207" s="5">
        <f>IF($BI207&lt;&gt;"",IF('Capacity summary'!$C$14="Yes",IF(COUNTBLANK('Capacity summary'!$H119:$BG119)&lt;52,IF('Capacity summary'!AF119&lt;&gt;"",IF(LOWER('Capacity summary'!AF119)="x",$BI207*AF207,VALUE('Capacity summary'!AF119)),0),AF207*$BI207),AF207*$BI207),0)</f>
        <v>0</v>
      </c>
      <c r="CJ207" s="5">
        <f>IF($BI207&lt;&gt;"",IF('Capacity summary'!$C$14="Yes",IF(COUNTBLANK('Capacity summary'!$H119:$BG119)&lt;52,IF('Capacity summary'!AG119&lt;&gt;"",IF(LOWER('Capacity summary'!AG119)="x",$BI207*AG207,VALUE('Capacity summary'!AG119)),0),AG207*$BI207),AG207*$BI207),0)</f>
        <v>0</v>
      </c>
      <c r="CK207" s="5">
        <f>IF($BI207&lt;&gt;"",IF('Capacity summary'!$C$14="Yes",IF(COUNTBLANK('Capacity summary'!$H119:$BG119)&lt;52,IF('Capacity summary'!AH119&lt;&gt;"",IF(LOWER('Capacity summary'!AH119)="x",$BI207*AH207,VALUE('Capacity summary'!AH119)),0),AH207*$BI207),AH207*$BI207),0)</f>
        <v>0</v>
      </c>
      <c r="CL207" s="5">
        <f>IF($BI207&lt;&gt;"",IF('Capacity summary'!$C$14="Yes",IF(COUNTBLANK('Capacity summary'!$H119:$BG119)&lt;52,IF('Capacity summary'!AI119&lt;&gt;"",IF(LOWER('Capacity summary'!AI119)="x",$BI207*AI207,VALUE('Capacity summary'!AI119)),0),AI207*$BI207),AI207*$BI207),0)</f>
        <v>0</v>
      </c>
      <c r="CM207" s="5">
        <f>IF($BI207&lt;&gt;"",IF('Capacity summary'!$C$14="Yes",IF(COUNTBLANK('Capacity summary'!$H119:$BG119)&lt;52,IF('Capacity summary'!AJ119&lt;&gt;"",IF(LOWER('Capacity summary'!AJ119)="x",$BI207*AJ207,VALUE('Capacity summary'!AJ119)),0),AJ207*$BI207),AJ207*$BI207),0)</f>
        <v>0</v>
      </c>
      <c r="CN207" s="5">
        <f>IF($BI207&lt;&gt;"",IF('Capacity summary'!$C$14="Yes",IF(COUNTBLANK('Capacity summary'!$H119:$BG119)&lt;52,IF('Capacity summary'!AK119&lt;&gt;"",IF(LOWER('Capacity summary'!AK119)="x",$BI207*AK207,VALUE('Capacity summary'!AK119)),0),AK207*$BI207),AK207*$BI207),0)</f>
        <v>0</v>
      </c>
      <c r="CO207" s="5">
        <f>IF($BI207&lt;&gt;"",IF('Capacity summary'!$C$14="Yes",IF(COUNTBLANK('Capacity summary'!$H119:$BG119)&lt;52,IF('Capacity summary'!AL119&lt;&gt;"",IF(LOWER('Capacity summary'!AL119)="x",$BI207*AL207,VALUE('Capacity summary'!AL119)),0),AL207*$BI207),AL207*$BI207),0)</f>
        <v>0</v>
      </c>
      <c r="CP207" s="5">
        <f>IF($BI207&lt;&gt;"",IF('Capacity summary'!$C$14="Yes",IF(COUNTBLANK('Capacity summary'!$H119:$BG119)&lt;52,IF('Capacity summary'!AM119&lt;&gt;"",IF(LOWER('Capacity summary'!AM119)="x",$BI207*AM207,VALUE('Capacity summary'!AM119)),0),AM207*$BI207),AM207*$BI207),0)</f>
        <v>0</v>
      </c>
      <c r="CQ207" s="5">
        <f>IF($BI207&lt;&gt;"",IF('Capacity summary'!$C$14="Yes",IF(COUNTBLANK('Capacity summary'!$H119:$BG119)&lt;52,IF('Capacity summary'!AN119&lt;&gt;"",IF(LOWER('Capacity summary'!AN119)="x",$BI207*AN207,VALUE('Capacity summary'!AN119)),0),AN207*$BI207),AN207*$BI207),0)</f>
        <v>0</v>
      </c>
      <c r="CR207" s="5">
        <f>IF($BI207&lt;&gt;"",IF('Capacity summary'!$C$14="Yes",IF(COUNTBLANK('Capacity summary'!$H119:$BG119)&lt;52,IF('Capacity summary'!AO119&lt;&gt;"",IF(LOWER('Capacity summary'!AO119)="x",$BI207*AO207,VALUE('Capacity summary'!AO119)),0),AO207*$BI207),AO207*$BI207),0)</f>
        <v>0</v>
      </c>
      <c r="CS207" s="5">
        <f>IF($BI207&lt;&gt;"",IF('Capacity summary'!$C$14="Yes",IF(COUNTBLANK('Capacity summary'!$H119:$BG119)&lt;52,IF('Capacity summary'!AP119&lt;&gt;"",IF(LOWER('Capacity summary'!AP119)="x",$BI207*AP207,VALUE('Capacity summary'!AP119)),0),AP207*$BI207),AP207*$BI207),0)</f>
        <v>0</v>
      </c>
      <c r="CT207" s="5">
        <f>IF($BI207&lt;&gt;"",IF('Capacity summary'!$C$14="Yes",IF(COUNTBLANK('Capacity summary'!$H119:$BG119)&lt;52,IF('Capacity summary'!AQ119&lt;&gt;"",IF(LOWER('Capacity summary'!AQ119)="x",$BI207*AQ207,VALUE('Capacity summary'!AQ119)),0),AQ207*$BI207),AQ207*$BI207),0)</f>
        <v>0</v>
      </c>
      <c r="CU207" s="5">
        <f>IF($BI207&lt;&gt;"",IF('Capacity summary'!$C$14="Yes",IF(COUNTBLANK('Capacity summary'!$H119:$BG119)&lt;52,IF('Capacity summary'!AR119&lt;&gt;"",IF(LOWER('Capacity summary'!AR119)="x",$BI207*AR207,VALUE('Capacity summary'!AR119)),0),AR207*$BI207),AR207*$BI207),0)</f>
        <v>0</v>
      </c>
      <c r="CV207" s="5">
        <f>IF($BI207&lt;&gt;"",IF('Capacity summary'!$C$14="Yes",IF(COUNTBLANK('Capacity summary'!$H119:$BG119)&lt;52,IF('Capacity summary'!AS119&lt;&gt;"",IF(LOWER('Capacity summary'!AS119)="x",$BI207*AS207,VALUE('Capacity summary'!AS119)),0),AS207*$BI207),AS207*$BI207),0)</f>
        <v>0</v>
      </c>
      <c r="CW207" s="5">
        <f>IF($BI207&lt;&gt;"",IF('Capacity summary'!$C$14="Yes",IF(COUNTBLANK('Capacity summary'!$H119:$BG119)&lt;52,IF('Capacity summary'!AT119&lt;&gt;"",IF(LOWER('Capacity summary'!AT119)="x",$BI207*AT207,VALUE('Capacity summary'!AT119)),0),AT207*$BI207),AT207*$BI207),0)</f>
        <v>0</v>
      </c>
      <c r="CX207" s="5">
        <f>IF($BI207&lt;&gt;"",IF('Capacity summary'!$C$14="Yes",IF(COUNTBLANK('Capacity summary'!$H119:$BG119)&lt;52,IF('Capacity summary'!AU119&lt;&gt;"",IF(LOWER('Capacity summary'!AU119)="x",$BI207*AU207,VALUE('Capacity summary'!AU119)),0),AU207*$BI207),AU207*$BI207),0)</f>
        <v>0</v>
      </c>
      <c r="CY207" s="5">
        <f>IF($BI207&lt;&gt;"",IF('Capacity summary'!$C$14="Yes",IF(COUNTBLANK('Capacity summary'!$H119:$BG119)&lt;52,IF('Capacity summary'!AV119&lt;&gt;"",IF(LOWER('Capacity summary'!AV119)="x",$BI207*AV207,VALUE('Capacity summary'!AV119)),0),AV207*$BI207),AV207*$BI207),0)</f>
        <v>0</v>
      </c>
      <c r="CZ207" s="5">
        <f>IF($BI207&lt;&gt;"",IF('Capacity summary'!$C$14="Yes",IF(COUNTBLANK('Capacity summary'!$H119:$BG119)&lt;52,IF('Capacity summary'!AW119&lt;&gt;"",IF(LOWER('Capacity summary'!AW119)="x",$BI207*AW207,VALUE('Capacity summary'!AW119)),0),AW207*$BI207),AW207*$BI207),0)</f>
        <v>0</v>
      </c>
      <c r="DA207" s="5">
        <f>IF($BI207&lt;&gt;"",IF('Capacity summary'!$C$14="Yes",IF(COUNTBLANK('Capacity summary'!$H119:$BG119)&lt;52,IF('Capacity summary'!AX119&lt;&gt;"",IF(LOWER('Capacity summary'!AX119)="x",$BI207*AX207,VALUE('Capacity summary'!AX119)),0),AX207*$BI207),AX207*$BI207),0)</f>
        <v>0</v>
      </c>
      <c r="DB207" s="5">
        <f>IF($BI207&lt;&gt;"",IF('Capacity summary'!$C$14="Yes",IF(COUNTBLANK('Capacity summary'!$H119:$BG119)&lt;52,IF('Capacity summary'!AY119&lt;&gt;"",IF(LOWER('Capacity summary'!AY119)="x",$BI207*AY207,VALUE('Capacity summary'!AY119)),0),AY207*$BI207),AY207*$BI207),0)</f>
        <v>0</v>
      </c>
      <c r="DC207" s="5">
        <f>IF($BI207&lt;&gt;"",IF('Capacity summary'!$C$14="Yes",IF(COUNTBLANK('Capacity summary'!$H119:$BG119)&lt;52,IF('Capacity summary'!AZ119&lt;&gt;"",IF(LOWER('Capacity summary'!AZ119)="x",$BI207*AZ207,VALUE('Capacity summary'!AZ119)),0),AZ207*$BI207),AZ207*$BI207),0)</f>
        <v>0</v>
      </c>
      <c r="DD207" s="5">
        <f>IF($BI207&lt;&gt;"",IF('Capacity summary'!$C$14="Yes",IF(COUNTBLANK('Capacity summary'!$H119:$BG119)&lt;52,IF('Capacity summary'!BA119&lt;&gt;"",IF(LOWER('Capacity summary'!BA119)="x",$BI207*BA207,VALUE('Capacity summary'!BA119)),0),BA207*$BI207),BA207*$BI207),0)</f>
        <v>0</v>
      </c>
      <c r="DE207" s="5">
        <f>IF($BI207&lt;&gt;"",IF('Capacity summary'!$C$14="Yes",IF(COUNTBLANK('Capacity summary'!$H119:$BG119)&lt;52,IF('Capacity summary'!BB119&lt;&gt;"",IF(LOWER('Capacity summary'!BB119)="x",$BI207*BB207,VALUE('Capacity summary'!BB119)),0),BB207*$BI207),BB207*$BI207),0)</f>
        <v>0</v>
      </c>
      <c r="DF207" s="5">
        <f>IF($BI207&lt;&gt;"",IF('Capacity summary'!$C$14="Yes",IF(COUNTBLANK('Capacity summary'!$H119:$BG119)&lt;52,IF('Capacity summary'!BC119&lt;&gt;"",IF(LOWER('Capacity summary'!BC119)="x",$BI207*BC207,VALUE('Capacity summary'!BC119)),0),BC207*$BI207),BC207*$BI207),0)</f>
        <v>0</v>
      </c>
      <c r="DG207" s="5">
        <f>IF($BI207&lt;&gt;"",IF('Capacity summary'!$C$14="Yes",IF(COUNTBLANK('Capacity summary'!$H119:$BG119)&lt;52,IF('Capacity summary'!BD119&lt;&gt;"",IF(LOWER('Capacity summary'!BD119)="x",$BI207*BD207,VALUE('Capacity summary'!BD119)),0),BD207*$BI207),BD207*$BI207),0)</f>
        <v>0</v>
      </c>
      <c r="DH207" s="5">
        <f>IF($BI207&lt;&gt;"",IF('Capacity summary'!$C$14="Yes",IF(COUNTBLANK('Capacity summary'!$H119:$BG119)&lt;52,IF('Capacity summary'!BE119&lt;&gt;"",IF(LOWER('Capacity summary'!BE119)="x",$BI207*BE207,VALUE('Capacity summary'!BE119)),0),BE207*$BI207),BE207*$BI207),0)</f>
        <v>0</v>
      </c>
      <c r="DI207" s="5">
        <f>IF($BI207&lt;&gt;"",IF('Capacity summary'!$C$14="Yes",IF(COUNTBLANK('Capacity summary'!$H119:$BG119)&lt;52,IF('Capacity summary'!BF119&lt;&gt;"",IF(LOWER('Capacity summary'!BF119)="x",$BI207*BF207,VALUE('Capacity summary'!BF119)),0),BF207*$BI207),BF207*$BI207),0)</f>
        <v>0</v>
      </c>
      <c r="DJ207" s="5">
        <f>IF($BI207&lt;&gt;"",IF('Capacity summary'!$C$14="Yes",IF(COUNTBLANK('Capacity summary'!$H119:$BG119)&lt;52,IF('Capacity summary'!BG119&lt;&gt;"",IF(LOWER('Capacity summary'!BG119)="x",$BI207*BG207,VALUE('Capacity summary'!BG119)),0),BG207*$BI207),BG207*$BI207),0)</f>
        <v>0</v>
      </c>
      <c r="DK207" s="5">
        <f t="shared" ref="DK207" si="101">SUM(DK208:DK307)</f>
        <v>0</v>
      </c>
    </row>
    <row r="208" spans="3:115" x14ac:dyDescent="0.25">
      <c r="C208" s="67" t="str">
        <f>ROW(A97)&amp;". "&amp;Capacity!N113</f>
        <v xml:space="preserve">97. </v>
      </c>
      <c r="D208" s="67">
        <f>'Capacity setup'!C214</f>
        <v>0</v>
      </c>
      <c r="E208" s="67">
        <f>'Capacity setup'!D214</f>
        <v>0</v>
      </c>
      <c r="F208" s="67">
        <f>'Capacity setup'!E214</f>
        <v>0</v>
      </c>
      <c r="H208" s="67">
        <f ca="1">IF(AND(SUMIF(Capacity_Resource,$D208,'Critical resources (hide)'!U$6:U$105)+SUMIF(Capacity_Resource,$E208,'Critical resources (hide)'!U$6:U$105)+SUMIF(Capacity_Resource,$F208,'Critical resources (hide)'!U$6:U$105)&gt;0,$E$1=2),0,1)</f>
        <v>1</v>
      </c>
      <c r="I208" s="67">
        <f ca="1">IF(AND(SUMIF(Capacity_Resource,$D208,'Critical resources (hide)'!V$6:V$105)+SUMIF(Capacity_Resource,$E208,'Critical resources (hide)'!V$6:V$105)+SUMIF(Capacity_Resource,$F208,'Critical resources (hide)'!V$6:V$105)&gt;0,$E$1=2),0,1)</f>
        <v>1</v>
      </c>
      <c r="J208" s="67">
        <f ca="1">IF(AND(SUMIF(Capacity_Resource,$D208,'Critical resources (hide)'!W$6:W$105)+SUMIF(Capacity_Resource,$E208,'Critical resources (hide)'!W$6:W$105)+SUMIF(Capacity_Resource,$F208,'Critical resources (hide)'!W$6:W$105)&gt;0,$E$1=2),0,1)</f>
        <v>1</v>
      </c>
      <c r="K208" s="67">
        <f ca="1">IF(AND(SUMIF(Capacity_Resource,$D208,'Critical resources (hide)'!X$6:X$105)+SUMIF(Capacity_Resource,$E208,'Critical resources (hide)'!X$6:X$105)+SUMIF(Capacity_Resource,$F208,'Critical resources (hide)'!X$6:X$105)&gt;0,$E$1=2),0,1)</f>
        <v>1</v>
      </c>
      <c r="L208" s="67">
        <f ca="1">IF(AND(SUMIF(Capacity_Resource,$D208,'Critical resources (hide)'!Y$6:Y$105)+SUMIF(Capacity_Resource,$E208,'Critical resources (hide)'!Y$6:Y$105)+SUMIF(Capacity_Resource,$F208,'Critical resources (hide)'!Y$6:Y$105)&gt;0,$E$1=2),0,1)</f>
        <v>1</v>
      </c>
      <c r="M208" s="67">
        <f ca="1">IF(AND(SUMIF(Capacity_Resource,$D208,'Critical resources (hide)'!Z$6:Z$105)+SUMIF(Capacity_Resource,$E208,'Critical resources (hide)'!Z$6:Z$105)+SUMIF(Capacity_Resource,$F208,'Critical resources (hide)'!Z$6:Z$105)&gt;0,$E$1=2),0,1)</f>
        <v>1</v>
      </c>
      <c r="N208" s="67">
        <f ca="1">IF(AND(SUMIF(Capacity_Resource,$D208,'Critical resources (hide)'!AA$6:AA$105)+SUMIF(Capacity_Resource,$E208,'Critical resources (hide)'!AA$6:AA$105)+SUMIF(Capacity_Resource,$F208,'Critical resources (hide)'!AA$6:AA$105)&gt;0,$E$1=2),0,1)</f>
        <v>1</v>
      </c>
      <c r="O208" s="67">
        <f ca="1">IF(AND(SUMIF(Capacity_Resource,$D208,'Critical resources (hide)'!AB$6:AB$105)+SUMIF(Capacity_Resource,$E208,'Critical resources (hide)'!AB$6:AB$105)+SUMIF(Capacity_Resource,$F208,'Critical resources (hide)'!AB$6:AB$105)&gt;0,$E$1=2),0,1)</f>
        <v>1</v>
      </c>
      <c r="P208" s="67">
        <f ca="1">IF(AND(SUMIF(Capacity_Resource,$D208,'Critical resources (hide)'!AC$6:AC$105)+SUMIF(Capacity_Resource,$E208,'Critical resources (hide)'!AC$6:AC$105)+SUMIF(Capacity_Resource,$F208,'Critical resources (hide)'!AC$6:AC$105)&gt;0,$E$1=2),0,1)</f>
        <v>1</v>
      </c>
      <c r="Q208" s="67">
        <f ca="1">IF(AND(SUMIF(Capacity_Resource,$D208,'Critical resources (hide)'!AD$6:AD$105)+SUMIF(Capacity_Resource,$E208,'Critical resources (hide)'!AD$6:AD$105)+SUMIF(Capacity_Resource,$F208,'Critical resources (hide)'!AD$6:AD$105)&gt;0,$E$1=2),0,1)</f>
        <v>1</v>
      </c>
      <c r="R208" s="67">
        <f ca="1">IF(AND(SUMIF(Capacity_Resource,$D208,'Critical resources (hide)'!AE$6:AE$105)+SUMIF(Capacity_Resource,$E208,'Critical resources (hide)'!AE$6:AE$105)+SUMIF(Capacity_Resource,$F208,'Critical resources (hide)'!AE$6:AE$105)&gt;0,$E$1=2),0,1)</f>
        <v>1</v>
      </c>
      <c r="S208" s="67">
        <f ca="1">IF(AND(SUMIF(Capacity_Resource,$D208,'Critical resources (hide)'!AF$6:AF$105)+SUMIF(Capacity_Resource,$E208,'Critical resources (hide)'!AF$6:AF$105)+SUMIF(Capacity_Resource,$F208,'Critical resources (hide)'!AF$6:AF$105)&gt;0,$E$1=2),0,1)</f>
        <v>1</v>
      </c>
      <c r="T208" s="67">
        <f ca="1">IF(AND(SUMIF(Capacity_Resource,$D208,'Critical resources (hide)'!AG$6:AG$105)+SUMIF(Capacity_Resource,$E208,'Critical resources (hide)'!AG$6:AG$105)+SUMIF(Capacity_Resource,$F208,'Critical resources (hide)'!AG$6:AG$105)&gt;0,$E$1=2),0,1)</f>
        <v>1</v>
      </c>
      <c r="U208" s="67">
        <f ca="1">IF(AND(SUMIF(Capacity_Resource,$D208,'Critical resources (hide)'!AH$6:AH$105)+SUMIF(Capacity_Resource,$E208,'Critical resources (hide)'!AH$6:AH$105)+SUMIF(Capacity_Resource,$F208,'Critical resources (hide)'!AH$6:AH$105)&gt;0,$E$1=2),0,1)</f>
        <v>1</v>
      </c>
      <c r="V208" s="67">
        <f ca="1">IF(AND(SUMIF(Capacity_Resource,$D208,'Critical resources (hide)'!AI$6:AI$105)+SUMIF(Capacity_Resource,$E208,'Critical resources (hide)'!AI$6:AI$105)+SUMIF(Capacity_Resource,$F208,'Critical resources (hide)'!AI$6:AI$105)&gt;0,$E$1=2),0,1)</f>
        <v>1</v>
      </c>
      <c r="W208" s="67">
        <f ca="1">IF(AND(SUMIF(Capacity_Resource,$D208,'Critical resources (hide)'!AJ$6:AJ$105)+SUMIF(Capacity_Resource,$E208,'Critical resources (hide)'!AJ$6:AJ$105)+SUMIF(Capacity_Resource,$F208,'Critical resources (hide)'!AJ$6:AJ$105)&gt;0,$E$1=2),0,1)</f>
        <v>1</v>
      </c>
      <c r="X208" s="67">
        <f ca="1">IF(AND(SUMIF(Capacity_Resource,$D208,'Critical resources (hide)'!AK$6:AK$105)+SUMIF(Capacity_Resource,$E208,'Critical resources (hide)'!AK$6:AK$105)+SUMIF(Capacity_Resource,$F208,'Critical resources (hide)'!AK$6:AK$105)&gt;0,$E$1=2),0,1)</f>
        <v>1</v>
      </c>
      <c r="Y208" s="67">
        <f ca="1">IF(AND(SUMIF(Capacity_Resource,$D208,'Critical resources (hide)'!AL$6:AL$105)+SUMIF(Capacity_Resource,$E208,'Critical resources (hide)'!AL$6:AL$105)+SUMIF(Capacity_Resource,$F208,'Critical resources (hide)'!AL$6:AL$105)&gt;0,$E$1=2),0,1)</f>
        <v>1</v>
      </c>
      <c r="Z208" s="67">
        <f ca="1">IF(AND(SUMIF(Capacity_Resource,$D208,'Critical resources (hide)'!AM$6:AM$105)+SUMIF(Capacity_Resource,$E208,'Critical resources (hide)'!AM$6:AM$105)+SUMIF(Capacity_Resource,$F208,'Critical resources (hide)'!AM$6:AM$105)&gt;0,$E$1=2),0,1)</f>
        <v>1</v>
      </c>
      <c r="AA208" s="67">
        <f ca="1">IF(AND(SUMIF(Capacity_Resource,$D208,'Critical resources (hide)'!AN$6:AN$105)+SUMIF(Capacity_Resource,$E208,'Critical resources (hide)'!AN$6:AN$105)+SUMIF(Capacity_Resource,$F208,'Critical resources (hide)'!AN$6:AN$105)&gt;0,$E$1=2),0,1)</f>
        <v>1</v>
      </c>
      <c r="AB208" s="67">
        <f ca="1">IF(AND(SUMIF(Capacity_Resource,$D208,'Critical resources (hide)'!AO$6:AO$105)+SUMIF(Capacity_Resource,$E208,'Critical resources (hide)'!AO$6:AO$105)+SUMIF(Capacity_Resource,$F208,'Critical resources (hide)'!AO$6:AO$105)&gt;0,$E$1=2),0,1)</f>
        <v>1</v>
      </c>
      <c r="AC208" s="67">
        <f ca="1">IF(AND(SUMIF(Capacity_Resource,$D208,'Critical resources (hide)'!AP$6:AP$105)+SUMIF(Capacity_Resource,$E208,'Critical resources (hide)'!AP$6:AP$105)+SUMIF(Capacity_Resource,$F208,'Critical resources (hide)'!AP$6:AP$105)&gt;0,$E$1=2),0,1)</f>
        <v>1</v>
      </c>
      <c r="AD208" s="67">
        <f ca="1">IF(AND(SUMIF(Capacity_Resource,$D208,'Critical resources (hide)'!AQ$6:AQ$105)+SUMIF(Capacity_Resource,$E208,'Critical resources (hide)'!AQ$6:AQ$105)+SUMIF(Capacity_Resource,$F208,'Critical resources (hide)'!AQ$6:AQ$105)&gt;0,$E$1=2),0,1)</f>
        <v>1</v>
      </c>
      <c r="AE208" s="67">
        <f ca="1">IF(AND(SUMIF(Capacity_Resource,$D208,'Critical resources (hide)'!AR$6:AR$105)+SUMIF(Capacity_Resource,$E208,'Critical resources (hide)'!AR$6:AR$105)+SUMIF(Capacity_Resource,$F208,'Critical resources (hide)'!AR$6:AR$105)&gt;0,$E$1=2),0,1)</f>
        <v>1</v>
      </c>
      <c r="AF208" s="67">
        <f ca="1">IF(AND(SUMIF(Capacity_Resource,$D208,'Critical resources (hide)'!AS$6:AS$105)+SUMIF(Capacity_Resource,$E208,'Critical resources (hide)'!AS$6:AS$105)+SUMIF(Capacity_Resource,$F208,'Critical resources (hide)'!AS$6:AS$105)&gt;0,$E$1=2),0,1)</f>
        <v>1</v>
      </c>
      <c r="AG208" s="67">
        <f ca="1">IF(AND(SUMIF(Capacity_Resource,$D208,'Critical resources (hide)'!AT$6:AT$105)+SUMIF(Capacity_Resource,$E208,'Critical resources (hide)'!AT$6:AT$105)+SUMIF(Capacity_Resource,$F208,'Critical resources (hide)'!AT$6:AT$105)&gt;0,$E$1=2),0,1)</f>
        <v>1</v>
      </c>
      <c r="AH208" s="67">
        <f ca="1">IF(AND(SUMIF(Capacity_Resource,$D208,'Critical resources (hide)'!AU$6:AU$105)+SUMIF(Capacity_Resource,$E208,'Critical resources (hide)'!AU$6:AU$105)+SUMIF(Capacity_Resource,$F208,'Critical resources (hide)'!AU$6:AU$105)&gt;0,$E$1=2),0,1)</f>
        <v>1</v>
      </c>
      <c r="AI208" s="67">
        <f ca="1">IF(AND(SUMIF(Capacity_Resource,$D208,'Critical resources (hide)'!AV$6:AV$105)+SUMIF(Capacity_Resource,$E208,'Critical resources (hide)'!AV$6:AV$105)+SUMIF(Capacity_Resource,$F208,'Critical resources (hide)'!AV$6:AV$105)&gt;0,$E$1=2),0,1)</f>
        <v>1</v>
      </c>
      <c r="AJ208" s="67">
        <f ca="1">IF(AND(SUMIF(Capacity_Resource,$D208,'Critical resources (hide)'!AW$6:AW$105)+SUMIF(Capacity_Resource,$E208,'Critical resources (hide)'!AW$6:AW$105)+SUMIF(Capacity_Resource,$F208,'Critical resources (hide)'!AW$6:AW$105)&gt;0,$E$1=2),0,1)</f>
        <v>1</v>
      </c>
      <c r="AK208" s="67">
        <f ca="1">IF(AND(SUMIF(Capacity_Resource,$D208,'Critical resources (hide)'!AX$6:AX$105)+SUMIF(Capacity_Resource,$E208,'Critical resources (hide)'!AX$6:AX$105)+SUMIF(Capacity_Resource,$F208,'Critical resources (hide)'!AX$6:AX$105)&gt;0,$E$1=2),0,1)</f>
        <v>1</v>
      </c>
      <c r="AL208" s="67">
        <f ca="1">IF(AND(SUMIF(Capacity_Resource,$D208,'Critical resources (hide)'!AY$6:AY$105)+SUMIF(Capacity_Resource,$E208,'Critical resources (hide)'!AY$6:AY$105)+SUMIF(Capacity_Resource,$F208,'Critical resources (hide)'!AY$6:AY$105)&gt;0,$E$1=2),0,1)</f>
        <v>1</v>
      </c>
      <c r="AM208" s="67">
        <f ca="1">IF(AND(SUMIF(Capacity_Resource,$D208,'Critical resources (hide)'!AZ$6:AZ$105)+SUMIF(Capacity_Resource,$E208,'Critical resources (hide)'!AZ$6:AZ$105)+SUMIF(Capacity_Resource,$F208,'Critical resources (hide)'!AZ$6:AZ$105)&gt;0,$E$1=2),0,1)</f>
        <v>1</v>
      </c>
      <c r="AN208" s="67">
        <f ca="1">IF(AND(SUMIF(Capacity_Resource,$D208,'Critical resources (hide)'!BA$6:BA$105)+SUMIF(Capacity_Resource,$E208,'Critical resources (hide)'!BA$6:BA$105)+SUMIF(Capacity_Resource,$F208,'Critical resources (hide)'!BA$6:BA$105)&gt;0,$E$1=2),0,1)</f>
        <v>1</v>
      </c>
      <c r="AO208" s="67">
        <f ca="1">IF(AND(SUMIF(Capacity_Resource,$D208,'Critical resources (hide)'!BB$6:BB$105)+SUMIF(Capacity_Resource,$E208,'Critical resources (hide)'!BB$6:BB$105)+SUMIF(Capacity_Resource,$F208,'Critical resources (hide)'!BB$6:BB$105)&gt;0,$E$1=2),0,1)</f>
        <v>1</v>
      </c>
      <c r="AP208" s="67">
        <f ca="1">IF(AND(SUMIF(Capacity_Resource,$D208,'Critical resources (hide)'!BC$6:BC$105)+SUMIF(Capacity_Resource,$E208,'Critical resources (hide)'!BC$6:BC$105)+SUMIF(Capacity_Resource,$F208,'Critical resources (hide)'!BC$6:BC$105)&gt;0,$E$1=2),0,1)</f>
        <v>1</v>
      </c>
      <c r="AQ208" s="67">
        <f ca="1">IF(AND(SUMIF(Capacity_Resource,$D208,'Critical resources (hide)'!BD$6:BD$105)+SUMIF(Capacity_Resource,$E208,'Critical resources (hide)'!BD$6:BD$105)+SUMIF(Capacity_Resource,$F208,'Critical resources (hide)'!BD$6:BD$105)&gt;0,$E$1=2),0,1)</f>
        <v>1</v>
      </c>
      <c r="AR208" s="67">
        <f ca="1">IF(AND(SUMIF(Capacity_Resource,$D208,'Critical resources (hide)'!BE$6:BE$105)+SUMIF(Capacity_Resource,$E208,'Critical resources (hide)'!BE$6:BE$105)+SUMIF(Capacity_Resource,$F208,'Critical resources (hide)'!BE$6:BE$105)&gt;0,$E$1=2),0,1)</f>
        <v>1</v>
      </c>
      <c r="AS208" s="67">
        <f ca="1">IF(AND(SUMIF(Capacity_Resource,$D208,'Critical resources (hide)'!BF$6:BF$105)+SUMIF(Capacity_Resource,$E208,'Critical resources (hide)'!BF$6:BF$105)+SUMIF(Capacity_Resource,$F208,'Critical resources (hide)'!BF$6:BF$105)&gt;0,$E$1=2),0,1)</f>
        <v>1</v>
      </c>
      <c r="AT208" s="67">
        <f ca="1">IF(AND(SUMIF(Capacity_Resource,$D208,'Critical resources (hide)'!BG$6:BG$105)+SUMIF(Capacity_Resource,$E208,'Critical resources (hide)'!BG$6:BG$105)+SUMIF(Capacity_Resource,$F208,'Critical resources (hide)'!BG$6:BG$105)&gt;0,$E$1=2),0,1)</f>
        <v>1</v>
      </c>
      <c r="AU208" s="67">
        <f ca="1">IF(AND(SUMIF(Capacity_Resource,$D208,'Critical resources (hide)'!BH$6:BH$105)+SUMIF(Capacity_Resource,$E208,'Critical resources (hide)'!BH$6:BH$105)+SUMIF(Capacity_Resource,$F208,'Critical resources (hide)'!BH$6:BH$105)&gt;0,$E$1=2),0,1)</f>
        <v>1</v>
      </c>
      <c r="AV208" s="67">
        <f ca="1">IF(AND(SUMIF(Capacity_Resource,$D208,'Critical resources (hide)'!BI$6:BI$105)+SUMIF(Capacity_Resource,$E208,'Critical resources (hide)'!BI$6:BI$105)+SUMIF(Capacity_Resource,$F208,'Critical resources (hide)'!BI$6:BI$105)&gt;0,$E$1=2),0,1)</f>
        <v>1</v>
      </c>
      <c r="AW208" s="67">
        <f ca="1">IF(AND(SUMIF(Capacity_Resource,$D208,'Critical resources (hide)'!BJ$6:BJ$105)+SUMIF(Capacity_Resource,$E208,'Critical resources (hide)'!BJ$6:BJ$105)+SUMIF(Capacity_Resource,$F208,'Critical resources (hide)'!BJ$6:BJ$105)&gt;0,$E$1=2),0,1)</f>
        <v>1</v>
      </c>
      <c r="AX208" s="67">
        <f ca="1">IF(AND(SUMIF(Capacity_Resource,$D208,'Critical resources (hide)'!BK$6:BK$105)+SUMIF(Capacity_Resource,$E208,'Critical resources (hide)'!BK$6:BK$105)+SUMIF(Capacity_Resource,$F208,'Critical resources (hide)'!BK$6:BK$105)&gt;0,$E$1=2),0,1)</f>
        <v>1</v>
      </c>
      <c r="AY208" s="67">
        <f ca="1">IF(AND(SUMIF(Capacity_Resource,$D208,'Critical resources (hide)'!BL$6:BL$105)+SUMIF(Capacity_Resource,$E208,'Critical resources (hide)'!BL$6:BL$105)+SUMIF(Capacity_Resource,$F208,'Critical resources (hide)'!BL$6:BL$105)&gt;0,$E$1=2),0,1)</f>
        <v>1</v>
      </c>
      <c r="AZ208" s="67">
        <f ca="1">IF(AND(SUMIF(Capacity_Resource,$D208,'Critical resources (hide)'!BM$6:BM$105)+SUMIF(Capacity_Resource,$E208,'Critical resources (hide)'!BM$6:BM$105)+SUMIF(Capacity_Resource,$F208,'Critical resources (hide)'!BM$6:BM$105)&gt;0,$E$1=2),0,1)</f>
        <v>1</v>
      </c>
      <c r="BA208" s="67">
        <f ca="1">IF(AND(SUMIF(Capacity_Resource,$D208,'Critical resources (hide)'!BN$6:BN$105)+SUMIF(Capacity_Resource,$E208,'Critical resources (hide)'!BN$6:BN$105)+SUMIF(Capacity_Resource,$F208,'Critical resources (hide)'!BN$6:BN$105)&gt;0,$E$1=2),0,1)</f>
        <v>1</v>
      </c>
      <c r="BB208" s="67">
        <f ca="1">IF(AND(SUMIF(Capacity_Resource,$D208,'Critical resources (hide)'!BO$6:BO$105)+SUMIF(Capacity_Resource,$E208,'Critical resources (hide)'!BO$6:BO$105)+SUMIF(Capacity_Resource,$F208,'Critical resources (hide)'!BO$6:BO$105)&gt;0,$E$1=2),0,1)</f>
        <v>1</v>
      </c>
      <c r="BC208" s="67">
        <f ca="1">IF(AND(SUMIF(Capacity_Resource,$D208,'Critical resources (hide)'!BP$6:BP$105)+SUMIF(Capacity_Resource,$E208,'Critical resources (hide)'!BP$6:BP$105)+SUMIF(Capacity_Resource,$F208,'Critical resources (hide)'!BP$6:BP$105)&gt;0,$E$1=2),0,1)</f>
        <v>1</v>
      </c>
      <c r="BD208" s="67">
        <f ca="1">IF(AND(SUMIF(Capacity_Resource,$D208,'Critical resources (hide)'!BQ$6:BQ$105)+SUMIF(Capacity_Resource,$E208,'Critical resources (hide)'!BQ$6:BQ$105)+SUMIF(Capacity_Resource,$F208,'Critical resources (hide)'!BQ$6:BQ$105)&gt;0,$E$1=2),0,1)</f>
        <v>1</v>
      </c>
      <c r="BE208" s="67">
        <f ca="1">IF(AND(SUMIF(Capacity_Resource,$D208,'Critical resources (hide)'!BR$6:BR$105)+SUMIF(Capacity_Resource,$E208,'Critical resources (hide)'!BR$6:BR$105)+SUMIF(Capacity_Resource,$F208,'Critical resources (hide)'!BR$6:BR$105)&gt;0,$E$1=2),0,1)</f>
        <v>1</v>
      </c>
      <c r="BF208" s="67">
        <f ca="1">IF(AND(SUMIF(Capacity_Resource,$D208,'Critical resources (hide)'!BS$6:BS$105)+SUMIF(Capacity_Resource,$E208,'Critical resources (hide)'!BS$6:BS$105)+SUMIF(Capacity_Resource,$F208,'Critical resources (hide)'!BS$6:BS$105)&gt;0,$E$1=2),0,1)</f>
        <v>1</v>
      </c>
      <c r="BG208" s="67">
        <f ca="1">IF(AND(SUMIF(Capacity_Resource,$D208,'Critical resources (hide)'!BT$6:BT$105)+SUMIF(Capacity_Resource,$E208,'Critical resources (hide)'!BT$6:BT$105)+SUMIF(Capacity_Resource,$F208,'Critical resources (hide)'!BT$6:BT$105)&gt;0,$E$1=2),0,1)</f>
        <v>1</v>
      </c>
      <c r="BH208" s="67">
        <f>IF(ROW(A97)&lt;=Capacity!$M$16,IF('Capacity summary'!$C$14="No",SUM(H208:BG208),'Capacity summary'!$E120),0)</f>
        <v>0</v>
      </c>
      <c r="BI208" s="67" t="str">
        <f>IF(BH208&gt;0,IF(BH208&lt;Capacity!Q113,Capacity!R113,Capacity!T113/'Capacity calculation (hide)'!BH208),"")</f>
        <v/>
      </c>
      <c r="BJ208" s="5"/>
      <c r="BK208" s="5">
        <f>IF($BI208&lt;&gt;"",IF('Capacity summary'!$C$14="Yes",IF(COUNTBLANK('Capacity summary'!$H120:$BG120)&lt;52,IF('Capacity summary'!H120&lt;&gt;"",IF(LOWER('Capacity summary'!H120)="x",$BI208*H208,VALUE('Capacity summary'!H120)),0),H208*$BI208),H208*$BI208),0)</f>
        <v>0</v>
      </c>
      <c r="BL208" s="5">
        <f>IF($BI208&lt;&gt;"",IF('Capacity summary'!$C$14="Yes",IF(COUNTBLANK('Capacity summary'!$H120:$BG120)&lt;52,IF('Capacity summary'!I120&lt;&gt;"",IF(LOWER('Capacity summary'!I120)="x",$BI208*I208,VALUE('Capacity summary'!I120)),0),I208*$BI208),I208*$BI208),0)</f>
        <v>0</v>
      </c>
      <c r="BM208" s="5">
        <f>IF($BI208&lt;&gt;"",IF('Capacity summary'!$C$14="Yes",IF(COUNTBLANK('Capacity summary'!$H120:$BG120)&lt;52,IF('Capacity summary'!J120&lt;&gt;"",IF(LOWER('Capacity summary'!J120)="x",$BI208*J208,VALUE('Capacity summary'!J120)),0),J208*$BI208),J208*$BI208),0)</f>
        <v>0</v>
      </c>
      <c r="BN208" s="5">
        <f>IF($BI208&lt;&gt;"",IF('Capacity summary'!$C$14="Yes",IF(COUNTBLANK('Capacity summary'!$H120:$BG120)&lt;52,IF('Capacity summary'!K120&lt;&gt;"",IF(LOWER('Capacity summary'!K120)="x",$BI208*K208,VALUE('Capacity summary'!K120)),0),K208*$BI208),K208*$BI208),0)</f>
        <v>0</v>
      </c>
      <c r="BO208" s="5">
        <f>IF($BI208&lt;&gt;"",IF('Capacity summary'!$C$14="Yes",IF(COUNTBLANK('Capacity summary'!$H120:$BG120)&lt;52,IF('Capacity summary'!L120&lt;&gt;"",IF(LOWER('Capacity summary'!L120)="x",$BI208*L208,VALUE('Capacity summary'!L120)),0),L208*$BI208),L208*$BI208),0)</f>
        <v>0</v>
      </c>
      <c r="BP208" s="5">
        <f>IF($BI208&lt;&gt;"",IF('Capacity summary'!$C$14="Yes",IF(COUNTBLANK('Capacity summary'!$H120:$BG120)&lt;52,IF('Capacity summary'!M120&lt;&gt;"",IF(LOWER('Capacity summary'!M120)="x",$BI208*M208,VALUE('Capacity summary'!M120)),0),M208*$BI208),M208*$BI208),0)</f>
        <v>0</v>
      </c>
      <c r="BQ208" s="5">
        <f>IF($BI208&lt;&gt;"",IF('Capacity summary'!$C$14="Yes",IF(COUNTBLANK('Capacity summary'!$H120:$BG120)&lt;52,IF('Capacity summary'!N120&lt;&gt;"",IF(LOWER('Capacity summary'!N120)="x",$BI208*N208,VALUE('Capacity summary'!N120)),0),N208*$BI208),N208*$BI208),0)</f>
        <v>0</v>
      </c>
      <c r="BR208" s="5">
        <f>IF($BI208&lt;&gt;"",IF('Capacity summary'!$C$14="Yes",IF(COUNTBLANK('Capacity summary'!$H120:$BG120)&lt;52,IF('Capacity summary'!O120&lt;&gt;"",IF(LOWER('Capacity summary'!O120)="x",$BI208*O208,VALUE('Capacity summary'!O120)),0),O208*$BI208),O208*$BI208),0)</f>
        <v>0</v>
      </c>
      <c r="BS208" s="5">
        <f>IF($BI208&lt;&gt;"",IF('Capacity summary'!$C$14="Yes",IF(COUNTBLANK('Capacity summary'!$H120:$BG120)&lt;52,IF('Capacity summary'!P120&lt;&gt;"",IF(LOWER('Capacity summary'!P120)="x",$BI208*P208,VALUE('Capacity summary'!P120)),0),P208*$BI208),P208*$BI208),0)</f>
        <v>0</v>
      </c>
      <c r="BT208" s="5">
        <f>IF($BI208&lt;&gt;"",IF('Capacity summary'!$C$14="Yes",IF(COUNTBLANK('Capacity summary'!$H120:$BG120)&lt;52,IF('Capacity summary'!Q120&lt;&gt;"",IF(LOWER('Capacity summary'!Q120)="x",$BI208*Q208,VALUE('Capacity summary'!Q120)),0),Q208*$BI208),Q208*$BI208),0)</f>
        <v>0</v>
      </c>
      <c r="BU208" s="5">
        <f>IF($BI208&lt;&gt;"",IF('Capacity summary'!$C$14="Yes",IF(COUNTBLANK('Capacity summary'!$H120:$BG120)&lt;52,IF('Capacity summary'!R120&lt;&gt;"",IF(LOWER('Capacity summary'!R120)="x",$BI208*R208,VALUE('Capacity summary'!R120)),0),R208*$BI208),R208*$BI208),0)</f>
        <v>0</v>
      </c>
      <c r="BV208" s="5">
        <f>IF($BI208&lt;&gt;"",IF('Capacity summary'!$C$14="Yes",IF(COUNTBLANK('Capacity summary'!$H120:$BG120)&lt;52,IF('Capacity summary'!S120&lt;&gt;"",IF(LOWER('Capacity summary'!S120)="x",$BI208*S208,VALUE('Capacity summary'!S120)),0),S208*$BI208),S208*$BI208),0)</f>
        <v>0</v>
      </c>
      <c r="BW208" s="5">
        <f>IF($BI208&lt;&gt;"",IF('Capacity summary'!$C$14="Yes",IF(COUNTBLANK('Capacity summary'!$H120:$BG120)&lt;52,IF('Capacity summary'!T120&lt;&gt;"",IF(LOWER('Capacity summary'!T120)="x",$BI208*T208,VALUE('Capacity summary'!T120)),0),T208*$BI208),T208*$BI208),0)</f>
        <v>0</v>
      </c>
      <c r="BX208" s="5">
        <f>IF($BI208&lt;&gt;"",IF('Capacity summary'!$C$14="Yes",IF(COUNTBLANK('Capacity summary'!$H120:$BG120)&lt;52,IF('Capacity summary'!U120&lt;&gt;"",IF(LOWER('Capacity summary'!U120)="x",$BI208*U208,VALUE('Capacity summary'!U120)),0),U208*$BI208),U208*$BI208),0)</f>
        <v>0</v>
      </c>
      <c r="BY208" s="5">
        <f>IF($BI208&lt;&gt;"",IF('Capacity summary'!$C$14="Yes",IF(COUNTBLANK('Capacity summary'!$H120:$BG120)&lt;52,IF('Capacity summary'!V120&lt;&gt;"",IF(LOWER('Capacity summary'!V120)="x",$BI208*V208,VALUE('Capacity summary'!V120)),0),V208*$BI208),V208*$BI208),0)</f>
        <v>0</v>
      </c>
      <c r="BZ208" s="5">
        <f>IF($BI208&lt;&gt;"",IF('Capacity summary'!$C$14="Yes",IF(COUNTBLANK('Capacity summary'!$H120:$BG120)&lt;52,IF('Capacity summary'!W120&lt;&gt;"",IF(LOWER('Capacity summary'!W120)="x",$BI208*W208,VALUE('Capacity summary'!W120)),0),W208*$BI208),W208*$BI208),0)</f>
        <v>0</v>
      </c>
      <c r="CA208" s="5">
        <f>IF($BI208&lt;&gt;"",IF('Capacity summary'!$C$14="Yes",IF(COUNTBLANK('Capacity summary'!$H120:$BG120)&lt;52,IF('Capacity summary'!X120&lt;&gt;"",IF(LOWER('Capacity summary'!X120)="x",$BI208*X208,VALUE('Capacity summary'!X120)),0),X208*$BI208),X208*$BI208),0)</f>
        <v>0</v>
      </c>
      <c r="CB208" s="5">
        <f>IF($BI208&lt;&gt;"",IF('Capacity summary'!$C$14="Yes",IF(COUNTBLANK('Capacity summary'!$H120:$BG120)&lt;52,IF('Capacity summary'!Y120&lt;&gt;"",IF(LOWER('Capacity summary'!Y120)="x",$BI208*Y208,VALUE('Capacity summary'!Y120)),0),Y208*$BI208),Y208*$BI208),0)</f>
        <v>0</v>
      </c>
      <c r="CC208" s="5">
        <f>IF($BI208&lt;&gt;"",IF('Capacity summary'!$C$14="Yes",IF(COUNTBLANK('Capacity summary'!$H120:$BG120)&lt;52,IF('Capacity summary'!Z120&lt;&gt;"",IF(LOWER('Capacity summary'!Z120)="x",$BI208*Z208,VALUE('Capacity summary'!Z120)),0),Z208*$BI208),Z208*$BI208),0)</f>
        <v>0</v>
      </c>
      <c r="CD208" s="5">
        <f>IF($BI208&lt;&gt;"",IF('Capacity summary'!$C$14="Yes",IF(COUNTBLANK('Capacity summary'!$H120:$BG120)&lt;52,IF('Capacity summary'!AA120&lt;&gt;"",IF(LOWER('Capacity summary'!AA120)="x",$BI208*AA208,VALUE('Capacity summary'!AA120)),0),AA208*$BI208),AA208*$BI208),0)</f>
        <v>0</v>
      </c>
      <c r="CE208" s="5">
        <f>IF($BI208&lt;&gt;"",IF('Capacity summary'!$C$14="Yes",IF(COUNTBLANK('Capacity summary'!$H120:$BG120)&lt;52,IF('Capacity summary'!AB120&lt;&gt;"",IF(LOWER('Capacity summary'!AB120)="x",$BI208*AB208,VALUE('Capacity summary'!AB120)),0),AB208*$BI208),AB208*$BI208),0)</f>
        <v>0</v>
      </c>
      <c r="CF208" s="5">
        <f>IF($BI208&lt;&gt;"",IF('Capacity summary'!$C$14="Yes",IF(COUNTBLANK('Capacity summary'!$H120:$BG120)&lt;52,IF('Capacity summary'!AC120&lt;&gt;"",IF(LOWER('Capacity summary'!AC120)="x",$BI208*AC208,VALUE('Capacity summary'!AC120)),0),AC208*$BI208),AC208*$BI208),0)</f>
        <v>0</v>
      </c>
      <c r="CG208" s="5">
        <f>IF($BI208&lt;&gt;"",IF('Capacity summary'!$C$14="Yes",IF(COUNTBLANK('Capacity summary'!$H120:$BG120)&lt;52,IF('Capacity summary'!AD120&lt;&gt;"",IF(LOWER('Capacity summary'!AD120)="x",$BI208*AD208,VALUE('Capacity summary'!AD120)),0),AD208*$BI208),AD208*$BI208),0)</f>
        <v>0</v>
      </c>
      <c r="CH208" s="5">
        <f>IF($BI208&lt;&gt;"",IF('Capacity summary'!$C$14="Yes",IF(COUNTBLANK('Capacity summary'!$H120:$BG120)&lt;52,IF('Capacity summary'!AE120&lt;&gt;"",IF(LOWER('Capacity summary'!AE120)="x",$BI208*AE208,VALUE('Capacity summary'!AE120)),0),AE208*$BI208),AE208*$BI208),0)</f>
        <v>0</v>
      </c>
      <c r="CI208" s="5">
        <f>IF($BI208&lt;&gt;"",IF('Capacity summary'!$C$14="Yes",IF(COUNTBLANK('Capacity summary'!$H120:$BG120)&lt;52,IF('Capacity summary'!AF120&lt;&gt;"",IF(LOWER('Capacity summary'!AF120)="x",$BI208*AF208,VALUE('Capacity summary'!AF120)),0),AF208*$BI208),AF208*$BI208),0)</f>
        <v>0</v>
      </c>
      <c r="CJ208" s="5">
        <f>IF($BI208&lt;&gt;"",IF('Capacity summary'!$C$14="Yes",IF(COUNTBLANK('Capacity summary'!$H120:$BG120)&lt;52,IF('Capacity summary'!AG120&lt;&gt;"",IF(LOWER('Capacity summary'!AG120)="x",$BI208*AG208,VALUE('Capacity summary'!AG120)),0),AG208*$BI208),AG208*$BI208),0)</f>
        <v>0</v>
      </c>
      <c r="CK208" s="5">
        <f>IF($BI208&lt;&gt;"",IF('Capacity summary'!$C$14="Yes",IF(COUNTBLANK('Capacity summary'!$H120:$BG120)&lt;52,IF('Capacity summary'!AH120&lt;&gt;"",IF(LOWER('Capacity summary'!AH120)="x",$BI208*AH208,VALUE('Capacity summary'!AH120)),0),AH208*$BI208),AH208*$BI208),0)</f>
        <v>0</v>
      </c>
      <c r="CL208" s="5">
        <f>IF($BI208&lt;&gt;"",IF('Capacity summary'!$C$14="Yes",IF(COUNTBLANK('Capacity summary'!$H120:$BG120)&lt;52,IF('Capacity summary'!AI120&lt;&gt;"",IF(LOWER('Capacity summary'!AI120)="x",$BI208*AI208,VALUE('Capacity summary'!AI120)),0),AI208*$BI208),AI208*$BI208),0)</f>
        <v>0</v>
      </c>
      <c r="CM208" s="5">
        <f>IF($BI208&lt;&gt;"",IF('Capacity summary'!$C$14="Yes",IF(COUNTBLANK('Capacity summary'!$H120:$BG120)&lt;52,IF('Capacity summary'!AJ120&lt;&gt;"",IF(LOWER('Capacity summary'!AJ120)="x",$BI208*AJ208,VALUE('Capacity summary'!AJ120)),0),AJ208*$BI208),AJ208*$BI208),0)</f>
        <v>0</v>
      </c>
      <c r="CN208" s="5">
        <f>IF($BI208&lt;&gt;"",IF('Capacity summary'!$C$14="Yes",IF(COUNTBLANK('Capacity summary'!$H120:$BG120)&lt;52,IF('Capacity summary'!AK120&lt;&gt;"",IF(LOWER('Capacity summary'!AK120)="x",$BI208*AK208,VALUE('Capacity summary'!AK120)),0),AK208*$BI208),AK208*$BI208),0)</f>
        <v>0</v>
      </c>
      <c r="CO208" s="5">
        <f>IF($BI208&lt;&gt;"",IF('Capacity summary'!$C$14="Yes",IF(COUNTBLANK('Capacity summary'!$H120:$BG120)&lt;52,IF('Capacity summary'!AL120&lt;&gt;"",IF(LOWER('Capacity summary'!AL120)="x",$BI208*AL208,VALUE('Capacity summary'!AL120)),0),AL208*$BI208),AL208*$BI208),0)</f>
        <v>0</v>
      </c>
      <c r="CP208" s="5">
        <f>IF($BI208&lt;&gt;"",IF('Capacity summary'!$C$14="Yes",IF(COUNTBLANK('Capacity summary'!$H120:$BG120)&lt;52,IF('Capacity summary'!AM120&lt;&gt;"",IF(LOWER('Capacity summary'!AM120)="x",$BI208*AM208,VALUE('Capacity summary'!AM120)),0),AM208*$BI208),AM208*$BI208),0)</f>
        <v>0</v>
      </c>
      <c r="CQ208" s="5">
        <f>IF($BI208&lt;&gt;"",IF('Capacity summary'!$C$14="Yes",IF(COUNTBLANK('Capacity summary'!$H120:$BG120)&lt;52,IF('Capacity summary'!AN120&lt;&gt;"",IF(LOWER('Capacity summary'!AN120)="x",$BI208*AN208,VALUE('Capacity summary'!AN120)),0),AN208*$BI208),AN208*$BI208),0)</f>
        <v>0</v>
      </c>
      <c r="CR208" s="5">
        <f>IF($BI208&lt;&gt;"",IF('Capacity summary'!$C$14="Yes",IF(COUNTBLANK('Capacity summary'!$H120:$BG120)&lt;52,IF('Capacity summary'!AO120&lt;&gt;"",IF(LOWER('Capacity summary'!AO120)="x",$BI208*AO208,VALUE('Capacity summary'!AO120)),0),AO208*$BI208),AO208*$BI208),0)</f>
        <v>0</v>
      </c>
      <c r="CS208" s="5">
        <f>IF($BI208&lt;&gt;"",IF('Capacity summary'!$C$14="Yes",IF(COUNTBLANK('Capacity summary'!$H120:$BG120)&lt;52,IF('Capacity summary'!AP120&lt;&gt;"",IF(LOWER('Capacity summary'!AP120)="x",$BI208*AP208,VALUE('Capacity summary'!AP120)),0),AP208*$BI208),AP208*$BI208),0)</f>
        <v>0</v>
      </c>
      <c r="CT208" s="5">
        <f>IF($BI208&lt;&gt;"",IF('Capacity summary'!$C$14="Yes",IF(COUNTBLANK('Capacity summary'!$H120:$BG120)&lt;52,IF('Capacity summary'!AQ120&lt;&gt;"",IF(LOWER('Capacity summary'!AQ120)="x",$BI208*AQ208,VALUE('Capacity summary'!AQ120)),0),AQ208*$BI208),AQ208*$BI208),0)</f>
        <v>0</v>
      </c>
      <c r="CU208" s="5">
        <f>IF($BI208&lt;&gt;"",IF('Capacity summary'!$C$14="Yes",IF(COUNTBLANK('Capacity summary'!$H120:$BG120)&lt;52,IF('Capacity summary'!AR120&lt;&gt;"",IF(LOWER('Capacity summary'!AR120)="x",$BI208*AR208,VALUE('Capacity summary'!AR120)),0),AR208*$BI208),AR208*$BI208),0)</f>
        <v>0</v>
      </c>
      <c r="CV208" s="5">
        <f>IF($BI208&lt;&gt;"",IF('Capacity summary'!$C$14="Yes",IF(COUNTBLANK('Capacity summary'!$H120:$BG120)&lt;52,IF('Capacity summary'!AS120&lt;&gt;"",IF(LOWER('Capacity summary'!AS120)="x",$BI208*AS208,VALUE('Capacity summary'!AS120)),0),AS208*$BI208),AS208*$BI208),0)</f>
        <v>0</v>
      </c>
      <c r="CW208" s="5">
        <f>IF($BI208&lt;&gt;"",IF('Capacity summary'!$C$14="Yes",IF(COUNTBLANK('Capacity summary'!$H120:$BG120)&lt;52,IF('Capacity summary'!AT120&lt;&gt;"",IF(LOWER('Capacity summary'!AT120)="x",$BI208*AT208,VALUE('Capacity summary'!AT120)),0),AT208*$BI208),AT208*$BI208),0)</f>
        <v>0</v>
      </c>
      <c r="CX208" s="5">
        <f>IF($BI208&lt;&gt;"",IF('Capacity summary'!$C$14="Yes",IF(COUNTBLANK('Capacity summary'!$H120:$BG120)&lt;52,IF('Capacity summary'!AU120&lt;&gt;"",IF(LOWER('Capacity summary'!AU120)="x",$BI208*AU208,VALUE('Capacity summary'!AU120)),0),AU208*$BI208),AU208*$BI208),0)</f>
        <v>0</v>
      </c>
      <c r="CY208" s="5">
        <f>IF($BI208&lt;&gt;"",IF('Capacity summary'!$C$14="Yes",IF(COUNTBLANK('Capacity summary'!$H120:$BG120)&lt;52,IF('Capacity summary'!AV120&lt;&gt;"",IF(LOWER('Capacity summary'!AV120)="x",$BI208*AV208,VALUE('Capacity summary'!AV120)),0),AV208*$BI208),AV208*$BI208),0)</f>
        <v>0</v>
      </c>
      <c r="CZ208" s="5">
        <f>IF($BI208&lt;&gt;"",IF('Capacity summary'!$C$14="Yes",IF(COUNTBLANK('Capacity summary'!$H120:$BG120)&lt;52,IF('Capacity summary'!AW120&lt;&gt;"",IF(LOWER('Capacity summary'!AW120)="x",$BI208*AW208,VALUE('Capacity summary'!AW120)),0),AW208*$BI208),AW208*$BI208),0)</f>
        <v>0</v>
      </c>
      <c r="DA208" s="5">
        <f>IF($BI208&lt;&gt;"",IF('Capacity summary'!$C$14="Yes",IF(COUNTBLANK('Capacity summary'!$H120:$BG120)&lt;52,IF('Capacity summary'!AX120&lt;&gt;"",IF(LOWER('Capacity summary'!AX120)="x",$BI208*AX208,VALUE('Capacity summary'!AX120)),0),AX208*$BI208),AX208*$BI208),0)</f>
        <v>0</v>
      </c>
      <c r="DB208" s="5">
        <f>IF($BI208&lt;&gt;"",IF('Capacity summary'!$C$14="Yes",IF(COUNTBLANK('Capacity summary'!$H120:$BG120)&lt;52,IF('Capacity summary'!AY120&lt;&gt;"",IF(LOWER('Capacity summary'!AY120)="x",$BI208*AY208,VALUE('Capacity summary'!AY120)),0),AY208*$BI208),AY208*$BI208),0)</f>
        <v>0</v>
      </c>
      <c r="DC208" s="5">
        <f>IF($BI208&lt;&gt;"",IF('Capacity summary'!$C$14="Yes",IF(COUNTBLANK('Capacity summary'!$H120:$BG120)&lt;52,IF('Capacity summary'!AZ120&lt;&gt;"",IF(LOWER('Capacity summary'!AZ120)="x",$BI208*AZ208,VALUE('Capacity summary'!AZ120)),0),AZ208*$BI208),AZ208*$BI208),0)</f>
        <v>0</v>
      </c>
      <c r="DD208" s="5">
        <f>IF($BI208&lt;&gt;"",IF('Capacity summary'!$C$14="Yes",IF(COUNTBLANK('Capacity summary'!$H120:$BG120)&lt;52,IF('Capacity summary'!BA120&lt;&gt;"",IF(LOWER('Capacity summary'!BA120)="x",$BI208*BA208,VALUE('Capacity summary'!BA120)),0),BA208*$BI208),BA208*$BI208),0)</f>
        <v>0</v>
      </c>
      <c r="DE208" s="5">
        <f>IF($BI208&lt;&gt;"",IF('Capacity summary'!$C$14="Yes",IF(COUNTBLANK('Capacity summary'!$H120:$BG120)&lt;52,IF('Capacity summary'!BB120&lt;&gt;"",IF(LOWER('Capacity summary'!BB120)="x",$BI208*BB208,VALUE('Capacity summary'!BB120)),0),BB208*$BI208),BB208*$BI208),0)</f>
        <v>0</v>
      </c>
      <c r="DF208" s="5">
        <f>IF($BI208&lt;&gt;"",IF('Capacity summary'!$C$14="Yes",IF(COUNTBLANK('Capacity summary'!$H120:$BG120)&lt;52,IF('Capacity summary'!BC120&lt;&gt;"",IF(LOWER('Capacity summary'!BC120)="x",$BI208*BC208,VALUE('Capacity summary'!BC120)),0),BC208*$BI208),BC208*$BI208),0)</f>
        <v>0</v>
      </c>
      <c r="DG208" s="5">
        <f>IF($BI208&lt;&gt;"",IF('Capacity summary'!$C$14="Yes",IF(COUNTBLANK('Capacity summary'!$H120:$BG120)&lt;52,IF('Capacity summary'!BD120&lt;&gt;"",IF(LOWER('Capacity summary'!BD120)="x",$BI208*BD208,VALUE('Capacity summary'!BD120)),0),BD208*$BI208),BD208*$BI208),0)</f>
        <v>0</v>
      </c>
      <c r="DH208" s="5">
        <f>IF($BI208&lt;&gt;"",IF('Capacity summary'!$C$14="Yes",IF(COUNTBLANK('Capacity summary'!$H120:$BG120)&lt;52,IF('Capacity summary'!BE120&lt;&gt;"",IF(LOWER('Capacity summary'!BE120)="x",$BI208*BE208,VALUE('Capacity summary'!BE120)),0),BE208*$BI208),BE208*$BI208),0)</f>
        <v>0</v>
      </c>
      <c r="DI208" s="5">
        <f>IF($BI208&lt;&gt;"",IF('Capacity summary'!$C$14="Yes",IF(COUNTBLANK('Capacity summary'!$H120:$BG120)&lt;52,IF('Capacity summary'!BF120&lt;&gt;"",IF(LOWER('Capacity summary'!BF120)="x",$BI208*BF208,VALUE('Capacity summary'!BF120)),0),BF208*$BI208),BF208*$BI208),0)</f>
        <v>0</v>
      </c>
      <c r="DJ208" s="5">
        <f>IF($BI208&lt;&gt;"",IF('Capacity summary'!$C$14="Yes",IF(COUNTBLANK('Capacity summary'!$H120:$BG120)&lt;52,IF('Capacity summary'!BG120&lt;&gt;"",IF(LOWER('Capacity summary'!BG120)="x",$BI208*BG208,VALUE('Capacity summary'!BG120)),0),BG208*$BI208),BG208*$BI208),0)</f>
        <v>0</v>
      </c>
      <c r="DK208" s="5">
        <f t="shared" ref="DK208" si="102">SUM(DK209:DK308)</f>
        <v>0</v>
      </c>
    </row>
    <row r="209" spans="2:115" x14ac:dyDescent="0.25">
      <c r="C209" s="67" t="str">
        <f>ROW(A98)&amp;". "&amp;Capacity!N114</f>
        <v xml:space="preserve">98. </v>
      </c>
      <c r="D209" s="67">
        <f>'Capacity setup'!C215</f>
        <v>0</v>
      </c>
      <c r="E209" s="67">
        <f>'Capacity setup'!D215</f>
        <v>0</v>
      </c>
      <c r="F209" s="67">
        <f>'Capacity setup'!E215</f>
        <v>0</v>
      </c>
      <c r="H209" s="67">
        <f ca="1">IF(AND(SUMIF(Capacity_Resource,$D209,'Critical resources (hide)'!U$6:U$105)+SUMIF(Capacity_Resource,$E209,'Critical resources (hide)'!U$6:U$105)+SUMIF(Capacity_Resource,$F209,'Critical resources (hide)'!U$6:U$105)&gt;0,$E$1=2),0,1)</f>
        <v>1</v>
      </c>
      <c r="I209" s="67">
        <f ca="1">IF(AND(SUMIF(Capacity_Resource,$D209,'Critical resources (hide)'!V$6:V$105)+SUMIF(Capacity_Resource,$E209,'Critical resources (hide)'!V$6:V$105)+SUMIF(Capacity_Resource,$F209,'Critical resources (hide)'!V$6:V$105)&gt;0,$E$1=2),0,1)</f>
        <v>1</v>
      </c>
      <c r="J209" s="67">
        <f ca="1">IF(AND(SUMIF(Capacity_Resource,$D209,'Critical resources (hide)'!W$6:W$105)+SUMIF(Capacity_Resource,$E209,'Critical resources (hide)'!W$6:W$105)+SUMIF(Capacity_Resource,$F209,'Critical resources (hide)'!W$6:W$105)&gt;0,$E$1=2),0,1)</f>
        <v>1</v>
      </c>
      <c r="K209" s="67">
        <f ca="1">IF(AND(SUMIF(Capacity_Resource,$D209,'Critical resources (hide)'!X$6:X$105)+SUMIF(Capacity_Resource,$E209,'Critical resources (hide)'!X$6:X$105)+SUMIF(Capacity_Resource,$F209,'Critical resources (hide)'!X$6:X$105)&gt;0,$E$1=2),0,1)</f>
        <v>1</v>
      </c>
      <c r="L209" s="67">
        <f ca="1">IF(AND(SUMIF(Capacity_Resource,$D209,'Critical resources (hide)'!Y$6:Y$105)+SUMIF(Capacity_Resource,$E209,'Critical resources (hide)'!Y$6:Y$105)+SUMIF(Capacity_Resource,$F209,'Critical resources (hide)'!Y$6:Y$105)&gt;0,$E$1=2),0,1)</f>
        <v>1</v>
      </c>
      <c r="M209" s="67">
        <f ca="1">IF(AND(SUMIF(Capacity_Resource,$D209,'Critical resources (hide)'!Z$6:Z$105)+SUMIF(Capacity_Resource,$E209,'Critical resources (hide)'!Z$6:Z$105)+SUMIF(Capacity_Resource,$F209,'Critical resources (hide)'!Z$6:Z$105)&gt;0,$E$1=2),0,1)</f>
        <v>1</v>
      </c>
      <c r="N209" s="67">
        <f ca="1">IF(AND(SUMIF(Capacity_Resource,$D209,'Critical resources (hide)'!AA$6:AA$105)+SUMIF(Capacity_Resource,$E209,'Critical resources (hide)'!AA$6:AA$105)+SUMIF(Capacity_Resource,$F209,'Critical resources (hide)'!AA$6:AA$105)&gt;0,$E$1=2),0,1)</f>
        <v>1</v>
      </c>
      <c r="O209" s="67">
        <f ca="1">IF(AND(SUMIF(Capacity_Resource,$D209,'Critical resources (hide)'!AB$6:AB$105)+SUMIF(Capacity_Resource,$E209,'Critical resources (hide)'!AB$6:AB$105)+SUMIF(Capacity_Resource,$F209,'Critical resources (hide)'!AB$6:AB$105)&gt;0,$E$1=2),0,1)</f>
        <v>1</v>
      </c>
      <c r="P209" s="67">
        <f ca="1">IF(AND(SUMIF(Capacity_Resource,$D209,'Critical resources (hide)'!AC$6:AC$105)+SUMIF(Capacity_Resource,$E209,'Critical resources (hide)'!AC$6:AC$105)+SUMIF(Capacity_Resource,$F209,'Critical resources (hide)'!AC$6:AC$105)&gt;0,$E$1=2),0,1)</f>
        <v>1</v>
      </c>
      <c r="Q209" s="67">
        <f ca="1">IF(AND(SUMIF(Capacity_Resource,$D209,'Critical resources (hide)'!AD$6:AD$105)+SUMIF(Capacity_Resource,$E209,'Critical resources (hide)'!AD$6:AD$105)+SUMIF(Capacity_Resource,$F209,'Critical resources (hide)'!AD$6:AD$105)&gt;0,$E$1=2),0,1)</f>
        <v>1</v>
      </c>
      <c r="R209" s="67">
        <f ca="1">IF(AND(SUMIF(Capacity_Resource,$D209,'Critical resources (hide)'!AE$6:AE$105)+SUMIF(Capacity_Resource,$E209,'Critical resources (hide)'!AE$6:AE$105)+SUMIF(Capacity_Resource,$F209,'Critical resources (hide)'!AE$6:AE$105)&gt;0,$E$1=2),0,1)</f>
        <v>1</v>
      </c>
      <c r="S209" s="67">
        <f ca="1">IF(AND(SUMIF(Capacity_Resource,$D209,'Critical resources (hide)'!AF$6:AF$105)+SUMIF(Capacity_Resource,$E209,'Critical resources (hide)'!AF$6:AF$105)+SUMIF(Capacity_Resource,$F209,'Critical resources (hide)'!AF$6:AF$105)&gt;0,$E$1=2),0,1)</f>
        <v>1</v>
      </c>
      <c r="T209" s="67">
        <f ca="1">IF(AND(SUMIF(Capacity_Resource,$D209,'Critical resources (hide)'!AG$6:AG$105)+SUMIF(Capacity_Resource,$E209,'Critical resources (hide)'!AG$6:AG$105)+SUMIF(Capacity_Resource,$F209,'Critical resources (hide)'!AG$6:AG$105)&gt;0,$E$1=2),0,1)</f>
        <v>1</v>
      </c>
      <c r="U209" s="67">
        <f ca="1">IF(AND(SUMIF(Capacity_Resource,$D209,'Critical resources (hide)'!AH$6:AH$105)+SUMIF(Capacity_Resource,$E209,'Critical resources (hide)'!AH$6:AH$105)+SUMIF(Capacity_Resource,$F209,'Critical resources (hide)'!AH$6:AH$105)&gt;0,$E$1=2),0,1)</f>
        <v>1</v>
      </c>
      <c r="V209" s="67">
        <f ca="1">IF(AND(SUMIF(Capacity_Resource,$D209,'Critical resources (hide)'!AI$6:AI$105)+SUMIF(Capacity_Resource,$E209,'Critical resources (hide)'!AI$6:AI$105)+SUMIF(Capacity_Resource,$F209,'Critical resources (hide)'!AI$6:AI$105)&gt;0,$E$1=2),0,1)</f>
        <v>1</v>
      </c>
      <c r="W209" s="67">
        <f ca="1">IF(AND(SUMIF(Capacity_Resource,$D209,'Critical resources (hide)'!AJ$6:AJ$105)+SUMIF(Capacity_Resource,$E209,'Critical resources (hide)'!AJ$6:AJ$105)+SUMIF(Capacity_Resource,$F209,'Critical resources (hide)'!AJ$6:AJ$105)&gt;0,$E$1=2),0,1)</f>
        <v>1</v>
      </c>
      <c r="X209" s="67">
        <f ca="1">IF(AND(SUMIF(Capacity_Resource,$D209,'Critical resources (hide)'!AK$6:AK$105)+SUMIF(Capacity_Resource,$E209,'Critical resources (hide)'!AK$6:AK$105)+SUMIF(Capacity_Resource,$F209,'Critical resources (hide)'!AK$6:AK$105)&gt;0,$E$1=2),0,1)</f>
        <v>1</v>
      </c>
      <c r="Y209" s="67">
        <f ca="1">IF(AND(SUMIF(Capacity_Resource,$D209,'Critical resources (hide)'!AL$6:AL$105)+SUMIF(Capacity_Resource,$E209,'Critical resources (hide)'!AL$6:AL$105)+SUMIF(Capacity_Resource,$F209,'Critical resources (hide)'!AL$6:AL$105)&gt;0,$E$1=2),0,1)</f>
        <v>1</v>
      </c>
      <c r="Z209" s="67">
        <f ca="1">IF(AND(SUMIF(Capacity_Resource,$D209,'Critical resources (hide)'!AM$6:AM$105)+SUMIF(Capacity_Resource,$E209,'Critical resources (hide)'!AM$6:AM$105)+SUMIF(Capacity_Resource,$F209,'Critical resources (hide)'!AM$6:AM$105)&gt;0,$E$1=2),0,1)</f>
        <v>1</v>
      </c>
      <c r="AA209" s="67">
        <f ca="1">IF(AND(SUMIF(Capacity_Resource,$D209,'Critical resources (hide)'!AN$6:AN$105)+SUMIF(Capacity_Resource,$E209,'Critical resources (hide)'!AN$6:AN$105)+SUMIF(Capacity_Resource,$F209,'Critical resources (hide)'!AN$6:AN$105)&gt;0,$E$1=2),0,1)</f>
        <v>1</v>
      </c>
      <c r="AB209" s="67">
        <f ca="1">IF(AND(SUMIF(Capacity_Resource,$D209,'Critical resources (hide)'!AO$6:AO$105)+SUMIF(Capacity_Resource,$E209,'Critical resources (hide)'!AO$6:AO$105)+SUMIF(Capacity_Resource,$F209,'Critical resources (hide)'!AO$6:AO$105)&gt;0,$E$1=2),0,1)</f>
        <v>1</v>
      </c>
      <c r="AC209" s="67">
        <f ca="1">IF(AND(SUMIF(Capacity_Resource,$D209,'Critical resources (hide)'!AP$6:AP$105)+SUMIF(Capacity_Resource,$E209,'Critical resources (hide)'!AP$6:AP$105)+SUMIF(Capacity_Resource,$F209,'Critical resources (hide)'!AP$6:AP$105)&gt;0,$E$1=2),0,1)</f>
        <v>1</v>
      </c>
      <c r="AD209" s="67">
        <f ca="1">IF(AND(SUMIF(Capacity_Resource,$D209,'Critical resources (hide)'!AQ$6:AQ$105)+SUMIF(Capacity_Resource,$E209,'Critical resources (hide)'!AQ$6:AQ$105)+SUMIF(Capacity_Resource,$F209,'Critical resources (hide)'!AQ$6:AQ$105)&gt;0,$E$1=2),0,1)</f>
        <v>1</v>
      </c>
      <c r="AE209" s="67">
        <f ca="1">IF(AND(SUMIF(Capacity_Resource,$D209,'Critical resources (hide)'!AR$6:AR$105)+SUMIF(Capacity_Resource,$E209,'Critical resources (hide)'!AR$6:AR$105)+SUMIF(Capacity_Resource,$F209,'Critical resources (hide)'!AR$6:AR$105)&gt;0,$E$1=2),0,1)</f>
        <v>1</v>
      </c>
      <c r="AF209" s="67">
        <f ca="1">IF(AND(SUMIF(Capacity_Resource,$D209,'Critical resources (hide)'!AS$6:AS$105)+SUMIF(Capacity_Resource,$E209,'Critical resources (hide)'!AS$6:AS$105)+SUMIF(Capacity_Resource,$F209,'Critical resources (hide)'!AS$6:AS$105)&gt;0,$E$1=2),0,1)</f>
        <v>1</v>
      </c>
      <c r="AG209" s="67">
        <f ca="1">IF(AND(SUMIF(Capacity_Resource,$D209,'Critical resources (hide)'!AT$6:AT$105)+SUMIF(Capacity_Resource,$E209,'Critical resources (hide)'!AT$6:AT$105)+SUMIF(Capacity_Resource,$F209,'Critical resources (hide)'!AT$6:AT$105)&gt;0,$E$1=2),0,1)</f>
        <v>1</v>
      </c>
      <c r="AH209" s="67">
        <f ca="1">IF(AND(SUMIF(Capacity_Resource,$D209,'Critical resources (hide)'!AU$6:AU$105)+SUMIF(Capacity_Resource,$E209,'Critical resources (hide)'!AU$6:AU$105)+SUMIF(Capacity_Resource,$F209,'Critical resources (hide)'!AU$6:AU$105)&gt;0,$E$1=2),0,1)</f>
        <v>1</v>
      </c>
      <c r="AI209" s="67">
        <f ca="1">IF(AND(SUMIF(Capacity_Resource,$D209,'Critical resources (hide)'!AV$6:AV$105)+SUMIF(Capacity_Resource,$E209,'Critical resources (hide)'!AV$6:AV$105)+SUMIF(Capacity_Resource,$F209,'Critical resources (hide)'!AV$6:AV$105)&gt;0,$E$1=2),0,1)</f>
        <v>1</v>
      </c>
      <c r="AJ209" s="67">
        <f ca="1">IF(AND(SUMIF(Capacity_Resource,$D209,'Critical resources (hide)'!AW$6:AW$105)+SUMIF(Capacity_Resource,$E209,'Critical resources (hide)'!AW$6:AW$105)+SUMIF(Capacity_Resource,$F209,'Critical resources (hide)'!AW$6:AW$105)&gt;0,$E$1=2),0,1)</f>
        <v>1</v>
      </c>
      <c r="AK209" s="67">
        <f ca="1">IF(AND(SUMIF(Capacity_Resource,$D209,'Critical resources (hide)'!AX$6:AX$105)+SUMIF(Capacity_Resource,$E209,'Critical resources (hide)'!AX$6:AX$105)+SUMIF(Capacity_Resource,$F209,'Critical resources (hide)'!AX$6:AX$105)&gt;0,$E$1=2),0,1)</f>
        <v>1</v>
      </c>
      <c r="AL209" s="67">
        <f ca="1">IF(AND(SUMIF(Capacity_Resource,$D209,'Critical resources (hide)'!AY$6:AY$105)+SUMIF(Capacity_Resource,$E209,'Critical resources (hide)'!AY$6:AY$105)+SUMIF(Capacity_Resource,$F209,'Critical resources (hide)'!AY$6:AY$105)&gt;0,$E$1=2),0,1)</f>
        <v>1</v>
      </c>
      <c r="AM209" s="67">
        <f ca="1">IF(AND(SUMIF(Capacity_Resource,$D209,'Critical resources (hide)'!AZ$6:AZ$105)+SUMIF(Capacity_Resource,$E209,'Critical resources (hide)'!AZ$6:AZ$105)+SUMIF(Capacity_Resource,$F209,'Critical resources (hide)'!AZ$6:AZ$105)&gt;0,$E$1=2),0,1)</f>
        <v>1</v>
      </c>
      <c r="AN209" s="67">
        <f ca="1">IF(AND(SUMIF(Capacity_Resource,$D209,'Critical resources (hide)'!BA$6:BA$105)+SUMIF(Capacity_Resource,$E209,'Critical resources (hide)'!BA$6:BA$105)+SUMIF(Capacity_Resource,$F209,'Critical resources (hide)'!BA$6:BA$105)&gt;0,$E$1=2),0,1)</f>
        <v>1</v>
      </c>
      <c r="AO209" s="67">
        <f ca="1">IF(AND(SUMIF(Capacity_Resource,$D209,'Critical resources (hide)'!BB$6:BB$105)+SUMIF(Capacity_Resource,$E209,'Critical resources (hide)'!BB$6:BB$105)+SUMIF(Capacity_Resource,$F209,'Critical resources (hide)'!BB$6:BB$105)&gt;0,$E$1=2),0,1)</f>
        <v>1</v>
      </c>
      <c r="AP209" s="67">
        <f ca="1">IF(AND(SUMIF(Capacity_Resource,$D209,'Critical resources (hide)'!BC$6:BC$105)+SUMIF(Capacity_Resource,$E209,'Critical resources (hide)'!BC$6:BC$105)+SUMIF(Capacity_Resource,$F209,'Critical resources (hide)'!BC$6:BC$105)&gt;0,$E$1=2),0,1)</f>
        <v>1</v>
      </c>
      <c r="AQ209" s="67">
        <f ca="1">IF(AND(SUMIF(Capacity_Resource,$D209,'Critical resources (hide)'!BD$6:BD$105)+SUMIF(Capacity_Resource,$E209,'Critical resources (hide)'!BD$6:BD$105)+SUMIF(Capacity_Resource,$F209,'Critical resources (hide)'!BD$6:BD$105)&gt;0,$E$1=2),0,1)</f>
        <v>1</v>
      </c>
      <c r="AR209" s="67">
        <f ca="1">IF(AND(SUMIF(Capacity_Resource,$D209,'Critical resources (hide)'!BE$6:BE$105)+SUMIF(Capacity_Resource,$E209,'Critical resources (hide)'!BE$6:BE$105)+SUMIF(Capacity_Resource,$F209,'Critical resources (hide)'!BE$6:BE$105)&gt;0,$E$1=2),0,1)</f>
        <v>1</v>
      </c>
      <c r="AS209" s="67">
        <f ca="1">IF(AND(SUMIF(Capacity_Resource,$D209,'Critical resources (hide)'!BF$6:BF$105)+SUMIF(Capacity_Resource,$E209,'Critical resources (hide)'!BF$6:BF$105)+SUMIF(Capacity_Resource,$F209,'Critical resources (hide)'!BF$6:BF$105)&gt;0,$E$1=2),0,1)</f>
        <v>1</v>
      </c>
      <c r="AT209" s="67">
        <f ca="1">IF(AND(SUMIF(Capacity_Resource,$D209,'Critical resources (hide)'!BG$6:BG$105)+SUMIF(Capacity_Resource,$E209,'Critical resources (hide)'!BG$6:BG$105)+SUMIF(Capacity_Resource,$F209,'Critical resources (hide)'!BG$6:BG$105)&gt;0,$E$1=2),0,1)</f>
        <v>1</v>
      </c>
      <c r="AU209" s="67">
        <f ca="1">IF(AND(SUMIF(Capacity_Resource,$D209,'Critical resources (hide)'!BH$6:BH$105)+SUMIF(Capacity_Resource,$E209,'Critical resources (hide)'!BH$6:BH$105)+SUMIF(Capacity_Resource,$F209,'Critical resources (hide)'!BH$6:BH$105)&gt;0,$E$1=2),0,1)</f>
        <v>1</v>
      </c>
      <c r="AV209" s="67">
        <f ca="1">IF(AND(SUMIF(Capacity_Resource,$D209,'Critical resources (hide)'!BI$6:BI$105)+SUMIF(Capacity_Resource,$E209,'Critical resources (hide)'!BI$6:BI$105)+SUMIF(Capacity_Resource,$F209,'Critical resources (hide)'!BI$6:BI$105)&gt;0,$E$1=2),0,1)</f>
        <v>1</v>
      </c>
      <c r="AW209" s="67">
        <f ca="1">IF(AND(SUMIF(Capacity_Resource,$D209,'Critical resources (hide)'!BJ$6:BJ$105)+SUMIF(Capacity_Resource,$E209,'Critical resources (hide)'!BJ$6:BJ$105)+SUMIF(Capacity_Resource,$F209,'Critical resources (hide)'!BJ$6:BJ$105)&gt;0,$E$1=2),0,1)</f>
        <v>1</v>
      </c>
      <c r="AX209" s="67">
        <f ca="1">IF(AND(SUMIF(Capacity_Resource,$D209,'Critical resources (hide)'!BK$6:BK$105)+SUMIF(Capacity_Resource,$E209,'Critical resources (hide)'!BK$6:BK$105)+SUMIF(Capacity_Resource,$F209,'Critical resources (hide)'!BK$6:BK$105)&gt;0,$E$1=2),0,1)</f>
        <v>1</v>
      </c>
      <c r="AY209" s="67">
        <f ca="1">IF(AND(SUMIF(Capacity_Resource,$D209,'Critical resources (hide)'!BL$6:BL$105)+SUMIF(Capacity_Resource,$E209,'Critical resources (hide)'!BL$6:BL$105)+SUMIF(Capacity_Resource,$F209,'Critical resources (hide)'!BL$6:BL$105)&gt;0,$E$1=2),0,1)</f>
        <v>1</v>
      </c>
      <c r="AZ209" s="67">
        <f ca="1">IF(AND(SUMIF(Capacity_Resource,$D209,'Critical resources (hide)'!BM$6:BM$105)+SUMIF(Capacity_Resource,$E209,'Critical resources (hide)'!BM$6:BM$105)+SUMIF(Capacity_Resource,$F209,'Critical resources (hide)'!BM$6:BM$105)&gt;0,$E$1=2),0,1)</f>
        <v>1</v>
      </c>
      <c r="BA209" s="67">
        <f ca="1">IF(AND(SUMIF(Capacity_Resource,$D209,'Critical resources (hide)'!BN$6:BN$105)+SUMIF(Capacity_Resource,$E209,'Critical resources (hide)'!BN$6:BN$105)+SUMIF(Capacity_Resource,$F209,'Critical resources (hide)'!BN$6:BN$105)&gt;0,$E$1=2),0,1)</f>
        <v>1</v>
      </c>
      <c r="BB209" s="67">
        <f ca="1">IF(AND(SUMIF(Capacity_Resource,$D209,'Critical resources (hide)'!BO$6:BO$105)+SUMIF(Capacity_Resource,$E209,'Critical resources (hide)'!BO$6:BO$105)+SUMIF(Capacity_Resource,$F209,'Critical resources (hide)'!BO$6:BO$105)&gt;0,$E$1=2),0,1)</f>
        <v>1</v>
      </c>
      <c r="BC209" s="67">
        <f ca="1">IF(AND(SUMIF(Capacity_Resource,$D209,'Critical resources (hide)'!BP$6:BP$105)+SUMIF(Capacity_Resource,$E209,'Critical resources (hide)'!BP$6:BP$105)+SUMIF(Capacity_Resource,$F209,'Critical resources (hide)'!BP$6:BP$105)&gt;0,$E$1=2),0,1)</f>
        <v>1</v>
      </c>
      <c r="BD209" s="67">
        <f ca="1">IF(AND(SUMIF(Capacity_Resource,$D209,'Critical resources (hide)'!BQ$6:BQ$105)+SUMIF(Capacity_Resource,$E209,'Critical resources (hide)'!BQ$6:BQ$105)+SUMIF(Capacity_Resource,$F209,'Critical resources (hide)'!BQ$6:BQ$105)&gt;0,$E$1=2),0,1)</f>
        <v>1</v>
      </c>
      <c r="BE209" s="67">
        <f ca="1">IF(AND(SUMIF(Capacity_Resource,$D209,'Critical resources (hide)'!BR$6:BR$105)+SUMIF(Capacity_Resource,$E209,'Critical resources (hide)'!BR$6:BR$105)+SUMIF(Capacity_Resource,$F209,'Critical resources (hide)'!BR$6:BR$105)&gt;0,$E$1=2),0,1)</f>
        <v>1</v>
      </c>
      <c r="BF209" s="67">
        <f ca="1">IF(AND(SUMIF(Capacity_Resource,$D209,'Critical resources (hide)'!BS$6:BS$105)+SUMIF(Capacity_Resource,$E209,'Critical resources (hide)'!BS$6:BS$105)+SUMIF(Capacity_Resource,$F209,'Critical resources (hide)'!BS$6:BS$105)&gt;0,$E$1=2),0,1)</f>
        <v>1</v>
      </c>
      <c r="BG209" s="67">
        <f ca="1">IF(AND(SUMIF(Capacity_Resource,$D209,'Critical resources (hide)'!BT$6:BT$105)+SUMIF(Capacity_Resource,$E209,'Critical resources (hide)'!BT$6:BT$105)+SUMIF(Capacity_Resource,$F209,'Critical resources (hide)'!BT$6:BT$105)&gt;0,$E$1=2),0,1)</f>
        <v>1</v>
      </c>
      <c r="BH209" s="67">
        <f>IF(ROW(A98)&lt;=Capacity!$M$16,IF('Capacity summary'!$C$14="No",SUM(H209:BG209),'Capacity summary'!$E121),0)</f>
        <v>0</v>
      </c>
      <c r="BI209" s="67" t="str">
        <f>IF(BH209&gt;0,IF(BH209&lt;Capacity!Q114,Capacity!R114,Capacity!T114/'Capacity calculation (hide)'!BH209),"")</f>
        <v/>
      </c>
      <c r="BJ209" s="5"/>
      <c r="BK209" s="5">
        <f>IF($BI209&lt;&gt;"",IF('Capacity summary'!$C$14="Yes",IF(COUNTBLANK('Capacity summary'!$H121:$BG121)&lt;52,IF('Capacity summary'!H121&lt;&gt;"",IF(LOWER('Capacity summary'!H121)="x",$BI209*H209,VALUE('Capacity summary'!H121)),0),H209*$BI209),H209*$BI209),0)</f>
        <v>0</v>
      </c>
      <c r="BL209" s="5">
        <f>IF($BI209&lt;&gt;"",IF('Capacity summary'!$C$14="Yes",IF(COUNTBLANK('Capacity summary'!$H121:$BG121)&lt;52,IF('Capacity summary'!I121&lt;&gt;"",IF(LOWER('Capacity summary'!I121)="x",$BI209*I209,VALUE('Capacity summary'!I121)),0),I209*$BI209),I209*$BI209),0)</f>
        <v>0</v>
      </c>
      <c r="BM209" s="5">
        <f>IF($BI209&lt;&gt;"",IF('Capacity summary'!$C$14="Yes",IF(COUNTBLANK('Capacity summary'!$H121:$BG121)&lt;52,IF('Capacity summary'!J121&lt;&gt;"",IF(LOWER('Capacity summary'!J121)="x",$BI209*J209,VALUE('Capacity summary'!J121)),0),J209*$BI209),J209*$BI209),0)</f>
        <v>0</v>
      </c>
      <c r="BN209" s="5">
        <f>IF($BI209&lt;&gt;"",IF('Capacity summary'!$C$14="Yes",IF(COUNTBLANK('Capacity summary'!$H121:$BG121)&lt;52,IF('Capacity summary'!K121&lt;&gt;"",IF(LOWER('Capacity summary'!K121)="x",$BI209*K209,VALUE('Capacity summary'!K121)),0),K209*$BI209),K209*$BI209),0)</f>
        <v>0</v>
      </c>
      <c r="BO209" s="5">
        <f>IF($BI209&lt;&gt;"",IF('Capacity summary'!$C$14="Yes",IF(COUNTBLANK('Capacity summary'!$H121:$BG121)&lt;52,IF('Capacity summary'!L121&lt;&gt;"",IF(LOWER('Capacity summary'!L121)="x",$BI209*L209,VALUE('Capacity summary'!L121)),0),L209*$BI209),L209*$BI209),0)</f>
        <v>0</v>
      </c>
      <c r="BP209" s="5">
        <f>IF($BI209&lt;&gt;"",IF('Capacity summary'!$C$14="Yes",IF(COUNTBLANK('Capacity summary'!$H121:$BG121)&lt;52,IF('Capacity summary'!M121&lt;&gt;"",IF(LOWER('Capacity summary'!M121)="x",$BI209*M209,VALUE('Capacity summary'!M121)),0),M209*$BI209),M209*$BI209),0)</f>
        <v>0</v>
      </c>
      <c r="BQ209" s="5">
        <f>IF($BI209&lt;&gt;"",IF('Capacity summary'!$C$14="Yes",IF(COUNTBLANK('Capacity summary'!$H121:$BG121)&lt;52,IF('Capacity summary'!N121&lt;&gt;"",IF(LOWER('Capacity summary'!N121)="x",$BI209*N209,VALUE('Capacity summary'!N121)),0),N209*$BI209),N209*$BI209),0)</f>
        <v>0</v>
      </c>
      <c r="BR209" s="5">
        <f>IF($BI209&lt;&gt;"",IF('Capacity summary'!$C$14="Yes",IF(COUNTBLANK('Capacity summary'!$H121:$BG121)&lt;52,IF('Capacity summary'!O121&lt;&gt;"",IF(LOWER('Capacity summary'!O121)="x",$BI209*O209,VALUE('Capacity summary'!O121)),0),O209*$BI209),O209*$BI209),0)</f>
        <v>0</v>
      </c>
      <c r="BS209" s="5">
        <f>IF($BI209&lt;&gt;"",IF('Capacity summary'!$C$14="Yes",IF(COUNTBLANK('Capacity summary'!$H121:$BG121)&lt;52,IF('Capacity summary'!P121&lt;&gt;"",IF(LOWER('Capacity summary'!P121)="x",$BI209*P209,VALUE('Capacity summary'!P121)),0),P209*$BI209),P209*$BI209),0)</f>
        <v>0</v>
      </c>
      <c r="BT209" s="5">
        <f>IF($BI209&lt;&gt;"",IF('Capacity summary'!$C$14="Yes",IF(COUNTBLANK('Capacity summary'!$H121:$BG121)&lt;52,IF('Capacity summary'!Q121&lt;&gt;"",IF(LOWER('Capacity summary'!Q121)="x",$BI209*Q209,VALUE('Capacity summary'!Q121)),0),Q209*$BI209),Q209*$BI209),0)</f>
        <v>0</v>
      </c>
      <c r="BU209" s="5">
        <f>IF($BI209&lt;&gt;"",IF('Capacity summary'!$C$14="Yes",IF(COUNTBLANK('Capacity summary'!$H121:$BG121)&lt;52,IF('Capacity summary'!R121&lt;&gt;"",IF(LOWER('Capacity summary'!R121)="x",$BI209*R209,VALUE('Capacity summary'!R121)),0),R209*$BI209),R209*$BI209),0)</f>
        <v>0</v>
      </c>
      <c r="BV209" s="5">
        <f>IF($BI209&lt;&gt;"",IF('Capacity summary'!$C$14="Yes",IF(COUNTBLANK('Capacity summary'!$H121:$BG121)&lt;52,IF('Capacity summary'!S121&lt;&gt;"",IF(LOWER('Capacity summary'!S121)="x",$BI209*S209,VALUE('Capacity summary'!S121)),0),S209*$BI209),S209*$BI209),0)</f>
        <v>0</v>
      </c>
      <c r="BW209" s="5">
        <f>IF($BI209&lt;&gt;"",IF('Capacity summary'!$C$14="Yes",IF(COUNTBLANK('Capacity summary'!$H121:$BG121)&lt;52,IF('Capacity summary'!T121&lt;&gt;"",IF(LOWER('Capacity summary'!T121)="x",$BI209*T209,VALUE('Capacity summary'!T121)),0),T209*$BI209),T209*$BI209),0)</f>
        <v>0</v>
      </c>
      <c r="BX209" s="5">
        <f>IF($BI209&lt;&gt;"",IF('Capacity summary'!$C$14="Yes",IF(COUNTBLANK('Capacity summary'!$H121:$BG121)&lt;52,IF('Capacity summary'!U121&lt;&gt;"",IF(LOWER('Capacity summary'!U121)="x",$BI209*U209,VALUE('Capacity summary'!U121)),0),U209*$BI209),U209*$BI209),0)</f>
        <v>0</v>
      </c>
      <c r="BY209" s="5">
        <f>IF($BI209&lt;&gt;"",IF('Capacity summary'!$C$14="Yes",IF(COUNTBLANK('Capacity summary'!$H121:$BG121)&lt;52,IF('Capacity summary'!V121&lt;&gt;"",IF(LOWER('Capacity summary'!V121)="x",$BI209*V209,VALUE('Capacity summary'!V121)),0),V209*$BI209),V209*$BI209),0)</f>
        <v>0</v>
      </c>
      <c r="BZ209" s="5">
        <f>IF($BI209&lt;&gt;"",IF('Capacity summary'!$C$14="Yes",IF(COUNTBLANK('Capacity summary'!$H121:$BG121)&lt;52,IF('Capacity summary'!W121&lt;&gt;"",IF(LOWER('Capacity summary'!W121)="x",$BI209*W209,VALUE('Capacity summary'!W121)),0),W209*$BI209),W209*$BI209),0)</f>
        <v>0</v>
      </c>
      <c r="CA209" s="5">
        <f>IF($BI209&lt;&gt;"",IF('Capacity summary'!$C$14="Yes",IF(COUNTBLANK('Capacity summary'!$H121:$BG121)&lt;52,IF('Capacity summary'!X121&lt;&gt;"",IF(LOWER('Capacity summary'!X121)="x",$BI209*X209,VALUE('Capacity summary'!X121)),0),X209*$BI209),X209*$BI209),0)</f>
        <v>0</v>
      </c>
      <c r="CB209" s="5">
        <f>IF($BI209&lt;&gt;"",IF('Capacity summary'!$C$14="Yes",IF(COUNTBLANK('Capacity summary'!$H121:$BG121)&lt;52,IF('Capacity summary'!Y121&lt;&gt;"",IF(LOWER('Capacity summary'!Y121)="x",$BI209*Y209,VALUE('Capacity summary'!Y121)),0),Y209*$BI209),Y209*$BI209),0)</f>
        <v>0</v>
      </c>
      <c r="CC209" s="5">
        <f>IF($BI209&lt;&gt;"",IF('Capacity summary'!$C$14="Yes",IF(COUNTBLANK('Capacity summary'!$H121:$BG121)&lt;52,IF('Capacity summary'!Z121&lt;&gt;"",IF(LOWER('Capacity summary'!Z121)="x",$BI209*Z209,VALUE('Capacity summary'!Z121)),0),Z209*$BI209),Z209*$BI209),0)</f>
        <v>0</v>
      </c>
      <c r="CD209" s="5">
        <f>IF($BI209&lt;&gt;"",IF('Capacity summary'!$C$14="Yes",IF(COUNTBLANK('Capacity summary'!$H121:$BG121)&lt;52,IF('Capacity summary'!AA121&lt;&gt;"",IF(LOWER('Capacity summary'!AA121)="x",$BI209*AA209,VALUE('Capacity summary'!AA121)),0),AA209*$BI209),AA209*$BI209),0)</f>
        <v>0</v>
      </c>
      <c r="CE209" s="5">
        <f>IF($BI209&lt;&gt;"",IF('Capacity summary'!$C$14="Yes",IF(COUNTBLANK('Capacity summary'!$H121:$BG121)&lt;52,IF('Capacity summary'!AB121&lt;&gt;"",IF(LOWER('Capacity summary'!AB121)="x",$BI209*AB209,VALUE('Capacity summary'!AB121)),0),AB209*$BI209),AB209*$BI209),0)</f>
        <v>0</v>
      </c>
      <c r="CF209" s="5">
        <f>IF($BI209&lt;&gt;"",IF('Capacity summary'!$C$14="Yes",IF(COUNTBLANK('Capacity summary'!$H121:$BG121)&lt;52,IF('Capacity summary'!AC121&lt;&gt;"",IF(LOWER('Capacity summary'!AC121)="x",$BI209*AC209,VALUE('Capacity summary'!AC121)),0),AC209*$BI209),AC209*$BI209),0)</f>
        <v>0</v>
      </c>
      <c r="CG209" s="5">
        <f>IF($BI209&lt;&gt;"",IF('Capacity summary'!$C$14="Yes",IF(COUNTBLANK('Capacity summary'!$H121:$BG121)&lt;52,IF('Capacity summary'!AD121&lt;&gt;"",IF(LOWER('Capacity summary'!AD121)="x",$BI209*AD209,VALUE('Capacity summary'!AD121)),0),AD209*$BI209),AD209*$BI209),0)</f>
        <v>0</v>
      </c>
      <c r="CH209" s="5">
        <f>IF($BI209&lt;&gt;"",IF('Capacity summary'!$C$14="Yes",IF(COUNTBLANK('Capacity summary'!$H121:$BG121)&lt;52,IF('Capacity summary'!AE121&lt;&gt;"",IF(LOWER('Capacity summary'!AE121)="x",$BI209*AE209,VALUE('Capacity summary'!AE121)),0),AE209*$BI209),AE209*$BI209),0)</f>
        <v>0</v>
      </c>
      <c r="CI209" s="5">
        <f>IF($BI209&lt;&gt;"",IF('Capacity summary'!$C$14="Yes",IF(COUNTBLANK('Capacity summary'!$H121:$BG121)&lt;52,IF('Capacity summary'!AF121&lt;&gt;"",IF(LOWER('Capacity summary'!AF121)="x",$BI209*AF209,VALUE('Capacity summary'!AF121)),0),AF209*$BI209),AF209*$BI209),0)</f>
        <v>0</v>
      </c>
      <c r="CJ209" s="5">
        <f>IF($BI209&lt;&gt;"",IF('Capacity summary'!$C$14="Yes",IF(COUNTBLANK('Capacity summary'!$H121:$BG121)&lt;52,IF('Capacity summary'!AG121&lt;&gt;"",IF(LOWER('Capacity summary'!AG121)="x",$BI209*AG209,VALUE('Capacity summary'!AG121)),0),AG209*$BI209),AG209*$BI209),0)</f>
        <v>0</v>
      </c>
      <c r="CK209" s="5">
        <f>IF($BI209&lt;&gt;"",IF('Capacity summary'!$C$14="Yes",IF(COUNTBLANK('Capacity summary'!$H121:$BG121)&lt;52,IF('Capacity summary'!AH121&lt;&gt;"",IF(LOWER('Capacity summary'!AH121)="x",$BI209*AH209,VALUE('Capacity summary'!AH121)),0),AH209*$BI209),AH209*$BI209),0)</f>
        <v>0</v>
      </c>
      <c r="CL209" s="5">
        <f>IF($BI209&lt;&gt;"",IF('Capacity summary'!$C$14="Yes",IF(COUNTBLANK('Capacity summary'!$H121:$BG121)&lt;52,IF('Capacity summary'!AI121&lt;&gt;"",IF(LOWER('Capacity summary'!AI121)="x",$BI209*AI209,VALUE('Capacity summary'!AI121)),0),AI209*$BI209),AI209*$BI209),0)</f>
        <v>0</v>
      </c>
      <c r="CM209" s="5">
        <f>IF($BI209&lt;&gt;"",IF('Capacity summary'!$C$14="Yes",IF(COUNTBLANK('Capacity summary'!$H121:$BG121)&lt;52,IF('Capacity summary'!AJ121&lt;&gt;"",IF(LOWER('Capacity summary'!AJ121)="x",$BI209*AJ209,VALUE('Capacity summary'!AJ121)),0),AJ209*$BI209),AJ209*$BI209),0)</f>
        <v>0</v>
      </c>
      <c r="CN209" s="5">
        <f>IF($BI209&lt;&gt;"",IF('Capacity summary'!$C$14="Yes",IF(COUNTBLANK('Capacity summary'!$H121:$BG121)&lt;52,IF('Capacity summary'!AK121&lt;&gt;"",IF(LOWER('Capacity summary'!AK121)="x",$BI209*AK209,VALUE('Capacity summary'!AK121)),0),AK209*$BI209),AK209*$BI209),0)</f>
        <v>0</v>
      </c>
      <c r="CO209" s="5">
        <f>IF($BI209&lt;&gt;"",IF('Capacity summary'!$C$14="Yes",IF(COUNTBLANK('Capacity summary'!$H121:$BG121)&lt;52,IF('Capacity summary'!AL121&lt;&gt;"",IF(LOWER('Capacity summary'!AL121)="x",$BI209*AL209,VALUE('Capacity summary'!AL121)),0),AL209*$BI209),AL209*$BI209),0)</f>
        <v>0</v>
      </c>
      <c r="CP209" s="5">
        <f>IF($BI209&lt;&gt;"",IF('Capacity summary'!$C$14="Yes",IF(COUNTBLANK('Capacity summary'!$H121:$BG121)&lt;52,IF('Capacity summary'!AM121&lt;&gt;"",IF(LOWER('Capacity summary'!AM121)="x",$BI209*AM209,VALUE('Capacity summary'!AM121)),0),AM209*$BI209),AM209*$BI209),0)</f>
        <v>0</v>
      </c>
      <c r="CQ209" s="5">
        <f>IF($BI209&lt;&gt;"",IF('Capacity summary'!$C$14="Yes",IF(COUNTBLANK('Capacity summary'!$H121:$BG121)&lt;52,IF('Capacity summary'!AN121&lt;&gt;"",IF(LOWER('Capacity summary'!AN121)="x",$BI209*AN209,VALUE('Capacity summary'!AN121)),0),AN209*$BI209),AN209*$BI209),0)</f>
        <v>0</v>
      </c>
      <c r="CR209" s="5">
        <f>IF($BI209&lt;&gt;"",IF('Capacity summary'!$C$14="Yes",IF(COUNTBLANK('Capacity summary'!$H121:$BG121)&lt;52,IF('Capacity summary'!AO121&lt;&gt;"",IF(LOWER('Capacity summary'!AO121)="x",$BI209*AO209,VALUE('Capacity summary'!AO121)),0),AO209*$BI209),AO209*$BI209),0)</f>
        <v>0</v>
      </c>
      <c r="CS209" s="5">
        <f>IF($BI209&lt;&gt;"",IF('Capacity summary'!$C$14="Yes",IF(COUNTBLANK('Capacity summary'!$H121:$BG121)&lt;52,IF('Capacity summary'!AP121&lt;&gt;"",IF(LOWER('Capacity summary'!AP121)="x",$BI209*AP209,VALUE('Capacity summary'!AP121)),0),AP209*$BI209),AP209*$BI209),0)</f>
        <v>0</v>
      </c>
      <c r="CT209" s="5">
        <f>IF($BI209&lt;&gt;"",IF('Capacity summary'!$C$14="Yes",IF(COUNTBLANK('Capacity summary'!$H121:$BG121)&lt;52,IF('Capacity summary'!AQ121&lt;&gt;"",IF(LOWER('Capacity summary'!AQ121)="x",$BI209*AQ209,VALUE('Capacity summary'!AQ121)),0),AQ209*$BI209),AQ209*$BI209),0)</f>
        <v>0</v>
      </c>
      <c r="CU209" s="5">
        <f>IF($BI209&lt;&gt;"",IF('Capacity summary'!$C$14="Yes",IF(COUNTBLANK('Capacity summary'!$H121:$BG121)&lt;52,IF('Capacity summary'!AR121&lt;&gt;"",IF(LOWER('Capacity summary'!AR121)="x",$BI209*AR209,VALUE('Capacity summary'!AR121)),0),AR209*$BI209),AR209*$BI209),0)</f>
        <v>0</v>
      </c>
      <c r="CV209" s="5">
        <f>IF($BI209&lt;&gt;"",IF('Capacity summary'!$C$14="Yes",IF(COUNTBLANK('Capacity summary'!$H121:$BG121)&lt;52,IF('Capacity summary'!AS121&lt;&gt;"",IF(LOWER('Capacity summary'!AS121)="x",$BI209*AS209,VALUE('Capacity summary'!AS121)),0),AS209*$BI209),AS209*$BI209),0)</f>
        <v>0</v>
      </c>
      <c r="CW209" s="5">
        <f>IF($BI209&lt;&gt;"",IF('Capacity summary'!$C$14="Yes",IF(COUNTBLANK('Capacity summary'!$H121:$BG121)&lt;52,IF('Capacity summary'!AT121&lt;&gt;"",IF(LOWER('Capacity summary'!AT121)="x",$BI209*AT209,VALUE('Capacity summary'!AT121)),0),AT209*$BI209),AT209*$BI209),0)</f>
        <v>0</v>
      </c>
      <c r="CX209" s="5">
        <f>IF($BI209&lt;&gt;"",IF('Capacity summary'!$C$14="Yes",IF(COUNTBLANK('Capacity summary'!$H121:$BG121)&lt;52,IF('Capacity summary'!AU121&lt;&gt;"",IF(LOWER('Capacity summary'!AU121)="x",$BI209*AU209,VALUE('Capacity summary'!AU121)),0),AU209*$BI209),AU209*$BI209),0)</f>
        <v>0</v>
      </c>
      <c r="CY209" s="5">
        <f>IF($BI209&lt;&gt;"",IF('Capacity summary'!$C$14="Yes",IF(COUNTBLANK('Capacity summary'!$H121:$BG121)&lt;52,IF('Capacity summary'!AV121&lt;&gt;"",IF(LOWER('Capacity summary'!AV121)="x",$BI209*AV209,VALUE('Capacity summary'!AV121)),0),AV209*$BI209),AV209*$BI209),0)</f>
        <v>0</v>
      </c>
      <c r="CZ209" s="5">
        <f>IF($BI209&lt;&gt;"",IF('Capacity summary'!$C$14="Yes",IF(COUNTBLANK('Capacity summary'!$H121:$BG121)&lt;52,IF('Capacity summary'!AW121&lt;&gt;"",IF(LOWER('Capacity summary'!AW121)="x",$BI209*AW209,VALUE('Capacity summary'!AW121)),0),AW209*$BI209),AW209*$BI209),0)</f>
        <v>0</v>
      </c>
      <c r="DA209" s="5">
        <f>IF($BI209&lt;&gt;"",IF('Capacity summary'!$C$14="Yes",IF(COUNTBLANK('Capacity summary'!$H121:$BG121)&lt;52,IF('Capacity summary'!AX121&lt;&gt;"",IF(LOWER('Capacity summary'!AX121)="x",$BI209*AX209,VALUE('Capacity summary'!AX121)),0),AX209*$BI209),AX209*$BI209),0)</f>
        <v>0</v>
      </c>
      <c r="DB209" s="5">
        <f>IF($BI209&lt;&gt;"",IF('Capacity summary'!$C$14="Yes",IF(COUNTBLANK('Capacity summary'!$H121:$BG121)&lt;52,IF('Capacity summary'!AY121&lt;&gt;"",IF(LOWER('Capacity summary'!AY121)="x",$BI209*AY209,VALUE('Capacity summary'!AY121)),0),AY209*$BI209),AY209*$BI209),0)</f>
        <v>0</v>
      </c>
      <c r="DC209" s="5">
        <f>IF($BI209&lt;&gt;"",IF('Capacity summary'!$C$14="Yes",IF(COUNTBLANK('Capacity summary'!$H121:$BG121)&lt;52,IF('Capacity summary'!AZ121&lt;&gt;"",IF(LOWER('Capacity summary'!AZ121)="x",$BI209*AZ209,VALUE('Capacity summary'!AZ121)),0),AZ209*$BI209),AZ209*$BI209),0)</f>
        <v>0</v>
      </c>
      <c r="DD209" s="5">
        <f>IF($BI209&lt;&gt;"",IF('Capacity summary'!$C$14="Yes",IF(COUNTBLANK('Capacity summary'!$H121:$BG121)&lt;52,IF('Capacity summary'!BA121&lt;&gt;"",IF(LOWER('Capacity summary'!BA121)="x",$BI209*BA209,VALUE('Capacity summary'!BA121)),0),BA209*$BI209),BA209*$BI209),0)</f>
        <v>0</v>
      </c>
      <c r="DE209" s="5">
        <f>IF($BI209&lt;&gt;"",IF('Capacity summary'!$C$14="Yes",IF(COUNTBLANK('Capacity summary'!$H121:$BG121)&lt;52,IF('Capacity summary'!BB121&lt;&gt;"",IF(LOWER('Capacity summary'!BB121)="x",$BI209*BB209,VALUE('Capacity summary'!BB121)),0),BB209*$BI209),BB209*$BI209),0)</f>
        <v>0</v>
      </c>
      <c r="DF209" s="5">
        <f>IF($BI209&lt;&gt;"",IF('Capacity summary'!$C$14="Yes",IF(COUNTBLANK('Capacity summary'!$H121:$BG121)&lt;52,IF('Capacity summary'!BC121&lt;&gt;"",IF(LOWER('Capacity summary'!BC121)="x",$BI209*BC209,VALUE('Capacity summary'!BC121)),0),BC209*$BI209),BC209*$BI209),0)</f>
        <v>0</v>
      </c>
      <c r="DG209" s="5">
        <f>IF($BI209&lt;&gt;"",IF('Capacity summary'!$C$14="Yes",IF(COUNTBLANK('Capacity summary'!$H121:$BG121)&lt;52,IF('Capacity summary'!BD121&lt;&gt;"",IF(LOWER('Capacity summary'!BD121)="x",$BI209*BD209,VALUE('Capacity summary'!BD121)),0),BD209*$BI209),BD209*$BI209),0)</f>
        <v>0</v>
      </c>
      <c r="DH209" s="5">
        <f>IF($BI209&lt;&gt;"",IF('Capacity summary'!$C$14="Yes",IF(COUNTBLANK('Capacity summary'!$H121:$BG121)&lt;52,IF('Capacity summary'!BE121&lt;&gt;"",IF(LOWER('Capacity summary'!BE121)="x",$BI209*BE209,VALUE('Capacity summary'!BE121)),0),BE209*$BI209),BE209*$BI209),0)</f>
        <v>0</v>
      </c>
      <c r="DI209" s="5">
        <f>IF($BI209&lt;&gt;"",IF('Capacity summary'!$C$14="Yes",IF(COUNTBLANK('Capacity summary'!$H121:$BG121)&lt;52,IF('Capacity summary'!BF121&lt;&gt;"",IF(LOWER('Capacity summary'!BF121)="x",$BI209*BF209,VALUE('Capacity summary'!BF121)),0),BF209*$BI209),BF209*$BI209),0)</f>
        <v>0</v>
      </c>
      <c r="DJ209" s="5">
        <f>IF($BI209&lt;&gt;"",IF('Capacity summary'!$C$14="Yes",IF(COUNTBLANK('Capacity summary'!$H121:$BG121)&lt;52,IF('Capacity summary'!BG121&lt;&gt;"",IF(LOWER('Capacity summary'!BG121)="x",$BI209*BG209,VALUE('Capacity summary'!BG121)),0),BG209*$BI209),BG209*$BI209),0)</f>
        <v>0</v>
      </c>
      <c r="DK209" s="5">
        <f t="shared" ref="DK209" si="103">SUM(DK210:DK309)</f>
        <v>0</v>
      </c>
    </row>
    <row r="210" spans="2:115" x14ac:dyDescent="0.25">
      <c r="C210" s="67" t="str">
        <f>ROW(A99)&amp;". "&amp;Capacity!N115</f>
        <v xml:space="preserve">99. </v>
      </c>
      <c r="D210" s="67">
        <f>'Capacity setup'!C216</f>
        <v>0</v>
      </c>
      <c r="E210" s="67">
        <f>'Capacity setup'!D216</f>
        <v>0</v>
      </c>
      <c r="F210" s="67">
        <f>'Capacity setup'!E216</f>
        <v>0</v>
      </c>
      <c r="H210" s="67">
        <f ca="1">IF(AND(SUMIF(Capacity_Resource,$D210,'Critical resources (hide)'!U$6:U$105)+SUMIF(Capacity_Resource,$E210,'Critical resources (hide)'!U$6:U$105)+SUMIF(Capacity_Resource,$F210,'Critical resources (hide)'!U$6:U$105)&gt;0,$E$1=2),0,1)</f>
        <v>1</v>
      </c>
      <c r="I210" s="67">
        <f ca="1">IF(AND(SUMIF(Capacity_Resource,$D210,'Critical resources (hide)'!V$6:V$105)+SUMIF(Capacity_Resource,$E210,'Critical resources (hide)'!V$6:V$105)+SUMIF(Capacity_Resource,$F210,'Critical resources (hide)'!V$6:V$105)&gt;0,$E$1=2),0,1)</f>
        <v>1</v>
      </c>
      <c r="J210" s="67">
        <f ca="1">IF(AND(SUMIF(Capacity_Resource,$D210,'Critical resources (hide)'!W$6:W$105)+SUMIF(Capacity_Resource,$E210,'Critical resources (hide)'!W$6:W$105)+SUMIF(Capacity_Resource,$F210,'Critical resources (hide)'!W$6:W$105)&gt;0,$E$1=2),0,1)</f>
        <v>1</v>
      </c>
      <c r="K210" s="67">
        <f ca="1">IF(AND(SUMIF(Capacity_Resource,$D210,'Critical resources (hide)'!X$6:X$105)+SUMIF(Capacity_Resource,$E210,'Critical resources (hide)'!X$6:X$105)+SUMIF(Capacity_Resource,$F210,'Critical resources (hide)'!X$6:X$105)&gt;0,$E$1=2),0,1)</f>
        <v>1</v>
      </c>
      <c r="L210" s="67">
        <f ca="1">IF(AND(SUMIF(Capacity_Resource,$D210,'Critical resources (hide)'!Y$6:Y$105)+SUMIF(Capacity_Resource,$E210,'Critical resources (hide)'!Y$6:Y$105)+SUMIF(Capacity_Resource,$F210,'Critical resources (hide)'!Y$6:Y$105)&gt;0,$E$1=2),0,1)</f>
        <v>1</v>
      </c>
      <c r="M210" s="67">
        <f ca="1">IF(AND(SUMIF(Capacity_Resource,$D210,'Critical resources (hide)'!Z$6:Z$105)+SUMIF(Capacity_Resource,$E210,'Critical resources (hide)'!Z$6:Z$105)+SUMIF(Capacity_Resource,$F210,'Critical resources (hide)'!Z$6:Z$105)&gt;0,$E$1=2),0,1)</f>
        <v>1</v>
      </c>
      <c r="N210" s="67">
        <f ca="1">IF(AND(SUMIF(Capacity_Resource,$D210,'Critical resources (hide)'!AA$6:AA$105)+SUMIF(Capacity_Resource,$E210,'Critical resources (hide)'!AA$6:AA$105)+SUMIF(Capacity_Resource,$F210,'Critical resources (hide)'!AA$6:AA$105)&gt;0,$E$1=2),0,1)</f>
        <v>1</v>
      </c>
      <c r="O210" s="67">
        <f ca="1">IF(AND(SUMIF(Capacity_Resource,$D210,'Critical resources (hide)'!AB$6:AB$105)+SUMIF(Capacity_Resource,$E210,'Critical resources (hide)'!AB$6:AB$105)+SUMIF(Capacity_Resource,$F210,'Critical resources (hide)'!AB$6:AB$105)&gt;0,$E$1=2),0,1)</f>
        <v>1</v>
      </c>
      <c r="P210" s="67">
        <f ca="1">IF(AND(SUMIF(Capacity_Resource,$D210,'Critical resources (hide)'!AC$6:AC$105)+SUMIF(Capacity_Resource,$E210,'Critical resources (hide)'!AC$6:AC$105)+SUMIF(Capacity_Resource,$F210,'Critical resources (hide)'!AC$6:AC$105)&gt;0,$E$1=2),0,1)</f>
        <v>1</v>
      </c>
      <c r="Q210" s="67">
        <f ca="1">IF(AND(SUMIF(Capacity_Resource,$D210,'Critical resources (hide)'!AD$6:AD$105)+SUMIF(Capacity_Resource,$E210,'Critical resources (hide)'!AD$6:AD$105)+SUMIF(Capacity_Resource,$F210,'Critical resources (hide)'!AD$6:AD$105)&gt;0,$E$1=2),0,1)</f>
        <v>1</v>
      </c>
      <c r="R210" s="67">
        <f ca="1">IF(AND(SUMIF(Capacity_Resource,$D210,'Critical resources (hide)'!AE$6:AE$105)+SUMIF(Capacity_Resource,$E210,'Critical resources (hide)'!AE$6:AE$105)+SUMIF(Capacity_Resource,$F210,'Critical resources (hide)'!AE$6:AE$105)&gt;0,$E$1=2),0,1)</f>
        <v>1</v>
      </c>
      <c r="S210" s="67">
        <f ca="1">IF(AND(SUMIF(Capacity_Resource,$D210,'Critical resources (hide)'!AF$6:AF$105)+SUMIF(Capacity_Resource,$E210,'Critical resources (hide)'!AF$6:AF$105)+SUMIF(Capacity_Resource,$F210,'Critical resources (hide)'!AF$6:AF$105)&gt;0,$E$1=2),0,1)</f>
        <v>1</v>
      </c>
      <c r="T210" s="67">
        <f ca="1">IF(AND(SUMIF(Capacity_Resource,$D210,'Critical resources (hide)'!AG$6:AG$105)+SUMIF(Capacity_Resource,$E210,'Critical resources (hide)'!AG$6:AG$105)+SUMIF(Capacity_Resource,$F210,'Critical resources (hide)'!AG$6:AG$105)&gt;0,$E$1=2),0,1)</f>
        <v>1</v>
      </c>
      <c r="U210" s="67">
        <f ca="1">IF(AND(SUMIF(Capacity_Resource,$D210,'Critical resources (hide)'!AH$6:AH$105)+SUMIF(Capacity_Resource,$E210,'Critical resources (hide)'!AH$6:AH$105)+SUMIF(Capacity_Resource,$F210,'Critical resources (hide)'!AH$6:AH$105)&gt;0,$E$1=2),0,1)</f>
        <v>1</v>
      </c>
      <c r="V210" s="67">
        <f ca="1">IF(AND(SUMIF(Capacity_Resource,$D210,'Critical resources (hide)'!AI$6:AI$105)+SUMIF(Capacity_Resource,$E210,'Critical resources (hide)'!AI$6:AI$105)+SUMIF(Capacity_Resource,$F210,'Critical resources (hide)'!AI$6:AI$105)&gt;0,$E$1=2),0,1)</f>
        <v>1</v>
      </c>
      <c r="W210" s="67">
        <f ca="1">IF(AND(SUMIF(Capacity_Resource,$D210,'Critical resources (hide)'!AJ$6:AJ$105)+SUMIF(Capacity_Resource,$E210,'Critical resources (hide)'!AJ$6:AJ$105)+SUMIF(Capacity_Resource,$F210,'Critical resources (hide)'!AJ$6:AJ$105)&gt;0,$E$1=2),0,1)</f>
        <v>1</v>
      </c>
      <c r="X210" s="67">
        <f ca="1">IF(AND(SUMIF(Capacity_Resource,$D210,'Critical resources (hide)'!AK$6:AK$105)+SUMIF(Capacity_Resource,$E210,'Critical resources (hide)'!AK$6:AK$105)+SUMIF(Capacity_Resource,$F210,'Critical resources (hide)'!AK$6:AK$105)&gt;0,$E$1=2),0,1)</f>
        <v>1</v>
      </c>
      <c r="Y210" s="67">
        <f ca="1">IF(AND(SUMIF(Capacity_Resource,$D210,'Critical resources (hide)'!AL$6:AL$105)+SUMIF(Capacity_Resource,$E210,'Critical resources (hide)'!AL$6:AL$105)+SUMIF(Capacity_Resource,$F210,'Critical resources (hide)'!AL$6:AL$105)&gt;0,$E$1=2),0,1)</f>
        <v>1</v>
      </c>
      <c r="Z210" s="67">
        <f ca="1">IF(AND(SUMIF(Capacity_Resource,$D210,'Critical resources (hide)'!AM$6:AM$105)+SUMIF(Capacity_Resource,$E210,'Critical resources (hide)'!AM$6:AM$105)+SUMIF(Capacity_Resource,$F210,'Critical resources (hide)'!AM$6:AM$105)&gt;0,$E$1=2),0,1)</f>
        <v>1</v>
      </c>
      <c r="AA210" s="67">
        <f ca="1">IF(AND(SUMIF(Capacity_Resource,$D210,'Critical resources (hide)'!AN$6:AN$105)+SUMIF(Capacity_Resource,$E210,'Critical resources (hide)'!AN$6:AN$105)+SUMIF(Capacity_Resource,$F210,'Critical resources (hide)'!AN$6:AN$105)&gt;0,$E$1=2),0,1)</f>
        <v>1</v>
      </c>
      <c r="AB210" s="67">
        <f ca="1">IF(AND(SUMIF(Capacity_Resource,$D210,'Critical resources (hide)'!AO$6:AO$105)+SUMIF(Capacity_Resource,$E210,'Critical resources (hide)'!AO$6:AO$105)+SUMIF(Capacity_Resource,$F210,'Critical resources (hide)'!AO$6:AO$105)&gt;0,$E$1=2),0,1)</f>
        <v>1</v>
      </c>
      <c r="AC210" s="67">
        <f ca="1">IF(AND(SUMIF(Capacity_Resource,$D210,'Critical resources (hide)'!AP$6:AP$105)+SUMIF(Capacity_Resource,$E210,'Critical resources (hide)'!AP$6:AP$105)+SUMIF(Capacity_Resource,$F210,'Critical resources (hide)'!AP$6:AP$105)&gt;0,$E$1=2),0,1)</f>
        <v>1</v>
      </c>
      <c r="AD210" s="67">
        <f ca="1">IF(AND(SUMIF(Capacity_Resource,$D210,'Critical resources (hide)'!AQ$6:AQ$105)+SUMIF(Capacity_Resource,$E210,'Critical resources (hide)'!AQ$6:AQ$105)+SUMIF(Capacity_Resource,$F210,'Critical resources (hide)'!AQ$6:AQ$105)&gt;0,$E$1=2),0,1)</f>
        <v>1</v>
      </c>
      <c r="AE210" s="67">
        <f ca="1">IF(AND(SUMIF(Capacity_Resource,$D210,'Critical resources (hide)'!AR$6:AR$105)+SUMIF(Capacity_Resource,$E210,'Critical resources (hide)'!AR$6:AR$105)+SUMIF(Capacity_Resource,$F210,'Critical resources (hide)'!AR$6:AR$105)&gt;0,$E$1=2),0,1)</f>
        <v>1</v>
      </c>
      <c r="AF210" s="67">
        <f ca="1">IF(AND(SUMIF(Capacity_Resource,$D210,'Critical resources (hide)'!AS$6:AS$105)+SUMIF(Capacity_Resource,$E210,'Critical resources (hide)'!AS$6:AS$105)+SUMIF(Capacity_Resource,$F210,'Critical resources (hide)'!AS$6:AS$105)&gt;0,$E$1=2),0,1)</f>
        <v>1</v>
      </c>
      <c r="AG210" s="67">
        <f ca="1">IF(AND(SUMIF(Capacity_Resource,$D210,'Critical resources (hide)'!AT$6:AT$105)+SUMIF(Capacity_Resource,$E210,'Critical resources (hide)'!AT$6:AT$105)+SUMIF(Capacity_Resource,$F210,'Critical resources (hide)'!AT$6:AT$105)&gt;0,$E$1=2),0,1)</f>
        <v>1</v>
      </c>
      <c r="AH210" s="67">
        <f ca="1">IF(AND(SUMIF(Capacity_Resource,$D210,'Critical resources (hide)'!AU$6:AU$105)+SUMIF(Capacity_Resource,$E210,'Critical resources (hide)'!AU$6:AU$105)+SUMIF(Capacity_Resource,$F210,'Critical resources (hide)'!AU$6:AU$105)&gt;0,$E$1=2),0,1)</f>
        <v>1</v>
      </c>
      <c r="AI210" s="67">
        <f ca="1">IF(AND(SUMIF(Capacity_Resource,$D210,'Critical resources (hide)'!AV$6:AV$105)+SUMIF(Capacity_Resource,$E210,'Critical resources (hide)'!AV$6:AV$105)+SUMIF(Capacity_Resource,$F210,'Critical resources (hide)'!AV$6:AV$105)&gt;0,$E$1=2),0,1)</f>
        <v>1</v>
      </c>
      <c r="AJ210" s="67">
        <f ca="1">IF(AND(SUMIF(Capacity_Resource,$D210,'Critical resources (hide)'!AW$6:AW$105)+SUMIF(Capacity_Resource,$E210,'Critical resources (hide)'!AW$6:AW$105)+SUMIF(Capacity_Resource,$F210,'Critical resources (hide)'!AW$6:AW$105)&gt;0,$E$1=2),0,1)</f>
        <v>1</v>
      </c>
      <c r="AK210" s="67">
        <f ca="1">IF(AND(SUMIF(Capacity_Resource,$D210,'Critical resources (hide)'!AX$6:AX$105)+SUMIF(Capacity_Resource,$E210,'Critical resources (hide)'!AX$6:AX$105)+SUMIF(Capacity_Resource,$F210,'Critical resources (hide)'!AX$6:AX$105)&gt;0,$E$1=2),0,1)</f>
        <v>1</v>
      </c>
      <c r="AL210" s="67">
        <f ca="1">IF(AND(SUMIF(Capacity_Resource,$D210,'Critical resources (hide)'!AY$6:AY$105)+SUMIF(Capacity_Resource,$E210,'Critical resources (hide)'!AY$6:AY$105)+SUMIF(Capacity_Resource,$F210,'Critical resources (hide)'!AY$6:AY$105)&gt;0,$E$1=2),0,1)</f>
        <v>1</v>
      </c>
      <c r="AM210" s="67">
        <f ca="1">IF(AND(SUMIF(Capacity_Resource,$D210,'Critical resources (hide)'!AZ$6:AZ$105)+SUMIF(Capacity_Resource,$E210,'Critical resources (hide)'!AZ$6:AZ$105)+SUMIF(Capacity_Resource,$F210,'Critical resources (hide)'!AZ$6:AZ$105)&gt;0,$E$1=2),0,1)</f>
        <v>1</v>
      </c>
      <c r="AN210" s="67">
        <f ca="1">IF(AND(SUMIF(Capacity_Resource,$D210,'Critical resources (hide)'!BA$6:BA$105)+SUMIF(Capacity_Resource,$E210,'Critical resources (hide)'!BA$6:BA$105)+SUMIF(Capacity_Resource,$F210,'Critical resources (hide)'!BA$6:BA$105)&gt;0,$E$1=2),0,1)</f>
        <v>1</v>
      </c>
      <c r="AO210" s="67">
        <f ca="1">IF(AND(SUMIF(Capacity_Resource,$D210,'Critical resources (hide)'!BB$6:BB$105)+SUMIF(Capacity_Resource,$E210,'Critical resources (hide)'!BB$6:BB$105)+SUMIF(Capacity_Resource,$F210,'Critical resources (hide)'!BB$6:BB$105)&gt;0,$E$1=2),0,1)</f>
        <v>1</v>
      </c>
      <c r="AP210" s="67">
        <f ca="1">IF(AND(SUMIF(Capacity_Resource,$D210,'Critical resources (hide)'!BC$6:BC$105)+SUMIF(Capacity_Resource,$E210,'Critical resources (hide)'!BC$6:BC$105)+SUMIF(Capacity_Resource,$F210,'Critical resources (hide)'!BC$6:BC$105)&gt;0,$E$1=2),0,1)</f>
        <v>1</v>
      </c>
      <c r="AQ210" s="67">
        <f ca="1">IF(AND(SUMIF(Capacity_Resource,$D210,'Critical resources (hide)'!BD$6:BD$105)+SUMIF(Capacity_Resource,$E210,'Critical resources (hide)'!BD$6:BD$105)+SUMIF(Capacity_Resource,$F210,'Critical resources (hide)'!BD$6:BD$105)&gt;0,$E$1=2),0,1)</f>
        <v>1</v>
      </c>
      <c r="AR210" s="67">
        <f ca="1">IF(AND(SUMIF(Capacity_Resource,$D210,'Critical resources (hide)'!BE$6:BE$105)+SUMIF(Capacity_Resource,$E210,'Critical resources (hide)'!BE$6:BE$105)+SUMIF(Capacity_Resource,$F210,'Critical resources (hide)'!BE$6:BE$105)&gt;0,$E$1=2),0,1)</f>
        <v>1</v>
      </c>
      <c r="AS210" s="67">
        <f ca="1">IF(AND(SUMIF(Capacity_Resource,$D210,'Critical resources (hide)'!BF$6:BF$105)+SUMIF(Capacity_Resource,$E210,'Critical resources (hide)'!BF$6:BF$105)+SUMIF(Capacity_Resource,$F210,'Critical resources (hide)'!BF$6:BF$105)&gt;0,$E$1=2),0,1)</f>
        <v>1</v>
      </c>
      <c r="AT210" s="67">
        <f ca="1">IF(AND(SUMIF(Capacity_Resource,$D210,'Critical resources (hide)'!BG$6:BG$105)+SUMIF(Capacity_Resource,$E210,'Critical resources (hide)'!BG$6:BG$105)+SUMIF(Capacity_Resource,$F210,'Critical resources (hide)'!BG$6:BG$105)&gt;0,$E$1=2),0,1)</f>
        <v>1</v>
      </c>
      <c r="AU210" s="67">
        <f ca="1">IF(AND(SUMIF(Capacity_Resource,$D210,'Critical resources (hide)'!BH$6:BH$105)+SUMIF(Capacity_Resource,$E210,'Critical resources (hide)'!BH$6:BH$105)+SUMIF(Capacity_Resource,$F210,'Critical resources (hide)'!BH$6:BH$105)&gt;0,$E$1=2),0,1)</f>
        <v>1</v>
      </c>
      <c r="AV210" s="67">
        <f ca="1">IF(AND(SUMIF(Capacity_Resource,$D210,'Critical resources (hide)'!BI$6:BI$105)+SUMIF(Capacity_Resource,$E210,'Critical resources (hide)'!BI$6:BI$105)+SUMIF(Capacity_Resource,$F210,'Critical resources (hide)'!BI$6:BI$105)&gt;0,$E$1=2),0,1)</f>
        <v>1</v>
      </c>
      <c r="AW210" s="67">
        <f ca="1">IF(AND(SUMIF(Capacity_Resource,$D210,'Critical resources (hide)'!BJ$6:BJ$105)+SUMIF(Capacity_Resource,$E210,'Critical resources (hide)'!BJ$6:BJ$105)+SUMIF(Capacity_Resource,$F210,'Critical resources (hide)'!BJ$6:BJ$105)&gt;0,$E$1=2),0,1)</f>
        <v>1</v>
      </c>
      <c r="AX210" s="67">
        <f ca="1">IF(AND(SUMIF(Capacity_Resource,$D210,'Critical resources (hide)'!BK$6:BK$105)+SUMIF(Capacity_Resource,$E210,'Critical resources (hide)'!BK$6:BK$105)+SUMIF(Capacity_Resource,$F210,'Critical resources (hide)'!BK$6:BK$105)&gt;0,$E$1=2),0,1)</f>
        <v>1</v>
      </c>
      <c r="AY210" s="67">
        <f ca="1">IF(AND(SUMIF(Capacity_Resource,$D210,'Critical resources (hide)'!BL$6:BL$105)+SUMIF(Capacity_Resource,$E210,'Critical resources (hide)'!BL$6:BL$105)+SUMIF(Capacity_Resource,$F210,'Critical resources (hide)'!BL$6:BL$105)&gt;0,$E$1=2),0,1)</f>
        <v>1</v>
      </c>
      <c r="AZ210" s="67">
        <f ca="1">IF(AND(SUMIF(Capacity_Resource,$D210,'Critical resources (hide)'!BM$6:BM$105)+SUMIF(Capacity_Resource,$E210,'Critical resources (hide)'!BM$6:BM$105)+SUMIF(Capacity_Resource,$F210,'Critical resources (hide)'!BM$6:BM$105)&gt;0,$E$1=2),0,1)</f>
        <v>1</v>
      </c>
      <c r="BA210" s="67">
        <f ca="1">IF(AND(SUMIF(Capacity_Resource,$D210,'Critical resources (hide)'!BN$6:BN$105)+SUMIF(Capacity_Resource,$E210,'Critical resources (hide)'!BN$6:BN$105)+SUMIF(Capacity_Resource,$F210,'Critical resources (hide)'!BN$6:BN$105)&gt;0,$E$1=2),0,1)</f>
        <v>1</v>
      </c>
      <c r="BB210" s="67">
        <f ca="1">IF(AND(SUMIF(Capacity_Resource,$D210,'Critical resources (hide)'!BO$6:BO$105)+SUMIF(Capacity_Resource,$E210,'Critical resources (hide)'!BO$6:BO$105)+SUMIF(Capacity_Resource,$F210,'Critical resources (hide)'!BO$6:BO$105)&gt;0,$E$1=2),0,1)</f>
        <v>1</v>
      </c>
      <c r="BC210" s="67">
        <f ca="1">IF(AND(SUMIF(Capacity_Resource,$D210,'Critical resources (hide)'!BP$6:BP$105)+SUMIF(Capacity_Resource,$E210,'Critical resources (hide)'!BP$6:BP$105)+SUMIF(Capacity_Resource,$F210,'Critical resources (hide)'!BP$6:BP$105)&gt;0,$E$1=2),0,1)</f>
        <v>1</v>
      </c>
      <c r="BD210" s="67">
        <f ca="1">IF(AND(SUMIF(Capacity_Resource,$D210,'Critical resources (hide)'!BQ$6:BQ$105)+SUMIF(Capacity_Resource,$E210,'Critical resources (hide)'!BQ$6:BQ$105)+SUMIF(Capacity_Resource,$F210,'Critical resources (hide)'!BQ$6:BQ$105)&gt;0,$E$1=2),0,1)</f>
        <v>1</v>
      </c>
      <c r="BE210" s="67">
        <f ca="1">IF(AND(SUMIF(Capacity_Resource,$D210,'Critical resources (hide)'!BR$6:BR$105)+SUMIF(Capacity_Resource,$E210,'Critical resources (hide)'!BR$6:BR$105)+SUMIF(Capacity_Resource,$F210,'Critical resources (hide)'!BR$6:BR$105)&gt;0,$E$1=2),0,1)</f>
        <v>1</v>
      </c>
      <c r="BF210" s="67">
        <f ca="1">IF(AND(SUMIF(Capacity_Resource,$D210,'Critical resources (hide)'!BS$6:BS$105)+SUMIF(Capacity_Resource,$E210,'Critical resources (hide)'!BS$6:BS$105)+SUMIF(Capacity_Resource,$F210,'Critical resources (hide)'!BS$6:BS$105)&gt;0,$E$1=2),0,1)</f>
        <v>1</v>
      </c>
      <c r="BG210" s="67">
        <f ca="1">IF(AND(SUMIF(Capacity_Resource,$D210,'Critical resources (hide)'!BT$6:BT$105)+SUMIF(Capacity_Resource,$E210,'Critical resources (hide)'!BT$6:BT$105)+SUMIF(Capacity_Resource,$F210,'Critical resources (hide)'!BT$6:BT$105)&gt;0,$E$1=2),0,1)</f>
        <v>1</v>
      </c>
      <c r="BH210" s="67">
        <f>IF(ROW(A99)&lt;=Capacity!$M$16,IF('Capacity summary'!$C$14="No",SUM(H210:BG210),'Capacity summary'!$E122),0)</f>
        <v>0</v>
      </c>
      <c r="BI210" s="67" t="str">
        <f>IF(BH210&gt;0,IF(BH210&lt;Capacity!Q115,Capacity!R115,Capacity!T115/'Capacity calculation (hide)'!BH210),"")</f>
        <v/>
      </c>
      <c r="BJ210" s="5"/>
      <c r="BK210" s="5">
        <f>IF($BI210&lt;&gt;"",IF('Capacity summary'!$C$14="Yes",IF(COUNTBLANK('Capacity summary'!$H122:$BG122)&lt;52,IF('Capacity summary'!H122&lt;&gt;"",IF(LOWER('Capacity summary'!H122)="x",$BI210*H210,VALUE('Capacity summary'!H122)),0),H210*$BI210),H210*$BI210),0)</f>
        <v>0</v>
      </c>
      <c r="BL210" s="5">
        <f>IF($BI210&lt;&gt;"",IF('Capacity summary'!$C$14="Yes",IF(COUNTBLANK('Capacity summary'!$H122:$BG122)&lt;52,IF('Capacity summary'!I122&lt;&gt;"",IF(LOWER('Capacity summary'!I122)="x",$BI210*I210,VALUE('Capacity summary'!I122)),0),I210*$BI210),I210*$BI210),0)</f>
        <v>0</v>
      </c>
      <c r="BM210" s="5">
        <f>IF($BI210&lt;&gt;"",IF('Capacity summary'!$C$14="Yes",IF(COUNTBLANK('Capacity summary'!$H122:$BG122)&lt;52,IF('Capacity summary'!J122&lt;&gt;"",IF(LOWER('Capacity summary'!J122)="x",$BI210*J210,VALUE('Capacity summary'!J122)),0),J210*$BI210),J210*$BI210),0)</f>
        <v>0</v>
      </c>
      <c r="BN210" s="5">
        <f>IF($BI210&lt;&gt;"",IF('Capacity summary'!$C$14="Yes",IF(COUNTBLANK('Capacity summary'!$H122:$BG122)&lt;52,IF('Capacity summary'!K122&lt;&gt;"",IF(LOWER('Capacity summary'!K122)="x",$BI210*K210,VALUE('Capacity summary'!K122)),0),K210*$BI210),K210*$BI210),0)</f>
        <v>0</v>
      </c>
      <c r="BO210" s="5">
        <f>IF($BI210&lt;&gt;"",IF('Capacity summary'!$C$14="Yes",IF(COUNTBLANK('Capacity summary'!$H122:$BG122)&lt;52,IF('Capacity summary'!L122&lt;&gt;"",IF(LOWER('Capacity summary'!L122)="x",$BI210*L210,VALUE('Capacity summary'!L122)),0),L210*$BI210),L210*$BI210),0)</f>
        <v>0</v>
      </c>
      <c r="BP210" s="5">
        <f>IF($BI210&lt;&gt;"",IF('Capacity summary'!$C$14="Yes",IF(COUNTBLANK('Capacity summary'!$H122:$BG122)&lt;52,IF('Capacity summary'!M122&lt;&gt;"",IF(LOWER('Capacity summary'!M122)="x",$BI210*M210,VALUE('Capacity summary'!M122)),0),M210*$BI210),M210*$BI210),0)</f>
        <v>0</v>
      </c>
      <c r="BQ210" s="5">
        <f>IF($BI210&lt;&gt;"",IF('Capacity summary'!$C$14="Yes",IF(COUNTBLANK('Capacity summary'!$H122:$BG122)&lt;52,IF('Capacity summary'!N122&lt;&gt;"",IF(LOWER('Capacity summary'!N122)="x",$BI210*N210,VALUE('Capacity summary'!N122)),0),N210*$BI210),N210*$BI210),0)</f>
        <v>0</v>
      </c>
      <c r="BR210" s="5">
        <f>IF($BI210&lt;&gt;"",IF('Capacity summary'!$C$14="Yes",IF(COUNTBLANK('Capacity summary'!$H122:$BG122)&lt;52,IF('Capacity summary'!O122&lt;&gt;"",IF(LOWER('Capacity summary'!O122)="x",$BI210*O210,VALUE('Capacity summary'!O122)),0),O210*$BI210),O210*$BI210),0)</f>
        <v>0</v>
      </c>
      <c r="BS210" s="5">
        <f>IF($BI210&lt;&gt;"",IF('Capacity summary'!$C$14="Yes",IF(COUNTBLANK('Capacity summary'!$H122:$BG122)&lt;52,IF('Capacity summary'!P122&lt;&gt;"",IF(LOWER('Capacity summary'!P122)="x",$BI210*P210,VALUE('Capacity summary'!P122)),0),P210*$BI210),P210*$BI210),0)</f>
        <v>0</v>
      </c>
      <c r="BT210" s="5">
        <f>IF($BI210&lt;&gt;"",IF('Capacity summary'!$C$14="Yes",IF(COUNTBLANK('Capacity summary'!$H122:$BG122)&lt;52,IF('Capacity summary'!Q122&lt;&gt;"",IF(LOWER('Capacity summary'!Q122)="x",$BI210*Q210,VALUE('Capacity summary'!Q122)),0),Q210*$BI210),Q210*$BI210),0)</f>
        <v>0</v>
      </c>
      <c r="BU210" s="5">
        <f>IF($BI210&lt;&gt;"",IF('Capacity summary'!$C$14="Yes",IF(COUNTBLANK('Capacity summary'!$H122:$BG122)&lt;52,IF('Capacity summary'!R122&lt;&gt;"",IF(LOWER('Capacity summary'!R122)="x",$BI210*R210,VALUE('Capacity summary'!R122)),0),R210*$BI210),R210*$BI210),0)</f>
        <v>0</v>
      </c>
      <c r="BV210" s="5">
        <f>IF($BI210&lt;&gt;"",IF('Capacity summary'!$C$14="Yes",IF(COUNTBLANK('Capacity summary'!$H122:$BG122)&lt;52,IF('Capacity summary'!S122&lt;&gt;"",IF(LOWER('Capacity summary'!S122)="x",$BI210*S210,VALUE('Capacity summary'!S122)),0),S210*$BI210),S210*$BI210),0)</f>
        <v>0</v>
      </c>
      <c r="BW210" s="5">
        <f>IF($BI210&lt;&gt;"",IF('Capacity summary'!$C$14="Yes",IF(COUNTBLANK('Capacity summary'!$H122:$BG122)&lt;52,IF('Capacity summary'!T122&lt;&gt;"",IF(LOWER('Capacity summary'!T122)="x",$BI210*T210,VALUE('Capacity summary'!T122)),0),T210*$BI210),T210*$BI210),0)</f>
        <v>0</v>
      </c>
      <c r="BX210" s="5">
        <f>IF($BI210&lt;&gt;"",IF('Capacity summary'!$C$14="Yes",IF(COUNTBLANK('Capacity summary'!$H122:$BG122)&lt;52,IF('Capacity summary'!U122&lt;&gt;"",IF(LOWER('Capacity summary'!U122)="x",$BI210*U210,VALUE('Capacity summary'!U122)),0),U210*$BI210),U210*$BI210),0)</f>
        <v>0</v>
      </c>
      <c r="BY210" s="5">
        <f>IF($BI210&lt;&gt;"",IF('Capacity summary'!$C$14="Yes",IF(COUNTBLANK('Capacity summary'!$H122:$BG122)&lt;52,IF('Capacity summary'!V122&lt;&gt;"",IF(LOWER('Capacity summary'!V122)="x",$BI210*V210,VALUE('Capacity summary'!V122)),0),V210*$BI210),V210*$BI210),0)</f>
        <v>0</v>
      </c>
      <c r="BZ210" s="5">
        <f>IF($BI210&lt;&gt;"",IF('Capacity summary'!$C$14="Yes",IF(COUNTBLANK('Capacity summary'!$H122:$BG122)&lt;52,IF('Capacity summary'!W122&lt;&gt;"",IF(LOWER('Capacity summary'!W122)="x",$BI210*W210,VALUE('Capacity summary'!W122)),0),W210*$BI210),W210*$BI210),0)</f>
        <v>0</v>
      </c>
      <c r="CA210" s="5">
        <f>IF($BI210&lt;&gt;"",IF('Capacity summary'!$C$14="Yes",IF(COUNTBLANK('Capacity summary'!$H122:$BG122)&lt;52,IF('Capacity summary'!X122&lt;&gt;"",IF(LOWER('Capacity summary'!X122)="x",$BI210*X210,VALUE('Capacity summary'!X122)),0),X210*$BI210),X210*$BI210),0)</f>
        <v>0</v>
      </c>
      <c r="CB210" s="5">
        <f>IF($BI210&lt;&gt;"",IF('Capacity summary'!$C$14="Yes",IF(COUNTBLANK('Capacity summary'!$H122:$BG122)&lt;52,IF('Capacity summary'!Y122&lt;&gt;"",IF(LOWER('Capacity summary'!Y122)="x",$BI210*Y210,VALUE('Capacity summary'!Y122)),0),Y210*$BI210),Y210*$BI210),0)</f>
        <v>0</v>
      </c>
      <c r="CC210" s="5">
        <f>IF($BI210&lt;&gt;"",IF('Capacity summary'!$C$14="Yes",IF(COUNTBLANK('Capacity summary'!$H122:$BG122)&lt;52,IF('Capacity summary'!Z122&lt;&gt;"",IF(LOWER('Capacity summary'!Z122)="x",$BI210*Z210,VALUE('Capacity summary'!Z122)),0),Z210*$BI210),Z210*$BI210),0)</f>
        <v>0</v>
      </c>
      <c r="CD210" s="5">
        <f>IF($BI210&lt;&gt;"",IF('Capacity summary'!$C$14="Yes",IF(COUNTBLANK('Capacity summary'!$H122:$BG122)&lt;52,IF('Capacity summary'!AA122&lt;&gt;"",IF(LOWER('Capacity summary'!AA122)="x",$BI210*AA210,VALUE('Capacity summary'!AA122)),0),AA210*$BI210),AA210*$BI210),0)</f>
        <v>0</v>
      </c>
      <c r="CE210" s="5">
        <f>IF($BI210&lt;&gt;"",IF('Capacity summary'!$C$14="Yes",IF(COUNTBLANK('Capacity summary'!$H122:$BG122)&lt;52,IF('Capacity summary'!AB122&lt;&gt;"",IF(LOWER('Capacity summary'!AB122)="x",$BI210*AB210,VALUE('Capacity summary'!AB122)),0),AB210*$BI210),AB210*$BI210),0)</f>
        <v>0</v>
      </c>
      <c r="CF210" s="5">
        <f>IF($BI210&lt;&gt;"",IF('Capacity summary'!$C$14="Yes",IF(COUNTBLANK('Capacity summary'!$H122:$BG122)&lt;52,IF('Capacity summary'!AC122&lt;&gt;"",IF(LOWER('Capacity summary'!AC122)="x",$BI210*AC210,VALUE('Capacity summary'!AC122)),0),AC210*$BI210),AC210*$BI210),0)</f>
        <v>0</v>
      </c>
      <c r="CG210" s="5">
        <f>IF($BI210&lt;&gt;"",IF('Capacity summary'!$C$14="Yes",IF(COUNTBLANK('Capacity summary'!$H122:$BG122)&lt;52,IF('Capacity summary'!AD122&lt;&gt;"",IF(LOWER('Capacity summary'!AD122)="x",$BI210*AD210,VALUE('Capacity summary'!AD122)),0),AD210*$BI210),AD210*$BI210),0)</f>
        <v>0</v>
      </c>
      <c r="CH210" s="5">
        <f>IF($BI210&lt;&gt;"",IF('Capacity summary'!$C$14="Yes",IF(COUNTBLANK('Capacity summary'!$H122:$BG122)&lt;52,IF('Capacity summary'!AE122&lt;&gt;"",IF(LOWER('Capacity summary'!AE122)="x",$BI210*AE210,VALUE('Capacity summary'!AE122)),0),AE210*$BI210),AE210*$BI210),0)</f>
        <v>0</v>
      </c>
      <c r="CI210" s="5">
        <f>IF($BI210&lt;&gt;"",IF('Capacity summary'!$C$14="Yes",IF(COUNTBLANK('Capacity summary'!$H122:$BG122)&lt;52,IF('Capacity summary'!AF122&lt;&gt;"",IF(LOWER('Capacity summary'!AF122)="x",$BI210*AF210,VALUE('Capacity summary'!AF122)),0),AF210*$BI210),AF210*$BI210),0)</f>
        <v>0</v>
      </c>
      <c r="CJ210" s="5">
        <f>IF($BI210&lt;&gt;"",IF('Capacity summary'!$C$14="Yes",IF(COUNTBLANK('Capacity summary'!$H122:$BG122)&lt;52,IF('Capacity summary'!AG122&lt;&gt;"",IF(LOWER('Capacity summary'!AG122)="x",$BI210*AG210,VALUE('Capacity summary'!AG122)),0),AG210*$BI210),AG210*$BI210),0)</f>
        <v>0</v>
      </c>
      <c r="CK210" s="5">
        <f>IF($BI210&lt;&gt;"",IF('Capacity summary'!$C$14="Yes",IF(COUNTBLANK('Capacity summary'!$H122:$BG122)&lt;52,IF('Capacity summary'!AH122&lt;&gt;"",IF(LOWER('Capacity summary'!AH122)="x",$BI210*AH210,VALUE('Capacity summary'!AH122)),0),AH210*$BI210),AH210*$BI210),0)</f>
        <v>0</v>
      </c>
      <c r="CL210" s="5">
        <f>IF($BI210&lt;&gt;"",IF('Capacity summary'!$C$14="Yes",IF(COUNTBLANK('Capacity summary'!$H122:$BG122)&lt;52,IF('Capacity summary'!AI122&lt;&gt;"",IF(LOWER('Capacity summary'!AI122)="x",$BI210*AI210,VALUE('Capacity summary'!AI122)),0),AI210*$BI210),AI210*$BI210),0)</f>
        <v>0</v>
      </c>
      <c r="CM210" s="5">
        <f>IF($BI210&lt;&gt;"",IF('Capacity summary'!$C$14="Yes",IF(COUNTBLANK('Capacity summary'!$H122:$BG122)&lt;52,IF('Capacity summary'!AJ122&lt;&gt;"",IF(LOWER('Capacity summary'!AJ122)="x",$BI210*AJ210,VALUE('Capacity summary'!AJ122)),0),AJ210*$BI210),AJ210*$BI210),0)</f>
        <v>0</v>
      </c>
      <c r="CN210" s="5">
        <f>IF($BI210&lt;&gt;"",IF('Capacity summary'!$C$14="Yes",IF(COUNTBLANK('Capacity summary'!$H122:$BG122)&lt;52,IF('Capacity summary'!AK122&lt;&gt;"",IF(LOWER('Capacity summary'!AK122)="x",$BI210*AK210,VALUE('Capacity summary'!AK122)),0),AK210*$BI210),AK210*$BI210),0)</f>
        <v>0</v>
      </c>
      <c r="CO210" s="5">
        <f>IF($BI210&lt;&gt;"",IF('Capacity summary'!$C$14="Yes",IF(COUNTBLANK('Capacity summary'!$H122:$BG122)&lt;52,IF('Capacity summary'!AL122&lt;&gt;"",IF(LOWER('Capacity summary'!AL122)="x",$BI210*AL210,VALUE('Capacity summary'!AL122)),0),AL210*$BI210),AL210*$BI210),0)</f>
        <v>0</v>
      </c>
      <c r="CP210" s="5">
        <f>IF($BI210&lt;&gt;"",IF('Capacity summary'!$C$14="Yes",IF(COUNTBLANK('Capacity summary'!$H122:$BG122)&lt;52,IF('Capacity summary'!AM122&lt;&gt;"",IF(LOWER('Capacity summary'!AM122)="x",$BI210*AM210,VALUE('Capacity summary'!AM122)),0),AM210*$BI210),AM210*$BI210),0)</f>
        <v>0</v>
      </c>
      <c r="CQ210" s="5">
        <f>IF($BI210&lt;&gt;"",IF('Capacity summary'!$C$14="Yes",IF(COUNTBLANK('Capacity summary'!$H122:$BG122)&lt;52,IF('Capacity summary'!AN122&lt;&gt;"",IF(LOWER('Capacity summary'!AN122)="x",$BI210*AN210,VALUE('Capacity summary'!AN122)),0),AN210*$BI210),AN210*$BI210),0)</f>
        <v>0</v>
      </c>
      <c r="CR210" s="5">
        <f>IF($BI210&lt;&gt;"",IF('Capacity summary'!$C$14="Yes",IF(COUNTBLANK('Capacity summary'!$H122:$BG122)&lt;52,IF('Capacity summary'!AO122&lt;&gt;"",IF(LOWER('Capacity summary'!AO122)="x",$BI210*AO210,VALUE('Capacity summary'!AO122)),0),AO210*$BI210),AO210*$BI210),0)</f>
        <v>0</v>
      </c>
      <c r="CS210" s="5">
        <f>IF($BI210&lt;&gt;"",IF('Capacity summary'!$C$14="Yes",IF(COUNTBLANK('Capacity summary'!$H122:$BG122)&lt;52,IF('Capacity summary'!AP122&lt;&gt;"",IF(LOWER('Capacity summary'!AP122)="x",$BI210*AP210,VALUE('Capacity summary'!AP122)),0),AP210*$BI210),AP210*$BI210),0)</f>
        <v>0</v>
      </c>
      <c r="CT210" s="5">
        <f>IF($BI210&lt;&gt;"",IF('Capacity summary'!$C$14="Yes",IF(COUNTBLANK('Capacity summary'!$H122:$BG122)&lt;52,IF('Capacity summary'!AQ122&lt;&gt;"",IF(LOWER('Capacity summary'!AQ122)="x",$BI210*AQ210,VALUE('Capacity summary'!AQ122)),0),AQ210*$BI210),AQ210*$BI210),0)</f>
        <v>0</v>
      </c>
      <c r="CU210" s="5">
        <f>IF($BI210&lt;&gt;"",IF('Capacity summary'!$C$14="Yes",IF(COUNTBLANK('Capacity summary'!$H122:$BG122)&lt;52,IF('Capacity summary'!AR122&lt;&gt;"",IF(LOWER('Capacity summary'!AR122)="x",$BI210*AR210,VALUE('Capacity summary'!AR122)),0),AR210*$BI210),AR210*$BI210),0)</f>
        <v>0</v>
      </c>
      <c r="CV210" s="5">
        <f>IF($BI210&lt;&gt;"",IF('Capacity summary'!$C$14="Yes",IF(COUNTBLANK('Capacity summary'!$H122:$BG122)&lt;52,IF('Capacity summary'!AS122&lt;&gt;"",IF(LOWER('Capacity summary'!AS122)="x",$BI210*AS210,VALUE('Capacity summary'!AS122)),0),AS210*$BI210),AS210*$BI210),0)</f>
        <v>0</v>
      </c>
      <c r="CW210" s="5">
        <f>IF($BI210&lt;&gt;"",IF('Capacity summary'!$C$14="Yes",IF(COUNTBLANK('Capacity summary'!$H122:$BG122)&lt;52,IF('Capacity summary'!AT122&lt;&gt;"",IF(LOWER('Capacity summary'!AT122)="x",$BI210*AT210,VALUE('Capacity summary'!AT122)),0),AT210*$BI210),AT210*$BI210),0)</f>
        <v>0</v>
      </c>
      <c r="CX210" s="5">
        <f>IF($BI210&lt;&gt;"",IF('Capacity summary'!$C$14="Yes",IF(COUNTBLANK('Capacity summary'!$H122:$BG122)&lt;52,IF('Capacity summary'!AU122&lt;&gt;"",IF(LOWER('Capacity summary'!AU122)="x",$BI210*AU210,VALUE('Capacity summary'!AU122)),0),AU210*$BI210),AU210*$BI210),0)</f>
        <v>0</v>
      </c>
      <c r="CY210" s="5">
        <f>IF($BI210&lt;&gt;"",IF('Capacity summary'!$C$14="Yes",IF(COUNTBLANK('Capacity summary'!$H122:$BG122)&lt;52,IF('Capacity summary'!AV122&lt;&gt;"",IF(LOWER('Capacity summary'!AV122)="x",$BI210*AV210,VALUE('Capacity summary'!AV122)),0),AV210*$BI210),AV210*$BI210),0)</f>
        <v>0</v>
      </c>
      <c r="CZ210" s="5">
        <f>IF($BI210&lt;&gt;"",IF('Capacity summary'!$C$14="Yes",IF(COUNTBLANK('Capacity summary'!$H122:$BG122)&lt;52,IF('Capacity summary'!AW122&lt;&gt;"",IF(LOWER('Capacity summary'!AW122)="x",$BI210*AW210,VALUE('Capacity summary'!AW122)),0),AW210*$BI210),AW210*$BI210),0)</f>
        <v>0</v>
      </c>
      <c r="DA210" s="5">
        <f>IF($BI210&lt;&gt;"",IF('Capacity summary'!$C$14="Yes",IF(COUNTBLANK('Capacity summary'!$H122:$BG122)&lt;52,IF('Capacity summary'!AX122&lt;&gt;"",IF(LOWER('Capacity summary'!AX122)="x",$BI210*AX210,VALUE('Capacity summary'!AX122)),0),AX210*$BI210),AX210*$BI210),0)</f>
        <v>0</v>
      </c>
      <c r="DB210" s="5">
        <f>IF($BI210&lt;&gt;"",IF('Capacity summary'!$C$14="Yes",IF(COUNTBLANK('Capacity summary'!$H122:$BG122)&lt;52,IF('Capacity summary'!AY122&lt;&gt;"",IF(LOWER('Capacity summary'!AY122)="x",$BI210*AY210,VALUE('Capacity summary'!AY122)),0),AY210*$BI210),AY210*$BI210),0)</f>
        <v>0</v>
      </c>
      <c r="DC210" s="5">
        <f>IF($BI210&lt;&gt;"",IF('Capacity summary'!$C$14="Yes",IF(COUNTBLANK('Capacity summary'!$H122:$BG122)&lt;52,IF('Capacity summary'!AZ122&lt;&gt;"",IF(LOWER('Capacity summary'!AZ122)="x",$BI210*AZ210,VALUE('Capacity summary'!AZ122)),0),AZ210*$BI210),AZ210*$BI210),0)</f>
        <v>0</v>
      </c>
      <c r="DD210" s="5">
        <f>IF($BI210&lt;&gt;"",IF('Capacity summary'!$C$14="Yes",IF(COUNTBLANK('Capacity summary'!$H122:$BG122)&lt;52,IF('Capacity summary'!BA122&lt;&gt;"",IF(LOWER('Capacity summary'!BA122)="x",$BI210*BA210,VALUE('Capacity summary'!BA122)),0),BA210*$BI210),BA210*$BI210),0)</f>
        <v>0</v>
      </c>
      <c r="DE210" s="5">
        <f>IF($BI210&lt;&gt;"",IF('Capacity summary'!$C$14="Yes",IF(COUNTBLANK('Capacity summary'!$H122:$BG122)&lt;52,IF('Capacity summary'!BB122&lt;&gt;"",IF(LOWER('Capacity summary'!BB122)="x",$BI210*BB210,VALUE('Capacity summary'!BB122)),0),BB210*$BI210),BB210*$BI210),0)</f>
        <v>0</v>
      </c>
      <c r="DF210" s="5">
        <f>IF($BI210&lt;&gt;"",IF('Capacity summary'!$C$14="Yes",IF(COUNTBLANK('Capacity summary'!$H122:$BG122)&lt;52,IF('Capacity summary'!BC122&lt;&gt;"",IF(LOWER('Capacity summary'!BC122)="x",$BI210*BC210,VALUE('Capacity summary'!BC122)),0),BC210*$BI210),BC210*$BI210),0)</f>
        <v>0</v>
      </c>
      <c r="DG210" s="5">
        <f>IF($BI210&lt;&gt;"",IF('Capacity summary'!$C$14="Yes",IF(COUNTBLANK('Capacity summary'!$H122:$BG122)&lt;52,IF('Capacity summary'!BD122&lt;&gt;"",IF(LOWER('Capacity summary'!BD122)="x",$BI210*BD210,VALUE('Capacity summary'!BD122)),0),BD210*$BI210),BD210*$BI210),0)</f>
        <v>0</v>
      </c>
      <c r="DH210" s="5">
        <f>IF($BI210&lt;&gt;"",IF('Capacity summary'!$C$14="Yes",IF(COUNTBLANK('Capacity summary'!$H122:$BG122)&lt;52,IF('Capacity summary'!BE122&lt;&gt;"",IF(LOWER('Capacity summary'!BE122)="x",$BI210*BE210,VALUE('Capacity summary'!BE122)),0),BE210*$BI210),BE210*$BI210),0)</f>
        <v>0</v>
      </c>
      <c r="DI210" s="5">
        <f>IF($BI210&lt;&gt;"",IF('Capacity summary'!$C$14="Yes",IF(COUNTBLANK('Capacity summary'!$H122:$BG122)&lt;52,IF('Capacity summary'!BF122&lt;&gt;"",IF(LOWER('Capacity summary'!BF122)="x",$BI210*BF210,VALUE('Capacity summary'!BF122)),0),BF210*$BI210),BF210*$BI210),0)</f>
        <v>0</v>
      </c>
      <c r="DJ210" s="5">
        <f>IF($BI210&lt;&gt;"",IF('Capacity summary'!$C$14="Yes",IF(COUNTBLANK('Capacity summary'!$H122:$BG122)&lt;52,IF('Capacity summary'!BG122&lt;&gt;"",IF(LOWER('Capacity summary'!BG122)="x",$BI210*BG210,VALUE('Capacity summary'!BG122)),0),BG210*$BI210),BG210*$BI210),0)</f>
        <v>0</v>
      </c>
      <c r="DK210" s="5">
        <f t="shared" ref="DK210" si="104">SUM(DK211:DK310)</f>
        <v>0</v>
      </c>
    </row>
    <row r="211" spans="2:115" x14ac:dyDescent="0.25">
      <c r="C211" s="67" t="str">
        <f>ROW(A100)&amp;". "&amp;Capacity!N116</f>
        <v xml:space="preserve">100. </v>
      </c>
      <c r="D211" s="67">
        <f>'Capacity setup'!C217</f>
        <v>0</v>
      </c>
      <c r="E211" s="67">
        <f>'Capacity setup'!D217</f>
        <v>0</v>
      </c>
      <c r="F211" s="67">
        <f>'Capacity setup'!E217</f>
        <v>0</v>
      </c>
      <c r="H211" s="67">
        <f ca="1">IF(AND(SUMIF(Capacity_Resource,$D211,'Critical resources (hide)'!U$6:U$105)+SUMIF(Capacity_Resource,$E211,'Critical resources (hide)'!U$6:U$105)+SUMIF(Capacity_Resource,$F211,'Critical resources (hide)'!U$6:U$105)&gt;0,$E$1=2),0,1)</f>
        <v>1</v>
      </c>
      <c r="I211" s="67">
        <f ca="1">IF(AND(SUMIF(Capacity_Resource,$D211,'Critical resources (hide)'!V$6:V$105)+SUMIF(Capacity_Resource,$E211,'Critical resources (hide)'!V$6:V$105)+SUMIF(Capacity_Resource,$F211,'Critical resources (hide)'!V$6:V$105)&gt;0,$E$1=2),0,1)</f>
        <v>1</v>
      </c>
      <c r="J211" s="67">
        <f ca="1">IF(AND(SUMIF(Capacity_Resource,$D211,'Critical resources (hide)'!W$6:W$105)+SUMIF(Capacity_Resource,$E211,'Critical resources (hide)'!W$6:W$105)+SUMIF(Capacity_Resource,$F211,'Critical resources (hide)'!W$6:W$105)&gt;0,$E$1=2),0,1)</f>
        <v>1</v>
      </c>
      <c r="K211" s="67">
        <f ca="1">IF(AND(SUMIF(Capacity_Resource,$D211,'Critical resources (hide)'!X$6:X$105)+SUMIF(Capacity_Resource,$E211,'Critical resources (hide)'!X$6:X$105)+SUMIF(Capacity_Resource,$F211,'Critical resources (hide)'!X$6:X$105)&gt;0,$E$1=2),0,1)</f>
        <v>1</v>
      </c>
      <c r="L211" s="67">
        <f ca="1">IF(AND(SUMIF(Capacity_Resource,$D211,'Critical resources (hide)'!Y$6:Y$105)+SUMIF(Capacity_Resource,$E211,'Critical resources (hide)'!Y$6:Y$105)+SUMIF(Capacity_Resource,$F211,'Critical resources (hide)'!Y$6:Y$105)&gt;0,$E$1=2),0,1)</f>
        <v>1</v>
      </c>
      <c r="M211" s="67">
        <f ca="1">IF(AND(SUMIF(Capacity_Resource,$D211,'Critical resources (hide)'!Z$6:Z$105)+SUMIF(Capacity_Resource,$E211,'Critical resources (hide)'!Z$6:Z$105)+SUMIF(Capacity_Resource,$F211,'Critical resources (hide)'!Z$6:Z$105)&gt;0,$E$1=2),0,1)</f>
        <v>1</v>
      </c>
      <c r="N211" s="67">
        <f ca="1">IF(AND(SUMIF(Capacity_Resource,$D211,'Critical resources (hide)'!AA$6:AA$105)+SUMIF(Capacity_Resource,$E211,'Critical resources (hide)'!AA$6:AA$105)+SUMIF(Capacity_Resource,$F211,'Critical resources (hide)'!AA$6:AA$105)&gt;0,$E$1=2),0,1)</f>
        <v>1</v>
      </c>
      <c r="O211" s="67">
        <f ca="1">IF(AND(SUMIF(Capacity_Resource,$D211,'Critical resources (hide)'!AB$6:AB$105)+SUMIF(Capacity_Resource,$E211,'Critical resources (hide)'!AB$6:AB$105)+SUMIF(Capacity_Resource,$F211,'Critical resources (hide)'!AB$6:AB$105)&gt;0,$E$1=2),0,1)</f>
        <v>1</v>
      </c>
      <c r="P211" s="67">
        <f ca="1">IF(AND(SUMIF(Capacity_Resource,$D211,'Critical resources (hide)'!AC$6:AC$105)+SUMIF(Capacity_Resource,$E211,'Critical resources (hide)'!AC$6:AC$105)+SUMIF(Capacity_Resource,$F211,'Critical resources (hide)'!AC$6:AC$105)&gt;0,$E$1=2),0,1)</f>
        <v>1</v>
      </c>
      <c r="Q211" s="67">
        <f ca="1">IF(AND(SUMIF(Capacity_Resource,$D211,'Critical resources (hide)'!AD$6:AD$105)+SUMIF(Capacity_Resource,$E211,'Critical resources (hide)'!AD$6:AD$105)+SUMIF(Capacity_Resource,$F211,'Critical resources (hide)'!AD$6:AD$105)&gt;0,$E$1=2),0,1)</f>
        <v>1</v>
      </c>
      <c r="R211" s="67">
        <f ca="1">IF(AND(SUMIF(Capacity_Resource,$D211,'Critical resources (hide)'!AE$6:AE$105)+SUMIF(Capacity_Resource,$E211,'Critical resources (hide)'!AE$6:AE$105)+SUMIF(Capacity_Resource,$F211,'Critical resources (hide)'!AE$6:AE$105)&gt;0,$E$1=2),0,1)</f>
        <v>1</v>
      </c>
      <c r="S211" s="67">
        <f ca="1">IF(AND(SUMIF(Capacity_Resource,$D211,'Critical resources (hide)'!AF$6:AF$105)+SUMIF(Capacity_Resource,$E211,'Critical resources (hide)'!AF$6:AF$105)+SUMIF(Capacity_Resource,$F211,'Critical resources (hide)'!AF$6:AF$105)&gt;0,$E$1=2),0,1)</f>
        <v>1</v>
      </c>
      <c r="T211" s="67">
        <f ca="1">IF(AND(SUMIF(Capacity_Resource,$D211,'Critical resources (hide)'!AG$6:AG$105)+SUMIF(Capacity_Resource,$E211,'Critical resources (hide)'!AG$6:AG$105)+SUMIF(Capacity_Resource,$F211,'Critical resources (hide)'!AG$6:AG$105)&gt;0,$E$1=2),0,1)</f>
        <v>1</v>
      </c>
      <c r="U211" s="67">
        <f ca="1">IF(AND(SUMIF(Capacity_Resource,$D211,'Critical resources (hide)'!AH$6:AH$105)+SUMIF(Capacity_Resource,$E211,'Critical resources (hide)'!AH$6:AH$105)+SUMIF(Capacity_Resource,$F211,'Critical resources (hide)'!AH$6:AH$105)&gt;0,$E$1=2),0,1)</f>
        <v>1</v>
      </c>
      <c r="V211" s="67">
        <f ca="1">IF(AND(SUMIF(Capacity_Resource,$D211,'Critical resources (hide)'!AI$6:AI$105)+SUMIF(Capacity_Resource,$E211,'Critical resources (hide)'!AI$6:AI$105)+SUMIF(Capacity_Resource,$F211,'Critical resources (hide)'!AI$6:AI$105)&gt;0,$E$1=2),0,1)</f>
        <v>1</v>
      </c>
      <c r="W211" s="67">
        <f ca="1">IF(AND(SUMIF(Capacity_Resource,$D211,'Critical resources (hide)'!AJ$6:AJ$105)+SUMIF(Capacity_Resource,$E211,'Critical resources (hide)'!AJ$6:AJ$105)+SUMIF(Capacity_Resource,$F211,'Critical resources (hide)'!AJ$6:AJ$105)&gt;0,$E$1=2),0,1)</f>
        <v>1</v>
      </c>
      <c r="X211" s="67">
        <f ca="1">IF(AND(SUMIF(Capacity_Resource,$D211,'Critical resources (hide)'!AK$6:AK$105)+SUMIF(Capacity_Resource,$E211,'Critical resources (hide)'!AK$6:AK$105)+SUMIF(Capacity_Resource,$F211,'Critical resources (hide)'!AK$6:AK$105)&gt;0,$E$1=2),0,1)</f>
        <v>1</v>
      </c>
      <c r="Y211" s="67">
        <f ca="1">IF(AND(SUMIF(Capacity_Resource,$D211,'Critical resources (hide)'!AL$6:AL$105)+SUMIF(Capacity_Resource,$E211,'Critical resources (hide)'!AL$6:AL$105)+SUMIF(Capacity_Resource,$F211,'Critical resources (hide)'!AL$6:AL$105)&gt;0,$E$1=2),0,1)</f>
        <v>1</v>
      </c>
      <c r="Z211" s="67">
        <f ca="1">IF(AND(SUMIF(Capacity_Resource,$D211,'Critical resources (hide)'!AM$6:AM$105)+SUMIF(Capacity_Resource,$E211,'Critical resources (hide)'!AM$6:AM$105)+SUMIF(Capacity_Resource,$F211,'Critical resources (hide)'!AM$6:AM$105)&gt;0,$E$1=2),0,1)</f>
        <v>1</v>
      </c>
      <c r="AA211" s="67">
        <f ca="1">IF(AND(SUMIF(Capacity_Resource,$D211,'Critical resources (hide)'!AN$6:AN$105)+SUMIF(Capacity_Resource,$E211,'Critical resources (hide)'!AN$6:AN$105)+SUMIF(Capacity_Resource,$F211,'Critical resources (hide)'!AN$6:AN$105)&gt;0,$E$1=2),0,1)</f>
        <v>1</v>
      </c>
      <c r="AB211" s="67">
        <f ca="1">IF(AND(SUMIF(Capacity_Resource,$D211,'Critical resources (hide)'!AO$6:AO$105)+SUMIF(Capacity_Resource,$E211,'Critical resources (hide)'!AO$6:AO$105)+SUMIF(Capacity_Resource,$F211,'Critical resources (hide)'!AO$6:AO$105)&gt;0,$E$1=2),0,1)</f>
        <v>1</v>
      </c>
      <c r="AC211" s="67">
        <f ca="1">IF(AND(SUMIF(Capacity_Resource,$D211,'Critical resources (hide)'!AP$6:AP$105)+SUMIF(Capacity_Resource,$E211,'Critical resources (hide)'!AP$6:AP$105)+SUMIF(Capacity_Resource,$F211,'Critical resources (hide)'!AP$6:AP$105)&gt;0,$E$1=2),0,1)</f>
        <v>1</v>
      </c>
      <c r="AD211" s="67">
        <f ca="1">IF(AND(SUMIF(Capacity_Resource,$D211,'Critical resources (hide)'!AQ$6:AQ$105)+SUMIF(Capacity_Resource,$E211,'Critical resources (hide)'!AQ$6:AQ$105)+SUMIF(Capacity_Resource,$F211,'Critical resources (hide)'!AQ$6:AQ$105)&gt;0,$E$1=2),0,1)</f>
        <v>1</v>
      </c>
      <c r="AE211" s="67">
        <f ca="1">IF(AND(SUMIF(Capacity_Resource,$D211,'Critical resources (hide)'!AR$6:AR$105)+SUMIF(Capacity_Resource,$E211,'Critical resources (hide)'!AR$6:AR$105)+SUMIF(Capacity_Resource,$F211,'Critical resources (hide)'!AR$6:AR$105)&gt;0,$E$1=2),0,1)</f>
        <v>1</v>
      </c>
      <c r="AF211" s="67">
        <f ca="1">IF(AND(SUMIF(Capacity_Resource,$D211,'Critical resources (hide)'!AS$6:AS$105)+SUMIF(Capacity_Resource,$E211,'Critical resources (hide)'!AS$6:AS$105)+SUMIF(Capacity_Resource,$F211,'Critical resources (hide)'!AS$6:AS$105)&gt;0,$E$1=2),0,1)</f>
        <v>1</v>
      </c>
      <c r="AG211" s="67">
        <f ca="1">IF(AND(SUMIF(Capacity_Resource,$D211,'Critical resources (hide)'!AT$6:AT$105)+SUMIF(Capacity_Resource,$E211,'Critical resources (hide)'!AT$6:AT$105)+SUMIF(Capacity_Resource,$F211,'Critical resources (hide)'!AT$6:AT$105)&gt;0,$E$1=2),0,1)</f>
        <v>1</v>
      </c>
      <c r="AH211" s="67">
        <f ca="1">IF(AND(SUMIF(Capacity_Resource,$D211,'Critical resources (hide)'!AU$6:AU$105)+SUMIF(Capacity_Resource,$E211,'Critical resources (hide)'!AU$6:AU$105)+SUMIF(Capacity_Resource,$F211,'Critical resources (hide)'!AU$6:AU$105)&gt;0,$E$1=2),0,1)</f>
        <v>1</v>
      </c>
      <c r="AI211" s="67">
        <f ca="1">IF(AND(SUMIF(Capacity_Resource,$D211,'Critical resources (hide)'!AV$6:AV$105)+SUMIF(Capacity_Resource,$E211,'Critical resources (hide)'!AV$6:AV$105)+SUMIF(Capacity_Resource,$F211,'Critical resources (hide)'!AV$6:AV$105)&gt;0,$E$1=2),0,1)</f>
        <v>1</v>
      </c>
      <c r="AJ211" s="67">
        <f ca="1">IF(AND(SUMIF(Capacity_Resource,$D211,'Critical resources (hide)'!AW$6:AW$105)+SUMIF(Capacity_Resource,$E211,'Critical resources (hide)'!AW$6:AW$105)+SUMIF(Capacity_Resource,$F211,'Critical resources (hide)'!AW$6:AW$105)&gt;0,$E$1=2),0,1)</f>
        <v>1</v>
      </c>
      <c r="AK211" s="67">
        <f ca="1">IF(AND(SUMIF(Capacity_Resource,$D211,'Critical resources (hide)'!AX$6:AX$105)+SUMIF(Capacity_Resource,$E211,'Critical resources (hide)'!AX$6:AX$105)+SUMIF(Capacity_Resource,$F211,'Critical resources (hide)'!AX$6:AX$105)&gt;0,$E$1=2),0,1)</f>
        <v>1</v>
      </c>
      <c r="AL211" s="67">
        <f ca="1">IF(AND(SUMIF(Capacity_Resource,$D211,'Critical resources (hide)'!AY$6:AY$105)+SUMIF(Capacity_Resource,$E211,'Critical resources (hide)'!AY$6:AY$105)+SUMIF(Capacity_Resource,$F211,'Critical resources (hide)'!AY$6:AY$105)&gt;0,$E$1=2),0,1)</f>
        <v>1</v>
      </c>
      <c r="AM211" s="67">
        <f ca="1">IF(AND(SUMIF(Capacity_Resource,$D211,'Critical resources (hide)'!AZ$6:AZ$105)+SUMIF(Capacity_Resource,$E211,'Critical resources (hide)'!AZ$6:AZ$105)+SUMIF(Capacity_Resource,$F211,'Critical resources (hide)'!AZ$6:AZ$105)&gt;0,$E$1=2),0,1)</f>
        <v>1</v>
      </c>
      <c r="AN211" s="67">
        <f ca="1">IF(AND(SUMIF(Capacity_Resource,$D211,'Critical resources (hide)'!BA$6:BA$105)+SUMIF(Capacity_Resource,$E211,'Critical resources (hide)'!BA$6:BA$105)+SUMIF(Capacity_Resource,$F211,'Critical resources (hide)'!BA$6:BA$105)&gt;0,$E$1=2),0,1)</f>
        <v>1</v>
      </c>
      <c r="AO211" s="67">
        <f ca="1">IF(AND(SUMIF(Capacity_Resource,$D211,'Critical resources (hide)'!BB$6:BB$105)+SUMIF(Capacity_Resource,$E211,'Critical resources (hide)'!BB$6:BB$105)+SUMIF(Capacity_Resource,$F211,'Critical resources (hide)'!BB$6:BB$105)&gt;0,$E$1=2),0,1)</f>
        <v>1</v>
      </c>
      <c r="AP211" s="67">
        <f ca="1">IF(AND(SUMIF(Capacity_Resource,$D211,'Critical resources (hide)'!BC$6:BC$105)+SUMIF(Capacity_Resource,$E211,'Critical resources (hide)'!BC$6:BC$105)+SUMIF(Capacity_Resource,$F211,'Critical resources (hide)'!BC$6:BC$105)&gt;0,$E$1=2),0,1)</f>
        <v>1</v>
      </c>
      <c r="AQ211" s="67">
        <f ca="1">IF(AND(SUMIF(Capacity_Resource,$D211,'Critical resources (hide)'!BD$6:BD$105)+SUMIF(Capacity_Resource,$E211,'Critical resources (hide)'!BD$6:BD$105)+SUMIF(Capacity_Resource,$F211,'Critical resources (hide)'!BD$6:BD$105)&gt;0,$E$1=2),0,1)</f>
        <v>1</v>
      </c>
      <c r="AR211" s="67">
        <f ca="1">IF(AND(SUMIF(Capacity_Resource,$D211,'Critical resources (hide)'!BE$6:BE$105)+SUMIF(Capacity_Resource,$E211,'Critical resources (hide)'!BE$6:BE$105)+SUMIF(Capacity_Resource,$F211,'Critical resources (hide)'!BE$6:BE$105)&gt;0,$E$1=2),0,1)</f>
        <v>1</v>
      </c>
      <c r="AS211" s="67">
        <f ca="1">IF(AND(SUMIF(Capacity_Resource,$D211,'Critical resources (hide)'!BF$6:BF$105)+SUMIF(Capacity_Resource,$E211,'Critical resources (hide)'!BF$6:BF$105)+SUMIF(Capacity_Resource,$F211,'Critical resources (hide)'!BF$6:BF$105)&gt;0,$E$1=2),0,1)</f>
        <v>1</v>
      </c>
      <c r="AT211" s="67">
        <f ca="1">IF(AND(SUMIF(Capacity_Resource,$D211,'Critical resources (hide)'!BG$6:BG$105)+SUMIF(Capacity_Resource,$E211,'Critical resources (hide)'!BG$6:BG$105)+SUMIF(Capacity_Resource,$F211,'Critical resources (hide)'!BG$6:BG$105)&gt;0,$E$1=2),0,1)</f>
        <v>1</v>
      </c>
      <c r="AU211" s="67">
        <f ca="1">IF(AND(SUMIF(Capacity_Resource,$D211,'Critical resources (hide)'!BH$6:BH$105)+SUMIF(Capacity_Resource,$E211,'Critical resources (hide)'!BH$6:BH$105)+SUMIF(Capacity_Resource,$F211,'Critical resources (hide)'!BH$6:BH$105)&gt;0,$E$1=2),0,1)</f>
        <v>1</v>
      </c>
      <c r="AV211" s="67">
        <f ca="1">IF(AND(SUMIF(Capacity_Resource,$D211,'Critical resources (hide)'!BI$6:BI$105)+SUMIF(Capacity_Resource,$E211,'Critical resources (hide)'!BI$6:BI$105)+SUMIF(Capacity_Resource,$F211,'Critical resources (hide)'!BI$6:BI$105)&gt;0,$E$1=2),0,1)</f>
        <v>1</v>
      </c>
      <c r="AW211" s="67">
        <f ca="1">IF(AND(SUMIF(Capacity_Resource,$D211,'Critical resources (hide)'!BJ$6:BJ$105)+SUMIF(Capacity_Resource,$E211,'Critical resources (hide)'!BJ$6:BJ$105)+SUMIF(Capacity_Resource,$F211,'Critical resources (hide)'!BJ$6:BJ$105)&gt;0,$E$1=2),0,1)</f>
        <v>1</v>
      </c>
      <c r="AX211" s="67">
        <f ca="1">IF(AND(SUMIF(Capacity_Resource,$D211,'Critical resources (hide)'!BK$6:BK$105)+SUMIF(Capacity_Resource,$E211,'Critical resources (hide)'!BK$6:BK$105)+SUMIF(Capacity_Resource,$F211,'Critical resources (hide)'!BK$6:BK$105)&gt;0,$E$1=2),0,1)</f>
        <v>1</v>
      </c>
      <c r="AY211" s="67">
        <f ca="1">IF(AND(SUMIF(Capacity_Resource,$D211,'Critical resources (hide)'!BL$6:BL$105)+SUMIF(Capacity_Resource,$E211,'Critical resources (hide)'!BL$6:BL$105)+SUMIF(Capacity_Resource,$F211,'Critical resources (hide)'!BL$6:BL$105)&gt;0,$E$1=2),0,1)</f>
        <v>1</v>
      </c>
      <c r="AZ211" s="67">
        <f ca="1">IF(AND(SUMIF(Capacity_Resource,$D211,'Critical resources (hide)'!BM$6:BM$105)+SUMIF(Capacity_Resource,$E211,'Critical resources (hide)'!BM$6:BM$105)+SUMIF(Capacity_Resource,$F211,'Critical resources (hide)'!BM$6:BM$105)&gt;0,$E$1=2),0,1)</f>
        <v>1</v>
      </c>
      <c r="BA211" s="67">
        <f ca="1">IF(AND(SUMIF(Capacity_Resource,$D211,'Critical resources (hide)'!BN$6:BN$105)+SUMIF(Capacity_Resource,$E211,'Critical resources (hide)'!BN$6:BN$105)+SUMIF(Capacity_Resource,$F211,'Critical resources (hide)'!BN$6:BN$105)&gt;0,$E$1=2),0,1)</f>
        <v>1</v>
      </c>
      <c r="BB211" s="67">
        <f ca="1">IF(AND(SUMIF(Capacity_Resource,$D211,'Critical resources (hide)'!BO$6:BO$105)+SUMIF(Capacity_Resource,$E211,'Critical resources (hide)'!BO$6:BO$105)+SUMIF(Capacity_Resource,$F211,'Critical resources (hide)'!BO$6:BO$105)&gt;0,$E$1=2),0,1)</f>
        <v>1</v>
      </c>
      <c r="BC211" s="67">
        <f ca="1">IF(AND(SUMIF(Capacity_Resource,$D211,'Critical resources (hide)'!BP$6:BP$105)+SUMIF(Capacity_Resource,$E211,'Critical resources (hide)'!BP$6:BP$105)+SUMIF(Capacity_Resource,$F211,'Critical resources (hide)'!BP$6:BP$105)&gt;0,$E$1=2),0,1)</f>
        <v>1</v>
      </c>
      <c r="BD211" s="67">
        <f ca="1">IF(AND(SUMIF(Capacity_Resource,$D211,'Critical resources (hide)'!BQ$6:BQ$105)+SUMIF(Capacity_Resource,$E211,'Critical resources (hide)'!BQ$6:BQ$105)+SUMIF(Capacity_Resource,$F211,'Critical resources (hide)'!BQ$6:BQ$105)&gt;0,$E$1=2),0,1)</f>
        <v>1</v>
      </c>
      <c r="BE211" s="67">
        <f ca="1">IF(AND(SUMIF(Capacity_Resource,$D211,'Critical resources (hide)'!BR$6:BR$105)+SUMIF(Capacity_Resource,$E211,'Critical resources (hide)'!BR$6:BR$105)+SUMIF(Capacity_Resource,$F211,'Critical resources (hide)'!BR$6:BR$105)&gt;0,$E$1=2),0,1)</f>
        <v>1</v>
      </c>
      <c r="BF211" s="67">
        <f ca="1">IF(AND(SUMIF(Capacity_Resource,$D211,'Critical resources (hide)'!BS$6:BS$105)+SUMIF(Capacity_Resource,$E211,'Critical resources (hide)'!BS$6:BS$105)+SUMIF(Capacity_Resource,$F211,'Critical resources (hide)'!BS$6:BS$105)&gt;0,$E$1=2),0,1)</f>
        <v>1</v>
      </c>
      <c r="BG211" s="67">
        <f ca="1">IF(AND(SUMIF(Capacity_Resource,$D211,'Critical resources (hide)'!BT$6:BT$105)+SUMIF(Capacity_Resource,$E211,'Critical resources (hide)'!BT$6:BT$105)+SUMIF(Capacity_Resource,$F211,'Critical resources (hide)'!BT$6:BT$105)&gt;0,$E$1=2),0,1)</f>
        <v>1</v>
      </c>
      <c r="BH211" s="67">
        <f>IF(ROW(A100)&lt;=Capacity!$M$16,IF('Capacity summary'!$C$14="No",SUM(H211:BG211),'Capacity summary'!$E123),0)</f>
        <v>0</v>
      </c>
      <c r="BI211" s="67" t="str">
        <f>IF(BH211&gt;0,IF(BH211&lt;Capacity!Q116,Capacity!R116,Capacity!T116/'Capacity calculation (hide)'!BH211),"")</f>
        <v/>
      </c>
      <c r="BJ211" s="5"/>
      <c r="BK211" s="5">
        <f>IF($BI211&lt;&gt;"",IF('Capacity summary'!$C$14="Yes",IF(COUNTBLANK('Capacity summary'!$H123:$BG123)&lt;52,IF('Capacity summary'!H123&lt;&gt;"",IF(LOWER('Capacity summary'!H123)="x",$BI211*H211,VALUE('Capacity summary'!H123)),0),H211*$BI211),H211*$BI211),0)</f>
        <v>0</v>
      </c>
      <c r="BL211" s="5">
        <f>IF($BI211&lt;&gt;"",IF('Capacity summary'!$C$14="Yes",IF(COUNTBLANK('Capacity summary'!$H123:$BG123)&lt;52,IF('Capacity summary'!I123&lt;&gt;"",IF(LOWER('Capacity summary'!I123)="x",$BI211*I211,VALUE('Capacity summary'!I123)),0),I211*$BI211),I211*$BI211),0)</f>
        <v>0</v>
      </c>
      <c r="BM211" s="5">
        <f>IF($BI211&lt;&gt;"",IF('Capacity summary'!$C$14="Yes",IF(COUNTBLANK('Capacity summary'!$H123:$BG123)&lt;52,IF('Capacity summary'!J123&lt;&gt;"",IF(LOWER('Capacity summary'!J123)="x",$BI211*J211,VALUE('Capacity summary'!J123)),0),J211*$BI211),J211*$BI211),0)</f>
        <v>0</v>
      </c>
      <c r="BN211" s="5">
        <f>IF($BI211&lt;&gt;"",IF('Capacity summary'!$C$14="Yes",IF(COUNTBLANK('Capacity summary'!$H123:$BG123)&lt;52,IF('Capacity summary'!K123&lt;&gt;"",IF(LOWER('Capacity summary'!K123)="x",$BI211*K211,VALUE('Capacity summary'!K123)),0),K211*$BI211),K211*$BI211),0)</f>
        <v>0</v>
      </c>
      <c r="BO211" s="5">
        <f>IF($BI211&lt;&gt;"",IF('Capacity summary'!$C$14="Yes",IF(COUNTBLANK('Capacity summary'!$H123:$BG123)&lt;52,IF('Capacity summary'!L123&lt;&gt;"",IF(LOWER('Capacity summary'!L123)="x",$BI211*L211,VALUE('Capacity summary'!L123)),0),L211*$BI211),L211*$BI211),0)</f>
        <v>0</v>
      </c>
      <c r="BP211" s="5">
        <f>IF($BI211&lt;&gt;"",IF('Capacity summary'!$C$14="Yes",IF(COUNTBLANK('Capacity summary'!$H123:$BG123)&lt;52,IF('Capacity summary'!M123&lt;&gt;"",IF(LOWER('Capacity summary'!M123)="x",$BI211*M211,VALUE('Capacity summary'!M123)),0),M211*$BI211),M211*$BI211),0)</f>
        <v>0</v>
      </c>
      <c r="BQ211" s="5">
        <f>IF($BI211&lt;&gt;"",IF('Capacity summary'!$C$14="Yes",IF(COUNTBLANK('Capacity summary'!$H123:$BG123)&lt;52,IF('Capacity summary'!N123&lt;&gt;"",IF(LOWER('Capacity summary'!N123)="x",$BI211*N211,VALUE('Capacity summary'!N123)),0),N211*$BI211),N211*$BI211),0)</f>
        <v>0</v>
      </c>
      <c r="BR211" s="5">
        <f>IF($BI211&lt;&gt;"",IF('Capacity summary'!$C$14="Yes",IF(COUNTBLANK('Capacity summary'!$H123:$BG123)&lt;52,IF('Capacity summary'!O123&lt;&gt;"",IF(LOWER('Capacity summary'!O123)="x",$BI211*O211,VALUE('Capacity summary'!O123)),0),O211*$BI211),O211*$BI211),0)</f>
        <v>0</v>
      </c>
      <c r="BS211" s="5">
        <f>IF($BI211&lt;&gt;"",IF('Capacity summary'!$C$14="Yes",IF(COUNTBLANK('Capacity summary'!$H123:$BG123)&lt;52,IF('Capacity summary'!P123&lt;&gt;"",IF(LOWER('Capacity summary'!P123)="x",$BI211*P211,VALUE('Capacity summary'!P123)),0),P211*$BI211),P211*$BI211),0)</f>
        <v>0</v>
      </c>
      <c r="BT211" s="5">
        <f>IF($BI211&lt;&gt;"",IF('Capacity summary'!$C$14="Yes",IF(COUNTBLANK('Capacity summary'!$H123:$BG123)&lt;52,IF('Capacity summary'!Q123&lt;&gt;"",IF(LOWER('Capacity summary'!Q123)="x",$BI211*Q211,VALUE('Capacity summary'!Q123)),0),Q211*$BI211),Q211*$BI211),0)</f>
        <v>0</v>
      </c>
      <c r="BU211" s="5">
        <f>IF($BI211&lt;&gt;"",IF('Capacity summary'!$C$14="Yes",IF(COUNTBLANK('Capacity summary'!$H123:$BG123)&lt;52,IF('Capacity summary'!R123&lt;&gt;"",IF(LOWER('Capacity summary'!R123)="x",$BI211*R211,VALUE('Capacity summary'!R123)),0),R211*$BI211),R211*$BI211),0)</f>
        <v>0</v>
      </c>
      <c r="BV211" s="5">
        <f>IF($BI211&lt;&gt;"",IF('Capacity summary'!$C$14="Yes",IF(COUNTBLANK('Capacity summary'!$H123:$BG123)&lt;52,IF('Capacity summary'!S123&lt;&gt;"",IF(LOWER('Capacity summary'!S123)="x",$BI211*S211,VALUE('Capacity summary'!S123)),0),S211*$BI211),S211*$BI211),0)</f>
        <v>0</v>
      </c>
      <c r="BW211" s="5">
        <f>IF($BI211&lt;&gt;"",IF('Capacity summary'!$C$14="Yes",IF(COUNTBLANK('Capacity summary'!$H123:$BG123)&lt;52,IF('Capacity summary'!T123&lt;&gt;"",IF(LOWER('Capacity summary'!T123)="x",$BI211*T211,VALUE('Capacity summary'!T123)),0),T211*$BI211),T211*$BI211),0)</f>
        <v>0</v>
      </c>
      <c r="BX211" s="5">
        <f>IF($BI211&lt;&gt;"",IF('Capacity summary'!$C$14="Yes",IF(COUNTBLANK('Capacity summary'!$H123:$BG123)&lt;52,IF('Capacity summary'!U123&lt;&gt;"",IF(LOWER('Capacity summary'!U123)="x",$BI211*U211,VALUE('Capacity summary'!U123)),0),U211*$BI211),U211*$BI211),0)</f>
        <v>0</v>
      </c>
      <c r="BY211" s="5">
        <f>IF($BI211&lt;&gt;"",IF('Capacity summary'!$C$14="Yes",IF(COUNTBLANK('Capacity summary'!$H123:$BG123)&lt;52,IF('Capacity summary'!V123&lt;&gt;"",IF(LOWER('Capacity summary'!V123)="x",$BI211*V211,VALUE('Capacity summary'!V123)),0),V211*$BI211),V211*$BI211),0)</f>
        <v>0</v>
      </c>
      <c r="BZ211" s="5">
        <f>IF($BI211&lt;&gt;"",IF('Capacity summary'!$C$14="Yes",IF(COUNTBLANK('Capacity summary'!$H123:$BG123)&lt;52,IF('Capacity summary'!W123&lt;&gt;"",IF(LOWER('Capacity summary'!W123)="x",$BI211*W211,VALUE('Capacity summary'!W123)),0),W211*$BI211),W211*$BI211),0)</f>
        <v>0</v>
      </c>
      <c r="CA211" s="5">
        <f>IF($BI211&lt;&gt;"",IF('Capacity summary'!$C$14="Yes",IF(COUNTBLANK('Capacity summary'!$H123:$BG123)&lt;52,IF('Capacity summary'!X123&lt;&gt;"",IF(LOWER('Capacity summary'!X123)="x",$BI211*X211,VALUE('Capacity summary'!X123)),0),X211*$BI211),X211*$BI211),0)</f>
        <v>0</v>
      </c>
      <c r="CB211" s="5">
        <f>IF($BI211&lt;&gt;"",IF('Capacity summary'!$C$14="Yes",IF(COUNTBLANK('Capacity summary'!$H123:$BG123)&lt;52,IF('Capacity summary'!Y123&lt;&gt;"",IF(LOWER('Capacity summary'!Y123)="x",$BI211*Y211,VALUE('Capacity summary'!Y123)),0),Y211*$BI211),Y211*$BI211),0)</f>
        <v>0</v>
      </c>
      <c r="CC211" s="5">
        <f>IF($BI211&lt;&gt;"",IF('Capacity summary'!$C$14="Yes",IF(COUNTBLANK('Capacity summary'!$H123:$BG123)&lt;52,IF('Capacity summary'!Z123&lt;&gt;"",IF(LOWER('Capacity summary'!Z123)="x",$BI211*Z211,VALUE('Capacity summary'!Z123)),0),Z211*$BI211),Z211*$BI211),0)</f>
        <v>0</v>
      </c>
      <c r="CD211" s="5">
        <f>IF($BI211&lt;&gt;"",IF('Capacity summary'!$C$14="Yes",IF(COUNTBLANK('Capacity summary'!$H123:$BG123)&lt;52,IF('Capacity summary'!AA123&lt;&gt;"",IF(LOWER('Capacity summary'!AA123)="x",$BI211*AA211,VALUE('Capacity summary'!AA123)),0),AA211*$BI211),AA211*$BI211),0)</f>
        <v>0</v>
      </c>
      <c r="CE211" s="5">
        <f>IF($BI211&lt;&gt;"",IF('Capacity summary'!$C$14="Yes",IF(COUNTBLANK('Capacity summary'!$H123:$BG123)&lt;52,IF('Capacity summary'!AB123&lt;&gt;"",IF(LOWER('Capacity summary'!AB123)="x",$BI211*AB211,VALUE('Capacity summary'!AB123)),0),AB211*$BI211),AB211*$BI211),0)</f>
        <v>0</v>
      </c>
      <c r="CF211" s="5">
        <f>IF($BI211&lt;&gt;"",IF('Capacity summary'!$C$14="Yes",IF(COUNTBLANK('Capacity summary'!$H123:$BG123)&lt;52,IF('Capacity summary'!AC123&lt;&gt;"",IF(LOWER('Capacity summary'!AC123)="x",$BI211*AC211,VALUE('Capacity summary'!AC123)),0),AC211*$BI211),AC211*$BI211),0)</f>
        <v>0</v>
      </c>
      <c r="CG211" s="5">
        <f>IF($BI211&lt;&gt;"",IF('Capacity summary'!$C$14="Yes",IF(COUNTBLANK('Capacity summary'!$H123:$BG123)&lt;52,IF('Capacity summary'!AD123&lt;&gt;"",IF(LOWER('Capacity summary'!AD123)="x",$BI211*AD211,VALUE('Capacity summary'!AD123)),0),AD211*$BI211),AD211*$BI211),0)</f>
        <v>0</v>
      </c>
      <c r="CH211" s="5">
        <f>IF($BI211&lt;&gt;"",IF('Capacity summary'!$C$14="Yes",IF(COUNTBLANK('Capacity summary'!$H123:$BG123)&lt;52,IF('Capacity summary'!AE123&lt;&gt;"",IF(LOWER('Capacity summary'!AE123)="x",$BI211*AE211,VALUE('Capacity summary'!AE123)),0),AE211*$BI211),AE211*$BI211),0)</f>
        <v>0</v>
      </c>
      <c r="CI211" s="5">
        <f>IF($BI211&lt;&gt;"",IF('Capacity summary'!$C$14="Yes",IF(COUNTBLANK('Capacity summary'!$H123:$BG123)&lt;52,IF('Capacity summary'!AF123&lt;&gt;"",IF(LOWER('Capacity summary'!AF123)="x",$BI211*AF211,VALUE('Capacity summary'!AF123)),0),AF211*$BI211),AF211*$BI211),0)</f>
        <v>0</v>
      </c>
      <c r="CJ211" s="5">
        <f>IF($BI211&lt;&gt;"",IF('Capacity summary'!$C$14="Yes",IF(COUNTBLANK('Capacity summary'!$H123:$BG123)&lt;52,IF('Capacity summary'!AG123&lt;&gt;"",IF(LOWER('Capacity summary'!AG123)="x",$BI211*AG211,VALUE('Capacity summary'!AG123)),0),AG211*$BI211),AG211*$BI211),0)</f>
        <v>0</v>
      </c>
      <c r="CK211" s="5">
        <f>IF($BI211&lt;&gt;"",IF('Capacity summary'!$C$14="Yes",IF(COUNTBLANK('Capacity summary'!$H123:$BG123)&lt;52,IF('Capacity summary'!AH123&lt;&gt;"",IF(LOWER('Capacity summary'!AH123)="x",$BI211*AH211,VALUE('Capacity summary'!AH123)),0),AH211*$BI211),AH211*$BI211),0)</f>
        <v>0</v>
      </c>
      <c r="CL211" s="5">
        <f>IF($BI211&lt;&gt;"",IF('Capacity summary'!$C$14="Yes",IF(COUNTBLANK('Capacity summary'!$H123:$BG123)&lt;52,IF('Capacity summary'!AI123&lt;&gt;"",IF(LOWER('Capacity summary'!AI123)="x",$BI211*AI211,VALUE('Capacity summary'!AI123)),0),AI211*$BI211),AI211*$BI211),0)</f>
        <v>0</v>
      </c>
      <c r="CM211" s="5">
        <f>IF($BI211&lt;&gt;"",IF('Capacity summary'!$C$14="Yes",IF(COUNTBLANK('Capacity summary'!$H123:$BG123)&lt;52,IF('Capacity summary'!AJ123&lt;&gt;"",IF(LOWER('Capacity summary'!AJ123)="x",$BI211*AJ211,VALUE('Capacity summary'!AJ123)),0),AJ211*$BI211),AJ211*$BI211),0)</f>
        <v>0</v>
      </c>
      <c r="CN211" s="5">
        <f>IF($BI211&lt;&gt;"",IF('Capacity summary'!$C$14="Yes",IF(COUNTBLANK('Capacity summary'!$H123:$BG123)&lt;52,IF('Capacity summary'!AK123&lt;&gt;"",IF(LOWER('Capacity summary'!AK123)="x",$BI211*AK211,VALUE('Capacity summary'!AK123)),0),AK211*$BI211),AK211*$BI211),0)</f>
        <v>0</v>
      </c>
      <c r="CO211" s="5">
        <f>IF($BI211&lt;&gt;"",IF('Capacity summary'!$C$14="Yes",IF(COUNTBLANK('Capacity summary'!$H123:$BG123)&lt;52,IF('Capacity summary'!AL123&lt;&gt;"",IF(LOWER('Capacity summary'!AL123)="x",$BI211*AL211,VALUE('Capacity summary'!AL123)),0),AL211*$BI211),AL211*$BI211),0)</f>
        <v>0</v>
      </c>
      <c r="CP211" s="5">
        <f>IF($BI211&lt;&gt;"",IF('Capacity summary'!$C$14="Yes",IF(COUNTBLANK('Capacity summary'!$H123:$BG123)&lt;52,IF('Capacity summary'!AM123&lt;&gt;"",IF(LOWER('Capacity summary'!AM123)="x",$BI211*AM211,VALUE('Capacity summary'!AM123)),0),AM211*$BI211),AM211*$BI211),0)</f>
        <v>0</v>
      </c>
      <c r="CQ211" s="5">
        <f>IF($BI211&lt;&gt;"",IF('Capacity summary'!$C$14="Yes",IF(COUNTBLANK('Capacity summary'!$H123:$BG123)&lt;52,IF('Capacity summary'!AN123&lt;&gt;"",IF(LOWER('Capacity summary'!AN123)="x",$BI211*AN211,VALUE('Capacity summary'!AN123)),0),AN211*$BI211),AN211*$BI211),0)</f>
        <v>0</v>
      </c>
      <c r="CR211" s="5">
        <f>IF($BI211&lt;&gt;"",IF('Capacity summary'!$C$14="Yes",IF(COUNTBLANK('Capacity summary'!$H123:$BG123)&lt;52,IF('Capacity summary'!AO123&lt;&gt;"",IF(LOWER('Capacity summary'!AO123)="x",$BI211*AO211,VALUE('Capacity summary'!AO123)),0),AO211*$BI211),AO211*$BI211),0)</f>
        <v>0</v>
      </c>
      <c r="CS211" s="5">
        <f>IF($BI211&lt;&gt;"",IF('Capacity summary'!$C$14="Yes",IF(COUNTBLANK('Capacity summary'!$H123:$BG123)&lt;52,IF('Capacity summary'!AP123&lt;&gt;"",IF(LOWER('Capacity summary'!AP123)="x",$BI211*AP211,VALUE('Capacity summary'!AP123)),0),AP211*$BI211),AP211*$BI211),0)</f>
        <v>0</v>
      </c>
      <c r="CT211" s="5">
        <f>IF($BI211&lt;&gt;"",IF('Capacity summary'!$C$14="Yes",IF(COUNTBLANK('Capacity summary'!$H123:$BG123)&lt;52,IF('Capacity summary'!AQ123&lt;&gt;"",IF(LOWER('Capacity summary'!AQ123)="x",$BI211*AQ211,VALUE('Capacity summary'!AQ123)),0),AQ211*$BI211),AQ211*$BI211),0)</f>
        <v>0</v>
      </c>
      <c r="CU211" s="5">
        <f>IF($BI211&lt;&gt;"",IF('Capacity summary'!$C$14="Yes",IF(COUNTBLANK('Capacity summary'!$H123:$BG123)&lt;52,IF('Capacity summary'!AR123&lt;&gt;"",IF(LOWER('Capacity summary'!AR123)="x",$BI211*AR211,VALUE('Capacity summary'!AR123)),0),AR211*$BI211),AR211*$BI211),0)</f>
        <v>0</v>
      </c>
      <c r="CV211" s="5">
        <f>IF($BI211&lt;&gt;"",IF('Capacity summary'!$C$14="Yes",IF(COUNTBLANK('Capacity summary'!$H123:$BG123)&lt;52,IF('Capacity summary'!AS123&lt;&gt;"",IF(LOWER('Capacity summary'!AS123)="x",$BI211*AS211,VALUE('Capacity summary'!AS123)),0),AS211*$BI211),AS211*$BI211),0)</f>
        <v>0</v>
      </c>
      <c r="CW211" s="5">
        <f>IF($BI211&lt;&gt;"",IF('Capacity summary'!$C$14="Yes",IF(COUNTBLANK('Capacity summary'!$H123:$BG123)&lt;52,IF('Capacity summary'!AT123&lt;&gt;"",IF(LOWER('Capacity summary'!AT123)="x",$BI211*AT211,VALUE('Capacity summary'!AT123)),0),AT211*$BI211),AT211*$BI211),0)</f>
        <v>0</v>
      </c>
      <c r="CX211" s="5">
        <f>IF($BI211&lt;&gt;"",IF('Capacity summary'!$C$14="Yes",IF(COUNTBLANK('Capacity summary'!$H123:$BG123)&lt;52,IF('Capacity summary'!AU123&lt;&gt;"",IF(LOWER('Capacity summary'!AU123)="x",$BI211*AU211,VALUE('Capacity summary'!AU123)),0),AU211*$BI211),AU211*$BI211),0)</f>
        <v>0</v>
      </c>
      <c r="CY211" s="5">
        <f>IF($BI211&lt;&gt;"",IF('Capacity summary'!$C$14="Yes",IF(COUNTBLANK('Capacity summary'!$H123:$BG123)&lt;52,IF('Capacity summary'!AV123&lt;&gt;"",IF(LOWER('Capacity summary'!AV123)="x",$BI211*AV211,VALUE('Capacity summary'!AV123)),0),AV211*$BI211),AV211*$BI211),0)</f>
        <v>0</v>
      </c>
      <c r="CZ211" s="5">
        <f>IF($BI211&lt;&gt;"",IF('Capacity summary'!$C$14="Yes",IF(COUNTBLANK('Capacity summary'!$H123:$BG123)&lt;52,IF('Capacity summary'!AW123&lt;&gt;"",IF(LOWER('Capacity summary'!AW123)="x",$BI211*AW211,VALUE('Capacity summary'!AW123)),0),AW211*$BI211),AW211*$BI211),0)</f>
        <v>0</v>
      </c>
      <c r="DA211" s="5">
        <f>IF($BI211&lt;&gt;"",IF('Capacity summary'!$C$14="Yes",IF(COUNTBLANK('Capacity summary'!$H123:$BG123)&lt;52,IF('Capacity summary'!AX123&lt;&gt;"",IF(LOWER('Capacity summary'!AX123)="x",$BI211*AX211,VALUE('Capacity summary'!AX123)),0),AX211*$BI211),AX211*$BI211),0)</f>
        <v>0</v>
      </c>
      <c r="DB211" s="5">
        <f>IF($BI211&lt;&gt;"",IF('Capacity summary'!$C$14="Yes",IF(COUNTBLANK('Capacity summary'!$H123:$BG123)&lt;52,IF('Capacity summary'!AY123&lt;&gt;"",IF(LOWER('Capacity summary'!AY123)="x",$BI211*AY211,VALUE('Capacity summary'!AY123)),0),AY211*$BI211),AY211*$BI211),0)</f>
        <v>0</v>
      </c>
      <c r="DC211" s="5">
        <f>IF($BI211&lt;&gt;"",IF('Capacity summary'!$C$14="Yes",IF(COUNTBLANK('Capacity summary'!$H123:$BG123)&lt;52,IF('Capacity summary'!AZ123&lt;&gt;"",IF(LOWER('Capacity summary'!AZ123)="x",$BI211*AZ211,VALUE('Capacity summary'!AZ123)),0),AZ211*$BI211),AZ211*$BI211),0)</f>
        <v>0</v>
      </c>
      <c r="DD211" s="5">
        <f>IF($BI211&lt;&gt;"",IF('Capacity summary'!$C$14="Yes",IF(COUNTBLANK('Capacity summary'!$H123:$BG123)&lt;52,IF('Capacity summary'!BA123&lt;&gt;"",IF(LOWER('Capacity summary'!BA123)="x",$BI211*BA211,VALUE('Capacity summary'!BA123)),0),BA211*$BI211),BA211*$BI211),0)</f>
        <v>0</v>
      </c>
      <c r="DE211" s="5">
        <f>IF($BI211&lt;&gt;"",IF('Capacity summary'!$C$14="Yes",IF(COUNTBLANK('Capacity summary'!$H123:$BG123)&lt;52,IF('Capacity summary'!BB123&lt;&gt;"",IF(LOWER('Capacity summary'!BB123)="x",$BI211*BB211,VALUE('Capacity summary'!BB123)),0),BB211*$BI211),BB211*$BI211),0)</f>
        <v>0</v>
      </c>
      <c r="DF211" s="5">
        <f>IF($BI211&lt;&gt;"",IF('Capacity summary'!$C$14="Yes",IF(COUNTBLANK('Capacity summary'!$H123:$BG123)&lt;52,IF('Capacity summary'!BC123&lt;&gt;"",IF(LOWER('Capacity summary'!BC123)="x",$BI211*BC211,VALUE('Capacity summary'!BC123)),0),BC211*$BI211),BC211*$BI211),0)</f>
        <v>0</v>
      </c>
      <c r="DG211" s="5">
        <f>IF($BI211&lt;&gt;"",IF('Capacity summary'!$C$14="Yes",IF(COUNTBLANK('Capacity summary'!$H123:$BG123)&lt;52,IF('Capacity summary'!BD123&lt;&gt;"",IF(LOWER('Capacity summary'!BD123)="x",$BI211*BD211,VALUE('Capacity summary'!BD123)),0),BD211*$BI211),BD211*$BI211),0)</f>
        <v>0</v>
      </c>
      <c r="DH211" s="5">
        <f>IF($BI211&lt;&gt;"",IF('Capacity summary'!$C$14="Yes",IF(COUNTBLANK('Capacity summary'!$H123:$BG123)&lt;52,IF('Capacity summary'!BE123&lt;&gt;"",IF(LOWER('Capacity summary'!BE123)="x",$BI211*BE211,VALUE('Capacity summary'!BE123)),0),BE211*$BI211),BE211*$BI211),0)</f>
        <v>0</v>
      </c>
      <c r="DI211" s="5">
        <f>IF($BI211&lt;&gt;"",IF('Capacity summary'!$C$14="Yes",IF(COUNTBLANK('Capacity summary'!$H123:$BG123)&lt;52,IF('Capacity summary'!BF123&lt;&gt;"",IF(LOWER('Capacity summary'!BF123)="x",$BI211*BF211,VALUE('Capacity summary'!BF123)),0),BF211*$BI211),BF211*$BI211),0)</f>
        <v>0</v>
      </c>
      <c r="DJ211" s="5">
        <f>IF($BI211&lt;&gt;"",IF('Capacity summary'!$C$14="Yes",IF(COUNTBLANK('Capacity summary'!$H123:$BG123)&lt;52,IF('Capacity summary'!BG123&lt;&gt;"",IF(LOWER('Capacity summary'!BG123)="x",$BI211*BG211,VALUE('Capacity summary'!BG123)),0),BG211*$BI211),BG211*$BI211),0)</f>
        <v>0</v>
      </c>
      <c r="DK211" s="5">
        <f t="shared" ref="DK211" si="105">SUM(DK212:DK311)</f>
        <v>0</v>
      </c>
    </row>
    <row r="212" spans="2:115" x14ac:dyDescent="0.25">
      <c r="B212" s="67"/>
    </row>
    <row r="213" spans="2:115" x14ac:dyDescent="0.25">
      <c r="B213" s="67"/>
    </row>
    <row r="214" spans="2:115" x14ac:dyDescent="0.25">
      <c r="B214" s="67"/>
      <c r="BI214" s="307" t="s">
        <v>1118</v>
      </c>
      <c r="BK214">
        <f>SUMIFS(BK$112:BK$211,Capacity!$V$17:$V$116,"X")</f>
        <v>0</v>
      </c>
      <c r="BL214" s="67">
        <f>SUMIFS(BL$112:BL$211,Capacity!$V$17:$V$116,"X")</f>
        <v>0</v>
      </c>
      <c r="BM214" s="67">
        <f>SUMIFS(BM$112:BM$211,Capacity!$V$17:$V$116,"X")</f>
        <v>0</v>
      </c>
      <c r="BN214" s="67">
        <f>SUMIFS(BN$112:BN$211,Capacity!$V$17:$V$116,"X")</f>
        <v>0</v>
      </c>
      <c r="BO214" s="67">
        <f>SUMIFS(BO$112:BO$211,Capacity!$V$17:$V$116,"X")</f>
        <v>0</v>
      </c>
      <c r="BP214" s="67">
        <f>SUMIFS(BP$112:BP$211,Capacity!$V$17:$V$116,"X")</f>
        <v>0</v>
      </c>
      <c r="BQ214" s="67">
        <f>SUMIFS(BQ$112:BQ$211,Capacity!$V$17:$V$116,"X")</f>
        <v>0</v>
      </c>
      <c r="BR214" s="67">
        <f>SUMIFS(BR$112:BR$211,Capacity!$V$17:$V$116,"X")</f>
        <v>0</v>
      </c>
      <c r="BS214" s="67">
        <f>SUMIFS(BS$112:BS$211,Capacity!$V$17:$V$116,"X")</f>
        <v>0</v>
      </c>
      <c r="BT214" s="67">
        <f>SUMIFS(BT$112:BT$211,Capacity!$V$17:$V$116,"X")</f>
        <v>0</v>
      </c>
      <c r="BU214" s="67">
        <f>SUMIFS(BU$112:BU$211,Capacity!$V$17:$V$116,"X")</f>
        <v>0</v>
      </c>
      <c r="BV214" s="67">
        <f>SUMIFS(BV$112:BV$211,Capacity!$V$17:$V$116,"X")</f>
        <v>0</v>
      </c>
      <c r="BW214" s="67">
        <f>SUMIFS(BW$112:BW$211,Capacity!$V$17:$V$116,"X")</f>
        <v>0</v>
      </c>
      <c r="BX214" s="67">
        <f>SUMIFS(BX$112:BX$211,Capacity!$V$17:$V$116,"X")</f>
        <v>0</v>
      </c>
      <c r="BY214" s="67">
        <f>SUMIFS(BY$112:BY$211,Capacity!$V$17:$V$116,"X")</f>
        <v>0</v>
      </c>
      <c r="BZ214" s="67">
        <f>SUMIFS(BZ$112:BZ$211,Capacity!$V$17:$V$116,"X")</f>
        <v>0</v>
      </c>
      <c r="CA214" s="67">
        <f>SUMIFS(CA$112:CA$211,Capacity!$V$17:$V$116,"X")</f>
        <v>0</v>
      </c>
      <c r="CB214" s="67">
        <f>SUMIFS(CB$112:CB$211,Capacity!$V$17:$V$116,"X")</f>
        <v>0</v>
      </c>
      <c r="CC214" s="67">
        <f>SUMIFS(CC$112:CC$211,Capacity!$V$17:$V$116,"X")</f>
        <v>0</v>
      </c>
      <c r="CD214" s="67">
        <f>SUMIFS(CD$112:CD$211,Capacity!$V$17:$V$116,"X")</f>
        <v>0</v>
      </c>
      <c r="CE214" s="67">
        <f>SUMIFS(CE$112:CE$211,Capacity!$V$17:$V$116,"X")</f>
        <v>0</v>
      </c>
      <c r="CF214" s="67">
        <f>SUMIFS(CF$112:CF$211,Capacity!$V$17:$V$116,"X")</f>
        <v>0</v>
      </c>
      <c r="CG214" s="67">
        <f>SUMIFS(CG$112:CG$211,Capacity!$V$17:$V$116,"X")</f>
        <v>0</v>
      </c>
      <c r="CH214" s="67">
        <f>SUMIFS(CH$112:CH$211,Capacity!$V$17:$V$116,"X")</f>
        <v>0</v>
      </c>
      <c r="CI214" s="67">
        <f>SUMIFS(CI$112:CI$211,Capacity!$V$17:$V$116,"X")</f>
        <v>0</v>
      </c>
      <c r="CJ214" s="67">
        <f>SUMIFS(CJ$112:CJ$211,Capacity!$V$17:$V$116,"X")</f>
        <v>0</v>
      </c>
      <c r="CK214" s="67">
        <f>SUMIFS(CK$112:CK$211,Capacity!$V$17:$V$116,"X")</f>
        <v>0</v>
      </c>
      <c r="CL214" s="67">
        <f>SUMIFS(CL$112:CL$211,Capacity!$V$17:$V$116,"X")</f>
        <v>0</v>
      </c>
      <c r="CM214" s="67">
        <f>SUMIFS(CM$112:CM$211,Capacity!$V$17:$V$116,"X")</f>
        <v>0</v>
      </c>
      <c r="CN214" s="67">
        <f>SUMIFS(CN$112:CN$211,Capacity!$V$17:$V$116,"X")</f>
        <v>0</v>
      </c>
      <c r="CO214" s="67">
        <f>SUMIFS(CO$112:CO$211,Capacity!$V$17:$V$116,"X")</f>
        <v>0</v>
      </c>
      <c r="CP214" s="67">
        <f>SUMIFS(CP$112:CP$211,Capacity!$V$17:$V$116,"X")</f>
        <v>0</v>
      </c>
      <c r="CQ214" s="67">
        <f>SUMIFS(CQ$112:CQ$211,Capacity!$V$17:$V$116,"X")</f>
        <v>0</v>
      </c>
      <c r="CR214" s="67">
        <f>SUMIFS(CR$112:CR$211,Capacity!$V$17:$V$116,"X")</f>
        <v>0</v>
      </c>
      <c r="CS214" s="67">
        <f>SUMIFS(CS$112:CS$211,Capacity!$V$17:$V$116,"X")</f>
        <v>0</v>
      </c>
      <c r="CT214" s="67">
        <f>SUMIFS(CT$112:CT$211,Capacity!$V$17:$V$116,"X")</f>
        <v>0</v>
      </c>
      <c r="CU214" s="67">
        <f>SUMIFS(CU$112:CU$211,Capacity!$V$17:$V$116,"X")</f>
        <v>0</v>
      </c>
      <c r="CV214" s="67">
        <f>SUMIFS(CV$112:CV$211,Capacity!$V$17:$V$116,"X")</f>
        <v>0</v>
      </c>
      <c r="CW214" s="67">
        <f>SUMIFS(CW$112:CW$211,Capacity!$V$17:$V$116,"X")</f>
        <v>0</v>
      </c>
      <c r="CX214" s="67">
        <f>SUMIFS(CX$112:CX$211,Capacity!$V$17:$V$116,"X")</f>
        <v>0</v>
      </c>
      <c r="CY214" s="67">
        <f>SUMIFS(CY$112:CY$211,Capacity!$V$17:$V$116,"X")</f>
        <v>0</v>
      </c>
      <c r="CZ214" s="67">
        <f>SUMIFS(CZ$112:CZ$211,Capacity!$V$17:$V$116,"X")</f>
        <v>0</v>
      </c>
      <c r="DA214" s="67">
        <f>SUMIFS(DA$112:DA$211,Capacity!$V$17:$V$116,"X")</f>
        <v>0</v>
      </c>
      <c r="DB214" s="67">
        <f>SUMIFS(DB$112:DB$211,Capacity!$V$17:$V$116,"X")</f>
        <v>0</v>
      </c>
      <c r="DC214" s="67">
        <f>SUMIFS(DC$112:DC$211,Capacity!$V$17:$V$116,"X")</f>
        <v>0</v>
      </c>
      <c r="DD214" s="67">
        <f>SUMIFS(DD$112:DD$211,Capacity!$V$17:$V$116,"X")</f>
        <v>0</v>
      </c>
      <c r="DE214" s="67">
        <f>SUMIFS(DE$112:DE$211,Capacity!$V$17:$V$116,"X")</f>
        <v>0</v>
      </c>
      <c r="DF214" s="67">
        <f>SUMIFS(DF$112:DF$211,Capacity!$V$17:$V$116,"X")</f>
        <v>0</v>
      </c>
      <c r="DG214" s="67">
        <f>SUMIFS(DG$112:DG$211,Capacity!$V$17:$V$116,"X")</f>
        <v>0</v>
      </c>
      <c r="DH214" s="67">
        <f>SUMIFS(DH$112:DH$211,Capacity!$V$17:$V$116,"X")</f>
        <v>0</v>
      </c>
      <c r="DI214" s="67">
        <f>SUMIFS(DI$112:DI$211,Capacity!$V$17:$V$116,"X")</f>
        <v>0</v>
      </c>
      <c r="DJ214" s="67">
        <f>SUMIFS(DJ$112:DJ$211,Capacity!$V$17:$V$116,"X")</f>
        <v>0</v>
      </c>
      <c r="DK214" s="67">
        <f>SUMIFS(DK$112:DK$211,Capacity!$V$17:$V$116,"X")</f>
        <v>0</v>
      </c>
    </row>
    <row r="215" spans="2:115" x14ac:dyDescent="0.25">
      <c r="B215" s="67"/>
    </row>
    <row r="216" spans="2:115" x14ac:dyDescent="0.25">
      <c r="B216" s="67"/>
    </row>
    <row r="217" spans="2:115" x14ac:dyDescent="0.25">
      <c r="B217" s="67"/>
    </row>
    <row r="218" spans="2:115" x14ac:dyDescent="0.25">
      <c r="B218" s="67"/>
    </row>
    <row r="219" spans="2:115" x14ac:dyDescent="0.25">
      <c r="B219" s="67"/>
    </row>
    <row r="220" spans="2:115" x14ac:dyDescent="0.25">
      <c r="B220" s="67"/>
    </row>
  </sheetData>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1"/>
  <dimension ref="A1:M96"/>
  <sheetViews>
    <sheetView showGridLines="0" showRowColHeaders="0" zoomScaleNormal="100" workbookViewId="0">
      <selection activeCell="A12" sqref="A12"/>
    </sheetView>
  </sheetViews>
  <sheetFormatPr defaultRowHeight="13.8" x14ac:dyDescent="0.25"/>
  <cols>
    <col min="1" max="1" width="16.09765625" customWidth="1"/>
    <col min="2" max="2" width="13.09765625" customWidth="1"/>
    <col min="3" max="4" width="11.09765625" customWidth="1"/>
    <col min="5" max="6" width="19.8984375" customWidth="1"/>
    <col min="7" max="10" width="9.09765625" customWidth="1"/>
  </cols>
  <sheetData>
    <row r="1" spans="1:12" x14ac:dyDescent="0.25">
      <c r="B1" s="67"/>
    </row>
    <row r="2" spans="1:12" x14ac:dyDescent="0.25">
      <c r="A2" t="s">
        <v>310</v>
      </c>
      <c r="C2" s="381" t="s">
        <v>87</v>
      </c>
      <c r="D2" s="383"/>
      <c r="F2" s="241" t="str">
        <f ca="1">"On aggregate, 1 patient = "&amp;TEXT('Demand background (hide)'!$BN$16,"#.#")&amp;" "&amp;Setup!$I$17</f>
        <v>On aggregate, 1 patient = 2. Points</v>
      </c>
    </row>
    <row r="3" spans="1:12" x14ac:dyDescent="0.25">
      <c r="A3" t="s">
        <v>328</v>
      </c>
      <c r="C3" s="432">
        <v>52</v>
      </c>
      <c r="D3" s="383"/>
      <c r="F3" s="337" t="s">
        <v>326</v>
      </c>
    </row>
    <row r="4" spans="1:12" x14ac:dyDescent="0.25">
      <c r="A4" t="s">
        <v>14</v>
      </c>
      <c r="C4" s="381" t="s">
        <v>23</v>
      </c>
      <c r="D4" s="383"/>
    </row>
    <row r="5" spans="1:12" x14ac:dyDescent="0.25">
      <c r="K5" s="72"/>
    </row>
    <row r="6" spans="1:12" ht="14.4" thickBot="1" x14ac:dyDescent="0.3">
      <c r="A6" s="103" t="s">
        <v>309</v>
      </c>
      <c r="B6" s="104"/>
      <c r="C6" s="104"/>
      <c r="D6" s="9"/>
      <c r="E6" s="445" t="s">
        <v>346</v>
      </c>
      <c r="F6" s="445"/>
      <c r="G6" s="63" t="s">
        <v>87</v>
      </c>
      <c r="H6" s="9" t="s">
        <v>88</v>
      </c>
      <c r="I6" s="9"/>
      <c r="K6" s="72"/>
    </row>
    <row r="7" spans="1:12" ht="15" thickBot="1" x14ac:dyDescent="0.35">
      <c r="A7" s="10"/>
      <c r="B7" s="11"/>
      <c r="C7" s="11"/>
      <c r="D7" s="9"/>
      <c r="E7" s="446" t="s">
        <v>214</v>
      </c>
      <c r="F7" s="440"/>
      <c r="G7" s="427">
        <v>0.05</v>
      </c>
      <c r="H7" s="429">
        <f ca="1">'Parameters calculator (hide)'!B25</f>
        <v>369.20000000000005</v>
      </c>
      <c r="I7" s="9"/>
    </row>
    <row r="8" spans="1:12" ht="14.4" thickBot="1" x14ac:dyDescent="0.3">
      <c r="A8" s="11"/>
      <c r="B8" s="11"/>
      <c r="C8" s="11"/>
      <c r="D8" s="12"/>
      <c r="E8" s="13"/>
      <c r="F8" s="14"/>
      <c r="G8" s="428"/>
      <c r="H8" s="430"/>
      <c r="I8" s="9"/>
    </row>
    <row r="9" spans="1:12" ht="14.4" thickBot="1" x14ac:dyDescent="0.3">
      <c r="A9" s="85" t="s">
        <v>338</v>
      </c>
      <c r="B9" s="435" t="str">
        <f ca="1">TEXT('Parameters calculator (hide)'!B19,"#,#")</f>
        <v>7,384</v>
      </c>
      <c r="C9" s="11"/>
      <c r="D9" s="12"/>
      <c r="E9" s="9"/>
      <c r="F9" s="9"/>
      <c r="G9" s="9"/>
      <c r="H9" s="9"/>
      <c r="I9" s="9"/>
    </row>
    <row r="10" spans="1:12" ht="14.4" thickBot="1" x14ac:dyDescent="0.3">
      <c r="A10" s="243" t="str">
        <f>"("&amp;$C$4&amp;")"</f>
        <v>(Points)</v>
      </c>
      <c r="B10" s="436"/>
      <c r="C10" s="15"/>
      <c r="D10" s="16"/>
      <c r="E10" s="437" t="s">
        <v>348</v>
      </c>
      <c r="F10" s="438"/>
      <c r="G10" s="63" t="s">
        <v>87</v>
      </c>
      <c r="H10" s="9" t="s">
        <v>88</v>
      </c>
      <c r="I10" s="9"/>
      <c r="K10" s="5"/>
    </row>
    <row r="11" spans="1:12" ht="14.4" thickBot="1" x14ac:dyDescent="0.3">
      <c r="A11" s="91" t="str">
        <f>IF(LEFT(Demand!C8,1)="H","Based on selected baseline period in SPC sheet","Based on baseline forecast demand")</f>
        <v>Based on baseline forecast demand</v>
      </c>
      <c r="B11" s="11"/>
      <c r="C11" s="17"/>
      <c r="D11" s="12"/>
      <c r="E11" s="439" t="s">
        <v>89</v>
      </c>
      <c r="F11" s="440"/>
      <c r="G11" s="441">
        <v>1.0999999999999999E-2</v>
      </c>
      <c r="H11" s="429">
        <f ca="1">'Parameters calculator (hide)'!C25</f>
        <v>77.16279999999999</v>
      </c>
      <c r="I11" s="9"/>
    </row>
    <row r="12" spans="1:12" ht="14.4" thickBot="1" x14ac:dyDescent="0.3">
      <c r="A12" s="91" t="str">
        <f ca="1">"normalised to "&amp;TEXT('Parameters calculator (hide)'!$B$18,"#")&amp;" wks"</f>
        <v>normalised to 52 wks</v>
      </c>
      <c r="B12" s="11"/>
      <c r="C12" s="17"/>
      <c r="D12" s="9"/>
      <c r="E12" s="18"/>
      <c r="F12" s="14"/>
      <c r="G12" s="442"/>
      <c r="H12" s="430"/>
      <c r="I12" s="9"/>
    </row>
    <row r="13" spans="1:12" ht="14.4" x14ac:dyDescent="0.3">
      <c r="A13" s="10" t="s">
        <v>90</v>
      </c>
      <c r="B13" s="11"/>
      <c r="C13" s="17"/>
      <c r="D13" s="19" t="s">
        <v>91</v>
      </c>
      <c r="E13" s="9"/>
      <c r="F13" s="9"/>
      <c r="G13" s="9"/>
      <c r="H13" s="9"/>
      <c r="I13" s="9"/>
    </row>
    <row r="14" spans="1:12" ht="14.4" thickBot="1" x14ac:dyDescent="0.3">
      <c r="B14" s="20"/>
      <c r="C14" s="21"/>
      <c r="D14" s="20"/>
      <c r="E14" s="20"/>
      <c r="F14" s="20"/>
      <c r="G14" s="20"/>
      <c r="H14" s="20"/>
      <c r="I14" s="20"/>
      <c r="J14" s="20"/>
      <c r="K14" s="20"/>
      <c r="L14" s="20"/>
    </row>
    <row r="15" spans="1:12" ht="14.4" thickBot="1" x14ac:dyDescent="0.3">
      <c r="B15" s="93"/>
      <c r="C15" s="443" t="s">
        <v>373</v>
      </c>
      <c r="D15" s="444"/>
      <c r="E15" s="20"/>
      <c r="F15" s="413" t="s">
        <v>399</v>
      </c>
      <c r="G15" s="413"/>
      <c r="H15" s="20"/>
      <c r="I15" s="64" t="s">
        <v>87</v>
      </c>
      <c r="J15" s="20" t="s">
        <v>88</v>
      </c>
      <c r="K15" s="20"/>
      <c r="L15" s="20"/>
    </row>
    <row r="16" spans="1:12" ht="14.4" thickBot="1" x14ac:dyDescent="0.3">
      <c r="B16" s="20"/>
      <c r="C16" s="416">
        <f ca="1">IF(B9-H7-H11+J16&lt;0, 0, B9-H7-H11+J16)</f>
        <v>7386.5843999999997</v>
      </c>
      <c r="D16" s="417"/>
      <c r="E16" s="20"/>
      <c r="F16" s="20" t="s">
        <v>92</v>
      </c>
      <c r="G16" s="20"/>
      <c r="H16" s="20"/>
      <c r="I16" s="420">
        <f>'Parameters calculator (hide)'!$H$24</f>
        <v>0.8</v>
      </c>
      <c r="J16" s="422">
        <f ca="1">'Parameters calculator (hide)'!H25</f>
        <v>448.94719999999995</v>
      </c>
      <c r="K16" s="20"/>
      <c r="L16" s="20"/>
    </row>
    <row r="17" spans="1:13" ht="14.4" thickBot="1" x14ac:dyDescent="0.3">
      <c r="B17" s="20"/>
      <c r="C17" s="418"/>
      <c r="D17" s="419"/>
      <c r="E17" s="22"/>
      <c r="F17" s="23"/>
      <c r="G17" s="23"/>
      <c r="H17" s="23"/>
      <c r="I17" s="421"/>
      <c r="J17" s="423"/>
      <c r="K17" s="24"/>
      <c r="L17" s="20"/>
    </row>
    <row r="18" spans="1:13" x14ac:dyDescent="0.25">
      <c r="B18" s="90" t="s">
        <v>374</v>
      </c>
      <c r="C18" s="20"/>
      <c r="D18" s="22"/>
      <c r="E18" s="20"/>
      <c r="F18" s="20"/>
      <c r="G18" s="20"/>
      <c r="H18" s="25"/>
      <c r="I18" s="25"/>
      <c r="J18" s="25"/>
      <c r="K18" s="26"/>
      <c r="L18" s="20"/>
    </row>
    <row r="19" spans="1:13" x14ac:dyDescent="0.25">
      <c r="B19" s="90" t="s">
        <v>375</v>
      </c>
      <c r="C19" s="20"/>
      <c r="D19" s="27"/>
      <c r="E19" s="20"/>
      <c r="F19" s="20"/>
      <c r="G19" s="20"/>
      <c r="H19" s="25"/>
      <c r="I19" s="25"/>
      <c r="J19" s="25"/>
      <c r="K19" s="26"/>
      <c r="L19" s="20"/>
    </row>
    <row r="20" spans="1:13" ht="14.4" thickBot="1" x14ac:dyDescent="0.3">
      <c r="B20" s="90"/>
      <c r="C20" s="20"/>
      <c r="D20" s="27"/>
      <c r="E20" s="424" t="s">
        <v>347</v>
      </c>
      <c r="F20" s="424"/>
      <c r="G20" s="64" t="s">
        <v>87</v>
      </c>
      <c r="H20" s="25" t="s">
        <v>88</v>
      </c>
      <c r="I20" s="25"/>
      <c r="J20" s="25"/>
      <c r="K20" s="26"/>
      <c r="L20" s="20"/>
    </row>
    <row r="21" spans="1:13" ht="14.4" thickBot="1" x14ac:dyDescent="0.3">
      <c r="B21" s="20"/>
      <c r="C21" s="20"/>
      <c r="D21" s="28"/>
      <c r="E21" s="425" t="s">
        <v>93</v>
      </c>
      <c r="F21" s="426"/>
      <c r="G21" s="427">
        <v>0.08</v>
      </c>
      <c r="H21" s="429">
        <f ca="1">'Parameters calculator (hide)'!E25</f>
        <v>561.18399999999997</v>
      </c>
      <c r="I21" s="29"/>
      <c r="J21" s="29"/>
      <c r="K21" s="21"/>
      <c r="L21" s="20"/>
    </row>
    <row r="22" spans="1:13" ht="14.4" thickBot="1" x14ac:dyDescent="0.3">
      <c r="B22" s="90"/>
      <c r="C22" s="26"/>
      <c r="D22" s="23"/>
      <c r="E22" s="23"/>
      <c r="F22" s="24"/>
      <c r="G22" s="428"/>
      <c r="H22" s="430"/>
      <c r="I22" s="24"/>
      <c r="J22" s="20"/>
      <c r="K22" s="20"/>
      <c r="L22" s="20"/>
    </row>
    <row r="23" spans="1:13" ht="14.4" x14ac:dyDescent="0.3">
      <c r="B23" s="30" t="s">
        <v>94</v>
      </c>
      <c r="C23" s="26"/>
      <c r="D23" s="20"/>
      <c r="E23" s="20"/>
      <c r="F23" s="20"/>
      <c r="G23" s="20"/>
      <c r="H23" s="25"/>
      <c r="I23" s="26"/>
      <c r="J23" s="20"/>
      <c r="K23" s="20"/>
      <c r="L23" s="20"/>
    </row>
    <row r="24" spans="1:13" x14ac:dyDescent="0.25">
      <c r="A24" s="31"/>
      <c r="B24" s="31"/>
      <c r="C24" s="32"/>
      <c r="D24" s="31"/>
      <c r="E24" s="31"/>
      <c r="F24" s="31"/>
      <c r="G24" s="31"/>
      <c r="H24" s="31"/>
      <c r="I24" s="32"/>
      <c r="J24" s="31"/>
      <c r="K24" s="31"/>
    </row>
    <row r="25" spans="1:13" ht="14.4" thickBot="1" x14ac:dyDescent="0.3">
      <c r="A25" s="431" t="s">
        <v>372</v>
      </c>
      <c r="B25" s="31"/>
      <c r="C25" s="32"/>
      <c r="D25" s="31"/>
      <c r="E25" s="31"/>
      <c r="F25" s="31"/>
      <c r="G25" s="31"/>
      <c r="H25" s="31"/>
      <c r="I25" s="32"/>
      <c r="J25" s="31"/>
      <c r="K25" s="31"/>
    </row>
    <row r="26" spans="1:13" ht="14.4" thickBot="1" x14ac:dyDescent="0.3">
      <c r="A26" s="431"/>
      <c r="B26" s="433">
        <f ca="1">'Parameters calculator (hide)'!B27</f>
        <v>6825.4003999999995</v>
      </c>
      <c r="C26" s="33"/>
      <c r="D26" s="31"/>
      <c r="E26" s="31"/>
      <c r="F26" s="31"/>
      <c r="G26" s="92"/>
      <c r="H26" s="31"/>
      <c r="I26" s="32" t="s">
        <v>87</v>
      </c>
      <c r="J26" s="31" t="s">
        <v>88</v>
      </c>
      <c r="K26" s="31"/>
    </row>
    <row r="27" spans="1:13" ht="14.4" thickBot="1" x14ac:dyDescent="0.3">
      <c r="A27" s="244" t="str">
        <f>"("&amp;$C$4&amp;")"</f>
        <v>(Points)</v>
      </c>
      <c r="B27" s="434"/>
      <c r="C27" s="31"/>
      <c r="D27" s="31"/>
      <c r="E27" s="31"/>
      <c r="F27" s="83" t="s">
        <v>400</v>
      </c>
      <c r="G27" s="92"/>
      <c r="H27" s="31"/>
      <c r="I27" s="427">
        <v>0.2</v>
      </c>
      <c r="J27" s="414">
        <f ca="1">'Parameters calculator (hide)'!F25</f>
        <v>112.2368</v>
      </c>
      <c r="K27" s="31"/>
    </row>
    <row r="28" spans="1:13" ht="14.4" thickBot="1" x14ac:dyDescent="0.3">
      <c r="A28" s="83"/>
      <c r="B28" s="31"/>
      <c r="C28" s="31"/>
      <c r="D28" s="31"/>
      <c r="E28" s="31"/>
      <c r="F28" s="31" t="s">
        <v>95</v>
      </c>
      <c r="G28" s="31"/>
      <c r="H28" s="31"/>
      <c r="I28" s="428"/>
      <c r="J28" s="415"/>
      <c r="K28" s="31"/>
    </row>
    <row r="29" spans="1:13" ht="14.4" x14ac:dyDescent="0.3">
      <c r="A29" s="34" t="s">
        <v>96</v>
      </c>
      <c r="B29" s="31"/>
      <c r="C29" s="31"/>
      <c r="D29" s="31"/>
      <c r="E29" s="31"/>
      <c r="F29" s="31"/>
      <c r="G29" s="31"/>
      <c r="H29" s="31"/>
      <c r="I29" s="31"/>
      <c r="J29" s="31"/>
      <c r="K29" s="31"/>
    </row>
    <row r="30" spans="1:13" ht="14.4" thickBot="1" x14ac:dyDescent="0.3"/>
    <row r="31" spans="1:13" ht="14.4" thickBot="1" x14ac:dyDescent="0.3">
      <c r="A31" t="s">
        <v>371</v>
      </c>
      <c r="F31" s="213"/>
    </row>
    <row r="32" spans="1:13" ht="14.25" customHeight="1" x14ac:dyDescent="0.25">
      <c r="A32" t="s">
        <v>509</v>
      </c>
      <c r="B32" s="1"/>
      <c r="C32" s="1"/>
      <c r="D32" s="1"/>
      <c r="E32" s="1"/>
      <c r="F32" s="242" t="str">
        <f>'Parameters calculator (hide)'!E45</f>
        <v/>
      </c>
      <c r="G32" s="1"/>
      <c r="H32" s="150" t="str">
        <f>IF(F31&lt;&gt;"",IF(ABS(1-(F32/B9))&gt;0.05,"There appears to be some inconsistencies in your figures.",""),"")</f>
        <v/>
      </c>
      <c r="I32" s="150"/>
      <c r="J32" s="150"/>
      <c r="K32" s="150"/>
      <c r="L32" s="150"/>
      <c r="M32" s="150"/>
    </row>
    <row r="33" spans="1:8" x14ac:dyDescent="0.25">
      <c r="A33" s="2"/>
      <c r="H33" s="151" t="str">
        <f>IF(H32&lt;&gt;"","Please recheck your figures.","")</f>
        <v/>
      </c>
    </row>
    <row r="36" spans="1:8" x14ac:dyDescent="0.25">
      <c r="A36" s="2"/>
      <c r="C36" s="5"/>
    </row>
    <row r="37" spans="1:8" x14ac:dyDescent="0.25">
      <c r="C37" s="5"/>
    </row>
    <row r="42" spans="1:8" x14ac:dyDescent="0.25">
      <c r="B42" s="67"/>
    </row>
    <row r="43" spans="1:8" x14ac:dyDescent="0.25">
      <c r="B43" s="67"/>
    </row>
    <row r="44" spans="1:8" x14ac:dyDescent="0.25">
      <c r="B44" s="67"/>
    </row>
    <row r="45" spans="1:8" x14ac:dyDescent="0.25">
      <c r="B45" s="67"/>
    </row>
    <row r="46" spans="1:8" x14ac:dyDescent="0.25">
      <c r="B46" s="67"/>
    </row>
    <row r="47" spans="1:8" x14ac:dyDescent="0.25">
      <c r="B47" s="67"/>
    </row>
    <row r="48" spans="1:8" x14ac:dyDescent="0.25">
      <c r="B48" s="67"/>
    </row>
    <row r="49" spans="2:2" x14ac:dyDescent="0.25">
      <c r="B49" s="67"/>
    </row>
    <row r="50" spans="2:2" x14ac:dyDescent="0.25">
      <c r="B50" s="67"/>
    </row>
    <row r="51" spans="2:2" x14ac:dyDescent="0.25">
      <c r="B51" s="67"/>
    </row>
    <row r="52" spans="2:2" x14ac:dyDescent="0.25">
      <c r="B52" s="67"/>
    </row>
    <row r="53" spans="2:2" x14ac:dyDescent="0.25">
      <c r="B53" s="67"/>
    </row>
    <row r="54" spans="2:2" x14ac:dyDescent="0.25">
      <c r="B54" s="67"/>
    </row>
    <row r="55" spans="2:2" x14ac:dyDescent="0.25">
      <c r="B55" s="67"/>
    </row>
    <row r="56" spans="2:2" x14ac:dyDescent="0.25">
      <c r="B56" s="67"/>
    </row>
    <row r="57" spans="2:2" x14ac:dyDescent="0.25">
      <c r="B57" s="67"/>
    </row>
    <row r="58" spans="2:2" x14ac:dyDescent="0.25">
      <c r="B58" s="67"/>
    </row>
    <row r="59" spans="2:2" x14ac:dyDescent="0.25">
      <c r="B59" s="67"/>
    </row>
    <row r="60" spans="2:2" x14ac:dyDescent="0.25">
      <c r="B60" s="67"/>
    </row>
    <row r="61" spans="2:2" x14ac:dyDescent="0.25">
      <c r="B61" s="67"/>
    </row>
    <row r="62" spans="2:2" x14ac:dyDescent="0.25">
      <c r="B62" s="67"/>
    </row>
    <row r="63" spans="2:2" x14ac:dyDescent="0.25">
      <c r="B63" s="67"/>
    </row>
    <row r="64" spans="2:2" x14ac:dyDescent="0.25">
      <c r="B64" s="67"/>
    </row>
    <row r="65" spans="2:2" x14ac:dyDescent="0.25">
      <c r="B65" s="67"/>
    </row>
    <row r="66" spans="2:2" x14ac:dyDescent="0.25">
      <c r="B66" s="67"/>
    </row>
    <row r="67" spans="2:2" x14ac:dyDescent="0.25">
      <c r="B67" s="67"/>
    </row>
    <row r="68" spans="2:2" x14ac:dyDescent="0.25">
      <c r="B68" s="67"/>
    </row>
    <row r="69" spans="2:2" x14ac:dyDescent="0.25">
      <c r="B69" s="67"/>
    </row>
    <row r="70" spans="2:2" x14ac:dyDescent="0.25">
      <c r="B70" s="67"/>
    </row>
    <row r="71" spans="2:2" x14ac:dyDescent="0.25">
      <c r="B71" s="67"/>
    </row>
    <row r="72" spans="2:2" x14ac:dyDescent="0.25">
      <c r="B72" s="67"/>
    </row>
    <row r="73" spans="2:2" x14ac:dyDescent="0.25">
      <c r="B73" s="67"/>
    </row>
    <row r="74" spans="2:2" x14ac:dyDescent="0.25">
      <c r="B74" s="67"/>
    </row>
    <row r="75" spans="2:2" x14ac:dyDescent="0.25">
      <c r="B75" s="67"/>
    </row>
    <row r="76" spans="2:2" x14ac:dyDescent="0.25">
      <c r="B76" s="67"/>
    </row>
    <row r="77" spans="2:2" x14ac:dyDescent="0.25">
      <c r="B77" s="67"/>
    </row>
    <row r="78" spans="2:2" x14ac:dyDescent="0.25">
      <c r="B78" s="67"/>
    </row>
    <row r="79" spans="2:2" x14ac:dyDescent="0.25">
      <c r="B79" s="67"/>
    </row>
    <row r="80" spans="2:2" x14ac:dyDescent="0.25">
      <c r="B80" s="67"/>
    </row>
    <row r="81" spans="1:2" x14ac:dyDescent="0.25">
      <c r="B81" s="67"/>
    </row>
    <row r="82" spans="1:2" x14ac:dyDescent="0.25">
      <c r="B82" s="67"/>
    </row>
    <row r="83" spans="1:2" x14ac:dyDescent="0.25">
      <c r="A83" s="67"/>
      <c r="B83" s="67"/>
    </row>
    <row r="84" spans="1:2" x14ac:dyDescent="0.25">
      <c r="A84" s="67"/>
      <c r="B84" s="67"/>
    </row>
    <row r="85" spans="1:2" x14ac:dyDescent="0.25">
      <c r="A85" s="67"/>
      <c r="B85" s="67"/>
    </row>
    <row r="86" spans="1:2" x14ac:dyDescent="0.25">
      <c r="A86" s="67"/>
      <c r="B86" s="67"/>
    </row>
    <row r="87" spans="1:2" x14ac:dyDescent="0.25">
      <c r="B87" s="67"/>
    </row>
    <row r="88" spans="1:2" x14ac:dyDescent="0.25">
      <c r="A88" s="67"/>
      <c r="B88" s="67"/>
    </row>
    <row r="89" spans="1:2" x14ac:dyDescent="0.25">
      <c r="A89" s="67"/>
      <c r="B89" s="67"/>
    </row>
    <row r="90" spans="1:2" x14ac:dyDescent="0.25">
      <c r="A90" s="67"/>
      <c r="B90" s="67"/>
    </row>
    <row r="91" spans="1:2" x14ac:dyDescent="0.25">
      <c r="A91" s="67"/>
      <c r="B91" s="67"/>
    </row>
    <row r="92" spans="1:2" x14ac:dyDescent="0.25">
      <c r="B92" s="67"/>
    </row>
    <row r="93" spans="1:2" x14ac:dyDescent="0.25">
      <c r="B93" s="67"/>
    </row>
    <row r="94" spans="1:2" x14ac:dyDescent="0.25">
      <c r="B94" s="67"/>
    </row>
    <row r="95" spans="1:2" x14ac:dyDescent="0.25">
      <c r="B95" s="67"/>
    </row>
    <row r="96" spans="1:2" x14ac:dyDescent="0.25">
      <c r="B96" s="67"/>
    </row>
  </sheetData>
  <mergeCells count="25">
    <mergeCell ref="A25:A26"/>
    <mergeCell ref="C3:D3"/>
    <mergeCell ref="C2:D2"/>
    <mergeCell ref="B26:B27"/>
    <mergeCell ref="I27:I28"/>
    <mergeCell ref="B9:B10"/>
    <mergeCell ref="E10:F10"/>
    <mergeCell ref="E11:F11"/>
    <mergeCell ref="G11:G12"/>
    <mergeCell ref="H11:H12"/>
    <mergeCell ref="G7:G8"/>
    <mergeCell ref="H7:H8"/>
    <mergeCell ref="C15:D15"/>
    <mergeCell ref="C4:D4"/>
    <mergeCell ref="E6:F6"/>
    <mergeCell ref="E7:F7"/>
    <mergeCell ref="F15:G15"/>
    <mergeCell ref="J27:J28"/>
    <mergeCell ref="C16:D17"/>
    <mergeCell ref="I16:I17"/>
    <mergeCell ref="J16:J17"/>
    <mergeCell ref="E20:F20"/>
    <mergeCell ref="E21:F21"/>
    <mergeCell ref="G21:G22"/>
    <mergeCell ref="H21:H22"/>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1281" r:id="rId4" name="Param_Calculator_Yes">
              <controlPr defaultSize="0" autoFill="0" autoLine="0" autoPict="0" macro="[0]!Sheet11.Param_Calculator_Yes_click">
                <anchor moveWithCells="1">
                  <from>
                    <xdr:col>5</xdr:col>
                    <xdr:colOff>0</xdr:colOff>
                    <xdr:row>3</xdr:row>
                    <xdr:rowOff>0</xdr:rowOff>
                  </from>
                  <to>
                    <xdr:col>5</xdr:col>
                    <xdr:colOff>533400</xdr:colOff>
                    <xdr:row>4</xdr:row>
                    <xdr:rowOff>30480</xdr:rowOff>
                  </to>
                </anchor>
              </controlPr>
            </control>
          </mc:Choice>
        </mc:AlternateContent>
        <mc:AlternateContent xmlns:mc="http://schemas.openxmlformats.org/markup-compatibility/2006">
          <mc:Choice Requires="x14">
            <control shapeId="11282" r:id="rId5" name="Param_Calculator_No">
              <controlPr defaultSize="0" autoFill="0" autoLine="0" autoPict="0" macro="[0]!Sheet11.Param_Calculator_No_click">
                <anchor moveWithCells="1">
                  <from>
                    <xdr:col>5</xdr:col>
                    <xdr:colOff>982980</xdr:colOff>
                    <xdr:row>3</xdr:row>
                    <xdr:rowOff>0</xdr:rowOff>
                  </from>
                  <to>
                    <xdr:col>6</xdr:col>
                    <xdr:colOff>0</xdr:colOff>
                    <xdr:row>4</xdr:row>
                    <xdr:rowOff>30480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 id="{EF235BF0-678A-49C6-8C5A-B9A8F711387E}">
            <xm:f>IF(AND(Num_Modalities&gt;1,Setup!$I$17&lt;&gt;"Patients"),TRUE, FALSE)</xm:f>
            <x14:dxf>
              <font>
                <color theme="1"/>
              </font>
            </x14:dxf>
          </x14:cfRule>
          <xm:sqref>F2</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1200-000000000000}">
          <x14:formula1>
            <xm:f>'Control sheet (hide)'!$E$16:$E$17</xm:f>
          </x14:formula1>
          <xm:sqref>C2:D2</xm:sqref>
        </x14:dataValidation>
        <x14:dataValidation type="list" allowBlank="1" showInputMessage="1" showErrorMessage="1" xr:uid="{00000000-0002-0000-1200-000001000000}">
          <x14:formula1>
            <xm:f>IF(Setup!$I$17="Patients",'Control sheet (hide)'!$E$2,IF(Setup!$I$17="Minutes",'Control sheet (hide)'!$E$9:$E$10,'Control sheet (hide)'!$E$6:$E$7))</xm:f>
          </x14:formula1>
          <xm:sqref>C4:D4</xm:sqref>
        </x14:dataValidation>
        <x14:dataValidation type="list" allowBlank="1" showInputMessage="1" showErrorMessage="1" xr:uid="{00000000-0002-0000-1200-000002000000}">
          <x14:formula1>
            <xm:f>'Control sheet (hide)'!$AI$2:$AI$35</xm:f>
          </x14:formula1>
          <xm:sqref>C3:D3</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G29"/>
  <sheetViews>
    <sheetView showGridLines="0" showRowColHeaders="0" workbookViewId="0">
      <selection activeCell="G9" sqref="G9"/>
    </sheetView>
  </sheetViews>
  <sheetFormatPr defaultRowHeight="13.8" x14ac:dyDescent="0.25"/>
  <cols>
    <col min="1" max="1" width="32.09765625" customWidth="1"/>
    <col min="2" max="9" width="10.59765625" customWidth="1"/>
  </cols>
  <sheetData>
    <row r="1" spans="1:7" x14ac:dyDescent="0.25">
      <c r="A1" s="103" t="s">
        <v>323</v>
      </c>
      <c r="B1" s="104"/>
      <c r="C1" s="104"/>
      <c r="D1" s="104"/>
      <c r="E1" s="104"/>
      <c r="F1" s="104"/>
      <c r="G1" s="104"/>
    </row>
    <row r="3" spans="1:7" x14ac:dyDescent="0.25">
      <c r="A3" t="s">
        <v>321</v>
      </c>
    </row>
    <row r="4" spans="1:7" s="67" customFormat="1" x14ac:dyDescent="0.25">
      <c r="A4" s="214">
        <v>52</v>
      </c>
      <c r="B4"/>
    </row>
    <row r="5" spans="1:7" s="67" customFormat="1" x14ac:dyDescent="0.25"/>
    <row r="6" spans="1:7" s="67" customFormat="1" x14ac:dyDescent="0.25"/>
    <row r="7" spans="1:7" s="67" customFormat="1" x14ac:dyDescent="0.25"/>
    <row r="8" spans="1:7" x14ac:dyDescent="0.25">
      <c r="A8" s="89" t="s">
        <v>102</v>
      </c>
      <c r="B8" s="97" t="s">
        <v>75</v>
      </c>
      <c r="C8" s="97" t="s">
        <v>311</v>
      </c>
      <c r="D8" s="96"/>
      <c r="E8" s="98" t="s">
        <v>99</v>
      </c>
      <c r="F8" s="96"/>
      <c r="G8" s="99" t="s">
        <v>312</v>
      </c>
    </row>
    <row r="9" spans="1:7" x14ac:dyDescent="0.25">
      <c r="A9" s="86" t="str">
        <f>IF(Setup!C27&lt;&gt;"",Setup!C27,"Modality "&amp;ROW(A1))</f>
        <v>Modality 1</v>
      </c>
      <c r="B9" s="215"/>
      <c r="C9" s="215"/>
      <c r="E9" s="215"/>
      <c r="G9" s="215"/>
    </row>
    <row r="10" spans="1:7" hidden="1" x14ac:dyDescent="0.25">
      <c r="A10" s="86" t="str">
        <f>IF(Setup!C28&lt;&gt;"",Setup!C28,"Modality "&amp;ROW(A2))</f>
        <v>Modality 2</v>
      </c>
      <c r="B10" s="215"/>
      <c r="C10" s="215"/>
      <c r="E10" s="215"/>
      <c r="G10" s="215"/>
    </row>
    <row r="11" spans="1:7" hidden="1" x14ac:dyDescent="0.25">
      <c r="A11" s="86" t="str">
        <f>IF(Setup!C29&lt;&gt;"",Setup!C29,"Modality "&amp;ROW(A3))</f>
        <v>Modality 3</v>
      </c>
      <c r="B11" s="215"/>
      <c r="C11" s="215"/>
      <c r="E11" s="215"/>
      <c r="G11" s="215"/>
    </row>
    <row r="12" spans="1:7" hidden="1" x14ac:dyDescent="0.25">
      <c r="A12" s="86" t="str">
        <f>IF(Setup!C30&lt;&gt;"",Setup!C30,"Modality "&amp;ROW(A8))</f>
        <v>Modality 4</v>
      </c>
      <c r="B12" s="215"/>
      <c r="C12" s="215"/>
      <c r="E12" s="215"/>
      <c r="G12" s="215"/>
    </row>
    <row r="13" spans="1:7" hidden="1" x14ac:dyDescent="0.25">
      <c r="A13" s="86" t="str">
        <f>IF(Setup!C31&lt;&gt;"",Setup!C31,"Modality "&amp;ROW(A9))</f>
        <v>Modality 5</v>
      </c>
      <c r="B13" s="215"/>
      <c r="C13" s="215"/>
      <c r="E13" s="215"/>
      <c r="G13" s="215"/>
    </row>
    <row r="14" spans="1:7" hidden="1" x14ac:dyDescent="0.25">
      <c r="A14" s="86" t="str">
        <f>IF(Setup!C32&lt;&gt;"",Setup!C32,"Modality "&amp;ROW(A10))</f>
        <v>Modality 6</v>
      </c>
      <c r="B14" s="215"/>
      <c r="C14" s="215"/>
      <c r="E14" s="215"/>
      <c r="G14" s="215"/>
    </row>
    <row r="15" spans="1:7" hidden="1" x14ac:dyDescent="0.25">
      <c r="A15" s="86" t="str">
        <f>IF(Setup!C33&lt;&gt;"",Setup!C33,"Modality "&amp;ROW(A11))</f>
        <v>Modality 7</v>
      </c>
      <c r="B15" s="215"/>
      <c r="C15" s="215"/>
      <c r="E15" s="215"/>
      <c r="G15" s="215"/>
    </row>
    <row r="16" spans="1:7" hidden="1" x14ac:dyDescent="0.25">
      <c r="A16" s="86" t="str">
        <f>IF(Setup!C34&lt;&gt;"",Setup!C34,"Modality "&amp;ROW(A12))</f>
        <v>Modality 8</v>
      </c>
      <c r="B16" s="215"/>
      <c r="C16" s="215"/>
      <c r="E16" s="215"/>
      <c r="G16" s="215"/>
    </row>
    <row r="17" spans="1:7" hidden="1" x14ac:dyDescent="0.25">
      <c r="A17" s="86" t="str">
        <f>IF(Setup!C35&lt;&gt;"",Setup!C35,"Modality "&amp;ROW(A13))</f>
        <v>Modality 9</v>
      </c>
      <c r="B17" s="215"/>
      <c r="C17" s="215"/>
      <c r="E17" s="215"/>
      <c r="G17" s="215"/>
    </row>
    <row r="18" spans="1:7" hidden="1" x14ac:dyDescent="0.25">
      <c r="A18" s="86" t="str">
        <f>IF(Setup!C36&lt;&gt;"",Setup!C36,"Modality "&amp;ROW(A14))</f>
        <v>Modality 10</v>
      </c>
      <c r="B18" s="215"/>
      <c r="C18" s="215"/>
      <c r="E18" s="215"/>
      <c r="G18" s="215"/>
    </row>
    <row r="19" spans="1:7" x14ac:dyDescent="0.25">
      <c r="A19" s="67"/>
    </row>
    <row r="20" spans="1:7" s="67" customFormat="1" x14ac:dyDescent="0.25">
      <c r="B20" s="96" t="s">
        <v>19</v>
      </c>
      <c r="C20" s="96" t="str">
        <f>Setup!I17</f>
        <v>Points</v>
      </c>
    </row>
    <row r="21" spans="1:7" s="67" customFormat="1" x14ac:dyDescent="0.25">
      <c r="A21" s="67" t="s">
        <v>395</v>
      </c>
      <c r="B21" s="95">
        <f ca="1">'Parameters calculator (hide)'!B19</f>
        <v>7384</v>
      </c>
      <c r="C21" s="95">
        <f ca="1">'Parameters calculator (hide)'!B19*'Parameters calculator (hide)'!E18</f>
        <v>14768</v>
      </c>
    </row>
    <row r="22" spans="1:7" s="67" customFormat="1" x14ac:dyDescent="0.25">
      <c r="A22" s="67" t="s">
        <v>396</v>
      </c>
      <c r="B22" s="69"/>
      <c r="C22" s="69"/>
    </row>
    <row r="23" spans="1:7" s="67" customFormat="1" x14ac:dyDescent="0.25"/>
    <row r="24" spans="1:7" s="67" customFormat="1" x14ac:dyDescent="0.25"/>
    <row r="25" spans="1:7" x14ac:dyDescent="0.25">
      <c r="A25" s="88" t="str">
        <f>"Summed and translated to "&amp;Setup!$I$17</f>
        <v>Summed and translated to Points</v>
      </c>
      <c r="B25" s="69">
        <f ca="1">'Parameters calculator (hide)'!C15</f>
        <v>0</v>
      </c>
      <c r="C25" s="95">
        <f ca="1">'Parameters calculator (hide)'!E15</f>
        <v>0</v>
      </c>
      <c r="E25" s="95">
        <f ca="1">'Parameters calculator (hide)'!G15</f>
        <v>0</v>
      </c>
      <c r="G25" s="69">
        <f ca="1">'Parameters calculator (hide)'!I15</f>
        <v>0</v>
      </c>
    </row>
    <row r="26" spans="1:7" x14ac:dyDescent="0.25">
      <c r="A26" s="88" t="s">
        <v>322</v>
      </c>
      <c r="B26" s="94">
        <f ca="1">'Parameters calculator (hide)'!C16</f>
        <v>0</v>
      </c>
      <c r="C26" s="94">
        <f ca="1">'Parameters calculator (hide)'!E16</f>
        <v>0</v>
      </c>
      <c r="E26" s="94">
        <f ca="1">'Parameters calculator (hide)'!G16</f>
        <v>0</v>
      </c>
      <c r="G26" s="94">
        <f ca="1">'Parameters calculator (hide)'!I16</f>
        <v>0</v>
      </c>
    </row>
    <row r="27" spans="1:7" x14ac:dyDescent="0.25">
      <c r="A27" s="67"/>
      <c r="B27" s="67"/>
      <c r="C27" s="67"/>
      <c r="D27" s="67"/>
      <c r="E27" s="67"/>
      <c r="F27" s="67"/>
      <c r="G27" s="67"/>
    </row>
    <row r="28" spans="1:7" x14ac:dyDescent="0.25">
      <c r="A28" s="67"/>
      <c r="B28" s="67"/>
      <c r="C28" s="67"/>
      <c r="D28" s="67"/>
      <c r="E28" s="67"/>
      <c r="F28" s="67"/>
      <c r="G28" s="67"/>
    </row>
    <row r="29" spans="1:7" x14ac:dyDescent="0.25">
      <c r="A29" t="s">
        <v>397</v>
      </c>
    </row>
  </sheetData>
  <sheetProtection algorithmName="SHA-512" hashValue="45D7+kYoT7QOgm5UPw6ukZbBUqwF+9fa+9PZV4Fnayuq3QSLgzFa/l4OrBYd2DOEQ3pKJthjiQaf85xMAeijLg==" saltValue="NrARdLHqClbiRQDdtEOKAQ==" spinCount="100000" sheet="1" objects="1" scenarios="1"/>
  <pageMargins left="0.7" right="0.7" top="0.75" bottom="0.75" header="0.3" footer="0.3"/>
  <pageSetup paperSize="9" orientation="portrait" horizontalDpi="90" verticalDpi="9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0000000}">
          <x14:formula1>
            <xm:f>'Control sheet (hide)'!$AI$2:$AI$35</xm:f>
          </x14:formula1>
          <xm:sqref>A4</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dimension ref="A1:N80"/>
  <sheetViews>
    <sheetView topLeftCell="A61" workbookViewId="0">
      <selection activeCell="C68" sqref="C68"/>
    </sheetView>
  </sheetViews>
  <sheetFormatPr defaultRowHeight="13.8" x14ac:dyDescent="0.25"/>
  <cols>
    <col min="1" max="1" width="15.8984375" customWidth="1"/>
    <col min="3" max="3" width="11" bestFit="1" customWidth="1"/>
    <col min="5" max="5" width="17.19921875" customWidth="1"/>
  </cols>
  <sheetData>
    <row r="1" spans="1:9" x14ac:dyDescent="0.25">
      <c r="A1" t="s">
        <v>404</v>
      </c>
    </row>
    <row r="3" spans="1:9" x14ac:dyDescent="0.25">
      <c r="B3" t="s">
        <v>75</v>
      </c>
      <c r="D3" t="s">
        <v>98</v>
      </c>
      <c r="F3" t="s">
        <v>99</v>
      </c>
      <c r="H3" t="s">
        <v>100</v>
      </c>
    </row>
    <row r="4" spans="1:9" x14ac:dyDescent="0.25">
      <c r="A4" t="s">
        <v>102</v>
      </c>
      <c r="B4" t="s">
        <v>19</v>
      </c>
      <c r="C4" t="s">
        <v>313</v>
      </c>
      <c r="D4" s="67" t="s">
        <v>19</v>
      </c>
      <c r="E4" s="67" t="s">
        <v>313</v>
      </c>
      <c r="F4" s="67" t="s">
        <v>19</v>
      </c>
      <c r="G4" s="67" t="s">
        <v>313</v>
      </c>
      <c r="H4" s="67" t="s">
        <v>19</v>
      </c>
      <c r="I4" s="67" t="s">
        <v>313</v>
      </c>
    </row>
    <row r="5" spans="1:9" x14ac:dyDescent="0.25">
      <c r="A5">
        <v>1</v>
      </c>
      <c r="B5">
        <f>'Parameters calculator'!B9</f>
        <v>0</v>
      </c>
      <c r="C5">
        <f ca="1">B5*OFFSET('Demand background (hide)'!$N$2,0,ROW(A1)-1,1,1)</f>
        <v>0</v>
      </c>
      <c r="D5">
        <f>'Parameters calculator'!C9</f>
        <v>0</v>
      </c>
      <c r="E5" s="67">
        <f ca="1">D5*OFFSET('Demand background (hide)'!$N$2,0,ROW(E1)-1,1,1)</f>
        <v>0</v>
      </c>
      <c r="F5">
        <f>'Parameters calculator'!E9</f>
        <v>0</v>
      </c>
      <c r="G5" s="67">
        <f ca="1">F5*OFFSET('Demand background (hide)'!$N$2,0,ROW(G1)-1,1,1)</f>
        <v>0</v>
      </c>
      <c r="H5">
        <f>'Parameters calculator'!G9</f>
        <v>0</v>
      </c>
      <c r="I5" s="67">
        <f ca="1">H5*OFFSET('Demand background (hide)'!$N$2,0,ROW(I1)-1,1,1)</f>
        <v>0</v>
      </c>
    </row>
    <row r="6" spans="1:9" x14ac:dyDescent="0.25">
      <c r="A6">
        <v>2</v>
      </c>
      <c r="B6" s="67">
        <f>'Parameters calculator'!B10</f>
        <v>0</v>
      </c>
      <c r="C6" s="67">
        <f ca="1">B6*OFFSET('Demand background (hide)'!$N$2,0,ROW(A2)-1,1,1)</f>
        <v>0</v>
      </c>
      <c r="D6" s="67">
        <f>'Parameters calculator'!C10</f>
        <v>0</v>
      </c>
      <c r="E6" s="67">
        <f ca="1">D6*OFFSET('Demand background (hide)'!$N$2,0,ROW(E2)-1,1,1)</f>
        <v>0</v>
      </c>
      <c r="F6" s="67">
        <f>'Parameters calculator'!E10</f>
        <v>0</v>
      </c>
      <c r="G6" s="67">
        <f ca="1">F6*OFFSET('Demand background (hide)'!$N$2,0,ROW(G2)-1,1,1)</f>
        <v>0</v>
      </c>
      <c r="H6" s="67">
        <f>'Parameters calculator'!G10</f>
        <v>0</v>
      </c>
      <c r="I6" s="67">
        <f ca="1">H6*OFFSET('Demand background (hide)'!$N$2,0,ROW(I2)-1,1,1)</f>
        <v>0</v>
      </c>
    </row>
    <row r="7" spans="1:9" x14ac:dyDescent="0.25">
      <c r="A7">
        <v>3</v>
      </c>
      <c r="B7" s="67">
        <f>'Parameters calculator'!B11</f>
        <v>0</v>
      </c>
      <c r="C7" s="67">
        <f ca="1">B7*OFFSET('Demand background (hide)'!$N$2,0,ROW(A3)-1,1,1)</f>
        <v>0</v>
      </c>
      <c r="D7" s="67">
        <f>'Parameters calculator'!C11</f>
        <v>0</v>
      </c>
      <c r="E7" s="67">
        <f ca="1">D7*OFFSET('Demand background (hide)'!$N$2,0,ROW(E3)-1,1,1)</f>
        <v>0</v>
      </c>
      <c r="F7" s="67">
        <f>'Parameters calculator'!E11</f>
        <v>0</v>
      </c>
      <c r="G7" s="67">
        <f ca="1">F7*OFFSET('Demand background (hide)'!$N$2,0,ROW(E3)-1,1,1)</f>
        <v>0</v>
      </c>
      <c r="H7" s="67">
        <f>'Parameters calculator'!G11</f>
        <v>0</v>
      </c>
      <c r="I7" s="67">
        <f ca="1">H7*OFFSET('Demand background (hide)'!$N$2,0,ROW(G3)-1,1,1)</f>
        <v>0</v>
      </c>
    </row>
    <row r="8" spans="1:9" x14ac:dyDescent="0.25">
      <c r="A8">
        <v>4</v>
      </c>
      <c r="B8" s="67">
        <f>'Parameters calculator'!B12</f>
        <v>0</v>
      </c>
      <c r="C8" s="67">
        <f ca="1">B8*OFFSET('Demand background (hide)'!$N$2,0,ROW(A4)-1,1,1)</f>
        <v>0</v>
      </c>
      <c r="D8" s="67">
        <f>'Parameters calculator'!C12</f>
        <v>0</v>
      </c>
      <c r="E8" s="67">
        <f ca="1">D8*OFFSET('Demand background (hide)'!$N$2,0,ROW(E4)-1,1,1)</f>
        <v>0</v>
      </c>
      <c r="F8" s="67">
        <f>'Parameters calculator'!E12</f>
        <v>0</v>
      </c>
      <c r="G8" s="67">
        <f ca="1">F8*OFFSET('Demand background (hide)'!$N$2,0,ROW(E4)-1,1,1)</f>
        <v>0</v>
      </c>
      <c r="H8" s="67">
        <f>'Parameters calculator'!G12</f>
        <v>0</v>
      </c>
      <c r="I8" s="67">
        <f ca="1">H8*OFFSET('Demand background (hide)'!$N$2,0,ROW(G4)-1,1,1)</f>
        <v>0</v>
      </c>
    </row>
    <row r="9" spans="1:9" x14ac:dyDescent="0.25">
      <c r="A9">
        <v>5</v>
      </c>
      <c r="B9" s="67">
        <f>'Parameters calculator'!B13</f>
        <v>0</v>
      </c>
      <c r="C9" s="67">
        <f ca="1">B9*OFFSET('Demand background (hide)'!$N$2,0,ROW(A5)-1,1,1)</f>
        <v>0</v>
      </c>
      <c r="D9" s="67">
        <f>'Parameters calculator'!C13</f>
        <v>0</v>
      </c>
      <c r="E9" s="67">
        <f ca="1">D9*OFFSET('Demand background (hide)'!$N$2,0,ROW(E5)-1,1,1)</f>
        <v>0</v>
      </c>
      <c r="F9" s="67">
        <f>'Parameters calculator'!E13</f>
        <v>0</v>
      </c>
      <c r="G9" s="67">
        <f ca="1">F9*OFFSET('Demand background (hide)'!$N$2,0,ROW(E5)-1,1,1)</f>
        <v>0</v>
      </c>
      <c r="H9" s="67">
        <f>'Parameters calculator'!G13</f>
        <v>0</v>
      </c>
      <c r="I9" s="67">
        <f ca="1">H9*OFFSET('Demand background (hide)'!$N$2,0,ROW(G5)-1,1,1)</f>
        <v>0</v>
      </c>
    </row>
    <row r="10" spans="1:9" x14ac:dyDescent="0.25">
      <c r="A10">
        <v>6</v>
      </c>
      <c r="B10" s="67">
        <f>'Parameters calculator'!B14</f>
        <v>0</v>
      </c>
      <c r="C10" s="67">
        <f ca="1">B10*OFFSET('Demand background (hide)'!$N$2,0,ROW(A6)-1,1,1)</f>
        <v>0</v>
      </c>
      <c r="D10" s="67">
        <f>'Parameters calculator'!C14</f>
        <v>0</v>
      </c>
      <c r="E10" s="67">
        <f ca="1">D10*OFFSET('Demand background (hide)'!$N$2,0,ROW(E6)-1,1,1)</f>
        <v>0</v>
      </c>
      <c r="F10" s="67">
        <f>'Parameters calculator'!E14</f>
        <v>0</v>
      </c>
      <c r="G10" s="67">
        <f ca="1">F10*OFFSET('Demand background (hide)'!$N$2,0,ROW(E6)-1,1,1)</f>
        <v>0</v>
      </c>
      <c r="H10" s="67">
        <f>'Parameters calculator'!G14</f>
        <v>0</v>
      </c>
      <c r="I10" s="67">
        <f ca="1">H10*OFFSET('Demand background (hide)'!$N$2,0,ROW(G6)-1,1,1)</f>
        <v>0</v>
      </c>
    </row>
    <row r="11" spans="1:9" x14ac:dyDescent="0.25">
      <c r="A11">
        <v>7</v>
      </c>
      <c r="B11" s="67">
        <f>'Parameters calculator'!B15</f>
        <v>0</v>
      </c>
      <c r="C11" s="67">
        <f ca="1">B11*OFFSET('Demand background (hide)'!$N$2,0,ROW(A7)-1,1,1)</f>
        <v>0</v>
      </c>
      <c r="D11" s="67">
        <f>'Parameters calculator'!C15</f>
        <v>0</v>
      </c>
      <c r="E11" s="67">
        <f ca="1">D11*OFFSET('Demand background (hide)'!$N$2,0,ROW(E7)-1,1,1)</f>
        <v>0</v>
      </c>
      <c r="F11" s="67">
        <f>'Parameters calculator'!E15</f>
        <v>0</v>
      </c>
      <c r="G11" s="67">
        <f ca="1">F11*OFFSET('Demand background (hide)'!$N$2,0,ROW(E7)-1,1,1)</f>
        <v>0</v>
      </c>
      <c r="H11" s="67">
        <f>'Parameters calculator'!G15</f>
        <v>0</v>
      </c>
      <c r="I11" s="67">
        <f ca="1">H11*OFFSET('Demand background (hide)'!$N$2,0,ROW(G7)-1,1,1)</f>
        <v>0</v>
      </c>
    </row>
    <row r="12" spans="1:9" x14ac:dyDescent="0.25">
      <c r="A12">
        <v>8</v>
      </c>
      <c r="B12" s="67">
        <f>'Parameters calculator'!B16</f>
        <v>0</v>
      </c>
      <c r="C12" s="67">
        <f ca="1">B12*OFFSET('Demand background (hide)'!$N$2,0,ROW(A8)-1,1,1)</f>
        <v>0</v>
      </c>
      <c r="D12" s="67">
        <f>'Parameters calculator'!C16</f>
        <v>0</v>
      </c>
      <c r="E12" s="67">
        <f ca="1">D12*OFFSET('Demand background (hide)'!$N$2,0,ROW(E8)-1,1,1)</f>
        <v>0</v>
      </c>
      <c r="F12" s="67">
        <f>'Parameters calculator'!E16</f>
        <v>0</v>
      </c>
      <c r="G12" s="67">
        <f ca="1">F12*OFFSET('Demand background (hide)'!$N$2,0,ROW(E8)-1,1,1)</f>
        <v>0</v>
      </c>
      <c r="H12" s="67">
        <f>'Parameters calculator'!G16</f>
        <v>0</v>
      </c>
      <c r="I12" s="67">
        <f ca="1">H12*OFFSET('Demand background (hide)'!$N$2,0,ROW(G8)-1,1,1)</f>
        <v>0</v>
      </c>
    </row>
    <row r="13" spans="1:9" x14ac:dyDescent="0.25">
      <c r="A13">
        <v>9</v>
      </c>
      <c r="B13" s="67">
        <f>'Parameters calculator'!B17</f>
        <v>0</v>
      </c>
      <c r="C13" s="67">
        <f ca="1">B13*OFFSET('Demand background (hide)'!$N$2,0,ROW(A9)-1,1,1)</f>
        <v>0</v>
      </c>
      <c r="D13" s="67">
        <f>'Parameters calculator'!C17</f>
        <v>0</v>
      </c>
      <c r="E13" s="67">
        <f ca="1">D13*OFFSET('Demand background (hide)'!$N$2,0,ROW(E9)-1,1,1)</f>
        <v>0</v>
      </c>
      <c r="F13" s="67">
        <f>'Parameters calculator'!E17</f>
        <v>0</v>
      </c>
      <c r="G13" s="67">
        <f ca="1">F13*OFFSET('Demand background (hide)'!$N$2,0,ROW(E9)-1,1,1)</f>
        <v>0</v>
      </c>
      <c r="H13" s="67">
        <f>'Parameters calculator'!G17</f>
        <v>0</v>
      </c>
      <c r="I13" s="67">
        <f ca="1">H13*OFFSET('Demand background (hide)'!$N$2,0,ROW(G9)-1,1,1)</f>
        <v>0</v>
      </c>
    </row>
    <row r="14" spans="1:9" x14ac:dyDescent="0.25">
      <c r="A14">
        <v>10</v>
      </c>
      <c r="B14" s="67">
        <f>'Parameters calculator'!B18</f>
        <v>0</v>
      </c>
      <c r="C14" s="67">
        <f ca="1">B14*OFFSET('Demand background (hide)'!$N$2,0,ROW(A10)-1,1,1)</f>
        <v>0</v>
      </c>
      <c r="D14" s="67">
        <f>'Parameters calculator'!C18</f>
        <v>0</v>
      </c>
      <c r="E14" s="67">
        <f ca="1">D14*OFFSET('Demand background (hide)'!$N$2,0,ROW(E10)-1,1,1)</f>
        <v>0</v>
      </c>
      <c r="F14" s="67">
        <f>'Parameters calculator'!E18</f>
        <v>0</v>
      </c>
      <c r="G14" s="67">
        <f ca="1">F14*OFFSET('Demand background (hide)'!$N$2,0,ROW(E10)-1,1,1)</f>
        <v>0</v>
      </c>
      <c r="H14" s="67">
        <f>'Parameters calculator'!G18</f>
        <v>0</v>
      </c>
      <c r="I14" s="67">
        <f ca="1">H14*OFFSET('Demand background (hide)'!$N$2,0,ROW(G10)-1,1,1)</f>
        <v>0</v>
      </c>
    </row>
    <row r="15" spans="1:9" x14ac:dyDescent="0.25">
      <c r="A15" t="s">
        <v>314</v>
      </c>
      <c r="C15" s="5">
        <f ca="1">SUM(OFFSET(C$5,0,0,Num_Modalities,1))</f>
        <v>0</v>
      </c>
      <c r="D15" s="5"/>
      <c r="E15" s="5">
        <f ca="1">SUM(OFFSET(E$5,0,0,Num_Modalities,1))</f>
        <v>0</v>
      </c>
      <c r="F15" s="5"/>
      <c r="G15" s="5">
        <f ca="1">SUM(OFFSET(G$5,0,0,Num_Modalities,1))</f>
        <v>0</v>
      </c>
      <c r="H15" s="5"/>
      <c r="I15" s="5">
        <f ca="1">SUM(OFFSET(I$5,0,0,Num_Modalities,1))</f>
        <v>0</v>
      </c>
    </row>
    <row r="16" spans="1:9" x14ac:dyDescent="0.25">
      <c r="A16" t="s">
        <v>345</v>
      </c>
      <c r="C16" s="84">
        <f ca="1">C15/'Parameters calculator'!$C$21</f>
        <v>0</v>
      </c>
      <c r="E16" s="84">
        <f ca="1">E15/('Parameters calculator'!$C$21-C15)</f>
        <v>0</v>
      </c>
      <c r="G16" s="84">
        <f ca="1">G15/('Parameters calculator'!$C$21-C15)</f>
        <v>0</v>
      </c>
      <c r="I16" s="84">
        <f ca="1">IF(G15=0,0,I15/G15)</f>
        <v>0</v>
      </c>
    </row>
    <row r="17" spans="1:13" s="67" customFormat="1" x14ac:dyDescent="0.25"/>
    <row r="18" spans="1:13" s="67" customFormat="1" x14ac:dyDescent="0.25">
      <c r="A18" s="67" t="s">
        <v>147</v>
      </c>
      <c r="B18" s="67">
        <f ca="1">IF(LEFT(INDIRECT(H18),4)="Base",MAX('SPC background (hide)'!$I$5:$I$11),INDIRECT(H18))</f>
        <v>52</v>
      </c>
      <c r="D18" s="67" t="s">
        <v>212</v>
      </c>
      <c r="E18" s="5">
        <f ca="1">'Demand background (hide)'!BN16</f>
        <v>2</v>
      </c>
      <c r="G18" s="67" t="s">
        <v>394</v>
      </c>
      <c r="H18" s="51" t="s">
        <v>501</v>
      </c>
    </row>
    <row r="19" spans="1:13" x14ac:dyDescent="0.25">
      <c r="A19" t="s">
        <v>329</v>
      </c>
      <c r="B19">
        <f ca="1">'Demand background (hide)'!$BM$18*'Parameters calculator (hide)'!$B$18*IF(OR(Parameters!C4="Patients",B34=1),1/E18,1)</f>
        <v>7384</v>
      </c>
    </row>
    <row r="20" spans="1:13" x14ac:dyDescent="0.25">
      <c r="B20" t="s">
        <v>75</v>
      </c>
      <c r="C20" t="s">
        <v>336</v>
      </c>
      <c r="E20" t="s">
        <v>99</v>
      </c>
      <c r="F20" t="s">
        <v>337</v>
      </c>
      <c r="H20" t="s">
        <v>101</v>
      </c>
    </row>
    <row r="21" spans="1:13" s="67" customFormat="1" x14ac:dyDescent="0.25">
      <c r="A21" s="67" t="s">
        <v>334</v>
      </c>
      <c r="B21" s="84">
        <f>Parameters!$G$7</f>
        <v>0.05</v>
      </c>
      <c r="C21" s="84">
        <f>Parameters!$G$11</f>
        <v>1.0999999999999999E-2</v>
      </c>
      <c r="D21" s="47"/>
      <c r="E21" s="84">
        <f>Parameters!$G$21</f>
        <v>0.08</v>
      </c>
      <c r="F21" s="84">
        <f>Parameters!$I$27</f>
        <v>0.2</v>
      </c>
      <c r="G21" s="47"/>
      <c r="H21" s="84">
        <f>1-F21</f>
        <v>0.8</v>
      </c>
      <c r="M21" s="67" t="s">
        <v>393</v>
      </c>
    </row>
    <row r="22" spans="1:13" s="67" customFormat="1" x14ac:dyDescent="0.25">
      <c r="A22" s="67" t="s">
        <v>335</v>
      </c>
      <c r="B22" s="5">
        <f ca="1">Parameters!$H$7</f>
        <v>369.20000000000005</v>
      </c>
      <c r="C22" s="5">
        <f ca="1">Parameters!$H$11</f>
        <v>77.16279999999999</v>
      </c>
      <c r="E22" s="5">
        <f ca="1">Parameters!$H$21</f>
        <v>561.18399999999997</v>
      </c>
      <c r="F22" s="5">
        <f ca="1">Parameters!$J$27</f>
        <v>112.2368</v>
      </c>
      <c r="H22" s="5">
        <f ca="1">E22-F22</f>
        <v>448.94719999999995</v>
      </c>
    </row>
    <row r="23" spans="1:13" s="67" customFormat="1" x14ac:dyDescent="0.25"/>
    <row r="24" spans="1:13" x14ac:dyDescent="0.25">
      <c r="A24" s="67" t="s">
        <v>332</v>
      </c>
      <c r="B24" s="84">
        <f ca="1">IF($B$34=2,IFERROR(B22/B19,NA()),C16)</f>
        <v>0.05</v>
      </c>
      <c r="C24" s="84">
        <f ca="1">IF($B$34=2,IFERROR(C22/(B19-B22),NA()),E16)</f>
        <v>1.0999999999999998E-2</v>
      </c>
      <c r="D24" s="47"/>
      <c r="E24" s="84">
        <f ca="1">IF($B$34=2,IFERROR(E22/(B19-B22),NA()),G16)</f>
        <v>7.9999999999999988E-2</v>
      </c>
      <c r="F24" s="84">
        <f ca="1">IF($B$34=2,IF(E22=0,0,IFERROR(F22/E22,NA())),I16)</f>
        <v>0.2</v>
      </c>
      <c r="G24" s="47"/>
      <c r="H24" s="84">
        <f>IF(Parameters!$C$2="%",'Parameters calculator (hide)'!$H$21,1-F24)</f>
        <v>0.8</v>
      </c>
    </row>
    <row r="25" spans="1:13" x14ac:dyDescent="0.25">
      <c r="A25" t="s">
        <v>333</v>
      </c>
      <c r="B25" s="5">
        <f ca="1">IFERROR(B19*B21,NA())</f>
        <v>369.20000000000005</v>
      </c>
      <c r="C25" s="5">
        <f ca="1">IFERROR((B19*(1-B21)*C21),NA())</f>
        <v>77.16279999999999</v>
      </c>
      <c r="D25" s="67"/>
      <c r="E25" s="5">
        <f ca="1">IFERROR(B19*(1-B21)*E21,NA())</f>
        <v>561.18399999999997</v>
      </c>
      <c r="F25" s="5">
        <f ca="1">IFERROR(E25*F21,NA())</f>
        <v>112.2368</v>
      </c>
      <c r="G25" s="67"/>
      <c r="H25" s="5">
        <f ca="1">E25-F25</f>
        <v>448.94719999999995</v>
      </c>
    </row>
    <row r="27" spans="1:13" x14ac:dyDescent="0.25">
      <c r="A27" t="s">
        <v>340</v>
      </c>
      <c r="B27">
        <f ca="1">IF(Parameters!$C$2="Volume",B19-B22-C22+H22-E22,B19-B25-C25+H25-E25)</f>
        <v>6825.4003999999995</v>
      </c>
      <c r="M27" t="s">
        <v>315</v>
      </c>
    </row>
    <row r="28" spans="1:13" x14ac:dyDescent="0.25">
      <c r="M28" t="s">
        <v>316</v>
      </c>
    </row>
    <row r="29" spans="1:13" x14ac:dyDescent="0.25">
      <c r="A29" t="s">
        <v>342</v>
      </c>
      <c r="B29" t="s">
        <v>378</v>
      </c>
      <c r="C29" t="s">
        <v>379</v>
      </c>
      <c r="D29" t="s">
        <v>376</v>
      </c>
      <c r="E29" t="s">
        <v>377</v>
      </c>
      <c r="F29" t="s">
        <v>343</v>
      </c>
      <c r="G29" t="s">
        <v>344</v>
      </c>
      <c r="I29" t="s">
        <v>350</v>
      </c>
      <c r="J29" t="s">
        <v>349</v>
      </c>
      <c r="M29" t="s">
        <v>317</v>
      </c>
    </row>
    <row r="30" spans="1:13" x14ac:dyDescent="0.25">
      <c r="A30" t="s">
        <v>75</v>
      </c>
      <c r="B30" t="s">
        <v>380</v>
      </c>
      <c r="C30" t="s">
        <v>384</v>
      </c>
      <c r="D30" s="51" t="s">
        <v>359</v>
      </c>
      <c r="E30" s="51" t="s">
        <v>363</v>
      </c>
      <c r="F30" s="51" t="s">
        <v>359</v>
      </c>
      <c r="G30" s="51" t="s">
        <v>367</v>
      </c>
      <c r="I30" t="s">
        <v>351</v>
      </c>
      <c r="J30" t="s">
        <v>355</v>
      </c>
      <c r="M30" t="s">
        <v>318</v>
      </c>
    </row>
    <row r="31" spans="1:13" x14ac:dyDescent="0.25">
      <c r="A31" t="s">
        <v>336</v>
      </c>
      <c r="B31" t="s">
        <v>381</v>
      </c>
      <c r="C31" t="s">
        <v>385</v>
      </c>
      <c r="D31" s="51" t="s">
        <v>360</v>
      </c>
      <c r="E31" s="51" t="s">
        <v>364</v>
      </c>
      <c r="F31" s="51" t="s">
        <v>360</v>
      </c>
      <c r="G31" s="51" t="s">
        <v>368</v>
      </c>
      <c r="I31" t="s">
        <v>352</v>
      </c>
      <c r="J31" s="67" t="s">
        <v>356</v>
      </c>
      <c r="M31" t="s">
        <v>319</v>
      </c>
    </row>
    <row r="32" spans="1:13" x14ac:dyDescent="0.25">
      <c r="A32" t="s">
        <v>99</v>
      </c>
      <c r="B32" t="s">
        <v>382</v>
      </c>
      <c r="C32" t="s">
        <v>386</v>
      </c>
      <c r="D32" s="51" t="s">
        <v>361</v>
      </c>
      <c r="E32" s="51" t="s">
        <v>365</v>
      </c>
      <c r="F32" s="51" t="s">
        <v>361</v>
      </c>
      <c r="G32" s="51" t="s">
        <v>369</v>
      </c>
      <c r="I32" t="s">
        <v>353</v>
      </c>
      <c r="J32" s="67" t="s">
        <v>357</v>
      </c>
      <c r="M32" t="s">
        <v>320</v>
      </c>
    </row>
    <row r="33" spans="1:13" x14ac:dyDescent="0.25">
      <c r="A33" t="s">
        <v>337</v>
      </c>
      <c r="B33" t="s">
        <v>383</v>
      </c>
      <c r="C33" t="s">
        <v>387</v>
      </c>
      <c r="D33" s="51" t="s">
        <v>362</v>
      </c>
      <c r="E33" s="51" t="s">
        <v>366</v>
      </c>
      <c r="F33" s="51" t="s">
        <v>362</v>
      </c>
      <c r="G33" s="51" t="s">
        <v>370</v>
      </c>
      <c r="I33" t="s">
        <v>354</v>
      </c>
      <c r="J33" s="67" t="s">
        <v>358</v>
      </c>
      <c r="M33" t="s">
        <v>341</v>
      </c>
    </row>
    <row r="34" spans="1:13" x14ac:dyDescent="0.25">
      <c r="A34" t="s">
        <v>331</v>
      </c>
      <c r="B34">
        <v>2</v>
      </c>
      <c r="C34">
        <v>2</v>
      </c>
    </row>
    <row r="37" spans="1:13" x14ac:dyDescent="0.25">
      <c r="A37" s="51" t="s">
        <v>398</v>
      </c>
      <c r="B37" s="67"/>
    </row>
    <row r="38" spans="1:13" x14ac:dyDescent="0.25">
      <c r="A38" t="s">
        <v>410</v>
      </c>
    </row>
    <row r="40" spans="1:13" x14ac:dyDescent="0.25">
      <c r="E40" t="s">
        <v>507</v>
      </c>
    </row>
    <row r="41" spans="1:13" x14ac:dyDescent="0.25">
      <c r="A41" t="s">
        <v>405</v>
      </c>
      <c r="E41" t="s">
        <v>505</v>
      </c>
      <c r="G41" t="s">
        <v>502</v>
      </c>
      <c r="H41" t="s">
        <v>506</v>
      </c>
    </row>
    <row r="42" spans="1:13" x14ac:dyDescent="0.25">
      <c r="B42" t="s">
        <v>87</v>
      </c>
      <c r="E42" s="147">
        <f>Parameters!F31</f>
        <v>0</v>
      </c>
    </row>
    <row r="43" spans="1:13" x14ac:dyDescent="0.25">
      <c r="A43" t="s">
        <v>75</v>
      </c>
      <c r="B43" s="100">
        <f ca="1">IF(B34=1,C16,B24)</f>
        <v>0.05</v>
      </c>
      <c r="C43" s="147">
        <f ca="1">(1-B43)</f>
        <v>0.95</v>
      </c>
      <c r="E43" s="149"/>
      <c r="G43" s="147"/>
    </row>
    <row r="44" spans="1:13" x14ac:dyDescent="0.25">
      <c r="A44" t="s">
        <v>336</v>
      </c>
      <c r="B44" s="100">
        <f ca="1">IF(B34=1,E16,C24)</f>
        <v>1.0999999999999998E-2</v>
      </c>
      <c r="C44" s="147">
        <f ca="1">B44</f>
        <v>1.0999999999999998E-2</v>
      </c>
      <c r="E44" s="147" t="s">
        <v>508</v>
      </c>
      <c r="G44" s="147"/>
      <c r="H44" s="67"/>
    </row>
    <row r="45" spans="1:13" x14ac:dyDescent="0.25">
      <c r="A45" t="s">
        <v>99</v>
      </c>
      <c r="B45" s="100">
        <f ca="1">IF(B34=1,G16,E24)</f>
        <v>7.9999999999999988E-2</v>
      </c>
      <c r="C45" s="147"/>
      <c r="E45" s="147" t="str">
        <f>IF(E42&gt;0,E42/(1-C44-(B45*B46))/C43,"")</f>
        <v/>
      </c>
      <c r="G45" s="147"/>
      <c r="H45" s="67"/>
    </row>
    <row r="46" spans="1:13" x14ac:dyDescent="0.25">
      <c r="A46" t="s">
        <v>337</v>
      </c>
      <c r="B46" s="100">
        <f ca="1">IF(B34=1,I16,F24)</f>
        <v>0.2</v>
      </c>
      <c r="C46" s="147">
        <f ca="1">B46*B45</f>
        <v>1.5999999999999997E-2</v>
      </c>
      <c r="E46" s="147"/>
      <c r="G46" s="147"/>
      <c r="H46" s="67"/>
    </row>
    <row r="47" spans="1:13" x14ac:dyDescent="0.25">
      <c r="A47" t="s">
        <v>406</v>
      </c>
      <c r="B47" s="100">
        <f ca="1">IF(B34=1,1-I16,1-F24)</f>
        <v>0.8</v>
      </c>
      <c r="C47" s="147">
        <f ca="1">B47*B45</f>
        <v>6.3999999999999987E-2</v>
      </c>
      <c r="D47" s="36"/>
      <c r="E47" s="147"/>
      <c r="F47" s="147"/>
      <c r="G47" s="147"/>
      <c r="H47" s="67"/>
    </row>
    <row r="51" spans="1:14" x14ac:dyDescent="0.25">
      <c r="A51" t="s">
        <v>407</v>
      </c>
      <c r="E51" t="s">
        <v>877</v>
      </c>
      <c r="F51" t="s">
        <v>413</v>
      </c>
      <c r="L51" t="s">
        <v>420</v>
      </c>
    </row>
    <row r="53" spans="1:14" x14ac:dyDescent="0.25">
      <c r="A53" t="s">
        <v>408</v>
      </c>
      <c r="B53" t="s">
        <v>148</v>
      </c>
      <c r="C53" t="s">
        <v>149</v>
      </c>
      <c r="D53" t="s">
        <v>883</v>
      </c>
      <c r="F53" t="s">
        <v>414</v>
      </c>
      <c r="G53" t="s">
        <v>423</v>
      </c>
      <c r="L53" t="s">
        <v>148</v>
      </c>
      <c r="M53" t="s">
        <v>149</v>
      </c>
    </row>
    <row r="54" spans="1:14" s="67" customFormat="1" x14ac:dyDescent="0.25">
      <c r="A54"/>
      <c r="B54"/>
      <c r="C54"/>
      <c r="E54" s="5"/>
      <c r="F54" s="5"/>
    </row>
    <row r="55" spans="1:14" s="67" customFormat="1" x14ac:dyDescent="0.25">
      <c r="A55" s="67" t="str">
        <f>Setup!B24</f>
        <v>Routine</v>
      </c>
      <c r="B55" s="67">
        <f>Pathway!B8/IF(Pathway!$E8="Weeks",1,7)</f>
        <v>2</v>
      </c>
      <c r="C55" s="67">
        <f>Pathway!C8/IF(Pathway!$E8="Weeks",1,7)</f>
        <v>6</v>
      </c>
      <c r="D55" s="67">
        <f>Pathway!D8/IF(Pathway!$E8="Weeks",1,7)</f>
        <v>0</v>
      </c>
      <c r="E55" s="67">
        <f ca="1">IF(AND(Pathway!$H$5="Override",Pathway!$I$6=""),Pathway!H8,Pathway!G8)</f>
        <v>1</v>
      </c>
      <c r="F55" s="5">
        <f ca="1">('Demand background (hide)'!$BM$18*E55*(B55+((C55-B55)/2)))</f>
        <v>568</v>
      </c>
      <c r="G55" s="67">
        <f ca="1">$C$47*E55*D55*'Demand background (hide)'!$BM$18</f>
        <v>0</v>
      </c>
      <c r="L55" s="67">
        <f t="shared" ref="L55:L57" si="0">B55</f>
        <v>2</v>
      </c>
      <c r="M55" s="67">
        <f t="shared" ref="M55:M57" si="1">C55-B55</f>
        <v>4</v>
      </c>
      <c r="N55" s="67">
        <f>D55</f>
        <v>0</v>
      </c>
    </row>
    <row r="56" spans="1:14" s="67" customFormat="1" x14ac:dyDescent="0.25">
      <c r="A56" s="67" t="str">
        <f>Setup!B23</f>
        <v>Urgent</v>
      </c>
      <c r="B56" s="67">
        <f>Pathway!B7/IF(Pathway!$E7="Weeks",1,7)</f>
        <v>1</v>
      </c>
      <c r="C56" s="67">
        <f>Pathway!C7/IF(Pathway!$E7="Weeks",1,7)</f>
        <v>3</v>
      </c>
      <c r="D56" s="67">
        <f>Pathway!D7/IF(Pathway!$E7="Weeks",1,7)</f>
        <v>0</v>
      </c>
      <c r="E56" s="67">
        <f ca="1">IF(AND(Pathway!$H$5="Override",Pathway!$I$6=""),Pathway!H7,Pathway!G7)</f>
        <v>0</v>
      </c>
      <c r="F56" s="5">
        <f ca="1">('Demand background (hide)'!$BM$18*E56*(B56+((C56-B56)/2)))</f>
        <v>0</v>
      </c>
      <c r="G56" s="67">
        <f ca="1">$C$47*E56*D56* 'Demand background (hide)'!$BM$18</f>
        <v>0</v>
      </c>
      <c r="L56" s="67">
        <f t="shared" si="0"/>
        <v>1</v>
      </c>
      <c r="M56" s="67">
        <f t="shared" si="1"/>
        <v>2</v>
      </c>
      <c r="N56" s="67">
        <f t="shared" ref="N56:N57" si="2">D56</f>
        <v>0</v>
      </c>
    </row>
    <row r="57" spans="1:14" x14ac:dyDescent="0.25">
      <c r="A57" t="str">
        <f>Setup!B22</f>
        <v>2WW</v>
      </c>
      <c r="B57">
        <f>Pathway!B6/IF(Pathway!$E6="Weeks",1,7)</f>
        <v>0</v>
      </c>
      <c r="C57" s="67">
        <f>Pathway!C6/IF(Pathway!$E6="Weeks",1,7)</f>
        <v>1.4285714285714286</v>
      </c>
      <c r="D57" s="67">
        <f>Pathway!D6/IF(Pathway!$E6="Weeks",1,7)</f>
        <v>0</v>
      </c>
      <c r="E57" s="67">
        <f ca="1">IF(AND(Pathway!$H$5="Override",Pathway!$I$6=""),Pathway!H6,Pathway!G6)</f>
        <v>0</v>
      </c>
      <c r="F57" s="5">
        <f ca="1">('Demand background (hide)'!$BM$18*E57*(B57+((C57-B57)/2)))</f>
        <v>0</v>
      </c>
      <c r="G57" s="67">
        <f ca="1">$C$47*E57*D57*'Demand background (hide)'!$BM$18</f>
        <v>0</v>
      </c>
      <c r="L57" s="67">
        <f t="shared" si="0"/>
        <v>0</v>
      </c>
      <c r="M57" s="67">
        <f t="shared" si="1"/>
        <v>1.4285714285714286</v>
      </c>
      <c r="N57" s="67">
        <f t="shared" si="2"/>
        <v>0</v>
      </c>
    </row>
    <row r="61" spans="1:14" x14ac:dyDescent="0.25">
      <c r="F61" s="5"/>
      <c r="H61" t="s">
        <v>165</v>
      </c>
      <c r="I61" t="s">
        <v>166</v>
      </c>
    </row>
    <row r="62" spans="1:14" x14ac:dyDescent="0.25">
      <c r="A62" t="s">
        <v>415</v>
      </c>
      <c r="F62" s="5">
        <f ca="1">SUM(F55:G57)</f>
        <v>568</v>
      </c>
      <c r="H62" s="5">
        <f ca="1">F62*0.95</f>
        <v>539.6</v>
      </c>
      <c r="I62" s="5">
        <f ca="1">F62*1.05</f>
        <v>596.4</v>
      </c>
    </row>
    <row r="63" spans="1:14" x14ac:dyDescent="0.25">
      <c r="A63" t="s">
        <v>416</v>
      </c>
      <c r="F63" s="5">
        <f ca="1">F62/E18</f>
        <v>284</v>
      </c>
      <c r="H63" s="5">
        <f ca="1">F63*0.95</f>
        <v>269.8</v>
      </c>
      <c r="I63" s="5">
        <f ca="1">F63*1.05</f>
        <v>298.2</v>
      </c>
    </row>
    <row r="65" spans="1:10" x14ac:dyDescent="0.25">
      <c r="G65" t="str">
        <f>"Waiting list position ("&amp;LOWER(Summary!$C$8)&amp;")"</f>
        <v>Waiting list position (patients)</v>
      </c>
    </row>
    <row r="66" spans="1:10" x14ac:dyDescent="0.25">
      <c r="A66" t="s">
        <v>417</v>
      </c>
      <c r="G66" t="s">
        <v>430</v>
      </c>
      <c r="H66" s="5">
        <f ca="1">IF(Summary!$C$8&lt;&gt;"Patients",H62,H63)</f>
        <v>269.8</v>
      </c>
      <c r="I66" s="5">
        <f ca="1">IF(Summary!$C$8&lt;&gt;"Patients",I62,I63)</f>
        <v>298.2</v>
      </c>
      <c r="J66" s="5">
        <f ca="1">I66-H66</f>
        <v>28.399999999999977</v>
      </c>
    </row>
    <row r="67" spans="1:10" x14ac:dyDescent="0.25">
      <c r="B67" t="s">
        <v>429</v>
      </c>
      <c r="C67" t="s">
        <v>313</v>
      </c>
      <c r="G67" t="s">
        <v>431</v>
      </c>
      <c r="H67" s="5">
        <f ca="1">IF(Summary!$C$8&lt;&gt;"Patients",C79,B79)</f>
        <v>76</v>
      </c>
    </row>
    <row r="68" spans="1:10" x14ac:dyDescent="0.25">
      <c r="A68" t="str">
        <f>Setup!C27</f>
        <v>Modality 1</v>
      </c>
      <c r="B68" s="5">
        <f>IF(ROW(A1)&lt;=Num_Modalities,Setup!G27,0)</f>
        <v>76</v>
      </c>
      <c r="C68" s="5">
        <f ca="1">Setup!G27*'Demand background (hide)'!BN6</f>
        <v>152</v>
      </c>
      <c r="D68" s="67"/>
      <c r="I68" s="5"/>
    </row>
    <row r="69" spans="1:10" x14ac:dyDescent="0.25">
      <c r="A69" s="67" t="str">
        <f>Setup!C28</f>
        <v>Modality 2</v>
      </c>
      <c r="B69" s="5">
        <f>IF(ROW(A2)&lt;=Num_Modalities,Setup!G28,0)</f>
        <v>0</v>
      </c>
      <c r="C69" s="5">
        <f ca="1">Setup!G28*'Demand background (hide)'!BN7</f>
        <v>0</v>
      </c>
      <c r="D69" s="67"/>
      <c r="G69" t="s">
        <v>307</v>
      </c>
      <c r="H69">
        <f ca="1">IF(AND(H66&gt;H67,I66&gt;H67),0,IF(H66&lt;I66,"0",TEXT(MAX(0,H67-I66),"#,#"))&amp;" - "&amp;TEXT(H67-H66,"#,#"))</f>
        <v>0</v>
      </c>
    </row>
    <row r="70" spans="1:10" x14ac:dyDescent="0.25">
      <c r="A70" s="67" t="str">
        <f>Setup!C29</f>
        <v>Modality 3</v>
      </c>
      <c r="B70" s="5">
        <f>IF(ROW(A3)&lt;=Num_Modalities,Setup!G29,0)</f>
        <v>0</v>
      </c>
      <c r="C70" s="5">
        <f ca="1">Setup!G29*'Demand background (hide)'!BN8</f>
        <v>0</v>
      </c>
      <c r="D70" s="67"/>
    </row>
    <row r="71" spans="1:10" x14ac:dyDescent="0.25">
      <c r="A71" s="67" t="str">
        <f>Setup!C30</f>
        <v>Modality 4</v>
      </c>
      <c r="B71" s="5">
        <f>IF(ROW(A4)&lt;=Num_Modalities,Setup!G30,0)</f>
        <v>0</v>
      </c>
      <c r="C71" s="5">
        <f ca="1">B71*'Demand background (hide)'!BN9</f>
        <v>0</v>
      </c>
      <c r="D71" s="67"/>
      <c r="H71" s="5">
        <f ca="1">H67-H66</f>
        <v>-193.8</v>
      </c>
      <c r="I71" s="5">
        <f ca="1">H67-I66</f>
        <v>-222.2</v>
      </c>
    </row>
    <row r="72" spans="1:10" x14ac:dyDescent="0.25">
      <c r="A72" s="67" t="str">
        <f>Setup!C31</f>
        <v>Modality 5</v>
      </c>
      <c r="B72" s="5">
        <f>IF(ROW(A5)&lt;=Num_Modalities,Setup!G31,0)</f>
        <v>0</v>
      </c>
      <c r="C72" s="5">
        <f ca="1">B72*'Demand background (hide)'!BN10</f>
        <v>0</v>
      </c>
      <c r="D72" s="67"/>
    </row>
    <row r="73" spans="1:10" x14ac:dyDescent="0.25">
      <c r="A73" s="67" t="str">
        <f>Setup!C32</f>
        <v>Modality 6</v>
      </c>
      <c r="B73" s="5">
        <f>IF(ROW(A6)&lt;=Num_Modalities,Setup!G32,0)</f>
        <v>0</v>
      </c>
      <c r="C73" s="5">
        <f ca="1">B73*'Demand background (hide)'!BN11</f>
        <v>0</v>
      </c>
      <c r="D73" s="67"/>
    </row>
    <row r="74" spans="1:10" x14ac:dyDescent="0.25">
      <c r="A74" s="67" t="str">
        <f>Setup!C33</f>
        <v>Modality 7</v>
      </c>
      <c r="B74" s="5">
        <f>IF(ROW(A7)&lt;=Num_Modalities,Setup!G33,0)</f>
        <v>0</v>
      </c>
      <c r="C74" s="5">
        <f ca="1">B74*'Demand background (hide)'!BN12</f>
        <v>0</v>
      </c>
      <c r="D74" s="67"/>
    </row>
    <row r="75" spans="1:10" x14ac:dyDescent="0.25">
      <c r="A75" s="67" t="str">
        <f>Setup!C34</f>
        <v>Modality 8</v>
      </c>
      <c r="B75" s="5">
        <f>IF(ROW(A8)&lt;=Num_Modalities,Setup!G34,0)</f>
        <v>0</v>
      </c>
      <c r="C75" s="5">
        <f ca="1">B75*'Demand background (hide)'!BN13</f>
        <v>0</v>
      </c>
      <c r="D75" s="67"/>
    </row>
    <row r="76" spans="1:10" x14ac:dyDescent="0.25">
      <c r="A76" s="67" t="str">
        <f>Setup!C35</f>
        <v>Modality 9</v>
      </c>
      <c r="B76" s="5">
        <f>IF(ROW(A9)&lt;=Num_Modalities,Setup!G35,0)</f>
        <v>0</v>
      </c>
      <c r="C76" s="5">
        <f ca="1">B76*'Demand background (hide)'!BN14</f>
        <v>0</v>
      </c>
      <c r="D76" s="67"/>
    </row>
    <row r="77" spans="1:10" x14ac:dyDescent="0.25">
      <c r="A77" s="67" t="str">
        <f>Setup!C36</f>
        <v>Modality 10</v>
      </c>
      <c r="B77" s="5">
        <f>IF(ROW(A10)&lt;=Num_Modalities,Setup!G36,0)</f>
        <v>0</v>
      </c>
      <c r="C77" s="5">
        <f ca="1">B77*'Demand background (hide)'!BN15</f>
        <v>0</v>
      </c>
      <c r="D77" s="67"/>
    </row>
    <row r="78" spans="1:10" x14ac:dyDescent="0.25">
      <c r="A78" s="67"/>
    </row>
    <row r="79" spans="1:10" x14ac:dyDescent="0.25">
      <c r="A79" s="67" t="s">
        <v>57</v>
      </c>
      <c r="B79" s="5">
        <f ca="1">SUM(OFFSET($B$68,0,0,Num_Modalities,1))</f>
        <v>76</v>
      </c>
      <c r="C79" s="5">
        <f ca="1">SUM(OFFSET($C$68,0,0,Num_Modalities,1))</f>
        <v>152</v>
      </c>
    </row>
    <row r="80" spans="1:10" x14ac:dyDescent="0.25">
      <c r="A80" s="67"/>
    </row>
  </sheetData>
  <pageMargins left="0.7" right="0.7" top="0.75" bottom="0.75" header="0.3" footer="0.3"/>
  <pageSetup paperSize="9" orientation="portrait" horizontalDpi="90" verticalDpi="90" r:id="rId1"/>
  <legacy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dimension ref="A3:M10"/>
  <sheetViews>
    <sheetView showGridLines="0" showRowColHeaders="0" workbookViewId="0">
      <selection activeCell="I31" sqref="I31"/>
    </sheetView>
  </sheetViews>
  <sheetFormatPr defaultRowHeight="13.8" x14ac:dyDescent="0.25"/>
  <cols>
    <col min="4" max="4" width="13.8984375" customWidth="1"/>
    <col min="8" max="8" width="11.59765625" bestFit="1" customWidth="1"/>
  </cols>
  <sheetData>
    <row r="3" spans="1:13" x14ac:dyDescent="0.25">
      <c r="A3" s="240" t="s">
        <v>407</v>
      </c>
      <c r="B3" s="239"/>
      <c r="C3" s="102"/>
      <c r="D3" s="102"/>
      <c r="E3" s="102"/>
      <c r="F3" s="102"/>
      <c r="G3" s="102"/>
      <c r="H3" s="102"/>
      <c r="I3" s="102"/>
      <c r="J3" s="102"/>
      <c r="K3" s="102"/>
      <c r="L3" s="102"/>
      <c r="M3" s="102"/>
    </row>
    <row r="4" spans="1:13" x14ac:dyDescent="0.25">
      <c r="F4" s="82"/>
    </row>
    <row r="5" spans="1:13" ht="27.6" x14ac:dyDescent="0.25">
      <c r="A5" s="232" t="s">
        <v>408</v>
      </c>
      <c r="B5" s="236" t="s">
        <v>148</v>
      </c>
      <c r="C5" s="237" t="s">
        <v>403</v>
      </c>
      <c r="D5" s="279" t="s">
        <v>882</v>
      </c>
      <c r="E5" s="280" t="s">
        <v>14</v>
      </c>
      <c r="F5" s="148"/>
      <c r="G5" s="238" t="s">
        <v>504</v>
      </c>
      <c r="H5" s="266" t="s">
        <v>875</v>
      </c>
      <c r="J5" s="67"/>
    </row>
    <row r="6" spans="1:13" x14ac:dyDescent="0.25">
      <c r="A6" s="233" t="str">
        <f>Setup!B22</f>
        <v>2WW</v>
      </c>
      <c r="B6" s="155">
        <v>0</v>
      </c>
      <c r="C6" s="155">
        <v>10</v>
      </c>
      <c r="D6" s="278"/>
      <c r="E6" s="161" t="s">
        <v>401</v>
      </c>
      <c r="G6" s="228">
        <f ca="1">IFERROR('Demand background (hide)'!BJ20,"")</f>
        <v>0</v>
      </c>
      <c r="H6" s="230"/>
      <c r="I6" s="229" t="str">
        <f>IF(AND(H5="Override",SUM(H6:H8)&lt;&gt;1),"Total values must equal 100%, defaulting to calculated value","")</f>
        <v/>
      </c>
      <c r="J6" s="67"/>
    </row>
    <row r="7" spans="1:13" x14ac:dyDescent="0.25">
      <c r="A7" s="234" t="str">
        <f>Setup!B23</f>
        <v>Urgent</v>
      </c>
      <c r="B7" s="155">
        <v>1</v>
      </c>
      <c r="C7" s="155">
        <v>3</v>
      </c>
      <c r="D7" s="278"/>
      <c r="E7" s="161" t="s">
        <v>402</v>
      </c>
      <c r="G7" s="228">
        <f ca="1">IFERROR('Demand background (hide)'!BK20,"")</f>
        <v>0</v>
      </c>
      <c r="H7" s="231"/>
      <c r="J7" s="67"/>
    </row>
    <row r="8" spans="1:13" x14ac:dyDescent="0.25">
      <c r="A8" s="235" t="str">
        <f>Setup!B24</f>
        <v>Routine</v>
      </c>
      <c r="B8" s="155">
        <v>2</v>
      </c>
      <c r="C8" s="155">
        <v>6</v>
      </c>
      <c r="D8" s="278"/>
      <c r="E8" s="161" t="s">
        <v>402</v>
      </c>
      <c r="G8" s="228">
        <f ca="1">IFERROR('Demand background (hide)'!BL20,"")</f>
        <v>1</v>
      </c>
      <c r="H8" s="231"/>
      <c r="J8" s="67"/>
    </row>
    <row r="10" spans="1:13" x14ac:dyDescent="0.25">
      <c r="E10" s="67"/>
      <c r="F10" s="67"/>
    </row>
  </sheetData>
  <sheetProtection algorithmName="SHA-512" hashValue="2MnmTK7HTKocGDs/divju0wRlVKRWYPm83c9wcpHXXt+dAM2XZluoOYN3qk9LC+KoCugETALuE8M3TVqZuN6YA==" saltValue="3LIhhPCrJrqBbexvpalijQ==" spinCount="100000" sheet="1" objects="1" scenarios="1"/>
  <conditionalFormatting sqref="H6:H8">
    <cfRule type="expression" dxfId="6" priority="1">
      <formula>IF(AND($H$5="Override",$I$6=""),TRUE,FALSE)</formula>
    </cfRule>
  </conditionalFormatting>
  <dataValidations count="2">
    <dataValidation type="decimal" allowBlank="1" showInputMessage="1" showErrorMessage="1" sqref="B6:C8" xr:uid="{00000000-0002-0000-1500-000000000000}">
      <formula1>0</formula1>
      <formula2>99</formula2>
    </dataValidation>
    <dataValidation type="decimal" allowBlank="1" showInputMessage="1" showErrorMessage="1" sqref="H6:H8" xr:uid="{00000000-0002-0000-1500-000001000000}">
      <formula1>0</formula1>
      <formula2>1</formula2>
    </dataValidation>
  </dataValidations>
  <pageMargins left="0.7" right="0.7" top="0.75" bottom="0.75" header="0.3" footer="0.3"/>
  <pageSetup paperSize="9" orientation="portrait" horizontalDpi="90" verticalDpi="90" r:id="rId1"/>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500-000002000000}">
          <x14:formula1>
            <xm:f>'Control sheet (hide)'!$E$19:$E$20</xm:f>
          </x14:formula1>
          <xm:sqref>E6:E8</xm:sqref>
        </x14:dataValidation>
        <x14:dataValidation type="list" allowBlank="1" showInputMessage="1" showErrorMessage="1" xr:uid="{00000000-0002-0000-1500-000003000000}">
          <x14:formula1>
            <xm:f>'Control sheet (hide)'!$H$13:$H$14</xm:f>
          </x14:formula1>
          <xm:sqref>H5</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dimension ref="A1:U61"/>
  <sheetViews>
    <sheetView showGridLines="0" showRowColHeaders="0" zoomScale="102" zoomScaleNormal="100" workbookViewId="0">
      <selection activeCell="B15" sqref="B15"/>
    </sheetView>
  </sheetViews>
  <sheetFormatPr defaultRowHeight="13.8" x14ac:dyDescent="0.25"/>
  <cols>
    <col min="1" max="1" width="1.19921875" style="67" customWidth="1"/>
    <col min="2" max="2" width="12.3984375" customWidth="1"/>
    <col min="3" max="3" width="13.5" customWidth="1"/>
    <col min="4" max="5" width="10.5" customWidth="1"/>
    <col min="6" max="6" width="8.69921875" bestFit="1" customWidth="1"/>
    <col min="7" max="17" width="7.69921875" customWidth="1"/>
    <col min="18" max="20" width="9" customWidth="1"/>
    <col min="59" max="59" width="9" customWidth="1"/>
  </cols>
  <sheetData>
    <row r="1" spans="2:21" x14ac:dyDescent="0.25">
      <c r="B1" s="146" t="s">
        <v>249</v>
      </c>
      <c r="C1" s="31"/>
      <c r="D1" s="31"/>
      <c r="E1" s="31"/>
      <c r="F1" s="31"/>
      <c r="G1" s="31"/>
      <c r="H1" s="31"/>
      <c r="I1" s="31"/>
      <c r="J1" s="31"/>
      <c r="K1" s="31"/>
      <c r="L1" s="31"/>
      <c r="M1" s="31"/>
      <c r="N1" s="31"/>
      <c r="O1" s="31"/>
      <c r="P1" s="31"/>
      <c r="Q1" s="31"/>
      <c r="R1" s="31"/>
      <c r="S1" s="31"/>
      <c r="T1" s="31"/>
      <c r="U1" s="31"/>
    </row>
    <row r="4" spans="2:21" x14ac:dyDescent="0.25">
      <c r="B4" s="452" t="s">
        <v>884</v>
      </c>
      <c r="C4" s="452"/>
      <c r="D4" s="452"/>
      <c r="E4" s="452"/>
    </row>
    <row r="6" spans="2:21" x14ac:dyDescent="0.25">
      <c r="B6" s="2" t="s">
        <v>304</v>
      </c>
    </row>
    <row r="7" spans="2:21" x14ac:dyDescent="0.25">
      <c r="B7" t="s">
        <v>489</v>
      </c>
      <c r="C7" s="154" t="s">
        <v>421</v>
      </c>
    </row>
    <row r="8" spans="2:21" x14ac:dyDescent="0.25">
      <c r="B8" t="s">
        <v>490</v>
      </c>
      <c r="C8" s="154" t="s">
        <v>19</v>
      </c>
    </row>
    <row r="12" spans="2:21" x14ac:dyDescent="0.25">
      <c r="B12" s="329" t="s">
        <v>426</v>
      </c>
      <c r="C12" s="67"/>
    </row>
    <row r="13" spans="2:21" x14ac:dyDescent="0.25">
      <c r="B13" s="345">
        <f>Capacity!C3</f>
        <v>43934</v>
      </c>
    </row>
    <row r="17" spans="2:16" s="82" customFormat="1" x14ac:dyDescent="0.25">
      <c r="B17" s="333" t="s">
        <v>949</v>
      </c>
    </row>
    <row r="18" spans="2:16" x14ac:dyDescent="0.25">
      <c r="B18" s="334" t="s">
        <v>22</v>
      </c>
    </row>
    <row r="23" spans="2:16" x14ac:dyDescent="0.25">
      <c r="B23" s="2" t="s">
        <v>493</v>
      </c>
    </row>
    <row r="24" spans="2:16" x14ac:dyDescent="0.25">
      <c r="B24" s="162" t="s">
        <v>20</v>
      </c>
      <c r="D24" s="447" t="str">
        <f ca="1">"On aggregate, 1 patient = "&amp;TEXT('Demand background (hide)'!$BN$16,"#.#")&amp;" "&amp;Setup!$I$17</f>
        <v>On aggregate, 1 patient = 2. Points</v>
      </c>
      <c r="E24" s="447"/>
      <c r="F24" s="447"/>
      <c r="G24" s="447"/>
      <c r="H24" s="447"/>
      <c r="I24" s="447"/>
      <c r="J24" s="447"/>
      <c r="K24" s="447"/>
      <c r="P24" s="171" t="s">
        <v>500</v>
      </c>
    </row>
    <row r="26" spans="2:16" s="67" customFormat="1" x14ac:dyDescent="0.25"/>
    <row r="27" spans="2:16" s="67" customFormat="1" x14ac:dyDescent="0.25">
      <c r="B27" s="453" t="s">
        <v>302</v>
      </c>
      <c r="C27" s="453"/>
      <c r="D27" s="281" t="s">
        <v>497</v>
      </c>
      <c r="E27" s="281" t="s">
        <v>128</v>
      </c>
    </row>
    <row r="28" spans="2:16" s="67" customFormat="1" x14ac:dyDescent="0.25">
      <c r="B28" s="454" t="s">
        <v>1239</v>
      </c>
      <c r="C28" s="454"/>
      <c r="D28" s="276">
        <f ca="1">IFERROR('Summary Calculations (hide)'!N70,"")</f>
        <v>70.250050613207534</v>
      </c>
      <c r="E28" s="277" t="s">
        <v>499</v>
      </c>
      <c r="G28" s="229" t="str">
        <f ca="1">IF(D28&lt;&gt;"",IF(SUM(D32:D33)&lt;D28,"You need an additional "&amp;CEILING((D28-SUM(D32:D33)),1)&amp;IF($C$8="Patients"," slots",IF($C$8="Minutes"," minutes"," points"))&amp;" to meet the 85th percentile of demand. It may be advisable to review your capacity if you have an urgent, or very variable service.",""),"")</f>
        <v/>
      </c>
    </row>
    <row r="29" spans="2:16" s="67" customFormat="1" x14ac:dyDescent="0.25">
      <c r="B29" s="454" t="s">
        <v>1240</v>
      </c>
      <c r="C29" s="454"/>
      <c r="D29" s="276">
        <f ca="1">IFERROR('Summary Calculations (hide)'!M70,"")</f>
        <v>64.097898113207549</v>
      </c>
      <c r="E29" s="277" t="s">
        <v>499</v>
      </c>
      <c r="G29" s="275" t="str">
        <f ca="1">IF(D29&lt;&gt;"",IF(SUM(D32:D33)&lt;D29,"You need an additional "&amp;CEILING((D29-SUM(D32:D33)),1)&amp;IF($C$8="Patients"," slots",IF($C$8="Minutes"," minutes"," points"))&amp;" to meet the "&amp;Setup!$I$19&amp;"th percentile of demand. Your waiting list size is likely to increase over time.",""),"")</f>
        <v/>
      </c>
    </row>
    <row r="30" spans="2:16" s="67" customFormat="1" x14ac:dyDescent="0.25">
      <c r="B30" s="455" t="s">
        <v>503</v>
      </c>
      <c r="C30" s="456"/>
      <c r="D30" s="375">
        <f ca="1">IFERROR('Summary Calculations (hide)'!X70,"")</f>
        <v>71.024849999999901</v>
      </c>
      <c r="E30" s="375">
        <f ca="1">IFERROR('Summary Calculations (hide)'!X71,"")</f>
        <v>3764.3170499999951</v>
      </c>
    </row>
    <row r="31" spans="2:16" s="67" customFormat="1" x14ac:dyDescent="0.25">
      <c r="B31" s="145" t="s">
        <v>303</v>
      </c>
      <c r="C31" s="143"/>
    </row>
    <row r="32" spans="2:16" s="67" customFormat="1" x14ac:dyDescent="0.25">
      <c r="B32" s="457" t="s">
        <v>495</v>
      </c>
      <c r="C32" s="458"/>
      <c r="D32" s="276">
        <f ca="1">IFERROR('Summary Calculations (hide)'!R70,"")</f>
        <v>74.557329462989898</v>
      </c>
      <c r="E32" s="276">
        <f ca="1">IFERROR('Summary Calculations (hide)'!R71,"")</f>
        <v>3951.5384615384646</v>
      </c>
      <c r="H32" s="5"/>
    </row>
    <row r="33" spans="2:21" s="67" customFormat="1" x14ac:dyDescent="0.25">
      <c r="B33" s="457" t="s">
        <v>496</v>
      </c>
      <c r="C33" s="458"/>
      <c r="D33" s="276">
        <f ca="1">IFERROR('Summary Calculations (hide)'!S70,"")</f>
        <v>0.94339622641509435</v>
      </c>
      <c r="E33" s="276">
        <f ca="1">IFERROR('Summary Calculations (hide)'!S71,"")</f>
        <v>50</v>
      </c>
    </row>
    <row r="34" spans="2:21" s="67" customFormat="1" x14ac:dyDescent="0.25">
      <c r="B34" s="145" t="s">
        <v>932</v>
      </c>
    </row>
    <row r="35" spans="2:21" s="67" customFormat="1" x14ac:dyDescent="0.25">
      <c r="B35" s="457" t="s">
        <v>931</v>
      </c>
      <c r="C35" s="458"/>
      <c r="D35" s="276">
        <f>IFERROR('Summary Calculations (hide)'!V70,"")</f>
        <v>0</v>
      </c>
      <c r="E35" s="276">
        <f>IFERROR('Summary Calculations (hide)'!V71,"")</f>
        <v>0</v>
      </c>
    </row>
    <row r="37" spans="2:21" x14ac:dyDescent="0.25">
      <c r="B37" s="31"/>
      <c r="C37" s="31"/>
      <c r="D37" s="31"/>
      <c r="E37" s="31"/>
      <c r="F37" s="31"/>
      <c r="G37" s="31"/>
      <c r="H37" s="31"/>
      <c r="I37" s="31"/>
      <c r="J37" s="31"/>
      <c r="K37" s="31"/>
      <c r="L37" s="31"/>
      <c r="M37" s="31"/>
      <c r="N37" s="31"/>
      <c r="O37" s="31"/>
      <c r="P37" s="31"/>
      <c r="Q37" s="31"/>
      <c r="R37" s="31"/>
      <c r="S37" s="31"/>
      <c r="T37" s="31"/>
      <c r="U37" s="31"/>
    </row>
    <row r="38" spans="2:21" x14ac:dyDescent="0.25">
      <c r="B38" s="452" t="str">
        <f>"Current waiting list vs Estimated sustainable waiting list ("&amp;C8&amp;")"</f>
        <v>Current waiting list vs Estimated sustainable waiting list (Patients)</v>
      </c>
      <c r="C38" s="452"/>
      <c r="D38" s="452"/>
      <c r="E38" s="452"/>
      <c r="F38" s="452"/>
      <c r="G38" s="452"/>
      <c r="H38" s="452"/>
    </row>
    <row r="40" spans="2:21" x14ac:dyDescent="0.25">
      <c r="B40" s="451" t="s">
        <v>489</v>
      </c>
      <c r="C40" s="451"/>
      <c r="D40" s="394" t="s">
        <v>249</v>
      </c>
      <c r="E40" s="395"/>
    </row>
    <row r="41" spans="2:21" x14ac:dyDescent="0.25">
      <c r="B41" s="376" t="str">
        <f>IF(AND(LEFT(Demand!C8,1)="H",'Demand adjustments for Covid'!F9="No"),"","WL predictions are disabled when forecast demand or Covid adjustments are enabled.")</f>
        <v>WL predictions are disabled when forecast demand or Covid adjustments are enabled.</v>
      </c>
    </row>
    <row r="42" spans="2:21" x14ac:dyDescent="0.25">
      <c r="B42" s="450" t="s">
        <v>1144</v>
      </c>
      <c r="C42" s="450"/>
      <c r="D42" s="335">
        <v>0</v>
      </c>
    </row>
    <row r="43" spans="2:21" x14ac:dyDescent="0.25">
      <c r="B43" s="450" t="s">
        <v>1145</v>
      </c>
      <c r="C43" s="450"/>
      <c r="D43" s="335">
        <v>0</v>
      </c>
    </row>
    <row r="49" spans="2:4" x14ac:dyDescent="0.25">
      <c r="B49" s="138" t="s">
        <v>305</v>
      </c>
      <c r="C49" s="448">
        <f ca="1">'Parameters calculator (hide)'!H67</f>
        <v>76</v>
      </c>
      <c r="D49" s="448"/>
    </row>
    <row r="50" spans="2:4" x14ac:dyDescent="0.25">
      <c r="B50" s="139" t="s">
        <v>306</v>
      </c>
      <c r="C50" s="449" t="str">
        <f ca="1">IFERROR(TEXT('Parameters calculator (hide)'!H66,"#,#")&amp;" - "&amp;TEXT('Parameters calculator (hide)'!I66,"#,#"),"")</f>
        <v>270 - 298</v>
      </c>
      <c r="D50" s="449"/>
    </row>
    <row r="53" spans="2:4" x14ac:dyDescent="0.25">
      <c r="B53" s="20" t="s">
        <v>307</v>
      </c>
      <c r="C53" s="449">
        <f ca="1">IFERROR('Parameters calculator (hide)'!H69,"")</f>
        <v>0</v>
      </c>
      <c r="D53" s="449"/>
    </row>
    <row r="55" spans="2:4" x14ac:dyDescent="0.25">
      <c r="B55" t="s">
        <v>933</v>
      </c>
    </row>
    <row r="57" spans="2:4" x14ac:dyDescent="0.25">
      <c r="B57" t="s">
        <v>934</v>
      </c>
    </row>
    <row r="58" spans="2:4" x14ac:dyDescent="0.25">
      <c r="B58" s="284"/>
      <c r="C58" t="s">
        <v>402</v>
      </c>
    </row>
    <row r="60" spans="2:4" x14ac:dyDescent="0.25">
      <c r="B60" t="s">
        <v>935</v>
      </c>
    </row>
    <row r="61" spans="2:4" x14ac:dyDescent="0.25">
      <c r="B61" s="282" t="str">
        <f ca="1">IF(OR(C53=0,B58=0,C53=""),"--",TEXT('Parameters calculator (hide)'!I71/B58,"#")&amp;" - "&amp;TEXT('Parameters calculator (hide)'!H71/B58,"#"))</f>
        <v>--</v>
      </c>
      <c r="C61" t="str">
        <f>LOWER(C8)&amp;" per week to clear in the time specified"</f>
        <v>patients per week to clear in the time specified</v>
      </c>
    </row>
  </sheetData>
  <sheetProtection algorithmName="SHA-512" hashValue="zbrIj3nLyh64i0mlrHY7eBVTg0jN7ZuzE9tYa6MsNWoToWF6UHib2rBXq94FKmAurhK8ZkWOpESDRWe+es9jIA==" saltValue="ZvO8+Fm3V4NeWXZlpcp2DQ==" spinCount="100000" sheet="1" objects="1" scenarios="1"/>
  <mergeCells count="17">
    <mergeCell ref="B4:E4"/>
    <mergeCell ref="B38:H38"/>
    <mergeCell ref="B27:C27"/>
    <mergeCell ref="B28:C28"/>
    <mergeCell ref="B29:C29"/>
    <mergeCell ref="B30:C30"/>
    <mergeCell ref="B32:C32"/>
    <mergeCell ref="B33:C33"/>
    <mergeCell ref="B35:C35"/>
    <mergeCell ref="D40:E40"/>
    <mergeCell ref="D24:K24"/>
    <mergeCell ref="C49:D49"/>
    <mergeCell ref="C50:D50"/>
    <mergeCell ref="C53:D53"/>
    <mergeCell ref="B42:C42"/>
    <mergeCell ref="B43:C43"/>
    <mergeCell ref="B40:C40"/>
  </mergeCells>
  <dataValidations count="1">
    <dataValidation type="date" operator="greaterThanOrEqual" allowBlank="1" showInputMessage="1" showErrorMessage="1" sqref="B13" xr:uid="{00000000-0002-0000-1600-000000000000}">
      <formula1>TODAY()</formula1>
    </dataValidation>
  </dataValidation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72048" r:id="rId4" name="WL_Sim_Button">
              <controlPr defaultSize="0" print="0" autoFill="0" autoPict="0" macro="[0]!WaitingListPrediction">
                <anchor moveWithCells="1" sizeWithCells="1">
                  <from>
                    <xdr:col>2</xdr:col>
                    <xdr:colOff>723900</xdr:colOff>
                    <xdr:row>43</xdr:row>
                    <xdr:rowOff>144780</xdr:rowOff>
                  </from>
                  <to>
                    <xdr:col>4</xdr:col>
                    <xdr:colOff>274320</xdr:colOff>
                    <xdr:row>45</xdr:row>
                    <xdr:rowOff>22860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03641715-3A6D-4599-835F-652D697F9B9A}">
            <xm:f>IF(AND(Num_Modalities&gt;1,Setup!$I$17&lt;&gt;"Patients"),TRUE, FALSE)</xm:f>
            <x14:dxf>
              <font>
                <color theme="1"/>
              </font>
            </x14:dxf>
          </x14:cfRule>
          <xm:sqref>D24</xm:sqref>
        </x14:conditionalFormatting>
        <x14:conditionalFormatting xmlns:xm="http://schemas.microsoft.com/office/excel/2006/main">
          <x14:cfRule type="expression" priority="1" id="{54B3D961-32B7-4A16-BB8A-835512A91F26}">
            <xm:f>IF(OR(Setup!$I$13="Yes",Setup!$I$15="Yes"),FALSE,TRUE)</xm:f>
            <x14:dxf>
              <font>
                <color theme="0"/>
              </font>
              <border>
                <left/>
                <right/>
                <top/>
                <bottom/>
                <vertical/>
                <horizontal/>
              </border>
            </x14:dxf>
          </x14:cfRule>
          <xm:sqref>B17:B18</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1600-000001000000}">
          <x14:formula1>
            <xm:f>IF(AND(LEFT(Demand!$C$8,1)="H",'Demand adjustments for Covid'!$F$9="No"),'Control sheet (hide)'!$H$24:$H$25,'Control sheet (hide)'!$H$24)</xm:f>
          </x14:formula1>
          <xm:sqref>D40</xm:sqref>
        </x14:dataValidation>
        <x14:dataValidation type="list" allowBlank="1" showInputMessage="1" showErrorMessage="1" xr:uid="{00000000-0002-0000-1600-000002000000}">
          <x14:formula1>
            <xm:f>IF(Setup!$I$17="Patients",'Control sheet (hide)'!$E$2,IF(Setup!$I$17="Minutes",'Control sheet (hide)'!$E$9:$E$10,'Control sheet (hide)'!$E$6:$E$7))</xm:f>
          </x14:formula1>
          <xm:sqref>C8</xm:sqref>
        </x14:dataValidation>
        <x14:dataValidation type="list" allowBlank="1" showInputMessage="1" showErrorMessage="1" xr:uid="{00000000-0002-0000-1600-000003000000}">
          <x14:formula1>
            <xm:f>'Control sheet (hide)'!$E$22:$E$23</xm:f>
          </x14:formula1>
          <xm:sqref>C7</xm:sqref>
        </x14:dataValidation>
        <x14:dataValidation type="list" allowBlank="1" showInputMessage="1" showErrorMessage="1" xr:uid="{00000000-0002-0000-1600-000004000000}">
          <x14:formula1>
            <xm:f>'Control sheet (hide)'!$C$6:$C$7</xm:f>
          </x14:formula1>
          <xm:sqref>B18</xm:sqref>
        </x14:dataValidation>
        <x14:dataValidation type="list" allowBlank="1" showInputMessage="1" showErrorMessage="1" xr:uid="{00000000-0002-0000-1600-000005000000}">
          <x14:formula1>
            <xm:f>'Control sheet (hide)'!$C$3:$C$4</xm:f>
          </x14:formula1>
          <xm:sqref>B24</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dimension ref="A28:L73"/>
  <sheetViews>
    <sheetView topLeftCell="A13" workbookViewId="0">
      <selection activeCell="D32" sqref="D32"/>
    </sheetView>
  </sheetViews>
  <sheetFormatPr defaultRowHeight="13.8" x14ac:dyDescent="0.25"/>
  <cols>
    <col min="1" max="1" width="32.8984375" customWidth="1"/>
  </cols>
  <sheetData>
    <row r="28" spans="1:12" x14ac:dyDescent="0.25">
      <c r="A28" t="s">
        <v>885</v>
      </c>
      <c r="J28" t="s">
        <v>942</v>
      </c>
    </row>
    <row r="30" spans="1:12" x14ac:dyDescent="0.25">
      <c r="A30" t="s">
        <v>392</v>
      </c>
      <c r="B30" t="s">
        <v>886</v>
      </c>
      <c r="J30" t="s">
        <v>943</v>
      </c>
      <c r="K30" t="s">
        <v>392</v>
      </c>
      <c r="L30" t="s">
        <v>886</v>
      </c>
    </row>
    <row r="31" spans="1:12" x14ac:dyDescent="0.25">
      <c r="A31" t="s">
        <v>11</v>
      </c>
      <c r="B31" t="s">
        <v>928</v>
      </c>
      <c r="J31" t="s">
        <v>944</v>
      </c>
      <c r="K31" t="s">
        <v>97</v>
      </c>
      <c r="L31" t="s">
        <v>938</v>
      </c>
    </row>
    <row r="32" spans="1:12" x14ac:dyDescent="0.25">
      <c r="A32" t="s">
        <v>51</v>
      </c>
      <c r="B32" t="s">
        <v>887</v>
      </c>
      <c r="J32" t="s">
        <v>946</v>
      </c>
      <c r="K32" t="s">
        <v>389</v>
      </c>
      <c r="L32" t="s">
        <v>939</v>
      </c>
    </row>
    <row r="33" spans="1:12" x14ac:dyDescent="0.25">
      <c r="A33" s="67" t="s">
        <v>51</v>
      </c>
      <c r="B33" t="s">
        <v>888</v>
      </c>
      <c r="J33" t="s">
        <v>945</v>
      </c>
      <c r="K33" t="s">
        <v>391</v>
      </c>
      <c r="L33" t="s">
        <v>940</v>
      </c>
    </row>
    <row r="34" spans="1:12" x14ac:dyDescent="0.25">
      <c r="A34" s="67" t="s">
        <v>51</v>
      </c>
      <c r="B34" t="s">
        <v>889</v>
      </c>
      <c r="J34" t="s">
        <v>947</v>
      </c>
      <c r="K34" t="s">
        <v>391</v>
      </c>
      <c r="L34" t="s">
        <v>941</v>
      </c>
    </row>
    <row r="35" spans="1:12" x14ac:dyDescent="0.25">
      <c r="A35" s="67" t="s">
        <v>51</v>
      </c>
      <c r="B35" t="s">
        <v>890</v>
      </c>
    </row>
    <row r="36" spans="1:12" x14ac:dyDescent="0.25">
      <c r="A36" s="67" t="s">
        <v>51</v>
      </c>
      <c r="B36" t="s">
        <v>891</v>
      </c>
    </row>
    <row r="37" spans="1:12" x14ac:dyDescent="0.25">
      <c r="A37" s="67" t="s">
        <v>51</v>
      </c>
      <c r="B37" t="s">
        <v>892</v>
      </c>
    </row>
    <row r="38" spans="1:12" x14ac:dyDescent="0.25">
      <c r="A38" s="67" t="s">
        <v>51</v>
      </c>
      <c r="B38" t="s">
        <v>893</v>
      </c>
    </row>
    <row r="39" spans="1:12" x14ac:dyDescent="0.25">
      <c r="A39" s="67" t="s">
        <v>51</v>
      </c>
      <c r="B39" t="s">
        <v>894</v>
      </c>
    </row>
    <row r="40" spans="1:12" x14ac:dyDescent="0.25">
      <c r="A40" t="s">
        <v>51</v>
      </c>
      <c r="B40" t="s">
        <v>895</v>
      </c>
    </row>
    <row r="41" spans="1:12" x14ac:dyDescent="0.25">
      <c r="A41" t="s">
        <v>51</v>
      </c>
      <c r="B41" t="s">
        <v>896</v>
      </c>
    </row>
    <row r="42" spans="1:12" x14ac:dyDescent="0.25">
      <c r="A42" t="s">
        <v>97</v>
      </c>
      <c r="B42" t="s">
        <v>897</v>
      </c>
    </row>
    <row r="43" spans="1:12" x14ac:dyDescent="0.25">
      <c r="A43" t="s">
        <v>97</v>
      </c>
      <c r="B43" t="s">
        <v>898</v>
      </c>
    </row>
    <row r="44" spans="1:12" x14ac:dyDescent="0.25">
      <c r="A44" t="s">
        <v>900</v>
      </c>
      <c r="B44" t="s">
        <v>1178</v>
      </c>
    </row>
    <row r="45" spans="1:12" x14ac:dyDescent="0.25">
      <c r="A45" t="s">
        <v>388</v>
      </c>
      <c r="B45" t="s">
        <v>901</v>
      </c>
    </row>
    <row r="46" spans="1:12" x14ac:dyDescent="0.25">
      <c r="A46" t="s">
        <v>388</v>
      </c>
      <c r="B46" t="s">
        <v>902</v>
      </c>
    </row>
    <row r="47" spans="1:12" x14ac:dyDescent="0.25">
      <c r="A47" t="s">
        <v>388</v>
      </c>
      <c r="B47" t="s">
        <v>385</v>
      </c>
    </row>
    <row r="48" spans="1:12" x14ac:dyDescent="0.25">
      <c r="A48" t="s">
        <v>388</v>
      </c>
      <c r="B48" t="s">
        <v>903</v>
      </c>
    </row>
    <row r="49" spans="1:2" x14ac:dyDescent="0.25">
      <c r="A49" t="s">
        <v>388</v>
      </c>
      <c r="B49" t="s">
        <v>904</v>
      </c>
    </row>
    <row r="50" spans="1:2" x14ac:dyDescent="0.25">
      <c r="A50" t="s">
        <v>389</v>
      </c>
      <c r="B50" t="s">
        <v>897</v>
      </c>
    </row>
    <row r="51" spans="1:2" x14ac:dyDescent="0.25">
      <c r="A51" t="s">
        <v>389</v>
      </c>
      <c r="B51" t="s">
        <v>905</v>
      </c>
    </row>
    <row r="52" spans="1:2" x14ac:dyDescent="0.25">
      <c r="A52" t="s">
        <v>390</v>
      </c>
      <c r="B52" t="s">
        <v>906</v>
      </c>
    </row>
    <row r="53" spans="1:2" x14ac:dyDescent="0.25">
      <c r="A53" t="s">
        <v>390</v>
      </c>
      <c r="B53" t="s">
        <v>907</v>
      </c>
    </row>
    <row r="54" spans="1:2" x14ac:dyDescent="0.25">
      <c r="A54" t="s">
        <v>908</v>
      </c>
      <c r="B54" t="s">
        <v>909</v>
      </c>
    </row>
    <row r="55" spans="1:2" x14ac:dyDescent="0.25">
      <c r="A55" t="s">
        <v>910</v>
      </c>
      <c r="B55" t="s">
        <v>911</v>
      </c>
    </row>
    <row r="56" spans="1:2" x14ac:dyDescent="0.25">
      <c r="A56" s="67" t="s">
        <v>391</v>
      </c>
      <c r="B56" s="67" t="s">
        <v>913</v>
      </c>
    </row>
    <row r="57" spans="1:2" x14ac:dyDescent="0.25">
      <c r="A57" t="s">
        <v>391</v>
      </c>
      <c r="B57" t="s">
        <v>912</v>
      </c>
    </row>
    <row r="58" spans="1:2" x14ac:dyDescent="0.25">
      <c r="A58" t="s">
        <v>477</v>
      </c>
      <c r="B58" t="s">
        <v>906</v>
      </c>
    </row>
    <row r="59" spans="1:2" x14ac:dyDescent="0.25">
      <c r="A59" s="67" t="s">
        <v>477</v>
      </c>
      <c r="B59" t="s">
        <v>912</v>
      </c>
    </row>
    <row r="60" spans="1:2" x14ac:dyDescent="0.25">
      <c r="A60" s="67" t="s">
        <v>477</v>
      </c>
      <c r="B60" t="s">
        <v>914</v>
      </c>
    </row>
    <row r="61" spans="1:2" x14ac:dyDescent="0.25">
      <c r="A61" s="67" t="s">
        <v>477</v>
      </c>
      <c r="B61" t="s">
        <v>915</v>
      </c>
    </row>
    <row r="62" spans="1:2" x14ac:dyDescent="0.25">
      <c r="A62" t="s">
        <v>916</v>
      </c>
      <c r="B62" t="s">
        <v>917</v>
      </c>
    </row>
    <row r="63" spans="1:2" x14ac:dyDescent="0.25">
      <c r="A63" t="s">
        <v>916</v>
      </c>
      <c r="B63" t="s">
        <v>918</v>
      </c>
    </row>
    <row r="64" spans="1:2" x14ac:dyDescent="0.25">
      <c r="A64" t="s">
        <v>916</v>
      </c>
      <c r="B64" t="s">
        <v>919</v>
      </c>
    </row>
    <row r="65" spans="1:2" x14ac:dyDescent="0.25">
      <c r="A65" t="s">
        <v>249</v>
      </c>
      <c r="B65" t="s">
        <v>920</v>
      </c>
    </row>
    <row r="66" spans="1:2" x14ac:dyDescent="0.25">
      <c r="A66" t="s">
        <v>249</v>
      </c>
      <c r="B66" t="s">
        <v>922</v>
      </c>
    </row>
    <row r="67" spans="1:2" x14ac:dyDescent="0.25">
      <c r="A67" s="67" t="s">
        <v>249</v>
      </c>
      <c r="B67" t="s">
        <v>921</v>
      </c>
    </row>
    <row r="68" spans="1:2" x14ac:dyDescent="0.25">
      <c r="A68" t="s">
        <v>510</v>
      </c>
      <c r="B68" t="s">
        <v>926</v>
      </c>
    </row>
    <row r="69" spans="1:2" x14ac:dyDescent="0.25">
      <c r="A69" t="s">
        <v>510</v>
      </c>
      <c r="B69" t="s">
        <v>897</v>
      </c>
    </row>
    <row r="70" spans="1:2" x14ac:dyDescent="0.25">
      <c r="A70" t="s">
        <v>510</v>
      </c>
      <c r="B70" t="s">
        <v>927</v>
      </c>
    </row>
    <row r="71" spans="1:2" x14ac:dyDescent="0.25">
      <c r="A71" t="s">
        <v>510</v>
      </c>
      <c r="B71" t="s">
        <v>923</v>
      </c>
    </row>
    <row r="72" spans="1:2" x14ac:dyDescent="0.25">
      <c r="A72" t="s">
        <v>510</v>
      </c>
      <c r="B72" t="s">
        <v>924</v>
      </c>
    </row>
    <row r="73" spans="1:2" x14ac:dyDescent="0.25">
      <c r="A73" s="67" t="s">
        <v>510</v>
      </c>
      <c r="B73" t="s">
        <v>925</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6"/>
  <dimension ref="A1:X72"/>
  <sheetViews>
    <sheetView topLeftCell="A13" workbookViewId="0">
      <selection activeCell="K25" sqref="K25"/>
    </sheetView>
  </sheetViews>
  <sheetFormatPr defaultRowHeight="13.8" x14ac:dyDescent="0.25"/>
  <cols>
    <col min="1" max="1" width="12.3984375" style="67" customWidth="1"/>
    <col min="3" max="3" width="9" style="67"/>
    <col min="5" max="5" width="9.8984375" bestFit="1" customWidth="1"/>
    <col min="7" max="7" width="18.5" bestFit="1" customWidth="1"/>
    <col min="8" max="8" width="15.59765625" bestFit="1" customWidth="1"/>
    <col min="11" max="12" width="9.69921875" style="67" customWidth="1"/>
    <col min="22" max="22" width="9" hidden="1" customWidth="1"/>
  </cols>
  <sheetData>
    <row r="1" spans="1:24" x14ac:dyDescent="0.25">
      <c r="A1" s="67" t="s">
        <v>487</v>
      </c>
      <c r="D1" t="s">
        <v>419</v>
      </c>
    </row>
    <row r="2" spans="1:24" x14ac:dyDescent="0.25">
      <c r="A2" s="82" t="str">
        <f>"Required vs available capacity by week ("&amp;Summary!$C$8&amp;")"</f>
        <v>Required vs available capacity by week (Patients)</v>
      </c>
    </row>
    <row r="3" spans="1:24" x14ac:dyDescent="0.25">
      <c r="E3" t="s">
        <v>244</v>
      </c>
      <c r="F3" t="s">
        <v>245</v>
      </c>
      <c r="H3" t="s">
        <v>250</v>
      </c>
      <c r="J3" t="s">
        <v>876</v>
      </c>
      <c r="L3" s="67" t="s">
        <v>1160</v>
      </c>
    </row>
    <row r="4" spans="1:24" x14ac:dyDescent="0.25">
      <c r="D4" t="s">
        <v>239</v>
      </c>
      <c r="E4">
        <f>IFERROR('SPC background (hide)'!C4,"")</f>
        <v>1</v>
      </c>
      <c r="F4">
        <f ca="1">'SPC background (hide)'!G5+'Summary Calculations (hide)'!E4-1</f>
        <v>10</v>
      </c>
      <c r="H4" t="s">
        <v>75</v>
      </c>
      <c r="I4" s="100">
        <f ca="1">'Parameters calculator (hide)'!B43</f>
        <v>0.05</v>
      </c>
      <c r="J4">
        <f ca="1">IF(Planning!C15="",'Summary Calculations (hide)'!I4,Planning!C15)</f>
        <v>0.05</v>
      </c>
      <c r="L4" s="67">
        <f ca="1">(1-J4)*(1-J5+(J6*J7))</f>
        <v>1.0003499999999999</v>
      </c>
    </row>
    <row r="5" spans="1:24" x14ac:dyDescent="0.25">
      <c r="D5" t="s">
        <v>240</v>
      </c>
      <c r="E5" t="str">
        <f ca="1">IFERROR('SPC background (hide)'!D6,"")</f>
        <v/>
      </c>
      <c r="F5" t="e">
        <f ca="1">'SPC background (hide)'!H7+'Summary Calculations (hide)'!E5-1</f>
        <v>#VALUE!</v>
      </c>
      <c r="H5" t="s">
        <v>251</v>
      </c>
      <c r="I5" s="100">
        <f ca="1">'Parameters calculator (hide)'!B44</f>
        <v>1.0999999999999998E-2</v>
      </c>
      <c r="J5" s="67">
        <f ca="1">IF(Planning!C16="",'Summary Calculations (hide)'!I5,Planning!C16)</f>
        <v>1.0999999999999998E-2</v>
      </c>
    </row>
    <row r="6" spans="1:24" x14ac:dyDescent="0.25">
      <c r="D6" t="s">
        <v>241</v>
      </c>
      <c r="E6" t="str">
        <f ca="1">IFERROR('SPC background (hide)'!D8,"")</f>
        <v/>
      </c>
      <c r="F6" t="str">
        <f ca="1">IFERROR('SPC background (hide)'!H9-'Summary Calculations (hide)'!E6-1,"")</f>
        <v/>
      </c>
      <c r="H6" t="s">
        <v>99</v>
      </c>
      <c r="I6" s="100">
        <f ca="1">'Parameters calculator (hide)'!B45</f>
        <v>7.9999999999999988E-2</v>
      </c>
      <c r="J6" s="67">
        <f ca="1">IF(Planning!C17="",'Summary Calculations (hide)'!I6,Planning!C17)</f>
        <v>7.9999999999999988E-2</v>
      </c>
    </row>
    <row r="7" spans="1:24" x14ac:dyDescent="0.25">
      <c r="D7" t="s">
        <v>242</v>
      </c>
      <c r="E7" t="str">
        <f ca="1">IFERROR('SPC background (hide)'!D10,"")</f>
        <v/>
      </c>
      <c r="F7" t="str">
        <f ca="1">IFERROR('SPC background (hide)'!H11-'Summary Calculations (hide)'!E7-1,"")</f>
        <v/>
      </c>
      <c r="H7" t="s">
        <v>418</v>
      </c>
      <c r="I7" s="100">
        <f ca="1">'Parameters calculator (hide)'!B47</f>
        <v>0.8</v>
      </c>
      <c r="J7" s="67">
        <f ca="1">IF(Planning!C18="",'Summary Calculations (hide)'!I7,1-Planning!C18)</f>
        <v>0.8</v>
      </c>
    </row>
    <row r="9" spans="1:24" x14ac:dyDescent="0.25">
      <c r="H9" t="s">
        <v>422</v>
      </c>
      <c r="I9" s="5">
        <f ca="1">'Demand background (hide)'!BN16</f>
        <v>2</v>
      </c>
    </row>
    <row r="11" spans="1:24" x14ac:dyDescent="0.25">
      <c r="D11" t="s">
        <v>243</v>
      </c>
      <c r="E11" s="87">
        <f>IF(Summary!$B$13="",'Critical resources (hide)'!B6,Summary!$B$13)</f>
        <v>43934</v>
      </c>
    </row>
    <row r="12" spans="1:24" x14ac:dyDescent="0.25">
      <c r="E12" s="320"/>
      <c r="P12" t="s">
        <v>411</v>
      </c>
      <c r="R12" t="str">
        <f>"Required vs available capacity ("&amp;LOWER(Summary!$C$8)&amp;")"</f>
        <v>Required vs available capacity (patients)</v>
      </c>
      <c r="X12" t="s">
        <v>498</v>
      </c>
    </row>
    <row r="13" spans="1:24" x14ac:dyDescent="0.25">
      <c r="E13" t="s">
        <v>97</v>
      </c>
      <c r="G13" s="62"/>
      <c r="H13" s="62"/>
      <c r="I13" t="s">
        <v>303</v>
      </c>
      <c r="K13" s="67" t="s">
        <v>409</v>
      </c>
      <c r="M13" t="s">
        <v>302</v>
      </c>
      <c r="P13" s="67" t="s">
        <v>303</v>
      </c>
      <c r="Q13" s="67"/>
      <c r="R13" s="67" t="s">
        <v>409</v>
      </c>
      <c r="S13" s="67"/>
      <c r="T13" s="67" t="s">
        <v>302</v>
      </c>
      <c r="U13" s="67"/>
      <c r="X13" t="s">
        <v>156</v>
      </c>
    </row>
    <row r="14" spans="1:24" x14ac:dyDescent="0.25">
      <c r="A14" s="67" t="s">
        <v>428</v>
      </c>
      <c r="B14" t="s">
        <v>128</v>
      </c>
      <c r="C14" s="67" t="s">
        <v>427</v>
      </c>
      <c r="D14" t="s">
        <v>248</v>
      </c>
      <c r="E14" t="s">
        <v>165</v>
      </c>
      <c r="F14" t="s">
        <v>166</v>
      </c>
      <c r="G14" t="s">
        <v>246</v>
      </c>
      <c r="H14" t="s">
        <v>247</v>
      </c>
      <c r="I14" t="s">
        <v>480</v>
      </c>
      <c r="J14" t="s">
        <v>481</v>
      </c>
      <c r="K14" s="67" t="s">
        <v>480</v>
      </c>
      <c r="L14" s="67" t="s">
        <v>481</v>
      </c>
      <c r="M14" t="s">
        <v>165</v>
      </c>
      <c r="N14" t="s">
        <v>166</v>
      </c>
      <c r="P14" s="67" t="s">
        <v>480</v>
      </c>
      <c r="Q14" s="67" t="s">
        <v>481</v>
      </c>
      <c r="R14" s="67" t="s">
        <v>480</v>
      </c>
      <c r="S14" s="67" t="s">
        <v>481</v>
      </c>
      <c r="T14" s="67" t="s">
        <v>165</v>
      </c>
      <c r="U14" s="67" t="s">
        <v>166</v>
      </c>
      <c r="V14" t="s">
        <v>435</v>
      </c>
    </row>
    <row r="15" spans="1:24" x14ac:dyDescent="0.25">
      <c r="A15" s="87">
        <f>E11-WEEKDAY(E11,3)</f>
        <v>43934</v>
      </c>
      <c r="B15">
        <f>YEAR(A15)</f>
        <v>2020</v>
      </c>
      <c r="C15" s="67" t="str">
        <f>TEXT(A15,"MMM")</f>
        <v>Apr</v>
      </c>
      <c r="D15">
        <f>WEEKNUM(A15,21)</f>
        <v>16</v>
      </c>
      <c r="E15" s="5">
        <f ca="1">IF(LEFT(Demand!$C$8,1)="H",VLOOKUP($D15,'SPC background (hide)'!$AG$2:$AS$54,12,0),'Demand background (hide)'!X4)</f>
        <v>122</v>
      </c>
      <c r="F15" s="5">
        <f ca="1">IF(LEFT(Demand!$C$8,1)="H",VLOOKUP($D15,'SPC background (hide)'!$AG$2:$AS$54,13,0),E15*1.1)</f>
        <v>134.20000000000002</v>
      </c>
      <c r="G15" s="5" t="str">
        <f>IF(Setup!$I$15="Yes",VLOOKUP(D15,'SPC background (hide)'!$AG$2:$AT$54,14,0)/IF(Summary!$C$8="Patients",'Summary Calculations (hide)'!$I$9,1),"")</f>
        <v/>
      </c>
      <c r="H15" t="str">
        <f>IF(Setup!$I$13="Yes",'Planned background (hide)'!$V$23/IF(Summary!$C$8="Patients",'Summary Calculations (hide)'!$I$9,1),"")</f>
        <v/>
      </c>
      <c r="I15" s="5">
        <f ca="1">HLOOKUP(D15,'Capacity calculation (hide)'!$BK$3:$DJ$4,2,0)</f>
        <v>20</v>
      </c>
      <c r="J15" s="5">
        <f ca="1">HLOOKUP(D15,'Capacity calculation (hide)'!$BK$110:$DJ$111,2,0)</f>
        <v>0</v>
      </c>
      <c r="K15" s="5">
        <f ca="1">IF(I15-IF(AND(Setup!$I$15="Yes",OR('Demand adjustments for Covid'!$F$9="No",'Demand adjustments for Covid'!$F$20="No")),$G15,0)-IF(Setup!$I$13="Yes",$H15,0)&lt;0,0,I15-IF(AND(Setup!$I$15="Yes",OR('Demand adjustments for Covid'!$F$9="No",'Demand adjustments for Covid'!$F$20="No")),$G15,0)-IF(Setup!$I$13="Yes",$H15,0))</f>
        <v>20</v>
      </c>
      <c r="L15" s="5">
        <f ca="1">J15</f>
        <v>0</v>
      </c>
      <c r="M15" s="5">
        <f ca="1">(IF('Demand adjustments for Covid'!$F$9="No",E15,SUM('Demand background (hide)'!DS4,'Demand background (hide)'!DV4:DW4))*(1-'Parameters calculator (hide)'!$B$43))*(1-'Parameters calculator (hide)'!$B$44+('Parameters calculator (hide)'!$B$45*'Parameters calculator (hide)'!$B$47))</f>
        <v>10.003499999999999</v>
      </c>
      <c r="N15" s="5">
        <f ca="1">(IF('Demand adjustments for Covid'!$F$9="No",F15,SUM('Demand background (hide)'!DT4,'Demand background (hide)'!DV4:DW4))*(1-'Parameters calculator (hide)'!$B$43))*(1-'Parameters calculator (hide)'!$B$44+('Parameters calculator (hide)'!$B$45*'Parameters calculator (hide)'!$B$47))</f>
        <v>13.004549999999998</v>
      </c>
      <c r="P15" s="5">
        <f ca="1">I15</f>
        <v>20</v>
      </c>
      <c r="Q15" s="5">
        <f ca="1">J15</f>
        <v>0</v>
      </c>
      <c r="R15" s="5">
        <f ca="1">IF(P15-V15&lt;0,0,P15-V15)</f>
        <v>20</v>
      </c>
      <c r="S15" s="5">
        <f ca="1">IF(R15=0,IF(P15+Q15-V15&lt;0,0,P15+Q15-V15),Q15)</f>
        <v>0</v>
      </c>
      <c r="T15" s="5">
        <f ca="1">M15/IF(Summary!$C$8&lt;&gt;"Patients",1,$I$9)</f>
        <v>5.0017499999999995</v>
      </c>
      <c r="U15" s="5">
        <f ca="1">((N15-M15)/IF(Summary!$C$8&lt;&gt;"Patients",1,$I$9))</f>
        <v>1.5005249999999997</v>
      </c>
      <c r="V15" s="5">
        <f>SUM(G15:H15)</f>
        <v>0</v>
      </c>
      <c r="X15" s="5">
        <f ca="1">(VLOOKUP(D15,'SPC background (hide)'!$AG$2:$AN$54,8,0)/IF(Summary!$C$8&lt;&gt;"Patients",1,$I$9))*(1-$I$4)*(1-$I$5+($I$6*$I$7))</f>
        <v>71.024850000000001</v>
      </c>
    </row>
    <row r="16" spans="1:24" x14ac:dyDescent="0.25">
      <c r="A16" s="87">
        <f>A15+7</f>
        <v>43941</v>
      </c>
      <c r="B16" s="67" t="str">
        <f t="shared" ref="B16:B47" si="0">IF(YEAR(A16)&lt;&gt;YEAR(A15),YEAR(A16),"")</f>
        <v/>
      </c>
      <c r="C16" s="67" t="str">
        <f>IF(TEXT(A16,"MMM")&lt;&gt;TEXT(A15,"MMM"),TEXT(A16,"MMM"),"")</f>
        <v/>
      </c>
      <c r="D16" s="67">
        <f t="shared" ref="D16:D66" si="1">WEEKNUM(A16,21)</f>
        <v>17</v>
      </c>
      <c r="E16" s="5">
        <f ca="1">IF(LEFT(Demand!$C$8,1)="H",VLOOKUP($D16,'SPC background (hide)'!$AG$2:$AS$54,12,0),'Demand background (hide)'!X5)</f>
        <v>124</v>
      </c>
      <c r="F16" s="5">
        <f ca="1">IF(LEFT(Demand!$C$8,1)="H",VLOOKUP($D16,'SPC background (hide)'!$AG$2:$AS$54,13,0),E16*1.1)</f>
        <v>136.4</v>
      </c>
      <c r="G16" s="5" t="str">
        <f>IF(Setup!$I$15="Yes",VLOOKUP(D16,'SPC background (hide)'!$AG$2:$AT$54,14,0)/IF(Summary!$C$8="Patients",'Summary Calculations (hide)'!$I$9,1),"")</f>
        <v/>
      </c>
      <c r="H16" s="67" t="str">
        <f>IF(Setup!$I$13="Yes",'Planned background (hide)'!$V$23/IF(Summary!$C$8="Patients",'Summary Calculations (hide)'!$I$9,1),"")</f>
        <v/>
      </c>
      <c r="I16" s="5">
        <f ca="1">HLOOKUP(D16,'Capacity calculation (hide)'!$BK$3:$DJ$4,2,0)</f>
        <v>20</v>
      </c>
      <c r="J16" s="5">
        <f ca="1">HLOOKUP(D16,'Capacity calculation (hide)'!$BK$110:$DJ$111,2,0)</f>
        <v>0</v>
      </c>
      <c r="K16" s="5">
        <f ca="1">IF(I16-IF(Setup!$I$15="Yes",$G16,0)-IF(Setup!$I$13="Yes",$H16,0)&lt;0,0,I16-IF(Setup!$I$15="Yes",$G16,0)-IF(Setup!$I$13="Yes",$H16,0))</f>
        <v>20</v>
      </c>
      <c r="L16" s="5">
        <f t="shared" ref="L16:L66" ca="1" si="2">J16</f>
        <v>0</v>
      </c>
      <c r="M16" s="5">
        <f ca="1">(IF('Demand adjustments for Covid'!$F$9="No",E16,SUM('Demand background (hide)'!DS5,'Demand background (hide)'!DV5:DW5))*(1-'Parameters calculator (hide)'!$B$43))*(1-'Parameters calculator (hide)'!$B$44+('Parameters calculator (hide)'!$B$45*'Parameters calculator (hide)'!$B$47))</f>
        <v>10.003499999999999</v>
      </c>
      <c r="N16" s="5">
        <f ca="1">(IF('Demand adjustments for Covid'!$F$9="No",F16,SUM('Demand background (hide)'!DT5,'Demand background (hide)'!DV5:DW5))*(1-'Parameters calculator (hide)'!$B$43))*(1-'Parameters calculator (hide)'!$B$44+('Parameters calculator (hide)'!$B$45*'Parameters calculator (hide)'!$B$47))</f>
        <v>13.004549999999998</v>
      </c>
      <c r="P16" s="5">
        <f t="shared" ref="P16:P66" ca="1" si="3">I16</f>
        <v>20</v>
      </c>
      <c r="Q16" s="5">
        <f t="shared" ref="Q16:Q66" ca="1" si="4">J16</f>
        <v>0</v>
      </c>
      <c r="R16" s="5">
        <f t="shared" ref="R16:R66" ca="1" si="5">IF(P16-V16&lt;0,0,P16-V16)</f>
        <v>20</v>
      </c>
      <c r="S16" s="5">
        <f t="shared" ref="S16:S66" ca="1" si="6">IF(R16=0,IF(P16+Q16-V16&lt;0,0,P16+Q16-V16),Q16)</f>
        <v>0</v>
      </c>
      <c r="T16" s="5">
        <f ca="1">M16/IF(Summary!$C$8&lt;&gt;"Patients",1,$I$9)</f>
        <v>5.0017499999999995</v>
      </c>
      <c r="U16" s="5">
        <f ca="1">((N16-M16)/IF(Summary!$C$8&lt;&gt;"Patients",1,$I$9))</f>
        <v>1.5005249999999997</v>
      </c>
      <c r="V16" s="5">
        <f t="shared" ref="V16:V66" si="7">SUM(G16:H16)</f>
        <v>0</v>
      </c>
      <c r="X16" s="5">
        <f ca="1">(VLOOKUP(D16,'SPC background (hide)'!$AG$2:$AN$54,8,0)/IF(Summary!$C$8&lt;&gt;"Patients",1,$I$9))*(1-$I$4)*(1-$I$5+($I$6*$I$7))</f>
        <v>71.024850000000001</v>
      </c>
    </row>
    <row r="17" spans="1:24" x14ac:dyDescent="0.25">
      <c r="A17" s="87">
        <f t="shared" ref="A17:A67" si="8">A16+7</f>
        <v>43948</v>
      </c>
      <c r="B17" s="67" t="str">
        <f t="shared" si="0"/>
        <v/>
      </c>
      <c r="C17" s="67" t="str">
        <f t="shared" ref="C17:C65" si="9">IF(TEXT(A17,"MMM")&lt;&gt;TEXT(A16,"MMM"),TEXT(A17,"MMM"),"")</f>
        <v/>
      </c>
      <c r="D17" s="67">
        <f t="shared" si="1"/>
        <v>18</v>
      </c>
      <c r="E17" s="5">
        <f ca="1">IF(LEFT(Demand!$C$8,1)="H",VLOOKUP($D17,'SPC background (hide)'!$AG$2:$AS$54,12,0),'Demand background (hide)'!X6)</f>
        <v>138</v>
      </c>
      <c r="F17" s="5">
        <f ca="1">IF(LEFT(Demand!$C$8,1)="H",VLOOKUP($D17,'SPC background (hide)'!$AG$2:$AS$54,13,0),E17*1.1)</f>
        <v>151.80000000000001</v>
      </c>
      <c r="G17" s="5" t="str">
        <f>IF(Setup!$I$15="Yes",VLOOKUP(D17,'SPC background (hide)'!$AG$2:$AT$54,14,0)/IF(Summary!$C$8="Patients",'Summary Calculations (hide)'!$I$9,1),"")</f>
        <v/>
      </c>
      <c r="H17" s="67" t="str">
        <f>IF(Setup!$I$13="Yes",'Planned background (hide)'!$V$23/IF(Summary!$C$8="Patients",'Summary Calculations (hide)'!$I$9,1),"")</f>
        <v/>
      </c>
      <c r="I17" s="5">
        <f ca="1">HLOOKUP(D17,'Capacity calculation (hide)'!$BK$3:$DJ$4,2,0)</f>
        <v>20</v>
      </c>
      <c r="J17" s="5">
        <f ca="1">HLOOKUP(D17,'Capacity calculation (hide)'!$BK$110:$DJ$111,2,0)</f>
        <v>0</v>
      </c>
      <c r="K17" s="5">
        <f ca="1">IF(I17-IF(Setup!$I$15="Yes",$G17,0)-IF(Setup!$I$13="Yes",$H17,0)&lt;0,0,I17-IF(Setup!$I$15="Yes",$G17,0)-IF(Setup!$I$13="Yes",$H17,0))</f>
        <v>20</v>
      </c>
      <c r="L17" s="5">
        <f t="shared" ca="1" si="2"/>
        <v>0</v>
      </c>
      <c r="M17" s="5">
        <f ca="1">(IF('Demand adjustments for Covid'!$F$9="No",E17,SUM('Demand background (hide)'!DS6,'Demand background (hide)'!DV6:DW6))*(1-'Parameters calculator (hide)'!$B$43))*(1-'Parameters calculator (hide)'!$B$44+('Parameters calculator (hide)'!$B$45*'Parameters calculator (hide)'!$B$47))</f>
        <v>10.003499999999999</v>
      </c>
      <c r="N17" s="5">
        <f ca="1">(IF('Demand adjustments for Covid'!$F$9="No",F17,SUM('Demand background (hide)'!DT6,'Demand background (hide)'!DV6:DW6))*(1-'Parameters calculator (hide)'!$B$43))*(1-'Parameters calculator (hide)'!$B$44+('Parameters calculator (hide)'!$B$45*'Parameters calculator (hide)'!$B$47))</f>
        <v>13.004549999999998</v>
      </c>
      <c r="P17" s="5">
        <f t="shared" ca="1" si="3"/>
        <v>20</v>
      </c>
      <c r="Q17" s="5">
        <f t="shared" ca="1" si="4"/>
        <v>0</v>
      </c>
      <c r="R17" s="5">
        <f t="shared" ca="1" si="5"/>
        <v>20</v>
      </c>
      <c r="S17" s="5">
        <f t="shared" ca="1" si="6"/>
        <v>0</v>
      </c>
      <c r="T17" s="5">
        <f ca="1">M17/IF(Summary!$C$8&lt;&gt;"Patients",1,$I$9)</f>
        <v>5.0017499999999995</v>
      </c>
      <c r="U17" s="5">
        <f ca="1">((N17-M17)/IF(Summary!$C$8&lt;&gt;"Patients",1,$I$9))</f>
        <v>1.5005249999999997</v>
      </c>
      <c r="V17" s="5">
        <f t="shared" si="7"/>
        <v>0</v>
      </c>
      <c r="X17" s="5">
        <f ca="1">(VLOOKUP(D17,'SPC background (hide)'!$AG$2:$AN$54,8,0)/IF(Summary!$C$8&lt;&gt;"Patients",1,$I$9))*(1-$I$4)*(1-$I$5+($I$6*$I$7))</f>
        <v>71.024850000000001</v>
      </c>
    </row>
    <row r="18" spans="1:24" x14ac:dyDescent="0.25">
      <c r="A18" s="87">
        <f t="shared" si="8"/>
        <v>43955</v>
      </c>
      <c r="B18" s="67" t="str">
        <f t="shared" si="0"/>
        <v/>
      </c>
      <c r="C18" s="67" t="str">
        <f t="shared" si="9"/>
        <v>May</v>
      </c>
      <c r="D18" s="67">
        <f t="shared" si="1"/>
        <v>19</v>
      </c>
      <c r="E18" s="5">
        <f ca="1">IF(LEFT(Demand!$C$8,1)="H",VLOOKUP($D18,'SPC background (hide)'!$AG$2:$AS$54,12,0),'Demand background (hide)'!X7)</f>
        <v>142</v>
      </c>
      <c r="F18" s="5">
        <f ca="1">IF(LEFT(Demand!$C$8,1)="H",VLOOKUP($D18,'SPC background (hide)'!$AG$2:$AS$54,13,0),E18*1.1)</f>
        <v>156.20000000000002</v>
      </c>
      <c r="G18" s="5" t="str">
        <f>IF(Setup!$I$15="Yes",VLOOKUP(D18,'SPC background (hide)'!$AG$2:$AT$54,14,0)/IF(Summary!$C$8="Patients",'Summary Calculations (hide)'!$I$9,1),"")</f>
        <v/>
      </c>
      <c r="H18" s="67" t="str">
        <f>IF(Setup!$I$13="Yes",'Planned background (hide)'!$V$23/IF(Summary!$C$8="Patients",'Summary Calculations (hide)'!$I$9,1),"")</f>
        <v/>
      </c>
      <c r="I18" s="5">
        <f ca="1">HLOOKUP(D18,'Capacity calculation (hide)'!$BK$3:$DJ$4,2,0)</f>
        <v>20</v>
      </c>
      <c r="J18" s="5">
        <f ca="1">HLOOKUP(D18,'Capacity calculation (hide)'!$BK$110:$DJ$111,2,0)</f>
        <v>0</v>
      </c>
      <c r="K18" s="5">
        <f ca="1">IF(I18-IF(Setup!$I$15="Yes",$G18,0)-IF(Setup!$I$13="Yes",$H18,0)&lt;0,0,I18-IF(Setup!$I$15="Yes",$G18,0)-IF(Setup!$I$13="Yes",$H18,0))</f>
        <v>20</v>
      </c>
      <c r="L18" s="5">
        <f t="shared" ca="1" si="2"/>
        <v>0</v>
      </c>
      <c r="M18" s="5">
        <f ca="1">(IF('Demand adjustments for Covid'!$F$9="No",E18,SUM('Demand background (hide)'!DS7,'Demand background (hide)'!DV7:DW7))*(1-'Parameters calculator (hide)'!$B$43))*(1-'Parameters calculator (hide)'!$B$44+('Parameters calculator (hide)'!$B$45*'Parameters calculator (hide)'!$B$47))</f>
        <v>10.003499999999999</v>
      </c>
      <c r="N18" s="5">
        <f ca="1">(IF('Demand adjustments for Covid'!$F$9="No",F18,SUM('Demand background (hide)'!DT7,'Demand background (hide)'!DV7:DW7))*(1-'Parameters calculator (hide)'!$B$43))*(1-'Parameters calculator (hide)'!$B$44+('Parameters calculator (hide)'!$B$45*'Parameters calculator (hide)'!$B$47))</f>
        <v>13.004549999999998</v>
      </c>
      <c r="P18" s="5">
        <f t="shared" ca="1" si="3"/>
        <v>20</v>
      </c>
      <c r="Q18" s="5">
        <f t="shared" ca="1" si="4"/>
        <v>0</v>
      </c>
      <c r="R18" s="5">
        <f t="shared" ca="1" si="5"/>
        <v>20</v>
      </c>
      <c r="S18" s="5">
        <f t="shared" ca="1" si="6"/>
        <v>0</v>
      </c>
      <c r="T18" s="5">
        <f ca="1">M18/IF(Summary!$C$8&lt;&gt;"Patients",1,$I$9)</f>
        <v>5.0017499999999995</v>
      </c>
      <c r="U18" s="5">
        <f ca="1">((N18-M18)/IF(Summary!$C$8&lt;&gt;"Patients",1,$I$9))</f>
        <v>1.5005249999999997</v>
      </c>
      <c r="V18" s="5">
        <f t="shared" si="7"/>
        <v>0</v>
      </c>
      <c r="X18" s="5">
        <f ca="1">(VLOOKUP(D18,'SPC background (hide)'!$AG$2:$AN$54,8,0)/IF(Summary!$C$8&lt;&gt;"Patients",1,$I$9))*(1-$I$4)*(1-$I$5+($I$6*$I$7))</f>
        <v>71.024850000000001</v>
      </c>
    </row>
    <row r="19" spans="1:24" x14ac:dyDescent="0.25">
      <c r="A19" s="87">
        <f t="shared" si="8"/>
        <v>43962</v>
      </c>
      <c r="B19" s="67" t="str">
        <f t="shared" si="0"/>
        <v/>
      </c>
      <c r="C19" s="67" t="str">
        <f t="shared" si="9"/>
        <v/>
      </c>
      <c r="D19" s="67">
        <f t="shared" si="1"/>
        <v>20</v>
      </c>
      <c r="E19" s="5">
        <f ca="1">IF(LEFT(Demand!$C$8,1)="H",VLOOKUP($D19,'SPC background (hide)'!$AG$2:$AS$54,12,0),'Demand background (hide)'!X8)</f>
        <v>160</v>
      </c>
      <c r="F19" s="5">
        <f ca="1">IF(LEFT(Demand!$C$8,1)="H",VLOOKUP($D19,'SPC background (hide)'!$AG$2:$AS$54,13,0),E19*1.1)</f>
        <v>176</v>
      </c>
      <c r="G19" s="5" t="str">
        <f>IF(Setup!$I$15="Yes",VLOOKUP(D19,'SPC background (hide)'!$AG$2:$AT$54,14,0)/IF(Summary!$C$8="Patients",'Summary Calculations (hide)'!$I$9,1),"")</f>
        <v/>
      </c>
      <c r="H19" s="67" t="str">
        <f>IF(Setup!$I$13="Yes",'Planned background (hide)'!$V$23/IF(Summary!$C$8="Patients",'Summary Calculations (hide)'!$I$9,1),"")</f>
        <v/>
      </c>
      <c r="I19" s="5">
        <f ca="1">HLOOKUP(D19,'Capacity calculation (hide)'!$BK$3:$DJ$4,2,0)</f>
        <v>20</v>
      </c>
      <c r="J19" s="5">
        <f ca="1">HLOOKUP(D19,'Capacity calculation (hide)'!$BK$110:$DJ$111,2,0)</f>
        <v>0</v>
      </c>
      <c r="K19" s="5">
        <f ca="1">IF(I19-IF(Setup!$I$15="Yes",$G19,0)-IF(Setup!$I$13="Yes",$H19,0)&lt;0,0,I19-IF(Setup!$I$15="Yes",$G19,0)-IF(Setup!$I$13="Yes",$H19,0))</f>
        <v>20</v>
      </c>
      <c r="L19" s="5">
        <f t="shared" ca="1" si="2"/>
        <v>0</v>
      </c>
      <c r="M19" s="5">
        <f ca="1">(IF('Demand adjustments for Covid'!$F$9="No",E19,SUM('Demand background (hide)'!DS8,'Demand background (hide)'!DV8:DW8))*(1-'Parameters calculator (hide)'!$B$43))*(1-'Parameters calculator (hide)'!$B$44+('Parameters calculator (hide)'!$B$45*'Parameters calculator (hide)'!$B$47))</f>
        <v>10.003499999999999</v>
      </c>
      <c r="N19" s="5">
        <f ca="1">(IF('Demand adjustments for Covid'!$F$9="No",F19,SUM('Demand background (hide)'!DT8,'Demand background (hide)'!DV8:DW8))*(1-'Parameters calculator (hide)'!$B$43))*(1-'Parameters calculator (hide)'!$B$44+('Parameters calculator (hide)'!$B$45*'Parameters calculator (hide)'!$B$47))</f>
        <v>13.004549999999998</v>
      </c>
      <c r="P19" s="5">
        <f t="shared" ca="1" si="3"/>
        <v>20</v>
      </c>
      <c r="Q19" s="5">
        <f t="shared" ca="1" si="4"/>
        <v>0</v>
      </c>
      <c r="R19" s="5">
        <f t="shared" ca="1" si="5"/>
        <v>20</v>
      </c>
      <c r="S19" s="5">
        <f t="shared" ca="1" si="6"/>
        <v>0</v>
      </c>
      <c r="T19" s="5">
        <f ca="1">M19/IF(Summary!$C$8&lt;&gt;"Patients",1,$I$9)</f>
        <v>5.0017499999999995</v>
      </c>
      <c r="U19" s="5">
        <f ca="1">((N19-M19)/IF(Summary!$C$8&lt;&gt;"Patients",1,$I$9))</f>
        <v>1.5005249999999997</v>
      </c>
      <c r="V19" s="5">
        <f t="shared" si="7"/>
        <v>0</v>
      </c>
      <c r="X19" s="5">
        <f ca="1">(VLOOKUP(D19,'SPC background (hide)'!$AG$2:$AN$54,8,0)/IF(Summary!$C$8&lt;&gt;"Patients",1,$I$9))*(1-$I$4)*(1-$I$5+($I$6*$I$7))</f>
        <v>71.024850000000001</v>
      </c>
    </row>
    <row r="20" spans="1:24" x14ac:dyDescent="0.25">
      <c r="A20" s="87">
        <f t="shared" si="8"/>
        <v>43969</v>
      </c>
      <c r="B20" s="67" t="str">
        <f t="shared" si="0"/>
        <v/>
      </c>
      <c r="C20" s="67" t="str">
        <f t="shared" si="9"/>
        <v/>
      </c>
      <c r="D20" s="67">
        <f t="shared" si="1"/>
        <v>21</v>
      </c>
      <c r="E20" s="5">
        <f ca="1">IF(LEFT(Demand!$C$8,1)="H",VLOOKUP($D20,'SPC background (hide)'!$AG$2:$AS$54,12,0),'Demand background (hide)'!X9)</f>
        <v>156</v>
      </c>
      <c r="F20" s="5">
        <f ca="1">IF(LEFT(Demand!$C$8,1)="H",VLOOKUP($D20,'SPC background (hide)'!$AG$2:$AS$54,13,0),E20*1.1)</f>
        <v>171.60000000000002</v>
      </c>
      <c r="G20" s="5" t="str">
        <f>IF(Setup!$I$15="Yes",VLOOKUP(D20,'SPC background (hide)'!$AG$2:$AT$54,14,0)/IF(Summary!$C$8="Patients",'Summary Calculations (hide)'!$I$9,1),"")</f>
        <v/>
      </c>
      <c r="H20" s="67" t="str">
        <f>IF(Setup!$I$13="Yes",'Planned background (hide)'!$V$23/IF(Summary!$C$8="Patients",'Summary Calculations (hide)'!$I$9,1),"")</f>
        <v/>
      </c>
      <c r="I20" s="5">
        <f ca="1">HLOOKUP(D20,'Capacity calculation (hide)'!$BK$3:$DJ$4,2,0)</f>
        <v>20</v>
      </c>
      <c r="J20" s="5">
        <f ca="1">HLOOKUP(D20,'Capacity calculation (hide)'!$BK$110:$DJ$111,2,0)</f>
        <v>0</v>
      </c>
      <c r="K20" s="5">
        <f ca="1">IF(I20-IF(Setup!$I$15="Yes",$G20,0)-IF(Setup!$I$13="Yes",$H20,0)&lt;0,0,I20-IF(Setup!$I$15="Yes",$G20,0)-IF(Setup!$I$13="Yes",$H20,0))</f>
        <v>20</v>
      </c>
      <c r="L20" s="5">
        <f t="shared" ca="1" si="2"/>
        <v>0</v>
      </c>
      <c r="M20" s="5">
        <f ca="1">(IF('Demand adjustments for Covid'!$F$9="No",E20,SUM('Demand background (hide)'!DS9,'Demand background (hide)'!DV9:DW9))*(1-'Parameters calculator (hide)'!$B$43))*(1-'Parameters calculator (hide)'!$B$44+('Parameters calculator (hide)'!$B$45*'Parameters calculator (hide)'!$B$47))</f>
        <v>54.018899999999995</v>
      </c>
      <c r="N20" s="5">
        <f ca="1">(IF('Demand adjustments for Covid'!$F$9="No",F20,SUM('Demand background (hide)'!DT9,'Demand background (hide)'!DV9:DW9))*(1-'Parameters calculator (hide)'!$B$43))*(1-'Parameters calculator (hide)'!$B$44+('Parameters calculator (hide)'!$B$45*'Parameters calculator (hide)'!$B$47))</f>
        <v>57.019949999999994</v>
      </c>
      <c r="P20" s="5">
        <f t="shared" ca="1" si="3"/>
        <v>20</v>
      </c>
      <c r="Q20" s="5">
        <f t="shared" ca="1" si="4"/>
        <v>0</v>
      </c>
      <c r="R20" s="5">
        <f t="shared" ca="1" si="5"/>
        <v>20</v>
      </c>
      <c r="S20" s="5">
        <f t="shared" ca="1" si="6"/>
        <v>0</v>
      </c>
      <c r="T20" s="5">
        <f ca="1">M20/IF(Summary!$C$8&lt;&gt;"Patients",1,$I$9)</f>
        <v>27.009449999999998</v>
      </c>
      <c r="U20" s="5">
        <f ca="1">((N20-M20)/IF(Summary!$C$8&lt;&gt;"Patients",1,$I$9))</f>
        <v>1.5005249999999997</v>
      </c>
      <c r="V20" s="5">
        <f t="shared" si="7"/>
        <v>0</v>
      </c>
      <c r="X20" s="5">
        <f ca="1">(VLOOKUP(D20,'SPC background (hide)'!$AG$2:$AN$54,8,0)/IF(Summary!$C$8&lt;&gt;"Patients",1,$I$9))*(1-$I$4)*(1-$I$5+($I$6*$I$7))</f>
        <v>71.024850000000001</v>
      </c>
    </row>
    <row r="21" spans="1:24" x14ac:dyDescent="0.25">
      <c r="A21" s="87">
        <f t="shared" si="8"/>
        <v>43976</v>
      </c>
      <c r="B21" s="67" t="str">
        <f t="shared" si="0"/>
        <v/>
      </c>
      <c r="C21" s="67" t="str">
        <f t="shared" si="9"/>
        <v/>
      </c>
      <c r="D21" s="67">
        <f t="shared" si="1"/>
        <v>22</v>
      </c>
      <c r="E21" s="5">
        <f ca="1">IF(LEFT(Demand!$C$8,1)="H",VLOOKUP($D21,'SPC background (hide)'!$AG$2:$AS$54,12,0),'Demand background (hide)'!X10)</f>
        <v>154</v>
      </c>
      <c r="F21" s="5">
        <f ca="1">IF(LEFT(Demand!$C$8,1)="H",VLOOKUP($D21,'SPC background (hide)'!$AG$2:$AS$54,13,0),E21*1.1)</f>
        <v>169.4</v>
      </c>
      <c r="G21" s="5" t="str">
        <f>IF(Setup!$I$15="Yes",VLOOKUP(D21,'SPC background (hide)'!$AG$2:$AT$54,14,0)/IF(Summary!$C$8="Patients",'Summary Calculations (hide)'!$I$9,1),"")</f>
        <v/>
      </c>
      <c r="H21" s="67" t="str">
        <f>IF(Setup!$I$13="Yes",'Planned background (hide)'!$V$23/IF(Summary!$C$8="Patients",'Summary Calculations (hide)'!$I$9,1),"")</f>
        <v/>
      </c>
      <c r="I21" s="5">
        <f ca="1">HLOOKUP(D21,'Capacity calculation (hide)'!$BK$3:$DJ$4,2,0)</f>
        <v>40</v>
      </c>
      <c r="J21" s="5">
        <f ca="1">HLOOKUP(D21,'Capacity calculation (hide)'!$BK$110:$DJ$111,2,0)</f>
        <v>0</v>
      </c>
      <c r="K21" s="5">
        <f ca="1">IF(I21-IF(Setup!$I$15="Yes",$G21,0)-IF(Setup!$I$13="Yes",$H21,0)&lt;0,0,I21-IF(Setup!$I$15="Yes",$G21,0)-IF(Setup!$I$13="Yes",$H21,0))</f>
        <v>40</v>
      </c>
      <c r="L21" s="5">
        <f t="shared" ca="1" si="2"/>
        <v>0</v>
      </c>
      <c r="M21" s="5">
        <f ca="1">(IF('Demand adjustments for Covid'!$F$9="No",E21,SUM('Demand background (hide)'!DS10,'Demand background (hide)'!DV10:DW10))*(1-'Parameters calculator (hide)'!$B$43))*(1-'Parameters calculator (hide)'!$B$44+('Parameters calculator (hide)'!$B$45*'Parameters calculator (hide)'!$B$47))</f>
        <v>98.034299999999988</v>
      </c>
      <c r="N21" s="5">
        <f ca="1">(IF('Demand adjustments for Covid'!$F$9="No",F21,SUM('Demand background (hide)'!DT10,'Demand background (hide)'!DV10:DW10))*(1-'Parameters calculator (hide)'!$B$43))*(1-'Parameters calculator (hide)'!$B$44+('Parameters calculator (hide)'!$B$45*'Parameters calculator (hide)'!$B$47))</f>
        <v>101.03534999999998</v>
      </c>
      <c r="P21" s="5">
        <f t="shared" ca="1" si="3"/>
        <v>40</v>
      </c>
      <c r="Q21" s="5">
        <f t="shared" ca="1" si="4"/>
        <v>0</v>
      </c>
      <c r="R21" s="5">
        <f t="shared" ca="1" si="5"/>
        <v>40</v>
      </c>
      <c r="S21" s="5">
        <f t="shared" ca="1" si="6"/>
        <v>0</v>
      </c>
      <c r="T21" s="5">
        <f ca="1">M21/IF(Summary!$C$8&lt;&gt;"Patients",1,$I$9)</f>
        <v>49.017149999999994</v>
      </c>
      <c r="U21" s="5">
        <f ca="1">((N21-M21)/IF(Summary!$C$8&lt;&gt;"Patients",1,$I$9))</f>
        <v>1.5005249999999961</v>
      </c>
      <c r="V21" s="5">
        <f t="shared" si="7"/>
        <v>0</v>
      </c>
      <c r="X21" s="5">
        <f ca="1">(VLOOKUP(D21,'SPC background (hide)'!$AG$2:$AN$54,8,0)/IF(Summary!$C$8&lt;&gt;"Patients",1,$I$9))*(1-$I$4)*(1-$I$5+($I$6*$I$7))</f>
        <v>71.024850000000001</v>
      </c>
    </row>
    <row r="22" spans="1:24" x14ac:dyDescent="0.25">
      <c r="A22" s="87">
        <f t="shared" si="8"/>
        <v>43983</v>
      </c>
      <c r="B22" s="67" t="str">
        <f t="shared" si="0"/>
        <v/>
      </c>
      <c r="C22" s="67" t="str">
        <f t="shared" si="9"/>
        <v>Jun</v>
      </c>
      <c r="D22" s="67">
        <f t="shared" si="1"/>
        <v>23</v>
      </c>
      <c r="E22" s="5">
        <f ca="1">IF(LEFT(Demand!$C$8,1)="H",VLOOKUP($D22,'SPC background (hide)'!$AG$2:$AS$54,12,0),'Demand background (hide)'!X11)</f>
        <v>142</v>
      </c>
      <c r="F22" s="5">
        <f ca="1">IF(LEFT(Demand!$C$8,1)="H",VLOOKUP($D22,'SPC background (hide)'!$AG$2:$AS$54,13,0),E22*1.1)</f>
        <v>156.20000000000002</v>
      </c>
      <c r="G22" s="5" t="str">
        <f>IF(Setup!$I$15="Yes",VLOOKUP(D22,'SPC background (hide)'!$AG$2:$AT$54,14,0)/IF(Summary!$C$8="Patients",'Summary Calculations (hide)'!$I$9,1),"")</f>
        <v/>
      </c>
      <c r="H22" s="67" t="str">
        <f>IF(Setup!$I$13="Yes",'Planned background (hide)'!$V$23/IF(Summary!$C$8="Patients",'Summary Calculations (hide)'!$I$9,1),"")</f>
        <v/>
      </c>
      <c r="I22" s="5">
        <f ca="1">HLOOKUP(D22,'Capacity calculation (hide)'!$BK$3:$DJ$4,2,0)</f>
        <v>80</v>
      </c>
      <c r="J22" s="5">
        <f ca="1">HLOOKUP(D22,'Capacity calculation (hide)'!$BK$110:$DJ$111,2,0)</f>
        <v>0</v>
      </c>
      <c r="K22" s="5">
        <f ca="1">IF(I22-IF(Setup!$I$15="Yes",$G22,0)-IF(Setup!$I$13="Yes",$H22,0)&lt;0,0,I22-IF(Setup!$I$15="Yes",$G22,0)-IF(Setup!$I$13="Yes",$H22,0))</f>
        <v>80</v>
      </c>
      <c r="L22" s="5">
        <f t="shared" ca="1" si="2"/>
        <v>0</v>
      </c>
      <c r="M22" s="5">
        <f ca="1">(IF('Demand adjustments for Covid'!$F$9="No",E22,SUM('Demand background (hide)'!DS11,'Demand background (hide)'!DV11:DW11))*(1-'Parameters calculator (hide)'!$B$43))*(1-'Parameters calculator (hide)'!$B$44+('Parameters calculator (hide)'!$B$45*'Parameters calculator (hide)'!$B$47))</f>
        <v>142.0497</v>
      </c>
      <c r="N22" s="5">
        <f ca="1">(IF('Demand adjustments for Covid'!$F$9="No",F22,SUM('Demand background (hide)'!DT11,'Demand background (hide)'!DV11:DW11))*(1-'Parameters calculator (hide)'!$B$43))*(1-'Parameters calculator (hide)'!$B$44+('Parameters calculator (hide)'!$B$45*'Parameters calculator (hide)'!$B$47))</f>
        <v>145.05074999999999</v>
      </c>
      <c r="P22" s="5">
        <f t="shared" ca="1" si="3"/>
        <v>80</v>
      </c>
      <c r="Q22" s="5">
        <f t="shared" ca="1" si="4"/>
        <v>0</v>
      </c>
      <c r="R22" s="5">
        <f t="shared" ca="1" si="5"/>
        <v>80</v>
      </c>
      <c r="S22" s="5">
        <f t="shared" ca="1" si="6"/>
        <v>0</v>
      </c>
      <c r="T22" s="5">
        <f ca="1">M22/IF(Summary!$C$8&lt;&gt;"Patients",1,$I$9)</f>
        <v>71.024850000000001</v>
      </c>
      <c r="U22" s="5">
        <f ca="1">((N22-M22)/IF(Summary!$C$8&lt;&gt;"Patients",1,$I$9))</f>
        <v>1.5005249999999961</v>
      </c>
      <c r="V22" s="5">
        <f t="shared" si="7"/>
        <v>0</v>
      </c>
      <c r="X22" s="5">
        <f ca="1">(VLOOKUP(D22,'SPC background (hide)'!$AG$2:$AN$54,8,0)/IF(Summary!$C$8&lt;&gt;"Patients",1,$I$9))*(1-$I$4)*(1-$I$5+($I$6*$I$7))</f>
        <v>71.024850000000001</v>
      </c>
    </row>
    <row r="23" spans="1:24" x14ac:dyDescent="0.25">
      <c r="A23" s="87">
        <f t="shared" si="8"/>
        <v>43990</v>
      </c>
      <c r="B23" s="67" t="str">
        <f t="shared" si="0"/>
        <v/>
      </c>
      <c r="C23" s="67" t="str">
        <f t="shared" si="9"/>
        <v/>
      </c>
      <c r="D23" s="67">
        <f t="shared" si="1"/>
        <v>24</v>
      </c>
      <c r="E23" s="5">
        <f ca="1">IF(LEFT(Demand!$C$8,1)="H",VLOOKUP($D23,'SPC background (hide)'!$AG$2:$AS$54,12,0),'Demand background (hide)'!X12)</f>
        <v>142</v>
      </c>
      <c r="F23" s="5">
        <f ca="1">IF(LEFT(Demand!$C$8,1)="H",VLOOKUP($D23,'SPC background (hide)'!$AG$2:$AS$54,13,0),E23*1.1)</f>
        <v>156.20000000000002</v>
      </c>
      <c r="G23" s="5" t="str">
        <f>IF(Setup!$I$15="Yes",VLOOKUP(D23,'SPC background (hide)'!$AG$2:$AT$54,14,0)/IF(Summary!$C$8="Patients",'Summary Calculations (hide)'!$I$9,1),"")</f>
        <v/>
      </c>
      <c r="H23" s="67" t="str">
        <f>IF(Setup!$I$13="Yes",'Planned background (hide)'!$V$23/IF(Summary!$C$8="Patients",'Summary Calculations (hide)'!$I$9,1),"")</f>
        <v/>
      </c>
      <c r="I23" s="5">
        <f ca="1">HLOOKUP(D23,'Capacity calculation (hide)'!$BK$3:$DJ$4,2,0)</f>
        <v>100</v>
      </c>
      <c r="J23" s="5">
        <f ca="1">HLOOKUP(D23,'Capacity calculation (hide)'!$BK$110:$DJ$111,2,0)</f>
        <v>0</v>
      </c>
      <c r="K23" s="5">
        <f ca="1">IF(I23-IF(Setup!$I$15="Yes",$G23,0)-IF(Setup!$I$13="Yes",$H23,0)&lt;0,0,I23-IF(Setup!$I$15="Yes",$G23,0)-IF(Setup!$I$13="Yes",$H23,0))</f>
        <v>100</v>
      </c>
      <c r="L23" s="5">
        <f t="shared" ca="1" si="2"/>
        <v>0</v>
      </c>
      <c r="M23" s="5">
        <f ca="1">(IF('Demand adjustments for Covid'!$F$9="No",E23,SUM('Demand background (hide)'!DS12,'Demand background (hide)'!DV12:DW12))*(1-'Parameters calculator (hide)'!$B$43))*(1-'Parameters calculator (hide)'!$B$44+('Parameters calculator (hide)'!$B$45*'Parameters calculator (hide)'!$B$47))</f>
        <v>192.06719999999996</v>
      </c>
      <c r="N23" s="5">
        <f ca="1">(IF('Demand adjustments for Covid'!$F$9="No",F23,SUM('Demand background (hide)'!DT12,'Demand background (hide)'!DV12:DW12))*(1-'Parameters calculator (hide)'!$B$43))*(1-'Parameters calculator (hide)'!$B$44+('Parameters calculator (hide)'!$B$45*'Parameters calculator (hide)'!$B$47))</f>
        <v>206.27217000000002</v>
      </c>
      <c r="P23" s="5">
        <f t="shared" ca="1" si="3"/>
        <v>100</v>
      </c>
      <c r="Q23" s="5">
        <f t="shared" ca="1" si="4"/>
        <v>0</v>
      </c>
      <c r="R23" s="5">
        <f t="shared" ca="1" si="5"/>
        <v>100</v>
      </c>
      <c r="S23" s="5">
        <f t="shared" ca="1" si="6"/>
        <v>0</v>
      </c>
      <c r="T23" s="5">
        <f ca="1">M23/IF(Summary!$C$8&lt;&gt;"Patients",1,$I$9)</f>
        <v>96.033599999999979</v>
      </c>
      <c r="U23" s="5">
        <f ca="1">((N23-M23)/IF(Summary!$C$8&lt;&gt;"Patients",1,$I$9))</f>
        <v>7.1024850000000299</v>
      </c>
      <c r="V23" s="5">
        <f t="shared" si="7"/>
        <v>0</v>
      </c>
      <c r="X23" s="5">
        <f ca="1">(VLOOKUP(D23,'SPC background (hide)'!$AG$2:$AN$54,8,0)/IF(Summary!$C$8&lt;&gt;"Patients",1,$I$9))*(1-$I$4)*(1-$I$5+($I$6*$I$7))</f>
        <v>71.024850000000001</v>
      </c>
    </row>
    <row r="24" spans="1:24" x14ac:dyDescent="0.25">
      <c r="A24" s="87">
        <f t="shared" si="8"/>
        <v>43997</v>
      </c>
      <c r="B24" s="67" t="str">
        <f t="shared" si="0"/>
        <v/>
      </c>
      <c r="C24" s="67" t="str">
        <f t="shared" si="9"/>
        <v/>
      </c>
      <c r="D24" s="67">
        <f t="shared" si="1"/>
        <v>25</v>
      </c>
      <c r="E24" s="5">
        <f ca="1">IF(LEFT(Demand!$C$8,1)="H",VLOOKUP($D24,'SPC background (hide)'!$AG$2:$AS$54,12,0),'Demand background (hide)'!X13)</f>
        <v>140</v>
      </c>
      <c r="F24" s="5">
        <f ca="1">IF(LEFT(Demand!$C$8,1)="H",VLOOKUP($D24,'SPC background (hide)'!$AG$2:$AS$54,13,0),E24*1.1)</f>
        <v>154</v>
      </c>
      <c r="G24" s="5" t="str">
        <f>IF(Setup!$I$15="Yes",VLOOKUP(D24,'SPC background (hide)'!$AG$2:$AT$54,14,0)/IF(Summary!$C$8="Patients",'Summary Calculations (hide)'!$I$9,1),"")</f>
        <v/>
      </c>
      <c r="H24" s="67" t="str">
        <f>IF(Setup!$I$13="Yes",'Planned background (hide)'!$V$23/IF(Summary!$C$8="Patients",'Summary Calculations (hide)'!$I$9,1),"")</f>
        <v/>
      </c>
      <c r="I24" s="5">
        <f ca="1">HLOOKUP(D24,'Capacity calculation (hide)'!$BK$3:$DJ$4,2,0)</f>
        <v>100</v>
      </c>
      <c r="J24" s="5">
        <f ca="1">HLOOKUP(D24,'Capacity calculation (hide)'!$BK$110:$DJ$111,2,0)</f>
        <v>0</v>
      </c>
      <c r="K24" s="5">
        <f ca="1">IF(I24-IF(Setup!$I$15="Yes",$G24,0)-IF(Setup!$I$13="Yes",$H24,0)&lt;0,0,I24-IF(Setup!$I$15="Yes",$G24,0)-IF(Setup!$I$13="Yes",$H24,0))</f>
        <v>100</v>
      </c>
      <c r="L24" s="5">
        <f t="shared" ca="1" si="2"/>
        <v>0</v>
      </c>
      <c r="M24" s="5">
        <f ca="1">(IF('Demand adjustments for Covid'!$F$9="No",E24,SUM('Demand background (hide)'!DS13,'Demand background (hide)'!DV13:DW13))*(1-'Parameters calculator (hide)'!$B$43))*(1-'Parameters calculator (hide)'!$B$44+('Parameters calculator (hide)'!$B$45*'Parameters calculator (hide)'!$B$47))</f>
        <v>190.06649999999999</v>
      </c>
      <c r="N24" s="5">
        <f ca="1">(IF('Demand adjustments for Covid'!$F$9="No",F24,SUM('Demand background (hide)'!DT13,'Demand background (hide)'!DV13:DW13))*(1-'Parameters calculator (hide)'!$B$43))*(1-'Parameters calculator (hide)'!$B$44+('Parameters calculator (hide)'!$B$45*'Parameters calculator (hide)'!$B$47))</f>
        <v>204.07139999999998</v>
      </c>
      <c r="P24" s="5">
        <f t="shared" ca="1" si="3"/>
        <v>100</v>
      </c>
      <c r="Q24" s="5">
        <f t="shared" ca="1" si="4"/>
        <v>0</v>
      </c>
      <c r="R24" s="5">
        <f t="shared" ca="1" si="5"/>
        <v>100</v>
      </c>
      <c r="S24" s="5">
        <f t="shared" ca="1" si="6"/>
        <v>0</v>
      </c>
      <c r="T24" s="5">
        <f ca="1">M24/IF(Summary!$C$8&lt;&gt;"Patients",1,$I$9)</f>
        <v>95.033249999999995</v>
      </c>
      <c r="U24" s="5">
        <f ca="1">((N24-M24)/IF(Summary!$C$8&lt;&gt;"Patients",1,$I$9))</f>
        <v>7.0024499999999961</v>
      </c>
      <c r="V24" s="5">
        <f t="shared" si="7"/>
        <v>0</v>
      </c>
      <c r="X24" s="5">
        <f ca="1">(VLOOKUP(D24,'SPC background (hide)'!$AG$2:$AN$54,8,0)/IF(Summary!$C$8&lt;&gt;"Patients",1,$I$9))*(1-$I$4)*(1-$I$5+($I$6*$I$7))</f>
        <v>71.024850000000001</v>
      </c>
    </row>
    <row r="25" spans="1:24" x14ac:dyDescent="0.25">
      <c r="A25" s="87">
        <f t="shared" si="8"/>
        <v>44004</v>
      </c>
      <c r="B25" s="67" t="str">
        <f t="shared" si="0"/>
        <v/>
      </c>
      <c r="C25" s="67" t="str">
        <f t="shared" si="9"/>
        <v/>
      </c>
      <c r="D25" s="67">
        <f t="shared" si="1"/>
        <v>26</v>
      </c>
      <c r="E25" s="5">
        <f ca="1">IF(LEFT(Demand!$C$8,1)="H",VLOOKUP($D25,'SPC background (hide)'!$AG$2:$AS$54,12,0),'Demand background (hide)'!X14)</f>
        <v>152</v>
      </c>
      <c r="F25" s="5">
        <f ca="1">IF(LEFT(Demand!$C$8,1)="H",VLOOKUP($D25,'SPC background (hide)'!$AG$2:$AS$54,13,0),E25*1.1)</f>
        <v>167.20000000000002</v>
      </c>
      <c r="G25" s="5" t="str">
        <f>IF(Setup!$I$15="Yes",VLOOKUP(D25,'SPC background (hide)'!$AG$2:$AT$54,14,0)/IF(Summary!$C$8="Patients",'Summary Calculations (hide)'!$I$9,1),"")</f>
        <v/>
      </c>
      <c r="H25" s="67" t="str">
        <f>IF(Setup!$I$13="Yes",'Planned background (hide)'!$V$23/IF(Summary!$C$8="Patients",'Summary Calculations (hide)'!$I$9,1),"")</f>
        <v/>
      </c>
      <c r="I25" s="5">
        <f ca="1">HLOOKUP(D25,'Capacity calculation (hide)'!$BK$3:$DJ$4,2,0)</f>
        <v>100</v>
      </c>
      <c r="J25" s="5">
        <f ca="1">HLOOKUP(D25,'Capacity calculation (hide)'!$BK$110:$DJ$111,2,0)</f>
        <v>0</v>
      </c>
      <c r="K25" s="5">
        <f ca="1">IF(I25-IF(Setup!$I$15="Yes",$G25,0)-IF(Setup!$I$13="Yes",$H25,0)&lt;0,0,I25-IF(Setup!$I$15="Yes",$G25,0)-IF(Setup!$I$13="Yes",$H25,0))</f>
        <v>100</v>
      </c>
      <c r="L25" s="5">
        <f t="shared" ca="1" si="2"/>
        <v>0</v>
      </c>
      <c r="M25" s="5">
        <f ca="1">(IF('Demand adjustments for Covid'!$F$9="No",E25,SUM('Demand background (hide)'!DS14,'Demand background (hide)'!DV14:DW14))*(1-'Parameters calculator (hide)'!$B$43))*(1-'Parameters calculator (hide)'!$B$44+('Parameters calculator (hide)'!$B$45*'Parameters calculator (hide)'!$B$47))</f>
        <v>192.06719999999996</v>
      </c>
      <c r="N25" s="5">
        <f ca="1">(IF('Demand adjustments for Covid'!$F$9="No",F25,SUM('Demand background (hide)'!DT14,'Demand background (hide)'!DV14:DW14))*(1-'Parameters calculator (hide)'!$B$43))*(1-'Parameters calculator (hide)'!$B$44+('Parameters calculator (hide)'!$B$45*'Parameters calculator (hide)'!$B$47))</f>
        <v>207.27251999999999</v>
      </c>
      <c r="P25" s="5">
        <f t="shared" ca="1" si="3"/>
        <v>100</v>
      </c>
      <c r="Q25" s="5">
        <f t="shared" ca="1" si="4"/>
        <v>0</v>
      </c>
      <c r="R25" s="5">
        <f t="shared" ca="1" si="5"/>
        <v>100</v>
      </c>
      <c r="S25" s="5">
        <f t="shared" ca="1" si="6"/>
        <v>0</v>
      </c>
      <c r="T25" s="5">
        <f ca="1">M25/IF(Summary!$C$8&lt;&gt;"Patients",1,$I$9)</f>
        <v>96.033599999999979</v>
      </c>
      <c r="U25" s="5">
        <f ca="1">((N25-M25)/IF(Summary!$C$8&lt;&gt;"Patients",1,$I$9))</f>
        <v>7.6026600000000144</v>
      </c>
      <c r="V25" s="5">
        <f t="shared" si="7"/>
        <v>0</v>
      </c>
      <c r="X25" s="5">
        <f ca="1">(VLOOKUP(D25,'SPC background (hide)'!$AG$2:$AN$54,8,0)/IF(Summary!$C$8&lt;&gt;"Patients",1,$I$9))*(1-$I$4)*(1-$I$5+($I$6*$I$7))</f>
        <v>71.024850000000001</v>
      </c>
    </row>
    <row r="26" spans="1:24" x14ac:dyDescent="0.25">
      <c r="A26" s="87">
        <f t="shared" si="8"/>
        <v>44011</v>
      </c>
      <c r="B26" s="67" t="str">
        <f t="shared" si="0"/>
        <v/>
      </c>
      <c r="C26" s="67" t="str">
        <f t="shared" si="9"/>
        <v/>
      </c>
      <c r="D26" s="67">
        <f t="shared" si="1"/>
        <v>27</v>
      </c>
      <c r="E26" s="5">
        <f ca="1">IF(LEFT(Demand!$C$8,1)="H",VLOOKUP($D26,'SPC background (hide)'!$AG$2:$AS$54,12,0),'Demand background (hide)'!X15)</f>
        <v>138</v>
      </c>
      <c r="F26" s="5">
        <f ca="1">IF(LEFT(Demand!$C$8,1)="H",VLOOKUP($D26,'SPC background (hide)'!$AG$2:$AS$54,13,0),E26*1.1)</f>
        <v>151.80000000000001</v>
      </c>
      <c r="G26" s="5" t="str">
        <f>IF(Setup!$I$15="Yes",VLOOKUP(D26,'SPC background (hide)'!$AG$2:$AT$54,14,0)/IF(Summary!$C$8="Patients",'Summary Calculations (hide)'!$I$9,1),"")</f>
        <v/>
      </c>
      <c r="H26" s="67" t="str">
        <f>IF(Setup!$I$13="Yes",'Planned background (hide)'!$V$23/IF(Summary!$C$8="Patients",'Summary Calculations (hide)'!$I$9,1),"")</f>
        <v/>
      </c>
      <c r="I26" s="5">
        <f ca="1">HLOOKUP(D26,'Capacity calculation (hide)'!$BK$3:$DJ$4,2,0)</f>
        <v>100</v>
      </c>
      <c r="J26" s="5">
        <f ca="1">HLOOKUP(D26,'Capacity calculation (hide)'!$BK$110:$DJ$111,2,0)</f>
        <v>0</v>
      </c>
      <c r="K26" s="5">
        <f ca="1">IF(I26-IF(Setup!$I$15="Yes",$G26,0)-IF(Setup!$I$13="Yes",$H26,0)&lt;0,0,I26-IF(Setup!$I$15="Yes",$G26,0)-IF(Setup!$I$13="Yes",$H26,0))</f>
        <v>100</v>
      </c>
      <c r="L26" s="5">
        <f t="shared" ca="1" si="2"/>
        <v>0</v>
      </c>
      <c r="M26" s="5">
        <f ca="1">(IF('Demand adjustments for Covid'!$F$9="No",E26,SUM('Demand background (hide)'!DS15,'Demand background (hide)'!DV15:DW15))*(1-'Parameters calculator (hide)'!$B$43))*(1-'Parameters calculator (hide)'!$B$44+('Parameters calculator (hide)'!$B$45*'Parameters calculator (hide)'!$B$47))</f>
        <v>148.05179999999999</v>
      </c>
      <c r="N26" s="5">
        <f ca="1">(IF('Demand adjustments for Covid'!$F$9="No",F26,SUM('Demand background (hide)'!DT15,'Demand background (hide)'!DV15:DW15))*(1-'Parameters calculator (hide)'!$B$43))*(1-'Parameters calculator (hide)'!$B$44+('Parameters calculator (hide)'!$B$45*'Parameters calculator (hide)'!$B$47))</f>
        <v>161.85663</v>
      </c>
      <c r="P26" s="5">
        <f t="shared" ca="1" si="3"/>
        <v>100</v>
      </c>
      <c r="Q26" s="5">
        <f t="shared" ca="1" si="4"/>
        <v>0</v>
      </c>
      <c r="R26" s="5">
        <f t="shared" ca="1" si="5"/>
        <v>100</v>
      </c>
      <c r="S26" s="5">
        <f t="shared" ca="1" si="6"/>
        <v>0</v>
      </c>
      <c r="T26" s="5">
        <f ca="1">M26/IF(Summary!$C$8&lt;&gt;"Patients",1,$I$9)</f>
        <v>74.025899999999993</v>
      </c>
      <c r="U26" s="5">
        <f ca="1">((N26-M26)/IF(Summary!$C$8&lt;&gt;"Patients",1,$I$9))</f>
        <v>6.9024150000000049</v>
      </c>
      <c r="V26" s="5">
        <f t="shared" si="7"/>
        <v>0</v>
      </c>
      <c r="X26" s="5">
        <f ca="1">(VLOOKUP(D26,'SPC background (hide)'!$AG$2:$AN$54,8,0)/IF(Summary!$C$8&lt;&gt;"Patients",1,$I$9))*(1-$I$4)*(1-$I$5+($I$6*$I$7))</f>
        <v>71.024850000000001</v>
      </c>
    </row>
    <row r="27" spans="1:24" x14ac:dyDescent="0.25">
      <c r="A27" s="87">
        <f t="shared" si="8"/>
        <v>44018</v>
      </c>
      <c r="B27" s="67" t="str">
        <f t="shared" si="0"/>
        <v/>
      </c>
      <c r="C27" s="67" t="str">
        <f t="shared" si="9"/>
        <v>Jul</v>
      </c>
      <c r="D27" s="67">
        <f t="shared" si="1"/>
        <v>28</v>
      </c>
      <c r="E27" s="5">
        <f ca="1">IF(LEFT(Demand!$C$8,1)="H",VLOOKUP($D27,'SPC background (hide)'!$AG$2:$AS$54,12,0),'Demand background (hide)'!X16)</f>
        <v>120</v>
      </c>
      <c r="F27" s="5">
        <f ca="1">IF(LEFT(Demand!$C$8,1)="H",VLOOKUP($D27,'SPC background (hide)'!$AG$2:$AS$54,13,0),E27*1.1)</f>
        <v>132</v>
      </c>
      <c r="G27" s="5" t="str">
        <f>IF(Setup!$I$15="Yes",VLOOKUP(D27,'SPC background (hide)'!$AG$2:$AT$54,14,0)/IF(Summary!$C$8="Patients",'Summary Calculations (hide)'!$I$9,1),"")</f>
        <v/>
      </c>
      <c r="H27" s="67" t="str">
        <f>IF(Setup!$I$13="Yes",'Planned background (hide)'!$V$23/IF(Summary!$C$8="Patients",'Summary Calculations (hide)'!$I$9,1),"")</f>
        <v/>
      </c>
      <c r="I27" s="5">
        <f ca="1">HLOOKUP(D27,'Capacity calculation (hide)'!$BK$3:$DJ$4,2,0)</f>
        <v>80.769230769230774</v>
      </c>
      <c r="J27" s="5">
        <f ca="1">HLOOKUP(D27,'Capacity calculation (hide)'!$BK$110:$DJ$111,2,0)</f>
        <v>10</v>
      </c>
      <c r="K27" s="5">
        <f ca="1">IF(I27-IF(Setup!$I$15="Yes",$G27,0)-IF(Setup!$I$13="Yes",$H27,0)&lt;0,0,I27-IF(Setup!$I$15="Yes",$G27,0)-IF(Setup!$I$13="Yes",$H27,0))</f>
        <v>80.769230769230774</v>
      </c>
      <c r="L27" s="5">
        <f t="shared" ca="1" si="2"/>
        <v>10</v>
      </c>
      <c r="M27" s="5">
        <f ca="1">(IF('Demand adjustments for Covid'!$F$9="No",E27,SUM('Demand background (hide)'!DS16,'Demand background (hide)'!DV16:DW16))*(1-'Parameters calculator (hide)'!$B$43))*(1-'Parameters calculator (hide)'!$B$44+('Parameters calculator (hide)'!$B$45*'Parameters calculator (hide)'!$B$47))</f>
        <v>130.0455</v>
      </c>
      <c r="N27" s="5">
        <f ca="1">(IF('Demand adjustments for Covid'!$F$9="No",F27,SUM('Demand background (hide)'!DT16,'Demand background (hide)'!DV16:DW16))*(1-'Parameters calculator (hide)'!$B$43))*(1-'Parameters calculator (hide)'!$B$44+('Parameters calculator (hide)'!$B$45*'Parameters calculator (hide)'!$B$47))</f>
        <v>142.0497</v>
      </c>
      <c r="P27" s="5">
        <f t="shared" ca="1" si="3"/>
        <v>80.769230769230774</v>
      </c>
      <c r="Q27" s="5">
        <f t="shared" ca="1" si="4"/>
        <v>10</v>
      </c>
      <c r="R27" s="5">
        <f t="shared" ca="1" si="5"/>
        <v>80.769230769230774</v>
      </c>
      <c r="S27" s="5">
        <f t="shared" ca="1" si="6"/>
        <v>10</v>
      </c>
      <c r="T27" s="5">
        <f ca="1">M27/IF(Summary!$C$8&lt;&gt;"Patients",1,$I$9)</f>
        <v>65.022750000000002</v>
      </c>
      <c r="U27" s="5">
        <f ca="1">((N27-M27)/IF(Summary!$C$8&lt;&gt;"Patients",1,$I$9))</f>
        <v>6.0020999999999987</v>
      </c>
      <c r="V27" s="5">
        <f t="shared" si="7"/>
        <v>0</v>
      </c>
      <c r="X27" s="5">
        <f ca="1">(VLOOKUP(D27,'SPC background (hide)'!$AG$2:$AN$54,8,0)/IF(Summary!$C$8&lt;&gt;"Patients",1,$I$9))*(1-$I$4)*(1-$I$5+($I$6*$I$7))</f>
        <v>71.024850000000001</v>
      </c>
    </row>
    <row r="28" spans="1:24" x14ac:dyDescent="0.25">
      <c r="A28" s="87">
        <f t="shared" si="8"/>
        <v>44025</v>
      </c>
      <c r="B28" s="67" t="str">
        <f t="shared" si="0"/>
        <v/>
      </c>
      <c r="C28" s="67" t="str">
        <f t="shared" si="9"/>
        <v/>
      </c>
      <c r="D28" s="67">
        <f t="shared" si="1"/>
        <v>29</v>
      </c>
      <c r="E28" s="5">
        <f ca="1">IF(LEFT(Demand!$C$8,1)="H",VLOOKUP($D28,'SPC background (hide)'!$AG$2:$AS$54,12,0),'Demand background (hide)'!X17)</f>
        <v>136</v>
      </c>
      <c r="F28" s="5">
        <f ca="1">IF(LEFT(Demand!$C$8,1)="H",VLOOKUP($D28,'SPC background (hide)'!$AG$2:$AS$54,13,0),E28*1.1)</f>
        <v>149.60000000000002</v>
      </c>
      <c r="G28" s="5" t="str">
        <f>IF(Setup!$I$15="Yes",VLOOKUP(D28,'SPC background (hide)'!$AG$2:$AT$54,14,0)/IF(Summary!$C$8="Patients",'Summary Calculations (hide)'!$I$9,1),"")</f>
        <v/>
      </c>
      <c r="H28" s="67" t="str">
        <f>IF(Setup!$I$13="Yes",'Planned background (hide)'!$V$23/IF(Summary!$C$8="Patients",'Summary Calculations (hide)'!$I$9,1),"")</f>
        <v/>
      </c>
      <c r="I28" s="5">
        <f ca="1">HLOOKUP(D28,'Capacity calculation (hide)'!$BK$3:$DJ$4,2,0)</f>
        <v>80.769230769230774</v>
      </c>
      <c r="J28" s="5">
        <f ca="1">HLOOKUP(D28,'Capacity calculation (hide)'!$BK$110:$DJ$111,2,0)</f>
        <v>10</v>
      </c>
      <c r="K28" s="5">
        <f ca="1">IF(I28-IF(Setup!$I$15="Yes",$G28,0)-IF(Setup!$I$13="Yes",$H28,0)&lt;0,0,I28-IF(Setup!$I$15="Yes",$G28,0)-IF(Setup!$I$13="Yes",$H28,0))</f>
        <v>80.769230769230774</v>
      </c>
      <c r="L28" s="5">
        <f t="shared" ca="1" si="2"/>
        <v>10</v>
      </c>
      <c r="M28" s="5">
        <f ca="1">(IF('Demand adjustments for Covid'!$F$9="No",E28,SUM('Demand background (hide)'!DS17,'Demand background (hide)'!DV17:DW17))*(1-'Parameters calculator (hide)'!$B$43))*(1-'Parameters calculator (hide)'!$B$44+('Parameters calculator (hide)'!$B$45*'Parameters calculator (hide)'!$B$47))</f>
        <v>136.04759999999999</v>
      </c>
      <c r="N28" s="5">
        <f ca="1">(IF('Demand adjustments for Covid'!$F$9="No",F28,SUM('Demand background (hide)'!DT17,'Demand background (hide)'!DV17:DW17))*(1-'Parameters calculator (hide)'!$B$43))*(1-'Parameters calculator (hide)'!$B$44+('Parameters calculator (hide)'!$B$45*'Parameters calculator (hide)'!$B$47))</f>
        <v>149.65235999999999</v>
      </c>
      <c r="P28" s="5">
        <f t="shared" ca="1" si="3"/>
        <v>80.769230769230774</v>
      </c>
      <c r="Q28" s="5">
        <f t="shared" ca="1" si="4"/>
        <v>10</v>
      </c>
      <c r="R28" s="5">
        <f t="shared" ca="1" si="5"/>
        <v>80.769230769230774</v>
      </c>
      <c r="S28" s="5">
        <f t="shared" ca="1" si="6"/>
        <v>10</v>
      </c>
      <c r="T28" s="5">
        <f ca="1">M28/IF(Summary!$C$8&lt;&gt;"Patients",1,$I$9)</f>
        <v>68.023799999999994</v>
      </c>
      <c r="U28" s="5">
        <f ca="1">((N28-M28)/IF(Summary!$C$8&lt;&gt;"Patients",1,$I$9))</f>
        <v>6.8023799999999994</v>
      </c>
      <c r="V28" s="5">
        <f t="shared" si="7"/>
        <v>0</v>
      </c>
      <c r="X28" s="5">
        <f ca="1">(VLOOKUP(D28,'SPC background (hide)'!$AG$2:$AN$54,8,0)/IF(Summary!$C$8&lt;&gt;"Patients",1,$I$9))*(1-$I$4)*(1-$I$5+($I$6*$I$7))</f>
        <v>71.024850000000001</v>
      </c>
    </row>
    <row r="29" spans="1:24" x14ac:dyDescent="0.25">
      <c r="A29" s="87">
        <f t="shared" si="8"/>
        <v>44032</v>
      </c>
      <c r="B29" s="67" t="str">
        <f t="shared" si="0"/>
        <v/>
      </c>
      <c r="C29" s="67" t="str">
        <f t="shared" si="9"/>
        <v/>
      </c>
      <c r="D29" s="67">
        <f t="shared" si="1"/>
        <v>30</v>
      </c>
      <c r="E29" s="5">
        <f ca="1">IF(LEFT(Demand!$C$8,1)="H",VLOOKUP($D29,'SPC background (hide)'!$AG$2:$AS$54,12,0),'Demand background (hide)'!X18)</f>
        <v>138</v>
      </c>
      <c r="F29" s="5">
        <f ca="1">IF(LEFT(Demand!$C$8,1)="H",VLOOKUP($D29,'SPC background (hide)'!$AG$2:$AS$54,13,0),E29*1.1)</f>
        <v>151.80000000000001</v>
      </c>
      <c r="G29" s="5" t="str">
        <f>IF(Setup!$I$15="Yes",VLOOKUP(D29,'SPC background (hide)'!$AG$2:$AT$54,14,0)/IF(Summary!$C$8="Patients",'Summary Calculations (hide)'!$I$9,1),"")</f>
        <v/>
      </c>
      <c r="H29" s="67" t="str">
        <f>IF(Setup!$I$13="Yes",'Planned background (hide)'!$V$23/IF(Summary!$C$8="Patients",'Summary Calculations (hide)'!$I$9,1),"")</f>
        <v/>
      </c>
      <c r="I29" s="5">
        <f ca="1">HLOOKUP(D29,'Capacity calculation (hide)'!$BK$3:$DJ$4,2,0)</f>
        <v>80.769230769230774</v>
      </c>
      <c r="J29" s="5">
        <f ca="1">HLOOKUP(D29,'Capacity calculation (hide)'!$BK$110:$DJ$111,2,0)</f>
        <v>10</v>
      </c>
      <c r="K29" s="5">
        <f ca="1">IF(I29-IF(Setup!$I$15="Yes",$G29,0)-IF(Setup!$I$13="Yes",$H29,0)&lt;0,0,I29-IF(Setup!$I$15="Yes",$G29,0)-IF(Setup!$I$13="Yes",$H29,0))</f>
        <v>80.769230769230774</v>
      </c>
      <c r="L29" s="5">
        <f t="shared" ca="1" si="2"/>
        <v>10</v>
      </c>
      <c r="M29" s="5">
        <f ca="1">(IF('Demand adjustments for Covid'!$F$9="No",E29,SUM('Demand background (hide)'!DS18,'Demand background (hide)'!DV18:DW18))*(1-'Parameters calculator (hide)'!$B$43))*(1-'Parameters calculator (hide)'!$B$44+('Parameters calculator (hide)'!$B$45*'Parameters calculator (hide)'!$B$47))</f>
        <v>138.04829999999998</v>
      </c>
      <c r="N29" s="5">
        <f ca="1">(IF('Demand adjustments for Covid'!$F$9="No",F29,SUM('Demand background (hide)'!DT18,'Demand background (hide)'!DV18:DW18))*(1-'Parameters calculator (hide)'!$B$43))*(1-'Parameters calculator (hide)'!$B$44+('Parameters calculator (hide)'!$B$45*'Parameters calculator (hide)'!$B$47))</f>
        <v>151.85312999999999</v>
      </c>
      <c r="P29" s="5">
        <f t="shared" ca="1" si="3"/>
        <v>80.769230769230774</v>
      </c>
      <c r="Q29" s="5">
        <f t="shared" ca="1" si="4"/>
        <v>10</v>
      </c>
      <c r="R29" s="5">
        <f t="shared" ca="1" si="5"/>
        <v>80.769230769230774</v>
      </c>
      <c r="S29" s="5">
        <f t="shared" ca="1" si="6"/>
        <v>10</v>
      </c>
      <c r="T29" s="5">
        <f ca="1">M29/IF(Summary!$C$8&lt;&gt;"Patients",1,$I$9)</f>
        <v>69.024149999999992</v>
      </c>
      <c r="U29" s="5">
        <f ca="1">((N29-M29)/IF(Summary!$C$8&lt;&gt;"Patients",1,$I$9))</f>
        <v>6.9024150000000049</v>
      </c>
      <c r="V29" s="5">
        <f t="shared" si="7"/>
        <v>0</v>
      </c>
      <c r="X29" s="5">
        <f ca="1">(VLOOKUP(D29,'SPC background (hide)'!$AG$2:$AN$54,8,0)/IF(Summary!$C$8&lt;&gt;"Patients",1,$I$9))*(1-$I$4)*(1-$I$5+($I$6*$I$7))</f>
        <v>71.024850000000001</v>
      </c>
    </row>
    <row r="30" spans="1:24" x14ac:dyDescent="0.25">
      <c r="A30" s="87">
        <f t="shared" si="8"/>
        <v>44039</v>
      </c>
      <c r="B30" s="67" t="str">
        <f t="shared" si="0"/>
        <v/>
      </c>
      <c r="C30" s="67" t="str">
        <f t="shared" si="9"/>
        <v/>
      </c>
      <c r="D30" s="67">
        <f t="shared" si="1"/>
        <v>31</v>
      </c>
      <c r="E30" s="5">
        <f ca="1">IF(LEFT(Demand!$C$8,1)="H",VLOOKUP($D30,'SPC background (hide)'!$AG$2:$AS$54,12,0),'Demand background (hide)'!X19)</f>
        <v>126</v>
      </c>
      <c r="F30" s="5">
        <f ca="1">IF(LEFT(Demand!$C$8,1)="H",VLOOKUP($D30,'SPC background (hide)'!$AG$2:$AS$54,13,0),E30*1.1)</f>
        <v>138.60000000000002</v>
      </c>
      <c r="G30" s="5" t="str">
        <f>IF(Setup!$I$15="Yes",VLOOKUP(D30,'SPC background (hide)'!$AG$2:$AT$54,14,0)/IF(Summary!$C$8="Patients",'Summary Calculations (hide)'!$I$9,1),"")</f>
        <v/>
      </c>
      <c r="H30" s="67" t="str">
        <f>IF(Setup!$I$13="Yes",'Planned background (hide)'!$V$23/IF(Summary!$C$8="Patients",'Summary Calculations (hide)'!$I$9,1),"")</f>
        <v/>
      </c>
      <c r="I30" s="5">
        <f ca="1">HLOOKUP(D30,'Capacity calculation (hide)'!$BK$3:$DJ$4,2,0)</f>
        <v>80.769230769230774</v>
      </c>
      <c r="J30" s="5">
        <f ca="1">HLOOKUP(D30,'Capacity calculation (hide)'!$BK$110:$DJ$111,2,0)</f>
        <v>0</v>
      </c>
      <c r="K30" s="5">
        <f ca="1">IF(I30-IF(Setup!$I$15="Yes",$G30,0)-IF(Setup!$I$13="Yes",$H30,0)&lt;0,0,I30-IF(Setup!$I$15="Yes",$G30,0)-IF(Setup!$I$13="Yes",$H30,0))</f>
        <v>80.769230769230774</v>
      </c>
      <c r="L30" s="5">
        <f t="shared" ca="1" si="2"/>
        <v>0</v>
      </c>
      <c r="M30" s="5">
        <f ca="1">(IF('Demand adjustments for Covid'!$F$9="No",E30,SUM('Demand background (hide)'!DS19,'Demand background (hide)'!DV19:DW19))*(1-'Parameters calculator (hide)'!$B$43))*(1-'Parameters calculator (hide)'!$B$44+('Parameters calculator (hide)'!$B$45*'Parameters calculator (hide)'!$B$47))</f>
        <v>126.04409999999999</v>
      </c>
      <c r="N30" s="5">
        <f ca="1">(IF('Demand adjustments for Covid'!$F$9="No",F30,SUM('Demand background (hide)'!DT19,'Demand background (hide)'!DV19:DW19))*(1-'Parameters calculator (hide)'!$B$43))*(1-'Parameters calculator (hide)'!$B$44+('Parameters calculator (hide)'!$B$45*'Parameters calculator (hide)'!$B$47))</f>
        <v>138.64851000000002</v>
      </c>
      <c r="P30" s="5">
        <f t="shared" ca="1" si="3"/>
        <v>80.769230769230774</v>
      </c>
      <c r="Q30" s="5">
        <f t="shared" ca="1" si="4"/>
        <v>0</v>
      </c>
      <c r="R30" s="5">
        <f t="shared" ca="1" si="5"/>
        <v>80.769230769230774</v>
      </c>
      <c r="S30" s="5">
        <f t="shared" ca="1" si="6"/>
        <v>0</v>
      </c>
      <c r="T30" s="5">
        <f ca="1">M30/IF(Summary!$C$8&lt;&gt;"Patients",1,$I$9)</f>
        <v>63.022049999999993</v>
      </c>
      <c r="U30" s="5">
        <f ca="1">((N30-M30)/IF(Summary!$C$8&lt;&gt;"Patients",1,$I$9))</f>
        <v>6.3022050000000149</v>
      </c>
      <c r="V30" s="5">
        <f t="shared" si="7"/>
        <v>0</v>
      </c>
      <c r="X30" s="5">
        <f ca="1">(VLOOKUP(D30,'SPC background (hide)'!$AG$2:$AN$54,8,0)/IF(Summary!$C$8&lt;&gt;"Patients",1,$I$9))*(1-$I$4)*(1-$I$5+($I$6*$I$7))</f>
        <v>71.024850000000001</v>
      </c>
    </row>
    <row r="31" spans="1:24" x14ac:dyDescent="0.25">
      <c r="A31" s="87">
        <f t="shared" si="8"/>
        <v>44046</v>
      </c>
      <c r="B31" s="67" t="str">
        <f t="shared" si="0"/>
        <v/>
      </c>
      <c r="C31" s="67" t="str">
        <f t="shared" si="9"/>
        <v>Aug</v>
      </c>
      <c r="D31" s="67">
        <f t="shared" si="1"/>
        <v>32</v>
      </c>
      <c r="E31" s="5">
        <f ca="1">IF(LEFT(Demand!$C$8,1)="H",VLOOKUP($D31,'SPC background (hide)'!$AG$2:$AS$54,12,0),'Demand background (hide)'!X20)</f>
        <v>152</v>
      </c>
      <c r="F31" s="5">
        <f ca="1">IF(LEFT(Demand!$C$8,1)="H",VLOOKUP($D31,'SPC background (hide)'!$AG$2:$AS$54,13,0),E31*1.1)</f>
        <v>167.20000000000002</v>
      </c>
      <c r="G31" s="5" t="str">
        <f>IF(Setup!$I$15="Yes",VLOOKUP(D31,'SPC background (hide)'!$AG$2:$AT$54,14,0)/IF(Summary!$C$8="Patients",'Summary Calculations (hide)'!$I$9,1),"")</f>
        <v/>
      </c>
      <c r="H31" s="67" t="str">
        <f>IF(Setup!$I$13="Yes",'Planned background (hide)'!$V$23/IF(Summary!$C$8="Patients",'Summary Calculations (hide)'!$I$9,1),"")</f>
        <v/>
      </c>
      <c r="I31" s="5">
        <f ca="1">HLOOKUP(D31,'Capacity calculation (hide)'!$BK$3:$DJ$4,2,0)</f>
        <v>80.769230769230774</v>
      </c>
      <c r="J31" s="5">
        <f ca="1">HLOOKUP(D31,'Capacity calculation (hide)'!$BK$110:$DJ$111,2,0)</f>
        <v>10</v>
      </c>
      <c r="K31" s="5">
        <f ca="1">IF(I31-IF(Setup!$I$15="Yes",$G31,0)-IF(Setup!$I$13="Yes",$H31,0)&lt;0,0,I31-IF(Setup!$I$15="Yes",$G31,0)-IF(Setup!$I$13="Yes",$H31,0))</f>
        <v>80.769230769230774</v>
      </c>
      <c r="L31" s="5">
        <f t="shared" ca="1" si="2"/>
        <v>10</v>
      </c>
      <c r="M31" s="5">
        <f ca="1">(IF('Demand adjustments for Covid'!$F$9="No",E31,SUM('Demand background (hide)'!DS20,'Demand background (hide)'!DV20:DW20))*(1-'Parameters calculator (hide)'!$B$43))*(1-'Parameters calculator (hide)'!$B$44+('Parameters calculator (hide)'!$B$45*'Parameters calculator (hide)'!$B$47))</f>
        <v>152.0532</v>
      </c>
      <c r="N31" s="5">
        <f ca="1">(IF('Demand adjustments for Covid'!$F$9="No",F31,SUM('Demand background (hide)'!DT20,'Demand background (hide)'!DV20:DW20))*(1-'Parameters calculator (hide)'!$B$43))*(1-'Parameters calculator (hide)'!$B$44+('Parameters calculator (hide)'!$B$45*'Parameters calculator (hide)'!$B$47))</f>
        <v>167.25852</v>
      </c>
      <c r="P31" s="5">
        <f t="shared" ca="1" si="3"/>
        <v>80.769230769230774</v>
      </c>
      <c r="Q31" s="5">
        <f t="shared" ca="1" si="4"/>
        <v>10</v>
      </c>
      <c r="R31" s="5">
        <f t="shared" ca="1" si="5"/>
        <v>80.769230769230774</v>
      </c>
      <c r="S31" s="5">
        <f t="shared" ca="1" si="6"/>
        <v>10</v>
      </c>
      <c r="T31" s="5">
        <f ca="1">M31/IF(Summary!$C$8&lt;&gt;"Patients",1,$I$9)</f>
        <v>76.026600000000002</v>
      </c>
      <c r="U31" s="5">
        <f ca="1">((N31-M31)/IF(Summary!$C$8&lt;&gt;"Patients",1,$I$9))</f>
        <v>7.6026600000000002</v>
      </c>
      <c r="V31" s="5">
        <f t="shared" si="7"/>
        <v>0</v>
      </c>
      <c r="X31" s="5">
        <f ca="1">(VLOOKUP(D31,'SPC background (hide)'!$AG$2:$AN$54,8,0)/IF(Summary!$C$8&lt;&gt;"Patients",1,$I$9))*(1-$I$4)*(1-$I$5+($I$6*$I$7))</f>
        <v>71.024850000000001</v>
      </c>
    </row>
    <row r="32" spans="1:24" x14ac:dyDescent="0.25">
      <c r="A32" s="87">
        <f t="shared" si="8"/>
        <v>44053</v>
      </c>
      <c r="B32" s="67" t="str">
        <f t="shared" si="0"/>
        <v/>
      </c>
      <c r="C32" s="67" t="str">
        <f t="shared" si="9"/>
        <v/>
      </c>
      <c r="D32" s="67">
        <f t="shared" si="1"/>
        <v>33</v>
      </c>
      <c r="E32" s="5">
        <f ca="1">IF(LEFT(Demand!$C$8,1)="H",VLOOKUP($D32,'SPC background (hide)'!$AG$2:$AS$54,12,0),'Demand background (hide)'!X21)</f>
        <v>128</v>
      </c>
      <c r="F32" s="5">
        <f ca="1">IF(LEFT(Demand!$C$8,1)="H",VLOOKUP($D32,'SPC background (hide)'!$AG$2:$AS$54,13,0),E32*1.1)</f>
        <v>140.80000000000001</v>
      </c>
      <c r="G32" s="5" t="str">
        <f>IF(Setup!$I$15="Yes",VLOOKUP(D32,'SPC background (hide)'!$AG$2:$AT$54,14,0)/IF(Summary!$C$8="Patients",'Summary Calculations (hide)'!$I$9,1),"")</f>
        <v/>
      </c>
      <c r="H32" s="67" t="str">
        <f>IF(Setup!$I$13="Yes",'Planned background (hide)'!$V$23/IF(Summary!$C$8="Patients",'Summary Calculations (hide)'!$I$9,1),"")</f>
        <v/>
      </c>
      <c r="I32" s="5">
        <f ca="1">HLOOKUP(D32,'Capacity calculation (hide)'!$BK$3:$DJ$4,2,0)</f>
        <v>80.769230769230774</v>
      </c>
      <c r="J32" s="5">
        <f ca="1">HLOOKUP(D32,'Capacity calculation (hide)'!$BK$110:$DJ$111,2,0)</f>
        <v>10</v>
      </c>
      <c r="K32" s="5">
        <f ca="1">IF(I32-IF(Setup!$I$15="Yes",$G32,0)-IF(Setup!$I$13="Yes",$H32,0)&lt;0,0,I32-IF(Setup!$I$15="Yes",$G32,0)-IF(Setup!$I$13="Yes",$H32,0))</f>
        <v>80.769230769230774</v>
      </c>
      <c r="L32" s="5">
        <f t="shared" ca="1" si="2"/>
        <v>10</v>
      </c>
      <c r="M32" s="5">
        <f ca="1">(IF('Demand adjustments for Covid'!$F$9="No",E32,SUM('Demand background (hide)'!DS21,'Demand background (hide)'!DV21:DW21))*(1-'Parameters calculator (hide)'!$B$43))*(1-'Parameters calculator (hide)'!$B$44+('Parameters calculator (hide)'!$B$45*'Parameters calculator (hide)'!$B$47))</f>
        <v>128.04479999999998</v>
      </c>
      <c r="N32" s="5">
        <f ca="1">(IF('Demand adjustments for Covid'!$F$9="No",F32,SUM('Demand background (hide)'!DT21,'Demand background (hide)'!DV21:DW21))*(1-'Parameters calculator (hide)'!$B$43))*(1-'Parameters calculator (hide)'!$B$44+('Parameters calculator (hide)'!$B$45*'Parameters calculator (hide)'!$B$47))</f>
        <v>140.84927999999999</v>
      </c>
      <c r="P32" s="5">
        <f t="shared" ca="1" si="3"/>
        <v>80.769230769230774</v>
      </c>
      <c r="Q32" s="5">
        <f t="shared" ca="1" si="4"/>
        <v>10</v>
      </c>
      <c r="R32" s="5">
        <f t="shared" ca="1" si="5"/>
        <v>80.769230769230774</v>
      </c>
      <c r="S32" s="5">
        <f t="shared" ca="1" si="6"/>
        <v>10</v>
      </c>
      <c r="T32" s="5">
        <f ca="1">M32/IF(Summary!$C$8&lt;&gt;"Patients",1,$I$9)</f>
        <v>64.02239999999999</v>
      </c>
      <c r="U32" s="5">
        <f ca="1">((N32-M32)/IF(Summary!$C$8&lt;&gt;"Patients",1,$I$9))</f>
        <v>6.4022400000000061</v>
      </c>
      <c r="V32" s="5">
        <f t="shared" si="7"/>
        <v>0</v>
      </c>
      <c r="X32" s="5">
        <f ca="1">(VLOOKUP(D32,'SPC background (hide)'!$AG$2:$AN$54,8,0)/IF(Summary!$C$8&lt;&gt;"Patients",1,$I$9))*(1-$I$4)*(1-$I$5+($I$6*$I$7))</f>
        <v>71.024850000000001</v>
      </c>
    </row>
    <row r="33" spans="1:24" x14ac:dyDescent="0.25">
      <c r="A33" s="87">
        <f t="shared" si="8"/>
        <v>44060</v>
      </c>
      <c r="B33" s="67" t="str">
        <f t="shared" si="0"/>
        <v/>
      </c>
      <c r="C33" s="67" t="str">
        <f t="shared" si="9"/>
        <v/>
      </c>
      <c r="D33" s="67">
        <f t="shared" si="1"/>
        <v>34</v>
      </c>
      <c r="E33" s="5">
        <f ca="1">IF(LEFT(Demand!$C$8,1)="H",VLOOKUP($D33,'SPC background (hide)'!$AG$2:$AS$54,12,0),'Demand background (hide)'!X22)</f>
        <v>152</v>
      </c>
      <c r="F33" s="5">
        <f ca="1">IF(LEFT(Demand!$C$8,1)="H",VLOOKUP($D33,'SPC background (hide)'!$AG$2:$AS$54,13,0),E33*1.1)</f>
        <v>167.20000000000002</v>
      </c>
      <c r="G33" s="5" t="str">
        <f>IF(Setup!$I$15="Yes",VLOOKUP(D33,'SPC background (hide)'!$AG$2:$AT$54,14,0)/IF(Summary!$C$8="Patients",'Summary Calculations (hide)'!$I$9,1),"")</f>
        <v/>
      </c>
      <c r="H33" s="67" t="str">
        <f>IF(Setup!$I$13="Yes",'Planned background (hide)'!$V$23/IF(Summary!$C$8="Patients",'Summary Calculations (hide)'!$I$9,1),"")</f>
        <v/>
      </c>
      <c r="I33" s="5">
        <f ca="1">HLOOKUP(D33,'Capacity calculation (hide)'!$BK$3:$DJ$4,2,0)</f>
        <v>80.769230769230774</v>
      </c>
      <c r="J33" s="5">
        <f ca="1">HLOOKUP(D33,'Capacity calculation (hide)'!$BK$110:$DJ$111,2,0)</f>
        <v>0</v>
      </c>
      <c r="K33" s="5">
        <f ca="1">IF(I33-IF(Setup!$I$15="Yes",$G33,0)-IF(Setup!$I$13="Yes",$H33,0)&lt;0,0,I33-IF(Setup!$I$15="Yes",$G33,0)-IF(Setup!$I$13="Yes",$H33,0))</f>
        <v>80.769230769230774</v>
      </c>
      <c r="L33" s="5">
        <f t="shared" ca="1" si="2"/>
        <v>0</v>
      </c>
      <c r="M33" s="5">
        <f ca="1">(IF('Demand adjustments for Covid'!$F$9="No",E33,SUM('Demand background (hide)'!DS22,'Demand background (hide)'!DV22:DW22))*(1-'Parameters calculator (hide)'!$B$43))*(1-'Parameters calculator (hide)'!$B$44+('Parameters calculator (hide)'!$B$45*'Parameters calculator (hide)'!$B$47))</f>
        <v>152.0532</v>
      </c>
      <c r="N33" s="5">
        <f ca="1">(IF('Demand adjustments for Covid'!$F$9="No",F33,SUM('Demand background (hide)'!DT22,'Demand background (hide)'!DV22:DW22))*(1-'Parameters calculator (hide)'!$B$43))*(1-'Parameters calculator (hide)'!$B$44+('Parameters calculator (hide)'!$B$45*'Parameters calculator (hide)'!$B$47))</f>
        <v>167.25852</v>
      </c>
      <c r="P33" s="5">
        <f t="shared" ca="1" si="3"/>
        <v>80.769230769230774</v>
      </c>
      <c r="Q33" s="5">
        <f t="shared" ca="1" si="4"/>
        <v>0</v>
      </c>
      <c r="R33" s="5">
        <f t="shared" ca="1" si="5"/>
        <v>80.769230769230774</v>
      </c>
      <c r="S33" s="5">
        <f t="shared" ca="1" si="6"/>
        <v>0</v>
      </c>
      <c r="T33" s="5">
        <f ca="1">M33/IF(Summary!$C$8&lt;&gt;"Patients",1,$I$9)</f>
        <v>76.026600000000002</v>
      </c>
      <c r="U33" s="5">
        <f ca="1">((N33-M33)/IF(Summary!$C$8&lt;&gt;"Patients",1,$I$9))</f>
        <v>7.6026600000000002</v>
      </c>
      <c r="V33" s="5">
        <f t="shared" si="7"/>
        <v>0</v>
      </c>
      <c r="X33" s="5">
        <f ca="1">(VLOOKUP(D33,'SPC background (hide)'!$AG$2:$AN$54,8,0)/IF(Summary!$C$8&lt;&gt;"Patients",1,$I$9))*(1-$I$4)*(1-$I$5+($I$6*$I$7))</f>
        <v>71.024850000000001</v>
      </c>
    </row>
    <row r="34" spans="1:24" x14ac:dyDescent="0.25">
      <c r="A34" s="87">
        <f t="shared" si="8"/>
        <v>44067</v>
      </c>
      <c r="B34" s="67" t="str">
        <f t="shared" si="0"/>
        <v/>
      </c>
      <c r="C34" s="67" t="str">
        <f t="shared" si="9"/>
        <v/>
      </c>
      <c r="D34" s="67">
        <f t="shared" si="1"/>
        <v>35</v>
      </c>
      <c r="E34" s="5">
        <f ca="1">IF(LEFT(Demand!$C$8,1)="H",VLOOKUP($D34,'SPC background (hide)'!$AG$2:$AS$54,12,0),'Demand background (hide)'!X23)</f>
        <v>138</v>
      </c>
      <c r="F34" s="5">
        <f ca="1">IF(LEFT(Demand!$C$8,1)="H",VLOOKUP($D34,'SPC background (hide)'!$AG$2:$AS$54,13,0),E34*1.1)</f>
        <v>151.80000000000001</v>
      </c>
      <c r="G34" s="5" t="str">
        <f>IF(Setup!$I$15="Yes",VLOOKUP(D34,'SPC background (hide)'!$AG$2:$AT$54,14,0)/IF(Summary!$C$8="Patients",'Summary Calculations (hide)'!$I$9,1),"")</f>
        <v/>
      </c>
      <c r="H34" s="67" t="str">
        <f>IF(Setup!$I$13="Yes",'Planned background (hide)'!$V$23/IF(Summary!$C$8="Patients",'Summary Calculations (hide)'!$I$9,1),"")</f>
        <v/>
      </c>
      <c r="I34" s="5">
        <f ca="1">HLOOKUP(D34,'Capacity calculation (hide)'!$BK$3:$DJ$4,2,0)</f>
        <v>80.769230769230774</v>
      </c>
      <c r="J34" s="5">
        <f ca="1">HLOOKUP(D34,'Capacity calculation (hide)'!$BK$110:$DJ$111,2,0)</f>
        <v>0</v>
      </c>
      <c r="K34" s="5">
        <f ca="1">IF(I34-IF(Setup!$I$15="Yes",$G34,0)-IF(Setup!$I$13="Yes",$H34,0)&lt;0,0,I34-IF(Setup!$I$15="Yes",$G34,0)-IF(Setup!$I$13="Yes",$H34,0))</f>
        <v>80.769230769230774</v>
      </c>
      <c r="L34" s="5">
        <f t="shared" ca="1" si="2"/>
        <v>0</v>
      </c>
      <c r="M34" s="5">
        <f ca="1">(IF('Demand adjustments for Covid'!$F$9="No",E34,SUM('Demand background (hide)'!DS23,'Demand background (hide)'!DV23:DW23))*(1-'Parameters calculator (hide)'!$B$43))*(1-'Parameters calculator (hide)'!$B$44+('Parameters calculator (hide)'!$B$45*'Parameters calculator (hide)'!$B$47))</f>
        <v>138.04829999999998</v>
      </c>
      <c r="N34" s="5">
        <f ca="1">(IF('Demand adjustments for Covid'!$F$9="No",F34,SUM('Demand background (hide)'!DT23,'Demand background (hide)'!DV23:DW23))*(1-'Parameters calculator (hide)'!$B$43))*(1-'Parameters calculator (hide)'!$B$44+('Parameters calculator (hide)'!$B$45*'Parameters calculator (hide)'!$B$47))</f>
        <v>151.85312999999999</v>
      </c>
      <c r="P34" s="5">
        <f t="shared" ca="1" si="3"/>
        <v>80.769230769230774</v>
      </c>
      <c r="Q34" s="5">
        <f t="shared" ca="1" si="4"/>
        <v>0</v>
      </c>
      <c r="R34" s="5">
        <f t="shared" ca="1" si="5"/>
        <v>80.769230769230774</v>
      </c>
      <c r="S34" s="5">
        <f t="shared" ca="1" si="6"/>
        <v>0</v>
      </c>
      <c r="T34" s="5">
        <f ca="1">M34/IF(Summary!$C$8&lt;&gt;"Patients",1,$I$9)</f>
        <v>69.024149999999992</v>
      </c>
      <c r="U34" s="5">
        <f ca="1">((N34-M34)/IF(Summary!$C$8&lt;&gt;"Patients",1,$I$9))</f>
        <v>6.9024150000000049</v>
      </c>
      <c r="V34" s="5">
        <f t="shared" si="7"/>
        <v>0</v>
      </c>
      <c r="X34" s="5">
        <f ca="1">(VLOOKUP(D34,'SPC background (hide)'!$AG$2:$AN$54,8,0)/IF(Summary!$C$8&lt;&gt;"Patients",1,$I$9))*(1-$I$4)*(1-$I$5+($I$6*$I$7))</f>
        <v>71.024850000000001</v>
      </c>
    </row>
    <row r="35" spans="1:24" x14ac:dyDescent="0.25">
      <c r="A35" s="87">
        <f t="shared" si="8"/>
        <v>44074</v>
      </c>
      <c r="B35" s="67" t="str">
        <f t="shared" si="0"/>
        <v/>
      </c>
      <c r="C35" s="67" t="str">
        <f t="shared" si="9"/>
        <v/>
      </c>
      <c r="D35" s="67">
        <f t="shared" si="1"/>
        <v>36</v>
      </c>
      <c r="E35" s="5">
        <f ca="1">IF(LEFT(Demand!$C$8,1)="H",VLOOKUP($D35,'SPC background (hide)'!$AG$2:$AS$54,12,0),'Demand background (hide)'!X24)</f>
        <v>160</v>
      </c>
      <c r="F35" s="5">
        <f ca="1">IF(LEFT(Demand!$C$8,1)="H",VLOOKUP($D35,'SPC background (hide)'!$AG$2:$AS$54,13,0),E35*1.1)</f>
        <v>176</v>
      </c>
      <c r="G35" s="5" t="str">
        <f>IF(Setup!$I$15="Yes",VLOOKUP(D35,'SPC background (hide)'!$AG$2:$AT$54,14,0)/IF(Summary!$C$8="Patients",'Summary Calculations (hide)'!$I$9,1),"")</f>
        <v/>
      </c>
      <c r="H35" s="67" t="str">
        <f>IF(Setup!$I$13="Yes",'Planned background (hide)'!$V$23/IF(Summary!$C$8="Patients",'Summary Calculations (hide)'!$I$9,1),"")</f>
        <v/>
      </c>
      <c r="I35" s="5">
        <f ca="1">HLOOKUP(D35,'Capacity calculation (hide)'!$BK$3:$DJ$4,2,0)</f>
        <v>80.769230769230774</v>
      </c>
      <c r="J35" s="5">
        <f ca="1">HLOOKUP(D35,'Capacity calculation (hide)'!$BK$110:$DJ$111,2,0)</f>
        <v>0</v>
      </c>
      <c r="K35" s="5">
        <f ca="1">IF(I35-IF(Setup!$I$15="Yes",$G35,0)-IF(Setup!$I$13="Yes",$H35,0)&lt;0,0,I35-IF(Setup!$I$15="Yes",$G35,0)-IF(Setup!$I$13="Yes",$H35,0))</f>
        <v>80.769230769230774</v>
      </c>
      <c r="L35" s="5">
        <f t="shared" ca="1" si="2"/>
        <v>0</v>
      </c>
      <c r="M35" s="5">
        <f ca="1">(IF('Demand adjustments for Covid'!$F$9="No",E35,SUM('Demand background (hide)'!DS24,'Demand background (hide)'!DV24:DW24))*(1-'Parameters calculator (hide)'!$B$43))*(1-'Parameters calculator (hide)'!$B$44+('Parameters calculator (hide)'!$B$45*'Parameters calculator (hide)'!$B$47))</f>
        <v>160.05599999999998</v>
      </c>
      <c r="N35" s="5">
        <f ca="1">(IF('Demand adjustments for Covid'!$F$9="No",F35,SUM('Demand background (hide)'!DT24,'Demand background (hide)'!DV24:DW24))*(1-'Parameters calculator (hide)'!$B$43))*(1-'Parameters calculator (hide)'!$B$44+('Parameters calculator (hide)'!$B$45*'Parameters calculator (hide)'!$B$47))</f>
        <v>176.06159999999997</v>
      </c>
      <c r="P35" s="5">
        <f t="shared" ca="1" si="3"/>
        <v>80.769230769230774</v>
      </c>
      <c r="Q35" s="5">
        <f t="shared" ca="1" si="4"/>
        <v>0</v>
      </c>
      <c r="R35" s="5">
        <f t="shared" ca="1" si="5"/>
        <v>80.769230769230774</v>
      </c>
      <c r="S35" s="5">
        <f t="shared" ca="1" si="6"/>
        <v>0</v>
      </c>
      <c r="T35" s="5">
        <f ca="1">M35/IF(Summary!$C$8&lt;&gt;"Patients",1,$I$9)</f>
        <v>80.027999999999992</v>
      </c>
      <c r="U35" s="5">
        <f ca="1">((N35-M35)/IF(Summary!$C$8&lt;&gt;"Patients",1,$I$9))</f>
        <v>8.0027999999999935</v>
      </c>
      <c r="V35" s="5">
        <f t="shared" si="7"/>
        <v>0</v>
      </c>
      <c r="X35" s="5">
        <f ca="1">(VLOOKUP(D35,'SPC background (hide)'!$AG$2:$AN$54,8,0)/IF(Summary!$C$8&lt;&gt;"Patients",1,$I$9))*(1-$I$4)*(1-$I$5+($I$6*$I$7))</f>
        <v>71.024850000000001</v>
      </c>
    </row>
    <row r="36" spans="1:24" x14ac:dyDescent="0.25">
      <c r="A36" s="87">
        <f t="shared" si="8"/>
        <v>44081</v>
      </c>
      <c r="B36" s="67" t="str">
        <f t="shared" si="0"/>
        <v/>
      </c>
      <c r="C36" s="67" t="str">
        <f t="shared" si="9"/>
        <v>Sep</v>
      </c>
      <c r="D36" s="67">
        <f t="shared" si="1"/>
        <v>37</v>
      </c>
      <c r="E36" s="5">
        <f ca="1">IF(LEFT(Demand!$C$8,1)="H",VLOOKUP($D36,'SPC background (hide)'!$AG$2:$AS$54,12,0),'Demand background (hide)'!X25)</f>
        <v>146</v>
      </c>
      <c r="F36" s="5">
        <f ca="1">IF(LEFT(Demand!$C$8,1)="H",VLOOKUP($D36,'SPC background (hide)'!$AG$2:$AS$54,13,0),E36*1.1)</f>
        <v>160.60000000000002</v>
      </c>
      <c r="G36" s="5" t="str">
        <f>IF(Setup!$I$15="Yes",VLOOKUP(D36,'SPC background (hide)'!$AG$2:$AT$54,14,0)/IF(Summary!$C$8="Patients",'Summary Calculations (hide)'!$I$9,1),"")</f>
        <v/>
      </c>
      <c r="H36" s="67" t="str">
        <f>IF(Setup!$I$13="Yes",'Planned background (hide)'!$V$23/IF(Summary!$C$8="Patients",'Summary Calculations (hide)'!$I$9,1),"")</f>
        <v/>
      </c>
      <c r="I36" s="5">
        <f ca="1">HLOOKUP(D36,'Capacity calculation (hide)'!$BK$3:$DJ$4,2,0)</f>
        <v>80.769230769230774</v>
      </c>
      <c r="J36" s="5">
        <f ca="1">HLOOKUP(D36,'Capacity calculation (hide)'!$BK$110:$DJ$111,2,0)</f>
        <v>0</v>
      </c>
      <c r="K36" s="5">
        <f ca="1">IF(I36-IF(Setup!$I$15="Yes",$G36,0)-IF(Setup!$I$13="Yes",$H36,0)&lt;0,0,I36-IF(Setup!$I$15="Yes",$G36,0)-IF(Setup!$I$13="Yes",$H36,0))</f>
        <v>80.769230769230774</v>
      </c>
      <c r="L36" s="5">
        <f t="shared" ca="1" si="2"/>
        <v>0</v>
      </c>
      <c r="M36" s="5">
        <f ca="1">(IF('Demand adjustments for Covid'!$F$9="No",E36,SUM('Demand background (hide)'!DS25,'Demand background (hide)'!DV25:DW25))*(1-'Parameters calculator (hide)'!$B$43))*(1-'Parameters calculator (hide)'!$B$44+('Parameters calculator (hide)'!$B$45*'Parameters calculator (hide)'!$B$47))</f>
        <v>146.05109999999999</v>
      </c>
      <c r="N36" s="5">
        <f ca="1">(IF('Demand adjustments for Covid'!$F$9="No",F36,SUM('Demand background (hide)'!DT25,'Demand background (hide)'!DV25:DW25))*(1-'Parameters calculator (hide)'!$B$43))*(1-'Parameters calculator (hide)'!$B$44+('Parameters calculator (hide)'!$B$45*'Parameters calculator (hide)'!$B$47))</f>
        <v>160.65621000000002</v>
      </c>
      <c r="P36" s="5">
        <f t="shared" ca="1" si="3"/>
        <v>80.769230769230774</v>
      </c>
      <c r="Q36" s="5">
        <f t="shared" ca="1" si="4"/>
        <v>0</v>
      </c>
      <c r="R36" s="5">
        <f t="shared" ca="1" si="5"/>
        <v>80.769230769230774</v>
      </c>
      <c r="S36" s="5">
        <f t="shared" ca="1" si="6"/>
        <v>0</v>
      </c>
      <c r="T36" s="5">
        <f ca="1">M36/IF(Summary!$C$8&lt;&gt;"Patients",1,$I$9)</f>
        <v>73.025549999999996</v>
      </c>
      <c r="U36" s="5">
        <f ca="1">((N36-M36)/IF(Summary!$C$8&lt;&gt;"Patients",1,$I$9))</f>
        <v>7.3025550000000123</v>
      </c>
      <c r="V36" s="5">
        <f t="shared" si="7"/>
        <v>0</v>
      </c>
      <c r="X36" s="5">
        <f ca="1">(VLOOKUP(D36,'SPC background (hide)'!$AG$2:$AN$54,8,0)/IF(Summary!$C$8&lt;&gt;"Patients",1,$I$9))*(1-$I$4)*(1-$I$5+($I$6*$I$7))</f>
        <v>71.024850000000001</v>
      </c>
    </row>
    <row r="37" spans="1:24" x14ac:dyDescent="0.25">
      <c r="A37" s="87">
        <f t="shared" si="8"/>
        <v>44088</v>
      </c>
      <c r="B37" s="67" t="str">
        <f t="shared" si="0"/>
        <v/>
      </c>
      <c r="C37" s="67" t="str">
        <f t="shared" si="9"/>
        <v/>
      </c>
      <c r="D37" s="67">
        <f t="shared" si="1"/>
        <v>38</v>
      </c>
      <c r="E37" s="5">
        <f ca="1">IF(LEFT(Demand!$C$8,1)="H",VLOOKUP($D37,'SPC background (hide)'!$AG$2:$AS$54,12,0),'Demand background (hide)'!X26)</f>
        <v>148</v>
      </c>
      <c r="F37" s="5">
        <f ca="1">IF(LEFT(Demand!$C$8,1)="H",VLOOKUP($D37,'SPC background (hide)'!$AG$2:$AS$54,13,0),E37*1.1)</f>
        <v>162.80000000000001</v>
      </c>
      <c r="G37" s="5" t="str">
        <f>IF(Setup!$I$15="Yes",VLOOKUP(D37,'SPC background (hide)'!$AG$2:$AT$54,14,0)/IF(Summary!$C$8="Patients",'Summary Calculations (hide)'!$I$9,1),"")</f>
        <v/>
      </c>
      <c r="H37" s="67" t="str">
        <f>IF(Setup!$I$13="Yes",'Planned background (hide)'!$V$23/IF(Summary!$C$8="Patients",'Summary Calculations (hide)'!$I$9,1),"")</f>
        <v/>
      </c>
      <c r="I37" s="5">
        <f ca="1">HLOOKUP(D37,'Capacity calculation (hide)'!$BK$3:$DJ$4,2,0)</f>
        <v>80.769230769230774</v>
      </c>
      <c r="J37" s="5">
        <f ca="1">HLOOKUP(D37,'Capacity calculation (hide)'!$BK$110:$DJ$111,2,0)</f>
        <v>0</v>
      </c>
      <c r="K37" s="5">
        <f ca="1">IF(I37-IF(Setup!$I$15="Yes",$G37,0)-IF(Setup!$I$13="Yes",$H37,0)&lt;0,0,I37-IF(Setup!$I$15="Yes",$G37,0)-IF(Setup!$I$13="Yes",$H37,0))</f>
        <v>80.769230769230774</v>
      </c>
      <c r="L37" s="5">
        <f t="shared" ca="1" si="2"/>
        <v>0</v>
      </c>
      <c r="M37" s="5">
        <f ca="1">(IF('Demand adjustments for Covid'!$F$9="No",E37,SUM('Demand background (hide)'!DS26,'Demand background (hide)'!DV26:DW26))*(1-'Parameters calculator (hide)'!$B$43))*(1-'Parameters calculator (hide)'!$B$44+('Parameters calculator (hide)'!$B$45*'Parameters calculator (hide)'!$B$47))</f>
        <v>148.05179999999999</v>
      </c>
      <c r="N37" s="5">
        <f ca="1">(IF('Demand adjustments for Covid'!$F$9="No",F37,SUM('Demand background (hide)'!DT26,'Demand background (hide)'!DV26:DW26))*(1-'Parameters calculator (hide)'!$B$43))*(1-'Parameters calculator (hide)'!$B$44+('Parameters calculator (hide)'!$B$45*'Parameters calculator (hide)'!$B$47))</f>
        <v>162.85697999999999</v>
      </c>
      <c r="P37" s="5">
        <f t="shared" ca="1" si="3"/>
        <v>80.769230769230774</v>
      </c>
      <c r="Q37" s="5">
        <f t="shared" ca="1" si="4"/>
        <v>0</v>
      </c>
      <c r="R37" s="5">
        <f t="shared" ca="1" si="5"/>
        <v>80.769230769230774</v>
      </c>
      <c r="S37" s="5">
        <f t="shared" ca="1" si="6"/>
        <v>0</v>
      </c>
      <c r="T37" s="5">
        <f ca="1">M37/IF(Summary!$C$8&lt;&gt;"Patients",1,$I$9)</f>
        <v>74.025899999999993</v>
      </c>
      <c r="U37" s="5">
        <f ca="1">((N37-M37)/IF(Summary!$C$8&lt;&gt;"Patients",1,$I$9))</f>
        <v>7.4025900000000036</v>
      </c>
      <c r="V37" s="5">
        <f t="shared" si="7"/>
        <v>0</v>
      </c>
      <c r="X37" s="5">
        <f ca="1">(VLOOKUP(D37,'SPC background (hide)'!$AG$2:$AN$54,8,0)/IF(Summary!$C$8&lt;&gt;"Patients",1,$I$9))*(1-$I$4)*(1-$I$5+($I$6*$I$7))</f>
        <v>71.024850000000001</v>
      </c>
    </row>
    <row r="38" spans="1:24" x14ac:dyDescent="0.25">
      <c r="A38" s="87">
        <f t="shared" si="8"/>
        <v>44095</v>
      </c>
      <c r="B38" s="67" t="str">
        <f t="shared" si="0"/>
        <v/>
      </c>
      <c r="C38" s="67" t="str">
        <f t="shared" si="9"/>
        <v/>
      </c>
      <c r="D38" s="67">
        <f t="shared" si="1"/>
        <v>39</v>
      </c>
      <c r="E38" s="5">
        <f ca="1">IF(LEFT(Demand!$C$8,1)="H",VLOOKUP($D38,'SPC background (hide)'!$AG$2:$AS$54,12,0),'Demand background (hide)'!X27)</f>
        <v>130</v>
      </c>
      <c r="F38" s="5">
        <f ca="1">IF(LEFT(Demand!$C$8,1)="H",VLOOKUP($D38,'SPC background (hide)'!$AG$2:$AS$54,13,0),E38*1.1)</f>
        <v>143</v>
      </c>
      <c r="G38" s="5" t="str">
        <f>IF(Setup!$I$15="Yes",VLOOKUP(D38,'SPC background (hide)'!$AG$2:$AT$54,14,0)/IF(Summary!$C$8="Patients",'Summary Calculations (hide)'!$I$9,1),"")</f>
        <v/>
      </c>
      <c r="H38" s="67" t="str">
        <f>IF(Setup!$I$13="Yes",'Planned background (hide)'!$V$23/IF(Summary!$C$8="Patients",'Summary Calculations (hide)'!$I$9,1),"")</f>
        <v/>
      </c>
      <c r="I38" s="5">
        <f ca="1">HLOOKUP(D38,'Capacity calculation (hide)'!$BK$3:$DJ$4,2,0)</f>
        <v>80.769230769230774</v>
      </c>
      <c r="J38" s="5">
        <f ca="1">HLOOKUP(D38,'Capacity calculation (hide)'!$BK$110:$DJ$111,2,0)</f>
        <v>0</v>
      </c>
      <c r="K38" s="5">
        <f ca="1">IF(I38-IF(Setup!$I$15="Yes",$G38,0)-IF(Setup!$I$13="Yes",$H38,0)&lt;0,0,I38-IF(Setup!$I$15="Yes",$G38,0)-IF(Setup!$I$13="Yes",$H38,0))</f>
        <v>80.769230769230774</v>
      </c>
      <c r="L38" s="5">
        <f t="shared" ca="1" si="2"/>
        <v>0</v>
      </c>
      <c r="M38" s="5">
        <f ca="1">(IF('Demand adjustments for Covid'!$F$9="No",E38,SUM('Demand background (hide)'!DS27,'Demand background (hide)'!DV27:DW27))*(1-'Parameters calculator (hide)'!$B$43))*(1-'Parameters calculator (hide)'!$B$44+('Parameters calculator (hide)'!$B$45*'Parameters calculator (hide)'!$B$47))</f>
        <v>130.0455</v>
      </c>
      <c r="N38" s="5">
        <f ca="1">(IF('Demand adjustments for Covid'!$F$9="No",F38,SUM('Demand background (hide)'!DT27,'Demand background (hide)'!DV27:DW27))*(1-'Parameters calculator (hide)'!$B$43))*(1-'Parameters calculator (hide)'!$B$44+('Parameters calculator (hide)'!$B$45*'Parameters calculator (hide)'!$B$47))</f>
        <v>143.05005</v>
      </c>
      <c r="P38" s="5">
        <f t="shared" ca="1" si="3"/>
        <v>80.769230769230774</v>
      </c>
      <c r="Q38" s="5">
        <f t="shared" ca="1" si="4"/>
        <v>0</v>
      </c>
      <c r="R38" s="5">
        <f t="shared" ca="1" si="5"/>
        <v>80.769230769230774</v>
      </c>
      <c r="S38" s="5">
        <f t="shared" ca="1" si="6"/>
        <v>0</v>
      </c>
      <c r="T38" s="5">
        <f ca="1">M38/IF(Summary!$C$8&lt;&gt;"Patients",1,$I$9)</f>
        <v>65.022750000000002</v>
      </c>
      <c r="U38" s="5">
        <f ca="1">((N38-M38)/IF(Summary!$C$8&lt;&gt;"Patients",1,$I$9))</f>
        <v>6.5022749999999974</v>
      </c>
      <c r="V38" s="5">
        <f t="shared" si="7"/>
        <v>0</v>
      </c>
      <c r="X38" s="5">
        <f ca="1">(VLOOKUP(D38,'SPC background (hide)'!$AG$2:$AN$54,8,0)/IF(Summary!$C$8&lt;&gt;"Patients",1,$I$9))*(1-$I$4)*(1-$I$5+($I$6*$I$7))</f>
        <v>71.024850000000001</v>
      </c>
    </row>
    <row r="39" spans="1:24" x14ac:dyDescent="0.25">
      <c r="A39" s="87">
        <f t="shared" si="8"/>
        <v>44102</v>
      </c>
      <c r="B39" s="67" t="str">
        <f t="shared" si="0"/>
        <v/>
      </c>
      <c r="C39" s="67" t="str">
        <f t="shared" si="9"/>
        <v/>
      </c>
      <c r="D39" s="67">
        <f t="shared" si="1"/>
        <v>40</v>
      </c>
      <c r="E39" s="5">
        <f ca="1">IF(LEFT(Demand!$C$8,1)="H",VLOOKUP($D39,'SPC background (hide)'!$AG$2:$AS$54,12,0),'Demand background (hide)'!X28)</f>
        <v>130</v>
      </c>
      <c r="F39" s="5">
        <f ca="1">IF(LEFT(Demand!$C$8,1)="H",VLOOKUP($D39,'SPC background (hide)'!$AG$2:$AS$54,13,0),E39*1.1)</f>
        <v>143</v>
      </c>
      <c r="G39" s="5" t="str">
        <f>IF(Setup!$I$15="Yes",VLOOKUP(D39,'SPC background (hide)'!$AG$2:$AT$54,14,0)/IF(Summary!$C$8="Patients",'Summary Calculations (hide)'!$I$9,1),"")</f>
        <v/>
      </c>
      <c r="H39" s="67" t="str">
        <f>IF(Setup!$I$13="Yes",'Planned background (hide)'!$V$23/IF(Summary!$C$8="Patients",'Summary Calculations (hide)'!$I$9,1),"")</f>
        <v/>
      </c>
      <c r="I39" s="5">
        <f ca="1">HLOOKUP(D39,'Capacity calculation (hide)'!$BK$3:$DJ$4,2,0)</f>
        <v>80.769230769230774</v>
      </c>
      <c r="J39" s="5">
        <f ca="1">HLOOKUP(D39,'Capacity calculation (hide)'!$BK$110:$DJ$111,2,0)</f>
        <v>0</v>
      </c>
      <c r="K39" s="5">
        <f ca="1">IF(I39-IF(Setup!$I$15="Yes",$G39,0)-IF(Setup!$I$13="Yes",$H39,0)&lt;0,0,I39-IF(Setup!$I$15="Yes",$G39,0)-IF(Setup!$I$13="Yes",$H39,0))</f>
        <v>80.769230769230774</v>
      </c>
      <c r="L39" s="5">
        <f t="shared" ca="1" si="2"/>
        <v>0</v>
      </c>
      <c r="M39" s="5">
        <f ca="1">(IF('Demand adjustments for Covid'!$F$9="No",E39,SUM('Demand background (hide)'!DS28,'Demand background (hide)'!DV28:DW28))*(1-'Parameters calculator (hide)'!$B$43))*(1-'Parameters calculator (hide)'!$B$44+('Parameters calculator (hide)'!$B$45*'Parameters calculator (hide)'!$B$47))</f>
        <v>130.0455</v>
      </c>
      <c r="N39" s="5">
        <f ca="1">(IF('Demand adjustments for Covid'!$F$9="No",F39,SUM('Demand background (hide)'!DT28,'Demand background (hide)'!DV28:DW28))*(1-'Parameters calculator (hide)'!$B$43))*(1-'Parameters calculator (hide)'!$B$44+('Parameters calculator (hide)'!$B$45*'Parameters calculator (hide)'!$B$47))</f>
        <v>143.05005</v>
      </c>
      <c r="P39" s="5">
        <f t="shared" ca="1" si="3"/>
        <v>80.769230769230774</v>
      </c>
      <c r="Q39" s="5">
        <f t="shared" ca="1" si="4"/>
        <v>0</v>
      </c>
      <c r="R39" s="5">
        <f t="shared" ca="1" si="5"/>
        <v>80.769230769230774</v>
      </c>
      <c r="S39" s="5">
        <f t="shared" ca="1" si="6"/>
        <v>0</v>
      </c>
      <c r="T39" s="5">
        <f ca="1">M39/IF(Summary!$C$8&lt;&gt;"Patients",1,$I$9)</f>
        <v>65.022750000000002</v>
      </c>
      <c r="U39" s="5">
        <f ca="1">((N39-M39)/IF(Summary!$C$8&lt;&gt;"Patients",1,$I$9))</f>
        <v>6.5022749999999974</v>
      </c>
      <c r="V39" s="5">
        <f t="shared" si="7"/>
        <v>0</v>
      </c>
      <c r="X39" s="5">
        <f ca="1">(VLOOKUP(D39,'SPC background (hide)'!$AG$2:$AN$54,8,0)/IF(Summary!$C$8&lt;&gt;"Patients",1,$I$9))*(1-$I$4)*(1-$I$5+($I$6*$I$7))</f>
        <v>71.024850000000001</v>
      </c>
    </row>
    <row r="40" spans="1:24" x14ac:dyDescent="0.25">
      <c r="A40" s="87">
        <f t="shared" si="8"/>
        <v>44109</v>
      </c>
      <c r="B40" s="67" t="str">
        <f t="shared" si="0"/>
        <v/>
      </c>
      <c r="C40" s="67" t="str">
        <f t="shared" si="9"/>
        <v>Oct</v>
      </c>
      <c r="D40" s="67">
        <f t="shared" si="1"/>
        <v>41</v>
      </c>
      <c r="E40" s="5">
        <f ca="1">IF(LEFT(Demand!$C$8,1)="H",VLOOKUP($D40,'SPC background (hide)'!$AG$2:$AS$54,12,0),'Demand background (hide)'!X29)</f>
        <v>120</v>
      </c>
      <c r="F40" s="5">
        <f ca="1">IF(LEFT(Demand!$C$8,1)="H",VLOOKUP($D40,'SPC background (hide)'!$AG$2:$AS$54,13,0),E40*1.1)</f>
        <v>132</v>
      </c>
      <c r="G40" s="5" t="str">
        <f>IF(Setup!$I$15="Yes",VLOOKUP(D40,'SPC background (hide)'!$AG$2:$AT$54,14,0)/IF(Summary!$C$8="Patients",'Summary Calculations (hide)'!$I$9,1),"")</f>
        <v/>
      </c>
      <c r="H40" s="67" t="str">
        <f>IF(Setup!$I$13="Yes",'Planned background (hide)'!$V$23/IF(Summary!$C$8="Patients",'Summary Calculations (hide)'!$I$9,1),"")</f>
        <v/>
      </c>
      <c r="I40" s="5">
        <f ca="1">HLOOKUP(D40,'Capacity calculation (hide)'!$BK$3:$DJ$4,2,0)</f>
        <v>80.769230769230774</v>
      </c>
      <c r="J40" s="5">
        <f ca="1">HLOOKUP(D40,'Capacity calculation (hide)'!$BK$110:$DJ$111,2,0)</f>
        <v>0</v>
      </c>
      <c r="K40" s="5">
        <f ca="1">IF(I40-IF(Setup!$I$15="Yes",$G40,0)-IF(Setup!$I$13="Yes",$H40,0)&lt;0,0,I40-IF(Setup!$I$15="Yes",$G40,0)-IF(Setup!$I$13="Yes",$H40,0))</f>
        <v>80.769230769230774</v>
      </c>
      <c r="L40" s="5">
        <f t="shared" ca="1" si="2"/>
        <v>0</v>
      </c>
      <c r="M40" s="5">
        <f ca="1">(IF('Demand adjustments for Covid'!$F$9="No",E40,SUM('Demand background (hide)'!DS29,'Demand background (hide)'!DV29:DW29))*(1-'Parameters calculator (hide)'!$B$43))*(1-'Parameters calculator (hide)'!$B$44+('Parameters calculator (hide)'!$B$45*'Parameters calculator (hide)'!$B$47))</f>
        <v>120.04199999999999</v>
      </c>
      <c r="N40" s="5">
        <f ca="1">(IF('Demand adjustments for Covid'!$F$9="No",F40,SUM('Demand background (hide)'!DT29,'Demand background (hide)'!DV29:DW29))*(1-'Parameters calculator (hide)'!$B$43))*(1-'Parameters calculator (hide)'!$B$44+('Parameters calculator (hide)'!$B$45*'Parameters calculator (hide)'!$B$47))</f>
        <v>132.04619999999997</v>
      </c>
      <c r="P40" s="5">
        <f t="shared" ca="1" si="3"/>
        <v>80.769230769230774</v>
      </c>
      <c r="Q40" s="5">
        <f t="shared" ca="1" si="4"/>
        <v>0</v>
      </c>
      <c r="R40" s="5">
        <f t="shared" ca="1" si="5"/>
        <v>80.769230769230774</v>
      </c>
      <c r="S40" s="5">
        <f t="shared" ca="1" si="6"/>
        <v>0</v>
      </c>
      <c r="T40" s="5">
        <f ca="1">M40/IF(Summary!$C$8&lt;&gt;"Patients",1,$I$9)</f>
        <v>60.020999999999994</v>
      </c>
      <c r="U40" s="5">
        <f ca="1">((N40-M40)/IF(Summary!$C$8&lt;&gt;"Patients",1,$I$9))</f>
        <v>6.0020999999999916</v>
      </c>
      <c r="V40" s="5">
        <f t="shared" si="7"/>
        <v>0</v>
      </c>
      <c r="X40" s="5">
        <f ca="1">(VLOOKUP(D40,'SPC background (hide)'!$AG$2:$AN$54,8,0)/IF(Summary!$C$8&lt;&gt;"Patients",1,$I$9))*(1-$I$4)*(1-$I$5+($I$6*$I$7))</f>
        <v>71.024850000000001</v>
      </c>
    </row>
    <row r="41" spans="1:24" x14ac:dyDescent="0.25">
      <c r="A41" s="87">
        <f t="shared" si="8"/>
        <v>44116</v>
      </c>
      <c r="B41" s="67" t="str">
        <f t="shared" si="0"/>
        <v/>
      </c>
      <c r="C41" s="67" t="str">
        <f t="shared" si="9"/>
        <v/>
      </c>
      <c r="D41" s="67">
        <f t="shared" si="1"/>
        <v>42</v>
      </c>
      <c r="E41" s="5">
        <f ca="1">IF(LEFT(Demand!$C$8,1)="H",VLOOKUP($D41,'SPC background (hide)'!$AG$2:$AS$54,12,0),'Demand background (hide)'!X30)</f>
        <v>124</v>
      </c>
      <c r="F41" s="5">
        <f ca="1">IF(LEFT(Demand!$C$8,1)="H",VLOOKUP($D41,'SPC background (hide)'!$AG$2:$AS$54,13,0),E41*1.1)</f>
        <v>136.4</v>
      </c>
      <c r="G41" s="5" t="str">
        <f>IF(Setup!$I$15="Yes",VLOOKUP(D41,'SPC background (hide)'!$AG$2:$AT$54,14,0)/IF(Summary!$C$8="Patients",'Summary Calculations (hide)'!$I$9,1),"")</f>
        <v/>
      </c>
      <c r="H41" s="67" t="str">
        <f>IF(Setup!$I$13="Yes",'Planned background (hide)'!$V$23/IF(Summary!$C$8="Patients",'Summary Calculations (hide)'!$I$9,1),"")</f>
        <v/>
      </c>
      <c r="I41" s="5">
        <f ca="1">HLOOKUP(D41,'Capacity calculation (hide)'!$BK$3:$DJ$4,2,0)</f>
        <v>80.769230769230774</v>
      </c>
      <c r="J41" s="5">
        <f ca="1">HLOOKUP(D41,'Capacity calculation (hide)'!$BK$110:$DJ$111,2,0)</f>
        <v>0</v>
      </c>
      <c r="K41" s="5">
        <f ca="1">IF(I41-IF(Setup!$I$15="Yes",$G41,0)-IF(Setup!$I$13="Yes",$H41,0)&lt;0,0,I41-IF(Setup!$I$15="Yes",$G41,0)-IF(Setup!$I$13="Yes",$H41,0))</f>
        <v>80.769230769230774</v>
      </c>
      <c r="L41" s="5">
        <f t="shared" ca="1" si="2"/>
        <v>0</v>
      </c>
      <c r="M41" s="5">
        <f ca="1">(IF('Demand adjustments for Covid'!$F$9="No",E41,SUM('Demand background (hide)'!DS30,'Demand background (hide)'!DV30:DW30))*(1-'Parameters calculator (hide)'!$B$43))*(1-'Parameters calculator (hide)'!$B$44+('Parameters calculator (hide)'!$B$45*'Parameters calculator (hide)'!$B$47))</f>
        <v>124.04339999999999</v>
      </c>
      <c r="N41" s="5">
        <f ca="1">(IF('Demand adjustments for Covid'!$F$9="No",F41,SUM('Demand background (hide)'!DT30,'Demand background (hide)'!DV30:DW30))*(1-'Parameters calculator (hide)'!$B$43))*(1-'Parameters calculator (hide)'!$B$44+('Parameters calculator (hide)'!$B$45*'Parameters calculator (hide)'!$B$47))</f>
        <v>136.44774000000001</v>
      </c>
      <c r="P41" s="5">
        <f t="shared" ca="1" si="3"/>
        <v>80.769230769230774</v>
      </c>
      <c r="Q41" s="5">
        <f t="shared" ca="1" si="4"/>
        <v>0</v>
      </c>
      <c r="R41" s="5">
        <f t="shared" ca="1" si="5"/>
        <v>80.769230769230774</v>
      </c>
      <c r="S41" s="5">
        <f t="shared" ca="1" si="6"/>
        <v>0</v>
      </c>
      <c r="T41" s="5">
        <f ca="1">M41/IF(Summary!$C$8&lt;&gt;"Patients",1,$I$9)</f>
        <v>62.021699999999996</v>
      </c>
      <c r="U41" s="5">
        <f ca="1">((N41-M41)/IF(Summary!$C$8&lt;&gt;"Patients",1,$I$9))</f>
        <v>6.2021700000000095</v>
      </c>
      <c r="V41" s="5">
        <f t="shared" si="7"/>
        <v>0</v>
      </c>
      <c r="X41" s="5">
        <f ca="1">(VLOOKUP(D41,'SPC background (hide)'!$AG$2:$AN$54,8,0)/IF(Summary!$C$8&lt;&gt;"Patients",1,$I$9))*(1-$I$4)*(1-$I$5+($I$6*$I$7))</f>
        <v>71.024850000000001</v>
      </c>
    </row>
    <row r="42" spans="1:24" x14ac:dyDescent="0.25">
      <c r="A42" s="87">
        <f t="shared" si="8"/>
        <v>44123</v>
      </c>
      <c r="B42" s="67" t="str">
        <f t="shared" si="0"/>
        <v/>
      </c>
      <c r="C42" s="67" t="str">
        <f t="shared" si="9"/>
        <v/>
      </c>
      <c r="D42" s="67">
        <f t="shared" si="1"/>
        <v>43</v>
      </c>
      <c r="E42" s="5">
        <f ca="1">IF(LEFT(Demand!$C$8,1)="H",VLOOKUP($D42,'SPC background (hide)'!$AG$2:$AS$54,12,0),'Demand background (hide)'!X31)</f>
        <v>140</v>
      </c>
      <c r="F42" s="5">
        <f ca="1">IF(LEFT(Demand!$C$8,1)="H",VLOOKUP($D42,'SPC background (hide)'!$AG$2:$AS$54,13,0),E42*1.1)</f>
        <v>154</v>
      </c>
      <c r="G42" s="5" t="str">
        <f>IF(Setup!$I$15="Yes",VLOOKUP(D42,'SPC background (hide)'!$AG$2:$AT$54,14,0)/IF(Summary!$C$8="Patients",'Summary Calculations (hide)'!$I$9,1),"")</f>
        <v/>
      </c>
      <c r="H42" s="67" t="str">
        <f>IF(Setup!$I$13="Yes",'Planned background (hide)'!$V$23/IF(Summary!$C$8="Patients",'Summary Calculations (hide)'!$I$9,1),"")</f>
        <v/>
      </c>
      <c r="I42" s="5">
        <f ca="1">HLOOKUP(D42,'Capacity calculation (hide)'!$BK$3:$DJ$4,2,0)</f>
        <v>80.769230769230774</v>
      </c>
      <c r="J42" s="5">
        <f ca="1">HLOOKUP(D42,'Capacity calculation (hide)'!$BK$110:$DJ$111,2,0)</f>
        <v>0</v>
      </c>
      <c r="K42" s="5">
        <f ca="1">IF(I42-IF(Setup!$I$15="Yes",$G42,0)-IF(Setup!$I$13="Yes",$H42,0)&lt;0,0,I42-IF(Setup!$I$15="Yes",$G42,0)-IF(Setup!$I$13="Yes",$H42,0))</f>
        <v>80.769230769230774</v>
      </c>
      <c r="L42" s="5">
        <f t="shared" ca="1" si="2"/>
        <v>0</v>
      </c>
      <c r="M42" s="5">
        <f ca="1">(IF('Demand adjustments for Covid'!$F$9="No",E42,SUM('Demand background (hide)'!DS31,'Demand background (hide)'!DV31:DW31))*(1-'Parameters calculator (hide)'!$B$43))*(1-'Parameters calculator (hide)'!$B$44+('Parameters calculator (hide)'!$B$45*'Parameters calculator (hide)'!$B$47))</f>
        <v>140.04899999999998</v>
      </c>
      <c r="N42" s="5">
        <f ca="1">(IF('Demand adjustments for Covid'!$F$9="No",F42,SUM('Demand background (hide)'!DT31,'Demand background (hide)'!DV31:DW31))*(1-'Parameters calculator (hide)'!$B$43))*(1-'Parameters calculator (hide)'!$B$44+('Parameters calculator (hide)'!$B$45*'Parameters calculator (hide)'!$B$47))</f>
        <v>154.05389999999997</v>
      </c>
      <c r="P42" s="5">
        <f t="shared" ca="1" si="3"/>
        <v>80.769230769230774</v>
      </c>
      <c r="Q42" s="5">
        <f t="shared" ca="1" si="4"/>
        <v>0</v>
      </c>
      <c r="R42" s="5">
        <f t="shared" ca="1" si="5"/>
        <v>80.769230769230774</v>
      </c>
      <c r="S42" s="5">
        <f t="shared" ca="1" si="6"/>
        <v>0</v>
      </c>
      <c r="T42" s="5">
        <f ca="1">M42/IF(Summary!$C$8&lt;&gt;"Patients",1,$I$9)</f>
        <v>70.024499999999989</v>
      </c>
      <c r="U42" s="5">
        <f ca="1">((N42-M42)/IF(Summary!$C$8&lt;&gt;"Patients",1,$I$9))</f>
        <v>7.0024499999999961</v>
      </c>
      <c r="V42" s="5">
        <f t="shared" si="7"/>
        <v>0</v>
      </c>
      <c r="X42" s="5">
        <f ca="1">(VLOOKUP(D42,'SPC background (hide)'!$AG$2:$AN$54,8,0)/IF(Summary!$C$8&lt;&gt;"Patients",1,$I$9))*(1-$I$4)*(1-$I$5+($I$6*$I$7))</f>
        <v>71.024850000000001</v>
      </c>
    </row>
    <row r="43" spans="1:24" x14ac:dyDescent="0.25">
      <c r="A43" s="87">
        <f t="shared" si="8"/>
        <v>44130</v>
      </c>
      <c r="B43" s="67" t="str">
        <f t="shared" si="0"/>
        <v/>
      </c>
      <c r="C43" s="67" t="str">
        <f t="shared" si="9"/>
        <v/>
      </c>
      <c r="D43" s="67">
        <f t="shared" si="1"/>
        <v>44</v>
      </c>
      <c r="E43" s="5">
        <f ca="1">IF(LEFT(Demand!$C$8,1)="H",VLOOKUP($D43,'SPC background (hide)'!$AG$2:$AS$54,12,0),'Demand background (hide)'!X32)</f>
        <v>148</v>
      </c>
      <c r="F43" s="5">
        <f ca="1">IF(LEFT(Demand!$C$8,1)="H",VLOOKUP($D43,'SPC background (hide)'!$AG$2:$AS$54,13,0),E43*1.1)</f>
        <v>162.80000000000001</v>
      </c>
      <c r="G43" s="5" t="str">
        <f>IF(Setup!$I$15="Yes",VLOOKUP(D43,'SPC background (hide)'!$AG$2:$AT$54,14,0)/IF(Summary!$C$8="Patients",'Summary Calculations (hide)'!$I$9,1),"")</f>
        <v/>
      </c>
      <c r="H43" s="67" t="str">
        <f>IF(Setup!$I$13="Yes",'Planned background (hide)'!$V$23/IF(Summary!$C$8="Patients",'Summary Calculations (hide)'!$I$9,1),"")</f>
        <v/>
      </c>
      <c r="I43" s="5">
        <f ca="1">HLOOKUP(D43,'Capacity calculation (hide)'!$BK$3:$DJ$4,2,0)</f>
        <v>80.769230769230774</v>
      </c>
      <c r="J43" s="5">
        <f ca="1">HLOOKUP(D43,'Capacity calculation (hide)'!$BK$110:$DJ$111,2,0)</f>
        <v>0</v>
      </c>
      <c r="K43" s="5">
        <f ca="1">IF(I43-IF(Setup!$I$15="Yes",$G43,0)-IF(Setup!$I$13="Yes",$H43,0)&lt;0,0,I43-IF(Setup!$I$15="Yes",$G43,0)-IF(Setup!$I$13="Yes",$H43,0))</f>
        <v>80.769230769230774</v>
      </c>
      <c r="L43" s="5">
        <f t="shared" ca="1" si="2"/>
        <v>0</v>
      </c>
      <c r="M43" s="5">
        <f ca="1">(IF('Demand adjustments for Covid'!$F$9="No",E43,SUM('Demand background (hide)'!DS32,'Demand background (hide)'!DV32:DW32))*(1-'Parameters calculator (hide)'!$B$43))*(1-'Parameters calculator (hide)'!$B$44+('Parameters calculator (hide)'!$B$45*'Parameters calculator (hide)'!$B$47))</f>
        <v>148.05179999999999</v>
      </c>
      <c r="N43" s="5">
        <f ca="1">(IF('Demand adjustments for Covid'!$F$9="No",F43,SUM('Demand background (hide)'!DT32,'Demand background (hide)'!DV32:DW32))*(1-'Parameters calculator (hide)'!$B$43))*(1-'Parameters calculator (hide)'!$B$44+('Parameters calculator (hide)'!$B$45*'Parameters calculator (hide)'!$B$47))</f>
        <v>162.85697999999999</v>
      </c>
      <c r="P43" s="5">
        <f t="shared" ca="1" si="3"/>
        <v>80.769230769230774</v>
      </c>
      <c r="Q43" s="5">
        <f t="shared" ca="1" si="4"/>
        <v>0</v>
      </c>
      <c r="R43" s="5">
        <f t="shared" ca="1" si="5"/>
        <v>80.769230769230774</v>
      </c>
      <c r="S43" s="5">
        <f t="shared" ca="1" si="6"/>
        <v>0</v>
      </c>
      <c r="T43" s="5">
        <f ca="1">M43/IF(Summary!$C$8&lt;&gt;"Patients",1,$I$9)</f>
        <v>74.025899999999993</v>
      </c>
      <c r="U43" s="5">
        <f ca="1">((N43-M43)/IF(Summary!$C$8&lt;&gt;"Patients",1,$I$9))</f>
        <v>7.4025900000000036</v>
      </c>
      <c r="V43" s="5">
        <f t="shared" si="7"/>
        <v>0</v>
      </c>
      <c r="X43" s="5">
        <f ca="1">(VLOOKUP(D43,'SPC background (hide)'!$AG$2:$AN$54,8,0)/IF(Summary!$C$8&lt;&gt;"Patients",1,$I$9))*(1-$I$4)*(1-$I$5+($I$6*$I$7))</f>
        <v>71.024850000000001</v>
      </c>
    </row>
    <row r="44" spans="1:24" x14ac:dyDescent="0.25">
      <c r="A44" s="87">
        <f t="shared" si="8"/>
        <v>44137</v>
      </c>
      <c r="B44" s="67" t="str">
        <f t="shared" si="0"/>
        <v/>
      </c>
      <c r="C44" s="67" t="str">
        <f t="shared" si="9"/>
        <v>Nov</v>
      </c>
      <c r="D44" s="67">
        <f t="shared" si="1"/>
        <v>45</v>
      </c>
      <c r="E44" s="5">
        <f ca="1">IF(LEFT(Demand!$C$8,1)="H",VLOOKUP($D44,'SPC background (hide)'!$AG$2:$AS$54,12,0),'Demand background (hide)'!X33)</f>
        <v>150</v>
      </c>
      <c r="F44" s="5">
        <f ca="1">IF(LEFT(Demand!$C$8,1)="H",VLOOKUP($D44,'SPC background (hide)'!$AG$2:$AS$54,13,0),E44*1.1)</f>
        <v>165</v>
      </c>
      <c r="G44" s="5" t="str">
        <f>IF(Setup!$I$15="Yes",VLOOKUP(D44,'SPC background (hide)'!$AG$2:$AT$54,14,0)/IF(Summary!$C$8="Patients",'Summary Calculations (hide)'!$I$9,1),"")</f>
        <v/>
      </c>
      <c r="H44" s="67" t="str">
        <f>IF(Setup!$I$13="Yes",'Planned background (hide)'!$V$23/IF(Summary!$C$8="Patients",'Summary Calculations (hide)'!$I$9,1),"")</f>
        <v/>
      </c>
      <c r="I44" s="5">
        <f ca="1">HLOOKUP(D44,'Capacity calculation (hide)'!$BK$3:$DJ$4,2,0)</f>
        <v>80.769230769230774</v>
      </c>
      <c r="J44" s="5">
        <f ca="1">HLOOKUP(D44,'Capacity calculation (hide)'!$BK$110:$DJ$111,2,0)</f>
        <v>0</v>
      </c>
      <c r="K44" s="5">
        <f ca="1">IF(I44-IF(Setup!$I$15="Yes",$G44,0)-IF(Setup!$I$13="Yes",$H44,0)&lt;0,0,I44-IF(Setup!$I$15="Yes",$G44,0)-IF(Setup!$I$13="Yes",$H44,0))</f>
        <v>80.769230769230774</v>
      </c>
      <c r="L44" s="5">
        <f t="shared" ca="1" si="2"/>
        <v>0</v>
      </c>
      <c r="M44" s="5">
        <f ca="1">(IF('Demand adjustments for Covid'!$F$9="No",E44,SUM('Demand background (hide)'!DS33,'Demand background (hide)'!DV33:DW33))*(1-'Parameters calculator (hide)'!$B$43))*(1-'Parameters calculator (hide)'!$B$44+('Parameters calculator (hide)'!$B$45*'Parameters calculator (hide)'!$B$47))</f>
        <v>150.05249999999998</v>
      </c>
      <c r="N44" s="5">
        <f ca="1">(IF('Demand adjustments for Covid'!$F$9="No",F44,SUM('Demand background (hide)'!DT33,'Demand background (hide)'!DV33:DW33))*(1-'Parameters calculator (hide)'!$B$43))*(1-'Parameters calculator (hide)'!$B$44+('Parameters calculator (hide)'!$B$45*'Parameters calculator (hide)'!$B$47))</f>
        <v>165.05775</v>
      </c>
      <c r="P44" s="5">
        <f t="shared" ca="1" si="3"/>
        <v>80.769230769230774</v>
      </c>
      <c r="Q44" s="5">
        <f t="shared" ca="1" si="4"/>
        <v>0</v>
      </c>
      <c r="R44" s="5">
        <f t="shared" ca="1" si="5"/>
        <v>80.769230769230774</v>
      </c>
      <c r="S44" s="5">
        <f t="shared" ca="1" si="6"/>
        <v>0</v>
      </c>
      <c r="T44" s="5">
        <f ca="1">M44/IF(Summary!$C$8&lt;&gt;"Patients",1,$I$9)</f>
        <v>75.02624999999999</v>
      </c>
      <c r="U44" s="5">
        <f ca="1">((N44-M44)/IF(Summary!$C$8&lt;&gt;"Patients",1,$I$9))</f>
        <v>7.502625000000009</v>
      </c>
      <c r="V44" s="5">
        <f t="shared" si="7"/>
        <v>0</v>
      </c>
      <c r="X44" s="5">
        <f ca="1">(VLOOKUP(D44,'SPC background (hide)'!$AG$2:$AN$54,8,0)/IF(Summary!$C$8&lt;&gt;"Patients",1,$I$9))*(1-$I$4)*(1-$I$5+($I$6*$I$7))</f>
        <v>71.024850000000001</v>
      </c>
    </row>
    <row r="45" spans="1:24" x14ac:dyDescent="0.25">
      <c r="A45" s="87">
        <f t="shared" si="8"/>
        <v>44144</v>
      </c>
      <c r="B45" s="67" t="str">
        <f t="shared" si="0"/>
        <v/>
      </c>
      <c r="C45" s="67" t="str">
        <f t="shared" si="9"/>
        <v/>
      </c>
      <c r="D45" s="67">
        <f t="shared" si="1"/>
        <v>46</v>
      </c>
      <c r="E45" s="5">
        <f ca="1">IF(LEFT(Demand!$C$8,1)="H",VLOOKUP($D45,'SPC background (hide)'!$AG$2:$AS$54,12,0),'Demand background (hide)'!X34)</f>
        <v>142</v>
      </c>
      <c r="F45" s="5">
        <f ca="1">IF(LEFT(Demand!$C$8,1)="H",VLOOKUP($D45,'SPC background (hide)'!$AG$2:$AS$54,13,0),E45*1.1)</f>
        <v>156.20000000000002</v>
      </c>
      <c r="G45" s="5" t="str">
        <f>IF(Setup!$I$15="Yes",VLOOKUP(D45,'SPC background (hide)'!$AG$2:$AT$54,14,0)/IF(Summary!$C$8="Patients",'Summary Calculations (hide)'!$I$9,1),"")</f>
        <v/>
      </c>
      <c r="H45" s="67" t="str">
        <f>IF(Setup!$I$13="Yes",'Planned background (hide)'!$V$23/IF(Summary!$C$8="Patients",'Summary Calculations (hide)'!$I$9,1),"")</f>
        <v/>
      </c>
      <c r="I45" s="5">
        <f ca="1">HLOOKUP(D45,'Capacity calculation (hide)'!$BK$3:$DJ$4,2,0)</f>
        <v>80.769230769230774</v>
      </c>
      <c r="J45" s="5">
        <f ca="1">HLOOKUP(D45,'Capacity calculation (hide)'!$BK$110:$DJ$111,2,0)</f>
        <v>0</v>
      </c>
      <c r="K45" s="5">
        <f ca="1">IF(I45-IF(Setup!$I$15="Yes",$G45,0)-IF(Setup!$I$13="Yes",$H45,0)&lt;0,0,I45-IF(Setup!$I$15="Yes",$G45,0)-IF(Setup!$I$13="Yes",$H45,0))</f>
        <v>80.769230769230774</v>
      </c>
      <c r="L45" s="5">
        <f t="shared" ca="1" si="2"/>
        <v>0</v>
      </c>
      <c r="M45" s="5">
        <f ca="1">(IF('Demand adjustments for Covid'!$F$9="No",E45,SUM('Demand background (hide)'!DS34,'Demand background (hide)'!DV34:DW34))*(1-'Parameters calculator (hide)'!$B$43))*(1-'Parameters calculator (hide)'!$B$44+('Parameters calculator (hide)'!$B$45*'Parameters calculator (hide)'!$B$47))</f>
        <v>142.0497</v>
      </c>
      <c r="N45" s="5">
        <f ca="1">(IF('Demand adjustments for Covid'!$F$9="No",F45,SUM('Demand background (hide)'!DT34,'Demand background (hide)'!DV34:DW34))*(1-'Parameters calculator (hide)'!$B$43))*(1-'Parameters calculator (hide)'!$B$44+('Parameters calculator (hide)'!$B$45*'Parameters calculator (hide)'!$B$47))</f>
        <v>156.25467</v>
      </c>
      <c r="P45" s="5">
        <f t="shared" ca="1" si="3"/>
        <v>80.769230769230774</v>
      </c>
      <c r="Q45" s="5">
        <f t="shared" ca="1" si="4"/>
        <v>0</v>
      </c>
      <c r="R45" s="5">
        <f t="shared" ca="1" si="5"/>
        <v>80.769230769230774</v>
      </c>
      <c r="S45" s="5">
        <f t="shared" ca="1" si="6"/>
        <v>0</v>
      </c>
      <c r="T45" s="5">
        <f ca="1">M45/IF(Summary!$C$8&lt;&gt;"Patients",1,$I$9)</f>
        <v>71.024850000000001</v>
      </c>
      <c r="U45" s="5">
        <f ca="1">((N45-M45)/IF(Summary!$C$8&lt;&gt;"Patients",1,$I$9))</f>
        <v>7.1024850000000015</v>
      </c>
      <c r="V45" s="5">
        <f t="shared" si="7"/>
        <v>0</v>
      </c>
      <c r="X45" s="5">
        <f ca="1">(VLOOKUP(D45,'SPC background (hide)'!$AG$2:$AN$54,8,0)/IF(Summary!$C$8&lt;&gt;"Patients",1,$I$9))*(1-$I$4)*(1-$I$5+($I$6*$I$7))</f>
        <v>71.024850000000001</v>
      </c>
    </row>
    <row r="46" spans="1:24" x14ac:dyDescent="0.25">
      <c r="A46" s="87">
        <f t="shared" si="8"/>
        <v>44151</v>
      </c>
      <c r="B46" s="67" t="str">
        <f t="shared" si="0"/>
        <v/>
      </c>
      <c r="C46" s="67" t="str">
        <f t="shared" si="9"/>
        <v/>
      </c>
      <c r="D46" s="67">
        <f t="shared" si="1"/>
        <v>47</v>
      </c>
      <c r="E46" s="5">
        <f ca="1">IF(LEFT(Demand!$C$8,1)="H",VLOOKUP($D46,'SPC background (hide)'!$AG$2:$AS$54,12,0),'Demand background (hide)'!X35)</f>
        <v>132</v>
      </c>
      <c r="F46" s="5">
        <f ca="1">IF(LEFT(Demand!$C$8,1)="H",VLOOKUP($D46,'SPC background (hide)'!$AG$2:$AS$54,13,0),E46*1.1)</f>
        <v>145.20000000000002</v>
      </c>
      <c r="G46" s="5" t="str">
        <f>IF(Setup!$I$15="Yes",VLOOKUP(D46,'SPC background (hide)'!$AG$2:$AT$54,14,0)/IF(Summary!$C$8="Patients",'Summary Calculations (hide)'!$I$9,1),"")</f>
        <v/>
      </c>
      <c r="H46" s="67" t="str">
        <f>IF(Setup!$I$13="Yes",'Planned background (hide)'!$V$23/IF(Summary!$C$8="Patients",'Summary Calculations (hide)'!$I$9,1),"")</f>
        <v/>
      </c>
      <c r="I46" s="5">
        <f ca="1">HLOOKUP(D46,'Capacity calculation (hide)'!$BK$3:$DJ$4,2,0)</f>
        <v>80.769230769230774</v>
      </c>
      <c r="J46" s="5">
        <f ca="1">HLOOKUP(D46,'Capacity calculation (hide)'!$BK$110:$DJ$111,2,0)</f>
        <v>0</v>
      </c>
      <c r="K46" s="5">
        <f ca="1">IF(I46-IF(Setup!$I$15="Yes",$G46,0)-IF(Setup!$I$13="Yes",$H46,0)&lt;0,0,I46-IF(Setup!$I$15="Yes",$G46,0)-IF(Setup!$I$13="Yes",$H46,0))</f>
        <v>80.769230769230774</v>
      </c>
      <c r="L46" s="5">
        <f t="shared" ca="1" si="2"/>
        <v>0</v>
      </c>
      <c r="M46" s="5">
        <f ca="1">(IF('Demand adjustments for Covid'!$F$9="No",E46,SUM('Demand background (hide)'!DS35,'Demand background (hide)'!DV35:DW35))*(1-'Parameters calculator (hide)'!$B$43))*(1-'Parameters calculator (hide)'!$B$44+('Parameters calculator (hide)'!$B$45*'Parameters calculator (hide)'!$B$47))</f>
        <v>132.04619999999997</v>
      </c>
      <c r="N46" s="5">
        <f ca="1">(IF('Demand adjustments for Covid'!$F$9="No",F46,SUM('Demand background (hide)'!DT35,'Demand background (hide)'!DV35:DW35))*(1-'Parameters calculator (hide)'!$B$43))*(1-'Parameters calculator (hide)'!$B$44+('Parameters calculator (hide)'!$B$45*'Parameters calculator (hide)'!$B$47))</f>
        <v>145.25081999999998</v>
      </c>
      <c r="P46" s="5">
        <f t="shared" ca="1" si="3"/>
        <v>80.769230769230774</v>
      </c>
      <c r="Q46" s="5">
        <f t="shared" ca="1" si="4"/>
        <v>0</v>
      </c>
      <c r="R46" s="5">
        <f t="shared" ca="1" si="5"/>
        <v>80.769230769230774</v>
      </c>
      <c r="S46" s="5">
        <f t="shared" ca="1" si="6"/>
        <v>0</v>
      </c>
      <c r="T46" s="5">
        <f ca="1">M46/IF(Summary!$C$8&lt;&gt;"Patients",1,$I$9)</f>
        <v>66.023099999999985</v>
      </c>
      <c r="U46" s="5">
        <f ca="1">((N46-M46)/IF(Summary!$C$8&lt;&gt;"Patients",1,$I$9))</f>
        <v>6.6023100000000028</v>
      </c>
      <c r="V46" s="5">
        <f t="shared" si="7"/>
        <v>0</v>
      </c>
      <c r="X46" s="5">
        <f ca="1">(VLOOKUP(D46,'SPC background (hide)'!$AG$2:$AN$54,8,0)/IF(Summary!$C$8&lt;&gt;"Patients",1,$I$9))*(1-$I$4)*(1-$I$5+($I$6*$I$7))</f>
        <v>71.024850000000001</v>
      </c>
    </row>
    <row r="47" spans="1:24" x14ac:dyDescent="0.25">
      <c r="A47" s="87">
        <f t="shared" si="8"/>
        <v>44158</v>
      </c>
      <c r="B47" s="67" t="str">
        <f t="shared" si="0"/>
        <v/>
      </c>
      <c r="C47" s="67" t="str">
        <f t="shared" si="9"/>
        <v/>
      </c>
      <c r="D47" s="67">
        <f t="shared" si="1"/>
        <v>48</v>
      </c>
      <c r="E47" s="5">
        <f ca="1">IF(LEFT(Demand!$C$8,1)="H",VLOOKUP($D47,'SPC background (hide)'!$AG$2:$AS$54,12,0),'Demand background (hide)'!X36)</f>
        <v>136</v>
      </c>
      <c r="F47" s="5">
        <f ca="1">IF(LEFT(Demand!$C$8,1)="H",VLOOKUP($D47,'SPC background (hide)'!$AG$2:$AS$54,13,0),E47*1.1)</f>
        <v>149.60000000000002</v>
      </c>
      <c r="G47" s="5" t="str">
        <f>IF(Setup!$I$15="Yes",VLOOKUP(D47,'SPC background (hide)'!$AG$2:$AT$54,14,0)/IF(Summary!$C$8="Patients",'Summary Calculations (hide)'!$I$9,1),"")</f>
        <v/>
      </c>
      <c r="H47" s="67" t="str">
        <f>IF(Setup!$I$13="Yes",'Planned background (hide)'!$V$23/IF(Summary!$C$8="Patients",'Summary Calculations (hide)'!$I$9,1),"")</f>
        <v/>
      </c>
      <c r="I47" s="5">
        <f ca="1">HLOOKUP(D47,'Capacity calculation (hide)'!$BK$3:$DJ$4,2,0)</f>
        <v>80.769230769230774</v>
      </c>
      <c r="J47" s="5">
        <f ca="1">HLOOKUP(D47,'Capacity calculation (hide)'!$BK$110:$DJ$111,2,0)</f>
        <v>0</v>
      </c>
      <c r="K47" s="5">
        <f ca="1">IF(I47-IF(Setup!$I$15="Yes",$G47,0)-IF(Setup!$I$13="Yes",$H47,0)&lt;0,0,I47-IF(Setup!$I$15="Yes",$G47,0)-IF(Setup!$I$13="Yes",$H47,0))</f>
        <v>80.769230769230774</v>
      </c>
      <c r="L47" s="5">
        <f t="shared" ca="1" si="2"/>
        <v>0</v>
      </c>
      <c r="M47" s="5">
        <f ca="1">(IF('Demand adjustments for Covid'!$F$9="No",E47,SUM('Demand background (hide)'!DS36,'Demand background (hide)'!DV36:DW36))*(1-'Parameters calculator (hide)'!$B$43))*(1-'Parameters calculator (hide)'!$B$44+('Parameters calculator (hide)'!$B$45*'Parameters calculator (hide)'!$B$47))</f>
        <v>136.04759999999999</v>
      </c>
      <c r="N47" s="5">
        <f ca="1">(IF('Demand adjustments for Covid'!$F$9="No",F47,SUM('Demand background (hide)'!DT36,'Demand background (hide)'!DV36:DW36))*(1-'Parameters calculator (hide)'!$B$43))*(1-'Parameters calculator (hide)'!$B$44+('Parameters calculator (hide)'!$B$45*'Parameters calculator (hide)'!$B$47))</f>
        <v>149.65235999999999</v>
      </c>
      <c r="P47" s="5">
        <f t="shared" ca="1" si="3"/>
        <v>80.769230769230774</v>
      </c>
      <c r="Q47" s="5">
        <f t="shared" ca="1" si="4"/>
        <v>0</v>
      </c>
      <c r="R47" s="5">
        <f t="shared" ca="1" si="5"/>
        <v>80.769230769230774</v>
      </c>
      <c r="S47" s="5">
        <f t="shared" ca="1" si="6"/>
        <v>0</v>
      </c>
      <c r="T47" s="5">
        <f ca="1">M47/IF(Summary!$C$8&lt;&gt;"Patients",1,$I$9)</f>
        <v>68.023799999999994</v>
      </c>
      <c r="U47" s="5">
        <f ca="1">((N47-M47)/IF(Summary!$C$8&lt;&gt;"Patients",1,$I$9))</f>
        <v>6.8023799999999994</v>
      </c>
      <c r="V47" s="5">
        <f t="shared" si="7"/>
        <v>0</v>
      </c>
      <c r="X47" s="5">
        <f ca="1">(VLOOKUP(D47,'SPC background (hide)'!$AG$2:$AN$54,8,0)/IF(Summary!$C$8&lt;&gt;"Patients",1,$I$9))*(1-$I$4)*(1-$I$5+($I$6*$I$7))</f>
        <v>71.024850000000001</v>
      </c>
    </row>
    <row r="48" spans="1:24" x14ac:dyDescent="0.25">
      <c r="A48" s="87">
        <f t="shared" si="8"/>
        <v>44165</v>
      </c>
      <c r="B48" s="67" t="str">
        <f t="shared" ref="B48:B66" si="10">IF(YEAR(A48)&lt;&gt;YEAR(A47),YEAR(A48),"")</f>
        <v/>
      </c>
      <c r="C48" s="67" t="str">
        <f t="shared" si="9"/>
        <v/>
      </c>
      <c r="D48" s="67">
        <f t="shared" si="1"/>
        <v>49</v>
      </c>
      <c r="E48" s="5">
        <f ca="1">IF(LEFT(Demand!$C$8,1)="H",VLOOKUP($D48,'SPC background (hide)'!$AG$2:$AS$54,12,0),'Demand background (hide)'!X37)</f>
        <v>140</v>
      </c>
      <c r="F48" s="5">
        <f ca="1">IF(LEFT(Demand!$C$8,1)="H",VLOOKUP($D48,'SPC background (hide)'!$AG$2:$AS$54,13,0),E48*1.1)</f>
        <v>154</v>
      </c>
      <c r="G48" s="5" t="str">
        <f>IF(Setup!$I$15="Yes",VLOOKUP(D48,'SPC background (hide)'!$AG$2:$AT$54,14,0)/IF(Summary!$C$8="Patients",'Summary Calculations (hide)'!$I$9,1),"")</f>
        <v/>
      </c>
      <c r="H48" s="67" t="str">
        <f>IF(Setup!$I$13="Yes",'Planned background (hide)'!$V$23/IF(Summary!$C$8="Patients",'Summary Calculations (hide)'!$I$9,1),"")</f>
        <v/>
      </c>
      <c r="I48" s="5">
        <f ca="1">HLOOKUP(D48,'Capacity calculation (hide)'!$BK$3:$DJ$4,2,0)</f>
        <v>80.769230769230774</v>
      </c>
      <c r="J48" s="5">
        <f ca="1">HLOOKUP(D48,'Capacity calculation (hide)'!$BK$110:$DJ$111,2,0)</f>
        <v>0</v>
      </c>
      <c r="K48" s="5">
        <f ca="1">IF(I48-IF(Setup!$I$15="Yes",$G48,0)-IF(Setup!$I$13="Yes",$H48,0)&lt;0,0,I48-IF(Setup!$I$15="Yes",$G48,0)-IF(Setup!$I$13="Yes",$H48,0))</f>
        <v>80.769230769230774</v>
      </c>
      <c r="L48" s="5">
        <f t="shared" ca="1" si="2"/>
        <v>0</v>
      </c>
      <c r="M48" s="5">
        <f ca="1">(IF('Demand adjustments for Covid'!$F$9="No",E48,SUM('Demand background (hide)'!DS37,'Demand background (hide)'!DV37:DW37))*(1-'Parameters calculator (hide)'!$B$43))*(1-'Parameters calculator (hide)'!$B$44+('Parameters calculator (hide)'!$B$45*'Parameters calculator (hide)'!$B$47))</f>
        <v>140.04899999999998</v>
      </c>
      <c r="N48" s="5">
        <f ca="1">(IF('Demand adjustments for Covid'!$F$9="No",F48,SUM('Demand background (hide)'!DT37,'Demand background (hide)'!DV37:DW37))*(1-'Parameters calculator (hide)'!$B$43))*(1-'Parameters calculator (hide)'!$B$44+('Parameters calculator (hide)'!$B$45*'Parameters calculator (hide)'!$B$47))</f>
        <v>154.05389999999997</v>
      </c>
      <c r="P48" s="5">
        <f t="shared" ca="1" si="3"/>
        <v>80.769230769230774</v>
      </c>
      <c r="Q48" s="5">
        <f t="shared" ca="1" si="4"/>
        <v>0</v>
      </c>
      <c r="R48" s="5">
        <f t="shared" ca="1" si="5"/>
        <v>80.769230769230774</v>
      </c>
      <c r="S48" s="5">
        <f t="shared" ca="1" si="6"/>
        <v>0</v>
      </c>
      <c r="T48" s="5">
        <f ca="1">M48/IF(Summary!$C$8&lt;&gt;"Patients",1,$I$9)</f>
        <v>70.024499999999989</v>
      </c>
      <c r="U48" s="5">
        <f ca="1">((N48-M48)/IF(Summary!$C$8&lt;&gt;"Patients",1,$I$9))</f>
        <v>7.0024499999999961</v>
      </c>
      <c r="V48" s="5">
        <f t="shared" si="7"/>
        <v>0</v>
      </c>
      <c r="X48" s="5">
        <f ca="1">(VLOOKUP(D48,'SPC background (hide)'!$AG$2:$AN$54,8,0)/IF(Summary!$C$8&lt;&gt;"Patients",1,$I$9))*(1-$I$4)*(1-$I$5+($I$6*$I$7))</f>
        <v>71.024850000000001</v>
      </c>
    </row>
    <row r="49" spans="1:24" x14ac:dyDescent="0.25">
      <c r="A49" s="87">
        <f t="shared" si="8"/>
        <v>44172</v>
      </c>
      <c r="B49" s="67" t="str">
        <f t="shared" si="10"/>
        <v/>
      </c>
      <c r="C49" s="67" t="str">
        <f t="shared" si="9"/>
        <v>Dec</v>
      </c>
      <c r="D49" s="67">
        <f t="shared" si="1"/>
        <v>50</v>
      </c>
      <c r="E49" s="5">
        <f ca="1">IF(LEFT(Demand!$C$8,1)="H",VLOOKUP($D49,'SPC background (hide)'!$AG$2:$AS$54,12,0),'Demand background (hide)'!X38)</f>
        <v>144</v>
      </c>
      <c r="F49" s="5">
        <f ca="1">IF(LEFT(Demand!$C$8,1)="H",VLOOKUP($D49,'SPC background (hide)'!$AG$2:$AS$54,13,0),E49*1.1)</f>
        <v>158.4</v>
      </c>
      <c r="G49" s="5" t="str">
        <f>IF(Setup!$I$15="Yes",VLOOKUP(D49,'SPC background (hide)'!$AG$2:$AT$54,14,0)/IF(Summary!$C$8="Patients",'Summary Calculations (hide)'!$I$9,1),"")</f>
        <v/>
      </c>
      <c r="H49" s="67" t="str">
        <f>IF(Setup!$I$13="Yes",'Planned background (hide)'!$V$23/IF(Summary!$C$8="Patients",'Summary Calculations (hide)'!$I$9,1),"")</f>
        <v/>
      </c>
      <c r="I49" s="5">
        <f ca="1">HLOOKUP(D49,'Capacity calculation (hide)'!$BK$3:$DJ$4,2,0)</f>
        <v>80.769230769230774</v>
      </c>
      <c r="J49" s="5">
        <f ca="1">HLOOKUP(D49,'Capacity calculation (hide)'!$BK$110:$DJ$111,2,0)</f>
        <v>0</v>
      </c>
      <c r="K49" s="5">
        <f ca="1">IF(I49-IF(Setup!$I$15="Yes",$G49,0)-IF(Setup!$I$13="Yes",$H49,0)&lt;0,0,I49-IF(Setup!$I$15="Yes",$G49,0)-IF(Setup!$I$13="Yes",$H49,0))</f>
        <v>80.769230769230774</v>
      </c>
      <c r="L49" s="5">
        <f t="shared" ca="1" si="2"/>
        <v>0</v>
      </c>
      <c r="M49" s="5">
        <f ca="1">(IF('Demand adjustments for Covid'!$F$9="No",E49,SUM('Demand background (hide)'!DS38,'Demand background (hide)'!DV38:DW38))*(1-'Parameters calculator (hide)'!$B$43))*(1-'Parameters calculator (hide)'!$B$44+('Parameters calculator (hide)'!$B$45*'Parameters calculator (hide)'!$B$47))</f>
        <v>144.05039999999997</v>
      </c>
      <c r="N49" s="5">
        <f ca="1">(IF('Demand adjustments for Covid'!$F$9="No",F49,SUM('Demand background (hide)'!DT38,'Demand background (hide)'!DV38:DW38))*(1-'Parameters calculator (hide)'!$B$43))*(1-'Parameters calculator (hide)'!$B$44+('Parameters calculator (hide)'!$B$45*'Parameters calculator (hide)'!$B$47))</f>
        <v>158.45543999999998</v>
      </c>
      <c r="P49" s="5">
        <f t="shared" ca="1" si="3"/>
        <v>80.769230769230774</v>
      </c>
      <c r="Q49" s="5">
        <f t="shared" ca="1" si="4"/>
        <v>0</v>
      </c>
      <c r="R49" s="5">
        <f t="shared" ca="1" si="5"/>
        <v>80.769230769230774</v>
      </c>
      <c r="S49" s="5">
        <f t="shared" ca="1" si="6"/>
        <v>0</v>
      </c>
      <c r="T49" s="5">
        <f ca="1">M49/IF(Summary!$C$8&lt;&gt;"Patients",1,$I$9)</f>
        <v>72.025199999999984</v>
      </c>
      <c r="U49" s="5">
        <f ca="1">((N49-M49)/IF(Summary!$C$8&lt;&gt;"Patients",1,$I$9))</f>
        <v>7.2025200000000069</v>
      </c>
      <c r="V49" s="5">
        <f t="shared" si="7"/>
        <v>0</v>
      </c>
      <c r="X49" s="5">
        <f ca="1">(VLOOKUP(D49,'SPC background (hide)'!$AG$2:$AN$54,8,0)/IF(Summary!$C$8&lt;&gt;"Patients",1,$I$9))*(1-$I$4)*(1-$I$5+($I$6*$I$7))</f>
        <v>71.024850000000001</v>
      </c>
    </row>
    <row r="50" spans="1:24" x14ac:dyDescent="0.25">
      <c r="A50" s="87">
        <f t="shared" si="8"/>
        <v>44179</v>
      </c>
      <c r="B50" s="67" t="str">
        <f t="shared" si="10"/>
        <v/>
      </c>
      <c r="C50" s="67" t="str">
        <f t="shared" si="9"/>
        <v/>
      </c>
      <c r="D50" s="67">
        <f t="shared" si="1"/>
        <v>51</v>
      </c>
      <c r="E50" s="5">
        <f ca="1">IF(LEFT(Demand!$C$8,1)="H",VLOOKUP($D50,'SPC background (hide)'!$AG$2:$AS$54,12,0),'Demand background (hide)'!X39)</f>
        <v>124</v>
      </c>
      <c r="F50" s="5">
        <f ca="1">IF(LEFT(Demand!$C$8,1)="H",VLOOKUP($D50,'SPC background (hide)'!$AG$2:$AS$54,13,0),E50*1.1)</f>
        <v>136.4</v>
      </c>
      <c r="G50" s="5" t="str">
        <f>IF(Setup!$I$15="Yes",VLOOKUP(D50,'SPC background (hide)'!$AG$2:$AT$54,14,0)/IF(Summary!$C$8="Patients",'Summary Calculations (hide)'!$I$9,1),"")</f>
        <v/>
      </c>
      <c r="H50" s="67" t="str">
        <f>IF(Setup!$I$13="Yes",'Planned background (hide)'!$V$23/IF(Summary!$C$8="Patients",'Summary Calculations (hide)'!$I$9,1),"")</f>
        <v/>
      </c>
      <c r="I50" s="5">
        <f ca="1">HLOOKUP(D50,'Capacity calculation (hide)'!$BK$3:$DJ$4,2,0)</f>
        <v>80.769230769230774</v>
      </c>
      <c r="J50" s="5">
        <f ca="1">HLOOKUP(D50,'Capacity calculation (hide)'!$BK$110:$DJ$111,2,0)</f>
        <v>0</v>
      </c>
      <c r="K50" s="5">
        <f ca="1">IF(I50-IF(Setup!$I$15="Yes",$G50,0)-IF(Setup!$I$13="Yes",$H50,0)&lt;0,0,I50-IF(Setup!$I$15="Yes",$G50,0)-IF(Setup!$I$13="Yes",$H50,0))</f>
        <v>80.769230769230774</v>
      </c>
      <c r="L50" s="5">
        <f t="shared" ca="1" si="2"/>
        <v>0</v>
      </c>
      <c r="M50" s="5">
        <f ca="1">(IF('Demand adjustments for Covid'!$F$9="No",E50,SUM('Demand background (hide)'!DS39,'Demand background (hide)'!DV39:DW39))*(1-'Parameters calculator (hide)'!$B$43))*(1-'Parameters calculator (hide)'!$B$44+('Parameters calculator (hide)'!$B$45*'Parameters calculator (hide)'!$B$47))</f>
        <v>124.04339999999999</v>
      </c>
      <c r="N50" s="5">
        <f ca="1">(IF('Demand adjustments for Covid'!$F$9="No",F50,SUM('Demand background (hide)'!DT39,'Demand background (hide)'!DV39:DW39))*(1-'Parameters calculator (hide)'!$B$43))*(1-'Parameters calculator (hide)'!$B$44+('Parameters calculator (hide)'!$B$45*'Parameters calculator (hide)'!$B$47))</f>
        <v>136.44774000000001</v>
      </c>
      <c r="P50" s="5">
        <f t="shared" ca="1" si="3"/>
        <v>80.769230769230774</v>
      </c>
      <c r="Q50" s="5">
        <f t="shared" ca="1" si="4"/>
        <v>0</v>
      </c>
      <c r="R50" s="5">
        <f t="shared" ca="1" si="5"/>
        <v>80.769230769230774</v>
      </c>
      <c r="S50" s="5">
        <f t="shared" ca="1" si="6"/>
        <v>0</v>
      </c>
      <c r="T50" s="5">
        <f ca="1">M50/IF(Summary!$C$8&lt;&gt;"Patients",1,$I$9)</f>
        <v>62.021699999999996</v>
      </c>
      <c r="U50" s="5">
        <f ca="1">((N50-M50)/IF(Summary!$C$8&lt;&gt;"Patients",1,$I$9))</f>
        <v>6.2021700000000095</v>
      </c>
      <c r="V50" s="5">
        <f t="shared" si="7"/>
        <v>0</v>
      </c>
      <c r="X50" s="5">
        <f ca="1">(VLOOKUP(D50,'SPC background (hide)'!$AG$2:$AN$54,8,0)/IF(Summary!$C$8&lt;&gt;"Patients",1,$I$9))*(1-$I$4)*(1-$I$5+($I$6*$I$7))</f>
        <v>71.024850000000001</v>
      </c>
    </row>
    <row r="51" spans="1:24" x14ac:dyDescent="0.25">
      <c r="A51" s="87">
        <f t="shared" si="8"/>
        <v>44186</v>
      </c>
      <c r="B51" s="67" t="str">
        <f t="shared" si="10"/>
        <v/>
      </c>
      <c r="C51" s="67" t="str">
        <f t="shared" si="9"/>
        <v/>
      </c>
      <c r="D51" s="67">
        <f t="shared" si="1"/>
        <v>52</v>
      </c>
      <c r="E51" s="5">
        <f ca="1">IF(LEFT(Demand!$C$8,1)="H",VLOOKUP($D51,'SPC background (hide)'!$AG$2:$AS$54,12,0),'Demand background (hide)'!X40)</f>
        <v>142</v>
      </c>
      <c r="F51" s="5">
        <f ca="1">IF(LEFT(Demand!$C$8,1)="H",VLOOKUP($D51,'SPC background (hide)'!$AG$2:$AS$54,13,0),E51*1.1)</f>
        <v>156.20000000000002</v>
      </c>
      <c r="G51" s="5" t="str">
        <f>IF(Setup!$I$15="Yes",VLOOKUP(D51,'SPC background (hide)'!$AG$2:$AT$54,14,0)/IF(Summary!$C$8="Patients",'Summary Calculations (hide)'!$I$9,1),"")</f>
        <v/>
      </c>
      <c r="H51" s="67" t="str">
        <f>IF(Setup!$I$13="Yes",'Planned background (hide)'!$V$23/IF(Summary!$C$8="Patients",'Summary Calculations (hide)'!$I$9,1),"")</f>
        <v/>
      </c>
      <c r="I51" s="5">
        <f ca="1">HLOOKUP(D51,'Capacity calculation (hide)'!$BK$3:$DJ$4,2,0)</f>
        <v>80.769230769230774</v>
      </c>
      <c r="J51" s="5">
        <f ca="1">HLOOKUP(D51,'Capacity calculation (hide)'!$BK$110:$DJ$111,2,0)</f>
        <v>0</v>
      </c>
      <c r="K51" s="5">
        <f ca="1">IF(I51-IF(Setup!$I$15="Yes",$G51,0)-IF(Setup!$I$13="Yes",$H51,0)&lt;0,0,I51-IF(Setup!$I$15="Yes",$G51,0)-IF(Setup!$I$13="Yes",$H51,0))</f>
        <v>80.769230769230774</v>
      </c>
      <c r="L51" s="5">
        <f t="shared" ca="1" si="2"/>
        <v>0</v>
      </c>
      <c r="M51" s="5">
        <f ca="1">(IF('Demand adjustments for Covid'!$F$9="No",E51,SUM('Demand background (hide)'!DS40,'Demand background (hide)'!DV40:DW40))*(1-'Parameters calculator (hide)'!$B$43))*(1-'Parameters calculator (hide)'!$B$44+('Parameters calculator (hide)'!$B$45*'Parameters calculator (hide)'!$B$47))</f>
        <v>142.0497</v>
      </c>
      <c r="N51" s="5">
        <f ca="1">(IF('Demand adjustments for Covid'!$F$9="No",F51,SUM('Demand background (hide)'!DT40,'Demand background (hide)'!DV40:DW40))*(1-'Parameters calculator (hide)'!$B$43))*(1-'Parameters calculator (hide)'!$B$44+('Parameters calculator (hide)'!$B$45*'Parameters calculator (hide)'!$B$47))</f>
        <v>156.25467</v>
      </c>
      <c r="P51" s="5">
        <f t="shared" ca="1" si="3"/>
        <v>80.769230769230774</v>
      </c>
      <c r="Q51" s="5">
        <f t="shared" ca="1" si="4"/>
        <v>0</v>
      </c>
      <c r="R51" s="5">
        <f t="shared" ca="1" si="5"/>
        <v>80.769230769230774</v>
      </c>
      <c r="S51" s="5">
        <f t="shared" ca="1" si="6"/>
        <v>0</v>
      </c>
      <c r="T51" s="5">
        <f ca="1">M51/IF(Summary!$C$8&lt;&gt;"Patients",1,$I$9)</f>
        <v>71.024850000000001</v>
      </c>
      <c r="U51" s="5">
        <f ca="1">((N51-M51)/IF(Summary!$C$8&lt;&gt;"Patients",1,$I$9))</f>
        <v>7.1024850000000015</v>
      </c>
      <c r="V51" s="5">
        <f t="shared" si="7"/>
        <v>0</v>
      </c>
      <c r="X51" s="5">
        <f ca="1">(VLOOKUP(D51,'SPC background (hide)'!$AG$2:$AN$54,8,0)/IF(Summary!$C$8&lt;&gt;"Patients",1,$I$9))*(1-$I$4)*(1-$I$5+($I$6*$I$7))</f>
        <v>71.024850000000001</v>
      </c>
    </row>
    <row r="52" spans="1:24" x14ac:dyDescent="0.25">
      <c r="A52" s="87">
        <f t="shared" si="8"/>
        <v>44193</v>
      </c>
      <c r="B52" s="67" t="str">
        <f t="shared" si="10"/>
        <v/>
      </c>
      <c r="C52" s="67" t="str">
        <f t="shared" si="9"/>
        <v/>
      </c>
      <c r="D52" s="67">
        <f t="shared" si="1"/>
        <v>53</v>
      </c>
      <c r="E52" s="5">
        <f ca="1">IF(LEFT(Demand!$C$8,1)="H",VLOOKUP($D52,'SPC background (hide)'!$AG$2:$AS$54,12,0),'Demand background (hide)'!X41)</f>
        <v>156</v>
      </c>
      <c r="F52" s="5">
        <f ca="1">IF(LEFT(Demand!$C$8,1)="H",VLOOKUP($D52,'SPC background (hide)'!$AG$2:$AS$54,13,0),E52*1.1)</f>
        <v>171.60000000000002</v>
      </c>
      <c r="G52" s="5" t="str">
        <f>IF(Setup!$I$15="Yes",VLOOKUP(D52,'SPC background (hide)'!$AG$2:$AT$54,14,0)/IF(Summary!$C$8="Patients",'Summary Calculations (hide)'!$I$9,1),"")</f>
        <v/>
      </c>
      <c r="H52" s="67" t="str">
        <f>IF(Setup!$I$13="Yes",'Planned background (hide)'!$V$23/IF(Summary!$C$8="Patients",'Summary Calculations (hide)'!$I$9,1),"")</f>
        <v/>
      </c>
      <c r="I52" s="5">
        <f ca="1">HLOOKUP(D52,'Capacity calculation (hide)'!$BK$3:$DJ$4,2,0)</f>
        <v>80.769230769230774</v>
      </c>
      <c r="J52" s="5">
        <f ca="1">HLOOKUP(D52,'Capacity calculation (hide)'!$BK$110:$DJ$111,2,0)</f>
        <v>0</v>
      </c>
      <c r="K52" s="5">
        <f ca="1">IF(I52-IF(Setup!$I$15="Yes",$G52,0)-IF(Setup!$I$13="Yes",$H52,0)&lt;0,0,I52-IF(Setup!$I$15="Yes",$G52,0)-IF(Setup!$I$13="Yes",$H52,0))</f>
        <v>80.769230769230774</v>
      </c>
      <c r="L52" s="5">
        <f t="shared" ca="1" si="2"/>
        <v>0</v>
      </c>
      <c r="M52" s="5">
        <f ca="1">(IF('Demand adjustments for Covid'!$F$9="No",E52,SUM('Demand background (hide)'!DS41,'Demand background (hide)'!DV41:DW41))*(1-'Parameters calculator (hide)'!$B$43))*(1-'Parameters calculator (hide)'!$B$44+('Parameters calculator (hide)'!$B$45*'Parameters calculator (hide)'!$B$47))</f>
        <v>142.0497</v>
      </c>
      <c r="N52" s="5">
        <f ca="1">(IF('Demand adjustments for Covid'!$F$9="No",F52,SUM('Demand background (hide)'!DT41,'Demand background (hide)'!DV41:DW41))*(1-'Parameters calculator (hide)'!$B$43))*(1-'Parameters calculator (hide)'!$B$44+('Parameters calculator (hide)'!$B$45*'Parameters calculator (hide)'!$B$47))</f>
        <v>156.25467</v>
      </c>
      <c r="P52" s="5">
        <f t="shared" ca="1" si="3"/>
        <v>80.769230769230774</v>
      </c>
      <c r="Q52" s="5">
        <f t="shared" ca="1" si="4"/>
        <v>0</v>
      </c>
      <c r="R52" s="5">
        <f t="shared" ca="1" si="5"/>
        <v>80.769230769230774</v>
      </c>
      <c r="S52" s="5">
        <f t="shared" ca="1" si="6"/>
        <v>0</v>
      </c>
      <c r="T52" s="5">
        <f ca="1">M52/IF(Summary!$C$8&lt;&gt;"Patients",1,$I$9)</f>
        <v>71.024850000000001</v>
      </c>
      <c r="U52" s="5">
        <f ca="1">((N52-M52)/IF(Summary!$C$8&lt;&gt;"Patients",1,$I$9))</f>
        <v>7.1024850000000015</v>
      </c>
      <c r="V52" s="5">
        <f t="shared" si="7"/>
        <v>0</v>
      </c>
      <c r="X52" s="5">
        <f ca="1">(VLOOKUP(D52,'SPC background (hide)'!$AG$2:$AN$54,8,0)/IF(Summary!$C$8&lt;&gt;"Patients",1,$I$9))*(1-$I$4)*(1-$I$5+($I$6*$I$7))</f>
        <v>71.024850000000001</v>
      </c>
    </row>
    <row r="53" spans="1:24" x14ac:dyDescent="0.25">
      <c r="A53" s="87">
        <f t="shared" si="8"/>
        <v>44200</v>
      </c>
      <c r="B53" s="67">
        <f t="shared" si="10"/>
        <v>2021</v>
      </c>
      <c r="C53" s="67" t="str">
        <f t="shared" si="9"/>
        <v>Jan</v>
      </c>
      <c r="D53" s="67">
        <f t="shared" si="1"/>
        <v>1</v>
      </c>
      <c r="E53" s="5">
        <f ca="1">IF(LEFT(Demand!$C$8,1)="H",VLOOKUP($D53,'SPC background (hide)'!$AG$2:$AS$54,12,0),'Demand background (hide)'!X42)</f>
        <v>140</v>
      </c>
      <c r="F53" s="5">
        <f ca="1">IF(LEFT(Demand!$C$8,1)="H",VLOOKUP($D53,'SPC background (hide)'!$AG$2:$AS$54,13,0),E53*1.1)</f>
        <v>154</v>
      </c>
      <c r="G53" s="5" t="str">
        <f>IF(Setup!$I$15="Yes",VLOOKUP(D53,'SPC background (hide)'!$AG$2:$AT$54,14,0)/IF(Summary!$C$8="Patients",'Summary Calculations (hide)'!$I$9,1),"")</f>
        <v/>
      </c>
      <c r="H53" s="67" t="str">
        <f>IF(Setup!$I$13="Yes",'Planned background (hide)'!$V$23/IF(Summary!$C$8="Patients",'Summary Calculations (hide)'!$I$9,1),"")</f>
        <v/>
      </c>
      <c r="I53" s="5">
        <f ca="1">HLOOKUP(D53,'Capacity calculation (hide)'!$BK$3:$DJ$4,2,0)</f>
        <v>80.769230769230774</v>
      </c>
      <c r="J53" s="5">
        <f ca="1">HLOOKUP(D53,'Capacity calculation (hide)'!$BK$110:$DJ$111,2,0)</f>
        <v>0</v>
      </c>
      <c r="K53" s="5">
        <f ca="1">IF(I53-IF(Setup!$I$15="Yes",$G53,0)-IF(Setup!$I$13="Yes",$H53,0)&lt;0,0,I53-IF(Setup!$I$15="Yes",$G53,0)-IF(Setup!$I$13="Yes",$H53,0))</f>
        <v>80.769230769230774</v>
      </c>
      <c r="L53" s="5">
        <f t="shared" ca="1" si="2"/>
        <v>0</v>
      </c>
      <c r="M53" s="5">
        <f ca="1">(IF('Demand adjustments for Covid'!$F$9="No",E53,SUM('Demand background (hide)'!DS42,'Demand background (hide)'!DV42:DW42))*(1-'Parameters calculator (hide)'!$B$43))*(1-'Parameters calculator (hide)'!$B$44+('Parameters calculator (hide)'!$B$45*'Parameters calculator (hide)'!$B$47))</f>
        <v>140.04899999999998</v>
      </c>
      <c r="N53" s="5">
        <f ca="1">(IF('Demand adjustments for Covid'!$F$9="No",F53,SUM('Demand background (hide)'!DT42,'Demand background (hide)'!DV42:DW42))*(1-'Parameters calculator (hide)'!$B$43))*(1-'Parameters calculator (hide)'!$B$44+('Parameters calculator (hide)'!$B$45*'Parameters calculator (hide)'!$B$47))</f>
        <v>154.05389999999997</v>
      </c>
      <c r="P53" s="5">
        <f t="shared" ca="1" si="3"/>
        <v>80.769230769230774</v>
      </c>
      <c r="Q53" s="5">
        <f t="shared" ca="1" si="4"/>
        <v>0</v>
      </c>
      <c r="R53" s="5">
        <f t="shared" ca="1" si="5"/>
        <v>80.769230769230774</v>
      </c>
      <c r="S53" s="5">
        <f t="shared" ca="1" si="6"/>
        <v>0</v>
      </c>
      <c r="T53" s="5">
        <f ca="1">M53/IF(Summary!$C$8&lt;&gt;"Patients",1,$I$9)</f>
        <v>70.024499999999989</v>
      </c>
      <c r="U53" s="5">
        <f ca="1">((N53-M53)/IF(Summary!$C$8&lt;&gt;"Patients",1,$I$9))</f>
        <v>7.0024499999999961</v>
      </c>
      <c r="V53" s="5">
        <f t="shared" si="7"/>
        <v>0</v>
      </c>
      <c r="X53" s="5">
        <f ca="1">(VLOOKUP(D53,'SPC background (hide)'!$AG$2:$AN$54,8,0)/IF(Summary!$C$8&lt;&gt;"Patients",1,$I$9))*(1-$I$4)*(1-$I$5+($I$6*$I$7))</f>
        <v>71.024850000000001</v>
      </c>
    </row>
    <row r="54" spans="1:24" x14ac:dyDescent="0.25">
      <c r="A54" s="87">
        <f t="shared" si="8"/>
        <v>44207</v>
      </c>
      <c r="B54" s="67" t="str">
        <f t="shared" si="10"/>
        <v/>
      </c>
      <c r="C54" s="67" t="str">
        <f t="shared" si="9"/>
        <v/>
      </c>
      <c r="D54" s="67">
        <f t="shared" si="1"/>
        <v>2</v>
      </c>
      <c r="E54" s="5">
        <f ca="1">IF(LEFT(Demand!$C$8,1)="H",VLOOKUP($D54,'SPC background (hide)'!$AG$2:$AS$54,12,0),'Demand background (hide)'!X43)</f>
        <v>130</v>
      </c>
      <c r="F54" s="5">
        <f ca="1">IF(LEFT(Demand!$C$8,1)="H",VLOOKUP($D54,'SPC background (hide)'!$AG$2:$AS$54,13,0),E54*1.1)</f>
        <v>143</v>
      </c>
      <c r="G54" s="5" t="str">
        <f>IF(Setup!$I$15="Yes",VLOOKUP(D54,'SPC background (hide)'!$AG$2:$AT$54,14,0)/IF(Summary!$C$8="Patients",'Summary Calculations (hide)'!$I$9,1),"")</f>
        <v/>
      </c>
      <c r="H54" s="67" t="str">
        <f>IF(Setup!$I$13="Yes",'Planned background (hide)'!$V$23/IF(Summary!$C$8="Patients",'Summary Calculations (hide)'!$I$9,1),"")</f>
        <v/>
      </c>
      <c r="I54" s="5">
        <f ca="1">HLOOKUP(D54,'Capacity calculation (hide)'!$BK$3:$DJ$4,2,0)</f>
        <v>80.769230769230774</v>
      </c>
      <c r="J54" s="5">
        <f ca="1">HLOOKUP(D54,'Capacity calculation (hide)'!$BK$110:$DJ$111,2,0)</f>
        <v>0</v>
      </c>
      <c r="K54" s="5">
        <f ca="1">IF(I54-IF(Setup!$I$15="Yes",$G54,0)-IF(Setup!$I$13="Yes",$H54,0)&lt;0,0,I54-IF(Setup!$I$15="Yes",$G54,0)-IF(Setup!$I$13="Yes",$H54,0))</f>
        <v>80.769230769230774</v>
      </c>
      <c r="L54" s="5">
        <f t="shared" ca="1" si="2"/>
        <v>0</v>
      </c>
      <c r="M54" s="5">
        <f ca="1">(IF('Demand adjustments for Covid'!$F$9="No",E54,SUM('Demand background (hide)'!DS43,'Demand background (hide)'!DV43:DW43))*(1-'Parameters calculator (hide)'!$B$43))*(1-'Parameters calculator (hide)'!$B$44+('Parameters calculator (hide)'!$B$45*'Parameters calculator (hide)'!$B$47))</f>
        <v>130.0455</v>
      </c>
      <c r="N54" s="5">
        <f ca="1">(IF('Demand adjustments for Covid'!$F$9="No",F54,SUM('Demand background (hide)'!DT43,'Demand background (hide)'!DV43:DW43))*(1-'Parameters calculator (hide)'!$B$43))*(1-'Parameters calculator (hide)'!$B$44+('Parameters calculator (hide)'!$B$45*'Parameters calculator (hide)'!$B$47))</f>
        <v>143.05005</v>
      </c>
      <c r="P54" s="5">
        <f t="shared" ca="1" si="3"/>
        <v>80.769230769230774</v>
      </c>
      <c r="Q54" s="5">
        <f t="shared" ca="1" si="4"/>
        <v>0</v>
      </c>
      <c r="R54" s="5">
        <f t="shared" ca="1" si="5"/>
        <v>80.769230769230774</v>
      </c>
      <c r="S54" s="5">
        <f t="shared" ca="1" si="6"/>
        <v>0</v>
      </c>
      <c r="T54" s="5">
        <f ca="1">M54/IF(Summary!$C$8&lt;&gt;"Patients",1,$I$9)</f>
        <v>65.022750000000002</v>
      </c>
      <c r="U54" s="5">
        <f ca="1">((N54-M54)/IF(Summary!$C$8&lt;&gt;"Patients",1,$I$9))</f>
        <v>6.5022749999999974</v>
      </c>
      <c r="V54" s="5">
        <f t="shared" si="7"/>
        <v>0</v>
      </c>
      <c r="X54" s="5">
        <f ca="1">(VLOOKUP(D54,'SPC background (hide)'!$AG$2:$AN$54,8,0)/IF(Summary!$C$8&lt;&gt;"Patients",1,$I$9))*(1-$I$4)*(1-$I$5+($I$6*$I$7))</f>
        <v>71.024850000000001</v>
      </c>
    </row>
    <row r="55" spans="1:24" x14ac:dyDescent="0.25">
      <c r="A55" s="87">
        <f t="shared" si="8"/>
        <v>44214</v>
      </c>
      <c r="B55" s="67" t="str">
        <f t="shared" si="10"/>
        <v/>
      </c>
      <c r="C55" s="67" t="str">
        <f t="shared" si="9"/>
        <v/>
      </c>
      <c r="D55" s="67">
        <f t="shared" si="1"/>
        <v>3</v>
      </c>
      <c r="E55" s="5">
        <f ca="1">IF(LEFT(Demand!$C$8,1)="H",VLOOKUP($D55,'SPC background (hide)'!$AG$2:$AS$54,12,0),'Demand background (hide)'!X44)</f>
        <v>120</v>
      </c>
      <c r="F55" s="5">
        <f ca="1">IF(LEFT(Demand!$C$8,1)="H",VLOOKUP($D55,'SPC background (hide)'!$AG$2:$AS$54,13,0),E55*1.1)</f>
        <v>132</v>
      </c>
      <c r="G55" s="5" t="str">
        <f>IF(Setup!$I$15="Yes",VLOOKUP(D55,'SPC background (hide)'!$AG$2:$AT$54,14,0)/IF(Summary!$C$8="Patients",'Summary Calculations (hide)'!$I$9,1),"")</f>
        <v/>
      </c>
      <c r="H55" s="67" t="str">
        <f>IF(Setup!$I$13="Yes",'Planned background (hide)'!$V$23/IF(Summary!$C$8="Patients",'Summary Calculations (hide)'!$I$9,1),"")</f>
        <v/>
      </c>
      <c r="I55" s="5">
        <f ca="1">HLOOKUP(D55,'Capacity calculation (hide)'!$BK$3:$DJ$4,2,0)</f>
        <v>80.769230769230774</v>
      </c>
      <c r="J55" s="5">
        <f ca="1">HLOOKUP(D55,'Capacity calculation (hide)'!$BK$110:$DJ$111,2,0)</f>
        <v>0</v>
      </c>
      <c r="K55" s="5">
        <f ca="1">IF(I55-IF(Setup!$I$15="Yes",$G55,0)-IF(Setup!$I$13="Yes",$H55,0)&lt;0,0,I55-IF(Setup!$I$15="Yes",$G55,0)-IF(Setup!$I$13="Yes",$H55,0))</f>
        <v>80.769230769230774</v>
      </c>
      <c r="L55" s="5">
        <f t="shared" ca="1" si="2"/>
        <v>0</v>
      </c>
      <c r="M55" s="5">
        <f ca="1">(IF('Demand adjustments for Covid'!$F$9="No",E55,SUM('Demand background (hide)'!DS44,'Demand background (hide)'!DV44:DW44))*(1-'Parameters calculator (hide)'!$B$43))*(1-'Parameters calculator (hide)'!$B$44+('Parameters calculator (hide)'!$B$45*'Parameters calculator (hide)'!$B$47))</f>
        <v>120.04199999999999</v>
      </c>
      <c r="N55" s="5">
        <f ca="1">(IF('Demand adjustments for Covid'!$F$9="No",F55,SUM('Demand background (hide)'!DT44,'Demand background (hide)'!DV44:DW44))*(1-'Parameters calculator (hide)'!$B$43))*(1-'Parameters calculator (hide)'!$B$44+('Parameters calculator (hide)'!$B$45*'Parameters calculator (hide)'!$B$47))</f>
        <v>132.04619999999997</v>
      </c>
      <c r="P55" s="5">
        <f t="shared" ca="1" si="3"/>
        <v>80.769230769230774</v>
      </c>
      <c r="Q55" s="5">
        <f t="shared" ca="1" si="4"/>
        <v>0</v>
      </c>
      <c r="R55" s="5">
        <f t="shared" ca="1" si="5"/>
        <v>80.769230769230774</v>
      </c>
      <c r="S55" s="5">
        <f t="shared" ca="1" si="6"/>
        <v>0</v>
      </c>
      <c r="T55" s="5">
        <f ca="1">M55/IF(Summary!$C$8&lt;&gt;"Patients",1,$I$9)</f>
        <v>60.020999999999994</v>
      </c>
      <c r="U55" s="5">
        <f ca="1">((N55-M55)/IF(Summary!$C$8&lt;&gt;"Patients",1,$I$9))</f>
        <v>6.0020999999999916</v>
      </c>
      <c r="V55" s="5">
        <f t="shared" si="7"/>
        <v>0</v>
      </c>
      <c r="X55" s="5">
        <f ca="1">(VLOOKUP(D55,'SPC background (hide)'!$AG$2:$AN$54,8,0)/IF(Summary!$C$8&lt;&gt;"Patients",1,$I$9))*(1-$I$4)*(1-$I$5+($I$6*$I$7))</f>
        <v>71.024850000000001</v>
      </c>
    </row>
    <row r="56" spans="1:24" x14ac:dyDescent="0.25">
      <c r="A56" s="87">
        <f t="shared" si="8"/>
        <v>44221</v>
      </c>
      <c r="B56" s="67" t="str">
        <f t="shared" si="10"/>
        <v/>
      </c>
      <c r="C56" s="67" t="str">
        <f t="shared" si="9"/>
        <v/>
      </c>
      <c r="D56" s="67">
        <f t="shared" si="1"/>
        <v>4</v>
      </c>
      <c r="E56" s="5">
        <f ca="1">IF(LEFT(Demand!$C$8,1)="H",VLOOKUP($D56,'SPC background (hide)'!$AG$2:$AS$54,12,0),'Demand background (hide)'!X45)</f>
        <v>150</v>
      </c>
      <c r="F56" s="5">
        <f ca="1">IF(LEFT(Demand!$C$8,1)="H",VLOOKUP($D56,'SPC background (hide)'!$AG$2:$AS$54,13,0),E56*1.1)</f>
        <v>165</v>
      </c>
      <c r="G56" s="5" t="str">
        <f>IF(Setup!$I$15="Yes",VLOOKUP(D56,'SPC background (hide)'!$AG$2:$AT$54,14,0)/IF(Summary!$C$8="Patients",'Summary Calculations (hide)'!$I$9,1),"")</f>
        <v/>
      </c>
      <c r="H56" s="67" t="str">
        <f>IF(Setup!$I$13="Yes",'Planned background (hide)'!$V$23/IF(Summary!$C$8="Patients",'Summary Calculations (hide)'!$I$9,1),"")</f>
        <v/>
      </c>
      <c r="I56" s="5">
        <f ca="1">HLOOKUP(D56,'Capacity calculation (hide)'!$BK$3:$DJ$4,2,0)</f>
        <v>80.769230769230774</v>
      </c>
      <c r="J56" s="5">
        <f ca="1">HLOOKUP(D56,'Capacity calculation (hide)'!$BK$110:$DJ$111,2,0)</f>
        <v>0</v>
      </c>
      <c r="K56" s="5">
        <f ca="1">IF(I56-IF(Setup!$I$15="Yes",$G56,0)-IF(Setup!$I$13="Yes",$H56,0)&lt;0,0,I56-IF(Setup!$I$15="Yes",$G56,0)-IF(Setup!$I$13="Yes",$H56,0))</f>
        <v>80.769230769230774</v>
      </c>
      <c r="L56" s="5">
        <f t="shared" ca="1" si="2"/>
        <v>0</v>
      </c>
      <c r="M56" s="5">
        <f ca="1">(IF('Demand adjustments for Covid'!$F$9="No",E56,SUM('Demand background (hide)'!DS45,'Demand background (hide)'!DV45:DW45))*(1-'Parameters calculator (hide)'!$B$43))*(1-'Parameters calculator (hide)'!$B$44+('Parameters calculator (hide)'!$B$45*'Parameters calculator (hide)'!$B$47))</f>
        <v>150.05249999999998</v>
      </c>
      <c r="N56" s="5">
        <f ca="1">(IF('Demand adjustments for Covid'!$F$9="No",F56,SUM('Demand background (hide)'!DT45,'Demand background (hide)'!DV45:DW45))*(1-'Parameters calculator (hide)'!$B$43))*(1-'Parameters calculator (hide)'!$B$44+('Parameters calculator (hide)'!$B$45*'Parameters calculator (hide)'!$B$47))</f>
        <v>165.05775</v>
      </c>
      <c r="P56" s="5">
        <f t="shared" ca="1" si="3"/>
        <v>80.769230769230774</v>
      </c>
      <c r="Q56" s="5">
        <f t="shared" ca="1" si="4"/>
        <v>0</v>
      </c>
      <c r="R56" s="5">
        <f t="shared" ca="1" si="5"/>
        <v>80.769230769230774</v>
      </c>
      <c r="S56" s="5">
        <f t="shared" ca="1" si="6"/>
        <v>0</v>
      </c>
      <c r="T56" s="5">
        <f ca="1">M56/IF(Summary!$C$8&lt;&gt;"Patients",1,$I$9)</f>
        <v>75.02624999999999</v>
      </c>
      <c r="U56" s="5">
        <f ca="1">((N56-M56)/IF(Summary!$C$8&lt;&gt;"Patients",1,$I$9))</f>
        <v>7.502625000000009</v>
      </c>
      <c r="V56" s="5">
        <f t="shared" si="7"/>
        <v>0</v>
      </c>
      <c r="X56" s="5">
        <f ca="1">(VLOOKUP(D56,'SPC background (hide)'!$AG$2:$AN$54,8,0)/IF(Summary!$C$8&lt;&gt;"Patients",1,$I$9))*(1-$I$4)*(1-$I$5+($I$6*$I$7))</f>
        <v>71.024850000000001</v>
      </c>
    </row>
    <row r="57" spans="1:24" x14ac:dyDescent="0.25">
      <c r="A57" s="87">
        <f t="shared" si="8"/>
        <v>44228</v>
      </c>
      <c r="B57" s="67" t="str">
        <f t="shared" si="10"/>
        <v/>
      </c>
      <c r="C57" s="67" t="str">
        <f t="shared" si="9"/>
        <v>Feb</v>
      </c>
      <c r="D57" s="67">
        <f t="shared" si="1"/>
        <v>5</v>
      </c>
      <c r="E57" s="5">
        <f ca="1">IF(LEFT(Demand!$C$8,1)="H",VLOOKUP($D57,'SPC background (hide)'!$AG$2:$AS$54,12,0),'Demand background (hide)'!X46)</f>
        <v>154</v>
      </c>
      <c r="F57" s="5">
        <f ca="1">IF(LEFT(Demand!$C$8,1)="H",VLOOKUP($D57,'SPC background (hide)'!$AG$2:$AS$54,13,0),E57*1.1)</f>
        <v>169.4</v>
      </c>
      <c r="G57" s="5" t="str">
        <f>IF(Setup!$I$15="Yes",VLOOKUP(D57,'SPC background (hide)'!$AG$2:$AT$54,14,0)/IF(Summary!$C$8="Patients",'Summary Calculations (hide)'!$I$9,1),"")</f>
        <v/>
      </c>
      <c r="H57" s="67" t="str">
        <f>IF(Setup!$I$13="Yes",'Planned background (hide)'!$V$23/IF(Summary!$C$8="Patients",'Summary Calculations (hide)'!$I$9,1),"")</f>
        <v/>
      </c>
      <c r="I57" s="5">
        <f ca="1">HLOOKUP(D57,'Capacity calculation (hide)'!$BK$3:$DJ$4,2,0)</f>
        <v>80.769230769230774</v>
      </c>
      <c r="J57" s="5">
        <f ca="1">HLOOKUP(D57,'Capacity calculation (hide)'!$BK$110:$DJ$111,2,0)</f>
        <v>0</v>
      </c>
      <c r="K57" s="5">
        <f ca="1">IF(I57-IF(Setup!$I$15="Yes",$G57,0)-IF(Setup!$I$13="Yes",$H57,0)&lt;0,0,I57-IF(Setup!$I$15="Yes",$G57,0)-IF(Setup!$I$13="Yes",$H57,0))</f>
        <v>80.769230769230774</v>
      </c>
      <c r="L57" s="5">
        <f t="shared" ca="1" si="2"/>
        <v>0</v>
      </c>
      <c r="M57" s="5">
        <f ca="1">(IF('Demand adjustments for Covid'!$F$9="No",E57,SUM('Demand background (hide)'!DS46,'Demand background (hide)'!DV46:DW46))*(1-'Parameters calculator (hide)'!$B$43))*(1-'Parameters calculator (hide)'!$B$44+('Parameters calculator (hide)'!$B$45*'Parameters calculator (hide)'!$B$47))</f>
        <v>154.05389999999997</v>
      </c>
      <c r="N57" s="5">
        <f ca="1">(IF('Demand adjustments for Covid'!$F$9="No",F57,SUM('Demand background (hide)'!DT46,'Demand background (hide)'!DV46:DW46))*(1-'Parameters calculator (hide)'!$B$43))*(1-'Parameters calculator (hide)'!$B$44+('Parameters calculator (hide)'!$B$45*'Parameters calculator (hide)'!$B$47))</f>
        <v>169.45929000000001</v>
      </c>
      <c r="P57" s="5">
        <f t="shared" ca="1" si="3"/>
        <v>80.769230769230774</v>
      </c>
      <c r="Q57" s="5">
        <f t="shared" ca="1" si="4"/>
        <v>0</v>
      </c>
      <c r="R57" s="5">
        <f t="shared" ca="1" si="5"/>
        <v>80.769230769230774</v>
      </c>
      <c r="S57" s="5">
        <f t="shared" ca="1" si="6"/>
        <v>0</v>
      </c>
      <c r="T57" s="5">
        <f ca="1">M57/IF(Summary!$C$8&lt;&gt;"Patients",1,$I$9)</f>
        <v>77.026949999999985</v>
      </c>
      <c r="U57" s="5">
        <f ca="1">((N57-M57)/IF(Summary!$C$8&lt;&gt;"Patients",1,$I$9))</f>
        <v>7.7026950000000198</v>
      </c>
      <c r="V57" s="5">
        <f t="shared" si="7"/>
        <v>0</v>
      </c>
      <c r="X57" s="5">
        <f ca="1">(VLOOKUP(D57,'SPC background (hide)'!$AG$2:$AN$54,8,0)/IF(Summary!$C$8&lt;&gt;"Patients",1,$I$9))*(1-$I$4)*(1-$I$5+($I$6*$I$7))</f>
        <v>71.024850000000001</v>
      </c>
    </row>
    <row r="58" spans="1:24" x14ac:dyDescent="0.25">
      <c r="A58" s="87">
        <f t="shared" si="8"/>
        <v>44235</v>
      </c>
      <c r="B58" s="67" t="str">
        <f t="shared" si="10"/>
        <v/>
      </c>
      <c r="C58" s="67" t="str">
        <f t="shared" si="9"/>
        <v/>
      </c>
      <c r="D58" s="67">
        <f t="shared" si="1"/>
        <v>6</v>
      </c>
      <c r="E58" s="5">
        <f ca="1">IF(LEFT(Demand!$C$8,1)="H",VLOOKUP($D58,'SPC background (hide)'!$AG$2:$AS$54,12,0),'Demand background (hide)'!X47)</f>
        <v>140</v>
      </c>
      <c r="F58" s="5">
        <f ca="1">IF(LEFT(Demand!$C$8,1)="H",VLOOKUP($D58,'SPC background (hide)'!$AG$2:$AS$54,13,0),E58*1.1)</f>
        <v>154</v>
      </c>
      <c r="G58" s="5" t="str">
        <f>IF(Setup!$I$15="Yes",VLOOKUP(D58,'SPC background (hide)'!$AG$2:$AT$54,14,0)/IF(Summary!$C$8="Patients",'Summary Calculations (hide)'!$I$9,1),"")</f>
        <v/>
      </c>
      <c r="H58" s="67" t="str">
        <f>IF(Setup!$I$13="Yes",'Planned background (hide)'!$V$23/IF(Summary!$C$8="Patients",'Summary Calculations (hide)'!$I$9,1),"")</f>
        <v/>
      </c>
      <c r="I58" s="5">
        <f ca="1">HLOOKUP(D58,'Capacity calculation (hide)'!$BK$3:$DJ$4,2,0)</f>
        <v>80.769230769230774</v>
      </c>
      <c r="J58" s="5">
        <f ca="1">HLOOKUP(D58,'Capacity calculation (hide)'!$BK$110:$DJ$111,2,0)</f>
        <v>0</v>
      </c>
      <c r="K58" s="5">
        <f ca="1">IF(I58-IF(Setup!$I$15="Yes",$G58,0)-IF(Setup!$I$13="Yes",$H58,0)&lt;0,0,I58-IF(Setup!$I$15="Yes",$G58,0)-IF(Setup!$I$13="Yes",$H58,0))</f>
        <v>80.769230769230774</v>
      </c>
      <c r="L58" s="5">
        <f t="shared" ca="1" si="2"/>
        <v>0</v>
      </c>
      <c r="M58" s="5">
        <f ca="1">(IF('Demand adjustments for Covid'!$F$9="No",E58,SUM('Demand background (hide)'!DS47,'Demand background (hide)'!DV47:DW47))*(1-'Parameters calculator (hide)'!$B$43))*(1-'Parameters calculator (hide)'!$B$44+('Parameters calculator (hide)'!$B$45*'Parameters calculator (hide)'!$B$47))</f>
        <v>140.04899999999998</v>
      </c>
      <c r="N58" s="5">
        <f ca="1">(IF('Demand adjustments for Covid'!$F$9="No",F58,SUM('Demand background (hide)'!DT47,'Demand background (hide)'!DV47:DW47))*(1-'Parameters calculator (hide)'!$B$43))*(1-'Parameters calculator (hide)'!$B$44+('Parameters calculator (hide)'!$B$45*'Parameters calculator (hide)'!$B$47))</f>
        <v>154.05389999999997</v>
      </c>
      <c r="P58" s="5">
        <f t="shared" ca="1" si="3"/>
        <v>80.769230769230774</v>
      </c>
      <c r="Q58" s="5">
        <f t="shared" ca="1" si="4"/>
        <v>0</v>
      </c>
      <c r="R58" s="5">
        <f t="shared" ca="1" si="5"/>
        <v>80.769230769230774</v>
      </c>
      <c r="S58" s="5">
        <f t="shared" ca="1" si="6"/>
        <v>0</v>
      </c>
      <c r="T58" s="5">
        <f ca="1">M58/IF(Summary!$C$8&lt;&gt;"Patients",1,$I$9)</f>
        <v>70.024499999999989</v>
      </c>
      <c r="U58" s="5">
        <f ca="1">((N58-M58)/IF(Summary!$C$8&lt;&gt;"Patients",1,$I$9))</f>
        <v>7.0024499999999961</v>
      </c>
      <c r="V58" s="5">
        <f t="shared" si="7"/>
        <v>0</v>
      </c>
      <c r="X58" s="5">
        <f ca="1">(VLOOKUP(D58,'SPC background (hide)'!$AG$2:$AN$54,8,0)/IF(Summary!$C$8&lt;&gt;"Patients",1,$I$9))*(1-$I$4)*(1-$I$5+($I$6*$I$7))</f>
        <v>71.024850000000001</v>
      </c>
    </row>
    <row r="59" spans="1:24" x14ac:dyDescent="0.25">
      <c r="A59" s="87">
        <f t="shared" si="8"/>
        <v>44242</v>
      </c>
      <c r="B59" s="67" t="str">
        <f t="shared" si="10"/>
        <v/>
      </c>
      <c r="C59" s="67" t="str">
        <f t="shared" si="9"/>
        <v/>
      </c>
      <c r="D59" s="67">
        <f t="shared" si="1"/>
        <v>7</v>
      </c>
      <c r="E59" s="5">
        <f ca="1">IF(LEFT(Demand!$C$8,1)="H",VLOOKUP($D59,'SPC background (hide)'!$AG$2:$AS$54,12,0),'Demand background (hide)'!X48)</f>
        <v>136</v>
      </c>
      <c r="F59" s="5">
        <f ca="1">IF(LEFT(Demand!$C$8,1)="H",VLOOKUP($D59,'SPC background (hide)'!$AG$2:$AS$54,13,0),E59*1.1)</f>
        <v>149.60000000000002</v>
      </c>
      <c r="G59" s="5" t="str">
        <f>IF(Setup!$I$15="Yes",VLOOKUP(D59,'SPC background (hide)'!$AG$2:$AT$54,14,0)/IF(Summary!$C$8="Patients",'Summary Calculations (hide)'!$I$9,1),"")</f>
        <v/>
      </c>
      <c r="H59" s="67" t="str">
        <f>IF(Setup!$I$13="Yes",'Planned background (hide)'!$V$23/IF(Summary!$C$8="Patients",'Summary Calculations (hide)'!$I$9,1),"")</f>
        <v/>
      </c>
      <c r="I59" s="5">
        <f ca="1">HLOOKUP(D59,'Capacity calculation (hide)'!$BK$3:$DJ$4,2,0)</f>
        <v>80.769230769230774</v>
      </c>
      <c r="J59" s="5">
        <f ca="1">HLOOKUP(D59,'Capacity calculation (hide)'!$BK$110:$DJ$111,2,0)</f>
        <v>0</v>
      </c>
      <c r="K59" s="5">
        <f ca="1">IF(I59-IF(Setup!$I$15="Yes",$G59,0)-IF(Setup!$I$13="Yes",$H59,0)&lt;0,0,I59-IF(Setup!$I$15="Yes",$G59,0)-IF(Setup!$I$13="Yes",$H59,0))</f>
        <v>80.769230769230774</v>
      </c>
      <c r="L59" s="5">
        <f t="shared" ca="1" si="2"/>
        <v>0</v>
      </c>
      <c r="M59" s="5">
        <f ca="1">(IF('Demand adjustments for Covid'!$F$9="No",E59,SUM('Demand background (hide)'!DS48,'Demand background (hide)'!DV48:DW48))*(1-'Parameters calculator (hide)'!$B$43))*(1-'Parameters calculator (hide)'!$B$44+('Parameters calculator (hide)'!$B$45*'Parameters calculator (hide)'!$B$47))</f>
        <v>136.04759999999999</v>
      </c>
      <c r="N59" s="5">
        <f ca="1">(IF('Demand adjustments for Covid'!$F$9="No",F59,SUM('Demand background (hide)'!DT48,'Demand background (hide)'!DV48:DW48))*(1-'Parameters calculator (hide)'!$B$43))*(1-'Parameters calculator (hide)'!$B$44+('Parameters calculator (hide)'!$B$45*'Parameters calculator (hide)'!$B$47))</f>
        <v>149.65235999999999</v>
      </c>
      <c r="P59" s="5">
        <f t="shared" ca="1" si="3"/>
        <v>80.769230769230774</v>
      </c>
      <c r="Q59" s="5">
        <f t="shared" ca="1" si="4"/>
        <v>0</v>
      </c>
      <c r="R59" s="5">
        <f t="shared" ca="1" si="5"/>
        <v>80.769230769230774</v>
      </c>
      <c r="S59" s="5">
        <f t="shared" ca="1" si="6"/>
        <v>0</v>
      </c>
      <c r="T59" s="5">
        <f ca="1">M59/IF(Summary!$C$8&lt;&gt;"Patients",1,$I$9)</f>
        <v>68.023799999999994</v>
      </c>
      <c r="U59" s="5">
        <f ca="1">((N59-M59)/IF(Summary!$C$8&lt;&gt;"Patients",1,$I$9))</f>
        <v>6.8023799999999994</v>
      </c>
      <c r="V59" s="5">
        <f t="shared" si="7"/>
        <v>0</v>
      </c>
      <c r="X59" s="5">
        <f ca="1">(VLOOKUP(D59,'SPC background (hide)'!$AG$2:$AN$54,8,0)/IF(Summary!$C$8&lt;&gt;"Patients",1,$I$9))*(1-$I$4)*(1-$I$5+($I$6*$I$7))</f>
        <v>71.024850000000001</v>
      </c>
    </row>
    <row r="60" spans="1:24" x14ac:dyDescent="0.25">
      <c r="A60" s="87">
        <f t="shared" si="8"/>
        <v>44249</v>
      </c>
      <c r="B60" s="67" t="str">
        <f t="shared" si="10"/>
        <v/>
      </c>
      <c r="C60" s="67" t="str">
        <f t="shared" si="9"/>
        <v/>
      </c>
      <c r="D60" s="67">
        <f t="shared" si="1"/>
        <v>8</v>
      </c>
      <c r="E60" s="5">
        <f ca="1">IF(LEFT(Demand!$C$8,1)="H",VLOOKUP($D60,'SPC background (hide)'!$AG$2:$AS$54,12,0),'Demand background (hide)'!X49)</f>
        <v>152</v>
      </c>
      <c r="F60" s="5">
        <f ca="1">IF(LEFT(Demand!$C$8,1)="H",VLOOKUP($D60,'SPC background (hide)'!$AG$2:$AS$54,13,0),E60*1.1)</f>
        <v>167.20000000000002</v>
      </c>
      <c r="G60" s="5" t="str">
        <f>IF(Setup!$I$15="Yes",VLOOKUP(D60,'SPC background (hide)'!$AG$2:$AT$54,14,0)/IF(Summary!$C$8="Patients",'Summary Calculations (hide)'!$I$9,1),"")</f>
        <v/>
      </c>
      <c r="H60" s="67" t="str">
        <f>IF(Setup!$I$13="Yes",'Planned background (hide)'!$V$23/IF(Summary!$C$8="Patients",'Summary Calculations (hide)'!$I$9,1),"")</f>
        <v/>
      </c>
      <c r="I60" s="5">
        <f ca="1">HLOOKUP(D60,'Capacity calculation (hide)'!$BK$3:$DJ$4,2,0)</f>
        <v>80.769230769230774</v>
      </c>
      <c r="J60" s="5">
        <f ca="1">HLOOKUP(D60,'Capacity calculation (hide)'!$BK$110:$DJ$111,2,0)</f>
        <v>0</v>
      </c>
      <c r="K60" s="5">
        <f ca="1">IF(I60-IF(Setup!$I$15="Yes",$G60,0)-IF(Setup!$I$13="Yes",$H60,0)&lt;0,0,I60-IF(Setup!$I$15="Yes",$G60,0)-IF(Setup!$I$13="Yes",$H60,0))</f>
        <v>80.769230769230774</v>
      </c>
      <c r="L60" s="5">
        <f t="shared" ca="1" si="2"/>
        <v>0</v>
      </c>
      <c r="M60" s="5">
        <f ca="1">(IF('Demand adjustments for Covid'!$F$9="No",E60,SUM('Demand background (hide)'!DS49,'Demand background (hide)'!DV49:DW49))*(1-'Parameters calculator (hide)'!$B$43))*(1-'Parameters calculator (hide)'!$B$44+('Parameters calculator (hide)'!$B$45*'Parameters calculator (hide)'!$B$47))</f>
        <v>152.0532</v>
      </c>
      <c r="N60" s="5">
        <f ca="1">(IF('Demand adjustments for Covid'!$F$9="No",F60,SUM('Demand background (hide)'!DT49,'Demand background (hide)'!DV49:DW49))*(1-'Parameters calculator (hide)'!$B$43))*(1-'Parameters calculator (hide)'!$B$44+('Parameters calculator (hide)'!$B$45*'Parameters calculator (hide)'!$B$47))</f>
        <v>167.25852</v>
      </c>
      <c r="P60" s="5">
        <f t="shared" ca="1" si="3"/>
        <v>80.769230769230774</v>
      </c>
      <c r="Q60" s="5">
        <f t="shared" ca="1" si="4"/>
        <v>0</v>
      </c>
      <c r="R60" s="5">
        <f t="shared" ca="1" si="5"/>
        <v>80.769230769230774</v>
      </c>
      <c r="S60" s="5">
        <f t="shared" ca="1" si="6"/>
        <v>0</v>
      </c>
      <c r="T60" s="5">
        <f ca="1">M60/IF(Summary!$C$8&lt;&gt;"Patients",1,$I$9)</f>
        <v>76.026600000000002</v>
      </c>
      <c r="U60" s="5">
        <f ca="1">((N60-M60)/IF(Summary!$C$8&lt;&gt;"Patients",1,$I$9))</f>
        <v>7.6026600000000002</v>
      </c>
      <c r="V60" s="5">
        <f t="shared" si="7"/>
        <v>0</v>
      </c>
      <c r="X60" s="5">
        <f ca="1">(VLOOKUP(D60,'SPC background (hide)'!$AG$2:$AN$54,8,0)/IF(Summary!$C$8&lt;&gt;"Patients",1,$I$9))*(1-$I$4)*(1-$I$5+($I$6*$I$7))</f>
        <v>71.024850000000001</v>
      </c>
    </row>
    <row r="61" spans="1:24" x14ac:dyDescent="0.25">
      <c r="A61" s="87">
        <f t="shared" si="8"/>
        <v>44256</v>
      </c>
      <c r="B61" s="67" t="str">
        <f t="shared" si="10"/>
        <v/>
      </c>
      <c r="C61" s="67" t="str">
        <f t="shared" si="9"/>
        <v>Mar</v>
      </c>
      <c r="D61" s="67">
        <f t="shared" si="1"/>
        <v>9</v>
      </c>
      <c r="E61" s="5">
        <f ca="1">IF(LEFT(Demand!$C$8,1)="H",VLOOKUP($D61,'SPC background (hide)'!$AG$2:$AS$54,12,0),'Demand background (hide)'!X50)</f>
        <v>148</v>
      </c>
      <c r="F61" s="5">
        <f ca="1">IF(LEFT(Demand!$C$8,1)="H",VLOOKUP($D61,'SPC background (hide)'!$AG$2:$AS$54,13,0),E61*1.1)</f>
        <v>162.80000000000001</v>
      </c>
      <c r="G61" s="5" t="str">
        <f>IF(Setup!$I$15="Yes",VLOOKUP(D61,'SPC background (hide)'!$AG$2:$AT$54,14,0)/IF(Summary!$C$8="Patients",'Summary Calculations (hide)'!$I$9,1),"")</f>
        <v/>
      </c>
      <c r="H61" s="67" t="str">
        <f>IF(Setup!$I$13="Yes",'Planned background (hide)'!$V$23/IF(Summary!$C$8="Patients",'Summary Calculations (hide)'!$I$9,1),"")</f>
        <v/>
      </c>
      <c r="I61" s="5">
        <f ca="1">HLOOKUP(D61,'Capacity calculation (hide)'!$BK$3:$DJ$4,2,0)</f>
        <v>80.769230769230774</v>
      </c>
      <c r="J61" s="5">
        <f ca="1">HLOOKUP(D61,'Capacity calculation (hide)'!$BK$110:$DJ$111,2,0)</f>
        <v>0</v>
      </c>
      <c r="K61" s="5">
        <f ca="1">IF(I61-IF(Setup!$I$15="Yes",$G61,0)-IF(Setup!$I$13="Yes",$H61,0)&lt;0,0,I61-IF(Setup!$I$15="Yes",$G61,0)-IF(Setup!$I$13="Yes",$H61,0))</f>
        <v>80.769230769230774</v>
      </c>
      <c r="L61" s="5">
        <f t="shared" ca="1" si="2"/>
        <v>0</v>
      </c>
      <c r="M61" s="5">
        <f ca="1">(IF('Demand adjustments for Covid'!$F$9="No",E61,SUM('Demand background (hide)'!DS50,'Demand background (hide)'!DV50:DW50))*(1-'Parameters calculator (hide)'!$B$43))*(1-'Parameters calculator (hide)'!$B$44+('Parameters calculator (hide)'!$B$45*'Parameters calculator (hide)'!$B$47))</f>
        <v>148.05179999999999</v>
      </c>
      <c r="N61" s="5">
        <f ca="1">(IF('Demand adjustments for Covid'!$F$9="No",F61,SUM('Demand background (hide)'!DT50,'Demand background (hide)'!DV50:DW50))*(1-'Parameters calculator (hide)'!$B$43))*(1-'Parameters calculator (hide)'!$B$44+('Parameters calculator (hide)'!$B$45*'Parameters calculator (hide)'!$B$47))</f>
        <v>162.85697999999999</v>
      </c>
      <c r="P61" s="5">
        <f t="shared" ca="1" si="3"/>
        <v>80.769230769230774</v>
      </c>
      <c r="Q61" s="5">
        <f t="shared" ca="1" si="4"/>
        <v>0</v>
      </c>
      <c r="R61" s="5">
        <f t="shared" ca="1" si="5"/>
        <v>80.769230769230774</v>
      </c>
      <c r="S61" s="5">
        <f t="shared" ca="1" si="6"/>
        <v>0</v>
      </c>
      <c r="T61" s="5">
        <f ca="1">M61/IF(Summary!$C$8&lt;&gt;"Patients",1,$I$9)</f>
        <v>74.025899999999993</v>
      </c>
      <c r="U61" s="5">
        <f ca="1">((N61-M61)/IF(Summary!$C$8&lt;&gt;"Patients",1,$I$9))</f>
        <v>7.4025900000000036</v>
      </c>
      <c r="V61" s="5">
        <f t="shared" si="7"/>
        <v>0</v>
      </c>
      <c r="X61" s="5">
        <f ca="1">(VLOOKUP(D61,'SPC background (hide)'!$AG$2:$AN$54,8,0)/IF(Summary!$C$8&lt;&gt;"Patients",1,$I$9))*(1-$I$4)*(1-$I$5+($I$6*$I$7))</f>
        <v>71.024850000000001</v>
      </c>
    </row>
    <row r="62" spans="1:24" x14ac:dyDescent="0.25">
      <c r="A62" s="87">
        <f t="shared" si="8"/>
        <v>44263</v>
      </c>
      <c r="B62" s="67" t="str">
        <f t="shared" si="10"/>
        <v/>
      </c>
      <c r="C62" s="67" t="str">
        <f t="shared" si="9"/>
        <v/>
      </c>
      <c r="D62" s="67">
        <f t="shared" si="1"/>
        <v>10</v>
      </c>
      <c r="E62" s="5">
        <f ca="1">IF(LEFT(Demand!$C$8,1)="H",VLOOKUP($D62,'SPC background (hide)'!$AG$2:$AS$54,12,0),'Demand background (hide)'!X51)</f>
        <v>148</v>
      </c>
      <c r="F62" s="5">
        <f ca="1">IF(LEFT(Demand!$C$8,1)="H",VLOOKUP($D62,'SPC background (hide)'!$AG$2:$AS$54,13,0),E62*1.1)</f>
        <v>162.80000000000001</v>
      </c>
      <c r="G62" s="5" t="str">
        <f>IF(Setup!$I$15="Yes",VLOOKUP(D62,'SPC background (hide)'!$AG$2:$AT$54,14,0)/IF(Summary!$C$8="Patients",'Summary Calculations (hide)'!$I$9,1),"")</f>
        <v/>
      </c>
      <c r="H62" s="67" t="str">
        <f>IF(Setup!$I$13="Yes",'Planned background (hide)'!$V$23/IF(Summary!$C$8="Patients",'Summary Calculations (hide)'!$I$9,1),"")</f>
        <v/>
      </c>
      <c r="I62" s="5">
        <f ca="1">HLOOKUP(D62,'Capacity calculation (hide)'!$BK$3:$DJ$4,2,0)</f>
        <v>80.769230769230774</v>
      </c>
      <c r="J62" s="5">
        <f ca="1">HLOOKUP(D62,'Capacity calculation (hide)'!$BK$110:$DJ$111,2,0)</f>
        <v>0</v>
      </c>
      <c r="K62" s="5">
        <f ca="1">IF(I62-IF(Setup!$I$15="Yes",$G62,0)-IF(Setup!$I$13="Yes",$H62,0)&lt;0,0,I62-IF(Setup!$I$15="Yes",$G62,0)-IF(Setup!$I$13="Yes",$H62,0))</f>
        <v>80.769230769230774</v>
      </c>
      <c r="L62" s="5">
        <f t="shared" ca="1" si="2"/>
        <v>0</v>
      </c>
      <c r="M62" s="5">
        <f ca="1">(IF('Demand adjustments for Covid'!$F$9="No",E62,SUM('Demand background (hide)'!DS51,'Demand background (hide)'!DV51:DW51))*(1-'Parameters calculator (hide)'!$B$43))*(1-'Parameters calculator (hide)'!$B$44+('Parameters calculator (hide)'!$B$45*'Parameters calculator (hide)'!$B$47))</f>
        <v>148.05179999999999</v>
      </c>
      <c r="N62" s="5">
        <f ca="1">(IF('Demand adjustments for Covid'!$F$9="No",F62,SUM('Demand background (hide)'!DT51,'Demand background (hide)'!DV51:DW51))*(1-'Parameters calculator (hide)'!$B$43))*(1-'Parameters calculator (hide)'!$B$44+('Parameters calculator (hide)'!$B$45*'Parameters calculator (hide)'!$B$47))</f>
        <v>162.85697999999999</v>
      </c>
      <c r="P62" s="5">
        <f t="shared" ca="1" si="3"/>
        <v>80.769230769230774</v>
      </c>
      <c r="Q62" s="5">
        <f t="shared" ca="1" si="4"/>
        <v>0</v>
      </c>
      <c r="R62" s="5">
        <f t="shared" ca="1" si="5"/>
        <v>80.769230769230774</v>
      </c>
      <c r="S62" s="5">
        <f t="shared" ca="1" si="6"/>
        <v>0</v>
      </c>
      <c r="T62" s="5">
        <f ca="1">M62/IF(Summary!$C$8&lt;&gt;"Patients",1,$I$9)</f>
        <v>74.025899999999993</v>
      </c>
      <c r="U62" s="5">
        <f ca="1">((N62-M62)/IF(Summary!$C$8&lt;&gt;"Patients",1,$I$9))</f>
        <v>7.4025900000000036</v>
      </c>
      <c r="V62" s="5">
        <f t="shared" si="7"/>
        <v>0</v>
      </c>
      <c r="X62" s="5">
        <f ca="1">(VLOOKUP(D62,'SPC background (hide)'!$AG$2:$AN$54,8,0)/IF(Summary!$C$8&lt;&gt;"Patients",1,$I$9))*(1-$I$4)*(1-$I$5+($I$6*$I$7))</f>
        <v>71.024850000000001</v>
      </c>
    </row>
    <row r="63" spans="1:24" x14ac:dyDescent="0.25">
      <c r="A63" s="87">
        <f t="shared" si="8"/>
        <v>44270</v>
      </c>
      <c r="B63" s="67" t="str">
        <f t="shared" si="10"/>
        <v/>
      </c>
      <c r="C63" s="67" t="str">
        <f t="shared" si="9"/>
        <v/>
      </c>
      <c r="D63" s="67">
        <f t="shared" si="1"/>
        <v>11</v>
      </c>
      <c r="E63" s="5">
        <f ca="1">IF(LEFT(Demand!$C$8,1)="H",VLOOKUP($D63,'SPC background (hide)'!$AG$2:$AS$54,12,0),'Demand background (hide)'!X52)</f>
        <v>140</v>
      </c>
      <c r="F63" s="5">
        <f ca="1">IF(LEFT(Demand!$C$8,1)="H",VLOOKUP($D63,'SPC background (hide)'!$AG$2:$AS$54,13,0),E63*1.1)</f>
        <v>154</v>
      </c>
      <c r="G63" s="5" t="str">
        <f>IF(Setup!$I$15="Yes",VLOOKUP(D63,'SPC background (hide)'!$AG$2:$AT$54,14,0)/IF(Summary!$C$8="Patients",'Summary Calculations (hide)'!$I$9,1),"")</f>
        <v/>
      </c>
      <c r="H63" s="67" t="str">
        <f>IF(Setup!$I$13="Yes",'Planned background (hide)'!$V$23/IF(Summary!$C$8="Patients",'Summary Calculations (hide)'!$I$9,1),"")</f>
        <v/>
      </c>
      <c r="I63" s="5">
        <f ca="1">HLOOKUP(D63,'Capacity calculation (hide)'!$BK$3:$DJ$4,2,0)</f>
        <v>80.769230769230774</v>
      </c>
      <c r="J63" s="5">
        <f ca="1">HLOOKUP(D63,'Capacity calculation (hide)'!$BK$110:$DJ$111,2,0)</f>
        <v>0</v>
      </c>
      <c r="K63" s="5">
        <f ca="1">IF(I63-IF(Setup!$I$15="Yes",$G63,0)-IF(Setup!$I$13="Yes",$H63,0)&lt;0,0,I63-IF(Setup!$I$15="Yes",$G63,0)-IF(Setup!$I$13="Yes",$H63,0))</f>
        <v>80.769230769230774</v>
      </c>
      <c r="L63" s="5">
        <f t="shared" ca="1" si="2"/>
        <v>0</v>
      </c>
      <c r="M63" s="5">
        <f ca="1">(IF('Demand adjustments for Covid'!$F$9="No",E63,SUM('Demand background (hide)'!DS52,'Demand background (hide)'!DV52:DW52))*(1-'Parameters calculator (hide)'!$B$43))*(1-'Parameters calculator (hide)'!$B$44+('Parameters calculator (hide)'!$B$45*'Parameters calculator (hide)'!$B$47))</f>
        <v>140.04899999999998</v>
      </c>
      <c r="N63" s="5">
        <f ca="1">(IF('Demand adjustments for Covid'!$F$9="No",F63,SUM('Demand background (hide)'!DT52,'Demand background (hide)'!DV52:DW52))*(1-'Parameters calculator (hide)'!$B$43))*(1-'Parameters calculator (hide)'!$B$44+('Parameters calculator (hide)'!$B$45*'Parameters calculator (hide)'!$B$47))</f>
        <v>154.05389999999997</v>
      </c>
      <c r="P63" s="5">
        <f t="shared" ca="1" si="3"/>
        <v>80.769230769230774</v>
      </c>
      <c r="Q63" s="5">
        <f t="shared" ca="1" si="4"/>
        <v>0</v>
      </c>
      <c r="R63" s="5">
        <f t="shared" ca="1" si="5"/>
        <v>80.769230769230774</v>
      </c>
      <c r="S63" s="5">
        <f t="shared" ca="1" si="6"/>
        <v>0</v>
      </c>
      <c r="T63" s="5">
        <f ca="1">M63/IF(Summary!$C$8&lt;&gt;"Patients",1,$I$9)</f>
        <v>70.024499999999989</v>
      </c>
      <c r="U63" s="5">
        <f ca="1">((N63-M63)/IF(Summary!$C$8&lt;&gt;"Patients",1,$I$9))</f>
        <v>7.0024499999999961</v>
      </c>
      <c r="V63" s="5">
        <f t="shared" si="7"/>
        <v>0</v>
      </c>
      <c r="X63" s="5">
        <f ca="1">(VLOOKUP(D63,'SPC background (hide)'!$AG$2:$AN$54,8,0)/IF(Summary!$C$8&lt;&gt;"Patients",1,$I$9))*(1-$I$4)*(1-$I$5+($I$6*$I$7))</f>
        <v>71.024850000000001</v>
      </c>
    </row>
    <row r="64" spans="1:24" x14ac:dyDescent="0.25">
      <c r="A64" s="87">
        <f t="shared" si="8"/>
        <v>44277</v>
      </c>
      <c r="B64" s="67" t="str">
        <f t="shared" si="10"/>
        <v/>
      </c>
      <c r="C64" s="67" t="str">
        <f t="shared" si="9"/>
        <v/>
      </c>
      <c r="D64" s="67">
        <f t="shared" si="1"/>
        <v>12</v>
      </c>
      <c r="E64" s="5">
        <f ca="1">IF(LEFT(Demand!$C$8,1)="H",VLOOKUP($D64,'SPC background (hide)'!$AG$2:$AS$54,12,0),'Demand background (hide)'!X53)</f>
        <v>152</v>
      </c>
      <c r="F64" s="5">
        <f ca="1">IF(LEFT(Demand!$C$8,1)="H",VLOOKUP($D64,'SPC background (hide)'!$AG$2:$AS$54,13,0),E64*1.1)</f>
        <v>167.20000000000002</v>
      </c>
      <c r="G64" s="5" t="str">
        <f>IF(Setup!$I$15="Yes",VLOOKUP(D64,'SPC background (hide)'!$AG$2:$AT$54,14,0)/IF(Summary!$C$8="Patients",'Summary Calculations (hide)'!$I$9,1),"")</f>
        <v/>
      </c>
      <c r="H64" s="67" t="str">
        <f>IF(Setup!$I$13="Yes",'Planned background (hide)'!$V$23/IF(Summary!$C$8="Patients",'Summary Calculations (hide)'!$I$9,1),"")</f>
        <v/>
      </c>
      <c r="I64" s="5">
        <f ca="1">HLOOKUP(D64,'Capacity calculation (hide)'!$BK$3:$DJ$4,2,0)</f>
        <v>80.769230769230774</v>
      </c>
      <c r="J64" s="5">
        <f ca="1">HLOOKUP(D64,'Capacity calculation (hide)'!$BK$110:$DJ$111,2,0)</f>
        <v>0</v>
      </c>
      <c r="K64" s="5">
        <f ca="1">IF(I64-IF(Setup!$I$15="Yes",$G64,0)-IF(Setup!$I$13="Yes",$H64,0)&lt;0,0,I64-IF(Setup!$I$15="Yes",$G64,0)-IF(Setup!$I$13="Yes",$H64,0))</f>
        <v>80.769230769230774</v>
      </c>
      <c r="L64" s="5">
        <f t="shared" ca="1" si="2"/>
        <v>0</v>
      </c>
      <c r="M64" s="5">
        <f ca="1">(IF('Demand adjustments for Covid'!$F$9="No",E64,SUM('Demand background (hide)'!DS53,'Demand background (hide)'!DV53:DW53))*(1-'Parameters calculator (hide)'!$B$43))*(1-'Parameters calculator (hide)'!$B$44+('Parameters calculator (hide)'!$B$45*'Parameters calculator (hide)'!$B$47))</f>
        <v>152.0532</v>
      </c>
      <c r="N64" s="5">
        <f ca="1">(IF('Demand adjustments for Covid'!$F$9="No",F64,SUM('Demand background (hide)'!DT53,'Demand background (hide)'!DV53:DW53))*(1-'Parameters calculator (hide)'!$B$43))*(1-'Parameters calculator (hide)'!$B$44+('Parameters calculator (hide)'!$B$45*'Parameters calculator (hide)'!$B$47))</f>
        <v>167.25852</v>
      </c>
      <c r="P64" s="5">
        <f t="shared" ca="1" si="3"/>
        <v>80.769230769230774</v>
      </c>
      <c r="Q64" s="5">
        <f t="shared" ca="1" si="4"/>
        <v>0</v>
      </c>
      <c r="R64" s="5">
        <f t="shared" ca="1" si="5"/>
        <v>80.769230769230774</v>
      </c>
      <c r="S64" s="5">
        <f t="shared" ca="1" si="6"/>
        <v>0</v>
      </c>
      <c r="T64" s="5">
        <f ca="1">M64/IF(Summary!$C$8&lt;&gt;"Patients",1,$I$9)</f>
        <v>76.026600000000002</v>
      </c>
      <c r="U64" s="5">
        <f ca="1">((N64-M64)/IF(Summary!$C$8&lt;&gt;"Patients",1,$I$9))</f>
        <v>7.6026600000000002</v>
      </c>
      <c r="V64" s="5">
        <f t="shared" si="7"/>
        <v>0</v>
      </c>
      <c r="X64" s="5">
        <f ca="1">(VLOOKUP(D64,'SPC background (hide)'!$AG$2:$AN$54,8,0)/IF(Summary!$C$8&lt;&gt;"Patients",1,$I$9))*(1-$I$4)*(1-$I$5+($I$6*$I$7))</f>
        <v>71.024850000000001</v>
      </c>
    </row>
    <row r="65" spans="1:24" x14ac:dyDescent="0.25">
      <c r="A65" s="87">
        <f t="shared" si="8"/>
        <v>44284</v>
      </c>
      <c r="B65" s="67" t="str">
        <f t="shared" si="10"/>
        <v/>
      </c>
      <c r="C65" s="67" t="str">
        <f t="shared" si="9"/>
        <v/>
      </c>
      <c r="D65" s="67">
        <f t="shared" si="1"/>
        <v>13</v>
      </c>
      <c r="E65" s="5">
        <f ca="1">IF(LEFT(Demand!$C$8,1)="H",VLOOKUP($D65,'SPC background (hide)'!$AG$2:$AS$54,12,0),'Demand background (hide)'!X54)</f>
        <v>146</v>
      </c>
      <c r="F65" s="5">
        <f ca="1">IF(LEFT(Demand!$C$8,1)="H",VLOOKUP($D65,'SPC background (hide)'!$AG$2:$AS$54,13,0),E65*1.1)</f>
        <v>160.60000000000002</v>
      </c>
      <c r="G65" s="5" t="str">
        <f>IF(Setup!$I$15="Yes",VLOOKUP(D65,'SPC background (hide)'!$AG$2:$AT$54,14,0)/IF(Summary!$C$8="Patients",'Summary Calculations (hide)'!$I$9,1),"")</f>
        <v/>
      </c>
      <c r="H65" s="67" t="str">
        <f>IF(Setup!$I$13="Yes",'Planned background (hide)'!$V$23/IF(Summary!$C$8="Patients",'Summary Calculations (hide)'!$I$9,1),"")</f>
        <v/>
      </c>
      <c r="I65" s="5">
        <f ca="1">HLOOKUP(D65,'Capacity calculation (hide)'!$BK$3:$DJ$4,2,0)</f>
        <v>80.769230769230774</v>
      </c>
      <c r="J65" s="5">
        <f ca="1">HLOOKUP(D65,'Capacity calculation (hide)'!$BK$110:$DJ$111,2,0)</f>
        <v>0</v>
      </c>
      <c r="K65" s="5">
        <f ca="1">IF(I65-IF(Setup!$I$15="Yes",$G65,0)-IF(Setup!$I$13="Yes",$H65,0)&lt;0,0,I65-IF(Setup!$I$15="Yes",$G65,0)-IF(Setup!$I$13="Yes",$H65,0))</f>
        <v>80.769230769230774</v>
      </c>
      <c r="L65" s="5">
        <f t="shared" ca="1" si="2"/>
        <v>0</v>
      </c>
      <c r="M65" s="5">
        <f ca="1">(IF('Demand adjustments for Covid'!$F$9="No",E65,SUM('Demand background (hide)'!DS54,'Demand background (hide)'!DV54:DW54))*(1-'Parameters calculator (hide)'!$B$43))*(1-'Parameters calculator (hide)'!$B$44+('Parameters calculator (hide)'!$B$45*'Parameters calculator (hide)'!$B$47))</f>
        <v>146.05109999999999</v>
      </c>
      <c r="N65" s="5">
        <f ca="1">(IF('Demand adjustments for Covid'!$F$9="No",F65,SUM('Demand background (hide)'!DT54,'Demand background (hide)'!DV54:DW54))*(1-'Parameters calculator (hide)'!$B$43))*(1-'Parameters calculator (hide)'!$B$44+('Parameters calculator (hide)'!$B$45*'Parameters calculator (hide)'!$B$47))</f>
        <v>160.65621000000002</v>
      </c>
      <c r="P65" s="5">
        <f t="shared" ca="1" si="3"/>
        <v>80.769230769230774</v>
      </c>
      <c r="Q65" s="5">
        <f t="shared" ca="1" si="4"/>
        <v>0</v>
      </c>
      <c r="R65" s="5">
        <f t="shared" ca="1" si="5"/>
        <v>80.769230769230774</v>
      </c>
      <c r="S65" s="5">
        <f t="shared" ca="1" si="6"/>
        <v>0</v>
      </c>
      <c r="T65" s="5">
        <f ca="1">M65/IF(Summary!$C$8&lt;&gt;"Patients",1,$I$9)</f>
        <v>73.025549999999996</v>
      </c>
      <c r="U65" s="5">
        <f ca="1">((N65-M65)/IF(Summary!$C$8&lt;&gt;"Patients",1,$I$9))</f>
        <v>7.3025550000000123</v>
      </c>
      <c r="V65" s="5">
        <f t="shared" si="7"/>
        <v>0</v>
      </c>
      <c r="X65" s="5">
        <f ca="1">(VLOOKUP(D65,'SPC background (hide)'!$AG$2:$AN$54,8,0)/IF(Summary!$C$8&lt;&gt;"Patients",1,$I$9))*(1-$I$4)*(1-$I$5+($I$6*$I$7))</f>
        <v>71.024850000000001</v>
      </c>
    </row>
    <row r="66" spans="1:24" x14ac:dyDescent="0.25">
      <c r="A66" s="87">
        <f t="shared" si="8"/>
        <v>44291</v>
      </c>
      <c r="B66" s="67" t="str">
        <f t="shared" si="10"/>
        <v/>
      </c>
      <c r="C66" s="67" t="str">
        <f>IF(TEXT(A66,"MMM")&lt;&gt;TEXT(A65,"MMM"),TEXT(A66,"MMM"),"")</f>
        <v>Apr</v>
      </c>
      <c r="D66" s="67">
        <f t="shared" si="1"/>
        <v>14</v>
      </c>
      <c r="E66" s="5">
        <f ca="1">IF(LEFT(Demand!$C$8,1)="H",VLOOKUP($D66,'SPC background (hide)'!$AG$2:$AS$54,12,0),'Demand background (hide)'!X55)</f>
        <v>130</v>
      </c>
      <c r="F66" s="5">
        <f ca="1">IF(LEFT(Demand!$C$8,1)="H",VLOOKUP($D66,'SPC background (hide)'!$AG$2:$AS$54,13,0),E66*1.1)</f>
        <v>143</v>
      </c>
      <c r="G66" s="5" t="str">
        <f>IF(Setup!$I$15="Yes",VLOOKUP(D66,'SPC background (hide)'!$AG$2:$AT$54,14,0)/IF(Summary!$C$8="Patients",'Summary Calculations (hide)'!$I$9,1),"")</f>
        <v/>
      </c>
      <c r="H66" s="67" t="str">
        <f>IF(Setup!$I$13="Yes",'Planned background (hide)'!$V$23/IF(Summary!$C$8="Patients",'Summary Calculations (hide)'!$I$9,1),"")</f>
        <v/>
      </c>
      <c r="I66" s="5">
        <f ca="1">HLOOKUP(D66,'Capacity calculation (hide)'!$BK$3:$DJ$4,2,0)</f>
        <v>80.769230769230774</v>
      </c>
      <c r="J66" s="5">
        <f ca="1">HLOOKUP(D66,'Capacity calculation (hide)'!$BK$110:$DJ$111,2,0)</f>
        <v>0</v>
      </c>
      <c r="K66" s="5">
        <f ca="1">IF(I66-IF(Setup!$I$15="Yes",$G66,0)-IF(Setup!$I$13="Yes",$H66,0)&lt;0,0,I66-IF(Setup!$I$15="Yes",$G66,0)-IF(Setup!$I$13="Yes",$H66,0))</f>
        <v>80.769230769230774</v>
      </c>
      <c r="L66" s="5">
        <f t="shared" ca="1" si="2"/>
        <v>0</v>
      </c>
      <c r="M66" s="5">
        <f ca="1">(IF('Demand adjustments for Covid'!$F$9="No",E66,SUM('Demand background (hide)'!DS55,'Demand background (hide)'!DV55:DW55))*(1-'Parameters calculator (hide)'!$B$43))*(1-'Parameters calculator (hide)'!$B$44+('Parameters calculator (hide)'!$B$45*'Parameters calculator (hide)'!$B$47))</f>
        <v>130.0455</v>
      </c>
      <c r="N66" s="5">
        <f ca="1">(IF('Demand adjustments for Covid'!$F$9="No",F66,SUM('Demand background (hide)'!DT55,'Demand background (hide)'!DV55:DW55))*(1-'Parameters calculator (hide)'!$B$43))*(1-'Parameters calculator (hide)'!$B$44+('Parameters calculator (hide)'!$B$45*'Parameters calculator (hide)'!$B$47))</f>
        <v>143.05005</v>
      </c>
      <c r="P66" s="5">
        <f t="shared" ca="1" si="3"/>
        <v>80.769230769230774</v>
      </c>
      <c r="Q66" s="5">
        <f t="shared" ca="1" si="4"/>
        <v>0</v>
      </c>
      <c r="R66" s="5">
        <f t="shared" ca="1" si="5"/>
        <v>80.769230769230774</v>
      </c>
      <c r="S66" s="5">
        <f t="shared" ca="1" si="6"/>
        <v>0</v>
      </c>
      <c r="T66" s="5">
        <f ca="1">M66/IF(Summary!$C$8&lt;&gt;"Patients",1,$I$9)</f>
        <v>65.022750000000002</v>
      </c>
      <c r="U66" s="5">
        <f ca="1">((N66-M66)/IF(Summary!$C$8&lt;&gt;"Patients",1,$I$9))</f>
        <v>6.5022749999999974</v>
      </c>
      <c r="V66" s="5">
        <f t="shared" si="7"/>
        <v>0</v>
      </c>
      <c r="X66" s="5">
        <f ca="1">(VLOOKUP(D66,'SPC background (hide)'!$AG$2:$AN$54,8,0)/IF(Summary!$C$8&lt;&gt;"Patients",1,$I$9))*(1-$I$4)*(1-$I$5+($I$6*$I$7))</f>
        <v>71.024850000000001</v>
      </c>
    </row>
    <row r="67" spans="1:24" x14ac:dyDescent="0.25">
      <c r="A67" s="298">
        <f t="shared" si="8"/>
        <v>44298</v>
      </c>
      <c r="B67" s="67" t="str">
        <f t="shared" ref="B67" si="11">IF(YEAR(A67)&lt;&gt;YEAR(A66),YEAR(A67),"")</f>
        <v/>
      </c>
      <c r="C67" s="67" t="str">
        <f t="shared" ref="C67" si="12">IF(TEXT(A67,"MMM")&lt;&gt;TEXT(A66,"MMM"),TEXT(A67,"MMM"),"")</f>
        <v/>
      </c>
      <c r="D67" s="59">
        <f>IF(MAX(D15:D66)=53,WEEKNUM(A67,21),53)</f>
        <v>15</v>
      </c>
      <c r="E67" s="5">
        <f ca="1">VLOOKUP($D67,'SPC background (hide)'!$AG$2:$AS$54,12,0)</f>
        <v>142</v>
      </c>
      <c r="F67" s="5">
        <f ca="1">VLOOKUP($D67,'SPC background (hide)'!$AG$2:$AS$54,13,0)</f>
        <v>155.30000000000001</v>
      </c>
      <c r="G67" s="5" t="str">
        <f>IF(Setup!$I$15="Yes",VLOOKUP(D67,'SPC background (hide)'!$AG$2:$AT$54,14,0)/IF(Summary!$C$8="Patients",'Summary Calculations (hide)'!$I$9,1),"")</f>
        <v/>
      </c>
      <c r="H67" s="67" t="str">
        <f>IF(Setup!$I$13="Yes",'Planned background (hide)'!$V$23/IF(Summary!$C$8="Patients",'Summary Calculations (hide)'!$I$9,1),"")</f>
        <v/>
      </c>
      <c r="I67" s="300">
        <f ca="1">IF(D67=53,HLOOKUP(52,'Capacity calculation (hide)'!$BK$3:$DJ$4,2,0),I66)</f>
        <v>80.769230769230774</v>
      </c>
      <c r="J67" s="300">
        <f ca="1">IF(D67=53,HLOOKUP(52,'Capacity calculation (hide)'!$BK$110:$DJ$111,2,0),J66)</f>
        <v>0</v>
      </c>
      <c r="K67" s="5">
        <f ca="1">IF(I67-IF(Setup!$I$15="Yes",$G67,0)-IF(Setup!$I$13="Yes",$H67,0)&lt;0,0,I67-IF(Setup!$I$15="Yes",$G67,0)-IF(Setup!$I$13="Yes",$H67,0))</f>
        <v>80.769230769230774</v>
      </c>
      <c r="L67" s="5">
        <f t="shared" ref="L67" ca="1" si="13">J67</f>
        <v>0</v>
      </c>
      <c r="M67" s="5">
        <f ca="1">(IF('Demand adjustments for Covid'!$F$9="No",E67,SUM('Demand background (hide)'!DS56,'Demand background (hide)'!DV56:DW56))*(1-'Parameters calculator (hide)'!$B$43))*(1-'Parameters calculator (hide)'!$B$44+('Parameters calculator (hide)'!$B$45*'Parameters calculator (hide)'!$B$47))</f>
        <v>142.0497</v>
      </c>
      <c r="N67" s="5">
        <f ca="1">(IF('Demand adjustments for Covid'!$F$9="No",F67,SUM('Demand background (hide)'!DT56,'Demand background (hide)'!DV56:DW56))*(1-'Parameters calculator (hide)'!$B$43))*(1-'Parameters calculator (hide)'!$B$44+('Parameters calculator (hide)'!$B$45*'Parameters calculator (hide)'!$B$47))</f>
        <v>155.354355</v>
      </c>
      <c r="O67" s="67"/>
      <c r="P67" s="5">
        <f t="shared" ref="P67" ca="1" si="14">I67</f>
        <v>80.769230769230774</v>
      </c>
      <c r="Q67" s="5">
        <f t="shared" ref="Q67" ca="1" si="15">J67</f>
        <v>0</v>
      </c>
      <c r="R67" s="5">
        <f t="shared" ref="R67" ca="1" si="16">IF(P67-V67&lt;0,0,P67-V67)</f>
        <v>80.769230769230774</v>
      </c>
      <c r="S67" s="5">
        <f t="shared" ref="S67" ca="1" si="17">IF(R67=0,IF(P67+Q67-V67&lt;0,0,P67+Q67-V67),Q67)</f>
        <v>0</v>
      </c>
      <c r="T67" s="5">
        <f ca="1">M67/IF(Summary!$C$8&lt;&gt;"Patients",1,$I$9)</f>
        <v>71.024850000000001</v>
      </c>
      <c r="U67" s="5">
        <f ca="1">((N67-M67)/IF(Summary!$C$8&lt;&gt;"Patients",1,$I$9))</f>
        <v>6.6523274999999984</v>
      </c>
      <c r="V67" s="5">
        <f t="shared" ref="V67" si="18">SUM(G67:H67)</f>
        <v>0</v>
      </c>
      <c r="W67" s="67"/>
      <c r="X67" s="5">
        <f ca="1">(VLOOKUP(D67,'SPC background (hide)'!$AG$2:$AN$54,8,0)/IF(Summary!$C$8&lt;&gt;"Patients",1,$I$9))*(1-$I$4)*(1-$I$5+($I$6*$I$7))</f>
        <v>71.024850000000001</v>
      </c>
    </row>
    <row r="68" spans="1:24" s="67" customFormat="1" x14ac:dyDescent="0.25">
      <c r="X68" s="5"/>
    </row>
    <row r="69" spans="1:24" x14ac:dyDescent="0.25">
      <c r="X69" s="5"/>
    </row>
    <row r="70" spans="1:24" x14ac:dyDescent="0.25">
      <c r="D70" t="s">
        <v>290</v>
      </c>
      <c r="E70" s="5">
        <f ca="1">AVERAGE(E15:E67)</f>
        <v>140.37735849056602</v>
      </c>
      <c r="F70" s="5">
        <f ca="1">AVERAGE(F15:F67)</f>
        <v>154.39811320754717</v>
      </c>
      <c r="G70" s="5" t="str">
        <f>IF(Setup!$I$15="Yes",AVERAGE(G15:G67),"")</f>
        <v/>
      </c>
      <c r="H70" s="5" t="str">
        <f>IF(Setup!$I$13="Yes",AVERAGE(H15:H67),"")</f>
        <v/>
      </c>
      <c r="I70" s="5">
        <f ca="1">AVERAGE(I15:I67)</f>
        <v>74.557329462989898</v>
      </c>
      <c r="J70" s="5">
        <f ca="1">AVERAGE(J15:J67)</f>
        <v>0.94339622641509435</v>
      </c>
      <c r="K70" s="5">
        <f ca="1">AVERAGE(K15:K67)</f>
        <v>74.557329462989898</v>
      </c>
      <c r="L70" s="5">
        <f ca="1">AVERAGE(L15:L67)</f>
        <v>0.94339622641509435</v>
      </c>
      <c r="M70" s="105">
        <f ca="1">AVERAGE(M15:M67)/IF(Summary!$C$8&lt;&gt;"Patients",1,$I$9)</f>
        <v>64.097898113207549</v>
      </c>
      <c r="N70" s="105">
        <f ca="1">AVERAGE(N15:N67)/IF(Summary!$C$8&lt;&gt;"Patients",1,$I$9)</f>
        <v>70.250050613207534</v>
      </c>
      <c r="R70" s="5">
        <f ca="1">AVERAGE(R15:R67)</f>
        <v>74.557329462989898</v>
      </c>
      <c r="S70" s="5">
        <f ca="1">AVERAGE(S15:S67)</f>
        <v>0.94339622641509435</v>
      </c>
      <c r="V70" s="105">
        <f>IF(AND(Setup!$I$13="No",Setup!$I$15="No"),0,IF(H70&lt;&gt;"",H70,0)+IF(G70&lt;&gt;"",G70,0))</f>
        <v>0</v>
      </c>
      <c r="X70" s="5">
        <f ca="1">AVERAGE(X15:X67)</f>
        <v>71.024849999999901</v>
      </c>
    </row>
    <row r="71" spans="1:24" x14ac:dyDescent="0.25">
      <c r="E71" s="60"/>
      <c r="I71" t="s">
        <v>308</v>
      </c>
      <c r="K71" s="105">
        <f ca="1">(K70)/IF(Summary!$C$8&lt;&gt;"Patients",1,$I$9)</f>
        <v>37.278664731494949</v>
      </c>
      <c r="L71" s="105">
        <f ca="1">(L70)/IF(Summary!$C$8&lt;&gt;"Patients",1,$I$9)</f>
        <v>0.47169811320754718</v>
      </c>
      <c r="M71" s="5"/>
      <c r="N71" s="5">
        <f ca="1">N70-M70</f>
        <v>6.1521524999999855</v>
      </c>
      <c r="R71" s="5">
        <f ca="1">SUM(R15:R67)</f>
        <v>3951.5384615384646</v>
      </c>
      <c r="S71" s="5">
        <f ca="1">SUM(S15:S67)</f>
        <v>50</v>
      </c>
      <c r="V71" s="5">
        <f>SUM(V15:V67)</f>
        <v>0</v>
      </c>
      <c r="X71" s="5">
        <f ca="1">SUM(X15:X67)</f>
        <v>3764.3170499999951</v>
      </c>
    </row>
    <row r="72" spans="1:24" x14ac:dyDescent="0.25">
      <c r="E72" s="5"/>
      <c r="F72" s="5"/>
      <c r="J72" s="5"/>
      <c r="K72" s="5"/>
      <c r="L72" s="5"/>
      <c r="M72" s="5"/>
      <c r="N72" s="5"/>
      <c r="X72" s="5">
        <f ca="1">AVERAGE(X15:X67)</f>
        <v>71.024849999999901</v>
      </c>
    </row>
  </sheetData>
  <pageMargins left="0.7" right="0.7" top="0.75" bottom="0.75" header="0.3" footer="0.3"/>
  <pageSetup paperSize="9" orientation="portrait" horizontalDpi="90" verticalDpi="90" r:id="rId1"/>
  <legacy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9"/>
  <dimension ref="A2:DJ172"/>
  <sheetViews>
    <sheetView topLeftCell="G1" zoomScale="85" zoomScaleNormal="85" workbookViewId="0">
      <selection activeCell="T13" sqref="T13:Z64"/>
    </sheetView>
  </sheetViews>
  <sheetFormatPr defaultRowHeight="13.8" x14ac:dyDescent="0.25"/>
  <cols>
    <col min="1" max="1" width="27.19921875" bestFit="1" customWidth="1"/>
    <col min="2" max="2" width="20.69921875" bestFit="1" customWidth="1"/>
    <col min="3" max="3" width="60.59765625" bestFit="1" customWidth="1"/>
    <col min="4" max="4" width="15.19921875" customWidth="1"/>
    <col min="5" max="5" width="20" bestFit="1" customWidth="1"/>
    <col min="8" max="8" width="18.5" bestFit="1" customWidth="1"/>
    <col min="13" max="13" width="11.59765625" bestFit="1" customWidth="1"/>
    <col min="14" max="14" width="10.09765625" bestFit="1" customWidth="1"/>
  </cols>
  <sheetData>
    <row r="2" spans="1:29" x14ac:dyDescent="0.25">
      <c r="M2" t="s">
        <v>1133</v>
      </c>
    </row>
    <row r="3" spans="1:29" x14ac:dyDescent="0.25">
      <c r="A3" t="s">
        <v>1119</v>
      </c>
      <c r="B3" s="303">
        <f>Summary!$D$42</f>
        <v>0</v>
      </c>
      <c r="H3" t="s">
        <v>153</v>
      </c>
      <c r="I3" t="s">
        <v>148</v>
      </c>
      <c r="J3" t="s">
        <v>149</v>
      </c>
      <c r="K3" t="s">
        <v>156</v>
      </c>
      <c r="L3" t="s">
        <v>1131</v>
      </c>
      <c r="M3" t="s">
        <v>531</v>
      </c>
      <c r="N3" t="s">
        <v>1132</v>
      </c>
    </row>
    <row r="4" spans="1:29" x14ac:dyDescent="0.25">
      <c r="A4" t="s">
        <v>1120</v>
      </c>
      <c r="B4" s="303">
        <f>Summary!$D$43</f>
        <v>0</v>
      </c>
      <c r="H4">
        <v>1</v>
      </c>
      <c r="I4">
        <f>'SPC background (hide)'!L4</f>
        <v>1</v>
      </c>
      <c r="J4">
        <f ca="1">'SPC background (hide)'!M4</f>
        <v>10</v>
      </c>
      <c r="K4" s="5">
        <f ca="1">'SPC background (hide)'!O4</f>
        <v>142</v>
      </c>
      <c r="L4">
        <f ca="1">IFERROR(VLOOKUP(H4,'SPC background (hide)'!$AI$2:$AJ$54,2,FALSE),"")</f>
        <v>5.7131599684791183</v>
      </c>
      <c r="M4" s="5">
        <f ca="1">'SPC background (hide)'!P4</f>
        <v>142</v>
      </c>
      <c r="N4" s="5">
        <f ca="1">'SPC background (hide)'!Q4</f>
        <v>155.30000000000001</v>
      </c>
    </row>
    <row r="5" spans="1:29" x14ac:dyDescent="0.25">
      <c r="A5" t="s">
        <v>75</v>
      </c>
      <c r="B5" s="3">
        <f ca="1">'Summary Calculations (hide)'!I4</f>
        <v>0.05</v>
      </c>
      <c r="H5">
        <v>2</v>
      </c>
      <c r="I5" t="str">
        <f ca="1">'SPC background (hide)'!L5</f>
        <v/>
      </c>
      <c r="J5">
        <f ca="1">'SPC background (hide)'!M5</f>
        <v>0</v>
      </c>
      <c r="K5" s="5" t="str">
        <f ca="1">'SPC background (hide)'!O5</f>
        <v/>
      </c>
      <c r="L5" s="67" t="str">
        <f ca="1">IFERROR(VLOOKUP(H5,'SPC background (hide)'!$AI$2:$AJ$54,2,FALSE),"")</f>
        <v/>
      </c>
      <c r="M5" s="5" t="str">
        <f ca="1">'SPC background (hide)'!P5</f>
        <v/>
      </c>
      <c r="N5" s="5" t="str">
        <f ca="1">'SPC background (hide)'!Q5</f>
        <v/>
      </c>
    </row>
    <row r="6" spans="1:29" x14ac:dyDescent="0.25">
      <c r="A6" t="s">
        <v>1121</v>
      </c>
      <c r="B6" s="3">
        <f ca="1">'Summary Calculations (hide)'!I5</f>
        <v>1.0999999999999998E-2</v>
      </c>
      <c r="H6">
        <v>3</v>
      </c>
      <c r="I6" t="str">
        <f ca="1">'SPC background (hide)'!L6</f>
        <v/>
      </c>
      <c r="J6">
        <f ca="1">'SPC background (hide)'!M6</f>
        <v>0</v>
      </c>
      <c r="K6" s="5" t="str">
        <f ca="1">'SPC background (hide)'!O6</f>
        <v/>
      </c>
      <c r="L6" s="67" t="str">
        <f ca="1">IFERROR(VLOOKUP(H6,'SPC background (hide)'!$AI$2:$AJ$54,2,FALSE),"")</f>
        <v/>
      </c>
      <c r="M6" s="5" t="str">
        <f ca="1">'SPC background (hide)'!P6</f>
        <v/>
      </c>
      <c r="N6" s="5" t="str">
        <f ca="1">'SPC background (hide)'!Q6</f>
        <v/>
      </c>
    </row>
    <row r="7" spans="1:29" x14ac:dyDescent="0.25">
      <c r="A7" t="s">
        <v>99</v>
      </c>
      <c r="B7" s="3">
        <f ca="1">'Summary Calculations (hide)'!I6</f>
        <v>7.9999999999999988E-2</v>
      </c>
      <c r="H7">
        <v>4</v>
      </c>
      <c r="I7" t="str">
        <f ca="1">'SPC background (hide)'!L7</f>
        <v/>
      </c>
      <c r="J7">
        <f ca="1">'SPC background (hide)'!M7</f>
        <v>0</v>
      </c>
      <c r="K7" s="5" t="str">
        <f ca="1">'SPC background (hide)'!O7</f>
        <v/>
      </c>
      <c r="L7" s="67" t="str">
        <f ca="1">IFERROR(VLOOKUP(H7,'SPC background (hide)'!$AI$2:$AJ$54,2,FALSE),"")</f>
        <v/>
      </c>
      <c r="M7" s="5" t="str">
        <f ca="1">'SPC background (hide)'!P7</f>
        <v/>
      </c>
      <c r="N7" s="5" t="str">
        <f ca="1">'SPC background (hide)'!Q7</f>
        <v/>
      </c>
    </row>
    <row r="8" spans="1:29" x14ac:dyDescent="0.25">
      <c r="A8" t="s">
        <v>418</v>
      </c>
      <c r="B8" s="3">
        <f ca="1">'Summary Calculations (hide)'!I7</f>
        <v>0.8</v>
      </c>
      <c r="H8" s="67">
        <v>5</v>
      </c>
      <c r="I8" s="67">
        <f ca="1">'SPC background (hide)'!L8</f>
        <v>11</v>
      </c>
      <c r="J8" s="67">
        <f ca="1">'SPC background (hide)'!M8</f>
        <v>52</v>
      </c>
      <c r="K8" s="5">
        <f ca="1">'SPC background (hide)'!O8</f>
        <v>142</v>
      </c>
      <c r="L8" s="67">
        <f ca="1">IFERROR(VLOOKUP(H8,'SPC background (hide)'!$AI$2:$AJ$54,2,FALSE),"")</f>
        <v>5.7131599684791183</v>
      </c>
      <c r="M8" s="5">
        <f ca="1">'SPC background (hide)'!P8</f>
        <v>142</v>
      </c>
      <c r="N8" s="5">
        <f ca="1">'SPC background (hide)'!Q8</f>
        <v>155.30000000000001</v>
      </c>
    </row>
    <row r="10" spans="1:29" x14ac:dyDescent="0.25">
      <c r="A10" t="s">
        <v>1153</v>
      </c>
      <c r="B10" s="3"/>
      <c r="H10" t="s">
        <v>1130</v>
      </c>
      <c r="T10" t="s">
        <v>1136</v>
      </c>
    </row>
    <row r="11" spans="1:29" x14ac:dyDescent="0.25">
      <c r="A11" t="s">
        <v>1122</v>
      </c>
      <c r="B11" s="3">
        <f ca="1">(1-B5)*(1-(B6+B7))</f>
        <v>0.86355000000000004</v>
      </c>
      <c r="C11" s="51" t="s">
        <v>1149</v>
      </c>
      <c r="D11" t="s">
        <v>1143</v>
      </c>
      <c r="T11" t="s">
        <v>1137</v>
      </c>
      <c r="U11" t="s">
        <v>1138</v>
      </c>
      <c r="V11" t="s">
        <v>1139</v>
      </c>
      <c r="W11" t="s">
        <v>1140</v>
      </c>
      <c r="X11" t="s">
        <v>1141</v>
      </c>
      <c r="Y11" t="s">
        <v>1142</v>
      </c>
      <c r="Z11" t="s">
        <v>156</v>
      </c>
      <c r="AA11" t="s">
        <v>1146</v>
      </c>
      <c r="AB11" t="s">
        <v>1147</v>
      </c>
      <c r="AC11" t="s">
        <v>1148</v>
      </c>
    </row>
    <row r="12" spans="1:29" x14ac:dyDescent="0.25">
      <c r="A12" t="s">
        <v>1123</v>
      </c>
      <c r="B12" s="3">
        <f ca="1">(1-B5) * (B7*B8)</f>
        <v>6.0799999999999986E-2</v>
      </c>
      <c r="C12" s="51" t="s">
        <v>1150</v>
      </c>
      <c r="H12" t="str">
        <f>'Summary Calculations (hide)'!A14</f>
        <v>Reference week start</v>
      </c>
      <c r="I12" t="str">
        <f>'Summary Calculations (hide)'!B14</f>
        <v>Year</v>
      </c>
      <c r="J12" t="str">
        <f>'Summary Calculations (hide)'!C14</f>
        <v>Month</v>
      </c>
      <c r="K12" t="str">
        <f>'Summary Calculations (hide)'!D14</f>
        <v>Wk index</v>
      </c>
      <c r="L12" t="s">
        <v>153</v>
      </c>
      <c r="M12" t="s">
        <v>156</v>
      </c>
      <c r="N12" t="s">
        <v>1134</v>
      </c>
      <c r="R12" t="s">
        <v>391</v>
      </c>
      <c r="T12">
        <v>152</v>
      </c>
    </row>
    <row r="13" spans="1:29" x14ac:dyDescent="0.25">
      <c r="A13" t="s">
        <v>1127</v>
      </c>
      <c r="B13" s="3">
        <f ca="1">B11+B12</f>
        <v>0.92435</v>
      </c>
      <c r="C13" s="51" t="s">
        <v>1128</v>
      </c>
      <c r="H13" s="298">
        <f>'Summary Calculations (hide)'!A15</f>
        <v>43934</v>
      </c>
      <c r="I13">
        <f>'Summary Calculations (hide)'!B15</f>
        <v>2020</v>
      </c>
      <c r="J13" t="str">
        <f>'Summary Calculations (hide)'!C15</f>
        <v>Apr</v>
      </c>
      <c r="K13">
        <f>'Summary Calculations (hide)'!D15</f>
        <v>16</v>
      </c>
      <c r="L13">
        <f ca="1">VLOOKUP($K13,'SPC background (hide)'!$AG$2:$AS$54,3,0)</f>
        <v>1</v>
      </c>
      <c r="M13">
        <f ca="1">((VLOOKUP(L13,$H$4:$N$8,4,FALSE)*(1-$B$5)*(1-$B$6+($B$7*$B$8))))</f>
        <v>142.0497</v>
      </c>
      <c r="N13" s="67">
        <f ca="1">((VLOOKUP(L13,$H$4:$N$8,5,FALSE)*(1-$B$5)*(1-$B$6+($B$7*$B$8))))</f>
        <v>5.7151595744680854</v>
      </c>
      <c r="R13" s="5">
        <f ca="1">(VLOOKUP(K13,'Summary Calculations (hide)'!$D$15:$L$67,8,0)+VLOOKUP(K13,'Summary Calculations (hide)'!$D$15:$L$67,9,0))*IF(Summary!$C$8="Patients",'Summary Calculations (hide)'!$I$9,1)</f>
        <v>40</v>
      </c>
      <c r="AA13">
        <f ca="1">IF(Summary!$C$8="Patients", 'Parameters calculator (hide)'!$H$63,'Parameters calculator (hide)'!$H$62)</f>
        <v>269.8</v>
      </c>
      <c r="AB13" s="67">
        <f ca="1">IF(Summary!$C$8="Patients", 'Parameters calculator (hide)'!$I$63,'Parameters calculator (hide)'!$I$62)</f>
        <v>298.2</v>
      </c>
      <c r="AC13">
        <f ca="1">AB13-AA13</f>
        <v>28.399999999999977</v>
      </c>
    </row>
    <row r="14" spans="1:29" x14ac:dyDescent="0.25">
      <c r="A14" t="s">
        <v>1124</v>
      </c>
      <c r="B14" s="3">
        <f ca="1">1 - B7</f>
        <v>0.92</v>
      </c>
      <c r="C14" s="51" t="s">
        <v>1151</v>
      </c>
      <c r="H14" s="298">
        <f>'Summary Calculations (hide)'!A16</f>
        <v>43941</v>
      </c>
      <c r="I14" t="str">
        <f>'Summary Calculations (hide)'!B16</f>
        <v/>
      </c>
      <c r="J14" t="str">
        <f>'Summary Calculations (hide)'!C16</f>
        <v/>
      </c>
      <c r="K14">
        <f>'Summary Calculations (hide)'!D16</f>
        <v>17</v>
      </c>
      <c r="L14" s="67">
        <f ca="1">VLOOKUP($K14,'SPC background (hide)'!$AG$2:$AS$54,3,0)</f>
        <v>1</v>
      </c>
      <c r="M14" s="67">
        <f t="shared" ref="M14:M64" ca="1" si="0">((VLOOKUP(L14,$H$4:$N$8,4,FALSE)*(1-$B$5)*(1-$B$6+($B$7*$B$8))))</f>
        <v>142.0497</v>
      </c>
      <c r="N14" s="67">
        <f t="shared" ref="N14:N64" ca="1" si="1">((VLOOKUP(L14,$H$4:$N$8,5,FALSE)*(1-$B$5)*(1-$B$6+($B$7*$B$8))))</f>
        <v>5.7151595744680854</v>
      </c>
      <c r="O14" s="67"/>
      <c r="P14" s="67"/>
      <c r="Q14" s="67"/>
      <c r="R14" s="5">
        <f ca="1">(VLOOKUP(K14,'Summary Calculations (hide)'!$D$15:$L$67,8,0)+VLOOKUP(K14,'Summary Calculations (hide)'!$D$15:$L$67,9,0))*IF(Summary!$C$8="Patients",'Summary Calculations (hide)'!$I$9,1)</f>
        <v>40</v>
      </c>
      <c r="AA14" s="67">
        <f ca="1">IF(Summary!$C$8="Patients", 'Parameters calculator (hide)'!$H$63,'Parameters calculator (hide)'!$H$62)</f>
        <v>269.8</v>
      </c>
      <c r="AB14" s="67">
        <f ca="1">IF(Summary!$C$8="Patients", 'Parameters calculator (hide)'!$I$63,'Parameters calculator (hide)'!$I$62)</f>
        <v>298.2</v>
      </c>
      <c r="AC14" s="67">
        <f t="shared" ref="AC14:AC64" ca="1" si="2">AB14-AA14</f>
        <v>28.399999999999977</v>
      </c>
    </row>
    <row r="15" spans="1:29" x14ac:dyDescent="0.25">
      <c r="A15" t="s">
        <v>1125</v>
      </c>
      <c r="B15" s="3">
        <f ca="1">B7*B8</f>
        <v>6.3999999999999987E-2</v>
      </c>
      <c r="C15" s="51" t="s">
        <v>1152</v>
      </c>
      <c r="H15" s="298">
        <f>'Summary Calculations (hide)'!A17</f>
        <v>43948</v>
      </c>
      <c r="I15" t="str">
        <f>'Summary Calculations (hide)'!B17</f>
        <v/>
      </c>
      <c r="J15" t="str">
        <f>'Summary Calculations (hide)'!C17</f>
        <v/>
      </c>
      <c r="K15">
        <f>'Summary Calculations (hide)'!D17</f>
        <v>18</v>
      </c>
      <c r="L15" s="67">
        <f ca="1">VLOOKUP($K15,'SPC background (hide)'!$AG$2:$AS$54,3,0)</f>
        <v>1</v>
      </c>
      <c r="M15" s="67">
        <f t="shared" ca="1" si="0"/>
        <v>142.0497</v>
      </c>
      <c r="N15" s="67">
        <f t="shared" ca="1" si="1"/>
        <v>5.7151595744680854</v>
      </c>
      <c r="O15" s="67"/>
      <c r="P15" s="67"/>
      <c r="Q15" s="67"/>
      <c r="R15" s="5">
        <f ca="1">(VLOOKUP(K15,'Summary Calculations (hide)'!$D$15:$L$67,8,0)+VLOOKUP(K15,'Summary Calculations (hide)'!$D$15:$L$67,9,0))*IF(Summary!$C$8="Patients",'Summary Calculations (hide)'!$I$9,1)</f>
        <v>40</v>
      </c>
      <c r="AA15" s="67">
        <f ca="1">IF(Summary!$C$8="Patients", 'Parameters calculator (hide)'!$H$63,'Parameters calculator (hide)'!$H$62)</f>
        <v>269.8</v>
      </c>
      <c r="AB15" s="67">
        <f ca="1">IF(Summary!$C$8="Patients", 'Parameters calculator (hide)'!$I$63,'Parameters calculator (hide)'!$I$62)</f>
        <v>298.2</v>
      </c>
      <c r="AC15" s="67">
        <f t="shared" ca="1" si="2"/>
        <v>28.399999999999977</v>
      </c>
    </row>
    <row r="16" spans="1:29" x14ac:dyDescent="0.25">
      <c r="A16" t="s">
        <v>1135</v>
      </c>
      <c r="B16" s="3">
        <f ca="1">B14+B15</f>
        <v>0.98399999999999999</v>
      </c>
      <c r="C16" s="51" t="s">
        <v>1129</v>
      </c>
      <c r="H16" s="298">
        <f>'Summary Calculations (hide)'!A18</f>
        <v>43955</v>
      </c>
      <c r="I16" t="str">
        <f>'Summary Calculations (hide)'!B18</f>
        <v/>
      </c>
      <c r="J16" t="str">
        <f>'Summary Calculations (hide)'!C18</f>
        <v>May</v>
      </c>
      <c r="K16">
        <f>'Summary Calculations (hide)'!D18</f>
        <v>19</v>
      </c>
      <c r="L16" s="67">
        <f ca="1">VLOOKUP($K16,'SPC background (hide)'!$AG$2:$AS$54,3,0)</f>
        <v>1</v>
      </c>
      <c r="M16" s="67">
        <f t="shared" ca="1" si="0"/>
        <v>142.0497</v>
      </c>
      <c r="N16" s="67">
        <f t="shared" ca="1" si="1"/>
        <v>5.7151595744680854</v>
      </c>
      <c r="O16" s="67"/>
      <c r="P16" s="67"/>
      <c r="Q16" s="67"/>
      <c r="R16" s="5">
        <f ca="1">(VLOOKUP(K16,'Summary Calculations (hide)'!$D$15:$L$67,8,0)+VLOOKUP(K16,'Summary Calculations (hide)'!$D$15:$L$67,9,0))*IF(Summary!$C$8="Patients",'Summary Calculations (hide)'!$I$9,1)</f>
        <v>40</v>
      </c>
      <c r="AA16" s="67">
        <f ca="1">IF(Summary!$C$8="Patients", 'Parameters calculator (hide)'!$H$63,'Parameters calculator (hide)'!$H$62)</f>
        <v>269.8</v>
      </c>
      <c r="AB16" s="67">
        <f ca="1">IF(Summary!$C$8="Patients", 'Parameters calculator (hide)'!$I$63,'Parameters calculator (hide)'!$I$62)</f>
        <v>298.2</v>
      </c>
      <c r="AC16" s="67">
        <f t="shared" ca="1" si="2"/>
        <v>28.399999999999977</v>
      </c>
    </row>
    <row r="17" spans="1:29" x14ac:dyDescent="0.25">
      <c r="H17" s="298">
        <f>'Summary Calculations (hide)'!A19</f>
        <v>43962</v>
      </c>
      <c r="I17" t="str">
        <f>'Summary Calculations (hide)'!B19</f>
        <v/>
      </c>
      <c r="J17" t="str">
        <f>'Summary Calculations (hide)'!C19</f>
        <v/>
      </c>
      <c r="K17">
        <f>'Summary Calculations (hide)'!D19</f>
        <v>20</v>
      </c>
      <c r="L17" s="67">
        <f ca="1">VLOOKUP($K17,'SPC background (hide)'!$AG$2:$AS$54,3,0)</f>
        <v>5</v>
      </c>
      <c r="M17" s="67">
        <f t="shared" ca="1" si="0"/>
        <v>142.0497</v>
      </c>
      <c r="N17" s="67">
        <f t="shared" ca="1" si="1"/>
        <v>5.7151595744680854</v>
      </c>
      <c r="O17" s="67"/>
      <c r="P17" s="67"/>
      <c r="Q17" s="67"/>
      <c r="R17" s="5">
        <f ca="1">(VLOOKUP(K17,'Summary Calculations (hide)'!$D$15:$L$67,8,0)+VLOOKUP(K17,'Summary Calculations (hide)'!$D$15:$L$67,9,0))*IF(Summary!$C$8="Patients",'Summary Calculations (hide)'!$I$9,1)</f>
        <v>40</v>
      </c>
      <c r="AA17" s="67">
        <f ca="1">IF(Summary!$C$8="Patients", 'Parameters calculator (hide)'!$H$63,'Parameters calculator (hide)'!$H$62)</f>
        <v>269.8</v>
      </c>
      <c r="AB17" s="67">
        <f ca="1">IF(Summary!$C$8="Patients", 'Parameters calculator (hide)'!$I$63,'Parameters calculator (hide)'!$I$62)</f>
        <v>298.2</v>
      </c>
      <c r="AC17" s="67">
        <f t="shared" ca="1" si="2"/>
        <v>28.399999999999977</v>
      </c>
    </row>
    <row r="18" spans="1:29" x14ac:dyDescent="0.25">
      <c r="A18" s="3"/>
      <c r="B18" s="3"/>
      <c r="C18" s="3"/>
      <c r="H18" s="298">
        <f>'Summary Calculations (hide)'!A20</f>
        <v>43969</v>
      </c>
      <c r="I18" t="str">
        <f>'Summary Calculations (hide)'!B20</f>
        <v/>
      </c>
      <c r="J18" t="str">
        <f>'Summary Calculations (hide)'!C20</f>
        <v/>
      </c>
      <c r="K18">
        <f>'Summary Calculations (hide)'!D20</f>
        <v>21</v>
      </c>
      <c r="L18" s="67">
        <f ca="1">VLOOKUP($K18,'SPC background (hide)'!$AG$2:$AS$54,3,0)</f>
        <v>5</v>
      </c>
      <c r="M18" s="67">
        <f t="shared" ca="1" si="0"/>
        <v>142.0497</v>
      </c>
      <c r="N18" s="67">
        <f t="shared" ca="1" si="1"/>
        <v>5.7151595744680854</v>
      </c>
      <c r="O18" s="67"/>
      <c r="P18" s="67"/>
      <c r="Q18" s="67"/>
      <c r="R18" s="5">
        <f ca="1">(VLOOKUP(K18,'Summary Calculations (hide)'!$D$15:$L$67,8,0)+VLOOKUP(K18,'Summary Calculations (hide)'!$D$15:$L$67,9,0))*IF(Summary!$C$8="Patients",'Summary Calculations (hide)'!$I$9,1)</f>
        <v>40</v>
      </c>
      <c r="AA18" s="67">
        <f ca="1">IF(Summary!$C$8="Patients", 'Parameters calculator (hide)'!$H$63,'Parameters calculator (hide)'!$H$62)</f>
        <v>269.8</v>
      </c>
      <c r="AB18" s="67">
        <f ca="1">IF(Summary!$C$8="Patients", 'Parameters calculator (hide)'!$I$63,'Parameters calculator (hide)'!$I$62)</f>
        <v>298.2</v>
      </c>
      <c r="AC18" s="67">
        <f t="shared" ca="1" si="2"/>
        <v>28.399999999999977</v>
      </c>
    </row>
    <row r="19" spans="1:29" x14ac:dyDescent="0.25">
      <c r="A19" s="3"/>
      <c r="B19" s="3"/>
      <c r="C19" s="3"/>
      <c r="H19" s="298">
        <f>'Summary Calculations (hide)'!A21</f>
        <v>43976</v>
      </c>
      <c r="I19" t="str">
        <f>'Summary Calculations (hide)'!B21</f>
        <v/>
      </c>
      <c r="J19" t="str">
        <f>'Summary Calculations (hide)'!C21</f>
        <v/>
      </c>
      <c r="K19">
        <f>'Summary Calculations (hide)'!D21</f>
        <v>22</v>
      </c>
      <c r="L19" s="67">
        <f ca="1">VLOOKUP($K19,'SPC background (hide)'!$AG$2:$AS$54,3,0)</f>
        <v>5</v>
      </c>
      <c r="M19" s="67">
        <f t="shared" ca="1" si="0"/>
        <v>142.0497</v>
      </c>
      <c r="N19" s="67">
        <f t="shared" ca="1" si="1"/>
        <v>5.7151595744680854</v>
      </c>
      <c r="O19" s="67"/>
      <c r="P19" s="67"/>
      <c r="Q19" s="67"/>
      <c r="R19" s="5">
        <f ca="1">(VLOOKUP(K19,'Summary Calculations (hide)'!$D$15:$L$67,8,0)+VLOOKUP(K19,'Summary Calculations (hide)'!$D$15:$L$67,9,0))*IF(Summary!$C$8="Patients",'Summary Calculations (hide)'!$I$9,1)</f>
        <v>80</v>
      </c>
      <c r="AA19" s="67">
        <f ca="1">IF(Summary!$C$8="Patients", 'Parameters calculator (hide)'!$H$63,'Parameters calculator (hide)'!$H$62)</f>
        <v>269.8</v>
      </c>
      <c r="AB19" s="67">
        <f ca="1">IF(Summary!$C$8="Patients", 'Parameters calculator (hide)'!$I$63,'Parameters calculator (hide)'!$I$62)</f>
        <v>298.2</v>
      </c>
      <c r="AC19" s="67">
        <f t="shared" ca="1" si="2"/>
        <v>28.399999999999977</v>
      </c>
    </row>
    <row r="20" spans="1:29" x14ac:dyDescent="0.25">
      <c r="A20" s="3"/>
      <c r="B20" s="3"/>
      <c r="C20" s="3"/>
      <c r="H20" s="298">
        <f>'Summary Calculations (hide)'!A22</f>
        <v>43983</v>
      </c>
      <c r="I20" t="str">
        <f>'Summary Calculations (hide)'!B22</f>
        <v/>
      </c>
      <c r="J20" t="str">
        <f>'Summary Calculations (hide)'!C22</f>
        <v>Jun</v>
      </c>
      <c r="K20">
        <f>'Summary Calculations (hide)'!D22</f>
        <v>23</v>
      </c>
      <c r="L20" s="67">
        <f ca="1">VLOOKUP($K20,'SPC background (hide)'!$AG$2:$AS$54,3,0)</f>
        <v>5</v>
      </c>
      <c r="M20" s="67">
        <f t="shared" ca="1" si="0"/>
        <v>142.0497</v>
      </c>
      <c r="N20" s="67">
        <f t="shared" ca="1" si="1"/>
        <v>5.7151595744680854</v>
      </c>
      <c r="O20" s="67"/>
      <c r="P20" s="67"/>
      <c r="Q20" s="67"/>
      <c r="R20" s="5">
        <f ca="1">(VLOOKUP(K20,'Summary Calculations (hide)'!$D$15:$L$67,8,0)+VLOOKUP(K20,'Summary Calculations (hide)'!$D$15:$L$67,9,0))*IF(Summary!$C$8="Patients",'Summary Calculations (hide)'!$I$9,1)</f>
        <v>160</v>
      </c>
      <c r="AA20" s="67">
        <f ca="1">IF(Summary!$C$8="Patients", 'Parameters calculator (hide)'!$H$63,'Parameters calculator (hide)'!$H$62)</f>
        <v>269.8</v>
      </c>
      <c r="AB20" s="67">
        <f ca="1">IF(Summary!$C$8="Patients", 'Parameters calculator (hide)'!$I$63,'Parameters calculator (hide)'!$I$62)</f>
        <v>298.2</v>
      </c>
      <c r="AC20" s="67">
        <f t="shared" ca="1" si="2"/>
        <v>28.399999999999977</v>
      </c>
    </row>
    <row r="21" spans="1:29" x14ac:dyDescent="0.25">
      <c r="A21" s="3"/>
      <c r="B21" s="3"/>
      <c r="C21" s="3"/>
      <c r="H21" s="298">
        <f>'Summary Calculations (hide)'!A23</f>
        <v>43990</v>
      </c>
      <c r="I21" t="str">
        <f>'Summary Calculations (hide)'!B23</f>
        <v/>
      </c>
      <c r="J21" t="str">
        <f>'Summary Calculations (hide)'!C23</f>
        <v/>
      </c>
      <c r="K21">
        <f>'Summary Calculations (hide)'!D23</f>
        <v>24</v>
      </c>
      <c r="L21" s="67">
        <f ca="1">VLOOKUP($K21,'SPC background (hide)'!$AG$2:$AS$54,3,0)</f>
        <v>5</v>
      </c>
      <c r="M21" s="67">
        <f t="shared" ca="1" si="0"/>
        <v>142.0497</v>
      </c>
      <c r="N21" s="67">
        <f t="shared" ca="1" si="1"/>
        <v>5.7151595744680854</v>
      </c>
      <c r="O21" s="67"/>
      <c r="P21" s="67"/>
      <c r="Q21" s="67"/>
      <c r="R21" s="5">
        <f ca="1">(VLOOKUP(K21,'Summary Calculations (hide)'!$D$15:$L$67,8,0)+VLOOKUP(K21,'Summary Calculations (hide)'!$D$15:$L$67,9,0))*IF(Summary!$C$8="Patients",'Summary Calculations (hide)'!$I$9,1)</f>
        <v>200</v>
      </c>
      <c r="AA21" s="67">
        <f ca="1">IF(Summary!$C$8="Patients", 'Parameters calculator (hide)'!$H$63,'Parameters calculator (hide)'!$H$62)</f>
        <v>269.8</v>
      </c>
      <c r="AB21" s="67">
        <f ca="1">IF(Summary!$C$8="Patients", 'Parameters calculator (hide)'!$I$63,'Parameters calculator (hide)'!$I$62)</f>
        <v>298.2</v>
      </c>
      <c r="AC21" s="67">
        <f t="shared" ca="1" si="2"/>
        <v>28.399999999999977</v>
      </c>
    </row>
    <row r="22" spans="1:29" x14ac:dyDescent="0.25">
      <c r="A22" s="3"/>
      <c r="B22" s="3"/>
      <c r="C22" s="3"/>
      <c r="H22" s="298">
        <f>'Summary Calculations (hide)'!A24</f>
        <v>43997</v>
      </c>
      <c r="I22" t="str">
        <f>'Summary Calculations (hide)'!B24</f>
        <v/>
      </c>
      <c r="J22" t="str">
        <f>'Summary Calculations (hide)'!C24</f>
        <v/>
      </c>
      <c r="K22">
        <f>'Summary Calculations (hide)'!D24</f>
        <v>25</v>
      </c>
      <c r="L22" s="67">
        <f ca="1">VLOOKUP($K22,'SPC background (hide)'!$AG$2:$AS$54,3,0)</f>
        <v>5</v>
      </c>
      <c r="M22" s="67">
        <f t="shared" ca="1" si="0"/>
        <v>142.0497</v>
      </c>
      <c r="N22" s="67">
        <f t="shared" ca="1" si="1"/>
        <v>5.7151595744680854</v>
      </c>
      <c r="O22" s="67"/>
      <c r="P22" s="67"/>
      <c r="Q22" s="67"/>
      <c r="R22" s="5">
        <f ca="1">(VLOOKUP(K22,'Summary Calculations (hide)'!$D$15:$L$67,8,0)+VLOOKUP(K22,'Summary Calculations (hide)'!$D$15:$L$67,9,0))*IF(Summary!$C$8="Patients",'Summary Calculations (hide)'!$I$9,1)</f>
        <v>200</v>
      </c>
      <c r="AA22" s="67">
        <f ca="1">IF(Summary!$C$8="Patients", 'Parameters calculator (hide)'!$H$63,'Parameters calculator (hide)'!$H$62)</f>
        <v>269.8</v>
      </c>
      <c r="AB22" s="67">
        <f ca="1">IF(Summary!$C$8="Patients", 'Parameters calculator (hide)'!$I$63,'Parameters calculator (hide)'!$I$62)</f>
        <v>298.2</v>
      </c>
      <c r="AC22" s="67">
        <f t="shared" ca="1" si="2"/>
        <v>28.399999999999977</v>
      </c>
    </row>
    <row r="23" spans="1:29" x14ac:dyDescent="0.25">
      <c r="A23" s="3"/>
      <c r="B23" s="3"/>
      <c r="C23" s="3"/>
      <c r="H23" s="298">
        <f>'Summary Calculations (hide)'!A25</f>
        <v>44004</v>
      </c>
      <c r="I23" t="str">
        <f>'Summary Calculations (hide)'!B25</f>
        <v/>
      </c>
      <c r="J23" t="str">
        <f>'Summary Calculations (hide)'!C25</f>
        <v/>
      </c>
      <c r="K23">
        <f>'Summary Calculations (hide)'!D25</f>
        <v>26</v>
      </c>
      <c r="L23" s="67">
        <f ca="1">VLOOKUP($K23,'SPC background (hide)'!$AG$2:$AS$54,3,0)</f>
        <v>5</v>
      </c>
      <c r="M23" s="67">
        <f t="shared" ca="1" si="0"/>
        <v>142.0497</v>
      </c>
      <c r="N23" s="67">
        <f t="shared" ca="1" si="1"/>
        <v>5.7151595744680854</v>
      </c>
      <c r="O23" s="67"/>
      <c r="P23" s="67"/>
      <c r="Q23" s="67"/>
      <c r="R23" s="5">
        <f ca="1">(VLOOKUP(K23,'Summary Calculations (hide)'!$D$15:$L$67,8,0)+VLOOKUP(K23,'Summary Calculations (hide)'!$D$15:$L$67,9,0))*IF(Summary!$C$8="Patients",'Summary Calculations (hide)'!$I$9,1)</f>
        <v>200</v>
      </c>
      <c r="AA23" s="67">
        <f ca="1">IF(Summary!$C$8="Patients", 'Parameters calculator (hide)'!$H$63,'Parameters calculator (hide)'!$H$62)</f>
        <v>269.8</v>
      </c>
      <c r="AB23" s="67">
        <f ca="1">IF(Summary!$C$8="Patients", 'Parameters calculator (hide)'!$I$63,'Parameters calculator (hide)'!$I$62)</f>
        <v>298.2</v>
      </c>
      <c r="AC23" s="67">
        <f t="shared" ca="1" si="2"/>
        <v>28.399999999999977</v>
      </c>
    </row>
    <row r="24" spans="1:29" x14ac:dyDescent="0.25">
      <c r="A24" s="3"/>
      <c r="B24" s="3"/>
      <c r="C24" s="3"/>
      <c r="H24" s="298">
        <f>'Summary Calculations (hide)'!A26</f>
        <v>44011</v>
      </c>
      <c r="I24" t="str">
        <f>'Summary Calculations (hide)'!B26</f>
        <v/>
      </c>
      <c r="J24" t="str">
        <f>'Summary Calculations (hide)'!C26</f>
        <v/>
      </c>
      <c r="K24">
        <f>'Summary Calculations (hide)'!D26</f>
        <v>27</v>
      </c>
      <c r="L24" s="67">
        <f ca="1">VLOOKUP($K24,'SPC background (hide)'!$AG$2:$AS$54,3,0)</f>
        <v>5</v>
      </c>
      <c r="M24" s="67">
        <f t="shared" ca="1" si="0"/>
        <v>142.0497</v>
      </c>
      <c r="N24" s="67">
        <f t="shared" ca="1" si="1"/>
        <v>5.7151595744680854</v>
      </c>
      <c r="O24" s="67"/>
      <c r="P24" s="67"/>
      <c r="Q24" s="67"/>
      <c r="R24" s="5">
        <f ca="1">(VLOOKUP(K24,'Summary Calculations (hide)'!$D$15:$L$67,8,0)+VLOOKUP(K24,'Summary Calculations (hide)'!$D$15:$L$67,9,0))*IF(Summary!$C$8="Patients",'Summary Calculations (hide)'!$I$9,1)</f>
        <v>200</v>
      </c>
      <c r="AA24" s="67">
        <f ca="1">IF(Summary!$C$8="Patients", 'Parameters calculator (hide)'!$H$63,'Parameters calculator (hide)'!$H$62)</f>
        <v>269.8</v>
      </c>
      <c r="AB24" s="67">
        <f ca="1">IF(Summary!$C$8="Patients", 'Parameters calculator (hide)'!$I$63,'Parameters calculator (hide)'!$I$62)</f>
        <v>298.2</v>
      </c>
      <c r="AC24" s="67">
        <f t="shared" ca="1" si="2"/>
        <v>28.399999999999977</v>
      </c>
    </row>
    <row r="25" spans="1:29" x14ac:dyDescent="0.25">
      <c r="A25" s="3"/>
      <c r="B25" s="3"/>
      <c r="C25" s="3"/>
      <c r="H25" s="298">
        <f>'Summary Calculations (hide)'!A27</f>
        <v>44018</v>
      </c>
      <c r="I25" t="str">
        <f>'Summary Calculations (hide)'!B27</f>
        <v/>
      </c>
      <c r="J25" t="str">
        <f>'Summary Calculations (hide)'!C27</f>
        <v>Jul</v>
      </c>
      <c r="K25">
        <f>'Summary Calculations (hide)'!D27</f>
        <v>28</v>
      </c>
      <c r="L25" s="67">
        <f ca="1">VLOOKUP($K25,'SPC background (hide)'!$AG$2:$AS$54,3,0)</f>
        <v>5</v>
      </c>
      <c r="M25" s="67">
        <f t="shared" ca="1" si="0"/>
        <v>142.0497</v>
      </c>
      <c r="N25" s="67">
        <f t="shared" ca="1" si="1"/>
        <v>5.7151595744680854</v>
      </c>
      <c r="O25" s="67"/>
      <c r="P25" s="67"/>
      <c r="Q25" s="67"/>
      <c r="R25" s="5">
        <f ca="1">(VLOOKUP(K25,'Summary Calculations (hide)'!$D$15:$L$67,8,0)+VLOOKUP(K25,'Summary Calculations (hide)'!$D$15:$L$67,9,0))*IF(Summary!$C$8="Patients",'Summary Calculations (hide)'!$I$9,1)</f>
        <v>181.53846153846155</v>
      </c>
      <c r="AA25" s="67">
        <f ca="1">IF(Summary!$C$8="Patients", 'Parameters calculator (hide)'!$H$63,'Parameters calculator (hide)'!$H$62)</f>
        <v>269.8</v>
      </c>
      <c r="AB25" s="67">
        <f ca="1">IF(Summary!$C$8="Patients", 'Parameters calculator (hide)'!$I$63,'Parameters calculator (hide)'!$I$62)</f>
        <v>298.2</v>
      </c>
      <c r="AC25" s="67">
        <f t="shared" ca="1" si="2"/>
        <v>28.399999999999977</v>
      </c>
    </row>
    <row r="26" spans="1:29" x14ac:dyDescent="0.25">
      <c r="A26" s="3"/>
      <c r="B26" s="3"/>
      <c r="C26" s="304"/>
      <c r="H26" s="298">
        <f>'Summary Calculations (hide)'!A28</f>
        <v>44025</v>
      </c>
      <c r="I26" t="str">
        <f>'Summary Calculations (hide)'!B28</f>
        <v/>
      </c>
      <c r="J26" t="str">
        <f>'Summary Calculations (hide)'!C28</f>
        <v/>
      </c>
      <c r="K26">
        <f>'Summary Calculations (hide)'!D28</f>
        <v>29</v>
      </c>
      <c r="L26" s="67">
        <f ca="1">VLOOKUP($K26,'SPC background (hide)'!$AG$2:$AS$54,3,0)</f>
        <v>5</v>
      </c>
      <c r="M26" s="67">
        <f t="shared" ca="1" si="0"/>
        <v>142.0497</v>
      </c>
      <c r="N26" s="67">
        <f t="shared" ca="1" si="1"/>
        <v>5.7151595744680854</v>
      </c>
      <c r="O26" s="67"/>
      <c r="P26" s="67"/>
      <c r="Q26" s="67"/>
      <c r="R26" s="5">
        <f ca="1">(VLOOKUP(K26,'Summary Calculations (hide)'!$D$15:$L$67,8,0)+VLOOKUP(K26,'Summary Calculations (hide)'!$D$15:$L$67,9,0))*IF(Summary!$C$8="Patients",'Summary Calculations (hide)'!$I$9,1)</f>
        <v>181.53846153846155</v>
      </c>
      <c r="AA26" s="67">
        <f ca="1">IF(Summary!$C$8="Patients", 'Parameters calculator (hide)'!$H$63,'Parameters calculator (hide)'!$H$62)</f>
        <v>269.8</v>
      </c>
      <c r="AB26" s="67">
        <f ca="1">IF(Summary!$C$8="Patients", 'Parameters calculator (hide)'!$I$63,'Parameters calculator (hide)'!$I$62)</f>
        <v>298.2</v>
      </c>
      <c r="AC26" s="67">
        <f t="shared" ca="1" si="2"/>
        <v>28.399999999999977</v>
      </c>
    </row>
    <row r="27" spans="1:29" x14ac:dyDescent="0.25">
      <c r="A27" s="3"/>
      <c r="B27" s="3"/>
      <c r="C27" s="3"/>
      <c r="H27" s="298">
        <f>'Summary Calculations (hide)'!A29</f>
        <v>44032</v>
      </c>
      <c r="I27" t="str">
        <f>'Summary Calculations (hide)'!B29</f>
        <v/>
      </c>
      <c r="J27" t="str">
        <f>'Summary Calculations (hide)'!C29</f>
        <v/>
      </c>
      <c r="K27">
        <f>'Summary Calculations (hide)'!D29</f>
        <v>30</v>
      </c>
      <c r="L27" s="67">
        <f ca="1">VLOOKUP($K27,'SPC background (hide)'!$AG$2:$AS$54,3,0)</f>
        <v>5</v>
      </c>
      <c r="M27" s="67">
        <f t="shared" ca="1" si="0"/>
        <v>142.0497</v>
      </c>
      <c r="N27" s="67">
        <f t="shared" ca="1" si="1"/>
        <v>5.7151595744680854</v>
      </c>
      <c r="O27" s="67"/>
      <c r="P27" s="67"/>
      <c r="Q27" s="67"/>
      <c r="R27" s="5">
        <f ca="1">(VLOOKUP(K27,'Summary Calculations (hide)'!$D$15:$L$67,8,0)+VLOOKUP(K27,'Summary Calculations (hide)'!$D$15:$L$67,9,0))*IF(Summary!$C$8="Patients",'Summary Calculations (hide)'!$I$9,1)</f>
        <v>181.53846153846155</v>
      </c>
      <c r="AA27" s="67">
        <f ca="1">IF(Summary!$C$8="Patients", 'Parameters calculator (hide)'!$H$63,'Parameters calculator (hide)'!$H$62)</f>
        <v>269.8</v>
      </c>
      <c r="AB27" s="67">
        <f ca="1">IF(Summary!$C$8="Patients", 'Parameters calculator (hide)'!$I$63,'Parameters calculator (hide)'!$I$62)</f>
        <v>298.2</v>
      </c>
      <c r="AC27" s="67">
        <f t="shared" ca="1" si="2"/>
        <v>28.399999999999977</v>
      </c>
    </row>
    <row r="28" spans="1:29" x14ac:dyDescent="0.25">
      <c r="A28" s="3"/>
      <c r="B28" s="3"/>
      <c r="C28" s="3"/>
      <c r="H28" s="298">
        <f>'Summary Calculations (hide)'!A30</f>
        <v>44039</v>
      </c>
      <c r="I28" t="str">
        <f>'Summary Calculations (hide)'!B30</f>
        <v/>
      </c>
      <c r="J28" t="str">
        <f>'Summary Calculations (hide)'!C30</f>
        <v/>
      </c>
      <c r="K28">
        <f>'Summary Calculations (hide)'!D30</f>
        <v>31</v>
      </c>
      <c r="L28" s="67">
        <f ca="1">VLOOKUP($K28,'SPC background (hide)'!$AG$2:$AS$54,3,0)</f>
        <v>5</v>
      </c>
      <c r="M28" s="67">
        <f t="shared" ca="1" si="0"/>
        <v>142.0497</v>
      </c>
      <c r="N28" s="67">
        <f t="shared" ca="1" si="1"/>
        <v>5.7151595744680854</v>
      </c>
      <c r="O28" s="67"/>
      <c r="P28" s="67"/>
      <c r="Q28" s="67"/>
      <c r="R28" s="5">
        <f ca="1">(VLOOKUP(K28,'Summary Calculations (hide)'!$D$15:$L$67,8,0)+VLOOKUP(K28,'Summary Calculations (hide)'!$D$15:$L$67,9,0))*IF(Summary!$C$8="Patients",'Summary Calculations (hide)'!$I$9,1)</f>
        <v>161.53846153846155</v>
      </c>
      <c r="AA28" s="67">
        <f ca="1">IF(Summary!$C$8="Patients", 'Parameters calculator (hide)'!$H$63,'Parameters calculator (hide)'!$H$62)</f>
        <v>269.8</v>
      </c>
      <c r="AB28" s="67">
        <f ca="1">IF(Summary!$C$8="Patients", 'Parameters calculator (hide)'!$I$63,'Parameters calculator (hide)'!$I$62)</f>
        <v>298.2</v>
      </c>
      <c r="AC28" s="67">
        <f t="shared" ca="1" si="2"/>
        <v>28.399999999999977</v>
      </c>
    </row>
    <row r="29" spans="1:29" x14ac:dyDescent="0.25">
      <c r="A29" s="3"/>
      <c r="B29" s="3"/>
      <c r="C29" s="3"/>
      <c r="H29" s="298">
        <f>'Summary Calculations (hide)'!A31</f>
        <v>44046</v>
      </c>
      <c r="I29" t="str">
        <f>'Summary Calculations (hide)'!B31</f>
        <v/>
      </c>
      <c r="J29" t="str">
        <f>'Summary Calculations (hide)'!C31</f>
        <v>Aug</v>
      </c>
      <c r="K29">
        <f>'Summary Calculations (hide)'!D31</f>
        <v>32</v>
      </c>
      <c r="L29" s="67">
        <f ca="1">VLOOKUP($K29,'SPC background (hide)'!$AG$2:$AS$54,3,0)</f>
        <v>5</v>
      </c>
      <c r="M29" s="67">
        <f t="shared" ca="1" si="0"/>
        <v>142.0497</v>
      </c>
      <c r="N29" s="67">
        <f t="shared" ca="1" si="1"/>
        <v>5.7151595744680854</v>
      </c>
      <c r="O29" s="67"/>
      <c r="P29" s="67"/>
      <c r="Q29" s="67"/>
      <c r="R29" s="5">
        <f ca="1">(VLOOKUP(K29,'Summary Calculations (hide)'!$D$15:$L$67,8,0)+VLOOKUP(K29,'Summary Calculations (hide)'!$D$15:$L$67,9,0))*IF(Summary!$C$8="Patients",'Summary Calculations (hide)'!$I$9,1)</f>
        <v>181.53846153846155</v>
      </c>
      <c r="AA29" s="67">
        <f ca="1">IF(Summary!$C$8="Patients", 'Parameters calculator (hide)'!$H$63,'Parameters calculator (hide)'!$H$62)</f>
        <v>269.8</v>
      </c>
      <c r="AB29" s="67">
        <f ca="1">IF(Summary!$C$8="Patients", 'Parameters calculator (hide)'!$I$63,'Parameters calculator (hide)'!$I$62)</f>
        <v>298.2</v>
      </c>
      <c r="AC29" s="67">
        <f t="shared" ca="1" si="2"/>
        <v>28.399999999999977</v>
      </c>
    </row>
    <row r="30" spans="1:29" x14ac:dyDescent="0.25">
      <c r="A30" s="3"/>
      <c r="B30" s="3"/>
      <c r="C30" s="3"/>
      <c r="H30" s="298">
        <f>'Summary Calculations (hide)'!A32</f>
        <v>44053</v>
      </c>
      <c r="I30" t="str">
        <f>'Summary Calculations (hide)'!B32</f>
        <v/>
      </c>
      <c r="J30" t="str">
        <f>'Summary Calculations (hide)'!C32</f>
        <v/>
      </c>
      <c r="K30">
        <f>'Summary Calculations (hide)'!D32</f>
        <v>33</v>
      </c>
      <c r="L30" s="67">
        <f ca="1">VLOOKUP($K30,'SPC background (hide)'!$AG$2:$AS$54,3,0)</f>
        <v>5</v>
      </c>
      <c r="M30" s="67">
        <f t="shared" ca="1" si="0"/>
        <v>142.0497</v>
      </c>
      <c r="N30" s="67">
        <f t="shared" ca="1" si="1"/>
        <v>5.7151595744680854</v>
      </c>
      <c r="O30" s="67"/>
      <c r="P30" s="67"/>
      <c r="Q30" s="67"/>
      <c r="R30" s="5">
        <f ca="1">(VLOOKUP(K30,'Summary Calculations (hide)'!$D$15:$L$67,8,0)+VLOOKUP(K30,'Summary Calculations (hide)'!$D$15:$L$67,9,0))*IF(Summary!$C$8="Patients",'Summary Calculations (hide)'!$I$9,1)</f>
        <v>181.53846153846155</v>
      </c>
      <c r="AA30" s="67">
        <f ca="1">IF(Summary!$C$8="Patients", 'Parameters calculator (hide)'!$H$63,'Parameters calculator (hide)'!$H$62)</f>
        <v>269.8</v>
      </c>
      <c r="AB30" s="67">
        <f ca="1">IF(Summary!$C$8="Patients", 'Parameters calculator (hide)'!$I$63,'Parameters calculator (hide)'!$I$62)</f>
        <v>298.2</v>
      </c>
      <c r="AC30" s="67">
        <f t="shared" ca="1" si="2"/>
        <v>28.399999999999977</v>
      </c>
    </row>
    <row r="31" spans="1:29" x14ac:dyDescent="0.25">
      <c r="A31" s="3"/>
      <c r="B31" s="3"/>
      <c r="C31" s="3"/>
      <c r="H31" s="298">
        <f>'Summary Calculations (hide)'!A33</f>
        <v>44060</v>
      </c>
      <c r="I31" t="str">
        <f>'Summary Calculations (hide)'!B33</f>
        <v/>
      </c>
      <c r="J31" t="str">
        <f>'Summary Calculations (hide)'!C33</f>
        <v/>
      </c>
      <c r="K31">
        <f>'Summary Calculations (hide)'!D33</f>
        <v>34</v>
      </c>
      <c r="L31" s="67">
        <f ca="1">VLOOKUP($K31,'SPC background (hide)'!$AG$2:$AS$54,3,0)</f>
        <v>5</v>
      </c>
      <c r="M31" s="67">
        <f t="shared" ca="1" si="0"/>
        <v>142.0497</v>
      </c>
      <c r="N31" s="67">
        <f t="shared" ca="1" si="1"/>
        <v>5.7151595744680854</v>
      </c>
      <c r="O31" s="67"/>
      <c r="P31" s="67"/>
      <c r="Q31" s="67"/>
      <c r="R31" s="5">
        <f ca="1">(VLOOKUP(K31,'Summary Calculations (hide)'!$D$15:$L$67,8,0)+VLOOKUP(K31,'Summary Calculations (hide)'!$D$15:$L$67,9,0))*IF(Summary!$C$8="Patients",'Summary Calculations (hide)'!$I$9,1)</f>
        <v>161.53846153846155</v>
      </c>
      <c r="AA31" s="67">
        <f ca="1">IF(Summary!$C$8="Patients", 'Parameters calculator (hide)'!$H$63,'Parameters calculator (hide)'!$H$62)</f>
        <v>269.8</v>
      </c>
      <c r="AB31" s="67">
        <f ca="1">IF(Summary!$C$8="Patients", 'Parameters calculator (hide)'!$I$63,'Parameters calculator (hide)'!$I$62)</f>
        <v>298.2</v>
      </c>
      <c r="AC31" s="67">
        <f t="shared" ca="1" si="2"/>
        <v>28.399999999999977</v>
      </c>
    </row>
    <row r="32" spans="1:29" x14ac:dyDescent="0.25">
      <c r="A32" s="3"/>
      <c r="B32" s="3"/>
      <c r="C32" s="3"/>
      <c r="H32" s="298">
        <f>'Summary Calculations (hide)'!A34</f>
        <v>44067</v>
      </c>
      <c r="I32" t="str">
        <f>'Summary Calculations (hide)'!B34</f>
        <v/>
      </c>
      <c r="J32" t="str">
        <f>'Summary Calculations (hide)'!C34</f>
        <v/>
      </c>
      <c r="K32">
        <f>'Summary Calculations (hide)'!D34</f>
        <v>35</v>
      </c>
      <c r="L32" s="67">
        <f ca="1">VLOOKUP($K32,'SPC background (hide)'!$AG$2:$AS$54,3,0)</f>
        <v>5</v>
      </c>
      <c r="M32" s="67">
        <f t="shared" ca="1" si="0"/>
        <v>142.0497</v>
      </c>
      <c r="N32" s="67">
        <f t="shared" ca="1" si="1"/>
        <v>5.7151595744680854</v>
      </c>
      <c r="O32" s="67"/>
      <c r="P32" s="67"/>
      <c r="Q32" s="67"/>
      <c r="R32" s="5">
        <f ca="1">(VLOOKUP(K32,'Summary Calculations (hide)'!$D$15:$L$67,8,0)+VLOOKUP(K32,'Summary Calculations (hide)'!$D$15:$L$67,9,0))*IF(Summary!$C$8="Patients",'Summary Calculations (hide)'!$I$9,1)</f>
        <v>161.53846153846155</v>
      </c>
      <c r="AA32" s="67">
        <f ca="1">IF(Summary!$C$8="Patients", 'Parameters calculator (hide)'!$H$63,'Parameters calculator (hide)'!$H$62)</f>
        <v>269.8</v>
      </c>
      <c r="AB32" s="67">
        <f ca="1">IF(Summary!$C$8="Patients", 'Parameters calculator (hide)'!$I$63,'Parameters calculator (hide)'!$I$62)</f>
        <v>298.2</v>
      </c>
      <c r="AC32" s="67">
        <f t="shared" ca="1" si="2"/>
        <v>28.399999999999977</v>
      </c>
    </row>
    <row r="33" spans="1:29" x14ac:dyDescent="0.25">
      <c r="B33" t="s">
        <v>1154</v>
      </c>
      <c r="H33" s="298">
        <f>'Summary Calculations (hide)'!A35</f>
        <v>44074</v>
      </c>
      <c r="I33" t="str">
        <f>'Summary Calculations (hide)'!B35</f>
        <v/>
      </c>
      <c r="J33" t="str">
        <f>'Summary Calculations (hide)'!C35</f>
        <v/>
      </c>
      <c r="K33">
        <f>'Summary Calculations (hide)'!D35</f>
        <v>36</v>
      </c>
      <c r="L33" s="67">
        <f ca="1">VLOOKUP($K33,'SPC background (hide)'!$AG$2:$AS$54,3,0)</f>
        <v>5</v>
      </c>
      <c r="M33" s="67">
        <f t="shared" ca="1" si="0"/>
        <v>142.0497</v>
      </c>
      <c r="N33" s="67">
        <f t="shared" ca="1" si="1"/>
        <v>5.7151595744680854</v>
      </c>
      <c r="O33" s="67"/>
      <c r="P33" s="67"/>
      <c r="Q33" s="67"/>
      <c r="R33" s="5">
        <f ca="1">(VLOOKUP(K33,'Summary Calculations (hide)'!$D$15:$L$67,8,0)+VLOOKUP(K33,'Summary Calculations (hide)'!$D$15:$L$67,9,0))*IF(Summary!$C$8="Patients",'Summary Calculations (hide)'!$I$9,1)</f>
        <v>161.53846153846155</v>
      </c>
      <c r="AA33" s="67">
        <f ca="1">IF(Summary!$C$8="Patients", 'Parameters calculator (hide)'!$H$63,'Parameters calculator (hide)'!$H$62)</f>
        <v>269.8</v>
      </c>
      <c r="AB33" s="67">
        <f ca="1">IF(Summary!$C$8="Patients", 'Parameters calculator (hide)'!$I$63,'Parameters calculator (hide)'!$I$62)</f>
        <v>298.2</v>
      </c>
      <c r="AC33" s="67">
        <f t="shared" ca="1" si="2"/>
        <v>28.399999999999977</v>
      </c>
    </row>
    <row r="34" spans="1:29" x14ac:dyDescent="0.25">
      <c r="A34" t="s">
        <v>1126</v>
      </c>
      <c r="B34" s="5">
        <f ca="1">'Parameters calculator (hide)'!C79</f>
        <v>152</v>
      </c>
      <c r="H34" s="298">
        <f>'Summary Calculations (hide)'!A36</f>
        <v>44081</v>
      </c>
      <c r="I34" t="str">
        <f>'Summary Calculations (hide)'!B36</f>
        <v/>
      </c>
      <c r="J34" t="str">
        <f>'Summary Calculations (hide)'!C36</f>
        <v>Sep</v>
      </c>
      <c r="K34">
        <f>'Summary Calculations (hide)'!D36</f>
        <v>37</v>
      </c>
      <c r="L34" s="67">
        <f ca="1">VLOOKUP($K34,'SPC background (hide)'!$AG$2:$AS$54,3,0)</f>
        <v>5</v>
      </c>
      <c r="M34" s="67">
        <f t="shared" ca="1" si="0"/>
        <v>142.0497</v>
      </c>
      <c r="N34" s="67">
        <f t="shared" ca="1" si="1"/>
        <v>5.7151595744680854</v>
      </c>
      <c r="O34" s="67"/>
      <c r="P34" s="67"/>
      <c r="Q34" s="67"/>
      <c r="R34" s="5">
        <f ca="1">(VLOOKUP(K34,'Summary Calculations (hide)'!$D$15:$L$67,8,0)+VLOOKUP(K34,'Summary Calculations (hide)'!$D$15:$L$67,9,0))*IF(Summary!$C$8="Patients",'Summary Calculations (hide)'!$I$9,1)</f>
        <v>161.53846153846155</v>
      </c>
      <c r="AA34" s="67">
        <f ca="1">IF(Summary!$C$8="Patients", 'Parameters calculator (hide)'!$H$63,'Parameters calculator (hide)'!$H$62)</f>
        <v>269.8</v>
      </c>
      <c r="AB34" s="67">
        <f ca="1">IF(Summary!$C$8="Patients", 'Parameters calculator (hide)'!$I$63,'Parameters calculator (hide)'!$I$62)</f>
        <v>298.2</v>
      </c>
      <c r="AC34" s="67">
        <f t="shared" ca="1" si="2"/>
        <v>28.399999999999977</v>
      </c>
    </row>
    <row r="35" spans="1:29" x14ac:dyDescent="0.25">
      <c r="H35" s="298">
        <f>'Summary Calculations (hide)'!A37</f>
        <v>44088</v>
      </c>
      <c r="I35" t="str">
        <f>'Summary Calculations (hide)'!B37</f>
        <v/>
      </c>
      <c r="J35" t="str">
        <f>'Summary Calculations (hide)'!C37</f>
        <v/>
      </c>
      <c r="K35">
        <f>'Summary Calculations (hide)'!D37</f>
        <v>38</v>
      </c>
      <c r="L35" s="67">
        <f ca="1">VLOOKUP($K35,'SPC background (hide)'!$AG$2:$AS$54,3,0)</f>
        <v>5</v>
      </c>
      <c r="M35" s="67">
        <f t="shared" ca="1" si="0"/>
        <v>142.0497</v>
      </c>
      <c r="N35" s="67">
        <f t="shared" ca="1" si="1"/>
        <v>5.7151595744680854</v>
      </c>
      <c r="O35" s="67"/>
      <c r="P35" s="67"/>
      <c r="Q35" s="67"/>
      <c r="R35" s="5">
        <f ca="1">(VLOOKUP(K35,'Summary Calculations (hide)'!$D$15:$L$67,8,0)+VLOOKUP(K35,'Summary Calculations (hide)'!$D$15:$L$67,9,0))*IF(Summary!$C$8="Patients",'Summary Calculations (hide)'!$I$9,1)</f>
        <v>161.53846153846155</v>
      </c>
      <c r="AA35" s="67">
        <f ca="1">IF(Summary!$C$8="Patients", 'Parameters calculator (hide)'!$H$63,'Parameters calculator (hide)'!$H$62)</f>
        <v>269.8</v>
      </c>
      <c r="AB35" s="67">
        <f ca="1">IF(Summary!$C$8="Patients", 'Parameters calculator (hide)'!$I$63,'Parameters calculator (hide)'!$I$62)</f>
        <v>298.2</v>
      </c>
      <c r="AC35" s="67">
        <f t="shared" ca="1" si="2"/>
        <v>28.399999999999977</v>
      </c>
    </row>
    <row r="36" spans="1:29" x14ac:dyDescent="0.25">
      <c r="H36" s="298">
        <f>'Summary Calculations (hide)'!A38</f>
        <v>44095</v>
      </c>
      <c r="I36" t="str">
        <f>'Summary Calculations (hide)'!B38</f>
        <v/>
      </c>
      <c r="J36" t="str">
        <f>'Summary Calculations (hide)'!C38</f>
        <v/>
      </c>
      <c r="K36">
        <f>'Summary Calculations (hide)'!D38</f>
        <v>39</v>
      </c>
      <c r="L36" s="67">
        <f ca="1">VLOOKUP($K36,'SPC background (hide)'!$AG$2:$AS$54,3,0)</f>
        <v>5</v>
      </c>
      <c r="M36" s="67">
        <f t="shared" ca="1" si="0"/>
        <v>142.0497</v>
      </c>
      <c r="N36" s="67">
        <f t="shared" ca="1" si="1"/>
        <v>5.7151595744680854</v>
      </c>
      <c r="O36" s="67"/>
      <c r="P36" s="67"/>
      <c r="Q36" s="67"/>
      <c r="R36" s="5">
        <f ca="1">(VLOOKUP(K36,'Summary Calculations (hide)'!$D$15:$L$67,8,0)+VLOOKUP(K36,'Summary Calculations (hide)'!$D$15:$L$67,9,0))*IF(Summary!$C$8="Patients",'Summary Calculations (hide)'!$I$9,1)</f>
        <v>161.53846153846155</v>
      </c>
      <c r="AA36" s="67">
        <f ca="1">IF(Summary!$C$8="Patients", 'Parameters calculator (hide)'!$H$63,'Parameters calculator (hide)'!$H$62)</f>
        <v>269.8</v>
      </c>
      <c r="AB36" s="67">
        <f ca="1">IF(Summary!$C$8="Patients", 'Parameters calculator (hide)'!$I$63,'Parameters calculator (hide)'!$I$62)</f>
        <v>298.2</v>
      </c>
      <c r="AC36" s="67">
        <f t="shared" ca="1" si="2"/>
        <v>28.399999999999977</v>
      </c>
    </row>
    <row r="37" spans="1:29" x14ac:dyDescent="0.25">
      <c r="H37" s="298">
        <f>'Summary Calculations (hide)'!A39</f>
        <v>44102</v>
      </c>
      <c r="I37" t="str">
        <f>'Summary Calculations (hide)'!B39</f>
        <v/>
      </c>
      <c r="J37" t="str">
        <f>'Summary Calculations (hide)'!C39</f>
        <v/>
      </c>
      <c r="K37">
        <f>'Summary Calculations (hide)'!D39</f>
        <v>40</v>
      </c>
      <c r="L37" s="67">
        <f ca="1">VLOOKUP($K37,'SPC background (hide)'!$AG$2:$AS$54,3,0)</f>
        <v>5</v>
      </c>
      <c r="M37" s="67">
        <f t="shared" ca="1" si="0"/>
        <v>142.0497</v>
      </c>
      <c r="N37" s="67">
        <f t="shared" ca="1" si="1"/>
        <v>5.7151595744680854</v>
      </c>
      <c r="O37" s="67"/>
      <c r="P37" s="67"/>
      <c r="Q37" s="67"/>
      <c r="R37" s="5">
        <f ca="1">(VLOOKUP(K37,'Summary Calculations (hide)'!$D$15:$L$67,8,0)+VLOOKUP(K37,'Summary Calculations (hide)'!$D$15:$L$67,9,0))*IF(Summary!$C$8="Patients",'Summary Calculations (hide)'!$I$9,1)</f>
        <v>161.53846153846155</v>
      </c>
      <c r="AA37" s="67">
        <f ca="1">IF(Summary!$C$8="Patients", 'Parameters calculator (hide)'!$H$63,'Parameters calculator (hide)'!$H$62)</f>
        <v>269.8</v>
      </c>
      <c r="AB37" s="67">
        <f ca="1">IF(Summary!$C$8="Patients", 'Parameters calculator (hide)'!$I$63,'Parameters calculator (hide)'!$I$62)</f>
        <v>298.2</v>
      </c>
      <c r="AC37" s="67">
        <f t="shared" ca="1" si="2"/>
        <v>28.399999999999977</v>
      </c>
    </row>
    <row r="38" spans="1:29" x14ac:dyDescent="0.25">
      <c r="H38" s="298">
        <f>'Summary Calculations (hide)'!A40</f>
        <v>44109</v>
      </c>
      <c r="I38" t="str">
        <f>'Summary Calculations (hide)'!B40</f>
        <v/>
      </c>
      <c r="J38" t="str">
        <f>'Summary Calculations (hide)'!C40</f>
        <v>Oct</v>
      </c>
      <c r="K38">
        <f>'Summary Calculations (hide)'!D40</f>
        <v>41</v>
      </c>
      <c r="L38" s="67">
        <f ca="1">VLOOKUP($K38,'SPC background (hide)'!$AG$2:$AS$54,3,0)</f>
        <v>5</v>
      </c>
      <c r="M38" s="67">
        <f t="shared" ca="1" si="0"/>
        <v>142.0497</v>
      </c>
      <c r="N38" s="67">
        <f t="shared" ca="1" si="1"/>
        <v>5.7151595744680854</v>
      </c>
      <c r="O38" s="67"/>
      <c r="P38" s="67"/>
      <c r="Q38" s="67"/>
      <c r="R38" s="5">
        <f ca="1">(VLOOKUP(K38,'Summary Calculations (hide)'!$D$15:$L$67,8,0)+VLOOKUP(K38,'Summary Calculations (hide)'!$D$15:$L$67,9,0))*IF(Summary!$C$8="Patients",'Summary Calculations (hide)'!$I$9,1)</f>
        <v>161.53846153846155</v>
      </c>
      <c r="AA38" s="67">
        <f ca="1">IF(Summary!$C$8="Patients", 'Parameters calculator (hide)'!$H$63,'Parameters calculator (hide)'!$H$62)</f>
        <v>269.8</v>
      </c>
      <c r="AB38" s="67">
        <f ca="1">IF(Summary!$C$8="Patients", 'Parameters calculator (hide)'!$I$63,'Parameters calculator (hide)'!$I$62)</f>
        <v>298.2</v>
      </c>
      <c r="AC38" s="67">
        <f t="shared" ca="1" si="2"/>
        <v>28.399999999999977</v>
      </c>
    </row>
    <row r="39" spans="1:29" x14ac:dyDescent="0.25">
      <c r="H39" s="298">
        <f>'Summary Calculations (hide)'!A41</f>
        <v>44116</v>
      </c>
      <c r="I39" t="str">
        <f>'Summary Calculations (hide)'!B41</f>
        <v/>
      </c>
      <c r="J39" t="str">
        <f>'Summary Calculations (hide)'!C41</f>
        <v/>
      </c>
      <c r="K39">
        <f>'Summary Calculations (hide)'!D41</f>
        <v>42</v>
      </c>
      <c r="L39" s="67">
        <f ca="1">VLOOKUP($K39,'SPC background (hide)'!$AG$2:$AS$54,3,0)</f>
        <v>5</v>
      </c>
      <c r="M39" s="67">
        <f t="shared" ca="1" si="0"/>
        <v>142.0497</v>
      </c>
      <c r="N39" s="67">
        <f t="shared" ca="1" si="1"/>
        <v>5.7151595744680854</v>
      </c>
      <c r="O39" s="67"/>
      <c r="P39" s="67"/>
      <c r="Q39" s="67"/>
      <c r="R39" s="5">
        <f ca="1">(VLOOKUP(K39,'Summary Calculations (hide)'!$D$15:$L$67,8,0)+VLOOKUP(K39,'Summary Calculations (hide)'!$D$15:$L$67,9,0))*IF(Summary!$C$8="Patients",'Summary Calculations (hide)'!$I$9,1)</f>
        <v>161.53846153846155</v>
      </c>
      <c r="AA39" s="67">
        <f ca="1">IF(Summary!$C$8="Patients", 'Parameters calculator (hide)'!$H$63,'Parameters calculator (hide)'!$H$62)</f>
        <v>269.8</v>
      </c>
      <c r="AB39" s="67">
        <f ca="1">IF(Summary!$C$8="Patients", 'Parameters calculator (hide)'!$I$63,'Parameters calculator (hide)'!$I$62)</f>
        <v>298.2</v>
      </c>
      <c r="AC39" s="67">
        <f t="shared" ca="1" si="2"/>
        <v>28.399999999999977</v>
      </c>
    </row>
    <row r="40" spans="1:29" x14ac:dyDescent="0.25">
      <c r="H40" s="298">
        <f>'Summary Calculations (hide)'!A42</f>
        <v>44123</v>
      </c>
      <c r="I40" t="str">
        <f>'Summary Calculations (hide)'!B42</f>
        <v/>
      </c>
      <c r="J40" t="str">
        <f>'Summary Calculations (hide)'!C42</f>
        <v/>
      </c>
      <c r="K40">
        <f>'Summary Calculations (hide)'!D42</f>
        <v>43</v>
      </c>
      <c r="L40" s="67">
        <f ca="1">VLOOKUP($K40,'SPC background (hide)'!$AG$2:$AS$54,3,0)</f>
        <v>5</v>
      </c>
      <c r="M40" s="67">
        <f t="shared" ca="1" si="0"/>
        <v>142.0497</v>
      </c>
      <c r="N40" s="67">
        <f t="shared" ca="1" si="1"/>
        <v>5.7151595744680854</v>
      </c>
      <c r="O40" s="67"/>
      <c r="P40" s="67"/>
      <c r="Q40" s="67"/>
      <c r="R40" s="5">
        <f ca="1">(VLOOKUP(K40,'Summary Calculations (hide)'!$D$15:$L$67,8,0)+VLOOKUP(K40,'Summary Calculations (hide)'!$D$15:$L$67,9,0))*IF(Summary!$C$8="Patients",'Summary Calculations (hide)'!$I$9,1)</f>
        <v>161.53846153846155</v>
      </c>
      <c r="AA40" s="67">
        <f ca="1">IF(Summary!$C$8="Patients", 'Parameters calculator (hide)'!$H$63,'Parameters calculator (hide)'!$H$62)</f>
        <v>269.8</v>
      </c>
      <c r="AB40" s="67">
        <f ca="1">IF(Summary!$C$8="Patients", 'Parameters calculator (hide)'!$I$63,'Parameters calculator (hide)'!$I$62)</f>
        <v>298.2</v>
      </c>
      <c r="AC40" s="67">
        <f t="shared" ca="1" si="2"/>
        <v>28.399999999999977</v>
      </c>
    </row>
    <row r="41" spans="1:29" x14ac:dyDescent="0.25">
      <c r="H41" s="298">
        <f>'Summary Calculations (hide)'!A43</f>
        <v>44130</v>
      </c>
      <c r="I41" t="str">
        <f>'Summary Calculations (hide)'!B43</f>
        <v/>
      </c>
      <c r="J41" t="str">
        <f>'Summary Calculations (hide)'!C43</f>
        <v/>
      </c>
      <c r="K41">
        <f>'Summary Calculations (hide)'!D43</f>
        <v>44</v>
      </c>
      <c r="L41" s="67">
        <f ca="1">VLOOKUP($K41,'SPC background (hide)'!$AG$2:$AS$54,3,0)</f>
        <v>5</v>
      </c>
      <c r="M41" s="67">
        <f t="shared" ca="1" si="0"/>
        <v>142.0497</v>
      </c>
      <c r="N41" s="67">
        <f t="shared" ca="1" si="1"/>
        <v>5.7151595744680854</v>
      </c>
      <c r="O41" s="67"/>
      <c r="P41" s="67"/>
      <c r="Q41" s="67"/>
      <c r="R41" s="5">
        <f ca="1">(VLOOKUP(K41,'Summary Calculations (hide)'!$D$15:$L$67,8,0)+VLOOKUP(K41,'Summary Calculations (hide)'!$D$15:$L$67,9,0))*IF(Summary!$C$8="Patients",'Summary Calculations (hide)'!$I$9,1)</f>
        <v>161.53846153846155</v>
      </c>
      <c r="AA41" s="67">
        <f ca="1">IF(Summary!$C$8="Patients", 'Parameters calculator (hide)'!$H$63,'Parameters calculator (hide)'!$H$62)</f>
        <v>269.8</v>
      </c>
      <c r="AB41" s="67">
        <f ca="1">IF(Summary!$C$8="Patients", 'Parameters calculator (hide)'!$I$63,'Parameters calculator (hide)'!$I$62)</f>
        <v>298.2</v>
      </c>
      <c r="AC41" s="67">
        <f t="shared" ca="1" si="2"/>
        <v>28.399999999999977</v>
      </c>
    </row>
    <row r="42" spans="1:29" x14ac:dyDescent="0.25">
      <c r="H42" s="298">
        <f>'Summary Calculations (hide)'!A44</f>
        <v>44137</v>
      </c>
      <c r="I42" t="str">
        <f>'Summary Calculations (hide)'!B44</f>
        <v/>
      </c>
      <c r="J42" t="str">
        <f>'Summary Calculations (hide)'!C44</f>
        <v>Nov</v>
      </c>
      <c r="K42">
        <f>'Summary Calculations (hide)'!D44</f>
        <v>45</v>
      </c>
      <c r="L42" s="67">
        <f ca="1">VLOOKUP($K42,'SPC background (hide)'!$AG$2:$AS$54,3,0)</f>
        <v>5</v>
      </c>
      <c r="M42" s="67">
        <f t="shared" ca="1" si="0"/>
        <v>142.0497</v>
      </c>
      <c r="N42" s="67">
        <f t="shared" ca="1" si="1"/>
        <v>5.7151595744680854</v>
      </c>
      <c r="O42" s="67"/>
      <c r="P42" s="67"/>
      <c r="Q42" s="67"/>
      <c r="R42" s="5">
        <f ca="1">(VLOOKUP(K42,'Summary Calculations (hide)'!$D$15:$L$67,8,0)+VLOOKUP(K42,'Summary Calculations (hide)'!$D$15:$L$67,9,0))*IF(Summary!$C$8="Patients",'Summary Calculations (hide)'!$I$9,1)</f>
        <v>161.53846153846155</v>
      </c>
      <c r="AA42" s="67">
        <f ca="1">IF(Summary!$C$8="Patients", 'Parameters calculator (hide)'!$H$63,'Parameters calculator (hide)'!$H$62)</f>
        <v>269.8</v>
      </c>
      <c r="AB42" s="67">
        <f ca="1">IF(Summary!$C$8="Patients", 'Parameters calculator (hide)'!$I$63,'Parameters calculator (hide)'!$I$62)</f>
        <v>298.2</v>
      </c>
      <c r="AC42" s="67">
        <f t="shared" ca="1" si="2"/>
        <v>28.399999999999977</v>
      </c>
    </row>
    <row r="43" spans="1:29" x14ac:dyDescent="0.25">
      <c r="H43" s="298">
        <f>'Summary Calculations (hide)'!A45</f>
        <v>44144</v>
      </c>
      <c r="I43" t="str">
        <f>'Summary Calculations (hide)'!B45</f>
        <v/>
      </c>
      <c r="J43" t="str">
        <f>'Summary Calculations (hide)'!C45</f>
        <v/>
      </c>
      <c r="K43">
        <f>'Summary Calculations (hide)'!D45</f>
        <v>46</v>
      </c>
      <c r="L43" s="67">
        <f ca="1">VLOOKUP($K43,'SPC background (hide)'!$AG$2:$AS$54,3,0)</f>
        <v>5</v>
      </c>
      <c r="M43" s="67">
        <f t="shared" ca="1" si="0"/>
        <v>142.0497</v>
      </c>
      <c r="N43" s="67">
        <f t="shared" ca="1" si="1"/>
        <v>5.7151595744680854</v>
      </c>
      <c r="O43" s="67"/>
      <c r="P43" s="67"/>
      <c r="Q43" s="67"/>
      <c r="R43" s="5">
        <f ca="1">(VLOOKUP(K43,'Summary Calculations (hide)'!$D$15:$L$67,8,0)+VLOOKUP(K43,'Summary Calculations (hide)'!$D$15:$L$67,9,0))*IF(Summary!$C$8="Patients",'Summary Calculations (hide)'!$I$9,1)</f>
        <v>161.53846153846155</v>
      </c>
      <c r="AA43" s="67">
        <f ca="1">IF(Summary!$C$8="Patients", 'Parameters calculator (hide)'!$H$63,'Parameters calculator (hide)'!$H$62)</f>
        <v>269.8</v>
      </c>
      <c r="AB43" s="67">
        <f ca="1">IF(Summary!$C$8="Patients", 'Parameters calculator (hide)'!$I$63,'Parameters calculator (hide)'!$I$62)</f>
        <v>298.2</v>
      </c>
      <c r="AC43" s="67">
        <f t="shared" ca="1" si="2"/>
        <v>28.399999999999977</v>
      </c>
    </row>
    <row r="44" spans="1:29" x14ac:dyDescent="0.25">
      <c r="H44" s="298">
        <f>'Summary Calculations (hide)'!A46</f>
        <v>44151</v>
      </c>
      <c r="I44" t="str">
        <f>'Summary Calculations (hide)'!B46</f>
        <v/>
      </c>
      <c r="J44" t="str">
        <f>'Summary Calculations (hide)'!C46</f>
        <v/>
      </c>
      <c r="K44">
        <f>'Summary Calculations (hide)'!D46</f>
        <v>47</v>
      </c>
      <c r="L44" s="67">
        <f ca="1">VLOOKUP($K44,'SPC background (hide)'!$AG$2:$AS$54,3,0)</f>
        <v>5</v>
      </c>
      <c r="M44" s="67">
        <f t="shared" ca="1" si="0"/>
        <v>142.0497</v>
      </c>
      <c r="N44" s="67">
        <f t="shared" ca="1" si="1"/>
        <v>5.7151595744680854</v>
      </c>
      <c r="O44" s="67"/>
      <c r="P44" s="67"/>
      <c r="Q44" s="67"/>
      <c r="R44" s="5">
        <f ca="1">(VLOOKUP(K44,'Summary Calculations (hide)'!$D$15:$L$67,8,0)+VLOOKUP(K44,'Summary Calculations (hide)'!$D$15:$L$67,9,0))*IF(Summary!$C$8="Patients",'Summary Calculations (hide)'!$I$9,1)</f>
        <v>161.53846153846155</v>
      </c>
      <c r="AA44" s="67">
        <f ca="1">IF(Summary!$C$8="Patients", 'Parameters calculator (hide)'!$H$63,'Parameters calculator (hide)'!$H$62)</f>
        <v>269.8</v>
      </c>
      <c r="AB44" s="67">
        <f ca="1">IF(Summary!$C$8="Patients", 'Parameters calculator (hide)'!$I$63,'Parameters calculator (hide)'!$I$62)</f>
        <v>298.2</v>
      </c>
      <c r="AC44" s="67">
        <f t="shared" ca="1" si="2"/>
        <v>28.399999999999977</v>
      </c>
    </row>
    <row r="45" spans="1:29" x14ac:dyDescent="0.25">
      <c r="H45" s="298">
        <f>'Summary Calculations (hide)'!A47</f>
        <v>44158</v>
      </c>
      <c r="I45" t="str">
        <f>'Summary Calculations (hide)'!B47</f>
        <v/>
      </c>
      <c r="J45" t="str">
        <f>'Summary Calculations (hide)'!C47</f>
        <v/>
      </c>
      <c r="K45">
        <f>'Summary Calculations (hide)'!D47</f>
        <v>48</v>
      </c>
      <c r="L45" s="67">
        <f ca="1">VLOOKUP($K45,'SPC background (hide)'!$AG$2:$AS$54,3,0)</f>
        <v>5</v>
      </c>
      <c r="M45" s="67">
        <f t="shared" ca="1" si="0"/>
        <v>142.0497</v>
      </c>
      <c r="N45" s="67">
        <f t="shared" ca="1" si="1"/>
        <v>5.7151595744680854</v>
      </c>
      <c r="O45" s="67"/>
      <c r="P45" s="67"/>
      <c r="Q45" s="67"/>
      <c r="R45" s="5">
        <f ca="1">(VLOOKUP(K45,'Summary Calculations (hide)'!$D$15:$L$67,8,0)+VLOOKUP(K45,'Summary Calculations (hide)'!$D$15:$L$67,9,0))*IF(Summary!$C$8="Patients",'Summary Calculations (hide)'!$I$9,1)</f>
        <v>161.53846153846155</v>
      </c>
      <c r="AA45" s="67">
        <f ca="1">IF(Summary!$C$8="Patients", 'Parameters calculator (hide)'!$H$63,'Parameters calculator (hide)'!$H$62)</f>
        <v>269.8</v>
      </c>
      <c r="AB45" s="67">
        <f ca="1">IF(Summary!$C$8="Patients", 'Parameters calculator (hide)'!$I$63,'Parameters calculator (hide)'!$I$62)</f>
        <v>298.2</v>
      </c>
      <c r="AC45" s="67">
        <f t="shared" ca="1" si="2"/>
        <v>28.399999999999977</v>
      </c>
    </row>
    <row r="46" spans="1:29" x14ac:dyDescent="0.25">
      <c r="H46" s="298">
        <f>'Summary Calculations (hide)'!A48</f>
        <v>44165</v>
      </c>
      <c r="I46" t="str">
        <f>'Summary Calculations (hide)'!B48</f>
        <v/>
      </c>
      <c r="J46" t="str">
        <f>'Summary Calculations (hide)'!C48</f>
        <v/>
      </c>
      <c r="K46">
        <f>'Summary Calculations (hide)'!D48</f>
        <v>49</v>
      </c>
      <c r="L46" s="67">
        <f ca="1">VLOOKUP($K46,'SPC background (hide)'!$AG$2:$AS$54,3,0)</f>
        <v>5</v>
      </c>
      <c r="M46" s="67">
        <f t="shared" ca="1" si="0"/>
        <v>142.0497</v>
      </c>
      <c r="N46" s="67">
        <f t="shared" ca="1" si="1"/>
        <v>5.7151595744680854</v>
      </c>
      <c r="O46" s="67"/>
      <c r="P46" s="67"/>
      <c r="Q46" s="67"/>
      <c r="R46" s="5">
        <f ca="1">(VLOOKUP(K46,'Summary Calculations (hide)'!$D$15:$L$67,8,0)+VLOOKUP(K46,'Summary Calculations (hide)'!$D$15:$L$67,9,0))*IF(Summary!$C$8="Patients",'Summary Calculations (hide)'!$I$9,1)</f>
        <v>161.53846153846155</v>
      </c>
      <c r="AA46" s="67">
        <f ca="1">IF(Summary!$C$8="Patients", 'Parameters calculator (hide)'!$H$63,'Parameters calculator (hide)'!$H$62)</f>
        <v>269.8</v>
      </c>
      <c r="AB46" s="67">
        <f ca="1">IF(Summary!$C$8="Patients", 'Parameters calculator (hide)'!$I$63,'Parameters calculator (hide)'!$I$62)</f>
        <v>298.2</v>
      </c>
      <c r="AC46" s="67">
        <f t="shared" ca="1" si="2"/>
        <v>28.399999999999977</v>
      </c>
    </row>
    <row r="47" spans="1:29" x14ac:dyDescent="0.25">
      <c r="H47" s="298">
        <f>'Summary Calculations (hide)'!A49</f>
        <v>44172</v>
      </c>
      <c r="I47" t="str">
        <f>'Summary Calculations (hide)'!B49</f>
        <v/>
      </c>
      <c r="J47" t="str">
        <f>'Summary Calculations (hide)'!C49</f>
        <v>Dec</v>
      </c>
      <c r="K47">
        <f>'Summary Calculations (hide)'!D49</f>
        <v>50</v>
      </c>
      <c r="L47" s="67">
        <f ca="1">VLOOKUP($K47,'SPC background (hide)'!$AG$2:$AS$54,3,0)</f>
        <v>5</v>
      </c>
      <c r="M47" s="67">
        <f t="shared" ca="1" si="0"/>
        <v>142.0497</v>
      </c>
      <c r="N47" s="67">
        <f t="shared" ca="1" si="1"/>
        <v>5.7151595744680854</v>
      </c>
      <c r="O47" s="67"/>
      <c r="P47" s="67"/>
      <c r="Q47" s="67"/>
      <c r="R47" s="5">
        <f ca="1">(VLOOKUP(K47,'Summary Calculations (hide)'!$D$15:$L$67,8,0)+VLOOKUP(K47,'Summary Calculations (hide)'!$D$15:$L$67,9,0))*IF(Summary!$C$8="Patients",'Summary Calculations (hide)'!$I$9,1)</f>
        <v>161.53846153846155</v>
      </c>
      <c r="AA47" s="67">
        <f ca="1">IF(Summary!$C$8="Patients", 'Parameters calculator (hide)'!$H$63,'Parameters calculator (hide)'!$H$62)</f>
        <v>269.8</v>
      </c>
      <c r="AB47" s="67">
        <f ca="1">IF(Summary!$C$8="Patients", 'Parameters calculator (hide)'!$I$63,'Parameters calculator (hide)'!$I$62)</f>
        <v>298.2</v>
      </c>
      <c r="AC47" s="67">
        <f t="shared" ca="1" si="2"/>
        <v>28.399999999999977</v>
      </c>
    </row>
    <row r="48" spans="1:29" x14ac:dyDescent="0.25">
      <c r="H48" s="298">
        <f>'Summary Calculations (hide)'!A50</f>
        <v>44179</v>
      </c>
      <c r="I48" t="str">
        <f>'Summary Calculations (hide)'!B50</f>
        <v/>
      </c>
      <c r="J48" t="str">
        <f>'Summary Calculations (hide)'!C50</f>
        <v/>
      </c>
      <c r="K48">
        <f>'Summary Calculations (hide)'!D50</f>
        <v>51</v>
      </c>
      <c r="L48" s="67">
        <f ca="1">VLOOKUP($K48,'SPC background (hide)'!$AG$2:$AS$54,3,0)</f>
        <v>5</v>
      </c>
      <c r="M48" s="67">
        <f t="shared" ca="1" si="0"/>
        <v>142.0497</v>
      </c>
      <c r="N48" s="67">
        <f t="shared" ca="1" si="1"/>
        <v>5.7151595744680854</v>
      </c>
      <c r="O48" s="67"/>
      <c r="P48" s="67"/>
      <c r="Q48" s="67"/>
      <c r="R48" s="5">
        <f ca="1">(VLOOKUP(K48,'Summary Calculations (hide)'!$D$15:$L$67,8,0)+VLOOKUP(K48,'Summary Calculations (hide)'!$D$15:$L$67,9,0))*IF(Summary!$C$8="Patients",'Summary Calculations (hide)'!$I$9,1)</f>
        <v>161.53846153846155</v>
      </c>
      <c r="AA48" s="67">
        <f ca="1">IF(Summary!$C$8="Patients", 'Parameters calculator (hide)'!$H$63,'Parameters calculator (hide)'!$H$62)</f>
        <v>269.8</v>
      </c>
      <c r="AB48" s="67">
        <f ca="1">IF(Summary!$C$8="Patients", 'Parameters calculator (hide)'!$I$63,'Parameters calculator (hide)'!$I$62)</f>
        <v>298.2</v>
      </c>
      <c r="AC48" s="67">
        <f t="shared" ca="1" si="2"/>
        <v>28.399999999999977</v>
      </c>
    </row>
    <row r="49" spans="8:29" x14ac:dyDescent="0.25">
      <c r="H49" s="298">
        <f>'Summary Calculations (hide)'!A51</f>
        <v>44186</v>
      </c>
      <c r="I49" t="str">
        <f>'Summary Calculations (hide)'!B51</f>
        <v/>
      </c>
      <c r="J49" t="str">
        <f>'Summary Calculations (hide)'!C51</f>
        <v/>
      </c>
      <c r="K49">
        <f>'Summary Calculations (hide)'!D51</f>
        <v>52</v>
      </c>
      <c r="L49" s="67">
        <f ca="1">VLOOKUP($K49,'SPC background (hide)'!$AG$2:$AS$54,3,0)</f>
        <v>5</v>
      </c>
      <c r="M49" s="67">
        <f t="shared" ca="1" si="0"/>
        <v>142.0497</v>
      </c>
      <c r="N49" s="67">
        <f t="shared" ca="1" si="1"/>
        <v>5.7151595744680854</v>
      </c>
      <c r="O49" s="67"/>
      <c r="P49" s="67"/>
      <c r="Q49" s="67"/>
      <c r="R49" s="5">
        <f ca="1">(VLOOKUP(K49,'Summary Calculations (hide)'!$D$15:$L$67,8,0)+VLOOKUP(K49,'Summary Calculations (hide)'!$D$15:$L$67,9,0))*IF(Summary!$C$8="Patients",'Summary Calculations (hide)'!$I$9,1)</f>
        <v>161.53846153846155</v>
      </c>
      <c r="AA49" s="67">
        <f ca="1">IF(Summary!$C$8="Patients", 'Parameters calculator (hide)'!$H$63,'Parameters calculator (hide)'!$H$62)</f>
        <v>269.8</v>
      </c>
      <c r="AB49" s="67">
        <f ca="1">IF(Summary!$C$8="Patients", 'Parameters calculator (hide)'!$I$63,'Parameters calculator (hide)'!$I$62)</f>
        <v>298.2</v>
      </c>
      <c r="AC49" s="67">
        <f t="shared" ca="1" si="2"/>
        <v>28.399999999999977</v>
      </c>
    </row>
    <row r="50" spans="8:29" x14ac:dyDescent="0.25">
      <c r="H50" s="298">
        <f>'Summary Calculations (hide)'!A52</f>
        <v>44193</v>
      </c>
      <c r="I50" t="str">
        <f>'Summary Calculations (hide)'!B52</f>
        <v/>
      </c>
      <c r="J50" t="str">
        <f>'Summary Calculations (hide)'!C52</f>
        <v/>
      </c>
      <c r="K50">
        <f>'Summary Calculations (hide)'!D52</f>
        <v>53</v>
      </c>
      <c r="L50" s="67">
        <f ca="1">VLOOKUP($K50,'SPC background (hide)'!$AG$2:$AS$54,3,0)</f>
        <v>5</v>
      </c>
      <c r="M50" s="67">
        <f t="shared" ca="1" si="0"/>
        <v>142.0497</v>
      </c>
      <c r="N50" s="67">
        <f t="shared" ca="1" si="1"/>
        <v>5.7151595744680854</v>
      </c>
      <c r="O50" s="67"/>
      <c r="P50" s="67"/>
      <c r="Q50" s="67"/>
      <c r="R50" s="5">
        <f ca="1">(VLOOKUP(K50,'Summary Calculations (hide)'!$D$15:$L$67,8,0)+VLOOKUP(K50,'Summary Calculations (hide)'!$D$15:$L$67,9,0))*IF(Summary!$C$8="Patients",'Summary Calculations (hide)'!$I$9,1)</f>
        <v>161.53846153846155</v>
      </c>
      <c r="AA50" s="67">
        <f ca="1">IF(Summary!$C$8="Patients", 'Parameters calculator (hide)'!$H$63,'Parameters calculator (hide)'!$H$62)</f>
        <v>269.8</v>
      </c>
      <c r="AB50" s="67">
        <f ca="1">IF(Summary!$C$8="Patients", 'Parameters calculator (hide)'!$I$63,'Parameters calculator (hide)'!$I$62)</f>
        <v>298.2</v>
      </c>
      <c r="AC50" s="67">
        <f t="shared" ca="1" si="2"/>
        <v>28.399999999999977</v>
      </c>
    </row>
    <row r="51" spans="8:29" x14ac:dyDescent="0.25">
      <c r="H51" s="298">
        <f>'Summary Calculations (hide)'!A53</f>
        <v>44200</v>
      </c>
      <c r="I51">
        <f>'Summary Calculations (hide)'!B53</f>
        <v>2021</v>
      </c>
      <c r="J51" t="str">
        <f>'Summary Calculations (hide)'!C53</f>
        <v>Jan</v>
      </c>
      <c r="K51">
        <f>'Summary Calculations (hide)'!D53</f>
        <v>1</v>
      </c>
      <c r="L51" s="67">
        <f ca="1">VLOOKUP($K51,'SPC background (hide)'!$AG$2:$AS$54,3,0)</f>
        <v>5</v>
      </c>
      <c r="M51" s="67">
        <f t="shared" ca="1" si="0"/>
        <v>142.0497</v>
      </c>
      <c r="N51" s="67">
        <f t="shared" ca="1" si="1"/>
        <v>5.7151595744680854</v>
      </c>
      <c r="O51" s="67"/>
      <c r="P51" s="67"/>
      <c r="Q51" s="67"/>
      <c r="R51" s="5">
        <f ca="1">(VLOOKUP(K51,'Summary Calculations (hide)'!$D$15:$L$67,8,0)+VLOOKUP(K51,'Summary Calculations (hide)'!$D$15:$L$67,9,0))*IF(Summary!$C$8="Patients",'Summary Calculations (hide)'!$I$9,1)</f>
        <v>161.53846153846155</v>
      </c>
      <c r="AA51" s="67">
        <f ca="1">IF(Summary!$C$8="Patients", 'Parameters calculator (hide)'!$H$63,'Parameters calculator (hide)'!$H$62)</f>
        <v>269.8</v>
      </c>
      <c r="AB51" s="67">
        <f ca="1">IF(Summary!$C$8="Patients", 'Parameters calculator (hide)'!$I$63,'Parameters calculator (hide)'!$I$62)</f>
        <v>298.2</v>
      </c>
      <c r="AC51" s="67">
        <f t="shared" ca="1" si="2"/>
        <v>28.399999999999977</v>
      </c>
    </row>
    <row r="52" spans="8:29" x14ac:dyDescent="0.25">
      <c r="H52" s="298">
        <f>'Summary Calculations (hide)'!A54</f>
        <v>44207</v>
      </c>
      <c r="I52" t="str">
        <f>'Summary Calculations (hide)'!B54</f>
        <v/>
      </c>
      <c r="J52" t="str">
        <f>'Summary Calculations (hide)'!C54</f>
        <v/>
      </c>
      <c r="K52">
        <f>'Summary Calculations (hide)'!D54</f>
        <v>2</v>
      </c>
      <c r="L52" s="67">
        <f ca="1">VLOOKUP($K52,'SPC background (hide)'!$AG$2:$AS$54,3,0)</f>
        <v>5</v>
      </c>
      <c r="M52" s="67">
        <f t="shared" ca="1" si="0"/>
        <v>142.0497</v>
      </c>
      <c r="N52" s="67">
        <f t="shared" ca="1" si="1"/>
        <v>5.7151595744680854</v>
      </c>
      <c r="O52" s="67"/>
      <c r="P52" s="67"/>
      <c r="Q52" s="67"/>
      <c r="R52" s="5">
        <f ca="1">(VLOOKUP(K52,'Summary Calculations (hide)'!$D$15:$L$67,8,0)+VLOOKUP(K52,'Summary Calculations (hide)'!$D$15:$L$67,9,0))*IF(Summary!$C$8="Patients",'Summary Calculations (hide)'!$I$9,1)</f>
        <v>161.53846153846155</v>
      </c>
      <c r="AA52" s="67">
        <f ca="1">IF(Summary!$C$8="Patients", 'Parameters calculator (hide)'!$H$63,'Parameters calculator (hide)'!$H$62)</f>
        <v>269.8</v>
      </c>
      <c r="AB52" s="67">
        <f ca="1">IF(Summary!$C$8="Patients", 'Parameters calculator (hide)'!$I$63,'Parameters calculator (hide)'!$I$62)</f>
        <v>298.2</v>
      </c>
      <c r="AC52" s="67">
        <f t="shared" ca="1" si="2"/>
        <v>28.399999999999977</v>
      </c>
    </row>
    <row r="53" spans="8:29" x14ac:dyDescent="0.25">
      <c r="H53" s="298">
        <f>'Summary Calculations (hide)'!A55</f>
        <v>44214</v>
      </c>
      <c r="I53" t="str">
        <f>'Summary Calculations (hide)'!B55</f>
        <v/>
      </c>
      <c r="J53" t="str">
        <f>'Summary Calculations (hide)'!C55</f>
        <v/>
      </c>
      <c r="K53">
        <f>'Summary Calculations (hide)'!D55</f>
        <v>3</v>
      </c>
      <c r="L53" s="67">
        <f ca="1">VLOOKUP($K53,'SPC background (hide)'!$AG$2:$AS$54,3,0)</f>
        <v>5</v>
      </c>
      <c r="M53" s="67">
        <f t="shared" ca="1" si="0"/>
        <v>142.0497</v>
      </c>
      <c r="N53" s="67">
        <f t="shared" ca="1" si="1"/>
        <v>5.7151595744680854</v>
      </c>
      <c r="O53" s="67"/>
      <c r="P53" s="67"/>
      <c r="Q53" s="67"/>
      <c r="R53" s="5">
        <f ca="1">(VLOOKUP(K53,'Summary Calculations (hide)'!$D$15:$L$67,8,0)+VLOOKUP(K53,'Summary Calculations (hide)'!$D$15:$L$67,9,0))*IF(Summary!$C$8="Patients",'Summary Calculations (hide)'!$I$9,1)</f>
        <v>161.53846153846155</v>
      </c>
      <c r="AA53" s="67">
        <f ca="1">IF(Summary!$C$8="Patients", 'Parameters calculator (hide)'!$H$63,'Parameters calculator (hide)'!$H$62)</f>
        <v>269.8</v>
      </c>
      <c r="AB53" s="67">
        <f ca="1">IF(Summary!$C$8="Patients", 'Parameters calculator (hide)'!$I$63,'Parameters calculator (hide)'!$I$62)</f>
        <v>298.2</v>
      </c>
      <c r="AC53" s="67">
        <f t="shared" ca="1" si="2"/>
        <v>28.399999999999977</v>
      </c>
    </row>
    <row r="54" spans="8:29" x14ac:dyDescent="0.25">
      <c r="H54" s="298">
        <f>'Summary Calculations (hide)'!A56</f>
        <v>44221</v>
      </c>
      <c r="I54" t="str">
        <f>'Summary Calculations (hide)'!B56</f>
        <v/>
      </c>
      <c r="J54" t="str">
        <f>'Summary Calculations (hide)'!C56</f>
        <v/>
      </c>
      <c r="K54">
        <f>'Summary Calculations (hide)'!D56</f>
        <v>4</v>
      </c>
      <c r="L54" s="67">
        <f ca="1">VLOOKUP($K54,'SPC background (hide)'!$AG$2:$AS$54,3,0)</f>
        <v>5</v>
      </c>
      <c r="M54" s="67">
        <f t="shared" ca="1" si="0"/>
        <v>142.0497</v>
      </c>
      <c r="N54" s="67">
        <f t="shared" ca="1" si="1"/>
        <v>5.7151595744680854</v>
      </c>
      <c r="O54" s="67"/>
      <c r="P54" s="67"/>
      <c r="Q54" s="67"/>
      <c r="R54" s="5">
        <f ca="1">(VLOOKUP(K54,'Summary Calculations (hide)'!$D$15:$L$67,8,0)+VLOOKUP(K54,'Summary Calculations (hide)'!$D$15:$L$67,9,0))*IF(Summary!$C$8="Patients",'Summary Calculations (hide)'!$I$9,1)</f>
        <v>161.53846153846155</v>
      </c>
      <c r="AA54" s="67">
        <f ca="1">IF(Summary!$C$8="Patients", 'Parameters calculator (hide)'!$H$63,'Parameters calculator (hide)'!$H$62)</f>
        <v>269.8</v>
      </c>
      <c r="AB54" s="67">
        <f ca="1">IF(Summary!$C$8="Patients", 'Parameters calculator (hide)'!$I$63,'Parameters calculator (hide)'!$I$62)</f>
        <v>298.2</v>
      </c>
      <c r="AC54" s="67">
        <f t="shared" ca="1" si="2"/>
        <v>28.399999999999977</v>
      </c>
    </row>
    <row r="55" spans="8:29" x14ac:dyDescent="0.25">
      <c r="H55" s="298">
        <f>'Summary Calculations (hide)'!A57</f>
        <v>44228</v>
      </c>
      <c r="I55" t="str">
        <f>'Summary Calculations (hide)'!B57</f>
        <v/>
      </c>
      <c r="J55" t="str">
        <f>'Summary Calculations (hide)'!C57</f>
        <v>Feb</v>
      </c>
      <c r="K55">
        <f>'Summary Calculations (hide)'!D57</f>
        <v>5</v>
      </c>
      <c r="L55" s="67">
        <f ca="1">VLOOKUP($K55,'SPC background (hide)'!$AG$2:$AS$54,3,0)</f>
        <v>5</v>
      </c>
      <c r="M55" s="67">
        <f t="shared" ca="1" si="0"/>
        <v>142.0497</v>
      </c>
      <c r="N55" s="67">
        <f t="shared" ca="1" si="1"/>
        <v>5.7151595744680854</v>
      </c>
      <c r="O55" s="67"/>
      <c r="P55" s="67"/>
      <c r="Q55" s="67"/>
      <c r="R55" s="5">
        <f ca="1">(VLOOKUP(K55,'Summary Calculations (hide)'!$D$15:$L$67,8,0)+VLOOKUP(K55,'Summary Calculations (hide)'!$D$15:$L$67,9,0))*IF(Summary!$C$8="Patients",'Summary Calculations (hide)'!$I$9,1)</f>
        <v>161.53846153846155</v>
      </c>
      <c r="AA55" s="67">
        <f ca="1">IF(Summary!$C$8="Patients", 'Parameters calculator (hide)'!$H$63,'Parameters calculator (hide)'!$H$62)</f>
        <v>269.8</v>
      </c>
      <c r="AB55" s="67">
        <f ca="1">IF(Summary!$C$8="Patients", 'Parameters calculator (hide)'!$I$63,'Parameters calculator (hide)'!$I$62)</f>
        <v>298.2</v>
      </c>
      <c r="AC55" s="67">
        <f t="shared" ca="1" si="2"/>
        <v>28.399999999999977</v>
      </c>
    </row>
    <row r="56" spans="8:29" x14ac:dyDescent="0.25">
      <c r="H56" s="298">
        <f>'Summary Calculations (hide)'!A58</f>
        <v>44235</v>
      </c>
      <c r="I56" t="str">
        <f>'Summary Calculations (hide)'!B58</f>
        <v/>
      </c>
      <c r="J56" t="str">
        <f>'Summary Calculations (hide)'!C58</f>
        <v/>
      </c>
      <c r="K56">
        <f>'Summary Calculations (hide)'!D58</f>
        <v>6</v>
      </c>
      <c r="L56" s="67">
        <f ca="1">VLOOKUP($K56,'SPC background (hide)'!$AG$2:$AS$54,3,0)</f>
        <v>5</v>
      </c>
      <c r="M56" s="67">
        <f t="shared" ca="1" si="0"/>
        <v>142.0497</v>
      </c>
      <c r="N56" s="67">
        <f t="shared" ca="1" si="1"/>
        <v>5.7151595744680854</v>
      </c>
      <c r="O56" s="67"/>
      <c r="P56" s="67"/>
      <c r="Q56" s="67"/>
      <c r="R56" s="5">
        <f ca="1">(VLOOKUP(K56,'Summary Calculations (hide)'!$D$15:$L$67,8,0)+VLOOKUP(K56,'Summary Calculations (hide)'!$D$15:$L$67,9,0))*IF(Summary!$C$8="Patients",'Summary Calculations (hide)'!$I$9,1)</f>
        <v>161.53846153846155</v>
      </c>
      <c r="AA56" s="67">
        <f ca="1">IF(Summary!$C$8="Patients", 'Parameters calculator (hide)'!$H$63,'Parameters calculator (hide)'!$H$62)</f>
        <v>269.8</v>
      </c>
      <c r="AB56" s="67">
        <f ca="1">IF(Summary!$C$8="Patients", 'Parameters calculator (hide)'!$I$63,'Parameters calculator (hide)'!$I$62)</f>
        <v>298.2</v>
      </c>
      <c r="AC56" s="67">
        <f t="shared" ca="1" si="2"/>
        <v>28.399999999999977</v>
      </c>
    </row>
    <row r="57" spans="8:29" x14ac:dyDescent="0.25">
      <c r="H57" s="298">
        <f>'Summary Calculations (hide)'!A59</f>
        <v>44242</v>
      </c>
      <c r="I57" t="str">
        <f>'Summary Calculations (hide)'!B59</f>
        <v/>
      </c>
      <c r="J57" t="str">
        <f>'Summary Calculations (hide)'!C59</f>
        <v/>
      </c>
      <c r="K57">
        <f>'Summary Calculations (hide)'!D59</f>
        <v>7</v>
      </c>
      <c r="L57" s="67">
        <f ca="1">VLOOKUP($K57,'SPC background (hide)'!$AG$2:$AS$54,3,0)</f>
        <v>5</v>
      </c>
      <c r="M57" s="67">
        <f t="shared" ca="1" si="0"/>
        <v>142.0497</v>
      </c>
      <c r="N57" s="67">
        <f t="shared" ca="1" si="1"/>
        <v>5.7151595744680854</v>
      </c>
      <c r="O57" s="67"/>
      <c r="P57" s="67"/>
      <c r="Q57" s="67"/>
      <c r="R57" s="5">
        <f ca="1">(VLOOKUP(K57,'Summary Calculations (hide)'!$D$15:$L$67,8,0)+VLOOKUP(K57,'Summary Calculations (hide)'!$D$15:$L$67,9,0))*IF(Summary!$C$8="Patients",'Summary Calculations (hide)'!$I$9,1)</f>
        <v>161.53846153846155</v>
      </c>
      <c r="AA57" s="67">
        <f ca="1">IF(Summary!$C$8="Patients", 'Parameters calculator (hide)'!$H$63,'Parameters calculator (hide)'!$H$62)</f>
        <v>269.8</v>
      </c>
      <c r="AB57" s="67">
        <f ca="1">IF(Summary!$C$8="Patients", 'Parameters calculator (hide)'!$I$63,'Parameters calculator (hide)'!$I$62)</f>
        <v>298.2</v>
      </c>
      <c r="AC57" s="67">
        <f t="shared" ca="1" si="2"/>
        <v>28.399999999999977</v>
      </c>
    </row>
    <row r="58" spans="8:29" x14ac:dyDescent="0.25">
      <c r="H58" s="298">
        <f>'Summary Calculations (hide)'!A60</f>
        <v>44249</v>
      </c>
      <c r="I58" t="str">
        <f>'Summary Calculations (hide)'!B60</f>
        <v/>
      </c>
      <c r="J58" t="str">
        <f>'Summary Calculations (hide)'!C60</f>
        <v/>
      </c>
      <c r="K58">
        <f>'Summary Calculations (hide)'!D60</f>
        <v>8</v>
      </c>
      <c r="L58" s="67">
        <f ca="1">VLOOKUP($K58,'SPC background (hide)'!$AG$2:$AS$54,3,0)</f>
        <v>5</v>
      </c>
      <c r="M58" s="67">
        <f t="shared" ca="1" si="0"/>
        <v>142.0497</v>
      </c>
      <c r="N58" s="67">
        <f t="shared" ca="1" si="1"/>
        <v>5.7151595744680854</v>
      </c>
      <c r="O58" s="67"/>
      <c r="P58" s="67"/>
      <c r="Q58" s="67"/>
      <c r="R58" s="5">
        <f ca="1">(VLOOKUP(K58,'Summary Calculations (hide)'!$D$15:$L$67,8,0)+VLOOKUP(K58,'Summary Calculations (hide)'!$D$15:$L$67,9,0))*IF(Summary!$C$8="Patients",'Summary Calculations (hide)'!$I$9,1)</f>
        <v>161.53846153846155</v>
      </c>
      <c r="AA58" s="67">
        <f ca="1">IF(Summary!$C$8="Patients", 'Parameters calculator (hide)'!$H$63,'Parameters calculator (hide)'!$H$62)</f>
        <v>269.8</v>
      </c>
      <c r="AB58" s="67">
        <f ca="1">IF(Summary!$C$8="Patients", 'Parameters calculator (hide)'!$I$63,'Parameters calculator (hide)'!$I$62)</f>
        <v>298.2</v>
      </c>
      <c r="AC58" s="67">
        <f t="shared" ca="1" si="2"/>
        <v>28.399999999999977</v>
      </c>
    </row>
    <row r="59" spans="8:29" x14ac:dyDescent="0.25">
      <c r="H59" s="298">
        <f>'Summary Calculations (hide)'!A61</f>
        <v>44256</v>
      </c>
      <c r="I59" t="str">
        <f>'Summary Calculations (hide)'!B61</f>
        <v/>
      </c>
      <c r="J59" t="str">
        <f>'Summary Calculations (hide)'!C61</f>
        <v>Mar</v>
      </c>
      <c r="K59">
        <f>'Summary Calculations (hide)'!D61</f>
        <v>9</v>
      </c>
      <c r="L59" s="67">
        <f ca="1">VLOOKUP($K59,'SPC background (hide)'!$AG$2:$AS$54,3,0)</f>
        <v>5</v>
      </c>
      <c r="M59" s="67">
        <f t="shared" ca="1" si="0"/>
        <v>142.0497</v>
      </c>
      <c r="N59" s="67">
        <f t="shared" ca="1" si="1"/>
        <v>5.7151595744680854</v>
      </c>
      <c r="O59" s="67"/>
      <c r="P59" s="67"/>
      <c r="Q59" s="67"/>
      <c r="R59" s="5">
        <f ca="1">(VLOOKUP(K59,'Summary Calculations (hide)'!$D$15:$L$67,8,0)+VLOOKUP(K59,'Summary Calculations (hide)'!$D$15:$L$67,9,0))*IF(Summary!$C$8="Patients",'Summary Calculations (hide)'!$I$9,1)</f>
        <v>161.53846153846155</v>
      </c>
      <c r="AA59" s="67">
        <f ca="1">IF(Summary!$C$8="Patients", 'Parameters calculator (hide)'!$H$63,'Parameters calculator (hide)'!$H$62)</f>
        <v>269.8</v>
      </c>
      <c r="AB59" s="67">
        <f ca="1">IF(Summary!$C$8="Patients", 'Parameters calculator (hide)'!$I$63,'Parameters calculator (hide)'!$I$62)</f>
        <v>298.2</v>
      </c>
      <c r="AC59" s="67">
        <f t="shared" ca="1" si="2"/>
        <v>28.399999999999977</v>
      </c>
    </row>
    <row r="60" spans="8:29" x14ac:dyDescent="0.25">
      <c r="H60" s="298">
        <f>'Summary Calculations (hide)'!A62</f>
        <v>44263</v>
      </c>
      <c r="I60" t="str">
        <f>'Summary Calculations (hide)'!B62</f>
        <v/>
      </c>
      <c r="J60" t="str">
        <f>'Summary Calculations (hide)'!C62</f>
        <v/>
      </c>
      <c r="K60">
        <f>'Summary Calculations (hide)'!D62</f>
        <v>10</v>
      </c>
      <c r="L60" s="67">
        <f ca="1">VLOOKUP($K60,'SPC background (hide)'!$AG$2:$AS$54,3,0)</f>
        <v>1</v>
      </c>
      <c r="M60" s="67">
        <f t="shared" ca="1" si="0"/>
        <v>142.0497</v>
      </c>
      <c r="N60" s="67">
        <f t="shared" ca="1" si="1"/>
        <v>5.7151595744680854</v>
      </c>
      <c r="O60" s="67"/>
      <c r="P60" s="67"/>
      <c r="Q60" s="67"/>
      <c r="R60" s="5">
        <f ca="1">(VLOOKUP(K60,'Summary Calculations (hide)'!$D$15:$L$67,8,0)+VLOOKUP(K60,'Summary Calculations (hide)'!$D$15:$L$67,9,0))*IF(Summary!$C$8="Patients",'Summary Calculations (hide)'!$I$9,1)</f>
        <v>161.53846153846155</v>
      </c>
      <c r="AA60" s="67">
        <f ca="1">IF(Summary!$C$8="Patients", 'Parameters calculator (hide)'!$H$63,'Parameters calculator (hide)'!$H$62)</f>
        <v>269.8</v>
      </c>
      <c r="AB60" s="67">
        <f ca="1">IF(Summary!$C$8="Patients", 'Parameters calculator (hide)'!$I$63,'Parameters calculator (hide)'!$I$62)</f>
        <v>298.2</v>
      </c>
      <c r="AC60" s="67">
        <f t="shared" ca="1" si="2"/>
        <v>28.399999999999977</v>
      </c>
    </row>
    <row r="61" spans="8:29" x14ac:dyDescent="0.25">
      <c r="H61" s="298">
        <f>'Summary Calculations (hide)'!A63</f>
        <v>44270</v>
      </c>
      <c r="I61" t="str">
        <f>'Summary Calculations (hide)'!B63</f>
        <v/>
      </c>
      <c r="J61" t="str">
        <f>'Summary Calculations (hide)'!C63</f>
        <v/>
      </c>
      <c r="K61">
        <f>'Summary Calculations (hide)'!D63</f>
        <v>11</v>
      </c>
      <c r="L61" s="67">
        <f ca="1">VLOOKUP($K61,'SPC background (hide)'!$AG$2:$AS$54,3,0)</f>
        <v>1</v>
      </c>
      <c r="M61" s="67">
        <f t="shared" ca="1" si="0"/>
        <v>142.0497</v>
      </c>
      <c r="N61" s="67">
        <f t="shared" ca="1" si="1"/>
        <v>5.7151595744680854</v>
      </c>
      <c r="O61" s="67"/>
      <c r="P61" s="67"/>
      <c r="Q61" s="67"/>
      <c r="R61" s="5">
        <f ca="1">(VLOOKUP(K61,'Summary Calculations (hide)'!$D$15:$L$67,8,0)+VLOOKUP(K61,'Summary Calculations (hide)'!$D$15:$L$67,9,0))*IF(Summary!$C$8="Patients",'Summary Calculations (hide)'!$I$9,1)</f>
        <v>161.53846153846155</v>
      </c>
      <c r="AA61" s="67">
        <f ca="1">IF(Summary!$C$8="Patients", 'Parameters calculator (hide)'!$H$63,'Parameters calculator (hide)'!$H$62)</f>
        <v>269.8</v>
      </c>
      <c r="AB61" s="67">
        <f ca="1">IF(Summary!$C$8="Patients", 'Parameters calculator (hide)'!$I$63,'Parameters calculator (hide)'!$I$62)</f>
        <v>298.2</v>
      </c>
      <c r="AC61" s="67">
        <f t="shared" ca="1" si="2"/>
        <v>28.399999999999977</v>
      </c>
    </row>
    <row r="62" spans="8:29" x14ac:dyDescent="0.25">
      <c r="H62" s="298">
        <f>'Summary Calculations (hide)'!A64</f>
        <v>44277</v>
      </c>
      <c r="I62" t="str">
        <f>'Summary Calculations (hide)'!B64</f>
        <v/>
      </c>
      <c r="J62" t="str">
        <f>'Summary Calculations (hide)'!C64</f>
        <v/>
      </c>
      <c r="K62">
        <f>'Summary Calculations (hide)'!D64</f>
        <v>12</v>
      </c>
      <c r="L62" s="67">
        <f ca="1">VLOOKUP($K62,'SPC background (hide)'!$AG$2:$AS$54,3,0)</f>
        <v>1</v>
      </c>
      <c r="M62" s="67">
        <f t="shared" ca="1" si="0"/>
        <v>142.0497</v>
      </c>
      <c r="N62" s="67">
        <f t="shared" ca="1" si="1"/>
        <v>5.7151595744680854</v>
      </c>
      <c r="O62" s="67"/>
      <c r="P62" s="67"/>
      <c r="Q62" s="67"/>
      <c r="R62" s="5">
        <f ca="1">(VLOOKUP(K62,'Summary Calculations (hide)'!$D$15:$L$67,8,0)+VLOOKUP(K62,'Summary Calculations (hide)'!$D$15:$L$67,9,0))*IF(Summary!$C$8="Patients",'Summary Calculations (hide)'!$I$9,1)</f>
        <v>161.53846153846155</v>
      </c>
      <c r="AA62" s="67">
        <f ca="1">IF(Summary!$C$8="Patients", 'Parameters calculator (hide)'!$H$63,'Parameters calculator (hide)'!$H$62)</f>
        <v>269.8</v>
      </c>
      <c r="AB62" s="67">
        <f ca="1">IF(Summary!$C$8="Patients", 'Parameters calculator (hide)'!$I$63,'Parameters calculator (hide)'!$I$62)</f>
        <v>298.2</v>
      </c>
      <c r="AC62" s="67">
        <f t="shared" ca="1" si="2"/>
        <v>28.399999999999977</v>
      </c>
    </row>
    <row r="63" spans="8:29" x14ac:dyDescent="0.25">
      <c r="H63" s="298">
        <f>'Summary Calculations (hide)'!A65</f>
        <v>44284</v>
      </c>
      <c r="I63" t="str">
        <f>'Summary Calculations (hide)'!B65</f>
        <v/>
      </c>
      <c r="J63" t="str">
        <f>'Summary Calculations (hide)'!C65</f>
        <v/>
      </c>
      <c r="K63">
        <f>'Summary Calculations (hide)'!D65</f>
        <v>13</v>
      </c>
      <c r="L63" s="67">
        <f ca="1">VLOOKUP($K63,'SPC background (hide)'!$AG$2:$AS$54,3,0)</f>
        <v>1</v>
      </c>
      <c r="M63" s="67">
        <f t="shared" ca="1" si="0"/>
        <v>142.0497</v>
      </c>
      <c r="N63" s="67">
        <f t="shared" ca="1" si="1"/>
        <v>5.7151595744680854</v>
      </c>
      <c r="O63" s="67"/>
      <c r="P63" s="67"/>
      <c r="Q63" s="67"/>
      <c r="R63" s="5">
        <f ca="1">(VLOOKUP(K63,'Summary Calculations (hide)'!$D$15:$L$67,8,0)+VLOOKUP(K63,'Summary Calculations (hide)'!$D$15:$L$67,9,0))*IF(Summary!$C$8="Patients",'Summary Calculations (hide)'!$I$9,1)</f>
        <v>161.53846153846155</v>
      </c>
      <c r="AA63" s="67">
        <f ca="1">IF(Summary!$C$8="Patients", 'Parameters calculator (hide)'!$H$63,'Parameters calculator (hide)'!$H$62)</f>
        <v>269.8</v>
      </c>
      <c r="AB63" s="67">
        <f ca="1">IF(Summary!$C$8="Patients", 'Parameters calculator (hide)'!$I$63,'Parameters calculator (hide)'!$I$62)</f>
        <v>298.2</v>
      </c>
      <c r="AC63" s="67">
        <f t="shared" ca="1" si="2"/>
        <v>28.399999999999977</v>
      </c>
    </row>
    <row r="64" spans="8:29" x14ac:dyDescent="0.25">
      <c r="H64" s="298">
        <f>'Summary Calculations (hide)'!A66</f>
        <v>44291</v>
      </c>
      <c r="I64" t="str">
        <f>'Summary Calculations (hide)'!B66</f>
        <v/>
      </c>
      <c r="J64" t="str">
        <f>'Summary Calculations (hide)'!C66</f>
        <v>Apr</v>
      </c>
      <c r="K64">
        <f>'Summary Calculations (hide)'!D66</f>
        <v>14</v>
      </c>
      <c r="L64" s="67">
        <f ca="1">VLOOKUP($K64,'SPC background (hide)'!$AG$2:$AS$54,3,0)</f>
        <v>1</v>
      </c>
      <c r="M64" s="67">
        <f t="shared" ca="1" si="0"/>
        <v>142.0497</v>
      </c>
      <c r="N64" s="67">
        <f t="shared" ca="1" si="1"/>
        <v>5.7151595744680854</v>
      </c>
      <c r="O64" s="67"/>
      <c r="P64" s="67"/>
      <c r="Q64" s="67"/>
      <c r="R64" s="5">
        <f ca="1">(VLOOKUP(K64,'Summary Calculations (hide)'!$D$15:$L$67,8,0)+VLOOKUP(K64,'Summary Calculations (hide)'!$D$15:$L$67,9,0))*IF(Summary!$C$8="Patients",'Summary Calculations (hide)'!$I$9,1)</f>
        <v>161.53846153846155</v>
      </c>
      <c r="AA64" s="67">
        <f ca="1">IF(Summary!$C$8="Patients", 'Parameters calculator (hide)'!$H$63,'Parameters calculator (hide)'!$H$62)</f>
        <v>269.8</v>
      </c>
      <c r="AB64" s="67">
        <f ca="1">IF(Summary!$C$8="Patients", 'Parameters calculator (hide)'!$I$63,'Parameters calculator (hide)'!$I$62)</f>
        <v>298.2</v>
      </c>
      <c r="AC64" s="67">
        <f t="shared" ca="1" si="2"/>
        <v>28.399999999999977</v>
      </c>
    </row>
    <row r="65" spans="1:114" x14ac:dyDescent="0.25">
      <c r="H65" s="7"/>
      <c r="I65" s="3"/>
      <c r="J65" s="3"/>
      <c r="K65" s="3"/>
      <c r="L65" s="3"/>
      <c r="M65" s="3"/>
      <c r="N65" s="3"/>
      <c r="O65" s="3"/>
      <c r="P65" s="3"/>
      <c r="Q65" s="3"/>
      <c r="R65" s="67"/>
    </row>
    <row r="67" spans="1:114" x14ac:dyDescent="0.25">
      <c r="A67" s="2"/>
    </row>
    <row r="68" spans="1:114" x14ac:dyDescent="0.25">
      <c r="A68" s="2"/>
    </row>
    <row r="70" spans="1:114" x14ac:dyDescent="0.25">
      <c r="BJ70" s="2"/>
    </row>
    <row r="71" spans="1:114" x14ac:dyDescent="0.25">
      <c r="A71" s="2"/>
      <c r="B71" s="2"/>
      <c r="C71" s="2"/>
      <c r="D71" s="2"/>
      <c r="E71" s="2"/>
      <c r="BJ71" s="2"/>
      <c r="BK71" s="2"/>
      <c r="BL71" s="2"/>
      <c r="BM71" s="2"/>
      <c r="BN71" s="2"/>
      <c r="BO71" s="2"/>
      <c r="BP71" s="2"/>
      <c r="BQ71" s="2"/>
      <c r="BR71" s="2"/>
      <c r="BS71" s="2"/>
      <c r="BT71" s="2"/>
      <c r="BU71" s="2"/>
      <c r="BV71" s="2"/>
      <c r="BW71" s="2"/>
      <c r="BX71" s="2"/>
      <c r="BY71" s="2"/>
      <c r="BZ71" s="2"/>
      <c r="CA71" s="2"/>
      <c r="CB71" s="2"/>
      <c r="CC71" s="2"/>
      <c r="CD71" s="2"/>
      <c r="CE71" s="2"/>
      <c r="CF71" s="2"/>
      <c r="CG71" s="2"/>
      <c r="CH71" s="2"/>
      <c r="CI71" s="2"/>
      <c r="CJ71" s="2"/>
      <c r="CK71" s="2"/>
      <c r="CL71" s="2"/>
      <c r="CM71" s="2"/>
      <c r="CN71" s="2"/>
      <c r="CO71" s="2"/>
      <c r="CP71" s="2"/>
      <c r="CQ71" s="2"/>
      <c r="CR71" s="2"/>
      <c r="CS71" s="2"/>
      <c r="CT71" s="2"/>
      <c r="CU71" s="2"/>
      <c r="CV71" s="2"/>
      <c r="CW71" s="2"/>
      <c r="CX71" s="2"/>
      <c r="CY71" s="2"/>
      <c r="CZ71" s="2"/>
      <c r="DA71" s="2"/>
      <c r="DB71" s="2"/>
      <c r="DC71" s="2"/>
      <c r="DD71" s="2"/>
      <c r="DE71" s="2"/>
      <c r="DF71" s="2"/>
      <c r="DG71" s="2"/>
      <c r="DH71" s="2"/>
      <c r="DI71" s="2"/>
      <c r="DJ71" s="2"/>
    </row>
    <row r="72" spans="1:114" x14ac:dyDescent="0.25">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c r="AX72" s="2"/>
      <c r="AY72" s="2"/>
      <c r="AZ72" s="2"/>
      <c r="BA72" s="2"/>
      <c r="BB72" s="2"/>
      <c r="BC72" s="2"/>
      <c r="BD72" s="2"/>
      <c r="BE72" s="2"/>
      <c r="BF72" s="2"/>
      <c r="BG72" s="2"/>
      <c r="BH72" s="2"/>
      <c r="BI72" s="2"/>
      <c r="BK72" s="67"/>
      <c r="BL72" s="67"/>
      <c r="BM72" s="67"/>
      <c r="BN72" s="67"/>
      <c r="BO72" s="67"/>
      <c r="BP72" s="67"/>
      <c r="BQ72" s="67"/>
      <c r="BR72" s="67"/>
      <c r="BS72" s="67"/>
      <c r="BT72" s="67"/>
      <c r="BU72" s="67"/>
      <c r="BV72" s="67"/>
      <c r="BW72" s="67"/>
      <c r="BX72" s="67"/>
      <c r="BY72" s="67"/>
      <c r="BZ72" s="67"/>
      <c r="CA72" s="67"/>
      <c r="CB72" s="67"/>
      <c r="CC72" s="67"/>
      <c r="CD72" s="67"/>
      <c r="CE72" s="67"/>
      <c r="CF72" s="67"/>
      <c r="CG72" s="67"/>
      <c r="CH72" s="67"/>
      <c r="CI72" s="67"/>
      <c r="CJ72" s="67"/>
      <c r="CK72" s="67"/>
      <c r="CL72" s="67"/>
      <c r="CM72" s="67"/>
      <c r="CN72" s="67"/>
      <c r="CO72" s="67"/>
      <c r="CP72" s="67"/>
      <c r="CQ72" s="67"/>
      <c r="CR72" s="67"/>
      <c r="CS72" s="67"/>
      <c r="CT72" s="67"/>
      <c r="CU72" s="67"/>
      <c r="CV72" s="67"/>
      <c r="CW72" s="67"/>
      <c r="CX72" s="67"/>
      <c r="CY72" s="67"/>
      <c r="CZ72" s="67"/>
      <c r="DA72" s="67"/>
      <c r="DB72" s="67"/>
      <c r="DC72" s="67"/>
      <c r="DD72" s="67"/>
      <c r="DE72" s="67"/>
      <c r="DF72" s="67"/>
      <c r="DG72" s="67"/>
      <c r="DH72" s="67"/>
      <c r="DI72" s="67"/>
    </row>
    <row r="73" spans="1:114" x14ac:dyDescent="0.25">
      <c r="H73" s="67"/>
      <c r="I73" s="67"/>
      <c r="J73" s="67"/>
      <c r="K73" s="67"/>
      <c r="L73" s="67"/>
      <c r="M73" s="67"/>
      <c r="N73" s="67"/>
      <c r="O73" s="67"/>
      <c r="P73" s="67"/>
      <c r="Q73" s="67"/>
      <c r="R73" s="67"/>
      <c r="S73" s="67"/>
      <c r="T73" s="67"/>
      <c r="U73" s="67"/>
      <c r="V73" s="67"/>
      <c r="W73" s="67"/>
      <c r="X73" s="67"/>
      <c r="Y73" s="67"/>
      <c r="Z73" s="67"/>
      <c r="AA73" s="67"/>
      <c r="AB73" s="67"/>
      <c r="AC73" s="67"/>
      <c r="AD73" s="67"/>
      <c r="AE73" s="67"/>
      <c r="AF73" s="67"/>
      <c r="AG73" s="67"/>
      <c r="AH73" s="67"/>
      <c r="AI73" s="67"/>
      <c r="AJ73" s="67"/>
      <c r="AK73" s="67"/>
      <c r="AL73" s="67"/>
      <c r="AM73" s="67"/>
      <c r="AN73" s="67"/>
      <c r="AO73" s="67"/>
      <c r="AP73" s="67"/>
      <c r="AQ73" s="67"/>
      <c r="AR73" s="67"/>
      <c r="AS73" s="67"/>
      <c r="AT73" s="67"/>
      <c r="AU73" s="67"/>
      <c r="AV73" s="67"/>
      <c r="AW73" s="67"/>
      <c r="AX73" s="67"/>
      <c r="AY73" s="67"/>
      <c r="AZ73" s="67"/>
      <c r="BA73" s="67"/>
      <c r="BB73" s="67"/>
      <c r="BC73" s="67"/>
      <c r="BD73" s="67"/>
      <c r="BE73" s="67"/>
      <c r="BF73" s="67"/>
      <c r="BG73" s="67"/>
      <c r="BH73" s="70"/>
      <c r="BK73" s="67"/>
      <c r="BL73" s="67"/>
      <c r="BM73" s="67"/>
      <c r="BN73" s="67"/>
      <c r="BO73" s="67"/>
      <c r="BP73" s="67"/>
      <c r="BQ73" s="67"/>
      <c r="BR73" s="67"/>
      <c r="BS73" s="67"/>
      <c r="BT73" s="67"/>
      <c r="BU73" s="67"/>
      <c r="BV73" s="67"/>
      <c r="BW73" s="67"/>
      <c r="BX73" s="67"/>
      <c r="BY73" s="67"/>
      <c r="BZ73" s="67"/>
      <c r="CA73" s="67"/>
      <c r="CB73" s="67"/>
      <c r="CC73" s="67"/>
      <c r="CD73" s="67"/>
      <c r="CE73" s="67"/>
      <c r="CF73" s="67"/>
      <c r="CG73" s="67"/>
      <c r="CH73" s="67"/>
      <c r="CI73" s="67"/>
      <c r="CJ73" s="67"/>
      <c r="CK73" s="67"/>
      <c r="CL73" s="67"/>
      <c r="CM73" s="67"/>
      <c r="CN73" s="67"/>
      <c r="CO73" s="67"/>
      <c r="CP73" s="67"/>
      <c r="CQ73" s="67"/>
      <c r="CR73" s="67"/>
      <c r="CS73" s="67"/>
      <c r="CT73" s="67"/>
      <c r="CU73" s="67"/>
      <c r="CV73" s="67"/>
      <c r="CW73" s="67"/>
      <c r="CX73" s="67"/>
      <c r="CY73" s="67"/>
      <c r="CZ73" s="67"/>
      <c r="DA73" s="67"/>
      <c r="DB73" s="67"/>
      <c r="DC73" s="67"/>
      <c r="DD73" s="67"/>
      <c r="DE73" s="67"/>
      <c r="DF73" s="67"/>
      <c r="DG73" s="67"/>
      <c r="DH73" s="67"/>
      <c r="DI73" s="67"/>
      <c r="DJ73" s="67"/>
    </row>
    <row r="74" spans="1:114" x14ac:dyDescent="0.25">
      <c r="E74" s="67"/>
      <c r="G74" s="67"/>
      <c r="H74" s="67"/>
      <c r="I74" s="67"/>
      <c r="J74" s="67"/>
      <c r="K74" s="67"/>
      <c r="L74" s="67"/>
      <c r="M74" s="67"/>
      <c r="N74" s="67"/>
      <c r="O74" s="67"/>
      <c r="P74" s="67"/>
      <c r="Q74" s="67"/>
      <c r="R74" s="67"/>
      <c r="S74" s="67"/>
      <c r="T74" s="67"/>
      <c r="U74" s="67"/>
      <c r="V74" s="67"/>
      <c r="W74" s="67"/>
      <c r="X74" s="67"/>
      <c r="Y74" s="67"/>
      <c r="Z74" s="67"/>
      <c r="AA74" s="67"/>
      <c r="AB74" s="67"/>
      <c r="AC74" s="67"/>
      <c r="AD74" s="67"/>
      <c r="AE74" s="67"/>
      <c r="AF74" s="67"/>
      <c r="AG74" s="67"/>
      <c r="AH74" s="67"/>
      <c r="AI74" s="67"/>
      <c r="AJ74" s="67"/>
      <c r="AK74" s="67"/>
      <c r="AL74" s="67"/>
      <c r="AM74" s="67"/>
      <c r="AN74" s="67"/>
      <c r="AO74" s="67"/>
      <c r="AP74" s="67"/>
      <c r="AQ74" s="67"/>
      <c r="AR74" s="67"/>
      <c r="AS74" s="67"/>
      <c r="AT74" s="67"/>
      <c r="AU74" s="67"/>
      <c r="AV74" s="67"/>
      <c r="AW74" s="67"/>
      <c r="AX74" s="67"/>
      <c r="AY74" s="67"/>
      <c r="AZ74" s="67"/>
      <c r="BA74" s="67"/>
      <c r="BB74" s="67"/>
      <c r="BC74" s="67"/>
      <c r="BD74" s="67"/>
      <c r="BE74" s="67"/>
      <c r="BF74" s="67"/>
      <c r="BG74" s="67"/>
      <c r="BH74" s="70"/>
      <c r="BJ74" s="67"/>
      <c r="BK74" s="67"/>
      <c r="BL74" s="67"/>
      <c r="BM74" s="67"/>
      <c r="BN74" s="67"/>
      <c r="BO74" s="67"/>
      <c r="BP74" s="67"/>
      <c r="BQ74" s="67"/>
      <c r="BR74" s="67"/>
      <c r="BS74" s="67"/>
      <c r="BT74" s="67"/>
      <c r="BU74" s="67"/>
      <c r="BV74" s="67"/>
      <c r="BW74" s="67"/>
      <c r="BX74" s="67"/>
      <c r="BY74" s="67"/>
      <c r="BZ74" s="67"/>
      <c r="CA74" s="67"/>
      <c r="CB74" s="67"/>
      <c r="CC74" s="67"/>
      <c r="CD74" s="67"/>
      <c r="CE74" s="67"/>
      <c r="CF74" s="67"/>
      <c r="CG74" s="67"/>
      <c r="CH74" s="67"/>
      <c r="CI74" s="67"/>
      <c r="CJ74" s="67"/>
      <c r="CK74" s="67"/>
      <c r="CL74" s="67"/>
      <c r="CM74" s="67"/>
      <c r="CN74" s="67"/>
      <c r="CO74" s="67"/>
      <c r="CP74" s="67"/>
      <c r="CQ74" s="67"/>
      <c r="CR74" s="67"/>
      <c r="CS74" s="67"/>
      <c r="CT74" s="67"/>
      <c r="CU74" s="67"/>
      <c r="CV74" s="67"/>
      <c r="CW74" s="67"/>
      <c r="CX74" s="67"/>
      <c r="CY74" s="67"/>
      <c r="CZ74" s="67"/>
      <c r="DA74" s="67"/>
      <c r="DB74" s="67"/>
      <c r="DC74" s="67"/>
      <c r="DD74" s="67"/>
      <c r="DE74" s="67"/>
      <c r="DF74" s="67"/>
      <c r="DG74" s="67"/>
      <c r="DH74" s="67"/>
      <c r="DI74" s="67"/>
      <c r="DJ74" s="67"/>
    </row>
    <row r="75" spans="1:114" x14ac:dyDescent="0.25">
      <c r="E75" s="67"/>
      <c r="G75" s="67"/>
      <c r="H75" s="67"/>
      <c r="I75" s="67"/>
      <c r="J75" s="67"/>
      <c r="K75" s="67"/>
      <c r="L75" s="67"/>
      <c r="M75" s="67"/>
      <c r="N75" s="67"/>
      <c r="O75" s="67"/>
      <c r="P75" s="67"/>
      <c r="Q75" s="67"/>
      <c r="R75" s="67"/>
      <c r="S75" s="67"/>
      <c r="T75" s="67"/>
      <c r="U75" s="67"/>
      <c r="V75" s="67"/>
      <c r="W75" s="67"/>
      <c r="X75" s="67"/>
      <c r="Y75" s="67"/>
      <c r="Z75" s="67"/>
      <c r="AA75" s="67"/>
      <c r="AB75" s="67"/>
      <c r="AC75" s="67"/>
      <c r="AD75" s="67"/>
      <c r="AE75" s="67"/>
      <c r="AF75" s="67"/>
      <c r="AG75" s="67"/>
      <c r="AH75" s="67"/>
      <c r="AI75" s="67"/>
      <c r="AJ75" s="67"/>
      <c r="AK75" s="67"/>
      <c r="AL75" s="67"/>
      <c r="AM75" s="67"/>
      <c r="AN75" s="67"/>
      <c r="AO75" s="67"/>
      <c r="AP75" s="67"/>
      <c r="AQ75" s="67"/>
      <c r="AR75" s="67"/>
      <c r="AS75" s="67"/>
      <c r="AT75" s="67"/>
      <c r="AU75" s="67"/>
      <c r="AV75" s="67"/>
      <c r="AW75" s="67"/>
      <c r="AX75" s="67"/>
      <c r="AY75" s="67"/>
      <c r="AZ75" s="67"/>
      <c r="BA75" s="67"/>
      <c r="BB75" s="67"/>
      <c r="BC75" s="67"/>
      <c r="BD75" s="67"/>
      <c r="BE75" s="67"/>
      <c r="BF75" s="67"/>
      <c r="BG75" s="67"/>
      <c r="BH75" s="70"/>
      <c r="BJ75" s="67"/>
      <c r="BK75" s="67"/>
      <c r="BL75" s="67"/>
      <c r="BM75" s="67"/>
      <c r="BN75" s="67"/>
      <c r="BO75" s="67"/>
      <c r="BP75" s="67"/>
      <c r="BQ75" s="67"/>
      <c r="BR75" s="67"/>
      <c r="BS75" s="67"/>
      <c r="BT75" s="67"/>
      <c r="BU75" s="67"/>
      <c r="BV75" s="67"/>
      <c r="BW75" s="67"/>
      <c r="BX75" s="67"/>
      <c r="BY75" s="67"/>
      <c r="BZ75" s="67"/>
      <c r="CA75" s="67"/>
      <c r="CB75" s="67"/>
      <c r="CC75" s="67"/>
      <c r="CD75" s="67"/>
      <c r="CE75" s="67"/>
      <c r="CF75" s="67"/>
      <c r="CG75" s="67"/>
      <c r="CH75" s="67"/>
      <c r="CI75" s="67"/>
      <c r="CJ75" s="67"/>
      <c r="CK75" s="67"/>
      <c r="CL75" s="67"/>
      <c r="CM75" s="67"/>
      <c r="CN75" s="67"/>
      <c r="CO75" s="67"/>
      <c r="CP75" s="67"/>
      <c r="CQ75" s="67"/>
      <c r="CR75" s="67"/>
      <c r="CS75" s="67"/>
      <c r="CT75" s="67"/>
      <c r="CU75" s="67"/>
      <c r="CV75" s="67"/>
      <c r="CW75" s="67"/>
      <c r="CX75" s="67"/>
      <c r="CY75" s="67"/>
      <c r="CZ75" s="67"/>
      <c r="DA75" s="67"/>
      <c r="DB75" s="67"/>
      <c r="DC75" s="67"/>
      <c r="DD75" s="67"/>
      <c r="DE75" s="67"/>
      <c r="DF75" s="67"/>
      <c r="DG75" s="67"/>
      <c r="DH75" s="67"/>
      <c r="DI75" s="67"/>
      <c r="DJ75" s="67"/>
    </row>
    <row r="76" spans="1:114" x14ac:dyDescent="0.25">
      <c r="E76" s="67"/>
      <c r="G76" s="67"/>
      <c r="H76" s="67"/>
      <c r="I76" s="67"/>
      <c r="J76" s="67"/>
      <c r="K76" s="67"/>
      <c r="L76" s="67"/>
      <c r="M76" s="67"/>
      <c r="N76" s="67"/>
      <c r="O76" s="67"/>
      <c r="P76" s="67"/>
      <c r="Q76" s="67"/>
      <c r="R76" s="67"/>
      <c r="S76" s="67"/>
      <c r="T76" s="67"/>
      <c r="U76" s="67"/>
      <c r="V76" s="67"/>
      <c r="W76" s="67"/>
      <c r="X76" s="67"/>
      <c r="Y76" s="67"/>
      <c r="Z76" s="67"/>
      <c r="AA76" s="67"/>
      <c r="AB76" s="67"/>
      <c r="AC76" s="67"/>
      <c r="AD76" s="67"/>
      <c r="AE76" s="67"/>
      <c r="AF76" s="67"/>
      <c r="AG76" s="67"/>
      <c r="AH76" s="67"/>
      <c r="AI76" s="67"/>
      <c r="AJ76" s="67"/>
      <c r="AK76" s="67"/>
      <c r="AL76" s="67"/>
      <c r="AM76" s="67"/>
      <c r="AN76" s="67"/>
      <c r="AO76" s="67"/>
      <c r="AP76" s="67"/>
      <c r="AQ76" s="67"/>
      <c r="AR76" s="67"/>
      <c r="AS76" s="67"/>
      <c r="AT76" s="67"/>
      <c r="AU76" s="67"/>
      <c r="AV76" s="67"/>
      <c r="AW76" s="67"/>
      <c r="AX76" s="67"/>
      <c r="AY76" s="67"/>
      <c r="AZ76" s="67"/>
      <c r="BA76" s="67"/>
      <c r="BB76" s="67"/>
      <c r="BC76" s="67"/>
      <c r="BD76" s="67"/>
      <c r="BE76" s="67"/>
      <c r="BF76" s="67"/>
      <c r="BG76" s="67"/>
      <c r="BH76" s="70"/>
      <c r="BJ76" s="67"/>
      <c r="BK76" s="67"/>
      <c r="BL76" s="67"/>
      <c r="BM76" s="67"/>
      <c r="BN76" s="67"/>
      <c r="BO76" s="67"/>
      <c r="BP76" s="67"/>
      <c r="BQ76" s="67"/>
      <c r="BR76" s="67"/>
      <c r="BS76" s="67"/>
      <c r="BT76" s="67"/>
      <c r="BU76" s="67"/>
      <c r="BV76" s="67"/>
      <c r="BW76" s="67"/>
      <c r="BX76" s="67"/>
      <c r="BY76" s="67"/>
      <c r="BZ76" s="67"/>
      <c r="CA76" s="67"/>
      <c r="CB76" s="67"/>
      <c r="CC76" s="67"/>
      <c r="CD76" s="67"/>
      <c r="CE76" s="67"/>
      <c r="CF76" s="67"/>
      <c r="CG76" s="67"/>
      <c r="CH76" s="67"/>
      <c r="CI76" s="67"/>
      <c r="CJ76" s="67"/>
      <c r="CK76" s="67"/>
      <c r="CL76" s="67"/>
      <c r="CM76" s="67"/>
      <c r="CN76" s="67"/>
      <c r="CO76" s="67"/>
      <c r="CP76" s="67"/>
      <c r="CQ76" s="67"/>
      <c r="CR76" s="67"/>
      <c r="CS76" s="67"/>
      <c r="CT76" s="67"/>
      <c r="CU76" s="67"/>
      <c r="CV76" s="67"/>
      <c r="CW76" s="67"/>
      <c r="CX76" s="67"/>
      <c r="CY76" s="67"/>
      <c r="CZ76" s="67"/>
      <c r="DA76" s="67"/>
      <c r="DB76" s="67"/>
      <c r="DC76" s="67"/>
      <c r="DD76" s="67"/>
      <c r="DE76" s="67"/>
      <c r="DF76" s="67"/>
      <c r="DG76" s="67"/>
      <c r="DH76" s="67"/>
      <c r="DI76" s="67"/>
      <c r="DJ76" s="67"/>
    </row>
    <row r="77" spans="1:114" x14ac:dyDescent="0.25">
      <c r="E77" s="67"/>
      <c r="G77" s="67"/>
      <c r="H77" s="67"/>
      <c r="I77" s="67"/>
      <c r="J77" s="67"/>
      <c r="K77" s="67"/>
      <c r="L77" s="67"/>
      <c r="M77" s="67"/>
      <c r="N77" s="67"/>
      <c r="O77" s="67"/>
      <c r="P77" s="67"/>
      <c r="Q77" s="67"/>
      <c r="R77" s="67"/>
      <c r="S77" s="67"/>
      <c r="T77" s="67"/>
      <c r="U77" s="67"/>
      <c r="V77" s="67"/>
      <c r="W77" s="67"/>
      <c r="X77" s="67"/>
      <c r="Y77" s="67"/>
      <c r="Z77" s="67"/>
      <c r="AA77" s="67"/>
      <c r="AB77" s="67"/>
      <c r="AC77" s="67"/>
      <c r="AD77" s="67"/>
      <c r="AE77" s="67"/>
      <c r="AF77" s="67"/>
      <c r="AG77" s="67"/>
      <c r="AH77" s="67"/>
      <c r="AI77" s="67"/>
      <c r="AJ77" s="67"/>
      <c r="AK77" s="67"/>
      <c r="AL77" s="67"/>
      <c r="AM77" s="67"/>
      <c r="AN77" s="67"/>
      <c r="AO77" s="67"/>
      <c r="AP77" s="67"/>
      <c r="AQ77" s="67"/>
      <c r="AR77" s="67"/>
      <c r="AS77" s="67"/>
      <c r="AT77" s="67"/>
      <c r="AU77" s="67"/>
      <c r="AV77" s="67"/>
      <c r="AW77" s="67"/>
      <c r="AX77" s="67"/>
      <c r="AY77" s="67"/>
      <c r="AZ77" s="67"/>
      <c r="BA77" s="67"/>
      <c r="BB77" s="67"/>
      <c r="BC77" s="67"/>
      <c r="BD77" s="67"/>
      <c r="BE77" s="67"/>
      <c r="BF77" s="67"/>
      <c r="BG77" s="67"/>
      <c r="BH77" s="70"/>
      <c r="BJ77" s="67"/>
      <c r="BK77" s="67"/>
      <c r="BL77" s="67"/>
      <c r="BM77" s="67"/>
      <c r="BN77" s="67"/>
      <c r="BO77" s="67"/>
      <c r="BP77" s="67"/>
      <c r="BQ77" s="67"/>
      <c r="BR77" s="67"/>
      <c r="BS77" s="67"/>
      <c r="BT77" s="67"/>
      <c r="BU77" s="67"/>
      <c r="BV77" s="67"/>
      <c r="BW77" s="67"/>
      <c r="BX77" s="67"/>
      <c r="BY77" s="67"/>
      <c r="BZ77" s="67"/>
      <c r="CA77" s="67"/>
      <c r="CB77" s="67"/>
      <c r="CC77" s="67"/>
      <c r="CD77" s="67"/>
      <c r="CE77" s="67"/>
      <c r="CF77" s="67"/>
      <c r="CG77" s="67"/>
      <c r="CH77" s="67"/>
      <c r="CI77" s="67"/>
      <c r="CJ77" s="67"/>
      <c r="CK77" s="67"/>
      <c r="CL77" s="67"/>
      <c r="CM77" s="67"/>
      <c r="CN77" s="67"/>
      <c r="CO77" s="67"/>
      <c r="CP77" s="67"/>
      <c r="CQ77" s="67"/>
      <c r="CR77" s="67"/>
      <c r="CS77" s="67"/>
      <c r="CT77" s="67"/>
      <c r="CU77" s="67"/>
      <c r="CV77" s="67"/>
      <c r="CW77" s="67"/>
      <c r="CX77" s="67"/>
      <c r="CY77" s="67"/>
      <c r="CZ77" s="67"/>
      <c r="DA77" s="67"/>
      <c r="DB77" s="67"/>
      <c r="DC77" s="67"/>
      <c r="DD77" s="67"/>
      <c r="DE77" s="67"/>
      <c r="DF77" s="67"/>
      <c r="DG77" s="67"/>
      <c r="DH77" s="67"/>
      <c r="DI77" s="67"/>
      <c r="DJ77" s="67"/>
    </row>
    <row r="78" spans="1:114" x14ac:dyDescent="0.25">
      <c r="E78" s="67"/>
      <c r="G78" s="67"/>
      <c r="H78" s="67"/>
      <c r="I78" s="67"/>
      <c r="J78" s="67"/>
      <c r="K78" s="67"/>
      <c r="L78" s="67"/>
      <c r="M78" s="67"/>
      <c r="N78" s="67"/>
      <c r="O78" s="67"/>
      <c r="P78" s="67"/>
      <c r="Q78" s="67"/>
      <c r="R78" s="67"/>
      <c r="S78" s="67"/>
      <c r="T78" s="67"/>
      <c r="U78" s="67"/>
      <c r="V78" s="67"/>
      <c r="W78" s="67"/>
      <c r="X78" s="67"/>
      <c r="Y78" s="67"/>
      <c r="Z78" s="67"/>
      <c r="AA78" s="67"/>
      <c r="AB78" s="67"/>
      <c r="AC78" s="67"/>
      <c r="AD78" s="67"/>
      <c r="AE78" s="67"/>
      <c r="AF78" s="67"/>
      <c r="AG78" s="67"/>
      <c r="AH78" s="67"/>
      <c r="AI78" s="67"/>
      <c r="AJ78" s="67"/>
      <c r="AK78" s="67"/>
      <c r="AL78" s="67"/>
      <c r="AM78" s="67"/>
      <c r="AN78" s="67"/>
      <c r="AO78" s="67"/>
      <c r="AP78" s="67"/>
      <c r="AQ78" s="67"/>
      <c r="AR78" s="67"/>
      <c r="AS78" s="67"/>
      <c r="AT78" s="67"/>
      <c r="AU78" s="67"/>
      <c r="AV78" s="67"/>
      <c r="AW78" s="67"/>
      <c r="AX78" s="67"/>
      <c r="AY78" s="67"/>
      <c r="AZ78" s="67"/>
      <c r="BA78" s="67"/>
      <c r="BB78" s="67"/>
      <c r="BC78" s="67"/>
      <c r="BD78" s="67"/>
      <c r="BE78" s="67"/>
      <c r="BF78" s="67"/>
      <c r="BG78" s="67"/>
      <c r="BH78" s="70"/>
      <c r="BJ78" s="67"/>
      <c r="BK78" s="67"/>
      <c r="BL78" s="67"/>
      <c r="BM78" s="67"/>
      <c r="BN78" s="67"/>
      <c r="BO78" s="67"/>
      <c r="BP78" s="67"/>
      <c r="BQ78" s="67"/>
      <c r="BR78" s="67"/>
      <c r="BS78" s="67"/>
      <c r="BT78" s="67"/>
      <c r="BU78" s="67"/>
      <c r="BV78" s="67"/>
      <c r="BW78" s="67"/>
      <c r="BX78" s="67"/>
      <c r="BY78" s="67"/>
      <c r="BZ78" s="67"/>
      <c r="CA78" s="67"/>
      <c r="CB78" s="67"/>
      <c r="CC78" s="67"/>
      <c r="CD78" s="67"/>
      <c r="CE78" s="67"/>
      <c r="CF78" s="67"/>
      <c r="CG78" s="67"/>
      <c r="CH78" s="67"/>
      <c r="CI78" s="67"/>
      <c r="CJ78" s="67"/>
      <c r="CK78" s="67"/>
      <c r="CL78" s="67"/>
      <c r="CM78" s="67"/>
      <c r="CN78" s="67"/>
      <c r="CO78" s="67"/>
      <c r="CP78" s="67"/>
      <c r="CQ78" s="67"/>
      <c r="CR78" s="67"/>
      <c r="CS78" s="67"/>
      <c r="CT78" s="67"/>
      <c r="CU78" s="67"/>
      <c r="CV78" s="67"/>
      <c r="CW78" s="67"/>
      <c r="CX78" s="67"/>
      <c r="CY78" s="67"/>
      <c r="CZ78" s="67"/>
      <c r="DA78" s="67"/>
      <c r="DB78" s="67"/>
      <c r="DC78" s="67"/>
      <c r="DD78" s="67"/>
      <c r="DE78" s="67"/>
      <c r="DF78" s="67"/>
      <c r="DG78" s="67"/>
      <c r="DH78" s="67"/>
      <c r="DI78" s="67"/>
      <c r="DJ78" s="67"/>
    </row>
    <row r="79" spans="1:114" x14ac:dyDescent="0.25">
      <c r="E79" s="67"/>
      <c r="G79" s="67"/>
      <c r="H79" s="67"/>
      <c r="I79" s="67"/>
      <c r="J79" s="67"/>
      <c r="K79" s="67"/>
      <c r="L79" s="67"/>
      <c r="M79" s="67"/>
      <c r="N79" s="67"/>
      <c r="O79" s="67"/>
      <c r="P79" s="67"/>
      <c r="Q79" s="67"/>
      <c r="R79" s="67"/>
      <c r="S79" s="67"/>
      <c r="T79" s="67"/>
      <c r="U79" s="67"/>
      <c r="V79" s="67"/>
      <c r="W79" s="67"/>
      <c r="X79" s="67"/>
      <c r="Y79" s="67"/>
      <c r="Z79" s="67"/>
      <c r="AA79" s="67"/>
      <c r="AB79" s="67"/>
      <c r="AC79" s="67"/>
      <c r="AD79" s="67"/>
      <c r="AE79" s="67"/>
      <c r="AF79" s="67"/>
      <c r="AG79" s="67"/>
      <c r="AH79" s="67"/>
      <c r="AI79" s="67"/>
      <c r="AJ79" s="67"/>
      <c r="AK79" s="67"/>
      <c r="AL79" s="67"/>
      <c r="AM79" s="67"/>
      <c r="AN79" s="67"/>
      <c r="AO79" s="67"/>
      <c r="AP79" s="67"/>
      <c r="AQ79" s="67"/>
      <c r="AR79" s="67"/>
      <c r="AS79" s="67"/>
      <c r="AT79" s="67"/>
      <c r="AU79" s="67"/>
      <c r="AV79" s="67"/>
      <c r="AW79" s="67"/>
      <c r="AX79" s="67"/>
      <c r="AY79" s="67"/>
      <c r="AZ79" s="67"/>
      <c r="BA79" s="67"/>
      <c r="BB79" s="67"/>
      <c r="BC79" s="67"/>
      <c r="BD79" s="67"/>
      <c r="BE79" s="67"/>
      <c r="BF79" s="67"/>
      <c r="BG79" s="67"/>
      <c r="BH79" s="70"/>
      <c r="BJ79" s="67"/>
      <c r="BK79" s="67"/>
      <c r="BL79" s="67"/>
      <c r="BM79" s="67"/>
      <c r="BN79" s="67"/>
      <c r="BO79" s="67"/>
      <c r="BP79" s="67"/>
      <c r="BQ79" s="67"/>
      <c r="BR79" s="67"/>
      <c r="BS79" s="67"/>
      <c r="BT79" s="67"/>
      <c r="BU79" s="67"/>
      <c r="BV79" s="67"/>
      <c r="BW79" s="67"/>
      <c r="BX79" s="67"/>
      <c r="BY79" s="67"/>
      <c r="BZ79" s="67"/>
      <c r="CA79" s="67"/>
      <c r="CB79" s="67"/>
      <c r="CC79" s="67"/>
      <c r="CD79" s="67"/>
      <c r="CE79" s="67"/>
      <c r="CF79" s="67"/>
      <c r="CG79" s="67"/>
      <c r="CH79" s="67"/>
      <c r="CI79" s="67"/>
      <c r="CJ79" s="67"/>
      <c r="CK79" s="67"/>
      <c r="CL79" s="67"/>
      <c r="CM79" s="67"/>
      <c r="CN79" s="67"/>
      <c r="CO79" s="67"/>
      <c r="CP79" s="67"/>
      <c r="CQ79" s="67"/>
      <c r="CR79" s="67"/>
      <c r="CS79" s="67"/>
      <c r="CT79" s="67"/>
      <c r="CU79" s="67"/>
      <c r="CV79" s="67"/>
      <c r="CW79" s="67"/>
      <c r="CX79" s="67"/>
      <c r="CY79" s="67"/>
      <c r="CZ79" s="67"/>
      <c r="DA79" s="67"/>
      <c r="DB79" s="67"/>
      <c r="DC79" s="67"/>
      <c r="DD79" s="67"/>
      <c r="DE79" s="67"/>
      <c r="DF79" s="67"/>
      <c r="DG79" s="67"/>
      <c r="DH79" s="67"/>
      <c r="DI79" s="67"/>
      <c r="DJ79" s="67"/>
    </row>
    <row r="80" spans="1:114" x14ac:dyDescent="0.25">
      <c r="E80" s="67"/>
      <c r="G80" s="67"/>
      <c r="H80" s="67"/>
      <c r="I80" s="67"/>
      <c r="J80" s="67"/>
      <c r="K80" s="67"/>
      <c r="L80" s="67"/>
      <c r="M80" s="67"/>
      <c r="N80" s="67"/>
      <c r="O80" s="67"/>
      <c r="P80" s="67"/>
      <c r="Q80" s="67"/>
      <c r="R80" s="67"/>
      <c r="S80" s="67"/>
      <c r="T80" s="67"/>
      <c r="U80" s="67"/>
      <c r="V80" s="67"/>
      <c r="W80" s="67"/>
      <c r="X80" s="67"/>
      <c r="Y80" s="67"/>
      <c r="Z80" s="67"/>
      <c r="AA80" s="67"/>
      <c r="AB80" s="67"/>
      <c r="AC80" s="67"/>
      <c r="AD80" s="67"/>
      <c r="AE80" s="67"/>
      <c r="AF80" s="67"/>
      <c r="AG80" s="67"/>
      <c r="AH80" s="67"/>
      <c r="AI80" s="67"/>
      <c r="AJ80" s="67"/>
      <c r="AK80" s="67"/>
      <c r="AL80" s="67"/>
      <c r="AM80" s="67"/>
      <c r="AN80" s="67"/>
      <c r="AO80" s="67"/>
      <c r="AP80" s="67"/>
      <c r="AQ80" s="67"/>
      <c r="AR80" s="67"/>
      <c r="AS80" s="67"/>
      <c r="AT80" s="67"/>
      <c r="AU80" s="67"/>
      <c r="AV80" s="67"/>
      <c r="AW80" s="67"/>
      <c r="AX80" s="67"/>
      <c r="AY80" s="67"/>
      <c r="AZ80" s="67"/>
      <c r="BA80" s="67"/>
      <c r="BB80" s="67"/>
      <c r="BC80" s="67"/>
      <c r="BD80" s="67"/>
      <c r="BE80" s="67"/>
      <c r="BF80" s="67"/>
      <c r="BG80" s="67"/>
      <c r="BH80" s="70"/>
      <c r="BJ80" s="67"/>
      <c r="BK80" s="67"/>
      <c r="BL80" s="67"/>
      <c r="BM80" s="67"/>
      <c r="BN80" s="67"/>
      <c r="BO80" s="67"/>
      <c r="BP80" s="67"/>
      <c r="BQ80" s="67"/>
      <c r="BR80" s="67"/>
      <c r="BS80" s="67"/>
      <c r="BT80" s="67"/>
      <c r="BU80" s="67"/>
      <c r="BV80" s="67"/>
      <c r="BW80" s="67"/>
      <c r="BX80" s="67"/>
      <c r="BY80" s="67"/>
      <c r="BZ80" s="67"/>
      <c r="CA80" s="67"/>
      <c r="CB80" s="67"/>
      <c r="CC80" s="67"/>
      <c r="CD80" s="67"/>
      <c r="CE80" s="67"/>
      <c r="CF80" s="67"/>
      <c r="CG80" s="67"/>
      <c r="CH80" s="67"/>
      <c r="CI80" s="67"/>
      <c r="CJ80" s="67"/>
      <c r="CK80" s="67"/>
      <c r="CL80" s="67"/>
      <c r="CM80" s="67"/>
      <c r="CN80" s="67"/>
      <c r="CO80" s="67"/>
      <c r="CP80" s="67"/>
      <c r="CQ80" s="67"/>
      <c r="CR80" s="67"/>
      <c r="CS80" s="67"/>
      <c r="CT80" s="67"/>
      <c r="CU80" s="67"/>
      <c r="CV80" s="67"/>
      <c r="CW80" s="67"/>
      <c r="CX80" s="67"/>
      <c r="CY80" s="67"/>
      <c r="CZ80" s="67"/>
      <c r="DA80" s="67"/>
      <c r="DB80" s="67"/>
      <c r="DC80" s="67"/>
      <c r="DD80" s="67"/>
      <c r="DE80" s="67"/>
      <c r="DF80" s="67"/>
      <c r="DG80" s="67"/>
      <c r="DH80" s="67"/>
      <c r="DI80" s="67"/>
      <c r="DJ80" s="67"/>
    </row>
    <row r="81" spans="5:114" x14ac:dyDescent="0.25">
      <c r="E81" s="67"/>
      <c r="G81" s="67"/>
      <c r="H81" s="67"/>
      <c r="I81" s="67"/>
      <c r="J81" s="67"/>
      <c r="K81" s="67"/>
      <c r="L81" s="67"/>
      <c r="M81" s="67"/>
      <c r="N81" s="67"/>
      <c r="O81" s="67"/>
      <c r="P81" s="67"/>
      <c r="Q81" s="67"/>
      <c r="R81" s="67"/>
      <c r="S81" s="67"/>
      <c r="T81" s="67"/>
      <c r="U81" s="67"/>
      <c r="V81" s="67"/>
      <c r="W81" s="67"/>
      <c r="X81" s="67"/>
      <c r="Y81" s="67"/>
      <c r="Z81" s="67"/>
      <c r="AA81" s="67"/>
      <c r="AB81" s="67"/>
      <c r="AC81" s="67"/>
      <c r="AD81" s="67"/>
      <c r="AE81" s="67"/>
      <c r="AF81" s="67"/>
      <c r="AG81" s="67"/>
      <c r="AH81" s="67"/>
      <c r="AI81" s="67"/>
      <c r="AJ81" s="67"/>
      <c r="AK81" s="67"/>
      <c r="AL81" s="67"/>
      <c r="AM81" s="67"/>
      <c r="AN81" s="67"/>
      <c r="AO81" s="67"/>
      <c r="AP81" s="67"/>
      <c r="AQ81" s="67"/>
      <c r="AR81" s="67"/>
      <c r="AS81" s="67"/>
      <c r="AT81" s="67"/>
      <c r="AU81" s="67"/>
      <c r="AV81" s="67"/>
      <c r="AW81" s="67"/>
      <c r="AX81" s="67"/>
      <c r="AY81" s="67"/>
      <c r="AZ81" s="67"/>
      <c r="BA81" s="67"/>
      <c r="BB81" s="67"/>
      <c r="BC81" s="67"/>
      <c r="BD81" s="67"/>
      <c r="BE81" s="67"/>
      <c r="BF81" s="67"/>
      <c r="BG81" s="67"/>
      <c r="BH81" s="70"/>
      <c r="BJ81" s="67"/>
      <c r="BK81" s="67"/>
      <c r="BL81" s="67"/>
      <c r="BM81" s="67"/>
      <c r="BN81" s="67"/>
      <c r="BO81" s="67"/>
      <c r="BP81" s="67"/>
      <c r="BQ81" s="67"/>
      <c r="BR81" s="67"/>
      <c r="BS81" s="67"/>
      <c r="BT81" s="67"/>
      <c r="BU81" s="67"/>
      <c r="BV81" s="67"/>
      <c r="BW81" s="67"/>
      <c r="BX81" s="67"/>
      <c r="BY81" s="67"/>
      <c r="BZ81" s="67"/>
      <c r="CA81" s="67"/>
      <c r="CB81" s="67"/>
      <c r="CC81" s="67"/>
      <c r="CD81" s="67"/>
      <c r="CE81" s="67"/>
      <c r="CF81" s="67"/>
      <c r="CG81" s="67"/>
      <c r="CH81" s="67"/>
      <c r="CI81" s="67"/>
      <c r="CJ81" s="67"/>
      <c r="CK81" s="67"/>
      <c r="CL81" s="67"/>
      <c r="CM81" s="67"/>
      <c r="CN81" s="67"/>
      <c r="CO81" s="67"/>
      <c r="CP81" s="67"/>
      <c r="CQ81" s="67"/>
      <c r="CR81" s="67"/>
      <c r="CS81" s="67"/>
      <c r="CT81" s="67"/>
      <c r="CU81" s="67"/>
      <c r="CV81" s="67"/>
      <c r="CW81" s="67"/>
      <c r="CX81" s="67"/>
      <c r="CY81" s="67"/>
      <c r="CZ81" s="67"/>
      <c r="DA81" s="67"/>
      <c r="DB81" s="67"/>
      <c r="DC81" s="67"/>
      <c r="DD81" s="67"/>
      <c r="DE81" s="67"/>
      <c r="DF81" s="67"/>
      <c r="DG81" s="67"/>
      <c r="DH81" s="67"/>
      <c r="DI81" s="67"/>
      <c r="DJ81" s="67"/>
    </row>
    <row r="82" spans="5:114" x14ac:dyDescent="0.25">
      <c r="E82" s="67"/>
      <c r="G82" s="67"/>
      <c r="H82" s="67"/>
      <c r="I82" s="67"/>
      <c r="J82" s="67"/>
      <c r="K82" s="67"/>
      <c r="L82" s="67"/>
      <c r="M82" s="67"/>
      <c r="N82" s="67"/>
      <c r="O82" s="67"/>
      <c r="P82" s="67"/>
      <c r="Q82" s="67"/>
      <c r="R82" s="67"/>
      <c r="S82" s="67"/>
      <c r="T82" s="67"/>
      <c r="U82" s="67"/>
      <c r="V82" s="67"/>
      <c r="W82" s="67"/>
      <c r="X82" s="67"/>
      <c r="Y82" s="67"/>
      <c r="Z82" s="67"/>
      <c r="AA82" s="67"/>
      <c r="AB82" s="67"/>
      <c r="AC82" s="67"/>
      <c r="AD82" s="67"/>
      <c r="AE82" s="67"/>
      <c r="AF82" s="67"/>
      <c r="AG82" s="67"/>
      <c r="AH82" s="67"/>
      <c r="AI82" s="67"/>
      <c r="AJ82" s="67"/>
      <c r="AK82" s="67"/>
      <c r="AL82" s="67"/>
      <c r="AM82" s="67"/>
      <c r="AN82" s="67"/>
      <c r="AO82" s="67"/>
      <c r="AP82" s="67"/>
      <c r="AQ82" s="67"/>
      <c r="AR82" s="67"/>
      <c r="AS82" s="67"/>
      <c r="AT82" s="67"/>
      <c r="AU82" s="67"/>
      <c r="AV82" s="67"/>
      <c r="AW82" s="67"/>
      <c r="AX82" s="67"/>
      <c r="AY82" s="67"/>
      <c r="AZ82" s="67"/>
      <c r="BA82" s="67"/>
      <c r="BB82" s="67"/>
      <c r="BC82" s="67"/>
      <c r="BD82" s="67"/>
      <c r="BE82" s="67"/>
      <c r="BF82" s="67"/>
      <c r="BG82" s="67"/>
      <c r="BH82" s="70"/>
      <c r="BJ82" s="67"/>
      <c r="BK82" s="67"/>
      <c r="BL82" s="67"/>
      <c r="BM82" s="67"/>
      <c r="BN82" s="67"/>
      <c r="BO82" s="67"/>
      <c r="BP82" s="67"/>
      <c r="BQ82" s="67"/>
      <c r="BR82" s="67"/>
      <c r="BS82" s="67"/>
      <c r="BT82" s="67"/>
      <c r="BU82" s="67"/>
      <c r="BV82" s="67"/>
      <c r="BW82" s="67"/>
      <c r="BX82" s="67"/>
      <c r="BY82" s="67"/>
      <c r="BZ82" s="67"/>
      <c r="CA82" s="67"/>
      <c r="CB82" s="67"/>
      <c r="CC82" s="67"/>
      <c r="CD82" s="67"/>
      <c r="CE82" s="67"/>
      <c r="CF82" s="67"/>
      <c r="CG82" s="67"/>
      <c r="CH82" s="67"/>
      <c r="CI82" s="67"/>
      <c r="CJ82" s="67"/>
      <c r="CK82" s="67"/>
      <c r="CL82" s="67"/>
      <c r="CM82" s="67"/>
      <c r="CN82" s="67"/>
      <c r="CO82" s="67"/>
      <c r="CP82" s="67"/>
      <c r="CQ82" s="67"/>
      <c r="CR82" s="67"/>
      <c r="CS82" s="67"/>
      <c r="CT82" s="67"/>
      <c r="CU82" s="67"/>
      <c r="CV82" s="67"/>
      <c r="CW82" s="67"/>
      <c r="CX82" s="67"/>
      <c r="CY82" s="67"/>
      <c r="CZ82" s="67"/>
      <c r="DA82" s="67"/>
      <c r="DB82" s="67"/>
      <c r="DC82" s="67"/>
      <c r="DD82" s="67"/>
      <c r="DE82" s="67"/>
      <c r="DF82" s="67"/>
      <c r="DG82" s="67"/>
      <c r="DH82" s="67"/>
      <c r="DI82" s="67"/>
      <c r="DJ82" s="67"/>
    </row>
    <row r="83" spans="5:114" x14ac:dyDescent="0.25">
      <c r="E83" s="67"/>
      <c r="G83" s="67"/>
      <c r="H83" s="67"/>
      <c r="I83" s="67"/>
      <c r="J83" s="67"/>
      <c r="K83" s="67"/>
      <c r="L83" s="67"/>
      <c r="M83" s="67"/>
      <c r="N83" s="67"/>
      <c r="O83" s="67"/>
      <c r="P83" s="67"/>
      <c r="Q83" s="67"/>
      <c r="R83" s="67"/>
      <c r="S83" s="67"/>
      <c r="T83" s="67"/>
      <c r="U83" s="67"/>
      <c r="V83" s="67"/>
      <c r="W83" s="67"/>
      <c r="X83" s="67"/>
      <c r="Y83" s="67"/>
      <c r="Z83" s="67"/>
      <c r="AA83" s="67"/>
      <c r="AB83" s="67"/>
      <c r="AC83" s="67"/>
      <c r="AD83" s="67"/>
      <c r="AE83" s="67"/>
      <c r="AF83" s="67"/>
      <c r="AG83" s="67"/>
      <c r="AH83" s="67"/>
      <c r="AI83" s="67"/>
      <c r="AJ83" s="67"/>
      <c r="AK83" s="67"/>
      <c r="AL83" s="67"/>
      <c r="AM83" s="67"/>
      <c r="AN83" s="67"/>
      <c r="AO83" s="67"/>
      <c r="AP83" s="67"/>
      <c r="AQ83" s="67"/>
      <c r="AR83" s="67"/>
      <c r="AS83" s="67"/>
      <c r="AT83" s="67"/>
      <c r="AU83" s="67"/>
      <c r="AV83" s="67"/>
      <c r="AW83" s="67"/>
      <c r="AX83" s="67"/>
      <c r="AY83" s="67"/>
      <c r="AZ83" s="67"/>
      <c r="BA83" s="67"/>
      <c r="BB83" s="67"/>
      <c r="BC83" s="67"/>
      <c r="BD83" s="67"/>
      <c r="BE83" s="67"/>
      <c r="BF83" s="67"/>
      <c r="BG83" s="67"/>
      <c r="BH83" s="70"/>
      <c r="BJ83" s="67"/>
      <c r="BK83" s="67"/>
      <c r="BL83" s="67"/>
      <c r="BM83" s="67"/>
      <c r="BN83" s="67"/>
      <c r="BO83" s="67"/>
      <c r="BP83" s="67"/>
      <c r="BQ83" s="67"/>
      <c r="BR83" s="67"/>
      <c r="BS83" s="67"/>
      <c r="BT83" s="67"/>
      <c r="BU83" s="67"/>
      <c r="BV83" s="67"/>
      <c r="BW83" s="67"/>
      <c r="BX83" s="67"/>
      <c r="BY83" s="67"/>
      <c r="BZ83" s="67"/>
      <c r="CA83" s="67"/>
      <c r="CB83" s="67"/>
      <c r="CC83" s="67"/>
      <c r="CD83" s="67"/>
      <c r="CE83" s="67"/>
      <c r="CF83" s="67"/>
      <c r="CG83" s="67"/>
      <c r="CH83" s="67"/>
      <c r="CI83" s="67"/>
      <c r="CJ83" s="67"/>
      <c r="CK83" s="67"/>
      <c r="CL83" s="67"/>
      <c r="CM83" s="67"/>
      <c r="CN83" s="67"/>
      <c r="CO83" s="67"/>
      <c r="CP83" s="67"/>
      <c r="CQ83" s="67"/>
      <c r="CR83" s="67"/>
      <c r="CS83" s="67"/>
      <c r="CT83" s="67"/>
      <c r="CU83" s="67"/>
      <c r="CV83" s="67"/>
      <c r="CW83" s="67"/>
      <c r="CX83" s="67"/>
      <c r="CY83" s="67"/>
      <c r="CZ83" s="67"/>
      <c r="DA83" s="67"/>
      <c r="DB83" s="67"/>
      <c r="DC83" s="67"/>
      <c r="DD83" s="67"/>
      <c r="DE83" s="67"/>
      <c r="DF83" s="67"/>
      <c r="DG83" s="67"/>
      <c r="DH83" s="67"/>
      <c r="DI83" s="67"/>
      <c r="DJ83" s="67"/>
    </row>
    <row r="84" spans="5:114" x14ac:dyDescent="0.25">
      <c r="E84" s="67"/>
      <c r="G84" s="67"/>
      <c r="H84" s="67"/>
      <c r="I84" s="67"/>
      <c r="J84" s="67"/>
      <c r="K84" s="67"/>
      <c r="L84" s="67"/>
      <c r="M84" s="67"/>
      <c r="N84" s="67"/>
      <c r="O84" s="67"/>
      <c r="P84" s="67"/>
      <c r="Q84" s="67"/>
      <c r="R84" s="67"/>
      <c r="S84" s="67"/>
      <c r="T84" s="67"/>
      <c r="U84" s="67"/>
      <c r="V84" s="67"/>
      <c r="W84" s="67"/>
      <c r="X84" s="67"/>
      <c r="Y84" s="67"/>
      <c r="Z84" s="67"/>
      <c r="AA84" s="67"/>
      <c r="AB84" s="67"/>
      <c r="AC84" s="67"/>
      <c r="AD84" s="67"/>
      <c r="AE84" s="67"/>
      <c r="AF84" s="67"/>
      <c r="AG84" s="67"/>
      <c r="AH84" s="67"/>
      <c r="AI84" s="67"/>
      <c r="AJ84" s="67"/>
      <c r="AK84" s="67"/>
      <c r="AL84" s="67"/>
      <c r="AM84" s="67"/>
      <c r="AN84" s="67"/>
      <c r="AO84" s="67"/>
      <c r="AP84" s="67"/>
      <c r="AQ84" s="67"/>
      <c r="AR84" s="67"/>
      <c r="AS84" s="67"/>
      <c r="AT84" s="67"/>
      <c r="AU84" s="67"/>
      <c r="AV84" s="67"/>
      <c r="AW84" s="67"/>
      <c r="AX84" s="67"/>
      <c r="AY84" s="67"/>
      <c r="AZ84" s="67"/>
      <c r="BA84" s="67"/>
      <c r="BB84" s="67"/>
      <c r="BC84" s="67"/>
      <c r="BD84" s="67"/>
      <c r="BE84" s="67"/>
      <c r="BF84" s="67"/>
      <c r="BG84" s="67"/>
      <c r="BH84" s="70"/>
      <c r="BJ84" s="67"/>
      <c r="BK84" s="67"/>
      <c r="BL84" s="67"/>
      <c r="BM84" s="67"/>
      <c r="BN84" s="67"/>
      <c r="BO84" s="67"/>
      <c r="BP84" s="67"/>
      <c r="BQ84" s="67"/>
      <c r="BR84" s="67"/>
      <c r="BS84" s="67"/>
      <c r="BT84" s="67"/>
      <c r="BU84" s="67"/>
      <c r="BV84" s="67"/>
      <c r="BW84" s="67"/>
      <c r="BX84" s="67"/>
      <c r="BY84" s="67"/>
      <c r="BZ84" s="67"/>
      <c r="CA84" s="67"/>
      <c r="CB84" s="67"/>
      <c r="CC84" s="67"/>
      <c r="CD84" s="67"/>
      <c r="CE84" s="67"/>
      <c r="CF84" s="67"/>
      <c r="CG84" s="67"/>
      <c r="CH84" s="67"/>
      <c r="CI84" s="67"/>
      <c r="CJ84" s="67"/>
      <c r="CK84" s="67"/>
      <c r="CL84" s="67"/>
      <c r="CM84" s="67"/>
      <c r="CN84" s="67"/>
      <c r="CO84" s="67"/>
      <c r="CP84" s="67"/>
      <c r="CQ84" s="67"/>
      <c r="CR84" s="67"/>
      <c r="CS84" s="67"/>
      <c r="CT84" s="67"/>
      <c r="CU84" s="67"/>
      <c r="CV84" s="67"/>
      <c r="CW84" s="67"/>
      <c r="CX84" s="67"/>
      <c r="CY84" s="67"/>
      <c r="CZ84" s="67"/>
      <c r="DA84" s="67"/>
      <c r="DB84" s="67"/>
      <c r="DC84" s="67"/>
      <c r="DD84" s="67"/>
      <c r="DE84" s="67"/>
      <c r="DF84" s="67"/>
      <c r="DG84" s="67"/>
      <c r="DH84" s="67"/>
      <c r="DI84" s="67"/>
      <c r="DJ84" s="67"/>
    </row>
    <row r="85" spans="5:114" x14ac:dyDescent="0.25">
      <c r="E85" s="67"/>
      <c r="G85" s="67"/>
      <c r="H85" s="67"/>
      <c r="I85" s="67"/>
      <c r="J85" s="67"/>
      <c r="K85" s="67"/>
      <c r="L85" s="67"/>
      <c r="M85" s="67"/>
      <c r="N85" s="67"/>
      <c r="O85" s="67"/>
      <c r="P85" s="67"/>
      <c r="Q85" s="67"/>
      <c r="R85" s="67"/>
      <c r="S85" s="67"/>
      <c r="T85" s="67"/>
      <c r="U85" s="67"/>
      <c r="V85" s="67"/>
      <c r="W85" s="67"/>
      <c r="X85" s="67"/>
      <c r="Y85" s="67"/>
      <c r="Z85" s="67"/>
      <c r="AA85" s="67"/>
      <c r="AB85" s="67"/>
      <c r="AC85" s="67"/>
      <c r="AD85" s="67"/>
      <c r="AE85" s="67"/>
      <c r="AF85" s="67"/>
      <c r="AG85" s="67"/>
      <c r="AH85" s="67"/>
      <c r="AI85" s="67"/>
      <c r="AJ85" s="67"/>
      <c r="AK85" s="67"/>
      <c r="AL85" s="67"/>
      <c r="AM85" s="67"/>
      <c r="AN85" s="67"/>
      <c r="AO85" s="67"/>
      <c r="AP85" s="67"/>
      <c r="AQ85" s="67"/>
      <c r="AR85" s="67"/>
      <c r="AS85" s="67"/>
      <c r="AT85" s="67"/>
      <c r="AU85" s="67"/>
      <c r="AV85" s="67"/>
      <c r="AW85" s="67"/>
      <c r="AX85" s="67"/>
      <c r="AY85" s="67"/>
      <c r="AZ85" s="67"/>
      <c r="BA85" s="67"/>
      <c r="BB85" s="67"/>
      <c r="BC85" s="67"/>
      <c r="BD85" s="67"/>
      <c r="BE85" s="67"/>
      <c r="BF85" s="67"/>
      <c r="BG85" s="67"/>
      <c r="BH85" s="70"/>
      <c r="BJ85" s="67"/>
      <c r="BK85" s="67"/>
      <c r="BL85" s="67"/>
      <c r="BM85" s="67"/>
      <c r="BN85" s="67"/>
      <c r="BO85" s="67"/>
      <c r="BP85" s="67"/>
      <c r="BQ85" s="67"/>
      <c r="BR85" s="67"/>
      <c r="BS85" s="67"/>
      <c r="BT85" s="67"/>
      <c r="BU85" s="67"/>
      <c r="BV85" s="67"/>
      <c r="BW85" s="67"/>
      <c r="BX85" s="67"/>
      <c r="BY85" s="67"/>
      <c r="BZ85" s="67"/>
      <c r="CA85" s="67"/>
      <c r="CB85" s="67"/>
      <c r="CC85" s="67"/>
      <c r="CD85" s="67"/>
      <c r="CE85" s="67"/>
      <c r="CF85" s="67"/>
      <c r="CG85" s="67"/>
      <c r="CH85" s="67"/>
      <c r="CI85" s="67"/>
      <c r="CJ85" s="67"/>
      <c r="CK85" s="67"/>
      <c r="CL85" s="67"/>
      <c r="CM85" s="67"/>
      <c r="CN85" s="67"/>
      <c r="CO85" s="67"/>
      <c r="CP85" s="67"/>
      <c r="CQ85" s="67"/>
      <c r="CR85" s="67"/>
      <c r="CS85" s="67"/>
      <c r="CT85" s="67"/>
      <c r="CU85" s="67"/>
      <c r="CV85" s="67"/>
      <c r="CW85" s="67"/>
      <c r="CX85" s="67"/>
      <c r="CY85" s="67"/>
      <c r="CZ85" s="67"/>
      <c r="DA85" s="67"/>
      <c r="DB85" s="67"/>
      <c r="DC85" s="67"/>
      <c r="DD85" s="67"/>
      <c r="DE85" s="67"/>
      <c r="DF85" s="67"/>
      <c r="DG85" s="67"/>
      <c r="DH85" s="67"/>
      <c r="DI85" s="67"/>
      <c r="DJ85" s="67"/>
    </row>
    <row r="86" spans="5:114" x14ac:dyDescent="0.25">
      <c r="E86" s="67"/>
      <c r="G86" s="67"/>
      <c r="H86" s="67"/>
      <c r="I86" s="67"/>
      <c r="J86" s="67"/>
      <c r="K86" s="67"/>
      <c r="L86" s="67"/>
      <c r="M86" s="67"/>
      <c r="N86" s="67"/>
      <c r="O86" s="67"/>
      <c r="P86" s="67"/>
      <c r="Q86" s="67"/>
      <c r="R86" s="67"/>
      <c r="S86" s="67"/>
      <c r="T86" s="67"/>
      <c r="U86" s="67"/>
      <c r="V86" s="67"/>
      <c r="W86" s="67"/>
      <c r="X86" s="67"/>
      <c r="Y86" s="67"/>
      <c r="Z86" s="67"/>
      <c r="AA86" s="67"/>
      <c r="AB86" s="67"/>
      <c r="AC86" s="67"/>
      <c r="AD86" s="67"/>
      <c r="AE86" s="67"/>
      <c r="AF86" s="67"/>
      <c r="AG86" s="67"/>
      <c r="AH86" s="67"/>
      <c r="AI86" s="67"/>
      <c r="AJ86" s="67"/>
      <c r="AK86" s="67"/>
      <c r="AL86" s="67"/>
      <c r="AM86" s="67"/>
      <c r="AN86" s="67"/>
      <c r="AO86" s="67"/>
      <c r="AP86" s="67"/>
      <c r="AQ86" s="67"/>
      <c r="AR86" s="67"/>
      <c r="AS86" s="67"/>
      <c r="AT86" s="67"/>
      <c r="AU86" s="67"/>
      <c r="AV86" s="67"/>
      <c r="AW86" s="67"/>
      <c r="AX86" s="67"/>
      <c r="AY86" s="67"/>
      <c r="AZ86" s="67"/>
      <c r="BA86" s="67"/>
      <c r="BB86" s="67"/>
      <c r="BC86" s="67"/>
      <c r="BD86" s="67"/>
      <c r="BE86" s="67"/>
      <c r="BF86" s="67"/>
      <c r="BG86" s="67"/>
      <c r="BH86" s="70"/>
      <c r="BJ86" s="67"/>
      <c r="BK86" s="67"/>
      <c r="BL86" s="67"/>
      <c r="BM86" s="67"/>
      <c r="BN86" s="67"/>
      <c r="BO86" s="67"/>
      <c r="BP86" s="67"/>
      <c r="BQ86" s="67"/>
      <c r="BR86" s="67"/>
      <c r="BS86" s="67"/>
      <c r="BT86" s="67"/>
      <c r="BU86" s="67"/>
      <c r="BV86" s="67"/>
      <c r="BW86" s="67"/>
      <c r="BX86" s="67"/>
      <c r="BY86" s="67"/>
      <c r="BZ86" s="67"/>
      <c r="CA86" s="67"/>
      <c r="CB86" s="67"/>
      <c r="CC86" s="67"/>
      <c r="CD86" s="67"/>
      <c r="CE86" s="67"/>
      <c r="CF86" s="67"/>
      <c r="CG86" s="67"/>
      <c r="CH86" s="67"/>
      <c r="CI86" s="67"/>
      <c r="CJ86" s="67"/>
      <c r="CK86" s="67"/>
      <c r="CL86" s="67"/>
      <c r="CM86" s="67"/>
      <c r="CN86" s="67"/>
      <c r="CO86" s="67"/>
      <c r="CP86" s="67"/>
      <c r="CQ86" s="67"/>
      <c r="CR86" s="67"/>
      <c r="CS86" s="67"/>
      <c r="CT86" s="67"/>
      <c r="CU86" s="67"/>
      <c r="CV86" s="67"/>
      <c r="CW86" s="67"/>
      <c r="CX86" s="67"/>
      <c r="CY86" s="67"/>
      <c r="CZ86" s="67"/>
      <c r="DA86" s="67"/>
      <c r="DB86" s="67"/>
      <c r="DC86" s="67"/>
      <c r="DD86" s="67"/>
      <c r="DE86" s="67"/>
      <c r="DF86" s="67"/>
      <c r="DG86" s="67"/>
      <c r="DH86" s="67"/>
      <c r="DI86" s="67"/>
      <c r="DJ86" s="67"/>
    </row>
    <row r="87" spans="5:114" x14ac:dyDescent="0.25">
      <c r="E87" s="67"/>
      <c r="G87" s="67"/>
      <c r="H87" s="67"/>
      <c r="I87" s="67"/>
      <c r="J87" s="67"/>
      <c r="K87" s="67"/>
      <c r="L87" s="67"/>
      <c r="M87" s="67"/>
      <c r="N87" s="67"/>
      <c r="O87" s="67"/>
      <c r="P87" s="67"/>
      <c r="Q87" s="67"/>
      <c r="R87" s="67"/>
      <c r="S87" s="67"/>
      <c r="T87" s="67"/>
      <c r="U87" s="67"/>
      <c r="V87" s="67"/>
      <c r="W87" s="67"/>
      <c r="X87" s="67"/>
      <c r="Y87" s="67"/>
      <c r="Z87" s="67"/>
      <c r="AA87" s="67"/>
      <c r="AB87" s="67"/>
      <c r="AC87" s="67"/>
      <c r="AD87" s="67"/>
      <c r="AE87" s="67"/>
      <c r="AF87" s="67"/>
      <c r="AG87" s="67"/>
      <c r="AH87" s="67"/>
      <c r="AI87" s="67"/>
      <c r="AJ87" s="67"/>
      <c r="AK87" s="67"/>
      <c r="AL87" s="67"/>
      <c r="AM87" s="67"/>
      <c r="AN87" s="67"/>
      <c r="AO87" s="67"/>
      <c r="AP87" s="67"/>
      <c r="AQ87" s="67"/>
      <c r="AR87" s="67"/>
      <c r="AS87" s="67"/>
      <c r="AT87" s="67"/>
      <c r="AU87" s="67"/>
      <c r="AV87" s="67"/>
      <c r="AW87" s="67"/>
      <c r="AX87" s="67"/>
      <c r="AY87" s="67"/>
      <c r="AZ87" s="67"/>
      <c r="BA87" s="67"/>
      <c r="BB87" s="67"/>
      <c r="BC87" s="67"/>
      <c r="BD87" s="67"/>
      <c r="BE87" s="67"/>
      <c r="BF87" s="67"/>
      <c r="BG87" s="67"/>
      <c r="BH87" s="70"/>
      <c r="BJ87" s="67"/>
      <c r="BK87" s="67"/>
      <c r="BL87" s="67"/>
      <c r="BM87" s="67"/>
      <c r="BN87" s="67"/>
      <c r="BO87" s="67"/>
      <c r="BP87" s="67"/>
      <c r="BQ87" s="67"/>
      <c r="BR87" s="67"/>
      <c r="BS87" s="67"/>
      <c r="BT87" s="67"/>
      <c r="BU87" s="67"/>
      <c r="BV87" s="67"/>
      <c r="BW87" s="67"/>
      <c r="BX87" s="67"/>
      <c r="BY87" s="67"/>
      <c r="BZ87" s="67"/>
      <c r="CA87" s="67"/>
      <c r="CB87" s="67"/>
      <c r="CC87" s="67"/>
      <c r="CD87" s="67"/>
      <c r="CE87" s="67"/>
      <c r="CF87" s="67"/>
      <c r="CG87" s="67"/>
      <c r="CH87" s="67"/>
      <c r="CI87" s="67"/>
      <c r="CJ87" s="67"/>
      <c r="CK87" s="67"/>
      <c r="CL87" s="67"/>
      <c r="CM87" s="67"/>
      <c r="CN87" s="67"/>
      <c r="CO87" s="67"/>
      <c r="CP87" s="67"/>
      <c r="CQ87" s="67"/>
      <c r="CR87" s="67"/>
      <c r="CS87" s="67"/>
      <c r="CT87" s="67"/>
      <c r="CU87" s="67"/>
      <c r="CV87" s="67"/>
      <c r="CW87" s="67"/>
      <c r="CX87" s="67"/>
      <c r="CY87" s="67"/>
      <c r="CZ87" s="67"/>
      <c r="DA87" s="67"/>
      <c r="DB87" s="67"/>
      <c r="DC87" s="67"/>
      <c r="DD87" s="67"/>
      <c r="DE87" s="67"/>
      <c r="DF87" s="67"/>
      <c r="DG87" s="67"/>
      <c r="DH87" s="67"/>
      <c r="DI87" s="67"/>
      <c r="DJ87" s="67"/>
    </row>
    <row r="88" spans="5:114" x14ac:dyDescent="0.25">
      <c r="E88" s="67"/>
      <c r="G88" s="67"/>
      <c r="H88" s="67"/>
      <c r="I88" s="67"/>
      <c r="J88" s="67"/>
      <c r="K88" s="67"/>
      <c r="L88" s="67"/>
      <c r="M88" s="67"/>
      <c r="N88" s="67"/>
      <c r="O88" s="67"/>
      <c r="P88" s="67"/>
      <c r="Q88" s="67"/>
      <c r="R88" s="67"/>
      <c r="S88" s="67"/>
      <c r="T88" s="67"/>
      <c r="U88" s="67"/>
      <c r="V88" s="67"/>
      <c r="W88" s="67"/>
      <c r="X88" s="67"/>
      <c r="Y88" s="67"/>
      <c r="Z88" s="67"/>
      <c r="AA88" s="67"/>
      <c r="AB88" s="67"/>
      <c r="AC88" s="67"/>
      <c r="AD88" s="67"/>
      <c r="AE88" s="67"/>
      <c r="AF88" s="67"/>
      <c r="AG88" s="67"/>
      <c r="AH88" s="67"/>
      <c r="AI88" s="67"/>
      <c r="AJ88" s="67"/>
      <c r="AK88" s="67"/>
      <c r="AL88" s="67"/>
      <c r="AM88" s="67"/>
      <c r="AN88" s="67"/>
      <c r="AO88" s="67"/>
      <c r="AP88" s="67"/>
      <c r="AQ88" s="67"/>
      <c r="AR88" s="67"/>
      <c r="AS88" s="67"/>
      <c r="AT88" s="67"/>
      <c r="AU88" s="67"/>
      <c r="AV88" s="67"/>
      <c r="AW88" s="67"/>
      <c r="AX88" s="67"/>
      <c r="AY88" s="67"/>
      <c r="AZ88" s="67"/>
      <c r="BA88" s="67"/>
      <c r="BB88" s="67"/>
      <c r="BC88" s="67"/>
      <c r="BD88" s="67"/>
      <c r="BE88" s="67"/>
      <c r="BF88" s="67"/>
      <c r="BG88" s="67"/>
      <c r="BH88" s="70"/>
      <c r="BJ88" s="67"/>
      <c r="BK88" s="67"/>
      <c r="BL88" s="67"/>
      <c r="BM88" s="67"/>
      <c r="BN88" s="67"/>
      <c r="BO88" s="67"/>
      <c r="BP88" s="67"/>
      <c r="BQ88" s="67"/>
      <c r="BR88" s="67"/>
      <c r="BS88" s="67"/>
      <c r="BT88" s="67"/>
      <c r="BU88" s="67"/>
      <c r="BV88" s="67"/>
      <c r="BW88" s="67"/>
      <c r="BX88" s="67"/>
      <c r="BY88" s="67"/>
      <c r="BZ88" s="67"/>
      <c r="CA88" s="67"/>
      <c r="CB88" s="67"/>
      <c r="CC88" s="67"/>
      <c r="CD88" s="67"/>
      <c r="CE88" s="67"/>
      <c r="CF88" s="67"/>
      <c r="CG88" s="67"/>
      <c r="CH88" s="67"/>
      <c r="CI88" s="67"/>
      <c r="CJ88" s="67"/>
      <c r="CK88" s="67"/>
      <c r="CL88" s="67"/>
      <c r="CM88" s="67"/>
      <c r="CN88" s="67"/>
      <c r="CO88" s="67"/>
      <c r="CP88" s="67"/>
      <c r="CQ88" s="67"/>
      <c r="CR88" s="67"/>
      <c r="CS88" s="67"/>
      <c r="CT88" s="67"/>
      <c r="CU88" s="67"/>
      <c r="CV88" s="67"/>
      <c r="CW88" s="67"/>
      <c r="CX88" s="67"/>
      <c r="CY88" s="67"/>
      <c r="CZ88" s="67"/>
      <c r="DA88" s="67"/>
      <c r="DB88" s="67"/>
      <c r="DC88" s="67"/>
      <c r="DD88" s="67"/>
      <c r="DE88" s="67"/>
      <c r="DF88" s="67"/>
      <c r="DG88" s="67"/>
      <c r="DH88" s="67"/>
      <c r="DI88" s="67"/>
      <c r="DJ88" s="67"/>
    </row>
    <row r="89" spans="5:114" x14ac:dyDescent="0.25">
      <c r="E89" s="67"/>
      <c r="G89" s="67"/>
      <c r="H89" s="67"/>
      <c r="I89" s="67"/>
      <c r="J89" s="67"/>
      <c r="K89" s="67"/>
      <c r="L89" s="67"/>
      <c r="M89" s="67"/>
      <c r="N89" s="67"/>
      <c r="O89" s="67"/>
      <c r="P89" s="67"/>
      <c r="Q89" s="67"/>
      <c r="R89" s="67"/>
      <c r="S89" s="67"/>
      <c r="T89" s="67"/>
      <c r="U89" s="67"/>
      <c r="V89" s="67"/>
      <c r="W89" s="67"/>
      <c r="X89" s="67"/>
      <c r="Y89" s="67"/>
      <c r="Z89" s="67"/>
      <c r="AA89" s="67"/>
      <c r="AB89" s="67"/>
      <c r="AC89" s="67"/>
      <c r="AD89" s="67"/>
      <c r="AE89" s="67"/>
      <c r="AF89" s="67"/>
      <c r="AG89" s="67"/>
      <c r="AH89" s="67"/>
      <c r="AI89" s="67"/>
      <c r="AJ89" s="67"/>
      <c r="AK89" s="67"/>
      <c r="AL89" s="67"/>
      <c r="AM89" s="67"/>
      <c r="AN89" s="67"/>
      <c r="AO89" s="67"/>
      <c r="AP89" s="67"/>
      <c r="AQ89" s="67"/>
      <c r="AR89" s="67"/>
      <c r="AS89" s="67"/>
      <c r="AT89" s="67"/>
      <c r="AU89" s="67"/>
      <c r="AV89" s="67"/>
      <c r="AW89" s="67"/>
      <c r="AX89" s="67"/>
      <c r="AY89" s="67"/>
      <c r="AZ89" s="67"/>
      <c r="BA89" s="67"/>
      <c r="BB89" s="67"/>
      <c r="BC89" s="67"/>
      <c r="BD89" s="67"/>
      <c r="BE89" s="67"/>
      <c r="BF89" s="67"/>
      <c r="BG89" s="67"/>
      <c r="BH89" s="70"/>
      <c r="BJ89" s="67"/>
      <c r="BK89" s="67"/>
      <c r="BL89" s="67"/>
      <c r="BM89" s="67"/>
      <c r="BN89" s="67"/>
      <c r="BO89" s="67"/>
      <c r="BP89" s="67"/>
      <c r="BQ89" s="67"/>
      <c r="BR89" s="67"/>
      <c r="BS89" s="67"/>
      <c r="BT89" s="67"/>
      <c r="BU89" s="67"/>
      <c r="BV89" s="67"/>
      <c r="BW89" s="67"/>
      <c r="BX89" s="67"/>
      <c r="BY89" s="67"/>
      <c r="BZ89" s="67"/>
      <c r="CA89" s="67"/>
      <c r="CB89" s="67"/>
      <c r="CC89" s="67"/>
      <c r="CD89" s="67"/>
      <c r="CE89" s="67"/>
      <c r="CF89" s="67"/>
      <c r="CG89" s="67"/>
      <c r="CH89" s="67"/>
      <c r="CI89" s="67"/>
      <c r="CJ89" s="67"/>
      <c r="CK89" s="67"/>
      <c r="CL89" s="67"/>
      <c r="CM89" s="67"/>
      <c r="CN89" s="67"/>
      <c r="CO89" s="67"/>
      <c r="CP89" s="67"/>
      <c r="CQ89" s="67"/>
      <c r="CR89" s="67"/>
      <c r="CS89" s="67"/>
      <c r="CT89" s="67"/>
      <c r="CU89" s="67"/>
      <c r="CV89" s="67"/>
      <c r="CW89" s="67"/>
      <c r="CX89" s="67"/>
      <c r="CY89" s="67"/>
      <c r="CZ89" s="67"/>
      <c r="DA89" s="67"/>
      <c r="DB89" s="67"/>
      <c r="DC89" s="67"/>
      <c r="DD89" s="67"/>
      <c r="DE89" s="67"/>
      <c r="DF89" s="67"/>
      <c r="DG89" s="67"/>
      <c r="DH89" s="67"/>
      <c r="DI89" s="67"/>
      <c r="DJ89" s="67"/>
    </row>
    <row r="90" spans="5:114" x14ac:dyDescent="0.25">
      <c r="E90" s="67"/>
      <c r="G90" s="67"/>
      <c r="H90" s="67"/>
      <c r="I90" s="67"/>
      <c r="J90" s="67"/>
      <c r="K90" s="67"/>
      <c r="L90" s="67"/>
      <c r="M90" s="67"/>
      <c r="N90" s="67"/>
      <c r="O90" s="67"/>
      <c r="P90" s="67"/>
      <c r="Q90" s="67"/>
      <c r="R90" s="67"/>
      <c r="S90" s="67"/>
      <c r="T90" s="67"/>
      <c r="U90" s="67"/>
      <c r="V90" s="67"/>
      <c r="W90" s="67"/>
      <c r="X90" s="67"/>
      <c r="Y90" s="67"/>
      <c r="Z90" s="67"/>
      <c r="AA90" s="67"/>
      <c r="AB90" s="67"/>
      <c r="AC90" s="67"/>
      <c r="AD90" s="67"/>
      <c r="AE90" s="67"/>
      <c r="AF90" s="67"/>
      <c r="AG90" s="67"/>
      <c r="AH90" s="67"/>
      <c r="AI90" s="67"/>
      <c r="AJ90" s="67"/>
      <c r="AK90" s="67"/>
      <c r="AL90" s="67"/>
      <c r="AM90" s="67"/>
      <c r="AN90" s="67"/>
      <c r="AO90" s="67"/>
      <c r="AP90" s="67"/>
      <c r="AQ90" s="67"/>
      <c r="AR90" s="67"/>
      <c r="AS90" s="67"/>
      <c r="AT90" s="67"/>
      <c r="AU90" s="67"/>
      <c r="AV90" s="67"/>
      <c r="AW90" s="67"/>
      <c r="AX90" s="67"/>
      <c r="AY90" s="67"/>
      <c r="AZ90" s="67"/>
      <c r="BA90" s="67"/>
      <c r="BB90" s="67"/>
      <c r="BC90" s="67"/>
      <c r="BD90" s="67"/>
      <c r="BE90" s="67"/>
      <c r="BF90" s="67"/>
      <c r="BG90" s="67"/>
      <c r="BH90" s="70"/>
      <c r="BJ90" s="67"/>
      <c r="BK90" s="67"/>
      <c r="BL90" s="67"/>
      <c r="BM90" s="67"/>
      <c r="BN90" s="67"/>
      <c r="BO90" s="67"/>
      <c r="BP90" s="67"/>
      <c r="BQ90" s="67"/>
      <c r="BR90" s="67"/>
      <c r="BS90" s="67"/>
      <c r="BT90" s="67"/>
      <c r="BU90" s="67"/>
      <c r="BV90" s="67"/>
      <c r="BW90" s="67"/>
      <c r="BX90" s="67"/>
      <c r="BY90" s="67"/>
      <c r="BZ90" s="67"/>
      <c r="CA90" s="67"/>
      <c r="CB90" s="67"/>
      <c r="CC90" s="67"/>
      <c r="CD90" s="67"/>
      <c r="CE90" s="67"/>
      <c r="CF90" s="67"/>
      <c r="CG90" s="67"/>
      <c r="CH90" s="67"/>
      <c r="CI90" s="67"/>
      <c r="CJ90" s="67"/>
      <c r="CK90" s="67"/>
      <c r="CL90" s="67"/>
      <c r="CM90" s="67"/>
      <c r="CN90" s="67"/>
      <c r="CO90" s="67"/>
      <c r="CP90" s="67"/>
      <c r="CQ90" s="67"/>
      <c r="CR90" s="67"/>
      <c r="CS90" s="67"/>
      <c r="CT90" s="67"/>
      <c r="CU90" s="67"/>
      <c r="CV90" s="67"/>
      <c r="CW90" s="67"/>
      <c r="CX90" s="67"/>
      <c r="CY90" s="67"/>
      <c r="CZ90" s="67"/>
      <c r="DA90" s="67"/>
      <c r="DB90" s="67"/>
      <c r="DC90" s="67"/>
      <c r="DD90" s="67"/>
      <c r="DE90" s="67"/>
      <c r="DF90" s="67"/>
      <c r="DG90" s="67"/>
      <c r="DH90" s="67"/>
      <c r="DI90" s="67"/>
      <c r="DJ90" s="67"/>
    </row>
    <row r="91" spans="5:114" x14ac:dyDescent="0.25">
      <c r="E91" s="67"/>
      <c r="G91" s="67"/>
      <c r="H91" s="67"/>
      <c r="I91" s="67"/>
      <c r="J91" s="67"/>
      <c r="K91" s="67"/>
      <c r="L91" s="67"/>
      <c r="M91" s="67"/>
      <c r="N91" s="67"/>
      <c r="O91" s="67"/>
      <c r="P91" s="67"/>
      <c r="Q91" s="67"/>
      <c r="R91" s="67"/>
      <c r="S91" s="67"/>
      <c r="T91" s="67"/>
      <c r="U91" s="67"/>
      <c r="V91" s="67"/>
      <c r="W91" s="67"/>
      <c r="X91" s="67"/>
      <c r="Y91" s="67"/>
      <c r="Z91" s="67"/>
      <c r="AA91" s="67"/>
      <c r="AB91" s="67"/>
      <c r="AC91" s="67"/>
      <c r="AD91" s="67"/>
      <c r="AE91" s="67"/>
      <c r="AF91" s="67"/>
      <c r="AG91" s="67"/>
      <c r="AH91" s="67"/>
      <c r="AI91" s="67"/>
      <c r="AJ91" s="67"/>
      <c r="AK91" s="67"/>
      <c r="AL91" s="67"/>
      <c r="AM91" s="67"/>
      <c r="AN91" s="67"/>
      <c r="AO91" s="67"/>
      <c r="AP91" s="67"/>
      <c r="AQ91" s="67"/>
      <c r="AR91" s="67"/>
      <c r="AS91" s="67"/>
      <c r="AT91" s="67"/>
      <c r="AU91" s="67"/>
      <c r="AV91" s="67"/>
      <c r="AW91" s="67"/>
      <c r="AX91" s="67"/>
      <c r="AY91" s="67"/>
      <c r="AZ91" s="67"/>
      <c r="BA91" s="67"/>
      <c r="BB91" s="67"/>
      <c r="BC91" s="67"/>
      <c r="BD91" s="67"/>
      <c r="BE91" s="67"/>
      <c r="BF91" s="67"/>
      <c r="BG91" s="67"/>
      <c r="BH91" s="70"/>
      <c r="BJ91" s="67"/>
      <c r="BK91" s="67"/>
      <c r="BL91" s="67"/>
      <c r="BM91" s="67"/>
      <c r="BN91" s="67"/>
      <c r="BO91" s="67"/>
      <c r="BP91" s="67"/>
      <c r="BQ91" s="67"/>
      <c r="BR91" s="67"/>
      <c r="BS91" s="67"/>
      <c r="BT91" s="67"/>
      <c r="BU91" s="67"/>
      <c r="BV91" s="67"/>
      <c r="BW91" s="67"/>
      <c r="BX91" s="67"/>
      <c r="BY91" s="67"/>
      <c r="BZ91" s="67"/>
      <c r="CA91" s="67"/>
      <c r="CB91" s="67"/>
      <c r="CC91" s="67"/>
      <c r="CD91" s="67"/>
      <c r="CE91" s="67"/>
      <c r="CF91" s="67"/>
      <c r="CG91" s="67"/>
      <c r="CH91" s="67"/>
      <c r="CI91" s="67"/>
      <c r="CJ91" s="67"/>
      <c r="CK91" s="67"/>
      <c r="CL91" s="67"/>
      <c r="CM91" s="67"/>
      <c r="CN91" s="67"/>
      <c r="CO91" s="67"/>
      <c r="CP91" s="67"/>
      <c r="CQ91" s="67"/>
      <c r="CR91" s="67"/>
      <c r="CS91" s="67"/>
      <c r="CT91" s="67"/>
      <c r="CU91" s="67"/>
      <c r="CV91" s="67"/>
      <c r="CW91" s="67"/>
      <c r="CX91" s="67"/>
      <c r="CY91" s="67"/>
      <c r="CZ91" s="67"/>
      <c r="DA91" s="67"/>
      <c r="DB91" s="67"/>
      <c r="DC91" s="67"/>
      <c r="DD91" s="67"/>
      <c r="DE91" s="67"/>
      <c r="DF91" s="67"/>
      <c r="DG91" s="67"/>
      <c r="DH91" s="67"/>
      <c r="DI91" s="67"/>
      <c r="DJ91" s="67"/>
    </row>
    <row r="92" spans="5:114" x14ac:dyDescent="0.25">
      <c r="E92" s="67"/>
      <c r="G92" s="67"/>
      <c r="H92" s="67"/>
      <c r="I92" s="67"/>
      <c r="J92" s="67"/>
      <c r="K92" s="67"/>
      <c r="L92" s="67"/>
      <c r="M92" s="67"/>
      <c r="N92" s="67"/>
      <c r="O92" s="67"/>
      <c r="P92" s="67"/>
      <c r="Q92" s="67"/>
      <c r="R92" s="67"/>
      <c r="S92" s="67"/>
      <c r="T92" s="67"/>
      <c r="U92" s="67"/>
      <c r="V92" s="67"/>
      <c r="W92" s="67"/>
      <c r="X92" s="67"/>
      <c r="Y92" s="67"/>
      <c r="Z92" s="67"/>
      <c r="AA92" s="67"/>
      <c r="AB92" s="67"/>
      <c r="AC92" s="67"/>
      <c r="AD92" s="67"/>
      <c r="AE92" s="67"/>
      <c r="AF92" s="67"/>
      <c r="AG92" s="67"/>
      <c r="AH92" s="67"/>
      <c r="AI92" s="67"/>
      <c r="AJ92" s="67"/>
      <c r="AK92" s="67"/>
      <c r="AL92" s="67"/>
      <c r="AM92" s="67"/>
      <c r="AN92" s="67"/>
      <c r="AO92" s="67"/>
      <c r="AP92" s="67"/>
      <c r="AQ92" s="67"/>
      <c r="AR92" s="67"/>
      <c r="AS92" s="67"/>
      <c r="AT92" s="67"/>
      <c r="AU92" s="67"/>
      <c r="AV92" s="67"/>
      <c r="AW92" s="67"/>
      <c r="AX92" s="67"/>
      <c r="AY92" s="67"/>
      <c r="AZ92" s="67"/>
      <c r="BA92" s="67"/>
      <c r="BB92" s="67"/>
      <c r="BC92" s="67"/>
      <c r="BD92" s="67"/>
      <c r="BE92" s="67"/>
      <c r="BF92" s="67"/>
      <c r="BG92" s="67"/>
      <c r="BH92" s="70"/>
      <c r="BJ92" s="67"/>
      <c r="BK92" s="67"/>
      <c r="BL92" s="67"/>
      <c r="BM92" s="67"/>
      <c r="BN92" s="67"/>
      <c r="BO92" s="67"/>
      <c r="BP92" s="67"/>
      <c r="BQ92" s="67"/>
      <c r="BR92" s="67"/>
      <c r="BS92" s="67"/>
      <c r="BT92" s="67"/>
      <c r="BU92" s="67"/>
      <c r="BV92" s="67"/>
      <c r="BW92" s="67"/>
      <c r="BX92" s="67"/>
      <c r="BY92" s="67"/>
      <c r="BZ92" s="67"/>
      <c r="CA92" s="67"/>
      <c r="CB92" s="67"/>
      <c r="CC92" s="67"/>
      <c r="CD92" s="67"/>
      <c r="CE92" s="67"/>
      <c r="CF92" s="67"/>
      <c r="CG92" s="67"/>
      <c r="CH92" s="67"/>
      <c r="CI92" s="67"/>
      <c r="CJ92" s="67"/>
      <c r="CK92" s="67"/>
      <c r="CL92" s="67"/>
      <c r="CM92" s="67"/>
      <c r="CN92" s="67"/>
      <c r="CO92" s="67"/>
      <c r="CP92" s="67"/>
      <c r="CQ92" s="67"/>
      <c r="CR92" s="67"/>
      <c r="CS92" s="67"/>
      <c r="CT92" s="67"/>
      <c r="CU92" s="67"/>
      <c r="CV92" s="67"/>
      <c r="CW92" s="67"/>
      <c r="CX92" s="67"/>
      <c r="CY92" s="67"/>
      <c r="CZ92" s="67"/>
      <c r="DA92" s="67"/>
      <c r="DB92" s="67"/>
      <c r="DC92" s="67"/>
      <c r="DD92" s="67"/>
      <c r="DE92" s="67"/>
      <c r="DF92" s="67"/>
      <c r="DG92" s="67"/>
      <c r="DH92" s="67"/>
      <c r="DI92" s="67"/>
      <c r="DJ92" s="67"/>
    </row>
    <row r="93" spans="5:114" x14ac:dyDescent="0.25">
      <c r="E93" s="67"/>
      <c r="G93" s="67"/>
      <c r="H93" s="67"/>
      <c r="I93" s="67"/>
      <c r="J93" s="67"/>
      <c r="K93" s="67"/>
      <c r="L93" s="67"/>
      <c r="M93" s="67"/>
      <c r="N93" s="67"/>
      <c r="O93" s="67"/>
      <c r="P93" s="67"/>
      <c r="Q93" s="67"/>
      <c r="R93" s="67"/>
      <c r="S93" s="67"/>
      <c r="T93" s="67"/>
      <c r="U93" s="67"/>
      <c r="V93" s="67"/>
      <c r="W93" s="67"/>
      <c r="X93" s="67"/>
      <c r="Y93" s="67"/>
      <c r="Z93" s="67"/>
      <c r="AA93" s="67"/>
      <c r="AB93" s="67"/>
      <c r="AC93" s="67"/>
      <c r="AD93" s="67"/>
      <c r="AE93" s="67"/>
      <c r="AF93" s="67"/>
      <c r="AG93" s="67"/>
      <c r="AH93" s="67"/>
      <c r="AI93" s="67"/>
      <c r="AJ93" s="67"/>
      <c r="AK93" s="67"/>
      <c r="AL93" s="67"/>
      <c r="AM93" s="67"/>
      <c r="AN93" s="67"/>
      <c r="AO93" s="67"/>
      <c r="AP93" s="67"/>
      <c r="AQ93" s="67"/>
      <c r="AR93" s="67"/>
      <c r="AS93" s="67"/>
      <c r="AT93" s="67"/>
      <c r="AU93" s="67"/>
      <c r="AV93" s="67"/>
      <c r="AW93" s="67"/>
      <c r="AX93" s="67"/>
      <c r="AY93" s="67"/>
      <c r="AZ93" s="67"/>
      <c r="BA93" s="67"/>
      <c r="BB93" s="67"/>
      <c r="BC93" s="67"/>
      <c r="BD93" s="67"/>
      <c r="BE93" s="67"/>
      <c r="BF93" s="67"/>
      <c r="BG93" s="67"/>
      <c r="BH93" s="70"/>
      <c r="BJ93" s="67"/>
      <c r="BK93" s="67"/>
      <c r="BL93" s="67"/>
      <c r="BM93" s="67"/>
      <c r="BN93" s="67"/>
      <c r="BO93" s="67"/>
      <c r="BP93" s="67"/>
      <c r="BQ93" s="67"/>
      <c r="BR93" s="67"/>
      <c r="BS93" s="67"/>
      <c r="BT93" s="67"/>
      <c r="BU93" s="67"/>
      <c r="BV93" s="67"/>
      <c r="BW93" s="67"/>
      <c r="BX93" s="67"/>
      <c r="BY93" s="67"/>
      <c r="BZ93" s="67"/>
      <c r="CA93" s="67"/>
      <c r="CB93" s="67"/>
      <c r="CC93" s="67"/>
      <c r="CD93" s="67"/>
      <c r="CE93" s="67"/>
      <c r="CF93" s="67"/>
      <c r="CG93" s="67"/>
      <c r="CH93" s="67"/>
      <c r="CI93" s="67"/>
      <c r="CJ93" s="67"/>
      <c r="CK93" s="67"/>
      <c r="CL93" s="67"/>
      <c r="CM93" s="67"/>
      <c r="CN93" s="67"/>
      <c r="CO93" s="67"/>
      <c r="CP93" s="67"/>
      <c r="CQ93" s="67"/>
      <c r="CR93" s="67"/>
      <c r="CS93" s="67"/>
      <c r="CT93" s="67"/>
      <c r="CU93" s="67"/>
      <c r="CV93" s="67"/>
      <c r="CW93" s="67"/>
      <c r="CX93" s="67"/>
      <c r="CY93" s="67"/>
      <c r="CZ93" s="67"/>
      <c r="DA93" s="67"/>
      <c r="DB93" s="67"/>
      <c r="DC93" s="67"/>
      <c r="DD93" s="67"/>
      <c r="DE93" s="67"/>
      <c r="DF93" s="67"/>
      <c r="DG93" s="67"/>
      <c r="DH93" s="67"/>
      <c r="DI93" s="67"/>
      <c r="DJ93" s="67"/>
    </row>
    <row r="94" spans="5:114" x14ac:dyDescent="0.25">
      <c r="E94" s="67"/>
      <c r="G94" s="67"/>
      <c r="H94" s="67"/>
      <c r="I94" s="67"/>
      <c r="J94" s="67"/>
      <c r="K94" s="67"/>
      <c r="L94" s="67"/>
      <c r="M94" s="67"/>
      <c r="N94" s="67"/>
      <c r="O94" s="67"/>
      <c r="P94" s="67"/>
      <c r="Q94" s="67"/>
      <c r="R94" s="67"/>
      <c r="S94" s="67"/>
      <c r="T94" s="67"/>
      <c r="U94" s="67"/>
      <c r="V94" s="67"/>
      <c r="W94" s="67"/>
      <c r="X94" s="67"/>
      <c r="Y94" s="67"/>
      <c r="Z94" s="67"/>
      <c r="AA94" s="67"/>
      <c r="AB94" s="67"/>
      <c r="AC94" s="67"/>
      <c r="AD94" s="67"/>
      <c r="AE94" s="67"/>
      <c r="AF94" s="67"/>
      <c r="AG94" s="67"/>
      <c r="AH94" s="67"/>
      <c r="AI94" s="67"/>
      <c r="AJ94" s="67"/>
      <c r="AK94" s="67"/>
      <c r="AL94" s="67"/>
      <c r="AM94" s="67"/>
      <c r="AN94" s="67"/>
      <c r="AO94" s="67"/>
      <c r="AP94" s="67"/>
      <c r="AQ94" s="67"/>
      <c r="AR94" s="67"/>
      <c r="AS94" s="67"/>
      <c r="AT94" s="67"/>
      <c r="AU94" s="67"/>
      <c r="AV94" s="67"/>
      <c r="AW94" s="67"/>
      <c r="AX94" s="67"/>
      <c r="AY94" s="67"/>
      <c r="AZ94" s="67"/>
      <c r="BA94" s="67"/>
      <c r="BB94" s="67"/>
      <c r="BC94" s="67"/>
      <c r="BD94" s="67"/>
      <c r="BE94" s="67"/>
      <c r="BF94" s="67"/>
      <c r="BG94" s="67"/>
      <c r="BH94" s="70"/>
      <c r="BJ94" s="67"/>
      <c r="BK94" s="67"/>
      <c r="BL94" s="67"/>
      <c r="BM94" s="67"/>
      <c r="BN94" s="67"/>
      <c r="BO94" s="67"/>
      <c r="BP94" s="67"/>
      <c r="BQ94" s="67"/>
      <c r="BR94" s="67"/>
      <c r="BS94" s="67"/>
      <c r="BT94" s="67"/>
      <c r="BU94" s="67"/>
      <c r="BV94" s="67"/>
      <c r="BW94" s="67"/>
      <c r="BX94" s="67"/>
      <c r="BY94" s="67"/>
      <c r="BZ94" s="67"/>
      <c r="CA94" s="67"/>
      <c r="CB94" s="67"/>
      <c r="CC94" s="67"/>
      <c r="CD94" s="67"/>
      <c r="CE94" s="67"/>
      <c r="CF94" s="67"/>
      <c r="CG94" s="67"/>
      <c r="CH94" s="67"/>
      <c r="CI94" s="67"/>
      <c r="CJ94" s="67"/>
      <c r="CK94" s="67"/>
      <c r="CL94" s="67"/>
      <c r="CM94" s="67"/>
      <c r="CN94" s="67"/>
      <c r="CO94" s="67"/>
      <c r="CP94" s="67"/>
      <c r="CQ94" s="67"/>
      <c r="CR94" s="67"/>
      <c r="CS94" s="67"/>
      <c r="CT94" s="67"/>
      <c r="CU94" s="67"/>
      <c r="CV94" s="67"/>
      <c r="CW94" s="67"/>
      <c r="CX94" s="67"/>
      <c r="CY94" s="67"/>
      <c r="CZ94" s="67"/>
      <c r="DA94" s="67"/>
      <c r="DB94" s="67"/>
      <c r="DC94" s="67"/>
      <c r="DD94" s="67"/>
      <c r="DE94" s="67"/>
      <c r="DF94" s="67"/>
      <c r="DG94" s="67"/>
      <c r="DH94" s="67"/>
      <c r="DI94" s="67"/>
      <c r="DJ94" s="67"/>
    </row>
    <row r="95" spans="5:114" x14ac:dyDescent="0.25">
      <c r="E95" s="67"/>
      <c r="G95" s="67"/>
      <c r="H95" s="67"/>
      <c r="I95" s="67"/>
      <c r="J95" s="67"/>
      <c r="K95" s="67"/>
      <c r="L95" s="67"/>
      <c r="M95" s="67"/>
      <c r="N95" s="67"/>
      <c r="O95" s="67"/>
      <c r="P95" s="67"/>
      <c r="Q95" s="67"/>
      <c r="R95" s="67"/>
      <c r="S95" s="67"/>
      <c r="T95" s="67"/>
      <c r="U95" s="67"/>
      <c r="V95" s="67"/>
      <c r="W95" s="67"/>
      <c r="X95" s="67"/>
      <c r="Y95" s="67"/>
      <c r="Z95" s="67"/>
      <c r="AA95" s="67"/>
      <c r="AB95" s="67"/>
      <c r="AC95" s="67"/>
      <c r="AD95" s="67"/>
      <c r="AE95" s="67"/>
      <c r="AF95" s="67"/>
      <c r="AG95" s="67"/>
      <c r="AH95" s="67"/>
      <c r="AI95" s="67"/>
      <c r="AJ95" s="67"/>
      <c r="AK95" s="67"/>
      <c r="AL95" s="67"/>
      <c r="AM95" s="67"/>
      <c r="AN95" s="67"/>
      <c r="AO95" s="67"/>
      <c r="AP95" s="67"/>
      <c r="AQ95" s="67"/>
      <c r="AR95" s="67"/>
      <c r="AS95" s="67"/>
      <c r="AT95" s="67"/>
      <c r="AU95" s="67"/>
      <c r="AV95" s="67"/>
      <c r="AW95" s="67"/>
      <c r="AX95" s="67"/>
      <c r="AY95" s="67"/>
      <c r="AZ95" s="67"/>
      <c r="BA95" s="67"/>
      <c r="BB95" s="67"/>
      <c r="BC95" s="67"/>
      <c r="BD95" s="67"/>
      <c r="BE95" s="67"/>
      <c r="BF95" s="67"/>
      <c r="BG95" s="67"/>
      <c r="BH95" s="70"/>
      <c r="BJ95" s="67"/>
      <c r="BK95" s="67"/>
      <c r="BL95" s="67"/>
      <c r="BM95" s="67"/>
      <c r="BN95" s="67"/>
      <c r="BO95" s="67"/>
      <c r="BP95" s="67"/>
      <c r="BQ95" s="67"/>
      <c r="BR95" s="67"/>
      <c r="BS95" s="67"/>
      <c r="BT95" s="67"/>
      <c r="BU95" s="67"/>
      <c r="BV95" s="67"/>
      <c r="BW95" s="67"/>
      <c r="BX95" s="67"/>
      <c r="BY95" s="67"/>
      <c r="BZ95" s="67"/>
      <c r="CA95" s="67"/>
      <c r="CB95" s="67"/>
      <c r="CC95" s="67"/>
      <c r="CD95" s="67"/>
      <c r="CE95" s="67"/>
      <c r="CF95" s="67"/>
      <c r="CG95" s="67"/>
      <c r="CH95" s="67"/>
      <c r="CI95" s="67"/>
      <c r="CJ95" s="67"/>
      <c r="CK95" s="67"/>
      <c r="CL95" s="67"/>
      <c r="CM95" s="67"/>
      <c r="CN95" s="67"/>
      <c r="CO95" s="67"/>
      <c r="CP95" s="67"/>
      <c r="CQ95" s="67"/>
      <c r="CR95" s="67"/>
      <c r="CS95" s="67"/>
      <c r="CT95" s="67"/>
      <c r="CU95" s="67"/>
      <c r="CV95" s="67"/>
      <c r="CW95" s="67"/>
      <c r="CX95" s="67"/>
      <c r="CY95" s="67"/>
      <c r="CZ95" s="67"/>
      <c r="DA95" s="67"/>
      <c r="DB95" s="67"/>
      <c r="DC95" s="67"/>
      <c r="DD95" s="67"/>
      <c r="DE95" s="67"/>
      <c r="DF95" s="67"/>
      <c r="DG95" s="67"/>
      <c r="DH95" s="67"/>
      <c r="DI95" s="67"/>
      <c r="DJ95" s="67"/>
    </row>
    <row r="96" spans="5:114" x14ac:dyDescent="0.25">
      <c r="E96" s="67"/>
      <c r="G96" s="67"/>
      <c r="H96" s="67"/>
      <c r="I96" s="67"/>
      <c r="J96" s="67"/>
      <c r="K96" s="67"/>
      <c r="L96" s="67"/>
      <c r="M96" s="67"/>
      <c r="N96" s="67"/>
      <c r="O96" s="67"/>
      <c r="P96" s="67"/>
      <c r="Q96" s="67"/>
      <c r="R96" s="67"/>
      <c r="S96" s="67"/>
      <c r="T96" s="67"/>
      <c r="U96" s="67"/>
      <c r="V96" s="67"/>
      <c r="W96" s="67"/>
      <c r="X96" s="67"/>
      <c r="Y96" s="67"/>
      <c r="Z96" s="67"/>
      <c r="AA96" s="67"/>
      <c r="AB96" s="67"/>
      <c r="AC96" s="67"/>
      <c r="AD96" s="67"/>
      <c r="AE96" s="67"/>
      <c r="AF96" s="67"/>
      <c r="AG96" s="67"/>
      <c r="AH96" s="67"/>
      <c r="AI96" s="67"/>
      <c r="AJ96" s="67"/>
      <c r="AK96" s="67"/>
      <c r="AL96" s="67"/>
      <c r="AM96" s="67"/>
      <c r="AN96" s="67"/>
      <c r="AO96" s="67"/>
      <c r="AP96" s="67"/>
      <c r="AQ96" s="67"/>
      <c r="AR96" s="67"/>
      <c r="AS96" s="67"/>
      <c r="AT96" s="67"/>
      <c r="AU96" s="67"/>
      <c r="AV96" s="67"/>
      <c r="AW96" s="67"/>
      <c r="AX96" s="67"/>
      <c r="AY96" s="67"/>
      <c r="AZ96" s="67"/>
      <c r="BA96" s="67"/>
      <c r="BB96" s="67"/>
      <c r="BC96" s="67"/>
      <c r="BD96" s="67"/>
      <c r="BE96" s="67"/>
      <c r="BF96" s="67"/>
      <c r="BG96" s="67"/>
      <c r="BH96" s="70"/>
      <c r="BJ96" s="67"/>
      <c r="BK96" s="67"/>
      <c r="BL96" s="67"/>
      <c r="BM96" s="67"/>
      <c r="BN96" s="67"/>
      <c r="BO96" s="67"/>
      <c r="BP96" s="67"/>
      <c r="BQ96" s="67"/>
      <c r="BR96" s="67"/>
      <c r="BS96" s="67"/>
      <c r="BT96" s="67"/>
      <c r="BU96" s="67"/>
      <c r="BV96" s="67"/>
      <c r="BW96" s="67"/>
      <c r="BX96" s="67"/>
      <c r="BY96" s="67"/>
      <c r="BZ96" s="67"/>
      <c r="CA96" s="67"/>
      <c r="CB96" s="67"/>
      <c r="CC96" s="67"/>
      <c r="CD96" s="67"/>
      <c r="CE96" s="67"/>
      <c r="CF96" s="67"/>
      <c r="CG96" s="67"/>
      <c r="CH96" s="67"/>
      <c r="CI96" s="67"/>
      <c r="CJ96" s="67"/>
      <c r="CK96" s="67"/>
      <c r="CL96" s="67"/>
      <c r="CM96" s="67"/>
      <c r="CN96" s="67"/>
      <c r="CO96" s="67"/>
      <c r="CP96" s="67"/>
      <c r="CQ96" s="67"/>
      <c r="CR96" s="67"/>
      <c r="CS96" s="67"/>
      <c r="CT96" s="67"/>
      <c r="CU96" s="67"/>
      <c r="CV96" s="67"/>
      <c r="CW96" s="67"/>
      <c r="CX96" s="67"/>
      <c r="CY96" s="67"/>
      <c r="CZ96" s="67"/>
      <c r="DA96" s="67"/>
      <c r="DB96" s="67"/>
      <c r="DC96" s="67"/>
      <c r="DD96" s="67"/>
      <c r="DE96" s="67"/>
      <c r="DF96" s="67"/>
      <c r="DG96" s="67"/>
      <c r="DH96" s="67"/>
      <c r="DI96" s="67"/>
      <c r="DJ96" s="67"/>
    </row>
    <row r="97" spans="5:114" x14ac:dyDescent="0.25">
      <c r="E97" s="67"/>
      <c r="G97" s="67"/>
      <c r="H97" s="67"/>
      <c r="I97" s="67"/>
      <c r="J97" s="67"/>
      <c r="K97" s="67"/>
      <c r="L97" s="67"/>
      <c r="M97" s="67"/>
      <c r="N97" s="67"/>
      <c r="O97" s="67"/>
      <c r="P97" s="67"/>
      <c r="Q97" s="67"/>
      <c r="R97" s="67"/>
      <c r="S97" s="67"/>
      <c r="T97" s="67"/>
      <c r="U97" s="67"/>
      <c r="V97" s="67"/>
      <c r="W97" s="67"/>
      <c r="X97" s="67"/>
      <c r="Y97" s="67"/>
      <c r="Z97" s="67"/>
      <c r="AA97" s="67"/>
      <c r="AB97" s="67"/>
      <c r="AC97" s="67"/>
      <c r="AD97" s="67"/>
      <c r="AE97" s="67"/>
      <c r="AF97" s="67"/>
      <c r="AG97" s="67"/>
      <c r="AH97" s="67"/>
      <c r="AI97" s="67"/>
      <c r="AJ97" s="67"/>
      <c r="AK97" s="67"/>
      <c r="AL97" s="67"/>
      <c r="AM97" s="67"/>
      <c r="AN97" s="67"/>
      <c r="AO97" s="67"/>
      <c r="AP97" s="67"/>
      <c r="AQ97" s="67"/>
      <c r="AR97" s="67"/>
      <c r="AS97" s="67"/>
      <c r="AT97" s="67"/>
      <c r="AU97" s="67"/>
      <c r="AV97" s="67"/>
      <c r="AW97" s="67"/>
      <c r="AX97" s="67"/>
      <c r="AY97" s="67"/>
      <c r="AZ97" s="67"/>
      <c r="BA97" s="67"/>
      <c r="BB97" s="67"/>
      <c r="BC97" s="67"/>
      <c r="BD97" s="67"/>
      <c r="BE97" s="67"/>
      <c r="BF97" s="67"/>
      <c r="BG97" s="67"/>
      <c r="BH97" s="70"/>
      <c r="BJ97" s="67"/>
      <c r="BK97" s="67"/>
      <c r="BL97" s="67"/>
      <c r="BM97" s="67"/>
      <c r="BN97" s="67"/>
      <c r="BO97" s="67"/>
      <c r="BP97" s="67"/>
      <c r="BQ97" s="67"/>
      <c r="BR97" s="67"/>
      <c r="BS97" s="67"/>
      <c r="BT97" s="67"/>
      <c r="BU97" s="67"/>
      <c r="BV97" s="67"/>
      <c r="BW97" s="67"/>
      <c r="BX97" s="67"/>
      <c r="BY97" s="67"/>
      <c r="BZ97" s="67"/>
      <c r="CA97" s="67"/>
      <c r="CB97" s="67"/>
      <c r="CC97" s="67"/>
      <c r="CD97" s="67"/>
      <c r="CE97" s="67"/>
      <c r="CF97" s="67"/>
      <c r="CG97" s="67"/>
      <c r="CH97" s="67"/>
      <c r="CI97" s="67"/>
      <c r="CJ97" s="67"/>
      <c r="CK97" s="67"/>
      <c r="CL97" s="67"/>
      <c r="CM97" s="67"/>
      <c r="CN97" s="67"/>
      <c r="CO97" s="67"/>
      <c r="CP97" s="67"/>
      <c r="CQ97" s="67"/>
      <c r="CR97" s="67"/>
      <c r="CS97" s="67"/>
      <c r="CT97" s="67"/>
      <c r="CU97" s="67"/>
      <c r="CV97" s="67"/>
      <c r="CW97" s="67"/>
      <c r="CX97" s="67"/>
      <c r="CY97" s="67"/>
      <c r="CZ97" s="67"/>
      <c r="DA97" s="67"/>
      <c r="DB97" s="67"/>
      <c r="DC97" s="67"/>
      <c r="DD97" s="67"/>
      <c r="DE97" s="67"/>
      <c r="DF97" s="67"/>
      <c r="DG97" s="67"/>
      <c r="DH97" s="67"/>
      <c r="DI97" s="67"/>
      <c r="DJ97" s="67"/>
    </row>
    <row r="98" spans="5:114" x14ac:dyDescent="0.25">
      <c r="E98" s="67"/>
      <c r="G98" s="67"/>
      <c r="H98" s="67"/>
      <c r="I98" s="67"/>
      <c r="J98" s="67"/>
      <c r="K98" s="67"/>
      <c r="L98" s="67"/>
      <c r="M98" s="67"/>
      <c r="N98" s="67"/>
      <c r="O98" s="67"/>
      <c r="P98" s="67"/>
      <c r="Q98" s="67"/>
      <c r="R98" s="67"/>
      <c r="S98" s="67"/>
      <c r="T98" s="67"/>
      <c r="U98" s="67"/>
      <c r="V98" s="67"/>
      <c r="W98" s="67"/>
      <c r="X98" s="67"/>
      <c r="Y98" s="67"/>
      <c r="Z98" s="67"/>
      <c r="AA98" s="67"/>
      <c r="AB98" s="67"/>
      <c r="AC98" s="67"/>
      <c r="AD98" s="67"/>
      <c r="AE98" s="67"/>
      <c r="AF98" s="67"/>
      <c r="AG98" s="67"/>
      <c r="AH98" s="67"/>
      <c r="AI98" s="67"/>
      <c r="AJ98" s="67"/>
      <c r="AK98" s="67"/>
      <c r="AL98" s="67"/>
      <c r="AM98" s="67"/>
      <c r="AN98" s="67"/>
      <c r="AO98" s="67"/>
      <c r="AP98" s="67"/>
      <c r="AQ98" s="67"/>
      <c r="AR98" s="67"/>
      <c r="AS98" s="67"/>
      <c r="AT98" s="67"/>
      <c r="AU98" s="67"/>
      <c r="AV98" s="67"/>
      <c r="AW98" s="67"/>
      <c r="AX98" s="67"/>
      <c r="AY98" s="67"/>
      <c r="AZ98" s="67"/>
      <c r="BA98" s="67"/>
      <c r="BB98" s="67"/>
      <c r="BC98" s="67"/>
      <c r="BD98" s="67"/>
      <c r="BE98" s="67"/>
      <c r="BF98" s="67"/>
      <c r="BG98" s="67"/>
      <c r="BH98" s="70"/>
      <c r="BJ98" s="67"/>
      <c r="BK98" s="67"/>
      <c r="BL98" s="67"/>
      <c r="BM98" s="67"/>
      <c r="BN98" s="67"/>
      <c r="BO98" s="67"/>
      <c r="BP98" s="67"/>
      <c r="BQ98" s="67"/>
      <c r="BR98" s="67"/>
      <c r="BS98" s="67"/>
      <c r="BT98" s="67"/>
      <c r="BU98" s="67"/>
      <c r="BV98" s="67"/>
      <c r="BW98" s="67"/>
      <c r="BX98" s="67"/>
      <c r="BY98" s="67"/>
      <c r="BZ98" s="67"/>
      <c r="CA98" s="67"/>
      <c r="CB98" s="67"/>
      <c r="CC98" s="67"/>
      <c r="CD98" s="67"/>
      <c r="CE98" s="67"/>
      <c r="CF98" s="67"/>
      <c r="CG98" s="67"/>
      <c r="CH98" s="67"/>
      <c r="CI98" s="67"/>
      <c r="CJ98" s="67"/>
      <c r="CK98" s="67"/>
      <c r="CL98" s="67"/>
      <c r="CM98" s="67"/>
      <c r="CN98" s="67"/>
      <c r="CO98" s="67"/>
      <c r="CP98" s="67"/>
      <c r="CQ98" s="67"/>
      <c r="CR98" s="67"/>
      <c r="CS98" s="67"/>
      <c r="CT98" s="67"/>
      <c r="CU98" s="67"/>
      <c r="CV98" s="67"/>
      <c r="CW98" s="67"/>
      <c r="CX98" s="67"/>
      <c r="CY98" s="67"/>
      <c r="CZ98" s="67"/>
      <c r="DA98" s="67"/>
      <c r="DB98" s="67"/>
      <c r="DC98" s="67"/>
      <c r="DD98" s="67"/>
      <c r="DE98" s="67"/>
      <c r="DF98" s="67"/>
      <c r="DG98" s="67"/>
      <c r="DH98" s="67"/>
      <c r="DI98" s="67"/>
      <c r="DJ98" s="67"/>
    </row>
    <row r="99" spans="5:114" x14ac:dyDescent="0.25">
      <c r="E99" s="67"/>
      <c r="G99" s="67"/>
      <c r="H99" s="67"/>
      <c r="I99" s="67"/>
      <c r="J99" s="67"/>
      <c r="K99" s="67"/>
      <c r="L99" s="67"/>
      <c r="M99" s="67"/>
      <c r="N99" s="67"/>
      <c r="O99" s="67"/>
      <c r="P99" s="67"/>
      <c r="Q99" s="67"/>
      <c r="R99" s="67"/>
      <c r="S99" s="67"/>
      <c r="T99" s="67"/>
      <c r="U99" s="67"/>
      <c r="V99" s="67"/>
      <c r="W99" s="67"/>
      <c r="X99" s="67"/>
      <c r="Y99" s="67"/>
      <c r="Z99" s="67"/>
      <c r="AA99" s="67"/>
      <c r="AB99" s="67"/>
      <c r="AC99" s="67"/>
      <c r="AD99" s="67"/>
      <c r="AE99" s="67"/>
      <c r="AF99" s="67"/>
      <c r="AG99" s="67"/>
      <c r="AH99" s="67"/>
      <c r="AI99" s="67"/>
      <c r="AJ99" s="67"/>
      <c r="AK99" s="67"/>
      <c r="AL99" s="67"/>
      <c r="AM99" s="67"/>
      <c r="AN99" s="67"/>
      <c r="AO99" s="67"/>
      <c r="AP99" s="67"/>
      <c r="AQ99" s="67"/>
      <c r="AR99" s="67"/>
      <c r="AS99" s="67"/>
      <c r="AT99" s="67"/>
      <c r="AU99" s="67"/>
      <c r="AV99" s="67"/>
      <c r="AW99" s="67"/>
      <c r="AX99" s="67"/>
      <c r="AY99" s="67"/>
      <c r="AZ99" s="67"/>
      <c r="BA99" s="67"/>
      <c r="BB99" s="67"/>
      <c r="BC99" s="67"/>
      <c r="BD99" s="67"/>
      <c r="BE99" s="67"/>
      <c r="BF99" s="67"/>
      <c r="BG99" s="67"/>
      <c r="BH99" s="70"/>
      <c r="BJ99" s="67"/>
      <c r="BK99" s="67"/>
      <c r="BL99" s="67"/>
      <c r="BM99" s="67"/>
      <c r="BN99" s="67"/>
      <c r="BO99" s="67"/>
      <c r="BP99" s="67"/>
      <c r="BQ99" s="67"/>
      <c r="BR99" s="67"/>
      <c r="BS99" s="67"/>
      <c r="BT99" s="67"/>
      <c r="BU99" s="67"/>
      <c r="BV99" s="67"/>
      <c r="BW99" s="67"/>
      <c r="BX99" s="67"/>
      <c r="BY99" s="67"/>
      <c r="BZ99" s="67"/>
      <c r="CA99" s="67"/>
      <c r="CB99" s="67"/>
      <c r="CC99" s="67"/>
      <c r="CD99" s="67"/>
      <c r="CE99" s="67"/>
      <c r="CF99" s="67"/>
      <c r="CG99" s="67"/>
      <c r="CH99" s="67"/>
      <c r="CI99" s="67"/>
      <c r="CJ99" s="67"/>
      <c r="CK99" s="67"/>
      <c r="CL99" s="67"/>
      <c r="CM99" s="67"/>
      <c r="CN99" s="67"/>
      <c r="CO99" s="67"/>
      <c r="CP99" s="67"/>
      <c r="CQ99" s="67"/>
      <c r="CR99" s="67"/>
      <c r="CS99" s="67"/>
      <c r="CT99" s="67"/>
      <c r="CU99" s="67"/>
      <c r="CV99" s="67"/>
      <c r="CW99" s="67"/>
      <c r="CX99" s="67"/>
      <c r="CY99" s="67"/>
      <c r="CZ99" s="67"/>
      <c r="DA99" s="67"/>
      <c r="DB99" s="67"/>
      <c r="DC99" s="67"/>
      <c r="DD99" s="67"/>
      <c r="DE99" s="67"/>
      <c r="DF99" s="67"/>
      <c r="DG99" s="67"/>
      <c r="DH99" s="67"/>
      <c r="DI99" s="67"/>
      <c r="DJ99" s="67"/>
    </row>
    <row r="100" spans="5:114" x14ac:dyDescent="0.25">
      <c r="E100" s="67"/>
      <c r="G100" s="67"/>
      <c r="H100" s="67"/>
      <c r="I100" s="67"/>
      <c r="J100" s="67"/>
      <c r="K100" s="67"/>
      <c r="L100" s="67"/>
      <c r="M100" s="67"/>
      <c r="N100" s="67"/>
      <c r="O100" s="67"/>
      <c r="P100" s="67"/>
      <c r="Q100" s="67"/>
      <c r="R100" s="67"/>
      <c r="S100" s="67"/>
      <c r="T100" s="67"/>
      <c r="U100" s="67"/>
      <c r="V100" s="67"/>
      <c r="W100" s="67"/>
      <c r="X100" s="67"/>
      <c r="Y100" s="67"/>
      <c r="Z100" s="67"/>
      <c r="AA100" s="67"/>
      <c r="AB100" s="67"/>
      <c r="AC100" s="67"/>
      <c r="AD100" s="67"/>
      <c r="AE100" s="67"/>
      <c r="AF100" s="67"/>
      <c r="AG100" s="67"/>
      <c r="AH100" s="67"/>
      <c r="AI100" s="67"/>
      <c r="AJ100" s="67"/>
      <c r="AK100" s="67"/>
      <c r="AL100" s="67"/>
      <c r="AM100" s="67"/>
      <c r="AN100" s="67"/>
      <c r="AO100" s="67"/>
      <c r="AP100" s="67"/>
      <c r="AQ100" s="67"/>
      <c r="AR100" s="67"/>
      <c r="AS100" s="67"/>
      <c r="AT100" s="67"/>
      <c r="AU100" s="67"/>
      <c r="AV100" s="67"/>
      <c r="AW100" s="67"/>
      <c r="AX100" s="67"/>
      <c r="AY100" s="67"/>
      <c r="AZ100" s="67"/>
      <c r="BA100" s="67"/>
      <c r="BB100" s="67"/>
      <c r="BC100" s="67"/>
      <c r="BD100" s="67"/>
      <c r="BE100" s="67"/>
      <c r="BF100" s="67"/>
      <c r="BG100" s="67"/>
      <c r="BH100" s="70"/>
      <c r="BJ100" s="67"/>
      <c r="BK100" s="67"/>
      <c r="BL100" s="67"/>
      <c r="BM100" s="67"/>
      <c r="BN100" s="67"/>
      <c r="BO100" s="67"/>
      <c r="BP100" s="67"/>
      <c r="BQ100" s="67"/>
      <c r="BR100" s="67"/>
      <c r="BS100" s="67"/>
      <c r="BT100" s="67"/>
      <c r="BU100" s="67"/>
      <c r="BV100" s="67"/>
      <c r="BW100" s="67"/>
      <c r="BX100" s="67"/>
      <c r="BY100" s="67"/>
      <c r="BZ100" s="67"/>
      <c r="CA100" s="67"/>
      <c r="CB100" s="67"/>
      <c r="CC100" s="67"/>
      <c r="CD100" s="67"/>
      <c r="CE100" s="67"/>
      <c r="CF100" s="67"/>
      <c r="CG100" s="67"/>
      <c r="CH100" s="67"/>
      <c r="CI100" s="67"/>
      <c r="CJ100" s="67"/>
      <c r="CK100" s="67"/>
      <c r="CL100" s="67"/>
      <c r="CM100" s="67"/>
      <c r="CN100" s="67"/>
      <c r="CO100" s="67"/>
      <c r="CP100" s="67"/>
      <c r="CQ100" s="67"/>
      <c r="CR100" s="67"/>
      <c r="CS100" s="67"/>
      <c r="CT100" s="67"/>
      <c r="CU100" s="67"/>
      <c r="CV100" s="67"/>
      <c r="CW100" s="67"/>
      <c r="CX100" s="67"/>
      <c r="CY100" s="67"/>
      <c r="CZ100" s="67"/>
      <c r="DA100" s="67"/>
      <c r="DB100" s="67"/>
      <c r="DC100" s="67"/>
      <c r="DD100" s="67"/>
      <c r="DE100" s="67"/>
      <c r="DF100" s="67"/>
      <c r="DG100" s="67"/>
      <c r="DH100" s="67"/>
      <c r="DI100" s="67"/>
      <c r="DJ100" s="67"/>
    </row>
    <row r="101" spans="5:114" x14ac:dyDescent="0.25">
      <c r="E101" s="67"/>
      <c r="G101" s="67"/>
      <c r="H101" s="67"/>
      <c r="I101" s="67"/>
      <c r="J101" s="67"/>
      <c r="K101" s="67"/>
      <c r="L101" s="67"/>
      <c r="M101" s="67"/>
      <c r="N101" s="67"/>
      <c r="O101" s="67"/>
      <c r="P101" s="67"/>
      <c r="Q101" s="67"/>
      <c r="R101" s="67"/>
      <c r="S101" s="67"/>
      <c r="T101" s="67"/>
      <c r="U101" s="67"/>
      <c r="V101" s="67"/>
      <c r="W101" s="67"/>
      <c r="X101" s="67"/>
      <c r="Y101" s="67"/>
      <c r="Z101" s="67"/>
      <c r="AA101" s="67"/>
      <c r="AB101" s="67"/>
      <c r="AC101" s="67"/>
      <c r="AD101" s="67"/>
      <c r="AE101" s="67"/>
      <c r="AF101" s="67"/>
      <c r="AG101" s="67"/>
      <c r="AH101" s="67"/>
      <c r="AI101" s="67"/>
      <c r="AJ101" s="67"/>
      <c r="AK101" s="67"/>
      <c r="AL101" s="67"/>
      <c r="AM101" s="67"/>
      <c r="AN101" s="67"/>
      <c r="AO101" s="67"/>
      <c r="AP101" s="67"/>
      <c r="AQ101" s="67"/>
      <c r="AR101" s="67"/>
      <c r="AS101" s="67"/>
      <c r="AT101" s="67"/>
      <c r="AU101" s="67"/>
      <c r="AV101" s="67"/>
      <c r="AW101" s="67"/>
      <c r="AX101" s="67"/>
      <c r="AY101" s="67"/>
      <c r="AZ101" s="67"/>
      <c r="BA101" s="67"/>
      <c r="BB101" s="67"/>
      <c r="BC101" s="67"/>
      <c r="BD101" s="67"/>
      <c r="BE101" s="67"/>
      <c r="BF101" s="67"/>
      <c r="BG101" s="67"/>
      <c r="BH101" s="70"/>
      <c r="BJ101" s="67"/>
      <c r="BK101" s="67"/>
      <c r="BL101" s="67"/>
      <c r="BM101" s="67"/>
      <c r="BN101" s="67"/>
      <c r="BO101" s="67"/>
      <c r="BP101" s="67"/>
      <c r="BQ101" s="67"/>
      <c r="BR101" s="67"/>
      <c r="BS101" s="67"/>
      <c r="BT101" s="67"/>
      <c r="BU101" s="67"/>
      <c r="BV101" s="67"/>
      <c r="BW101" s="67"/>
      <c r="BX101" s="67"/>
      <c r="BY101" s="67"/>
      <c r="BZ101" s="67"/>
      <c r="CA101" s="67"/>
      <c r="CB101" s="67"/>
      <c r="CC101" s="67"/>
      <c r="CD101" s="67"/>
      <c r="CE101" s="67"/>
      <c r="CF101" s="67"/>
      <c r="CG101" s="67"/>
      <c r="CH101" s="67"/>
      <c r="CI101" s="67"/>
      <c r="CJ101" s="67"/>
      <c r="CK101" s="67"/>
      <c r="CL101" s="67"/>
      <c r="CM101" s="67"/>
      <c r="CN101" s="67"/>
      <c r="CO101" s="67"/>
      <c r="CP101" s="67"/>
      <c r="CQ101" s="67"/>
      <c r="CR101" s="67"/>
      <c r="CS101" s="67"/>
      <c r="CT101" s="67"/>
      <c r="CU101" s="67"/>
      <c r="CV101" s="67"/>
      <c r="CW101" s="67"/>
      <c r="CX101" s="67"/>
      <c r="CY101" s="67"/>
      <c r="CZ101" s="67"/>
      <c r="DA101" s="67"/>
      <c r="DB101" s="67"/>
      <c r="DC101" s="67"/>
      <c r="DD101" s="67"/>
      <c r="DE101" s="67"/>
      <c r="DF101" s="67"/>
      <c r="DG101" s="67"/>
      <c r="DH101" s="67"/>
      <c r="DI101" s="67"/>
      <c r="DJ101" s="67"/>
    </row>
    <row r="102" spans="5:114" x14ac:dyDescent="0.25">
      <c r="E102" s="67"/>
      <c r="G102" s="67"/>
      <c r="H102" s="67"/>
      <c r="I102" s="67"/>
      <c r="J102" s="67"/>
      <c r="K102" s="67"/>
      <c r="L102" s="67"/>
      <c r="M102" s="67"/>
      <c r="N102" s="67"/>
      <c r="O102" s="67"/>
      <c r="P102" s="67"/>
      <c r="Q102" s="67"/>
      <c r="R102" s="67"/>
      <c r="S102" s="67"/>
      <c r="T102" s="67"/>
      <c r="U102" s="67"/>
      <c r="V102" s="67"/>
      <c r="W102" s="67"/>
      <c r="X102" s="67"/>
      <c r="Y102" s="67"/>
      <c r="Z102" s="67"/>
      <c r="AA102" s="67"/>
      <c r="AB102" s="67"/>
      <c r="AC102" s="67"/>
      <c r="AD102" s="67"/>
      <c r="AE102" s="67"/>
      <c r="AF102" s="67"/>
      <c r="AG102" s="67"/>
      <c r="AH102" s="67"/>
      <c r="AI102" s="67"/>
      <c r="AJ102" s="67"/>
      <c r="AK102" s="67"/>
      <c r="AL102" s="67"/>
      <c r="AM102" s="67"/>
      <c r="AN102" s="67"/>
      <c r="AO102" s="67"/>
      <c r="AP102" s="67"/>
      <c r="AQ102" s="67"/>
      <c r="AR102" s="67"/>
      <c r="AS102" s="67"/>
      <c r="AT102" s="67"/>
      <c r="AU102" s="67"/>
      <c r="AV102" s="67"/>
      <c r="AW102" s="67"/>
      <c r="AX102" s="67"/>
      <c r="AY102" s="67"/>
      <c r="AZ102" s="67"/>
      <c r="BA102" s="67"/>
      <c r="BB102" s="67"/>
      <c r="BC102" s="67"/>
      <c r="BD102" s="67"/>
      <c r="BE102" s="67"/>
      <c r="BF102" s="67"/>
      <c r="BG102" s="67"/>
      <c r="BH102" s="70"/>
      <c r="BJ102" s="67"/>
      <c r="BK102" s="67"/>
      <c r="BL102" s="67"/>
      <c r="BM102" s="67"/>
      <c r="BN102" s="67"/>
      <c r="BO102" s="67"/>
      <c r="BP102" s="67"/>
      <c r="BQ102" s="67"/>
      <c r="BR102" s="67"/>
      <c r="BS102" s="67"/>
      <c r="BT102" s="67"/>
      <c r="BU102" s="67"/>
      <c r="BV102" s="67"/>
      <c r="BW102" s="67"/>
      <c r="BX102" s="67"/>
      <c r="BY102" s="67"/>
      <c r="BZ102" s="67"/>
      <c r="CA102" s="67"/>
      <c r="CB102" s="67"/>
      <c r="CC102" s="67"/>
      <c r="CD102" s="67"/>
      <c r="CE102" s="67"/>
      <c r="CF102" s="67"/>
      <c r="CG102" s="67"/>
      <c r="CH102" s="67"/>
      <c r="CI102" s="67"/>
      <c r="CJ102" s="67"/>
      <c r="CK102" s="67"/>
      <c r="CL102" s="67"/>
      <c r="CM102" s="67"/>
      <c r="CN102" s="67"/>
      <c r="CO102" s="67"/>
      <c r="CP102" s="67"/>
      <c r="CQ102" s="67"/>
      <c r="CR102" s="67"/>
      <c r="CS102" s="67"/>
      <c r="CT102" s="67"/>
      <c r="CU102" s="67"/>
      <c r="CV102" s="67"/>
      <c r="CW102" s="67"/>
      <c r="CX102" s="67"/>
      <c r="CY102" s="67"/>
      <c r="CZ102" s="67"/>
      <c r="DA102" s="67"/>
      <c r="DB102" s="67"/>
      <c r="DC102" s="67"/>
      <c r="DD102" s="67"/>
      <c r="DE102" s="67"/>
      <c r="DF102" s="67"/>
      <c r="DG102" s="67"/>
      <c r="DH102" s="67"/>
      <c r="DI102" s="67"/>
      <c r="DJ102" s="67"/>
    </row>
    <row r="103" spans="5:114" x14ac:dyDescent="0.25">
      <c r="E103" s="67"/>
      <c r="G103" s="67"/>
      <c r="H103" s="67"/>
      <c r="I103" s="67"/>
      <c r="J103" s="67"/>
      <c r="K103" s="67"/>
      <c r="L103" s="67"/>
      <c r="M103" s="67"/>
      <c r="N103" s="67"/>
      <c r="O103" s="67"/>
      <c r="P103" s="67"/>
      <c r="Q103" s="67"/>
      <c r="R103" s="67"/>
      <c r="S103" s="67"/>
      <c r="T103" s="67"/>
      <c r="U103" s="67"/>
      <c r="V103" s="67"/>
      <c r="W103" s="67"/>
      <c r="X103" s="67"/>
      <c r="Y103" s="67"/>
      <c r="Z103" s="67"/>
      <c r="AA103" s="67"/>
      <c r="AB103" s="67"/>
      <c r="AC103" s="67"/>
      <c r="AD103" s="67"/>
      <c r="AE103" s="67"/>
      <c r="AF103" s="67"/>
      <c r="AG103" s="67"/>
      <c r="AH103" s="67"/>
      <c r="AI103" s="67"/>
      <c r="AJ103" s="67"/>
      <c r="AK103" s="67"/>
      <c r="AL103" s="67"/>
      <c r="AM103" s="67"/>
      <c r="AN103" s="67"/>
      <c r="AO103" s="67"/>
      <c r="AP103" s="67"/>
      <c r="AQ103" s="67"/>
      <c r="AR103" s="67"/>
      <c r="AS103" s="67"/>
      <c r="AT103" s="67"/>
      <c r="AU103" s="67"/>
      <c r="AV103" s="67"/>
      <c r="AW103" s="67"/>
      <c r="AX103" s="67"/>
      <c r="AY103" s="67"/>
      <c r="AZ103" s="67"/>
      <c r="BA103" s="67"/>
      <c r="BB103" s="67"/>
      <c r="BC103" s="67"/>
      <c r="BD103" s="67"/>
      <c r="BE103" s="67"/>
      <c r="BF103" s="67"/>
      <c r="BG103" s="67"/>
      <c r="BH103" s="70"/>
      <c r="BJ103" s="67"/>
      <c r="BK103" s="67"/>
      <c r="BL103" s="67"/>
      <c r="BM103" s="67"/>
      <c r="BN103" s="67"/>
      <c r="BO103" s="67"/>
      <c r="BP103" s="67"/>
      <c r="BQ103" s="67"/>
      <c r="BR103" s="67"/>
      <c r="BS103" s="67"/>
      <c r="BT103" s="67"/>
      <c r="BU103" s="67"/>
      <c r="BV103" s="67"/>
      <c r="BW103" s="67"/>
      <c r="BX103" s="67"/>
      <c r="BY103" s="67"/>
      <c r="BZ103" s="67"/>
      <c r="CA103" s="67"/>
      <c r="CB103" s="67"/>
      <c r="CC103" s="67"/>
      <c r="CD103" s="67"/>
      <c r="CE103" s="67"/>
      <c r="CF103" s="67"/>
      <c r="CG103" s="67"/>
      <c r="CH103" s="67"/>
      <c r="CI103" s="67"/>
      <c r="CJ103" s="67"/>
      <c r="CK103" s="67"/>
      <c r="CL103" s="67"/>
      <c r="CM103" s="67"/>
      <c r="CN103" s="67"/>
      <c r="CO103" s="67"/>
      <c r="CP103" s="67"/>
      <c r="CQ103" s="67"/>
      <c r="CR103" s="67"/>
      <c r="CS103" s="67"/>
      <c r="CT103" s="67"/>
      <c r="CU103" s="67"/>
      <c r="CV103" s="67"/>
      <c r="CW103" s="67"/>
      <c r="CX103" s="67"/>
      <c r="CY103" s="67"/>
      <c r="CZ103" s="67"/>
      <c r="DA103" s="67"/>
      <c r="DB103" s="67"/>
      <c r="DC103" s="67"/>
      <c r="DD103" s="67"/>
      <c r="DE103" s="67"/>
      <c r="DF103" s="67"/>
      <c r="DG103" s="67"/>
      <c r="DH103" s="67"/>
      <c r="DI103" s="67"/>
      <c r="DJ103" s="67"/>
    </row>
    <row r="104" spans="5:114" x14ac:dyDescent="0.25">
      <c r="E104" s="67"/>
      <c r="G104" s="67"/>
      <c r="H104" s="67"/>
      <c r="I104" s="67"/>
      <c r="J104" s="67"/>
      <c r="K104" s="67"/>
      <c r="L104" s="67"/>
      <c r="M104" s="67"/>
      <c r="N104" s="67"/>
      <c r="O104" s="67"/>
      <c r="P104" s="67"/>
      <c r="Q104" s="67"/>
      <c r="R104" s="67"/>
      <c r="S104" s="67"/>
      <c r="T104" s="67"/>
      <c r="U104" s="67"/>
      <c r="V104" s="67"/>
      <c r="W104" s="67"/>
      <c r="X104" s="67"/>
      <c r="Y104" s="67"/>
      <c r="Z104" s="67"/>
      <c r="AA104" s="67"/>
      <c r="AB104" s="67"/>
      <c r="AC104" s="67"/>
      <c r="AD104" s="67"/>
      <c r="AE104" s="67"/>
      <c r="AF104" s="67"/>
      <c r="AG104" s="67"/>
      <c r="AH104" s="67"/>
      <c r="AI104" s="67"/>
      <c r="AJ104" s="67"/>
      <c r="AK104" s="67"/>
      <c r="AL104" s="67"/>
      <c r="AM104" s="67"/>
      <c r="AN104" s="67"/>
      <c r="AO104" s="67"/>
      <c r="AP104" s="67"/>
      <c r="AQ104" s="67"/>
      <c r="AR104" s="67"/>
      <c r="AS104" s="67"/>
      <c r="AT104" s="67"/>
      <c r="AU104" s="67"/>
      <c r="AV104" s="67"/>
      <c r="AW104" s="67"/>
      <c r="AX104" s="67"/>
      <c r="AY104" s="67"/>
      <c r="AZ104" s="67"/>
      <c r="BA104" s="67"/>
      <c r="BB104" s="67"/>
      <c r="BC104" s="67"/>
      <c r="BD104" s="67"/>
      <c r="BE104" s="67"/>
      <c r="BF104" s="67"/>
      <c r="BG104" s="67"/>
      <c r="BH104" s="70"/>
      <c r="BJ104" s="67"/>
      <c r="BK104" s="67"/>
      <c r="BL104" s="67"/>
      <c r="BM104" s="67"/>
      <c r="BN104" s="67"/>
      <c r="BO104" s="67"/>
      <c r="BP104" s="67"/>
      <c r="BQ104" s="67"/>
      <c r="BR104" s="67"/>
      <c r="BS104" s="67"/>
      <c r="BT104" s="67"/>
      <c r="BU104" s="67"/>
      <c r="BV104" s="67"/>
      <c r="BW104" s="67"/>
      <c r="BX104" s="67"/>
      <c r="BY104" s="67"/>
      <c r="BZ104" s="67"/>
      <c r="CA104" s="67"/>
      <c r="CB104" s="67"/>
      <c r="CC104" s="67"/>
      <c r="CD104" s="67"/>
      <c r="CE104" s="67"/>
      <c r="CF104" s="67"/>
      <c r="CG104" s="67"/>
      <c r="CH104" s="67"/>
      <c r="CI104" s="67"/>
      <c r="CJ104" s="67"/>
      <c r="CK104" s="67"/>
      <c r="CL104" s="67"/>
      <c r="CM104" s="67"/>
      <c r="CN104" s="67"/>
      <c r="CO104" s="67"/>
      <c r="CP104" s="67"/>
      <c r="CQ104" s="67"/>
      <c r="CR104" s="67"/>
      <c r="CS104" s="67"/>
      <c r="CT104" s="67"/>
      <c r="CU104" s="67"/>
      <c r="CV104" s="67"/>
      <c r="CW104" s="67"/>
      <c r="CX104" s="67"/>
      <c r="CY104" s="67"/>
      <c r="CZ104" s="67"/>
      <c r="DA104" s="67"/>
      <c r="DB104" s="67"/>
      <c r="DC104" s="67"/>
      <c r="DD104" s="67"/>
      <c r="DE104" s="67"/>
      <c r="DF104" s="67"/>
      <c r="DG104" s="67"/>
      <c r="DH104" s="67"/>
      <c r="DI104" s="67"/>
      <c r="DJ104" s="67"/>
    </row>
    <row r="105" spans="5:114" x14ac:dyDescent="0.25">
      <c r="E105" s="67"/>
      <c r="G105" s="67"/>
      <c r="H105" s="67"/>
      <c r="I105" s="67"/>
      <c r="J105" s="67"/>
      <c r="K105" s="67"/>
      <c r="L105" s="67"/>
      <c r="M105" s="67"/>
      <c r="N105" s="67"/>
      <c r="O105" s="67"/>
      <c r="P105" s="67"/>
      <c r="Q105" s="67"/>
      <c r="R105" s="67"/>
      <c r="S105" s="67"/>
      <c r="T105" s="67"/>
      <c r="U105" s="67"/>
      <c r="V105" s="67"/>
      <c r="W105" s="67"/>
      <c r="X105" s="67"/>
      <c r="Y105" s="67"/>
      <c r="Z105" s="67"/>
      <c r="AA105" s="67"/>
      <c r="AB105" s="67"/>
      <c r="AC105" s="67"/>
      <c r="AD105" s="67"/>
      <c r="AE105" s="67"/>
      <c r="AF105" s="67"/>
      <c r="AG105" s="67"/>
      <c r="AH105" s="67"/>
      <c r="AI105" s="67"/>
      <c r="AJ105" s="67"/>
      <c r="AK105" s="67"/>
      <c r="AL105" s="67"/>
      <c r="AM105" s="67"/>
      <c r="AN105" s="67"/>
      <c r="AO105" s="67"/>
      <c r="AP105" s="67"/>
      <c r="AQ105" s="67"/>
      <c r="AR105" s="67"/>
      <c r="AS105" s="67"/>
      <c r="AT105" s="67"/>
      <c r="AU105" s="67"/>
      <c r="AV105" s="67"/>
      <c r="AW105" s="67"/>
      <c r="AX105" s="67"/>
      <c r="AY105" s="67"/>
      <c r="AZ105" s="67"/>
      <c r="BA105" s="67"/>
      <c r="BB105" s="67"/>
      <c r="BC105" s="67"/>
      <c r="BD105" s="67"/>
      <c r="BE105" s="67"/>
      <c r="BF105" s="67"/>
      <c r="BG105" s="67"/>
      <c r="BH105" s="70"/>
      <c r="BJ105" s="67"/>
      <c r="BK105" s="67"/>
      <c r="BL105" s="67"/>
      <c r="BM105" s="67"/>
      <c r="BN105" s="67"/>
      <c r="BO105" s="67"/>
      <c r="BP105" s="67"/>
      <c r="BQ105" s="67"/>
      <c r="BR105" s="67"/>
      <c r="BS105" s="67"/>
      <c r="BT105" s="67"/>
      <c r="BU105" s="67"/>
      <c r="BV105" s="67"/>
      <c r="BW105" s="67"/>
      <c r="BX105" s="67"/>
      <c r="BY105" s="67"/>
      <c r="BZ105" s="67"/>
      <c r="CA105" s="67"/>
      <c r="CB105" s="67"/>
      <c r="CC105" s="67"/>
      <c r="CD105" s="67"/>
      <c r="CE105" s="67"/>
      <c r="CF105" s="67"/>
      <c r="CG105" s="67"/>
      <c r="CH105" s="67"/>
      <c r="CI105" s="67"/>
      <c r="CJ105" s="67"/>
      <c r="CK105" s="67"/>
      <c r="CL105" s="67"/>
      <c r="CM105" s="67"/>
      <c r="CN105" s="67"/>
      <c r="CO105" s="67"/>
      <c r="CP105" s="67"/>
      <c r="CQ105" s="67"/>
      <c r="CR105" s="67"/>
      <c r="CS105" s="67"/>
      <c r="CT105" s="67"/>
      <c r="CU105" s="67"/>
      <c r="CV105" s="67"/>
      <c r="CW105" s="67"/>
      <c r="CX105" s="67"/>
      <c r="CY105" s="67"/>
      <c r="CZ105" s="67"/>
      <c r="DA105" s="67"/>
      <c r="DB105" s="67"/>
      <c r="DC105" s="67"/>
      <c r="DD105" s="67"/>
      <c r="DE105" s="67"/>
      <c r="DF105" s="67"/>
      <c r="DG105" s="67"/>
      <c r="DH105" s="67"/>
      <c r="DI105" s="67"/>
      <c r="DJ105" s="67"/>
    </row>
    <row r="106" spans="5:114" x14ac:dyDescent="0.25">
      <c r="E106" s="67"/>
      <c r="G106" s="67"/>
      <c r="H106" s="67"/>
      <c r="I106" s="67"/>
      <c r="J106" s="67"/>
      <c r="K106" s="67"/>
      <c r="L106" s="67"/>
      <c r="M106" s="67"/>
      <c r="N106" s="67"/>
      <c r="O106" s="67"/>
      <c r="P106" s="67"/>
      <c r="Q106" s="67"/>
      <c r="R106" s="67"/>
      <c r="S106" s="67"/>
      <c r="T106" s="67"/>
      <c r="U106" s="67"/>
      <c r="V106" s="67"/>
      <c r="W106" s="67"/>
      <c r="X106" s="67"/>
      <c r="Y106" s="67"/>
      <c r="Z106" s="67"/>
      <c r="AA106" s="67"/>
      <c r="AB106" s="67"/>
      <c r="AC106" s="67"/>
      <c r="AD106" s="67"/>
      <c r="AE106" s="67"/>
      <c r="AF106" s="67"/>
      <c r="AG106" s="67"/>
      <c r="AH106" s="67"/>
      <c r="AI106" s="67"/>
      <c r="AJ106" s="67"/>
      <c r="AK106" s="67"/>
      <c r="AL106" s="67"/>
      <c r="AM106" s="67"/>
      <c r="AN106" s="67"/>
      <c r="AO106" s="67"/>
      <c r="AP106" s="67"/>
      <c r="AQ106" s="67"/>
      <c r="AR106" s="67"/>
      <c r="AS106" s="67"/>
      <c r="AT106" s="67"/>
      <c r="AU106" s="67"/>
      <c r="AV106" s="67"/>
      <c r="AW106" s="67"/>
      <c r="AX106" s="67"/>
      <c r="AY106" s="67"/>
      <c r="AZ106" s="67"/>
      <c r="BA106" s="67"/>
      <c r="BB106" s="67"/>
      <c r="BC106" s="67"/>
      <c r="BD106" s="67"/>
      <c r="BE106" s="67"/>
      <c r="BF106" s="67"/>
      <c r="BG106" s="67"/>
      <c r="BH106" s="70"/>
      <c r="BJ106" s="67"/>
      <c r="BK106" s="67"/>
      <c r="BL106" s="67"/>
      <c r="BM106" s="67"/>
      <c r="BN106" s="67"/>
      <c r="BO106" s="67"/>
      <c r="BP106" s="67"/>
      <c r="BQ106" s="67"/>
      <c r="BR106" s="67"/>
      <c r="BS106" s="67"/>
      <c r="BT106" s="67"/>
      <c r="BU106" s="67"/>
      <c r="BV106" s="67"/>
      <c r="BW106" s="67"/>
      <c r="BX106" s="67"/>
      <c r="BY106" s="67"/>
      <c r="BZ106" s="67"/>
      <c r="CA106" s="67"/>
      <c r="CB106" s="67"/>
      <c r="CC106" s="67"/>
      <c r="CD106" s="67"/>
      <c r="CE106" s="67"/>
      <c r="CF106" s="67"/>
      <c r="CG106" s="67"/>
      <c r="CH106" s="67"/>
      <c r="CI106" s="67"/>
      <c r="CJ106" s="67"/>
      <c r="CK106" s="67"/>
      <c r="CL106" s="67"/>
      <c r="CM106" s="67"/>
      <c r="CN106" s="67"/>
      <c r="CO106" s="67"/>
      <c r="CP106" s="67"/>
      <c r="CQ106" s="67"/>
      <c r="CR106" s="67"/>
      <c r="CS106" s="67"/>
      <c r="CT106" s="67"/>
      <c r="CU106" s="67"/>
      <c r="CV106" s="67"/>
      <c r="CW106" s="67"/>
      <c r="CX106" s="67"/>
      <c r="CY106" s="67"/>
      <c r="CZ106" s="67"/>
      <c r="DA106" s="67"/>
      <c r="DB106" s="67"/>
      <c r="DC106" s="67"/>
      <c r="DD106" s="67"/>
      <c r="DE106" s="67"/>
      <c r="DF106" s="67"/>
      <c r="DG106" s="67"/>
      <c r="DH106" s="67"/>
      <c r="DI106" s="67"/>
      <c r="DJ106" s="67"/>
    </row>
    <row r="107" spans="5:114" x14ac:dyDescent="0.25">
      <c r="E107" s="67"/>
      <c r="G107" s="67"/>
      <c r="H107" s="67"/>
      <c r="I107" s="67"/>
      <c r="J107" s="67"/>
      <c r="K107" s="67"/>
      <c r="L107" s="67"/>
      <c r="M107" s="67"/>
      <c r="N107" s="67"/>
      <c r="O107" s="67"/>
      <c r="P107" s="67"/>
      <c r="Q107" s="67"/>
      <c r="R107" s="67"/>
      <c r="S107" s="67"/>
      <c r="T107" s="67"/>
      <c r="U107" s="67"/>
      <c r="V107" s="67"/>
      <c r="W107" s="67"/>
      <c r="X107" s="67"/>
      <c r="Y107" s="67"/>
      <c r="Z107" s="67"/>
      <c r="AA107" s="67"/>
      <c r="AB107" s="67"/>
      <c r="AC107" s="67"/>
      <c r="AD107" s="67"/>
      <c r="AE107" s="67"/>
      <c r="AF107" s="67"/>
      <c r="AG107" s="67"/>
      <c r="AH107" s="67"/>
      <c r="AI107" s="67"/>
      <c r="AJ107" s="67"/>
      <c r="AK107" s="67"/>
      <c r="AL107" s="67"/>
      <c r="AM107" s="67"/>
      <c r="AN107" s="67"/>
      <c r="AO107" s="67"/>
      <c r="AP107" s="67"/>
      <c r="AQ107" s="67"/>
      <c r="AR107" s="67"/>
      <c r="AS107" s="67"/>
      <c r="AT107" s="67"/>
      <c r="AU107" s="67"/>
      <c r="AV107" s="67"/>
      <c r="AW107" s="67"/>
      <c r="AX107" s="67"/>
      <c r="AY107" s="67"/>
      <c r="AZ107" s="67"/>
      <c r="BA107" s="67"/>
      <c r="BB107" s="67"/>
      <c r="BC107" s="67"/>
      <c r="BD107" s="67"/>
      <c r="BE107" s="67"/>
      <c r="BF107" s="67"/>
      <c r="BG107" s="67"/>
      <c r="BH107" s="70"/>
      <c r="BJ107" s="67"/>
      <c r="BK107" s="67"/>
      <c r="BL107" s="67"/>
      <c r="BM107" s="67"/>
      <c r="BN107" s="67"/>
      <c r="BO107" s="67"/>
      <c r="BP107" s="67"/>
      <c r="BQ107" s="67"/>
      <c r="BR107" s="67"/>
      <c r="BS107" s="67"/>
      <c r="BT107" s="67"/>
      <c r="BU107" s="67"/>
      <c r="BV107" s="67"/>
      <c r="BW107" s="67"/>
      <c r="BX107" s="67"/>
      <c r="BY107" s="67"/>
      <c r="BZ107" s="67"/>
      <c r="CA107" s="67"/>
      <c r="CB107" s="67"/>
      <c r="CC107" s="67"/>
      <c r="CD107" s="67"/>
      <c r="CE107" s="67"/>
      <c r="CF107" s="67"/>
      <c r="CG107" s="67"/>
      <c r="CH107" s="67"/>
      <c r="CI107" s="67"/>
      <c r="CJ107" s="67"/>
      <c r="CK107" s="67"/>
      <c r="CL107" s="67"/>
      <c r="CM107" s="67"/>
      <c r="CN107" s="67"/>
      <c r="CO107" s="67"/>
      <c r="CP107" s="67"/>
      <c r="CQ107" s="67"/>
      <c r="CR107" s="67"/>
      <c r="CS107" s="67"/>
      <c r="CT107" s="67"/>
      <c r="CU107" s="67"/>
      <c r="CV107" s="67"/>
      <c r="CW107" s="67"/>
      <c r="CX107" s="67"/>
      <c r="CY107" s="67"/>
      <c r="CZ107" s="67"/>
      <c r="DA107" s="67"/>
      <c r="DB107" s="67"/>
      <c r="DC107" s="67"/>
      <c r="DD107" s="67"/>
      <c r="DE107" s="67"/>
      <c r="DF107" s="67"/>
      <c r="DG107" s="67"/>
      <c r="DH107" s="67"/>
      <c r="DI107" s="67"/>
      <c r="DJ107" s="67"/>
    </row>
    <row r="108" spans="5:114" x14ac:dyDescent="0.25">
      <c r="E108" s="67"/>
      <c r="G108" s="67"/>
      <c r="H108" s="67"/>
      <c r="I108" s="67"/>
      <c r="J108" s="67"/>
      <c r="K108" s="67"/>
      <c r="L108" s="67"/>
      <c r="M108" s="67"/>
      <c r="N108" s="67"/>
      <c r="O108" s="67"/>
      <c r="P108" s="67"/>
      <c r="Q108" s="67"/>
      <c r="R108" s="67"/>
      <c r="S108" s="67"/>
      <c r="T108" s="67"/>
      <c r="U108" s="67"/>
      <c r="V108" s="67"/>
      <c r="W108" s="67"/>
      <c r="X108" s="67"/>
      <c r="Y108" s="67"/>
      <c r="Z108" s="67"/>
      <c r="AA108" s="67"/>
      <c r="AB108" s="67"/>
      <c r="AC108" s="67"/>
      <c r="AD108" s="67"/>
      <c r="AE108" s="67"/>
      <c r="AF108" s="67"/>
      <c r="AG108" s="67"/>
      <c r="AH108" s="67"/>
      <c r="AI108" s="67"/>
      <c r="AJ108" s="67"/>
      <c r="AK108" s="67"/>
      <c r="AL108" s="67"/>
      <c r="AM108" s="67"/>
      <c r="AN108" s="67"/>
      <c r="AO108" s="67"/>
      <c r="AP108" s="67"/>
      <c r="AQ108" s="67"/>
      <c r="AR108" s="67"/>
      <c r="AS108" s="67"/>
      <c r="AT108" s="67"/>
      <c r="AU108" s="67"/>
      <c r="AV108" s="67"/>
      <c r="AW108" s="67"/>
      <c r="AX108" s="67"/>
      <c r="AY108" s="67"/>
      <c r="AZ108" s="67"/>
      <c r="BA108" s="67"/>
      <c r="BB108" s="67"/>
      <c r="BC108" s="67"/>
      <c r="BD108" s="67"/>
      <c r="BE108" s="67"/>
      <c r="BF108" s="67"/>
      <c r="BG108" s="67"/>
      <c r="BH108" s="70"/>
      <c r="BJ108" s="67"/>
      <c r="BK108" s="67"/>
      <c r="BL108" s="67"/>
      <c r="BM108" s="67"/>
      <c r="BN108" s="67"/>
      <c r="BO108" s="67"/>
      <c r="BP108" s="67"/>
      <c r="BQ108" s="67"/>
      <c r="BR108" s="67"/>
      <c r="BS108" s="67"/>
      <c r="BT108" s="67"/>
      <c r="BU108" s="67"/>
      <c r="BV108" s="67"/>
      <c r="BW108" s="67"/>
      <c r="BX108" s="67"/>
      <c r="BY108" s="67"/>
      <c r="BZ108" s="67"/>
      <c r="CA108" s="67"/>
      <c r="CB108" s="67"/>
      <c r="CC108" s="67"/>
      <c r="CD108" s="67"/>
      <c r="CE108" s="67"/>
      <c r="CF108" s="67"/>
      <c r="CG108" s="67"/>
      <c r="CH108" s="67"/>
      <c r="CI108" s="67"/>
      <c r="CJ108" s="67"/>
      <c r="CK108" s="67"/>
      <c r="CL108" s="67"/>
      <c r="CM108" s="67"/>
      <c r="CN108" s="67"/>
      <c r="CO108" s="67"/>
      <c r="CP108" s="67"/>
      <c r="CQ108" s="67"/>
      <c r="CR108" s="67"/>
      <c r="CS108" s="67"/>
      <c r="CT108" s="67"/>
      <c r="CU108" s="67"/>
      <c r="CV108" s="67"/>
      <c r="CW108" s="67"/>
      <c r="CX108" s="67"/>
      <c r="CY108" s="67"/>
      <c r="CZ108" s="67"/>
      <c r="DA108" s="67"/>
      <c r="DB108" s="67"/>
      <c r="DC108" s="67"/>
      <c r="DD108" s="67"/>
      <c r="DE108" s="67"/>
      <c r="DF108" s="67"/>
      <c r="DG108" s="67"/>
      <c r="DH108" s="67"/>
      <c r="DI108" s="67"/>
      <c r="DJ108" s="67"/>
    </row>
    <row r="109" spans="5:114" x14ac:dyDescent="0.25">
      <c r="E109" s="67"/>
      <c r="G109" s="67"/>
      <c r="H109" s="67"/>
      <c r="I109" s="67"/>
      <c r="J109" s="67"/>
      <c r="K109" s="67"/>
      <c r="L109" s="67"/>
      <c r="M109" s="67"/>
      <c r="N109" s="67"/>
      <c r="O109" s="67"/>
      <c r="P109" s="67"/>
      <c r="Q109" s="67"/>
      <c r="R109" s="67"/>
      <c r="S109" s="67"/>
      <c r="T109" s="67"/>
      <c r="U109" s="67"/>
      <c r="V109" s="67"/>
      <c r="W109" s="67"/>
      <c r="X109" s="67"/>
      <c r="Y109" s="67"/>
      <c r="Z109" s="67"/>
      <c r="AA109" s="67"/>
      <c r="AB109" s="67"/>
      <c r="AC109" s="67"/>
      <c r="AD109" s="67"/>
      <c r="AE109" s="67"/>
      <c r="AF109" s="67"/>
      <c r="AG109" s="67"/>
      <c r="AH109" s="67"/>
      <c r="AI109" s="67"/>
      <c r="AJ109" s="67"/>
      <c r="AK109" s="67"/>
      <c r="AL109" s="67"/>
      <c r="AM109" s="67"/>
      <c r="AN109" s="67"/>
      <c r="AO109" s="67"/>
      <c r="AP109" s="67"/>
      <c r="AQ109" s="67"/>
      <c r="AR109" s="67"/>
      <c r="AS109" s="67"/>
      <c r="AT109" s="67"/>
      <c r="AU109" s="67"/>
      <c r="AV109" s="67"/>
      <c r="AW109" s="67"/>
      <c r="AX109" s="67"/>
      <c r="AY109" s="67"/>
      <c r="AZ109" s="67"/>
      <c r="BA109" s="67"/>
      <c r="BB109" s="67"/>
      <c r="BC109" s="67"/>
      <c r="BD109" s="67"/>
      <c r="BE109" s="67"/>
      <c r="BF109" s="67"/>
      <c r="BG109" s="67"/>
      <c r="BH109" s="70"/>
      <c r="BJ109" s="67"/>
      <c r="BK109" s="67"/>
      <c r="BL109" s="67"/>
      <c r="BM109" s="67"/>
      <c r="BN109" s="67"/>
      <c r="BO109" s="67"/>
      <c r="BP109" s="67"/>
      <c r="BQ109" s="67"/>
      <c r="BR109" s="67"/>
      <c r="BS109" s="67"/>
      <c r="BT109" s="67"/>
      <c r="BU109" s="67"/>
      <c r="BV109" s="67"/>
      <c r="BW109" s="67"/>
      <c r="BX109" s="67"/>
      <c r="BY109" s="67"/>
      <c r="BZ109" s="67"/>
      <c r="CA109" s="67"/>
      <c r="CB109" s="67"/>
      <c r="CC109" s="67"/>
      <c r="CD109" s="67"/>
      <c r="CE109" s="67"/>
      <c r="CF109" s="67"/>
      <c r="CG109" s="67"/>
      <c r="CH109" s="67"/>
      <c r="CI109" s="67"/>
      <c r="CJ109" s="67"/>
      <c r="CK109" s="67"/>
      <c r="CL109" s="67"/>
      <c r="CM109" s="67"/>
      <c r="CN109" s="67"/>
      <c r="CO109" s="67"/>
      <c r="CP109" s="67"/>
      <c r="CQ109" s="67"/>
      <c r="CR109" s="67"/>
      <c r="CS109" s="67"/>
      <c r="CT109" s="67"/>
      <c r="CU109" s="67"/>
      <c r="CV109" s="67"/>
      <c r="CW109" s="67"/>
      <c r="CX109" s="67"/>
      <c r="CY109" s="67"/>
      <c r="CZ109" s="67"/>
      <c r="DA109" s="67"/>
      <c r="DB109" s="67"/>
      <c r="DC109" s="67"/>
      <c r="DD109" s="67"/>
      <c r="DE109" s="67"/>
      <c r="DF109" s="67"/>
      <c r="DG109" s="67"/>
      <c r="DH109" s="67"/>
      <c r="DI109" s="67"/>
      <c r="DJ109" s="67"/>
    </row>
    <row r="110" spans="5:114" x14ac:dyDescent="0.25">
      <c r="E110" s="67"/>
      <c r="G110" s="67"/>
      <c r="H110" s="67"/>
      <c r="I110" s="67"/>
      <c r="J110" s="67"/>
      <c r="K110" s="67"/>
      <c r="L110" s="67"/>
      <c r="M110" s="67"/>
      <c r="N110" s="67"/>
      <c r="O110" s="67"/>
      <c r="P110" s="67"/>
      <c r="Q110" s="67"/>
      <c r="R110" s="67"/>
      <c r="S110" s="67"/>
      <c r="T110" s="67"/>
      <c r="U110" s="67"/>
      <c r="V110" s="67"/>
      <c r="W110" s="67"/>
      <c r="X110" s="67"/>
      <c r="Y110" s="67"/>
      <c r="Z110" s="67"/>
      <c r="AA110" s="67"/>
      <c r="AB110" s="67"/>
      <c r="AC110" s="67"/>
      <c r="AD110" s="67"/>
      <c r="AE110" s="67"/>
      <c r="AF110" s="67"/>
      <c r="AG110" s="67"/>
      <c r="AH110" s="67"/>
      <c r="AI110" s="67"/>
      <c r="AJ110" s="67"/>
      <c r="AK110" s="67"/>
      <c r="AL110" s="67"/>
      <c r="AM110" s="67"/>
      <c r="AN110" s="67"/>
      <c r="AO110" s="67"/>
      <c r="AP110" s="67"/>
      <c r="AQ110" s="67"/>
      <c r="AR110" s="67"/>
      <c r="AS110" s="67"/>
      <c r="AT110" s="67"/>
      <c r="AU110" s="67"/>
      <c r="AV110" s="67"/>
      <c r="AW110" s="67"/>
      <c r="AX110" s="67"/>
      <c r="AY110" s="67"/>
      <c r="AZ110" s="67"/>
      <c r="BA110" s="67"/>
      <c r="BB110" s="67"/>
      <c r="BC110" s="67"/>
      <c r="BD110" s="67"/>
      <c r="BE110" s="67"/>
      <c r="BF110" s="67"/>
      <c r="BG110" s="67"/>
      <c r="BH110" s="70"/>
      <c r="BJ110" s="67"/>
      <c r="BK110" s="67"/>
      <c r="BL110" s="67"/>
      <c r="BM110" s="67"/>
      <c r="BN110" s="67"/>
      <c r="BO110" s="67"/>
      <c r="BP110" s="67"/>
      <c r="BQ110" s="67"/>
      <c r="BR110" s="67"/>
      <c r="BS110" s="67"/>
      <c r="BT110" s="67"/>
      <c r="BU110" s="67"/>
      <c r="BV110" s="67"/>
      <c r="BW110" s="67"/>
      <c r="BX110" s="67"/>
      <c r="BY110" s="67"/>
      <c r="BZ110" s="67"/>
      <c r="CA110" s="67"/>
      <c r="CB110" s="67"/>
      <c r="CC110" s="67"/>
      <c r="CD110" s="67"/>
      <c r="CE110" s="67"/>
      <c r="CF110" s="67"/>
      <c r="CG110" s="67"/>
      <c r="CH110" s="67"/>
      <c r="CI110" s="67"/>
      <c r="CJ110" s="67"/>
      <c r="CK110" s="67"/>
      <c r="CL110" s="67"/>
      <c r="CM110" s="67"/>
      <c r="CN110" s="67"/>
      <c r="CO110" s="67"/>
      <c r="CP110" s="67"/>
      <c r="CQ110" s="67"/>
      <c r="CR110" s="67"/>
      <c r="CS110" s="67"/>
      <c r="CT110" s="67"/>
      <c r="CU110" s="67"/>
      <c r="CV110" s="67"/>
      <c r="CW110" s="67"/>
      <c r="CX110" s="67"/>
      <c r="CY110" s="67"/>
      <c r="CZ110" s="67"/>
      <c r="DA110" s="67"/>
      <c r="DB110" s="67"/>
      <c r="DC110" s="67"/>
      <c r="DD110" s="67"/>
      <c r="DE110" s="67"/>
      <c r="DF110" s="67"/>
      <c r="DG110" s="67"/>
      <c r="DH110" s="67"/>
      <c r="DI110" s="67"/>
      <c r="DJ110" s="67"/>
    </row>
    <row r="111" spans="5:114" x14ac:dyDescent="0.25">
      <c r="E111" s="67"/>
      <c r="G111" s="67"/>
      <c r="H111" s="67"/>
      <c r="I111" s="67"/>
      <c r="J111" s="67"/>
      <c r="K111" s="67"/>
      <c r="L111" s="67"/>
      <c r="M111" s="67"/>
      <c r="N111" s="67"/>
      <c r="O111" s="67"/>
      <c r="P111" s="67"/>
      <c r="Q111" s="67"/>
      <c r="R111" s="67"/>
      <c r="S111" s="67"/>
      <c r="T111" s="67"/>
      <c r="U111" s="67"/>
      <c r="V111" s="67"/>
      <c r="W111" s="67"/>
      <c r="X111" s="67"/>
      <c r="Y111" s="67"/>
      <c r="Z111" s="67"/>
      <c r="AA111" s="67"/>
      <c r="AB111" s="67"/>
      <c r="AC111" s="67"/>
      <c r="AD111" s="67"/>
      <c r="AE111" s="67"/>
      <c r="AF111" s="67"/>
      <c r="AG111" s="67"/>
      <c r="AH111" s="67"/>
      <c r="AI111" s="67"/>
      <c r="AJ111" s="67"/>
      <c r="AK111" s="67"/>
      <c r="AL111" s="67"/>
      <c r="AM111" s="67"/>
      <c r="AN111" s="67"/>
      <c r="AO111" s="67"/>
      <c r="AP111" s="67"/>
      <c r="AQ111" s="67"/>
      <c r="AR111" s="67"/>
      <c r="AS111" s="67"/>
      <c r="AT111" s="67"/>
      <c r="AU111" s="67"/>
      <c r="AV111" s="67"/>
      <c r="AW111" s="67"/>
      <c r="AX111" s="67"/>
      <c r="AY111" s="67"/>
      <c r="AZ111" s="67"/>
      <c r="BA111" s="67"/>
      <c r="BB111" s="67"/>
      <c r="BC111" s="67"/>
      <c r="BD111" s="67"/>
      <c r="BE111" s="67"/>
      <c r="BF111" s="67"/>
      <c r="BG111" s="67"/>
      <c r="BH111" s="70"/>
      <c r="BJ111" s="67"/>
      <c r="BK111" s="67"/>
      <c r="BL111" s="67"/>
      <c r="BM111" s="67"/>
      <c r="BN111" s="67"/>
      <c r="BO111" s="67"/>
      <c r="BP111" s="67"/>
      <c r="BQ111" s="67"/>
      <c r="BR111" s="67"/>
      <c r="BS111" s="67"/>
      <c r="BT111" s="67"/>
      <c r="BU111" s="67"/>
      <c r="BV111" s="67"/>
      <c r="BW111" s="67"/>
      <c r="BX111" s="67"/>
      <c r="BY111" s="67"/>
      <c r="BZ111" s="67"/>
      <c r="CA111" s="67"/>
      <c r="CB111" s="67"/>
      <c r="CC111" s="67"/>
      <c r="CD111" s="67"/>
      <c r="CE111" s="67"/>
      <c r="CF111" s="67"/>
      <c r="CG111" s="67"/>
      <c r="CH111" s="67"/>
      <c r="CI111" s="67"/>
      <c r="CJ111" s="67"/>
      <c r="CK111" s="67"/>
      <c r="CL111" s="67"/>
      <c r="CM111" s="67"/>
      <c r="CN111" s="67"/>
      <c r="CO111" s="67"/>
      <c r="CP111" s="67"/>
      <c r="CQ111" s="67"/>
      <c r="CR111" s="67"/>
      <c r="CS111" s="67"/>
      <c r="CT111" s="67"/>
      <c r="CU111" s="67"/>
      <c r="CV111" s="67"/>
      <c r="CW111" s="67"/>
      <c r="CX111" s="67"/>
      <c r="CY111" s="67"/>
      <c r="CZ111" s="67"/>
      <c r="DA111" s="67"/>
      <c r="DB111" s="67"/>
      <c r="DC111" s="67"/>
      <c r="DD111" s="67"/>
      <c r="DE111" s="67"/>
      <c r="DF111" s="67"/>
      <c r="DG111" s="67"/>
      <c r="DH111" s="67"/>
      <c r="DI111" s="67"/>
      <c r="DJ111" s="67"/>
    </row>
    <row r="112" spans="5:114" x14ac:dyDescent="0.25">
      <c r="E112" s="67"/>
      <c r="G112" s="67"/>
      <c r="H112" s="67"/>
      <c r="I112" s="67"/>
      <c r="J112" s="67"/>
      <c r="K112" s="67"/>
      <c r="L112" s="67"/>
      <c r="M112" s="67"/>
      <c r="N112" s="67"/>
      <c r="O112" s="67"/>
      <c r="P112" s="67"/>
      <c r="Q112" s="67"/>
      <c r="R112" s="67"/>
      <c r="S112" s="67"/>
      <c r="T112" s="67"/>
      <c r="U112" s="67"/>
      <c r="V112" s="67"/>
      <c r="W112" s="67"/>
      <c r="X112" s="67"/>
      <c r="Y112" s="67"/>
      <c r="Z112" s="67"/>
      <c r="AA112" s="67"/>
      <c r="AB112" s="67"/>
      <c r="AC112" s="67"/>
      <c r="AD112" s="67"/>
      <c r="AE112" s="67"/>
      <c r="AF112" s="67"/>
      <c r="AG112" s="67"/>
      <c r="AH112" s="67"/>
      <c r="AI112" s="67"/>
      <c r="AJ112" s="67"/>
      <c r="AK112" s="67"/>
      <c r="AL112" s="67"/>
      <c r="AM112" s="67"/>
      <c r="AN112" s="67"/>
      <c r="AO112" s="67"/>
      <c r="AP112" s="67"/>
      <c r="AQ112" s="67"/>
      <c r="AR112" s="67"/>
      <c r="AS112" s="67"/>
      <c r="AT112" s="67"/>
      <c r="AU112" s="67"/>
      <c r="AV112" s="67"/>
      <c r="AW112" s="67"/>
      <c r="AX112" s="67"/>
      <c r="AY112" s="67"/>
      <c r="AZ112" s="67"/>
      <c r="BA112" s="67"/>
      <c r="BB112" s="67"/>
      <c r="BC112" s="67"/>
      <c r="BD112" s="67"/>
      <c r="BE112" s="67"/>
      <c r="BF112" s="67"/>
      <c r="BG112" s="67"/>
      <c r="BH112" s="70"/>
      <c r="BJ112" s="67"/>
      <c r="BK112" s="67"/>
      <c r="BL112" s="67"/>
      <c r="BM112" s="67"/>
      <c r="BN112" s="67"/>
      <c r="BO112" s="67"/>
      <c r="BP112" s="67"/>
      <c r="BQ112" s="67"/>
      <c r="BR112" s="67"/>
      <c r="BS112" s="67"/>
      <c r="BT112" s="67"/>
      <c r="BU112" s="67"/>
      <c r="BV112" s="67"/>
      <c r="BW112" s="67"/>
      <c r="BX112" s="67"/>
      <c r="BY112" s="67"/>
      <c r="BZ112" s="67"/>
      <c r="CA112" s="67"/>
      <c r="CB112" s="67"/>
      <c r="CC112" s="67"/>
      <c r="CD112" s="67"/>
      <c r="CE112" s="67"/>
      <c r="CF112" s="67"/>
      <c r="CG112" s="67"/>
      <c r="CH112" s="67"/>
      <c r="CI112" s="67"/>
      <c r="CJ112" s="67"/>
      <c r="CK112" s="67"/>
      <c r="CL112" s="67"/>
      <c r="CM112" s="67"/>
      <c r="CN112" s="67"/>
      <c r="CO112" s="67"/>
      <c r="CP112" s="67"/>
      <c r="CQ112" s="67"/>
      <c r="CR112" s="67"/>
      <c r="CS112" s="67"/>
      <c r="CT112" s="67"/>
      <c r="CU112" s="67"/>
      <c r="CV112" s="67"/>
      <c r="CW112" s="67"/>
      <c r="CX112" s="67"/>
      <c r="CY112" s="67"/>
      <c r="CZ112" s="67"/>
      <c r="DA112" s="67"/>
      <c r="DB112" s="67"/>
      <c r="DC112" s="67"/>
      <c r="DD112" s="67"/>
      <c r="DE112" s="67"/>
      <c r="DF112" s="67"/>
      <c r="DG112" s="67"/>
      <c r="DH112" s="67"/>
      <c r="DI112" s="67"/>
      <c r="DJ112" s="67"/>
    </row>
    <row r="113" spans="5:114" x14ac:dyDescent="0.25">
      <c r="E113" s="67"/>
      <c r="G113" s="67"/>
      <c r="H113" s="67"/>
      <c r="I113" s="67"/>
      <c r="J113" s="67"/>
      <c r="K113" s="67"/>
      <c r="L113" s="67"/>
      <c r="M113" s="67"/>
      <c r="N113" s="67"/>
      <c r="O113" s="67"/>
      <c r="P113" s="67"/>
      <c r="Q113" s="67"/>
      <c r="R113" s="67"/>
      <c r="S113" s="67"/>
      <c r="T113" s="67"/>
      <c r="U113" s="67"/>
      <c r="V113" s="67"/>
      <c r="W113" s="67"/>
      <c r="X113" s="67"/>
      <c r="Y113" s="67"/>
      <c r="Z113" s="67"/>
      <c r="AA113" s="67"/>
      <c r="AB113" s="67"/>
      <c r="AC113" s="67"/>
      <c r="AD113" s="67"/>
      <c r="AE113" s="67"/>
      <c r="AF113" s="67"/>
      <c r="AG113" s="67"/>
      <c r="AH113" s="67"/>
      <c r="AI113" s="67"/>
      <c r="AJ113" s="67"/>
      <c r="AK113" s="67"/>
      <c r="AL113" s="67"/>
      <c r="AM113" s="67"/>
      <c r="AN113" s="67"/>
      <c r="AO113" s="67"/>
      <c r="AP113" s="67"/>
      <c r="AQ113" s="67"/>
      <c r="AR113" s="67"/>
      <c r="AS113" s="67"/>
      <c r="AT113" s="67"/>
      <c r="AU113" s="67"/>
      <c r="AV113" s="67"/>
      <c r="AW113" s="67"/>
      <c r="AX113" s="67"/>
      <c r="AY113" s="67"/>
      <c r="AZ113" s="67"/>
      <c r="BA113" s="67"/>
      <c r="BB113" s="67"/>
      <c r="BC113" s="67"/>
      <c r="BD113" s="67"/>
      <c r="BE113" s="67"/>
      <c r="BF113" s="67"/>
      <c r="BG113" s="67"/>
      <c r="BH113" s="70"/>
      <c r="BJ113" s="67"/>
      <c r="BK113" s="67"/>
      <c r="BL113" s="67"/>
      <c r="BM113" s="67"/>
      <c r="BN113" s="67"/>
      <c r="BO113" s="67"/>
      <c r="BP113" s="67"/>
      <c r="BQ113" s="67"/>
      <c r="BR113" s="67"/>
      <c r="BS113" s="67"/>
      <c r="BT113" s="67"/>
      <c r="BU113" s="67"/>
      <c r="BV113" s="67"/>
      <c r="BW113" s="67"/>
      <c r="BX113" s="67"/>
      <c r="BY113" s="67"/>
      <c r="BZ113" s="67"/>
      <c r="CA113" s="67"/>
      <c r="CB113" s="67"/>
      <c r="CC113" s="67"/>
      <c r="CD113" s="67"/>
      <c r="CE113" s="67"/>
      <c r="CF113" s="67"/>
      <c r="CG113" s="67"/>
      <c r="CH113" s="67"/>
      <c r="CI113" s="67"/>
      <c r="CJ113" s="67"/>
      <c r="CK113" s="67"/>
      <c r="CL113" s="67"/>
      <c r="CM113" s="67"/>
      <c r="CN113" s="67"/>
      <c r="CO113" s="67"/>
      <c r="CP113" s="67"/>
      <c r="CQ113" s="67"/>
      <c r="CR113" s="67"/>
      <c r="CS113" s="67"/>
      <c r="CT113" s="67"/>
      <c r="CU113" s="67"/>
      <c r="CV113" s="67"/>
      <c r="CW113" s="67"/>
      <c r="CX113" s="67"/>
      <c r="CY113" s="67"/>
      <c r="CZ113" s="67"/>
      <c r="DA113" s="67"/>
      <c r="DB113" s="67"/>
      <c r="DC113" s="67"/>
      <c r="DD113" s="67"/>
      <c r="DE113" s="67"/>
      <c r="DF113" s="67"/>
      <c r="DG113" s="67"/>
      <c r="DH113" s="67"/>
      <c r="DI113" s="67"/>
      <c r="DJ113" s="67"/>
    </row>
    <row r="114" spans="5:114" x14ac:dyDescent="0.25">
      <c r="E114" s="67"/>
      <c r="G114" s="67"/>
      <c r="H114" s="67"/>
      <c r="I114" s="67"/>
      <c r="J114" s="67"/>
      <c r="K114" s="67"/>
      <c r="L114" s="67"/>
      <c r="M114" s="67"/>
      <c r="N114" s="67"/>
      <c r="O114" s="67"/>
      <c r="P114" s="67"/>
      <c r="Q114" s="67"/>
      <c r="R114" s="67"/>
      <c r="S114" s="67"/>
      <c r="T114" s="67"/>
      <c r="U114" s="67"/>
      <c r="V114" s="67"/>
      <c r="W114" s="67"/>
      <c r="X114" s="67"/>
      <c r="Y114" s="67"/>
      <c r="Z114" s="67"/>
      <c r="AA114" s="67"/>
      <c r="AB114" s="67"/>
      <c r="AC114" s="67"/>
      <c r="AD114" s="67"/>
      <c r="AE114" s="67"/>
      <c r="AF114" s="67"/>
      <c r="AG114" s="67"/>
      <c r="AH114" s="67"/>
      <c r="AI114" s="67"/>
      <c r="AJ114" s="67"/>
      <c r="AK114" s="67"/>
      <c r="AL114" s="67"/>
      <c r="AM114" s="67"/>
      <c r="AN114" s="67"/>
      <c r="AO114" s="67"/>
      <c r="AP114" s="67"/>
      <c r="AQ114" s="67"/>
      <c r="AR114" s="67"/>
      <c r="AS114" s="67"/>
      <c r="AT114" s="67"/>
      <c r="AU114" s="67"/>
      <c r="AV114" s="67"/>
      <c r="AW114" s="67"/>
      <c r="AX114" s="67"/>
      <c r="AY114" s="67"/>
      <c r="AZ114" s="67"/>
      <c r="BA114" s="67"/>
      <c r="BB114" s="67"/>
      <c r="BC114" s="67"/>
      <c r="BD114" s="67"/>
      <c r="BE114" s="67"/>
      <c r="BF114" s="67"/>
      <c r="BG114" s="67"/>
      <c r="BH114" s="70"/>
      <c r="BJ114" s="67"/>
      <c r="BK114" s="67"/>
      <c r="BL114" s="67"/>
      <c r="BM114" s="67"/>
      <c r="BN114" s="67"/>
      <c r="BO114" s="67"/>
      <c r="BP114" s="67"/>
      <c r="BQ114" s="67"/>
      <c r="BR114" s="67"/>
      <c r="BS114" s="67"/>
      <c r="BT114" s="67"/>
      <c r="BU114" s="67"/>
      <c r="BV114" s="67"/>
      <c r="BW114" s="67"/>
      <c r="BX114" s="67"/>
      <c r="BY114" s="67"/>
      <c r="BZ114" s="67"/>
      <c r="CA114" s="67"/>
      <c r="CB114" s="67"/>
      <c r="CC114" s="67"/>
      <c r="CD114" s="67"/>
      <c r="CE114" s="67"/>
      <c r="CF114" s="67"/>
      <c r="CG114" s="67"/>
      <c r="CH114" s="67"/>
      <c r="CI114" s="67"/>
      <c r="CJ114" s="67"/>
      <c r="CK114" s="67"/>
      <c r="CL114" s="67"/>
      <c r="CM114" s="67"/>
      <c r="CN114" s="67"/>
      <c r="CO114" s="67"/>
      <c r="CP114" s="67"/>
      <c r="CQ114" s="67"/>
      <c r="CR114" s="67"/>
      <c r="CS114" s="67"/>
      <c r="CT114" s="67"/>
      <c r="CU114" s="67"/>
      <c r="CV114" s="67"/>
      <c r="CW114" s="67"/>
      <c r="CX114" s="67"/>
      <c r="CY114" s="67"/>
      <c r="CZ114" s="67"/>
      <c r="DA114" s="67"/>
      <c r="DB114" s="67"/>
      <c r="DC114" s="67"/>
      <c r="DD114" s="67"/>
      <c r="DE114" s="67"/>
      <c r="DF114" s="67"/>
      <c r="DG114" s="67"/>
      <c r="DH114" s="67"/>
      <c r="DI114" s="67"/>
      <c r="DJ114" s="67"/>
    </row>
    <row r="115" spans="5:114" x14ac:dyDescent="0.25">
      <c r="E115" s="67"/>
      <c r="G115" s="67"/>
      <c r="H115" s="67"/>
      <c r="I115" s="67"/>
      <c r="J115" s="67"/>
      <c r="K115" s="67"/>
      <c r="L115" s="67"/>
      <c r="M115" s="67"/>
      <c r="N115" s="67"/>
      <c r="O115" s="67"/>
      <c r="P115" s="67"/>
      <c r="Q115" s="67"/>
      <c r="R115" s="67"/>
      <c r="S115" s="67"/>
      <c r="T115" s="67"/>
      <c r="U115" s="67"/>
      <c r="V115" s="67"/>
      <c r="W115" s="67"/>
      <c r="X115" s="67"/>
      <c r="Y115" s="67"/>
      <c r="Z115" s="67"/>
      <c r="AA115" s="67"/>
      <c r="AB115" s="67"/>
      <c r="AC115" s="67"/>
      <c r="AD115" s="67"/>
      <c r="AE115" s="67"/>
      <c r="AF115" s="67"/>
      <c r="AG115" s="67"/>
      <c r="AH115" s="67"/>
      <c r="AI115" s="67"/>
      <c r="AJ115" s="67"/>
      <c r="AK115" s="67"/>
      <c r="AL115" s="67"/>
      <c r="AM115" s="67"/>
      <c r="AN115" s="67"/>
      <c r="AO115" s="67"/>
      <c r="AP115" s="67"/>
      <c r="AQ115" s="67"/>
      <c r="AR115" s="67"/>
      <c r="AS115" s="67"/>
      <c r="AT115" s="67"/>
      <c r="AU115" s="67"/>
      <c r="AV115" s="67"/>
      <c r="AW115" s="67"/>
      <c r="AX115" s="67"/>
      <c r="AY115" s="67"/>
      <c r="AZ115" s="67"/>
      <c r="BA115" s="67"/>
      <c r="BB115" s="67"/>
      <c r="BC115" s="67"/>
      <c r="BD115" s="67"/>
      <c r="BE115" s="67"/>
      <c r="BF115" s="67"/>
      <c r="BG115" s="67"/>
      <c r="BH115" s="70"/>
      <c r="BJ115" s="67"/>
      <c r="BK115" s="67"/>
      <c r="BL115" s="67"/>
      <c r="BM115" s="67"/>
      <c r="BN115" s="67"/>
      <c r="BO115" s="67"/>
      <c r="BP115" s="67"/>
      <c r="BQ115" s="67"/>
      <c r="BR115" s="67"/>
      <c r="BS115" s="67"/>
      <c r="BT115" s="67"/>
      <c r="BU115" s="67"/>
      <c r="BV115" s="67"/>
      <c r="BW115" s="67"/>
      <c r="BX115" s="67"/>
      <c r="BY115" s="67"/>
      <c r="BZ115" s="67"/>
      <c r="CA115" s="67"/>
      <c r="CB115" s="67"/>
      <c r="CC115" s="67"/>
      <c r="CD115" s="67"/>
      <c r="CE115" s="67"/>
      <c r="CF115" s="67"/>
      <c r="CG115" s="67"/>
      <c r="CH115" s="67"/>
      <c r="CI115" s="67"/>
      <c r="CJ115" s="67"/>
      <c r="CK115" s="67"/>
      <c r="CL115" s="67"/>
      <c r="CM115" s="67"/>
      <c r="CN115" s="67"/>
      <c r="CO115" s="67"/>
      <c r="CP115" s="67"/>
      <c r="CQ115" s="67"/>
      <c r="CR115" s="67"/>
      <c r="CS115" s="67"/>
      <c r="CT115" s="67"/>
      <c r="CU115" s="67"/>
      <c r="CV115" s="67"/>
      <c r="CW115" s="67"/>
      <c r="CX115" s="67"/>
      <c r="CY115" s="67"/>
      <c r="CZ115" s="67"/>
      <c r="DA115" s="67"/>
      <c r="DB115" s="67"/>
      <c r="DC115" s="67"/>
      <c r="DD115" s="67"/>
      <c r="DE115" s="67"/>
      <c r="DF115" s="67"/>
      <c r="DG115" s="67"/>
      <c r="DH115" s="67"/>
      <c r="DI115" s="67"/>
      <c r="DJ115" s="67"/>
    </row>
    <row r="116" spans="5:114" x14ac:dyDescent="0.25">
      <c r="E116" s="67"/>
      <c r="G116" s="67"/>
      <c r="H116" s="67"/>
      <c r="I116" s="67"/>
      <c r="J116" s="67"/>
      <c r="K116" s="67"/>
      <c r="L116" s="67"/>
      <c r="M116" s="67"/>
      <c r="N116" s="67"/>
      <c r="O116" s="67"/>
      <c r="P116" s="67"/>
      <c r="Q116" s="67"/>
      <c r="R116" s="67"/>
      <c r="S116" s="67"/>
      <c r="T116" s="67"/>
      <c r="U116" s="67"/>
      <c r="V116" s="67"/>
      <c r="W116" s="67"/>
      <c r="X116" s="67"/>
      <c r="Y116" s="67"/>
      <c r="Z116" s="67"/>
      <c r="AA116" s="67"/>
      <c r="AB116" s="67"/>
      <c r="AC116" s="67"/>
      <c r="AD116" s="67"/>
      <c r="AE116" s="67"/>
      <c r="AF116" s="67"/>
      <c r="AG116" s="67"/>
      <c r="AH116" s="67"/>
      <c r="AI116" s="67"/>
      <c r="AJ116" s="67"/>
      <c r="AK116" s="67"/>
      <c r="AL116" s="67"/>
      <c r="AM116" s="67"/>
      <c r="AN116" s="67"/>
      <c r="AO116" s="67"/>
      <c r="AP116" s="67"/>
      <c r="AQ116" s="67"/>
      <c r="AR116" s="67"/>
      <c r="AS116" s="67"/>
      <c r="AT116" s="67"/>
      <c r="AU116" s="67"/>
      <c r="AV116" s="67"/>
      <c r="AW116" s="67"/>
      <c r="AX116" s="67"/>
      <c r="AY116" s="67"/>
      <c r="AZ116" s="67"/>
      <c r="BA116" s="67"/>
      <c r="BB116" s="67"/>
      <c r="BC116" s="67"/>
      <c r="BD116" s="67"/>
      <c r="BE116" s="67"/>
      <c r="BF116" s="67"/>
      <c r="BG116" s="67"/>
      <c r="BH116" s="70"/>
      <c r="BJ116" s="67"/>
      <c r="BK116" s="67"/>
      <c r="BL116" s="67"/>
      <c r="BM116" s="67"/>
      <c r="BN116" s="67"/>
      <c r="BO116" s="67"/>
      <c r="BP116" s="67"/>
      <c r="BQ116" s="67"/>
      <c r="BR116" s="67"/>
      <c r="BS116" s="67"/>
      <c r="BT116" s="67"/>
      <c r="BU116" s="67"/>
      <c r="BV116" s="67"/>
      <c r="BW116" s="67"/>
      <c r="BX116" s="67"/>
      <c r="BY116" s="67"/>
      <c r="BZ116" s="67"/>
      <c r="CA116" s="67"/>
      <c r="CB116" s="67"/>
      <c r="CC116" s="67"/>
      <c r="CD116" s="67"/>
      <c r="CE116" s="67"/>
      <c r="CF116" s="67"/>
      <c r="CG116" s="67"/>
      <c r="CH116" s="67"/>
      <c r="CI116" s="67"/>
      <c r="CJ116" s="67"/>
      <c r="CK116" s="67"/>
      <c r="CL116" s="67"/>
      <c r="CM116" s="67"/>
      <c r="CN116" s="67"/>
      <c r="CO116" s="67"/>
      <c r="CP116" s="67"/>
      <c r="CQ116" s="67"/>
      <c r="CR116" s="67"/>
      <c r="CS116" s="67"/>
      <c r="CT116" s="67"/>
      <c r="CU116" s="67"/>
      <c r="CV116" s="67"/>
      <c r="CW116" s="67"/>
      <c r="CX116" s="67"/>
      <c r="CY116" s="67"/>
      <c r="CZ116" s="67"/>
      <c r="DA116" s="67"/>
      <c r="DB116" s="67"/>
      <c r="DC116" s="67"/>
      <c r="DD116" s="67"/>
      <c r="DE116" s="67"/>
      <c r="DF116" s="67"/>
      <c r="DG116" s="67"/>
      <c r="DH116" s="67"/>
      <c r="DI116" s="67"/>
      <c r="DJ116" s="67"/>
    </row>
    <row r="117" spans="5:114" x14ac:dyDescent="0.25">
      <c r="E117" s="67"/>
      <c r="G117" s="67"/>
      <c r="H117" s="67"/>
      <c r="I117" s="67"/>
      <c r="J117" s="67"/>
      <c r="K117" s="67"/>
      <c r="L117" s="67"/>
      <c r="M117" s="67"/>
      <c r="N117" s="67"/>
      <c r="O117" s="67"/>
      <c r="P117" s="67"/>
      <c r="Q117" s="67"/>
      <c r="R117" s="67"/>
      <c r="S117" s="67"/>
      <c r="T117" s="67"/>
      <c r="U117" s="67"/>
      <c r="V117" s="67"/>
      <c r="W117" s="67"/>
      <c r="X117" s="67"/>
      <c r="Y117" s="67"/>
      <c r="Z117" s="67"/>
      <c r="AA117" s="67"/>
      <c r="AB117" s="67"/>
      <c r="AC117" s="67"/>
      <c r="AD117" s="67"/>
      <c r="AE117" s="67"/>
      <c r="AF117" s="67"/>
      <c r="AG117" s="67"/>
      <c r="AH117" s="67"/>
      <c r="AI117" s="67"/>
      <c r="AJ117" s="67"/>
      <c r="AK117" s="67"/>
      <c r="AL117" s="67"/>
      <c r="AM117" s="67"/>
      <c r="AN117" s="67"/>
      <c r="AO117" s="67"/>
      <c r="AP117" s="67"/>
      <c r="AQ117" s="67"/>
      <c r="AR117" s="67"/>
      <c r="AS117" s="67"/>
      <c r="AT117" s="67"/>
      <c r="AU117" s="67"/>
      <c r="AV117" s="67"/>
      <c r="AW117" s="67"/>
      <c r="AX117" s="67"/>
      <c r="AY117" s="67"/>
      <c r="AZ117" s="67"/>
      <c r="BA117" s="67"/>
      <c r="BB117" s="67"/>
      <c r="BC117" s="67"/>
      <c r="BD117" s="67"/>
      <c r="BE117" s="67"/>
      <c r="BF117" s="67"/>
      <c r="BG117" s="67"/>
      <c r="BH117" s="70"/>
      <c r="BJ117" s="67"/>
      <c r="BK117" s="67"/>
      <c r="BL117" s="67"/>
      <c r="BM117" s="67"/>
      <c r="BN117" s="67"/>
      <c r="BO117" s="67"/>
      <c r="BP117" s="67"/>
      <c r="BQ117" s="67"/>
      <c r="BR117" s="67"/>
      <c r="BS117" s="67"/>
      <c r="BT117" s="67"/>
      <c r="BU117" s="67"/>
      <c r="BV117" s="67"/>
      <c r="BW117" s="67"/>
      <c r="BX117" s="67"/>
      <c r="BY117" s="67"/>
      <c r="BZ117" s="67"/>
      <c r="CA117" s="67"/>
      <c r="CB117" s="67"/>
      <c r="CC117" s="67"/>
      <c r="CD117" s="67"/>
      <c r="CE117" s="67"/>
      <c r="CF117" s="67"/>
      <c r="CG117" s="67"/>
      <c r="CH117" s="67"/>
      <c r="CI117" s="67"/>
      <c r="CJ117" s="67"/>
      <c r="CK117" s="67"/>
      <c r="CL117" s="67"/>
      <c r="CM117" s="67"/>
      <c r="CN117" s="67"/>
      <c r="CO117" s="67"/>
      <c r="CP117" s="67"/>
      <c r="CQ117" s="67"/>
      <c r="CR117" s="67"/>
      <c r="CS117" s="67"/>
      <c r="CT117" s="67"/>
      <c r="CU117" s="67"/>
      <c r="CV117" s="67"/>
      <c r="CW117" s="67"/>
      <c r="CX117" s="67"/>
      <c r="CY117" s="67"/>
      <c r="CZ117" s="67"/>
      <c r="DA117" s="67"/>
      <c r="DB117" s="67"/>
      <c r="DC117" s="67"/>
      <c r="DD117" s="67"/>
      <c r="DE117" s="67"/>
      <c r="DF117" s="67"/>
      <c r="DG117" s="67"/>
      <c r="DH117" s="67"/>
      <c r="DI117" s="67"/>
      <c r="DJ117" s="67"/>
    </row>
    <row r="118" spans="5:114" x14ac:dyDescent="0.25">
      <c r="E118" s="67"/>
      <c r="G118" s="67"/>
      <c r="H118" s="67"/>
      <c r="I118" s="67"/>
      <c r="J118" s="67"/>
      <c r="K118" s="67"/>
      <c r="L118" s="67"/>
      <c r="M118" s="67"/>
      <c r="N118" s="67"/>
      <c r="O118" s="67"/>
      <c r="P118" s="67"/>
      <c r="Q118" s="67"/>
      <c r="R118" s="67"/>
      <c r="S118" s="67"/>
      <c r="T118" s="67"/>
      <c r="U118" s="67"/>
      <c r="V118" s="67"/>
      <c r="W118" s="67"/>
      <c r="X118" s="67"/>
      <c r="Y118" s="67"/>
      <c r="Z118" s="67"/>
      <c r="AA118" s="67"/>
      <c r="AB118" s="67"/>
      <c r="AC118" s="67"/>
      <c r="AD118" s="67"/>
      <c r="AE118" s="67"/>
      <c r="AF118" s="67"/>
      <c r="AG118" s="67"/>
      <c r="AH118" s="67"/>
      <c r="AI118" s="67"/>
      <c r="AJ118" s="67"/>
      <c r="AK118" s="67"/>
      <c r="AL118" s="67"/>
      <c r="AM118" s="67"/>
      <c r="AN118" s="67"/>
      <c r="AO118" s="67"/>
      <c r="AP118" s="67"/>
      <c r="AQ118" s="67"/>
      <c r="AR118" s="67"/>
      <c r="AS118" s="67"/>
      <c r="AT118" s="67"/>
      <c r="AU118" s="67"/>
      <c r="AV118" s="67"/>
      <c r="AW118" s="67"/>
      <c r="AX118" s="67"/>
      <c r="AY118" s="67"/>
      <c r="AZ118" s="67"/>
      <c r="BA118" s="67"/>
      <c r="BB118" s="67"/>
      <c r="BC118" s="67"/>
      <c r="BD118" s="67"/>
      <c r="BE118" s="67"/>
      <c r="BF118" s="67"/>
      <c r="BG118" s="67"/>
      <c r="BH118" s="70"/>
      <c r="BJ118" s="67"/>
      <c r="BK118" s="67"/>
      <c r="BL118" s="67"/>
      <c r="BM118" s="67"/>
      <c r="BN118" s="67"/>
      <c r="BO118" s="67"/>
      <c r="BP118" s="67"/>
      <c r="BQ118" s="67"/>
      <c r="BR118" s="67"/>
      <c r="BS118" s="67"/>
      <c r="BT118" s="67"/>
      <c r="BU118" s="67"/>
      <c r="BV118" s="67"/>
      <c r="BW118" s="67"/>
      <c r="BX118" s="67"/>
      <c r="BY118" s="67"/>
      <c r="BZ118" s="67"/>
      <c r="CA118" s="67"/>
      <c r="CB118" s="67"/>
      <c r="CC118" s="67"/>
      <c r="CD118" s="67"/>
      <c r="CE118" s="67"/>
      <c r="CF118" s="67"/>
      <c r="CG118" s="67"/>
      <c r="CH118" s="67"/>
      <c r="CI118" s="67"/>
      <c r="CJ118" s="67"/>
      <c r="CK118" s="67"/>
      <c r="CL118" s="67"/>
      <c r="CM118" s="67"/>
      <c r="CN118" s="67"/>
      <c r="CO118" s="67"/>
      <c r="CP118" s="67"/>
      <c r="CQ118" s="67"/>
      <c r="CR118" s="67"/>
      <c r="CS118" s="67"/>
      <c r="CT118" s="67"/>
      <c r="CU118" s="67"/>
      <c r="CV118" s="67"/>
      <c r="CW118" s="67"/>
      <c r="CX118" s="67"/>
      <c r="CY118" s="67"/>
      <c r="CZ118" s="67"/>
      <c r="DA118" s="67"/>
      <c r="DB118" s="67"/>
      <c r="DC118" s="67"/>
      <c r="DD118" s="67"/>
      <c r="DE118" s="67"/>
      <c r="DF118" s="67"/>
      <c r="DG118" s="67"/>
      <c r="DH118" s="67"/>
      <c r="DI118" s="67"/>
      <c r="DJ118" s="67"/>
    </row>
    <row r="119" spans="5:114" x14ac:dyDescent="0.25">
      <c r="E119" s="67"/>
      <c r="G119" s="67"/>
      <c r="H119" s="67"/>
      <c r="I119" s="67"/>
      <c r="J119" s="67"/>
      <c r="K119" s="67"/>
      <c r="L119" s="67"/>
      <c r="M119" s="67"/>
      <c r="N119" s="67"/>
      <c r="O119" s="67"/>
      <c r="P119" s="67"/>
      <c r="Q119" s="67"/>
      <c r="R119" s="67"/>
      <c r="S119" s="67"/>
      <c r="T119" s="67"/>
      <c r="U119" s="67"/>
      <c r="V119" s="67"/>
      <c r="W119" s="67"/>
      <c r="X119" s="67"/>
      <c r="Y119" s="67"/>
      <c r="Z119" s="67"/>
      <c r="AA119" s="67"/>
      <c r="AB119" s="67"/>
      <c r="AC119" s="67"/>
      <c r="AD119" s="67"/>
      <c r="AE119" s="67"/>
      <c r="AF119" s="67"/>
      <c r="AG119" s="67"/>
      <c r="AH119" s="67"/>
      <c r="AI119" s="67"/>
      <c r="AJ119" s="67"/>
      <c r="AK119" s="67"/>
      <c r="AL119" s="67"/>
      <c r="AM119" s="67"/>
      <c r="AN119" s="67"/>
      <c r="AO119" s="67"/>
      <c r="AP119" s="67"/>
      <c r="AQ119" s="67"/>
      <c r="AR119" s="67"/>
      <c r="AS119" s="67"/>
      <c r="AT119" s="67"/>
      <c r="AU119" s="67"/>
      <c r="AV119" s="67"/>
      <c r="AW119" s="67"/>
      <c r="AX119" s="67"/>
      <c r="AY119" s="67"/>
      <c r="AZ119" s="67"/>
      <c r="BA119" s="67"/>
      <c r="BB119" s="67"/>
      <c r="BC119" s="67"/>
      <c r="BD119" s="67"/>
      <c r="BE119" s="67"/>
      <c r="BF119" s="67"/>
      <c r="BG119" s="67"/>
      <c r="BH119" s="70"/>
      <c r="BJ119" s="67"/>
      <c r="BK119" s="67"/>
      <c r="BL119" s="67"/>
      <c r="BM119" s="67"/>
      <c r="BN119" s="67"/>
      <c r="BO119" s="67"/>
      <c r="BP119" s="67"/>
      <c r="BQ119" s="67"/>
      <c r="BR119" s="67"/>
      <c r="BS119" s="67"/>
      <c r="BT119" s="67"/>
      <c r="BU119" s="67"/>
      <c r="BV119" s="67"/>
      <c r="BW119" s="67"/>
      <c r="BX119" s="67"/>
      <c r="BY119" s="67"/>
      <c r="BZ119" s="67"/>
      <c r="CA119" s="67"/>
      <c r="CB119" s="67"/>
      <c r="CC119" s="67"/>
      <c r="CD119" s="67"/>
      <c r="CE119" s="67"/>
      <c r="CF119" s="67"/>
      <c r="CG119" s="67"/>
      <c r="CH119" s="67"/>
      <c r="CI119" s="67"/>
      <c r="CJ119" s="67"/>
      <c r="CK119" s="67"/>
      <c r="CL119" s="67"/>
      <c r="CM119" s="67"/>
      <c r="CN119" s="67"/>
      <c r="CO119" s="67"/>
      <c r="CP119" s="67"/>
      <c r="CQ119" s="67"/>
      <c r="CR119" s="67"/>
      <c r="CS119" s="67"/>
      <c r="CT119" s="67"/>
      <c r="CU119" s="67"/>
      <c r="CV119" s="67"/>
      <c r="CW119" s="67"/>
      <c r="CX119" s="67"/>
      <c r="CY119" s="67"/>
      <c r="CZ119" s="67"/>
      <c r="DA119" s="67"/>
      <c r="DB119" s="67"/>
      <c r="DC119" s="67"/>
      <c r="DD119" s="67"/>
      <c r="DE119" s="67"/>
      <c r="DF119" s="67"/>
      <c r="DG119" s="67"/>
      <c r="DH119" s="67"/>
      <c r="DI119" s="67"/>
      <c r="DJ119" s="67"/>
    </row>
    <row r="120" spans="5:114" x14ac:dyDescent="0.25">
      <c r="E120" s="67"/>
      <c r="G120" s="67"/>
      <c r="H120" s="67"/>
      <c r="I120" s="67"/>
      <c r="J120" s="67"/>
      <c r="K120" s="67"/>
      <c r="L120" s="67"/>
      <c r="M120" s="67"/>
      <c r="N120" s="67"/>
      <c r="O120" s="67"/>
      <c r="P120" s="67"/>
      <c r="Q120" s="67"/>
      <c r="R120" s="67"/>
      <c r="S120" s="67"/>
      <c r="T120" s="67"/>
      <c r="U120" s="67"/>
      <c r="V120" s="67"/>
      <c r="W120" s="67"/>
      <c r="X120" s="67"/>
      <c r="Y120" s="67"/>
      <c r="Z120" s="67"/>
      <c r="AA120" s="67"/>
      <c r="AB120" s="67"/>
      <c r="AC120" s="67"/>
      <c r="AD120" s="67"/>
      <c r="AE120" s="67"/>
      <c r="AF120" s="67"/>
      <c r="AG120" s="67"/>
      <c r="AH120" s="67"/>
      <c r="AI120" s="67"/>
      <c r="AJ120" s="67"/>
      <c r="AK120" s="67"/>
      <c r="AL120" s="67"/>
      <c r="AM120" s="67"/>
      <c r="AN120" s="67"/>
      <c r="AO120" s="67"/>
      <c r="AP120" s="67"/>
      <c r="AQ120" s="67"/>
      <c r="AR120" s="67"/>
      <c r="AS120" s="67"/>
      <c r="AT120" s="67"/>
      <c r="AU120" s="67"/>
      <c r="AV120" s="67"/>
      <c r="AW120" s="67"/>
      <c r="AX120" s="67"/>
      <c r="AY120" s="67"/>
      <c r="AZ120" s="67"/>
      <c r="BA120" s="67"/>
      <c r="BB120" s="67"/>
      <c r="BC120" s="67"/>
      <c r="BD120" s="67"/>
      <c r="BE120" s="67"/>
      <c r="BF120" s="67"/>
      <c r="BG120" s="67"/>
      <c r="BH120" s="70"/>
      <c r="BJ120" s="67"/>
      <c r="BK120" s="67"/>
      <c r="BL120" s="67"/>
      <c r="BM120" s="67"/>
      <c r="BN120" s="67"/>
      <c r="BO120" s="67"/>
      <c r="BP120" s="67"/>
      <c r="BQ120" s="67"/>
      <c r="BR120" s="67"/>
      <c r="BS120" s="67"/>
      <c r="BT120" s="67"/>
      <c r="BU120" s="67"/>
      <c r="BV120" s="67"/>
      <c r="BW120" s="67"/>
      <c r="BX120" s="67"/>
      <c r="BY120" s="67"/>
      <c r="BZ120" s="67"/>
      <c r="CA120" s="67"/>
      <c r="CB120" s="67"/>
      <c r="CC120" s="67"/>
      <c r="CD120" s="67"/>
      <c r="CE120" s="67"/>
      <c r="CF120" s="67"/>
      <c r="CG120" s="67"/>
      <c r="CH120" s="67"/>
      <c r="CI120" s="67"/>
      <c r="CJ120" s="67"/>
      <c r="CK120" s="67"/>
      <c r="CL120" s="67"/>
      <c r="CM120" s="67"/>
      <c r="CN120" s="67"/>
      <c r="CO120" s="67"/>
      <c r="CP120" s="67"/>
      <c r="CQ120" s="67"/>
      <c r="CR120" s="67"/>
      <c r="CS120" s="67"/>
      <c r="CT120" s="67"/>
      <c r="CU120" s="67"/>
      <c r="CV120" s="67"/>
      <c r="CW120" s="67"/>
      <c r="CX120" s="67"/>
      <c r="CY120" s="67"/>
      <c r="CZ120" s="67"/>
      <c r="DA120" s="67"/>
      <c r="DB120" s="67"/>
      <c r="DC120" s="67"/>
      <c r="DD120" s="67"/>
      <c r="DE120" s="67"/>
      <c r="DF120" s="67"/>
      <c r="DG120" s="67"/>
      <c r="DH120" s="67"/>
      <c r="DI120" s="67"/>
      <c r="DJ120" s="67"/>
    </row>
    <row r="121" spans="5:114" x14ac:dyDescent="0.25">
      <c r="E121" s="67"/>
      <c r="G121" s="67"/>
      <c r="H121" s="67"/>
      <c r="I121" s="67"/>
      <c r="J121" s="67"/>
      <c r="K121" s="67"/>
      <c r="L121" s="67"/>
      <c r="M121" s="67"/>
      <c r="N121" s="67"/>
      <c r="O121" s="67"/>
      <c r="P121" s="67"/>
      <c r="Q121" s="67"/>
      <c r="R121" s="67"/>
      <c r="S121" s="67"/>
      <c r="T121" s="67"/>
      <c r="U121" s="67"/>
      <c r="V121" s="67"/>
      <c r="W121" s="67"/>
      <c r="X121" s="67"/>
      <c r="Y121" s="67"/>
      <c r="Z121" s="67"/>
      <c r="AA121" s="67"/>
      <c r="AB121" s="67"/>
      <c r="AC121" s="67"/>
      <c r="AD121" s="67"/>
      <c r="AE121" s="67"/>
      <c r="AF121" s="67"/>
      <c r="AG121" s="67"/>
      <c r="AH121" s="67"/>
      <c r="AI121" s="67"/>
      <c r="AJ121" s="67"/>
      <c r="AK121" s="67"/>
      <c r="AL121" s="67"/>
      <c r="AM121" s="67"/>
      <c r="AN121" s="67"/>
      <c r="AO121" s="67"/>
      <c r="AP121" s="67"/>
      <c r="AQ121" s="67"/>
      <c r="AR121" s="67"/>
      <c r="AS121" s="67"/>
      <c r="AT121" s="67"/>
      <c r="AU121" s="67"/>
      <c r="AV121" s="67"/>
      <c r="AW121" s="67"/>
      <c r="AX121" s="67"/>
      <c r="AY121" s="67"/>
      <c r="AZ121" s="67"/>
      <c r="BA121" s="67"/>
      <c r="BB121" s="67"/>
      <c r="BC121" s="67"/>
      <c r="BD121" s="67"/>
      <c r="BE121" s="67"/>
      <c r="BF121" s="67"/>
      <c r="BG121" s="67"/>
      <c r="BH121" s="70"/>
      <c r="BJ121" s="67"/>
      <c r="BK121" s="67"/>
      <c r="BL121" s="67"/>
      <c r="BM121" s="67"/>
      <c r="BN121" s="67"/>
      <c r="BO121" s="67"/>
      <c r="BP121" s="67"/>
      <c r="BQ121" s="67"/>
      <c r="BR121" s="67"/>
      <c r="BS121" s="67"/>
      <c r="BT121" s="67"/>
      <c r="BU121" s="67"/>
      <c r="BV121" s="67"/>
      <c r="BW121" s="67"/>
      <c r="BX121" s="67"/>
      <c r="BY121" s="67"/>
      <c r="BZ121" s="67"/>
      <c r="CA121" s="67"/>
      <c r="CB121" s="67"/>
      <c r="CC121" s="67"/>
      <c r="CD121" s="67"/>
      <c r="CE121" s="67"/>
      <c r="CF121" s="67"/>
      <c r="CG121" s="67"/>
      <c r="CH121" s="67"/>
      <c r="CI121" s="67"/>
      <c r="CJ121" s="67"/>
      <c r="CK121" s="67"/>
      <c r="CL121" s="67"/>
      <c r="CM121" s="67"/>
      <c r="CN121" s="67"/>
      <c r="CO121" s="67"/>
      <c r="CP121" s="67"/>
      <c r="CQ121" s="67"/>
      <c r="CR121" s="67"/>
      <c r="CS121" s="67"/>
      <c r="CT121" s="67"/>
      <c r="CU121" s="67"/>
      <c r="CV121" s="67"/>
      <c r="CW121" s="67"/>
      <c r="CX121" s="67"/>
      <c r="CY121" s="67"/>
      <c r="CZ121" s="67"/>
      <c r="DA121" s="67"/>
      <c r="DB121" s="67"/>
      <c r="DC121" s="67"/>
      <c r="DD121" s="67"/>
      <c r="DE121" s="67"/>
      <c r="DF121" s="67"/>
      <c r="DG121" s="67"/>
      <c r="DH121" s="67"/>
      <c r="DI121" s="67"/>
      <c r="DJ121" s="67"/>
    </row>
    <row r="122" spans="5:114" x14ac:dyDescent="0.25">
      <c r="E122" s="67"/>
      <c r="G122" s="67"/>
      <c r="H122" s="67"/>
      <c r="I122" s="67"/>
      <c r="J122" s="67"/>
      <c r="K122" s="67"/>
      <c r="L122" s="67"/>
      <c r="M122" s="67"/>
      <c r="N122" s="67"/>
      <c r="O122" s="67"/>
      <c r="P122" s="67"/>
      <c r="Q122" s="67"/>
      <c r="R122" s="67"/>
      <c r="S122" s="67"/>
      <c r="T122" s="67"/>
      <c r="U122" s="67"/>
      <c r="V122" s="67"/>
      <c r="W122" s="67"/>
      <c r="X122" s="67"/>
      <c r="Y122" s="67"/>
      <c r="Z122" s="67"/>
      <c r="AA122" s="67"/>
      <c r="AB122" s="67"/>
      <c r="AC122" s="67"/>
      <c r="AD122" s="67"/>
      <c r="AE122" s="67"/>
      <c r="AF122" s="67"/>
      <c r="AG122" s="67"/>
      <c r="AH122" s="67"/>
      <c r="AI122" s="67"/>
      <c r="AJ122" s="67"/>
      <c r="AK122" s="67"/>
      <c r="AL122" s="67"/>
      <c r="AM122" s="67"/>
      <c r="AN122" s="67"/>
      <c r="AO122" s="67"/>
      <c r="AP122" s="67"/>
      <c r="AQ122" s="67"/>
      <c r="AR122" s="67"/>
      <c r="AS122" s="67"/>
      <c r="AT122" s="67"/>
      <c r="AU122" s="67"/>
      <c r="AV122" s="67"/>
      <c r="AW122" s="67"/>
      <c r="AX122" s="67"/>
      <c r="AY122" s="67"/>
      <c r="AZ122" s="67"/>
      <c r="BA122" s="67"/>
      <c r="BB122" s="67"/>
      <c r="BC122" s="67"/>
      <c r="BD122" s="67"/>
      <c r="BE122" s="67"/>
      <c r="BF122" s="67"/>
      <c r="BG122" s="67"/>
      <c r="BH122" s="70"/>
      <c r="BJ122" s="67"/>
      <c r="BK122" s="67"/>
      <c r="BL122" s="67"/>
      <c r="BM122" s="67"/>
      <c r="BN122" s="67"/>
      <c r="BO122" s="67"/>
      <c r="BP122" s="67"/>
      <c r="BQ122" s="67"/>
      <c r="BR122" s="67"/>
      <c r="BS122" s="67"/>
      <c r="BT122" s="67"/>
      <c r="BU122" s="67"/>
      <c r="BV122" s="67"/>
      <c r="BW122" s="67"/>
      <c r="BX122" s="67"/>
      <c r="BY122" s="67"/>
      <c r="BZ122" s="67"/>
      <c r="CA122" s="67"/>
      <c r="CB122" s="67"/>
      <c r="CC122" s="67"/>
      <c r="CD122" s="67"/>
      <c r="CE122" s="67"/>
      <c r="CF122" s="67"/>
      <c r="CG122" s="67"/>
      <c r="CH122" s="67"/>
      <c r="CI122" s="67"/>
      <c r="CJ122" s="67"/>
      <c r="CK122" s="67"/>
      <c r="CL122" s="67"/>
      <c r="CM122" s="67"/>
      <c r="CN122" s="67"/>
      <c r="CO122" s="67"/>
      <c r="CP122" s="67"/>
      <c r="CQ122" s="67"/>
      <c r="CR122" s="67"/>
      <c r="CS122" s="67"/>
      <c r="CT122" s="67"/>
      <c r="CU122" s="67"/>
      <c r="CV122" s="67"/>
      <c r="CW122" s="67"/>
      <c r="CX122" s="67"/>
      <c r="CY122" s="67"/>
      <c r="CZ122" s="67"/>
      <c r="DA122" s="67"/>
      <c r="DB122" s="67"/>
      <c r="DC122" s="67"/>
      <c r="DD122" s="67"/>
      <c r="DE122" s="67"/>
      <c r="DF122" s="67"/>
      <c r="DG122" s="67"/>
      <c r="DH122" s="67"/>
      <c r="DI122" s="67"/>
      <c r="DJ122" s="67"/>
    </row>
    <row r="123" spans="5:114" x14ac:dyDescent="0.25">
      <c r="E123" s="67"/>
      <c r="G123" s="67"/>
      <c r="H123" s="67"/>
      <c r="I123" s="67"/>
      <c r="J123" s="67"/>
      <c r="K123" s="67"/>
      <c r="L123" s="67"/>
      <c r="M123" s="67"/>
      <c r="N123" s="67"/>
      <c r="O123" s="67"/>
      <c r="P123" s="67"/>
      <c r="Q123" s="67"/>
      <c r="R123" s="67"/>
      <c r="S123" s="67"/>
      <c r="T123" s="67"/>
      <c r="U123" s="67"/>
      <c r="V123" s="67"/>
      <c r="W123" s="67"/>
      <c r="X123" s="67"/>
      <c r="Y123" s="67"/>
      <c r="Z123" s="67"/>
      <c r="AA123" s="67"/>
      <c r="AB123" s="67"/>
      <c r="AC123" s="67"/>
      <c r="AD123" s="67"/>
      <c r="AE123" s="67"/>
      <c r="AF123" s="67"/>
      <c r="AG123" s="67"/>
      <c r="AH123" s="67"/>
      <c r="AI123" s="67"/>
      <c r="AJ123" s="67"/>
      <c r="AK123" s="67"/>
      <c r="AL123" s="67"/>
      <c r="AM123" s="67"/>
      <c r="AN123" s="67"/>
      <c r="AO123" s="67"/>
      <c r="AP123" s="67"/>
      <c r="AQ123" s="67"/>
      <c r="AR123" s="67"/>
      <c r="AS123" s="67"/>
      <c r="AT123" s="67"/>
      <c r="AU123" s="67"/>
      <c r="AV123" s="67"/>
      <c r="AW123" s="67"/>
      <c r="AX123" s="67"/>
      <c r="AY123" s="67"/>
      <c r="AZ123" s="67"/>
      <c r="BA123" s="67"/>
      <c r="BB123" s="67"/>
      <c r="BC123" s="67"/>
      <c r="BD123" s="67"/>
      <c r="BE123" s="67"/>
      <c r="BF123" s="67"/>
      <c r="BG123" s="67"/>
      <c r="BH123" s="70"/>
      <c r="BJ123" s="67"/>
      <c r="BK123" s="67"/>
      <c r="BL123" s="67"/>
      <c r="BM123" s="67"/>
      <c r="BN123" s="67"/>
      <c r="BO123" s="67"/>
      <c r="BP123" s="67"/>
      <c r="BQ123" s="67"/>
      <c r="BR123" s="67"/>
      <c r="BS123" s="67"/>
      <c r="BT123" s="67"/>
      <c r="BU123" s="67"/>
      <c r="BV123" s="67"/>
      <c r="BW123" s="67"/>
      <c r="BX123" s="67"/>
      <c r="BY123" s="67"/>
      <c r="BZ123" s="67"/>
      <c r="CA123" s="67"/>
      <c r="CB123" s="67"/>
      <c r="CC123" s="67"/>
      <c r="CD123" s="67"/>
      <c r="CE123" s="67"/>
      <c r="CF123" s="67"/>
      <c r="CG123" s="67"/>
      <c r="CH123" s="67"/>
      <c r="CI123" s="67"/>
      <c r="CJ123" s="67"/>
      <c r="CK123" s="67"/>
      <c r="CL123" s="67"/>
      <c r="CM123" s="67"/>
      <c r="CN123" s="67"/>
      <c r="CO123" s="67"/>
      <c r="CP123" s="67"/>
      <c r="CQ123" s="67"/>
      <c r="CR123" s="67"/>
      <c r="CS123" s="67"/>
      <c r="CT123" s="67"/>
      <c r="CU123" s="67"/>
      <c r="CV123" s="67"/>
      <c r="CW123" s="67"/>
      <c r="CX123" s="67"/>
      <c r="CY123" s="67"/>
      <c r="CZ123" s="67"/>
      <c r="DA123" s="67"/>
      <c r="DB123" s="67"/>
      <c r="DC123" s="67"/>
      <c r="DD123" s="67"/>
      <c r="DE123" s="67"/>
      <c r="DF123" s="67"/>
      <c r="DG123" s="67"/>
      <c r="DH123" s="67"/>
      <c r="DI123" s="67"/>
      <c r="DJ123" s="67"/>
    </row>
    <row r="124" spans="5:114" x14ac:dyDescent="0.25">
      <c r="E124" s="67"/>
      <c r="G124" s="67"/>
      <c r="H124" s="67"/>
      <c r="I124" s="67"/>
      <c r="J124" s="67"/>
      <c r="K124" s="67"/>
      <c r="L124" s="67"/>
      <c r="M124" s="67"/>
      <c r="N124" s="67"/>
      <c r="O124" s="67"/>
      <c r="P124" s="67"/>
      <c r="Q124" s="67"/>
      <c r="R124" s="67"/>
      <c r="S124" s="67"/>
      <c r="T124" s="67"/>
      <c r="U124" s="67"/>
      <c r="V124" s="67"/>
      <c r="W124" s="67"/>
      <c r="X124" s="67"/>
      <c r="Y124" s="67"/>
      <c r="Z124" s="67"/>
      <c r="AA124" s="67"/>
      <c r="AB124" s="67"/>
      <c r="AC124" s="67"/>
      <c r="AD124" s="67"/>
      <c r="AE124" s="67"/>
      <c r="AF124" s="67"/>
      <c r="AG124" s="67"/>
      <c r="AH124" s="67"/>
      <c r="AI124" s="67"/>
      <c r="AJ124" s="67"/>
      <c r="AK124" s="67"/>
      <c r="AL124" s="67"/>
      <c r="AM124" s="67"/>
      <c r="AN124" s="67"/>
      <c r="AO124" s="67"/>
      <c r="AP124" s="67"/>
      <c r="AQ124" s="67"/>
      <c r="AR124" s="67"/>
      <c r="AS124" s="67"/>
      <c r="AT124" s="67"/>
      <c r="AU124" s="67"/>
      <c r="AV124" s="67"/>
      <c r="AW124" s="67"/>
      <c r="AX124" s="67"/>
      <c r="AY124" s="67"/>
      <c r="AZ124" s="67"/>
      <c r="BA124" s="67"/>
      <c r="BB124" s="67"/>
      <c r="BC124" s="67"/>
      <c r="BD124" s="67"/>
      <c r="BE124" s="67"/>
      <c r="BF124" s="67"/>
      <c r="BG124" s="67"/>
      <c r="BH124" s="70"/>
      <c r="BJ124" s="67"/>
      <c r="BK124" s="67"/>
      <c r="BL124" s="67"/>
      <c r="BM124" s="67"/>
      <c r="BN124" s="67"/>
      <c r="BO124" s="67"/>
      <c r="BP124" s="67"/>
      <c r="BQ124" s="67"/>
      <c r="BR124" s="67"/>
      <c r="BS124" s="67"/>
      <c r="BT124" s="67"/>
      <c r="BU124" s="67"/>
      <c r="BV124" s="67"/>
      <c r="BW124" s="67"/>
      <c r="BX124" s="67"/>
      <c r="BY124" s="67"/>
      <c r="BZ124" s="67"/>
      <c r="CA124" s="67"/>
      <c r="CB124" s="67"/>
      <c r="CC124" s="67"/>
      <c r="CD124" s="67"/>
      <c r="CE124" s="67"/>
      <c r="CF124" s="67"/>
      <c r="CG124" s="67"/>
      <c r="CH124" s="67"/>
      <c r="CI124" s="67"/>
      <c r="CJ124" s="67"/>
      <c r="CK124" s="67"/>
      <c r="CL124" s="67"/>
      <c r="CM124" s="67"/>
      <c r="CN124" s="67"/>
      <c r="CO124" s="67"/>
      <c r="CP124" s="67"/>
      <c r="CQ124" s="67"/>
      <c r="CR124" s="67"/>
      <c r="CS124" s="67"/>
      <c r="CT124" s="67"/>
      <c r="CU124" s="67"/>
      <c r="CV124" s="67"/>
      <c r="CW124" s="67"/>
      <c r="CX124" s="67"/>
      <c r="CY124" s="67"/>
      <c r="CZ124" s="67"/>
      <c r="DA124" s="67"/>
      <c r="DB124" s="67"/>
      <c r="DC124" s="67"/>
      <c r="DD124" s="67"/>
      <c r="DE124" s="67"/>
      <c r="DF124" s="67"/>
      <c r="DG124" s="67"/>
      <c r="DH124" s="67"/>
      <c r="DI124" s="67"/>
      <c r="DJ124" s="67"/>
    </row>
    <row r="125" spans="5:114" x14ac:dyDescent="0.25">
      <c r="E125" s="67"/>
      <c r="G125" s="67"/>
      <c r="H125" s="67"/>
      <c r="I125" s="67"/>
      <c r="J125" s="67"/>
      <c r="K125" s="67"/>
      <c r="L125" s="67"/>
      <c r="M125" s="67"/>
      <c r="N125" s="67"/>
      <c r="O125" s="67"/>
      <c r="P125" s="67"/>
      <c r="Q125" s="67"/>
      <c r="R125" s="67"/>
      <c r="S125" s="67"/>
      <c r="T125" s="67"/>
      <c r="U125" s="67"/>
      <c r="V125" s="67"/>
      <c r="W125" s="67"/>
      <c r="X125" s="67"/>
      <c r="Y125" s="67"/>
      <c r="Z125" s="67"/>
      <c r="AA125" s="67"/>
      <c r="AB125" s="67"/>
      <c r="AC125" s="67"/>
      <c r="AD125" s="67"/>
      <c r="AE125" s="67"/>
      <c r="AF125" s="67"/>
      <c r="AG125" s="67"/>
      <c r="AH125" s="67"/>
      <c r="AI125" s="67"/>
      <c r="AJ125" s="67"/>
      <c r="AK125" s="67"/>
      <c r="AL125" s="67"/>
      <c r="AM125" s="67"/>
      <c r="AN125" s="67"/>
      <c r="AO125" s="67"/>
      <c r="AP125" s="67"/>
      <c r="AQ125" s="67"/>
      <c r="AR125" s="67"/>
      <c r="AS125" s="67"/>
      <c r="AT125" s="67"/>
      <c r="AU125" s="67"/>
      <c r="AV125" s="67"/>
      <c r="AW125" s="67"/>
      <c r="AX125" s="67"/>
      <c r="AY125" s="67"/>
      <c r="AZ125" s="67"/>
      <c r="BA125" s="67"/>
      <c r="BB125" s="67"/>
      <c r="BC125" s="67"/>
      <c r="BD125" s="67"/>
      <c r="BE125" s="67"/>
      <c r="BF125" s="67"/>
      <c r="BG125" s="67"/>
      <c r="BH125" s="70"/>
      <c r="BJ125" s="67"/>
      <c r="BK125" s="67"/>
      <c r="BL125" s="67"/>
      <c r="BM125" s="67"/>
      <c r="BN125" s="67"/>
      <c r="BO125" s="67"/>
      <c r="BP125" s="67"/>
      <c r="BQ125" s="67"/>
      <c r="BR125" s="67"/>
      <c r="BS125" s="67"/>
      <c r="BT125" s="67"/>
      <c r="BU125" s="67"/>
      <c r="BV125" s="67"/>
      <c r="BW125" s="67"/>
      <c r="BX125" s="67"/>
      <c r="BY125" s="67"/>
      <c r="BZ125" s="67"/>
      <c r="CA125" s="67"/>
      <c r="CB125" s="67"/>
      <c r="CC125" s="67"/>
      <c r="CD125" s="67"/>
      <c r="CE125" s="67"/>
      <c r="CF125" s="67"/>
      <c r="CG125" s="67"/>
      <c r="CH125" s="67"/>
      <c r="CI125" s="67"/>
      <c r="CJ125" s="67"/>
      <c r="CK125" s="67"/>
      <c r="CL125" s="67"/>
      <c r="CM125" s="67"/>
      <c r="CN125" s="67"/>
      <c r="CO125" s="67"/>
      <c r="CP125" s="67"/>
      <c r="CQ125" s="67"/>
      <c r="CR125" s="67"/>
      <c r="CS125" s="67"/>
      <c r="CT125" s="67"/>
      <c r="CU125" s="67"/>
      <c r="CV125" s="67"/>
      <c r="CW125" s="67"/>
      <c r="CX125" s="67"/>
      <c r="CY125" s="67"/>
      <c r="CZ125" s="67"/>
      <c r="DA125" s="67"/>
      <c r="DB125" s="67"/>
      <c r="DC125" s="67"/>
      <c r="DD125" s="67"/>
      <c r="DE125" s="67"/>
      <c r="DF125" s="67"/>
      <c r="DG125" s="67"/>
      <c r="DH125" s="67"/>
      <c r="DI125" s="67"/>
      <c r="DJ125" s="67"/>
    </row>
    <row r="126" spans="5:114" x14ac:dyDescent="0.25">
      <c r="E126" s="67"/>
      <c r="G126" s="67"/>
      <c r="H126" s="67"/>
      <c r="I126" s="67"/>
      <c r="J126" s="67"/>
      <c r="K126" s="67"/>
      <c r="L126" s="67"/>
      <c r="M126" s="67"/>
      <c r="N126" s="67"/>
      <c r="O126" s="67"/>
      <c r="P126" s="67"/>
      <c r="Q126" s="67"/>
      <c r="R126" s="67"/>
      <c r="S126" s="67"/>
      <c r="T126" s="67"/>
      <c r="U126" s="67"/>
      <c r="V126" s="67"/>
      <c r="W126" s="67"/>
      <c r="X126" s="67"/>
      <c r="Y126" s="67"/>
      <c r="Z126" s="67"/>
      <c r="AA126" s="67"/>
      <c r="AB126" s="67"/>
      <c r="AC126" s="67"/>
      <c r="AD126" s="67"/>
      <c r="AE126" s="67"/>
      <c r="AF126" s="67"/>
      <c r="AG126" s="67"/>
      <c r="AH126" s="67"/>
      <c r="AI126" s="67"/>
      <c r="AJ126" s="67"/>
      <c r="AK126" s="67"/>
      <c r="AL126" s="67"/>
      <c r="AM126" s="67"/>
      <c r="AN126" s="67"/>
      <c r="AO126" s="67"/>
      <c r="AP126" s="67"/>
      <c r="AQ126" s="67"/>
      <c r="AR126" s="67"/>
      <c r="AS126" s="67"/>
      <c r="AT126" s="67"/>
      <c r="AU126" s="67"/>
      <c r="AV126" s="67"/>
      <c r="AW126" s="67"/>
      <c r="AX126" s="67"/>
      <c r="AY126" s="67"/>
      <c r="AZ126" s="67"/>
      <c r="BA126" s="67"/>
      <c r="BB126" s="67"/>
      <c r="BC126" s="67"/>
      <c r="BD126" s="67"/>
      <c r="BE126" s="67"/>
      <c r="BF126" s="67"/>
      <c r="BG126" s="67"/>
      <c r="BH126" s="70"/>
      <c r="BJ126" s="67"/>
      <c r="BK126" s="67"/>
      <c r="BL126" s="67"/>
      <c r="BM126" s="67"/>
      <c r="BN126" s="67"/>
      <c r="BO126" s="67"/>
      <c r="BP126" s="67"/>
      <c r="BQ126" s="67"/>
      <c r="BR126" s="67"/>
      <c r="BS126" s="67"/>
      <c r="BT126" s="67"/>
      <c r="BU126" s="67"/>
      <c r="BV126" s="67"/>
      <c r="BW126" s="67"/>
      <c r="BX126" s="67"/>
      <c r="BY126" s="67"/>
      <c r="BZ126" s="67"/>
      <c r="CA126" s="67"/>
      <c r="CB126" s="67"/>
      <c r="CC126" s="67"/>
      <c r="CD126" s="67"/>
      <c r="CE126" s="67"/>
      <c r="CF126" s="67"/>
      <c r="CG126" s="67"/>
      <c r="CH126" s="67"/>
      <c r="CI126" s="67"/>
      <c r="CJ126" s="67"/>
      <c r="CK126" s="67"/>
      <c r="CL126" s="67"/>
      <c r="CM126" s="67"/>
      <c r="CN126" s="67"/>
      <c r="CO126" s="67"/>
      <c r="CP126" s="67"/>
      <c r="CQ126" s="67"/>
      <c r="CR126" s="67"/>
      <c r="CS126" s="67"/>
      <c r="CT126" s="67"/>
      <c r="CU126" s="67"/>
      <c r="CV126" s="67"/>
      <c r="CW126" s="67"/>
      <c r="CX126" s="67"/>
      <c r="CY126" s="67"/>
      <c r="CZ126" s="67"/>
      <c r="DA126" s="67"/>
      <c r="DB126" s="67"/>
      <c r="DC126" s="67"/>
      <c r="DD126" s="67"/>
      <c r="DE126" s="67"/>
      <c r="DF126" s="67"/>
      <c r="DG126" s="67"/>
      <c r="DH126" s="67"/>
      <c r="DI126" s="67"/>
      <c r="DJ126" s="67"/>
    </row>
    <row r="127" spans="5:114" x14ac:dyDescent="0.25">
      <c r="E127" s="67"/>
      <c r="G127" s="67"/>
      <c r="H127" s="67"/>
      <c r="I127" s="67"/>
      <c r="J127" s="67"/>
      <c r="K127" s="67"/>
      <c r="L127" s="67"/>
      <c r="M127" s="67"/>
      <c r="N127" s="67"/>
      <c r="O127" s="67"/>
      <c r="P127" s="67"/>
      <c r="Q127" s="67"/>
      <c r="R127" s="67"/>
      <c r="S127" s="67"/>
      <c r="T127" s="67"/>
      <c r="U127" s="67"/>
      <c r="V127" s="67"/>
      <c r="W127" s="67"/>
      <c r="X127" s="67"/>
      <c r="Y127" s="67"/>
      <c r="Z127" s="67"/>
      <c r="AA127" s="67"/>
      <c r="AB127" s="67"/>
      <c r="AC127" s="67"/>
      <c r="AD127" s="67"/>
      <c r="AE127" s="67"/>
      <c r="AF127" s="67"/>
      <c r="AG127" s="67"/>
      <c r="AH127" s="67"/>
      <c r="AI127" s="67"/>
      <c r="AJ127" s="67"/>
      <c r="AK127" s="67"/>
      <c r="AL127" s="67"/>
      <c r="AM127" s="67"/>
      <c r="AN127" s="67"/>
      <c r="AO127" s="67"/>
      <c r="AP127" s="67"/>
      <c r="AQ127" s="67"/>
      <c r="AR127" s="67"/>
      <c r="AS127" s="67"/>
      <c r="AT127" s="67"/>
      <c r="AU127" s="67"/>
      <c r="AV127" s="67"/>
      <c r="AW127" s="67"/>
      <c r="AX127" s="67"/>
      <c r="AY127" s="67"/>
      <c r="AZ127" s="67"/>
      <c r="BA127" s="67"/>
      <c r="BB127" s="67"/>
      <c r="BC127" s="67"/>
      <c r="BD127" s="67"/>
      <c r="BE127" s="67"/>
      <c r="BF127" s="67"/>
      <c r="BG127" s="67"/>
      <c r="BH127" s="70"/>
      <c r="BJ127" s="67"/>
      <c r="BK127" s="67"/>
      <c r="BL127" s="67"/>
      <c r="BM127" s="67"/>
      <c r="BN127" s="67"/>
      <c r="BO127" s="67"/>
      <c r="BP127" s="67"/>
      <c r="BQ127" s="67"/>
      <c r="BR127" s="67"/>
      <c r="BS127" s="67"/>
      <c r="BT127" s="67"/>
      <c r="BU127" s="67"/>
      <c r="BV127" s="67"/>
      <c r="BW127" s="67"/>
      <c r="BX127" s="67"/>
      <c r="BY127" s="67"/>
      <c r="BZ127" s="67"/>
      <c r="CA127" s="67"/>
      <c r="CB127" s="67"/>
      <c r="CC127" s="67"/>
      <c r="CD127" s="67"/>
      <c r="CE127" s="67"/>
      <c r="CF127" s="67"/>
      <c r="CG127" s="67"/>
      <c r="CH127" s="67"/>
      <c r="CI127" s="67"/>
      <c r="CJ127" s="67"/>
      <c r="CK127" s="67"/>
      <c r="CL127" s="67"/>
      <c r="CM127" s="67"/>
      <c r="CN127" s="67"/>
      <c r="CO127" s="67"/>
      <c r="CP127" s="67"/>
      <c r="CQ127" s="67"/>
      <c r="CR127" s="67"/>
      <c r="CS127" s="67"/>
      <c r="CT127" s="67"/>
      <c r="CU127" s="67"/>
      <c r="CV127" s="67"/>
      <c r="CW127" s="67"/>
      <c r="CX127" s="67"/>
      <c r="CY127" s="67"/>
      <c r="CZ127" s="67"/>
      <c r="DA127" s="67"/>
      <c r="DB127" s="67"/>
      <c r="DC127" s="67"/>
      <c r="DD127" s="67"/>
      <c r="DE127" s="67"/>
      <c r="DF127" s="67"/>
      <c r="DG127" s="67"/>
      <c r="DH127" s="67"/>
      <c r="DI127" s="67"/>
      <c r="DJ127" s="67"/>
    </row>
    <row r="128" spans="5:114" x14ac:dyDescent="0.25">
      <c r="E128" s="67"/>
      <c r="G128" s="67"/>
      <c r="H128" s="67"/>
      <c r="I128" s="67"/>
      <c r="J128" s="67"/>
      <c r="K128" s="67"/>
      <c r="L128" s="67"/>
      <c r="M128" s="67"/>
      <c r="N128" s="67"/>
      <c r="O128" s="67"/>
      <c r="P128" s="67"/>
      <c r="Q128" s="67"/>
      <c r="R128" s="67"/>
      <c r="S128" s="67"/>
      <c r="T128" s="67"/>
      <c r="U128" s="67"/>
      <c r="V128" s="67"/>
      <c r="W128" s="67"/>
      <c r="X128" s="67"/>
      <c r="Y128" s="67"/>
      <c r="Z128" s="67"/>
      <c r="AA128" s="67"/>
      <c r="AB128" s="67"/>
      <c r="AC128" s="67"/>
      <c r="AD128" s="67"/>
      <c r="AE128" s="67"/>
      <c r="AF128" s="67"/>
      <c r="AG128" s="67"/>
      <c r="AH128" s="67"/>
      <c r="AI128" s="67"/>
      <c r="AJ128" s="67"/>
      <c r="AK128" s="67"/>
      <c r="AL128" s="67"/>
      <c r="AM128" s="67"/>
      <c r="AN128" s="67"/>
      <c r="AO128" s="67"/>
      <c r="AP128" s="67"/>
      <c r="AQ128" s="67"/>
      <c r="AR128" s="67"/>
      <c r="AS128" s="67"/>
      <c r="AT128" s="67"/>
      <c r="AU128" s="67"/>
      <c r="AV128" s="67"/>
      <c r="AW128" s="67"/>
      <c r="AX128" s="67"/>
      <c r="AY128" s="67"/>
      <c r="AZ128" s="67"/>
      <c r="BA128" s="67"/>
      <c r="BB128" s="67"/>
      <c r="BC128" s="67"/>
      <c r="BD128" s="67"/>
      <c r="BE128" s="67"/>
      <c r="BF128" s="67"/>
      <c r="BG128" s="67"/>
      <c r="BH128" s="70"/>
      <c r="BJ128" s="67"/>
      <c r="BK128" s="67"/>
      <c r="BL128" s="67"/>
      <c r="BM128" s="67"/>
      <c r="BN128" s="67"/>
      <c r="BO128" s="67"/>
      <c r="BP128" s="67"/>
      <c r="BQ128" s="67"/>
      <c r="BR128" s="67"/>
      <c r="BS128" s="67"/>
      <c r="BT128" s="67"/>
      <c r="BU128" s="67"/>
      <c r="BV128" s="67"/>
      <c r="BW128" s="67"/>
      <c r="BX128" s="67"/>
      <c r="BY128" s="67"/>
      <c r="BZ128" s="67"/>
      <c r="CA128" s="67"/>
      <c r="CB128" s="67"/>
      <c r="CC128" s="67"/>
      <c r="CD128" s="67"/>
      <c r="CE128" s="67"/>
      <c r="CF128" s="67"/>
      <c r="CG128" s="67"/>
      <c r="CH128" s="67"/>
      <c r="CI128" s="67"/>
      <c r="CJ128" s="67"/>
      <c r="CK128" s="67"/>
      <c r="CL128" s="67"/>
      <c r="CM128" s="67"/>
      <c r="CN128" s="67"/>
      <c r="CO128" s="67"/>
      <c r="CP128" s="67"/>
      <c r="CQ128" s="67"/>
      <c r="CR128" s="67"/>
      <c r="CS128" s="67"/>
      <c r="CT128" s="67"/>
      <c r="CU128" s="67"/>
      <c r="CV128" s="67"/>
      <c r="CW128" s="67"/>
      <c r="CX128" s="67"/>
      <c r="CY128" s="67"/>
      <c r="CZ128" s="67"/>
      <c r="DA128" s="67"/>
      <c r="DB128" s="67"/>
      <c r="DC128" s="67"/>
      <c r="DD128" s="67"/>
      <c r="DE128" s="67"/>
      <c r="DF128" s="67"/>
      <c r="DG128" s="67"/>
      <c r="DH128" s="67"/>
      <c r="DI128" s="67"/>
      <c r="DJ128" s="67"/>
    </row>
    <row r="129" spans="5:114" x14ac:dyDescent="0.25">
      <c r="E129" s="67"/>
      <c r="G129" s="67"/>
      <c r="H129" s="67"/>
      <c r="I129" s="67"/>
      <c r="J129" s="67"/>
      <c r="K129" s="67"/>
      <c r="L129" s="67"/>
      <c r="M129" s="67"/>
      <c r="N129" s="67"/>
      <c r="O129" s="67"/>
      <c r="P129" s="67"/>
      <c r="Q129" s="67"/>
      <c r="R129" s="67"/>
      <c r="S129" s="67"/>
      <c r="T129" s="67"/>
      <c r="U129" s="67"/>
      <c r="V129" s="67"/>
      <c r="W129" s="67"/>
      <c r="X129" s="67"/>
      <c r="Y129" s="67"/>
      <c r="Z129" s="67"/>
      <c r="AA129" s="67"/>
      <c r="AB129" s="67"/>
      <c r="AC129" s="67"/>
      <c r="AD129" s="67"/>
      <c r="AE129" s="67"/>
      <c r="AF129" s="67"/>
      <c r="AG129" s="67"/>
      <c r="AH129" s="67"/>
      <c r="AI129" s="67"/>
      <c r="AJ129" s="67"/>
      <c r="AK129" s="67"/>
      <c r="AL129" s="67"/>
      <c r="AM129" s="67"/>
      <c r="AN129" s="67"/>
      <c r="AO129" s="67"/>
      <c r="AP129" s="67"/>
      <c r="AQ129" s="67"/>
      <c r="AR129" s="67"/>
      <c r="AS129" s="67"/>
      <c r="AT129" s="67"/>
      <c r="AU129" s="67"/>
      <c r="AV129" s="67"/>
      <c r="AW129" s="67"/>
      <c r="AX129" s="67"/>
      <c r="AY129" s="67"/>
      <c r="AZ129" s="67"/>
      <c r="BA129" s="67"/>
      <c r="BB129" s="67"/>
      <c r="BC129" s="67"/>
      <c r="BD129" s="67"/>
      <c r="BE129" s="67"/>
      <c r="BF129" s="67"/>
      <c r="BG129" s="67"/>
      <c r="BH129" s="70"/>
      <c r="BJ129" s="67"/>
      <c r="BK129" s="67"/>
      <c r="BL129" s="67"/>
      <c r="BM129" s="67"/>
      <c r="BN129" s="67"/>
      <c r="BO129" s="67"/>
      <c r="BP129" s="67"/>
      <c r="BQ129" s="67"/>
      <c r="BR129" s="67"/>
      <c r="BS129" s="67"/>
      <c r="BT129" s="67"/>
      <c r="BU129" s="67"/>
      <c r="BV129" s="67"/>
      <c r="BW129" s="67"/>
      <c r="BX129" s="67"/>
      <c r="BY129" s="67"/>
      <c r="BZ129" s="67"/>
      <c r="CA129" s="67"/>
      <c r="CB129" s="67"/>
      <c r="CC129" s="67"/>
      <c r="CD129" s="67"/>
      <c r="CE129" s="67"/>
      <c r="CF129" s="67"/>
      <c r="CG129" s="67"/>
      <c r="CH129" s="67"/>
      <c r="CI129" s="67"/>
      <c r="CJ129" s="67"/>
      <c r="CK129" s="67"/>
      <c r="CL129" s="67"/>
      <c r="CM129" s="67"/>
      <c r="CN129" s="67"/>
      <c r="CO129" s="67"/>
      <c r="CP129" s="67"/>
      <c r="CQ129" s="67"/>
      <c r="CR129" s="67"/>
      <c r="CS129" s="67"/>
      <c r="CT129" s="67"/>
      <c r="CU129" s="67"/>
      <c r="CV129" s="67"/>
      <c r="CW129" s="67"/>
      <c r="CX129" s="67"/>
      <c r="CY129" s="67"/>
      <c r="CZ129" s="67"/>
      <c r="DA129" s="67"/>
      <c r="DB129" s="67"/>
      <c r="DC129" s="67"/>
      <c r="DD129" s="67"/>
      <c r="DE129" s="67"/>
      <c r="DF129" s="67"/>
      <c r="DG129" s="67"/>
      <c r="DH129" s="67"/>
      <c r="DI129" s="67"/>
      <c r="DJ129" s="67"/>
    </row>
    <row r="130" spans="5:114" x14ac:dyDescent="0.25">
      <c r="E130" s="67"/>
      <c r="G130" s="67"/>
      <c r="H130" s="67"/>
      <c r="I130" s="67"/>
      <c r="J130" s="67"/>
      <c r="K130" s="67"/>
      <c r="L130" s="67"/>
      <c r="M130" s="67"/>
      <c r="N130" s="67"/>
      <c r="O130" s="67"/>
      <c r="P130" s="67"/>
      <c r="Q130" s="67"/>
      <c r="R130" s="67"/>
      <c r="S130" s="67"/>
      <c r="T130" s="67"/>
      <c r="U130" s="67"/>
      <c r="V130" s="67"/>
      <c r="W130" s="67"/>
      <c r="X130" s="67"/>
      <c r="Y130" s="67"/>
      <c r="Z130" s="67"/>
      <c r="AA130" s="67"/>
      <c r="AB130" s="67"/>
      <c r="AC130" s="67"/>
      <c r="AD130" s="67"/>
      <c r="AE130" s="67"/>
      <c r="AF130" s="67"/>
      <c r="AG130" s="67"/>
      <c r="AH130" s="67"/>
      <c r="AI130" s="67"/>
      <c r="AJ130" s="67"/>
      <c r="AK130" s="67"/>
      <c r="AL130" s="67"/>
      <c r="AM130" s="67"/>
      <c r="AN130" s="67"/>
      <c r="AO130" s="67"/>
      <c r="AP130" s="67"/>
      <c r="AQ130" s="67"/>
      <c r="AR130" s="67"/>
      <c r="AS130" s="67"/>
      <c r="AT130" s="67"/>
      <c r="AU130" s="67"/>
      <c r="AV130" s="67"/>
      <c r="AW130" s="67"/>
      <c r="AX130" s="67"/>
      <c r="AY130" s="67"/>
      <c r="AZ130" s="67"/>
      <c r="BA130" s="67"/>
      <c r="BB130" s="67"/>
      <c r="BC130" s="67"/>
      <c r="BD130" s="67"/>
      <c r="BE130" s="67"/>
      <c r="BF130" s="67"/>
      <c r="BG130" s="67"/>
      <c r="BH130" s="70"/>
      <c r="BJ130" s="67"/>
      <c r="BK130" s="67"/>
      <c r="BL130" s="67"/>
      <c r="BM130" s="67"/>
      <c r="BN130" s="67"/>
      <c r="BO130" s="67"/>
      <c r="BP130" s="67"/>
      <c r="BQ130" s="67"/>
      <c r="BR130" s="67"/>
      <c r="BS130" s="67"/>
      <c r="BT130" s="67"/>
      <c r="BU130" s="67"/>
      <c r="BV130" s="67"/>
      <c r="BW130" s="67"/>
      <c r="BX130" s="67"/>
      <c r="BY130" s="67"/>
      <c r="BZ130" s="67"/>
      <c r="CA130" s="67"/>
      <c r="CB130" s="67"/>
      <c r="CC130" s="67"/>
      <c r="CD130" s="67"/>
      <c r="CE130" s="67"/>
      <c r="CF130" s="67"/>
      <c r="CG130" s="67"/>
      <c r="CH130" s="67"/>
      <c r="CI130" s="67"/>
      <c r="CJ130" s="67"/>
      <c r="CK130" s="67"/>
      <c r="CL130" s="67"/>
      <c r="CM130" s="67"/>
      <c r="CN130" s="67"/>
      <c r="CO130" s="67"/>
      <c r="CP130" s="67"/>
      <c r="CQ130" s="67"/>
      <c r="CR130" s="67"/>
      <c r="CS130" s="67"/>
      <c r="CT130" s="67"/>
      <c r="CU130" s="67"/>
      <c r="CV130" s="67"/>
      <c r="CW130" s="67"/>
      <c r="CX130" s="67"/>
      <c r="CY130" s="67"/>
      <c r="CZ130" s="67"/>
      <c r="DA130" s="67"/>
      <c r="DB130" s="67"/>
      <c r="DC130" s="67"/>
      <c r="DD130" s="67"/>
      <c r="DE130" s="67"/>
      <c r="DF130" s="67"/>
      <c r="DG130" s="67"/>
      <c r="DH130" s="67"/>
      <c r="DI130" s="67"/>
      <c r="DJ130" s="67"/>
    </row>
    <row r="131" spans="5:114" x14ac:dyDescent="0.25">
      <c r="E131" s="67"/>
      <c r="G131" s="67"/>
      <c r="H131" s="67"/>
      <c r="I131" s="67"/>
      <c r="J131" s="67"/>
      <c r="K131" s="67"/>
      <c r="L131" s="67"/>
      <c r="M131" s="67"/>
      <c r="N131" s="67"/>
      <c r="O131" s="67"/>
      <c r="P131" s="67"/>
      <c r="Q131" s="67"/>
      <c r="R131" s="67"/>
      <c r="S131" s="67"/>
      <c r="T131" s="67"/>
      <c r="U131" s="67"/>
      <c r="V131" s="67"/>
      <c r="W131" s="67"/>
      <c r="X131" s="67"/>
      <c r="Y131" s="67"/>
      <c r="Z131" s="67"/>
      <c r="AA131" s="67"/>
      <c r="AB131" s="67"/>
      <c r="AC131" s="67"/>
      <c r="AD131" s="67"/>
      <c r="AE131" s="67"/>
      <c r="AF131" s="67"/>
      <c r="AG131" s="67"/>
      <c r="AH131" s="67"/>
      <c r="AI131" s="67"/>
      <c r="AJ131" s="67"/>
      <c r="AK131" s="67"/>
      <c r="AL131" s="67"/>
      <c r="AM131" s="67"/>
      <c r="AN131" s="67"/>
      <c r="AO131" s="67"/>
      <c r="AP131" s="67"/>
      <c r="AQ131" s="67"/>
      <c r="AR131" s="67"/>
      <c r="AS131" s="67"/>
      <c r="AT131" s="67"/>
      <c r="AU131" s="67"/>
      <c r="AV131" s="67"/>
      <c r="AW131" s="67"/>
      <c r="AX131" s="67"/>
      <c r="AY131" s="67"/>
      <c r="AZ131" s="67"/>
      <c r="BA131" s="67"/>
      <c r="BB131" s="67"/>
      <c r="BC131" s="67"/>
      <c r="BD131" s="67"/>
      <c r="BE131" s="67"/>
      <c r="BF131" s="67"/>
      <c r="BG131" s="67"/>
      <c r="BH131" s="70"/>
      <c r="BJ131" s="67"/>
      <c r="BK131" s="67"/>
      <c r="BL131" s="67"/>
      <c r="BM131" s="67"/>
      <c r="BN131" s="67"/>
      <c r="BO131" s="67"/>
      <c r="BP131" s="67"/>
      <c r="BQ131" s="67"/>
      <c r="BR131" s="67"/>
      <c r="BS131" s="67"/>
      <c r="BT131" s="67"/>
      <c r="BU131" s="67"/>
      <c r="BV131" s="67"/>
      <c r="BW131" s="67"/>
      <c r="BX131" s="67"/>
      <c r="BY131" s="67"/>
      <c r="BZ131" s="67"/>
      <c r="CA131" s="67"/>
      <c r="CB131" s="67"/>
      <c r="CC131" s="67"/>
      <c r="CD131" s="67"/>
      <c r="CE131" s="67"/>
      <c r="CF131" s="67"/>
      <c r="CG131" s="67"/>
      <c r="CH131" s="67"/>
      <c r="CI131" s="67"/>
      <c r="CJ131" s="67"/>
      <c r="CK131" s="67"/>
      <c r="CL131" s="67"/>
      <c r="CM131" s="67"/>
      <c r="CN131" s="67"/>
      <c r="CO131" s="67"/>
      <c r="CP131" s="67"/>
      <c r="CQ131" s="67"/>
      <c r="CR131" s="67"/>
      <c r="CS131" s="67"/>
      <c r="CT131" s="67"/>
      <c r="CU131" s="67"/>
      <c r="CV131" s="67"/>
      <c r="CW131" s="67"/>
      <c r="CX131" s="67"/>
      <c r="CY131" s="67"/>
      <c r="CZ131" s="67"/>
      <c r="DA131" s="67"/>
      <c r="DB131" s="67"/>
      <c r="DC131" s="67"/>
      <c r="DD131" s="67"/>
      <c r="DE131" s="67"/>
      <c r="DF131" s="67"/>
      <c r="DG131" s="67"/>
      <c r="DH131" s="67"/>
      <c r="DI131" s="67"/>
      <c r="DJ131" s="67"/>
    </row>
    <row r="132" spans="5:114" x14ac:dyDescent="0.25">
      <c r="E132" s="67"/>
      <c r="G132" s="67"/>
      <c r="H132" s="67"/>
      <c r="I132" s="67"/>
      <c r="J132" s="67"/>
      <c r="K132" s="67"/>
      <c r="L132" s="67"/>
      <c r="M132" s="67"/>
      <c r="N132" s="67"/>
      <c r="O132" s="67"/>
      <c r="P132" s="67"/>
      <c r="Q132" s="67"/>
      <c r="R132" s="67"/>
      <c r="S132" s="67"/>
      <c r="T132" s="67"/>
      <c r="U132" s="67"/>
      <c r="V132" s="67"/>
      <c r="W132" s="67"/>
      <c r="X132" s="67"/>
      <c r="Y132" s="67"/>
      <c r="Z132" s="67"/>
      <c r="AA132" s="67"/>
      <c r="AB132" s="67"/>
      <c r="AC132" s="67"/>
      <c r="AD132" s="67"/>
      <c r="AE132" s="67"/>
      <c r="AF132" s="67"/>
      <c r="AG132" s="67"/>
      <c r="AH132" s="67"/>
      <c r="AI132" s="67"/>
      <c r="AJ132" s="67"/>
      <c r="AK132" s="67"/>
      <c r="AL132" s="67"/>
      <c r="AM132" s="67"/>
      <c r="AN132" s="67"/>
      <c r="AO132" s="67"/>
      <c r="AP132" s="67"/>
      <c r="AQ132" s="67"/>
      <c r="AR132" s="67"/>
      <c r="AS132" s="67"/>
      <c r="AT132" s="67"/>
      <c r="AU132" s="67"/>
      <c r="AV132" s="67"/>
      <c r="AW132" s="67"/>
      <c r="AX132" s="67"/>
      <c r="AY132" s="67"/>
      <c r="AZ132" s="67"/>
      <c r="BA132" s="67"/>
      <c r="BB132" s="67"/>
      <c r="BC132" s="67"/>
      <c r="BD132" s="67"/>
      <c r="BE132" s="67"/>
      <c r="BF132" s="67"/>
      <c r="BG132" s="67"/>
      <c r="BH132" s="70"/>
      <c r="BJ132" s="67"/>
      <c r="BK132" s="67"/>
      <c r="BL132" s="67"/>
      <c r="BM132" s="67"/>
      <c r="BN132" s="67"/>
      <c r="BO132" s="67"/>
      <c r="BP132" s="67"/>
      <c r="BQ132" s="67"/>
      <c r="BR132" s="67"/>
      <c r="BS132" s="67"/>
      <c r="BT132" s="67"/>
      <c r="BU132" s="67"/>
      <c r="BV132" s="67"/>
      <c r="BW132" s="67"/>
      <c r="BX132" s="67"/>
      <c r="BY132" s="67"/>
      <c r="BZ132" s="67"/>
      <c r="CA132" s="67"/>
      <c r="CB132" s="67"/>
      <c r="CC132" s="67"/>
      <c r="CD132" s="67"/>
      <c r="CE132" s="67"/>
      <c r="CF132" s="67"/>
      <c r="CG132" s="67"/>
      <c r="CH132" s="67"/>
      <c r="CI132" s="67"/>
      <c r="CJ132" s="67"/>
      <c r="CK132" s="67"/>
      <c r="CL132" s="67"/>
      <c r="CM132" s="67"/>
      <c r="CN132" s="67"/>
      <c r="CO132" s="67"/>
      <c r="CP132" s="67"/>
      <c r="CQ132" s="67"/>
      <c r="CR132" s="67"/>
      <c r="CS132" s="67"/>
      <c r="CT132" s="67"/>
      <c r="CU132" s="67"/>
      <c r="CV132" s="67"/>
      <c r="CW132" s="67"/>
      <c r="CX132" s="67"/>
      <c r="CY132" s="67"/>
      <c r="CZ132" s="67"/>
      <c r="DA132" s="67"/>
      <c r="DB132" s="67"/>
      <c r="DC132" s="67"/>
      <c r="DD132" s="67"/>
      <c r="DE132" s="67"/>
      <c r="DF132" s="67"/>
      <c r="DG132" s="67"/>
      <c r="DH132" s="67"/>
      <c r="DI132" s="67"/>
      <c r="DJ132" s="67"/>
    </row>
    <row r="133" spans="5:114" x14ac:dyDescent="0.25">
      <c r="E133" s="67"/>
      <c r="G133" s="67"/>
      <c r="H133" s="67"/>
      <c r="I133" s="67"/>
      <c r="J133" s="67"/>
      <c r="K133" s="67"/>
      <c r="L133" s="67"/>
      <c r="M133" s="67"/>
      <c r="N133" s="67"/>
      <c r="O133" s="67"/>
      <c r="P133" s="67"/>
      <c r="Q133" s="67"/>
      <c r="R133" s="67"/>
      <c r="S133" s="67"/>
      <c r="T133" s="67"/>
      <c r="U133" s="67"/>
      <c r="V133" s="67"/>
      <c r="W133" s="67"/>
      <c r="X133" s="67"/>
      <c r="Y133" s="67"/>
      <c r="Z133" s="67"/>
      <c r="AA133" s="67"/>
      <c r="AB133" s="67"/>
      <c r="AC133" s="67"/>
      <c r="AD133" s="67"/>
      <c r="AE133" s="67"/>
      <c r="AF133" s="67"/>
      <c r="AG133" s="67"/>
      <c r="AH133" s="67"/>
      <c r="AI133" s="67"/>
      <c r="AJ133" s="67"/>
      <c r="AK133" s="67"/>
      <c r="AL133" s="67"/>
      <c r="AM133" s="67"/>
      <c r="AN133" s="67"/>
      <c r="AO133" s="67"/>
      <c r="AP133" s="67"/>
      <c r="AQ133" s="67"/>
      <c r="AR133" s="67"/>
      <c r="AS133" s="67"/>
      <c r="AT133" s="67"/>
      <c r="AU133" s="67"/>
      <c r="AV133" s="67"/>
      <c r="AW133" s="67"/>
      <c r="AX133" s="67"/>
      <c r="AY133" s="67"/>
      <c r="AZ133" s="67"/>
      <c r="BA133" s="67"/>
      <c r="BB133" s="67"/>
      <c r="BC133" s="67"/>
      <c r="BD133" s="67"/>
      <c r="BE133" s="67"/>
      <c r="BF133" s="67"/>
      <c r="BG133" s="67"/>
      <c r="BH133" s="70"/>
      <c r="BJ133" s="67"/>
      <c r="BK133" s="67"/>
      <c r="BL133" s="67"/>
      <c r="BM133" s="67"/>
      <c r="BN133" s="67"/>
      <c r="BO133" s="67"/>
      <c r="BP133" s="67"/>
      <c r="BQ133" s="67"/>
      <c r="BR133" s="67"/>
      <c r="BS133" s="67"/>
      <c r="BT133" s="67"/>
      <c r="BU133" s="67"/>
      <c r="BV133" s="67"/>
      <c r="BW133" s="67"/>
      <c r="BX133" s="67"/>
      <c r="BY133" s="67"/>
      <c r="BZ133" s="67"/>
      <c r="CA133" s="67"/>
      <c r="CB133" s="67"/>
      <c r="CC133" s="67"/>
      <c r="CD133" s="67"/>
      <c r="CE133" s="67"/>
      <c r="CF133" s="67"/>
      <c r="CG133" s="67"/>
      <c r="CH133" s="67"/>
      <c r="CI133" s="67"/>
      <c r="CJ133" s="67"/>
      <c r="CK133" s="67"/>
      <c r="CL133" s="67"/>
      <c r="CM133" s="67"/>
      <c r="CN133" s="67"/>
      <c r="CO133" s="67"/>
      <c r="CP133" s="67"/>
      <c r="CQ133" s="67"/>
      <c r="CR133" s="67"/>
      <c r="CS133" s="67"/>
      <c r="CT133" s="67"/>
      <c r="CU133" s="67"/>
      <c r="CV133" s="67"/>
      <c r="CW133" s="67"/>
      <c r="CX133" s="67"/>
      <c r="CY133" s="67"/>
      <c r="CZ133" s="67"/>
      <c r="DA133" s="67"/>
      <c r="DB133" s="67"/>
      <c r="DC133" s="67"/>
      <c r="DD133" s="67"/>
      <c r="DE133" s="67"/>
      <c r="DF133" s="67"/>
      <c r="DG133" s="67"/>
      <c r="DH133" s="67"/>
      <c r="DI133" s="67"/>
      <c r="DJ133" s="67"/>
    </row>
    <row r="134" spans="5:114" x14ac:dyDescent="0.25">
      <c r="E134" s="67"/>
      <c r="G134" s="67"/>
      <c r="H134" s="67"/>
      <c r="I134" s="67"/>
      <c r="J134" s="67"/>
      <c r="K134" s="67"/>
      <c r="L134" s="67"/>
      <c r="M134" s="67"/>
      <c r="N134" s="67"/>
      <c r="O134" s="67"/>
      <c r="P134" s="67"/>
      <c r="Q134" s="67"/>
      <c r="R134" s="67"/>
      <c r="S134" s="67"/>
      <c r="T134" s="67"/>
      <c r="U134" s="67"/>
      <c r="V134" s="67"/>
      <c r="W134" s="67"/>
      <c r="X134" s="67"/>
      <c r="Y134" s="67"/>
      <c r="Z134" s="67"/>
      <c r="AA134" s="67"/>
      <c r="AB134" s="67"/>
      <c r="AC134" s="67"/>
      <c r="AD134" s="67"/>
      <c r="AE134" s="67"/>
      <c r="AF134" s="67"/>
      <c r="AG134" s="67"/>
      <c r="AH134" s="67"/>
      <c r="AI134" s="67"/>
      <c r="AJ134" s="67"/>
      <c r="AK134" s="67"/>
      <c r="AL134" s="67"/>
      <c r="AM134" s="67"/>
      <c r="AN134" s="67"/>
      <c r="AO134" s="67"/>
      <c r="AP134" s="67"/>
      <c r="AQ134" s="67"/>
      <c r="AR134" s="67"/>
      <c r="AS134" s="67"/>
      <c r="AT134" s="67"/>
      <c r="AU134" s="67"/>
      <c r="AV134" s="67"/>
      <c r="AW134" s="67"/>
      <c r="AX134" s="67"/>
      <c r="AY134" s="67"/>
      <c r="AZ134" s="67"/>
      <c r="BA134" s="67"/>
      <c r="BB134" s="67"/>
      <c r="BC134" s="67"/>
      <c r="BD134" s="67"/>
      <c r="BE134" s="67"/>
      <c r="BF134" s="67"/>
      <c r="BG134" s="67"/>
      <c r="BH134" s="70"/>
      <c r="BJ134" s="67"/>
      <c r="BK134" s="67"/>
      <c r="BL134" s="67"/>
      <c r="BM134" s="67"/>
      <c r="BN134" s="67"/>
      <c r="BO134" s="67"/>
      <c r="BP134" s="67"/>
      <c r="BQ134" s="67"/>
      <c r="BR134" s="67"/>
      <c r="BS134" s="67"/>
      <c r="BT134" s="67"/>
      <c r="BU134" s="67"/>
      <c r="BV134" s="67"/>
      <c r="BW134" s="67"/>
      <c r="BX134" s="67"/>
      <c r="BY134" s="67"/>
      <c r="BZ134" s="67"/>
      <c r="CA134" s="67"/>
      <c r="CB134" s="67"/>
      <c r="CC134" s="67"/>
      <c r="CD134" s="67"/>
      <c r="CE134" s="67"/>
      <c r="CF134" s="67"/>
      <c r="CG134" s="67"/>
      <c r="CH134" s="67"/>
      <c r="CI134" s="67"/>
      <c r="CJ134" s="67"/>
      <c r="CK134" s="67"/>
      <c r="CL134" s="67"/>
      <c r="CM134" s="67"/>
      <c r="CN134" s="67"/>
      <c r="CO134" s="67"/>
      <c r="CP134" s="67"/>
      <c r="CQ134" s="67"/>
      <c r="CR134" s="67"/>
      <c r="CS134" s="67"/>
      <c r="CT134" s="67"/>
      <c r="CU134" s="67"/>
      <c r="CV134" s="67"/>
      <c r="CW134" s="67"/>
      <c r="CX134" s="67"/>
      <c r="CY134" s="67"/>
      <c r="CZ134" s="67"/>
      <c r="DA134" s="67"/>
      <c r="DB134" s="67"/>
      <c r="DC134" s="67"/>
      <c r="DD134" s="67"/>
      <c r="DE134" s="67"/>
      <c r="DF134" s="67"/>
      <c r="DG134" s="67"/>
      <c r="DH134" s="67"/>
      <c r="DI134" s="67"/>
      <c r="DJ134" s="67"/>
    </row>
    <row r="135" spans="5:114" x14ac:dyDescent="0.25">
      <c r="E135" s="67"/>
      <c r="G135" s="67"/>
      <c r="H135" s="67"/>
      <c r="I135" s="67"/>
      <c r="J135" s="67"/>
      <c r="K135" s="67"/>
      <c r="L135" s="67"/>
      <c r="M135" s="67"/>
      <c r="N135" s="67"/>
      <c r="O135" s="67"/>
      <c r="P135" s="67"/>
      <c r="Q135" s="67"/>
      <c r="R135" s="67"/>
      <c r="S135" s="67"/>
      <c r="T135" s="67"/>
      <c r="U135" s="67"/>
      <c r="V135" s="67"/>
      <c r="W135" s="67"/>
      <c r="X135" s="67"/>
      <c r="Y135" s="67"/>
      <c r="Z135" s="67"/>
      <c r="AA135" s="67"/>
      <c r="AB135" s="67"/>
      <c r="AC135" s="67"/>
      <c r="AD135" s="67"/>
      <c r="AE135" s="67"/>
      <c r="AF135" s="67"/>
      <c r="AG135" s="67"/>
      <c r="AH135" s="67"/>
      <c r="AI135" s="67"/>
      <c r="AJ135" s="67"/>
      <c r="AK135" s="67"/>
      <c r="AL135" s="67"/>
      <c r="AM135" s="67"/>
      <c r="AN135" s="67"/>
      <c r="AO135" s="67"/>
      <c r="AP135" s="67"/>
      <c r="AQ135" s="67"/>
      <c r="AR135" s="67"/>
      <c r="AS135" s="67"/>
      <c r="AT135" s="67"/>
      <c r="AU135" s="67"/>
      <c r="AV135" s="67"/>
      <c r="AW135" s="67"/>
      <c r="AX135" s="67"/>
      <c r="AY135" s="67"/>
      <c r="AZ135" s="67"/>
      <c r="BA135" s="67"/>
      <c r="BB135" s="67"/>
      <c r="BC135" s="67"/>
      <c r="BD135" s="67"/>
      <c r="BE135" s="67"/>
      <c r="BF135" s="67"/>
      <c r="BG135" s="67"/>
      <c r="BH135" s="70"/>
      <c r="BJ135" s="67"/>
      <c r="BK135" s="67"/>
      <c r="BL135" s="67"/>
      <c r="BM135" s="67"/>
      <c r="BN135" s="67"/>
      <c r="BO135" s="67"/>
      <c r="BP135" s="67"/>
      <c r="BQ135" s="67"/>
      <c r="BR135" s="67"/>
      <c r="BS135" s="67"/>
      <c r="BT135" s="67"/>
      <c r="BU135" s="67"/>
      <c r="BV135" s="67"/>
      <c r="BW135" s="67"/>
      <c r="BX135" s="67"/>
      <c r="BY135" s="67"/>
      <c r="BZ135" s="67"/>
      <c r="CA135" s="67"/>
      <c r="CB135" s="67"/>
      <c r="CC135" s="67"/>
      <c r="CD135" s="67"/>
      <c r="CE135" s="67"/>
      <c r="CF135" s="67"/>
      <c r="CG135" s="67"/>
      <c r="CH135" s="67"/>
      <c r="CI135" s="67"/>
      <c r="CJ135" s="67"/>
      <c r="CK135" s="67"/>
      <c r="CL135" s="67"/>
      <c r="CM135" s="67"/>
      <c r="CN135" s="67"/>
      <c r="CO135" s="67"/>
      <c r="CP135" s="67"/>
      <c r="CQ135" s="67"/>
      <c r="CR135" s="67"/>
      <c r="CS135" s="67"/>
      <c r="CT135" s="67"/>
      <c r="CU135" s="67"/>
      <c r="CV135" s="67"/>
      <c r="CW135" s="67"/>
      <c r="CX135" s="67"/>
      <c r="CY135" s="67"/>
      <c r="CZ135" s="67"/>
      <c r="DA135" s="67"/>
      <c r="DB135" s="67"/>
      <c r="DC135" s="67"/>
      <c r="DD135" s="67"/>
      <c r="DE135" s="67"/>
      <c r="DF135" s="67"/>
      <c r="DG135" s="67"/>
      <c r="DH135" s="67"/>
      <c r="DI135" s="67"/>
      <c r="DJ135" s="67"/>
    </row>
    <row r="136" spans="5:114" x14ac:dyDescent="0.25">
      <c r="E136" s="67"/>
      <c r="G136" s="67"/>
      <c r="H136" s="67"/>
      <c r="I136" s="67"/>
      <c r="J136" s="67"/>
      <c r="K136" s="67"/>
      <c r="L136" s="67"/>
      <c r="M136" s="67"/>
      <c r="N136" s="67"/>
      <c r="O136" s="67"/>
      <c r="P136" s="67"/>
      <c r="Q136" s="67"/>
      <c r="R136" s="67"/>
      <c r="S136" s="67"/>
      <c r="T136" s="67"/>
      <c r="U136" s="67"/>
      <c r="V136" s="67"/>
      <c r="W136" s="67"/>
      <c r="X136" s="67"/>
      <c r="Y136" s="67"/>
      <c r="Z136" s="67"/>
      <c r="AA136" s="67"/>
      <c r="AB136" s="67"/>
      <c r="AC136" s="67"/>
      <c r="AD136" s="67"/>
      <c r="AE136" s="67"/>
      <c r="AF136" s="67"/>
      <c r="AG136" s="67"/>
      <c r="AH136" s="67"/>
      <c r="AI136" s="67"/>
      <c r="AJ136" s="67"/>
      <c r="AK136" s="67"/>
      <c r="AL136" s="67"/>
      <c r="AM136" s="67"/>
      <c r="AN136" s="67"/>
      <c r="AO136" s="67"/>
      <c r="AP136" s="67"/>
      <c r="AQ136" s="67"/>
      <c r="AR136" s="67"/>
      <c r="AS136" s="67"/>
      <c r="AT136" s="67"/>
      <c r="AU136" s="67"/>
      <c r="AV136" s="67"/>
      <c r="AW136" s="67"/>
      <c r="AX136" s="67"/>
      <c r="AY136" s="67"/>
      <c r="AZ136" s="67"/>
      <c r="BA136" s="67"/>
      <c r="BB136" s="67"/>
      <c r="BC136" s="67"/>
      <c r="BD136" s="67"/>
      <c r="BE136" s="67"/>
      <c r="BF136" s="67"/>
      <c r="BG136" s="67"/>
      <c r="BH136" s="70"/>
      <c r="BJ136" s="67"/>
      <c r="BK136" s="67"/>
      <c r="BL136" s="67"/>
      <c r="BM136" s="67"/>
      <c r="BN136" s="67"/>
      <c r="BO136" s="67"/>
      <c r="BP136" s="67"/>
      <c r="BQ136" s="67"/>
      <c r="BR136" s="67"/>
      <c r="BS136" s="67"/>
      <c r="BT136" s="67"/>
      <c r="BU136" s="67"/>
      <c r="BV136" s="67"/>
      <c r="BW136" s="67"/>
      <c r="BX136" s="67"/>
      <c r="BY136" s="67"/>
      <c r="BZ136" s="67"/>
      <c r="CA136" s="67"/>
      <c r="CB136" s="67"/>
      <c r="CC136" s="67"/>
      <c r="CD136" s="67"/>
      <c r="CE136" s="67"/>
      <c r="CF136" s="67"/>
      <c r="CG136" s="67"/>
      <c r="CH136" s="67"/>
      <c r="CI136" s="67"/>
      <c r="CJ136" s="67"/>
      <c r="CK136" s="67"/>
      <c r="CL136" s="67"/>
      <c r="CM136" s="67"/>
      <c r="CN136" s="67"/>
      <c r="CO136" s="67"/>
      <c r="CP136" s="67"/>
      <c r="CQ136" s="67"/>
      <c r="CR136" s="67"/>
      <c r="CS136" s="67"/>
      <c r="CT136" s="67"/>
      <c r="CU136" s="67"/>
      <c r="CV136" s="67"/>
      <c r="CW136" s="67"/>
      <c r="CX136" s="67"/>
      <c r="CY136" s="67"/>
      <c r="CZ136" s="67"/>
      <c r="DA136" s="67"/>
      <c r="DB136" s="67"/>
      <c r="DC136" s="67"/>
      <c r="DD136" s="67"/>
      <c r="DE136" s="67"/>
      <c r="DF136" s="67"/>
      <c r="DG136" s="67"/>
      <c r="DH136" s="67"/>
      <c r="DI136" s="67"/>
      <c r="DJ136" s="67"/>
    </row>
    <row r="137" spans="5:114" x14ac:dyDescent="0.25">
      <c r="E137" s="67"/>
      <c r="G137" s="67"/>
      <c r="H137" s="67"/>
      <c r="I137" s="67"/>
      <c r="J137" s="67"/>
      <c r="K137" s="67"/>
      <c r="L137" s="67"/>
      <c r="M137" s="67"/>
      <c r="N137" s="67"/>
      <c r="O137" s="67"/>
      <c r="P137" s="67"/>
      <c r="Q137" s="67"/>
      <c r="R137" s="67"/>
      <c r="S137" s="67"/>
      <c r="T137" s="67"/>
      <c r="U137" s="67"/>
      <c r="V137" s="67"/>
      <c r="W137" s="67"/>
      <c r="X137" s="67"/>
      <c r="Y137" s="67"/>
      <c r="Z137" s="67"/>
      <c r="AA137" s="67"/>
      <c r="AB137" s="67"/>
      <c r="AC137" s="67"/>
      <c r="AD137" s="67"/>
      <c r="AE137" s="67"/>
      <c r="AF137" s="67"/>
      <c r="AG137" s="67"/>
      <c r="AH137" s="67"/>
      <c r="AI137" s="67"/>
      <c r="AJ137" s="67"/>
      <c r="AK137" s="67"/>
      <c r="AL137" s="67"/>
      <c r="AM137" s="67"/>
      <c r="AN137" s="67"/>
      <c r="AO137" s="67"/>
      <c r="AP137" s="67"/>
      <c r="AQ137" s="67"/>
      <c r="AR137" s="67"/>
      <c r="AS137" s="67"/>
      <c r="AT137" s="67"/>
      <c r="AU137" s="67"/>
      <c r="AV137" s="67"/>
      <c r="AW137" s="67"/>
      <c r="AX137" s="67"/>
      <c r="AY137" s="67"/>
      <c r="AZ137" s="67"/>
      <c r="BA137" s="67"/>
      <c r="BB137" s="67"/>
      <c r="BC137" s="67"/>
      <c r="BD137" s="67"/>
      <c r="BE137" s="67"/>
      <c r="BF137" s="67"/>
      <c r="BG137" s="67"/>
      <c r="BH137" s="70"/>
      <c r="BJ137" s="67"/>
      <c r="BK137" s="67"/>
      <c r="BL137" s="67"/>
      <c r="BM137" s="67"/>
      <c r="BN137" s="67"/>
      <c r="BO137" s="67"/>
      <c r="BP137" s="67"/>
      <c r="BQ137" s="67"/>
      <c r="BR137" s="67"/>
      <c r="BS137" s="67"/>
      <c r="BT137" s="67"/>
      <c r="BU137" s="67"/>
      <c r="BV137" s="67"/>
      <c r="BW137" s="67"/>
      <c r="BX137" s="67"/>
      <c r="BY137" s="67"/>
      <c r="BZ137" s="67"/>
      <c r="CA137" s="67"/>
      <c r="CB137" s="67"/>
      <c r="CC137" s="67"/>
      <c r="CD137" s="67"/>
      <c r="CE137" s="67"/>
      <c r="CF137" s="67"/>
      <c r="CG137" s="67"/>
      <c r="CH137" s="67"/>
      <c r="CI137" s="67"/>
      <c r="CJ137" s="67"/>
      <c r="CK137" s="67"/>
      <c r="CL137" s="67"/>
      <c r="CM137" s="67"/>
      <c r="CN137" s="67"/>
      <c r="CO137" s="67"/>
      <c r="CP137" s="67"/>
      <c r="CQ137" s="67"/>
      <c r="CR137" s="67"/>
      <c r="CS137" s="67"/>
      <c r="CT137" s="67"/>
      <c r="CU137" s="67"/>
      <c r="CV137" s="67"/>
      <c r="CW137" s="67"/>
      <c r="CX137" s="67"/>
      <c r="CY137" s="67"/>
      <c r="CZ137" s="67"/>
      <c r="DA137" s="67"/>
      <c r="DB137" s="67"/>
      <c r="DC137" s="67"/>
      <c r="DD137" s="67"/>
      <c r="DE137" s="67"/>
      <c r="DF137" s="67"/>
      <c r="DG137" s="67"/>
      <c r="DH137" s="67"/>
      <c r="DI137" s="67"/>
      <c r="DJ137" s="67"/>
    </row>
    <row r="138" spans="5:114" x14ac:dyDescent="0.25">
      <c r="E138" s="67"/>
      <c r="G138" s="67"/>
      <c r="H138" s="67"/>
      <c r="I138" s="67"/>
      <c r="J138" s="67"/>
      <c r="K138" s="67"/>
      <c r="L138" s="67"/>
      <c r="M138" s="67"/>
      <c r="N138" s="67"/>
      <c r="O138" s="67"/>
      <c r="P138" s="67"/>
      <c r="Q138" s="67"/>
      <c r="R138" s="67"/>
      <c r="S138" s="67"/>
      <c r="T138" s="67"/>
      <c r="U138" s="67"/>
      <c r="V138" s="67"/>
      <c r="W138" s="67"/>
      <c r="X138" s="67"/>
      <c r="Y138" s="67"/>
      <c r="Z138" s="67"/>
      <c r="AA138" s="67"/>
      <c r="AB138" s="67"/>
      <c r="AC138" s="67"/>
      <c r="AD138" s="67"/>
      <c r="AE138" s="67"/>
      <c r="AF138" s="67"/>
      <c r="AG138" s="67"/>
      <c r="AH138" s="67"/>
      <c r="AI138" s="67"/>
      <c r="AJ138" s="67"/>
      <c r="AK138" s="67"/>
      <c r="AL138" s="67"/>
      <c r="AM138" s="67"/>
      <c r="AN138" s="67"/>
      <c r="AO138" s="67"/>
      <c r="AP138" s="67"/>
      <c r="AQ138" s="67"/>
      <c r="AR138" s="67"/>
      <c r="AS138" s="67"/>
      <c r="AT138" s="67"/>
      <c r="AU138" s="67"/>
      <c r="AV138" s="67"/>
      <c r="AW138" s="67"/>
      <c r="AX138" s="67"/>
      <c r="AY138" s="67"/>
      <c r="AZ138" s="67"/>
      <c r="BA138" s="67"/>
      <c r="BB138" s="67"/>
      <c r="BC138" s="67"/>
      <c r="BD138" s="67"/>
      <c r="BE138" s="67"/>
      <c r="BF138" s="67"/>
      <c r="BG138" s="67"/>
      <c r="BH138" s="70"/>
      <c r="BJ138" s="67"/>
      <c r="BK138" s="67"/>
      <c r="BL138" s="67"/>
      <c r="BM138" s="67"/>
      <c r="BN138" s="67"/>
      <c r="BO138" s="67"/>
      <c r="BP138" s="67"/>
      <c r="BQ138" s="67"/>
      <c r="BR138" s="67"/>
      <c r="BS138" s="67"/>
      <c r="BT138" s="67"/>
      <c r="BU138" s="67"/>
      <c r="BV138" s="67"/>
      <c r="BW138" s="67"/>
      <c r="BX138" s="67"/>
      <c r="BY138" s="67"/>
      <c r="BZ138" s="67"/>
      <c r="CA138" s="67"/>
      <c r="CB138" s="67"/>
      <c r="CC138" s="67"/>
      <c r="CD138" s="67"/>
      <c r="CE138" s="67"/>
      <c r="CF138" s="67"/>
      <c r="CG138" s="67"/>
      <c r="CH138" s="67"/>
      <c r="CI138" s="67"/>
      <c r="CJ138" s="67"/>
      <c r="CK138" s="67"/>
      <c r="CL138" s="67"/>
      <c r="CM138" s="67"/>
      <c r="CN138" s="67"/>
      <c r="CO138" s="67"/>
      <c r="CP138" s="67"/>
      <c r="CQ138" s="67"/>
      <c r="CR138" s="67"/>
      <c r="CS138" s="67"/>
      <c r="CT138" s="67"/>
      <c r="CU138" s="67"/>
      <c r="CV138" s="67"/>
      <c r="CW138" s="67"/>
      <c r="CX138" s="67"/>
      <c r="CY138" s="67"/>
      <c r="CZ138" s="67"/>
      <c r="DA138" s="67"/>
      <c r="DB138" s="67"/>
      <c r="DC138" s="67"/>
      <c r="DD138" s="67"/>
      <c r="DE138" s="67"/>
      <c r="DF138" s="67"/>
      <c r="DG138" s="67"/>
      <c r="DH138" s="67"/>
      <c r="DI138" s="67"/>
      <c r="DJ138" s="67"/>
    </row>
    <row r="139" spans="5:114" x14ac:dyDescent="0.25">
      <c r="E139" s="67"/>
      <c r="G139" s="67"/>
      <c r="H139" s="67"/>
      <c r="I139" s="67"/>
      <c r="J139" s="67"/>
      <c r="K139" s="67"/>
      <c r="L139" s="67"/>
      <c r="M139" s="67"/>
      <c r="N139" s="67"/>
      <c r="O139" s="67"/>
      <c r="P139" s="67"/>
      <c r="Q139" s="67"/>
      <c r="R139" s="67"/>
      <c r="S139" s="67"/>
      <c r="T139" s="67"/>
      <c r="U139" s="67"/>
      <c r="V139" s="67"/>
      <c r="W139" s="67"/>
      <c r="X139" s="67"/>
      <c r="Y139" s="67"/>
      <c r="Z139" s="67"/>
      <c r="AA139" s="67"/>
      <c r="AB139" s="67"/>
      <c r="AC139" s="67"/>
      <c r="AD139" s="67"/>
      <c r="AE139" s="67"/>
      <c r="AF139" s="67"/>
      <c r="AG139" s="67"/>
      <c r="AH139" s="67"/>
      <c r="AI139" s="67"/>
      <c r="AJ139" s="67"/>
      <c r="AK139" s="67"/>
      <c r="AL139" s="67"/>
      <c r="AM139" s="67"/>
      <c r="AN139" s="67"/>
      <c r="AO139" s="67"/>
      <c r="AP139" s="67"/>
      <c r="AQ139" s="67"/>
      <c r="AR139" s="67"/>
      <c r="AS139" s="67"/>
      <c r="AT139" s="67"/>
      <c r="AU139" s="67"/>
      <c r="AV139" s="67"/>
      <c r="AW139" s="67"/>
      <c r="AX139" s="67"/>
      <c r="AY139" s="67"/>
      <c r="AZ139" s="67"/>
      <c r="BA139" s="67"/>
      <c r="BB139" s="67"/>
      <c r="BC139" s="67"/>
      <c r="BD139" s="67"/>
      <c r="BE139" s="67"/>
      <c r="BF139" s="67"/>
      <c r="BG139" s="67"/>
      <c r="BH139" s="70"/>
      <c r="BJ139" s="67"/>
      <c r="BK139" s="67"/>
      <c r="BL139" s="67"/>
      <c r="BM139" s="67"/>
      <c r="BN139" s="67"/>
      <c r="BO139" s="67"/>
      <c r="BP139" s="67"/>
      <c r="BQ139" s="67"/>
      <c r="BR139" s="67"/>
      <c r="BS139" s="67"/>
      <c r="BT139" s="67"/>
      <c r="BU139" s="67"/>
      <c r="BV139" s="67"/>
      <c r="BW139" s="67"/>
      <c r="BX139" s="67"/>
      <c r="BY139" s="67"/>
      <c r="BZ139" s="67"/>
      <c r="CA139" s="67"/>
      <c r="CB139" s="67"/>
      <c r="CC139" s="67"/>
      <c r="CD139" s="67"/>
      <c r="CE139" s="67"/>
      <c r="CF139" s="67"/>
      <c r="CG139" s="67"/>
      <c r="CH139" s="67"/>
      <c r="CI139" s="67"/>
      <c r="CJ139" s="67"/>
      <c r="CK139" s="67"/>
      <c r="CL139" s="67"/>
      <c r="CM139" s="67"/>
      <c r="CN139" s="67"/>
      <c r="CO139" s="67"/>
      <c r="CP139" s="67"/>
      <c r="CQ139" s="67"/>
      <c r="CR139" s="67"/>
      <c r="CS139" s="67"/>
      <c r="CT139" s="67"/>
      <c r="CU139" s="67"/>
      <c r="CV139" s="67"/>
      <c r="CW139" s="67"/>
      <c r="CX139" s="67"/>
      <c r="CY139" s="67"/>
      <c r="CZ139" s="67"/>
      <c r="DA139" s="67"/>
      <c r="DB139" s="67"/>
      <c r="DC139" s="67"/>
      <c r="DD139" s="67"/>
      <c r="DE139" s="67"/>
      <c r="DF139" s="67"/>
      <c r="DG139" s="67"/>
      <c r="DH139" s="67"/>
      <c r="DI139" s="67"/>
      <c r="DJ139" s="67"/>
    </row>
    <row r="140" spans="5:114" x14ac:dyDescent="0.25">
      <c r="E140" s="67"/>
      <c r="G140" s="67"/>
      <c r="H140" s="67"/>
      <c r="I140" s="67"/>
      <c r="J140" s="67"/>
      <c r="K140" s="67"/>
      <c r="L140" s="67"/>
      <c r="M140" s="67"/>
      <c r="N140" s="67"/>
      <c r="O140" s="67"/>
      <c r="P140" s="67"/>
      <c r="Q140" s="67"/>
      <c r="R140" s="67"/>
      <c r="S140" s="67"/>
      <c r="T140" s="67"/>
      <c r="U140" s="67"/>
      <c r="V140" s="67"/>
      <c r="W140" s="67"/>
      <c r="X140" s="67"/>
      <c r="Y140" s="67"/>
      <c r="Z140" s="67"/>
      <c r="AA140" s="67"/>
      <c r="AB140" s="67"/>
      <c r="AC140" s="67"/>
      <c r="AD140" s="67"/>
      <c r="AE140" s="67"/>
      <c r="AF140" s="67"/>
      <c r="AG140" s="67"/>
      <c r="AH140" s="67"/>
      <c r="AI140" s="67"/>
      <c r="AJ140" s="67"/>
      <c r="AK140" s="67"/>
      <c r="AL140" s="67"/>
      <c r="AM140" s="67"/>
      <c r="AN140" s="67"/>
      <c r="AO140" s="67"/>
      <c r="AP140" s="67"/>
      <c r="AQ140" s="67"/>
      <c r="AR140" s="67"/>
      <c r="AS140" s="67"/>
      <c r="AT140" s="67"/>
      <c r="AU140" s="67"/>
      <c r="AV140" s="67"/>
      <c r="AW140" s="67"/>
      <c r="AX140" s="67"/>
      <c r="AY140" s="67"/>
      <c r="AZ140" s="67"/>
      <c r="BA140" s="67"/>
      <c r="BB140" s="67"/>
      <c r="BC140" s="67"/>
      <c r="BD140" s="67"/>
      <c r="BE140" s="67"/>
      <c r="BF140" s="67"/>
      <c r="BG140" s="67"/>
      <c r="BH140" s="70"/>
      <c r="BJ140" s="67"/>
      <c r="BK140" s="67"/>
      <c r="BL140" s="67"/>
      <c r="BM140" s="67"/>
      <c r="BN140" s="67"/>
      <c r="BO140" s="67"/>
      <c r="BP140" s="67"/>
      <c r="BQ140" s="67"/>
      <c r="BR140" s="67"/>
      <c r="BS140" s="67"/>
      <c r="BT140" s="67"/>
      <c r="BU140" s="67"/>
      <c r="BV140" s="67"/>
      <c r="BW140" s="67"/>
      <c r="BX140" s="67"/>
      <c r="BY140" s="67"/>
      <c r="BZ140" s="67"/>
      <c r="CA140" s="67"/>
      <c r="CB140" s="67"/>
      <c r="CC140" s="67"/>
      <c r="CD140" s="67"/>
      <c r="CE140" s="67"/>
      <c r="CF140" s="67"/>
      <c r="CG140" s="67"/>
      <c r="CH140" s="67"/>
      <c r="CI140" s="67"/>
      <c r="CJ140" s="67"/>
      <c r="CK140" s="67"/>
      <c r="CL140" s="67"/>
      <c r="CM140" s="67"/>
      <c r="CN140" s="67"/>
      <c r="CO140" s="67"/>
      <c r="CP140" s="67"/>
      <c r="CQ140" s="67"/>
      <c r="CR140" s="67"/>
      <c r="CS140" s="67"/>
      <c r="CT140" s="67"/>
      <c r="CU140" s="67"/>
      <c r="CV140" s="67"/>
      <c r="CW140" s="67"/>
      <c r="CX140" s="67"/>
      <c r="CY140" s="67"/>
      <c r="CZ140" s="67"/>
      <c r="DA140" s="67"/>
      <c r="DB140" s="67"/>
      <c r="DC140" s="67"/>
      <c r="DD140" s="67"/>
      <c r="DE140" s="67"/>
      <c r="DF140" s="67"/>
      <c r="DG140" s="67"/>
      <c r="DH140" s="67"/>
      <c r="DI140" s="67"/>
      <c r="DJ140" s="67"/>
    </row>
    <row r="141" spans="5:114" x14ac:dyDescent="0.25">
      <c r="E141" s="67"/>
      <c r="G141" s="67"/>
      <c r="H141" s="67"/>
      <c r="I141" s="67"/>
      <c r="J141" s="67"/>
      <c r="K141" s="67"/>
      <c r="L141" s="67"/>
      <c r="M141" s="67"/>
      <c r="N141" s="67"/>
      <c r="O141" s="67"/>
      <c r="P141" s="67"/>
      <c r="Q141" s="67"/>
      <c r="R141" s="67"/>
      <c r="S141" s="67"/>
      <c r="T141" s="67"/>
      <c r="U141" s="67"/>
      <c r="V141" s="67"/>
      <c r="W141" s="67"/>
      <c r="X141" s="67"/>
      <c r="Y141" s="67"/>
      <c r="Z141" s="67"/>
      <c r="AA141" s="67"/>
      <c r="AB141" s="67"/>
      <c r="AC141" s="67"/>
      <c r="AD141" s="67"/>
      <c r="AE141" s="67"/>
      <c r="AF141" s="67"/>
      <c r="AG141" s="67"/>
      <c r="AH141" s="67"/>
      <c r="AI141" s="67"/>
      <c r="AJ141" s="67"/>
      <c r="AK141" s="67"/>
      <c r="AL141" s="67"/>
      <c r="AM141" s="67"/>
      <c r="AN141" s="67"/>
      <c r="AO141" s="67"/>
      <c r="AP141" s="67"/>
      <c r="AQ141" s="67"/>
      <c r="AR141" s="67"/>
      <c r="AS141" s="67"/>
      <c r="AT141" s="67"/>
      <c r="AU141" s="67"/>
      <c r="AV141" s="67"/>
      <c r="AW141" s="67"/>
      <c r="AX141" s="67"/>
      <c r="AY141" s="67"/>
      <c r="AZ141" s="67"/>
      <c r="BA141" s="67"/>
      <c r="BB141" s="67"/>
      <c r="BC141" s="67"/>
      <c r="BD141" s="67"/>
      <c r="BE141" s="67"/>
      <c r="BF141" s="67"/>
      <c r="BG141" s="67"/>
      <c r="BH141" s="70"/>
      <c r="BJ141" s="67"/>
      <c r="BK141" s="67"/>
      <c r="BL141" s="67"/>
      <c r="BM141" s="67"/>
      <c r="BN141" s="67"/>
      <c r="BO141" s="67"/>
      <c r="BP141" s="67"/>
      <c r="BQ141" s="67"/>
      <c r="BR141" s="67"/>
      <c r="BS141" s="67"/>
      <c r="BT141" s="67"/>
      <c r="BU141" s="67"/>
      <c r="BV141" s="67"/>
      <c r="BW141" s="67"/>
      <c r="BX141" s="67"/>
      <c r="BY141" s="67"/>
      <c r="BZ141" s="67"/>
      <c r="CA141" s="67"/>
      <c r="CB141" s="67"/>
      <c r="CC141" s="67"/>
      <c r="CD141" s="67"/>
      <c r="CE141" s="67"/>
      <c r="CF141" s="67"/>
      <c r="CG141" s="67"/>
      <c r="CH141" s="67"/>
      <c r="CI141" s="67"/>
      <c r="CJ141" s="67"/>
      <c r="CK141" s="67"/>
      <c r="CL141" s="67"/>
      <c r="CM141" s="67"/>
      <c r="CN141" s="67"/>
      <c r="CO141" s="67"/>
      <c r="CP141" s="67"/>
      <c r="CQ141" s="67"/>
      <c r="CR141" s="67"/>
      <c r="CS141" s="67"/>
      <c r="CT141" s="67"/>
      <c r="CU141" s="67"/>
      <c r="CV141" s="67"/>
      <c r="CW141" s="67"/>
      <c r="CX141" s="67"/>
      <c r="CY141" s="67"/>
      <c r="CZ141" s="67"/>
      <c r="DA141" s="67"/>
      <c r="DB141" s="67"/>
      <c r="DC141" s="67"/>
      <c r="DD141" s="67"/>
      <c r="DE141" s="67"/>
      <c r="DF141" s="67"/>
      <c r="DG141" s="67"/>
      <c r="DH141" s="67"/>
      <c r="DI141" s="67"/>
      <c r="DJ141" s="67"/>
    </row>
    <row r="142" spans="5:114" x14ac:dyDescent="0.25">
      <c r="E142" s="67"/>
      <c r="G142" s="67"/>
      <c r="H142" s="67"/>
      <c r="I142" s="67"/>
      <c r="J142" s="67"/>
      <c r="K142" s="67"/>
      <c r="L142" s="67"/>
      <c r="M142" s="67"/>
      <c r="N142" s="67"/>
      <c r="O142" s="67"/>
      <c r="P142" s="67"/>
      <c r="Q142" s="67"/>
      <c r="R142" s="67"/>
      <c r="S142" s="67"/>
      <c r="T142" s="67"/>
      <c r="U142" s="67"/>
      <c r="V142" s="67"/>
      <c r="W142" s="67"/>
      <c r="X142" s="67"/>
      <c r="Y142" s="67"/>
      <c r="Z142" s="67"/>
      <c r="AA142" s="67"/>
      <c r="AB142" s="67"/>
      <c r="AC142" s="67"/>
      <c r="AD142" s="67"/>
      <c r="AE142" s="67"/>
      <c r="AF142" s="67"/>
      <c r="AG142" s="67"/>
      <c r="AH142" s="67"/>
      <c r="AI142" s="67"/>
      <c r="AJ142" s="67"/>
      <c r="AK142" s="67"/>
      <c r="AL142" s="67"/>
      <c r="AM142" s="67"/>
      <c r="AN142" s="67"/>
      <c r="AO142" s="67"/>
      <c r="AP142" s="67"/>
      <c r="AQ142" s="67"/>
      <c r="AR142" s="67"/>
      <c r="AS142" s="67"/>
      <c r="AT142" s="67"/>
      <c r="AU142" s="67"/>
      <c r="AV142" s="67"/>
      <c r="AW142" s="67"/>
      <c r="AX142" s="67"/>
      <c r="AY142" s="67"/>
      <c r="AZ142" s="67"/>
      <c r="BA142" s="67"/>
      <c r="BB142" s="67"/>
      <c r="BC142" s="67"/>
      <c r="BD142" s="67"/>
      <c r="BE142" s="67"/>
      <c r="BF142" s="67"/>
      <c r="BG142" s="67"/>
      <c r="BH142" s="70"/>
      <c r="BJ142" s="67"/>
      <c r="BK142" s="67"/>
      <c r="BL142" s="67"/>
      <c r="BM142" s="67"/>
      <c r="BN142" s="67"/>
      <c r="BO142" s="67"/>
      <c r="BP142" s="67"/>
      <c r="BQ142" s="67"/>
      <c r="BR142" s="67"/>
      <c r="BS142" s="67"/>
      <c r="BT142" s="67"/>
      <c r="BU142" s="67"/>
      <c r="BV142" s="67"/>
      <c r="BW142" s="67"/>
      <c r="BX142" s="67"/>
      <c r="BY142" s="67"/>
      <c r="BZ142" s="67"/>
      <c r="CA142" s="67"/>
      <c r="CB142" s="67"/>
      <c r="CC142" s="67"/>
      <c r="CD142" s="67"/>
      <c r="CE142" s="67"/>
      <c r="CF142" s="67"/>
      <c r="CG142" s="67"/>
      <c r="CH142" s="67"/>
      <c r="CI142" s="67"/>
      <c r="CJ142" s="67"/>
      <c r="CK142" s="67"/>
      <c r="CL142" s="67"/>
      <c r="CM142" s="67"/>
      <c r="CN142" s="67"/>
      <c r="CO142" s="67"/>
      <c r="CP142" s="67"/>
      <c r="CQ142" s="67"/>
      <c r="CR142" s="67"/>
      <c r="CS142" s="67"/>
      <c r="CT142" s="67"/>
      <c r="CU142" s="67"/>
      <c r="CV142" s="67"/>
      <c r="CW142" s="67"/>
      <c r="CX142" s="67"/>
      <c r="CY142" s="67"/>
      <c r="CZ142" s="67"/>
      <c r="DA142" s="67"/>
      <c r="DB142" s="67"/>
      <c r="DC142" s="67"/>
      <c r="DD142" s="67"/>
      <c r="DE142" s="67"/>
      <c r="DF142" s="67"/>
      <c r="DG142" s="67"/>
      <c r="DH142" s="67"/>
      <c r="DI142" s="67"/>
      <c r="DJ142" s="67"/>
    </row>
    <row r="143" spans="5:114" x14ac:dyDescent="0.25">
      <c r="E143" s="67"/>
      <c r="G143" s="67"/>
      <c r="H143" s="67"/>
      <c r="I143" s="67"/>
      <c r="J143" s="67"/>
      <c r="K143" s="67"/>
      <c r="L143" s="67"/>
      <c r="M143" s="67"/>
      <c r="N143" s="67"/>
      <c r="O143" s="67"/>
      <c r="P143" s="67"/>
      <c r="Q143" s="67"/>
      <c r="R143" s="67"/>
      <c r="S143" s="67"/>
      <c r="T143" s="67"/>
      <c r="U143" s="67"/>
      <c r="V143" s="67"/>
      <c r="W143" s="67"/>
      <c r="X143" s="67"/>
      <c r="Y143" s="67"/>
      <c r="Z143" s="67"/>
      <c r="AA143" s="67"/>
      <c r="AB143" s="67"/>
      <c r="AC143" s="67"/>
      <c r="AD143" s="67"/>
      <c r="AE143" s="67"/>
      <c r="AF143" s="67"/>
      <c r="AG143" s="67"/>
      <c r="AH143" s="67"/>
      <c r="AI143" s="67"/>
      <c r="AJ143" s="67"/>
      <c r="AK143" s="67"/>
      <c r="AL143" s="67"/>
      <c r="AM143" s="67"/>
      <c r="AN143" s="67"/>
      <c r="AO143" s="67"/>
      <c r="AP143" s="67"/>
      <c r="AQ143" s="67"/>
      <c r="AR143" s="67"/>
      <c r="AS143" s="67"/>
      <c r="AT143" s="67"/>
      <c r="AU143" s="67"/>
      <c r="AV143" s="67"/>
      <c r="AW143" s="67"/>
      <c r="AX143" s="67"/>
      <c r="AY143" s="67"/>
      <c r="AZ143" s="67"/>
      <c r="BA143" s="67"/>
      <c r="BB143" s="67"/>
      <c r="BC143" s="67"/>
      <c r="BD143" s="67"/>
      <c r="BE143" s="67"/>
      <c r="BF143" s="67"/>
      <c r="BG143" s="67"/>
      <c r="BH143" s="70"/>
      <c r="BJ143" s="67"/>
      <c r="BK143" s="67"/>
      <c r="BL143" s="67"/>
      <c r="BM143" s="67"/>
      <c r="BN143" s="67"/>
      <c r="BO143" s="67"/>
      <c r="BP143" s="67"/>
      <c r="BQ143" s="67"/>
      <c r="BR143" s="67"/>
      <c r="BS143" s="67"/>
      <c r="BT143" s="67"/>
      <c r="BU143" s="67"/>
      <c r="BV143" s="67"/>
      <c r="BW143" s="67"/>
      <c r="BX143" s="67"/>
      <c r="BY143" s="67"/>
      <c r="BZ143" s="67"/>
      <c r="CA143" s="67"/>
      <c r="CB143" s="67"/>
      <c r="CC143" s="67"/>
      <c r="CD143" s="67"/>
      <c r="CE143" s="67"/>
      <c r="CF143" s="67"/>
      <c r="CG143" s="67"/>
      <c r="CH143" s="67"/>
      <c r="CI143" s="67"/>
      <c r="CJ143" s="67"/>
      <c r="CK143" s="67"/>
      <c r="CL143" s="67"/>
      <c r="CM143" s="67"/>
      <c r="CN143" s="67"/>
      <c r="CO143" s="67"/>
      <c r="CP143" s="67"/>
      <c r="CQ143" s="67"/>
      <c r="CR143" s="67"/>
      <c r="CS143" s="67"/>
      <c r="CT143" s="67"/>
      <c r="CU143" s="67"/>
      <c r="CV143" s="67"/>
      <c r="CW143" s="67"/>
      <c r="CX143" s="67"/>
      <c r="CY143" s="67"/>
      <c r="CZ143" s="67"/>
      <c r="DA143" s="67"/>
      <c r="DB143" s="67"/>
      <c r="DC143" s="67"/>
      <c r="DD143" s="67"/>
      <c r="DE143" s="67"/>
      <c r="DF143" s="67"/>
      <c r="DG143" s="67"/>
      <c r="DH143" s="67"/>
      <c r="DI143" s="67"/>
      <c r="DJ143" s="67"/>
    </row>
    <row r="144" spans="5:114" x14ac:dyDescent="0.25">
      <c r="E144" s="67"/>
      <c r="G144" s="67"/>
      <c r="H144" s="67"/>
      <c r="I144" s="67"/>
      <c r="J144" s="67"/>
      <c r="K144" s="67"/>
      <c r="L144" s="67"/>
      <c r="M144" s="67"/>
      <c r="N144" s="67"/>
      <c r="O144" s="67"/>
      <c r="P144" s="67"/>
      <c r="Q144" s="67"/>
      <c r="R144" s="67"/>
      <c r="S144" s="67"/>
      <c r="T144" s="67"/>
      <c r="U144" s="67"/>
      <c r="V144" s="67"/>
      <c r="W144" s="67"/>
      <c r="X144" s="67"/>
      <c r="Y144" s="67"/>
      <c r="Z144" s="67"/>
      <c r="AA144" s="67"/>
      <c r="AB144" s="67"/>
      <c r="AC144" s="67"/>
      <c r="AD144" s="67"/>
      <c r="AE144" s="67"/>
      <c r="AF144" s="67"/>
      <c r="AG144" s="67"/>
      <c r="AH144" s="67"/>
      <c r="AI144" s="67"/>
      <c r="AJ144" s="67"/>
      <c r="AK144" s="67"/>
      <c r="AL144" s="67"/>
      <c r="AM144" s="67"/>
      <c r="AN144" s="67"/>
      <c r="AO144" s="67"/>
      <c r="AP144" s="67"/>
      <c r="AQ144" s="67"/>
      <c r="AR144" s="67"/>
      <c r="AS144" s="67"/>
      <c r="AT144" s="67"/>
      <c r="AU144" s="67"/>
      <c r="AV144" s="67"/>
      <c r="AW144" s="67"/>
      <c r="AX144" s="67"/>
      <c r="AY144" s="67"/>
      <c r="AZ144" s="67"/>
      <c r="BA144" s="67"/>
      <c r="BB144" s="67"/>
      <c r="BC144" s="67"/>
      <c r="BD144" s="67"/>
      <c r="BE144" s="67"/>
      <c r="BF144" s="67"/>
      <c r="BG144" s="67"/>
      <c r="BH144" s="70"/>
      <c r="BJ144" s="67"/>
      <c r="BK144" s="67"/>
      <c r="BL144" s="67"/>
      <c r="BM144" s="67"/>
      <c r="BN144" s="67"/>
      <c r="BO144" s="67"/>
      <c r="BP144" s="67"/>
      <c r="BQ144" s="67"/>
      <c r="BR144" s="67"/>
      <c r="BS144" s="67"/>
      <c r="BT144" s="67"/>
      <c r="BU144" s="67"/>
      <c r="BV144" s="67"/>
      <c r="BW144" s="67"/>
      <c r="BX144" s="67"/>
      <c r="BY144" s="67"/>
      <c r="BZ144" s="67"/>
      <c r="CA144" s="67"/>
      <c r="CB144" s="67"/>
      <c r="CC144" s="67"/>
      <c r="CD144" s="67"/>
      <c r="CE144" s="67"/>
      <c r="CF144" s="67"/>
      <c r="CG144" s="67"/>
      <c r="CH144" s="67"/>
      <c r="CI144" s="67"/>
      <c r="CJ144" s="67"/>
      <c r="CK144" s="67"/>
      <c r="CL144" s="67"/>
      <c r="CM144" s="67"/>
      <c r="CN144" s="67"/>
      <c r="CO144" s="67"/>
      <c r="CP144" s="67"/>
      <c r="CQ144" s="67"/>
      <c r="CR144" s="67"/>
      <c r="CS144" s="67"/>
      <c r="CT144" s="67"/>
      <c r="CU144" s="67"/>
      <c r="CV144" s="67"/>
      <c r="CW144" s="67"/>
      <c r="CX144" s="67"/>
      <c r="CY144" s="67"/>
      <c r="CZ144" s="67"/>
      <c r="DA144" s="67"/>
      <c r="DB144" s="67"/>
      <c r="DC144" s="67"/>
      <c r="DD144" s="67"/>
      <c r="DE144" s="67"/>
      <c r="DF144" s="67"/>
      <c r="DG144" s="67"/>
      <c r="DH144" s="67"/>
      <c r="DI144" s="67"/>
      <c r="DJ144" s="67"/>
    </row>
    <row r="145" spans="5:114" x14ac:dyDescent="0.25">
      <c r="E145" s="67"/>
      <c r="G145" s="67"/>
      <c r="H145" s="67"/>
      <c r="I145" s="67"/>
      <c r="J145" s="67"/>
      <c r="K145" s="67"/>
      <c r="L145" s="67"/>
      <c r="M145" s="67"/>
      <c r="N145" s="67"/>
      <c r="O145" s="67"/>
      <c r="P145" s="67"/>
      <c r="Q145" s="67"/>
      <c r="R145" s="67"/>
      <c r="S145" s="67"/>
      <c r="T145" s="67"/>
      <c r="U145" s="67"/>
      <c r="V145" s="67"/>
      <c r="W145" s="67"/>
      <c r="X145" s="67"/>
      <c r="Y145" s="67"/>
      <c r="Z145" s="67"/>
      <c r="AA145" s="67"/>
      <c r="AB145" s="67"/>
      <c r="AC145" s="67"/>
      <c r="AD145" s="67"/>
      <c r="AE145" s="67"/>
      <c r="AF145" s="67"/>
      <c r="AG145" s="67"/>
      <c r="AH145" s="67"/>
      <c r="AI145" s="67"/>
      <c r="AJ145" s="67"/>
      <c r="AK145" s="67"/>
      <c r="AL145" s="67"/>
      <c r="AM145" s="67"/>
      <c r="AN145" s="67"/>
      <c r="AO145" s="67"/>
      <c r="AP145" s="67"/>
      <c r="AQ145" s="67"/>
      <c r="AR145" s="67"/>
      <c r="AS145" s="67"/>
      <c r="AT145" s="67"/>
      <c r="AU145" s="67"/>
      <c r="AV145" s="67"/>
      <c r="AW145" s="67"/>
      <c r="AX145" s="67"/>
      <c r="AY145" s="67"/>
      <c r="AZ145" s="67"/>
      <c r="BA145" s="67"/>
      <c r="BB145" s="67"/>
      <c r="BC145" s="67"/>
      <c r="BD145" s="67"/>
      <c r="BE145" s="67"/>
      <c r="BF145" s="67"/>
      <c r="BG145" s="67"/>
      <c r="BH145" s="70"/>
      <c r="BJ145" s="67"/>
      <c r="BK145" s="67"/>
      <c r="BL145" s="67"/>
      <c r="BM145" s="67"/>
      <c r="BN145" s="67"/>
      <c r="BO145" s="67"/>
      <c r="BP145" s="67"/>
      <c r="BQ145" s="67"/>
      <c r="BR145" s="67"/>
      <c r="BS145" s="67"/>
      <c r="BT145" s="67"/>
      <c r="BU145" s="67"/>
      <c r="BV145" s="67"/>
      <c r="BW145" s="67"/>
      <c r="BX145" s="67"/>
      <c r="BY145" s="67"/>
      <c r="BZ145" s="67"/>
      <c r="CA145" s="67"/>
      <c r="CB145" s="67"/>
      <c r="CC145" s="67"/>
      <c r="CD145" s="67"/>
      <c r="CE145" s="67"/>
      <c r="CF145" s="67"/>
      <c r="CG145" s="67"/>
      <c r="CH145" s="67"/>
      <c r="CI145" s="67"/>
      <c r="CJ145" s="67"/>
      <c r="CK145" s="67"/>
      <c r="CL145" s="67"/>
      <c r="CM145" s="67"/>
      <c r="CN145" s="67"/>
      <c r="CO145" s="67"/>
      <c r="CP145" s="67"/>
      <c r="CQ145" s="67"/>
      <c r="CR145" s="67"/>
      <c r="CS145" s="67"/>
      <c r="CT145" s="67"/>
      <c r="CU145" s="67"/>
      <c r="CV145" s="67"/>
      <c r="CW145" s="67"/>
      <c r="CX145" s="67"/>
      <c r="CY145" s="67"/>
      <c r="CZ145" s="67"/>
      <c r="DA145" s="67"/>
      <c r="DB145" s="67"/>
      <c r="DC145" s="67"/>
      <c r="DD145" s="67"/>
      <c r="DE145" s="67"/>
      <c r="DF145" s="67"/>
      <c r="DG145" s="67"/>
      <c r="DH145" s="67"/>
      <c r="DI145" s="67"/>
      <c r="DJ145" s="67"/>
    </row>
    <row r="146" spans="5:114" x14ac:dyDescent="0.25">
      <c r="E146" s="67"/>
      <c r="G146" s="67"/>
      <c r="H146" s="67"/>
      <c r="I146" s="67"/>
      <c r="J146" s="67"/>
      <c r="K146" s="67"/>
      <c r="L146" s="67"/>
      <c r="M146" s="67"/>
      <c r="N146" s="67"/>
      <c r="O146" s="67"/>
      <c r="P146" s="67"/>
      <c r="Q146" s="67"/>
      <c r="R146" s="67"/>
      <c r="S146" s="67"/>
      <c r="T146" s="67"/>
      <c r="U146" s="67"/>
      <c r="V146" s="67"/>
      <c r="W146" s="67"/>
      <c r="X146" s="67"/>
      <c r="Y146" s="67"/>
      <c r="Z146" s="67"/>
      <c r="AA146" s="67"/>
      <c r="AB146" s="67"/>
      <c r="AC146" s="67"/>
      <c r="AD146" s="67"/>
      <c r="AE146" s="67"/>
      <c r="AF146" s="67"/>
      <c r="AG146" s="67"/>
      <c r="AH146" s="67"/>
      <c r="AI146" s="67"/>
      <c r="AJ146" s="67"/>
      <c r="AK146" s="67"/>
      <c r="AL146" s="67"/>
      <c r="AM146" s="67"/>
      <c r="AN146" s="67"/>
      <c r="AO146" s="67"/>
      <c r="AP146" s="67"/>
      <c r="AQ146" s="67"/>
      <c r="AR146" s="67"/>
      <c r="AS146" s="67"/>
      <c r="AT146" s="67"/>
      <c r="AU146" s="67"/>
      <c r="AV146" s="67"/>
      <c r="AW146" s="67"/>
      <c r="AX146" s="67"/>
      <c r="AY146" s="67"/>
      <c r="AZ146" s="67"/>
      <c r="BA146" s="67"/>
      <c r="BB146" s="67"/>
      <c r="BC146" s="67"/>
      <c r="BD146" s="67"/>
      <c r="BE146" s="67"/>
      <c r="BF146" s="67"/>
      <c r="BG146" s="67"/>
      <c r="BH146" s="70"/>
      <c r="BJ146" s="67"/>
      <c r="BK146" s="67"/>
      <c r="BL146" s="67"/>
      <c r="BM146" s="67"/>
      <c r="BN146" s="67"/>
      <c r="BO146" s="67"/>
      <c r="BP146" s="67"/>
      <c r="BQ146" s="67"/>
      <c r="BR146" s="67"/>
      <c r="BS146" s="67"/>
      <c r="BT146" s="67"/>
      <c r="BU146" s="67"/>
      <c r="BV146" s="67"/>
      <c r="BW146" s="67"/>
      <c r="BX146" s="67"/>
      <c r="BY146" s="67"/>
      <c r="BZ146" s="67"/>
      <c r="CA146" s="67"/>
      <c r="CB146" s="67"/>
      <c r="CC146" s="67"/>
      <c r="CD146" s="67"/>
      <c r="CE146" s="67"/>
      <c r="CF146" s="67"/>
      <c r="CG146" s="67"/>
      <c r="CH146" s="67"/>
      <c r="CI146" s="67"/>
      <c r="CJ146" s="67"/>
      <c r="CK146" s="67"/>
      <c r="CL146" s="67"/>
      <c r="CM146" s="67"/>
      <c r="CN146" s="67"/>
      <c r="CO146" s="67"/>
      <c r="CP146" s="67"/>
      <c r="CQ146" s="67"/>
      <c r="CR146" s="67"/>
      <c r="CS146" s="67"/>
      <c r="CT146" s="67"/>
      <c r="CU146" s="67"/>
      <c r="CV146" s="67"/>
      <c r="CW146" s="67"/>
      <c r="CX146" s="67"/>
      <c r="CY146" s="67"/>
      <c r="CZ146" s="67"/>
      <c r="DA146" s="67"/>
      <c r="DB146" s="67"/>
      <c r="DC146" s="67"/>
      <c r="DD146" s="67"/>
      <c r="DE146" s="67"/>
      <c r="DF146" s="67"/>
      <c r="DG146" s="67"/>
      <c r="DH146" s="67"/>
      <c r="DI146" s="67"/>
      <c r="DJ146" s="67"/>
    </row>
    <row r="147" spans="5:114" x14ac:dyDescent="0.25">
      <c r="E147" s="67"/>
      <c r="G147" s="67"/>
      <c r="H147" s="67"/>
      <c r="I147" s="67"/>
      <c r="J147" s="67"/>
      <c r="K147" s="67"/>
      <c r="L147" s="67"/>
      <c r="M147" s="67"/>
      <c r="N147" s="67"/>
      <c r="O147" s="67"/>
      <c r="P147" s="67"/>
      <c r="Q147" s="67"/>
      <c r="R147" s="67"/>
      <c r="S147" s="67"/>
      <c r="T147" s="67"/>
      <c r="U147" s="67"/>
      <c r="V147" s="67"/>
      <c r="W147" s="67"/>
      <c r="X147" s="67"/>
      <c r="Y147" s="67"/>
      <c r="Z147" s="67"/>
      <c r="AA147" s="67"/>
      <c r="AB147" s="67"/>
      <c r="AC147" s="67"/>
      <c r="AD147" s="67"/>
      <c r="AE147" s="67"/>
      <c r="AF147" s="67"/>
      <c r="AG147" s="67"/>
      <c r="AH147" s="67"/>
      <c r="AI147" s="67"/>
      <c r="AJ147" s="67"/>
      <c r="AK147" s="67"/>
      <c r="AL147" s="67"/>
      <c r="AM147" s="67"/>
      <c r="AN147" s="67"/>
      <c r="AO147" s="67"/>
      <c r="AP147" s="67"/>
      <c r="AQ147" s="67"/>
      <c r="AR147" s="67"/>
      <c r="AS147" s="67"/>
      <c r="AT147" s="67"/>
      <c r="AU147" s="67"/>
      <c r="AV147" s="67"/>
      <c r="AW147" s="67"/>
      <c r="AX147" s="67"/>
      <c r="AY147" s="67"/>
      <c r="AZ147" s="67"/>
      <c r="BA147" s="67"/>
      <c r="BB147" s="67"/>
      <c r="BC147" s="67"/>
      <c r="BD147" s="67"/>
      <c r="BE147" s="67"/>
      <c r="BF147" s="67"/>
      <c r="BG147" s="67"/>
      <c r="BH147" s="70"/>
      <c r="BJ147" s="67"/>
      <c r="BK147" s="67"/>
      <c r="BL147" s="67"/>
      <c r="BM147" s="67"/>
      <c r="BN147" s="67"/>
      <c r="BO147" s="67"/>
      <c r="BP147" s="67"/>
      <c r="BQ147" s="67"/>
      <c r="BR147" s="67"/>
      <c r="BS147" s="67"/>
      <c r="BT147" s="67"/>
      <c r="BU147" s="67"/>
      <c r="BV147" s="67"/>
      <c r="BW147" s="67"/>
      <c r="BX147" s="67"/>
      <c r="BY147" s="67"/>
      <c r="BZ147" s="67"/>
      <c r="CA147" s="67"/>
      <c r="CB147" s="67"/>
      <c r="CC147" s="67"/>
      <c r="CD147" s="67"/>
      <c r="CE147" s="67"/>
      <c r="CF147" s="67"/>
      <c r="CG147" s="67"/>
      <c r="CH147" s="67"/>
      <c r="CI147" s="67"/>
      <c r="CJ147" s="67"/>
      <c r="CK147" s="67"/>
      <c r="CL147" s="67"/>
      <c r="CM147" s="67"/>
      <c r="CN147" s="67"/>
      <c r="CO147" s="67"/>
      <c r="CP147" s="67"/>
      <c r="CQ147" s="67"/>
      <c r="CR147" s="67"/>
      <c r="CS147" s="67"/>
      <c r="CT147" s="67"/>
      <c r="CU147" s="67"/>
      <c r="CV147" s="67"/>
      <c r="CW147" s="67"/>
      <c r="CX147" s="67"/>
      <c r="CY147" s="67"/>
      <c r="CZ147" s="67"/>
      <c r="DA147" s="67"/>
      <c r="DB147" s="67"/>
      <c r="DC147" s="67"/>
      <c r="DD147" s="67"/>
      <c r="DE147" s="67"/>
      <c r="DF147" s="67"/>
      <c r="DG147" s="67"/>
      <c r="DH147" s="67"/>
      <c r="DI147" s="67"/>
      <c r="DJ147" s="67"/>
    </row>
    <row r="148" spans="5:114" x14ac:dyDescent="0.25">
      <c r="E148" s="67"/>
      <c r="G148" s="67"/>
      <c r="H148" s="67"/>
      <c r="I148" s="67"/>
      <c r="J148" s="67"/>
      <c r="K148" s="67"/>
      <c r="L148" s="67"/>
      <c r="M148" s="67"/>
      <c r="N148" s="67"/>
      <c r="O148" s="67"/>
      <c r="P148" s="67"/>
      <c r="Q148" s="67"/>
      <c r="R148" s="67"/>
      <c r="S148" s="67"/>
      <c r="T148" s="67"/>
      <c r="U148" s="67"/>
      <c r="V148" s="67"/>
      <c r="W148" s="67"/>
      <c r="X148" s="67"/>
      <c r="Y148" s="67"/>
      <c r="Z148" s="67"/>
      <c r="AA148" s="67"/>
      <c r="AB148" s="67"/>
      <c r="AC148" s="67"/>
      <c r="AD148" s="67"/>
      <c r="AE148" s="67"/>
      <c r="AF148" s="67"/>
      <c r="AG148" s="67"/>
      <c r="AH148" s="67"/>
      <c r="AI148" s="67"/>
      <c r="AJ148" s="67"/>
      <c r="AK148" s="67"/>
      <c r="AL148" s="67"/>
      <c r="AM148" s="67"/>
      <c r="AN148" s="67"/>
      <c r="AO148" s="67"/>
      <c r="AP148" s="67"/>
      <c r="AQ148" s="67"/>
      <c r="AR148" s="67"/>
      <c r="AS148" s="67"/>
      <c r="AT148" s="67"/>
      <c r="AU148" s="67"/>
      <c r="AV148" s="67"/>
      <c r="AW148" s="67"/>
      <c r="AX148" s="67"/>
      <c r="AY148" s="67"/>
      <c r="AZ148" s="67"/>
      <c r="BA148" s="67"/>
      <c r="BB148" s="67"/>
      <c r="BC148" s="67"/>
      <c r="BD148" s="67"/>
      <c r="BE148" s="67"/>
      <c r="BF148" s="67"/>
      <c r="BG148" s="67"/>
      <c r="BH148" s="70"/>
      <c r="BJ148" s="67"/>
      <c r="BK148" s="67"/>
      <c r="BL148" s="67"/>
      <c r="BM148" s="67"/>
      <c r="BN148" s="67"/>
      <c r="BO148" s="67"/>
      <c r="BP148" s="67"/>
      <c r="BQ148" s="67"/>
      <c r="BR148" s="67"/>
      <c r="BS148" s="67"/>
      <c r="BT148" s="67"/>
      <c r="BU148" s="67"/>
      <c r="BV148" s="67"/>
      <c r="BW148" s="67"/>
      <c r="BX148" s="67"/>
      <c r="BY148" s="67"/>
      <c r="BZ148" s="67"/>
      <c r="CA148" s="67"/>
      <c r="CB148" s="67"/>
      <c r="CC148" s="67"/>
      <c r="CD148" s="67"/>
      <c r="CE148" s="67"/>
      <c r="CF148" s="67"/>
      <c r="CG148" s="67"/>
      <c r="CH148" s="67"/>
      <c r="CI148" s="67"/>
      <c r="CJ148" s="67"/>
      <c r="CK148" s="67"/>
      <c r="CL148" s="67"/>
      <c r="CM148" s="67"/>
      <c r="CN148" s="67"/>
      <c r="CO148" s="67"/>
      <c r="CP148" s="67"/>
      <c r="CQ148" s="67"/>
      <c r="CR148" s="67"/>
      <c r="CS148" s="67"/>
      <c r="CT148" s="67"/>
      <c r="CU148" s="67"/>
      <c r="CV148" s="67"/>
      <c r="CW148" s="67"/>
      <c r="CX148" s="67"/>
      <c r="CY148" s="67"/>
      <c r="CZ148" s="67"/>
      <c r="DA148" s="67"/>
      <c r="DB148" s="67"/>
      <c r="DC148" s="67"/>
      <c r="DD148" s="67"/>
      <c r="DE148" s="67"/>
      <c r="DF148" s="67"/>
      <c r="DG148" s="67"/>
      <c r="DH148" s="67"/>
      <c r="DI148" s="67"/>
      <c r="DJ148" s="67"/>
    </row>
    <row r="149" spans="5:114" x14ac:dyDescent="0.25">
      <c r="E149" s="67"/>
      <c r="G149" s="67"/>
      <c r="H149" s="67"/>
      <c r="I149" s="67"/>
      <c r="J149" s="67"/>
      <c r="K149" s="67"/>
      <c r="L149" s="67"/>
      <c r="M149" s="67"/>
      <c r="N149" s="67"/>
      <c r="O149" s="67"/>
      <c r="P149" s="67"/>
      <c r="Q149" s="67"/>
      <c r="R149" s="67"/>
      <c r="S149" s="67"/>
      <c r="T149" s="67"/>
      <c r="U149" s="67"/>
      <c r="V149" s="67"/>
      <c r="W149" s="67"/>
      <c r="X149" s="67"/>
      <c r="Y149" s="67"/>
      <c r="Z149" s="67"/>
      <c r="AA149" s="67"/>
      <c r="AB149" s="67"/>
      <c r="AC149" s="67"/>
      <c r="AD149" s="67"/>
      <c r="AE149" s="67"/>
      <c r="AF149" s="67"/>
      <c r="AG149" s="67"/>
      <c r="AH149" s="67"/>
      <c r="AI149" s="67"/>
      <c r="AJ149" s="67"/>
      <c r="AK149" s="67"/>
      <c r="AL149" s="67"/>
      <c r="AM149" s="67"/>
      <c r="AN149" s="67"/>
      <c r="AO149" s="67"/>
      <c r="AP149" s="67"/>
      <c r="AQ149" s="67"/>
      <c r="AR149" s="67"/>
      <c r="AS149" s="67"/>
      <c r="AT149" s="67"/>
      <c r="AU149" s="67"/>
      <c r="AV149" s="67"/>
      <c r="AW149" s="67"/>
      <c r="AX149" s="67"/>
      <c r="AY149" s="67"/>
      <c r="AZ149" s="67"/>
      <c r="BA149" s="67"/>
      <c r="BB149" s="67"/>
      <c r="BC149" s="67"/>
      <c r="BD149" s="67"/>
      <c r="BE149" s="67"/>
      <c r="BF149" s="67"/>
      <c r="BG149" s="67"/>
      <c r="BH149" s="70"/>
      <c r="BJ149" s="67"/>
      <c r="BK149" s="67"/>
      <c r="BL149" s="67"/>
      <c r="BM149" s="67"/>
      <c r="BN149" s="67"/>
      <c r="BO149" s="67"/>
      <c r="BP149" s="67"/>
      <c r="BQ149" s="67"/>
      <c r="BR149" s="67"/>
      <c r="BS149" s="67"/>
      <c r="BT149" s="67"/>
      <c r="BU149" s="67"/>
      <c r="BV149" s="67"/>
      <c r="BW149" s="67"/>
      <c r="BX149" s="67"/>
      <c r="BY149" s="67"/>
      <c r="BZ149" s="67"/>
      <c r="CA149" s="67"/>
      <c r="CB149" s="67"/>
      <c r="CC149" s="67"/>
      <c r="CD149" s="67"/>
      <c r="CE149" s="67"/>
      <c r="CF149" s="67"/>
      <c r="CG149" s="67"/>
      <c r="CH149" s="67"/>
      <c r="CI149" s="67"/>
      <c r="CJ149" s="67"/>
      <c r="CK149" s="67"/>
      <c r="CL149" s="67"/>
      <c r="CM149" s="67"/>
      <c r="CN149" s="67"/>
      <c r="CO149" s="67"/>
      <c r="CP149" s="67"/>
      <c r="CQ149" s="67"/>
      <c r="CR149" s="67"/>
      <c r="CS149" s="67"/>
      <c r="CT149" s="67"/>
      <c r="CU149" s="67"/>
      <c r="CV149" s="67"/>
      <c r="CW149" s="67"/>
      <c r="CX149" s="67"/>
      <c r="CY149" s="67"/>
      <c r="CZ149" s="67"/>
      <c r="DA149" s="67"/>
      <c r="DB149" s="67"/>
      <c r="DC149" s="67"/>
      <c r="DD149" s="67"/>
      <c r="DE149" s="67"/>
      <c r="DF149" s="67"/>
      <c r="DG149" s="67"/>
      <c r="DH149" s="67"/>
      <c r="DI149" s="67"/>
      <c r="DJ149" s="67"/>
    </row>
    <row r="150" spans="5:114" x14ac:dyDescent="0.25">
      <c r="E150" s="67"/>
      <c r="G150" s="67"/>
      <c r="H150" s="67"/>
      <c r="I150" s="67"/>
      <c r="J150" s="67"/>
      <c r="K150" s="67"/>
      <c r="L150" s="67"/>
      <c r="M150" s="67"/>
      <c r="N150" s="67"/>
      <c r="O150" s="67"/>
      <c r="P150" s="67"/>
      <c r="Q150" s="67"/>
      <c r="R150" s="67"/>
      <c r="S150" s="67"/>
      <c r="T150" s="67"/>
      <c r="U150" s="67"/>
      <c r="V150" s="67"/>
      <c r="W150" s="67"/>
      <c r="X150" s="67"/>
      <c r="Y150" s="67"/>
      <c r="Z150" s="67"/>
      <c r="AA150" s="67"/>
      <c r="AB150" s="67"/>
      <c r="AC150" s="67"/>
      <c r="AD150" s="67"/>
      <c r="AE150" s="67"/>
      <c r="AF150" s="67"/>
      <c r="AG150" s="67"/>
      <c r="AH150" s="67"/>
      <c r="AI150" s="67"/>
      <c r="AJ150" s="67"/>
      <c r="AK150" s="67"/>
      <c r="AL150" s="67"/>
      <c r="AM150" s="67"/>
      <c r="AN150" s="67"/>
      <c r="AO150" s="67"/>
      <c r="AP150" s="67"/>
      <c r="AQ150" s="67"/>
      <c r="AR150" s="67"/>
      <c r="AS150" s="67"/>
      <c r="AT150" s="67"/>
      <c r="AU150" s="67"/>
      <c r="AV150" s="67"/>
      <c r="AW150" s="67"/>
      <c r="AX150" s="67"/>
      <c r="AY150" s="67"/>
      <c r="AZ150" s="67"/>
      <c r="BA150" s="67"/>
      <c r="BB150" s="67"/>
      <c r="BC150" s="67"/>
      <c r="BD150" s="67"/>
      <c r="BE150" s="67"/>
      <c r="BF150" s="67"/>
      <c r="BG150" s="67"/>
      <c r="BH150" s="70"/>
      <c r="BJ150" s="67"/>
      <c r="BK150" s="67"/>
      <c r="BL150" s="67"/>
      <c r="BM150" s="67"/>
      <c r="BN150" s="67"/>
      <c r="BO150" s="67"/>
      <c r="BP150" s="67"/>
      <c r="BQ150" s="67"/>
      <c r="BR150" s="67"/>
      <c r="BS150" s="67"/>
      <c r="BT150" s="67"/>
      <c r="BU150" s="67"/>
      <c r="BV150" s="67"/>
      <c r="BW150" s="67"/>
      <c r="BX150" s="67"/>
      <c r="BY150" s="67"/>
      <c r="BZ150" s="67"/>
      <c r="CA150" s="67"/>
      <c r="CB150" s="67"/>
      <c r="CC150" s="67"/>
      <c r="CD150" s="67"/>
      <c r="CE150" s="67"/>
      <c r="CF150" s="67"/>
      <c r="CG150" s="67"/>
      <c r="CH150" s="67"/>
      <c r="CI150" s="67"/>
      <c r="CJ150" s="67"/>
      <c r="CK150" s="67"/>
      <c r="CL150" s="67"/>
      <c r="CM150" s="67"/>
      <c r="CN150" s="67"/>
      <c r="CO150" s="67"/>
      <c r="CP150" s="67"/>
      <c r="CQ150" s="67"/>
      <c r="CR150" s="67"/>
      <c r="CS150" s="67"/>
      <c r="CT150" s="67"/>
      <c r="CU150" s="67"/>
      <c r="CV150" s="67"/>
      <c r="CW150" s="67"/>
      <c r="CX150" s="67"/>
      <c r="CY150" s="67"/>
      <c r="CZ150" s="67"/>
      <c r="DA150" s="67"/>
      <c r="DB150" s="67"/>
      <c r="DC150" s="67"/>
      <c r="DD150" s="67"/>
      <c r="DE150" s="67"/>
      <c r="DF150" s="67"/>
      <c r="DG150" s="67"/>
      <c r="DH150" s="67"/>
      <c r="DI150" s="67"/>
      <c r="DJ150" s="67"/>
    </row>
    <row r="151" spans="5:114" x14ac:dyDescent="0.25">
      <c r="E151" s="67"/>
      <c r="G151" s="67"/>
      <c r="H151" s="67"/>
      <c r="I151" s="67"/>
      <c r="J151" s="67"/>
      <c r="K151" s="67"/>
      <c r="L151" s="67"/>
      <c r="M151" s="67"/>
      <c r="N151" s="67"/>
      <c r="O151" s="67"/>
      <c r="P151" s="67"/>
      <c r="Q151" s="67"/>
      <c r="R151" s="67"/>
      <c r="S151" s="67"/>
      <c r="T151" s="67"/>
      <c r="U151" s="67"/>
      <c r="V151" s="67"/>
      <c r="W151" s="67"/>
      <c r="X151" s="67"/>
      <c r="Y151" s="67"/>
      <c r="Z151" s="67"/>
      <c r="AA151" s="67"/>
      <c r="AB151" s="67"/>
      <c r="AC151" s="67"/>
      <c r="AD151" s="67"/>
      <c r="AE151" s="67"/>
      <c r="AF151" s="67"/>
      <c r="AG151" s="67"/>
      <c r="AH151" s="67"/>
      <c r="AI151" s="67"/>
      <c r="AJ151" s="67"/>
      <c r="AK151" s="67"/>
      <c r="AL151" s="67"/>
      <c r="AM151" s="67"/>
      <c r="AN151" s="67"/>
      <c r="AO151" s="67"/>
      <c r="AP151" s="67"/>
      <c r="AQ151" s="67"/>
      <c r="AR151" s="67"/>
      <c r="AS151" s="67"/>
      <c r="AT151" s="67"/>
      <c r="AU151" s="67"/>
      <c r="AV151" s="67"/>
      <c r="AW151" s="67"/>
      <c r="AX151" s="67"/>
      <c r="AY151" s="67"/>
      <c r="AZ151" s="67"/>
      <c r="BA151" s="67"/>
      <c r="BB151" s="67"/>
      <c r="BC151" s="67"/>
      <c r="BD151" s="67"/>
      <c r="BE151" s="67"/>
      <c r="BF151" s="67"/>
      <c r="BG151" s="67"/>
      <c r="BH151" s="70"/>
      <c r="BJ151" s="67"/>
      <c r="BK151" s="67"/>
      <c r="BL151" s="67"/>
      <c r="BM151" s="67"/>
      <c r="BN151" s="67"/>
      <c r="BO151" s="67"/>
      <c r="BP151" s="67"/>
      <c r="BQ151" s="67"/>
      <c r="BR151" s="67"/>
      <c r="BS151" s="67"/>
      <c r="BT151" s="67"/>
      <c r="BU151" s="67"/>
      <c r="BV151" s="67"/>
      <c r="BW151" s="67"/>
      <c r="BX151" s="67"/>
      <c r="BY151" s="67"/>
      <c r="BZ151" s="67"/>
      <c r="CA151" s="67"/>
      <c r="CB151" s="67"/>
      <c r="CC151" s="67"/>
      <c r="CD151" s="67"/>
      <c r="CE151" s="67"/>
      <c r="CF151" s="67"/>
      <c r="CG151" s="67"/>
      <c r="CH151" s="67"/>
      <c r="CI151" s="67"/>
      <c r="CJ151" s="67"/>
      <c r="CK151" s="67"/>
      <c r="CL151" s="67"/>
      <c r="CM151" s="67"/>
      <c r="CN151" s="67"/>
      <c r="CO151" s="67"/>
      <c r="CP151" s="67"/>
      <c r="CQ151" s="67"/>
      <c r="CR151" s="67"/>
      <c r="CS151" s="67"/>
      <c r="CT151" s="67"/>
      <c r="CU151" s="67"/>
      <c r="CV151" s="67"/>
      <c r="CW151" s="67"/>
      <c r="CX151" s="67"/>
      <c r="CY151" s="67"/>
      <c r="CZ151" s="67"/>
      <c r="DA151" s="67"/>
      <c r="DB151" s="67"/>
      <c r="DC151" s="67"/>
      <c r="DD151" s="67"/>
      <c r="DE151" s="67"/>
      <c r="DF151" s="67"/>
      <c r="DG151" s="67"/>
      <c r="DH151" s="67"/>
      <c r="DI151" s="67"/>
      <c r="DJ151" s="67"/>
    </row>
    <row r="152" spans="5:114" x14ac:dyDescent="0.25">
      <c r="E152" s="67"/>
      <c r="G152" s="67"/>
      <c r="H152" s="67"/>
      <c r="I152" s="67"/>
      <c r="J152" s="67"/>
      <c r="K152" s="67"/>
      <c r="L152" s="67"/>
      <c r="M152" s="67"/>
      <c r="N152" s="67"/>
      <c r="O152" s="67"/>
      <c r="P152" s="67"/>
      <c r="Q152" s="67"/>
      <c r="R152" s="67"/>
      <c r="S152" s="67"/>
      <c r="T152" s="67"/>
      <c r="U152" s="67"/>
      <c r="V152" s="67"/>
      <c r="W152" s="67"/>
      <c r="X152" s="67"/>
      <c r="Y152" s="67"/>
      <c r="Z152" s="67"/>
      <c r="AA152" s="67"/>
      <c r="AB152" s="67"/>
      <c r="AC152" s="67"/>
      <c r="AD152" s="67"/>
      <c r="AE152" s="67"/>
      <c r="AF152" s="67"/>
      <c r="AG152" s="67"/>
      <c r="AH152" s="67"/>
      <c r="AI152" s="67"/>
      <c r="AJ152" s="67"/>
      <c r="AK152" s="67"/>
      <c r="AL152" s="67"/>
      <c r="AM152" s="67"/>
      <c r="AN152" s="67"/>
      <c r="AO152" s="67"/>
      <c r="AP152" s="67"/>
      <c r="AQ152" s="67"/>
      <c r="AR152" s="67"/>
      <c r="AS152" s="67"/>
      <c r="AT152" s="67"/>
      <c r="AU152" s="67"/>
      <c r="AV152" s="67"/>
      <c r="AW152" s="67"/>
      <c r="AX152" s="67"/>
      <c r="AY152" s="67"/>
      <c r="AZ152" s="67"/>
      <c r="BA152" s="67"/>
      <c r="BB152" s="67"/>
      <c r="BC152" s="67"/>
      <c r="BD152" s="67"/>
      <c r="BE152" s="67"/>
      <c r="BF152" s="67"/>
      <c r="BG152" s="67"/>
      <c r="BH152" s="70"/>
      <c r="BJ152" s="67"/>
      <c r="BK152" s="67"/>
      <c r="BL152" s="67"/>
      <c r="BM152" s="67"/>
      <c r="BN152" s="67"/>
      <c r="BO152" s="67"/>
      <c r="BP152" s="67"/>
      <c r="BQ152" s="67"/>
      <c r="BR152" s="67"/>
      <c r="BS152" s="67"/>
      <c r="BT152" s="67"/>
      <c r="BU152" s="67"/>
      <c r="BV152" s="67"/>
      <c r="BW152" s="67"/>
      <c r="BX152" s="67"/>
      <c r="BY152" s="67"/>
      <c r="BZ152" s="67"/>
      <c r="CA152" s="67"/>
      <c r="CB152" s="67"/>
      <c r="CC152" s="67"/>
      <c r="CD152" s="67"/>
      <c r="CE152" s="67"/>
      <c r="CF152" s="67"/>
      <c r="CG152" s="67"/>
      <c r="CH152" s="67"/>
      <c r="CI152" s="67"/>
      <c r="CJ152" s="67"/>
      <c r="CK152" s="67"/>
      <c r="CL152" s="67"/>
      <c r="CM152" s="67"/>
      <c r="CN152" s="67"/>
      <c r="CO152" s="67"/>
      <c r="CP152" s="67"/>
      <c r="CQ152" s="67"/>
      <c r="CR152" s="67"/>
      <c r="CS152" s="67"/>
      <c r="CT152" s="67"/>
      <c r="CU152" s="67"/>
      <c r="CV152" s="67"/>
      <c r="CW152" s="67"/>
      <c r="CX152" s="67"/>
      <c r="CY152" s="67"/>
      <c r="CZ152" s="67"/>
      <c r="DA152" s="67"/>
      <c r="DB152" s="67"/>
      <c r="DC152" s="67"/>
      <c r="DD152" s="67"/>
      <c r="DE152" s="67"/>
      <c r="DF152" s="67"/>
      <c r="DG152" s="67"/>
      <c r="DH152" s="67"/>
      <c r="DI152" s="67"/>
      <c r="DJ152" s="67"/>
    </row>
    <row r="153" spans="5:114" x14ac:dyDescent="0.25">
      <c r="E153" s="67"/>
      <c r="G153" s="67"/>
      <c r="H153" s="67"/>
      <c r="I153" s="67"/>
      <c r="J153" s="67"/>
      <c r="K153" s="67"/>
      <c r="L153" s="67"/>
      <c r="M153" s="67"/>
      <c r="N153" s="67"/>
      <c r="O153" s="67"/>
      <c r="P153" s="67"/>
      <c r="Q153" s="67"/>
      <c r="R153" s="67"/>
      <c r="S153" s="67"/>
      <c r="T153" s="67"/>
      <c r="U153" s="67"/>
      <c r="V153" s="67"/>
      <c r="W153" s="67"/>
      <c r="X153" s="67"/>
      <c r="Y153" s="67"/>
      <c r="Z153" s="67"/>
      <c r="AA153" s="67"/>
      <c r="AB153" s="67"/>
      <c r="AC153" s="67"/>
      <c r="AD153" s="67"/>
      <c r="AE153" s="67"/>
      <c r="AF153" s="67"/>
      <c r="AG153" s="67"/>
      <c r="AH153" s="67"/>
      <c r="AI153" s="67"/>
      <c r="AJ153" s="67"/>
      <c r="AK153" s="67"/>
      <c r="AL153" s="67"/>
      <c r="AM153" s="67"/>
      <c r="AN153" s="67"/>
      <c r="AO153" s="67"/>
      <c r="AP153" s="67"/>
      <c r="AQ153" s="67"/>
      <c r="AR153" s="67"/>
      <c r="AS153" s="67"/>
      <c r="AT153" s="67"/>
      <c r="AU153" s="67"/>
      <c r="AV153" s="67"/>
      <c r="AW153" s="67"/>
      <c r="AX153" s="67"/>
      <c r="AY153" s="67"/>
      <c r="AZ153" s="67"/>
      <c r="BA153" s="67"/>
      <c r="BB153" s="67"/>
      <c r="BC153" s="67"/>
      <c r="BD153" s="67"/>
      <c r="BE153" s="67"/>
      <c r="BF153" s="67"/>
      <c r="BG153" s="67"/>
      <c r="BH153" s="70"/>
      <c r="BJ153" s="67"/>
      <c r="BK153" s="67"/>
      <c r="BL153" s="67"/>
      <c r="BM153" s="67"/>
      <c r="BN153" s="67"/>
      <c r="BO153" s="67"/>
      <c r="BP153" s="67"/>
      <c r="BQ153" s="67"/>
      <c r="BR153" s="67"/>
      <c r="BS153" s="67"/>
      <c r="BT153" s="67"/>
      <c r="BU153" s="67"/>
      <c r="BV153" s="67"/>
      <c r="BW153" s="67"/>
      <c r="BX153" s="67"/>
      <c r="BY153" s="67"/>
      <c r="BZ153" s="67"/>
      <c r="CA153" s="67"/>
      <c r="CB153" s="67"/>
      <c r="CC153" s="67"/>
      <c r="CD153" s="67"/>
      <c r="CE153" s="67"/>
      <c r="CF153" s="67"/>
      <c r="CG153" s="67"/>
      <c r="CH153" s="67"/>
      <c r="CI153" s="67"/>
      <c r="CJ153" s="67"/>
      <c r="CK153" s="67"/>
      <c r="CL153" s="67"/>
      <c r="CM153" s="67"/>
      <c r="CN153" s="67"/>
      <c r="CO153" s="67"/>
      <c r="CP153" s="67"/>
      <c r="CQ153" s="67"/>
      <c r="CR153" s="67"/>
      <c r="CS153" s="67"/>
      <c r="CT153" s="67"/>
      <c r="CU153" s="67"/>
      <c r="CV153" s="67"/>
      <c r="CW153" s="67"/>
      <c r="CX153" s="67"/>
      <c r="CY153" s="67"/>
      <c r="CZ153" s="67"/>
      <c r="DA153" s="67"/>
      <c r="DB153" s="67"/>
      <c r="DC153" s="67"/>
      <c r="DD153" s="67"/>
      <c r="DE153" s="67"/>
      <c r="DF153" s="67"/>
      <c r="DG153" s="67"/>
      <c r="DH153" s="67"/>
      <c r="DI153" s="67"/>
      <c r="DJ153" s="67"/>
    </row>
    <row r="154" spans="5:114" x14ac:dyDescent="0.25">
      <c r="E154" s="67"/>
      <c r="G154" s="67"/>
      <c r="H154" s="67"/>
      <c r="I154" s="67"/>
      <c r="J154" s="67"/>
      <c r="K154" s="67"/>
      <c r="L154" s="67"/>
      <c r="M154" s="67"/>
      <c r="N154" s="67"/>
      <c r="O154" s="67"/>
      <c r="P154" s="67"/>
      <c r="Q154" s="67"/>
      <c r="R154" s="67"/>
      <c r="S154" s="67"/>
      <c r="T154" s="67"/>
      <c r="U154" s="67"/>
      <c r="V154" s="67"/>
      <c r="W154" s="67"/>
      <c r="X154" s="67"/>
      <c r="Y154" s="67"/>
      <c r="Z154" s="67"/>
      <c r="AA154" s="67"/>
      <c r="AB154" s="67"/>
      <c r="AC154" s="67"/>
      <c r="AD154" s="67"/>
      <c r="AE154" s="67"/>
      <c r="AF154" s="67"/>
      <c r="AG154" s="67"/>
      <c r="AH154" s="67"/>
      <c r="AI154" s="67"/>
      <c r="AJ154" s="67"/>
      <c r="AK154" s="67"/>
      <c r="AL154" s="67"/>
      <c r="AM154" s="67"/>
      <c r="AN154" s="67"/>
      <c r="AO154" s="67"/>
      <c r="AP154" s="67"/>
      <c r="AQ154" s="67"/>
      <c r="AR154" s="67"/>
      <c r="AS154" s="67"/>
      <c r="AT154" s="67"/>
      <c r="AU154" s="67"/>
      <c r="AV154" s="67"/>
      <c r="AW154" s="67"/>
      <c r="AX154" s="67"/>
      <c r="AY154" s="67"/>
      <c r="AZ154" s="67"/>
      <c r="BA154" s="67"/>
      <c r="BB154" s="67"/>
      <c r="BC154" s="67"/>
      <c r="BD154" s="67"/>
      <c r="BE154" s="67"/>
      <c r="BF154" s="67"/>
      <c r="BG154" s="67"/>
      <c r="BH154" s="70"/>
      <c r="BJ154" s="67"/>
      <c r="BK154" s="67"/>
      <c r="BL154" s="67"/>
      <c r="BM154" s="67"/>
      <c r="BN154" s="67"/>
      <c r="BO154" s="67"/>
      <c r="BP154" s="67"/>
      <c r="BQ154" s="67"/>
      <c r="BR154" s="67"/>
      <c r="BS154" s="67"/>
      <c r="BT154" s="67"/>
      <c r="BU154" s="67"/>
      <c r="BV154" s="67"/>
      <c r="BW154" s="67"/>
      <c r="BX154" s="67"/>
      <c r="BY154" s="67"/>
      <c r="BZ154" s="67"/>
      <c r="CA154" s="67"/>
      <c r="CB154" s="67"/>
      <c r="CC154" s="67"/>
      <c r="CD154" s="67"/>
      <c r="CE154" s="67"/>
      <c r="CF154" s="67"/>
      <c r="CG154" s="67"/>
      <c r="CH154" s="67"/>
      <c r="CI154" s="67"/>
      <c r="CJ154" s="67"/>
      <c r="CK154" s="67"/>
      <c r="CL154" s="67"/>
      <c r="CM154" s="67"/>
      <c r="CN154" s="67"/>
      <c r="CO154" s="67"/>
      <c r="CP154" s="67"/>
      <c r="CQ154" s="67"/>
      <c r="CR154" s="67"/>
      <c r="CS154" s="67"/>
      <c r="CT154" s="67"/>
      <c r="CU154" s="67"/>
      <c r="CV154" s="67"/>
      <c r="CW154" s="67"/>
      <c r="CX154" s="67"/>
      <c r="CY154" s="67"/>
      <c r="CZ154" s="67"/>
      <c r="DA154" s="67"/>
      <c r="DB154" s="67"/>
      <c r="DC154" s="67"/>
      <c r="DD154" s="67"/>
      <c r="DE154" s="67"/>
      <c r="DF154" s="67"/>
      <c r="DG154" s="67"/>
      <c r="DH154" s="67"/>
      <c r="DI154" s="67"/>
      <c r="DJ154" s="67"/>
    </row>
    <row r="155" spans="5:114" x14ac:dyDescent="0.25">
      <c r="E155" s="67"/>
      <c r="G155" s="67"/>
      <c r="H155" s="67"/>
      <c r="I155" s="67"/>
      <c r="J155" s="67"/>
      <c r="K155" s="67"/>
      <c r="L155" s="67"/>
      <c r="M155" s="67"/>
      <c r="N155" s="67"/>
      <c r="O155" s="67"/>
      <c r="P155" s="67"/>
      <c r="Q155" s="67"/>
      <c r="R155" s="67"/>
      <c r="S155" s="67"/>
      <c r="T155" s="67"/>
      <c r="U155" s="67"/>
      <c r="V155" s="67"/>
      <c r="W155" s="67"/>
      <c r="X155" s="67"/>
      <c r="Y155" s="67"/>
      <c r="Z155" s="67"/>
      <c r="AA155" s="67"/>
      <c r="AB155" s="67"/>
      <c r="AC155" s="67"/>
      <c r="AD155" s="67"/>
      <c r="AE155" s="67"/>
      <c r="AF155" s="67"/>
      <c r="AG155" s="67"/>
      <c r="AH155" s="67"/>
      <c r="AI155" s="67"/>
      <c r="AJ155" s="67"/>
      <c r="AK155" s="67"/>
      <c r="AL155" s="67"/>
      <c r="AM155" s="67"/>
      <c r="AN155" s="67"/>
      <c r="AO155" s="67"/>
      <c r="AP155" s="67"/>
      <c r="AQ155" s="67"/>
      <c r="AR155" s="67"/>
      <c r="AS155" s="67"/>
      <c r="AT155" s="67"/>
      <c r="AU155" s="67"/>
      <c r="AV155" s="67"/>
      <c r="AW155" s="67"/>
      <c r="AX155" s="67"/>
      <c r="AY155" s="67"/>
      <c r="AZ155" s="67"/>
      <c r="BA155" s="67"/>
      <c r="BB155" s="67"/>
      <c r="BC155" s="67"/>
      <c r="BD155" s="67"/>
      <c r="BE155" s="67"/>
      <c r="BF155" s="67"/>
      <c r="BG155" s="67"/>
      <c r="BH155" s="70"/>
      <c r="BJ155" s="67"/>
      <c r="BK155" s="67"/>
      <c r="BL155" s="67"/>
      <c r="BM155" s="67"/>
      <c r="BN155" s="67"/>
      <c r="BO155" s="67"/>
      <c r="BP155" s="67"/>
      <c r="BQ155" s="67"/>
      <c r="BR155" s="67"/>
      <c r="BS155" s="67"/>
      <c r="BT155" s="67"/>
      <c r="BU155" s="67"/>
      <c r="BV155" s="67"/>
      <c r="BW155" s="67"/>
      <c r="BX155" s="67"/>
      <c r="BY155" s="67"/>
      <c r="BZ155" s="67"/>
      <c r="CA155" s="67"/>
      <c r="CB155" s="67"/>
      <c r="CC155" s="67"/>
      <c r="CD155" s="67"/>
      <c r="CE155" s="67"/>
      <c r="CF155" s="67"/>
      <c r="CG155" s="67"/>
      <c r="CH155" s="67"/>
      <c r="CI155" s="67"/>
      <c r="CJ155" s="67"/>
      <c r="CK155" s="67"/>
      <c r="CL155" s="67"/>
      <c r="CM155" s="67"/>
      <c r="CN155" s="67"/>
      <c r="CO155" s="67"/>
      <c r="CP155" s="67"/>
      <c r="CQ155" s="67"/>
      <c r="CR155" s="67"/>
      <c r="CS155" s="67"/>
      <c r="CT155" s="67"/>
      <c r="CU155" s="67"/>
      <c r="CV155" s="67"/>
      <c r="CW155" s="67"/>
      <c r="CX155" s="67"/>
      <c r="CY155" s="67"/>
      <c r="CZ155" s="67"/>
      <c r="DA155" s="67"/>
      <c r="DB155" s="67"/>
      <c r="DC155" s="67"/>
      <c r="DD155" s="67"/>
      <c r="DE155" s="67"/>
      <c r="DF155" s="67"/>
      <c r="DG155" s="67"/>
      <c r="DH155" s="67"/>
      <c r="DI155" s="67"/>
      <c r="DJ155" s="67"/>
    </row>
    <row r="156" spans="5:114" x14ac:dyDescent="0.25">
      <c r="E156" s="67"/>
      <c r="G156" s="67"/>
      <c r="H156" s="67"/>
      <c r="I156" s="67"/>
      <c r="J156" s="67"/>
      <c r="K156" s="67"/>
      <c r="L156" s="67"/>
      <c r="M156" s="67"/>
      <c r="N156" s="67"/>
      <c r="O156" s="67"/>
      <c r="P156" s="67"/>
      <c r="Q156" s="67"/>
      <c r="R156" s="67"/>
      <c r="S156" s="67"/>
      <c r="T156" s="67"/>
      <c r="U156" s="67"/>
      <c r="V156" s="67"/>
      <c r="W156" s="67"/>
      <c r="X156" s="67"/>
      <c r="Y156" s="67"/>
      <c r="Z156" s="67"/>
      <c r="AA156" s="67"/>
      <c r="AB156" s="67"/>
      <c r="AC156" s="67"/>
      <c r="AD156" s="67"/>
      <c r="AE156" s="67"/>
      <c r="AF156" s="67"/>
      <c r="AG156" s="67"/>
      <c r="AH156" s="67"/>
      <c r="AI156" s="67"/>
      <c r="AJ156" s="67"/>
      <c r="AK156" s="67"/>
      <c r="AL156" s="67"/>
      <c r="AM156" s="67"/>
      <c r="AN156" s="67"/>
      <c r="AO156" s="67"/>
      <c r="AP156" s="67"/>
      <c r="AQ156" s="67"/>
      <c r="AR156" s="67"/>
      <c r="AS156" s="67"/>
      <c r="AT156" s="67"/>
      <c r="AU156" s="67"/>
      <c r="AV156" s="67"/>
      <c r="AW156" s="67"/>
      <c r="AX156" s="67"/>
      <c r="AY156" s="67"/>
      <c r="AZ156" s="67"/>
      <c r="BA156" s="67"/>
      <c r="BB156" s="67"/>
      <c r="BC156" s="67"/>
      <c r="BD156" s="67"/>
      <c r="BE156" s="67"/>
      <c r="BF156" s="67"/>
      <c r="BG156" s="67"/>
      <c r="BH156" s="70"/>
      <c r="BJ156" s="67"/>
      <c r="BK156" s="67"/>
      <c r="BL156" s="67"/>
      <c r="BM156" s="67"/>
      <c r="BN156" s="67"/>
      <c r="BO156" s="67"/>
      <c r="BP156" s="67"/>
      <c r="BQ156" s="67"/>
      <c r="BR156" s="67"/>
      <c r="BS156" s="67"/>
      <c r="BT156" s="67"/>
      <c r="BU156" s="67"/>
      <c r="BV156" s="67"/>
      <c r="BW156" s="67"/>
      <c r="BX156" s="67"/>
      <c r="BY156" s="67"/>
      <c r="BZ156" s="67"/>
      <c r="CA156" s="67"/>
      <c r="CB156" s="67"/>
      <c r="CC156" s="67"/>
      <c r="CD156" s="67"/>
      <c r="CE156" s="67"/>
      <c r="CF156" s="67"/>
      <c r="CG156" s="67"/>
      <c r="CH156" s="67"/>
      <c r="CI156" s="67"/>
      <c r="CJ156" s="67"/>
      <c r="CK156" s="67"/>
      <c r="CL156" s="67"/>
      <c r="CM156" s="67"/>
      <c r="CN156" s="67"/>
      <c r="CO156" s="67"/>
      <c r="CP156" s="67"/>
      <c r="CQ156" s="67"/>
      <c r="CR156" s="67"/>
      <c r="CS156" s="67"/>
      <c r="CT156" s="67"/>
      <c r="CU156" s="67"/>
      <c r="CV156" s="67"/>
      <c r="CW156" s="67"/>
      <c r="CX156" s="67"/>
      <c r="CY156" s="67"/>
      <c r="CZ156" s="67"/>
      <c r="DA156" s="67"/>
      <c r="DB156" s="67"/>
      <c r="DC156" s="67"/>
      <c r="DD156" s="67"/>
      <c r="DE156" s="67"/>
      <c r="DF156" s="67"/>
      <c r="DG156" s="67"/>
      <c r="DH156" s="67"/>
      <c r="DI156" s="67"/>
      <c r="DJ156" s="67"/>
    </row>
    <row r="157" spans="5:114" x14ac:dyDescent="0.25">
      <c r="E157" s="67"/>
      <c r="G157" s="67"/>
      <c r="H157" s="67"/>
      <c r="I157" s="67"/>
      <c r="J157" s="67"/>
      <c r="K157" s="67"/>
      <c r="L157" s="67"/>
      <c r="M157" s="67"/>
      <c r="N157" s="67"/>
      <c r="O157" s="67"/>
      <c r="P157" s="67"/>
      <c r="Q157" s="67"/>
      <c r="R157" s="67"/>
      <c r="S157" s="67"/>
      <c r="T157" s="67"/>
      <c r="U157" s="67"/>
      <c r="V157" s="67"/>
      <c r="W157" s="67"/>
      <c r="X157" s="67"/>
      <c r="Y157" s="67"/>
      <c r="Z157" s="67"/>
      <c r="AA157" s="67"/>
      <c r="AB157" s="67"/>
      <c r="AC157" s="67"/>
      <c r="AD157" s="67"/>
      <c r="AE157" s="67"/>
      <c r="AF157" s="67"/>
      <c r="AG157" s="67"/>
      <c r="AH157" s="67"/>
      <c r="AI157" s="67"/>
      <c r="AJ157" s="67"/>
      <c r="AK157" s="67"/>
      <c r="AL157" s="67"/>
      <c r="AM157" s="67"/>
      <c r="AN157" s="67"/>
      <c r="AO157" s="67"/>
      <c r="AP157" s="67"/>
      <c r="AQ157" s="67"/>
      <c r="AR157" s="67"/>
      <c r="AS157" s="67"/>
      <c r="AT157" s="67"/>
      <c r="AU157" s="67"/>
      <c r="AV157" s="67"/>
      <c r="AW157" s="67"/>
      <c r="AX157" s="67"/>
      <c r="AY157" s="67"/>
      <c r="AZ157" s="67"/>
      <c r="BA157" s="67"/>
      <c r="BB157" s="67"/>
      <c r="BC157" s="67"/>
      <c r="BD157" s="67"/>
      <c r="BE157" s="67"/>
      <c r="BF157" s="67"/>
      <c r="BG157" s="67"/>
      <c r="BH157" s="70"/>
      <c r="BJ157" s="67"/>
      <c r="BK157" s="67"/>
      <c r="BL157" s="67"/>
      <c r="BM157" s="67"/>
      <c r="BN157" s="67"/>
      <c r="BO157" s="67"/>
      <c r="BP157" s="67"/>
      <c r="BQ157" s="67"/>
      <c r="BR157" s="67"/>
      <c r="BS157" s="67"/>
      <c r="BT157" s="67"/>
      <c r="BU157" s="67"/>
      <c r="BV157" s="67"/>
      <c r="BW157" s="67"/>
      <c r="BX157" s="67"/>
      <c r="BY157" s="67"/>
      <c r="BZ157" s="67"/>
      <c r="CA157" s="67"/>
      <c r="CB157" s="67"/>
      <c r="CC157" s="67"/>
      <c r="CD157" s="67"/>
      <c r="CE157" s="67"/>
      <c r="CF157" s="67"/>
      <c r="CG157" s="67"/>
      <c r="CH157" s="67"/>
      <c r="CI157" s="67"/>
      <c r="CJ157" s="67"/>
      <c r="CK157" s="67"/>
      <c r="CL157" s="67"/>
      <c r="CM157" s="67"/>
      <c r="CN157" s="67"/>
      <c r="CO157" s="67"/>
      <c r="CP157" s="67"/>
      <c r="CQ157" s="67"/>
      <c r="CR157" s="67"/>
      <c r="CS157" s="67"/>
      <c r="CT157" s="67"/>
      <c r="CU157" s="67"/>
      <c r="CV157" s="67"/>
      <c r="CW157" s="67"/>
      <c r="CX157" s="67"/>
      <c r="CY157" s="67"/>
      <c r="CZ157" s="67"/>
      <c r="DA157" s="67"/>
      <c r="DB157" s="67"/>
      <c r="DC157" s="67"/>
      <c r="DD157" s="67"/>
      <c r="DE157" s="67"/>
      <c r="DF157" s="67"/>
      <c r="DG157" s="67"/>
      <c r="DH157" s="67"/>
      <c r="DI157" s="67"/>
      <c r="DJ157" s="67"/>
    </row>
    <row r="158" spans="5:114" x14ac:dyDescent="0.25">
      <c r="E158" s="67"/>
      <c r="G158" s="67"/>
      <c r="H158" s="67"/>
      <c r="I158" s="67"/>
      <c r="J158" s="67"/>
      <c r="K158" s="67"/>
      <c r="L158" s="67"/>
      <c r="M158" s="67"/>
      <c r="N158" s="67"/>
      <c r="O158" s="67"/>
      <c r="P158" s="67"/>
      <c r="Q158" s="67"/>
      <c r="R158" s="67"/>
      <c r="S158" s="67"/>
      <c r="T158" s="67"/>
      <c r="U158" s="67"/>
      <c r="V158" s="67"/>
      <c r="W158" s="67"/>
      <c r="X158" s="67"/>
      <c r="Y158" s="67"/>
      <c r="Z158" s="67"/>
      <c r="AA158" s="67"/>
      <c r="AB158" s="67"/>
      <c r="AC158" s="67"/>
      <c r="AD158" s="67"/>
      <c r="AE158" s="67"/>
      <c r="AF158" s="67"/>
      <c r="AG158" s="67"/>
      <c r="AH158" s="67"/>
      <c r="AI158" s="67"/>
      <c r="AJ158" s="67"/>
      <c r="AK158" s="67"/>
      <c r="AL158" s="67"/>
      <c r="AM158" s="67"/>
      <c r="AN158" s="67"/>
      <c r="AO158" s="67"/>
      <c r="AP158" s="67"/>
      <c r="AQ158" s="67"/>
      <c r="AR158" s="67"/>
      <c r="AS158" s="67"/>
      <c r="AT158" s="67"/>
      <c r="AU158" s="67"/>
      <c r="AV158" s="67"/>
      <c r="AW158" s="67"/>
      <c r="AX158" s="67"/>
      <c r="AY158" s="67"/>
      <c r="AZ158" s="67"/>
      <c r="BA158" s="67"/>
      <c r="BB158" s="67"/>
      <c r="BC158" s="67"/>
      <c r="BD158" s="67"/>
      <c r="BE158" s="67"/>
      <c r="BF158" s="67"/>
      <c r="BG158" s="67"/>
      <c r="BH158" s="70"/>
      <c r="BJ158" s="67"/>
      <c r="BK158" s="67"/>
      <c r="BL158" s="67"/>
      <c r="BM158" s="67"/>
      <c r="BN158" s="67"/>
      <c r="BO158" s="67"/>
      <c r="BP158" s="67"/>
      <c r="BQ158" s="67"/>
      <c r="BR158" s="67"/>
      <c r="BS158" s="67"/>
      <c r="BT158" s="67"/>
      <c r="BU158" s="67"/>
      <c r="BV158" s="67"/>
      <c r="BW158" s="67"/>
      <c r="BX158" s="67"/>
      <c r="BY158" s="67"/>
      <c r="BZ158" s="67"/>
      <c r="CA158" s="67"/>
      <c r="CB158" s="67"/>
      <c r="CC158" s="67"/>
      <c r="CD158" s="67"/>
      <c r="CE158" s="67"/>
      <c r="CF158" s="67"/>
      <c r="CG158" s="67"/>
      <c r="CH158" s="67"/>
      <c r="CI158" s="67"/>
      <c r="CJ158" s="67"/>
      <c r="CK158" s="67"/>
      <c r="CL158" s="67"/>
      <c r="CM158" s="67"/>
      <c r="CN158" s="67"/>
      <c r="CO158" s="67"/>
      <c r="CP158" s="67"/>
      <c r="CQ158" s="67"/>
      <c r="CR158" s="67"/>
      <c r="CS158" s="67"/>
      <c r="CT158" s="67"/>
      <c r="CU158" s="67"/>
      <c r="CV158" s="67"/>
      <c r="CW158" s="67"/>
      <c r="CX158" s="67"/>
      <c r="CY158" s="67"/>
      <c r="CZ158" s="67"/>
      <c r="DA158" s="67"/>
      <c r="DB158" s="67"/>
      <c r="DC158" s="67"/>
      <c r="DD158" s="67"/>
      <c r="DE158" s="67"/>
      <c r="DF158" s="67"/>
      <c r="DG158" s="67"/>
      <c r="DH158" s="67"/>
      <c r="DI158" s="67"/>
      <c r="DJ158" s="67"/>
    </row>
    <row r="159" spans="5:114" x14ac:dyDescent="0.25">
      <c r="E159" s="67"/>
      <c r="G159" s="67"/>
      <c r="H159" s="67"/>
      <c r="I159" s="67"/>
      <c r="J159" s="67"/>
      <c r="K159" s="67"/>
      <c r="L159" s="67"/>
      <c r="M159" s="67"/>
      <c r="N159" s="67"/>
      <c r="O159" s="67"/>
      <c r="P159" s="67"/>
      <c r="Q159" s="67"/>
      <c r="R159" s="67"/>
      <c r="S159" s="67"/>
      <c r="T159" s="67"/>
      <c r="U159" s="67"/>
      <c r="V159" s="67"/>
      <c r="W159" s="67"/>
      <c r="X159" s="67"/>
      <c r="Y159" s="67"/>
      <c r="Z159" s="67"/>
      <c r="AA159" s="67"/>
      <c r="AB159" s="67"/>
      <c r="AC159" s="67"/>
      <c r="AD159" s="67"/>
      <c r="AE159" s="67"/>
      <c r="AF159" s="67"/>
      <c r="AG159" s="67"/>
      <c r="AH159" s="67"/>
      <c r="AI159" s="67"/>
      <c r="AJ159" s="67"/>
      <c r="AK159" s="67"/>
      <c r="AL159" s="67"/>
      <c r="AM159" s="67"/>
      <c r="AN159" s="67"/>
      <c r="AO159" s="67"/>
      <c r="AP159" s="67"/>
      <c r="AQ159" s="67"/>
      <c r="AR159" s="67"/>
      <c r="AS159" s="67"/>
      <c r="AT159" s="67"/>
      <c r="AU159" s="67"/>
      <c r="AV159" s="67"/>
      <c r="AW159" s="67"/>
      <c r="AX159" s="67"/>
      <c r="AY159" s="67"/>
      <c r="AZ159" s="67"/>
      <c r="BA159" s="67"/>
      <c r="BB159" s="67"/>
      <c r="BC159" s="67"/>
      <c r="BD159" s="67"/>
      <c r="BE159" s="67"/>
      <c r="BF159" s="67"/>
      <c r="BG159" s="67"/>
      <c r="BH159" s="70"/>
      <c r="BJ159" s="67"/>
      <c r="BK159" s="67"/>
      <c r="BL159" s="67"/>
      <c r="BM159" s="67"/>
      <c r="BN159" s="67"/>
      <c r="BO159" s="67"/>
      <c r="BP159" s="67"/>
      <c r="BQ159" s="67"/>
      <c r="BR159" s="67"/>
      <c r="BS159" s="67"/>
      <c r="BT159" s="67"/>
      <c r="BU159" s="67"/>
      <c r="BV159" s="67"/>
      <c r="BW159" s="67"/>
      <c r="BX159" s="67"/>
      <c r="BY159" s="67"/>
      <c r="BZ159" s="67"/>
      <c r="CA159" s="67"/>
      <c r="CB159" s="67"/>
      <c r="CC159" s="67"/>
      <c r="CD159" s="67"/>
      <c r="CE159" s="67"/>
      <c r="CF159" s="67"/>
      <c r="CG159" s="67"/>
      <c r="CH159" s="67"/>
      <c r="CI159" s="67"/>
      <c r="CJ159" s="67"/>
      <c r="CK159" s="67"/>
      <c r="CL159" s="67"/>
      <c r="CM159" s="67"/>
      <c r="CN159" s="67"/>
      <c r="CO159" s="67"/>
      <c r="CP159" s="67"/>
      <c r="CQ159" s="67"/>
      <c r="CR159" s="67"/>
      <c r="CS159" s="67"/>
      <c r="CT159" s="67"/>
      <c r="CU159" s="67"/>
      <c r="CV159" s="67"/>
      <c r="CW159" s="67"/>
      <c r="CX159" s="67"/>
      <c r="CY159" s="67"/>
      <c r="CZ159" s="67"/>
      <c r="DA159" s="67"/>
      <c r="DB159" s="67"/>
      <c r="DC159" s="67"/>
      <c r="DD159" s="67"/>
      <c r="DE159" s="67"/>
      <c r="DF159" s="67"/>
      <c r="DG159" s="67"/>
      <c r="DH159" s="67"/>
      <c r="DI159" s="67"/>
      <c r="DJ159" s="67"/>
    </row>
    <row r="160" spans="5:114" x14ac:dyDescent="0.25">
      <c r="E160" s="67"/>
      <c r="G160" s="67"/>
      <c r="H160" s="67"/>
      <c r="I160" s="67"/>
      <c r="J160" s="67"/>
      <c r="K160" s="67"/>
      <c r="L160" s="67"/>
      <c r="M160" s="67"/>
      <c r="N160" s="67"/>
      <c r="O160" s="67"/>
      <c r="P160" s="67"/>
      <c r="Q160" s="67"/>
      <c r="R160" s="67"/>
      <c r="S160" s="67"/>
      <c r="T160" s="67"/>
      <c r="U160" s="67"/>
      <c r="V160" s="67"/>
      <c r="W160" s="67"/>
      <c r="X160" s="67"/>
      <c r="Y160" s="67"/>
      <c r="Z160" s="67"/>
      <c r="AA160" s="67"/>
      <c r="AB160" s="67"/>
      <c r="AC160" s="67"/>
      <c r="AD160" s="67"/>
      <c r="AE160" s="67"/>
      <c r="AF160" s="67"/>
      <c r="AG160" s="67"/>
      <c r="AH160" s="67"/>
      <c r="AI160" s="67"/>
      <c r="AJ160" s="67"/>
      <c r="AK160" s="67"/>
      <c r="AL160" s="67"/>
      <c r="AM160" s="67"/>
      <c r="AN160" s="67"/>
      <c r="AO160" s="67"/>
      <c r="AP160" s="67"/>
      <c r="AQ160" s="67"/>
      <c r="AR160" s="67"/>
      <c r="AS160" s="67"/>
      <c r="AT160" s="67"/>
      <c r="AU160" s="67"/>
      <c r="AV160" s="67"/>
      <c r="AW160" s="67"/>
      <c r="AX160" s="67"/>
      <c r="AY160" s="67"/>
      <c r="AZ160" s="67"/>
      <c r="BA160" s="67"/>
      <c r="BB160" s="67"/>
      <c r="BC160" s="67"/>
      <c r="BD160" s="67"/>
      <c r="BE160" s="67"/>
      <c r="BF160" s="67"/>
      <c r="BG160" s="67"/>
      <c r="BH160" s="70"/>
      <c r="BJ160" s="67"/>
      <c r="BK160" s="67"/>
      <c r="BL160" s="67"/>
      <c r="BM160" s="67"/>
      <c r="BN160" s="67"/>
      <c r="BO160" s="67"/>
      <c r="BP160" s="67"/>
      <c r="BQ160" s="67"/>
      <c r="BR160" s="67"/>
      <c r="BS160" s="67"/>
      <c r="BT160" s="67"/>
      <c r="BU160" s="67"/>
      <c r="BV160" s="67"/>
      <c r="BW160" s="67"/>
      <c r="BX160" s="67"/>
      <c r="BY160" s="67"/>
      <c r="BZ160" s="67"/>
      <c r="CA160" s="67"/>
      <c r="CB160" s="67"/>
      <c r="CC160" s="67"/>
      <c r="CD160" s="67"/>
      <c r="CE160" s="67"/>
      <c r="CF160" s="67"/>
      <c r="CG160" s="67"/>
      <c r="CH160" s="67"/>
      <c r="CI160" s="67"/>
      <c r="CJ160" s="67"/>
      <c r="CK160" s="67"/>
      <c r="CL160" s="67"/>
      <c r="CM160" s="67"/>
      <c r="CN160" s="67"/>
      <c r="CO160" s="67"/>
      <c r="CP160" s="67"/>
      <c r="CQ160" s="67"/>
      <c r="CR160" s="67"/>
      <c r="CS160" s="67"/>
      <c r="CT160" s="67"/>
      <c r="CU160" s="67"/>
      <c r="CV160" s="67"/>
      <c r="CW160" s="67"/>
      <c r="CX160" s="67"/>
      <c r="CY160" s="67"/>
      <c r="CZ160" s="67"/>
      <c r="DA160" s="67"/>
      <c r="DB160" s="67"/>
      <c r="DC160" s="67"/>
      <c r="DD160" s="67"/>
      <c r="DE160" s="67"/>
      <c r="DF160" s="67"/>
      <c r="DG160" s="67"/>
      <c r="DH160" s="67"/>
      <c r="DI160" s="67"/>
      <c r="DJ160" s="67"/>
    </row>
    <row r="161" spans="5:114" x14ac:dyDescent="0.25">
      <c r="E161" s="67"/>
      <c r="G161" s="67"/>
      <c r="H161" s="67"/>
      <c r="I161" s="67"/>
      <c r="J161" s="67"/>
      <c r="K161" s="67"/>
      <c r="L161" s="67"/>
      <c r="M161" s="67"/>
      <c r="N161" s="67"/>
      <c r="O161" s="67"/>
      <c r="P161" s="67"/>
      <c r="Q161" s="67"/>
      <c r="R161" s="67"/>
      <c r="S161" s="67"/>
      <c r="T161" s="67"/>
      <c r="U161" s="67"/>
      <c r="V161" s="67"/>
      <c r="W161" s="67"/>
      <c r="X161" s="67"/>
      <c r="Y161" s="67"/>
      <c r="Z161" s="67"/>
      <c r="AA161" s="67"/>
      <c r="AB161" s="67"/>
      <c r="AC161" s="67"/>
      <c r="AD161" s="67"/>
      <c r="AE161" s="67"/>
      <c r="AF161" s="67"/>
      <c r="AG161" s="67"/>
      <c r="AH161" s="67"/>
      <c r="AI161" s="67"/>
      <c r="AJ161" s="67"/>
      <c r="AK161" s="67"/>
      <c r="AL161" s="67"/>
      <c r="AM161" s="67"/>
      <c r="AN161" s="67"/>
      <c r="AO161" s="67"/>
      <c r="AP161" s="67"/>
      <c r="AQ161" s="67"/>
      <c r="AR161" s="67"/>
      <c r="AS161" s="67"/>
      <c r="AT161" s="67"/>
      <c r="AU161" s="67"/>
      <c r="AV161" s="67"/>
      <c r="AW161" s="67"/>
      <c r="AX161" s="67"/>
      <c r="AY161" s="67"/>
      <c r="AZ161" s="67"/>
      <c r="BA161" s="67"/>
      <c r="BB161" s="67"/>
      <c r="BC161" s="67"/>
      <c r="BD161" s="67"/>
      <c r="BE161" s="67"/>
      <c r="BF161" s="67"/>
      <c r="BG161" s="67"/>
      <c r="BH161" s="70"/>
      <c r="BJ161" s="67"/>
      <c r="BK161" s="67"/>
      <c r="BL161" s="67"/>
      <c r="BM161" s="67"/>
      <c r="BN161" s="67"/>
      <c r="BO161" s="67"/>
      <c r="BP161" s="67"/>
      <c r="BQ161" s="67"/>
      <c r="BR161" s="67"/>
      <c r="BS161" s="67"/>
      <c r="BT161" s="67"/>
      <c r="BU161" s="67"/>
      <c r="BV161" s="67"/>
      <c r="BW161" s="67"/>
      <c r="BX161" s="67"/>
      <c r="BY161" s="67"/>
      <c r="BZ161" s="67"/>
      <c r="CA161" s="67"/>
      <c r="CB161" s="67"/>
      <c r="CC161" s="67"/>
      <c r="CD161" s="67"/>
      <c r="CE161" s="67"/>
      <c r="CF161" s="67"/>
      <c r="CG161" s="67"/>
      <c r="CH161" s="67"/>
      <c r="CI161" s="67"/>
      <c r="CJ161" s="67"/>
      <c r="CK161" s="67"/>
      <c r="CL161" s="67"/>
      <c r="CM161" s="67"/>
      <c r="CN161" s="67"/>
      <c r="CO161" s="67"/>
      <c r="CP161" s="67"/>
      <c r="CQ161" s="67"/>
      <c r="CR161" s="67"/>
      <c r="CS161" s="67"/>
      <c r="CT161" s="67"/>
      <c r="CU161" s="67"/>
      <c r="CV161" s="67"/>
      <c r="CW161" s="67"/>
      <c r="CX161" s="67"/>
      <c r="CY161" s="67"/>
      <c r="CZ161" s="67"/>
      <c r="DA161" s="67"/>
      <c r="DB161" s="67"/>
      <c r="DC161" s="67"/>
      <c r="DD161" s="67"/>
      <c r="DE161" s="67"/>
      <c r="DF161" s="67"/>
      <c r="DG161" s="67"/>
      <c r="DH161" s="67"/>
      <c r="DI161" s="67"/>
      <c r="DJ161" s="67"/>
    </row>
    <row r="162" spans="5:114" x14ac:dyDescent="0.25">
      <c r="E162" s="67"/>
      <c r="G162" s="67"/>
      <c r="H162" s="67"/>
      <c r="I162" s="67"/>
      <c r="J162" s="67"/>
      <c r="K162" s="67"/>
      <c r="L162" s="67"/>
      <c r="M162" s="67"/>
      <c r="N162" s="67"/>
      <c r="O162" s="67"/>
      <c r="P162" s="67"/>
      <c r="Q162" s="67"/>
      <c r="R162" s="67"/>
      <c r="S162" s="67"/>
      <c r="T162" s="67"/>
      <c r="U162" s="67"/>
      <c r="V162" s="67"/>
      <c r="W162" s="67"/>
      <c r="X162" s="67"/>
      <c r="Y162" s="67"/>
      <c r="Z162" s="67"/>
      <c r="AA162" s="67"/>
      <c r="AB162" s="67"/>
      <c r="AC162" s="67"/>
      <c r="AD162" s="67"/>
      <c r="AE162" s="67"/>
      <c r="AF162" s="67"/>
      <c r="AG162" s="67"/>
      <c r="AH162" s="67"/>
      <c r="AI162" s="67"/>
      <c r="AJ162" s="67"/>
      <c r="AK162" s="67"/>
      <c r="AL162" s="67"/>
      <c r="AM162" s="67"/>
      <c r="AN162" s="67"/>
      <c r="AO162" s="67"/>
      <c r="AP162" s="67"/>
      <c r="AQ162" s="67"/>
      <c r="AR162" s="67"/>
      <c r="AS162" s="67"/>
      <c r="AT162" s="67"/>
      <c r="AU162" s="67"/>
      <c r="AV162" s="67"/>
      <c r="AW162" s="67"/>
      <c r="AX162" s="67"/>
      <c r="AY162" s="67"/>
      <c r="AZ162" s="67"/>
      <c r="BA162" s="67"/>
      <c r="BB162" s="67"/>
      <c r="BC162" s="67"/>
      <c r="BD162" s="67"/>
      <c r="BE162" s="67"/>
      <c r="BF162" s="67"/>
      <c r="BG162" s="67"/>
      <c r="BH162" s="70"/>
      <c r="BJ162" s="67"/>
      <c r="BK162" s="67"/>
      <c r="BL162" s="67"/>
      <c r="BM162" s="67"/>
      <c r="BN162" s="67"/>
      <c r="BO162" s="67"/>
      <c r="BP162" s="67"/>
      <c r="BQ162" s="67"/>
      <c r="BR162" s="67"/>
      <c r="BS162" s="67"/>
      <c r="BT162" s="67"/>
      <c r="BU162" s="67"/>
      <c r="BV162" s="67"/>
      <c r="BW162" s="67"/>
      <c r="BX162" s="67"/>
      <c r="BY162" s="67"/>
      <c r="BZ162" s="67"/>
      <c r="CA162" s="67"/>
      <c r="CB162" s="67"/>
      <c r="CC162" s="67"/>
      <c r="CD162" s="67"/>
      <c r="CE162" s="67"/>
      <c r="CF162" s="67"/>
      <c r="CG162" s="67"/>
      <c r="CH162" s="67"/>
      <c r="CI162" s="67"/>
      <c r="CJ162" s="67"/>
      <c r="CK162" s="67"/>
      <c r="CL162" s="67"/>
      <c r="CM162" s="67"/>
      <c r="CN162" s="67"/>
      <c r="CO162" s="67"/>
      <c r="CP162" s="67"/>
      <c r="CQ162" s="67"/>
      <c r="CR162" s="67"/>
      <c r="CS162" s="67"/>
      <c r="CT162" s="67"/>
      <c r="CU162" s="67"/>
      <c r="CV162" s="67"/>
      <c r="CW162" s="67"/>
      <c r="CX162" s="67"/>
      <c r="CY162" s="67"/>
      <c r="CZ162" s="67"/>
      <c r="DA162" s="67"/>
      <c r="DB162" s="67"/>
      <c r="DC162" s="67"/>
      <c r="DD162" s="67"/>
      <c r="DE162" s="67"/>
      <c r="DF162" s="67"/>
      <c r="DG162" s="67"/>
      <c r="DH162" s="67"/>
      <c r="DI162" s="67"/>
      <c r="DJ162" s="67"/>
    </row>
    <row r="163" spans="5:114" x14ac:dyDescent="0.25">
      <c r="E163" s="67"/>
      <c r="G163" s="67"/>
      <c r="H163" s="67"/>
      <c r="I163" s="67"/>
      <c r="J163" s="67"/>
      <c r="K163" s="67"/>
      <c r="L163" s="67"/>
      <c r="M163" s="67"/>
      <c r="N163" s="67"/>
      <c r="O163" s="67"/>
      <c r="P163" s="67"/>
      <c r="Q163" s="67"/>
      <c r="R163" s="67"/>
      <c r="S163" s="67"/>
      <c r="T163" s="67"/>
      <c r="U163" s="67"/>
      <c r="V163" s="67"/>
      <c r="W163" s="67"/>
      <c r="X163" s="67"/>
      <c r="Y163" s="67"/>
      <c r="Z163" s="67"/>
      <c r="AA163" s="67"/>
      <c r="AB163" s="67"/>
      <c r="AC163" s="67"/>
      <c r="AD163" s="67"/>
      <c r="AE163" s="67"/>
      <c r="AF163" s="67"/>
      <c r="AG163" s="67"/>
      <c r="AH163" s="67"/>
      <c r="AI163" s="67"/>
      <c r="AJ163" s="67"/>
      <c r="AK163" s="67"/>
      <c r="AL163" s="67"/>
      <c r="AM163" s="67"/>
      <c r="AN163" s="67"/>
      <c r="AO163" s="67"/>
      <c r="AP163" s="67"/>
      <c r="AQ163" s="67"/>
      <c r="AR163" s="67"/>
      <c r="AS163" s="67"/>
      <c r="AT163" s="67"/>
      <c r="AU163" s="67"/>
      <c r="AV163" s="67"/>
      <c r="AW163" s="67"/>
      <c r="AX163" s="67"/>
      <c r="AY163" s="67"/>
      <c r="AZ163" s="67"/>
      <c r="BA163" s="67"/>
      <c r="BB163" s="67"/>
      <c r="BC163" s="67"/>
      <c r="BD163" s="67"/>
      <c r="BE163" s="67"/>
      <c r="BF163" s="67"/>
      <c r="BG163" s="67"/>
      <c r="BH163" s="70"/>
      <c r="BJ163" s="67"/>
      <c r="BK163" s="67"/>
      <c r="BL163" s="67"/>
      <c r="BM163" s="67"/>
      <c r="BN163" s="67"/>
      <c r="BO163" s="67"/>
      <c r="BP163" s="67"/>
      <c r="BQ163" s="67"/>
      <c r="BR163" s="67"/>
      <c r="BS163" s="67"/>
      <c r="BT163" s="67"/>
      <c r="BU163" s="67"/>
      <c r="BV163" s="67"/>
      <c r="BW163" s="67"/>
      <c r="BX163" s="67"/>
      <c r="BY163" s="67"/>
      <c r="BZ163" s="67"/>
      <c r="CA163" s="67"/>
      <c r="CB163" s="67"/>
      <c r="CC163" s="67"/>
      <c r="CD163" s="67"/>
      <c r="CE163" s="67"/>
      <c r="CF163" s="67"/>
      <c r="CG163" s="67"/>
      <c r="CH163" s="67"/>
      <c r="CI163" s="67"/>
      <c r="CJ163" s="67"/>
      <c r="CK163" s="67"/>
      <c r="CL163" s="67"/>
      <c r="CM163" s="67"/>
      <c r="CN163" s="67"/>
      <c r="CO163" s="67"/>
      <c r="CP163" s="67"/>
      <c r="CQ163" s="67"/>
      <c r="CR163" s="67"/>
      <c r="CS163" s="67"/>
      <c r="CT163" s="67"/>
      <c r="CU163" s="67"/>
      <c r="CV163" s="67"/>
      <c r="CW163" s="67"/>
      <c r="CX163" s="67"/>
      <c r="CY163" s="67"/>
      <c r="CZ163" s="67"/>
      <c r="DA163" s="67"/>
      <c r="DB163" s="67"/>
      <c r="DC163" s="67"/>
      <c r="DD163" s="67"/>
      <c r="DE163" s="67"/>
      <c r="DF163" s="67"/>
      <c r="DG163" s="67"/>
      <c r="DH163" s="67"/>
      <c r="DI163" s="67"/>
      <c r="DJ163" s="67"/>
    </row>
    <row r="164" spans="5:114" x14ac:dyDescent="0.25">
      <c r="E164" s="67"/>
      <c r="G164" s="67"/>
      <c r="H164" s="67"/>
      <c r="I164" s="67"/>
      <c r="J164" s="67"/>
      <c r="K164" s="67"/>
      <c r="L164" s="67"/>
      <c r="M164" s="67"/>
      <c r="N164" s="67"/>
      <c r="O164" s="67"/>
      <c r="P164" s="67"/>
      <c r="Q164" s="67"/>
      <c r="R164" s="67"/>
      <c r="S164" s="67"/>
      <c r="T164" s="67"/>
      <c r="U164" s="67"/>
      <c r="V164" s="67"/>
      <c r="W164" s="67"/>
      <c r="X164" s="67"/>
      <c r="Y164" s="67"/>
      <c r="Z164" s="67"/>
      <c r="AA164" s="67"/>
      <c r="AB164" s="67"/>
      <c r="AC164" s="67"/>
      <c r="AD164" s="67"/>
      <c r="AE164" s="67"/>
      <c r="AF164" s="67"/>
      <c r="AG164" s="67"/>
      <c r="AH164" s="67"/>
      <c r="AI164" s="67"/>
      <c r="AJ164" s="67"/>
      <c r="AK164" s="67"/>
      <c r="AL164" s="67"/>
      <c r="AM164" s="67"/>
      <c r="AN164" s="67"/>
      <c r="AO164" s="67"/>
      <c r="AP164" s="67"/>
      <c r="AQ164" s="67"/>
      <c r="AR164" s="67"/>
      <c r="AS164" s="67"/>
      <c r="AT164" s="67"/>
      <c r="AU164" s="67"/>
      <c r="AV164" s="67"/>
      <c r="AW164" s="67"/>
      <c r="AX164" s="67"/>
      <c r="AY164" s="67"/>
      <c r="AZ164" s="67"/>
      <c r="BA164" s="67"/>
      <c r="BB164" s="67"/>
      <c r="BC164" s="67"/>
      <c r="BD164" s="67"/>
      <c r="BE164" s="67"/>
      <c r="BF164" s="67"/>
      <c r="BG164" s="67"/>
      <c r="BH164" s="70"/>
      <c r="BJ164" s="67"/>
      <c r="BK164" s="67"/>
      <c r="BL164" s="67"/>
      <c r="BM164" s="67"/>
      <c r="BN164" s="67"/>
      <c r="BO164" s="67"/>
      <c r="BP164" s="67"/>
      <c r="BQ164" s="67"/>
      <c r="BR164" s="67"/>
      <c r="BS164" s="67"/>
      <c r="BT164" s="67"/>
      <c r="BU164" s="67"/>
      <c r="BV164" s="67"/>
      <c r="BW164" s="67"/>
      <c r="BX164" s="67"/>
      <c r="BY164" s="67"/>
      <c r="BZ164" s="67"/>
      <c r="CA164" s="67"/>
      <c r="CB164" s="67"/>
      <c r="CC164" s="67"/>
      <c r="CD164" s="67"/>
      <c r="CE164" s="67"/>
      <c r="CF164" s="67"/>
      <c r="CG164" s="67"/>
      <c r="CH164" s="67"/>
      <c r="CI164" s="67"/>
      <c r="CJ164" s="67"/>
      <c r="CK164" s="67"/>
      <c r="CL164" s="67"/>
      <c r="CM164" s="67"/>
      <c r="CN164" s="67"/>
      <c r="CO164" s="67"/>
      <c r="CP164" s="67"/>
      <c r="CQ164" s="67"/>
      <c r="CR164" s="67"/>
      <c r="CS164" s="67"/>
      <c r="CT164" s="67"/>
      <c r="CU164" s="67"/>
      <c r="CV164" s="67"/>
      <c r="CW164" s="67"/>
      <c r="CX164" s="67"/>
      <c r="CY164" s="67"/>
      <c r="CZ164" s="67"/>
      <c r="DA164" s="67"/>
      <c r="DB164" s="67"/>
      <c r="DC164" s="67"/>
      <c r="DD164" s="67"/>
      <c r="DE164" s="67"/>
      <c r="DF164" s="67"/>
      <c r="DG164" s="67"/>
      <c r="DH164" s="67"/>
      <c r="DI164" s="67"/>
      <c r="DJ164" s="67"/>
    </row>
    <row r="165" spans="5:114" x14ac:dyDescent="0.25">
      <c r="E165" s="67"/>
      <c r="G165" s="67"/>
      <c r="H165" s="67"/>
      <c r="I165" s="67"/>
      <c r="J165" s="67"/>
      <c r="K165" s="67"/>
      <c r="L165" s="67"/>
      <c r="M165" s="67"/>
      <c r="N165" s="67"/>
      <c r="O165" s="67"/>
      <c r="P165" s="67"/>
      <c r="Q165" s="67"/>
      <c r="R165" s="67"/>
      <c r="S165" s="67"/>
      <c r="T165" s="67"/>
      <c r="U165" s="67"/>
      <c r="V165" s="67"/>
      <c r="W165" s="67"/>
      <c r="X165" s="67"/>
      <c r="Y165" s="67"/>
      <c r="Z165" s="67"/>
      <c r="AA165" s="67"/>
      <c r="AB165" s="67"/>
      <c r="AC165" s="67"/>
      <c r="AD165" s="67"/>
      <c r="AE165" s="67"/>
      <c r="AF165" s="67"/>
      <c r="AG165" s="67"/>
      <c r="AH165" s="67"/>
      <c r="AI165" s="67"/>
      <c r="AJ165" s="67"/>
      <c r="AK165" s="67"/>
      <c r="AL165" s="67"/>
      <c r="AM165" s="67"/>
      <c r="AN165" s="67"/>
      <c r="AO165" s="67"/>
      <c r="AP165" s="67"/>
      <c r="AQ165" s="67"/>
      <c r="AR165" s="67"/>
      <c r="AS165" s="67"/>
      <c r="AT165" s="67"/>
      <c r="AU165" s="67"/>
      <c r="AV165" s="67"/>
      <c r="AW165" s="67"/>
      <c r="AX165" s="67"/>
      <c r="AY165" s="67"/>
      <c r="AZ165" s="67"/>
      <c r="BA165" s="67"/>
      <c r="BB165" s="67"/>
      <c r="BC165" s="67"/>
      <c r="BD165" s="67"/>
      <c r="BE165" s="67"/>
      <c r="BF165" s="67"/>
      <c r="BG165" s="67"/>
      <c r="BH165" s="70"/>
      <c r="BJ165" s="67"/>
      <c r="BK165" s="67"/>
      <c r="BL165" s="67"/>
      <c r="BM165" s="67"/>
      <c r="BN165" s="67"/>
      <c r="BO165" s="67"/>
      <c r="BP165" s="67"/>
      <c r="BQ165" s="67"/>
      <c r="BR165" s="67"/>
      <c r="BS165" s="67"/>
      <c r="BT165" s="67"/>
      <c r="BU165" s="67"/>
      <c r="BV165" s="67"/>
      <c r="BW165" s="67"/>
      <c r="BX165" s="67"/>
      <c r="BY165" s="67"/>
      <c r="BZ165" s="67"/>
      <c r="CA165" s="67"/>
      <c r="CB165" s="67"/>
      <c r="CC165" s="67"/>
      <c r="CD165" s="67"/>
      <c r="CE165" s="67"/>
      <c r="CF165" s="67"/>
      <c r="CG165" s="67"/>
      <c r="CH165" s="67"/>
      <c r="CI165" s="67"/>
      <c r="CJ165" s="67"/>
      <c r="CK165" s="67"/>
      <c r="CL165" s="67"/>
      <c r="CM165" s="67"/>
      <c r="CN165" s="67"/>
      <c r="CO165" s="67"/>
      <c r="CP165" s="67"/>
      <c r="CQ165" s="67"/>
      <c r="CR165" s="67"/>
      <c r="CS165" s="67"/>
      <c r="CT165" s="67"/>
      <c r="CU165" s="67"/>
      <c r="CV165" s="67"/>
      <c r="CW165" s="67"/>
      <c r="CX165" s="67"/>
      <c r="CY165" s="67"/>
      <c r="CZ165" s="67"/>
      <c r="DA165" s="67"/>
      <c r="DB165" s="67"/>
      <c r="DC165" s="67"/>
      <c r="DD165" s="67"/>
      <c r="DE165" s="67"/>
      <c r="DF165" s="67"/>
      <c r="DG165" s="67"/>
      <c r="DH165" s="67"/>
      <c r="DI165" s="67"/>
      <c r="DJ165" s="67"/>
    </row>
    <row r="166" spans="5:114" x14ac:dyDescent="0.25">
      <c r="E166" s="67"/>
      <c r="G166" s="67"/>
      <c r="H166" s="67"/>
      <c r="I166" s="67"/>
      <c r="J166" s="67"/>
      <c r="K166" s="67"/>
      <c r="L166" s="67"/>
      <c r="M166" s="67"/>
      <c r="N166" s="67"/>
      <c r="O166" s="67"/>
      <c r="P166" s="67"/>
      <c r="Q166" s="67"/>
      <c r="R166" s="67"/>
      <c r="S166" s="67"/>
      <c r="T166" s="67"/>
      <c r="U166" s="67"/>
      <c r="V166" s="67"/>
      <c r="W166" s="67"/>
      <c r="X166" s="67"/>
      <c r="Y166" s="67"/>
      <c r="Z166" s="67"/>
      <c r="AA166" s="67"/>
      <c r="AB166" s="67"/>
      <c r="AC166" s="67"/>
      <c r="AD166" s="67"/>
      <c r="AE166" s="67"/>
      <c r="AF166" s="67"/>
      <c r="AG166" s="67"/>
      <c r="AH166" s="67"/>
      <c r="AI166" s="67"/>
      <c r="AJ166" s="67"/>
      <c r="AK166" s="67"/>
      <c r="AL166" s="67"/>
      <c r="AM166" s="67"/>
      <c r="AN166" s="67"/>
      <c r="AO166" s="67"/>
      <c r="AP166" s="67"/>
      <c r="AQ166" s="67"/>
      <c r="AR166" s="67"/>
      <c r="AS166" s="67"/>
      <c r="AT166" s="67"/>
      <c r="AU166" s="67"/>
      <c r="AV166" s="67"/>
      <c r="AW166" s="67"/>
      <c r="AX166" s="67"/>
      <c r="AY166" s="67"/>
      <c r="AZ166" s="67"/>
      <c r="BA166" s="67"/>
      <c r="BB166" s="67"/>
      <c r="BC166" s="67"/>
      <c r="BD166" s="67"/>
      <c r="BE166" s="67"/>
      <c r="BF166" s="67"/>
      <c r="BG166" s="67"/>
      <c r="BH166" s="70"/>
      <c r="BJ166" s="67"/>
      <c r="BK166" s="67"/>
      <c r="BL166" s="67"/>
      <c r="BM166" s="67"/>
      <c r="BN166" s="67"/>
      <c r="BO166" s="67"/>
      <c r="BP166" s="67"/>
      <c r="BQ166" s="67"/>
      <c r="BR166" s="67"/>
      <c r="BS166" s="67"/>
      <c r="BT166" s="67"/>
      <c r="BU166" s="67"/>
      <c r="BV166" s="67"/>
      <c r="BW166" s="67"/>
      <c r="BX166" s="67"/>
      <c r="BY166" s="67"/>
      <c r="BZ166" s="67"/>
      <c r="CA166" s="67"/>
      <c r="CB166" s="67"/>
      <c r="CC166" s="67"/>
      <c r="CD166" s="67"/>
      <c r="CE166" s="67"/>
      <c r="CF166" s="67"/>
      <c r="CG166" s="67"/>
      <c r="CH166" s="67"/>
      <c r="CI166" s="67"/>
      <c r="CJ166" s="67"/>
      <c r="CK166" s="67"/>
      <c r="CL166" s="67"/>
      <c r="CM166" s="67"/>
      <c r="CN166" s="67"/>
      <c r="CO166" s="67"/>
      <c r="CP166" s="67"/>
      <c r="CQ166" s="67"/>
      <c r="CR166" s="67"/>
      <c r="CS166" s="67"/>
      <c r="CT166" s="67"/>
      <c r="CU166" s="67"/>
      <c r="CV166" s="67"/>
      <c r="CW166" s="67"/>
      <c r="CX166" s="67"/>
      <c r="CY166" s="67"/>
      <c r="CZ166" s="67"/>
      <c r="DA166" s="67"/>
      <c r="DB166" s="67"/>
      <c r="DC166" s="67"/>
      <c r="DD166" s="67"/>
      <c r="DE166" s="67"/>
      <c r="DF166" s="67"/>
      <c r="DG166" s="67"/>
      <c r="DH166" s="67"/>
      <c r="DI166" s="67"/>
      <c r="DJ166" s="67"/>
    </row>
    <row r="167" spans="5:114" x14ac:dyDescent="0.25">
      <c r="E167" s="67"/>
      <c r="G167" s="67"/>
      <c r="H167" s="67"/>
      <c r="I167" s="67"/>
      <c r="J167" s="67"/>
      <c r="K167" s="67"/>
      <c r="L167" s="67"/>
      <c r="M167" s="67"/>
      <c r="N167" s="67"/>
      <c r="O167" s="67"/>
      <c r="P167" s="67"/>
      <c r="Q167" s="67"/>
      <c r="R167" s="67"/>
      <c r="S167" s="67"/>
      <c r="T167" s="67"/>
      <c r="U167" s="67"/>
      <c r="V167" s="67"/>
      <c r="W167" s="67"/>
      <c r="X167" s="67"/>
      <c r="Y167" s="67"/>
      <c r="Z167" s="67"/>
      <c r="AA167" s="67"/>
      <c r="AB167" s="67"/>
      <c r="AC167" s="67"/>
      <c r="AD167" s="67"/>
      <c r="AE167" s="67"/>
      <c r="AF167" s="67"/>
      <c r="AG167" s="67"/>
      <c r="AH167" s="67"/>
      <c r="AI167" s="67"/>
      <c r="AJ167" s="67"/>
      <c r="AK167" s="67"/>
      <c r="AL167" s="67"/>
      <c r="AM167" s="67"/>
      <c r="AN167" s="67"/>
      <c r="AO167" s="67"/>
      <c r="AP167" s="67"/>
      <c r="AQ167" s="67"/>
      <c r="AR167" s="67"/>
      <c r="AS167" s="67"/>
      <c r="AT167" s="67"/>
      <c r="AU167" s="67"/>
      <c r="AV167" s="67"/>
      <c r="AW167" s="67"/>
      <c r="AX167" s="67"/>
      <c r="AY167" s="67"/>
      <c r="AZ167" s="67"/>
      <c r="BA167" s="67"/>
      <c r="BB167" s="67"/>
      <c r="BC167" s="67"/>
      <c r="BD167" s="67"/>
      <c r="BE167" s="67"/>
      <c r="BF167" s="67"/>
      <c r="BG167" s="67"/>
      <c r="BH167" s="70"/>
      <c r="BJ167" s="67"/>
      <c r="BK167" s="67"/>
      <c r="BL167" s="67"/>
      <c r="BM167" s="67"/>
      <c r="BN167" s="67"/>
      <c r="BO167" s="67"/>
      <c r="BP167" s="67"/>
      <c r="BQ167" s="67"/>
      <c r="BR167" s="67"/>
      <c r="BS167" s="67"/>
      <c r="BT167" s="67"/>
      <c r="BU167" s="67"/>
      <c r="BV167" s="67"/>
      <c r="BW167" s="67"/>
      <c r="BX167" s="67"/>
      <c r="BY167" s="67"/>
      <c r="BZ167" s="67"/>
      <c r="CA167" s="67"/>
      <c r="CB167" s="67"/>
      <c r="CC167" s="67"/>
      <c r="CD167" s="67"/>
      <c r="CE167" s="67"/>
      <c r="CF167" s="67"/>
      <c r="CG167" s="67"/>
      <c r="CH167" s="67"/>
      <c r="CI167" s="67"/>
      <c r="CJ167" s="67"/>
      <c r="CK167" s="67"/>
      <c r="CL167" s="67"/>
      <c r="CM167" s="67"/>
      <c r="CN167" s="67"/>
      <c r="CO167" s="67"/>
      <c r="CP167" s="67"/>
      <c r="CQ167" s="67"/>
      <c r="CR167" s="67"/>
      <c r="CS167" s="67"/>
      <c r="CT167" s="67"/>
      <c r="CU167" s="67"/>
      <c r="CV167" s="67"/>
      <c r="CW167" s="67"/>
      <c r="CX167" s="67"/>
      <c r="CY167" s="67"/>
      <c r="CZ167" s="67"/>
      <c r="DA167" s="67"/>
      <c r="DB167" s="67"/>
      <c r="DC167" s="67"/>
      <c r="DD167" s="67"/>
      <c r="DE167" s="67"/>
      <c r="DF167" s="67"/>
      <c r="DG167" s="67"/>
      <c r="DH167" s="67"/>
      <c r="DI167" s="67"/>
      <c r="DJ167" s="67"/>
    </row>
    <row r="168" spans="5:114" x14ac:dyDescent="0.25">
      <c r="E168" s="67"/>
      <c r="G168" s="67"/>
      <c r="H168" s="67"/>
      <c r="I168" s="67"/>
      <c r="J168" s="67"/>
      <c r="K168" s="67"/>
      <c r="L168" s="67"/>
      <c r="M168" s="67"/>
      <c r="N168" s="67"/>
      <c r="O168" s="67"/>
      <c r="P168" s="67"/>
      <c r="Q168" s="67"/>
      <c r="R168" s="67"/>
      <c r="S168" s="67"/>
      <c r="T168" s="67"/>
      <c r="U168" s="67"/>
      <c r="V168" s="67"/>
      <c r="W168" s="67"/>
      <c r="X168" s="67"/>
      <c r="Y168" s="67"/>
      <c r="Z168" s="67"/>
      <c r="AA168" s="67"/>
      <c r="AB168" s="67"/>
      <c r="AC168" s="67"/>
      <c r="AD168" s="67"/>
      <c r="AE168" s="67"/>
      <c r="AF168" s="67"/>
      <c r="AG168" s="67"/>
      <c r="AH168" s="67"/>
      <c r="AI168" s="67"/>
      <c r="AJ168" s="67"/>
      <c r="AK168" s="67"/>
      <c r="AL168" s="67"/>
      <c r="AM168" s="67"/>
      <c r="AN168" s="67"/>
      <c r="AO168" s="67"/>
      <c r="AP168" s="67"/>
      <c r="AQ168" s="67"/>
      <c r="AR168" s="67"/>
      <c r="AS168" s="67"/>
      <c r="AT168" s="67"/>
      <c r="AU168" s="67"/>
      <c r="AV168" s="67"/>
      <c r="AW168" s="67"/>
      <c r="AX168" s="67"/>
      <c r="AY168" s="67"/>
      <c r="AZ168" s="67"/>
      <c r="BA168" s="67"/>
      <c r="BB168" s="67"/>
      <c r="BC168" s="67"/>
      <c r="BD168" s="67"/>
      <c r="BE168" s="67"/>
      <c r="BF168" s="67"/>
      <c r="BG168" s="67"/>
      <c r="BH168" s="70"/>
      <c r="BJ168" s="67"/>
      <c r="BK168" s="67"/>
      <c r="BL168" s="67"/>
      <c r="BM168" s="67"/>
      <c r="BN168" s="67"/>
      <c r="BO168" s="67"/>
      <c r="BP168" s="67"/>
      <c r="BQ168" s="67"/>
      <c r="BR168" s="67"/>
      <c r="BS168" s="67"/>
      <c r="BT168" s="67"/>
      <c r="BU168" s="67"/>
      <c r="BV168" s="67"/>
      <c r="BW168" s="67"/>
      <c r="BX168" s="67"/>
      <c r="BY168" s="67"/>
      <c r="BZ168" s="67"/>
      <c r="CA168" s="67"/>
      <c r="CB168" s="67"/>
      <c r="CC168" s="67"/>
      <c r="CD168" s="67"/>
      <c r="CE168" s="67"/>
      <c r="CF168" s="67"/>
      <c r="CG168" s="67"/>
      <c r="CH168" s="67"/>
      <c r="CI168" s="67"/>
      <c r="CJ168" s="67"/>
      <c r="CK168" s="67"/>
      <c r="CL168" s="67"/>
      <c r="CM168" s="67"/>
      <c r="CN168" s="67"/>
      <c r="CO168" s="67"/>
      <c r="CP168" s="67"/>
      <c r="CQ168" s="67"/>
      <c r="CR168" s="67"/>
      <c r="CS168" s="67"/>
      <c r="CT168" s="67"/>
      <c r="CU168" s="67"/>
      <c r="CV168" s="67"/>
      <c r="CW168" s="67"/>
      <c r="CX168" s="67"/>
      <c r="CY168" s="67"/>
      <c r="CZ168" s="67"/>
      <c r="DA168" s="67"/>
      <c r="DB168" s="67"/>
      <c r="DC168" s="67"/>
      <c r="DD168" s="67"/>
      <c r="DE168" s="67"/>
      <c r="DF168" s="67"/>
      <c r="DG168" s="67"/>
      <c r="DH168" s="67"/>
      <c r="DI168" s="67"/>
      <c r="DJ168" s="67"/>
    </row>
    <row r="169" spans="5:114" x14ac:dyDescent="0.25">
      <c r="E169" s="67"/>
      <c r="G169" s="67"/>
      <c r="H169" s="67"/>
      <c r="I169" s="67"/>
      <c r="J169" s="67"/>
      <c r="K169" s="67"/>
      <c r="L169" s="67"/>
      <c r="M169" s="67"/>
      <c r="N169" s="67"/>
      <c r="O169" s="67"/>
      <c r="P169" s="67"/>
      <c r="Q169" s="67"/>
      <c r="R169" s="67"/>
      <c r="S169" s="67"/>
      <c r="T169" s="67"/>
      <c r="U169" s="67"/>
      <c r="V169" s="67"/>
      <c r="W169" s="67"/>
      <c r="X169" s="67"/>
      <c r="Y169" s="67"/>
      <c r="Z169" s="67"/>
      <c r="AA169" s="67"/>
      <c r="AB169" s="67"/>
      <c r="AC169" s="67"/>
      <c r="AD169" s="67"/>
      <c r="AE169" s="67"/>
      <c r="AF169" s="67"/>
      <c r="AG169" s="67"/>
      <c r="AH169" s="67"/>
      <c r="AI169" s="67"/>
      <c r="AJ169" s="67"/>
      <c r="AK169" s="67"/>
      <c r="AL169" s="67"/>
      <c r="AM169" s="67"/>
      <c r="AN169" s="67"/>
      <c r="AO169" s="67"/>
      <c r="AP169" s="67"/>
      <c r="AQ169" s="67"/>
      <c r="AR169" s="67"/>
      <c r="AS169" s="67"/>
      <c r="AT169" s="67"/>
      <c r="AU169" s="67"/>
      <c r="AV169" s="67"/>
      <c r="AW169" s="67"/>
      <c r="AX169" s="67"/>
      <c r="AY169" s="67"/>
      <c r="AZ169" s="67"/>
      <c r="BA169" s="67"/>
      <c r="BB169" s="67"/>
      <c r="BC169" s="67"/>
      <c r="BD169" s="67"/>
      <c r="BE169" s="67"/>
      <c r="BF169" s="67"/>
      <c r="BG169" s="67"/>
      <c r="BH169" s="70"/>
      <c r="BJ169" s="67"/>
      <c r="BK169" s="67"/>
      <c r="BL169" s="67"/>
      <c r="BM169" s="67"/>
      <c r="BN169" s="67"/>
      <c r="BO169" s="67"/>
      <c r="BP169" s="67"/>
      <c r="BQ169" s="67"/>
      <c r="BR169" s="67"/>
      <c r="BS169" s="67"/>
      <c r="BT169" s="67"/>
      <c r="BU169" s="67"/>
      <c r="BV169" s="67"/>
      <c r="BW169" s="67"/>
      <c r="BX169" s="67"/>
      <c r="BY169" s="67"/>
      <c r="BZ169" s="67"/>
      <c r="CA169" s="67"/>
      <c r="CB169" s="67"/>
      <c r="CC169" s="67"/>
      <c r="CD169" s="67"/>
      <c r="CE169" s="67"/>
      <c r="CF169" s="67"/>
      <c r="CG169" s="67"/>
      <c r="CH169" s="67"/>
      <c r="CI169" s="67"/>
      <c r="CJ169" s="67"/>
      <c r="CK169" s="67"/>
      <c r="CL169" s="67"/>
      <c r="CM169" s="67"/>
      <c r="CN169" s="67"/>
      <c r="CO169" s="67"/>
      <c r="CP169" s="67"/>
      <c r="CQ169" s="67"/>
      <c r="CR169" s="67"/>
      <c r="CS169" s="67"/>
      <c r="CT169" s="67"/>
      <c r="CU169" s="67"/>
      <c r="CV169" s="67"/>
      <c r="CW169" s="67"/>
      <c r="CX169" s="67"/>
      <c r="CY169" s="67"/>
      <c r="CZ169" s="67"/>
      <c r="DA169" s="67"/>
      <c r="DB169" s="67"/>
      <c r="DC169" s="67"/>
      <c r="DD169" s="67"/>
      <c r="DE169" s="67"/>
      <c r="DF169" s="67"/>
      <c r="DG169" s="67"/>
      <c r="DH169" s="67"/>
      <c r="DI169" s="67"/>
      <c r="DJ169" s="67"/>
    </row>
    <row r="170" spans="5:114" x14ac:dyDescent="0.25">
      <c r="E170" s="67"/>
      <c r="G170" s="67"/>
      <c r="H170" s="67"/>
      <c r="I170" s="67"/>
      <c r="J170" s="67"/>
      <c r="K170" s="67"/>
      <c r="L170" s="67"/>
      <c r="M170" s="67"/>
      <c r="N170" s="67"/>
      <c r="O170" s="67"/>
      <c r="P170" s="67"/>
      <c r="Q170" s="67"/>
      <c r="R170" s="67"/>
      <c r="S170" s="67"/>
      <c r="T170" s="67"/>
      <c r="U170" s="67"/>
      <c r="V170" s="67"/>
      <c r="W170" s="67"/>
      <c r="X170" s="67"/>
      <c r="Y170" s="67"/>
      <c r="Z170" s="67"/>
      <c r="AA170" s="67"/>
      <c r="AB170" s="67"/>
      <c r="AC170" s="67"/>
      <c r="AD170" s="67"/>
      <c r="AE170" s="67"/>
      <c r="AF170" s="67"/>
      <c r="AG170" s="67"/>
      <c r="AH170" s="67"/>
      <c r="AI170" s="67"/>
      <c r="AJ170" s="67"/>
      <c r="AK170" s="67"/>
      <c r="AL170" s="67"/>
      <c r="AM170" s="67"/>
      <c r="AN170" s="67"/>
      <c r="AO170" s="67"/>
      <c r="AP170" s="67"/>
      <c r="AQ170" s="67"/>
      <c r="AR170" s="67"/>
      <c r="AS170" s="67"/>
      <c r="AT170" s="67"/>
      <c r="AU170" s="67"/>
      <c r="AV170" s="67"/>
      <c r="AW170" s="67"/>
      <c r="AX170" s="67"/>
      <c r="AY170" s="67"/>
      <c r="AZ170" s="67"/>
      <c r="BA170" s="67"/>
      <c r="BB170" s="67"/>
      <c r="BC170" s="67"/>
      <c r="BD170" s="67"/>
      <c r="BE170" s="67"/>
      <c r="BF170" s="67"/>
      <c r="BG170" s="67"/>
      <c r="BH170" s="70"/>
      <c r="BJ170" s="67"/>
      <c r="BK170" s="67"/>
      <c r="BL170" s="67"/>
      <c r="BM170" s="67"/>
      <c r="BN170" s="67"/>
      <c r="BO170" s="67"/>
      <c r="BP170" s="67"/>
      <c r="BQ170" s="67"/>
      <c r="BR170" s="67"/>
      <c r="BS170" s="67"/>
      <c r="BT170" s="67"/>
      <c r="BU170" s="67"/>
      <c r="BV170" s="67"/>
      <c r="BW170" s="67"/>
      <c r="BX170" s="67"/>
      <c r="BY170" s="67"/>
      <c r="BZ170" s="67"/>
      <c r="CA170" s="67"/>
      <c r="CB170" s="67"/>
      <c r="CC170" s="67"/>
      <c r="CD170" s="67"/>
      <c r="CE170" s="67"/>
      <c r="CF170" s="67"/>
      <c r="CG170" s="67"/>
      <c r="CH170" s="67"/>
      <c r="CI170" s="67"/>
      <c r="CJ170" s="67"/>
      <c r="CK170" s="67"/>
      <c r="CL170" s="67"/>
      <c r="CM170" s="67"/>
      <c r="CN170" s="67"/>
      <c r="CO170" s="67"/>
      <c r="CP170" s="67"/>
      <c r="CQ170" s="67"/>
      <c r="CR170" s="67"/>
      <c r="CS170" s="67"/>
      <c r="CT170" s="67"/>
      <c r="CU170" s="67"/>
      <c r="CV170" s="67"/>
      <c r="CW170" s="67"/>
      <c r="CX170" s="67"/>
      <c r="CY170" s="67"/>
      <c r="CZ170" s="67"/>
      <c r="DA170" s="67"/>
      <c r="DB170" s="67"/>
      <c r="DC170" s="67"/>
      <c r="DD170" s="67"/>
      <c r="DE170" s="67"/>
      <c r="DF170" s="67"/>
      <c r="DG170" s="67"/>
      <c r="DH170" s="67"/>
      <c r="DI170" s="67"/>
      <c r="DJ170" s="67"/>
    </row>
    <row r="171" spans="5:114" x14ac:dyDescent="0.25">
      <c r="E171" s="67"/>
      <c r="G171" s="67"/>
      <c r="H171" s="67"/>
      <c r="I171" s="67"/>
      <c r="J171" s="67"/>
      <c r="K171" s="67"/>
      <c r="L171" s="67"/>
      <c r="M171" s="67"/>
      <c r="N171" s="67"/>
      <c r="O171" s="67"/>
      <c r="P171" s="67"/>
      <c r="Q171" s="67"/>
      <c r="R171" s="67"/>
      <c r="S171" s="67"/>
      <c r="T171" s="67"/>
      <c r="U171" s="67"/>
      <c r="V171" s="67"/>
      <c r="W171" s="67"/>
      <c r="X171" s="67"/>
      <c r="Y171" s="67"/>
      <c r="Z171" s="67"/>
      <c r="AA171" s="67"/>
      <c r="AB171" s="67"/>
      <c r="AC171" s="67"/>
      <c r="AD171" s="67"/>
      <c r="AE171" s="67"/>
      <c r="AF171" s="67"/>
      <c r="AG171" s="67"/>
      <c r="AH171" s="67"/>
      <c r="AI171" s="67"/>
      <c r="AJ171" s="67"/>
      <c r="AK171" s="67"/>
      <c r="AL171" s="67"/>
      <c r="AM171" s="67"/>
      <c r="AN171" s="67"/>
      <c r="AO171" s="67"/>
      <c r="AP171" s="67"/>
      <c r="AQ171" s="67"/>
      <c r="AR171" s="67"/>
      <c r="AS171" s="67"/>
      <c r="AT171" s="67"/>
      <c r="AU171" s="67"/>
      <c r="AV171" s="67"/>
      <c r="AW171" s="67"/>
      <c r="AX171" s="67"/>
      <c r="AY171" s="67"/>
      <c r="AZ171" s="67"/>
      <c r="BA171" s="67"/>
      <c r="BB171" s="67"/>
      <c r="BC171" s="67"/>
      <c r="BD171" s="67"/>
      <c r="BE171" s="67"/>
      <c r="BF171" s="67"/>
      <c r="BG171" s="67"/>
      <c r="BH171" s="70"/>
      <c r="BJ171" s="67"/>
      <c r="BK171" s="67"/>
      <c r="BL171" s="67"/>
      <c r="BM171" s="67"/>
      <c r="BN171" s="67"/>
      <c r="BO171" s="67"/>
      <c r="BP171" s="67"/>
      <c r="BQ171" s="67"/>
      <c r="BR171" s="67"/>
      <c r="BS171" s="67"/>
      <c r="BT171" s="67"/>
      <c r="BU171" s="67"/>
      <c r="BV171" s="67"/>
      <c r="BW171" s="67"/>
      <c r="BX171" s="67"/>
      <c r="BY171" s="67"/>
      <c r="BZ171" s="67"/>
      <c r="CA171" s="67"/>
      <c r="CB171" s="67"/>
      <c r="CC171" s="67"/>
      <c r="CD171" s="67"/>
      <c r="CE171" s="67"/>
      <c r="CF171" s="67"/>
      <c r="CG171" s="67"/>
      <c r="CH171" s="67"/>
      <c r="CI171" s="67"/>
      <c r="CJ171" s="67"/>
      <c r="CK171" s="67"/>
      <c r="CL171" s="67"/>
      <c r="CM171" s="67"/>
      <c r="CN171" s="67"/>
      <c r="CO171" s="67"/>
      <c r="CP171" s="67"/>
      <c r="CQ171" s="67"/>
      <c r="CR171" s="67"/>
      <c r="CS171" s="67"/>
      <c r="CT171" s="67"/>
      <c r="CU171" s="67"/>
      <c r="CV171" s="67"/>
      <c r="CW171" s="67"/>
      <c r="CX171" s="67"/>
      <c r="CY171" s="67"/>
      <c r="CZ171" s="67"/>
      <c r="DA171" s="67"/>
      <c r="DB171" s="67"/>
      <c r="DC171" s="67"/>
      <c r="DD171" s="67"/>
      <c r="DE171" s="67"/>
      <c r="DF171" s="67"/>
      <c r="DG171" s="67"/>
      <c r="DH171" s="67"/>
      <c r="DI171" s="67"/>
      <c r="DJ171" s="67"/>
    </row>
    <row r="172" spans="5:114" x14ac:dyDescent="0.25">
      <c r="E172" s="67"/>
      <c r="G172" s="67"/>
      <c r="H172" s="67"/>
      <c r="I172" s="67"/>
      <c r="J172" s="67"/>
      <c r="K172" s="67"/>
      <c r="L172" s="67"/>
      <c r="M172" s="67"/>
      <c r="N172" s="67"/>
      <c r="O172" s="67"/>
      <c r="P172" s="67"/>
      <c r="Q172" s="67"/>
      <c r="R172" s="67"/>
      <c r="S172" s="67"/>
      <c r="T172" s="67"/>
      <c r="U172" s="67"/>
      <c r="V172" s="67"/>
      <c r="W172" s="67"/>
      <c r="X172" s="67"/>
      <c r="Y172" s="67"/>
      <c r="Z172" s="67"/>
      <c r="AA172" s="67"/>
      <c r="AB172" s="67"/>
      <c r="AC172" s="67"/>
      <c r="AD172" s="67"/>
      <c r="AE172" s="67"/>
      <c r="AF172" s="67"/>
      <c r="AG172" s="67"/>
      <c r="AH172" s="67"/>
      <c r="AI172" s="67"/>
      <c r="AJ172" s="67"/>
      <c r="AK172" s="67"/>
      <c r="AL172" s="67"/>
      <c r="AM172" s="67"/>
      <c r="AN172" s="67"/>
      <c r="AO172" s="67"/>
      <c r="AP172" s="67"/>
      <c r="AQ172" s="67"/>
      <c r="AR172" s="67"/>
      <c r="AS172" s="67"/>
      <c r="AT172" s="67"/>
      <c r="AU172" s="67"/>
      <c r="AV172" s="67"/>
      <c r="AW172" s="67"/>
      <c r="AX172" s="67"/>
      <c r="AY172" s="67"/>
      <c r="AZ172" s="67"/>
      <c r="BA172" s="67"/>
      <c r="BB172" s="67"/>
      <c r="BC172" s="67"/>
      <c r="BD172" s="67"/>
      <c r="BE172" s="67"/>
      <c r="BF172" s="67"/>
      <c r="BG172" s="67"/>
      <c r="BH172" s="70"/>
      <c r="BJ172" s="67"/>
      <c r="BK172" s="67"/>
      <c r="BL172" s="67"/>
      <c r="BM172" s="67"/>
      <c r="BN172" s="67"/>
      <c r="BO172" s="67"/>
      <c r="BP172" s="67"/>
      <c r="BQ172" s="67"/>
      <c r="BR172" s="67"/>
      <c r="BS172" s="67"/>
      <c r="BT172" s="67"/>
      <c r="BU172" s="67"/>
      <c r="BV172" s="67"/>
      <c r="BW172" s="67"/>
      <c r="BX172" s="67"/>
      <c r="BY172" s="67"/>
      <c r="BZ172" s="67"/>
      <c r="CA172" s="67"/>
      <c r="CB172" s="67"/>
      <c r="CC172" s="67"/>
      <c r="CD172" s="67"/>
      <c r="CE172" s="67"/>
      <c r="CF172" s="67"/>
      <c r="CG172" s="67"/>
      <c r="CH172" s="67"/>
      <c r="CI172" s="67"/>
      <c r="CJ172" s="67"/>
      <c r="CK172" s="67"/>
      <c r="CL172" s="67"/>
      <c r="CM172" s="67"/>
      <c r="CN172" s="67"/>
      <c r="CO172" s="67"/>
      <c r="CP172" s="67"/>
      <c r="CQ172" s="67"/>
      <c r="CR172" s="67"/>
      <c r="CS172" s="67"/>
      <c r="CT172" s="67"/>
      <c r="CU172" s="67"/>
      <c r="CV172" s="67"/>
      <c r="CW172" s="67"/>
      <c r="CX172" s="67"/>
      <c r="CY172" s="67"/>
      <c r="CZ172" s="67"/>
      <c r="DA172" s="67"/>
      <c r="DB172" s="67"/>
      <c r="DC172" s="67"/>
      <c r="DD172" s="67"/>
      <c r="DE172" s="67"/>
      <c r="DF172" s="67"/>
      <c r="DG172" s="67"/>
      <c r="DH172" s="67"/>
      <c r="DI172" s="67"/>
      <c r="DJ172" s="67"/>
    </row>
  </sheetData>
  <pageMargins left="0.7" right="0.7" top="0.75" bottom="0.75" header="0.3" footer="0.3"/>
  <pageSetup paperSize="9" orientation="portrait" verticalDpi="0" r:id="rId1"/>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dimension ref="B2:BJ234"/>
  <sheetViews>
    <sheetView showGridLines="0" showRowColHeaders="0" zoomScaleNormal="100" workbookViewId="0">
      <selection activeCell="C14" sqref="C14"/>
    </sheetView>
  </sheetViews>
  <sheetFormatPr defaultColWidth="9" defaultRowHeight="13.8" x14ac:dyDescent="0.25"/>
  <cols>
    <col min="1" max="1" width="0.8984375" style="67" customWidth="1"/>
    <col min="2" max="2" width="19.59765625" style="67" customWidth="1"/>
    <col min="3" max="4" width="10.09765625" style="67" customWidth="1"/>
    <col min="5" max="5" width="5.09765625" style="67" customWidth="1"/>
    <col min="6" max="18" width="2.19921875" style="67" customWidth="1"/>
    <col min="19" max="19" width="2" style="67" customWidth="1"/>
    <col min="20" max="43" width="2.19921875" style="67" customWidth="1"/>
    <col min="44" max="44" width="2" style="67" customWidth="1"/>
    <col min="45" max="57" width="2.19921875" style="67" customWidth="1"/>
    <col min="58" max="64" width="9" style="67" customWidth="1"/>
    <col min="65" max="16384" width="9" style="67"/>
  </cols>
  <sheetData>
    <row r="2" spans="2:62" x14ac:dyDescent="0.25">
      <c r="B2" s="2" t="s">
        <v>510</v>
      </c>
    </row>
    <row r="3" spans="2:62" x14ac:dyDescent="0.25">
      <c r="C3" s="45"/>
      <c r="D3" s="45"/>
    </row>
    <row r="4" spans="2:62" x14ac:dyDescent="0.25">
      <c r="B4" s="67" t="s">
        <v>490</v>
      </c>
      <c r="C4" s="163" t="s">
        <v>19</v>
      </c>
      <c r="D4" s="45"/>
    </row>
    <row r="5" spans="2:62" x14ac:dyDescent="0.25">
      <c r="F5" s="79"/>
      <c r="G5" s="79"/>
      <c r="H5" s="79"/>
      <c r="I5" s="79"/>
      <c r="J5" s="79"/>
      <c r="K5" s="79"/>
      <c r="L5" s="79"/>
      <c r="M5" s="79"/>
      <c r="N5" s="79"/>
      <c r="O5" s="79"/>
      <c r="P5" s="79"/>
      <c r="Q5" s="79"/>
      <c r="R5" s="79"/>
      <c r="S5" s="79"/>
      <c r="T5" s="79"/>
      <c r="U5" s="79"/>
      <c r="V5" s="79"/>
      <c r="W5" s="79"/>
    </row>
    <row r="6" spans="2:62" ht="14.25" customHeight="1" x14ac:dyDescent="0.25">
      <c r="B6" s="67" t="s">
        <v>516</v>
      </c>
      <c r="C6" s="343">
        <f>Capacity!C3</f>
        <v>43934</v>
      </c>
      <c r="D6" s="128"/>
      <c r="E6" s="65"/>
      <c r="F6" s="126"/>
      <c r="G6" s="126"/>
      <c r="H6" s="126"/>
      <c r="I6" s="126"/>
      <c r="J6" s="126"/>
      <c r="K6" s="126"/>
      <c r="L6" s="126"/>
      <c r="M6" s="126"/>
      <c r="N6" s="126"/>
      <c r="O6" s="126"/>
      <c r="P6" s="126"/>
      <c r="Q6" s="126"/>
      <c r="R6" s="126"/>
      <c r="S6" s="126"/>
      <c r="T6" s="126"/>
      <c r="U6" s="126"/>
      <c r="V6" s="126"/>
      <c r="W6" s="126"/>
      <c r="X6" s="126"/>
      <c r="Y6" s="126"/>
      <c r="Z6" s="126"/>
      <c r="AA6" s="126"/>
      <c r="AB6" s="126"/>
      <c r="AC6" s="126"/>
      <c r="AD6" s="126"/>
      <c r="AE6" s="126"/>
      <c r="AF6" s="126"/>
      <c r="AG6" s="126"/>
      <c r="AH6" s="126"/>
      <c r="AI6" s="126"/>
      <c r="AJ6" s="126"/>
      <c r="AK6" s="126"/>
      <c r="AL6" s="126"/>
      <c r="AM6" s="126"/>
      <c r="AN6" s="126"/>
      <c r="AO6" s="126"/>
      <c r="AP6" s="126"/>
      <c r="AQ6" s="126"/>
      <c r="AR6" s="126"/>
      <c r="AS6" s="126"/>
      <c r="AT6" s="126"/>
      <c r="AU6" s="126"/>
      <c r="AV6" s="126"/>
      <c r="AW6" s="126"/>
      <c r="AX6" s="126"/>
      <c r="AY6" s="126"/>
      <c r="AZ6" s="126"/>
      <c r="BA6" s="126"/>
      <c r="BB6" s="126"/>
      <c r="BC6" s="126"/>
      <c r="BD6" s="126"/>
      <c r="BE6" s="126"/>
      <c r="BF6" s="126"/>
      <c r="BG6" s="126"/>
      <c r="BH6" s="126"/>
    </row>
    <row r="7" spans="2:62" x14ac:dyDescent="0.25">
      <c r="D7" s="128"/>
      <c r="E7" s="65"/>
      <c r="F7" s="126"/>
      <c r="G7" s="126"/>
      <c r="H7" s="126"/>
      <c r="I7" s="126"/>
      <c r="J7" s="126"/>
      <c r="K7" s="126"/>
      <c r="L7" s="126"/>
      <c r="M7" s="126"/>
      <c r="N7" s="126"/>
      <c r="O7" s="126"/>
      <c r="P7" s="126"/>
      <c r="Q7" s="126"/>
      <c r="R7" s="126"/>
      <c r="S7" s="126"/>
      <c r="T7" s="126"/>
      <c r="U7" s="126"/>
      <c r="V7" s="126"/>
      <c r="W7" s="126"/>
      <c r="X7" s="126"/>
      <c r="Y7" s="126"/>
      <c r="Z7" s="126"/>
      <c r="AA7" s="126"/>
      <c r="AB7" s="126"/>
      <c r="AC7" s="126"/>
      <c r="AD7" s="126"/>
      <c r="AE7" s="126"/>
      <c r="AF7" s="126"/>
      <c r="AG7" s="126"/>
      <c r="AH7" s="126"/>
      <c r="AI7" s="126"/>
      <c r="AJ7" s="126"/>
      <c r="AK7" s="126"/>
      <c r="AL7" s="126"/>
      <c r="AM7" s="126"/>
      <c r="AN7" s="126"/>
      <c r="AO7" s="126"/>
      <c r="AP7" s="126"/>
      <c r="AQ7" s="126"/>
      <c r="AR7" s="126"/>
      <c r="AS7" s="126"/>
      <c r="AT7" s="126"/>
      <c r="AU7" s="126"/>
      <c r="AV7" s="126"/>
      <c r="AW7" s="126"/>
      <c r="AX7" s="126"/>
      <c r="AY7" s="126"/>
      <c r="AZ7" s="126"/>
      <c r="BA7" s="126"/>
      <c r="BB7" s="126"/>
      <c r="BC7" s="126"/>
      <c r="BD7" s="126"/>
      <c r="BE7" s="126"/>
      <c r="BF7" s="126"/>
      <c r="BG7" s="126"/>
      <c r="BH7" s="126"/>
      <c r="BI7" s="126"/>
      <c r="BJ7" s="126"/>
    </row>
    <row r="8" spans="2:62" x14ac:dyDescent="0.25">
      <c r="B8" s="306" t="s">
        <v>1161</v>
      </c>
      <c r="C8" s="310" t="s">
        <v>20</v>
      </c>
      <c r="D8" s="65"/>
      <c r="E8" s="65"/>
      <c r="F8" s="126"/>
      <c r="G8" s="126"/>
      <c r="H8" s="126"/>
      <c r="I8" s="126"/>
      <c r="J8" s="126"/>
      <c r="K8" s="126"/>
      <c r="L8" s="126"/>
      <c r="M8" s="126"/>
      <c r="N8" s="126"/>
      <c r="O8" s="126"/>
      <c r="P8" s="126"/>
      <c r="Q8" s="126"/>
      <c r="R8" s="126"/>
      <c r="S8" s="126"/>
      <c r="T8" s="126"/>
      <c r="U8" s="126"/>
      <c r="V8" s="126"/>
      <c r="W8" s="126"/>
      <c r="X8" s="126"/>
      <c r="Y8" s="126"/>
      <c r="Z8" s="126"/>
      <c r="AA8" s="126"/>
      <c r="AB8" s="126"/>
      <c r="AC8" s="126"/>
      <c r="AD8" s="126"/>
      <c r="AE8" s="126"/>
      <c r="AF8" s="126"/>
      <c r="AG8" s="126"/>
      <c r="AH8" s="126"/>
      <c r="AI8" s="126"/>
      <c r="AJ8" s="126"/>
      <c r="AK8" s="126"/>
      <c r="AL8" s="126"/>
      <c r="AM8" s="126"/>
      <c r="AN8" s="126"/>
      <c r="AO8" s="126"/>
      <c r="AP8" s="126"/>
      <c r="AQ8" s="126"/>
      <c r="AR8" s="126"/>
      <c r="AS8" s="126"/>
      <c r="AT8" s="126"/>
      <c r="AU8" s="126"/>
      <c r="AV8" s="126"/>
      <c r="AW8" s="126"/>
      <c r="AX8" s="126"/>
      <c r="AY8" s="126"/>
      <c r="AZ8" s="126"/>
      <c r="BA8" s="126"/>
      <c r="BB8" s="126"/>
      <c r="BC8" s="126"/>
      <c r="BD8" s="126"/>
      <c r="BE8" s="126"/>
      <c r="BF8" s="126"/>
      <c r="BG8" s="126"/>
      <c r="BH8" s="126"/>
      <c r="BI8" s="126"/>
      <c r="BJ8" s="126"/>
    </row>
    <row r="9" spans="2:62" x14ac:dyDescent="0.25">
      <c r="F9" s="126"/>
      <c r="G9" s="126"/>
      <c r="H9" s="126"/>
      <c r="I9" s="126"/>
      <c r="J9" s="126"/>
      <c r="K9" s="126"/>
      <c r="L9" s="126"/>
      <c r="M9" s="126"/>
      <c r="N9" s="126"/>
      <c r="O9" s="126"/>
      <c r="P9" s="126"/>
      <c r="Q9" s="126"/>
      <c r="R9" s="126"/>
      <c r="S9" s="126"/>
      <c r="T9" s="126"/>
      <c r="U9" s="126"/>
      <c r="V9" s="126"/>
      <c r="W9" s="126"/>
      <c r="X9" s="126"/>
      <c r="Y9" s="126"/>
      <c r="Z9" s="126"/>
      <c r="AA9" s="126"/>
      <c r="AB9" s="126"/>
      <c r="AC9" s="126"/>
      <c r="AD9" s="126"/>
      <c r="AE9" s="126"/>
      <c r="AF9" s="126"/>
      <c r="AG9" s="126"/>
      <c r="AH9" s="126"/>
      <c r="AI9" s="126"/>
      <c r="AJ9" s="126"/>
      <c r="AK9" s="126"/>
      <c r="AL9" s="126"/>
      <c r="AM9" s="126"/>
      <c r="AN9" s="126"/>
      <c r="AO9" s="126"/>
      <c r="AP9" s="126"/>
      <c r="AQ9" s="126"/>
      <c r="AR9" s="126"/>
      <c r="AS9" s="126"/>
      <c r="AT9" s="126"/>
      <c r="AU9" s="126"/>
      <c r="AV9" s="126"/>
      <c r="AW9" s="126"/>
      <c r="AX9" s="126"/>
      <c r="AY9" s="126"/>
      <c r="AZ9" s="126"/>
      <c r="BA9" s="126"/>
      <c r="BB9" s="126"/>
      <c r="BC9" s="126"/>
      <c r="BD9" s="126"/>
      <c r="BE9" s="126"/>
      <c r="BF9" s="126"/>
      <c r="BG9" s="126"/>
      <c r="BH9" s="126"/>
      <c r="BI9" s="126"/>
      <c r="BJ9" s="126"/>
    </row>
    <row r="10" spans="2:62" x14ac:dyDescent="0.25">
      <c r="D10" s="308"/>
      <c r="F10" s="126"/>
      <c r="G10" s="126"/>
      <c r="H10" s="126"/>
      <c r="I10" s="126"/>
      <c r="J10" s="126"/>
      <c r="K10" s="126"/>
      <c r="L10" s="126"/>
      <c r="M10" s="126"/>
      <c r="N10" s="126"/>
      <c r="O10" s="126"/>
      <c r="P10" s="126"/>
      <c r="Q10" s="126"/>
      <c r="R10" s="126"/>
      <c r="S10" s="126"/>
      <c r="T10" s="126"/>
      <c r="U10" s="126"/>
      <c r="V10" s="126"/>
      <c r="W10" s="126"/>
      <c r="X10" s="126"/>
      <c r="Y10" s="126"/>
      <c r="Z10" s="126"/>
      <c r="AA10" s="126"/>
      <c r="AB10" s="126"/>
      <c r="AC10" s="126"/>
      <c r="AD10" s="126"/>
      <c r="AE10" s="126"/>
      <c r="AF10" s="126"/>
      <c r="AG10" s="126"/>
      <c r="AH10" s="126"/>
      <c r="AI10" s="126"/>
      <c r="AJ10" s="126"/>
      <c r="AK10" s="126"/>
      <c r="AL10" s="126"/>
      <c r="AM10" s="126"/>
      <c r="AN10" s="126"/>
      <c r="AO10" s="126"/>
      <c r="AP10" s="126"/>
      <c r="AQ10" s="126"/>
      <c r="AR10" s="126"/>
      <c r="AS10" s="126"/>
      <c r="AT10" s="126"/>
      <c r="AU10" s="126"/>
      <c r="AV10" s="126"/>
      <c r="AW10" s="126"/>
      <c r="AX10" s="126"/>
      <c r="AY10" s="126"/>
      <c r="AZ10" s="126"/>
      <c r="BA10" s="126"/>
      <c r="BB10" s="126"/>
      <c r="BC10" s="126"/>
      <c r="BD10" s="126"/>
      <c r="BE10" s="126"/>
      <c r="BF10" s="126"/>
      <c r="BG10" s="126"/>
      <c r="BH10" s="126"/>
      <c r="BI10" s="126"/>
      <c r="BJ10" s="126"/>
    </row>
    <row r="11" spans="2:62" ht="27.6" x14ac:dyDescent="0.25">
      <c r="B11" s="1" t="s">
        <v>1163</v>
      </c>
      <c r="C11" s="378"/>
      <c r="E11" s="127"/>
      <c r="F11" s="126"/>
      <c r="G11" s="126"/>
      <c r="H11" s="126"/>
      <c r="I11" s="126"/>
      <c r="J11" s="126"/>
      <c r="K11" s="126"/>
      <c r="L11" s="126"/>
      <c r="M11" s="126"/>
      <c r="N11" s="126"/>
      <c r="O11" s="126"/>
      <c r="P11" s="126"/>
      <c r="Q11" s="126"/>
      <c r="R11" s="126"/>
      <c r="S11" s="126"/>
      <c r="T11" s="126"/>
      <c r="U11" s="126"/>
      <c r="V11" s="126"/>
      <c r="W11" s="126"/>
      <c r="X11" s="126"/>
      <c r="Y11" s="126"/>
      <c r="Z11" s="126"/>
      <c r="AA11" s="126"/>
      <c r="AB11" s="126"/>
      <c r="AC11" s="126"/>
      <c r="AD11" s="126"/>
      <c r="AE11" s="126"/>
      <c r="AF11" s="126"/>
      <c r="AG11" s="126"/>
      <c r="AH11" s="126"/>
      <c r="AI11" s="126"/>
      <c r="AJ11" s="126"/>
      <c r="AK11" s="126"/>
      <c r="AL11" s="126"/>
      <c r="AM11" s="126"/>
      <c r="AN11" s="126"/>
      <c r="AO11" s="126"/>
      <c r="AP11" s="126"/>
      <c r="AQ11" s="126"/>
      <c r="AR11" s="126"/>
      <c r="AS11" s="126"/>
      <c r="AT11" s="126"/>
      <c r="AU11" s="126"/>
      <c r="AV11" s="126"/>
      <c r="AW11" s="126"/>
      <c r="AX11" s="126"/>
      <c r="AY11" s="126"/>
      <c r="AZ11" s="126"/>
      <c r="BA11" s="126"/>
      <c r="BB11" s="126"/>
      <c r="BC11" s="126"/>
      <c r="BD11" s="126"/>
      <c r="BE11" s="126"/>
      <c r="BF11" s="126"/>
      <c r="BG11" s="126"/>
      <c r="BH11" s="126"/>
      <c r="BI11" s="126"/>
      <c r="BJ11" s="126"/>
    </row>
    <row r="12" spans="2:62" x14ac:dyDescent="0.25">
      <c r="B12" s="81"/>
      <c r="C12" s="67" t="s">
        <v>1243</v>
      </c>
      <c r="D12" s="379">
        <f ca="1">'Summary Calculations (hide)'!X70</f>
        <v>71.024849999999901</v>
      </c>
      <c r="F12" s="126"/>
      <c r="G12" s="126"/>
      <c r="H12" s="126"/>
      <c r="I12" s="126"/>
      <c r="J12" s="126"/>
      <c r="K12" s="126"/>
      <c r="L12" s="126"/>
      <c r="M12" s="126"/>
      <c r="N12" s="126"/>
      <c r="O12" s="126"/>
      <c r="P12" s="126"/>
      <c r="Q12" s="126"/>
      <c r="R12" s="126"/>
      <c r="S12" s="126"/>
      <c r="T12" s="126"/>
      <c r="U12" s="126"/>
      <c r="V12" s="126"/>
      <c r="W12" s="126"/>
      <c r="X12" s="126"/>
      <c r="Y12" s="126"/>
      <c r="Z12" s="126"/>
      <c r="AA12" s="126"/>
      <c r="AB12" s="126"/>
      <c r="AC12" s="126"/>
      <c r="AD12" s="126"/>
      <c r="AE12" s="126"/>
      <c r="AF12" s="126"/>
      <c r="AG12" s="126"/>
      <c r="AH12" s="126"/>
      <c r="AI12" s="126"/>
      <c r="AJ12" s="126"/>
      <c r="AK12" s="126"/>
      <c r="AL12" s="126"/>
      <c r="AM12" s="126"/>
      <c r="AN12" s="126"/>
      <c r="AO12" s="126"/>
      <c r="AP12" s="126"/>
      <c r="AQ12" s="126"/>
      <c r="AR12" s="126"/>
      <c r="AS12" s="126"/>
      <c r="AT12" s="126"/>
      <c r="AU12" s="126"/>
      <c r="AV12" s="126"/>
      <c r="AW12" s="126"/>
      <c r="AX12" s="126"/>
      <c r="AY12" s="126"/>
      <c r="AZ12" s="126"/>
      <c r="BA12" s="126"/>
      <c r="BB12" s="126"/>
      <c r="BC12" s="126"/>
      <c r="BD12" s="126"/>
      <c r="BE12" s="126"/>
      <c r="BF12" s="126"/>
      <c r="BG12" s="126"/>
      <c r="BH12" s="126"/>
      <c r="BI12" s="126"/>
      <c r="BJ12" s="126"/>
    </row>
    <row r="13" spans="2:62" x14ac:dyDescent="0.25">
      <c r="B13" s="342"/>
      <c r="C13" s="379" t="str">
        <f>IF(C11&lt;&gt;"","New value","")</f>
        <v/>
      </c>
      <c r="D13" s="379" t="str">
        <f>IF(OR(C11="",C11=1),"",D12*(1+C11))</f>
        <v/>
      </c>
      <c r="F13" s="126"/>
      <c r="G13" s="126"/>
      <c r="H13" s="126"/>
      <c r="I13" s="126"/>
      <c r="J13" s="126"/>
      <c r="K13" s="126"/>
      <c r="L13" s="126"/>
      <c r="M13" s="126"/>
      <c r="N13" s="126"/>
      <c r="O13" s="126"/>
      <c r="P13" s="126"/>
      <c r="Q13" s="126"/>
      <c r="R13" s="126"/>
      <c r="S13" s="126"/>
      <c r="T13" s="126"/>
      <c r="U13" s="126"/>
      <c r="V13" s="126"/>
      <c r="W13" s="126"/>
      <c r="X13" s="126"/>
      <c r="Y13" s="126"/>
      <c r="Z13" s="126"/>
      <c r="AA13" s="126"/>
      <c r="AB13" s="126"/>
      <c r="AC13" s="126"/>
      <c r="AD13" s="126"/>
      <c r="AE13" s="126"/>
      <c r="AF13" s="126"/>
      <c r="AG13" s="126"/>
      <c r="AH13" s="126"/>
      <c r="AI13" s="126"/>
      <c r="AJ13" s="126"/>
      <c r="AK13" s="126"/>
      <c r="AL13" s="126"/>
      <c r="AM13" s="126"/>
      <c r="AN13" s="126"/>
      <c r="AO13" s="126"/>
      <c r="AP13" s="126"/>
      <c r="AQ13" s="126"/>
      <c r="AR13" s="126"/>
      <c r="AS13" s="126"/>
      <c r="AT13" s="126"/>
      <c r="AU13" s="126"/>
      <c r="AV13" s="126"/>
      <c r="AW13" s="126"/>
      <c r="AX13" s="126"/>
      <c r="AY13" s="126"/>
      <c r="AZ13" s="126"/>
      <c r="BA13" s="126"/>
      <c r="BB13" s="126"/>
      <c r="BC13" s="126"/>
      <c r="BD13" s="126"/>
      <c r="BE13" s="126"/>
      <c r="BF13" s="126"/>
      <c r="BG13" s="126"/>
      <c r="BH13" s="126"/>
      <c r="BI13" s="126"/>
      <c r="BJ13" s="126"/>
    </row>
    <row r="14" spans="2:62" x14ac:dyDescent="0.25">
      <c r="B14" s="67" t="s">
        <v>1159</v>
      </c>
      <c r="C14" s="153"/>
      <c r="F14" s="126"/>
      <c r="G14" s="126"/>
      <c r="H14" s="126"/>
      <c r="I14" s="126"/>
      <c r="J14" s="126"/>
      <c r="K14" s="126"/>
      <c r="L14" s="126"/>
      <c r="M14" s="126"/>
      <c r="N14" s="126"/>
      <c r="O14" s="126"/>
      <c r="P14" s="126"/>
      <c r="Q14" s="126"/>
      <c r="R14" s="126"/>
      <c r="S14" s="126"/>
      <c r="T14" s="126"/>
      <c r="U14" s="126"/>
      <c r="V14" s="126"/>
      <c r="W14" s="126"/>
      <c r="X14" s="126"/>
      <c r="Y14" s="126"/>
      <c r="Z14" s="126"/>
      <c r="AA14" s="126"/>
      <c r="AB14" s="126"/>
      <c r="AC14" s="126"/>
      <c r="AD14" s="126"/>
      <c r="AE14" s="126"/>
      <c r="AF14" s="126"/>
      <c r="AG14" s="126"/>
      <c r="AH14" s="126"/>
      <c r="AI14" s="126"/>
      <c r="AJ14" s="126"/>
      <c r="AK14" s="126"/>
      <c r="AL14" s="126"/>
      <c r="AM14" s="126"/>
      <c r="AN14" s="126"/>
      <c r="AO14" s="126"/>
      <c r="AP14" s="126"/>
      <c r="AQ14" s="126"/>
      <c r="AR14" s="126"/>
      <c r="AS14" s="126"/>
      <c r="AT14" s="126"/>
      <c r="AU14" s="126"/>
      <c r="AV14" s="126"/>
      <c r="AW14" s="126"/>
      <c r="AX14" s="126"/>
      <c r="AY14" s="126"/>
      <c r="AZ14" s="126"/>
      <c r="BA14" s="126"/>
      <c r="BB14" s="126"/>
      <c r="BC14" s="126"/>
      <c r="BD14" s="126"/>
      <c r="BE14" s="126"/>
      <c r="BF14" s="126"/>
      <c r="BG14" s="126"/>
      <c r="BH14" s="126"/>
      <c r="BI14" s="126"/>
      <c r="BJ14" s="126"/>
    </row>
    <row r="15" spans="2:62" x14ac:dyDescent="0.25">
      <c r="B15" s="67" t="s">
        <v>1155</v>
      </c>
      <c r="C15" s="377"/>
      <c r="D15" s="309">
        <f ca="1">'Parameters calculator (hide)'!B43</f>
        <v>0.05</v>
      </c>
      <c r="F15" s="126"/>
      <c r="G15" s="126"/>
      <c r="H15" s="126"/>
      <c r="I15" s="126"/>
      <c r="J15" s="126"/>
      <c r="K15" s="126"/>
      <c r="L15" s="126"/>
      <c r="M15" s="126"/>
      <c r="N15" s="126"/>
      <c r="O15" s="126"/>
      <c r="P15" s="126"/>
      <c r="Q15" s="126"/>
      <c r="R15" s="126"/>
      <c r="S15" s="126"/>
      <c r="T15" s="126"/>
      <c r="U15" s="126"/>
      <c r="V15" s="126"/>
      <c r="W15" s="126"/>
      <c r="X15" s="126"/>
      <c r="Y15" s="126"/>
      <c r="Z15" s="126"/>
      <c r="AA15" s="126"/>
      <c r="AB15" s="126"/>
      <c r="AC15" s="126"/>
      <c r="AD15" s="126"/>
      <c r="AE15" s="126"/>
      <c r="AF15" s="126"/>
      <c r="AG15" s="126"/>
      <c r="AH15" s="126"/>
      <c r="AI15" s="126"/>
      <c r="AJ15" s="126"/>
      <c r="AK15" s="126"/>
      <c r="AL15" s="126"/>
      <c r="AM15" s="126"/>
      <c r="AN15" s="126"/>
      <c r="AO15" s="126"/>
      <c r="AP15" s="126"/>
      <c r="AQ15" s="126"/>
      <c r="AR15" s="126"/>
      <c r="AS15" s="126"/>
      <c r="AT15" s="126"/>
      <c r="AU15" s="126"/>
      <c r="AV15" s="126"/>
      <c r="AW15" s="126"/>
      <c r="AX15" s="126"/>
      <c r="AY15" s="126"/>
      <c r="AZ15" s="126"/>
      <c r="BA15" s="126"/>
      <c r="BB15" s="126"/>
      <c r="BC15" s="126"/>
      <c r="BD15" s="126"/>
      <c r="BE15" s="126"/>
      <c r="BF15" s="126"/>
      <c r="BG15" s="126"/>
      <c r="BH15" s="126"/>
      <c r="BI15" s="126"/>
      <c r="BJ15" s="126"/>
    </row>
    <row r="16" spans="2:62" x14ac:dyDescent="0.25">
      <c r="B16" s="67" t="s">
        <v>1156</v>
      </c>
      <c r="C16" s="377"/>
      <c r="D16" s="309">
        <f ca="1">'Parameters calculator (hide)'!B44</f>
        <v>1.0999999999999998E-2</v>
      </c>
      <c r="F16" s="126"/>
      <c r="G16" s="126"/>
      <c r="H16" s="126"/>
      <c r="I16" s="126"/>
      <c r="J16" s="126"/>
      <c r="K16" s="126"/>
      <c r="L16" s="126"/>
      <c r="M16" s="126"/>
      <c r="N16" s="126"/>
      <c r="O16" s="126"/>
      <c r="P16" s="126"/>
      <c r="Q16" s="126"/>
      <c r="R16" s="126"/>
      <c r="S16" s="126"/>
      <c r="T16" s="126"/>
      <c r="U16" s="126"/>
      <c r="V16" s="126"/>
      <c r="W16" s="126"/>
      <c r="X16" s="126"/>
      <c r="Y16" s="126"/>
      <c r="Z16" s="126"/>
      <c r="AA16" s="126"/>
      <c r="AB16" s="126"/>
      <c r="AC16" s="126"/>
      <c r="AD16" s="126"/>
      <c r="AE16" s="126"/>
      <c r="AF16" s="126"/>
      <c r="AG16" s="126"/>
      <c r="AH16" s="126"/>
      <c r="AI16" s="126"/>
      <c r="AJ16" s="126"/>
      <c r="AK16" s="126"/>
      <c r="AL16" s="126"/>
      <c r="AM16" s="126"/>
      <c r="AN16" s="126"/>
      <c r="AO16" s="126"/>
      <c r="AP16" s="126"/>
      <c r="AQ16" s="126"/>
      <c r="AR16" s="126"/>
      <c r="AS16" s="126"/>
      <c r="AT16" s="126"/>
      <c r="AU16" s="126"/>
      <c r="AV16" s="126"/>
      <c r="AW16" s="126"/>
      <c r="AX16" s="126"/>
      <c r="AY16" s="126"/>
      <c r="AZ16" s="126"/>
      <c r="BA16" s="126"/>
      <c r="BB16" s="126"/>
      <c r="BC16" s="126"/>
      <c r="BD16" s="126"/>
      <c r="BE16" s="126"/>
      <c r="BF16" s="126"/>
      <c r="BG16" s="126"/>
      <c r="BH16" s="126"/>
      <c r="BI16" s="126"/>
      <c r="BJ16" s="126"/>
    </row>
    <row r="17" spans="2:62" x14ac:dyDescent="0.25">
      <c r="B17" s="67" t="s">
        <v>1157</v>
      </c>
      <c r="C17" s="377"/>
      <c r="D17" s="309">
        <f ca="1">'Parameters calculator (hide)'!B45</f>
        <v>7.9999999999999988E-2</v>
      </c>
      <c r="F17" s="126"/>
      <c r="G17" s="126"/>
      <c r="H17" s="126"/>
      <c r="I17" s="126"/>
      <c r="J17" s="126"/>
      <c r="K17" s="126"/>
      <c r="L17" s="126"/>
      <c r="M17" s="126"/>
      <c r="N17" s="126"/>
      <c r="O17" s="126"/>
      <c r="P17" s="126"/>
      <c r="Q17" s="126"/>
      <c r="R17" s="126"/>
      <c r="S17" s="126"/>
      <c r="T17" s="126"/>
      <c r="U17" s="126"/>
      <c r="V17" s="126"/>
      <c r="W17" s="126"/>
      <c r="X17" s="126"/>
      <c r="Y17" s="126"/>
      <c r="Z17" s="126"/>
      <c r="AA17" s="126"/>
      <c r="AB17" s="126"/>
      <c r="AC17" s="126"/>
      <c r="AD17" s="126"/>
      <c r="AE17" s="126"/>
      <c r="AF17" s="126"/>
      <c r="AG17" s="126"/>
      <c r="AH17" s="126"/>
      <c r="AI17" s="126"/>
      <c r="AJ17" s="126"/>
      <c r="AK17" s="126"/>
      <c r="AL17" s="126"/>
      <c r="AM17" s="126"/>
      <c r="AN17" s="126"/>
      <c r="AO17" s="126"/>
      <c r="AP17" s="126"/>
      <c r="AQ17" s="126"/>
      <c r="AR17" s="126"/>
      <c r="AS17" s="126"/>
      <c r="AT17" s="126"/>
      <c r="AU17" s="126"/>
      <c r="AV17" s="126"/>
      <c r="AW17" s="126"/>
      <c r="AX17" s="126"/>
      <c r="AY17" s="126"/>
      <c r="AZ17" s="126"/>
      <c r="BA17" s="126"/>
      <c r="BB17" s="126"/>
      <c r="BC17" s="126"/>
      <c r="BD17" s="126"/>
      <c r="BE17" s="126"/>
      <c r="BF17" s="126"/>
      <c r="BG17" s="126"/>
      <c r="BH17" s="126"/>
      <c r="BI17" s="126"/>
      <c r="BJ17" s="126"/>
    </row>
    <row r="18" spans="2:62" x14ac:dyDescent="0.25">
      <c r="B18" s="67" t="s">
        <v>1158</v>
      </c>
      <c r="C18" s="377"/>
      <c r="D18" s="309">
        <f ca="1">'Parameters calculator (hide)'!B46</f>
        <v>0.2</v>
      </c>
      <c r="F18" s="126"/>
      <c r="G18" s="126"/>
      <c r="H18" s="126"/>
      <c r="I18" s="126"/>
      <c r="J18" s="126"/>
      <c r="K18" s="126"/>
      <c r="L18" s="126"/>
      <c r="M18" s="126"/>
      <c r="N18" s="126"/>
      <c r="O18" s="126"/>
      <c r="P18" s="126"/>
      <c r="Q18" s="126"/>
      <c r="R18" s="126"/>
      <c r="S18" s="126"/>
      <c r="T18" s="126"/>
      <c r="U18" s="126"/>
      <c r="V18" s="126"/>
      <c r="W18" s="126"/>
      <c r="X18" s="126"/>
      <c r="Y18" s="126"/>
      <c r="Z18" s="126"/>
      <c r="AA18" s="126"/>
      <c r="AB18" s="126"/>
      <c r="AC18" s="126"/>
      <c r="AD18" s="126"/>
      <c r="AE18" s="126"/>
      <c r="AF18" s="126"/>
      <c r="AG18" s="126"/>
      <c r="AH18" s="126"/>
      <c r="AI18" s="126"/>
      <c r="AJ18" s="126"/>
      <c r="AK18" s="126"/>
      <c r="AL18" s="126"/>
      <c r="AM18" s="126"/>
      <c r="AN18" s="126"/>
      <c r="AO18" s="126"/>
      <c r="AP18" s="126"/>
      <c r="AQ18" s="126"/>
      <c r="AR18" s="126"/>
      <c r="AS18" s="126"/>
      <c r="AT18" s="126"/>
      <c r="AU18" s="126"/>
      <c r="AV18" s="126"/>
      <c r="AW18" s="126"/>
      <c r="AX18" s="126"/>
      <c r="AY18" s="126"/>
      <c r="AZ18" s="126"/>
      <c r="BA18" s="126"/>
      <c r="BB18" s="126"/>
      <c r="BC18" s="126"/>
      <c r="BD18" s="126"/>
      <c r="BE18" s="126"/>
      <c r="BF18" s="126"/>
      <c r="BG18" s="126"/>
      <c r="BH18" s="126"/>
      <c r="BI18" s="126"/>
      <c r="BJ18" s="126"/>
    </row>
    <row r="19" spans="2:62" x14ac:dyDescent="0.25">
      <c r="F19" s="126"/>
      <c r="G19" s="126"/>
      <c r="H19" s="126"/>
      <c r="I19" s="126"/>
      <c r="J19" s="126"/>
      <c r="K19" s="126"/>
      <c r="L19" s="126"/>
      <c r="M19" s="126"/>
      <c r="N19" s="126"/>
      <c r="O19" s="126"/>
      <c r="P19" s="126"/>
      <c r="Q19" s="126"/>
      <c r="R19" s="126"/>
      <c r="S19" s="126"/>
      <c r="T19" s="126"/>
      <c r="U19" s="126"/>
      <c r="V19" s="126"/>
      <c r="W19" s="126"/>
      <c r="X19" s="126"/>
      <c r="Y19" s="126"/>
      <c r="Z19" s="126"/>
      <c r="AA19" s="126"/>
      <c r="AB19" s="126"/>
      <c r="AC19" s="126"/>
      <c r="AD19" s="126"/>
      <c r="AE19" s="126"/>
      <c r="AF19" s="126"/>
      <c r="AG19" s="126"/>
      <c r="AH19" s="126"/>
      <c r="AI19" s="126"/>
      <c r="AJ19" s="126"/>
      <c r="AK19" s="126"/>
      <c r="AL19" s="126"/>
      <c r="AM19" s="126"/>
      <c r="AN19" s="126"/>
      <c r="AO19" s="126"/>
      <c r="AP19" s="126"/>
      <c r="AQ19" s="126"/>
      <c r="AR19" s="126"/>
      <c r="AS19" s="126"/>
      <c r="AT19" s="126"/>
      <c r="AU19" s="126"/>
      <c r="AV19" s="126"/>
      <c r="AW19" s="126"/>
      <c r="AX19" s="126"/>
      <c r="AY19" s="126"/>
      <c r="AZ19" s="126"/>
      <c r="BA19" s="126"/>
      <c r="BB19" s="126"/>
      <c r="BC19" s="126"/>
      <c r="BD19" s="126"/>
      <c r="BE19" s="126"/>
      <c r="BF19" s="126"/>
      <c r="BG19" s="126"/>
      <c r="BH19" s="126"/>
      <c r="BI19" s="126"/>
      <c r="BJ19" s="126"/>
    </row>
    <row r="20" spans="2:62" x14ac:dyDescent="0.25">
      <c r="B20" s="81" t="s">
        <v>515</v>
      </c>
      <c r="C20" s="154" t="s">
        <v>20</v>
      </c>
      <c r="F20" s="126"/>
      <c r="G20" s="126"/>
      <c r="H20" s="126"/>
      <c r="I20" s="126"/>
      <c r="J20" s="126"/>
      <c r="K20" s="126"/>
      <c r="L20" s="126"/>
      <c r="M20" s="126"/>
      <c r="N20" s="126"/>
      <c r="O20" s="126"/>
      <c r="P20" s="126"/>
      <c r="Q20" s="126"/>
      <c r="R20" s="126"/>
      <c r="S20" s="126"/>
      <c r="T20" s="126"/>
      <c r="U20" s="126"/>
      <c r="V20" s="126"/>
      <c r="W20" s="126"/>
      <c r="X20" s="126"/>
      <c r="Y20" s="126"/>
      <c r="Z20" s="126"/>
      <c r="AA20" s="126"/>
      <c r="AB20" s="126"/>
      <c r="AC20" s="126"/>
      <c r="AD20" s="126"/>
      <c r="AE20" s="126"/>
      <c r="AF20" s="126"/>
      <c r="AG20" s="126"/>
      <c r="AH20" s="126"/>
      <c r="AI20" s="126"/>
      <c r="AJ20" s="126"/>
      <c r="AK20" s="126"/>
      <c r="AL20" s="126"/>
      <c r="AM20" s="126"/>
      <c r="AN20" s="126"/>
      <c r="AO20" s="126"/>
      <c r="AP20" s="126"/>
      <c r="AQ20" s="126"/>
      <c r="AR20" s="126"/>
      <c r="AS20" s="126"/>
      <c r="AT20" s="126"/>
      <c r="AU20" s="126"/>
      <c r="AV20" s="126"/>
      <c r="AW20" s="126"/>
      <c r="AX20" s="126"/>
      <c r="AY20" s="126"/>
      <c r="AZ20" s="126"/>
      <c r="BA20" s="126"/>
      <c r="BB20" s="126"/>
      <c r="BC20" s="126"/>
      <c r="BD20" s="126"/>
      <c r="BE20" s="126"/>
      <c r="BF20" s="126"/>
      <c r="BG20" s="126"/>
      <c r="BH20" s="126"/>
      <c r="BI20" s="126"/>
      <c r="BJ20" s="126"/>
    </row>
    <row r="21" spans="2:62" x14ac:dyDescent="0.25">
      <c r="F21" s="126"/>
      <c r="G21" s="126"/>
      <c r="H21" s="126"/>
      <c r="I21" s="126"/>
      <c r="J21" s="126"/>
      <c r="K21" s="126"/>
      <c r="L21" s="126"/>
      <c r="M21" s="126"/>
      <c r="N21" s="126"/>
      <c r="O21" s="126"/>
      <c r="P21" s="126"/>
      <c r="Q21" s="126"/>
      <c r="R21" s="126"/>
      <c r="S21" s="126"/>
      <c r="T21" s="126"/>
      <c r="U21" s="126"/>
      <c r="V21" s="126"/>
      <c r="W21" s="126"/>
      <c r="X21" s="126"/>
      <c r="Y21" s="126"/>
      <c r="Z21" s="126"/>
      <c r="AA21" s="126"/>
      <c r="AB21" s="126"/>
      <c r="AC21" s="126"/>
      <c r="AD21" s="126"/>
      <c r="AE21" s="126"/>
      <c r="AF21" s="126"/>
      <c r="AG21" s="126"/>
      <c r="AH21" s="126"/>
      <c r="AI21" s="126"/>
      <c r="AJ21" s="126"/>
      <c r="AK21" s="126"/>
      <c r="AL21" s="126"/>
      <c r="AM21" s="126"/>
      <c r="AN21" s="126"/>
      <c r="AO21" s="126"/>
      <c r="AP21" s="126"/>
      <c r="AQ21" s="126"/>
      <c r="AR21" s="126"/>
      <c r="AS21" s="126"/>
      <c r="AT21" s="126"/>
      <c r="AU21" s="126"/>
      <c r="AV21" s="126"/>
      <c r="AW21" s="126"/>
      <c r="AX21" s="126"/>
      <c r="AY21" s="126"/>
      <c r="AZ21" s="126"/>
      <c r="BA21" s="126"/>
      <c r="BB21" s="126"/>
      <c r="BC21" s="126"/>
      <c r="BD21" s="126"/>
      <c r="BE21" s="126"/>
      <c r="BF21" s="126"/>
      <c r="BG21" s="126"/>
      <c r="BH21" s="126"/>
      <c r="BI21" s="126"/>
      <c r="BJ21" s="126"/>
    </row>
    <row r="22" spans="2:62" ht="14.25" customHeight="1" x14ac:dyDescent="0.25">
      <c r="B22" s="406" t="s">
        <v>512</v>
      </c>
      <c r="C22" s="407" t="s">
        <v>511</v>
      </c>
      <c r="D22" s="407"/>
      <c r="F22" s="126"/>
      <c r="G22" s="126"/>
      <c r="H22" s="126"/>
      <c r="I22" s="126"/>
      <c r="J22" s="126"/>
      <c r="K22" s="126"/>
      <c r="L22" s="126"/>
      <c r="M22" s="126"/>
      <c r="N22" s="126"/>
      <c r="O22" s="126"/>
      <c r="P22" s="126"/>
      <c r="Q22" s="126"/>
      <c r="R22" s="126"/>
      <c r="S22" s="126"/>
      <c r="T22" s="126"/>
      <c r="U22" s="126"/>
      <c r="V22" s="126"/>
      <c r="W22" s="126"/>
      <c r="X22" s="126"/>
      <c r="Y22" s="126"/>
      <c r="Z22" s="126"/>
      <c r="AA22" s="126"/>
      <c r="AB22" s="126"/>
      <c r="AC22" s="126"/>
      <c r="AD22" s="126"/>
      <c r="AE22" s="126"/>
      <c r="AF22" s="126"/>
      <c r="AG22" s="126"/>
      <c r="AH22" s="126"/>
      <c r="AI22" s="126"/>
      <c r="AJ22" s="126"/>
      <c r="AK22" s="126"/>
      <c r="AL22" s="126"/>
      <c r="AM22" s="126"/>
      <c r="AN22" s="126"/>
      <c r="AO22" s="126"/>
      <c r="AP22" s="126"/>
      <c r="AQ22" s="126"/>
      <c r="AR22" s="126"/>
      <c r="AS22" s="126"/>
      <c r="AT22" s="126"/>
      <c r="AU22" s="126"/>
      <c r="AV22" s="126"/>
      <c r="AW22" s="126"/>
      <c r="AX22" s="126"/>
      <c r="AY22" s="126"/>
      <c r="AZ22" s="126"/>
      <c r="BA22" s="126"/>
      <c r="BB22" s="126"/>
      <c r="BC22" s="126"/>
      <c r="BD22" s="126"/>
      <c r="BE22" s="126"/>
      <c r="BF22" s="126"/>
      <c r="BG22" s="126"/>
      <c r="BH22" s="126"/>
      <c r="BI22" s="126"/>
      <c r="BJ22" s="126"/>
    </row>
    <row r="23" spans="2:62" x14ac:dyDescent="0.25">
      <c r="B23" s="408"/>
      <c r="C23" s="409"/>
      <c r="D23" s="409"/>
      <c r="F23" s="126"/>
      <c r="G23" s="126"/>
      <c r="H23" s="126"/>
      <c r="I23" s="126"/>
      <c r="J23" s="126"/>
      <c r="K23" s="126"/>
      <c r="L23" s="126"/>
      <c r="M23" s="126"/>
      <c r="N23" s="126"/>
      <c r="O23" s="126"/>
      <c r="P23" s="126"/>
      <c r="Q23" s="126"/>
      <c r="R23" s="126"/>
      <c r="S23" s="126"/>
      <c r="T23" s="126"/>
      <c r="U23" s="126"/>
      <c r="V23" s="126"/>
      <c r="W23" s="126"/>
      <c r="X23" s="126"/>
      <c r="Y23" s="126"/>
      <c r="Z23" s="126"/>
      <c r="AA23" s="126"/>
      <c r="AB23" s="126"/>
      <c r="AC23" s="126"/>
      <c r="AD23" s="126"/>
      <c r="AE23" s="126"/>
      <c r="AF23" s="126"/>
      <c r="AG23" s="126"/>
      <c r="AH23" s="126"/>
      <c r="AI23" s="126"/>
      <c r="AJ23" s="126"/>
      <c r="AK23" s="126"/>
      <c r="AL23" s="126"/>
      <c r="AM23" s="126"/>
      <c r="AN23" s="126"/>
      <c r="AO23" s="126"/>
      <c r="AP23" s="126"/>
      <c r="AQ23" s="126"/>
      <c r="AR23" s="126"/>
      <c r="AS23" s="126"/>
      <c r="AT23" s="126"/>
      <c r="AU23" s="126"/>
      <c r="AV23" s="126"/>
      <c r="AW23" s="126"/>
      <c r="AX23" s="126"/>
      <c r="AY23" s="126"/>
      <c r="AZ23" s="126"/>
      <c r="BA23" s="126"/>
      <c r="BB23" s="126"/>
      <c r="BC23" s="126"/>
      <c r="BD23" s="126"/>
      <c r="BE23" s="126"/>
      <c r="BF23" s="126"/>
      <c r="BG23" s="126"/>
      <c r="BH23" s="126"/>
      <c r="BI23" s="126"/>
      <c r="BJ23" s="126"/>
    </row>
    <row r="24" spans="2:62" ht="27.6" x14ac:dyDescent="0.25">
      <c r="B24" s="459"/>
      <c r="C24" s="144" t="s">
        <v>484</v>
      </c>
      <c r="D24" s="144" t="s">
        <v>485</v>
      </c>
      <c r="F24" s="136"/>
      <c r="G24" s="136"/>
      <c r="H24" s="136"/>
      <c r="I24" s="136"/>
      <c r="J24" s="136"/>
      <c r="K24" s="136"/>
      <c r="L24" s="136"/>
      <c r="M24" s="136"/>
      <c r="N24" s="136"/>
      <c r="O24" s="136"/>
      <c r="P24" s="136"/>
      <c r="Q24" s="136"/>
      <c r="R24" s="136"/>
      <c r="S24" s="136"/>
      <c r="T24" s="136"/>
      <c r="U24" s="136"/>
      <c r="V24" s="136"/>
      <c r="W24" s="136"/>
      <c r="X24" s="136"/>
      <c r="Y24" s="136"/>
      <c r="Z24" s="136"/>
      <c r="AA24" s="136"/>
      <c r="AB24" s="136"/>
      <c r="AC24" s="136"/>
      <c r="AD24" s="136"/>
      <c r="AE24" s="136"/>
      <c r="AF24" s="136"/>
      <c r="AG24" s="136"/>
      <c r="AH24" s="136"/>
      <c r="AI24" s="136"/>
      <c r="AJ24" s="136"/>
      <c r="AK24" s="136"/>
      <c r="AL24" s="136"/>
      <c r="AM24" s="136"/>
      <c r="AN24" s="136"/>
      <c r="AO24" s="136"/>
      <c r="AP24" s="136"/>
      <c r="AQ24" s="136"/>
      <c r="AR24" s="136"/>
      <c r="AS24" s="136"/>
      <c r="AT24" s="136"/>
      <c r="AU24" s="136"/>
      <c r="AV24" s="136"/>
      <c r="AW24" s="136"/>
      <c r="AX24" s="136"/>
      <c r="AY24" s="136"/>
      <c r="AZ24" s="136"/>
      <c r="BA24" s="136"/>
      <c r="BB24" s="136"/>
      <c r="BC24" s="136"/>
      <c r="BD24" s="136"/>
      <c r="BE24" s="136"/>
      <c r="BF24" s="126"/>
      <c r="BG24" s="126"/>
      <c r="BH24" s="126"/>
      <c r="BI24" s="126"/>
      <c r="BJ24" s="126"/>
    </row>
    <row r="25" spans="2:62" x14ac:dyDescent="0.25">
      <c r="B25" s="245" t="s">
        <v>521</v>
      </c>
      <c r="C25" s="246">
        <f>IF(B25="","",COUNTIF(F25:BE25,"X"))</f>
        <v>0</v>
      </c>
      <c r="D25" s="246" t="s">
        <v>522</v>
      </c>
      <c r="F25" s="157"/>
      <c r="G25" s="156"/>
      <c r="H25" s="156"/>
      <c r="I25" s="156"/>
      <c r="J25" s="156"/>
      <c r="K25" s="156"/>
      <c r="L25" s="156"/>
      <c r="M25" s="156"/>
      <c r="N25" s="156"/>
      <c r="O25" s="156"/>
      <c r="P25" s="156"/>
      <c r="Q25" s="156"/>
      <c r="R25" s="156"/>
      <c r="S25" s="156"/>
      <c r="T25" s="156"/>
      <c r="U25" s="156"/>
      <c r="V25" s="156"/>
      <c r="W25" s="156"/>
      <c r="X25" s="156"/>
      <c r="Y25" s="156"/>
      <c r="Z25" s="156"/>
      <c r="AA25" s="156"/>
      <c r="AB25" s="156"/>
      <c r="AC25" s="156"/>
      <c r="AD25" s="156"/>
      <c r="AE25" s="156"/>
      <c r="AF25" s="156"/>
      <c r="AG25" s="156"/>
      <c r="AH25" s="156"/>
      <c r="AI25" s="156"/>
      <c r="AJ25" s="156"/>
      <c r="AK25" s="156"/>
      <c r="AL25" s="156"/>
      <c r="AM25" s="156"/>
      <c r="AN25" s="156"/>
      <c r="AO25" s="156"/>
      <c r="AP25" s="156"/>
      <c r="AQ25" s="156"/>
      <c r="AR25" s="156"/>
      <c r="AS25" s="156"/>
      <c r="AT25" s="156"/>
      <c r="AU25" s="156"/>
      <c r="AV25" s="156"/>
      <c r="AW25" s="156"/>
      <c r="AX25" s="156"/>
      <c r="AY25" s="156"/>
      <c r="AZ25" s="156"/>
      <c r="BA25" s="156"/>
      <c r="BB25" s="156"/>
      <c r="BC25" s="156"/>
      <c r="BD25" s="156"/>
      <c r="BE25" s="158"/>
      <c r="BF25" s="126"/>
      <c r="BG25" s="126"/>
    </row>
    <row r="26" spans="2:62" x14ac:dyDescent="0.25">
      <c r="B26" s="164" t="s">
        <v>1116</v>
      </c>
      <c r="C26" s="221">
        <f t="shared" ref="C26:C89" si="0">IF(B26="","",COUNTIF(F26:BE26,"X"))</f>
        <v>0</v>
      </c>
      <c r="D26" s="165"/>
      <c r="F26" s="156"/>
      <c r="G26" s="156"/>
      <c r="H26" s="156"/>
      <c r="I26" s="156"/>
      <c r="J26" s="156"/>
      <c r="K26" s="156"/>
      <c r="L26" s="156"/>
      <c r="M26" s="156"/>
      <c r="N26" s="156"/>
      <c r="O26" s="156"/>
      <c r="P26" s="156"/>
      <c r="Q26" s="156"/>
      <c r="R26" s="156"/>
      <c r="S26" s="156"/>
      <c r="T26" s="156"/>
      <c r="U26" s="156"/>
      <c r="V26" s="156"/>
      <c r="W26" s="156"/>
      <c r="X26" s="156"/>
      <c r="Y26" s="156"/>
      <c r="Z26" s="156"/>
      <c r="AA26" s="156"/>
      <c r="AB26" s="156"/>
      <c r="AC26" s="156"/>
      <c r="AD26" s="156"/>
      <c r="AE26" s="156"/>
      <c r="AF26" s="156"/>
      <c r="AG26" s="156"/>
      <c r="AH26" s="156"/>
      <c r="AI26" s="156"/>
      <c r="AJ26" s="156"/>
      <c r="AK26" s="156"/>
      <c r="AL26" s="156"/>
      <c r="AM26" s="156"/>
      <c r="AN26" s="156"/>
      <c r="AO26" s="156"/>
      <c r="AP26" s="156"/>
      <c r="AQ26" s="156"/>
      <c r="AR26" s="156"/>
      <c r="AS26" s="156"/>
      <c r="AT26" s="156"/>
      <c r="AU26" s="156"/>
      <c r="AV26" s="156"/>
      <c r="AW26" s="156"/>
      <c r="AX26" s="156"/>
      <c r="AY26" s="156"/>
      <c r="AZ26" s="156"/>
      <c r="BA26" s="156"/>
      <c r="BB26" s="156"/>
      <c r="BC26" s="156"/>
      <c r="BD26" s="156"/>
      <c r="BE26" s="156"/>
      <c r="BF26" s="130"/>
      <c r="BG26" s="126"/>
    </row>
    <row r="27" spans="2:62" x14ac:dyDescent="0.25">
      <c r="B27" s="164" t="s">
        <v>1117</v>
      </c>
      <c r="C27" s="221">
        <f t="shared" si="0"/>
        <v>0</v>
      </c>
      <c r="D27" s="165"/>
      <c r="F27" s="156"/>
      <c r="G27" s="156"/>
      <c r="H27" s="156"/>
      <c r="I27" s="156"/>
      <c r="J27" s="156"/>
      <c r="K27" s="156"/>
      <c r="L27" s="156"/>
      <c r="M27" s="156"/>
      <c r="N27" s="156"/>
      <c r="O27" s="156"/>
      <c r="P27" s="156"/>
      <c r="Q27" s="156"/>
      <c r="R27" s="156"/>
      <c r="S27" s="156"/>
      <c r="T27" s="156"/>
      <c r="U27" s="156"/>
      <c r="V27" s="156"/>
      <c r="W27" s="156"/>
      <c r="X27" s="156"/>
      <c r="Y27" s="156"/>
      <c r="Z27" s="156"/>
      <c r="AA27" s="156"/>
      <c r="AB27" s="159"/>
      <c r="AC27" s="159"/>
      <c r="AD27" s="159"/>
      <c r="AE27" s="159"/>
      <c r="AF27" s="159"/>
      <c r="AG27" s="159"/>
      <c r="AH27" s="159"/>
      <c r="AI27" s="159"/>
      <c r="AJ27" s="159"/>
      <c r="AK27" s="159"/>
      <c r="AL27" s="159"/>
      <c r="AM27" s="159"/>
      <c r="AN27" s="159"/>
      <c r="AO27" s="159"/>
      <c r="AP27" s="159"/>
      <c r="AQ27" s="159"/>
      <c r="AR27" s="159"/>
      <c r="AS27" s="159"/>
      <c r="AT27" s="159"/>
      <c r="AU27" s="159"/>
      <c r="AV27" s="159"/>
      <c r="AW27" s="159"/>
      <c r="AX27" s="159"/>
      <c r="AY27" s="159"/>
      <c r="AZ27" s="159"/>
      <c r="BA27" s="159"/>
      <c r="BB27" s="159"/>
      <c r="BC27" s="159"/>
      <c r="BD27" s="159"/>
      <c r="BE27" s="159"/>
    </row>
    <row r="28" spans="2:62" x14ac:dyDescent="0.25">
      <c r="B28" s="164"/>
      <c r="C28" s="221" t="str">
        <f t="shared" si="0"/>
        <v/>
      </c>
      <c r="D28" s="165"/>
      <c r="F28" s="156"/>
      <c r="G28" s="156"/>
      <c r="H28" s="156"/>
      <c r="I28" s="156"/>
      <c r="J28" s="156"/>
      <c r="K28" s="156"/>
      <c r="L28" s="156"/>
      <c r="M28" s="156"/>
      <c r="N28" s="156"/>
      <c r="O28" s="156"/>
      <c r="P28" s="156"/>
      <c r="Q28" s="156"/>
      <c r="R28" s="156"/>
      <c r="S28" s="156"/>
      <c r="T28" s="156"/>
      <c r="U28" s="156"/>
      <c r="V28" s="156"/>
      <c r="W28" s="156"/>
      <c r="X28" s="156"/>
      <c r="Y28" s="156"/>
      <c r="Z28" s="156"/>
      <c r="AA28" s="156"/>
      <c r="AB28" s="159"/>
      <c r="AC28" s="159"/>
      <c r="AD28" s="159"/>
      <c r="AE28" s="159"/>
      <c r="AF28" s="159"/>
      <c r="AG28" s="159"/>
      <c r="AH28" s="159"/>
      <c r="AI28" s="159"/>
      <c r="AJ28" s="159"/>
      <c r="AK28" s="159"/>
      <c r="AL28" s="159"/>
      <c r="AM28" s="159"/>
      <c r="AN28" s="159"/>
      <c r="AO28" s="159"/>
      <c r="AP28" s="159"/>
      <c r="AQ28" s="159"/>
      <c r="AR28" s="159"/>
      <c r="AS28" s="159"/>
      <c r="AT28" s="159"/>
      <c r="AU28" s="159"/>
      <c r="AV28" s="159"/>
      <c r="AW28" s="159"/>
      <c r="AX28" s="159"/>
      <c r="AY28" s="159"/>
      <c r="AZ28" s="159"/>
      <c r="BA28" s="159"/>
      <c r="BB28" s="159"/>
      <c r="BC28" s="159"/>
      <c r="BD28" s="159"/>
      <c r="BE28" s="159"/>
    </row>
    <row r="29" spans="2:62" x14ac:dyDescent="0.25">
      <c r="B29" s="164"/>
      <c r="C29" s="221" t="str">
        <f t="shared" si="0"/>
        <v/>
      </c>
      <c r="D29" s="165"/>
      <c r="F29" s="156"/>
      <c r="G29" s="156"/>
      <c r="H29" s="156"/>
      <c r="I29" s="156"/>
      <c r="J29" s="156"/>
      <c r="K29" s="156"/>
      <c r="L29" s="156"/>
      <c r="M29" s="156"/>
      <c r="N29" s="156"/>
      <c r="O29" s="156"/>
      <c r="P29" s="156"/>
      <c r="Q29" s="156"/>
      <c r="R29" s="156"/>
      <c r="S29" s="156"/>
      <c r="T29" s="156"/>
      <c r="U29" s="156"/>
      <c r="V29" s="156"/>
      <c r="W29" s="156"/>
      <c r="X29" s="156"/>
      <c r="Y29" s="156"/>
      <c r="Z29" s="156"/>
      <c r="AA29" s="156"/>
      <c r="AB29" s="159"/>
      <c r="AC29" s="159"/>
      <c r="AD29" s="159"/>
      <c r="AE29" s="159"/>
      <c r="AF29" s="159"/>
      <c r="AG29" s="159"/>
      <c r="AH29" s="159"/>
      <c r="AI29" s="159"/>
      <c r="AJ29" s="159"/>
      <c r="AK29" s="159"/>
      <c r="AL29" s="159"/>
      <c r="AM29" s="159"/>
      <c r="AN29" s="159"/>
      <c r="AO29" s="159"/>
      <c r="AP29" s="159"/>
      <c r="AQ29" s="159"/>
      <c r="AR29" s="159"/>
      <c r="AS29" s="159"/>
      <c r="AT29" s="159"/>
      <c r="AU29" s="159"/>
      <c r="AV29" s="159"/>
      <c r="AW29" s="159"/>
      <c r="AX29" s="159"/>
      <c r="AY29" s="159"/>
      <c r="AZ29" s="159"/>
      <c r="BA29" s="159"/>
      <c r="BB29" s="159"/>
      <c r="BC29" s="159"/>
      <c r="BD29" s="159"/>
      <c r="BE29" s="159"/>
    </row>
    <row r="30" spans="2:62" x14ac:dyDescent="0.25">
      <c r="B30" s="164"/>
      <c r="C30" s="221" t="str">
        <f t="shared" si="0"/>
        <v/>
      </c>
      <c r="D30" s="165"/>
      <c r="F30" s="156"/>
      <c r="G30" s="156"/>
      <c r="H30" s="156"/>
      <c r="I30" s="156"/>
      <c r="J30" s="156"/>
      <c r="K30" s="156"/>
      <c r="L30" s="156"/>
      <c r="M30" s="156"/>
      <c r="N30" s="156"/>
      <c r="O30" s="156"/>
      <c r="P30" s="156"/>
      <c r="Q30" s="156"/>
      <c r="R30" s="156"/>
      <c r="S30" s="156"/>
      <c r="T30" s="156"/>
      <c r="U30" s="156"/>
      <c r="V30" s="156"/>
      <c r="W30" s="156"/>
      <c r="X30" s="156"/>
      <c r="Y30" s="156"/>
      <c r="Z30" s="156"/>
      <c r="AA30" s="156"/>
      <c r="AB30" s="159"/>
      <c r="AC30" s="159"/>
      <c r="AD30" s="159"/>
      <c r="AE30" s="159"/>
      <c r="AF30" s="159"/>
      <c r="AG30" s="159"/>
      <c r="AH30" s="159"/>
      <c r="AI30" s="159"/>
      <c r="AJ30" s="159"/>
      <c r="AK30" s="159"/>
      <c r="AL30" s="159"/>
      <c r="AM30" s="159"/>
      <c r="AN30" s="159"/>
      <c r="AO30" s="159"/>
      <c r="AP30" s="159"/>
      <c r="AQ30" s="159"/>
      <c r="AR30" s="159"/>
      <c r="AS30" s="159"/>
      <c r="AT30" s="159"/>
      <c r="AU30" s="159"/>
      <c r="AV30" s="159"/>
      <c r="AW30" s="159"/>
      <c r="AX30" s="159"/>
      <c r="AY30" s="159"/>
      <c r="AZ30" s="159"/>
      <c r="BA30" s="159"/>
      <c r="BB30" s="159"/>
      <c r="BC30" s="159"/>
      <c r="BD30" s="159"/>
      <c r="BE30" s="159"/>
    </row>
    <row r="31" spans="2:62" x14ac:dyDescent="0.25">
      <c r="B31" s="164"/>
      <c r="C31" s="221" t="str">
        <f t="shared" si="0"/>
        <v/>
      </c>
      <c r="D31" s="165"/>
      <c r="F31" s="156"/>
      <c r="G31" s="156"/>
      <c r="H31" s="156"/>
      <c r="I31" s="156"/>
      <c r="J31" s="156"/>
      <c r="K31" s="156"/>
      <c r="L31" s="156"/>
      <c r="M31" s="156"/>
      <c r="N31" s="156"/>
      <c r="O31" s="156"/>
      <c r="P31" s="156"/>
      <c r="Q31" s="156"/>
      <c r="R31" s="156"/>
      <c r="S31" s="156"/>
      <c r="T31" s="156"/>
      <c r="U31" s="156"/>
      <c r="V31" s="156"/>
      <c r="W31" s="156"/>
      <c r="X31" s="156"/>
      <c r="Y31" s="156"/>
      <c r="Z31" s="156"/>
      <c r="AA31" s="156"/>
      <c r="AB31" s="159"/>
      <c r="AC31" s="159"/>
      <c r="AD31" s="159"/>
      <c r="AE31" s="159"/>
      <c r="AF31" s="159"/>
      <c r="AG31" s="159"/>
      <c r="AH31" s="159"/>
      <c r="AI31" s="159"/>
      <c r="AJ31" s="159"/>
      <c r="AK31" s="159"/>
      <c r="AL31" s="159"/>
      <c r="AM31" s="159"/>
      <c r="AN31" s="159"/>
      <c r="AO31" s="159"/>
      <c r="AP31" s="159"/>
      <c r="AQ31" s="159"/>
      <c r="AR31" s="159"/>
      <c r="AS31" s="159"/>
      <c r="AT31" s="159"/>
      <c r="AU31" s="159"/>
      <c r="AV31" s="159"/>
      <c r="AW31" s="159"/>
      <c r="AX31" s="159"/>
      <c r="AY31" s="159"/>
      <c r="AZ31" s="159"/>
      <c r="BA31" s="159"/>
      <c r="BB31" s="159"/>
      <c r="BC31" s="159"/>
      <c r="BD31" s="159"/>
      <c r="BE31" s="159"/>
    </row>
    <row r="32" spans="2:62" x14ac:dyDescent="0.25">
      <c r="B32" s="164"/>
      <c r="C32" s="221" t="str">
        <f t="shared" si="0"/>
        <v/>
      </c>
      <c r="D32" s="165"/>
      <c r="F32" s="156"/>
      <c r="G32" s="156"/>
      <c r="H32" s="156"/>
      <c r="I32" s="156"/>
      <c r="J32" s="156"/>
      <c r="K32" s="156"/>
      <c r="L32" s="156"/>
      <c r="M32" s="156"/>
      <c r="N32" s="156"/>
      <c r="O32" s="156"/>
      <c r="P32" s="156"/>
      <c r="Q32" s="156"/>
      <c r="R32" s="156"/>
      <c r="S32" s="156"/>
      <c r="T32" s="156"/>
      <c r="U32" s="156"/>
      <c r="V32" s="156"/>
      <c r="W32" s="156"/>
      <c r="X32" s="156"/>
      <c r="Y32" s="156"/>
      <c r="Z32" s="156"/>
      <c r="AA32" s="156"/>
      <c r="AB32" s="159"/>
      <c r="AC32" s="159"/>
      <c r="AD32" s="159"/>
      <c r="AE32" s="159"/>
      <c r="AF32" s="159"/>
      <c r="AG32" s="159"/>
      <c r="AH32" s="159"/>
      <c r="AI32" s="159"/>
      <c r="AJ32" s="159"/>
      <c r="AK32" s="159"/>
      <c r="AL32" s="159"/>
      <c r="AM32" s="159"/>
      <c r="AN32" s="159"/>
      <c r="AO32" s="159"/>
      <c r="AP32" s="159"/>
      <c r="AQ32" s="159"/>
      <c r="AR32" s="159"/>
      <c r="AS32" s="159"/>
      <c r="AT32" s="159"/>
      <c r="AU32" s="159"/>
      <c r="AV32" s="159"/>
      <c r="AW32" s="159"/>
      <c r="AX32" s="159"/>
      <c r="AY32" s="159"/>
      <c r="AZ32" s="159"/>
      <c r="BA32" s="159"/>
      <c r="BB32" s="159"/>
      <c r="BC32" s="159"/>
      <c r="BD32" s="159"/>
      <c r="BE32" s="159"/>
    </row>
    <row r="33" spans="2:57" x14ac:dyDescent="0.25">
      <c r="B33" s="164"/>
      <c r="C33" s="221" t="str">
        <f t="shared" si="0"/>
        <v/>
      </c>
      <c r="D33" s="165"/>
      <c r="F33" s="156"/>
      <c r="G33" s="156"/>
      <c r="H33" s="156"/>
      <c r="I33" s="156"/>
      <c r="J33" s="156"/>
      <c r="K33" s="156"/>
      <c r="L33" s="156"/>
      <c r="M33" s="156"/>
      <c r="N33" s="156"/>
      <c r="O33" s="156"/>
      <c r="P33" s="156"/>
      <c r="Q33" s="156"/>
      <c r="R33" s="156"/>
      <c r="S33" s="156"/>
      <c r="T33" s="156"/>
      <c r="U33" s="156"/>
      <c r="V33" s="156"/>
      <c r="W33" s="156"/>
      <c r="X33" s="156"/>
      <c r="Y33" s="156"/>
      <c r="Z33" s="156"/>
      <c r="AA33" s="156"/>
      <c r="AB33" s="159"/>
      <c r="AC33" s="159"/>
      <c r="AD33" s="159"/>
      <c r="AE33" s="159"/>
      <c r="AF33" s="159"/>
      <c r="AG33" s="159"/>
      <c r="AH33" s="159"/>
      <c r="AI33" s="159"/>
      <c r="AJ33" s="159"/>
      <c r="AK33" s="159"/>
      <c r="AL33" s="159"/>
      <c r="AM33" s="159"/>
      <c r="AN33" s="159"/>
      <c r="AO33" s="159"/>
      <c r="AP33" s="159"/>
      <c r="AQ33" s="159"/>
      <c r="AR33" s="159"/>
      <c r="AS33" s="159"/>
      <c r="AT33" s="159"/>
      <c r="AU33" s="159"/>
      <c r="AV33" s="159"/>
      <c r="AW33" s="159"/>
      <c r="AX33" s="159"/>
      <c r="AY33" s="159"/>
      <c r="AZ33" s="159"/>
      <c r="BA33" s="159"/>
      <c r="BB33" s="159"/>
      <c r="BC33" s="159"/>
      <c r="BD33" s="159"/>
      <c r="BE33" s="159"/>
    </row>
    <row r="34" spans="2:57" x14ac:dyDescent="0.25">
      <c r="B34" s="164"/>
      <c r="C34" s="221" t="str">
        <f t="shared" si="0"/>
        <v/>
      </c>
      <c r="D34" s="165"/>
      <c r="F34" s="159"/>
      <c r="G34" s="159"/>
      <c r="H34" s="160"/>
      <c r="I34" s="160"/>
      <c r="J34" s="160"/>
      <c r="K34" s="160"/>
      <c r="L34" s="160"/>
      <c r="M34" s="160"/>
      <c r="N34" s="160"/>
      <c r="O34" s="160"/>
      <c r="P34" s="160"/>
      <c r="Q34" s="160"/>
      <c r="R34" s="160"/>
      <c r="S34" s="160"/>
      <c r="T34" s="160"/>
      <c r="U34" s="160"/>
      <c r="V34" s="160"/>
      <c r="W34" s="160"/>
      <c r="X34" s="160"/>
      <c r="Y34" s="160"/>
      <c r="Z34" s="160"/>
      <c r="AA34" s="160"/>
      <c r="AB34" s="160"/>
      <c r="AC34" s="160"/>
      <c r="AD34" s="160"/>
      <c r="AE34" s="160"/>
      <c r="AF34" s="160"/>
      <c r="AG34" s="160"/>
      <c r="AH34" s="160"/>
      <c r="AI34" s="160"/>
      <c r="AJ34" s="160"/>
      <c r="AK34" s="160"/>
      <c r="AL34" s="160"/>
      <c r="AM34" s="160"/>
      <c r="AN34" s="160"/>
      <c r="AO34" s="160"/>
      <c r="AP34" s="160"/>
      <c r="AQ34" s="160"/>
      <c r="AR34" s="160"/>
      <c r="AS34" s="160"/>
      <c r="AT34" s="160"/>
      <c r="AU34" s="160"/>
      <c r="AV34" s="160"/>
      <c r="AW34" s="160"/>
      <c r="AX34" s="160"/>
      <c r="AY34" s="160"/>
      <c r="AZ34" s="160"/>
      <c r="BA34" s="160"/>
      <c r="BB34" s="160"/>
      <c r="BC34" s="160"/>
      <c r="BD34" s="160"/>
      <c r="BE34" s="159"/>
    </row>
    <row r="35" spans="2:57" x14ac:dyDescent="0.25">
      <c r="B35" s="164"/>
      <c r="C35" s="221" t="str">
        <f t="shared" si="0"/>
        <v/>
      </c>
      <c r="D35" s="165"/>
      <c r="F35" s="156"/>
      <c r="G35" s="156"/>
      <c r="H35" s="156"/>
      <c r="I35" s="156"/>
      <c r="J35" s="156"/>
      <c r="K35" s="156"/>
      <c r="L35" s="156"/>
      <c r="M35" s="156"/>
      <c r="N35" s="156"/>
      <c r="O35" s="156"/>
      <c r="P35" s="156"/>
      <c r="Q35" s="156"/>
      <c r="R35" s="156"/>
      <c r="S35" s="156"/>
      <c r="T35" s="156"/>
      <c r="U35" s="156"/>
      <c r="V35" s="156"/>
      <c r="W35" s="156"/>
      <c r="X35" s="156"/>
      <c r="Y35" s="156"/>
      <c r="Z35" s="156"/>
      <c r="AA35" s="156"/>
      <c r="AB35" s="156"/>
      <c r="AC35" s="156"/>
      <c r="AD35" s="156"/>
      <c r="AE35" s="156"/>
      <c r="AF35" s="156"/>
      <c r="AG35" s="156"/>
      <c r="AH35" s="156"/>
      <c r="AI35" s="156"/>
      <c r="AJ35" s="156"/>
      <c r="AK35" s="156"/>
      <c r="AL35" s="156"/>
      <c r="AM35" s="156"/>
      <c r="AN35" s="156"/>
      <c r="AO35" s="156"/>
      <c r="AP35" s="156"/>
      <c r="AQ35" s="156"/>
      <c r="AR35" s="156"/>
      <c r="AS35" s="156"/>
      <c r="AT35" s="156"/>
      <c r="AU35" s="156"/>
      <c r="AV35" s="156"/>
      <c r="AW35" s="156"/>
      <c r="AX35" s="156"/>
      <c r="AY35" s="156"/>
      <c r="AZ35" s="156"/>
      <c r="BA35" s="156"/>
      <c r="BB35" s="156"/>
      <c r="BC35" s="156"/>
      <c r="BD35" s="156"/>
      <c r="BE35" s="156"/>
    </row>
    <row r="36" spans="2:57" x14ac:dyDescent="0.25">
      <c r="B36" s="164"/>
      <c r="C36" s="221" t="str">
        <f t="shared" si="0"/>
        <v/>
      </c>
      <c r="D36" s="165"/>
      <c r="F36" s="156"/>
      <c r="G36" s="156"/>
      <c r="H36" s="156"/>
      <c r="I36" s="156"/>
      <c r="J36" s="156"/>
      <c r="K36" s="156"/>
      <c r="L36" s="156"/>
      <c r="M36" s="156"/>
      <c r="N36" s="156"/>
      <c r="O36" s="156"/>
      <c r="P36" s="156"/>
      <c r="Q36" s="156"/>
      <c r="R36" s="156"/>
      <c r="S36" s="156"/>
      <c r="T36" s="156"/>
      <c r="U36" s="156"/>
      <c r="V36" s="156"/>
      <c r="W36" s="156"/>
      <c r="X36" s="156"/>
      <c r="Y36" s="156"/>
      <c r="Z36" s="156"/>
      <c r="AA36" s="156"/>
      <c r="AB36" s="156"/>
      <c r="AC36" s="156"/>
      <c r="AD36" s="156"/>
      <c r="AE36" s="156"/>
      <c r="AF36" s="156"/>
      <c r="AG36" s="156"/>
      <c r="AH36" s="156"/>
      <c r="AI36" s="156"/>
      <c r="AJ36" s="156"/>
      <c r="AK36" s="156"/>
      <c r="AL36" s="156"/>
      <c r="AM36" s="156"/>
      <c r="AN36" s="156"/>
      <c r="AO36" s="156"/>
      <c r="AP36" s="156"/>
      <c r="AQ36" s="156"/>
      <c r="AR36" s="156"/>
      <c r="AS36" s="156"/>
      <c r="AT36" s="156"/>
      <c r="AU36" s="156"/>
      <c r="AV36" s="156"/>
      <c r="AW36" s="156"/>
      <c r="AX36" s="156"/>
      <c r="AY36" s="156"/>
      <c r="AZ36" s="156"/>
      <c r="BA36" s="156"/>
      <c r="BB36" s="156"/>
      <c r="BC36" s="156"/>
      <c r="BD36" s="156"/>
      <c r="BE36" s="156"/>
    </row>
    <row r="37" spans="2:57" x14ac:dyDescent="0.25">
      <c r="B37" s="164"/>
      <c r="C37" s="221" t="str">
        <f t="shared" si="0"/>
        <v/>
      </c>
      <c r="D37" s="165"/>
      <c r="F37" s="159"/>
      <c r="G37" s="159"/>
      <c r="H37" s="159"/>
      <c r="I37" s="159"/>
      <c r="J37" s="159"/>
      <c r="K37" s="159"/>
      <c r="L37" s="159"/>
      <c r="M37" s="159"/>
      <c r="N37" s="159"/>
      <c r="O37" s="159"/>
      <c r="P37" s="159"/>
      <c r="Q37" s="159"/>
      <c r="R37" s="159"/>
      <c r="S37" s="159"/>
      <c r="T37" s="159"/>
      <c r="U37" s="159"/>
      <c r="V37" s="159"/>
      <c r="W37" s="159"/>
      <c r="X37" s="159"/>
      <c r="Y37" s="159"/>
      <c r="Z37" s="159"/>
      <c r="AA37" s="159"/>
      <c r="AB37" s="159"/>
      <c r="AC37" s="159"/>
      <c r="AD37" s="159"/>
      <c r="AE37" s="159"/>
      <c r="AF37" s="159"/>
      <c r="AG37" s="159"/>
      <c r="AH37" s="159"/>
      <c r="AI37" s="159"/>
      <c r="AJ37" s="159"/>
      <c r="AK37" s="159"/>
      <c r="AL37" s="159"/>
      <c r="AM37" s="159"/>
      <c r="AN37" s="159"/>
      <c r="AO37" s="159"/>
      <c r="AP37" s="159"/>
      <c r="AQ37" s="159"/>
      <c r="AR37" s="159"/>
      <c r="AS37" s="159"/>
      <c r="AT37" s="159"/>
      <c r="AU37" s="159"/>
      <c r="AV37" s="159"/>
      <c r="AW37" s="159"/>
      <c r="AX37" s="159"/>
      <c r="AY37" s="159"/>
      <c r="AZ37" s="159"/>
      <c r="BA37" s="159"/>
      <c r="BB37" s="159"/>
      <c r="BC37" s="159"/>
      <c r="BD37" s="159"/>
      <c r="BE37" s="159"/>
    </row>
    <row r="38" spans="2:57" x14ac:dyDescent="0.25">
      <c r="B38" s="164"/>
      <c r="C38" s="221" t="str">
        <f t="shared" si="0"/>
        <v/>
      </c>
      <c r="D38" s="165"/>
      <c r="F38" s="159"/>
      <c r="G38" s="159"/>
      <c r="H38" s="159"/>
      <c r="I38" s="159"/>
      <c r="J38" s="159"/>
      <c r="K38" s="159"/>
      <c r="L38" s="159"/>
      <c r="M38" s="159"/>
      <c r="N38" s="159"/>
      <c r="O38" s="159"/>
      <c r="P38" s="159"/>
      <c r="Q38" s="159"/>
      <c r="R38" s="159"/>
      <c r="S38" s="159"/>
      <c r="T38" s="159"/>
      <c r="U38" s="159"/>
      <c r="V38" s="159"/>
      <c r="W38" s="159"/>
      <c r="X38" s="159"/>
      <c r="Y38" s="159"/>
      <c r="Z38" s="159"/>
      <c r="AA38" s="159"/>
      <c r="AB38" s="159"/>
      <c r="AC38" s="159"/>
      <c r="AD38" s="159"/>
      <c r="AE38" s="159"/>
      <c r="AF38" s="159"/>
      <c r="AG38" s="159"/>
      <c r="AH38" s="159"/>
      <c r="AI38" s="159"/>
      <c r="AJ38" s="159"/>
      <c r="AK38" s="159"/>
      <c r="AL38" s="159"/>
      <c r="AM38" s="159"/>
      <c r="AN38" s="159"/>
      <c r="AO38" s="159"/>
      <c r="AP38" s="159"/>
      <c r="AQ38" s="159"/>
      <c r="AR38" s="159"/>
      <c r="AS38" s="159"/>
      <c r="AT38" s="159"/>
      <c r="AU38" s="159"/>
      <c r="AV38" s="159"/>
      <c r="AW38" s="159"/>
      <c r="AX38" s="159"/>
      <c r="AY38" s="159"/>
      <c r="AZ38" s="159"/>
      <c r="BA38" s="159"/>
      <c r="BB38" s="159"/>
      <c r="BC38" s="159"/>
      <c r="BD38" s="159"/>
      <c r="BE38" s="159"/>
    </row>
    <row r="39" spans="2:57" x14ac:dyDescent="0.25">
      <c r="B39" s="164"/>
      <c r="C39" s="221" t="str">
        <f t="shared" si="0"/>
        <v/>
      </c>
      <c r="D39" s="165"/>
      <c r="F39" s="159"/>
      <c r="G39" s="159"/>
      <c r="H39" s="159"/>
      <c r="I39" s="159"/>
      <c r="J39" s="159"/>
      <c r="K39" s="159"/>
      <c r="L39" s="159"/>
      <c r="M39" s="159"/>
      <c r="N39" s="159"/>
      <c r="O39" s="159"/>
      <c r="P39" s="159"/>
      <c r="Q39" s="159"/>
      <c r="R39" s="159"/>
      <c r="S39" s="159"/>
      <c r="T39" s="159"/>
      <c r="U39" s="159"/>
      <c r="V39" s="159"/>
      <c r="W39" s="159"/>
      <c r="X39" s="159"/>
      <c r="Y39" s="159"/>
      <c r="Z39" s="159"/>
      <c r="AA39" s="159"/>
      <c r="AB39" s="159"/>
      <c r="AC39" s="159"/>
      <c r="AD39" s="159"/>
      <c r="AE39" s="159"/>
      <c r="AF39" s="159"/>
      <c r="AG39" s="159"/>
      <c r="AH39" s="159"/>
      <c r="AI39" s="159"/>
      <c r="AJ39" s="159"/>
      <c r="AK39" s="159"/>
      <c r="AL39" s="159"/>
      <c r="AM39" s="159"/>
      <c r="AN39" s="159"/>
      <c r="AO39" s="159"/>
      <c r="AP39" s="159"/>
      <c r="AQ39" s="159"/>
      <c r="AR39" s="159"/>
      <c r="AS39" s="159"/>
      <c r="AT39" s="159"/>
      <c r="AU39" s="159"/>
      <c r="AV39" s="159"/>
      <c r="AW39" s="159"/>
      <c r="AX39" s="159"/>
      <c r="AY39" s="159"/>
      <c r="AZ39" s="159"/>
      <c r="BA39" s="159"/>
      <c r="BB39" s="159"/>
      <c r="BC39" s="159"/>
      <c r="BD39" s="159"/>
      <c r="BE39" s="159"/>
    </row>
    <row r="40" spans="2:57" x14ac:dyDescent="0.25">
      <c r="B40" s="164"/>
      <c r="C40" s="221" t="str">
        <f t="shared" si="0"/>
        <v/>
      </c>
      <c r="D40" s="165"/>
      <c r="F40" s="159"/>
      <c r="G40" s="159"/>
      <c r="H40" s="159"/>
      <c r="I40" s="159"/>
      <c r="J40" s="159"/>
      <c r="K40" s="159"/>
      <c r="L40" s="159"/>
      <c r="M40" s="159"/>
      <c r="N40" s="159"/>
      <c r="O40" s="159"/>
      <c r="P40" s="159"/>
      <c r="Q40" s="159"/>
      <c r="R40" s="159"/>
      <c r="S40" s="159"/>
      <c r="T40" s="159"/>
      <c r="U40" s="159"/>
      <c r="V40" s="159"/>
      <c r="W40" s="159"/>
      <c r="X40" s="159"/>
      <c r="Y40" s="159"/>
      <c r="Z40" s="159"/>
      <c r="AA40" s="159"/>
      <c r="AB40" s="159"/>
      <c r="AC40" s="159"/>
      <c r="AD40" s="159"/>
      <c r="AE40" s="159"/>
      <c r="AF40" s="159"/>
      <c r="AG40" s="159"/>
      <c r="AH40" s="159"/>
      <c r="AI40" s="159"/>
      <c r="AJ40" s="159"/>
      <c r="AK40" s="159"/>
      <c r="AL40" s="159"/>
      <c r="AM40" s="159"/>
      <c r="AN40" s="159"/>
      <c r="AO40" s="159"/>
      <c r="AP40" s="159"/>
      <c r="AQ40" s="159"/>
      <c r="AR40" s="159"/>
      <c r="AS40" s="159"/>
      <c r="AT40" s="159"/>
      <c r="AU40" s="159"/>
      <c r="AV40" s="159"/>
      <c r="AW40" s="159"/>
      <c r="AX40" s="159"/>
      <c r="AY40" s="159"/>
      <c r="AZ40" s="159"/>
      <c r="BA40" s="159"/>
      <c r="BB40" s="159"/>
      <c r="BC40" s="159"/>
      <c r="BD40" s="159"/>
      <c r="BE40" s="159"/>
    </row>
    <row r="41" spans="2:57" x14ac:dyDescent="0.25">
      <c r="B41" s="164"/>
      <c r="C41" s="221" t="str">
        <f t="shared" si="0"/>
        <v/>
      </c>
      <c r="D41" s="165"/>
      <c r="F41" s="159"/>
      <c r="G41" s="159"/>
      <c r="H41" s="159"/>
      <c r="I41" s="159"/>
      <c r="J41" s="159"/>
      <c r="K41" s="159"/>
      <c r="L41" s="159"/>
      <c r="M41" s="159"/>
      <c r="N41" s="159"/>
      <c r="O41" s="159"/>
      <c r="P41" s="159"/>
      <c r="Q41" s="159"/>
      <c r="R41" s="159"/>
      <c r="S41" s="159"/>
      <c r="T41" s="159"/>
      <c r="U41" s="159"/>
      <c r="V41" s="159"/>
      <c r="W41" s="159"/>
      <c r="X41" s="159"/>
      <c r="Y41" s="159"/>
      <c r="Z41" s="159"/>
      <c r="AA41" s="159"/>
      <c r="AB41" s="159"/>
      <c r="AC41" s="159"/>
      <c r="AD41" s="159"/>
      <c r="AE41" s="159"/>
      <c r="AF41" s="159"/>
      <c r="AG41" s="159"/>
      <c r="AH41" s="159"/>
      <c r="AI41" s="159"/>
      <c r="AJ41" s="159"/>
      <c r="AK41" s="159"/>
      <c r="AL41" s="159"/>
      <c r="AM41" s="159"/>
      <c r="AN41" s="159"/>
      <c r="AO41" s="159"/>
      <c r="AP41" s="159"/>
      <c r="AQ41" s="159"/>
      <c r="AR41" s="159"/>
      <c r="AS41" s="159"/>
      <c r="AT41" s="159"/>
      <c r="AU41" s="159"/>
      <c r="AV41" s="159"/>
      <c r="AW41" s="159"/>
      <c r="AX41" s="159"/>
      <c r="AY41" s="159"/>
      <c r="AZ41" s="159"/>
      <c r="BA41" s="159"/>
      <c r="BB41" s="159"/>
      <c r="BC41" s="159"/>
      <c r="BD41" s="159"/>
      <c r="BE41" s="159"/>
    </row>
    <row r="42" spans="2:57" x14ac:dyDescent="0.25">
      <c r="B42" s="164"/>
      <c r="C42" s="221" t="str">
        <f t="shared" si="0"/>
        <v/>
      </c>
      <c r="D42" s="165"/>
      <c r="F42" s="159"/>
      <c r="G42" s="159"/>
      <c r="H42" s="159"/>
      <c r="I42" s="159"/>
      <c r="J42" s="159"/>
      <c r="K42" s="159"/>
      <c r="L42" s="159"/>
      <c r="M42" s="159"/>
      <c r="N42" s="159"/>
      <c r="O42" s="159"/>
      <c r="P42" s="159"/>
      <c r="Q42" s="159"/>
      <c r="R42" s="159"/>
      <c r="S42" s="159"/>
      <c r="T42" s="159"/>
      <c r="U42" s="159"/>
      <c r="V42" s="159"/>
      <c r="W42" s="159"/>
      <c r="X42" s="159"/>
      <c r="Y42" s="159"/>
      <c r="Z42" s="159"/>
      <c r="AA42" s="159"/>
      <c r="AB42" s="159"/>
      <c r="AC42" s="159"/>
      <c r="AD42" s="159"/>
      <c r="AE42" s="159"/>
      <c r="AF42" s="159"/>
      <c r="AG42" s="159"/>
      <c r="AH42" s="159"/>
      <c r="AI42" s="159"/>
      <c r="AJ42" s="159"/>
      <c r="AK42" s="159"/>
      <c r="AL42" s="159"/>
      <c r="AM42" s="159"/>
      <c r="AN42" s="159"/>
      <c r="AO42" s="159"/>
      <c r="AP42" s="159"/>
      <c r="AQ42" s="159"/>
      <c r="AR42" s="159"/>
      <c r="AS42" s="159"/>
      <c r="AT42" s="159"/>
      <c r="AU42" s="159"/>
      <c r="AV42" s="159"/>
      <c r="AW42" s="159"/>
      <c r="AX42" s="159"/>
      <c r="AY42" s="159"/>
      <c r="AZ42" s="159"/>
      <c r="BA42" s="159"/>
      <c r="BB42" s="159"/>
      <c r="BC42" s="159"/>
      <c r="BD42" s="159"/>
      <c r="BE42" s="159"/>
    </row>
    <row r="43" spans="2:57" x14ac:dyDescent="0.25">
      <c r="B43" s="164"/>
      <c r="C43" s="221" t="str">
        <f t="shared" si="0"/>
        <v/>
      </c>
      <c r="D43" s="165"/>
      <c r="F43" s="159"/>
      <c r="G43" s="159"/>
      <c r="H43" s="159"/>
      <c r="I43" s="159"/>
      <c r="J43" s="159"/>
      <c r="K43" s="159"/>
      <c r="L43" s="159"/>
      <c r="M43" s="159"/>
      <c r="N43" s="159"/>
      <c r="O43" s="159"/>
      <c r="P43" s="159"/>
      <c r="Q43" s="159"/>
      <c r="R43" s="159"/>
      <c r="S43" s="159"/>
      <c r="T43" s="159"/>
      <c r="U43" s="159"/>
      <c r="V43" s="159"/>
      <c r="W43" s="159"/>
      <c r="X43" s="159"/>
      <c r="Y43" s="159"/>
      <c r="Z43" s="159"/>
      <c r="AA43" s="159"/>
      <c r="AB43" s="159"/>
      <c r="AC43" s="159"/>
      <c r="AD43" s="159"/>
      <c r="AE43" s="159"/>
      <c r="AF43" s="159"/>
      <c r="AG43" s="159"/>
      <c r="AH43" s="159"/>
      <c r="AI43" s="159"/>
      <c r="AJ43" s="159"/>
      <c r="AK43" s="159"/>
      <c r="AL43" s="159"/>
      <c r="AM43" s="159"/>
      <c r="AN43" s="159"/>
      <c r="AO43" s="159"/>
      <c r="AP43" s="159"/>
      <c r="AQ43" s="159"/>
      <c r="AR43" s="159"/>
      <c r="AS43" s="159"/>
      <c r="AT43" s="159"/>
      <c r="AU43" s="159"/>
      <c r="AV43" s="159"/>
      <c r="AW43" s="159"/>
      <c r="AX43" s="159"/>
      <c r="AY43" s="159"/>
      <c r="AZ43" s="159"/>
      <c r="BA43" s="159"/>
      <c r="BB43" s="159"/>
      <c r="BC43" s="159"/>
      <c r="BD43" s="159"/>
      <c r="BE43" s="159"/>
    </row>
    <row r="44" spans="2:57" x14ac:dyDescent="0.25">
      <c r="B44" s="164"/>
      <c r="C44" s="221" t="str">
        <f t="shared" si="0"/>
        <v/>
      </c>
      <c r="D44" s="165"/>
      <c r="F44" s="159"/>
      <c r="G44" s="159"/>
      <c r="H44" s="159"/>
      <c r="I44" s="159"/>
      <c r="J44" s="159"/>
      <c r="K44" s="159"/>
      <c r="L44" s="159"/>
      <c r="M44" s="159"/>
      <c r="N44" s="159"/>
      <c r="O44" s="159"/>
      <c r="P44" s="159"/>
      <c r="Q44" s="159"/>
      <c r="R44" s="159"/>
      <c r="S44" s="159"/>
      <c r="T44" s="159"/>
      <c r="U44" s="159"/>
      <c r="V44" s="159"/>
      <c r="W44" s="159"/>
      <c r="X44" s="159"/>
      <c r="Y44" s="159"/>
      <c r="Z44" s="159"/>
      <c r="AA44" s="159"/>
      <c r="AB44" s="159"/>
      <c r="AC44" s="159"/>
      <c r="AD44" s="159"/>
      <c r="AE44" s="159"/>
      <c r="AF44" s="159"/>
      <c r="AG44" s="159"/>
      <c r="AH44" s="159"/>
      <c r="AI44" s="159"/>
      <c r="AJ44" s="159"/>
      <c r="AK44" s="159"/>
      <c r="AL44" s="159"/>
      <c r="AM44" s="159"/>
      <c r="AN44" s="159"/>
      <c r="AO44" s="159"/>
      <c r="AP44" s="159"/>
      <c r="AQ44" s="159"/>
      <c r="AR44" s="159"/>
      <c r="AS44" s="159"/>
      <c r="AT44" s="159"/>
      <c r="AU44" s="159"/>
      <c r="AV44" s="159"/>
      <c r="AW44" s="159"/>
      <c r="AX44" s="159"/>
      <c r="AY44" s="159"/>
      <c r="AZ44" s="159"/>
      <c r="BA44" s="159"/>
      <c r="BB44" s="159"/>
      <c r="BC44" s="159"/>
      <c r="BD44" s="159"/>
      <c r="BE44" s="159"/>
    </row>
    <row r="45" spans="2:57" x14ac:dyDescent="0.25">
      <c r="B45" s="164"/>
      <c r="C45" s="221" t="str">
        <f t="shared" si="0"/>
        <v/>
      </c>
      <c r="D45" s="165"/>
      <c r="F45" s="159"/>
      <c r="G45" s="159"/>
      <c r="H45" s="159"/>
      <c r="I45" s="159"/>
      <c r="J45" s="159"/>
      <c r="K45" s="159"/>
      <c r="L45" s="159"/>
      <c r="M45" s="159"/>
      <c r="N45" s="159"/>
      <c r="O45" s="159"/>
      <c r="P45" s="159"/>
      <c r="Q45" s="159"/>
      <c r="R45" s="159"/>
      <c r="S45" s="159"/>
      <c r="T45" s="159"/>
      <c r="U45" s="159"/>
      <c r="V45" s="159"/>
      <c r="W45" s="159"/>
      <c r="X45" s="159"/>
      <c r="Y45" s="159"/>
      <c r="Z45" s="159"/>
      <c r="AA45" s="159"/>
      <c r="AB45" s="159"/>
      <c r="AC45" s="159"/>
      <c r="AD45" s="159"/>
      <c r="AE45" s="159"/>
      <c r="AF45" s="159"/>
      <c r="AG45" s="159"/>
      <c r="AH45" s="159"/>
      <c r="AI45" s="159"/>
      <c r="AJ45" s="159"/>
      <c r="AK45" s="159"/>
      <c r="AL45" s="159"/>
      <c r="AM45" s="159"/>
      <c r="AN45" s="159"/>
      <c r="AO45" s="159"/>
      <c r="AP45" s="159"/>
      <c r="AQ45" s="159"/>
      <c r="AR45" s="159"/>
      <c r="AS45" s="159"/>
      <c r="AT45" s="159"/>
      <c r="AU45" s="159"/>
      <c r="AV45" s="159"/>
      <c r="AW45" s="159"/>
      <c r="AX45" s="159"/>
      <c r="AY45" s="159"/>
      <c r="AZ45" s="159"/>
      <c r="BA45" s="159"/>
      <c r="BB45" s="159"/>
      <c r="BC45" s="159"/>
      <c r="BD45" s="159"/>
      <c r="BE45" s="159"/>
    </row>
    <row r="46" spans="2:57" x14ac:dyDescent="0.25">
      <c r="B46" s="126"/>
      <c r="C46" s="130" t="str">
        <f t="shared" si="0"/>
        <v/>
      </c>
      <c r="D46" s="130" t="str">
        <f>IF(B46="","",Capacity!R39)</f>
        <v/>
      </c>
      <c r="F46" s="45"/>
      <c r="G46" s="45"/>
      <c r="H46" s="45"/>
      <c r="I46" s="45"/>
      <c r="J46" s="45"/>
      <c r="K46" s="45"/>
      <c r="L46" s="45"/>
      <c r="M46" s="45"/>
      <c r="N46" s="45"/>
      <c r="O46" s="45"/>
      <c r="P46" s="45"/>
      <c r="Q46" s="45"/>
      <c r="R46" s="45"/>
      <c r="S46" s="45"/>
      <c r="T46" s="45"/>
      <c r="U46" s="45"/>
      <c r="V46" s="45"/>
      <c r="W46" s="45"/>
      <c r="X46" s="45"/>
      <c r="Y46" s="45"/>
      <c r="Z46" s="45"/>
      <c r="AA46" s="45"/>
      <c r="AB46" s="45"/>
      <c r="AC46" s="45"/>
      <c r="AD46" s="45"/>
      <c r="AE46" s="45"/>
      <c r="AF46" s="45"/>
      <c r="AG46" s="45"/>
      <c r="AH46" s="45"/>
      <c r="AI46" s="45"/>
      <c r="AJ46" s="45"/>
      <c r="AK46" s="45"/>
      <c r="AL46" s="45"/>
      <c r="AM46" s="45"/>
      <c r="AN46" s="45"/>
      <c r="AO46" s="45"/>
      <c r="AP46" s="45"/>
      <c r="AQ46" s="45"/>
      <c r="AR46" s="45"/>
      <c r="AS46" s="45"/>
      <c r="AT46" s="45"/>
      <c r="AU46" s="45"/>
      <c r="AV46" s="45"/>
      <c r="AW46" s="45"/>
      <c r="AX46" s="45"/>
      <c r="AY46" s="45"/>
      <c r="AZ46" s="45"/>
      <c r="BA46" s="45"/>
      <c r="BB46" s="45"/>
      <c r="BC46" s="45"/>
      <c r="BD46" s="45"/>
      <c r="BE46" s="45"/>
    </row>
    <row r="47" spans="2:57" x14ac:dyDescent="0.25">
      <c r="B47" s="126" t="str">
        <f>IF(Capacity!N40="","",Capacity!N40)</f>
        <v/>
      </c>
      <c r="C47" s="130" t="str">
        <f t="shared" si="0"/>
        <v/>
      </c>
      <c r="D47" s="130" t="str">
        <f>IF(B47="","",Capacity!R40)</f>
        <v/>
      </c>
      <c r="F47" s="45"/>
      <c r="G47" s="45"/>
      <c r="H47" s="45"/>
      <c r="I47" s="45"/>
      <c r="J47" s="45"/>
      <c r="K47" s="45"/>
      <c r="L47" s="45"/>
      <c r="M47" s="45"/>
      <c r="N47" s="45"/>
      <c r="O47" s="45"/>
      <c r="P47" s="45"/>
      <c r="Q47" s="45"/>
      <c r="R47" s="45"/>
      <c r="S47" s="45"/>
      <c r="T47" s="45"/>
      <c r="U47" s="45"/>
      <c r="V47" s="45"/>
      <c r="W47" s="45"/>
      <c r="X47" s="45"/>
      <c r="Y47" s="45"/>
      <c r="Z47" s="45"/>
      <c r="AA47" s="45"/>
      <c r="AB47" s="45"/>
      <c r="AC47" s="45"/>
      <c r="AD47" s="45"/>
      <c r="AE47" s="45"/>
      <c r="AF47" s="45"/>
      <c r="AG47" s="45"/>
      <c r="AH47" s="45"/>
      <c r="AI47" s="45"/>
      <c r="AJ47" s="45"/>
      <c r="AK47" s="45"/>
      <c r="AL47" s="45"/>
      <c r="AM47" s="45"/>
      <c r="AN47" s="45"/>
      <c r="AO47" s="45"/>
      <c r="AP47" s="45"/>
      <c r="AQ47" s="45"/>
      <c r="AR47" s="45"/>
      <c r="AS47" s="45"/>
      <c r="AT47" s="45"/>
      <c r="AU47" s="45"/>
      <c r="AV47" s="45"/>
      <c r="AW47" s="45"/>
      <c r="AX47" s="45"/>
      <c r="AY47" s="45"/>
      <c r="AZ47" s="45"/>
      <c r="BA47" s="45"/>
      <c r="BB47" s="45"/>
      <c r="BC47" s="45"/>
      <c r="BD47" s="45"/>
      <c r="BE47" s="45"/>
    </row>
    <row r="48" spans="2:57" x14ac:dyDescent="0.25">
      <c r="B48" s="126" t="str">
        <f>IF(Capacity!N41="","",Capacity!N41)</f>
        <v/>
      </c>
      <c r="C48" s="130" t="str">
        <f t="shared" si="0"/>
        <v/>
      </c>
      <c r="D48" s="130" t="str">
        <f>IF(B48="","",Capacity!R41)</f>
        <v/>
      </c>
      <c r="F48" s="45"/>
      <c r="G48" s="45"/>
      <c r="H48" s="45"/>
      <c r="I48" s="45"/>
      <c r="J48" s="45"/>
      <c r="K48" s="45"/>
      <c r="L48" s="45"/>
      <c r="M48" s="45"/>
      <c r="N48" s="45"/>
      <c r="O48" s="45"/>
      <c r="P48" s="45"/>
      <c r="Q48" s="45"/>
      <c r="R48" s="45"/>
      <c r="S48" s="45"/>
      <c r="T48" s="45"/>
      <c r="U48" s="45"/>
      <c r="V48" s="45"/>
      <c r="W48" s="45"/>
      <c r="X48" s="45"/>
      <c r="Y48" s="45"/>
      <c r="Z48" s="45"/>
      <c r="AA48" s="45"/>
      <c r="AB48" s="45"/>
      <c r="AC48" s="45"/>
      <c r="AD48" s="45"/>
      <c r="AE48" s="45"/>
      <c r="AF48" s="45"/>
      <c r="AG48" s="45"/>
      <c r="AH48" s="45"/>
      <c r="AI48" s="45"/>
      <c r="AJ48" s="45"/>
      <c r="AK48" s="45"/>
      <c r="AL48" s="45"/>
      <c r="AM48" s="45"/>
      <c r="AN48" s="45"/>
      <c r="AO48" s="45"/>
      <c r="AP48" s="45"/>
      <c r="AQ48" s="45"/>
      <c r="AR48" s="45"/>
      <c r="AS48" s="45"/>
      <c r="AT48" s="45"/>
      <c r="AU48" s="45"/>
      <c r="AV48" s="45"/>
      <c r="AW48" s="45"/>
      <c r="AX48" s="45"/>
      <c r="AY48" s="45"/>
      <c r="AZ48" s="45"/>
      <c r="BA48" s="45"/>
      <c r="BB48" s="45"/>
      <c r="BC48" s="45"/>
      <c r="BD48" s="45"/>
      <c r="BE48" s="45"/>
    </row>
    <row r="49" spans="2:57" x14ac:dyDescent="0.25">
      <c r="B49" s="126" t="str">
        <f>IF(Capacity!N42="","",Capacity!N42)</f>
        <v/>
      </c>
      <c r="C49" s="130" t="str">
        <f t="shared" si="0"/>
        <v/>
      </c>
      <c r="D49" s="130" t="str">
        <f>IF(B49="","",Capacity!R42)</f>
        <v/>
      </c>
      <c r="F49" s="45"/>
      <c r="G49" s="45"/>
      <c r="H49" s="45"/>
      <c r="I49" s="45"/>
      <c r="J49" s="45"/>
      <c r="K49" s="45"/>
      <c r="L49" s="45"/>
      <c r="M49" s="45"/>
      <c r="N49" s="45"/>
      <c r="O49" s="45"/>
      <c r="P49" s="45"/>
      <c r="Q49" s="45"/>
      <c r="R49" s="45"/>
      <c r="S49" s="45"/>
      <c r="T49" s="45"/>
      <c r="U49" s="45"/>
      <c r="V49" s="45"/>
      <c r="W49" s="45"/>
      <c r="X49" s="45"/>
      <c r="Y49" s="45"/>
      <c r="Z49" s="45"/>
      <c r="AA49" s="45"/>
      <c r="AB49" s="45"/>
      <c r="AC49" s="45"/>
      <c r="AD49" s="45"/>
      <c r="AE49" s="45"/>
      <c r="AF49" s="45"/>
      <c r="AG49" s="45"/>
      <c r="AH49" s="45"/>
      <c r="AI49" s="45"/>
      <c r="AJ49" s="45"/>
      <c r="AK49" s="45"/>
      <c r="AL49" s="45"/>
      <c r="AM49" s="45"/>
      <c r="AN49" s="45"/>
      <c r="AO49" s="45"/>
      <c r="AP49" s="45"/>
      <c r="AQ49" s="45"/>
      <c r="AR49" s="45"/>
      <c r="AS49" s="45"/>
      <c r="AT49" s="45"/>
      <c r="AU49" s="45"/>
      <c r="AV49" s="45"/>
      <c r="AW49" s="45"/>
      <c r="AX49" s="45"/>
      <c r="AY49" s="45"/>
      <c r="AZ49" s="45"/>
      <c r="BA49" s="45"/>
      <c r="BB49" s="45"/>
      <c r="BC49" s="45"/>
      <c r="BD49" s="45"/>
      <c r="BE49" s="45"/>
    </row>
    <row r="50" spans="2:57" x14ac:dyDescent="0.25">
      <c r="B50" s="126" t="str">
        <f>IF(Capacity!N43="","",Capacity!N43)</f>
        <v/>
      </c>
      <c r="C50" s="130" t="str">
        <f t="shared" si="0"/>
        <v/>
      </c>
      <c r="D50" s="130" t="str">
        <f>IF(B50="","",Capacity!R43)</f>
        <v/>
      </c>
      <c r="F50" s="45"/>
      <c r="G50" s="45"/>
      <c r="H50" s="45"/>
      <c r="I50" s="45"/>
      <c r="J50" s="45"/>
      <c r="K50" s="45"/>
      <c r="L50" s="45"/>
      <c r="M50" s="45"/>
      <c r="N50" s="45"/>
      <c r="O50" s="45"/>
      <c r="P50" s="45"/>
      <c r="Q50" s="45"/>
      <c r="R50" s="45"/>
      <c r="S50" s="45"/>
      <c r="T50" s="45"/>
      <c r="U50" s="45"/>
      <c r="V50" s="45"/>
      <c r="W50" s="45"/>
      <c r="X50" s="45"/>
      <c r="Y50" s="45"/>
      <c r="Z50" s="45"/>
      <c r="AA50" s="45"/>
      <c r="AB50" s="45"/>
      <c r="AC50" s="45"/>
      <c r="AD50" s="45"/>
      <c r="AE50" s="45"/>
      <c r="AF50" s="45"/>
      <c r="AG50" s="45"/>
      <c r="AH50" s="45"/>
      <c r="AI50" s="45"/>
      <c r="AJ50" s="45"/>
      <c r="AK50" s="45"/>
      <c r="AL50" s="45"/>
      <c r="AM50" s="45"/>
      <c r="AN50" s="45"/>
      <c r="AO50" s="45"/>
      <c r="AP50" s="45"/>
      <c r="AQ50" s="45"/>
      <c r="AR50" s="45"/>
      <c r="AS50" s="45"/>
      <c r="AT50" s="45"/>
      <c r="AU50" s="45"/>
      <c r="AV50" s="45"/>
      <c r="AW50" s="45"/>
      <c r="AX50" s="45"/>
      <c r="AY50" s="45"/>
      <c r="AZ50" s="45"/>
      <c r="BA50" s="45"/>
      <c r="BB50" s="45"/>
      <c r="BC50" s="45"/>
      <c r="BD50" s="45"/>
      <c r="BE50" s="45"/>
    </row>
    <row r="51" spans="2:57" x14ac:dyDescent="0.25">
      <c r="B51" s="126" t="str">
        <f>IF(Capacity!N44="","",Capacity!N44)</f>
        <v/>
      </c>
      <c r="C51" s="130" t="str">
        <f t="shared" si="0"/>
        <v/>
      </c>
      <c r="D51" s="130" t="str">
        <f>IF(B51="","",Capacity!R44)</f>
        <v/>
      </c>
      <c r="F51" s="45"/>
      <c r="G51" s="45"/>
      <c r="H51" s="45"/>
      <c r="I51" s="45"/>
      <c r="J51" s="45"/>
      <c r="K51" s="45"/>
      <c r="L51" s="45"/>
      <c r="M51" s="45"/>
      <c r="N51" s="45"/>
      <c r="O51" s="45"/>
      <c r="P51" s="45"/>
      <c r="Q51" s="45"/>
      <c r="R51" s="45"/>
      <c r="S51" s="45"/>
      <c r="T51" s="45"/>
      <c r="U51" s="45"/>
      <c r="V51" s="45"/>
      <c r="W51" s="45"/>
      <c r="X51" s="45"/>
      <c r="Y51" s="45"/>
      <c r="Z51" s="45"/>
      <c r="AA51" s="45"/>
      <c r="AB51" s="45"/>
      <c r="AC51" s="45"/>
      <c r="AD51" s="45"/>
      <c r="AE51" s="45"/>
      <c r="AF51" s="45"/>
      <c r="AG51" s="45"/>
      <c r="AH51" s="45"/>
      <c r="AI51" s="45"/>
      <c r="AJ51" s="45"/>
      <c r="AK51" s="45"/>
      <c r="AL51" s="45"/>
      <c r="AM51" s="45"/>
      <c r="AN51" s="45"/>
      <c r="AO51" s="45"/>
      <c r="AP51" s="45"/>
      <c r="AQ51" s="45"/>
      <c r="AR51" s="45"/>
      <c r="AS51" s="45"/>
      <c r="AT51" s="45"/>
      <c r="AU51" s="45"/>
      <c r="AV51" s="45"/>
      <c r="AW51" s="45"/>
      <c r="AX51" s="45"/>
      <c r="AY51" s="45"/>
      <c r="AZ51" s="45"/>
      <c r="BA51" s="45"/>
      <c r="BB51" s="45"/>
      <c r="BC51" s="45"/>
      <c r="BD51" s="45"/>
      <c r="BE51" s="45"/>
    </row>
    <row r="52" spans="2:57" x14ac:dyDescent="0.25">
      <c r="B52" s="126" t="str">
        <f>IF(Capacity!N45="","",Capacity!N45)</f>
        <v/>
      </c>
      <c r="C52" s="130" t="str">
        <f t="shared" si="0"/>
        <v/>
      </c>
      <c r="D52" s="130" t="str">
        <f>IF(B52="","",Capacity!R45)</f>
        <v/>
      </c>
      <c r="F52" s="45"/>
      <c r="G52" s="45"/>
      <c r="H52" s="45"/>
      <c r="I52" s="45"/>
      <c r="J52" s="45"/>
      <c r="K52" s="45"/>
      <c r="L52" s="45"/>
      <c r="M52" s="45"/>
      <c r="N52" s="45"/>
      <c r="O52" s="45"/>
      <c r="P52" s="45"/>
      <c r="Q52" s="45"/>
      <c r="R52" s="45"/>
      <c r="S52" s="45"/>
      <c r="T52" s="45"/>
      <c r="U52" s="45"/>
      <c r="V52" s="45"/>
      <c r="W52" s="45"/>
      <c r="X52" s="45"/>
      <c r="Y52" s="45"/>
      <c r="Z52" s="45"/>
      <c r="AA52" s="45"/>
      <c r="AB52" s="45"/>
      <c r="AC52" s="45"/>
      <c r="AD52" s="45"/>
      <c r="AE52" s="45"/>
      <c r="AF52" s="45"/>
      <c r="AG52" s="45"/>
      <c r="AH52" s="45"/>
      <c r="AI52" s="45"/>
      <c r="AJ52" s="45"/>
      <c r="AK52" s="45"/>
      <c r="AL52" s="45"/>
      <c r="AM52" s="45"/>
      <c r="AN52" s="45"/>
      <c r="AO52" s="45"/>
      <c r="AP52" s="45"/>
      <c r="AQ52" s="45"/>
      <c r="AR52" s="45"/>
      <c r="AS52" s="45"/>
      <c r="AT52" s="45"/>
      <c r="AU52" s="45"/>
      <c r="AV52" s="45"/>
      <c r="AW52" s="45"/>
      <c r="AX52" s="45"/>
      <c r="AY52" s="45"/>
      <c r="AZ52" s="45"/>
      <c r="BA52" s="45"/>
      <c r="BB52" s="45"/>
      <c r="BC52" s="45"/>
      <c r="BD52" s="45"/>
      <c r="BE52" s="45"/>
    </row>
    <row r="53" spans="2:57" x14ac:dyDescent="0.25">
      <c r="B53" s="126" t="str">
        <f>IF(Capacity!N46="","",Capacity!N46)</f>
        <v/>
      </c>
      <c r="C53" s="130" t="str">
        <f t="shared" si="0"/>
        <v/>
      </c>
      <c r="D53" s="130" t="str">
        <f>IF(B53="","",Capacity!R46)</f>
        <v/>
      </c>
      <c r="F53" s="45"/>
      <c r="G53" s="45"/>
      <c r="H53" s="45"/>
      <c r="I53" s="45"/>
      <c r="J53" s="45"/>
      <c r="K53" s="45"/>
      <c r="L53" s="45"/>
      <c r="M53" s="45"/>
      <c r="N53" s="45"/>
      <c r="O53" s="45"/>
      <c r="P53" s="45"/>
      <c r="Q53" s="45"/>
      <c r="R53" s="45"/>
      <c r="S53" s="45"/>
      <c r="T53" s="45"/>
      <c r="U53" s="45"/>
      <c r="V53" s="45"/>
      <c r="W53" s="45"/>
      <c r="X53" s="45"/>
      <c r="Y53" s="45"/>
      <c r="Z53" s="45"/>
      <c r="AA53" s="45"/>
      <c r="AB53" s="45"/>
      <c r="AC53" s="45"/>
      <c r="AD53" s="45"/>
      <c r="AE53" s="45"/>
      <c r="AF53" s="45"/>
      <c r="AG53" s="45"/>
      <c r="AH53" s="45"/>
      <c r="AI53" s="45"/>
      <c r="AJ53" s="45"/>
      <c r="AK53" s="45"/>
      <c r="AL53" s="45"/>
      <c r="AM53" s="45"/>
      <c r="AN53" s="45"/>
      <c r="AO53" s="45"/>
      <c r="AP53" s="45"/>
      <c r="AQ53" s="45"/>
      <c r="AR53" s="45"/>
      <c r="AS53" s="45"/>
      <c r="AT53" s="45"/>
      <c r="AU53" s="45"/>
      <c r="AV53" s="45"/>
      <c r="AW53" s="45"/>
      <c r="AX53" s="45"/>
      <c r="AY53" s="45"/>
      <c r="AZ53" s="45"/>
      <c r="BA53" s="45"/>
      <c r="BB53" s="45"/>
      <c r="BC53" s="45"/>
      <c r="BD53" s="45"/>
      <c r="BE53" s="45"/>
    </row>
    <row r="54" spans="2:57" x14ac:dyDescent="0.25">
      <c r="B54" s="126" t="str">
        <f>IF(Capacity!N47="","",Capacity!N47)</f>
        <v/>
      </c>
      <c r="C54" s="130" t="str">
        <f t="shared" si="0"/>
        <v/>
      </c>
      <c r="D54" s="130" t="str">
        <f>IF(B54="","",Capacity!R47)</f>
        <v/>
      </c>
      <c r="F54" s="45"/>
      <c r="G54" s="45"/>
      <c r="H54" s="45"/>
      <c r="I54" s="45"/>
      <c r="J54" s="45"/>
      <c r="K54" s="45"/>
      <c r="L54" s="45"/>
      <c r="M54" s="45"/>
      <c r="N54" s="45"/>
      <c r="O54" s="45"/>
      <c r="P54" s="45"/>
      <c r="Q54" s="45"/>
      <c r="R54" s="45"/>
      <c r="S54" s="45"/>
      <c r="T54" s="45"/>
      <c r="U54" s="45"/>
      <c r="V54" s="45"/>
      <c r="W54" s="45"/>
      <c r="X54" s="45"/>
      <c r="Y54" s="45"/>
      <c r="Z54" s="45"/>
      <c r="AA54" s="45"/>
      <c r="AB54" s="45"/>
      <c r="AC54" s="45"/>
      <c r="AD54" s="45"/>
      <c r="AE54" s="45"/>
      <c r="AF54" s="45"/>
      <c r="AG54" s="45"/>
      <c r="AH54" s="45"/>
      <c r="AI54" s="45"/>
      <c r="AJ54" s="45"/>
      <c r="AK54" s="45"/>
      <c r="AL54" s="45"/>
      <c r="AM54" s="45"/>
      <c r="AN54" s="45"/>
      <c r="AO54" s="45"/>
      <c r="AP54" s="45"/>
      <c r="AQ54" s="45"/>
      <c r="AR54" s="45"/>
      <c r="AS54" s="45"/>
      <c r="AT54" s="45"/>
      <c r="AU54" s="45"/>
      <c r="AV54" s="45"/>
      <c r="AW54" s="45"/>
      <c r="AX54" s="45"/>
      <c r="AY54" s="45"/>
      <c r="AZ54" s="45"/>
      <c r="BA54" s="45"/>
      <c r="BB54" s="45"/>
      <c r="BC54" s="45"/>
      <c r="BD54" s="45"/>
      <c r="BE54" s="45"/>
    </row>
    <row r="55" spans="2:57" x14ac:dyDescent="0.25">
      <c r="B55" s="126" t="str">
        <f>IF(Capacity!N48="","",Capacity!N48)</f>
        <v/>
      </c>
      <c r="C55" s="130" t="str">
        <f t="shared" si="0"/>
        <v/>
      </c>
      <c r="D55" s="130" t="str">
        <f>IF(B55="","",Capacity!R48)</f>
        <v/>
      </c>
      <c r="F55" s="45"/>
      <c r="G55" s="45"/>
      <c r="H55" s="45"/>
      <c r="I55" s="45"/>
      <c r="J55" s="45"/>
      <c r="K55" s="45"/>
      <c r="L55" s="45"/>
      <c r="M55" s="45"/>
      <c r="N55" s="45"/>
      <c r="O55" s="45"/>
      <c r="P55" s="45"/>
      <c r="Q55" s="45"/>
      <c r="R55" s="45"/>
      <c r="S55" s="45"/>
      <c r="T55" s="45"/>
      <c r="U55" s="45"/>
      <c r="V55" s="45"/>
      <c r="W55" s="45"/>
      <c r="X55" s="45"/>
      <c r="Y55" s="45"/>
      <c r="Z55" s="45"/>
      <c r="AA55" s="45"/>
      <c r="AB55" s="45"/>
      <c r="AC55" s="45"/>
      <c r="AD55" s="45"/>
      <c r="AE55" s="45"/>
      <c r="AF55" s="45"/>
      <c r="AG55" s="45"/>
      <c r="AH55" s="45"/>
      <c r="AI55" s="45"/>
      <c r="AJ55" s="45"/>
      <c r="AK55" s="45"/>
      <c r="AL55" s="45"/>
      <c r="AM55" s="45"/>
      <c r="AN55" s="45"/>
      <c r="AO55" s="45"/>
      <c r="AP55" s="45"/>
      <c r="AQ55" s="45"/>
      <c r="AR55" s="45"/>
      <c r="AS55" s="45"/>
      <c r="AT55" s="45"/>
      <c r="AU55" s="45"/>
      <c r="AV55" s="45"/>
      <c r="AW55" s="45"/>
      <c r="AX55" s="45"/>
      <c r="AY55" s="45"/>
      <c r="AZ55" s="45"/>
      <c r="BA55" s="45"/>
      <c r="BB55" s="45"/>
      <c r="BC55" s="45"/>
      <c r="BD55" s="45"/>
      <c r="BE55" s="45"/>
    </row>
    <row r="56" spans="2:57" x14ac:dyDescent="0.25">
      <c r="B56" s="126" t="str">
        <f>IF(Capacity!N49="","",Capacity!N49)</f>
        <v/>
      </c>
      <c r="C56" s="130" t="str">
        <f t="shared" si="0"/>
        <v/>
      </c>
      <c r="D56" s="130" t="str">
        <f>IF(B56="","",Capacity!R49)</f>
        <v/>
      </c>
      <c r="F56" s="45"/>
      <c r="G56" s="45"/>
      <c r="H56" s="45"/>
      <c r="I56" s="45"/>
      <c r="J56" s="45"/>
      <c r="K56" s="45"/>
      <c r="L56" s="45"/>
      <c r="M56" s="45"/>
      <c r="N56" s="45"/>
      <c r="O56" s="45"/>
      <c r="P56" s="45"/>
      <c r="Q56" s="45"/>
      <c r="R56" s="45"/>
      <c r="S56" s="45"/>
      <c r="T56" s="45"/>
      <c r="U56" s="45"/>
      <c r="V56" s="45"/>
      <c r="W56" s="45"/>
      <c r="X56" s="45"/>
      <c r="Y56" s="45"/>
      <c r="Z56" s="45"/>
      <c r="AA56" s="45"/>
      <c r="AB56" s="45"/>
      <c r="AC56" s="45"/>
      <c r="AD56" s="45"/>
      <c r="AE56" s="45"/>
      <c r="AF56" s="45"/>
      <c r="AG56" s="45"/>
      <c r="AH56" s="45"/>
      <c r="AI56" s="45"/>
      <c r="AJ56" s="45"/>
      <c r="AK56" s="45"/>
      <c r="AL56" s="45"/>
      <c r="AM56" s="45"/>
      <c r="AN56" s="45"/>
      <c r="AO56" s="45"/>
      <c r="AP56" s="45"/>
      <c r="AQ56" s="45"/>
      <c r="AR56" s="45"/>
      <c r="AS56" s="45"/>
      <c r="AT56" s="45"/>
      <c r="AU56" s="45"/>
      <c r="AV56" s="45"/>
      <c r="AW56" s="45"/>
      <c r="AX56" s="45"/>
      <c r="AY56" s="45"/>
      <c r="AZ56" s="45"/>
      <c r="BA56" s="45"/>
      <c r="BB56" s="45"/>
      <c r="BC56" s="45"/>
      <c r="BD56" s="45"/>
      <c r="BE56" s="45"/>
    </row>
    <row r="57" spans="2:57" x14ac:dyDescent="0.25">
      <c r="B57" s="126" t="str">
        <f>IF(Capacity!N50="","",Capacity!N50)</f>
        <v/>
      </c>
      <c r="C57" s="130" t="str">
        <f t="shared" si="0"/>
        <v/>
      </c>
      <c r="D57" s="130" t="str">
        <f>IF(B57="","",Capacity!R50)</f>
        <v/>
      </c>
      <c r="F57" s="45"/>
      <c r="G57" s="45"/>
      <c r="H57" s="45"/>
      <c r="I57" s="45"/>
      <c r="J57" s="45"/>
      <c r="K57" s="45"/>
      <c r="L57" s="45"/>
      <c r="M57" s="45"/>
      <c r="N57" s="45"/>
      <c r="O57" s="45"/>
      <c r="P57" s="45"/>
      <c r="Q57" s="45"/>
      <c r="R57" s="45"/>
      <c r="S57" s="45"/>
      <c r="T57" s="45"/>
      <c r="U57" s="45"/>
      <c r="V57" s="45"/>
      <c r="W57" s="45"/>
      <c r="X57" s="45"/>
      <c r="Y57" s="45"/>
      <c r="Z57" s="45"/>
      <c r="AA57" s="45"/>
      <c r="AB57" s="45"/>
      <c r="AC57" s="45"/>
      <c r="AD57" s="45"/>
      <c r="AE57" s="45"/>
      <c r="AF57" s="45"/>
      <c r="AG57" s="45"/>
      <c r="AH57" s="45"/>
      <c r="AI57" s="45"/>
      <c r="AJ57" s="45"/>
      <c r="AK57" s="45"/>
      <c r="AL57" s="45"/>
      <c r="AM57" s="45"/>
      <c r="AN57" s="45"/>
      <c r="AO57" s="45"/>
      <c r="AP57" s="45"/>
      <c r="AQ57" s="45"/>
      <c r="AR57" s="45"/>
      <c r="AS57" s="45"/>
      <c r="AT57" s="45"/>
      <c r="AU57" s="45"/>
      <c r="AV57" s="45"/>
      <c r="AW57" s="45"/>
      <c r="AX57" s="45"/>
      <c r="AY57" s="45"/>
      <c r="AZ57" s="45"/>
      <c r="BA57" s="45"/>
      <c r="BB57" s="45"/>
      <c r="BC57" s="45"/>
      <c r="BD57" s="45"/>
      <c r="BE57" s="45"/>
    </row>
    <row r="58" spans="2:57" x14ac:dyDescent="0.25">
      <c r="B58" s="126" t="str">
        <f>IF(Capacity!N51="","",Capacity!N51)</f>
        <v/>
      </c>
      <c r="C58" s="130" t="str">
        <f t="shared" si="0"/>
        <v/>
      </c>
      <c r="D58" s="130" t="str">
        <f>IF(B58="","",Capacity!R51)</f>
        <v/>
      </c>
      <c r="F58" s="45"/>
      <c r="G58" s="45"/>
      <c r="H58" s="45"/>
      <c r="I58" s="45"/>
      <c r="J58" s="45"/>
      <c r="K58" s="45"/>
      <c r="L58" s="45"/>
      <c r="M58" s="45"/>
      <c r="N58" s="45"/>
      <c r="O58" s="45"/>
      <c r="P58" s="45"/>
      <c r="Q58" s="45"/>
      <c r="R58" s="45"/>
      <c r="S58" s="45"/>
      <c r="T58" s="45"/>
      <c r="U58" s="45"/>
      <c r="V58" s="45"/>
      <c r="W58" s="45"/>
      <c r="X58" s="45"/>
      <c r="Y58" s="45"/>
      <c r="Z58" s="45"/>
      <c r="AA58" s="45"/>
      <c r="AB58" s="45"/>
      <c r="AC58" s="45"/>
      <c r="AD58" s="45"/>
      <c r="AE58" s="45"/>
      <c r="AF58" s="45"/>
      <c r="AG58" s="45"/>
      <c r="AH58" s="45"/>
      <c r="AI58" s="45"/>
      <c r="AJ58" s="45"/>
      <c r="AK58" s="45"/>
      <c r="AL58" s="45"/>
      <c r="AM58" s="45"/>
      <c r="AN58" s="45"/>
      <c r="AO58" s="45"/>
      <c r="AP58" s="45"/>
      <c r="AQ58" s="45"/>
      <c r="AR58" s="45"/>
      <c r="AS58" s="45"/>
      <c r="AT58" s="45"/>
      <c r="AU58" s="45"/>
      <c r="AV58" s="45"/>
      <c r="AW58" s="45"/>
      <c r="AX58" s="45"/>
      <c r="AY58" s="45"/>
      <c r="AZ58" s="45"/>
      <c r="BA58" s="45"/>
      <c r="BB58" s="45"/>
      <c r="BC58" s="45"/>
      <c r="BD58" s="45"/>
      <c r="BE58" s="45"/>
    </row>
    <row r="59" spans="2:57" x14ac:dyDescent="0.25">
      <c r="B59" s="126" t="str">
        <f>IF(Capacity!N52="","",Capacity!N52)</f>
        <v/>
      </c>
      <c r="C59" s="130" t="str">
        <f t="shared" si="0"/>
        <v/>
      </c>
      <c r="D59" s="130" t="str">
        <f>IF(B59="","",Capacity!R52)</f>
        <v/>
      </c>
      <c r="F59" s="45"/>
      <c r="G59" s="45"/>
      <c r="H59" s="45"/>
      <c r="I59" s="45"/>
      <c r="J59" s="45"/>
      <c r="K59" s="45"/>
      <c r="L59" s="45"/>
      <c r="M59" s="45"/>
      <c r="N59" s="45"/>
      <c r="O59" s="45"/>
      <c r="P59" s="45"/>
      <c r="Q59" s="45"/>
      <c r="R59" s="45"/>
      <c r="S59" s="45"/>
      <c r="T59" s="45"/>
      <c r="U59" s="45"/>
      <c r="V59" s="45"/>
      <c r="W59" s="45"/>
      <c r="X59" s="45"/>
      <c r="Y59" s="45"/>
      <c r="Z59" s="45"/>
      <c r="AA59" s="45"/>
      <c r="AB59" s="45"/>
      <c r="AC59" s="45"/>
      <c r="AD59" s="45"/>
      <c r="AE59" s="45"/>
      <c r="AF59" s="45"/>
      <c r="AG59" s="45"/>
      <c r="AH59" s="45"/>
      <c r="AI59" s="45"/>
      <c r="AJ59" s="45"/>
      <c r="AK59" s="45"/>
      <c r="AL59" s="45"/>
      <c r="AM59" s="45"/>
      <c r="AN59" s="45"/>
      <c r="AO59" s="45"/>
      <c r="AP59" s="45"/>
      <c r="AQ59" s="45"/>
      <c r="AR59" s="45"/>
      <c r="AS59" s="45"/>
      <c r="AT59" s="45"/>
      <c r="AU59" s="45"/>
      <c r="AV59" s="45"/>
      <c r="AW59" s="45"/>
      <c r="AX59" s="45"/>
      <c r="AY59" s="45"/>
      <c r="AZ59" s="45"/>
      <c r="BA59" s="45"/>
      <c r="BB59" s="45"/>
      <c r="BC59" s="45"/>
      <c r="BD59" s="45"/>
      <c r="BE59" s="45"/>
    </row>
    <row r="60" spans="2:57" x14ac:dyDescent="0.25">
      <c r="B60" s="126" t="str">
        <f>IF(Capacity!N53="","",Capacity!N53)</f>
        <v/>
      </c>
      <c r="C60" s="130" t="str">
        <f t="shared" si="0"/>
        <v/>
      </c>
      <c r="D60" s="130" t="str">
        <f>IF(B60="","",Capacity!R53)</f>
        <v/>
      </c>
      <c r="F60" s="45"/>
      <c r="G60" s="45"/>
      <c r="H60" s="45"/>
      <c r="I60" s="45"/>
      <c r="J60" s="45"/>
      <c r="K60" s="45"/>
      <c r="L60" s="45"/>
      <c r="M60" s="45"/>
      <c r="N60" s="45"/>
      <c r="O60" s="45"/>
      <c r="P60" s="45"/>
      <c r="Q60" s="45"/>
      <c r="R60" s="45"/>
      <c r="S60" s="45"/>
      <c r="T60" s="45"/>
      <c r="U60" s="45"/>
      <c r="V60" s="45"/>
      <c r="W60" s="45"/>
      <c r="X60" s="45"/>
      <c r="Y60" s="45"/>
      <c r="Z60" s="45"/>
      <c r="AA60" s="45"/>
      <c r="AB60" s="45"/>
      <c r="AC60" s="45"/>
      <c r="AD60" s="45"/>
      <c r="AE60" s="45"/>
      <c r="AF60" s="45"/>
      <c r="AG60" s="45"/>
      <c r="AH60" s="45"/>
      <c r="AI60" s="45"/>
      <c r="AJ60" s="45"/>
      <c r="AK60" s="45"/>
      <c r="AL60" s="45"/>
      <c r="AM60" s="45"/>
      <c r="AN60" s="45"/>
      <c r="AO60" s="45"/>
      <c r="AP60" s="45"/>
      <c r="AQ60" s="45"/>
      <c r="AR60" s="45"/>
      <c r="AS60" s="45"/>
      <c r="AT60" s="45"/>
      <c r="AU60" s="45"/>
      <c r="AV60" s="45"/>
      <c r="AW60" s="45"/>
      <c r="AX60" s="45"/>
      <c r="AY60" s="45"/>
      <c r="AZ60" s="45"/>
      <c r="BA60" s="45"/>
      <c r="BB60" s="45"/>
      <c r="BC60" s="45"/>
      <c r="BD60" s="45"/>
      <c r="BE60" s="45"/>
    </row>
    <row r="61" spans="2:57" x14ac:dyDescent="0.25">
      <c r="B61" s="126" t="str">
        <f>IF(Capacity!N54="","",Capacity!N54)</f>
        <v/>
      </c>
      <c r="C61" s="130" t="str">
        <f t="shared" si="0"/>
        <v/>
      </c>
      <c r="D61" s="130" t="str">
        <f>IF(B61="","",Capacity!R54)</f>
        <v/>
      </c>
      <c r="F61" s="45"/>
      <c r="G61" s="45"/>
      <c r="H61" s="45"/>
      <c r="I61" s="45"/>
      <c r="J61" s="45"/>
      <c r="K61" s="45"/>
      <c r="L61" s="45"/>
      <c r="M61" s="45"/>
      <c r="N61" s="45"/>
      <c r="O61" s="45"/>
      <c r="P61" s="45"/>
      <c r="Q61" s="45"/>
      <c r="R61" s="45"/>
      <c r="S61" s="45"/>
      <c r="T61" s="45"/>
      <c r="U61" s="45"/>
      <c r="V61" s="45"/>
      <c r="W61" s="45"/>
      <c r="X61" s="45"/>
      <c r="Y61" s="45"/>
      <c r="Z61" s="45"/>
      <c r="AA61" s="45"/>
      <c r="AB61" s="45"/>
      <c r="AC61" s="45"/>
      <c r="AD61" s="45"/>
      <c r="AE61" s="45"/>
      <c r="AF61" s="45"/>
      <c r="AG61" s="45"/>
      <c r="AH61" s="45"/>
      <c r="AI61" s="45"/>
      <c r="AJ61" s="45"/>
      <c r="AK61" s="45"/>
      <c r="AL61" s="45"/>
      <c r="AM61" s="45"/>
      <c r="AN61" s="45"/>
      <c r="AO61" s="45"/>
      <c r="AP61" s="45"/>
      <c r="AQ61" s="45"/>
      <c r="AR61" s="45"/>
      <c r="AS61" s="45"/>
      <c r="AT61" s="45"/>
      <c r="AU61" s="45"/>
      <c r="AV61" s="45"/>
      <c r="AW61" s="45"/>
      <c r="AX61" s="45"/>
      <c r="AY61" s="45"/>
      <c r="AZ61" s="45"/>
      <c r="BA61" s="45"/>
      <c r="BB61" s="45"/>
      <c r="BC61" s="45"/>
      <c r="BD61" s="45"/>
      <c r="BE61" s="45"/>
    </row>
    <row r="62" spans="2:57" x14ac:dyDescent="0.25">
      <c r="B62" s="126" t="str">
        <f>IF(Capacity!N55="","",Capacity!N55)</f>
        <v/>
      </c>
      <c r="C62" s="130" t="str">
        <f t="shared" si="0"/>
        <v/>
      </c>
      <c r="D62" s="130" t="str">
        <f>IF(B62="","",Capacity!R55)</f>
        <v/>
      </c>
      <c r="F62" s="45"/>
      <c r="G62" s="45"/>
      <c r="H62" s="45"/>
      <c r="I62" s="45"/>
      <c r="J62" s="45"/>
      <c r="K62" s="45"/>
      <c r="L62" s="45"/>
      <c r="M62" s="45"/>
      <c r="N62" s="45"/>
      <c r="O62" s="45"/>
      <c r="P62" s="45"/>
      <c r="Q62" s="45"/>
      <c r="R62" s="45"/>
      <c r="S62" s="45"/>
      <c r="T62" s="45"/>
      <c r="U62" s="45"/>
      <c r="V62" s="45"/>
      <c r="W62" s="45"/>
      <c r="X62" s="45"/>
      <c r="Y62" s="45"/>
      <c r="Z62" s="45"/>
      <c r="AA62" s="45"/>
      <c r="AB62" s="45"/>
      <c r="AC62" s="45"/>
      <c r="AD62" s="45"/>
      <c r="AE62" s="45"/>
      <c r="AF62" s="45"/>
      <c r="AG62" s="45"/>
      <c r="AH62" s="45"/>
      <c r="AI62" s="45"/>
      <c r="AJ62" s="45"/>
      <c r="AK62" s="45"/>
      <c r="AL62" s="45"/>
      <c r="AM62" s="45"/>
      <c r="AN62" s="45"/>
      <c r="AO62" s="45"/>
      <c r="AP62" s="45"/>
      <c r="AQ62" s="45"/>
      <c r="AR62" s="45"/>
      <c r="AS62" s="45"/>
      <c r="AT62" s="45"/>
      <c r="AU62" s="45"/>
      <c r="AV62" s="45"/>
      <c r="AW62" s="45"/>
      <c r="AX62" s="45"/>
      <c r="AY62" s="45"/>
      <c r="AZ62" s="45"/>
      <c r="BA62" s="45"/>
      <c r="BB62" s="45"/>
      <c r="BC62" s="45"/>
      <c r="BD62" s="45"/>
      <c r="BE62" s="45"/>
    </row>
    <row r="63" spans="2:57" x14ac:dyDescent="0.25">
      <c r="B63" s="126" t="str">
        <f>IF(Capacity!N56="","",Capacity!N56)</f>
        <v/>
      </c>
      <c r="C63" s="130" t="str">
        <f t="shared" si="0"/>
        <v/>
      </c>
      <c r="D63" s="130" t="str">
        <f>IF(B63="","",Capacity!R56)</f>
        <v/>
      </c>
      <c r="F63" s="45"/>
      <c r="G63" s="45"/>
      <c r="H63" s="45"/>
      <c r="I63" s="45"/>
      <c r="J63" s="45"/>
      <c r="K63" s="45"/>
      <c r="L63" s="45"/>
      <c r="M63" s="45"/>
      <c r="N63" s="45"/>
      <c r="O63" s="45"/>
      <c r="P63" s="45"/>
      <c r="Q63" s="45"/>
      <c r="R63" s="45"/>
      <c r="S63" s="45"/>
      <c r="T63" s="45"/>
      <c r="U63" s="45"/>
      <c r="V63" s="45"/>
      <c r="W63" s="45"/>
      <c r="X63" s="45"/>
      <c r="Y63" s="45"/>
      <c r="Z63" s="45"/>
      <c r="AA63" s="45"/>
      <c r="AB63" s="45"/>
      <c r="AC63" s="45"/>
      <c r="AD63" s="45"/>
      <c r="AE63" s="45"/>
      <c r="AF63" s="45"/>
      <c r="AG63" s="45"/>
      <c r="AH63" s="45"/>
      <c r="AI63" s="45"/>
      <c r="AJ63" s="45"/>
      <c r="AK63" s="45"/>
      <c r="AL63" s="45"/>
      <c r="AM63" s="45"/>
      <c r="AN63" s="45"/>
      <c r="AO63" s="45"/>
      <c r="AP63" s="45"/>
      <c r="AQ63" s="45"/>
      <c r="AR63" s="45"/>
      <c r="AS63" s="45"/>
      <c r="AT63" s="45"/>
      <c r="AU63" s="45"/>
      <c r="AV63" s="45"/>
      <c r="AW63" s="45"/>
      <c r="AX63" s="45"/>
      <c r="AY63" s="45"/>
      <c r="AZ63" s="45"/>
      <c r="BA63" s="45"/>
      <c r="BB63" s="45"/>
      <c r="BC63" s="45"/>
      <c r="BD63" s="45"/>
      <c r="BE63" s="45"/>
    </row>
    <row r="64" spans="2:57" x14ac:dyDescent="0.25">
      <c r="B64" s="126" t="str">
        <f>IF(Capacity!N57="","",Capacity!N57)</f>
        <v/>
      </c>
      <c r="C64" s="130" t="str">
        <f t="shared" si="0"/>
        <v/>
      </c>
      <c r="D64" s="130" t="str">
        <f>IF(B64="","",Capacity!R57)</f>
        <v/>
      </c>
      <c r="F64" s="45"/>
      <c r="G64" s="45"/>
      <c r="H64" s="45"/>
      <c r="I64" s="45"/>
      <c r="J64" s="45"/>
      <c r="K64" s="45"/>
      <c r="L64" s="45"/>
      <c r="M64" s="45"/>
      <c r="N64" s="45"/>
      <c r="O64" s="45"/>
      <c r="P64" s="45"/>
      <c r="Q64" s="45"/>
      <c r="R64" s="45"/>
      <c r="S64" s="45"/>
      <c r="T64" s="45"/>
      <c r="U64" s="45"/>
      <c r="V64" s="45"/>
      <c r="W64" s="45"/>
      <c r="X64" s="45"/>
      <c r="Y64" s="45"/>
      <c r="Z64" s="45"/>
      <c r="AA64" s="45"/>
      <c r="AB64" s="45"/>
      <c r="AC64" s="45"/>
      <c r="AD64" s="45"/>
      <c r="AE64" s="45"/>
      <c r="AF64" s="45"/>
      <c r="AG64" s="45"/>
      <c r="AH64" s="45"/>
      <c r="AI64" s="45"/>
      <c r="AJ64" s="45"/>
      <c r="AK64" s="45"/>
      <c r="AL64" s="45"/>
      <c r="AM64" s="45"/>
      <c r="AN64" s="45"/>
      <c r="AO64" s="45"/>
      <c r="AP64" s="45"/>
      <c r="AQ64" s="45"/>
      <c r="AR64" s="45"/>
      <c r="AS64" s="45"/>
      <c r="AT64" s="45"/>
      <c r="AU64" s="45"/>
      <c r="AV64" s="45"/>
      <c r="AW64" s="45"/>
      <c r="AX64" s="45"/>
      <c r="AY64" s="45"/>
      <c r="AZ64" s="45"/>
      <c r="BA64" s="45"/>
      <c r="BB64" s="45"/>
      <c r="BC64" s="45"/>
      <c r="BD64" s="45"/>
      <c r="BE64" s="45"/>
    </row>
    <row r="65" spans="2:57" x14ac:dyDescent="0.25">
      <c r="B65" s="126" t="str">
        <f>IF(Capacity!N58="","",Capacity!N58)</f>
        <v/>
      </c>
      <c r="C65" s="130" t="str">
        <f t="shared" si="0"/>
        <v/>
      </c>
      <c r="D65" s="130" t="str">
        <f>IF(B65="","",Capacity!R58)</f>
        <v/>
      </c>
      <c r="F65" s="45"/>
      <c r="G65" s="45"/>
      <c r="H65" s="45"/>
      <c r="I65" s="45"/>
      <c r="J65" s="45"/>
      <c r="K65" s="45"/>
      <c r="L65" s="45"/>
      <c r="M65" s="45"/>
      <c r="N65" s="45"/>
      <c r="O65" s="45"/>
      <c r="P65" s="45"/>
      <c r="Q65" s="45"/>
      <c r="R65" s="45"/>
      <c r="S65" s="45"/>
      <c r="T65" s="45"/>
      <c r="U65" s="45"/>
      <c r="V65" s="45"/>
      <c r="W65" s="45"/>
      <c r="X65" s="45"/>
      <c r="Y65" s="45"/>
      <c r="Z65" s="45"/>
      <c r="AA65" s="45"/>
      <c r="AB65" s="45"/>
      <c r="AC65" s="45"/>
      <c r="AD65" s="45"/>
      <c r="AE65" s="45"/>
      <c r="AF65" s="45"/>
      <c r="AG65" s="45"/>
      <c r="AH65" s="45"/>
      <c r="AI65" s="45"/>
      <c r="AJ65" s="45"/>
      <c r="AK65" s="45"/>
      <c r="AL65" s="45"/>
      <c r="AM65" s="45"/>
      <c r="AN65" s="45"/>
      <c r="AO65" s="45"/>
      <c r="AP65" s="45"/>
      <c r="AQ65" s="45"/>
      <c r="AR65" s="45"/>
      <c r="AS65" s="45"/>
      <c r="AT65" s="45"/>
      <c r="AU65" s="45"/>
      <c r="AV65" s="45"/>
      <c r="AW65" s="45"/>
      <c r="AX65" s="45"/>
      <c r="AY65" s="45"/>
      <c r="AZ65" s="45"/>
      <c r="BA65" s="45"/>
      <c r="BB65" s="45"/>
      <c r="BC65" s="45"/>
      <c r="BD65" s="45"/>
      <c r="BE65" s="45"/>
    </row>
    <row r="66" spans="2:57" x14ac:dyDescent="0.25">
      <c r="B66" s="126" t="str">
        <f>IF(Capacity!N59="","",Capacity!N59)</f>
        <v/>
      </c>
      <c r="C66" s="130" t="str">
        <f t="shared" si="0"/>
        <v/>
      </c>
      <c r="D66" s="130" t="str">
        <f>IF(B66="","",Capacity!R59)</f>
        <v/>
      </c>
      <c r="F66" s="45"/>
      <c r="G66" s="45"/>
      <c r="H66" s="45"/>
      <c r="I66" s="45"/>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c r="AM66" s="45"/>
      <c r="AN66" s="45"/>
      <c r="AO66" s="45"/>
      <c r="AP66" s="45"/>
      <c r="AQ66" s="45"/>
      <c r="AR66" s="45"/>
      <c r="AS66" s="45"/>
      <c r="AT66" s="45"/>
      <c r="AU66" s="45"/>
      <c r="AV66" s="45"/>
      <c r="AW66" s="45"/>
      <c r="AX66" s="45"/>
      <c r="AY66" s="45"/>
      <c r="AZ66" s="45"/>
      <c r="BA66" s="45"/>
      <c r="BB66" s="45"/>
      <c r="BC66" s="45"/>
      <c r="BD66" s="45"/>
      <c r="BE66" s="45"/>
    </row>
    <row r="67" spans="2:57" x14ac:dyDescent="0.25">
      <c r="B67" s="126" t="str">
        <f>IF(Capacity!N60="","",Capacity!N60)</f>
        <v/>
      </c>
      <c r="C67" s="130" t="str">
        <f t="shared" si="0"/>
        <v/>
      </c>
      <c r="D67" s="130" t="str">
        <f>IF(B67="","",Capacity!R60)</f>
        <v/>
      </c>
      <c r="F67" s="45"/>
      <c r="G67" s="45"/>
      <c r="H67" s="45"/>
      <c r="I67" s="45"/>
      <c r="J67" s="45"/>
      <c r="K67" s="45"/>
      <c r="L67" s="45"/>
      <c r="M67" s="45"/>
      <c r="N67" s="45"/>
      <c r="O67" s="45"/>
      <c r="P67" s="45"/>
      <c r="Q67" s="45"/>
      <c r="R67" s="45"/>
      <c r="S67" s="45"/>
      <c r="T67" s="45"/>
      <c r="U67" s="45"/>
      <c r="V67" s="45"/>
      <c r="W67" s="45"/>
      <c r="X67" s="45"/>
      <c r="Y67" s="45"/>
      <c r="Z67" s="45"/>
      <c r="AA67" s="45"/>
      <c r="AB67" s="45"/>
      <c r="AC67" s="45"/>
      <c r="AD67" s="45"/>
      <c r="AE67" s="45"/>
      <c r="AF67" s="45"/>
      <c r="AG67" s="45"/>
      <c r="AH67" s="45"/>
      <c r="AI67" s="45"/>
      <c r="AJ67" s="45"/>
      <c r="AK67" s="45"/>
      <c r="AL67" s="45"/>
      <c r="AM67" s="45"/>
      <c r="AN67" s="45"/>
      <c r="AO67" s="45"/>
      <c r="AP67" s="45"/>
      <c r="AQ67" s="45"/>
      <c r="AR67" s="45"/>
      <c r="AS67" s="45"/>
      <c r="AT67" s="45"/>
      <c r="AU67" s="45"/>
      <c r="AV67" s="45"/>
      <c r="AW67" s="45"/>
      <c r="AX67" s="45"/>
      <c r="AY67" s="45"/>
      <c r="AZ67" s="45"/>
      <c r="BA67" s="45"/>
      <c r="BB67" s="45"/>
      <c r="BC67" s="45"/>
      <c r="BD67" s="45"/>
      <c r="BE67" s="45"/>
    </row>
    <row r="68" spans="2:57" x14ac:dyDescent="0.25">
      <c r="B68" s="126" t="str">
        <f>IF(Capacity!N61="","",Capacity!N61)</f>
        <v/>
      </c>
      <c r="C68" s="130" t="str">
        <f t="shared" si="0"/>
        <v/>
      </c>
      <c r="D68" s="130" t="str">
        <f>IF(B68="","",Capacity!R61)</f>
        <v/>
      </c>
      <c r="F68" s="45"/>
      <c r="G68" s="45"/>
      <c r="H68" s="45"/>
      <c r="I68" s="45"/>
      <c r="J68" s="45"/>
      <c r="K68" s="45"/>
      <c r="L68" s="45"/>
      <c r="M68" s="45"/>
      <c r="N68" s="45"/>
      <c r="O68" s="45"/>
      <c r="P68" s="45"/>
      <c r="Q68" s="45"/>
      <c r="R68" s="45"/>
      <c r="S68" s="45"/>
      <c r="T68" s="45"/>
      <c r="U68" s="45"/>
      <c r="V68" s="45"/>
      <c r="W68" s="45"/>
      <c r="X68" s="45"/>
      <c r="Y68" s="45"/>
      <c r="Z68" s="45"/>
      <c r="AA68" s="45"/>
      <c r="AB68" s="45"/>
      <c r="AC68" s="45"/>
      <c r="AD68" s="45"/>
      <c r="AE68" s="45"/>
      <c r="AF68" s="45"/>
      <c r="AG68" s="45"/>
      <c r="AH68" s="45"/>
      <c r="AI68" s="45"/>
      <c r="AJ68" s="45"/>
      <c r="AK68" s="45"/>
      <c r="AL68" s="45"/>
      <c r="AM68" s="45"/>
      <c r="AN68" s="45"/>
      <c r="AO68" s="45"/>
      <c r="AP68" s="45"/>
      <c r="AQ68" s="45"/>
      <c r="AR68" s="45"/>
      <c r="AS68" s="45"/>
      <c r="AT68" s="45"/>
      <c r="AU68" s="45"/>
      <c r="AV68" s="45"/>
      <c r="AW68" s="45"/>
      <c r="AX68" s="45"/>
      <c r="AY68" s="45"/>
      <c r="AZ68" s="45"/>
      <c r="BA68" s="45"/>
      <c r="BB68" s="45"/>
      <c r="BC68" s="45"/>
      <c r="BD68" s="45"/>
      <c r="BE68" s="45"/>
    </row>
    <row r="69" spans="2:57" x14ac:dyDescent="0.25">
      <c r="B69" s="126" t="str">
        <f>IF(Capacity!N62="","",Capacity!N62)</f>
        <v/>
      </c>
      <c r="C69" s="130" t="str">
        <f t="shared" si="0"/>
        <v/>
      </c>
      <c r="D69" s="130" t="str">
        <f>IF(B69="","",Capacity!R62)</f>
        <v/>
      </c>
      <c r="F69" s="45"/>
      <c r="G69" s="45"/>
      <c r="H69" s="45"/>
      <c r="I69" s="45"/>
      <c r="J69" s="45"/>
      <c r="K69" s="45"/>
      <c r="L69" s="45"/>
      <c r="M69" s="45"/>
      <c r="N69" s="45"/>
      <c r="O69" s="45"/>
      <c r="P69" s="45"/>
      <c r="Q69" s="45"/>
      <c r="R69" s="45"/>
      <c r="S69" s="45"/>
      <c r="T69" s="45"/>
      <c r="U69" s="45"/>
      <c r="V69" s="45"/>
      <c r="W69" s="45"/>
      <c r="X69" s="45"/>
      <c r="Y69" s="45"/>
      <c r="Z69" s="45"/>
      <c r="AA69" s="45"/>
      <c r="AB69" s="45"/>
      <c r="AC69" s="45"/>
      <c r="AD69" s="45"/>
      <c r="AE69" s="45"/>
      <c r="AF69" s="45"/>
      <c r="AG69" s="45"/>
      <c r="AH69" s="45"/>
      <c r="AI69" s="45"/>
      <c r="AJ69" s="45"/>
      <c r="AK69" s="45"/>
      <c r="AL69" s="45"/>
      <c r="AM69" s="45"/>
      <c r="AN69" s="45"/>
      <c r="AO69" s="45"/>
      <c r="AP69" s="45"/>
      <c r="AQ69" s="45"/>
      <c r="AR69" s="45"/>
      <c r="AS69" s="45"/>
      <c r="AT69" s="45"/>
      <c r="AU69" s="45"/>
      <c r="AV69" s="45"/>
      <c r="AW69" s="45"/>
      <c r="AX69" s="45"/>
      <c r="AY69" s="45"/>
      <c r="AZ69" s="45"/>
      <c r="BA69" s="45"/>
      <c r="BB69" s="45"/>
      <c r="BC69" s="45"/>
      <c r="BD69" s="45"/>
      <c r="BE69" s="45"/>
    </row>
    <row r="70" spans="2:57" x14ac:dyDescent="0.25">
      <c r="B70" s="126" t="str">
        <f>IF(Capacity!N63="","",Capacity!N63)</f>
        <v/>
      </c>
      <c r="C70" s="130" t="str">
        <f t="shared" si="0"/>
        <v/>
      </c>
      <c r="D70" s="130" t="str">
        <f>IF(B70="","",Capacity!R63)</f>
        <v/>
      </c>
      <c r="F70" s="45"/>
      <c r="G70" s="45"/>
      <c r="H70" s="45"/>
      <c r="I70" s="45"/>
      <c r="J70" s="45"/>
      <c r="K70" s="45"/>
      <c r="L70" s="45"/>
      <c r="M70" s="45"/>
      <c r="N70" s="45"/>
      <c r="O70" s="45"/>
      <c r="P70" s="45"/>
      <c r="Q70" s="45"/>
      <c r="R70" s="45"/>
      <c r="S70" s="45"/>
      <c r="T70" s="45"/>
      <c r="U70" s="45"/>
      <c r="V70" s="45"/>
      <c r="W70" s="45"/>
      <c r="X70" s="45"/>
      <c r="Y70" s="45"/>
      <c r="Z70" s="45"/>
      <c r="AA70" s="45"/>
      <c r="AB70" s="45"/>
      <c r="AC70" s="45"/>
      <c r="AD70" s="45"/>
      <c r="AE70" s="45"/>
      <c r="AF70" s="45"/>
      <c r="AG70" s="45"/>
      <c r="AH70" s="45"/>
      <c r="AI70" s="45"/>
      <c r="AJ70" s="45"/>
      <c r="AK70" s="45"/>
      <c r="AL70" s="45"/>
      <c r="AM70" s="45"/>
      <c r="AN70" s="45"/>
      <c r="AO70" s="45"/>
      <c r="AP70" s="45"/>
      <c r="AQ70" s="45"/>
      <c r="AR70" s="45"/>
      <c r="AS70" s="45"/>
      <c r="AT70" s="45"/>
      <c r="AU70" s="45"/>
      <c r="AV70" s="45"/>
      <c r="AW70" s="45"/>
      <c r="AX70" s="45"/>
      <c r="AY70" s="45"/>
      <c r="AZ70" s="45"/>
      <c r="BA70" s="45"/>
      <c r="BB70" s="45"/>
      <c r="BC70" s="45"/>
      <c r="BD70" s="45"/>
      <c r="BE70" s="45"/>
    </row>
    <row r="71" spans="2:57" x14ac:dyDescent="0.25">
      <c r="B71" s="126" t="str">
        <f>IF(Capacity!N64="","",Capacity!N64)</f>
        <v/>
      </c>
      <c r="C71" s="130" t="str">
        <f t="shared" si="0"/>
        <v/>
      </c>
      <c r="D71" s="130" t="str">
        <f>IF(B71="","",Capacity!R64)</f>
        <v/>
      </c>
      <c r="F71" s="45"/>
      <c r="G71" s="45"/>
      <c r="H71" s="45"/>
      <c r="I71" s="45"/>
      <c r="J71" s="45"/>
      <c r="K71" s="45"/>
      <c r="L71" s="45"/>
      <c r="M71" s="45"/>
      <c r="N71" s="45"/>
      <c r="O71" s="45"/>
      <c r="P71" s="45"/>
      <c r="Q71" s="45"/>
      <c r="R71" s="45"/>
      <c r="S71" s="45"/>
      <c r="T71" s="45"/>
      <c r="U71" s="45"/>
      <c r="V71" s="45"/>
      <c r="W71" s="45"/>
      <c r="X71" s="45"/>
      <c r="Y71" s="45"/>
      <c r="Z71" s="45"/>
      <c r="AA71" s="45"/>
      <c r="AB71" s="45"/>
      <c r="AC71" s="45"/>
      <c r="AD71" s="45"/>
      <c r="AE71" s="45"/>
      <c r="AF71" s="45"/>
      <c r="AG71" s="45"/>
      <c r="AH71" s="45"/>
      <c r="AI71" s="45"/>
      <c r="AJ71" s="45"/>
      <c r="AK71" s="45"/>
      <c r="AL71" s="45"/>
      <c r="AM71" s="45"/>
      <c r="AN71" s="45"/>
      <c r="AO71" s="45"/>
      <c r="AP71" s="45"/>
      <c r="AQ71" s="45"/>
      <c r="AR71" s="45"/>
      <c r="AS71" s="45"/>
      <c r="AT71" s="45"/>
      <c r="AU71" s="45"/>
      <c r="AV71" s="45"/>
      <c r="AW71" s="45"/>
      <c r="AX71" s="45"/>
      <c r="AY71" s="45"/>
      <c r="AZ71" s="45"/>
      <c r="BA71" s="45"/>
      <c r="BB71" s="45"/>
      <c r="BC71" s="45"/>
      <c r="BD71" s="45"/>
      <c r="BE71" s="45"/>
    </row>
    <row r="72" spans="2:57" x14ac:dyDescent="0.25">
      <c r="B72" s="126" t="str">
        <f>IF(Capacity!N65="","",Capacity!N65)</f>
        <v/>
      </c>
      <c r="C72" s="130" t="str">
        <f t="shared" si="0"/>
        <v/>
      </c>
      <c r="D72" s="130" t="str">
        <f>IF(B72="","",Capacity!R65)</f>
        <v/>
      </c>
      <c r="F72" s="45"/>
      <c r="G72" s="45"/>
      <c r="H72" s="45"/>
      <c r="I72" s="45"/>
      <c r="J72" s="45"/>
      <c r="K72" s="45"/>
      <c r="L72" s="45"/>
      <c r="M72" s="45"/>
      <c r="N72" s="45"/>
      <c r="O72" s="45"/>
      <c r="P72" s="45"/>
      <c r="Q72" s="45"/>
      <c r="R72" s="45"/>
      <c r="S72" s="45"/>
      <c r="T72" s="45"/>
      <c r="U72" s="45"/>
      <c r="V72" s="45"/>
      <c r="W72" s="45"/>
      <c r="X72" s="45"/>
      <c r="Y72" s="45"/>
      <c r="Z72" s="45"/>
      <c r="AA72" s="45"/>
      <c r="AB72" s="45"/>
      <c r="AC72" s="45"/>
      <c r="AD72" s="45"/>
      <c r="AE72" s="45"/>
      <c r="AF72" s="45"/>
      <c r="AG72" s="45"/>
      <c r="AH72" s="45"/>
      <c r="AI72" s="45"/>
      <c r="AJ72" s="45"/>
      <c r="AK72" s="45"/>
      <c r="AL72" s="45"/>
      <c r="AM72" s="45"/>
      <c r="AN72" s="45"/>
      <c r="AO72" s="45"/>
      <c r="AP72" s="45"/>
      <c r="AQ72" s="45"/>
      <c r="AR72" s="45"/>
      <c r="AS72" s="45"/>
      <c r="AT72" s="45"/>
      <c r="AU72" s="45"/>
      <c r="AV72" s="45"/>
      <c r="AW72" s="45"/>
      <c r="AX72" s="45"/>
      <c r="AY72" s="45"/>
      <c r="AZ72" s="45"/>
      <c r="BA72" s="45"/>
      <c r="BB72" s="45"/>
      <c r="BC72" s="45"/>
      <c r="BD72" s="45"/>
      <c r="BE72" s="45"/>
    </row>
    <row r="73" spans="2:57" x14ac:dyDescent="0.25">
      <c r="B73" s="126" t="str">
        <f>IF(Capacity!N66="","",Capacity!N66)</f>
        <v/>
      </c>
      <c r="C73" s="130" t="str">
        <f t="shared" si="0"/>
        <v/>
      </c>
      <c r="D73" s="130" t="str">
        <f>IF(B73="","",Capacity!R66)</f>
        <v/>
      </c>
      <c r="F73" s="45"/>
      <c r="G73" s="45"/>
      <c r="H73" s="45"/>
      <c r="I73" s="45"/>
      <c r="J73" s="45"/>
      <c r="K73" s="45"/>
      <c r="L73" s="45"/>
      <c r="M73" s="45"/>
      <c r="N73" s="45"/>
      <c r="O73" s="45"/>
      <c r="P73" s="45"/>
      <c r="Q73" s="45"/>
      <c r="R73" s="45"/>
      <c r="S73" s="45"/>
      <c r="T73" s="45"/>
      <c r="U73" s="45"/>
      <c r="V73" s="45"/>
      <c r="W73" s="45"/>
      <c r="X73" s="45"/>
      <c r="Y73" s="45"/>
      <c r="Z73" s="45"/>
      <c r="AA73" s="45"/>
      <c r="AB73" s="45"/>
      <c r="AC73" s="45"/>
      <c r="AD73" s="45"/>
      <c r="AE73" s="45"/>
      <c r="AF73" s="45"/>
      <c r="AG73" s="45"/>
      <c r="AH73" s="45"/>
      <c r="AI73" s="45"/>
      <c r="AJ73" s="45"/>
      <c r="AK73" s="45"/>
      <c r="AL73" s="45"/>
      <c r="AM73" s="45"/>
      <c r="AN73" s="45"/>
      <c r="AO73" s="45"/>
      <c r="AP73" s="45"/>
      <c r="AQ73" s="45"/>
      <c r="AR73" s="45"/>
      <c r="AS73" s="45"/>
      <c r="AT73" s="45"/>
      <c r="AU73" s="45"/>
      <c r="AV73" s="45"/>
      <c r="AW73" s="45"/>
      <c r="AX73" s="45"/>
      <c r="AY73" s="45"/>
      <c r="AZ73" s="45"/>
      <c r="BA73" s="45"/>
      <c r="BB73" s="45"/>
      <c r="BC73" s="45"/>
      <c r="BD73" s="45"/>
      <c r="BE73" s="45"/>
    </row>
    <row r="74" spans="2:57" x14ac:dyDescent="0.25">
      <c r="B74" s="126" t="str">
        <f>IF(Capacity!N67="","",Capacity!N67)</f>
        <v/>
      </c>
      <c r="C74" s="130" t="str">
        <f t="shared" si="0"/>
        <v/>
      </c>
      <c r="D74" s="130" t="str">
        <f>IF(B74="","",Capacity!R67)</f>
        <v/>
      </c>
      <c r="F74" s="45"/>
      <c r="G74" s="45"/>
      <c r="H74" s="45"/>
      <c r="I74" s="45"/>
      <c r="J74" s="45"/>
      <c r="K74" s="45"/>
      <c r="L74" s="45"/>
      <c r="M74" s="45"/>
      <c r="N74" s="45"/>
      <c r="O74" s="45"/>
      <c r="P74" s="45"/>
      <c r="Q74" s="45"/>
      <c r="R74" s="45"/>
      <c r="S74" s="45"/>
      <c r="T74" s="45"/>
      <c r="U74" s="45"/>
      <c r="V74" s="45"/>
      <c r="W74" s="45"/>
      <c r="X74" s="45"/>
      <c r="Y74" s="45"/>
      <c r="Z74" s="45"/>
      <c r="AA74" s="45"/>
      <c r="AB74" s="45"/>
      <c r="AC74" s="45"/>
      <c r="AD74" s="45"/>
      <c r="AE74" s="45"/>
      <c r="AF74" s="45"/>
      <c r="AG74" s="45"/>
      <c r="AH74" s="45"/>
      <c r="AI74" s="45"/>
      <c r="AJ74" s="45"/>
      <c r="AK74" s="45"/>
      <c r="AL74" s="45"/>
      <c r="AM74" s="45"/>
      <c r="AN74" s="45"/>
      <c r="AO74" s="45"/>
      <c r="AP74" s="45"/>
      <c r="AQ74" s="45"/>
      <c r="AR74" s="45"/>
      <c r="AS74" s="45"/>
      <c r="AT74" s="45"/>
      <c r="AU74" s="45"/>
      <c r="AV74" s="45"/>
      <c r="AW74" s="45"/>
      <c r="AX74" s="45"/>
      <c r="AY74" s="45"/>
      <c r="AZ74" s="45"/>
      <c r="BA74" s="45"/>
      <c r="BB74" s="45"/>
      <c r="BC74" s="45"/>
      <c r="BD74" s="45"/>
      <c r="BE74" s="45"/>
    </row>
    <row r="75" spans="2:57" x14ac:dyDescent="0.25">
      <c r="B75" s="126" t="str">
        <f>IF(Capacity!N68="","",Capacity!N68)</f>
        <v/>
      </c>
      <c r="C75" s="130" t="str">
        <f t="shared" si="0"/>
        <v/>
      </c>
      <c r="D75" s="130" t="str">
        <f>IF(B75="","",Capacity!R68)</f>
        <v/>
      </c>
      <c r="F75" s="45"/>
      <c r="G75" s="45"/>
      <c r="H75" s="45"/>
      <c r="I75" s="45"/>
      <c r="J75" s="45"/>
      <c r="K75" s="45"/>
      <c r="L75" s="45"/>
      <c r="M75" s="45"/>
      <c r="N75" s="45"/>
      <c r="O75" s="45"/>
      <c r="P75" s="45"/>
      <c r="Q75" s="45"/>
      <c r="R75" s="45"/>
      <c r="S75" s="45"/>
      <c r="T75" s="45"/>
      <c r="U75" s="45"/>
      <c r="V75" s="45"/>
      <c r="W75" s="45"/>
      <c r="X75" s="45"/>
      <c r="Y75" s="45"/>
      <c r="Z75" s="45"/>
      <c r="AA75" s="45"/>
      <c r="AB75" s="45"/>
      <c r="AC75" s="45"/>
      <c r="AD75" s="45"/>
      <c r="AE75" s="45"/>
      <c r="AF75" s="45"/>
      <c r="AG75" s="45"/>
      <c r="AH75" s="45"/>
      <c r="AI75" s="45"/>
      <c r="AJ75" s="45"/>
      <c r="AK75" s="45"/>
      <c r="AL75" s="45"/>
      <c r="AM75" s="45"/>
      <c r="AN75" s="45"/>
      <c r="AO75" s="45"/>
      <c r="AP75" s="45"/>
      <c r="AQ75" s="45"/>
      <c r="AR75" s="45"/>
      <c r="AS75" s="45"/>
      <c r="AT75" s="45"/>
      <c r="AU75" s="45"/>
      <c r="AV75" s="45"/>
      <c r="AW75" s="45"/>
      <c r="AX75" s="45"/>
      <c r="AY75" s="45"/>
      <c r="AZ75" s="45"/>
      <c r="BA75" s="45"/>
      <c r="BB75" s="45"/>
      <c r="BC75" s="45"/>
      <c r="BD75" s="45"/>
      <c r="BE75" s="45"/>
    </row>
    <row r="76" spans="2:57" x14ac:dyDescent="0.25">
      <c r="B76" s="126" t="str">
        <f>IF(Capacity!N69="","",Capacity!N69)</f>
        <v/>
      </c>
      <c r="C76" s="130" t="str">
        <f t="shared" si="0"/>
        <v/>
      </c>
      <c r="D76" s="130" t="str">
        <f>IF(B76="","",Capacity!R69)</f>
        <v/>
      </c>
      <c r="F76" s="45"/>
      <c r="G76" s="45"/>
      <c r="H76" s="45"/>
      <c r="I76" s="45"/>
      <c r="J76" s="45"/>
      <c r="K76" s="45"/>
      <c r="L76" s="45"/>
      <c r="M76" s="45"/>
      <c r="N76" s="45"/>
      <c r="O76" s="45"/>
      <c r="P76" s="45"/>
      <c r="Q76" s="45"/>
      <c r="R76" s="45"/>
      <c r="S76" s="45"/>
      <c r="T76" s="45"/>
      <c r="U76" s="45"/>
      <c r="V76" s="45"/>
      <c r="W76" s="45"/>
      <c r="X76" s="45"/>
      <c r="Y76" s="45"/>
      <c r="Z76" s="45"/>
      <c r="AA76" s="45"/>
      <c r="AB76" s="45"/>
      <c r="AC76" s="45"/>
      <c r="AD76" s="45"/>
      <c r="AE76" s="45"/>
      <c r="AF76" s="45"/>
      <c r="AG76" s="45"/>
      <c r="AH76" s="45"/>
      <c r="AI76" s="45"/>
      <c r="AJ76" s="45"/>
      <c r="AK76" s="45"/>
      <c r="AL76" s="45"/>
      <c r="AM76" s="45"/>
      <c r="AN76" s="45"/>
      <c r="AO76" s="45"/>
      <c r="AP76" s="45"/>
      <c r="AQ76" s="45"/>
      <c r="AR76" s="45"/>
      <c r="AS76" s="45"/>
      <c r="AT76" s="45"/>
      <c r="AU76" s="45"/>
      <c r="AV76" s="45"/>
      <c r="AW76" s="45"/>
      <c r="AX76" s="45"/>
      <c r="AY76" s="45"/>
      <c r="AZ76" s="45"/>
      <c r="BA76" s="45"/>
      <c r="BB76" s="45"/>
      <c r="BC76" s="45"/>
      <c r="BD76" s="45"/>
      <c r="BE76" s="45"/>
    </row>
    <row r="77" spans="2:57" x14ac:dyDescent="0.25">
      <c r="B77" s="126" t="str">
        <f>IF(Capacity!N70="","",Capacity!N70)</f>
        <v/>
      </c>
      <c r="C77" s="130" t="str">
        <f t="shared" si="0"/>
        <v/>
      </c>
      <c r="D77" s="130" t="str">
        <f>IF(B77="","",Capacity!R70)</f>
        <v/>
      </c>
      <c r="F77" s="45"/>
      <c r="G77" s="45"/>
      <c r="H77" s="45"/>
      <c r="I77" s="45"/>
      <c r="J77" s="45"/>
      <c r="K77" s="45"/>
      <c r="L77" s="45"/>
      <c r="M77" s="45"/>
      <c r="N77" s="45"/>
      <c r="O77" s="45"/>
      <c r="P77" s="45"/>
      <c r="Q77" s="45"/>
      <c r="R77" s="45"/>
      <c r="S77" s="45"/>
      <c r="T77" s="45"/>
      <c r="U77" s="45"/>
      <c r="V77" s="45"/>
      <c r="W77" s="45"/>
      <c r="X77" s="45"/>
      <c r="Y77" s="45"/>
      <c r="Z77" s="45"/>
      <c r="AA77" s="45"/>
      <c r="AB77" s="45"/>
      <c r="AC77" s="45"/>
      <c r="AD77" s="45"/>
      <c r="AE77" s="45"/>
      <c r="AF77" s="45"/>
      <c r="AG77" s="45"/>
      <c r="AH77" s="45"/>
      <c r="AI77" s="45"/>
      <c r="AJ77" s="45"/>
      <c r="AK77" s="45"/>
      <c r="AL77" s="45"/>
      <c r="AM77" s="45"/>
      <c r="AN77" s="45"/>
      <c r="AO77" s="45"/>
      <c r="AP77" s="45"/>
      <c r="AQ77" s="45"/>
      <c r="AR77" s="45"/>
      <c r="AS77" s="45"/>
      <c r="AT77" s="45"/>
      <c r="AU77" s="45"/>
      <c r="AV77" s="45"/>
      <c r="AW77" s="45"/>
      <c r="AX77" s="45"/>
      <c r="AY77" s="45"/>
      <c r="AZ77" s="45"/>
      <c r="BA77" s="45"/>
      <c r="BB77" s="45"/>
      <c r="BC77" s="45"/>
      <c r="BD77" s="45"/>
      <c r="BE77" s="45"/>
    </row>
    <row r="78" spans="2:57" x14ac:dyDescent="0.25">
      <c r="B78" s="126" t="str">
        <f>IF(Capacity!N71="","",Capacity!N71)</f>
        <v/>
      </c>
      <c r="C78" s="130" t="str">
        <f t="shared" si="0"/>
        <v/>
      </c>
      <c r="D78" s="130" t="str">
        <f>IF(B78="","",Capacity!R71)</f>
        <v/>
      </c>
      <c r="F78" s="45"/>
      <c r="G78" s="45"/>
      <c r="H78" s="45"/>
      <c r="I78" s="45"/>
      <c r="J78" s="45"/>
      <c r="K78" s="45"/>
      <c r="L78" s="45"/>
      <c r="M78" s="45"/>
      <c r="N78" s="45"/>
      <c r="O78" s="45"/>
      <c r="P78" s="45"/>
      <c r="Q78" s="45"/>
      <c r="R78" s="45"/>
      <c r="S78" s="45"/>
      <c r="T78" s="45"/>
      <c r="U78" s="45"/>
      <c r="V78" s="45"/>
      <c r="W78" s="45"/>
      <c r="X78" s="45"/>
      <c r="Y78" s="45"/>
      <c r="Z78" s="45"/>
      <c r="AA78" s="45"/>
      <c r="AB78" s="45"/>
      <c r="AC78" s="45"/>
      <c r="AD78" s="45"/>
      <c r="AE78" s="45"/>
      <c r="AF78" s="45"/>
      <c r="AG78" s="45"/>
      <c r="AH78" s="45"/>
      <c r="AI78" s="45"/>
      <c r="AJ78" s="45"/>
      <c r="AK78" s="45"/>
      <c r="AL78" s="45"/>
      <c r="AM78" s="45"/>
      <c r="AN78" s="45"/>
      <c r="AO78" s="45"/>
      <c r="AP78" s="45"/>
      <c r="AQ78" s="45"/>
      <c r="AR78" s="45"/>
      <c r="AS78" s="45"/>
      <c r="AT78" s="45"/>
      <c r="AU78" s="45"/>
      <c r="AV78" s="45"/>
      <c r="AW78" s="45"/>
      <c r="AX78" s="45"/>
      <c r="AY78" s="45"/>
      <c r="AZ78" s="45"/>
      <c r="BA78" s="45"/>
      <c r="BB78" s="45"/>
      <c r="BC78" s="45"/>
      <c r="BD78" s="45"/>
      <c r="BE78" s="45"/>
    </row>
    <row r="79" spans="2:57" x14ac:dyDescent="0.25">
      <c r="B79" s="126" t="str">
        <f>IF(Capacity!N72="","",Capacity!N72)</f>
        <v/>
      </c>
      <c r="C79" s="130" t="str">
        <f t="shared" si="0"/>
        <v/>
      </c>
      <c r="D79" s="130" t="str">
        <f>IF(B79="","",Capacity!R72)</f>
        <v/>
      </c>
      <c r="F79" s="45"/>
      <c r="G79" s="45"/>
      <c r="H79" s="45"/>
      <c r="I79" s="45"/>
      <c r="J79" s="45"/>
      <c r="K79" s="45"/>
      <c r="L79" s="45"/>
      <c r="M79" s="45"/>
      <c r="N79" s="45"/>
      <c r="O79" s="45"/>
      <c r="P79" s="45"/>
      <c r="Q79" s="45"/>
      <c r="R79" s="45"/>
      <c r="S79" s="45"/>
      <c r="T79" s="45"/>
      <c r="U79" s="45"/>
      <c r="V79" s="45"/>
      <c r="W79" s="45"/>
      <c r="X79" s="45"/>
      <c r="Y79" s="45"/>
      <c r="Z79" s="45"/>
      <c r="AA79" s="45"/>
      <c r="AB79" s="45"/>
      <c r="AC79" s="45"/>
      <c r="AD79" s="45"/>
      <c r="AE79" s="45"/>
      <c r="AF79" s="45"/>
      <c r="AG79" s="45"/>
      <c r="AH79" s="45"/>
      <c r="AI79" s="45"/>
      <c r="AJ79" s="45"/>
      <c r="AK79" s="45"/>
      <c r="AL79" s="45"/>
      <c r="AM79" s="45"/>
      <c r="AN79" s="45"/>
      <c r="AO79" s="45"/>
      <c r="AP79" s="45"/>
      <c r="AQ79" s="45"/>
      <c r="AR79" s="45"/>
      <c r="AS79" s="45"/>
      <c r="AT79" s="45"/>
      <c r="AU79" s="45"/>
      <c r="AV79" s="45"/>
      <c r="AW79" s="45"/>
      <c r="AX79" s="45"/>
      <c r="AY79" s="45"/>
      <c r="AZ79" s="45"/>
      <c r="BA79" s="45"/>
      <c r="BB79" s="45"/>
      <c r="BC79" s="45"/>
      <c r="BD79" s="45"/>
      <c r="BE79" s="45"/>
    </row>
    <row r="80" spans="2:57" x14ac:dyDescent="0.25">
      <c r="B80" s="126" t="str">
        <f>IF(Capacity!N73="","",Capacity!N73)</f>
        <v/>
      </c>
      <c r="C80" s="130" t="str">
        <f t="shared" si="0"/>
        <v/>
      </c>
      <c r="D80" s="130" t="str">
        <f>IF(B80="","",Capacity!R73)</f>
        <v/>
      </c>
      <c r="F80" s="45"/>
      <c r="G80" s="45"/>
      <c r="H80" s="45"/>
      <c r="I80" s="45"/>
      <c r="J80" s="45"/>
      <c r="K80" s="45"/>
      <c r="L80" s="45"/>
      <c r="M80" s="45"/>
      <c r="N80" s="45"/>
      <c r="O80" s="45"/>
      <c r="P80" s="45"/>
      <c r="Q80" s="45"/>
      <c r="R80" s="45"/>
      <c r="S80" s="45"/>
      <c r="T80" s="45"/>
      <c r="U80" s="45"/>
      <c r="V80" s="45"/>
      <c r="W80" s="45"/>
      <c r="X80" s="45"/>
      <c r="Y80" s="45"/>
      <c r="Z80" s="45"/>
      <c r="AA80" s="45"/>
      <c r="AB80" s="45"/>
      <c r="AC80" s="45"/>
      <c r="AD80" s="45"/>
      <c r="AE80" s="45"/>
      <c r="AF80" s="45"/>
      <c r="AG80" s="45"/>
      <c r="AH80" s="45"/>
      <c r="AI80" s="45"/>
      <c r="AJ80" s="45"/>
      <c r="AK80" s="45"/>
      <c r="AL80" s="45"/>
      <c r="AM80" s="45"/>
      <c r="AN80" s="45"/>
      <c r="AO80" s="45"/>
      <c r="AP80" s="45"/>
      <c r="AQ80" s="45"/>
      <c r="AR80" s="45"/>
      <c r="AS80" s="45"/>
      <c r="AT80" s="45"/>
      <c r="AU80" s="45"/>
      <c r="AV80" s="45"/>
      <c r="AW80" s="45"/>
      <c r="AX80" s="45"/>
      <c r="AY80" s="45"/>
      <c r="AZ80" s="45"/>
      <c r="BA80" s="45"/>
      <c r="BB80" s="45"/>
      <c r="BC80" s="45"/>
      <c r="BD80" s="45"/>
      <c r="BE80" s="45"/>
    </row>
    <row r="81" spans="2:57" x14ac:dyDescent="0.25">
      <c r="B81" s="126" t="str">
        <f>IF(Capacity!N74="","",Capacity!N74)</f>
        <v/>
      </c>
      <c r="C81" s="130" t="str">
        <f t="shared" si="0"/>
        <v/>
      </c>
      <c r="D81" s="130" t="str">
        <f>IF(B81="","",Capacity!R74)</f>
        <v/>
      </c>
      <c r="F81" s="45"/>
      <c r="G81" s="45"/>
      <c r="H81" s="45"/>
      <c r="I81" s="45"/>
      <c r="J81" s="45"/>
      <c r="K81" s="45"/>
      <c r="L81" s="45"/>
      <c r="M81" s="45"/>
      <c r="N81" s="45"/>
      <c r="O81" s="45"/>
      <c r="P81" s="45"/>
      <c r="Q81" s="45"/>
      <c r="R81" s="45"/>
      <c r="S81" s="45"/>
      <c r="T81" s="45"/>
      <c r="U81" s="45"/>
      <c r="V81" s="45"/>
      <c r="W81" s="45"/>
      <c r="X81" s="45"/>
      <c r="Y81" s="45"/>
      <c r="Z81" s="45"/>
      <c r="AA81" s="45"/>
      <c r="AB81" s="45"/>
      <c r="AC81" s="45"/>
      <c r="AD81" s="45"/>
      <c r="AE81" s="45"/>
      <c r="AF81" s="45"/>
      <c r="AG81" s="45"/>
      <c r="AH81" s="45"/>
      <c r="AI81" s="45"/>
      <c r="AJ81" s="45"/>
      <c r="AK81" s="45"/>
      <c r="AL81" s="45"/>
      <c r="AM81" s="45"/>
      <c r="AN81" s="45"/>
      <c r="AO81" s="45"/>
      <c r="AP81" s="45"/>
      <c r="AQ81" s="45"/>
      <c r="AR81" s="45"/>
      <c r="AS81" s="45"/>
      <c r="AT81" s="45"/>
      <c r="AU81" s="45"/>
      <c r="AV81" s="45"/>
      <c r="AW81" s="45"/>
      <c r="AX81" s="45"/>
      <c r="AY81" s="45"/>
      <c r="AZ81" s="45"/>
      <c r="BA81" s="45"/>
      <c r="BB81" s="45"/>
      <c r="BC81" s="45"/>
      <c r="BD81" s="45"/>
      <c r="BE81" s="45"/>
    </row>
    <row r="82" spans="2:57" x14ac:dyDescent="0.25">
      <c r="B82" s="126" t="str">
        <f>IF(Capacity!N75="","",Capacity!N75)</f>
        <v/>
      </c>
      <c r="C82" s="130" t="str">
        <f t="shared" si="0"/>
        <v/>
      </c>
      <c r="D82" s="130" t="str">
        <f>IF(B82="","",Capacity!R75)</f>
        <v/>
      </c>
      <c r="F82" s="45"/>
      <c r="G82" s="45"/>
      <c r="H82" s="45"/>
      <c r="I82" s="45"/>
      <c r="J82" s="45"/>
      <c r="K82" s="45"/>
      <c r="L82" s="45"/>
      <c r="M82" s="45"/>
      <c r="N82" s="45"/>
      <c r="O82" s="45"/>
      <c r="P82" s="45"/>
      <c r="Q82" s="45"/>
      <c r="R82" s="45"/>
      <c r="S82" s="45"/>
      <c r="T82" s="45"/>
      <c r="U82" s="45"/>
      <c r="V82" s="45"/>
      <c r="W82" s="45"/>
      <c r="X82" s="45"/>
      <c r="Y82" s="45"/>
      <c r="Z82" s="45"/>
      <c r="AA82" s="45"/>
      <c r="AB82" s="45"/>
      <c r="AC82" s="45"/>
      <c r="AD82" s="45"/>
      <c r="AE82" s="45"/>
      <c r="AF82" s="45"/>
      <c r="AG82" s="45"/>
      <c r="AH82" s="45"/>
      <c r="AI82" s="45"/>
      <c r="AJ82" s="45"/>
      <c r="AK82" s="45"/>
      <c r="AL82" s="45"/>
      <c r="AM82" s="45"/>
      <c r="AN82" s="45"/>
      <c r="AO82" s="45"/>
      <c r="AP82" s="45"/>
      <c r="AQ82" s="45"/>
      <c r="AR82" s="45"/>
      <c r="AS82" s="45"/>
      <c r="AT82" s="45"/>
      <c r="AU82" s="45"/>
      <c r="AV82" s="45"/>
      <c r="AW82" s="45"/>
      <c r="AX82" s="45"/>
      <c r="AY82" s="45"/>
      <c r="AZ82" s="45"/>
      <c r="BA82" s="45"/>
      <c r="BB82" s="45"/>
      <c r="BC82" s="45"/>
      <c r="BD82" s="45"/>
      <c r="BE82" s="45"/>
    </row>
    <row r="83" spans="2:57" x14ac:dyDescent="0.25">
      <c r="B83" s="126" t="str">
        <f>IF(Capacity!N76="","",Capacity!N76)</f>
        <v/>
      </c>
      <c r="C83" s="130" t="str">
        <f t="shared" si="0"/>
        <v/>
      </c>
      <c r="D83" s="130" t="str">
        <f>IF(B83="","",Capacity!R76)</f>
        <v/>
      </c>
      <c r="F83" s="45"/>
      <c r="G83" s="45"/>
      <c r="H83" s="45"/>
      <c r="I83" s="45"/>
      <c r="J83" s="45"/>
      <c r="K83" s="45"/>
      <c r="L83" s="45"/>
      <c r="M83" s="45"/>
      <c r="N83" s="45"/>
      <c r="O83" s="45"/>
      <c r="P83" s="45"/>
      <c r="Q83" s="45"/>
      <c r="R83" s="45"/>
      <c r="S83" s="45"/>
      <c r="T83" s="45"/>
      <c r="U83" s="45"/>
      <c r="V83" s="45"/>
      <c r="W83" s="45"/>
      <c r="X83" s="45"/>
      <c r="Y83" s="45"/>
      <c r="Z83" s="45"/>
      <c r="AA83" s="45"/>
      <c r="AB83" s="45"/>
      <c r="AC83" s="45"/>
      <c r="AD83" s="45"/>
      <c r="AE83" s="45"/>
      <c r="AF83" s="45"/>
      <c r="AG83" s="45"/>
      <c r="AH83" s="45"/>
      <c r="AI83" s="45"/>
      <c r="AJ83" s="45"/>
      <c r="AK83" s="45"/>
      <c r="AL83" s="45"/>
      <c r="AM83" s="45"/>
      <c r="AN83" s="45"/>
      <c r="AO83" s="45"/>
      <c r="AP83" s="45"/>
      <c r="AQ83" s="45"/>
      <c r="AR83" s="45"/>
      <c r="AS83" s="45"/>
      <c r="AT83" s="45"/>
      <c r="AU83" s="45"/>
      <c r="AV83" s="45"/>
      <c r="AW83" s="45"/>
      <c r="AX83" s="45"/>
      <c r="AY83" s="45"/>
      <c r="AZ83" s="45"/>
      <c r="BA83" s="45"/>
      <c r="BB83" s="45"/>
      <c r="BC83" s="45"/>
      <c r="BD83" s="45"/>
      <c r="BE83" s="45"/>
    </row>
    <row r="84" spans="2:57" x14ac:dyDescent="0.25">
      <c r="B84" s="126" t="str">
        <f>IF(Capacity!N77="","",Capacity!N77)</f>
        <v/>
      </c>
      <c r="C84" s="130" t="str">
        <f t="shared" si="0"/>
        <v/>
      </c>
      <c r="D84" s="130" t="str">
        <f>IF(B84="","",Capacity!R77)</f>
        <v/>
      </c>
      <c r="F84" s="45"/>
      <c r="G84" s="45"/>
      <c r="H84" s="45"/>
      <c r="I84" s="45"/>
      <c r="J84" s="45"/>
      <c r="K84" s="45"/>
      <c r="L84" s="45"/>
      <c r="M84" s="45"/>
      <c r="N84" s="45"/>
      <c r="O84" s="45"/>
      <c r="P84" s="45"/>
      <c r="Q84" s="45"/>
      <c r="R84" s="45"/>
      <c r="S84" s="45"/>
      <c r="T84" s="45"/>
      <c r="U84" s="45"/>
      <c r="V84" s="45"/>
      <c r="W84" s="45"/>
      <c r="X84" s="45"/>
      <c r="Y84" s="45"/>
      <c r="Z84" s="45"/>
      <c r="AA84" s="45"/>
      <c r="AB84" s="45"/>
      <c r="AC84" s="45"/>
      <c r="AD84" s="45"/>
      <c r="AE84" s="45"/>
      <c r="AF84" s="45"/>
      <c r="AG84" s="45"/>
      <c r="AH84" s="45"/>
      <c r="AI84" s="45"/>
      <c r="AJ84" s="45"/>
      <c r="AK84" s="45"/>
      <c r="AL84" s="45"/>
      <c r="AM84" s="45"/>
      <c r="AN84" s="45"/>
      <c r="AO84" s="45"/>
      <c r="AP84" s="45"/>
      <c r="AQ84" s="45"/>
      <c r="AR84" s="45"/>
      <c r="AS84" s="45"/>
      <c r="AT84" s="45"/>
      <c r="AU84" s="45"/>
      <c r="AV84" s="45"/>
      <c r="AW84" s="45"/>
      <c r="AX84" s="45"/>
      <c r="AY84" s="45"/>
      <c r="AZ84" s="45"/>
      <c r="BA84" s="45"/>
      <c r="BB84" s="45"/>
      <c r="BC84" s="45"/>
      <c r="BD84" s="45"/>
      <c r="BE84" s="45"/>
    </row>
    <row r="85" spans="2:57" x14ac:dyDescent="0.25">
      <c r="B85" s="126" t="str">
        <f>IF(Capacity!N78="","",Capacity!N78)</f>
        <v/>
      </c>
      <c r="C85" s="130" t="str">
        <f t="shared" si="0"/>
        <v/>
      </c>
      <c r="D85" s="130" t="str">
        <f>IF(B85="","",Capacity!R78)</f>
        <v/>
      </c>
      <c r="F85" s="45"/>
      <c r="G85" s="45"/>
      <c r="H85" s="45"/>
      <c r="I85" s="45"/>
      <c r="J85" s="45"/>
      <c r="K85" s="45"/>
      <c r="L85" s="45"/>
      <c r="M85" s="45"/>
      <c r="N85" s="45"/>
      <c r="O85" s="45"/>
      <c r="P85" s="45"/>
      <c r="Q85" s="45"/>
      <c r="R85" s="45"/>
      <c r="S85" s="45"/>
      <c r="T85" s="45"/>
      <c r="U85" s="45"/>
      <c r="V85" s="45"/>
      <c r="W85" s="45"/>
      <c r="X85" s="45"/>
      <c r="Y85" s="45"/>
      <c r="Z85" s="45"/>
      <c r="AA85" s="45"/>
      <c r="AB85" s="45"/>
      <c r="AC85" s="45"/>
      <c r="AD85" s="45"/>
      <c r="AE85" s="45"/>
      <c r="AF85" s="45"/>
      <c r="AG85" s="45"/>
      <c r="AH85" s="45"/>
      <c r="AI85" s="45"/>
      <c r="AJ85" s="45"/>
      <c r="AK85" s="45"/>
      <c r="AL85" s="45"/>
      <c r="AM85" s="45"/>
      <c r="AN85" s="45"/>
      <c r="AO85" s="45"/>
      <c r="AP85" s="45"/>
      <c r="AQ85" s="45"/>
      <c r="AR85" s="45"/>
      <c r="AS85" s="45"/>
      <c r="AT85" s="45"/>
      <c r="AU85" s="45"/>
      <c r="AV85" s="45"/>
      <c r="AW85" s="45"/>
      <c r="AX85" s="45"/>
      <c r="AY85" s="45"/>
      <c r="AZ85" s="45"/>
      <c r="BA85" s="45"/>
      <c r="BB85" s="45"/>
      <c r="BC85" s="45"/>
      <c r="BD85" s="45"/>
      <c r="BE85" s="45"/>
    </row>
    <row r="86" spans="2:57" x14ac:dyDescent="0.25">
      <c r="B86" s="126" t="str">
        <f>IF(Capacity!N79="","",Capacity!N79)</f>
        <v/>
      </c>
      <c r="C86" s="130" t="str">
        <f t="shared" si="0"/>
        <v/>
      </c>
      <c r="D86" s="130" t="str">
        <f>IF(B86="","",Capacity!R79)</f>
        <v/>
      </c>
      <c r="F86" s="45"/>
      <c r="G86" s="45"/>
      <c r="H86" s="45"/>
      <c r="I86" s="45"/>
      <c r="J86" s="45"/>
      <c r="K86" s="45"/>
      <c r="L86" s="45"/>
      <c r="M86" s="45"/>
      <c r="N86" s="45"/>
      <c r="O86" s="45"/>
      <c r="P86" s="45"/>
      <c r="Q86" s="45"/>
      <c r="R86" s="45"/>
      <c r="S86" s="45"/>
      <c r="T86" s="45"/>
      <c r="U86" s="45"/>
      <c r="V86" s="45"/>
      <c r="W86" s="45"/>
      <c r="X86" s="45"/>
      <c r="Y86" s="45"/>
      <c r="Z86" s="45"/>
      <c r="AA86" s="45"/>
      <c r="AB86" s="45"/>
      <c r="AC86" s="45"/>
      <c r="AD86" s="45"/>
      <c r="AE86" s="45"/>
      <c r="AF86" s="45"/>
      <c r="AG86" s="45"/>
      <c r="AH86" s="45"/>
      <c r="AI86" s="45"/>
      <c r="AJ86" s="45"/>
      <c r="AK86" s="45"/>
      <c r="AL86" s="45"/>
      <c r="AM86" s="45"/>
      <c r="AN86" s="45"/>
      <c r="AO86" s="45"/>
      <c r="AP86" s="45"/>
      <c r="AQ86" s="45"/>
      <c r="AR86" s="45"/>
      <c r="AS86" s="45"/>
      <c r="AT86" s="45"/>
      <c r="AU86" s="45"/>
      <c r="AV86" s="45"/>
      <c r="AW86" s="45"/>
      <c r="AX86" s="45"/>
      <c r="AY86" s="45"/>
      <c r="AZ86" s="45"/>
      <c r="BA86" s="45"/>
      <c r="BB86" s="45"/>
      <c r="BC86" s="45"/>
      <c r="BD86" s="45"/>
      <c r="BE86" s="45"/>
    </row>
    <row r="87" spans="2:57" x14ac:dyDescent="0.25">
      <c r="B87" s="126" t="str">
        <f>IF(Capacity!N80="","",Capacity!N80)</f>
        <v/>
      </c>
      <c r="C87" s="130" t="str">
        <f t="shared" si="0"/>
        <v/>
      </c>
      <c r="D87" s="130" t="str">
        <f>IF(B87="","",Capacity!R80)</f>
        <v/>
      </c>
      <c r="F87" s="45"/>
      <c r="G87" s="45"/>
      <c r="H87" s="45"/>
      <c r="I87" s="45"/>
      <c r="J87" s="45"/>
      <c r="K87" s="45"/>
      <c r="L87" s="45"/>
      <c r="M87" s="45"/>
      <c r="N87" s="45"/>
      <c r="O87" s="45"/>
      <c r="P87" s="45"/>
      <c r="Q87" s="45"/>
      <c r="R87" s="45"/>
      <c r="S87" s="45"/>
      <c r="T87" s="45"/>
      <c r="U87" s="45"/>
      <c r="V87" s="45"/>
      <c r="W87" s="45"/>
      <c r="X87" s="45"/>
      <c r="Y87" s="45"/>
      <c r="Z87" s="45"/>
      <c r="AA87" s="45"/>
      <c r="AB87" s="45"/>
      <c r="AC87" s="45"/>
      <c r="AD87" s="45"/>
      <c r="AE87" s="45"/>
      <c r="AF87" s="45"/>
      <c r="AG87" s="45"/>
      <c r="AH87" s="45"/>
      <c r="AI87" s="45"/>
      <c r="AJ87" s="45"/>
      <c r="AK87" s="45"/>
      <c r="AL87" s="45"/>
      <c r="AM87" s="45"/>
      <c r="AN87" s="45"/>
      <c r="AO87" s="45"/>
      <c r="AP87" s="45"/>
      <c r="AQ87" s="45"/>
      <c r="AR87" s="45"/>
      <c r="AS87" s="45"/>
      <c r="AT87" s="45"/>
      <c r="AU87" s="45"/>
      <c r="AV87" s="45"/>
      <c r="AW87" s="45"/>
      <c r="AX87" s="45"/>
      <c r="AY87" s="45"/>
      <c r="AZ87" s="45"/>
      <c r="BA87" s="45"/>
      <c r="BB87" s="45"/>
      <c r="BC87" s="45"/>
      <c r="BD87" s="45"/>
      <c r="BE87" s="45"/>
    </row>
    <row r="88" spans="2:57" x14ac:dyDescent="0.25">
      <c r="B88" s="126" t="str">
        <f>IF(Capacity!N81="","",Capacity!N81)</f>
        <v/>
      </c>
      <c r="C88" s="130" t="str">
        <f t="shared" si="0"/>
        <v/>
      </c>
      <c r="D88" s="130" t="str">
        <f>IF(B88="","",Capacity!R81)</f>
        <v/>
      </c>
      <c r="F88" s="45"/>
      <c r="G88" s="45"/>
      <c r="H88" s="45"/>
      <c r="I88" s="45"/>
      <c r="J88" s="45"/>
      <c r="K88" s="45"/>
      <c r="L88" s="45"/>
      <c r="M88" s="45"/>
      <c r="N88" s="45"/>
      <c r="O88" s="45"/>
      <c r="P88" s="45"/>
      <c r="Q88" s="45"/>
      <c r="R88" s="45"/>
      <c r="S88" s="45"/>
      <c r="T88" s="45"/>
      <c r="U88" s="45"/>
      <c r="V88" s="45"/>
      <c r="W88" s="45"/>
      <c r="X88" s="45"/>
      <c r="Y88" s="45"/>
      <c r="Z88" s="45"/>
      <c r="AA88" s="45"/>
      <c r="AB88" s="45"/>
      <c r="AC88" s="45"/>
      <c r="AD88" s="45"/>
      <c r="AE88" s="45"/>
      <c r="AF88" s="45"/>
      <c r="AG88" s="45"/>
      <c r="AH88" s="45"/>
      <c r="AI88" s="45"/>
      <c r="AJ88" s="45"/>
      <c r="AK88" s="45"/>
      <c r="AL88" s="45"/>
      <c r="AM88" s="45"/>
      <c r="AN88" s="45"/>
      <c r="AO88" s="45"/>
      <c r="AP88" s="45"/>
      <c r="AQ88" s="45"/>
      <c r="AR88" s="45"/>
      <c r="AS88" s="45"/>
      <c r="AT88" s="45"/>
      <c r="AU88" s="45"/>
      <c r="AV88" s="45"/>
      <c r="AW88" s="45"/>
      <c r="AX88" s="45"/>
      <c r="AY88" s="45"/>
      <c r="AZ88" s="45"/>
      <c r="BA88" s="45"/>
      <c r="BB88" s="45"/>
      <c r="BC88" s="45"/>
      <c r="BD88" s="45"/>
      <c r="BE88" s="45"/>
    </row>
    <row r="89" spans="2:57" x14ac:dyDescent="0.25">
      <c r="B89" s="126" t="str">
        <f>IF(Capacity!N82="","",Capacity!N82)</f>
        <v/>
      </c>
      <c r="C89" s="130" t="str">
        <f t="shared" si="0"/>
        <v/>
      </c>
      <c r="D89" s="130" t="str">
        <f>IF(B89="","",Capacity!R82)</f>
        <v/>
      </c>
      <c r="F89" s="45"/>
      <c r="G89" s="45"/>
      <c r="H89" s="45"/>
      <c r="I89" s="45"/>
      <c r="J89" s="45"/>
      <c r="K89" s="45"/>
      <c r="L89" s="45"/>
      <c r="M89" s="45"/>
      <c r="N89" s="45"/>
      <c r="O89" s="45"/>
      <c r="P89" s="45"/>
      <c r="Q89" s="45"/>
      <c r="R89" s="45"/>
      <c r="S89" s="45"/>
      <c r="T89" s="45"/>
      <c r="U89" s="45"/>
      <c r="V89" s="45"/>
      <c r="W89" s="45"/>
      <c r="X89" s="45"/>
      <c r="Y89" s="45"/>
      <c r="Z89" s="45"/>
      <c r="AA89" s="45"/>
      <c r="AB89" s="45"/>
      <c r="AC89" s="45"/>
      <c r="AD89" s="45"/>
      <c r="AE89" s="45"/>
      <c r="AF89" s="45"/>
      <c r="AG89" s="45"/>
      <c r="AH89" s="45"/>
      <c r="AI89" s="45"/>
      <c r="AJ89" s="45"/>
      <c r="AK89" s="45"/>
      <c r="AL89" s="45"/>
      <c r="AM89" s="45"/>
      <c r="AN89" s="45"/>
      <c r="AO89" s="45"/>
      <c r="AP89" s="45"/>
      <c r="AQ89" s="45"/>
      <c r="AR89" s="45"/>
      <c r="AS89" s="45"/>
      <c r="AT89" s="45"/>
      <c r="AU89" s="45"/>
      <c r="AV89" s="45"/>
      <c r="AW89" s="45"/>
      <c r="AX89" s="45"/>
      <c r="AY89" s="45"/>
      <c r="AZ89" s="45"/>
      <c r="BA89" s="45"/>
      <c r="BB89" s="45"/>
      <c r="BC89" s="45"/>
      <c r="BD89" s="45"/>
      <c r="BE89" s="45"/>
    </row>
    <row r="90" spans="2:57" x14ac:dyDescent="0.25">
      <c r="B90" s="126" t="str">
        <f>IF(Capacity!N83="","",Capacity!N83)</f>
        <v/>
      </c>
      <c r="C90" s="130" t="str">
        <f t="shared" ref="C90:C123" si="1">IF(B90="","",COUNTIF(F90:BE90,"X"))</f>
        <v/>
      </c>
      <c r="D90" s="130" t="str">
        <f>IF(B90="","",Capacity!R83)</f>
        <v/>
      </c>
      <c r="F90" s="45"/>
      <c r="G90" s="45"/>
      <c r="H90" s="45"/>
      <c r="I90" s="45"/>
      <c r="J90" s="45"/>
      <c r="K90" s="45"/>
      <c r="L90" s="45"/>
      <c r="M90" s="45"/>
      <c r="N90" s="45"/>
      <c r="O90" s="45"/>
      <c r="P90" s="45"/>
      <c r="Q90" s="45"/>
      <c r="R90" s="45"/>
      <c r="S90" s="45"/>
      <c r="T90" s="45"/>
      <c r="U90" s="45"/>
      <c r="V90" s="45"/>
      <c r="W90" s="45"/>
      <c r="X90" s="45"/>
      <c r="Y90" s="45"/>
      <c r="Z90" s="45"/>
      <c r="AA90" s="45"/>
      <c r="AB90" s="45"/>
      <c r="AC90" s="45"/>
      <c r="AD90" s="45"/>
      <c r="AE90" s="45"/>
      <c r="AF90" s="45"/>
      <c r="AG90" s="45"/>
      <c r="AH90" s="45"/>
      <c r="AI90" s="45"/>
      <c r="AJ90" s="45"/>
      <c r="AK90" s="45"/>
      <c r="AL90" s="45"/>
      <c r="AM90" s="45"/>
      <c r="AN90" s="45"/>
      <c r="AO90" s="45"/>
      <c r="AP90" s="45"/>
      <c r="AQ90" s="45"/>
      <c r="AR90" s="45"/>
      <c r="AS90" s="45"/>
      <c r="AT90" s="45"/>
      <c r="AU90" s="45"/>
      <c r="AV90" s="45"/>
      <c r="AW90" s="45"/>
      <c r="AX90" s="45"/>
      <c r="AY90" s="45"/>
      <c r="AZ90" s="45"/>
      <c r="BA90" s="45"/>
      <c r="BB90" s="45"/>
      <c r="BC90" s="45"/>
      <c r="BD90" s="45"/>
      <c r="BE90" s="45"/>
    </row>
    <row r="91" spans="2:57" x14ac:dyDescent="0.25">
      <c r="B91" s="126" t="str">
        <f>IF(Capacity!N84="","",Capacity!N84)</f>
        <v/>
      </c>
      <c r="C91" s="130" t="str">
        <f t="shared" si="1"/>
        <v/>
      </c>
      <c r="D91" s="130" t="str">
        <f>IF(B91="","",Capacity!R84)</f>
        <v/>
      </c>
      <c r="F91" s="45"/>
      <c r="G91" s="45"/>
      <c r="H91" s="45"/>
      <c r="I91" s="45"/>
      <c r="J91" s="45"/>
      <c r="K91" s="45"/>
      <c r="L91" s="45"/>
      <c r="M91" s="45"/>
      <c r="N91" s="45"/>
      <c r="O91" s="45"/>
      <c r="P91" s="45"/>
      <c r="Q91" s="45"/>
      <c r="R91" s="45"/>
      <c r="S91" s="45"/>
      <c r="T91" s="45"/>
      <c r="U91" s="45"/>
      <c r="V91" s="45"/>
      <c r="W91" s="45"/>
      <c r="X91" s="45"/>
      <c r="Y91" s="45"/>
      <c r="Z91" s="45"/>
      <c r="AA91" s="45"/>
      <c r="AB91" s="45"/>
      <c r="AC91" s="45"/>
      <c r="AD91" s="45"/>
      <c r="AE91" s="45"/>
      <c r="AF91" s="45"/>
      <c r="AG91" s="45"/>
      <c r="AH91" s="45"/>
      <c r="AI91" s="45"/>
      <c r="AJ91" s="45"/>
      <c r="AK91" s="45"/>
      <c r="AL91" s="45"/>
      <c r="AM91" s="45"/>
      <c r="AN91" s="45"/>
      <c r="AO91" s="45"/>
      <c r="AP91" s="45"/>
      <c r="AQ91" s="45"/>
      <c r="AR91" s="45"/>
      <c r="AS91" s="45"/>
      <c r="AT91" s="45"/>
      <c r="AU91" s="45"/>
      <c r="AV91" s="45"/>
      <c r="AW91" s="45"/>
      <c r="AX91" s="45"/>
      <c r="AY91" s="45"/>
      <c r="AZ91" s="45"/>
      <c r="BA91" s="45"/>
      <c r="BB91" s="45"/>
      <c r="BC91" s="45"/>
      <c r="BD91" s="45"/>
      <c r="BE91" s="45"/>
    </row>
    <row r="92" spans="2:57" x14ac:dyDescent="0.25">
      <c r="B92" s="126" t="str">
        <f>IF(Capacity!N85="","",Capacity!N85)</f>
        <v/>
      </c>
      <c r="C92" s="130" t="str">
        <f t="shared" si="1"/>
        <v/>
      </c>
      <c r="D92" s="130" t="str">
        <f>IF(B92="","",Capacity!R85)</f>
        <v/>
      </c>
      <c r="F92" s="45"/>
      <c r="G92" s="45"/>
      <c r="H92" s="45"/>
      <c r="I92" s="45"/>
      <c r="J92" s="45"/>
      <c r="K92" s="45"/>
      <c r="L92" s="45"/>
      <c r="M92" s="45"/>
      <c r="N92" s="45"/>
      <c r="O92" s="45"/>
      <c r="P92" s="45"/>
      <c r="Q92" s="45"/>
      <c r="R92" s="45"/>
      <c r="S92" s="45"/>
      <c r="T92" s="45"/>
      <c r="U92" s="45"/>
      <c r="V92" s="45"/>
      <c r="W92" s="45"/>
      <c r="X92" s="45"/>
      <c r="Y92" s="45"/>
      <c r="Z92" s="45"/>
      <c r="AA92" s="45"/>
      <c r="AB92" s="45"/>
      <c r="AC92" s="45"/>
      <c r="AD92" s="45"/>
      <c r="AE92" s="45"/>
      <c r="AF92" s="45"/>
      <c r="AG92" s="45"/>
      <c r="AH92" s="45"/>
      <c r="AI92" s="45"/>
      <c r="AJ92" s="45"/>
      <c r="AK92" s="45"/>
      <c r="AL92" s="45"/>
      <c r="AM92" s="45"/>
      <c r="AN92" s="45"/>
      <c r="AO92" s="45"/>
      <c r="AP92" s="45"/>
      <c r="AQ92" s="45"/>
      <c r="AR92" s="45"/>
      <c r="AS92" s="45"/>
      <c r="AT92" s="45"/>
      <c r="AU92" s="45"/>
      <c r="AV92" s="45"/>
      <c r="AW92" s="45"/>
      <c r="AX92" s="45"/>
      <c r="AY92" s="45"/>
      <c r="AZ92" s="45"/>
      <c r="BA92" s="45"/>
      <c r="BB92" s="45"/>
      <c r="BC92" s="45"/>
      <c r="BD92" s="45"/>
      <c r="BE92" s="45"/>
    </row>
    <row r="93" spans="2:57" x14ac:dyDescent="0.25">
      <c r="B93" s="126" t="str">
        <f>IF(Capacity!N86="","",Capacity!N86)</f>
        <v/>
      </c>
      <c r="C93" s="130" t="str">
        <f t="shared" si="1"/>
        <v/>
      </c>
      <c r="D93" s="130" t="str">
        <f>IF(B93="","",Capacity!R86)</f>
        <v/>
      </c>
      <c r="F93" s="45"/>
      <c r="G93" s="45"/>
      <c r="H93" s="45"/>
      <c r="I93" s="45"/>
      <c r="J93" s="45"/>
      <c r="K93" s="45"/>
      <c r="L93" s="45"/>
      <c r="M93" s="45"/>
      <c r="N93" s="45"/>
      <c r="O93" s="45"/>
      <c r="P93" s="45"/>
      <c r="Q93" s="45"/>
      <c r="R93" s="45"/>
      <c r="S93" s="45"/>
      <c r="T93" s="45"/>
      <c r="U93" s="45"/>
      <c r="V93" s="45"/>
      <c r="W93" s="45"/>
      <c r="X93" s="45"/>
      <c r="Y93" s="45"/>
      <c r="Z93" s="45"/>
      <c r="AA93" s="45"/>
      <c r="AB93" s="45"/>
      <c r="AC93" s="45"/>
      <c r="AD93" s="45"/>
      <c r="AE93" s="45"/>
      <c r="AF93" s="45"/>
      <c r="AG93" s="45"/>
      <c r="AH93" s="45"/>
      <c r="AI93" s="45"/>
      <c r="AJ93" s="45"/>
      <c r="AK93" s="45"/>
      <c r="AL93" s="45"/>
      <c r="AM93" s="45"/>
      <c r="AN93" s="45"/>
      <c r="AO93" s="45"/>
      <c r="AP93" s="45"/>
      <c r="AQ93" s="45"/>
      <c r="AR93" s="45"/>
      <c r="AS93" s="45"/>
      <c r="AT93" s="45"/>
      <c r="AU93" s="45"/>
      <c r="AV93" s="45"/>
      <c r="AW93" s="45"/>
      <c r="AX93" s="45"/>
      <c r="AY93" s="45"/>
      <c r="AZ93" s="45"/>
      <c r="BA93" s="45"/>
      <c r="BB93" s="45"/>
      <c r="BC93" s="45"/>
      <c r="BD93" s="45"/>
      <c r="BE93" s="45"/>
    </row>
    <row r="94" spans="2:57" x14ac:dyDescent="0.25">
      <c r="B94" s="126" t="str">
        <f>IF(Capacity!N87="","",Capacity!N87)</f>
        <v/>
      </c>
      <c r="C94" s="130" t="str">
        <f t="shared" si="1"/>
        <v/>
      </c>
      <c r="D94" s="130" t="str">
        <f>IF(B94="","",Capacity!R87)</f>
        <v/>
      </c>
      <c r="F94" s="45"/>
      <c r="G94" s="45"/>
      <c r="H94" s="45"/>
      <c r="I94" s="45"/>
      <c r="J94" s="45"/>
      <c r="K94" s="45"/>
      <c r="L94" s="45"/>
      <c r="M94" s="45"/>
      <c r="N94" s="45"/>
      <c r="O94" s="45"/>
      <c r="P94" s="45"/>
      <c r="Q94" s="45"/>
      <c r="R94" s="45"/>
      <c r="S94" s="45"/>
      <c r="T94" s="45"/>
      <c r="U94" s="45"/>
      <c r="V94" s="45"/>
      <c r="W94" s="45"/>
      <c r="X94" s="45"/>
      <c r="Y94" s="45"/>
      <c r="Z94" s="45"/>
      <c r="AA94" s="45"/>
      <c r="AB94" s="45"/>
      <c r="AC94" s="45"/>
      <c r="AD94" s="45"/>
      <c r="AE94" s="45"/>
      <c r="AF94" s="45"/>
      <c r="AG94" s="45"/>
      <c r="AH94" s="45"/>
      <c r="AI94" s="45"/>
      <c r="AJ94" s="45"/>
      <c r="AK94" s="45"/>
      <c r="AL94" s="45"/>
      <c r="AM94" s="45"/>
      <c r="AN94" s="45"/>
      <c r="AO94" s="45"/>
      <c r="AP94" s="45"/>
      <c r="AQ94" s="45"/>
      <c r="AR94" s="45"/>
      <c r="AS94" s="45"/>
      <c r="AT94" s="45"/>
      <c r="AU94" s="45"/>
      <c r="AV94" s="45"/>
      <c r="AW94" s="45"/>
      <c r="AX94" s="45"/>
      <c r="AY94" s="45"/>
      <c r="AZ94" s="45"/>
      <c r="BA94" s="45"/>
      <c r="BB94" s="45"/>
      <c r="BC94" s="45"/>
      <c r="BD94" s="45"/>
      <c r="BE94" s="45"/>
    </row>
    <row r="95" spans="2:57" x14ac:dyDescent="0.25">
      <c r="B95" s="126" t="str">
        <f>IF(Capacity!N88="","",Capacity!N88)</f>
        <v/>
      </c>
      <c r="C95" s="130" t="str">
        <f t="shared" si="1"/>
        <v/>
      </c>
      <c r="D95" s="130" t="str">
        <f>IF(B95="","",Capacity!R88)</f>
        <v/>
      </c>
      <c r="F95" s="45"/>
      <c r="G95" s="45"/>
      <c r="H95" s="45"/>
      <c r="I95" s="45"/>
      <c r="J95" s="45"/>
      <c r="K95" s="45"/>
      <c r="L95" s="45"/>
      <c r="M95" s="45"/>
      <c r="N95" s="45"/>
      <c r="O95" s="45"/>
      <c r="P95" s="45"/>
      <c r="Q95" s="45"/>
      <c r="R95" s="45"/>
      <c r="S95" s="45"/>
      <c r="T95" s="45"/>
      <c r="U95" s="45"/>
      <c r="V95" s="45"/>
      <c r="W95" s="45"/>
      <c r="X95" s="45"/>
      <c r="Y95" s="45"/>
      <c r="Z95" s="45"/>
      <c r="AA95" s="45"/>
      <c r="AB95" s="45"/>
      <c r="AC95" s="45"/>
      <c r="AD95" s="45"/>
      <c r="AE95" s="45"/>
      <c r="AF95" s="45"/>
      <c r="AG95" s="45"/>
      <c r="AH95" s="45"/>
      <c r="AI95" s="45"/>
      <c r="AJ95" s="45"/>
      <c r="AK95" s="45"/>
      <c r="AL95" s="45"/>
      <c r="AM95" s="45"/>
      <c r="AN95" s="45"/>
      <c r="AO95" s="45"/>
      <c r="AP95" s="45"/>
      <c r="AQ95" s="45"/>
      <c r="AR95" s="45"/>
      <c r="AS95" s="45"/>
      <c r="AT95" s="45"/>
      <c r="AU95" s="45"/>
      <c r="AV95" s="45"/>
      <c r="AW95" s="45"/>
      <c r="AX95" s="45"/>
      <c r="AY95" s="45"/>
      <c r="AZ95" s="45"/>
      <c r="BA95" s="45"/>
      <c r="BB95" s="45"/>
      <c r="BC95" s="45"/>
      <c r="BD95" s="45"/>
      <c r="BE95" s="45"/>
    </row>
    <row r="96" spans="2:57" x14ac:dyDescent="0.25">
      <c r="B96" s="126" t="str">
        <f>IF(Capacity!N89="","",Capacity!N89)</f>
        <v/>
      </c>
      <c r="C96" s="130" t="str">
        <f t="shared" si="1"/>
        <v/>
      </c>
      <c r="D96" s="130" t="str">
        <f>IF(B96="","",Capacity!R89)</f>
        <v/>
      </c>
      <c r="F96" s="45"/>
      <c r="G96" s="45"/>
      <c r="H96" s="45"/>
      <c r="I96" s="45"/>
      <c r="J96" s="45"/>
      <c r="K96" s="45"/>
      <c r="L96" s="45"/>
      <c r="M96" s="45"/>
      <c r="N96" s="45"/>
      <c r="O96" s="45"/>
      <c r="P96" s="45"/>
      <c r="Q96" s="45"/>
      <c r="R96" s="45"/>
      <c r="S96" s="45"/>
      <c r="T96" s="45"/>
      <c r="U96" s="45"/>
      <c r="V96" s="45"/>
      <c r="W96" s="45"/>
      <c r="X96" s="45"/>
      <c r="Y96" s="45"/>
      <c r="Z96" s="45"/>
      <c r="AA96" s="45"/>
      <c r="AB96" s="45"/>
      <c r="AC96" s="45"/>
      <c r="AD96" s="45"/>
      <c r="AE96" s="45"/>
      <c r="AF96" s="45"/>
      <c r="AG96" s="45"/>
      <c r="AH96" s="45"/>
      <c r="AI96" s="45"/>
      <c r="AJ96" s="45"/>
      <c r="AK96" s="45"/>
      <c r="AL96" s="45"/>
      <c r="AM96" s="45"/>
      <c r="AN96" s="45"/>
      <c r="AO96" s="45"/>
      <c r="AP96" s="45"/>
      <c r="AQ96" s="45"/>
      <c r="AR96" s="45"/>
      <c r="AS96" s="45"/>
      <c r="AT96" s="45"/>
      <c r="AU96" s="45"/>
      <c r="AV96" s="45"/>
      <c r="AW96" s="45"/>
      <c r="AX96" s="45"/>
      <c r="AY96" s="45"/>
      <c r="AZ96" s="45"/>
      <c r="BA96" s="45"/>
      <c r="BB96" s="45"/>
      <c r="BC96" s="45"/>
      <c r="BD96" s="45"/>
      <c r="BE96" s="45"/>
    </row>
    <row r="97" spans="2:57" x14ac:dyDescent="0.25">
      <c r="B97" s="126" t="str">
        <f>IF(Capacity!N90="","",Capacity!N90)</f>
        <v/>
      </c>
      <c r="C97" s="130" t="str">
        <f t="shared" si="1"/>
        <v/>
      </c>
      <c r="D97" s="130" t="str">
        <f>IF(B97="","",Capacity!R90)</f>
        <v/>
      </c>
      <c r="F97" s="45"/>
      <c r="G97" s="45"/>
      <c r="H97" s="45"/>
      <c r="I97" s="45"/>
      <c r="J97" s="45"/>
      <c r="K97" s="45"/>
      <c r="L97" s="45"/>
      <c r="M97" s="45"/>
      <c r="N97" s="45"/>
      <c r="O97" s="45"/>
      <c r="P97" s="45"/>
      <c r="Q97" s="45"/>
      <c r="R97" s="45"/>
      <c r="S97" s="45"/>
      <c r="T97" s="45"/>
      <c r="U97" s="45"/>
      <c r="V97" s="45"/>
      <c r="W97" s="45"/>
      <c r="X97" s="45"/>
      <c r="Y97" s="45"/>
      <c r="Z97" s="45"/>
      <c r="AA97" s="45"/>
      <c r="AB97" s="45"/>
      <c r="AC97" s="45"/>
      <c r="AD97" s="45"/>
      <c r="AE97" s="45"/>
      <c r="AF97" s="45"/>
      <c r="AG97" s="45"/>
      <c r="AH97" s="45"/>
      <c r="AI97" s="45"/>
      <c r="AJ97" s="45"/>
      <c r="AK97" s="45"/>
      <c r="AL97" s="45"/>
      <c r="AM97" s="45"/>
      <c r="AN97" s="45"/>
      <c r="AO97" s="45"/>
      <c r="AP97" s="45"/>
      <c r="AQ97" s="45"/>
      <c r="AR97" s="45"/>
      <c r="AS97" s="45"/>
      <c r="AT97" s="45"/>
      <c r="AU97" s="45"/>
      <c r="AV97" s="45"/>
      <c r="AW97" s="45"/>
      <c r="AX97" s="45"/>
      <c r="AY97" s="45"/>
      <c r="AZ97" s="45"/>
      <c r="BA97" s="45"/>
      <c r="BB97" s="45"/>
      <c r="BC97" s="45"/>
      <c r="BD97" s="45"/>
      <c r="BE97" s="45"/>
    </row>
    <row r="98" spans="2:57" x14ac:dyDescent="0.25">
      <c r="B98" s="126" t="str">
        <f>IF(Capacity!N91="","",Capacity!N91)</f>
        <v/>
      </c>
      <c r="C98" s="130" t="str">
        <f t="shared" si="1"/>
        <v/>
      </c>
      <c r="D98" s="130" t="str">
        <f>IF(B98="","",Capacity!R91)</f>
        <v/>
      </c>
      <c r="F98" s="45"/>
      <c r="G98" s="45"/>
      <c r="H98" s="45"/>
      <c r="I98" s="45"/>
      <c r="J98" s="45"/>
      <c r="K98" s="45"/>
      <c r="L98" s="45"/>
      <c r="M98" s="45"/>
      <c r="N98" s="45"/>
      <c r="O98" s="45"/>
      <c r="P98" s="45"/>
      <c r="Q98" s="45"/>
      <c r="R98" s="45"/>
      <c r="S98" s="45"/>
      <c r="T98" s="45"/>
      <c r="U98" s="45"/>
      <c r="V98" s="45"/>
      <c r="W98" s="45"/>
      <c r="X98" s="45"/>
      <c r="Y98" s="45"/>
      <c r="Z98" s="45"/>
      <c r="AA98" s="45"/>
      <c r="AB98" s="45"/>
      <c r="AC98" s="45"/>
      <c r="AD98" s="45"/>
      <c r="AE98" s="45"/>
      <c r="AF98" s="45"/>
      <c r="AG98" s="45"/>
      <c r="AH98" s="45"/>
      <c r="AI98" s="45"/>
      <c r="AJ98" s="45"/>
      <c r="AK98" s="45"/>
      <c r="AL98" s="45"/>
      <c r="AM98" s="45"/>
      <c r="AN98" s="45"/>
      <c r="AO98" s="45"/>
      <c r="AP98" s="45"/>
      <c r="AQ98" s="45"/>
      <c r="AR98" s="45"/>
      <c r="AS98" s="45"/>
      <c r="AT98" s="45"/>
      <c r="AU98" s="45"/>
      <c r="AV98" s="45"/>
      <c r="AW98" s="45"/>
      <c r="AX98" s="45"/>
      <c r="AY98" s="45"/>
      <c r="AZ98" s="45"/>
      <c r="BA98" s="45"/>
      <c r="BB98" s="45"/>
      <c r="BC98" s="45"/>
      <c r="BD98" s="45"/>
      <c r="BE98" s="45"/>
    </row>
    <row r="99" spans="2:57" x14ac:dyDescent="0.25">
      <c r="B99" s="126" t="str">
        <f>IF(Capacity!N92="","",Capacity!N92)</f>
        <v/>
      </c>
      <c r="C99" s="130" t="str">
        <f t="shared" si="1"/>
        <v/>
      </c>
      <c r="D99" s="130" t="str">
        <f>IF(B99="","",Capacity!R92)</f>
        <v/>
      </c>
      <c r="F99" s="45"/>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row>
    <row r="100" spans="2:57" x14ac:dyDescent="0.25">
      <c r="B100" s="126" t="str">
        <f>IF(Capacity!N93="","",Capacity!N93)</f>
        <v/>
      </c>
      <c r="C100" s="130" t="str">
        <f t="shared" si="1"/>
        <v/>
      </c>
      <c r="D100" s="130" t="str">
        <f>IF(B100="","",Capacity!R93)</f>
        <v/>
      </c>
      <c r="F100" s="45"/>
      <c r="G100" s="45"/>
      <c r="H100" s="45"/>
      <c r="I100" s="45"/>
      <c r="J100" s="45"/>
      <c r="K100" s="45"/>
      <c r="L100" s="45"/>
      <c r="M100" s="45"/>
      <c r="N100" s="45"/>
      <c r="O100" s="45"/>
      <c r="P100" s="45"/>
      <c r="Q100" s="45"/>
      <c r="R100" s="45"/>
      <c r="S100" s="45"/>
      <c r="T100" s="45"/>
      <c r="U100" s="45"/>
      <c r="V100" s="45"/>
      <c r="W100" s="45"/>
      <c r="X100" s="45"/>
      <c r="Y100" s="45"/>
      <c r="Z100" s="45"/>
      <c r="AA100" s="45"/>
      <c r="AB100" s="45"/>
      <c r="AC100" s="45"/>
      <c r="AD100" s="45"/>
      <c r="AE100" s="45"/>
      <c r="AF100" s="45"/>
      <c r="AG100" s="45"/>
      <c r="AH100" s="45"/>
      <c r="AI100" s="45"/>
      <c r="AJ100" s="45"/>
      <c r="AK100" s="45"/>
      <c r="AL100" s="45"/>
      <c r="AM100" s="45"/>
      <c r="AN100" s="45"/>
      <c r="AO100" s="45"/>
      <c r="AP100" s="45"/>
      <c r="AQ100" s="45"/>
      <c r="AR100" s="45"/>
      <c r="AS100" s="45"/>
      <c r="AT100" s="45"/>
      <c r="AU100" s="45"/>
      <c r="AV100" s="45"/>
      <c r="AW100" s="45"/>
      <c r="AX100" s="45"/>
      <c r="AY100" s="45"/>
      <c r="AZ100" s="45"/>
      <c r="BA100" s="45"/>
      <c r="BB100" s="45"/>
      <c r="BC100" s="45"/>
      <c r="BD100" s="45"/>
      <c r="BE100" s="45"/>
    </row>
    <row r="101" spans="2:57" x14ac:dyDescent="0.25">
      <c r="B101" s="126" t="str">
        <f>IF(Capacity!N94="","",Capacity!N94)</f>
        <v/>
      </c>
      <c r="C101" s="130" t="str">
        <f t="shared" si="1"/>
        <v/>
      </c>
      <c r="D101" s="130" t="str">
        <f>IF(B101="","",Capacity!R94)</f>
        <v/>
      </c>
      <c r="F101" s="45"/>
      <c r="G101" s="45"/>
      <c r="H101" s="45"/>
      <c r="I101" s="45"/>
      <c r="J101" s="45"/>
      <c r="K101" s="45"/>
      <c r="L101" s="45"/>
      <c r="M101" s="45"/>
      <c r="N101" s="45"/>
      <c r="O101" s="45"/>
      <c r="P101" s="45"/>
      <c r="Q101" s="45"/>
      <c r="R101" s="45"/>
      <c r="S101" s="45"/>
      <c r="T101" s="45"/>
      <c r="U101" s="45"/>
      <c r="V101" s="45"/>
      <c r="W101" s="45"/>
      <c r="X101" s="45"/>
      <c r="Y101" s="45"/>
      <c r="Z101" s="45"/>
      <c r="AA101" s="45"/>
      <c r="AB101" s="45"/>
      <c r="AC101" s="45"/>
      <c r="AD101" s="45"/>
      <c r="AE101" s="45"/>
      <c r="AF101" s="45"/>
      <c r="AG101" s="45"/>
      <c r="AH101" s="45"/>
      <c r="AI101" s="45"/>
      <c r="AJ101" s="45"/>
      <c r="AK101" s="45"/>
      <c r="AL101" s="45"/>
      <c r="AM101" s="45"/>
      <c r="AN101" s="45"/>
      <c r="AO101" s="45"/>
      <c r="AP101" s="45"/>
      <c r="AQ101" s="45"/>
      <c r="AR101" s="45"/>
      <c r="AS101" s="45"/>
      <c r="AT101" s="45"/>
      <c r="AU101" s="45"/>
      <c r="AV101" s="45"/>
      <c r="AW101" s="45"/>
      <c r="AX101" s="45"/>
      <c r="AY101" s="45"/>
      <c r="AZ101" s="45"/>
      <c r="BA101" s="45"/>
      <c r="BB101" s="45"/>
      <c r="BC101" s="45"/>
      <c r="BD101" s="45"/>
      <c r="BE101" s="45"/>
    </row>
    <row r="102" spans="2:57" x14ac:dyDescent="0.25">
      <c r="B102" s="126" t="str">
        <f>IF(Capacity!N95="","",Capacity!N95)</f>
        <v/>
      </c>
      <c r="C102" s="130" t="str">
        <f t="shared" si="1"/>
        <v/>
      </c>
      <c r="D102" s="130" t="str">
        <f>IF(B102="","",Capacity!R95)</f>
        <v/>
      </c>
      <c r="F102" s="45"/>
      <c r="G102" s="45"/>
      <c r="H102" s="45"/>
      <c r="I102" s="45"/>
      <c r="J102" s="45"/>
      <c r="K102" s="45"/>
      <c r="L102" s="45"/>
      <c r="M102" s="45"/>
      <c r="N102" s="45"/>
      <c r="O102" s="45"/>
      <c r="P102" s="45"/>
      <c r="Q102" s="45"/>
      <c r="R102" s="45"/>
      <c r="S102" s="45"/>
      <c r="T102" s="45"/>
      <c r="U102" s="45"/>
      <c r="V102" s="45"/>
      <c r="W102" s="45"/>
      <c r="X102" s="45"/>
      <c r="Y102" s="45"/>
      <c r="Z102" s="45"/>
      <c r="AA102" s="45"/>
      <c r="AB102" s="45"/>
      <c r="AC102" s="45"/>
      <c r="AD102" s="45"/>
      <c r="AE102" s="45"/>
      <c r="AF102" s="45"/>
      <c r="AG102" s="45"/>
      <c r="AH102" s="45"/>
      <c r="AI102" s="45"/>
      <c r="AJ102" s="45"/>
      <c r="AK102" s="45"/>
      <c r="AL102" s="45"/>
      <c r="AM102" s="45"/>
      <c r="AN102" s="45"/>
      <c r="AO102" s="45"/>
      <c r="AP102" s="45"/>
      <c r="AQ102" s="45"/>
      <c r="AR102" s="45"/>
      <c r="AS102" s="45"/>
      <c r="AT102" s="45"/>
      <c r="AU102" s="45"/>
      <c r="AV102" s="45"/>
      <c r="AW102" s="45"/>
      <c r="AX102" s="45"/>
      <c r="AY102" s="45"/>
      <c r="AZ102" s="45"/>
      <c r="BA102" s="45"/>
      <c r="BB102" s="45"/>
      <c r="BC102" s="45"/>
      <c r="BD102" s="45"/>
      <c r="BE102" s="45"/>
    </row>
    <row r="103" spans="2:57" x14ac:dyDescent="0.25">
      <c r="B103" s="126" t="str">
        <f>IF(Capacity!N96="","",Capacity!N96)</f>
        <v/>
      </c>
      <c r="C103" s="130" t="str">
        <f t="shared" si="1"/>
        <v/>
      </c>
      <c r="D103" s="130" t="str">
        <f>IF(B103="","",Capacity!R96)</f>
        <v/>
      </c>
      <c r="F103" s="45"/>
      <c r="G103" s="45"/>
      <c r="H103" s="45"/>
      <c r="I103" s="45"/>
      <c r="J103" s="45"/>
      <c r="K103" s="45"/>
      <c r="L103" s="45"/>
      <c r="M103" s="45"/>
      <c r="N103" s="45"/>
      <c r="O103" s="45"/>
      <c r="P103" s="45"/>
      <c r="Q103" s="45"/>
      <c r="R103" s="45"/>
      <c r="S103" s="45"/>
      <c r="T103" s="45"/>
      <c r="U103" s="45"/>
      <c r="V103" s="45"/>
      <c r="W103" s="45"/>
      <c r="X103" s="45"/>
      <c r="Y103" s="45"/>
      <c r="Z103" s="45"/>
      <c r="AA103" s="45"/>
      <c r="AB103" s="45"/>
      <c r="AC103" s="45"/>
      <c r="AD103" s="45"/>
      <c r="AE103" s="45"/>
      <c r="AF103" s="45"/>
      <c r="AG103" s="45"/>
      <c r="AH103" s="45"/>
      <c r="AI103" s="45"/>
      <c r="AJ103" s="45"/>
      <c r="AK103" s="45"/>
      <c r="AL103" s="45"/>
      <c r="AM103" s="45"/>
      <c r="AN103" s="45"/>
      <c r="AO103" s="45"/>
      <c r="AP103" s="45"/>
      <c r="AQ103" s="45"/>
      <c r="AR103" s="45"/>
      <c r="AS103" s="45"/>
      <c r="AT103" s="45"/>
      <c r="AU103" s="45"/>
      <c r="AV103" s="45"/>
      <c r="AW103" s="45"/>
      <c r="AX103" s="45"/>
      <c r="AY103" s="45"/>
      <c r="AZ103" s="45"/>
      <c r="BA103" s="45"/>
      <c r="BB103" s="45"/>
      <c r="BC103" s="45"/>
      <c r="BD103" s="45"/>
      <c r="BE103" s="45"/>
    </row>
    <row r="104" spans="2:57" x14ac:dyDescent="0.25">
      <c r="B104" s="126" t="str">
        <f>IF(Capacity!N97="","",Capacity!N97)</f>
        <v/>
      </c>
      <c r="C104" s="130" t="str">
        <f t="shared" si="1"/>
        <v/>
      </c>
      <c r="D104" s="130" t="str">
        <f>IF(B104="","",Capacity!R97)</f>
        <v/>
      </c>
      <c r="F104" s="45"/>
      <c r="G104" s="45"/>
      <c r="H104" s="45"/>
      <c r="I104" s="45"/>
      <c r="J104" s="45"/>
      <c r="K104" s="45"/>
      <c r="L104" s="45"/>
      <c r="M104" s="45"/>
      <c r="N104" s="45"/>
      <c r="O104" s="45"/>
      <c r="P104" s="45"/>
      <c r="Q104" s="45"/>
      <c r="R104" s="45"/>
      <c r="S104" s="45"/>
      <c r="T104" s="45"/>
      <c r="U104" s="45"/>
      <c r="V104" s="45"/>
      <c r="W104" s="45"/>
      <c r="X104" s="45"/>
      <c r="Y104" s="45"/>
      <c r="Z104" s="45"/>
      <c r="AA104" s="45"/>
      <c r="AB104" s="45"/>
      <c r="AC104" s="45"/>
      <c r="AD104" s="45"/>
      <c r="AE104" s="45"/>
      <c r="AF104" s="45"/>
      <c r="AG104" s="45"/>
      <c r="AH104" s="45"/>
      <c r="AI104" s="45"/>
      <c r="AJ104" s="45"/>
      <c r="AK104" s="45"/>
      <c r="AL104" s="45"/>
      <c r="AM104" s="45"/>
      <c r="AN104" s="45"/>
      <c r="AO104" s="45"/>
      <c r="AP104" s="45"/>
      <c r="AQ104" s="45"/>
      <c r="AR104" s="45"/>
      <c r="AS104" s="45"/>
      <c r="AT104" s="45"/>
      <c r="AU104" s="45"/>
      <c r="AV104" s="45"/>
      <c r="AW104" s="45"/>
      <c r="AX104" s="45"/>
      <c r="AY104" s="45"/>
      <c r="AZ104" s="45"/>
      <c r="BA104" s="45"/>
      <c r="BB104" s="45"/>
      <c r="BC104" s="45"/>
      <c r="BD104" s="45"/>
      <c r="BE104" s="45"/>
    </row>
    <row r="105" spans="2:57" x14ac:dyDescent="0.25">
      <c r="B105" s="126" t="str">
        <f>IF(Capacity!N98="","",Capacity!N98)</f>
        <v/>
      </c>
      <c r="C105" s="130" t="str">
        <f t="shared" si="1"/>
        <v/>
      </c>
      <c r="D105" s="130" t="str">
        <f>IF(B105="","",Capacity!R98)</f>
        <v/>
      </c>
      <c r="F105" s="45"/>
      <c r="G105" s="45"/>
      <c r="H105" s="45"/>
      <c r="I105" s="45"/>
      <c r="J105" s="45"/>
      <c r="K105" s="45"/>
      <c r="L105" s="45"/>
      <c r="M105" s="45"/>
      <c r="N105" s="45"/>
      <c r="O105" s="45"/>
      <c r="P105" s="45"/>
      <c r="Q105" s="45"/>
      <c r="R105" s="45"/>
      <c r="S105" s="45"/>
      <c r="T105" s="45"/>
      <c r="U105" s="45"/>
      <c r="V105" s="45"/>
      <c r="W105" s="45"/>
      <c r="X105" s="45"/>
      <c r="Y105" s="45"/>
      <c r="Z105" s="45"/>
      <c r="AA105" s="45"/>
      <c r="AB105" s="45"/>
      <c r="AC105" s="45"/>
      <c r="AD105" s="45"/>
      <c r="AE105" s="45"/>
      <c r="AF105" s="45"/>
      <c r="AG105" s="45"/>
      <c r="AH105" s="45"/>
      <c r="AI105" s="45"/>
      <c r="AJ105" s="45"/>
      <c r="AK105" s="45"/>
      <c r="AL105" s="45"/>
      <c r="AM105" s="45"/>
      <c r="AN105" s="45"/>
      <c r="AO105" s="45"/>
      <c r="AP105" s="45"/>
      <c r="AQ105" s="45"/>
      <c r="AR105" s="45"/>
      <c r="AS105" s="45"/>
      <c r="AT105" s="45"/>
      <c r="AU105" s="45"/>
      <c r="AV105" s="45"/>
      <c r="AW105" s="45"/>
      <c r="AX105" s="45"/>
      <c r="AY105" s="45"/>
      <c r="AZ105" s="45"/>
      <c r="BA105" s="45"/>
      <c r="BB105" s="45"/>
      <c r="BC105" s="45"/>
      <c r="BD105" s="45"/>
      <c r="BE105" s="45"/>
    </row>
    <row r="106" spans="2:57" x14ac:dyDescent="0.25">
      <c r="B106" s="126" t="str">
        <f>IF(Capacity!N99="","",Capacity!N99)</f>
        <v/>
      </c>
      <c r="C106" s="130" t="str">
        <f t="shared" si="1"/>
        <v/>
      </c>
      <c r="D106" s="130" t="str">
        <f>IF(B106="","",Capacity!R99)</f>
        <v/>
      </c>
      <c r="F106" s="45"/>
      <c r="G106" s="45"/>
      <c r="H106" s="45"/>
      <c r="I106" s="45"/>
      <c r="J106" s="45"/>
      <c r="K106" s="45"/>
      <c r="L106" s="45"/>
      <c r="M106" s="45"/>
      <c r="N106" s="45"/>
      <c r="O106" s="45"/>
      <c r="P106" s="45"/>
      <c r="Q106" s="45"/>
      <c r="R106" s="45"/>
      <c r="S106" s="45"/>
      <c r="T106" s="45"/>
      <c r="U106" s="45"/>
      <c r="V106" s="45"/>
      <c r="W106" s="45"/>
      <c r="X106" s="45"/>
      <c r="Y106" s="45"/>
      <c r="Z106" s="45"/>
      <c r="AA106" s="45"/>
      <c r="AB106" s="45"/>
      <c r="AC106" s="45"/>
      <c r="AD106" s="45"/>
      <c r="AE106" s="45"/>
      <c r="AF106" s="45"/>
      <c r="AG106" s="45"/>
      <c r="AH106" s="45"/>
      <c r="AI106" s="45"/>
      <c r="AJ106" s="45"/>
      <c r="AK106" s="45"/>
      <c r="AL106" s="45"/>
      <c r="AM106" s="45"/>
      <c r="AN106" s="45"/>
      <c r="AO106" s="45"/>
      <c r="AP106" s="45"/>
      <c r="AQ106" s="45"/>
      <c r="AR106" s="45"/>
      <c r="AS106" s="45"/>
      <c r="AT106" s="45"/>
      <c r="AU106" s="45"/>
      <c r="AV106" s="45"/>
      <c r="AW106" s="45"/>
      <c r="AX106" s="45"/>
      <c r="AY106" s="45"/>
      <c r="AZ106" s="45"/>
      <c r="BA106" s="45"/>
      <c r="BB106" s="45"/>
      <c r="BC106" s="45"/>
      <c r="BD106" s="45"/>
      <c r="BE106" s="45"/>
    </row>
    <row r="107" spans="2:57" x14ac:dyDescent="0.25">
      <c r="B107" s="126" t="str">
        <f>IF(Capacity!N100="","",Capacity!N100)</f>
        <v/>
      </c>
      <c r="C107" s="130" t="str">
        <f t="shared" si="1"/>
        <v/>
      </c>
      <c r="D107" s="130" t="str">
        <f>IF(B107="","",Capacity!R100)</f>
        <v/>
      </c>
      <c r="F107" s="45"/>
      <c r="G107" s="45"/>
      <c r="H107" s="45"/>
      <c r="I107" s="45"/>
      <c r="J107" s="45"/>
      <c r="K107" s="45"/>
      <c r="L107" s="45"/>
      <c r="M107" s="45"/>
      <c r="N107" s="45"/>
      <c r="O107" s="45"/>
      <c r="P107" s="45"/>
      <c r="Q107" s="45"/>
      <c r="R107" s="45"/>
      <c r="S107" s="45"/>
      <c r="T107" s="45"/>
      <c r="U107" s="45"/>
      <c r="V107" s="45"/>
      <c r="W107" s="45"/>
      <c r="X107" s="45"/>
      <c r="Y107" s="45"/>
      <c r="Z107" s="45"/>
      <c r="AA107" s="45"/>
      <c r="AB107" s="45"/>
      <c r="AC107" s="45"/>
      <c r="AD107" s="45"/>
      <c r="AE107" s="45"/>
      <c r="AF107" s="45"/>
      <c r="AG107" s="45"/>
      <c r="AH107" s="45"/>
      <c r="AI107" s="45"/>
      <c r="AJ107" s="45"/>
      <c r="AK107" s="45"/>
      <c r="AL107" s="45"/>
      <c r="AM107" s="45"/>
      <c r="AN107" s="45"/>
      <c r="AO107" s="45"/>
      <c r="AP107" s="45"/>
      <c r="AQ107" s="45"/>
      <c r="AR107" s="45"/>
      <c r="AS107" s="45"/>
      <c r="AT107" s="45"/>
      <c r="AU107" s="45"/>
      <c r="AV107" s="45"/>
      <c r="AW107" s="45"/>
      <c r="AX107" s="45"/>
      <c r="AY107" s="45"/>
      <c r="AZ107" s="45"/>
      <c r="BA107" s="45"/>
      <c r="BB107" s="45"/>
      <c r="BC107" s="45"/>
      <c r="BD107" s="45"/>
      <c r="BE107" s="45"/>
    </row>
    <row r="108" spans="2:57" x14ac:dyDescent="0.25">
      <c r="B108" s="126" t="str">
        <f>IF(Capacity!N101="","",Capacity!N101)</f>
        <v/>
      </c>
      <c r="C108" s="130" t="str">
        <f t="shared" si="1"/>
        <v/>
      </c>
      <c r="D108" s="130" t="str">
        <f>IF(B108="","",Capacity!R101)</f>
        <v/>
      </c>
      <c r="F108" s="45"/>
      <c r="G108" s="45"/>
      <c r="H108" s="45"/>
      <c r="I108" s="45"/>
      <c r="J108" s="45"/>
      <c r="K108" s="45"/>
      <c r="L108" s="45"/>
      <c r="M108" s="45"/>
      <c r="N108" s="45"/>
      <c r="O108" s="45"/>
      <c r="P108" s="45"/>
      <c r="Q108" s="45"/>
      <c r="R108" s="45"/>
      <c r="S108" s="45"/>
      <c r="T108" s="45"/>
      <c r="U108" s="45"/>
      <c r="V108" s="45"/>
      <c r="W108" s="45"/>
      <c r="X108" s="45"/>
      <c r="Y108" s="45"/>
      <c r="Z108" s="45"/>
      <c r="AA108" s="45"/>
      <c r="AB108" s="45"/>
      <c r="AC108" s="45"/>
      <c r="AD108" s="45"/>
      <c r="AE108" s="45"/>
      <c r="AF108" s="45"/>
      <c r="AG108" s="45"/>
      <c r="AH108" s="45"/>
      <c r="AI108" s="45"/>
      <c r="AJ108" s="45"/>
      <c r="AK108" s="45"/>
      <c r="AL108" s="45"/>
      <c r="AM108" s="45"/>
      <c r="AN108" s="45"/>
      <c r="AO108" s="45"/>
      <c r="AP108" s="45"/>
      <c r="AQ108" s="45"/>
      <c r="AR108" s="45"/>
      <c r="AS108" s="45"/>
      <c r="AT108" s="45"/>
      <c r="AU108" s="45"/>
      <c r="AV108" s="45"/>
      <c r="AW108" s="45"/>
      <c r="AX108" s="45"/>
      <c r="AY108" s="45"/>
      <c r="AZ108" s="45"/>
      <c r="BA108" s="45"/>
      <c r="BB108" s="45"/>
      <c r="BC108" s="45"/>
      <c r="BD108" s="45"/>
      <c r="BE108" s="45"/>
    </row>
    <row r="109" spans="2:57" x14ac:dyDescent="0.25">
      <c r="B109" s="126" t="str">
        <f>IF(Capacity!N102="","",Capacity!N102)</f>
        <v/>
      </c>
      <c r="C109" s="130" t="str">
        <f t="shared" si="1"/>
        <v/>
      </c>
      <c r="D109" s="130" t="str">
        <f>IF(B109="","",Capacity!R102)</f>
        <v/>
      </c>
      <c r="F109" s="45"/>
      <c r="G109" s="45"/>
      <c r="H109" s="45"/>
      <c r="I109" s="45"/>
      <c r="J109" s="45"/>
      <c r="K109" s="45"/>
      <c r="L109" s="45"/>
      <c r="M109" s="45"/>
      <c r="N109" s="45"/>
      <c r="O109" s="45"/>
      <c r="P109" s="45"/>
      <c r="Q109" s="45"/>
      <c r="R109" s="45"/>
      <c r="S109" s="45"/>
      <c r="T109" s="45"/>
      <c r="U109" s="45"/>
      <c r="V109" s="45"/>
      <c r="W109" s="45"/>
      <c r="X109" s="45"/>
      <c r="Y109" s="45"/>
      <c r="Z109" s="45"/>
      <c r="AA109" s="45"/>
      <c r="AB109" s="45"/>
      <c r="AC109" s="45"/>
      <c r="AD109" s="45"/>
      <c r="AE109" s="45"/>
      <c r="AF109" s="45"/>
      <c r="AG109" s="45"/>
      <c r="AH109" s="45"/>
      <c r="AI109" s="45"/>
      <c r="AJ109" s="45"/>
      <c r="AK109" s="45"/>
      <c r="AL109" s="45"/>
      <c r="AM109" s="45"/>
      <c r="AN109" s="45"/>
      <c r="AO109" s="45"/>
      <c r="AP109" s="45"/>
      <c r="AQ109" s="45"/>
      <c r="AR109" s="45"/>
      <c r="AS109" s="45"/>
      <c r="AT109" s="45"/>
      <c r="AU109" s="45"/>
      <c r="AV109" s="45"/>
      <c r="AW109" s="45"/>
      <c r="AX109" s="45"/>
      <c r="AY109" s="45"/>
      <c r="AZ109" s="45"/>
      <c r="BA109" s="45"/>
      <c r="BB109" s="45"/>
      <c r="BC109" s="45"/>
      <c r="BD109" s="45"/>
      <c r="BE109" s="45"/>
    </row>
    <row r="110" spans="2:57" x14ac:dyDescent="0.25">
      <c r="B110" s="126" t="str">
        <f>IF(Capacity!N103="","",Capacity!N103)</f>
        <v/>
      </c>
      <c r="C110" s="130" t="str">
        <f t="shared" si="1"/>
        <v/>
      </c>
      <c r="D110" s="130" t="str">
        <f>IF(B110="","",Capacity!R103)</f>
        <v/>
      </c>
      <c r="F110" s="45"/>
      <c r="G110" s="45"/>
      <c r="H110" s="45"/>
      <c r="I110" s="45"/>
      <c r="J110" s="45"/>
      <c r="K110" s="45"/>
      <c r="L110" s="45"/>
      <c r="M110" s="45"/>
      <c r="N110" s="45"/>
      <c r="O110" s="45"/>
      <c r="P110" s="45"/>
      <c r="Q110" s="45"/>
      <c r="R110" s="45"/>
      <c r="S110" s="45"/>
      <c r="T110" s="45"/>
      <c r="U110" s="45"/>
      <c r="V110" s="45"/>
      <c r="W110" s="45"/>
      <c r="X110" s="45"/>
      <c r="Y110" s="45"/>
      <c r="Z110" s="45"/>
      <c r="AA110" s="45"/>
      <c r="AB110" s="45"/>
      <c r="AC110" s="45"/>
      <c r="AD110" s="45"/>
      <c r="AE110" s="45"/>
      <c r="AF110" s="45"/>
      <c r="AG110" s="45"/>
      <c r="AH110" s="45"/>
      <c r="AI110" s="45"/>
      <c r="AJ110" s="45"/>
      <c r="AK110" s="45"/>
      <c r="AL110" s="45"/>
      <c r="AM110" s="45"/>
      <c r="AN110" s="45"/>
      <c r="AO110" s="45"/>
      <c r="AP110" s="45"/>
      <c r="AQ110" s="45"/>
      <c r="AR110" s="45"/>
      <c r="AS110" s="45"/>
      <c r="AT110" s="45"/>
      <c r="AU110" s="45"/>
      <c r="AV110" s="45"/>
      <c r="AW110" s="45"/>
      <c r="AX110" s="45"/>
      <c r="AY110" s="45"/>
      <c r="AZ110" s="45"/>
      <c r="BA110" s="45"/>
      <c r="BB110" s="45"/>
      <c r="BC110" s="45"/>
      <c r="BD110" s="45"/>
      <c r="BE110" s="45"/>
    </row>
    <row r="111" spans="2:57" x14ac:dyDescent="0.25">
      <c r="B111" s="126" t="str">
        <f>IF(Capacity!N104="","",Capacity!N104)</f>
        <v/>
      </c>
      <c r="C111" s="130" t="str">
        <f t="shared" si="1"/>
        <v/>
      </c>
      <c r="D111" s="130" t="str">
        <f>IF(B111="","",Capacity!R104)</f>
        <v/>
      </c>
      <c r="F111" s="45"/>
      <c r="G111" s="45"/>
      <c r="H111" s="45"/>
      <c r="I111" s="45"/>
      <c r="J111" s="45"/>
      <c r="K111" s="45"/>
      <c r="L111" s="45"/>
      <c r="M111" s="45"/>
      <c r="N111" s="45"/>
      <c r="O111" s="45"/>
      <c r="P111" s="45"/>
      <c r="Q111" s="45"/>
      <c r="R111" s="45"/>
      <c r="S111" s="45"/>
      <c r="T111" s="45"/>
      <c r="U111" s="45"/>
      <c r="V111" s="45"/>
      <c r="W111" s="45"/>
      <c r="X111" s="45"/>
      <c r="Y111" s="45"/>
      <c r="Z111" s="45"/>
      <c r="AA111" s="45"/>
      <c r="AB111" s="45"/>
      <c r="AC111" s="45"/>
      <c r="AD111" s="45"/>
      <c r="AE111" s="45"/>
      <c r="AF111" s="45"/>
      <c r="AG111" s="45"/>
      <c r="AH111" s="45"/>
      <c r="AI111" s="45"/>
      <c r="AJ111" s="45"/>
      <c r="AK111" s="45"/>
      <c r="AL111" s="45"/>
      <c r="AM111" s="45"/>
      <c r="AN111" s="45"/>
      <c r="AO111" s="45"/>
      <c r="AP111" s="45"/>
      <c r="AQ111" s="45"/>
      <c r="AR111" s="45"/>
      <c r="AS111" s="45"/>
      <c r="AT111" s="45"/>
      <c r="AU111" s="45"/>
      <c r="AV111" s="45"/>
      <c r="AW111" s="45"/>
      <c r="AX111" s="45"/>
      <c r="AY111" s="45"/>
      <c r="AZ111" s="45"/>
      <c r="BA111" s="45"/>
      <c r="BB111" s="45"/>
      <c r="BC111" s="45"/>
      <c r="BD111" s="45"/>
      <c r="BE111" s="45"/>
    </row>
    <row r="112" spans="2:57" x14ac:dyDescent="0.25">
      <c r="B112" s="126" t="str">
        <f>IF(Capacity!N105="","",Capacity!N105)</f>
        <v/>
      </c>
      <c r="C112" s="130" t="str">
        <f t="shared" si="1"/>
        <v/>
      </c>
      <c r="D112" s="130" t="str">
        <f>IF(B112="","",Capacity!R105)</f>
        <v/>
      </c>
      <c r="F112" s="45"/>
      <c r="G112" s="45"/>
      <c r="H112" s="45"/>
      <c r="I112" s="45"/>
      <c r="J112" s="45"/>
      <c r="K112" s="45"/>
      <c r="L112" s="45"/>
      <c r="M112" s="45"/>
      <c r="N112" s="45"/>
      <c r="O112" s="45"/>
      <c r="P112" s="45"/>
      <c r="Q112" s="45"/>
      <c r="R112" s="45"/>
      <c r="S112" s="45"/>
      <c r="T112" s="45"/>
      <c r="U112" s="45"/>
      <c r="V112" s="45"/>
      <c r="W112" s="45"/>
      <c r="X112" s="45"/>
      <c r="Y112" s="45"/>
      <c r="Z112" s="45"/>
      <c r="AA112" s="45"/>
      <c r="AB112" s="45"/>
      <c r="AC112" s="45"/>
      <c r="AD112" s="45"/>
      <c r="AE112" s="45"/>
      <c r="AF112" s="45"/>
      <c r="AG112" s="45"/>
      <c r="AH112" s="45"/>
      <c r="AI112" s="45"/>
      <c r="AJ112" s="45"/>
      <c r="AK112" s="45"/>
      <c r="AL112" s="45"/>
      <c r="AM112" s="45"/>
      <c r="AN112" s="45"/>
      <c r="AO112" s="45"/>
      <c r="AP112" s="45"/>
      <c r="AQ112" s="45"/>
      <c r="AR112" s="45"/>
      <c r="AS112" s="45"/>
      <c r="AT112" s="45"/>
      <c r="AU112" s="45"/>
      <c r="AV112" s="45"/>
      <c r="AW112" s="45"/>
      <c r="AX112" s="45"/>
      <c r="AY112" s="45"/>
      <c r="AZ112" s="45"/>
      <c r="BA112" s="45"/>
      <c r="BB112" s="45"/>
      <c r="BC112" s="45"/>
      <c r="BD112" s="45"/>
      <c r="BE112" s="45"/>
    </row>
    <row r="113" spans="2:57" x14ac:dyDescent="0.25">
      <c r="B113" s="126" t="str">
        <f>IF(Capacity!N106="","",Capacity!N106)</f>
        <v/>
      </c>
      <c r="C113" s="130" t="str">
        <f t="shared" si="1"/>
        <v/>
      </c>
      <c r="D113" s="130" t="str">
        <f>IF(B113="","",Capacity!R106)</f>
        <v/>
      </c>
      <c r="F113" s="45"/>
      <c r="G113" s="45"/>
      <c r="H113" s="45"/>
      <c r="I113" s="45"/>
      <c r="J113" s="45"/>
      <c r="K113" s="45"/>
      <c r="L113" s="45"/>
      <c r="M113" s="45"/>
      <c r="N113" s="45"/>
      <c r="O113" s="45"/>
      <c r="P113" s="45"/>
      <c r="Q113" s="45"/>
      <c r="R113" s="45"/>
      <c r="S113" s="45"/>
      <c r="T113" s="45"/>
      <c r="U113" s="45"/>
      <c r="V113" s="45"/>
      <c r="W113" s="45"/>
      <c r="X113" s="45"/>
      <c r="Y113" s="45"/>
      <c r="Z113" s="45"/>
      <c r="AA113" s="45"/>
      <c r="AB113" s="45"/>
      <c r="AC113" s="45"/>
      <c r="AD113" s="45"/>
      <c r="AE113" s="45"/>
      <c r="AF113" s="45"/>
      <c r="AG113" s="45"/>
      <c r="AH113" s="45"/>
      <c r="AI113" s="45"/>
      <c r="AJ113" s="45"/>
      <c r="AK113" s="45"/>
      <c r="AL113" s="45"/>
      <c r="AM113" s="45"/>
      <c r="AN113" s="45"/>
      <c r="AO113" s="45"/>
      <c r="AP113" s="45"/>
      <c r="AQ113" s="45"/>
      <c r="AR113" s="45"/>
      <c r="AS113" s="45"/>
      <c r="AT113" s="45"/>
      <c r="AU113" s="45"/>
      <c r="AV113" s="45"/>
      <c r="AW113" s="45"/>
      <c r="AX113" s="45"/>
      <c r="AY113" s="45"/>
      <c r="AZ113" s="45"/>
      <c r="BA113" s="45"/>
      <c r="BB113" s="45"/>
      <c r="BC113" s="45"/>
      <c r="BD113" s="45"/>
      <c r="BE113" s="45"/>
    </row>
    <row r="114" spans="2:57" x14ac:dyDescent="0.25">
      <c r="B114" s="126" t="str">
        <f>IF(Capacity!N107="","",Capacity!N107)</f>
        <v/>
      </c>
      <c r="C114" s="130" t="str">
        <f t="shared" si="1"/>
        <v/>
      </c>
      <c r="D114" s="130" t="str">
        <f>IF(B114="","",Capacity!R107)</f>
        <v/>
      </c>
      <c r="F114" s="45"/>
      <c r="G114" s="45"/>
      <c r="H114" s="45"/>
      <c r="I114" s="45"/>
      <c r="J114" s="45"/>
      <c r="K114" s="45"/>
      <c r="L114" s="45"/>
      <c r="M114" s="45"/>
      <c r="N114" s="45"/>
      <c r="O114" s="45"/>
      <c r="P114" s="45"/>
      <c r="Q114" s="45"/>
      <c r="R114" s="45"/>
      <c r="S114" s="45"/>
      <c r="T114" s="45"/>
      <c r="U114" s="45"/>
      <c r="V114" s="45"/>
      <c r="W114" s="45"/>
      <c r="X114" s="45"/>
      <c r="Y114" s="45"/>
      <c r="Z114" s="45"/>
      <c r="AA114" s="45"/>
      <c r="AB114" s="45"/>
      <c r="AC114" s="45"/>
      <c r="AD114" s="45"/>
      <c r="AE114" s="45"/>
      <c r="AF114" s="45"/>
      <c r="AG114" s="45"/>
      <c r="AH114" s="45"/>
      <c r="AI114" s="45"/>
      <c r="AJ114" s="45"/>
      <c r="AK114" s="45"/>
      <c r="AL114" s="45"/>
      <c r="AM114" s="45"/>
      <c r="AN114" s="45"/>
      <c r="AO114" s="45"/>
      <c r="AP114" s="45"/>
      <c r="AQ114" s="45"/>
      <c r="AR114" s="45"/>
      <c r="AS114" s="45"/>
      <c r="AT114" s="45"/>
      <c r="AU114" s="45"/>
      <c r="AV114" s="45"/>
      <c r="AW114" s="45"/>
      <c r="AX114" s="45"/>
      <c r="AY114" s="45"/>
      <c r="AZ114" s="45"/>
      <c r="BA114" s="45"/>
      <c r="BB114" s="45"/>
      <c r="BC114" s="45"/>
      <c r="BD114" s="45"/>
      <c r="BE114" s="45"/>
    </row>
    <row r="115" spans="2:57" x14ac:dyDescent="0.25">
      <c r="B115" s="126" t="str">
        <f>IF(Capacity!N108="","",Capacity!N108)</f>
        <v/>
      </c>
      <c r="C115" s="130" t="str">
        <f t="shared" si="1"/>
        <v/>
      </c>
      <c r="D115" s="130" t="str">
        <f>IF(B115="","",Capacity!R108)</f>
        <v/>
      </c>
      <c r="F115" s="45"/>
      <c r="G115" s="45"/>
      <c r="H115" s="45"/>
      <c r="I115" s="45"/>
      <c r="J115" s="45"/>
      <c r="K115" s="45"/>
      <c r="L115" s="45"/>
      <c r="M115" s="45"/>
      <c r="N115" s="45"/>
      <c r="O115" s="45"/>
      <c r="P115" s="45"/>
      <c r="Q115" s="45"/>
      <c r="R115" s="45"/>
      <c r="S115" s="45"/>
      <c r="T115" s="45"/>
      <c r="U115" s="45"/>
      <c r="V115" s="45"/>
      <c r="W115" s="45"/>
      <c r="X115" s="45"/>
      <c r="Y115" s="45"/>
      <c r="Z115" s="45"/>
      <c r="AA115" s="45"/>
      <c r="AB115" s="45"/>
      <c r="AC115" s="45"/>
      <c r="AD115" s="45"/>
      <c r="AE115" s="45"/>
      <c r="AF115" s="45"/>
      <c r="AG115" s="45"/>
      <c r="AH115" s="45"/>
      <c r="AI115" s="45"/>
      <c r="AJ115" s="45"/>
      <c r="AK115" s="45"/>
      <c r="AL115" s="45"/>
      <c r="AM115" s="45"/>
      <c r="AN115" s="45"/>
      <c r="AO115" s="45"/>
      <c r="AP115" s="45"/>
      <c r="AQ115" s="45"/>
      <c r="AR115" s="45"/>
      <c r="AS115" s="45"/>
      <c r="AT115" s="45"/>
      <c r="AU115" s="45"/>
      <c r="AV115" s="45"/>
      <c r="AW115" s="45"/>
      <c r="AX115" s="45"/>
      <c r="AY115" s="45"/>
      <c r="AZ115" s="45"/>
      <c r="BA115" s="45"/>
      <c r="BB115" s="45"/>
      <c r="BC115" s="45"/>
      <c r="BD115" s="45"/>
      <c r="BE115" s="45"/>
    </row>
    <row r="116" spans="2:57" x14ac:dyDescent="0.25">
      <c r="B116" s="126" t="str">
        <f>IF(Capacity!N109="","",Capacity!N109)</f>
        <v/>
      </c>
      <c r="C116" s="130" t="str">
        <f t="shared" si="1"/>
        <v/>
      </c>
      <c r="D116" s="130" t="str">
        <f>IF(B116="","",Capacity!R109)</f>
        <v/>
      </c>
      <c r="F116" s="45"/>
      <c r="G116" s="45"/>
      <c r="H116" s="45"/>
      <c r="I116" s="45"/>
      <c r="J116" s="45"/>
      <c r="K116" s="45"/>
      <c r="L116" s="45"/>
      <c r="M116" s="45"/>
      <c r="N116" s="45"/>
      <c r="O116" s="45"/>
      <c r="P116" s="45"/>
      <c r="Q116" s="45"/>
      <c r="R116" s="45"/>
      <c r="S116" s="45"/>
      <c r="T116" s="45"/>
      <c r="U116" s="45"/>
      <c r="V116" s="45"/>
      <c r="W116" s="45"/>
      <c r="X116" s="45"/>
      <c r="Y116" s="45"/>
      <c r="Z116" s="45"/>
      <c r="AA116" s="45"/>
      <c r="AB116" s="45"/>
      <c r="AC116" s="45"/>
      <c r="AD116" s="45"/>
      <c r="AE116" s="45"/>
      <c r="AF116" s="45"/>
      <c r="AG116" s="45"/>
      <c r="AH116" s="45"/>
      <c r="AI116" s="45"/>
      <c r="AJ116" s="45"/>
      <c r="AK116" s="45"/>
      <c r="AL116" s="45"/>
      <c r="AM116" s="45"/>
      <c r="AN116" s="45"/>
      <c r="AO116" s="45"/>
      <c r="AP116" s="45"/>
      <c r="AQ116" s="45"/>
      <c r="AR116" s="45"/>
      <c r="AS116" s="45"/>
      <c r="AT116" s="45"/>
      <c r="AU116" s="45"/>
      <c r="AV116" s="45"/>
      <c r="AW116" s="45"/>
      <c r="AX116" s="45"/>
      <c r="AY116" s="45"/>
      <c r="AZ116" s="45"/>
      <c r="BA116" s="45"/>
      <c r="BB116" s="45"/>
      <c r="BC116" s="45"/>
      <c r="BD116" s="45"/>
      <c r="BE116" s="45"/>
    </row>
    <row r="117" spans="2:57" x14ac:dyDescent="0.25">
      <c r="B117" s="126" t="str">
        <f>IF(Capacity!N110="","",Capacity!N110)</f>
        <v/>
      </c>
      <c r="C117" s="130" t="str">
        <f t="shared" si="1"/>
        <v/>
      </c>
      <c r="D117" s="130" t="str">
        <f>IF(B117="","",Capacity!R110)</f>
        <v/>
      </c>
      <c r="F117" s="45"/>
      <c r="G117" s="45"/>
      <c r="H117" s="45"/>
      <c r="I117" s="45"/>
      <c r="J117" s="45"/>
      <c r="K117" s="45"/>
      <c r="L117" s="45"/>
      <c r="M117" s="45"/>
      <c r="N117" s="45"/>
      <c r="O117" s="45"/>
      <c r="P117" s="45"/>
      <c r="Q117" s="45"/>
      <c r="R117" s="45"/>
      <c r="S117" s="45"/>
      <c r="T117" s="45"/>
      <c r="U117" s="45"/>
      <c r="V117" s="45"/>
      <c r="W117" s="45"/>
      <c r="X117" s="45"/>
      <c r="Y117" s="45"/>
      <c r="Z117" s="45"/>
      <c r="AA117" s="45"/>
      <c r="AB117" s="45"/>
      <c r="AC117" s="45"/>
      <c r="AD117" s="45"/>
      <c r="AE117" s="45"/>
      <c r="AF117" s="45"/>
      <c r="AG117" s="45"/>
      <c r="AH117" s="45"/>
      <c r="AI117" s="45"/>
      <c r="AJ117" s="45"/>
      <c r="AK117" s="45"/>
      <c r="AL117" s="45"/>
      <c r="AM117" s="45"/>
      <c r="AN117" s="45"/>
      <c r="AO117" s="45"/>
      <c r="AP117" s="45"/>
      <c r="AQ117" s="45"/>
      <c r="AR117" s="45"/>
      <c r="AS117" s="45"/>
      <c r="AT117" s="45"/>
      <c r="AU117" s="45"/>
      <c r="AV117" s="45"/>
      <c r="AW117" s="45"/>
      <c r="AX117" s="45"/>
      <c r="AY117" s="45"/>
      <c r="AZ117" s="45"/>
      <c r="BA117" s="45"/>
      <c r="BB117" s="45"/>
      <c r="BC117" s="45"/>
      <c r="BD117" s="45"/>
      <c r="BE117" s="45"/>
    </row>
    <row r="118" spans="2:57" x14ac:dyDescent="0.25">
      <c r="B118" s="126" t="str">
        <f>IF(Capacity!N111="","",Capacity!N111)</f>
        <v/>
      </c>
      <c r="C118" s="130" t="str">
        <f t="shared" si="1"/>
        <v/>
      </c>
      <c r="D118" s="130" t="str">
        <f>IF(B118="","",Capacity!R111)</f>
        <v/>
      </c>
      <c r="F118" s="45"/>
      <c r="G118" s="45"/>
      <c r="H118" s="45"/>
      <c r="I118" s="45"/>
      <c r="J118" s="45"/>
      <c r="K118" s="45"/>
      <c r="L118" s="45"/>
      <c r="M118" s="45"/>
      <c r="N118" s="45"/>
      <c r="O118" s="45"/>
      <c r="P118" s="45"/>
      <c r="Q118" s="45"/>
      <c r="R118" s="45"/>
      <c r="S118" s="45"/>
      <c r="T118" s="45"/>
      <c r="U118" s="45"/>
      <c r="V118" s="45"/>
      <c r="W118" s="45"/>
      <c r="X118" s="45"/>
      <c r="Y118" s="45"/>
      <c r="Z118" s="45"/>
      <c r="AA118" s="45"/>
      <c r="AB118" s="45"/>
      <c r="AC118" s="45"/>
      <c r="AD118" s="45"/>
      <c r="AE118" s="45"/>
      <c r="AF118" s="45"/>
      <c r="AG118" s="45"/>
      <c r="AH118" s="45"/>
      <c r="AI118" s="45"/>
      <c r="AJ118" s="45"/>
      <c r="AK118" s="45"/>
      <c r="AL118" s="45"/>
      <c r="AM118" s="45"/>
      <c r="AN118" s="45"/>
      <c r="AO118" s="45"/>
      <c r="AP118" s="45"/>
      <c r="AQ118" s="45"/>
      <c r="AR118" s="45"/>
      <c r="AS118" s="45"/>
      <c r="AT118" s="45"/>
      <c r="AU118" s="45"/>
      <c r="AV118" s="45"/>
      <c r="AW118" s="45"/>
      <c r="AX118" s="45"/>
      <c r="AY118" s="45"/>
      <c r="AZ118" s="45"/>
      <c r="BA118" s="45"/>
      <c r="BB118" s="45"/>
      <c r="BC118" s="45"/>
      <c r="BD118" s="45"/>
      <c r="BE118" s="45"/>
    </row>
    <row r="119" spans="2:57" x14ac:dyDescent="0.25">
      <c r="B119" s="126" t="str">
        <f>IF(Capacity!N112="","",Capacity!N112)</f>
        <v/>
      </c>
      <c r="C119" s="130" t="str">
        <f t="shared" si="1"/>
        <v/>
      </c>
      <c r="D119" s="130" t="str">
        <f>IF(B119="","",Capacity!R112)</f>
        <v/>
      </c>
      <c r="F119" s="45"/>
      <c r="G119" s="45"/>
      <c r="H119" s="45"/>
      <c r="I119" s="45"/>
      <c r="J119" s="45"/>
      <c r="K119" s="45"/>
      <c r="L119" s="45"/>
      <c r="M119" s="45"/>
      <c r="N119" s="45"/>
      <c r="O119" s="45"/>
      <c r="P119" s="45"/>
      <c r="Q119" s="45"/>
      <c r="R119" s="45"/>
      <c r="S119" s="45"/>
      <c r="T119" s="45"/>
      <c r="U119" s="45"/>
      <c r="V119" s="45"/>
      <c r="W119" s="45"/>
      <c r="X119" s="45"/>
      <c r="Y119" s="45"/>
      <c r="Z119" s="45"/>
      <c r="AA119" s="45"/>
      <c r="AB119" s="45"/>
      <c r="AC119" s="45"/>
      <c r="AD119" s="45"/>
      <c r="AE119" s="45"/>
      <c r="AF119" s="45"/>
      <c r="AG119" s="45"/>
      <c r="AH119" s="45"/>
      <c r="AI119" s="45"/>
      <c r="AJ119" s="45"/>
      <c r="AK119" s="45"/>
      <c r="AL119" s="45"/>
      <c r="AM119" s="45"/>
      <c r="AN119" s="45"/>
      <c r="AO119" s="45"/>
      <c r="AP119" s="45"/>
      <c r="AQ119" s="45"/>
      <c r="AR119" s="45"/>
      <c r="AS119" s="45"/>
      <c r="AT119" s="45"/>
      <c r="AU119" s="45"/>
      <c r="AV119" s="45"/>
      <c r="AW119" s="45"/>
      <c r="AX119" s="45"/>
      <c r="AY119" s="45"/>
      <c r="AZ119" s="45"/>
      <c r="BA119" s="45"/>
      <c r="BB119" s="45"/>
      <c r="BC119" s="45"/>
      <c r="BD119" s="45"/>
      <c r="BE119" s="45"/>
    </row>
    <row r="120" spans="2:57" x14ac:dyDescent="0.25">
      <c r="B120" s="126" t="str">
        <f>IF(Capacity!N113="","",Capacity!N113)</f>
        <v/>
      </c>
      <c r="C120" s="130" t="str">
        <f t="shared" si="1"/>
        <v/>
      </c>
      <c r="D120" s="130" t="str">
        <f>IF(B120="","",Capacity!R113)</f>
        <v/>
      </c>
      <c r="F120" s="45"/>
      <c r="G120" s="45"/>
      <c r="H120" s="45"/>
      <c r="I120" s="45"/>
      <c r="J120" s="45"/>
      <c r="K120" s="45"/>
      <c r="L120" s="45"/>
      <c r="M120" s="45"/>
      <c r="N120" s="45"/>
      <c r="O120" s="45"/>
      <c r="P120" s="45"/>
      <c r="Q120" s="45"/>
      <c r="R120" s="45"/>
      <c r="S120" s="45"/>
      <c r="T120" s="45"/>
      <c r="U120" s="45"/>
      <c r="V120" s="45"/>
      <c r="W120" s="45"/>
      <c r="X120" s="45"/>
      <c r="Y120" s="45"/>
      <c r="Z120" s="45"/>
      <c r="AA120" s="45"/>
      <c r="AB120" s="45"/>
      <c r="AC120" s="45"/>
      <c r="AD120" s="45"/>
      <c r="AE120" s="45"/>
      <c r="AF120" s="45"/>
      <c r="AG120" s="45"/>
      <c r="AH120" s="45"/>
      <c r="AI120" s="45"/>
      <c r="AJ120" s="45"/>
      <c r="AK120" s="45"/>
      <c r="AL120" s="45"/>
      <c r="AM120" s="45"/>
      <c r="AN120" s="45"/>
      <c r="AO120" s="45"/>
      <c r="AP120" s="45"/>
      <c r="AQ120" s="45"/>
      <c r="AR120" s="45"/>
      <c r="AS120" s="45"/>
      <c r="AT120" s="45"/>
      <c r="AU120" s="45"/>
      <c r="AV120" s="45"/>
      <c r="AW120" s="45"/>
      <c r="AX120" s="45"/>
      <c r="AY120" s="45"/>
      <c r="AZ120" s="45"/>
      <c r="BA120" s="45"/>
      <c r="BB120" s="45"/>
      <c r="BC120" s="45"/>
      <c r="BD120" s="45"/>
      <c r="BE120" s="45"/>
    </row>
    <row r="121" spans="2:57" x14ac:dyDescent="0.25">
      <c r="B121" s="126" t="str">
        <f>IF(Capacity!N114="","",Capacity!N114)</f>
        <v/>
      </c>
      <c r="C121" s="130" t="str">
        <f t="shared" si="1"/>
        <v/>
      </c>
      <c r="D121" s="130" t="str">
        <f>IF(B121="","",Capacity!R114)</f>
        <v/>
      </c>
      <c r="F121" s="45"/>
      <c r="G121" s="45"/>
      <c r="H121" s="45"/>
      <c r="I121" s="45"/>
      <c r="J121" s="45"/>
      <c r="K121" s="45"/>
      <c r="L121" s="45"/>
      <c r="M121" s="45"/>
      <c r="N121" s="45"/>
      <c r="O121" s="45"/>
      <c r="P121" s="45"/>
      <c r="Q121" s="45"/>
      <c r="R121" s="45"/>
      <c r="S121" s="45"/>
      <c r="T121" s="45"/>
      <c r="U121" s="45"/>
      <c r="V121" s="45"/>
      <c r="W121" s="45"/>
      <c r="X121" s="45"/>
      <c r="Y121" s="45"/>
      <c r="Z121" s="45"/>
      <c r="AA121" s="45"/>
      <c r="AB121" s="45"/>
      <c r="AC121" s="45"/>
      <c r="AD121" s="45"/>
      <c r="AE121" s="45"/>
      <c r="AF121" s="45"/>
      <c r="AG121" s="45"/>
      <c r="AH121" s="45"/>
      <c r="AI121" s="45"/>
      <c r="AJ121" s="45"/>
      <c r="AK121" s="45"/>
      <c r="AL121" s="45"/>
      <c r="AM121" s="45"/>
      <c r="AN121" s="45"/>
      <c r="AO121" s="45"/>
      <c r="AP121" s="45"/>
      <c r="AQ121" s="45"/>
      <c r="AR121" s="45"/>
      <c r="AS121" s="45"/>
      <c r="AT121" s="45"/>
      <c r="AU121" s="45"/>
      <c r="AV121" s="45"/>
      <c r="AW121" s="45"/>
      <c r="AX121" s="45"/>
      <c r="AY121" s="45"/>
      <c r="AZ121" s="45"/>
      <c r="BA121" s="45"/>
      <c r="BB121" s="45"/>
      <c r="BC121" s="45"/>
      <c r="BD121" s="45"/>
      <c r="BE121" s="45"/>
    </row>
    <row r="122" spans="2:57" x14ac:dyDescent="0.25">
      <c r="B122" s="126" t="str">
        <f>IF(Capacity!N115="","",Capacity!N115)</f>
        <v/>
      </c>
      <c r="C122" s="130" t="str">
        <f t="shared" si="1"/>
        <v/>
      </c>
      <c r="D122" s="130" t="str">
        <f>IF(B122="","",Capacity!R115)</f>
        <v/>
      </c>
      <c r="F122" s="45"/>
      <c r="G122" s="45"/>
      <c r="H122" s="45"/>
      <c r="I122" s="45"/>
      <c r="J122" s="45"/>
      <c r="K122" s="45"/>
      <c r="L122" s="45"/>
      <c r="M122" s="45"/>
      <c r="N122" s="45"/>
      <c r="O122" s="45"/>
      <c r="P122" s="45"/>
      <c r="Q122" s="45"/>
      <c r="R122" s="45"/>
      <c r="S122" s="45"/>
      <c r="T122" s="45"/>
      <c r="U122" s="45"/>
      <c r="V122" s="45"/>
      <c r="W122" s="45"/>
      <c r="X122" s="45"/>
      <c r="Y122" s="45"/>
      <c r="Z122" s="45"/>
      <c r="AA122" s="45"/>
      <c r="AB122" s="45"/>
      <c r="AC122" s="45"/>
      <c r="AD122" s="45"/>
      <c r="AE122" s="45"/>
      <c r="AF122" s="45"/>
      <c r="AG122" s="45"/>
      <c r="AH122" s="45"/>
      <c r="AI122" s="45"/>
      <c r="AJ122" s="45"/>
      <c r="AK122" s="45"/>
      <c r="AL122" s="45"/>
      <c r="AM122" s="45"/>
      <c r="AN122" s="45"/>
      <c r="AO122" s="45"/>
      <c r="AP122" s="45"/>
      <c r="AQ122" s="45"/>
      <c r="AR122" s="45"/>
      <c r="AS122" s="45"/>
      <c r="AT122" s="45"/>
      <c r="AU122" s="45"/>
      <c r="AV122" s="45"/>
      <c r="AW122" s="45"/>
      <c r="AX122" s="45"/>
      <c r="AY122" s="45"/>
      <c r="AZ122" s="45"/>
      <c r="BA122" s="45"/>
      <c r="BB122" s="45"/>
      <c r="BC122" s="45"/>
      <c r="BD122" s="45"/>
      <c r="BE122" s="45"/>
    </row>
    <row r="123" spans="2:57" x14ac:dyDescent="0.25">
      <c r="B123" s="126" t="str">
        <f>IF(Capacity!N116="","",Capacity!N116)</f>
        <v/>
      </c>
      <c r="C123" s="130" t="str">
        <f t="shared" si="1"/>
        <v/>
      </c>
      <c r="D123" s="130" t="str">
        <f>IF(B123="","",Capacity!R116)</f>
        <v/>
      </c>
      <c r="F123" s="45"/>
      <c r="G123" s="45"/>
      <c r="H123" s="45"/>
      <c r="I123" s="45"/>
      <c r="J123" s="45"/>
      <c r="K123" s="45"/>
      <c r="L123" s="45"/>
      <c r="M123" s="45"/>
      <c r="N123" s="45"/>
      <c r="O123" s="45"/>
      <c r="P123" s="45"/>
      <c r="Q123" s="45"/>
      <c r="R123" s="45"/>
      <c r="S123" s="45"/>
      <c r="T123" s="45"/>
      <c r="U123" s="45"/>
      <c r="V123" s="45"/>
      <c r="W123" s="45"/>
      <c r="X123" s="45"/>
      <c r="Y123" s="45"/>
      <c r="Z123" s="45"/>
      <c r="AA123" s="45"/>
      <c r="AB123" s="45"/>
      <c r="AC123" s="45"/>
      <c r="AD123" s="45"/>
      <c r="AE123" s="45"/>
      <c r="AF123" s="45"/>
      <c r="AG123" s="45"/>
      <c r="AH123" s="45"/>
      <c r="AI123" s="45"/>
      <c r="AJ123" s="45"/>
      <c r="AK123" s="45"/>
      <c r="AL123" s="45"/>
      <c r="AM123" s="45"/>
      <c r="AN123" s="45"/>
      <c r="AO123" s="45"/>
      <c r="AP123" s="45"/>
      <c r="AQ123" s="45"/>
      <c r="AR123" s="45"/>
      <c r="AS123" s="45"/>
      <c r="AT123" s="45"/>
      <c r="AU123" s="45"/>
      <c r="AV123" s="45"/>
      <c r="AW123" s="45"/>
      <c r="AX123" s="45"/>
      <c r="AY123" s="45"/>
      <c r="AZ123" s="45"/>
      <c r="BA123" s="45"/>
      <c r="BB123" s="45"/>
      <c r="BC123" s="45"/>
      <c r="BD123" s="45"/>
      <c r="BE123" s="45"/>
    </row>
    <row r="126" spans="2:57" x14ac:dyDescent="0.25">
      <c r="B126" s="126"/>
    </row>
    <row r="135" hidden="1" x14ac:dyDescent="0.25"/>
    <row r="136" hidden="1" x14ac:dyDescent="0.25"/>
    <row r="137" hidden="1" x14ac:dyDescent="0.25"/>
    <row r="138" hidden="1" x14ac:dyDescent="0.25"/>
    <row r="139" hidden="1" x14ac:dyDescent="0.25"/>
    <row r="140" hidden="1" x14ac:dyDescent="0.25"/>
    <row r="141" hidden="1" x14ac:dyDescent="0.25"/>
    <row r="142" hidden="1" x14ac:dyDescent="0.25"/>
    <row r="143" hidden="1" x14ac:dyDescent="0.25"/>
    <row r="144" hidden="1" x14ac:dyDescent="0.25"/>
    <row r="145" hidden="1" x14ac:dyDescent="0.25"/>
    <row r="146" hidden="1" x14ac:dyDescent="0.25"/>
    <row r="147" hidden="1" x14ac:dyDescent="0.25"/>
    <row r="148" hidden="1" x14ac:dyDescent="0.25"/>
    <row r="149" hidden="1" x14ac:dyDescent="0.25"/>
    <row r="150" hidden="1" x14ac:dyDescent="0.25"/>
    <row r="151" hidden="1" x14ac:dyDescent="0.25"/>
    <row r="152" hidden="1" x14ac:dyDescent="0.25"/>
    <row r="153" hidden="1" x14ac:dyDescent="0.25"/>
    <row r="154" hidden="1" x14ac:dyDescent="0.25"/>
    <row r="155" hidden="1" x14ac:dyDescent="0.25"/>
    <row r="156" hidden="1" x14ac:dyDescent="0.25"/>
    <row r="157" hidden="1" x14ac:dyDescent="0.25"/>
    <row r="158" hidden="1" x14ac:dyDescent="0.25"/>
    <row r="159" hidden="1" x14ac:dyDescent="0.25"/>
    <row r="160" hidden="1" x14ac:dyDescent="0.25"/>
    <row r="161" hidden="1" x14ac:dyDescent="0.25"/>
    <row r="162" hidden="1" x14ac:dyDescent="0.25"/>
    <row r="163" hidden="1" x14ac:dyDescent="0.25"/>
    <row r="164" hidden="1" x14ac:dyDescent="0.25"/>
    <row r="165" hidden="1" x14ac:dyDescent="0.25"/>
    <row r="166" hidden="1" x14ac:dyDescent="0.25"/>
    <row r="167" hidden="1" x14ac:dyDescent="0.25"/>
    <row r="168" hidden="1" x14ac:dyDescent="0.25"/>
    <row r="169" hidden="1" x14ac:dyDescent="0.25"/>
    <row r="170" hidden="1" x14ac:dyDescent="0.25"/>
    <row r="171" hidden="1" x14ac:dyDescent="0.25"/>
    <row r="172" hidden="1" x14ac:dyDescent="0.25"/>
    <row r="173" hidden="1" x14ac:dyDescent="0.25"/>
    <row r="174" hidden="1" x14ac:dyDescent="0.25"/>
    <row r="175" hidden="1" x14ac:dyDescent="0.25"/>
    <row r="176" hidden="1" x14ac:dyDescent="0.25"/>
    <row r="177" hidden="1" x14ac:dyDescent="0.25"/>
    <row r="178" hidden="1" x14ac:dyDescent="0.25"/>
    <row r="179" hidden="1" x14ac:dyDescent="0.25"/>
    <row r="180" hidden="1" x14ac:dyDescent="0.25"/>
    <row r="181" hidden="1" x14ac:dyDescent="0.25"/>
    <row r="182" hidden="1" x14ac:dyDescent="0.25"/>
    <row r="183" hidden="1" x14ac:dyDescent="0.25"/>
    <row r="184" hidden="1" x14ac:dyDescent="0.25"/>
    <row r="185" hidden="1" x14ac:dyDescent="0.25"/>
    <row r="186" hidden="1" x14ac:dyDescent="0.25"/>
    <row r="187" hidden="1" x14ac:dyDescent="0.25"/>
    <row r="188" hidden="1" x14ac:dyDescent="0.25"/>
    <row r="189" hidden="1" x14ac:dyDescent="0.25"/>
    <row r="190" hidden="1" x14ac:dyDescent="0.25"/>
    <row r="191" hidden="1" x14ac:dyDescent="0.25"/>
    <row r="192" hidden="1" x14ac:dyDescent="0.25"/>
    <row r="193" hidden="1" x14ac:dyDescent="0.25"/>
    <row r="194" hidden="1" x14ac:dyDescent="0.25"/>
    <row r="195" hidden="1" x14ac:dyDescent="0.25"/>
    <row r="196" hidden="1" x14ac:dyDescent="0.25"/>
    <row r="197" hidden="1" x14ac:dyDescent="0.25"/>
    <row r="198" hidden="1" x14ac:dyDescent="0.25"/>
    <row r="199" hidden="1" x14ac:dyDescent="0.25"/>
    <row r="200" hidden="1" x14ac:dyDescent="0.25"/>
    <row r="201" hidden="1" x14ac:dyDescent="0.25"/>
    <row r="202" hidden="1" x14ac:dyDescent="0.25"/>
    <row r="203" hidden="1" x14ac:dyDescent="0.25"/>
    <row r="204" hidden="1" x14ac:dyDescent="0.25"/>
    <row r="205" hidden="1" x14ac:dyDescent="0.25"/>
    <row r="206" hidden="1" x14ac:dyDescent="0.25"/>
    <row r="207" hidden="1" x14ac:dyDescent="0.25"/>
    <row r="208" hidden="1" x14ac:dyDescent="0.25"/>
    <row r="209" hidden="1" x14ac:dyDescent="0.25"/>
    <row r="210" hidden="1" x14ac:dyDescent="0.25"/>
    <row r="211" hidden="1" x14ac:dyDescent="0.25"/>
    <row r="212" hidden="1" x14ac:dyDescent="0.25"/>
    <row r="213" hidden="1" x14ac:dyDescent="0.25"/>
    <row r="214" hidden="1" x14ac:dyDescent="0.25"/>
    <row r="215" hidden="1" x14ac:dyDescent="0.25"/>
    <row r="216" hidden="1" x14ac:dyDescent="0.25"/>
    <row r="217" hidden="1" x14ac:dyDescent="0.25"/>
    <row r="218" hidden="1" x14ac:dyDescent="0.25"/>
    <row r="219" hidden="1" x14ac:dyDescent="0.25"/>
    <row r="220" hidden="1" x14ac:dyDescent="0.25"/>
    <row r="221" hidden="1" x14ac:dyDescent="0.25"/>
    <row r="222" hidden="1" x14ac:dyDescent="0.25"/>
    <row r="223" hidden="1" x14ac:dyDescent="0.25"/>
    <row r="224" hidden="1" x14ac:dyDescent="0.25"/>
    <row r="225" hidden="1" x14ac:dyDescent="0.25"/>
    <row r="226" hidden="1" x14ac:dyDescent="0.25"/>
    <row r="227" hidden="1" x14ac:dyDescent="0.25"/>
    <row r="228" hidden="1" x14ac:dyDescent="0.25"/>
    <row r="229" hidden="1" x14ac:dyDescent="0.25"/>
    <row r="230" hidden="1" x14ac:dyDescent="0.25"/>
    <row r="231" hidden="1" x14ac:dyDescent="0.25"/>
    <row r="232" hidden="1" x14ac:dyDescent="0.25"/>
    <row r="233" hidden="1" x14ac:dyDescent="0.25"/>
    <row r="234" hidden="1" x14ac:dyDescent="0.25"/>
  </sheetData>
  <sheetProtection algorithmName="SHA-512" hashValue="5YrMxs2bV1eqljv828tarh6Veipi1BiEd1QOFnqpSKVREpyvzjLYgi0VfCmUQHAWwdSFs10wngo8masdaldwRg==" saltValue="FFTmlr8f899Qc+1eCb9rzw==" spinCount="100000" sheet="1" objects="1" scenarios="1"/>
  <mergeCells count="2">
    <mergeCell ref="B22:B24"/>
    <mergeCell ref="C22:D23"/>
  </mergeCells>
  <conditionalFormatting sqref="F25:BE123 B25:D123">
    <cfRule type="expression" dxfId="3" priority="4">
      <formula>IF($B25="",FALSE,TRUE)</formula>
    </cfRule>
  </conditionalFormatting>
  <conditionalFormatting sqref="C26:C123">
    <cfRule type="expression" dxfId="2" priority="3">
      <formula>IF($B26&lt;&gt;"",TRUE,FALSE)</formula>
    </cfRule>
  </conditionalFormatting>
  <conditionalFormatting sqref="B14:D18 B10:D10 B11:C12 D12:D13">
    <cfRule type="expression" dxfId="1" priority="2">
      <formula>IF($C$8="No",TRUE, FALSE)</formula>
    </cfRule>
  </conditionalFormatting>
  <conditionalFormatting sqref="C13">
    <cfRule type="expression" dxfId="0" priority="1">
      <formula>IF($C$8="No",TRUE, FALSE)</formula>
    </cfRule>
  </conditionalFormatting>
  <dataValidations count="4">
    <dataValidation type="date" allowBlank="1" showInputMessage="1" showErrorMessage="1" sqref="C6" xr:uid="{00000000-0002-0000-1A00-000000000000}">
      <formula1>36526</formula1>
      <formula2>55153</formula2>
    </dataValidation>
    <dataValidation type="list" allowBlank="1" showInputMessage="1" showErrorMessage="1" sqref="C8" xr:uid="{00000000-0002-0000-1A00-000001000000}">
      <formula1>"Yes, No"</formula1>
    </dataValidation>
    <dataValidation type="decimal" allowBlank="1" showInputMessage="1" showErrorMessage="1" sqref="C15:C18" xr:uid="{00000000-0002-0000-1A00-000002000000}">
      <formula1>0</formula1>
      <formula2>0.99</formula2>
    </dataValidation>
    <dataValidation type="decimal" allowBlank="1" showInputMessage="1" showErrorMessage="1" sqref="C11" xr:uid="{00000000-0002-0000-1A00-000003000000}">
      <formula1>-1</formula1>
      <formula2>10</formula2>
    </dataValidation>
  </dataValidations>
  <pageMargins left="0.7" right="0.7" top="0.75" bottom="0.75" header="0.3" footer="0.3"/>
  <pageSetup paperSize="9" orientation="portrait" verticalDpi="90" r:id="rId1"/>
  <drawing r:id="rId2"/>
  <legacyDrawing r:id="rId3"/>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1A00-000004000000}">
          <x14:formula1>
            <xm:f>'Control sheet (hide)'!$E$28:$E$29</xm:f>
          </x14:formula1>
          <xm:sqref>F25:BE45</xm:sqref>
        </x14:dataValidation>
        <x14:dataValidation type="list" allowBlank="1" showInputMessage="1" showErrorMessage="1" xr:uid="{00000000-0002-0000-1A00-000005000000}">
          <x14:formula1>
            <xm:f>'Control sheet (hide)'!$C$3:$C$4</xm:f>
          </x14:formula1>
          <xm:sqref>C20</xm:sqref>
        </x14:dataValidation>
        <x14:dataValidation type="list" allowBlank="1" showInputMessage="1" showErrorMessage="1" xr:uid="{00000000-0002-0000-1A00-000006000000}">
          <x14:formula1>
            <xm:f>IF(Setup!$I$17="Patients",'Control sheet (hide)'!$E$2,IF(Setup!$I$17="Minutes",'Control sheet (hide)'!$E$9:$E$10,'Control sheet (hide)'!$E$6:$E$7))</xm:f>
          </x14:formula1>
          <xm:sqref>C4</xm:sqref>
        </x14:dataValidation>
        <x14:dataValidation type="list" allowBlank="1" showInputMessage="1" showErrorMessage="1" xr:uid="{00000000-0002-0000-1A00-000007000000}">
          <x14:formula1>
            <xm:f>IF(OR(AND('Capacity calculation (hide)'!$E$1=2,'Capacity calculation (hide)'!H112=1),'Capacity calculation (hide)'!$E$1=1),'Control sheet (hide)'!$E$28:$E$29,'Control sheet (hide)'!$E$28)</xm:f>
          </x14:formula1>
          <xm:sqref>F24:BE24</xm:sqref>
        </x14:dataValidation>
      </x14:dataValidations>
    </ext>
  </extLs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AE55"/>
  <sheetViews>
    <sheetView topLeftCell="A26" workbookViewId="0">
      <selection activeCell="A55" sqref="A55"/>
    </sheetView>
  </sheetViews>
  <sheetFormatPr defaultRowHeight="13.8" x14ac:dyDescent="0.25"/>
  <cols>
    <col min="1" max="1" width="16.8984375" bestFit="1" customWidth="1"/>
    <col min="2" max="2" width="9.8984375" bestFit="1" customWidth="1"/>
    <col min="3" max="4" width="9" customWidth="1"/>
    <col min="7" max="7" width="9" style="67"/>
    <col min="8" max="8" width="9" style="67" customWidth="1"/>
    <col min="30" max="30" width="11.8984375" bestFit="1" customWidth="1"/>
    <col min="31" max="31" width="10.8984375" customWidth="1"/>
    <col min="32" max="32" width="9" customWidth="1"/>
  </cols>
  <sheetData>
    <row r="1" spans="1:31" x14ac:dyDescent="0.25">
      <c r="A1" t="s">
        <v>556</v>
      </c>
    </row>
    <row r="2" spans="1:31" x14ac:dyDescent="0.25">
      <c r="B2" s="87"/>
      <c r="C2" t="s">
        <v>519</v>
      </c>
      <c r="E2" t="s">
        <v>494</v>
      </c>
      <c r="I2" t="s">
        <v>520</v>
      </c>
    </row>
    <row r="3" spans="1:31" x14ac:dyDescent="0.25">
      <c r="A3" t="s">
        <v>517</v>
      </c>
      <c r="B3" t="s">
        <v>518</v>
      </c>
      <c r="C3" t="s">
        <v>165</v>
      </c>
      <c r="D3" t="s">
        <v>166</v>
      </c>
      <c r="E3" t="s">
        <v>480</v>
      </c>
      <c r="F3" t="s">
        <v>481</v>
      </c>
      <c r="G3" s="67" t="s">
        <v>57</v>
      </c>
      <c r="H3" s="67" t="s">
        <v>313</v>
      </c>
      <c r="I3" s="35"/>
      <c r="J3" s="35" t="str">
        <f ca="1">IF(OFFSET(Planning!$B$25,COLUMN(A$1),0,1,1)="","",OFFSET(Planning!$B$25,COLUMN(A$1),0,1,1))</f>
        <v>Bank holiday cover</v>
      </c>
      <c r="K3" s="35" t="str">
        <f ca="1">IF(OFFSET(Planning!$B$25,COLUMN(B$1),0,1,1)="","",OFFSET(Planning!$B$25,COLUMN(B$1),0,1,1))</f>
        <v>Locum</v>
      </c>
      <c r="L3" s="35" t="str">
        <f ca="1">IF(OFFSET(Planning!$B$25,COLUMN(C$1),0,1,1)="","",OFFSET(Planning!$B$25,COLUMN(C$1),0,1,1))</f>
        <v/>
      </c>
      <c r="M3" s="35" t="str">
        <f ca="1">IF(OFFSET(Planning!$B$25,COLUMN(D$1),0,1,1)="","",OFFSET(Planning!$B$25,COLUMN(D$1),0,1,1))</f>
        <v/>
      </c>
      <c r="N3" s="35" t="str">
        <f ca="1">IF(OFFSET(Planning!$B$25,COLUMN(E$1),0,1,1)="","",OFFSET(Planning!$B$25,COLUMN(E$1),0,1,1))</f>
        <v/>
      </c>
      <c r="O3" s="35" t="str">
        <f ca="1">IF(OFFSET(Planning!$B$25,COLUMN(F$1),0,1,1)="","",OFFSET(Planning!$B$25,COLUMN(F$1),0,1,1))</f>
        <v/>
      </c>
      <c r="P3" s="35" t="str">
        <f ca="1">IF(OFFSET(Planning!$B$25,COLUMN(G$1),0,1,1)="","",OFFSET(Planning!$B$25,COLUMN(G$1),0,1,1))</f>
        <v/>
      </c>
      <c r="Q3" s="35" t="str">
        <f ca="1">IF(OFFSET(Planning!$B$25,COLUMN(H$1),0,1,1)="","",OFFSET(Planning!$B$25,COLUMN(H$1),0,1,1))</f>
        <v/>
      </c>
      <c r="R3" s="35" t="str">
        <f ca="1">IF(OFFSET(Planning!$B$25,COLUMN(I$1),0,1,1)="","",OFFSET(Planning!$B$25,COLUMN(I$1),0,1,1))</f>
        <v/>
      </c>
      <c r="S3" s="35" t="str">
        <f ca="1">IF(OFFSET(Planning!$B$25,COLUMN(J$1),0,1,1)="","",OFFSET(Planning!$B$25,COLUMN(J$1),0,1,1))</f>
        <v/>
      </c>
      <c r="T3" s="35" t="str">
        <f ca="1">IF(OFFSET(Planning!$B$25,COLUMN(K$1),0,1,1)="","",OFFSET(Planning!$B$25,COLUMN(K$1),0,1,1))</f>
        <v/>
      </c>
      <c r="U3" s="35" t="str">
        <f ca="1">IF(OFFSET(Planning!$B$25,COLUMN(L$1),0,1,1)="","",OFFSET(Planning!$B$25,COLUMN(L$1),0,1,1))</f>
        <v/>
      </c>
      <c r="V3" s="35" t="str">
        <f ca="1">IF(OFFSET(Planning!$B$25,COLUMN(M$1),0,1,1)="","",OFFSET(Planning!$B$25,COLUMN(M$1),0,1,1))</f>
        <v/>
      </c>
      <c r="W3" s="35" t="str">
        <f ca="1">IF(OFFSET(Planning!$B$25,COLUMN(N$1),0,1,1)="","",OFFSET(Planning!$B$25,COLUMN(N$1),0,1,1))</f>
        <v/>
      </c>
      <c r="X3" s="35" t="str">
        <f ca="1">IF(OFFSET(Planning!$B$25,COLUMN(O$1),0,1,1)="","",OFFSET(Planning!$B$25,COLUMN(O$1),0,1,1))</f>
        <v/>
      </c>
      <c r="Y3" s="35" t="str">
        <f ca="1">IF(OFFSET(Planning!$B$25,COLUMN(P$1),0,1,1)="","",OFFSET(Planning!$B$25,COLUMN(P$1),0,1,1))</f>
        <v/>
      </c>
      <c r="Z3" s="35" t="str">
        <f ca="1">IF(OFFSET(Planning!$B$25,COLUMN(Q$1),0,1,1)="","",OFFSET(Planning!$B$25,COLUMN(Q$1),0,1,1))</f>
        <v/>
      </c>
      <c r="AA3" s="35" t="str">
        <f ca="1">IF(OFFSET(Planning!$B$25,COLUMN(R$1),0,1,1)="","",OFFSET(Planning!$B$25,COLUMN(R$1),0,1,1))</f>
        <v/>
      </c>
      <c r="AB3" s="35" t="str">
        <f ca="1">IF(OFFSET(Planning!$B$25,COLUMN(S$1),0,1,1)="","",OFFSET(Planning!$B$25,COLUMN(S$1),0,1,1))</f>
        <v/>
      </c>
      <c r="AC3" s="35" t="str">
        <f ca="1">IF(OFFSET(Planning!$B$25,COLUMN(T$1),0,1,1)="","",OFFSET(Planning!$B$25,COLUMN(T$1),0,1,1))</f>
        <v/>
      </c>
      <c r="AD3" t="s">
        <v>1166</v>
      </c>
      <c r="AE3" t="s">
        <v>1167</v>
      </c>
    </row>
    <row r="4" spans="1:31" x14ac:dyDescent="0.25">
      <c r="A4" s="87">
        <f ca="1">IF(Planning!$C$6="",TODAY()-WEEKDAY(TODAY(),3)+7,Planning!$C$6)</f>
        <v>43934</v>
      </c>
      <c r="B4">
        <f ca="1">IF(WEEKNUM(A4)=53,1,WEEKNUM(A4))</f>
        <v>16</v>
      </c>
      <c r="C4" s="5">
        <f ca="1">IF(Planning!$C$8="No",VLOOKUP(B4,'Summary Calculations (hide)'!$D$15:$U$67,17,0),IF('Demand adjustments for Covid'!$F$9="Yes",'Demand background (hide)'!DS4,VLOOKUP(B4,'Summary Calculations (hide)'!$D$15:$F$67,2,0))*IF(Planning!$C$11="",1,1+Planning!$C$11)*'Summary Calculations (hide)'!$L$4/IF(Summary!$C$8="Patients",'Summary Calculations (hide)'!$I$9,1))</f>
        <v>5.0017499999999995</v>
      </c>
      <c r="D4" s="5">
        <f ca="1">IF(Planning!$C$8="No",VLOOKUP('Planning (hide)'!B4,'Summary Calculations (hide)'!$D$15:$U$67,18,0),IF('Demand adjustments for Covid'!$F$9="Yes",'Demand background (hide)'!DT4,VLOOKUP(B4,'Summary Calculations (hide)'!$D$15:$F$67,3,0))*IF(Planning!$C$11="",1,1+Planning!$C$11)*'Summary Calculations (hide)'!$L$4/IF(Summary!$C$8="Patients",'Summary Calculations (hide)'!$I$9,1))-IF(Planning!$C$8="No",0,C4)</f>
        <v>1.5005249999999997</v>
      </c>
      <c r="E4" s="5">
        <f ca="1">VLOOKUP($B4,'Summary Calculations (hide)'!$D$15:$U$67,15,0)</f>
        <v>20</v>
      </c>
      <c r="F4" s="5">
        <f ca="1">VLOOKUP($B4,'Summary Calculations (hide)'!$D$15:$U$67,16,0)</f>
        <v>0</v>
      </c>
      <c r="G4" s="5">
        <f ca="1">SUM(E4:F4)</f>
        <v>20</v>
      </c>
      <c r="H4" s="5">
        <f ca="1">IF(G4+SUM(I4:AC4)&lt;0,0,G4+SUM(I4:AC4))</f>
        <v>20</v>
      </c>
      <c r="I4">
        <f ca="1">IF(OFFSET(Planning!$E$25,0,ROW(A1),1,1)&lt;&gt;"",-'Planning (hide)'!$G4,0)</f>
        <v>0</v>
      </c>
      <c r="J4">
        <f ca="1">IF(OFFSET(Planning!$E$25,COLUMN(A1),ROW(A1),1,1)&lt;&gt;"",OFFSET(Planning!$D$25,COLUMN(A1),0,1,1),0)</f>
        <v>0</v>
      </c>
      <c r="K4" s="67">
        <f ca="1">IF(OFFSET(Planning!$E$25,COLUMN(B1),ROW(B1),1,1)&lt;&gt;"",OFFSET(Planning!$D$25,COLUMN(B1),0,1,1),0)</f>
        <v>0</v>
      </c>
      <c r="L4" s="67">
        <f ca="1">IF(OFFSET(Planning!$E$25,COLUMN(C1),ROW(C1),1,1)&lt;&gt;"",OFFSET(Planning!$D$25,COLUMN(C1),0,1,1),0)</f>
        <v>0</v>
      </c>
      <c r="M4" s="67">
        <f ca="1">IF(OFFSET(Planning!$E$25,COLUMN(D1),ROW(D1),1,1)&lt;&gt;"",OFFSET(Planning!$D$25,COLUMN(D1),0,1,1),0)</f>
        <v>0</v>
      </c>
      <c r="N4" s="67">
        <f ca="1">IF(OFFSET(Planning!$E$25,COLUMN(E1),ROW(E1),1,1)&lt;&gt;"",OFFSET(Planning!$D$25,COLUMN(E1),0,1,1),0)</f>
        <v>0</v>
      </c>
      <c r="O4" s="67">
        <f ca="1">IF(OFFSET(Planning!$E$25,COLUMN(F1),ROW(F1),1,1)&lt;&gt;"",OFFSET(Planning!$D$25,COLUMN(F1),0,1,1),0)</f>
        <v>0</v>
      </c>
      <c r="P4" s="67">
        <f ca="1">IF(OFFSET(Planning!$E$25,COLUMN(G1),ROW(G1),1,1)&lt;&gt;"",OFFSET(Planning!$D$25,COLUMN(G1),0,1,1),0)</f>
        <v>0</v>
      </c>
      <c r="Q4" s="67">
        <f ca="1">IF(OFFSET(Planning!$E$25,COLUMN(H1),ROW(H1),1,1)&lt;&gt;"",OFFSET(Planning!$D$25,COLUMN(H1),0,1,1),0)</f>
        <v>0</v>
      </c>
      <c r="R4" s="67">
        <f ca="1">IF(OFFSET(Planning!$E$25,COLUMN(I1),ROW(I1),1,1)&lt;&gt;"",OFFSET(Planning!$D$25,COLUMN(I1),0,1,1),0)</f>
        <v>0</v>
      </c>
      <c r="S4" s="67">
        <f ca="1">IF(OFFSET(Planning!$E$25,COLUMN(J1),ROW(J1),1,1)&lt;&gt;"",OFFSET(Planning!$D$25,COLUMN(J1),0,1,1),0)</f>
        <v>0</v>
      </c>
      <c r="T4" s="67">
        <f ca="1">IF(OFFSET(Planning!$E$25,COLUMN(K1),ROW(K1),1,1)&lt;&gt;"",OFFSET(Planning!$D$25,COLUMN(K1),0,1,1),0)</f>
        <v>0</v>
      </c>
      <c r="U4" s="67">
        <f ca="1">IF(OFFSET(Planning!$E$25,COLUMN(L1),ROW(L1),1,1)&lt;&gt;"",OFFSET(Planning!$D$25,COLUMN(L1),0,1,1),0)</f>
        <v>0</v>
      </c>
      <c r="V4" s="67">
        <f ca="1">IF(OFFSET(Planning!$E$25,COLUMN(M1),ROW(M1),1,1)&lt;&gt;"",OFFSET(Planning!$D$25,COLUMN(M1),0,1,1),0)</f>
        <v>0</v>
      </c>
      <c r="W4" s="67">
        <f ca="1">IF(OFFSET(Planning!$E$25,COLUMN(N1),ROW(N1),1,1)&lt;&gt;"",OFFSET(Planning!$D$25,COLUMN(N1),0,1,1),0)</f>
        <v>0</v>
      </c>
      <c r="X4" s="67">
        <f ca="1">IF(OFFSET(Planning!$E$25,COLUMN(O1),ROW(O1),1,1)&lt;&gt;"",OFFSET(Planning!$D$25,COLUMN(O1),0,1,1),0)</f>
        <v>0</v>
      </c>
      <c r="Y4" s="67">
        <f ca="1">IF(OFFSET(Planning!$E$25,COLUMN(P1),ROW(P1),1,1)&lt;&gt;"",OFFSET(Planning!$D$25,COLUMN(P1),0,1,1),0)</f>
        <v>0</v>
      </c>
      <c r="Z4" s="67">
        <f ca="1">IF(OFFSET(Planning!$E$25,COLUMN(Q1),ROW(Q1),1,1)&lt;&gt;"",OFFSET(Planning!$D$25,COLUMN(Q1),0,1,1),0)</f>
        <v>0</v>
      </c>
      <c r="AA4" s="67">
        <f ca="1">IF(OFFSET(Planning!$E$25,COLUMN(R1),ROW(R1),1,1)&lt;&gt;"",OFFSET(Planning!$D$25,COLUMN(R1),0,1,1),0)</f>
        <v>0</v>
      </c>
      <c r="AB4" s="67">
        <f ca="1">IF(OFFSET(Planning!$E$25,COLUMN(S1),ROW(S1),1,1)&lt;&gt;"",OFFSET(Planning!$D$25,COLUMN(S1),0,1,1),0)</f>
        <v>0</v>
      </c>
      <c r="AC4" s="67">
        <f ca="1">IF(OFFSET(Planning!$E$25,COLUMN(T1),ROW(T1),1,1)&lt;&gt;"",OFFSET(Planning!$D$25,COLUMN(T1),0,1,1),0)</f>
        <v>0</v>
      </c>
      <c r="AD4">
        <f ca="1">VLOOKUP($B4,'Summary Calculations (hide)'!$D$15:$U$67,17,0)</f>
        <v>5.0017499999999995</v>
      </c>
      <c r="AE4" s="67">
        <f ca="1">VLOOKUP($B4,'Summary Calculations (hide)'!$D$15:$U$67,18,0)</f>
        <v>1.5005249999999997</v>
      </c>
    </row>
    <row r="5" spans="1:31" x14ac:dyDescent="0.25">
      <c r="A5" s="87">
        <f ca="1">A4+7</f>
        <v>43941</v>
      </c>
      <c r="B5" s="67">
        <f t="shared" ref="B5:B55" ca="1" si="0">IF(WEEKNUM(A5)=53,1,WEEKNUM(A5))</f>
        <v>17</v>
      </c>
      <c r="C5" s="5">
        <f ca="1">IF(Planning!$C$8="No",VLOOKUP(B5,'Summary Calculations (hide)'!$D$15:$U$67,17,0),IF('Demand adjustments for Covid'!$F$9="Yes",'Demand background (hide)'!DS5,VLOOKUP(B5,'Summary Calculations (hide)'!$D$15:$F$67,2,0))*IF(Planning!$C$11="",1,1+Planning!$C$11)*'Summary Calculations (hide)'!$L$4/IF(Summary!$C$8="Patients",'Summary Calculations (hide)'!$I$9,1))</f>
        <v>5.0017499999999995</v>
      </c>
      <c r="D5" s="5">
        <f ca="1">IF(Planning!$C$8="No",VLOOKUP('Planning (hide)'!B5,'Summary Calculations (hide)'!$D$15:$U$67,18,0),IF('Demand adjustments for Covid'!$F$9="Yes",'Demand background (hide)'!DT5,VLOOKUP(B5,'Summary Calculations (hide)'!$D$15:$F$67,3,0))*IF(Planning!$C$11="",1,1+Planning!$C$11)*'Summary Calculations (hide)'!$L$4/IF(Summary!$C$8="Patients",'Summary Calculations (hide)'!$I$9,1))-IF(Planning!$C$8="No",0,C5)</f>
        <v>1.5005249999999997</v>
      </c>
      <c r="E5" s="5">
        <f ca="1">VLOOKUP($B5,'Summary Calculations (hide)'!$D$15:$U$67,15,0)</f>
        <v>20</v>
      </c>
      <c r="F5" s="5">
        <f ca="1">VLOOKUP($B5,'Summary Calculations (hide)'!$D$15:$U$67,16,0)</f>
        <v>0</v>
      </c>
      <c r="G5" s="5">
        <f t="shared" ref="G5:G55" ca="1" si="1">SUM(E5:F5)</f>
        <v>20</v>
      </c>
      <c r="H5" s="5">
        <f t="shared" ref="H5:H55" ca="1" si="2">IF(G5+SUM(I5:AC5)&lt;0,0,G5+SUM(I5:AC5))</f>
        <v>20</v>
      </c>
      <c r="I5" s="67">
        <f ca="1">IF(OFFSET(Planning!$E$25,0,ROW(A2),1,1)&lt;&gt;"",-'Planning (hide)'!$G5,0)</f>
        <v>0</v>
      </c>
      <c r="J5" s="67">
        <f ca="1">IF(OFFSET(Planning!$E$25,COLUMN(A2),ROW(A2),1,1)&lt;&gt;"",OFFSET(Planning!$D$25,COLUMN(A2),0,1,1),0)</f>
        <v>0</v>
      </c>
      <c r="K5" s="67">
        <f ca="1">IF(OFFSET(Planning!$E$25,COLUMN(B2),ROW(B2),1,1)&lt;&gt;"",OFFSET(Planning!$D$25,COLUMN(B2),0,1,1),0)</f>
        <v>0</v>
      </c>
      <c r="L5" s="67">
        <f ca="1">IF(OFFSET(Planning!$E$25,COLUMN(C2),ROW(C2),1,1)&lt;&gt;"",OFFSET(Planning!$D$25,COLUMN(C2),0,1,1),0)</f>
        <v>0</v>
      </c>
      <c r="M5" s="67">
        <f ca="1">IF(OFFSET(Planning!$E$25,COLUMN(D2),ROW(D2),1,1)&lt;&gt;"",OFFSET(Planning!$D$25,COLUMN(D2),0,1,1),0)</f>
        <v>0</v>
      </c>
      <c r="N5" s="67">
        <f ca="1">IF(OFFSET(Planning!$E$25,COLUMN(E2),ROW(E2),1,1)&lt;&gt;"",OFFSET(Planning!$D$25,COLUMN(E2),0,1,1),0)</f>
        <v>0</v>
      </c>
      <c r="O5" s="67">
        <f ca="1">IF(OFFSET(Planning!$E$25,COLUMN(F2),ROW(F2),1,1)&lt;&gt;"",OFFSET(Planning!$D$25,COLUMN(F2),0,1,1),0)</f>
        <v>0</v>
      </c>
      <c r="P5" s="67">
        <f ca="1">IF(OFFSET(Planning!$E$25,COLUMN(G2),ROW(G2),1,1)&lt;&gt;"",OFFSET(Planning!$D$25,COLUMN(G2),0,1,1),0)</f>
        <v>0</v>
      </c>
      <c r="Q5" s="67">
        <f ca="1">IF(OFFSET(Planning!$E$25,COLUMN(H2),ROW(H2),1,1)&lt;&gt;"",OFFSET(Planning!$D$25,COLUMN(H2),0,1,1),0)</f>
        <v>0</v>
      </c>
      <c r="R5" s="67">
        <f ca="1">IF(OFFSET(Planning!$E$25,COLUMN(I2),ROW(I2),1,1)&lt;&gt;"",OFFSET(Planning!$D$25,COLUMN(I2),0,1,1),0)</f>
        <v>0</v>
      </c>
      <c r="S5" s="67">
        <f ca="1">IF(OFFSET(Planning!$E$25,COLUMN(J2),ROW(J2),1,1)&lt;&gt;"",OFFSET(Planning!$D$25,COLUMN(J2),0,1,1),0)</f>
        <v>0</v>
      </c>
      <c r="T5" s="67">
        <f ca="1">IF(OFFSET(Planning!$E$25,COLUMN(K2),ROW(K2),1,1)&lt;&gt;"",OFFSET(Planning!$D$25,COLUMN(K2),0,1,1),0)</f>
        <v>0</v>
      </c>
      <c r="U5" s="67">
        <f ca="1">IF(OFFSET(Planning!$E$25,COLUMN(L2),ROW(L2),1,1)&lt;&gt;"",OFFSET(Planning!$D$25,COLUMN(L2),0,1,1),0)</f>
        <v>0</v>
      </c>
      <c r="V5" s="67">
        <f ca="1">IF(OFFSET(Planning!$E$25,COLUMN(M2),ROW(M2),1,1)&lt;&gt;"",OFFSET(Planning!$D$25,COLUMN(M2),0,1,1),0)</f>
        <v>0</v>
      </c>
      <c r="W5" s="67">
        <f ca="1">IF(OFFSET(Planning!$E$25,COLUMN(N2),ROW(N2),1,1)&lt;&gt;"",OFFSET(Planning!$D$25,COLUMN(N2),0,1,1),0)</f>
        <v>0</v>
      </c>
      <c r="X5" s="67">
        <f ca="1">IF(OFFSET(Planning!$E$25,COLUMN(O2),ROW(O2),1,1)&lt;&gt;"",OFFSET(Planning!$D$25,COLUMN(O2),0,1,1),0)</f>
        <v>0</v>
      </c>
      <c r="Y5" s="67">
        <f ca="1">IF(OFFSET(Planning!$E$25,COLUMN(P2),ROW(P2),1,1)&lt;&gt;"",OFFSET(Planning!$D$25,COLUMN(P2),0,1,1),0)</f>
        <v>0</v>
      </c>
      <c r="Z5" s="67">
        <f ca="1">IF(OFFSET(Planning!$E$25,COLUMN(Q2),ROW(Q2),1,1)&lt;&gt;"",OFFSET(Planning!$D$25,COLUMN(Q2),0,1,1),0)</f>
        <v>0</v>
      </c>
      <c r="AA5" s="67">
        <f ca="1">IF(OFFSET(Planning!$E$25,COLUMN(R2),ROW(R2),1,1)&lt;&gt;"",OFFSET(Planning!$D$25,COLUMN(R2),0,1,1),0)</f>
        <v>0</v>
      </c>
      <c r="AB5" s="67">
        <f ca="1">IF(OFFSET(Planning!$E$25,COLUMN(S2),ROW(S2),1,1)&lt;&gt;"",OFFSET(Planning!$D$25,COLUMN(S2),0,1,1),0)</f>
        <v>0</v>
      </c>
      <c r="AC5" s="67">
        <f ca="1">IF(OFFSET(Planning!$E$25,COLUMN(T2),ROW(T2),1,1)&lt;&gt;"",OFFSET(Planning!$D$25,COLUMN(T2),0,1,1),0)</f>
        <v>0</v>
      </c>
      <c r="AD5" s="67">
        <f ca="1">VLOOKUP($B5,'Summary Calculations (hide)'!$D$15:$U$67,17,0)</f>
        <v>5.0017499999999995</v>
      </c>
      <c r="AE5" s="67">
        <f ca="1">VLOOKUP($B5,'Summary Calculations (hide)'!$D$15:$U$67,18,0)</f>
        <v>1.5005249999999997</v>
      </c>
    </row>
    <row r="6" spans="1:31" x14ac:dyDescent="0.25">
      <c r="A6" s="87">
        <f t="shared" ref="A6:A55" ca="1" si="3">A5+7</f>
        <v>43948</v>
      </c>
      <c r="B6" s="67">
        <f t="shared" ca="1" si="0"/>
        <v>18</v>
      </c>
      <c r="C6" s="5">
        <f ca="1">IF(Planning!$C$8="No",VLOOKUP(B6,'Summary Calculations (hide)'!$D$15:$U$67,17,0),IF('Demand adjustments for Covid'!$F$9="Yes",'Demand background (hide)'!DS6,VLOOKUP(B6,'Summary Calculations (hide)'!$D$15:$F$67,2,0))*IF(Planning!$C$11="",1,1+Planning!$C$11)*'Summary Calculations (hide)'!$L$4/IF(Summary!$C$8="Patients",'Summary Calculations (hide)'!$I$9,1))</f>
        <v>5.0017499999999995</v>
      </c>
      <c r="D6" s="5">
        <f ca="1">IF(Planning!$C$8="No",VLOOKUP('Planning (hide)'!B6,'Summary Calculations (hide)'!$D$15:$U$67,18,0),IF('Demand adjustments for Covid'!$F$9="Yes",'Demand background (hide)'!DT6,VLOOKUP(B6,'Summary Calculations (hide)'!$D$15:$F$67,3,0))*IF(Planning!$C$11="",1,1+Planning!$C$11)*'Summary Calculations (hide)'!$L$4/IF(Summary!$C$8="Patients",'Summary Calculations (hide)'!$I$9,1))-IF(Planning!$C$8="No",0,C6)</f>
        <v>1.5005249999999997</v>
      </c>
      <c r="E6" s="5">
        <f ca="1">VLOOKUP($B6,'Summary Calculations (hide)'!$D$15:$U$67,15,0)</f>
        <v>20</v>
      </c>
      <c r="F6" s="5">
        <f ca="1">VLOOKUP($B6,'Summary Calculations (hide)'!$D$15:$U$67,16,0)</f>
        <v>0</v>
      </c>
      <c r="G6" s="5">
        <f t="shared" ca="1" si="1"/>
        <v>20</v>
      </c>
      <c r="H6" s="5">
        <f t="shared" ca="1" si="2"/>
        <v>20</v>
      </c>
      <c r="I6" s="67">
        <f ca="1">IF(OFFSET(Planning!$E$25,0,ROW(A3),1,1)&lt;&gt;"",-'Planning (hide)'!$G6,0)</f>
        <v>0</v>
      </c>
      <c r="J6" s="67">
        <f ca="1">IF(OFFSET(Planning!$E$25,COLUMN(A3),ROW(A3),1,1)&lt;&gt;"",OFFSET(Planning!$D$25,COLUMN(A3),0,1,1),0)</f>
        <v>0</v>
      </c>
      <c r="K6" s="67">
        <f ca="1">IF(OFFSET(Planning!$E$25,COLUMN(B3),ROW(B3),1,1)&lt;&gt;"",OFFSET(Planning!$D$25,COLUMN(B3),0,1,1),0)</f>
        <v>0</v>
      </c>
      <c r="L6" s="67">
        <f ca="1">IF(OFFSET(Planning!$E$25,COLUMN(C3),ROW(C3),1,1)&lt;&gt;"",OFFSET(Planning!$D$25,COLUMN(C3),0,1,1),0)</f>
        <v>0</v>
      </c>
      <c r="M6" s="67">
        <f ca="1">IF(OFFSET(Planning!$E$25,COLUMN(D3),ROW(D3),1,1)&lt;&gt;"",OFFSET(Planning!$D$25,COLUMN(D3),0,1,1),0)</f>
        <v>0</v>
      </c>
      <c r="N6" s="67">
        <f ca="1">IF(OFFSET(Planning!$E$25,COLUMN(E3),ROW(E3),1,1)&lt;&gt;"",OFFSET(Planning!$D$25,COLUMN(E3),0,1,1),0)</f>
        <v>0</v>
      </c>
      <c r="O6" s="67">
        <f ca="1">IF(OFFSET(Planning!$E$25,COLUMN(F3),ROW(F3),1,1)&lt;&gt;"",OFFSET(Planning!$D$25,COLUMN(F3),0,1,1),0)</f>
        <v>0</v>
      </c>
      <c r="P6" s="67">
        <f ca="1">IF(OFFSET(Planning!$E$25,COLUMN(G3),ROW(G3),1,1)&lt;&gt;"",OFFSET(Planning!$D$25,COLUMN(G3),0,1,1),0)</f>
        <v>0</v>
      </c>
      <c r="Q6" s="67">
        <f ca="1">IF(OFFSET(Planning!$E$25,COLUMN(H3),ROW(H3),1,1)&lt;&gt;"",OFFSET(Planning!$D$25,COLUMN(H3),0,1,1),0)</f>
        <v>0</v>
      </c>
      <c r="R6" s="67">
        <f ca="1">IF(OFFSET(Planning!$E$25,COLUMN(I3),ROW(I3),1,1)&lt;&gt;"",OFFSET(Planning!$D$25,COLUMN(I3),0,1,1),0)</f>
        <v>0</v>
      </c>
      <c r="S6" s="67">
        <f ca="1">IF(OFFSET(Planning!$E$25,COLUMN(J3),ROW(J3),1,1)&lt;&gt;"",OFFSET(Planning!$D$25,COLUMN(J3),0,1,1),0)</f>
        <v>0</v>
      </c>
      <c r="T6" s="67">
        <f ca="1">IF(OFFSET(Planning!$E$25,COLUMN(K3),ROW(K3),1,1)&lt;&gt;"",OFFSET(Planning!$D$25,COLUMN(K3),0,1,1),0)</f>
        <v>0</v>
      </c>
      <c r="U6" s="67">
        <f ca="1">IF(OFFSET(Planning!$E$25,COLUMN(L3),ROW(L3),1,1)&lt;&gt;"",OFFSET(Planning!$D$25,COLUMN(L3),0,1,1),0)</f>
        <v>0</v>
      </c>
      <c r="V6" s="67">
        <f ca="1">IF(OFFSET(Planning!$E$25,COLUMN(M3),ROW(M3),1,1)&lt;&gt;"",OFFSET(Planning!$D$25,COLUMN(M3),0,1,1),0)</f>
        <v>0</v>
      </c>
      <c r="W6" s="67">
        <f ca="1">IF(OFFSET(Planning!$E$25,COLUMN(N3),ROW(N3),1,1)&lt;&gt;"",OFFSET(Planning!$D$25,COLUMN(N3),0,1,1),0)</f>
        <v>0</v>
      </c>
      <c r="X6" s="67">
        <f ca="1">IF(OFFSET(Planning!$E$25,COLUMN(O3),ROW(O3),1,1)&lt;&gt;"",OFFSET(Planning!$D$25,COLUMN(O3),0,1,1),0)</f>
        <v>0</v>
      </c>
      <c r="Y6" s="67">
        <f ca="1">IF(OFFSET(Planning!$E$25,COLUMN(P3),ROW(P3),1,1)&lt;&gt;"",OFFSET(Planning!$D$25,COLUMN(P3),0,1,1),0)</f>
        <v>0</v>
      </c>
      <c r="Z6" s="67">
        <f ca="1">IF(OFFSET(Planning!$E$25,COLUMN(Q3),ROW(Q3),1,1)&lt;&gt;"",OFFSET(Planning!$D$25,COLUMN(Q3),0,1,1),0)</f>
        <v>0</v>
      </c>
      <c r="AA6" s="67">
        <f ca="1">IF(OFFSET(Planning!$E$25,COLUMN(R3),ROW(R3),1,1)&lt;&gt;"",OFFSET(Planning!$D$25,COLUMN(R3),0,1,1),0)</f>
        <v>0</v>
      </c>
      <c r="AB6" s="67">
        <f ca="1">IF(OFFSET(Planning!$E$25,COLUMN(S3),ROW(S3),1,1)&lt;&gt;"",OFFSET(Planning!$D$25,COLUMN(S3),0,1,1),0)</f>
        <v>0</v>
      </c>
      <c r="AC6" s="67">
        <f ca="1">IF(OFFSET(Planning!$E$25,COLUMN(T3),ROW(T3),1,1)&lt;&gt;"",OFFSET(Planning!$D$25,COLUMN(T3),0,1,1),0)</f>
        <v>0</v>
      </c>
      <c r="AD6" s="67">
        <f ca="1">VLOOKUP($B6,'Summary Calculations (hide)'!$D$15:$U$67,17,0)</f>
        <v>5.0017499999999995</v>
      </c>
      <c r="AE6" s="67">
        <f ca="1">VLOOKUP($B6,'Summary Calculations (hide)'!$D$15:$U$67,18,0)</f>
        <v>1.5005249999999997</v>
      </c>
    </row>
    <row r="7" spans="1:31" x14ac:dyDescent="0.25">
      <c r="A7" s="87">
        <f t="shared" ca="1" si="3"/>
        <v>43955</v>
      </c>
      <c r="B7" s="67">
        <f t="shared" ca="1" si="0"/>
        <v>19</v>
      </c>
      <c r="C7" s="5">
        <f ca="1">IF(Planning!$C$8="No",VLOOKUP(B7,'Summary Calculations (hide)'!$D$15:$U$67,17,0),IF('Demand adjustments for Covid'!$F$9="Yes",'Demand background (hide)'!DS7,VLOOKUP(B7,'Summary Calculations (hide)'!$D$15:$F$67,2,0))*IF(Planning!$C$11="",1,1+Planning!$C$11)*'Summary Calculations (hide)'!$L$4/IF(Summary!$C$8="Patients",'Summary Calculations (hide)'!$I$9,1))</f>
        <v>5.0017499999999995</v>
      </c>
      <c r="D7" s="5">
        <f ca="1">IF(Planning!$C$8="No",VLOOKUP('Planning (hide)'!B7,'Summary Calculations (hide)'!$D$15:$U$67,18,0),IF('Demand adjustments for Covid'!$F$9="Yes",'Demand background (hide)'!DT7,VLOOKUP(B7,'Summary Calculations (hide)'!$D$15:$F$67,3,0))*IF(Planning!$C$11="",1,1+Planning!$C$11)*'Summary Calculations (hide)'!$L$4/IF(Summary!$C$8="Patients",'Summary Calculations (hide)'!$I$9,1))-IF(Planning!$C$8="No",0,C7)</f>
        <v>1.5005249999999997</v>
      </c>
      <c r="E7" s="5">
        <f ca="1">VLOOKUP($B7,'Summary Calculations (hide)'!$D$15:$U$67,15,0)</f>
        <v>20</v>
      </c>
      <c r="F7" s="5">
        <f ca="1">VLOOKUP($B7,'Summary Calculations (hide)'!$D$15:$U$67,16,0)</f>
        <v>0</v>
      </c>
      <c r="G7" s="5">
        <f t="shared" ca="1" si="1"/>
        <v>20</v>
      </c>
      <c r="H7" s="5">
        <f t="shared" ca="1" si="2"/>
        <v>20</v>
      </c>
      <c r="I7" s="67">
        <f ca="1">IF(OFFSET(Planning!$E$25,0,ROW(A4),1,1)&lt;&gt;"",-'Planning (hide)'!$G7,0)</f>
        <v>0</v>
      </c>
      <c r="J7" s="67">
        <f ca="1">IF(OFFSET(Planning!$E$25,COLUMN(A4),ROW(A4),1,1)&lt;&gt;"",OFFSET(Planning!$D$25,COLUMN(A4),0,1,1),0)</f>
        <v>0</v>
      </c>
      <c r="K7" s="67">
        <f ca="1">IF(OFFSET(Planning!$E$25,COLUMN(B4),ROW(B4),1,1)&lt;&gt;"",OFFSET(Planning!$D$25,COLUMN(B4),0,1,1),0)</f>
        <v>0</v>
      </c>
      <c r="L7" s="67">
        <f ca="1">IF(OFFSET(Planning!$E$25,COLUMN(C4),ROW(C4),1,1)&lt;&gt;"",OFFSET(Planning!$D$25,COLUMN(C4),0,1,1),0)</f>
        <v>0</v>
      </c>
      <c r="M7" s="67">
        <f ca="1">IF(OFFSET(Planning!$E$25,COLUMN(D4),ROW(D4),1,1)&lt;&gt;"",OFFSET(Planning!$D$25,COLUMN(D4),0,1,1),0)</f>
        <v>0</v>
      </c>
      <c r="N7" s="67">
        <f ca="1">IF(OFFSET(Planning!$E$25,COLUMN(E4),ROW(E4),1,1)&lt;&gt;"",OFFSET(Planning!$D$25,COLUMN(E4),0,1,1),0)</f>
        <v>0</v>
      </c>
      <c r="O7" s="67">
        <f ca="1">IF(OFFSET(Planning!$E$25,COLUMN(F4),ROW(F4),1,1)&lt;&gt;"",OFFSET(Planning!$D$25,COLUMN(F4),0,1,1),0)</f>
        <v>0</v>
      </c>
      <c r="P7" s="67">
        <f ca="1">IF(OFFSET(Planning!$E$25,COLUMN(G4),ROW(G4),1,1)&lt;&gt;"",OFFSET(Planning!$D$25,COLUMN(G4),0,1,1),0)</f>
        <v>0</v>
      </c>
      <c r="Q7" s="67">
        <f ca="1">IF(OFFSET(Planning!$E$25,COLUMN(H4),ROW(H4),1,1)&lt;&gt;"",OFFSET(Planning!$D$25,COLUMN(H4),0,1,1),0)</f>
        <v>0</v>
      </c>
      <c r="R7" s="67">
        <f ca="1">IF(OFFSET(Planning!$E$25,COLUMN(I4),ROW(I4),1,1)&lt;&gt;"",OFFSET(Planning!$D$25,COLUMN(I4),0,1,1),0)</f>
        <v>0</v>
      </c>
      <c r="S7" s="67">
        <f ca="1">IF(OFFSET(Planning!$E$25,COLUMN(J4),ROW(J4),1,1)&lt;&gt;"",OFFSET(Planning!$D$25,COLUMN(J4),0,1,1),0)</f>
        <v>0</v>
      </c>
      <c r="T7" s="67">
        <f ca="1">IF(OFFSET(Planning!$E$25,COLUMN(K4),ROW(K4),1,1)&lt;&gt;"",OFFSET(Planning!$D$25,COLUMN(K4),0,1,1),0)</f>
        <v>0</v>
      </c>
      <c r="U7" s="67">
        <f ca="1">IF(OFFSET(Planning!$E$25,COLUMN(L4),ROW(L4),1,1)&lt;&gt;"",OFFSET(Planning!$D$25,COLUMN(L4),0,1,1),0)</f>
        <v>0</v>
      </c>
      <c r="V7" s="67">
        <f ca="1">IF(OFFSET(Planning!$E$25,COLUMN(M4),ROW(M4),1,1)&lt;&gt;"",OFFSET(Planning!$D$25,COLUMN(M4),0,1,1),0)</f>
        <v>0</v>
      </c>
      <c r="W7" s="67">
        <f ca="1">IF(OFFSET(Planning!$E$25,COLUMN(N4),ROW(N4),1,1)&lt;&gt;"",OFFSET(Planning!$D$25,COLUMN(N4),0,1,1),0)</f>
        <v>0</v>
      </c>
      <c r="X7" s="67">
        <f ca="1">IF(OFFSET(Planning!$E$25,COLUMN(O4),ROW(O4),1,1)&lt;&gt;"",OFFSET(Planning!$D$25,COLUMN(O4),0,1,1),0)</f>
        <v>0</v>
      </c>
      <c r="Y7" s="67">
        <f ca="1">IF(OFFSET(Planning!$E$25,COLUMN(P4),ROW(P4),1,1)&lt;&gt;"",OFFSET(Planning!$D$25,COLUMN(P4),0,1,1),0)</f>
        <v>0</v>
      </c>
      <c r="Z7" s="67">
        <f ca="1">IF(OFFSET(Planning!$E$25,COLUMN(Q4),ROW(Q4),1,1)&lt;&gt;"",OFFSET(Planning!$D$25,COLUMN(Q4),0,1,1),0)</f>
        <v>0</v>
      </c>
      <c r="AA7" s="67">
        <f ca="1">IF(OFFSET(Planning!$E$25,COLUMN(R4),ROW(R4),1,1)&lt;&gt;"",OFFSET(Planning!$D$25,COLUMN(R4),0,1,1),0)</f>
        <v>0</v>
      </c>
      <c r="AB7" s="67">
        <f ca="1">IF(OFFSET(Planning!$E$25,COLUMN(S4),ROW(S4),1,1)&lt;&gt;"",OFFSET(Planning!$D$25,COLUMN(S4),0,1,1),0)</f>
        <v>0</v>
      </c>
      <c r="AC7" s="67">
        <f ca="1">IF(OFFSET(Planning!$E$25,COLUMN(T4),ROW(T4),1,1)&lt;&gt;"",OFFSET(Planning!$D$25,COLUMN(T4),0,1,1),0)</f>
        <v>0</v>
      </c>
      <c r="AD7" s="67">
        <f ca="1">VLOOKUP($B7,'Summary Calculations (hide)'!$D$15:$U$67,17,0)</f>
        <v>5.0017499999999995</v>
      </c>
      <c r="AE7" s="67">
        <f ca="1">VLOOKUP($B7,'Summary Calculations (hide)'!$D$15:$U$67,18,0)</f>
        <v>1.5005249999999997</v>
      </c>
    </row>
    <row r="8" spans="1:31" x14ac:dyDescent="0.25">
      <c r="A8" s="87">
        <f t="shared" ca="1" si="3"/>
        <v>43962</v>
      </c>
      <c r="B8" s="67">
        <f t="shared" ca="1" si="0"/>
        <v>20</v>
      </c>
      <c r="C8" s="5">
        <f ca="1">IF(Planning!$C$8="No",VLOOKUP(B8,'Summary Calculations (hide)'!$D$15:$U$67,17,0),IF('Demand adjustments for Covid'!$F$9="Yes",'Demand background (hide)'!DS8,VLOOKUP(B8,'Summary Calculations (hide)'!$D$15:$F$67,2,0))*IF(Planning!$C$11="",1,1+Planning!$C$11)*'Summary Calculations (hide)'!$L$4/IF(Summary!$C$8="Patients",'Summary Calculations (hide)'!$I$9,1))</f>
        <v>5.0017499999999995</v>
      </c>
      <c r="D8" s="5">
        <f ca="1">IF(Planning!$C$8="No",VLOOKUP('Planning (hide)'!B8,'Summary Calculations (hide)'!$D$15:$U$67,18,0),IF('Demand adjustments for Covid'!$F$9="Yes",'Demand background (hide)'!DT8,VLOOKUP(B8,'Summary Calculations (hide)'!$D$15:$F$67,3,0))*IF(Planning!$C$11="",1,1+Planning!$C$11)*'Summary Calculations (hide)'!$L$4/IF(Summary!$C$8="Patients",'Summary Calculations (hide)'!$I$9,1))-IF(Planning!$C$8="No",0,C8)</f>
        <v>1.5005249999999997</v>
      </c>
      <c r="E8" s="5">
        <f ca="1">VLOOKUP($B8,'Summary Calculations (hide)'!$D$15:$U$67,15,0)</f>
        <v>20</v>
      </c>
      <c r="F8" s="5">
        <f ca="1">VLOOKUP($B8,'Summary Calculations (hide)'!$D$15:$U$67,16,0)</f>
        <v>0</v>
      </c>
      <c r="G8" s="5">
        <f t="shared" ca="1" si="1"/>
        <v>20</v>
      </c>
      <c r="H8" s="5">
        <f t="shared" ca="1" si="2"/>
        <v>20</v>
      </c>
      <c r="I8" s="67">
        <f ca="1">IF(OFFSET(Planning!$E$25,0,ROW(A5),1,1)&lt;&gt;"",-'Planning (hide)'!$G8,0)</f>
        <v>0</v>
      </c>
      <c r="J8" s="67">
        <f ca="1">IF(OFFSET(Planning!$E$25,COLUMN(A5),ROW(A5),1,1)&lt;&gt;"",OFFSET(Planning!$D$25,COLUMN(A5),0,1,1),0)</f>
        <v>0</v>
      </c>
      <c r="K8" s="67">
        <f ca="1">IF(OFFSET(Planning!$E$25,COLUMN(B5),ROW(B5),1,1)&lt;&gt;"",OFFSET(Planning!$D$25,COLUMN(B5),0,1,1),0)</f>
        <v>0</v>
      </c>
      <c r="L8" s="67">
        <f ca="1">IF(OFFSET(Planning!$E$25,COLUMN(C5),ROW(C5),1,1)&lt;&gt;"",OFFSET(Planning!$D$25,COLUMN(C5),0,1,1),0)</f>
        <v>0</v>
      </c>
      <c r="M8" s="67">
        <f ca="1">IF(OFFSET(Planning!$E$25,COLUMN(D5),ROW(D5),1,1)&lt;&gt;"",OFFSET(Planning!$D$25,COLUMN(D5),0,1,1),0)</f>
        <v>0</v>
      </c>
      <c r="N8" s="67">
        <f ca="1">IF(OFFSET(Planning!$E$25,COLUMN(E5),ROW(E5),1,1)&lt;&gt;"",OFFSET(Planning!$D$25,COLUMN(E5),0,1,1),0)</f>
        <v>0</v>
      </c>
      <c r="O8" s="67">
        <f ca="1">IF(OFFSET(Planning!$E$25,COLUMN(F5),ROW(F5),1,1)&lt;&gt;"",OFFSET(Planning!$D$25,COLUMN(F5),0,1,1),0)</f>
        <v>0</v>
      </c>
      <c r="P8" s="67">
        <f ca="1">IF(OFFSET(Planning!$E$25,COLUMN(G5),ROW(G5),1,1)&lt;&gt;"",OFFSET(Planning!$D$25,COLUMN(G5),0,1,1),0)</f>
        <v>0</v>
      </c>
      <c r="Q8" s="67">
        <f ca="1">IF(OFFSET(Planning!$E$25,COLUMN(H5),ROW(H5),1,1)&lt;&gt;"",OFFSET(Planning!$D$25,COLUMN(H5),0,1,1),0)</f>
        <v>0</v>
      </c>
      <c r="R8" s="67">
        <f ca="1">IF(OFFSET(Planning!$E$25,COLUMN(I5),ROW(I5),1,1)&lt;&gt;"",OFFSET(Planning!$D$25,COLUMN(I5),0,1,1),0)</f>
        <v>0</v>
      </c>
      <c r="S8" s="67">
        <f ca="1">IF(OFFSET(Planning!$E$25,COLUMN(J5),ROW(J5),1,1)&lt;&gt;"",OFFSET(Planning!$D$25,COLUMN(J5),0,1,1),0)</f>
        <v>0</v>
      </c>
      <c r="T8" s="67">
        <f ca="1">IF(OFFSET(Planning!$E$25,COLUMN(K5),ROW(K5),1,1)&lt;&gt;"",OFFSET(Planning!$D$25,COLUMN(K5),0,1,1),0)</f>
        <v>0</v>
      </c>
      <c r="U8" s="67">
        <f ca="1">IF(OFFSET(Planning!$E$25,COLUMN(L5),ROW(L5),1,1)&lt;&gt;"",OFFSET(Planning!$D$25,COLUMN(L5),0,1,1),0)</f>
        <v>0</v>
      </c>
      <c r="V8" s="67">
        <f ca="1">IF(OFFSET(Planning!$E$25,COLUMN(M5),ROW(M5),1,1)&lt;&gt;"",OFFSET(Planning!$D$25,COLUMN(M5),0,1,1),0)</f>
        <v>0</v>
      </c>
      <c r="W8" s="67">
        <f ca="1">IF(OFFSET(Planning!$E$25,COLUMN(N5),ROW(N5),1,1)&lt;&gt;"",OFFSET(Planning!$D$25,COLUMN(N5),0,1,1),0)</f>
        <v>0</v>
      </c>
      <c r="X8" s="67">
        <f ca="1">IF(OFFSET(Planning!$E$25,COLUMN(O5),ROW(O5),1,1)&lt;&gt;"",OFFSET(Planning!$D$25,COLUMN(O5),0,1,1),0)</f>
        <v>0</v>
      </c>
      <c r="Y8" s="67">
        <f ca="1">IF(OFFSET(Planning!$E$25,COLUMN(P5),ROW(P5),1,1)&lt;&gt;"",OFFSET(Planning!$D$25,COLUMN(P5),0,1,1),0)</f>
        <v>0</v>
      </c>
      <c r="Z8" s="67">
        <f ca="1">IF(OFFSET(Planning!$E$25,COLUMN(Q5),ROW(Q5),1,1)&lt;&gt;"",OFFSET(Planning!$D$25,COLUMN(Q5),0,1,1),0)</f>
        <v>0</v>
      </c>
      <c r="AA8" s="67">
        <f ca="1">IF(OFFSET(Planning!$E$25,COLUMN(R5),ROW(R5),1,1)&lt;&gt;"",OFFSET(Planning!$D$25,COLUMN(R5),0,1,1),0)</f>
        <v>0</v>
      </c>
      <c r="AB8" s="67">
        <f ca="1">IF(OFFSET(Planning!$E$25,COLUMN(S5),ROW(S5),1,1)&lt;&gt;"",OFFSET(Planning!$D$25,COLUMN(S5),0,1,1),0)</f>
        <v>0</v>
      </c>
      <c r="AC8" s="67">
        <f ca="1">IF(OFFSET(Planning!$E$25,COLUMN(T5),ROW(T5),1,1)&lt;&gt;"",OFFSET(Planning!$D$25,COLUMN(T5),0,1,1),0)</f>
        <v>0</v>
      </c>
      <c r="AD8" s="67">
        <f ca="1">VLOOKUP($B8,'Summary Calculations (hide)'!$D$15:$U$67,17,0)</f>
        <v>5.0017499999999995</v>
      </c>
      <c r="AE8" s="67">
        <f ca="1">VLOOKUP($B8,'Summary Calculations (hide)'!$D$15:$U$67,18,0)</f>
        <v>1.5005249999999997</v>
      </c>
    </row>
    <row r="9" spans="1:31" x14ac:dyDescent="0.25">
      <c r="A9" s="87">
        <f t="shared" ca="1" si="3"/>
        <v>43969</v>
      </c>
      <c r="B9" s="67">
        <f t="shared" ca="1" si="0"/>
        <v>21</v>
      </c>
      <c r="C9" s="5">
        <f ca="1">IF(Planning!$C$8="No",VLOOKUP(B9,'Summary Calculations (hide)'!$D$15:$U$67,17,0),IF('Demand adjustments for Covid'!$F$9="Yes",'Demand background (hide)'!DS9,VLOOKUP(B9,'Summary Calculations (hide)'!$D$15:$F$67,2,0))*IF(Planning!$C$11="",1,1+Planning!$C$11)*'Summary Calculations (hide)'!$L$4/IF(Summary!$C$8="Patients",'Summary Calculations (hide)'!$I$9,1))</f>
        <v>27.009449999999998</v>
      </c>
      <c r="D9" s="5">
        <f ca="1">IF(Planning!$C$8="No",VLOOKUP('Planning (hide)'!B9,'Summary Calculations (hide)'!$D$15:$U$67,18,0),IF('Demand adjustments for Covid'!$F$9="Yes",'Demand background (hide)'!DT9,VLOOKUP(B9,'Summary Calculations (hide)'!$D$15:$F$67,3,0))*IF(Planning!$C$11="",1,1+Planning!$C$11)*'Summary Calculations (hide)'!$L$4/IF(Summary!$C$8="Patients",'Summary Calculations (hide)'!$I$9,1))-IF(Planning!$C$8="No",0,C9)</f>
        <v>1.5005249999999997</v>
      </c>
      <c r="E9" s="5">
        <f ca="1">VLOOKUP($B9,'Summary Calculations (hide)'!$D$15:$U$67,15,0)</f>
        <v>20</v>
      </c>
      <c r="F9" s="5">
        <f ca="1">VLOOKUP($B9,'Summary Calculations (hide)'!$D$15:$U$67,16,0)</f>
        <v>0</v>
      </c>
      <c r="G9" s="5">
        <f t="shared" ca="1" si="1"/>
        <v>20</v>
      </c>
      <c r="H9" s="5">
        <f t="shared" ca="1" si="2"/>
        <v>20</v>
      </c>
      <c r="I9" s="67">
        <f ca="1">IF(OFFSET(Planning!$E$25,0,ROW(A6),1,1)&lt;&gt;"",-'Planning (hide)'!$G9,0)</f>
        <v>0</v>
      </c>
      <c r="J9" s="67">
        <f ca="1">IF(OFFSET(Planning!$E$25,COLUMN(A6),ROW(A6),1,1)&lt;&gt;"",OFFSET(Planning!$D$25,COLUMN(A6),0,1,1),0)</f>
        <v>0</v>
      </c>
      <c r="K9" s="67">
        <f ca="1">IF(OFFSET(Planning!$E$25,COLUMN(B6),ROW(B6),1,1)&lt;&gt;"",OFFSET(Planning!$D$25,COLUMN(B6),0,1,1),0)</f>
        <v>0</v>
      </c>
      <c r="L9" s="67">
        <f ca="1">IF(OFFSET(Planning!$E$25,COLUMN(C6),ROW(C6),1,1)&lt;&gt;"",OFFSET(Planning!$D$25,COLUMN(C6),0,1,1),0)</f>
        <v>0</v>
      </c>
      <c r="M9" s="67">
        <f ca="1">IF(OFFSET(Planning!$E$25,COLUMN(D6),ROW(D6),1,1)&lt;&gt;"",OFFSET(Planning!$D$25,COLUMN(D6),0,1,1),0)</f>
        <v>0</v>
      </c>
      <c r="N9" s="67">
        <f ca="1">IF(OFFSET(Planning!$E$25,COLUMN(E6),ROW(E6),1,1)&lt;&gt;"",OFFSET(Planning!$D$25,COLUMN(E6),0,1,1),0)</f>
        <v>0</v>
      </c>
      <c r="O9" s="67">
        <f ca="1">IF(OFFSET(Planning!$E$25,COLUMN(F6),ROW(F6),1,1)&lt;&gt;"",OFFSET(Planning!$D$25,COLUMN(F6),0,1,1),0)</f>
        <v>0</v>
      </c>
      <c r="P9" s="67">
        <f ca="1">IF(OFFSET(Planning!$E$25,COLUMN(G6),ROW(G6),1,1)&lt;&gt;"",OFFSET(Planning!$D$25,COLUMN(G6),0,1,1),0)</f>
        <v>0</v>
      </c>
      <c r="Q9" s="67">
        <f ca="1">IF(OFFSET(Planning!$E$25,COLUMN(H6),ROW(H6),1,1)&lt;&gt;"",OFFSET(Planning!$D$25,COLUMN(H6),0,1,1),0)</f>
        <v>0</v>
      </c>
      <c r="R9" s="67">
        <f ca="1">IF(OFFSET(Planning!$E$25,COLUMN(I6),ROW(I6),1,1)&lt;&gt;"",OFFSET(Planning!$D$25,COLUMN(I6),0,1,1),0)</f>
        <v>0</v>
      </c>
      <c r="S9" s="67">
        <f ca="1">IF(OFFSET(Planning!$E$25,COLUMN(J6),ROW(J6),1,1)&lt;&gt;"",OFFSET(Planning!$D$25,COLUMN(J6),0,1,1),0)</f>
        <v>0</v>
      </c>
      <c r="T9" s="67">
        <f ca="1">IF(OFFSET(Planning!$E$25,COLUMN(K6),ROW(K6),1,1)&lt;&gt;"",OFFSET(Planning!$D$25,COLUMN(K6),0,1,1),0)</f>
        <v>0</v>
      </c>
      <c r="U9" s="67">
        <f ca="1">IF(OFFSET(Planning!$E$25,COLUMN(L6),ROW(L6),1,1)&lt;&gt;"",OFFSET(Planning!$D$25,COLUMN(L6),0,1,1),0)</f>
        <v>0</v>
      </c>
      <c r="V9" s="67">
        <f ca="1">IF(OFFSET(Planning!$E$25,COLUMN(M6),ROW(M6),1,1)&lt;&gt;"",OFFSET(Planning!$D$25,COLUMN(M6),0,1,1),0)</f>
        <v>0</v>
      </c>
      <c r="W9" s="67">
        <f ca="1">IF(OFFSET(Planning!$E$25,COLUMN(N6),ROW(N6),1,1)&lt;&gt;"",OFFSET(Planning!$D$25,COLUMN(N6),0,1,1),0)</f>
        <v>0</v>
      </c>
      <c r="X9" s="67">
        <f ca="1">IF(OFFSET(Planning!$E$25,COLUMN(O6),ROW(O6),1,1)&lt;&gt;"",OFFSET(Planning!$D$25,COLUMN(O6),0,1,1),0)</f>
        <v>0</v>
      </c>
      <c r="Y9" s="67">
        <f ca="1">IF(OFFSET(Planning!$E$25,COLUMN(P6),ROW(P6),1,1)&lt;&gt;"",OFFSET(Planning!$D$25,COLUMN(P6),0,1,1),0)</f>
        <v>0</v>
      </c>
      <c r="Z9" s="67">
        <f ca="1">IF(OFFSET(Planning!$E$25,COLUMN(Q6),ROW(Q6),1,1)&lt;&gt;"",OFFSET(Planning!$D$25,COLUMN(Q6),0,1,1),0)</f>
        <v>0</v>
      </c>
      <c r="AA9" s="67">
        <f ca="1">IF(OFFSET(Planning!$E$25,COLUMN(R6),ROW(R6),1,1)&lt;&gt;"",OFFSET(Planning!$D$25,COLUMN(R6),0,1,1),0)</f>
        <v>0</v>
      </c>
      <c r="AB9" s="67">
        <f ca="1">IF(OFFSET(Planning!$E$25,COLUMN(S6),ROW(S6),1,1)&lt;&gt;"",OFFSET(Planning!$D$25,COLUMN(S6),0,1,1),0)</f>
        <v>0</v>
      </c>
      <c r="AC9" s="67">
        <f ca="1">IF(OFFSET(Planning!$E$25,COLUMN(T6),ROW(T6),1,1)&lt;&gt;"",OFFSET(Planning!$D$25,COLUMN(T6),0,1,1),0)</f>
        <v>0</v>
      </c>
      <c r="AD9" s="67">
        <f ca="1">VLOOKUP($B9,'Summary Calculations (hide)'!$D$15:$U$67,17,0)</f>
        <v>27.009449999999998</v>
      </c>
      <c r="AE9" s="67">
        <f ca="1">VLOOKUP($B9,'Summary Calculations (hide)'!$D$15:$U$67,18,0)</f>
        <v>1.5005249999999997</v>
      </c>
    </row>
    <row r="10" spans="1:31" x14ac:dyDescent="0.25">
      <c r="A10" s="87">
        <f t="shared" ca="1" si="3"/>
        <v>43976</v>
      </c>
      <c r="B10" s="67">
        <f t="shared" ca="1" si="0"/>
        <v>22</v>
      </c>
      <c r="C10" s="5">
        <f ca="1">IF(Planning!$C$8="No",VLOOKUP(B10,'Summary Calculations (hide)'!$D$15:$U$67,17,0),IF('Demand adjustments for Covid'!$F$9="Yes",'Demand background (hide)'!DS10,VLOOKUP(B10,'Summary Calculations (hide)'!$D$15:$F$67,2,0))*IF(Planning!$C$11="",1,1+Planning!$C$11)*'Summary Calculations (hide)'!$L$4/IF(Summary!$C$8="Patients",'Summary Calculations (hide)'!$I$9,1))</f>
        <v>49.017149999999994</v>
      </c>
      <c r="D10" s="5">
        <f ca="1">IF(Planning!$C$8="No",VLOOKUP('Planning (hide)'!B10,'Summary Calculations (hide)'!$D$15:$U$67,18,0),IF('Demand adjustments for Covid'!$F$9="Yes",'Demand background (hide)'!DT10,VLOOKUP(B10,'Summary Calculations (hide)'!$D$15:$F$67,3,0))*IF(Planning!$C$11="",1,1+Planning!$C$11)*'Summary Calculations (hide)'!$L$4/IF(Summary!$C$8="Patients",'Summary Calculations (hide)'!$I$9,1))-IF(Planning!$C$8="No",0,C10)</f>
        <v>1.5005249999999961</v>
      </c>
      <c r="E10" s="5">
        <f ca="1">VLOOKUP($B10,'Summary Calculations (hide)'!$D$15:$U$67,15,0)</f>
        <v>40</v>
      </c>
      <c r="F10" s="5">
        <f ca="1">VLOOKUP($B10,'Summary Calculations (hide)'!$D$15:$U$67,16,0)</f>
        <v>0</v>
      </c>
      <c r="G10" s="5">
        <f t="shared" ca="1" si="1"/>
        <v>40</v>
      </c>
      <c r="H10" s="5">
        <f t="shared" ca="1" si="2"/>
        <v>40</v>
      </c>
      <c r="I10" s="67">
        <f ca="1">IF(OFFSET(Planning!$E$25,0,ROW(A7),1,1)&lt;&gt;"",-'Planning (hide)'!$G10,0)</f>
        <v>0</v>
      </c>
      <c r="J10" s="67">
        <f ca="1">IF(OFFSET(Planning!$E$25,COLUMN(A7),ROW(A7),1,1)&lt;&gt;"",OFFSET(Planning!$D$25,COLUMN(A7),0,1,1),0)</f>
        <v>0</v>
      </c>
      <c r="K10" s="67">
        <f ca="1">IF(OFFSET(Planning!$E$25,COLUMN(B7),ROW(B7),1,1)&lt;&gt;"",OFFSET(Planning!$D$25,COLUMN(B7),0,1,1),0)</f>
        <v>0</v>
      </c>
      <c r="L10" s="67">
        <f ca="1">IF(OFFSET(Planning!$E$25,COLUMN(C7),ROW(C7),1,1)&lt;&gt;"",OFFSET(Planning!$D$25,COLUMN(C7),0,1,1),0)</f>
        <v>0</v>
      </c>
      <c r="M10" s="67">
        <f ca="1">IF(OFFSET(Planning!$E$25,COLUMN(D7),ROW(D7),1,1)&lt;&gt;"",OFFSET(Planning!$D$25,COLUMN(D7),0,1,1),0)</f>
        <v>0</v>
      </c>
      <c r="N10" s="67">
        <f ca="1">IF(OFFSET(Planning!$E$25,COLUMN(E7),ROW(E7),1,1)&lt;&gt;"",OFFSET(Planning!$D$25,COLUMN(E7),0,1,1),0)</f>
        <v>0</v>
      </c>
      <c r="O10" s="67">
        <f ca="1">IF(OFFSET(Planning!$E$25,COLUMN(F7),ROW(F7),1,1)&lt;&gt;"",OFFSET(Planning!$D$25,COLUMN(F7),0,1,1),0)</f>
        <v>0</v>
      </c>
      <c r="P10" s="67">
        <f ca="1">IF(OFFSET(Planning!$E$25,COLUMN(G7),ROW(G7),1,1)&lt;&gt;"",OFFSET(Planning!$D$25,COLUMN(G7),0,1,1),0)</f>
        <v>0</v>
      </c>
      <c r="Q10" s="67">
        <f ca="1">IF(OFFSET(Planning!$E$25,COLUMN(H7),ROW(H7),1,1)&lt;&gt;"",OFFSET(Planning!$D$25,COLUMN(H7),0,1,1),0)</f>
        <v>0</v>
      </c>
      <c r="R10" s="67">
        <f ca="1">IF(OFFSET(Planning!$E$25,COLUMN(I7),ROW(I7),1,1)&lt;&gt;"",OFFSET(Planning!$D$25,COLUMN(I7),0,1,1),0)</f>
        <v>0</v>
      </c>
      <c r="S10" s="67">
        <f ca="1">IF(OFFSET(Planning!$E$25,COLUMN(J7),ROW(J7),1,1)&lt;&gt;"",OFFSET(Planning!$D$25,COLUMN(J7),0,1,1),0)</f>
        <v>0</v>
      </c>
      <c r="T10" s="67">
        <f ca="1">IF(OFFSET(Planning!$E$25,COLUMN(K7),ROW(K7),1,1)&lt;&gt;"",OFFSET(Planning!$D$25,COLUMN(K7),0,1,1),0)</f>
        <v>0</v>
      </c>
      <c r="U10" s="67">
        <f ca="1">IF(OFFSET(Planning!$E$25,COLUMN(L7),ROW(L7),1,1)&lt;&gt;"",OFFSET(Planning!$D$25,COLUMN(L7),0,1,1),0)</f>
        <v>0</v>
      </c>
      <c r="V10" s="67">
        <f ca="1">IF(OFFSET(Planning!$E$25,COLUMN(M7),ROW(M7),1,1)&lt;&gt;"",OFFSET(Planning!$D$25,COLUMN(M7),0,1,1),0)</f>
        <v>0</v>
      </c>
      <c r="W10" s="67">
        <f ca="1">IF(OFFSET(Planning!$E$25,COLUMN(N7),ROW(N7),1,1)&lt;&gt;"",OFFSET(Planning!$D$25,COLUMN(N7),0,1,1),0)</f>
        <v>0</v>
      </c>
      <c r="X10" s="67">
        <f ca="1">IF(OFFSET(Planning!$E$25,COLUMN(O7),ROW(O7),1,1)&lt;&gt;"",OFFSET(Planning!$D$25,COLUMN(O7),0,1,1),0)</f>
        <v>0</v>
      </c>
      <c r="Y10" s="67">
        <f ca="1">IF(OFFSET(Planning!$E$25,COLUMN(P7),ROW(P7),1,1)&lt;&gt;"",OFFSET(Planning!$D$25,COLUMN(P7),0,1,1),0)</f>
        <v>0</v>
      </c>
      <c r="Z10" s="67">
        <f ca="1">IF(OFFSET(Planning!$E$25,COLUMN(Q7),ROW(Q7),1,1)&lt;&gt;"",OFFSET(Planning!$D$25,COLUMN(Q7),0,1,1),0)</f>
        <v>0</v>
      </c>
      <c r="AA10" s="67">
        <f ca="1">IF(OFFSET(Planning!$E$25,COLUMN(R7),ROW(R7),1,1)&lt;&gt;"",OFFSET(Planning!$D$25,COLUMN(R7),0,1,1),0)</f>
        <v>0</v>
      </c>
      <c r="AB10" s="67">
        <f ca="1">IF(OFFSET(Planning!$E$25,COLUMN(S7),ROW(S7),1,1)&lt;&gt;"",OFFSET(Planning!$D$25,COLUMN(S7),0,1,1),0)</f>
        <v>0</v>
      </c>
      <c r="AC10" s="67">
        <f ca="1">IF(OFFSET(Planning!$E$25,COLUMN(T7),ROW(T7),1,1)&lt;&gt;"",OFFSET(Planning!$D$25,COLUMN(T7),0,1,1),0)</f>
        <v>0</v>
      </c>
      <c r="AD10" s="67">
        <f ca="1">VLOOKUP($B10,'Summary Calculations (hide)'!$D$15:$U$67,17,0)</f>
        <v>49.017149999999994</v>
      </c>
      <c r="AE10" s="67">
        <f ca="1">VLOOKUP($B10,'Summary Calculations (hide)'!$D$15:$U$67,18,0)</f>
        <v>1.5005249999999961</v>
      </c>
    </row>
    <row r="11" spans="1:31" x14ac:dyDescent="0.25">
      <c r="A11" s="87">
        <f t="shared" ca="1" si="3"/>
        <v>43983</v>
      </c>
      <c r="B11" s="67">
        <f t="shared" ca="1" si="0"/>
        <v>23</v>
      </c>
      <c r="C11" s="5">
        <f ca="1">IF(Planning!$C$8="No",VLOOKUP(B11,'Summary Calculations (hide)'!$D$15:$U$67,17,0),IF('Demand adjustments for Covid'!$F$9="Yes",'Demand background (hide)'!DS11,VLOOKUP(B11,'Summary Calculations (hide)'!$D$15:$F$67,2,0))*IF(Planning!$C$11="",1,1+Planning!$C$11)*'Summary Calculations (hide)'!$L$4/IF(Summary!$C$8="Patients",'Summary Calculations (hide)'!$I$9,1))</f>
        <v>71.024849999999986</v>
      </c>
      <c r="D11" s="5">
        <f ca="1">IF(Planning!$C$8="No",VLOOKUP('Planning (hide)'!B11,'Summary Calculations (hide)'!$D$15:$U$67,18,0),IF('Demand adjustments for Covid'!$F$9="Yes",'Demand background (hide)'!DT11,VLOOKUP(B11,'Summary Calculations (hide)'!$D$15:$F$67,3,0))*IF(Planning!$C$11="",1,1+Planning!$C$11)*'Summary Calculations (hide)'!$L$4/IF(Summary!$C$8="Patients",'Summary Calculations (hide)'!$I$9,1))-IF(Planning!$C$8="No",0,C11)</f>
        <v>1.5005249999999961</v>
      </c>
      <c r="E11" s="5">
        <f ca="1">VLOOKUP($B11,'Summary Calculations (hide)'!$D$15:$U$67,15,0)</f>
        <v>80</v>
      </c>
      <c r="F11" s="5">
        <f ca="1">VLOOKUP($B11,'Summary Calculations (hide)'!$D$15:$U$67,16,0)</f>
        <v>0</v>
      </c>
      <c r="G11" s="5">
        <f t="shared" ca="1" si="1"/>
        <v>80</v>
      </c>
      <c r="H11" s="5">
        <f t="shared" ca="1" si="2"/>
        <v>80</v>
      </c>
      <c r="I11" s="67">
        <f ca="1">IF(OFFSET(Planning!$E$25,0,ROW(A8),1,1)&lt;&gt;"",-'Planning (hide)'!$G11,0)</f>
        <v>0</v>
      </c>
      <c r="J11" s="67">
        <f ca="1">IF(OFFSET(Planning!$E$25,COLUMN(A8),ROW(A8),1,1)&lt;&gt;"",OFFSET(Planning!$D$25,COLUMN(A8),0,1,1),0)</f>
        <v>0</v>
      </c>
      <c r="K11" s="67">
        <f ca="1">IF(OFFSET(Planning!$E$25,COLUMN(B8),ROW(B8),1,1)&lt;&gt;"",OFFSET(Planning!$D$25,COLUMN(B8),0,1,1),0)</f>
        <v>0</v>
      </c>
      <c r="L11" s="67">
        <f ca="1">IF(OFFSET(Planning!$E$25,COLUMN(C8),ROW(C8),1,1)&lt;&gt;"",OFFSET(Planning!$D$25,COLUMN(C8),0,1,1),0)</f>
        <v>0</v>
      </c>
      <c r="M11" s="67">
        <f ca="1">IF(OFFSET(Planning!$E$25,COLUMN(D8),ROW(D8),1,1)&lt;&gt;"",OFFSET(Planning!$D$25,COLUMN(D8),0,1,1),0)</f>
        <v>0</v>
      </c>
      <c r="N11" s="67">
        <f ca="1">IF(OFFSET(Planning!$E$25,COLUMN(E8),ROW(E8),1,1)&lt;&gt;"",OFFSET(Planning!$D$25,COLUMN(E8),0,1,1),0)</f>
        <v>0</v>
      </c>
      <c r="O11" s="67">
        <f ca="1">IF(OFFSET(Planning!$E$25,COLUMN(F8),ROW(F8),1,1)&lt;&gt;"",OFFSET(Planning!$D$25,COLUMN(F8),0,1,1),0)</f>
        <v>0</v>
      </c>
      <c r="P11" s="67">
        <f ca="1">IF(OFFSET(Planning!$E$25,COLUMN(G8),ROW(G8),1,1)&lt;&gt;"",OFFSET(Planning!$D$25,COLUMN(G8),0,1,1),0)</f>
        <v>0</v>
      </c>
      <c r="Q11" s="67">
        <f ca="1">IF(OFFSET(Planning!$E$25,COLUMN(H8),ROW(H8),1,1)&lt;&gt;"",OFFSET(Planning!$D$25,COLUMN(H8),0,1,1),0)</f>
        <v>0</v>
      </c>
      <c r="R11" s="67">
        <f ca="1">IF(OFFSET(Planning!$E$25,COLUMN(I8),ROW(I8),1,1)&lt;&gt;"",OFFSET(Planning!$D$25,COLUMN(I8),0,1,1),0)</f>
        <v>0</v>
      </c>
      <c r="S11" s="67">
        <f ca="1">IF(OFFSET(Planning!$E$25,COLUMN(J8),ROW(J8),1,1)&lt;&gt;"",OFFSET(Planning!$D$25,COLUMN(J8),0,1,1),0)</f>
        <v>0</v>
      </c>
      <c r="T11" s="67">
        <f ca="1">IF(OFFSET(Planning!$E$25,COLUMN(K8),ROW(K8),1,1)&lt;&gt;"",OFFSET(Planning!$D$25,COLUMN(K8),0,1,1),0)</f>
        <v>0</v>
      </c>
      <c r="U11" s="67">
        <f ca="1">IF(OFFSET(Planning!$E$25,COLUMN(L8),ROW(L8),1,1)&lt;&gt;"",OFFSET(Planning!$D$25,COLUMN(L8),0,1,1),0)</f>
        <v>0</v>
      </c>
      <c r="V11" s="67">
        <f ca="1">IF(OFFSET(Planning!$E$25,COLUMN(M8),ROW(M8),1,1)&lt;&gt;"",OFFSET(Planning!$D$25,COLUMN(M8),0,1,1),0)</f>
        <v>0</v>
      </c>
      <c r="W11" s="67">
        <f ca="1">IF(OFFSET(Planning!$E$25,COLUMN(N8),ROW(N8),1,1)&lt;&gt;"",OFFSET(Planning!$D$25,COLUMN(N8),0,1,1),0)</f>
        <v>0</v>
      </c>
      <c r="X11" s="67">
        <f ca="1">IF(OFFSET(Planning!$E$25,COLUMN(O8),ROW(O8),1,1)&lt;&gt;"",OFFSET(Planning!$D$25,COLUMN(O8),0,1,1),0)</f>
        <v>0</v>
      </c>
      <c r="Y11" s="67">
        <f ca="1">IF(OFFSET(Planning!$E$25,COLUMN(P8),ROW(P8),1,1)&lt;&gt;"",OFFSET(Planning!$D$25,COLUMN(P8),0,1,1),0)</f>
        <v>0</v>
      </c>
      <c r="Z11" s="67">
        <f ca="1">IF(OFFSET(Planning!$E$25,COLUMN(Q8),ROW(Q8),1,1)&lt;&gt;"",OFFSET(Planning!$D$25,COLUMN(Q8),0,1,1),0)</f>
        <v>0</v>
      </c>
      <c r="AA11" s="67">
        <f ca="1">IF(OFFSET(Planning!$E$25,COLUMN(R8),ROW(R8),1,1)&lt;&gt;"",OFFSET(Planning!$D$25,COLUMN(R8),0,1,1),0)</f>
        <v>0</v>
      </c>
      <c r="AB11" s="67">
        <f ca="1">IF(OFFSET(Planning!$E$25,COLUMN(S8),ROW(S8),1,1)&lt;&gt;"",OFFSET(Planning!$D$25,COLUMN(S8),0,1,1),0)</f>
        <v>0</v>
      </c>
      <c r="AC11" s="67">
        <f ca="1">IF(OFFSET(Planning!$E$25,COLUMN(T8),ROW(T8),1,1)&lt;&gt;"",OFFSET(Planning!$D$25,COLUMN(T8),0,1,1),0)</f>
        <v>0</v>
      </c>
      <c r="AD11" s="67">
        <f ca="1">VLOOKUP($B11,'Summary Calculations (hide)'!$D$15:$U$67,17,0)</f>
        <v>71.024850000000001</v>
      </c>
      <c r="AE11" s="67">
        <f ca="1">VLOOKUP($B11,'Summary Calculations (hide)'!$D$15:$U$67,18,0)</f>
        <v>1.5005249999999961</v>
      </c>
    </row>
    <row r="12" spans="1:31" x14ac:dyDescent="0.25">
      <c r="A12" s="87">
        <f t="shared" ca="1" si="3"/>
        <v>43990</v>
      </c>
      <c r="B12" s="67">
        <f t="shared" ca="1" si="0"/>
        <v>24</v>
      </c>
      <c r="C12" s="5">
        <f ca="1">IF(Planning!$C$8="No",VLOOKUP(B12,'Summary Calculations (hide)'!$D$15:$U$67,17,0),IF('Demand adjustments for Covid'!$F$9="Yes",'Demand background (hide)'!DS12,VLOOKUP(B12,'Summary Calculations (hide)'!$D$15:$F$67,2,0))*IF(Planning!$C$11="",1,1+Planning!$C$11)*'Summary Calculations (hide)'!$L$4/IF(Summary!$C$8="Patients",'Summary Calculations (hide)'!$I$9,1))</f>
        <v>71.024849999999986</v>
      </c>
      <c r="D12" s="5">
        <f ca="1">IF(Planning!$C$8="No",VLOOKUP('Planning (hide)'!B12,'Summary Calculations (hide)'!$D$15:$U$67,18,0),IF('Demand adjustments for Covid'!$F$9="Yes",'Demand background (hide)'!DT12,VLOOKUP(B12,'Summary Calculations (hide)'!$D$15:$F$67,3,0))*IF(Planning!$C$11="",1,1+Planning!$C$11)*'Summary Calculations (hide)'!$L$4/IF(Summary!$C$8="Patients",'Summary Calculations (hide)'!$I$9,1))-IF(Planning!$C$8="No",0,C12)</f>
        <v>7.1024850000000157</v>
      </c>
      <c r="E12" s="5">
        <f ca="1">VLOOKUP($B12,'Summary Calculations (hide)'!$D$15:$U$67,15,0)</f>
        <v>100</v>
      </c>
      <c r="F12" s="5">
        <f ca="1">VLOOKUP($B12,'Summary Calculations (hide)'!$D$15:$U$67,16,0)</f>
        <v>0</v>
      </c>
      <c r="G12" s="5">
        <f t="shared" ca="1" si="1"/>
        <v>100</v>
      </c>
      <c r="H12" s="5">
        <f t="shared" ca="1" si="2"/>
        <v>100</v>
      </c>
      <c r="I12" s="67">
        <f ca="1">IF(OFFSET(Planning!$E$25,0,ROW(A9),1,1)&lt;&gt;"",-'Planning (hide)'!$G12,0)</f>
        <v>0</v>
      </c>
      <c r="J12" s="67">
        <f ca="1">IF(OFFSET(Planning!$E$25,COLUMN(A9),ROW(A9),1,1)&lt;&gt;"",OFFSET(Planning!$D$25,COLUMN(A9),0,1,1),0)</f>
        <v>0</v>
      </c>
      <c r="K12" s="67">
        <f ca="1">IF(OFFSET(Planning!$E$25,COLUMN(B9),ROW(B9),1,1)&lt;&gt;"",OFFSET(Planning!$D$25,COLUMN(B9),0,1,1),0)</f>
        <v>0</v>
      </c>
      <c r="L12" s="67">
        <f ca="1">IF(OFFSET(Planning!$E$25,COLUMN(C9),ROW(C9),1,1)&lt;&gt;"",OFFSET(Planning!$D$25,COLUMN(C9),0,1,1),0)</f>
        <v>0</v>
      </c>
      <c r="M12" s="67">
        <f ca="1">IF(OFFSET(Planning!$E$25,COLUMN(D9),ROW(D9),1,1)&lt;&gt;"",OFFSET(Planning!$D$25,COLUMN(D9),0,1,1),0)</f>
        <v>0</v>
      </c>
      <c r="N12" s="67">
        <f ca="1">IF(OFFSET(Planning!$E$25,COLUMN(E9),ROW(E9),1,1)&lt;&gt;"",OFFSET(Planning!$D$25,COLUMN(E9),0,1,1),0)</f>
        <v>0</v>
      </c>
      <c r="O12" s="67">
        <f ca="1">IF(OFFSET(Planning!$E$25,COLUMN(F9),ROW(F9),1,1)&lt;&gt;"",OFFSET(Planning!$D$25,COLUMN(F9),0,1,1),0)</f>
        <v>0</v>
      </c>
      <c r="P12" s="67">
        <f ca="1">IF(OFFSET(Planning!$E$25,COLUMN(G9),ROW(G9),1,1)&lt;&gt;"",OFFSET(Planning!$D$25,COLUMN(G9),0,1,1),0)</f>
        <v>0</v>
      </c>
      <c r="Q12" s="67">
        <f ca="1">IF(OFFSET(Planning!$E$25,COLUMN(H9),ROW(H9),1,1)&lt;&gt;"",OFFSET(Planning!$D$25,COLUMN(H9),0,1,1),0)</f>
        <v>0</v>
      </c>
      <c r="R12" s="67">
        <f ca="1">IF(OFFSET(Planning!$E$25,COLUMN(I9),ROW(I9),1,1)&lt;&gt;"",OFFSET(Planning!$D$25,COLUMN(I9),0,1,1),0)</f>
        <v>0</v>
      </c>
      <c r="S12" s="67">
        <f ca="1">IF(OFFSET(Planning!$E$25,COLUMN(J9),ROW(J9),1,1)&lt;&gt;"",OFFSET(Planning!$D$25,COLUMN(J9),0,1,1),0)</f>
        <v>0</v>
      </c>
      <c r="T12" s="67">
        <f ca="1">IF(OFFSET(Planning!$E$25,COLUMN(K9),ROW(K9),1,1)&lt;&gt;"",OFFSET(Planning!$D$25,COLUMN(K9),0,1,1),0)</f>
        <v>0</v>
      </c>
      <c r="U12" s="67">
        <f ca="1">IF(OFFSET(Planning!$E$25,COLUMN(L9),ROW(L9),1,1)&lt;&gt;"",OFFSET(Planning!$D$25,COLUMN(L9),0,1,1),0)</f>
        <v>0</v>
      </c>
      <c r="V12" s="67">
        <f ca="1">IF(OFFSET(Planning!$E$25,COLUMN(M9),ROW(M9),1,1)&lt;&gt;"",OFFSET(Planning!$D$25,COLUMN(M9),0,1,1),0)</f>
        <v>0</v>
      </c>
      <c r="W12" s="67">
        <f ca="1">IF(OFFSET(Planning!$E$25,COLUMN(N9),ROW(N9),1,1)&lt;&gt;"",OFFSET(Planning!$D$25,COLUMN(N9),0,1,1),0)</f>
        <v>0</v>
      </c>
      <c r="X12" s="67">
        <f ca="1">IF(OFFSET(Planning!$E$25,COLUMN(O9),ROW(O9),1,1)&lt;&gt;"",OFFSET(Planning!$D$25,COLUMN(O9),0,1,1),0)</f>
        <v>0</v>
      </c>
      <c r="Y12" s="67">
        <f ca="1">IF(OFFSET(Planning!$E$25,COLUMN(P9),ROW(P9),1,1)&lt;&gt;"",OFFSET(Planning!$D$25,COLUMN(P9),0,1,1),0)</f>
        <v>0</v>
      </c>
      <c r="Z12" s="67">
        <f ca="1">IF(OFFSET(Planning!$E$25,COLUMN(Q9),ROW(Q9),1,1)&lt;&gt;"",OFFSET(Planning!$D$25,COLUMN(Q9),0,1,1),0)</f>
        <v>0</v>
      </c>
      <c r="AA12" s="67">
        <f ca="1">IF(OFFSET(Planning!$E$25,COLUMN(R9),ROW(R9),1,1)&lt;&gt;"",OFFSET(Planning!$D$25,COLUMN(R9),0,1,1),0)</f>
        <v>0</v>
      </c>
      <c r="AB12" s="67">
        <f ca="1">IF(OFFSET(Planning!$E$25,COLUMN(S9),ROW(S9),1,1)&lt;&gt;"",OFFSET(Planning!$D$25,COLUMN(S9),0,1,1),0)</f>
        <v>0</v>
      </c>
      <c r="AC12" s="67">
        <f ca="1">IF(OFFSET(Planning!$E$25,COLUMN(T9),ROW(T9),1,1)&lt;&gt;"",OFFSET(Planning!$D$25,COLUMN(T9),0,1,1),0)</f>
        <v>0</v>
      </c>
      <c r="AD12" s="67">
        <f ca="1">VLOOKUP($B12,'Summary Calculations (hide)'!$D$15:$U$67,17,0)</f>
        <v>96.033599999999979</v>
      </c>
      <c r="AE12" s="67">
        <f ca="1">VLOOKUP($B12,'Summary Calculations (hide)'!$D$15:$U$67,18,0)</f>
        <v>7.1024850000000299</v>
      </c>
    </row>
    <row r="13" spans="1:31" x14ac:dyDescent="0.25">
      <c r="A13" s="87">
        <f t="shared" ca="1" si="3"/>
        <v>43997</v>
      </c>
      <c r="B13" s="67">
        <f t="shared" ca="1" si="0"/>
        <v>25</v>
      </c>
      <c r="C13" s="5">
        <f ca="1">IF(Planning!$C$8="No",VLOOKUP(B13,'Summary Calculations (hide)'!$D$15:$U$67,17,0),IF('Demand adjustments for Covid'!$F$9="Yes",'Demand background (hide)'!DS13,VLOOKUP(B13,'Summary Calculations (hide)'!$D$15:$F$67,2,0))*IF(Planning!$C$11="",1,1+Planning!$C$11)*'Summary Calculations (hide)'!$L$4/IF(Summary!$C$8="Patients",'Summary Calculations (hide)'!$I$9,1))</f>
        <v>70.024499999999989</v>
      </c>
      <c r="D13" s="5">
        <f ca="1">IF(Planning!$C$8="No",VLOOKUP('Planning (hide)'!B13,'Summary Calculations (hide)'!$D$15:$U$67,18,0),IF('Demand adjustments for Covid'!$F$9="Yes",'Demand background (hide)'!DT13,VLOOKUP(B13,'Summary Calculations (hide)'!$D$15:$F$67,3,0))*IF(Planning!$C$11="",1,1+Planning!$C$11)*'Summary Calculations (hide)'!$L$4/IF(Summary!$C$8="Patients",'Summary Calculations (hide)'!$I$9,1))-IF(Planning!$C$8="No",0,C13)</f>
        <v>7.0024499999999961</v>
      </c>
      <c r="E13" s="5">
        <f ca="1">VLOOKUP($B13,'Summary Calculations (hide)'!$D$15:$U$67,15,0)</f>
        <v>100</v>
      </c>
      <c r="F13" s="5">
        <f ca="1">VLOOKUP($B13,'Summary Calculations (hide)'!$D$15:$U$67,16,0)</f>
        <v>0</v>
      </c>
      <c r="G13" s="5">
        <f t="shared" ca="1" si="1"/>
        <v>100</v>
      </c>
      <c r="H13" s="5">
        <f t="shared" ca="1" si="2"/>
        <v>100</v>
      </c>
      <c r="I13" s="67">
        <f ca="1">IF(OFFSET(Planning!$E$25,0,ROW(A10),1,1)&lt;&gt;"",-'Planning (hide)'!$G13,0)</f>
        <v>0</v>
      </c>
      <c r="J13" s="67">
        <f ca="1">IF(OFFSET(Planning!$E$25,COLUMN(A10),ROW(A10),1,1)&lt;&gt;"",OFFSET(Planning!$D$25,COLUMN(A10),0,1,1),0)</f>
        <v>0</v>
      </c>
      <c r="K13" s="67">
        <f ca="1">IF(OFFSET(Planning!$E$25,COLUMN(B10),ROW(B10),1,1)&lt;&gt;"",OFFSET(Planning!$D$25,COLUMN(B10),0,1,1),0)</f>
        <v>0</v>
      </c>
      <c r="L13" s="67">
        <f ca="1">IF(OFFSET(Planning!$E$25,COLUMN(C10),ROW(C10),1,1)&lt;&gt;"",OFFSET(Planning!$D$25,COLUMN(C10),0,1,1),0)</f>
        <v>0</v>
      </c>
      <c r="M13" s="67">
        <f ca="1">IF(OFFSET(Planning!$E$25,COLUMN(D10),ROW(D10),1,1)&lt;&gt;"",OFFSET(Planning!$D$25,COLUMN(D10),0,1,1),0)</f>
        <v>0</v>
      </c>
      <c r="N13" s="67">
        <f ca="1">IF(OFFSET(Planning!$E$25,COLUMN(E10),ROW(E10),1,1)&lt;&gt;"",OFFSET(Planning!$D$25,COLUMN(E10),0,1,1),0)</f>
        <v>0</v>
      </c>
      <c r="O13" s="67">
        <f ca="1">IF(OFFSET(Planning!$E$25,COLUMN(F10),ROW(F10),1,1)&lt;&gt;"",OFFSET(Planning!$D$25,COLUMN(F10),0,1,1),0)</f>
        <v>0</v>
      </c>
      <c r="P13" s="67">
        <f ca="1">IF(OFFSET(Planning!$E$25,COLUMN(G10),ROW(G10),1,1)&lt;&gt;"",OFFSET(Planning!$D$25,COLUMN(G10),0,1,1),0)</f>
        <v>0</v>
      </c>
      <c r="Q13" s="67">
        <f ca="1">IF(OFFSET(Planning!$E$25,COLUMN(H10),ROW(H10),1,1)&lt;&gt;"",OFFSET(Planning!$D$25,COLUMN(H10),0,1,1),0)</f>
        <v>0</v>
      </c>
      <c r="R13" s="67">
        <f ca="1">IF(OFFSET(Planning!$E$25,COLUMN(I10),ROW(I10),1,1)&lt;&gt;"",OFFSET(Planning!$D$25,COLUMN(I10),0,1,1),0)</f>
        <v>0</v>
      </c>
      <c r="S13" s="67">
        <f ca="1">IF(OFFSET(Planning!$E$25,COLUMN(J10),ROW(J10),1,1)&lt;&gt;"",OFFSET(Planning!$D$25,COLUMN(J10),0,1,1),0)</f>
        <v>0</v>
      </c>
      <c r="T13" s="67">
        <f ca="1">IF(OFFSET(Planning!$E$25,COLUMN(K10),ROW(K10),1,1)&lt;&gt;"",OFFSET(Planning!$D$25,COLUMN(K10),0,1,1),0)</f>
        <v>0</v>
      </c>
      <c r="U13" s="67">
        <f ca="1">IF(OFFSET(Planning!$E$25,COLUMN(L10),ROW(L10),1,1)&lt;&gt;"",OFFSET(Planning!$D$25,COLUMN(L10),0,1,1),0)</f>
        <v>0</v>
      </c>
      <c r="V13" s="67">
        <f ca="1">IF(OFFSET(Planning!$E$25,COLUMN(M10),ROW(M10),1,1)&lt;&gt;"",OFFSET(Planning!$D$25,COLUMN(M10),0,1,1),0)</f>
        <v>0</v>
      </c>
      <c r="W13" s="67">
        <f ca="1">IF(OFFSET(Planning!$E$25,COLUMN(N10),ROW(N10),1,1)&lt;&gt;"",OFFSET(Planning!$D$25,COLUMN(N10),0,1,1),0)</f>
        <v>0</v>
      </c>
      <c r="X13" s="67">
        <f ca="1">IF(OFFSET(Planning!$E$25,COLUMN(O10),ROW(O10),1,1)&lt;&gt;"",OFFSET(Planning!$D$25,COLUMN(O10),0,1,1),0)</f>
        <v>0</v>
      </c>
      <c r="Y13" s="67">
        <f ca="1">IF(OFFSET(Planning!$E$25,COLUMN(P10),ROW(P10),1,1)&lt;&gt;"",OFFSET(Planning!$D$25,COLUMN(P10),0,1,1),0)</f>
        <v>0</v>
      </c>
      <c r="Z13" s="67">
        <f ca="1">IF(OFFSET(Planning!$E$25,COLUMN(Q10),ROW(Q10),1,1)&lt;&gt;"",OFFSET(Planning!$D$25,COLUMN(Q10),0,1,1),0)</f>
        <v>0</v>
      </c>
      <c r="AA13" s="67">
        <f ca="1">IF(OFFSET(Planning!$E$25,COLUMN(R10),ROW(R10),1,1)&lt;&gt;"",OFFSET(Planning!$D$25,COLUMN(R10),0,1,1),0)</f>
        <v>0</v>
      </c>
      <c r="AB13" s="67">
        <f ca="1">IF(OFFSET(Planning!$E$25,COLUMN(S10),ROW(S10),1,1)&lt;&gt;"",OFFSET(Planning!$D$25,COLUMN(S10),0,1,1),0)</f>
        <v>0</v>
      </c>
      <c r="AC13" s="67">
        <f ca="1">IF(OFFSET(Planning!$E$25,COLUMN(T10),ROW(T10),1,1)&lt;&gt;"",OFFSET(Planning!$D$25,COLUMN(T10),0,1,1),0)</f>
        <v>0</v>
      </c>
      <c r="AD13" s="67">
        <f ca="1">VLOOKUP($B13,'Summary Calculations (hide)'!$D$15:$U$67,17,0)</f>
        <v>95.033249999999995</v>
      </c>
      <c r="AE13" s="67">
        <f ca="1">VLOOKUP($B13,'Summary Calculations (hide)'!$D$15:$U$67,18,0)</f>
        <v>7.0024499999999961</v>
      </c>
    </row>
    <row r="14" spans="1:31" x14ac:dyDescent="0.25">
      <c r="A14" s="87">
        <f t="shared" ca="1" si="3"/>
        <v>44004</v>
      </c>
      <c r="B14" s="67">
        <f t="shared" ca="1" si="0"/>
        <v>26</v>
      </c>
      <c r="C14" s="5">
        <f ca="1">IF(Planning!$C$8="No",VLOOKUP(B14,'Summary Calculations (hide)'!$D$15:$U$67,17,0),IF('Demand adjustments for Covid'!$F$9="Yes",'Demand background (hide)'!DS14,VLOOKUP(B14,'Summary Calculations (hide)'!$D$15:$F$67,2,0))*IF(Planning!$C$11="",1,1+Planning!$C$11)*'Summary Calculations (hide)'!$L$4/IF(Summary!$C$8="Patients",'Summary Calculations (hide)'!$I$9,1))</f>
        <v>76.026599999999988</v>
      </c>
      <c r="D14" s="5">
        <f ca="1">IF(Planning!$C$8="No",VLOOKUP('Planning (hide)'!B14,'Summary Calculations (hide)'!$D$15:$U$67,18,0),IF('Demand adjustments for Covid'!$F$9="Yes",'Demand background (hide)'!DT14,VLOOKUP(B14,'Summary Calculations (hide)'!$D$15:$F$67,3,0))*IF(Planning!$C$11="",1,1+Planning!$C$11)*'Summary Calculations (hide)'!$L$4/IF(Summary!$C$8="Patients",'Summary Calculations (hide)'!$I$9,1))-IF(Planning!$C$8="No",0,C14)</f>
        <v>7.6026600000000144</v>
      </c>
      <c r="E14" s="5">
        <f ca="1">VLOOKUP($B14,'Summary Calculations (hide)'!$D$15:$U$67,15,0)</f>
        <v>100</v>
      </c>
      <c r="F14" s="5">
        <f ca="1">VLOOKUP($B14,'Summary Calculations (hide)'!$D$15:$U$67,16,0)</f>
        <v>0</v>
      </c>
      <c r="G14" s="5">
        <f t="shared" ca="1" si="1"/>
        <v>100</v>
      </c>
      <c r="H14" s="5">
        <f t="shared" ca="1" si="2"/>
        <v>100</v>
      </c>
      <c r="I14" s="67">
        <f ca="1">IF(OFFSET(Planning!$E$25,0,ROW(A11),1,1)&lt;&gt;"",-'Planning (hide)'!$G14,0)</f>
        <v>0</v>
      </c>
      <c r="J14" s="67">
        <f ca="1">IF(OFFSET(Planning!$E$25,COLUMN(A11),ROW(A11),1,1)&lt;&gt;"",OFFSET(Planning!$D$25,COLUMN(A11),0,1,1),0)</f>
        <v>0</v>
      </c>
      <c r="K14" s="67">
        <f ca="1">IF(OFFSET(Planning!$E$25,COLUMN(B11),ROW(B11),1,1)&lt;&gt;"",OFFSET(Planning!$D$25,COLUMN(B11),0,1,1),0)</f>
        <v>0</v>
      </c>
      <c r="L14" s="67">
        <f ca="1">IF(OFFSET(Planning!$E$25,COLUMN(C11),ROW(C11),1,1)&lt;&gt;"",OFFSET(Planning!$D$25,COLUMN(C11),0,1,1),0)</f>
        <v>0</v>
      </c>
      <c r="M14" s="67">
        <f ca="1">IF(OFFSET(Planning!$E$25,COLUMN(D11),ROW(D11),1,1)&lt;&gt;"",OFFSET(Planning!$D$25,COLUMN(D11),0,1,1),0)</f>
        <v>0</v>
      </c>
      <c r="N14" s="67">
        <f ca="1">IF(OFFSET(Planning!$E$25,COLUMN(E11),ROW(E11),1,1)&lt;&gt;"",OFFSET(Planning!$D$25,COLUMN(E11),0,1,1),0)</f>
        <v>0</v>
      </c>
      <c r="O14" s="67">
        <f ca="1">IF(OFFSET(Planning!$E$25,COLUMN(F11),ROW(F11),1,1)&lt;&gt;"",OFFSET(Planning!$D$25,COLUMN(F11),0,1,1),0)</f>
        <v>0</v>
      </c>
      <c r="P14" s="67">
        <f ca="1">IF(OFFSET(Planning!$E$25,COLUMN(G11),ROW(G11),1,1)&lt;&gt;"",OFFSET(Planning!$D$25,COLUMN(G11),0,1,1),0)</f>
        <v>0</v>
      </c>
      <c r="Q14" s="67">
        <f ca="1">IF(OFFSET(Planning!$E$25,COLUMN(H11),ROW(H11),1,1)&lt;&gt;"",OFFSET(Planning!$D$25,COLUMN(H11),0,1,1),0)</f>
        <v>0</v>
      </c>
      <c r="R14" s="67">
        <f ca="1">IF(OFFSET(Planning!$E$25,COLUMN(I11),ROW(I11),1,1)&lt;&gt;"",OFFSET(Planning!$D$25,COLUMN(I11),0,1,1),0)</f>
        <v>0</v>
      </c>
      <c r="S14" s="67">
        <f ca="1">IF(OFFSET(Planning!$E$25,COLUMN(J11),ROW(J11),1,1)&lt;&gt;"",OFFSET(Planning!$D$25,COLUMN(J11),0,1,1),0)</f>
        <v>0</v>
      </c>
      <c r="T14" s="67">
        <f ca="1">IF(OFFSET(Planning!$E$25,COLUMN(K11),ROW(K11),1,1)&lt;&gt;"",OFFSET(Planning!$D$25,COLUMN(K11),0,1,1),0)</f>
        <v>0</v>
      </c>
      <c r="U14" s="67">
        <f ca="1">IF(OFFSET(Planning!$E$25,COLUMN(L11),ROW(L11),1,1)&lt;&gt;"",OFFSET(Planning!$D$25,COLUMN(L11),0,1,1),0)</f>
        <v>0</v>
      </c>
      <c r="V14" s="67">
        <f ca="1">IF(OFFSET(Planning!$E$25,COLUMN(M11),ROW(M11),1,1)&lt;&gt;"",OFFSET(Planning!$D$25,COLUMN(M11),0,1,1),0)</f>
        <v>0</v>
      </c>
      <c r="W14" s="67">
        <f ca="1">IF(OFFSET(Planning!$E$25,COLUMN(N11),ROW(N11),1,1)&lt;&gt;"",OFFSET(Planning!$D$25,COLUMN(N11),0,1,1),0)</f>
        <v>0</v>
      </c>
      <c r="X14" s="67">
        <f ca="1">IF(OFFSET(Planning!$E$25,COLUMN(O11),ROW(O11),1,1)&lt;&gt;"",OFFSET(Planning!$D$25,COLUMN(O11),0,1,1),0)</f>
        <v>0</v>
      </c>
      <c r="Y14" s="67">
        <f ca="1">IF(OFFSET(Planning!$E$25,COLUMN(P11),ROW(P11),1,1)&lt;&gt;"",OFFSET(Planning!$D$25,COLUMN(P11),0,1,1),0)</f>
        <v>0</v>
      </c>
      <c r="Z14" s="67">
        <f ca="1">IF(OFFSET(Planning!$E$25,COLUMN(Q11),ROW(Q11),1,1)&lt;&gt;"",OFFSET(Planning!$D$25,COLUMN(Q11),0,1,1),0)</f>
        <v>0</v>
      </c>
      <c r="AA14" s="67">
        <f ca="1">IF(OFFSET(Planning!$E$25,COLUMN(R11),ROW(R11),1,1)&lt;&gt;"",OFFSET(Planning!$D$25,COLUMN(R11),0,1,1),0)</f>
        <v>0</v>
      </c>
      <c r="AB14" s="67">
        <f ca="1">IF(OFFSET(Planning!$E$25,COLUMN(S11),ROW(S11),1,1)&lt;&gt;"",OFFSET(Planning!$D$25,COLUMN(S11),0,1,1),0)</f>
        <v>0</v>
      </c>
      <c r="AC14" s="67">
        <f ca="1">IF(OFFSET(Planning!$E$25,COLUMN(T11),ROW(T11),1,1)&lt;&gt;"",OFFSET(Planning!$D$25,COLUMN(T11),0,1,1),0)</f>
        <v>0</v>
      </c>
      <c r="AD14" s="67">
        <f ca="1">VLOOKUP($B14,'Summary Calculations (hide)'!$D$15:$U$67,17,0)</f>
        <v>96.033599999999979</v>
      </c>
      <c r="AE14" s="67">
        <f ca="1">VLOOKUP($B14,'Summary Calculations (hide)'!$D$15:$U$67,18,0)</f>
        <v>7.6026600000000144</v>
      </c>
    </row>
    <row r="15" spans="1:31" x14ac:dyDescent="0.25">
      <c r="A15" s="87">
        <f t="shared" ca="1" si="3"/>
        <v>44011</v>
      </c>
      <c r="B15" s="67">
        <f t="shared" ca="1" si="0"/>
        <v>27</v>
      </c>
      <c r="C15" s="5">
        <f ca="1">IF(Planning!$C$8="No",VLOOKUP(B15,'Summary Calculations (hide)'!$D$15:$U$67,17,0),IF('Demand adjustments for Covid'!$F$9="Yes",'Demand background (hide)'!DS15,VLOOKUP(B15,'Summary Calculations (hide)'!$D$15:$F$67,2,0))*IF(Planning!$C$11="",1,1+Planning!$C$11)*'Summary Calculations (hide)'!$L$4/IF(Summary!$C$8="Patients",'Summary Calculations (hide)'!$I$9,1))</f>
        <v>69.024149999999992</v>
      </c>
      <c r="D15" s="5">
        <f ca="1">IF(Planning!$C$8="No",VLOOKUP('Planning (hide)'!B15,'Summary Calculations (hide)'!$D$15:$U$67,18,0),IF('Demand adjustments for Covid'!$F$9="Yes",'Demand background (hide)'!DT15,VLOOKUP(B15,'Summary Calculations (hide)'!$D$15:$F$67,3,0))*IF(Planning!$C$11="",1,1+Planning!$C$11)*'Summary Calculations (hide)'!$L$4/IF(Summary!$C$8="Patients",'Summary Calculations (hide)'!$I$9,1))-IF(Planning!$C$8="No",0,C15)</f>
        <v>6.9024150000000049</v>
      </c>
      <c r="E15" s="5">
        <f ca="1">VLOOKUP($B15,'Summary Calculations (hide)'!$D$15:$U$67,15,0)</f>
        <v>100</v>
      </c>
      <c r="F15" s="5">
        <f ca="1">VLOOKUP($B15,'Summary Calculations (hide)'!$D$15:$U$67,16,0)</f>
        <v>0</v>
      </c>
      <c r="G15" s="5">
        <f t="shared" ca="1" si="1"/>
        <v>100</v>
      </c>
      <c r="H15" s="5">
        <f t="shared" ca="1" si="2"/>
        <v>100</v>
      </c>
      <c r="I15" s="67">
        <f ca="1">IF(OFFSET(Planning!$E$25,0,ROW(A12),1,1)&lt;&gt;"",-'Planning (hide)'!$G15,0)</f>
        <v>0</v>
      </c>
      <c r="J15" s="67">
        <f ca="1">IF(OFFSET(Planning!$E$25,COLUMN(A12),ROW(A12),1,1)&lt;&gt;"",OFFSET(Planning!$D$25,COLUMN(A12),0,1,1),0)</f>
        <v>0</v>
      </c>
      <c r="K15" s="67">
        <f ca="1">IF(OFFSET(Planning!$E$25,COLUMN(B12),ROW(B12),1,1)&lt;&gt;"",OFFSET(Planning!$D$25,COLUMN(B12),0,1,1),0)</f>
        <v>0</v>
      </c>
      <c r="L15" s="67">
        <f ca="1">IF(OFFSET(Planning!$E$25,COLUMN(C12),ROW(C12),1,1)&lt;&gt;"",OFFSET(Planning!$D$25,COLUMN(C12),0,1,1),0)</f>
        <v>0</v>
      </c>
      <c r="M15" s="67">
        <f ca="1">IF(OFFSET(Planning!$E$25,COLUMN(D12),ROW(D12),1,1)&lt;&gt;"",OFFSET(Planning!$D$25,COLUMN(D12),0,1,1),0)</f>
        <v>0</v>
      </c>
      <c r="N15" s="67">
        <f ca="1">IF(OFFSET(Planning!$E$25,COLUMN(E12),ROW(E12),1,1)&lt;&gt;"",OFFSET(Planning!$D$25,COLUMN(E12),0,1,1),0)</f>
        <v>0</v>
      </c>
      <c r="O15" s="67">
        <f ca="1">IF(OFFSET(Planning!$E$25,COLUMN(F12),ROW(F12),1,1)&lt;&gt;"",OFFSET(Planning!$D$25,COLUMN(F12),0,1,1),0)</f>
        <v>0</v>
      </c>
      <c r="P15" s="67">
        <f ca="1">IF(OFFSET(Planning!$E$25,COLUMN(G12),ROW(G12),1,1)&lt;&gt;"",OFFSET(Planning!$D$25,COLUMN(G12),0,1,1),0)</f>
        <v>0</v>
      </c>
      <c r="Q15" s="67">
        <f ca="1">IF(OFFSET(Planning!$E$25,COLUMN(H12),ROW(H12),1,1)&lt;&gt;"",OFFSET(Planning!$D$25,COLUMN(H12),0,1,1),0)</f>
        <v>0</v>
      </c>
      <c r="R15" s="67">
        <f ca="1">IF(OFFSET(Planning!$E$25,COLUMN(I12),ROW(I12),1,1)&lt;&gt;"",OFFSET(Planning!$D$25,COLUMN(I12),0,1,1),0)</f>
        <v>0</v>
      </c>
      <c r="S15" s="67">
        <f ca="1">IF(OFFSET(Planning!$E$25,COLUMN(J12),ROW(J12),1,1)&lt;&gt;"",OFFSET(Planning!$D$25,COLUMN(J12),0,1,1),0)</f>
        <v>0</v>
      </c>
      <c r="T15" s="67">
        <f ca="1">IF(OFFSET(Planning!$E$25,COLUMN(K12),ROW(K12),1,1)&lt;&gt;"",OFFSET(Planning!$D$25,COLUMN(K12),0,1,1),0)</f>
        <v>0</v>
      </c>
      <c r="U15" s="67">
        <f ca="1">IF(OFFSET(Planning!$E$25,COLUMN(L12),ROW(L12),1,1)&lt;&gt;"",OFFSET(Planning!$D$25,COLUMN(L12),0,1,1),0)</f>
        <v>0</v>
      </c>
      <c r="V15" s="67">
        <f ca="1">IF(OFFSET(Planning!$E$25,COLUMN(M12),ROW(M12),1,1)&lt;&gt;"",OFFSET(Planning!$D$25,COLUMN(M12),0,1,1),0)</f>
        <v>0</v>
      </c>
      <c r="W15" s="67">
        <f ca="1">IF(OFFSET(Planning!$E$25,COLUMN(N12),ROW(N12),1,1)&lt;&gt;"",OFFSET(Planning!$D$25,COLUMN(N12),0,1,1),0)</f>
        <v>0</v>
      </c>
      <c r="X15" s="67">
        <f ca="1">IF(OFFSET(Planning!$E$25,COLUMN(O12),ROW(O12),1,1)&lt;&gt;"",OFFSET(Planning!$D$25,COLUMN(O12),0,1,1),0)</f>
        <v>0</v>
      </c>
      <c r="Y15" s="67">
        <f ca="1">IF(OFFSET(Planning!$E$25,COLUMN(P12),ROW(P12),1,1)&lt;&gt;"",OFFSET(Planning!$D$25,COLUMN(P12),0,1,1),0)</f>
        <v>0</v>
      </c>
      <c r="Z15" s="67">
        <f ca="1">IF(OFFSET(Planning!$E$25,COLUMN(Q12),ROW(Q12),1,1)&lt;&gt;"",OFFSET(Planning!$D$25,COLUMN(Q12),0,1,1),0)</f>
        <v>0</v>
      </c>
      <c r="AA15" s="67">
        <f ca="1">IF(OFFSET(Planning!$E$25,COLUMN(R12),ROW(R12),1,1)&lt;&gt;"",OFFSET(Planning!$D$25,COLUMN(R12),0,1,1),0)</f>
        <v>0</v>
      </c>
      <c r="AB15" s="67">
        <f ca="1">IF(OFFSET(Planning!$E$25,COLUMN(S12),ROW(S12),1,1)&lt;&gt;"",OFFSET(Planning!$D$25,COLUMN(S12),0,1,1),0)</f>
        <v>0</v>
      </c>
      <c r="AC15" s="67">
        <f ca="1">IF(OFFSET(Planning!$E$25,COLUMN(T12),ROW(T12),1,1)&lt;&gt;"",OFFSET(Planning!$D$25,COLUMN(T12),0,1,1),0)</f>
        <v>0</v>
      </c>
      <c r="AD15" s="67">
        <f ca="1">VLOOKUP($B15,'Summary Calculations (hide)'!$D$15:$U$67,17,0)</f>
        <v>74.025899999999993</v>
      </c>
      <c r="AE15" s="67">
        <f ca="1">VLOOKUP($B15,'Summary Calculations (hide)'!$D$15:$U$67,18,0)</f>
        <v>6.9024150000000049</v>
      </c>
    </row>
    <row r="16" spans="1:31" x14ac:dyDescent="0.25">
      <c r="A16" s="87">
        <f t="shared" ca="1" si="3"/>
        <v>44018</v>
      </c>
      <c r="B16" s="67">
        <f t="shared" ca="1" si="0"/>
        <v>28</v>
      </c>
      <c r="C16" s="5">
        <f ca="1">IF(Planning!$C$8="No",VLOOKUP(B16,'Summary Calculations (hide)'!$D$15:$U$67,17,0),IF('Demand adjustments for Covid'!$F$9="Yes",'Demand background (hide)'!DS16,VLOOKUP(B16,'Summary Calculations (hide)'!$D$15:$F$67,2,0))*IF(Planning!$C$11="",1,1+Planning!$C$11)*'Summary Calculations (hide)'!$L$4/IF(Summary!$C$8="Patients",'Summary Calculations (hide)'!$I$9,1))</f>
        <v>60.020999999999994</v>
      </c>
      <c r="D16" s="5">
        <f ca="1">IF(Planning!$C$8="No",VLOOKUP('Planning (hide)'!B16,'Summary Calculations (hide)'!$D$15:$U$67,18,0),IF('Demand adjustments for Covid'!$F$9="Yes",'Demand background (hide)'!DT16,VLOOKUP(B16,'Summary Calculations (hide)'!$D$15:$F$67,3,0))*IF(Planning!$C$11="",1,1+Planning!$C$11)*'Summary Calculations (hide)'!$L$4/IF(Summary!$C$8="Patients",'Summary Calculations (hide)'!$I$9,1))-IF(Planning!$C$8="No",0,C16)</f>
        <v>6.0020999999999916</v>
      </c>
      <c r="E16" s="5">
        <f ca="1">VLOOKUP($B16,'Summary Calculations (hide)'!$D$15:$U$67,15,0)</f>
        <v>80.769230769230774</v>
      </c>
      <c r="F16" s="5">
        <f ca="1">VLOOKUP($B16,'Summary Calculations (hide)'!$D$15:$U$67,16,0)</f>
        <v>10</v>
      </c>
      <c r="G16" s="5">
        <f t="shared" ca="1" si="1"/>
        <v>90.769230769230774</v>
      </c>
      <c r="H16" s="5">
        <f t="shared" ca="1" si="2"/>
        <v>90.769230769230774</v>
      </c>
      <c r="I16" s="67">
        <f ca="1">IF(OFFSET(Planning!$E$25,0,ROW(A13),1,1)&lt;&gt;"",-'Planning (hide)'!$G16,0)</f>
        <v>0</v>
      </c>
      <c r="J16" s="67">
        <f ca="1">IF(OFFSET(Planning!$E$25,COLUMN(A13),ROW(A13),1,1)&lt;&gt;"",OFFSET(Planning!$D$25,COLUMN(A13),0,1,1),0)</f>
        <v>0</v>
      </c>
      <c r="K16" s="67">
        <f ca="1">IF(OFFSET(Planning!$E$25,COLUMN(B13),ROW(B13),1,1)&lt;&gt;"",OFFSET(Planning!$D$25,COLUMN(B13),0,1,1),0)</f>
        <v>0</v>
      </c>
      <c r="L16" s="67">
        <f ca="1">IF(OFFSET(Planning!$E$25,COLUMN(C13),ROW(C13),1,1)&lt;&gt;"",OFFSET(Planning!$D$25,COLUMN(C13),0,1,1),0)</f>
        <v>0</v>
      </c>
      <c r="M16" s="67">
        <f ca="1">IF(OFFSET(Planning!$E$25,COLUMN(D13),ROW(D13),1,1)&lt;&gt;"",OFFSET(Planning!$D$25,COLUMN(D13),0,1,1),0)</f>
        <v>0</v>
      </c>
      <c r="N16" s="67">
        <f ca="1">IF(OFFSET(Planning!$E$25,COLUMN(E13),ROW(E13),1,1)&lt;&gt;"",OFFSET(Planning!$D$25,COLUMN(E13),0,1,1),0)</f>
        <v>0</v>
      </c>
      <c r="O16" s="67">
        <f ca="1">IF(OFFSET(Planning!$E$25,COLUMN(F13),ROW(F13),1,1)&lt;&gt;"",OFFSET(Planning!$D$25,COLUMN(F13),0,1,1),0)</f>
        <v>0</v>
      </c>
      <c r="P16" s="67">
        <f ca="1">IF(OFFSET(Planning!$E$25,COLUMN(G13),ROW(G13),1,1)&lt;&gt;"",OFFSET(Planning!$D$25,COLUMN(G13),0,1,1),0)</f>
        <v>0</v>
      </c>
      <c r="Q16" s="67">
        <f ca="1">IF(OFFSET(Planning!$E$25,COLUMN(H13),ROW(H13),1,1)&lt;&gt;"",OFFSET(Planning!$D$25,COLUMN(H13),0,1,1),0)</f>
        <v>0</v>
      </c>
      <c r="R16" s="67">
        <f ca="1">IF(OFFSET(Planning!$E$25,COLUMN(I13),ROW(I13),1,1)&lt;&gt;"",OFFSET(Planning!$D$25,COLUMN(I13),0,1,1),0)</f>
        <v>0</v>
      </c>
      <c r="S16" s="67">
        <f ca="1">IF(OFFSET(Planning!$E$25,COLUMN(J13),ROW(J13),1,1)&lt;&gt;"",OFFSET(Planning!$D$25,COLUMN(J13),0,1,1),0)</f>
        <v>0</v>
      </c>
      <c r="T16" s="67">
        <f ca="1">IF(OFFSET(Planning!$E$25,COLUMN(K13),ROW(K13),1,1)&lt;&gt;"",OFFSET(Planning!$D$25,COLUMN(K13),0,1,1),0)</f>
        <v>0</v>
      </c>
      <c r="U16" s="67">
        <f ca="1">IF(OFFSET(Planning!$E$25,COLUMN(L13),ROW(L13),1,1)&lt;&gt;"",OFFSET(Planning!$D$25,COLUMN(L13),0,1,1),0)</f>
        <v>0</v>
      </c>
      <c r="V16" s="67">
        <f ca="1">IF(OFFSET(Planning!$E$25,COLUMN(M13),ROW(M13),1,1)&lt;&gt;"",OFFSET(Planning!$D$25,COLUMN(M13),0,1,1),0)</f>
        <v>0</v>
      </c>
      <c r="W16" s="67">
        <f ca="1">IF(OFFSET(Planning!$E$25,COLUMN(N13),ROW(N13),1,1)&lt;&gt;"",OFFSET(Planning!$D$25,COLUMN(N13),0,1,1),0)</f>
        <v>0</v>
      </c>
      <c r="X16" s="67">
        <f ca="1">IF(OFFSET(Planning!$E$25,COLUMN(O13),ROW(O13),1,1)&lt;&gt;"",OFFSET(Planning!$D$25,COLUMN(O13),0,1,1),0)</f>
        <v>0</v>
      </c>
      <c r="Y16" s="67">
        <f ca="1">IF(OFFSET(Planning!$E$25,COLUMN(P13),ROW(P13),1,1)&lt;&gt;"",OFFSET(Planning!$D$25,COLUMN(P13),0,1,1),0)</f>
        <v>0</v>
      </c>
      <c r="Z16" s="67">
        <f ca="1">IF(OFFSET(Planning!$E$25,COLUMN(Q13),ROW(Q13),1,1)&lt;&gt;"",OFFSET(Planning!$D$25,COLUMN(Q13),0,1,1),0)</f>
        <v>0</v>
      </c>
      <c r="AA16" s="67">
        <f ca="1">IF(OFFSET(Planning!$E$25,COLUMN(R13),ROW(R13),1,1)&lt;&gt;"",OFFSET(Planning!$D$25,COLUMN(R13),0,1,1),0)</f>
        <v>0</v>
      </c>
      <c r="AB16" s="67">
        <f ca="1">IF(OFFSET(Planning!$E$25,COLUMN(S13),ROW(S13),1,1)&lt;&gt;"",OFFSET(Planning!$D$25,COLUMN(S13),0,1,1),0)</f>
        <v>0</v>
      </c>
      <c r="AC16" s="67">
        <f ca="1">IF(OFFSET(Planning!$E$25,COLUMN(T13),ROW(T13),1,1)&lt;&gt;"",OFFSET(Planning!$D$25,COLUMN(T13),0,1,1),0)</f>
        <v>0</v>
      </c>
      <c r="AD16" s="67">
        <f ca="1">VLOOKUP($B16,'Summary Calculations (hide)'!$D$15:$U$67,17,0)</f>
        <v>65.022750000000002</v>
      </c>
      <c r="AE16" s="67">
        <f ca="1">VLOOKUP($B16,'Summary Calculations (hide)'!$D$15:$U$67,18,0)</f>
        <v>6.0020999999999987</v>
      </c>
    </row>
    <row r="17" spans="1:31" x14ac:dyDescent="0.25">
      <c r="A17" s="87">
        <f t="shared" ca="1" si="3"/>
        <v>44025</v>
      </c>
      <c r="B17" s="67">
        <f t="shared" ca="1" si="0"/>
        <v>29</v>
      </c>
      <c r="C17" s="5">
        <f ca="1">IF(Planning!$C$8="No",VLOOKUP(B17,'Summary Calculations (hide)'!$D$15:$U$67,17,0),IF('Demand adjustments for Covid'!$F$9="Yes",'Demand background (hide)'!DS17,VLOOKUP(B17,'Summary Calculations (hide)'!$D$15:$F$67,2,0))*IF(Planning!$C$11="",1,1+Planning!$C$11)*'Summary Calculations (hide)'!$L$4/IF(Summary!$C$8="Patients",'Summary Calculations (hide)'!$I$9,1))</f>
        <v>68.023799999999994</v>
      </c>
      <c r="D17" s="5">
        <f ca="1">IF(Planning!$C$8="No",VLOOKUP('Planning (hide)'!B17,'Summary Calculations (hide)'!$D$15:$U$67,18,0),IF('Demand adjustments for Covid'!$F$9="Yes",'Demand background (hide)'!DT17,VLOOKUP(B17,'Summary Calculations (hide)'!$D$15:$F$67,3,0))*IF(Planning!$C$11="",1,1+Planning!$C$11)*'Summary Calculations (hide)'!$L$4/IF(Summary!$C$8="Patients",'Summary Calculations (hide)'!$I$9,1))-IF(Planning!$C$8="No",0,C17)</f>
        <v>6.8023799999999994</v>
      </c>
      <c r="E17" s="5">
        <f ca="1">VLOOKUP($B17,'Summary Calculations (hide)'!$D$15:$U$67,15,0)</f>
        <v>80.769230769230774</v>
      </c>
      <c r="F17" s="5">
        <f ca="1">VLOOKUP($B17,'Summary Calculations (hide)'!$D$15:$U$67,16,0)</f>
        <v>10</v>
      </c>
      <c r="G17" s="5">
        <f t="shared" ca="1" si="1"/>
        <v>90.769230769230774</v>
      </c>
      <c r="H17" s="5">
        <f t="shared" ca="1" si="2"/>
        <v>90.769230769230774</v>
      </c>
      <c r="I17" s="67">
        <f ca="1">IF(OFFSET(Planning!$E$25,0,ROW(A14),1,1)&lt;&gt;"",-'Planning (hide)'!$G17,0)</f>
        <v>0</v>
      </c>
      <c r="J17" s="67">
        <f ca="1">IF(OFFSET(Planning!$E$25,COLUMN(A14),ROW(A14),1,1)&lt;&gt;"",OFFSET(Planning!$D$25,COLUMN(A14),0,1,1),0)</f>
        <v>0</v>
      </c>
      <c r="K17" s="67">
        <f ca="1">IF(OFFSET(Planning!$E$25,COLUMN(B14),ROW(B14),1,1)&lt;&gt;"",OFFSET(Planning!$D$25,COLUMN(B14),0,1,1),0)</f>
        <v>0</v>
      </c>
      <c r="L17" s="67">
        <f ca="1">IF(OFFSET(Planning!$E$25,COLUMN(C14),ROW(C14),1,1)&lt;&gt;"",OFFSET(Planning!$D$25,COLUMN(C14),0,1,1),0)</f>
        <v>0</v>
      </c>
      <c r="M17" s="67">
        <f ca="1">IF(OFFSET(Planning!$E$25,COLUMN(D14),ROW(D14),1,1)&lt;&gt;"",OFFSET(Planning!$D$25,COLUMN(D14),0,1,1),0)</f>
        <v>0</v>
      </c>
      <c r="N17" s="67">
        <f ca="1">IF(OFFSET(Planning!$E$25,COLUMN(E14),ROW(E14),1,1)&lt;&gt;"",OFFSET(Planning!$D$25,COLUMN(E14),0,1,1),0)</f>
        <v>0</v>
      </c>
      <c r="O17" s="67">
        <f ca="1">IF(OFFSET(Planning!$E$25,COLUMN(F14),ROW(F14),1,1)&lt;&gt;"",OFFSET(Planning!$D$25,COLUMN(F14),0,1,1),0)</f>
        <v>0</v>
      </c>
      <c r="P17" s="67">
        <f ca="1">IF(OFFSET(Planning!$E$25,COLUMN(G14),ROW(G14),1,1)&lt;&gt;"",OFFSET(Planning!$D$25,COLUMN(G14),0,1,1),0)</f>
        <v>0</v>
      </c>
      <c r="Q17" s="67">
        <f ca="1">IF(OFFSET(Planning!$E$25,COLUMN(H14),ROW(H14),1,1)&lt;&gt;"",OFFSET(Planning!$D$25,COLUMN(H14),0,1,1),0)</f>
        <v>0</v>
      </c>
      <c r="R17" s="67">
        <f ca="1">IF(OFFSET(Planning!$E$25,COLUMN(I14),ROW(I14),1,1)&lt;&gt;"",OFFSET(Planning!$D$25,COLUMN(I14),0,1,1),0)</f>
        <v>0</v>
      </c>
      <c r="S17" s="67">
        <f ca="1">IF(OFFSET(Planning!$E$25,COLUMN(J14),ROW(J14),1,1)&lt;&gt;"",OFFSET(Planning!$D$25,COLUMN(J14),0,1,1),0)</f>
        <v>0</v>
      </c>
      <c r="T17" s="67">
        <f ca="1">IF(OFFSET(Planning!$E$25,COLUMN(K14),ROW(K14),1,1)&lt;&gt;"",OFFSET(Planning!$D$25,COLUMN(K14),0,1,1),0)</f>
        <v>0</v>
      </c>
      <c r="U17" s="67">
        <f ca="1">IF(OFFSET(Planning!$E$25,COLUMN(L14),ROW(L14),1,1)&lt;&gt;"",OFFSET(Planning!$D$25,COLUMN(L14),0,1,1),0)</f>
        <v>0</v>
      </c>
      <c r="V17" s="67">
        <f ca="1">IF(OFFSET(Planning!$E$25,COLUMN(M14),ROW(M14),1,1)&lt;&gt;"",OFFSET(Planning!$D$25,COLUMN(M14),0,1,1),0)</f>
        <v>0</v>
      </c>
      <c r="W17" s="67">
        <f ca="1">IF(OFFSET(Planning!$E$25,COLUMN(N14),ROW(N14),1,1)&lt;&gt;"",OFFSET(Planning!$D$25,COLUMN(N14),0,1,1),0)</f>
        <v>0</v>
      </c>
      <c r="X17" s="67">
        <f ca="1">IF(OFFSET(Planning!$E$25,COLUMN(O14),ROW(O14),1,1)&lt;&gt;"",OFFSET(Planning!$D$25,COLUMN(O14),0,1,1),0)</f>
        <v>0</v>
      </c>
      <c r="Y17" s="67">
        <f ca="1">IF(OFFSET(Planning!$E$25,COLUMN(P14),ROW(P14),1,1)&lt;&gt;"",OFFSET(Planning!$D$25,COLUMN(P14),0,1,1),0)</f>
        <v>0</v>
      </c>
      <c r="Z17" s="67">
        <f ca="1">IF(OFFSET(Planning!$E$25,COLUMN(Q14),ROW(Q14),1,1)&lt;&gt;"",OFFSET(Planning!$D$25,COLUMN(Q14),0,1,1),0)</f>
        <v>0</v>
      </c>
      <c r="AA17" s="67">
        <f ca="1">IF(OFFSET(Planning!$E$25,COLUMN(R14),ROW(R14),1,1)&lt;&gt;"",OFFSET(Planning!$D$25,COLUMN(R14),0,1,1),0)</f>
        <v>0</v>
      </c>
      <c r="AB17" s="67">
        <f ca="1">IF(OFFSET(Planning!$E$25,COLUMN(S14),ROW(S14),1,1)&lt;&gt;"",OFFSET(Planning!$D$25,COLUMN(S14),0,1,1),0)</f>
        <v>0</v>
      </c>
      <c r="AC17" s="67">
        <f ca="1">IF(OFFSET(Planning!$E$25,COLUMN(T14),ROW(T14),1,1)&lt;&gt;"",OFFSET(Planning!$D$25,COLUMN(T14),0,1,1),0)</f>
        <v>0</v>
      </c>
      <c r="AD17" s="67">
        <f ca="1">VLOOKUP($B17,'Summary Calculations (hide)'!$D$15:$U$67,17,0)</f>
        <v>68.023799999999994</v>
      </c>
      <c r="AE17" s="67">
        <f ca="1">VLOOKUP($B17,'Summary Calculations (hide)'!$D$15:$U$67,18,0)</f>
        <v>6.8023799999999994</v>
      </c>
    </row>
    <row r="18" spans="1:31" x14ac:dyDescent="0.25">
      <c r="A18" s="87">
        <f t="shared" ca="1" si="3"/>
        <v>44032</v>
      </c>
      <c r="B18" s="67">
        <f t="shared" ca="1" si="0"/>
        <v>30</v>
      </c>
      <c r="C18" s="5">
        <f ca="1">IF(Planning!$C$8="No",VLOOKUP(B18,'Summary Calculations (hide)'!$D$15:$U$67,17,0),IF('Demand adjustments for Covid'!$F$9="Yes",'Demand background (hide)'!DS18,VLOOKUP(B18,'Summary Calculations (hide)'!$D$15:$F$67,2,0))*IF(Planning!$C$11="",1,1+Planning!$C$11)*'Summary Calculations (hide)'!$L$4/IF(Summary!$C$8="Patients",'Summary Calculations (hide)'!$I$9,1))</f>
        <v>69.024149999999992</v>
      </c>
      <c r="D18" s="5">
        <f ca="1">IF(Planning!$C$8="No",VLOOKUP('Planning (hide)'!B18,'Summary Calculations (hide)'!$D$15:$U$67,18,0),IF('Demand adjustments for Covid'!$F$9="Yes",'Demand background (hide)'!DT18,VLOOKUP(B18,'Summary Calculations (hide)'!$D$15:$F$67,3,0))*IF(Planning!$C$11="",1,1+Planning!$C$11)*'Summary Calculations (hide)'!$L$4/IF(Summary!$C$8="Patients",'Summary Calculations (hide)'!$I$9,1))-IF(Planning!$C$8="No",0,C18)</f>
        <v>6.9024150000000049</v>
      </c>
      <c r="E18" s="5">
        <f ca="1">VLOOKUP($B18,'Summary Calculations (hide)'!$D$15:$U$67,15,0)</f>
        <v>80.769230769230774</v>
      </c>
      <c r="F18" s="5">
        <f ca="1">VLOOKUP($B18,'Summary Calculations (hide)'!$D$15:$U$67,16,0)</f>
        <v>10</v>
      </c>
      <c r="G18" s="5">
        <f t="shared" ca="1" si="1"/>
        <v>90.769230769230774</v>
      </c>
      <c r="H18" s="5">
        <f t="shared" ca="1" si="2"/>
        <v>90.769230769230774</v>
      </c>
      <c r="I18" s="67">
        <f ca="1">IF(OFFSET(Planning!$E$25,0,ROW(A15),1,1)&lt;&gt;"",-'Planning (hide)'!$G18,0)</f>
        <v>0</v>
      </c>
      <c r="J18" s="67">
        <f ca="1">IF(OFFSET(Planning!$E$25,COLUMN(A15),ROW(A15),1,1)&lt;&gt;"",OFFSET(Planning!$D$25,COLUMN(A15),0,1,1),0)</f>
        <v>0</v>
      </c>
      <c r="K18" s="67">
        <f ca="1">IF(OFFSET(Planning!$E$25,COLUMN(B15),ROW(B15),1,1)&lt;&gt;"",OFFSET(Planning!$D$25,COLUMN(B15),0,1,1),0)</f>
        <v>0</v>
      </c>
      <c r="L18" s="67">
        <f ca="1">IF(OFFSET(Planning!$E$25,COLUMN(C15),ROW(C15),1,1)&lt;&gt;"",OFFSET(Planning!$D$25,COLUMN(C15),0,1,1),0)</f>
        <v>0</v>
      </c>
      <c r="M18" s="67">
        <f ca="1">IF(OFFSET(Planning!$E$25,COLUMN(D15),ROW(D15),1,1)&lt;&gt;"",OFFSET(Planning!$D$25,COLUMN(D15),0,1,1),0)</f>
        <v>0</v>
      </c>
      <c r="N18" s="67">
        <f ca="1">IF(OFFSET(Planning!$E$25,COLUMN(E15),ROW(E15),1,1)&lt;&gt;"",OFFSET(Planning!$D$25,COLUMN(E15),0,1,1),0)</f>
        <v>0</v>
      </c>
      <c r="O18" s="67">
        <f ca="1">IF(OFFSET(Planning!$E$25,COLUMN(F15),ROW(F15),1,1)&lt;&gt;"",OFFSET(Planning!$D$25,COLUMN(F15),0,1,1),0)</f>
        <v>0</v>
      </c>
      <c r="P18" s="67">
        <f ca="1">IF(OFFSET(Planning!$E$25,COLUMN(G15),ROW(G15),1,1)&lt;&gt;"",OFFSET(Planning!$D$25,COLUMN(G15),0,1,1),0)</f>
        <v>0</v>
      </c>
      <c r="Q18" s="67">
        <f ca="1">IF(OFFSET(Planning!$E$25,COLUMN(H15),ROW(H15),1,1)&lt;&gt;"",OFFSET(Planning!$D$25,COLUMN(H15),0,1,1),0)</f>
        <v>0</v>
      </c>
      <c r="R18" s="67">
        <f ca="1">IF(OFFSET(Planning!$E$25,COLUMN(I15),ROW(I15),1,1)&lt;&gt;"",OFFSET(Planning!$D$25,COLUMN(I15),0,1,1),0)</f>
        <v>0</v>
      </c>
      <c r="S18" s="67">
        <f ca="1">IF(OFFSET(Planning!$E$25,COLUMN(J15),ROW(J15),1,1)&lt;&gt;"",OFFSET(Planning!$D$25,COLUMN(J15),0,1,1),0)</f>
        <v>0</v>
      </c>
      <c r="T18" s="67">
        <f ca="1">IF(OFFSET(Planning!$E$25,COLUMN(K15),ROW(K15),1,1)&lt;&gt;"",OFFSET(Planning!$D$25,COLUMN(K15),0,1,1),0)</f>
        <v>0</v>
      </c>
      <c r="U18" s="67">
        <f ca="1">IF(OFFSET(Planning!$E$25,COLUMN(L15),ROW(L15),1,1)&lt;&gt;"",OFFSET(Planning!$D$25,COLUMN(L15),0,1,1),0)</f>
        <v>0</v>
      </c>
      <c r="V18" s="67">
        <f ca="1">IF(OFFSET(Planning!$E$25,COLUMN(M15),ROW(M15),1,1)&lt;&gt;"",OFFSET(Planning!$D$25,COLUMN(M15),0,1,1),0)</f>
        <v>0</v>
      </c>
      <c r="W18" s="67">
        <f ca="1">IF(OFFSET(Planning!$E$25,COLUMN(N15),ROW(N15),1,1)&lt;&gt;"",OFFSET(Planning!$D$25,COLUMN(N15),0,1,1),0)</f>
        <v>0</v>
      </c>
      <c r="X18" s="67">
        <f ca="1">IF(OFFSET(Planning!$E$25,COLUMN(O15),ROW(O15),1,1)&lt;&gt;"",OFFSET(Planning!$D$25,COLUMN(O15),0,1,1),0)</f>
        <v>0</v>
      </c>
      <c r="Y18" s="67">
        <f ca="1">IF(OFFSET(Planning!$E$25,COLUMN(P15),ROW(P15),1,1)&lt;&gt;"",OFFSET(Planning!$D$25,COLUMN(P15),0,1,1),0)</f>
        <v>0</v>
      </c>
      <c r="Z18" s="67">
        <f ca="1">IF(OFFSET(Planning!$E$25,COLUMN(Q15),ROW(Q15),1,1)&lt;&gt;"",OFFSET(Planning!$D$25,COLUMN(Q15),0,1,1),0)</f>
        <v>0</v>
      </c>
      <c r="AA18" s="67">
        <f ca="1">IF(OFFSET(Planning!$E$25,COLUMN(R15),ROW(R15),1,1)&lt;&gt;"",OFFSET(Planning!$D$25,COLUMN(R15),0,1,1),0)</f>
        <v>0</v>
      </c>
      <c r="AB18" s="67">
        <f ca="1">IF(OFFSET(Planning!$E$25,COLUMN(S15),ROW(S15),1,1)&lt;&gt;"",OFFSET(Planning!$D$25,COLUMN(S15),0,1,1),0)</f>
        <v>0</v>
      </c>
      <c r="AC18" s="67">
        <f ca="1">IF(OFFSET(Planning!$E$25,COLUMN(T15),ROW(T15),1,1)&lt;&gt;"",OFFSET(Planning!$D$25,COLUMN(T15),0,1,1),0)</f>
        <v>0</v>
      </c>
      <c r="AD18" s="67">
        <f ca="1">VLOOKUP($B18,'Summary Calculations (hide)'!$D$15:$U$67,17,0)</f>
        <v>69.024149999999992</v>
      </c>
      <c r="AE18" s="67">
        <f ca="1">VLOOKUP($B18,'Summary Calculations (hide)'!$D$15:$U$67,18,0)</f>
        <v>6.9024150000000049</v>
      </c>
    </row>
    <row r="19" spans="1:31" x14ac:dyDescent="0.25">
      <c r="A19" s="87">
        <f t="shared" ca="1" si="3"/>
        <v>44039</v>
      </c>
      <c r="B19" s="67">
        <f t="shared" ca="1" si="0"/>
        <v>31</v>
      </c>
      <c r="C19" s="5">
        <f ca="1">IF(Planning!$C$8="No",VLOOKUP(B19,'Summary Calculations (hide)'!$D$15:$U$67,17,0),IF('Demand adjustments for Covid'!$F$9="Yes",'Demand background (hide)'!DS19,VLOOKUP(B19,'Summary Calculations (hide)'!$D$15:$F$67,2,0))*IF(Planning!$C$11="",1,1+Planning!$C$11)*'Summary Calculations (hide)'!$L$4/IF(Summary!$C$8="Patients",'Summary Calculations (hide)'!$I$9,1))</f>
        <v>63.022049999999993</v>
      </c>
      <c r="D19" s="5">
        <f ca="1">IF(Planning!$C$8="No",VLOOKUP('Planning (hide)'!B19,'Summary Calculations (hide)'!$D$15:$U$67,18,0),IF('Demand adjustments for Covid'!$F$9="Yes",'Demand background (hide)'!DT19,VLOOKUP(B19,'Summary Calculations (hide)'!$D$15:$F$67,3,0))*IF(Planning!$C$11="",1,1+Planning!$C$11)*'Summary Calculations (hide)'!$L$4/IF(Summary!$C$8="Patients",'Summary Calculations (hide)'!$I$9,1))-IF(Planning!$C$8="No",0,C19)</f>
        <v>6.3022050000000149</v>
      </c>
      <c r="E19" s="5">
        <f ca="1">VLOOKUP($B19,'Summary Calculations (hide)'!$D$15:$U$67,15,0)</f>
        <v>80.769230769230774</v>
      </c>
      <c r="F19" s="5">
        <f ca="1">VLOOKUP($B19,'Summary Calculations (hide)'!$D$15:$U$67,16,0)</f>
        <v>0</v>
      </c>
      <c r="G19" s="5">
        <f t="shared" ca="1" si="1"/>
        <v>80.769230769230774</v>
      </c>
      <c r="H19" s="5">
        <f t="shared" ca="1" si="2"/>
        <v>80.769230769230774</v>
      </c>
      <c r="I19" s="67">
        <f ca="1">IF(OFFSET(Planning!$E$25,0,ROW(A16),1,1)&lt;&gt;"",-'Planning (hide)'!$G19,0)</f>
        <v>0</v>
      </c>
      <c r="J19" s="67">
        <f ca="1">IF(OFFSET(Planning!$E$25,COLUMN(A16),ROW(A16),1,1)&lt;&gt;"",OFFSET(Planning!$D$25,COLUMN(A16),0,1,1),0)</f>
        <v>0</v>
      </c>
      <c r="K19" s="67">
        <f ca="1">IF(OFFSET(Planning!$E$25,COLUMN(B16),ROW(B16),1,1)&lt;&gt;"",OFFSET(Planning!$D$25,COLUMN(B16),0,1,1),0)</f>
        <v>0</v>
      </c>
      <c r="L19" s="67">
        <f ca="1">IF(OFFSET(Planning!$E$25,COLUMN(C16),ROW(C16),1,1)&lt;&gt;"",OFFSET(Planning!$D$25,COLUMN(C16),0,1,1),0)</f>
        <v>0</v>
      </c>
      <c r="M19" s="67">
        <f ca="1">IF(OFFSET(Planning!$E$25,COLUMN(D16),ROW(D16),1,1)&lt;&gt;"",OFFSET(Planning!$D$25,COLUMN(D16),0,1,1),0)</f>
        <v>0</v>
      </c>
      <c r="N19" s="67">
        <f ca="1">IF(OFFSET(Planning!$E$25,COLUMN(E16),ROW(E16),1,1)&lt;&gt;"",OFFSET(Planning!$D$25,COLUMN(E16),0,1,1),0)</f>
        <v>0</v>
      </c>
      <c r="O19" s="67">
        <f ca="1">IF(OFFSET(Planning!$E$25,COLUMN(F16),ROW(F16),1,1)&lt;&gt;"",OFFSET(Planning!$D$25,COLUMN(F16),0,1,1),0)</f>
        <v>0</v>
      </c>
      <c r="P19" s="67">
        <f ca="1">IF(OFFSET(Planning!$E$25,COLUMN(G16),ROW(G16),1,1)&lt;&gt;"",OFFSET(Planning!$D$25,COLUMN(G16),0,1,1),0)</f>
        <v>0</v>
      </c>
      <c r="Q19" s="67">
        <f ca="1">IF(OFFSET(Planning!$E$25,COLUMN(H16),ROW(H16),1,1)&lt;&gt;"",OFFSET(Planning!$D$25,COLUMN(H16),0,1,1),0)</f>
        <v>0</v>
      </c>
      <c r="R19" s="67">
        <f ca="1">IF(OFFSET(Planning!$E$25,COLUMN(I16),ROW(I16),1,1)&lt;&gt;"",OFFSET(Planning!$D$25,COLUMN(I16),0,1,1),0)</f>
        <v>0</v>
      </c>
      <c r="S19" s="67">
        <f ca="1">IF(OFFSET(Planning!$E$25,COLUMN(J16),ROW(J16),1,1)&lt;&gt;"",OFFSET(Planning!$D$25,COLUMN(J16),0,1,1),0)</f>
        <v>0</v>
      </c>
      <c r="T19" s="67">
        <f ca="1">IF(OFFSET(Planning!$E$25,COLUMN(K16),ROW(K16),1,1)&lt;&gt;"",OFFSET(Planning!$D$25,COLUMN(K16),0,1,1),0)</f>
        <v>0</v>
      </c>
      <c r="U19" s="67">
        <f ca="1">IF(OFFSET(Planning!$E$25,COLUMN(L16),ROW(L16),1,1)&lt;&gt;"",OFFSET(Planning!$D$25,COLUMN(L16),0,1,1),0)</f>
        <v>0</v>
      </c>
      <c r="V19" s="67">
        <f ca="1">IF(OFFSET(Planning!$E$25,COLUMN(M16),ROW(M16),1,1)&lt;&gt;"",OFFSET(Planning!$D$25,COLUMN(M16),0,1,1),0)</f>
        <v>0</v>
      </c>
      <c r="W19" s="67">
        <f ca="1">IF(OFFSET(Planning!$E$25,COLUMN(N16),ROW(N16),1,1)&lt;&gt;"",OFFSET(Planning!$D$25,COLUMN(N16),0,1,1),0)</f>
        <v>0</v>
      </c>
      <c r="X19" s="67">
        <f ca="1">IF(OFFSET(Planning!$E$25,COLUMN(O16),ROW(O16),1,1)&lt;&gt;"",OFFSET(Planning!$D$25,COLUMN(O16),0,1,1),0)</f>
        <v>0</v>
      </c>
      <c r="Y19" s="67">
        <f ca="1">IF(OFFSET(Planning!$E$25,COLUMN(P16),ROW(P16),1,1)&lt;&gt;"",OFFSET(Planning!$D$25,COLUMN(P16),0,1,1),0)</f>
        <v>0</v>
      </c>
      <c r="Z19" s="67">
        <f ca="1">IF(OFFSET(Planning!$E$25,COLUMN(Q16),ROW(Q16),1,1)&lt;&gt;"",OFFSET(Planning!$D$25,COLUMN(Q16),0,1,1),0)</f>
        <v>0</v>
      </c>
      <c r="AA19" s="67">
        <f ca="1">IF(OFFSET(Planning!$E$25,COLUMN(R16),ROW(R16),1,1)&lt;&gt;"",OFFSET(Planning!$D$25,COLUMN(R16),0,1,1),0)</f>
        <v>0</v>
      </c>
      <c r="AB19" s="67">
        <f ca="1">IF(OFFSET(Planning!$E$25,COLUMN(S16),ROW(S16),1,1)&lt;&gt;"",OFFSET(Planning!$D$25,COLUMN(S16),0,1,1),0)</f>
        <v>0</v>
      </c>
      <c r="AC19" s="67">
        <f ca="1">IF(OFFSET(Planning!$E$25,COLUMN(T16),ROW(T16),1,1)&lt;&gt;"",OFFSET(Planning!$D$25,COLUMN(T16),0,1,1),0)</f>
        <v>0</v>
      </c>
      <c r="AD19" s="67">
        <f ca="1">VLOOKUP($B19,'Summary Calculations (hide)'!$D$15:$U$67,17,0)</f>
        <v>63.022049999999993</v>
      </c>
      <c r="AE19" s="67">
        <f ca="1">VLOOKUP($B19,'Summary Calculations (hide)'!$D$15:$U$67,18,0)</f>
        <v>6.3022050000000149</v>
      </c>
    </row>
    <row r="20" spans="1:31" x14ac:dyDescent="0.25">
      <c r="A20" s="87">
        <f t="shared" ca="1" si="3"/>
        <v>44046</v>
      </c>
      <c r="B20" s="67">
        <f t="shared" ca="1" si="0"/>
        <v>32</v>
      </c>
      <c r="C20" s="5">
        <f ca="1">IF(Planning!$C$8="No",VLOOKUP(B20,'Summary Calculations (hide)'!$D$15:$U$67,17,0),IF('Demand adjustments for Covid'!$F$9="Yes",'Demand background (hide)'!DS20,VLOOKUP(B20,'Summary Calculations (hide)'!$D$15:$F$67,2,0))*IF(Planning!$C$11="",1,1+Planning!$C$11)*'Summary Calculations (hide)'!$L$4/IF(Summary!$C$8="Patients",'Summary Calculations (hide)'!$I$9,1))</f>
        <v>76.026599999999988</v>
      </c>
      <c r="D20" s="5">
        <f ca="1">IF(Planning!$C$8="No",VLOOKUP('Planning (hide)'!B20,'Summary Calculations (hide)'!$D$15:$U$67,18,0),IF('Demand adjustments for Covid'!$F$9="Yes",'Demand background (hide)'!DT20,VLOOKUP(B20,'Summary Calculations (hide)'!$D$15:$F$67,3,0))*IF(Planning!$C$11="",1,1+Planning!$C$11)*'Summary Calculations (hide)'!$L$4/IF(Summary!$C$8="Patients",'Summary Calculations (hide)'!$I$9,1))-IF(Planning!$C$8="No",0,C20)</f>
        <v>7.6026600000000144</v>
      </c>
      <c r="E20" s="5">
        <f ca="1">VLOOKUP($B20,'Summary Calculations (hide)'!$D$15:$U$67,15,0)</f>
        <v>80.769230769230774</v>
      </c>
      <c r="F20" s="5">
        <f ca="1">VLOOKUP($B20,'Summary Calculations (hide)'!$D$15:$U$67,16,0)</f>
        <v>10</v>
      </c>
      <c r="G20" s="5">
        <f t="shared" ca="1" si="1"/>
        <v>90.769230769230774</v>
      </c>
      <c r="H20" s="5">
        <f t="shared" ca="1" si="2"/>
        <v>90.769230769230774</v>
      </c>
      <c r="I20" s="67">
        <f ca="1">IF(OFFSET(Planning!$E$25,0,ROW(A17),1,1)&lt;&gt;"",-'Planning (hide)'!$G20,0)</f>
        <v>0</v>
      </c>
      <c r="J20" s="67">
        <f ca="1">IF(OFFSET(Planning!$E$25,COLUMN(A17),ROW(A17),1,1)&lt;&gt;"",OFFSET(Planning!$D$25,COLUMN(A17),0,1,1),0)</f>
        <v>0</v>
      </c>
      <c r="K20" s="67">
        <f ca="1">IF(OFFSET(Planning!$E$25,COLUMN(B17),ROW(B17),1,1)&lt;&gt;"",OFFSET(Planning!$D$25,COLUMN(B17),0,1,1),0)</f>
        <v>0</v>
      </c>
      <c r="L20" s="67">
        <f ca="1">IF(OFFSET(Planning!$E$25,COLUMN(C17),ROW(C17),1,1)&lt;&gt;"",OFFSET(Planning!$D$25,COLUMN(C17),0,1,1),0)</f>
        <v>0</v>
      </c>
      <c r="M20" s="67">
        <f ca="1">IF(OFFSET(Planning!$E$25,COLUMN(D17),ROW(D17),1,1)&lt;&gt;"",OFFSET(Planning!$D$25,COLUMN(D17),0,1,1),0)</f>
        <v>0</v>
      </c>
      <c r="N20" s="67">
        <f ca="1">IF(OFFSET(Planning!$E$25,COLUMN(E17),ROW(E17),1,1)&lt;&gt;"",OFFSET(Planning!$D$25,COLUMN(E17),0,1,1),0)</f>
        <v>0</v>
      </c>
      <c r="O20" s="67">
        <f ca="1">IF(OFFSET(Planning!$E$25,COLUMN(F17),ROW(F17),1,1)&lt;&gt;"",OFFSET(Planning!$D$25,COLUMN(F17),0,1,1),0)</f>
        <v>0</v>
      </c>
      <c r="P20" s="67">
        <f ca="1">IF(OFFSET(Planning!$E$25,COLUMN(G17),ROW(G17),1,1)&lt;&gt;"",OFFSET(Planning!$D$25,COLUMN(G17),0,1,1),0)</f>
        <v>0</v>
      </c>
      <c r="Q20" s="67">
        <f ca="1">IF(OFFSET(Planning!$E$25,COLUMN(H17),ROW(H17),1,1)&lt;&gt;"",OFFSET(Planning!$D$25,COLUMN(H17),0,1,1),0)</f>
        <v>0</v>
      </c>
      <c r="R20" s="67">
        <f ca="1">IF(OFFSET(Planning!$E$25,COLUMN(I17),ROW(I17),1,1)&lt;&gt;"",OFFSET(Planning!$D$25,COLUMN(I17),0,1,1),0)</f>
        <v>0</v>
      </c>
      <c r="S20" s="67">
        <f ca="1">IF(OFFSET(Planning!$E$25,COLUMN(J17),ROW(J17),1,1)&lt;&gt;"",OFFSET(Planning!$D$25,COLUMN(J17),0,1,1),0)</f>
        <v>0</v>
      </c>
      <c r="T20" s="67">
        <f ca="1">IF(OFFSET(Planning!$E$25,COLUMN(K17),ROW(K17),1,1)&lt;&gt;"",OFFSET(Planning!$D$25,COLUMN(K17),0,1,1),0)</f>
        <v>0</v>
      </c>
      <c r="U20" s="67">
        <f ca="1">IF(OFFSET(Planning!$E$25,COLUMN(L17),ROW(L17),1,1)&lt;&gt;"",OFFSET(Planning!$D$25,COLUMN(L17),0,1,1),0)</f>
        <v>0</v>
      </c>
      <c r="V20" s="67">
        <f ca="1">IF(OFFSET(Planning!$E$25,COLUMN(M17),ROW(M17),1,1)&lt;&gt;"",OFFSET(Planning!$D$25,COLUMN(M17),0,1,1),0)</f>
        <v>0</v>
      </c>
      <c r="W20" s="67">
        <f ca="1">IF(OFFSET(Planning!$E$25,COLUMN(N17),ROW(N17),1,1)&lt;&gt;"",OFFSET(Planning!$D$25,COLUMN(N17),0,1,1),0)</f>
        <v>0</v>
      </c>
      <c r="X20" s="67">
        <f ca="1">IF(OFFSET(Planning!$E$25,COLUMN(O17),ROW(O17),1,1)&lt;&gt;"",OFFSET(Planning!$D$25,COLUMN(O17),0,1,1),0)</f>
        <v>0</v>
      </c>
      <c r="Y20" s="67">
        <f ca="1">IF(OFFSET(Planning!$E$25,COLUMN(P17),ROW(P17),1,1)&lt;&gt;"",OFFSET(Planning!$D$25,COLUMN(P17),0,1,1),0)</f>
        <v>0</v>
      </c>
      <c r="Z20" s="67">
        <f ca="1">IF(OFFSET(Planning!$E$25,COLUMN(Q17),ROW(Q17),1,1)&lt;&gt;"",OFFSET(Planning!$D$25,COLUMN(Q17),0,1,1),0)</f>
        <v>0</v>
      </c>
      <c r="AA20" s="67">
        <f ca="1">IF(OFFSET(Planning!$E$25,COLUMN(R17),ROW(R17),1,1)&lt;&gt;"",OFFSET(Planning!$D$25,COLUMN(R17),0,1,1),0)</f>
        <v>0</v>
      </c>
      <c r="AB20" s="67">
        <f ca="1">IF(OFFSET(Planning!$E$25,COLUMN(S17),ROW(S17),1,1)&lt;&gt;"",OFFSET(Planning!$D$25,COLUMN(S17),0,1,1),0)</f>
        <v>0</v>
      </c>
      <c r="AC20" s="67">
        <f ca="1">IF(OFFSET(Planning!$E$25,COLUMN(T17),ROW(T17),1,1)&lt;&gt;"",OFFSET(Planning!$D$25,COLUMN(T17),0,1,1),0)</f>
        <v>0</v>
      </c>
      <c r="AD20" s="67">
        <f ca="1">VLOOKUP($B20,'Summary Calculations (hide)'!$D$15:$U$67,17,0)</f>
        <v>76.026600000000002</v>
      </c>
      <c r="AE20" s="67">
        <f ca="1">VLOOKUP($B20,'Summary Calculations (hide)'!$D$15:$U$67,18,0)</f>
        <v>7.6026600000000002</v>
      </c>
    </row>
    <row r="21" spans="1:31" x14ac:dyDescent="0.25">
      <c r="A21" s="87">
        <f t="shared" ca="1" si="3"/>
        <v>44053</v>
      </c>
      <c r="B21" s="67">
        <f t="shared" ca="1" si="0"/>
        <v>33</v>
      </c>
      <c r="C21" s="5">
        <f ca="1">IF(Planning!$C$8="No",VLOOKUP(B21,'Summary Calculations (hide)'!$D$15:$U$67,17,0),IF('Demand adjustments for Covid'!$F$9="Yes",'Demand background (hide)'!DS21,VLOOKUP(B21,'Summary Calculations (hide)'!$D$15:$F$67,2,0))*IF(Planning!$C$11="",1,1+Planning!$C$11)*'Summary Calculations (hide)'!$L$4/IF(Summary!$C$8="Patients",'Summary Calculations (hide)'!$I$9,1))</f>
        <v>64.02239999999999</v>
      </c>
      <c r="D21" s="5">
        <f ca="1">IF(Planning!$C$8="No",VLOOKUP('Planning (hide)'!B21,'Summary Calculations (hide)'!$D$15:$U$67,18,0),IF('Demand adjustments for Covid'!$F$9="Yes",'Demand background (hide)'!DT21,VLOOKUP(B21,'Summary Calculations (hide)'!$D$15:$F$67,3,0))*IF(Planning!$C$11="",1,1+Planning!$C$11)*'Summary Calculations (hide)'!$L$4/IF(Summary!$C$8="Patients",'Summary Calculations (hide)'!$I$9,1))-IF(Planning!$C$8="No",0,C21)</f>
        <v>6.4022400000000061</v>
      </c>
      <c r="E21" s="5">
        <f ca="1">VLOOKUP($B21,'Summary Calculations (hide)'!$D$15:$U$67,15,0)</f>
        <v>80.769230769230774</v>
      </c>
      <c r="F21" s="5">
        <f ca="1">VLOOKUP($B21,'Summary Calculations (hide)'!$D$15:$U$67,16,0)</f>
        <v>10</v>
      </c>
      <c r="G21" s="5">
        <f t="shared" ca="1" si="1"/>
        <v>90.769230769230774</v>
      </c>
      <c r="H21" s="5">
        <f t="shared" ca="1" si="2"/>
        <v>90.769230769230774</v>
      </c>
      <c r="I21" s="67">
        <f ca="1">IF(OFFSET(Planning!$E$25,0,ROW(A18),1,1)&lt;&gt;"",-'Planning (hide)'!$G21,0)</f>
        <v>0</v>
      </c>
      <c r="J21" s="67">
        <f ca="1">IF(OFFSET(Planning!$E$25,COLUMN(A18),ROW(A18),1,1)&lt;&gt;"",OFFSET(Planning!$D$25,COLUMN(A18),0,1,1),0)</f>
        <v>0</v>
      </c>
      <c r="K21" s="67">
        <f ca="1">IF(OFFSET(Planning!$E$25,COLUMN(B18),ROW(B18),1,1)&lt;&gt;"",OFFSET(Planning!$D$25,COLUMN(B18),0,1,1),0)</f>
        <v>0</v>
      </c>
      <c r="L21" s="67">
        <f ca="1">IF(OFFSET(Planning!$E$25,COLUMN(C18),ROW(C18),1,1)&lt;&gt;"",OFFSET(Planning!$D$25,COLUMN(C18),0,1,1),0)</f>
        <v>0</v>
      </c>
      <c r="M21" s="67">
        <f ca="1">IF(OFFSET(Planning!$E$25,COLUMN(D18),ROW(D18),1,1)&lt;&gt;"",OFFSET(Planning!$D$25,COLUMN(D18),0,1,1),0)</f>
        <v>0</v>
      </c>
      <c r="N21" s="67">
        <f ca="1">IF(OFFSET(Planning!$E$25,COLUMN(E18),ROW(E18),1,1)&lt;&gt;"",OFFSET(Planning!$D$25,COLUMN(E18),0,1,1),0)</f>
        <v>0</v>
      </c>
      <c r="O21" s="67">
        <f ca="1">IF(OFFSET(Planning!$E$25,COLUMN(F18),ROW(F18),1,1)&lt;&gt;"",OFFSET(Planning!$D$25,COLUMN(F18),0,1,1),0)</f>
        <v>0</v>
      </c>
      <c r="P21" s="67">
        <f ca="1">IF(OFFSET(Planning!$E$25,COLUMN(G18),ROW(G18),1,1)&lt;&gt;"",OFFSET(Planning!$D$25,COLUMN(G18),0,1,1),0)</f>
        <v>0</v>
      </c>
      <c r="Q21" s="67">
        <f ca="1">IF(OFFSET(Planning!$E$25,COLUMN(H18),ROW(H18),1,1)&lt;&gt;"",OFFSET(Planning!$D$25,COLUMN(H18),0,1,1),0)</f>
        <v>0</v>
      </c>
      <c r="R21" s="67">
        <f ca="1">IF(OFFSET(Planning!$E$25,COLUMN(I18),ROW(I18),1,1)&lt;&gt;"",OFFSET(Planning!$D$25,COLUMN(I18),0,1,1),0)</f>
        <v>0</v>
      </c>
      <c r="S21" s="67">
        <f ca="1">IF(OFFSET(Planning!$E$25,COLUMN(J18),ROW(J18),1,1)&lt;&gt;"",OFFSET(Planning!$D$25,COLUMN(J18),0,1,1),0)</f>
        <v>0</v>
      </c>
      <c r="T21" s="67">
        <f ca="1">IF(OFFSET(Planning!$E$25,COLUMN(K18),ROW(K18),1,1)&lt;&gt;"",OFFSET(Planning!$D$25,COLUMN(K18),0,1,1),0)</f>
        <v>0</v>
      </c>
      <c r="U21" s="67">
        <f ca="1">IF(OFFSET(Planning!$E$25,COLUMN(L18),ROW(L18),1,1)&lt;&gt;"",OFFSET(Planning!$D$25,COLUMN(L18),0,1,1),0)</f>
        <v>0</v>
      </c>
      <c r="V21" s="67">
        <f ca="1">IF(OFFSET(Planning!$E$25,COLUMN(M18),ROW(M18),1,1)&lt;&gt;"",OFFSET(Planning!$D$25,COLUMN(M18),0,1,1),0)</f>
        <v>0</v>
      </c>
      <c r="W21" s="67">
        <f ca="1">IF(OFFSET(Planning!$E$25,COLUMN(N18),ROW(N18),1,1)&lt;&gt;"",OFFSET(Planning!$D$25,COLUMN(N18),0,1,1),0)</f>
        <v>0</v>
      </c>
      <c r="X21" s="67">
        <f ca="1">IF(OFFSET(Planning!$E$25,COLUMN(O18),ROW(O18),1,1)&lt;&gt;"",OFFSET(Planning!$D$25,COLUMN(O18),0,1,1),0)</f>
        <v>0</v>
      </c>
      <c r="Y21" s="67">
        <f ca="1">IF(OFFSET(Planning!$E$25,COLUMN(P18),ROW(P18),1,1)&lt;&gt;"",OFFSET(Planning!$D$25,COLUMN(P18),0,1,1),0)</f>
        <v>0</v>
      </c>
      <c r="Z21" s="67">
        <f ca="1">IF(OFFSET(Planning!$E$25,COLUMN(Q18),ROW(Q18),1,1)&lt;&gt;"",OFFSET(Planning!$D$25,COLUMN(Q18),0,1,1),0)</f>
        <v>0</v>
      </c>
      <c r="AA21" s="67">
        <f ca="1">IF(OFFSET(Planning!$E$25,COLUMN(R18),ROW(R18),1,1)&lt;&gt;"",OFFSET(Planning!$D$25,COLUMN(R18),0,1,1),0)</f>
        <v>0</v>
      </c>
      <c r="AB21" s="67">
        <f ca="1">IF(OFFSET(Planning!$E$25,COLUMN(S18),ROW(S18),1,1)&lt;&gt;"",OFFSET(Planning!$D$25,COLUMN(S18),0,1,1),0)</f>
        <v>0</v>
      </c>
      <c r="AC21" s="67">
        <f ca="1">IF(OFFSET(Planning!$E$25,COLUMN(T18),ROW(T18),1,1)&lt;&gt;"",OFFSET(Planning!$D$25,COLUMN(T18),0,1,1),0)</f>
        <v>0</v>
      </c>
      <c r="AD21" s="67">
        <f ca="1">VLOOKUP($B21,'Summary Calculations (hide)'!$D$15:$U$67,17,0)</f>
        <v>64.02239999999999</v>
      </c>
      <c r="AE21" s="67">
        <f ca="1">VLOOKUP($B21,'Summary Calculations (hide)'!$D$15:$U$67,18,0)</f>
        <v>6.4022400000000061</v>
      </c>
    </row>
    <row r="22" spans="1:31" x14ac:dyDescent="0.25">
      <c r="A22" s="87">
        <f t="shared" ca="1" si="3"/>
        <v>44060</v>
      </c>
      <c r="B22" s="67">
        <f t="shared" ca="1" si="0"/>
        <v>34</v>
      </c>
      <c r="C22" s="5">
        <f ca="1">IF(Planning!$C$8="No",VLOOKUP(B22,'Summary Calculations (hide)'!$D$15:$U$67,17,0),IF('Demand adjustments for Covid'!$F$9="Yes",'Demand background (hide)'!DS22,VLOOKUP(B22,'Summary Calculations (hide)'!$D$15:$F$67,2,0))*IF(Planning!$C$11="",1,1+Planning!$C$11)*'Summary Calculations (hide)'!$L$4/IF(Summary!$C$8="Patients",'Summary Calculations (hide)'!$I$9,1))</f>
        <v>76.026599999999988</v>
      </c>
      <c r="D22" s="5">
        <f ca="1">IF(Planning!$C$8="No",VLOOKUP('Planning (hide)'!B22,'Summary Calculations (hide)'!$D$15:$U$67,18,0),IF('Demand adjustments for Covid'!$F$9="Yes",'Demand background (hide)'!DT22,VLOOKUP(B22,'Summary Calculations (hide)'!$D$15:$F$67,3,0))*IF(Planning!$C$11="",1,1+Planning!$C$11)*'Summary Calculations (hide)'!$L$4/IF(Summary!$C$8="Patients",'Summary Calculations (hide)'!$I$9,1))-IF(Planning!$C$8="No",0,C22)</f>
        <v>7.6026600000000144</v>
      </c>
      <c r="E22" s="5">
        <f ca="1">VLOOKUP($B22,'Summary Calculations (hide)'!$D$15:$U$67,15,0)</f>
        <v>80.769230769230774</v>
      </c>
      <c r="F22" s="5">
        <f ca="1">VLOOKUP($B22,'Summary Calculations (hide)'!$D$15:$U$67,16,0)</f>
        <v>0</v>
      </c>
      <c r="G22" s="5">
        <f t="shared" ca="1" si="1"/>
        <v>80.769230769230774</v>
      </c>
      <c r="H22" s="5">
        <f t="shared" ca="1" si="2"/>
        <v>80.769230769230774</v>
      </c>
      <c r="I22" s="67">
        <f ca="1">IF(OFFSET(Planning!$E$25,0,ROW(A19),1,1)&lt;&gt;"",-'Planning (hide)'!$G22,0)</f>
        <v>0</v>
      </c>
      <c r="J22" s="67">
        <f ca="1">IF(OFFSET(Planning!$E$25,COLUMN(A19),ROW(A19),1,1)&lt;&gt;"",OFFSET(Planning!$D$25,COLUMN(A19),0,1,1),0)</f>
        <v>0</v>
      </c>
      <c r="K22" s="67">
        <f ca="1">IF(OFFSET(Planning!$E$25,COLUMN(B19),ROW(B19),1,1)&lt;&gt;"",OFFSET(Planning!$D$25,COLUMN(B19),0,1,1),0)</f>
        <v>0</v>
      </c>
      <c r="L22" s="67">
        <f ca="1">IF(OFFSET(Planning!$E$25,COLUMN(C19),ROW(C19),1,1)&lt;&gt;"",OFFSET(Planning!$D$25,COLUMN(C19),0,1,1),0)</f>
        <v>0</v>
      </c>
      <c r="M22" s="67">
        <f ca="1">IF(OFFSET(Planning!$E$25,COLUMN(D19),ROW(D19),1,1)&lt;&gt;"",OFFSET(Planning!$D$25,COLUMN(D19),0,1,1),0)</f>
        <v>0</v>
      </c>
      <c r="N22" s="67">
        <f ca="1">IF(OFFSET(Planning!$E$25,COLUMN(E19),ROW(E19),1,1)&lt;&gt;"",OFFSET(Planning!$D$25,COLUMN(E19),0,1,1),0)</f>
        <v>0</v>
      </c>
      <c r="O22" s="67">
        <f ca="1">IF(OFFSET(Planning!$E$25,COLUMN(F19),ROW(F19),1,1)&lt;&gt;"",OFFSET(Planning!$D$25,COLUMN(F19),0,1,1),0)</f>
        <v>0</v>
      </c>
      <c r="P22" s="67">
        <f ca="1">IF(OFFSET(Planning!$E$25,COLUMN(G19),ROW(G19),1,1)&lt;&gt;"",OFFSET(Planning!$D$25,COLUMN(G19),0,1,1),0)</f>
        <v>0</v>
      </c>
      <c r="Q22" s="67">
        <f ca="1">IF(OFFSET(Planning!$E$25,COLUMN(H19),ROW(H19),1,1)&lt;&gt;"",OFFSET(Planning!$D$25,COLUMN(H19),0,1,1),0)</f>
        <v>0</v>
      </c>
      <c r="R22" s="67">
        <f ca="1">IF(OFFSET(Planning!$E$25,COLUMN(I19),ROW(I19),1,1)&lt;&gt;"",OFFSET(Planning!$D$25,COLUMN(I19),0,1,1),0)</f>
        <v>0</v>
      </c>
      <c r="S22" s="67">
        <f ca="1">IF(OFFSET(Planning!$E$25,COLUMN(J19),ROW(J19),1,1)&lt;&gt;"",OFFSET(Planning!$D$25,COLUMN(J19),0,1,1),0)</f>
        <v>0</v>
      </c>
      <c r="T22" s="67">
        <f ca="1">IF(OFFSET(Planning!$E$25,COLUMN(K19),ROW(K19),1,1)&lt;&gt;"",OFFSET(Planning!$D$25,COLUMN(K19),0,1,1),0)</f>
        <v>0</v>
      </c>
      <c r="U22" s="67">
        <f ca="1">IF(OFFSET(Planning!$E$25,COLUMN(L19),ROW(L19),1,1)&lt;&gt;"",OFFSET(Planning!$D$25,COLUMN(L19),0,1,1),0)</f>
        <v>0</v>
      </c>
      <c r="V22" s="67">
        <f ca="1">IF(OFFSET(Planning!$E$25,COLUMN(M19),ROW(M19),1,1)&lt;&gt;"",OFFSET(Planning!$D$25,COLUMN(M19),0,1,1),0)</f>
        <v>0</v>
      </c>
      <c r="W22" s="67">
        <f ca="1">IF(OFFSET(Planning!$E$25,COLUMN(N19),ROW(N19),1,1)&lt;&gt;"",OFFSET(Planning!$D$25,COLUMN(N19),0,1,1),0)</f>
        <v>0</v>
      </c>
      <c r="X22" s="67">
        <f ca="1">IF(OFFSET(Planning!$E$25,COLUMN(O19),ROW(O19),1,1)&lt;&gt;"",OFFSET(Planning!$D$25,COLUMN(O19),0,1,1),0)</f>
        <v>0</v>
      </c>
      <c r="Y22" s="67">
        <f ca="1">IF(OFFSET(Planning!$E$25,COLUMN(P19),ROW(P19),1,1)&lt;&gt;"",OFFSET(Planning!$D$25,COLUMN(P19),0,1,1),0)</f>
        <v>0</v>
      </c>
      <c r="Z22" s="67">
        <f ca="1">IF(OFFSET(Planning!$E$25,COLUMN(Q19),ROW(Q19),1,1)&lt;&gt;"",OFFSET(Planning!$D$25,COLUMN(Q19),0,1,1),0)</f>
        <v>0</v>
      </c>
      <c r="AA22" s="67">
        <f ca="1">IF(OFFSET(Planning!$E$25,COLUMN(R19),ROW(R19),1,1)&lt;&gt;"",OFFSET(Planning!$D$25,COLUMN(R19),0,1,1),0)</f>
        <v>0</v>
      </c>
      <c r="AB22" s="67">
        <f ca="1">IF(OFFSET(Planning!$E$25,COLUMN(S19),ROW(S19),1,1)&lt;&gt;"",OFFSET(Planning!$D$25,COLUMN(S19),0,1,1),0)</f>
        <v>0</v>
      </c>
      <c r="AC22" s="67">
        <f ca="1">IF(OFFSET(Planning!$E$25,COLUMN(T19),ROW(T19),1,1)&lt;&gt;"",OFFSET(Planning!$D$25,COLUMN(T19),0,1,1),0)</f>
        <v>0</v>
      </c>
      <c r="AD22" s="67">
        <f ca="1">VLOOKUP($B22,'Summary Calculations (hide)'!$D$15:$U$67,17,0)</f>
        <v>76.026600000000002</v>
      </c>
      <c r="AE22" s="67">
        <f ca="1">VLOOKUP($B22,'Summary Calculations (hide)'!$D$15:$U$67,18,0)</f>
        <v>7.6026600000000002</v>
      </c>
    </row>
    <row r="23" spans="1:31" x14ac:dyDescent="0.25">
      <c r="A23" s="87">
        <f t="shared" ca="1" si="3"/>
        <v>44067</v>
      </c>
      <c r="B23" s="67">
        <f t="shared" ca="1" si="0"/>
        <v>35</v>
      </c>
      <c r="C23" s="5">
        <f ca="1">IF(Planning!$C$8="No",VLOOKUP(B23,'Summary Calculations (hide)'!$D$15:$U$67,17,0),IF('Demand adjustments for Covid'!$F$9="Yes",'Demand background (hide)'!DS23,VLOOKUP(B23,'Summary Calculations (hide)'!$D$15:$F$67,2,0))*IF(Planning!$C$11="",1,1+Planning!$C$11)*'Summary Calculations (hide)'!$L$4/IF(Summary!$C$8="Patients",'Summary Calculations (hide)'!$I$9,1))</f>
        <v>69.024149999999992</v>
      </c>
      <c r="D23" s="5">
        <f ca="1">IF(Planning!$C$8="No",VLOOKUP('Planning (hide)'!B23,'Summary Calculations (hide)'!$D$15:$U$67,18,0),IF('Demand adjustments for Covid'!$F$9="Yes",'Demand background (hide)'!DT23,VLOOKUP(B23,'Summary Calculations (hide)'!$D$15:$F$67,3,0))*IF(Planning!$C$11="",1,1+Planning!$C$11)*'Summary Calculations (hide)'!$L$4/IF(Summary!$C$8="Patients",'Summary Calculations (hide)'!$I$9,1))-IF(Planning!$C$8="No",0,C23)</f>
        <v>6.9024150000000049</v>
      </c>
      <c r="E23" s="5">
        <f ca="1">VLOOKUP($B23,'Summary Calculations (hide)'!$D$15:$U$67,15,0)</f>
        <v>80.769230769230774</v>
      </c>
      <c r="F23" s="5">
        <f ca="1">VLOOKUP($B23,'Summary Calculations (hide)'!$D$15:$U$67,16,0)</f>
        <v>0</v>
      </c>
      <c r="G23" s="5">
        <f t="shared" ca="1" si="1"/>
        <v>80.769230769230774</v>
      </c>
      <c r="H23" s="5">
        <f t="shared" ca="1" si="2"/>
        <v>80.769230769230774</v>
      </c>
      <c r="I23" s="67">
        <f ca="1">IF(OFFSET(Planning!$E$25,0,ROW(A20),1,1)&lt;&gt;"",-'Planning (hide)'!$G23,0)</f>
        <v>0</v>
      </c>
      <c r="J23" s="67">
        <f ca="1">IF(OFFSET(Planning!$E$25,COLUMN(A20),ROW(A20),1,1)&lt;&gt;"",OFFSET(Planning!$D$25,COLUMN(A20),0,1,1),0)</f>
        <v>0</v>
      </c>
      <c r="K23" s="67">
        <f ca="1">IF(OFFSET(Planning!$E$25,COLUMN(B20),ROW(B20),1,1)&lt;&gt;"",OFFSET(Planning!$D$25,COLUMN(B20),0,1,1),0)</f>
        <v>0</v>
      </c>
      <c r="L23" s="67">
        <f ca="1">IF(OFFSET(Planning!$E$25,COLUMN(C20),ROW(C20),1,1)&lt;&gt;"",OFFSET(Planning!$D$25,COLUMN(C20),0,1,1),0)</f>
        <v>0</v>
      </c>
      <c r="M23" s="67">
        <f ca="1">IF(OFFSET(Planning!$E$25,COLUMN(D20),ROW(D20),1,1)&lt;&gt;"",OFFSET(Planning!$D$25,COLUMN(D20),0,1,1),0)</f>
        <v>0</v>
      </c>
      <c r="N23" s="67">
        <f ca="1">IF(OFFSET(Planning!$E$25,COLUMN(E20),ROW(E20),1,1)&lt;&gt;"",OFFSET(Planning!$D$25,COLUMN(E20),0,1,1),0)</f>
        <v>0</v>
      </c>
      <c r="O23" s="67">
        <f ca="1">IF(OFFSET(Planning!$E$25,COLUMN(F20),ROW(F20),1,1)&lt;&gt;"",OFFSET(Planning!$D$25,COLUMN(F20),0,1,1),0)</f>
        <v>0</v>
      </c>
      <c r="P23" s="67">
        <f ca="1">IF(OFFSET(Planning!$E$25,COLUMN(G20),ROW(G20),1,1)&lt;&gt;"",OFFSET(Planning!$D$25,COLUMN(G20),0,1,1),0)</f>
        <v>0</v>
      </c>
      <c r="Q23" s="67">
        <f ca="1">IF(OFFSET(Planning!$E$25,COLUMN(H20),ROW(H20),1,1)&lt;&gt;"",OFFSET(Planning!$D$25,COLUMN(H20),0,1,1),0)</f>
        <v>0</v>
      </c>
      <c r="R23" s="67">
        <f ca="1">IF(OFFSET(Planning!$E$25,COLUMN(I20),ROW(I20),1,1)&lt;&gt;"",OFFSET(Planning!$D$25,COLUMN(I20),0,1,1),0)</f>
        <v>0</v>
      </c>
      <c r="S23" s="67">
        <f ca="1">IF(OFFSET(Planning!$E$25,COLUMN(J20),ROW(J20),1,1)&lt;&gt;"",OFFSET(Planning!$D$25,COLUMN(J20),0,1,1),0)</f>
        <v>0</v>
      </c>
      <c r="T23" s="67">
        <f ca="1">IF(OFFSET(Planning!$E$25,COLUMN(K20),ROW(K20),1,1)&lt;&gt;"",OFFSET(Planning!$D$25,COLUMN(K20),0,1,1),0)</f>
        <v>0</v>
      </c>
      <c r="U23" s="67">
        <f ca="1">IF(OFFSET(Planning!$E$25,COLUMN(L20),ROW(L20),1,1)&lt;&gt;"",OFFSET(Planning!$D$25,COLUMN(L20),0,1,1),0)</f>
        <v>0</v>
      </c>
      <c r="V23" s="67">
        <f ca="1">IF(OFFSET(Planning!$E$25,COLUMN(M20),ROW(M20),1,1)&lt;&gt;"",OFFSET(Planning!$D$25,COLUMN(M20),0,1,1),0)</f>
        <v>0</v>
      </c>
      <c r="W23" s="67">
        <f ca="1">IF(OFFSET(Planning!$E$25,COLUMN(N20),ROW(N20),1,1)&lt;&gt;"",OFFSET(Planning!$D$25,COLUMN(N20),0,1,1),0)</f>
        <v>0</v>
      </c>
      <c r="X23" s="67">
        <f ca="1">IF(OFFSET(Planning!$E$25,COLUMN(O20),ROW(O20),1,1)&lt;&gt;"",OFFSET(Planning!$D$25,COLUMN(O20),0,1,1),0)</f>
        <v>0</v>
      </c>
      <c r="Y23" s="67">
        <f ca="1">IF(OFFSET(Planning!$E$25,COLUMN(P20),ROW(P20),1,1)&lt;&gt;"",OFFSET(Planning!$D$25,COLUMN(P20),0,1,1),0)</f>
        <v>0</v>
      </c>
      <c r="Z23" s="67">
        <f ca="1">IF(OFFSET(Planning!$E$25,COLUMN(Q20),ROW(Q20),1,1)&lt;&gt;"",OFFSET(Planning!$D$25,COLUMN(Q20),0,1,1),0)</f>
        <v>0</v>
      </c>
      <c r="AA23" s="67">
        <f ca="1">IF(OFFSET(Planning!$E$25,COLUMN(R20),ROW(R20),1,1)&lt;&gt;"",OFFSET(Planning!$D$25,COLUMN(R20),0,1,1),0)</f>
        <v>0</v>
      </c>
      <c r="AB23" s="67">
        <f ca="1">IF(OFFSET(Planning!$E$25,COLUMN(S20),ROW(S20),1,1)&lt;&gt;"",OFFSET(Planning!$D$25,COLUMN(S20),0,1,1),0)</f>
        <v>0</v>
      </c>
      <c r="AC23" s="67">
        <f ca="1">IF(OFFSET(Planning!$E$25,COLUMN(T20),ROW(T20),1,1)&lt;&gt;"",OFFSET(Planning!$D$25,COLUMN(T20),0,1,1),0)</f>
        <v>0</v>
      </c>
      <c r="AD23" s="67">
        <f ca="1">VLOOKUP($B23,'Summary Calculations (hide)'!$D$15:$U$67,17,0)</f>
        <v>69.024149999999992</v>
      </c>
      <c r="AE23" s="67">
        <f ca="1">VLOOKUP($B23,'Summary Calculations (hide)'!$D$15:$U$67,18,0)</f>
        <v>6.9024150000000049</v>
      </c>
    </row>
    <row r="24" spans="1:31" x14ac:dyDescent="0.25">
      <c r="A24" s="87">
        <f t="shared" ca="1" si="3"/>
        <v>44074</v>
      </c>
      <c r="B24" s="67">
        <f t="shared" ca="1" si="0"/>
        <v>36</v>
      </c>
      <c r="C24" s="5">
        <f ca="1">IF(Planning!$C$8="No",VLOOKUP(B24,'Summary Calculations (hide)'!$D$15:$U$67,17,0),IF('Demand adjustments for Covid'!$F$9="Yes",'Demand background (hide)'!DS24,VLOOKUP(B24,'Summary Calculations (hide)'!$D$15:$F$67,2,0))*IF(Planning!$C$11="",1,1+Planning!$C$11)*'Summary Calculations (hide)'!$L$4/IF(Summary!$C$8="Patients",'Summary Calculations (hide)'!$I$9,1))</f>
        <v>80.027999999999992</v>
      </c>
      <c r="D24" s="5">
        <f ca="1">IF(Planning!$C$8="No",VLOOKUP('Planning (hide)'!B24,'Summary Calculations (hide)'!$D$15:$U$67,18,0),IF('Demand adjustments for Covid'!$F$9="Yes",'Demand background (hide)'!DT24,VLOOKUP(B24,'Summary Calculations (hide)'!$D$15:$F$67,3,0))*IF(Planning!$C$11="",1,1+Planning!$C$11)*'Summary Calculations (hide)'!$L$4/IF(Summary!$C$8="Patients",'Summary Calculations (hide)'!$I$9,1))-IF(Planning!$C$8="No",0,C24)</f>
        <v>8.0027999999999935</v>
      </c>
      <c r="E24" s="5">
        <f ca="1">VLOOKUP($B24,'Summary Calculations (hide)'!$D$15:$U$67,15,0)</f>
        <v>80.769230769230774</v>
      </c>
      <c r="F24" s="5">
        <f ca="1">VLOOKUP($B24,'Summary Calculations (hide)'!$D$15:$U$67,16,0)</f>
        <v>0</v>
      </c>
      <c r="G24" s="5">
        <f t="shared" ca="1" si="1"/>
        <v>80.769230769230774</v>
      </c>
      <c r="H24" s="5">
        <f t="shared" ca="1" si="2"/>
        <v>80.769230769230774</v>
      </c>
      <c r="I24" s="67">
        <f ca="1">IF(OFFSET(Planning!$E$25,0,ROW(A21),1,1)&lt;&gt;"",-'Planning (hide)'!$G24,0)</f>
        <v>0</v>
      </c>
      <c r="J24" s="67">
        <f ca="1">IF(OFFSET(Planning!$E$25,COLUMN(A21),ROW(A21),1,1)&lt;&gt;"",OFFSET(Planning!$D$25,COLUMN(A21),0,1,1),0)</f>
        <v>0</v>
      </c>
      <c r="K24" s="67">
        <f ca="1">IF(OFFSET(Planning!$E$25,COLUMN(B21),ROW(B21),1,1)&lt;&gt;"",OFFSET(Planning!$D$25,COLUMN(B21),0,1,1),0)</f>
        <v>0</v>
      </c>
      <c r="L24" s="67">
        <f ca="1">IF(OFFSET(Planning!$E$25,COLUMN(C21),ROW(C21),1,1)&lt;&gt;"",OFFSET(Planning!$D$25,COLUMN(C21),0,1,1),0)</f>
        <v>0</v>
      </c>
      <c r="M24" s="67">
        <f ca="1">IF(OFFSET(Planning!$E$25,COLUMN(D21),ROW(D21),1,1)&lt;&gt;"",OFFSET(Planning!$D$25,COLUMN(D21),0,1,1),0)</f>
        <v>0</v>
      </c>
      <c r="N24" s="67">
        <f ca="1">IF(OFFSET(Planning!$E$25,COLUMN(E21),ROW(E21),1,1)&lt;&gt;"",OFFSET(Planning!$D$25,COLUMN(E21),0,1,1),0)</f>
        <v>0</v>
      </c>
      <c r="O24" s="67">
        <f ca="1">IF(OFFSET(Planning!$E$25,COLUMN(F21),ROW(F21),1,1)&lt;&gt;"",OFFSET(Planning!$D$25,COLUMN(F21),0,1,1),0)</f>
        <v>0</v>
      </c>
      <c r="P24" s="67">
        <f ca="1">IF(OFFSET(Planning!$E$25,COLUMN(G21),ROW(G21),1,1)&lt;&gt;"",OFFSET(Planning!$D$25,COLUMN(G21),0,1,1),0)</f>
        <v>0</v>
      </c>
      <c r="Q24" s="67">
        <f ca="1">IF(OFFSET(Planning!$E$25,COLUMN(H21),ROW(H21),1,1)&lt;&gt;"",OFFSET(Planning!$D$25,COLUMN(H21),0,1,1),0)</f>
        <v>0</v>
      </c>
      <c r="R24" s="67">
        <f ca="1">IF(OFFSET(Planning!$E$25,COLUMN(I21),ROW(I21),1,1)&lt;&gt;"",OFFSET(Planning!$D$25,COLUMN(I21),0,1,1),0)</f>
        <v>0</v>
      </c>
      <c r="S24" s="67">
        <f ca="1">IF(OFFSET(Planning!$E$25,COLUMN(J21),ROW(J21),1,1)&lt;&gt;"",OFFSET(Planning!$D$25,COLUMN(J21),0,1,1),0)</f>
        <v>0</v>
      </c>
      <c r="T24" s="67">
        <f ca="1">IF(OFFSET(Planning!$E$25,COLUMN(K21),ROW(K21),1,1)&lt;&gt;"",OFFSET(Planning!$D$25,COLUMN(K21),0,1,1),0)</f>
        <v>0</v>
      </c>
      <c r="U24" s="67">
        <f ca="1">IF(OFFSET(Planning!$E$25,COLUMN(L21),ROW(L21),1,1)&lt;&gt;"",OFFSET(Planning!$D$25,COLUMN(L21),0,1,1),0)</f>
        <v>0</v>
      </c>
      <c r="V24" s="67">
        <f ca="1">IF(OFFSET(Planning!$E$25,COLUMN(M21),ROW(M21),1,1)&lt;&gt;"",OFFSET(Planning!$D$25,COLUMN(M21),0,1,1),0)</f>
        <v>0</v>
      </c>
      <c r="W24" s="67">
        <f ca="1">IF(OFFSET(Planning!$E$25,COLUMN(N21),ROW(N21),1,1)&lt;&gt;"",OFFSET(Planning!$D$25,COLUMN(N21),0,1,1),0)</f>
        <v>0</v>
      </c>
      <c r="X24" s="67">
        <f ca="1">IF(OFFSET(Planning!$E$25,COLUMN(O21),ROW(O21),1,1)&lt;&gt;"",OFFSET(Planning!$D$25,COLUMN(O21),0,1,1),0)</f>
        <v>0</v>
      </c>
      <c r="Y24" s="67">
        <f ca="1">IF(OFFSET(Planning!$E$25,COLUMN(P21),ROW(P21),1,1)&lt;&gt;"",OFFSET(Planning!$D$25,COLUMN(P21),0,1,1),0)</f>
        <v>0</v>
      </c>
      <c r="Z24" s="67">
        <f ca="1">IF(OFFSET(Planning!$E$25,COLUMN(Q21),ROW(Q21),1,1)&lt;&gt;"",OFFSET(Planning!$D$25,COLUMN(Q21),0,1,1),0)</f>
        <v>0</v>
      </c>
      <c r="AA24" s="67">
        <f ca="1">IF(OFFSET(Planning!$E$25,COLUMN(R21),ROW(R21),1,1)&lt;&gt;"",OFFSET(Planning!$D$25,COLUMN(R21),0,1,1),0)</f>
        <v>0</v>
      </c>
      <c r="AB24" s="67">
        <f ca="1">IF(OFFSET(Planning!$E$25,COLUMN(S21),ROW(S21),1,1)&lt;&gt;"",OFFSET(Planning!$D$25,COLUMN(S21),0,1,1),0)</f>
        <v>0</v>
      </c>
      <c r="AC24" s="67">
        <f ca="1">IF(OFFSET(Planning!$E$25,COLUMN(T21),ROW(T21),1,1)&lt;&gt;"",OFFSET(Planning!$D$25,COLUMN(T21),0,1,1),0)</f>
        <v>0</v>
      </c>
      <c r="AD24" s="67">
        <f ca="1">VLOOKUP($B24,'Summary Calculations (hide)'!$D$15:$U$67,17,0)</f>
        <v>80.027999999999992</v>
      </c>
      <c r="AE24" s="67">
        <f ca="1">VLOOKUP($B24,'Summary Calculations (hide)'!$D$15:$U$67,18,0)</f>
        <v>8.0027999999999935</v>
      </c>
    </row>
    <row r="25" spans="1:31" x14ac:dyDescent="0.25">
      <c r="A25" s="87">
        <f t="shared" ca="1" si="3"/>
        <v>44081</v>
      </c>
      <c r="B25" s="67">
        <f t="shared" ca="1" si="0"/>
        <v>37</v>
      </c>
      <c r="C25" s="5">
        <f ca="1">IF(Planning!$C$8="No",VLOOKUP(B25,'Summary Calculations (hide)'!$D$15:$U$67,17,0),IF('Demand adjustments for Covid'!$F$9="Yes",'Demand background (hide)'!DS25,VLOOKUP(B25,'Summary Calculations (hide)'!$D$15:$F$67,2,0))*IF(Planning!$C$11="",1,1+Planning!$C$11)*'Summary Calculations (hide)'!$L$4/IF(Summary!$C$8="Patients",'Summary Calculations (hide)'!$I$9,1))</f>
        <v>73.025549999999996</v>
      </c>
      <c r="D25" s="5">
        <f ca="1">IF(Planning!$C$8="No",VLOOKUP('Planning (hide)'!B25,'Summary Calculations (hide)'!$D$15:$U$67,18,0),IF('Demand adjustments for Covid'!$F$9="Yes",'Demand background (hide)'!DT25,VLOOKUP(B25,'Summary Calculations (hide)'!$D$15:$F$67,3,0))*IF(Planning!$C$11="",1,1+Planning!$C$11)*'Summary Calculations (hide)'!$L$4/IF(Summary!$C$8="Patients",'Summary Calculations (hide)'!$I$9,1))-IF(Planning!$C$8="No",0,C25)</f>
        <v>7.3025549999999981</v>
      </c>
      <c r="E25" s="5">
        <f ca="1">VLOOKUP($B25,'Summary Calculations (hide)'!$D$15:$U$67,15,0)</f>
        <v>80.769230769230774</v>
      </c>
      <c r="F25" s="5">
        <f ca="1">VLOOKUP($B25,'Summary Calculations (hide)'!$D$15:$U$67,16,0)</f>
        <v>0</v>
      </c>
      <c r="G25" s="5">
        <f t="shared" ca="1" si="1"/>
        <v>80.769230769230774</v>
      </c>
      <c r="H25" s="5">
        <f t="shared" ca="1" si="2"/>
        <v>80.769230769230774</v>
      </c>
      <c r="I25" s="67">
        <f ca="1">IF(OFFSET(Planning!$E$25,0,ROW(A22),1,1)&lt;&gt;"",-'Planning (hide)'!$G25,0)</f>
        <v>0</v>
      </c>
      <c r="J25" s="67">
        <f ca="1">IF(OFFSET(Planning!$E$25,COLUMN(A22),ROW(A22),1,1)&lt;&gt;"",OFFSET(Planning!$D$25,COLUMN(A22),0,1,1),0)</f>
        <v>0</v>
      </c>
      <c r="K25" s="67">
        <f ca="1">IF(OFFSET(Planning!$E$25,COLUMN(B22),ROW(B22),1,1)&lt;&gt;"",OFFSET(Planning!$D$25,COLUMN(B22),0,1,1),0)</f>
        <v>0</v>
      </c>
      <c r="L25" s="67">
        <f ca="1">IF(OFFSET(Planning!$E$25,COLUMN(C22),ROW(C22),1,1)&lt;&gt;"",OFFSET(Planning!$D$25,COLUMN(C22),0,1,1),0)</f>
        <v>0</v>
      </c>
      <c r="M25" s="67">
        <f ca="1">IF(OFFSET(Planning!$E$25,COLUMN(D22),ROW(D22),1,1)&lt;&gt;"",OFFSET(Planning!$D$25,COLUMN(D22),0,1,1),0)</f>
        <v>0</v>
      </c>
      <c r="N25" s="67">
        <f ca="1">IF(OFFSET(Planning!$E$25,COLUMN(E22),ROW(E22),1,1)&lt;&gt;"",OFFSET(Planning!$D$25,COLUMN(E22),0,1,1),0)</f>
        <v>0</v>
      </c>
      <c r="O25" s="67">
        <f ca="1">IF(OFFSET(Planning!$E$25,COLUMN(F22),ROW(F22),1,1)&lt;&gt;"",OFFSET(Planning!$D$25,COLUMN(F22),0,1,1),0)</f>
        <v>0</v>
      </c>
      <c r="P25" s="67">
        <f ca="1">IF(OFFSET(Planning!$E$25,COLUMN(G22),ROW(G22),1,1)&lt;&gt;"",OFFSET(Planning!$D$25,COLUMN(G22),0,1,1),0)</f>
        <v>0</v>
      </c>
      <c r="Q25" s="67">
        <f ca="1">IF(OFFSET(Planning!$E$25,COLUMN(H22),ROW(H22),1,1)&lt;&gt;"",OFFSET(Planning!$D$25,COLUMN(H22),0,1,1),0)</f>
        <v>0</v>
      </c>
      <c r="R25" s="67">
        <f ca="1">IF(OFFSET(Planning!$E$25,COLUMN(I22),ROW(I22),1,1)&lt;&gt;"",OFFSET(Planning!$D$25,COLUMN(I22),0,1,1),0)</f>
        <v>0</v>
      </c>
      <c r="S25" s="67">
        <f ca="1">IF(OFFSET(Planning!$E$25,COLUMN(J22),ROW(J22),1,1)&lt;&gt;"",OFFSET(Planning!$D$25,COLUMN(J22),0,1,1),0)</f>
        <v>0</v>
      </c>
      <c r="T25" s="67">
        <f ca="1">IF(OFFSET(Planning!$E$25,COLUMN(K22),ROW(K22),1,1)&lt;&gt;"",OFFSET(Planning!$D$25,COLUMN(K22),0,1,1),0)</f>
        <v>0</v>
      </c>
      <c r="U25" s="67">
        <f ca="1">IF(OFFSET(Planning!$E$25,COLUMN(L22),ROW(L22),1,1)&lt;&gt;"",OFFSET(Planning!$D$25,COLUMN(L22),0,1,1),0)</f>
        <v>0</v>
      </c>
      <c r="V25" s="67">
        <f ca="1">IF(OFFSET(Planning!$E$25,COLUMN(M22),ROW(M22),1,1)&lt;&gt;"",OFFSET(Planning!$D$25,COLUMN(M22),0,1,1),0)</f>
        <v>0</v>
      </c>
      <c r="W25" s="67">
        <f ca="1">IF(OFFSET(Planning!$E$25,COLUMN(N22),ROW(N22),1,1)&lt;&gt;"",OFFSET(Planning!$D$25,COLUMN(N22),0,1,1),0)</f>
        <v>0</v>
      </c>
      <c r="X25" s="67">
        <f ca="1">IF(OFFSET(Planning!$E$25,COLUMN(O22),ROW(O22),1,1)&lt;&gt;"",OFFSET(Planning!$D$25,COLUMN(O22),0,1,1),0)</f>
        <v>0</v>
      </c>
      <c r="Y25" s="67">
        <f ca="1">IF(OFFSET(Planning!$E$25,COLUMN(P22),ROW(P22),1,1)&lt;&gt;"",OFFSET(Planning!$D$25,COLUMN(P22),0,1,1),0)</f>
        <v>0</v>
      </c>
      <c r="Z25" s="67">
        <f ca="1">IF(OFFSET(Planning!$E$25,COLUMN(Q22),ROW(Q22),1,1)&lt;&gt;"",OFFSET(Planning!$D$25,COLUMN(Q22),0,1,1),0)</f>
        <v>0</v>
      </c>
      <c r="AA25" s="67">
        <f ca="1">IF(OFFSET(Planning!$E$25,COLUMN(R22),ROW(R22),1,1)&lt;&gt;"",OFFSET(Planning!$D$25,COLUMN(R22),0,1,1),0)</f>
        <v>0</v>
      </c>
      <c r="AB25" s="67">
        <f ca="1">IF(OFFSET(Planning!$E$25,COLUMN(S22),ROW(S22),1,1)&lt;&gt;"",OFFSET(Planning!$D$25,COLUMN(S22),0,1,1),0)</f>
        <v>0</v>
      </c>
      <c r="AC25" s="67">
        <f ca="1">IF(OFFSET(Planning!$E$25,COLUMN(T22),ROW(T22),1,1)&lt;&gt;"",OFFSET(Planning!$D$25,COLUMN(T22),0,1,1),0)</f>
        <v>0</v>
      </c>
      <c r="AD25" s="67">
        <f ca="1">VLOOKUP($B25,'Summary Calculations (hide)'!$D$15:$U$67,17,0)</f>
        <v>73.025549999999996</v>
      </c>
      <c r="AE25" s="67">
        <f ca="1">VLOOKUP($B25,'Summary Calculations (hide)'!$D$15:$U$67,18,0)</f>
        <v>7.3025550000000123</v>
      </c>
    </row>
    <row r="26" spans="1:31" x14ac:dyDescent="0.25">
      <c r="A26" s="87">
        <f t="shared" ca="1" si="3"/>
        <v>44088</v>
      </c>
      <c r="B26" s="67">
        <f t="shared" ca="1" si="0"/>
        <v>38</v>
      </c>
      <c r="C26" s="5">
        <f ca="1">IF(Planning!$C$8="No",VLOOKUP(B26,'Summary Calculations (hide)'!$D$15:$U$67,17,0),IF('Demand adjustments for Covid'!$F$9="Yes",'Demand background (hide)'!DS26,VLOOKUP(B26,'Summary Calculations (hide)'!$D$15:$F$67,2,0))*IF(Planning!$C$11="",1,1+Planning!$C$11)*'Summary Calculations (hide)'!$L$4/IF(Summary!$C$8="Patients",'Summary Calculations (hide)'!$I$9,1))</f>
        <v>74.025899999999993</v>
      </c>
      <c r="D26" s="5">
        <f ca="1">IF(Planning!$C$8="No",VLOOKUP('Planning (hide)'!B26,'Summary Calculations (hide)'!$D$15:$U$67,18,0),IF('Demand adjustments for Covid'!$F$9="Yes",'Demand background (hide)'!DT26,VLOOKUP(B26,'Summary Calculations (hide)'!$D$15:$F$67,3,0))*IF(Planning!$C$11="",1,1+Planning!$C$11)*'Summary Calculations (hide)'!$L$4/IF(Summary!$C$8="Patients",'Summary Calculations (hide)'!$I$9,1))-IF(Planning!$C$8="No",0,C26)</f>
        <v>7.4025900000000036</v>
      </c>
      <c r="E26" s="5">
        <f ca="1">VLOOKUP($B26,'Summary Calculations (hide)'!$D$15:$U$67,15,0)</f>
        <v>80.769230769230774</v>
      </c>
      <c r="F26" s="5">
        <f ca="1">VLOOKUP($B26,'Summary Calculations (hide)'!$D$15:$U$67,16,0)</f>
        <v>0</v>
      </c>
      <c r="G26" s="5">
        <f t="shared" ca="1" si="1"/>
        <v>80.769230769230774</v>
      </c>
      <c r="H26" s="5">
        <f t="shared" ca="1" si="2"/>
        <v>80.769230769230774</v>
      </c>
      <c r="I26" s="67">
        <f ca="1">IF(OFFSET(Planning!$E$25,0,ROW(A23),1,1)&lt;&gt;"",-'Planning (hide)'!$G26,0)</f>
        <v>0</v>
      </c>
      <c r="J26" s="67">
        <f ca="1">IF(OFFSET(Planning!$E$25,COLUMN(A23),ROW(A23),1,1)&lt;&gt;"",OFFSET(Planning!$D$25,COLUMN(A23),0,1,1),0)</f>
        <v>0</v>
      </c>
      <c r="K26" s="67">
        <f ca="1">IF(OFFSET(Planning!$E$25,COLUMN(B23),ROW(B23),1,1)&lt;&gt;"",OFFSET(Planning!$D$25,COLUMN(B23),0,1,1),0)</f>
        <v>0</v>
      </c>
      <c r="L26" s="67">
        <f ca="1">IF(OFFSET(Planning!$E$25,COLUMN(C23),ROW(C23),1,1)&lt;&gt;"",OFFSET(Planning!$D$25,COLUMN(C23),0,1,1),0)</f>
        <v>0</v>
      </c>
      <c r="M26" s="67">
        <f ca="1">IF(OFFSET(Planning!$E$25,COLUMN(D23),ROW(D23),1,1)&lt;&gt;"",OFFSET(Planning!$D$25,COLUMN(D23),0,1,1),0)</f>
        <v>0</v>
      </c>
      <c r="N26" s="67">
        <f ca="1">IF(OFFSET(Planning!$E$25,COLUMN(E23),ROW(E23),1,1)&lt;&gt;"",OFFSET(Planning!$D$25,COLUMN(E23),0,1,1),0)</f>
        <v>0</v>
      </c>
      <c r="O26" s="67">
        <f ca="1">IF(OFFSET(Planning!$E$25,COLUMN(F23),ROW(F23),1,1)&lt;&gt;"",OFFSET(Planning!$D$25,COLUMN(F23),0,1,1),0)</f>
        <v>0</v>
      </c>
      <c r="P26" s="67">
        <f ca="1">IF(OFFSET(Planning!$E$25,COLUMN(G23),ROW(G23),1,1)&lt;&gt;"",OFFSET(Planning!$D$25,COLUMN(G23),0,1,1),0)</f>
        <v>0</v>
      </c>
      <c r="Q26" s="67">
        <f ca="1">IF(OFFSET(Planning!$E$25,COLUMN(H23),ROW(H23),1,1)&lt;&gt;"",OFFSET(Planning!$D$25,COLUMN(H23),0,1,1),0)</f>
        <v>0</v>
      </c>
      <c r="R26" s="67">
        <f ca="1">IF(OFFSET(Planning!$E$25,COLUMN(I23),ROW(I23),1,1)&lt;&gt;"",OFFSET(Planning!$D$25,COLUMN(I23),0,1,1),0)</f>
        <v>0</v>
      </c>
      <c r="S26" s="67">
        <f ca="1">IF(OFFSET(Planning!$E$25,COLUMN(J23),ROW(J23),1,1)&lt;&gt;"",OFFSET(Planning!$D$25,COLUMN(J23),0,1,1),0)</f>
        <v>0</v>
      </c>
      <c r="T26" s="67">
        <f ca="1">IF(OFFSET(Planning!$E$25,COLUMN(K23),ROW(K23),1,1)&lt;&gt;"",OFFSET(Planning!$D$25,COLUMN(K23),0,1,1),0)</f>
        <v>0</v>
      </c>
      <c r="U26" s="67">
        <f ca="1">IF(OFFSET(Planning!$E$25,COLUMN(L23),ROW(L23),1,1)&lt;&gt;"",OFFSET(Planning!$D$25,COLUMN(L23),0,1,1),0)</f>
        <v>0</v>
      </c>
      <c r="V26" s="67">
        <f ca="1">IF(OFFSET(Planning!$E$25,COLUMN(M23),ROW(M23),1,1)&lt;&gt;"",OFFSET(Planning!$D$25,COLUMN(M23),0,1,1),0)</f>
        <v>0</v>
      </c>
      <c r="W26" s="67">
        <f ca="1">IF(OFFSET(Planning!$E$25,COLUMN(N23),ROW(N23),1,1)&lt;&gt;"",OFFSET(Planning!$D$25,COLUMN(N23),0,1,1),0)</f>
        <v>0</v>
      </c>
      <c r="X26" s="67">
        <f ca="1">IF(OFFSET(Planning!$E$25,COLUMN(O23),ROW(O23),1,1)&lt;&gt;"",OFFSET(Planning!$D$25,COLUMN(O23),0,1,1),0)</f>
        <v>0</v>
      </c>
      <c r="Y26" s="67">
        <f ca="1">IF(OFFSET(Planning!$E$25,COLUMN(P23),ROW(P23),1,1)&lt;&gt;"",OFFSET(Planning!$D$25,COLUMN(P23),0,1,1),0)</f>
        <v>0</v>
      </c>
      <c r="Z26" s="67">
        <f ca="1">IF(OFFSET(Planning!$E$25,COLUMN(Q23),ROW(Q23),1,1)&lt;&gt;"",OFFSET(Planning!$D$25,COLUMN(Q23),0,1,1),0)</f>
        <v>0</v>
      </c>
      <c r="AA26" s="67">
        <f ca="1">IF(OFFSET(Planning!$E$25,COLUMN(R23),ROW(R23),1,1)&lt;&gt;"",OFFSET(Planning!$D$25,COLUMN(R23),0,1,1),0)</f>
        <v>0</v>
      </c>
      <c r="AB26" s="67">
        <f ca="1">IF(OFFSET(Planning!$E$25,COLUMN(S23),ROW(S23),1,1)&lt;&gt;"",OFFSET(Planning!$D$25,COLUMN(S23),0,1,1),0)</f>
        <v>0</v>
      </c>
      <c r="AC26" s="67">
        <f ca="1">IF(OFFSET(Planning!$E$25,COLUMN(T23),ROW(T23),1,1)&lt;&gt;"",OFFSET(Planning!$D$25,COLUMN(T23),0,1,1),0)</f>
        <v>0</v>
      </c>
      <c r="AD26" s="67">
        <f ca="1">VLOOKUP($B26,'Summary Calculations (hide)'!$D$15:$U$67,17,0)</f>
        <v>74.025899999999993</v>
      </c>
      <c r="AE26" s="67">
        <f ca="1">VLOOKUP($B26,'Summary Calculations (hide)'!$D$15:$U$67,18,0)</f>
        <v>7.4025900000000036</v>
      </c>
    </row>
    <row r="27" spans="1:31" x14ac:dyDescent="0.25">
      <c r="A27" s="87">
        <f t="shared" ca="1" si="3"/>
        <v>44095</v>
      </c>
      <c r="B27" s="67">
        <f t="shared" ca="1" si="0"/>
        <v>39</v>
      </c>
      <c r="C27" s="5">
        <f ca="1">IF(Planning!$C$8="No",VLOOKUP(B27,'Summary Calculations (hide)'!$D$15:$U$67,17,0),IF('Demand adjustments for Covid'!$F$9="Yes",'Demand background (hide)'!DS27,VLOOKUP(B27,'Summary Calculations (hide)'!$D$15:$F$67,2,0))*IF(Planning!$C$11="",1,1+Planning!$C$11)*'Summary Calculations (hide)'!$L$4/IF(Summary!$C$8="Patients",'Summary Calculations (hide)'!$I$9,1))</f>
        <v>65.022749999999988</v>
      </c>
      <c r="D27" s="5">
        <f ca="1">IF(Planning!$C$8="No",VLOOKUP('Planning (hide)'!B27,'Summary Calculations (hide)'!$D$15:$U$67,18,0),IF('Demand adjustments for Covid'!$F$9="Yes",'Demand background (hide)'!DT27,VLOOKUP(B27,'Summary Calculations (hide)'!$D$15:$F$67,3,0))*IF(Planning!$C$11="",1,1+Planning!$C$11)*'Summary Calculations (hide)'!$L$4/IF(Summary!$C$8="Patients",'Summary Calculations (hide)'!$I$9,1))-IF(Planning!$C$8="No",0,C27)</f>
        <v>6.5022749999999974</v>
      </c>
      <c r="E27" s="5">
        <f ca="1">VLOOKUP($B27,'Summary Calculations (hide)'!$D$15:$U$67,15,0)</f>
        <v>80.769230769230774</v>
      </c>
      <c r="F27" s="5">
        <f ca="1">VLOOKUP($B27,'Summary Calculations (hide)'!$D$15:$U$67,16,0)</f>
        <v>0</v>
      </c>
      <c r="G27" s="5">
        <f t="shared" ca="1" si="1"/>
        <v>80.769230769230774</v>
      </c>
      <c r="H27" s="5">
        <f t="shared" ca="1" si="2"/>
        <v>80.769230769230774</v>
      </c>
      <c r="I27" s="67">
        <f ca="1">IF(OFFSET(Planning!$E$25,0,ROW(A24),1,1)&lt;&gt;"",-'Planning (hide)'!$G27,0)</f>
        <v>0</v>
      </c>
      <c r="J27" s="67">
        <f ca="1">IF(OFFSET(Planning!$E$25,COLUMN(A24),ROW(A24),1,1)&lt;&gt;"",OFFSET(Planning!$D$25,COLUMN(A24),0,1,1),0)</f>
        <v>0</v>
      </c>
      <c r="K27" s="67">
        <f ca="1">IF(OFFSET(Planning!$E$25,COLUMN(B24),ROW(B24),1,1)&lt;&gt;"",OFFSET(Planning!$D$25,COLUMN(B24),0,1,1),0)</f>
        <v>0</v>
      </c>
      <c r="L27" s="67">
        <f ca="1">IF(OFFSET(Planning!$E$25,COLUMN(C24),ROW(C24),1,1)&lt;&gt;"",OFFSET(Planning!$D$25,COLUMN(C24),0,1,1),0)</f>
        <v>0</v>
      </c>
      <c r="M27" s="67">
        <f ca="1">IF(OFFSET(Planning!$E$25,COLUMN(D24),ROW(D24),1,1)&lt;&gt;"",OFFSET(Planning!$D$25,COLUMN(D24),0,1,1),0)</f>
        <v>0</v>
      </c>
      <c r="N27" s="67">
        <f ca="1">IF(OFFSET(Planning!$E$25,COLUMN(E24),ROW(E24),1,1)&lt;&gt;"",OFFSET(Planning!$D$25,COLUMN(E24),0,1,1),0)</f>
        <v>0</v>
      </c>
      <c r="O27" s="67">
        <f ca="1">IF(OFFSET(Planning!$E$25,COLUMN(F24),ROW(F24),1,1)&lt;&gt;"",OFFSET(Planning!$D$25,COLUMN(F24),0,1,1),0)</f>
        <v>0</v>
      </c>
      <c r="P27" s="67">
        <f ca="1">IF(OFFSET(Planning!$E$25,COLUMN(G24),ROW(G24),1,1)&lt;&gt;"",OFFSET(Planning!$D$25,COLUMN(G24),0,1,1),0)</f>
        <v>0</v>
      </c>
      <c r="Q27" s="67">
        <f ca="1">IF(OFFSET(Planning!$E$25,COLUMN(H24),ROW(H24),1,1)&lt;&gt;"",OFFSET(Planning!$D$25,COLUMN(H24),0,1,1),0)</f>
        <v>0</v>
      </c>
      <c r="R27" s="67">
        <f ca="1">IF(OFFSET(Planning!$E$25,COLUMN(I24),ROW(I24),1,1)&lt;&gt;"",OFFSET(Planning!$D$25,COLUMN(I24),0,1,1),0)</f>
        <v>0</v>
      </c>
      <c r="S27" s="67">
        <f ca="1">IF(OFFSET(Planning!$E$25,COLUMN(J24),ROW(J24),1,1)&lt;&gt;"",OFFSET(Planning!$D$25,COLUMN(J24),0,1,1),0)</f>
        <v>0</v>
      </c>
      <c r="T27" s="67">
        <f ca="1">IF(OFFSET(Planning!$E$25,COLUMN(K24),ROW(K24),1,1)&lt;&gt;"",OFFSET(Planning!$D$25,COLUMN(K24),0,1,1),0)</f>
        <v>0</v>
      </c>
      <c r="U27" s="67">
        <f ca="1">IF(OFFSET(Planning!$E$25,COLUMN(L24),ROW(L24),1,1)&lt;&gt;"",OFFSET(Planning!$D$25,COLUMN(L24),0,1,1),0)</f>
        <v>0</v>
      </c>
      <c r="V27" s="67">
        <f ca="1">IF(OFFSET(Planning!$E$25,COLUMN(M24),ROW(M24),1,1)&lt;&gt;"",OFFSET(Planning!$D$25,COLUMN(M24),0,1,1),0)</f>
        <v>0</v>
      </c>
      <c r="W27" s="67">
        <f ca="1">IF(OFFSET(Planning!$E$25,COLUMN(N24),ROW(N24),1,1)&lt;&gt;"",OFFSET(Planning!$D$25,COLUMN(N24),0,1,1),0)</f>
        <v>0</v>
      </c>
      <c r="X27" s="67">
        <f ca="1">IF(OFFSET(Planning!$E$25,COLUMN(O24),ROW(O24),1,1)&lt;&gt;"",OFFSET(Planning!$D$25,COLUMN(O24),0,1,1),0)</f>
        <v>0</v>
      </c>
      <c r="Y27" s="67">
        <f ca="1">IF(OFFSET(Planning!$E$25,COLUMN(P24),ROW(P24),1,1)&lt;&gt;"",OFFSET(Planning!$D$25,COLUMN(P24),0,1,1),0)</f>
        <v>0</v>
      </c>
      <c r="Z27" s="67">
        <f ca="1">IF(OFFSET(Planning!$E$25,COLUMN(Q24),ROW(Q24),1,1)&lt;&gt;"",OFFSET(Planning!$D$25,COLUMN(Q24),0,1,1),0)</f>
        <v>0</v>
      </c>
      <c r="AA27" s="67">
        <f ca="1">IF(OFFSET(Planning!$E$25,COLUMN(R24),ROW(R24),1,1)&lt;&gt;"",OFFSET(Planning!$D$25,COLUMN(R24),0,1,1),0)</f>
        <v>0</v>
      </c>
      <c r="AB27" s="67">
        <f ca="1">IF(OFFSET(Planning!$E$25,COLUMN(S24),ROW(S24),1,1)&lt;&gt;"",OFFSET(Planning!$D$25,COLUMN(S24),0,1,1),0)</f>
        <v>0</v>
      </c>
      <c r="AC27" s="67">
        <f ca="1">IF(OFFSET(Planning!$E$25,COLUMN(T24),ROW(T24),1,1)&lt;&gt;"",OFFSET(Planning!$D$25,COLUMN(T24),0,1,1),0)</f>
        <v>0</v>
      </c>
      <c r="AD27" s="67">
        <f ca="1">VLOOKUP($B27,'Summary Calculations (hide)'!$D$15:$U$67,17,0)</f>
        <v>65.022750000000002</v>
      </c>
      <c r="AE27" s="67">
        <f ca="1">VLOOKUP($B27,'Summary Calculations (hide)'!$D$15:$U$67,18,0)</f>
        <v>6.5022749999999974</v>
      </c>
    </row>
    <row r="28" spans="1:31" x14ac:dyDescent="0.25">
      <c r="A28" s="87">
        <f t="shared" ca="1" si="3"/>
        <v>44102</v>
      </c>
      <c r="B28" s="67">
        <f t="shared" ca="1" si="0"/>
        <v>40</v>
      </c>
      <c r="C28" s="5">
        <f ca="1">IF(Planning!$C$8="No",VLOOKUP(B28,'Summary Calculations (hide)'!$D$15:$U$67,17,0),IF('Demand adjustments for Covid'!$F$9="Yes",'Demand background (hide)'!DS28,VLOOKUP(B28,'Summary Calculations (hide)'!$D$15:$F$67,2,0))*IF(Planning!$C$11="",1,1+Planning!$C$11)*'Summary Calculations (hide)'!$L$4/IF(Summary!$C$8="Patients",'Summary Calculations (hide)'!$I$9,1))</f>
        <v>65.022749999999988</v>
      </c>
      <c r="D28" s="5">
        <f ca="1">IF(Planning!$C$8="No",VLOOKUP('Planning (hide)'!B28,'Summary Calculations (hide)'!$D$15:$U$67,18,0),IF('Demand adjustments for Covid'!$F$9="Yes",'Demand background (hide)'!DT28,VLOOKUP(B28,'Summary Calculations (hide)'!$D$15:$F$67,3,0))*IF(Planning!$C$11="",1,1+Planning!$C$11)*'Summary Calculations (hide)'!$L$4/IF(Summary!$C$8="Patients",'Summary Calculations (hide)'!$I$9,1))-IF(Planning!$C$8="No",0,C28)</f>
        <v>6.5022749999999974</v>
      </c>
      <c r="E28" s="5">
        <f ca="1">VLOOKUP($B28,'Summary Calculations (hide)'!$D$15:$U$67,15,0)</f>
        <v>80.769230769230774</v>
      </c>
      <c r="F28" s="5">
        <f ca="1">VLOOKUP($B28,'Summary Calculations (hide)'!$D$15:$U$67,16,0)</f>
        <v>0</v>
      </c>
      <c r="G28" s="5">
        <f t="shared" ca="1" si="1"/>
        <v>80.769230769230774</v>
      </c>
      <c r="H28" s="5">
        <f t="shared" ca="1" si="2"/>
        <v>80.769230769230774</v>
      </c>
      <c r="I28" s="67">
        <f ca="1">IF(OFFSET(Planning!$E$25,0,ROW(A25),1,1)&lt;&gt;"",-'Planning (hide)'!$G28,0)</f>
        <v>0</v>
      </c>
      <c r="J28" s="67">
        <f ca="1">IF(OFFSET(Planning!$E$25,COLUMN(A25),ROW(A25),1,1)&lt;&gt;"",OFFSET(Planning!$D$25,COLUMN(A25),0,1,1),0)</f>
        <v>0</v>
      </c>
      <c r="K28" s="67">
        <f ca="1">IF(OFFSET(Planning!$E$25,COLUMN(B25),ROW(B25),1,1)&lt;&gt;"",OFFSET(Planning!$D$25,COLUMN(B25),0,1,1),0)</f>
        <v>0</v>
      </c>
      <c r="L28" s="67">
        <f ca="1">IF(OFFSET(Planning!$E$25,COLUMN(C25),ROW(C25),1,1)&lt;&gt;"",OFFSET(Planning!$D$25,COLUMN(C25),0,1,1),0)</f>
        <v>0</v>
      </c>
      <c r="M28" s="67">
        <f ca="1">IF(OFFSET(Planning!$E$25,COLUMN(D25),ROW(D25),1,1)&lt;&gt;"",OFFSET(Planning!$D$25,COLUMN(D25),0,1,1),0)</f>
        <v>0</v>
      </c>
      <c r="N28" s="67">
        <f ca="1">IF(OFFSET(Planning!$E$25,COLUMN(E25),ROW(E25),1,1)&lt;&gt;"",OFFSET(Planning!$D$25,COLUMN(E25),0,1,1),0)</f>
        <v>0</v>
      </c>
      <c r="O28" s="67">
        <f ca="1">IF(OFFSET(Planning!$E$25,COLUMN(F25),ROW(F25),1,1)&lt;&gt;"",OFFSET(Planning!$D$25,COLUMN(F25),0,1,1),0)</f>
        <v>0</v>
      </c>
      <c r="P28" s="67">
        <f ca="1">IF(OFFSET(Planning!$E$25,COLUMN(G25),ROW(G25),1,1)&lt;&gt;"",OFFSET(Planning!$D$25,COLUMN(G25),0,1,1),0)</f>
        <v>0</v>
      </c>
      <c r="Q28" s="67">
        <f ca="1">IF(OFFSET(Planning!$E$25,COLUMN(H25),ROW(H25),1,1)&lt;&gt;"",OFFSET(Planning!$D$25,COLUMN(H25),0,1,1),0)</f>
        <v>0</v>
      </c>
      <c r="R28" s="67">
        <f ca="1">IF(OFFSET(Planning!$E$25,COLUMN(I25),ROW(I25),1,1)&lt;&gt;"",OFFSET(Planning!$D$25,COLUMN(I25),0,1,1),0)</f>
        <v>0</v>
      </c>
      <c r="S28" s="67">
        <f ca="1">IF(OFFSET(Planning!$E$25,COLUMN(J25),ROW(J25),1,1)&lt;&gt;"",OFFSET(Planning!$D$25,COLUMN(J25),0,1,1),0)</f>
        <v>0</v>
      </c>
      <c r="T28" s="67">
        <f ca="1">IF(OFFSET(Planning!$E$25,COLUMN(K25),ROW(K25),1,1)&lt;&gt;"",OFFSET(Planning!$D$25,COLUMN(K25),0,1,1),0)</f>
        <v>0</v>
      </c>
      <c r="U28" s="67">
        <f ca="1">IF(OFFSET(Planning!$E$25,COLUMN(L25),ROW(L25),1,1)&lt;&gt;"",OFFSET(Planning!$D$25,COLUMN(L25),0,1,1),0)</f>
        <v>0</v>
      </c>
      <c r="V28" s="67">
        <f ca="1">IF(OFFSET(Planning!$E$25,COLUMN(M25),ROW(M25),1,1)&lt;&gt;"",OFFSET(Planning!$D$25,COLUMN(M25),0,1,1),0)</f>
        <v>0</v>
      </c>
      <c r="W28" s="67">
        <f ca="1">IF(OFFSET(Planning!$E$25,COLUMN(N25),ROW(N25),1,1)&lt;&gt;"",OFFSET(Planning!$D$25,COLUMN(N25),0,1,1),0)</f>
        <v>0</v>
      </c>
      <c r="X28" s="67">
        <f ca="1">IF(OFFSET(Planning!$E$25,COLUMN(O25),ROW(O25),1,1)&lt;&gt;"",OFFSET(Planning!$D$25,COLUMN(O25),0,1,1),0)</f>
        <v>0</v>
      </c>
      <c r="Y28" s="67">
        <f ca="1">IF(OFFSET(Planning!$E$25,COLUMN(P25),ROW(P25),1,1)&lt;&gt;"",OFFSET(Planning!$D$25,COLUMN(P25),0,1,1),0)</f>
        <v>0</v>
      </c>
      <c r="Z28" s="67">
        <f ca="1">IF(OFFSET(Planning!$E$25,COLUMN(Q25),ROW(Q25),1,1)&lt;&gt;"",OFFSET(Planning!$D$25,COLUMN(Q25),0,1,1),0)</f>
        <v>0</v>
      </c>
      <c r="AA28" s="67">
        <f ca="1">IF(OFFSET(Planning!$E$25,COLUMN(R25),ROW(R25),1,1)&lt;&gt;"",OFFSET(Planning!$D$25,COLUMN(R25),0,1,1),0)</f>
        <v>0</v>
      </c>
      <c r="AB28" s="67">
        <f ca="1">IF(OFFSET(Planning!$E$25,COLUMN(S25),ROW(S25),1,1)&lt;&gt;"",OFFSET(Planning!$D$25,COLUMN(S25),0,1,1),0)</f>
        <v>0</v>
      </c>
      <c r="AC28" s="67">
        <f ca="1">IF(OFFSET(Planning!$E$25,COLUMN(T25),ROW(T25),1,1)&lt;&gt;"",OFFSET(Planning!$D$25,COLUMN(T25),0,1,1),0)</f>
        <v>0</v>
      </c>
      <c r="AD28" s="67">
        <f ca="1">VLOOKUP($B28,'Summary Calculations (hide)'!$D$15:$U$67,17,0)</f>
        <v>65.022750000000002</v>
      </c>
      <c r="AE28" s="67">
        <f ca="1">VLOOKUP($B28,'Summary Calculations (hide)'!$D$15:$U$67,18,0)</f>
        <v>6.5022749999999974</v>
      </c>
    </row>
    <row r="29" spans="1:31" x14ac:dyDescent="0.25">
      <c r="A29" s="87">
        <f t="shared" ca="1" si="3"/>
        <v>44109</v>
      </c>
      <c r="B29" s="67">
        <f t="shared" ca="1" si="0"/>
        <v>41</v>
      </c>
      <c r="C29" s="5">
        <f ca="1">IF(Planning!$C$8="No",VLOOKUP(B29,'Summary Calculations (hide)'!$D$15:$U$67,17,0),IF('Demand adjustments for Covid'!$F$9="Yes",'Demand background (hide)'!DS29,VLOOKUP(B29,'Summary Calculations (hide)'!$D$15:$F$67,2,0))*IF(Planning!$C$11="",1,1+Planning!$C$11)*'Summary Calculations (hide)'!$L$4/IF(Summary!$C$8="Patients",'Summary Calculations (hide)'!$I$9,1))</f>
        <v>60.020999999999994</v>
      </c>
      <c r="D29" s="5">
        <f ca="1">IF(Planning!$C$8="No",VLOOKUP('Planning (hide)'!B29,'Summary Calculations (hide)'!$D$15:$U$67,18,0),IF('Demand adjustments for Covid'!$F$9="Yes",'Demand background (hide)'!DT29,VLOOKUP(B29,'Summary Calculations (hide)'!$D$15:$F$67,3,0))*IF(Planning!$C$11="",1,1+Planning!$C$11)*'Summary Calculations (hide)'!$L$4/IF(Summary!$C$8="Patients",'Summary Calculations (hide)'!$I$9,1))-IF(Planning!$C$8="No",0,C29)</f>
        <v>6.0020999999999916</v>
      </c>
      <c r="E29" s="5">
        <f ca="1">VLOOKUP($B29,'Summary Calculations (hide)'!$D$15:$U$67,15,0)</f>
        <v>80.769230769230774</v>
      </c>
      <c r="F29" s="5">
        <f ca="1">VLOOKUP($B29,'Summary Calculations (hide)'!$D$15:$U$67,16,0)</f>
        <v>0</v>
      </c>
      <c r="G29" s="5">
        <f t="shared" ca="1" si="1"/>
        <v>80.769230769230774</v>
      </c>
      <c r="H29" s="5">
        <f t="shared" ca="1" si="2"/>
        <v>80.769230769230774</v>
      </c>
      <c r="I29" s="67">
        <f ca="1">IF(OFFSET(Planning!$E$25,0,ROW(A26),1,1)&lt;&gt;"",-'Planning (hide)'!$G29,0)</f>
        <v>0</v>
      </c>
      <c r="J29" s="67">
        <f ca="1">IF(OFFSET(Planning!$E$25,COLUMN(A26),ROW(A26),1,1)&lt;&gt;"",OFFSET(Planning!$D$25,COLUMN(A26),0,1,1),0)</f>
        <v>0</v>
      </c>
      <c r="K29" s="67">
        <f ca="1">IF(OFFSET(Planning!$E$25,COLUMN(B26),ROW(B26),1,1)&lt;&gt;"",OFFSET(Planning!$D$25,COLUMN(B26),0,1,1),0)</f>
        <v>0</v>
      </c>
      <c r="L29" s="67">
        <f ca="1">IF(OFFSET(Planning!$E$25,COLUMN(C26),ROW(C26),1,1)&lt;&gt;"",OFFSET(Planning!$D$25,COLUMN(C26),0,1,1),0)</f>
        <v>0</v>
      </c>
      <c r="M29" s="67">
        <f ca="1">IF(OFFSET(Planning!$E$25,COLUMN(D26),ROW(D26),1,1)&lt;&gt;"",OFFSET(Planning!$D$25,COLUMN(D26),0,1,1),0)</f>
        <v>0</v>
      </c>
      <c r="N29" s="67">
        <f ca="1">IF(OFFSET(Planning!$E$25,COLUMN(E26),ROW(E26),1,1)&lt;&gt;"",OFFSET(Planning!$D$25,COLUMN(E26),0,1,1),0)</f>
        <v>0</v>
      </c>
      <c r="O29" s="67">
        <f ca="1">IF(OFFSET(Planning!$E$25,COLUMN(F26),ROW(F26),1,1)&lt;&gt;"",OFFSET(Planning!$D$25,COLUMN(F26),0,1,1),0)</f>
        <v>0</v>
      </c>
      <c r="P29" s="67">
        <f ca="1">IF(OFFSET(Planning!$E$25,COLUMN(G26),ROW(G26),1,1)&lt;&gt;"",OFFSET(Planning!$D$25,COLUMN(G26),0,1,1),0)</f>
        <v>0</v>
      </c>
      <c r="Q29" s="67">
        <f ca="1">IF(OFFSET(Planning!$E$25,COLUMN(H26),ROW(H26),1,1)&lt;&gt;"",OFFSET(Planning!$D$25,COLUMN(H26),0,1,1),0)</f>
        <v>0</v>
      </c>
      <c r="R29" s="67">
        <f ca="1">IF(OFFSET(Planning!$E$25,COLUMN(I26),ROW(I26),1,1)&lt;&gt;"",OFFSET(Planning!$D$25,COLUMN(I26),0,1,1),0)</f>
        <v>0</v>
      </c>
      <c r="S29" s="67">
        <f ca="1">IF(OFFSET(Planning!$E$25,COLUMN(J26),ROW(J26),1,1)&lt;&gt;"",OFFSET(Planning!$D$25,COLUMN(J26),0,1,1),0)</f>
        <v>0</v>
      </c>
      <c r="T29" s="67">
        <f ca="1">IF(OFFSET(Planning!$E$25,COLUMN(K26),ROW(K26),1,1)&lt;&gt;"",OFFSET(Planning!$D$25,COLUMN(K26),0,1,1),0)</f>
        <v>0</v>
      </c>
      <c r="U29" s="67">
        <f ca="1">IF(OFFSET(Planning!$E$25,COLUMN(L26),ROW(L26),1,1)&lt;&gt;"",OFFSET(Planning!$D$25,COLUMN(L26),0,1,1),0)</f>
        <v>0</v>
      </c>
      <c r="V29" s="67">
        <f ca="1">IF(OFFSET(Planning!$E$25,COLUMN(M26),ROW(M26),1,1)&lt;&gt;"",OFFSET(Planning!$D$25,COLUMN(M26),0,1,1),0)</f>
        <v>0</v>
      </c>
      <c r="W29" s="67">
        <f ca="1">IF(OFFSET(Planning!$E$25,COLUMN(N26),ROW(N26),1,1)&lt;&gt;"",OFFSET(Planning!$D$25,COLUMN(N26),0,1,1),0)</f>
        <v>0</v>
      </c>
      <c r="X29" s="67">
        <f ca="1">IF(OFFSET(Planning!$E$25,COLUMN(O26),ROW(O26),1,1)&lt;&gt;"",OFFSET(Planning!$D$25,COLUMN(O26),0,1,1),0)</f>
        <v>0</v>
      </c>
      <c r="Y29" s="67">
        <f ca="1">IF(OFFSET(Planning!$E$25,COLUMN(P26),ROW(P26),1,1)&lt;&gt;"",OFFSET(Planning!$D$25,COLUMN(P26),0,1,1),0)</f>
        <v>0</v>
      </c>
      <c r="Z29" s="67">
        <f ca="1">IF(OFFSET(Planning!$E$25,COLUMN(Q26),ROW(Q26),1,1)&lt;&gt;"",OFFSET(Planning!$D$25,COLUMN(Q26),0,1,1),0)</f>
        <v>0</v>
      </c>
      <c r="AA29" s="67">
        <f ca="1">IF(OFFSET(Planning!$E$25,COLUMN(R26),ROW(R26),1,1)&lt;&gt;"",OFFSET(Planning!$D$25,COLUMN(R26),0,1,1),0)</f>
        <v>0</v>
      </c>
      <c r="AB29" s="67">
        <f ca="1">IF(OFFSET(Planning!$E$25,COLUMN(S26),ROW(S26),1,1)&lt;&gt;"",OFFSET(Planning!$D$25,COLUMN(S26),0,1,1),0)</f>
        <v>0</v>
      </c>
      <c r="AC29" s="67">
        <f ca="1">IF(OFFSET(Planning!$E$25,COLUMN(T26),ROW(T26),1,1)&lt;&gt;"",OFFSET(Planning!$D$25,COLUMN(T26),0,1,1),0)</f>
        <v>0</v>
      </c>
      <c r="AD29" s="67">
        <f ca="1">VLOOKUP($B29,'Summary Calculations (hide)'!$D$15:$U$67,17,0)</f>
        <v>60.020999999999994</v>
      </c>
      <c r="AE29" s="67">
        <f ca="1">VLOOKUP($B29,'Summary Calculations (hide)'!$D$15:$U$67,18,0)</f>
        <v>6.0020999999999916</v>
      </c>
    </row>
    <row r="30" spans="1:31" x14ac:dyDescent="0.25">
      <c r="A30" s="87">
        <f t="shared" ca="1" si="3"/>
        <v>44116</v>
      </c>
      <c r="B30" s="67">
        <f t="shared" ca="1" si="0"/>
        <v>42</v>
      </c>
      <c r="C30" s="5">
        <f ca="1">IF(Planning!$C$8="No",VLOOKUP(B30,'Summary Calculations (hide)'!$D$15:$U$67,17,0),IF('Demand adjustments for Covid'!$F$9="Yes",'Demand background (hide)'!DS30,VLOOKUP(B30,'Summary Calculations (hide)'!$D$15:$F$67,2,0))*IF(Planning!$C$11="",1,1+Planning!$C$11)*'Summary Calculations (hide)'!$L$4/IF(Summary!$C$8="Patients",'Summary Calculations (hide)'!$I$9,1))</f>
        <v>62.021699999999989</v>
      </c>
      <c r="D30" s="5">
        <f ca="1">IF(Planning!$C$8="No",VLOOKUP('Planning (hide)'!B30,'Summary Calculations (hide)'!$D$15:$U$67,18,0),IF('Demand adjustments for Covid'!$F$9="Yes",'Demand background (hide)'!DT30,VLOOKUP(B30,'Summary Calculations (hide)'!$D$15:$F$67,3,0))*IF(Planning!$C$11="",1,1+Planning!$C$11)*'Summary Calculations (hide)'!$L$4/IF(Summary!$C$8="Patients",'Summary Calculations (hide)'!$I$9,1))-IF(Planning!$C$8="No",0,C30)</f>
        <v>6.2021700000000024</v>
      </c>
      <c r="E30" s="5">
        <f ca="1">VLOOKUP($B30,'Summary Calculations (hide)'!$D$15:$U$67,15,0)</f>
        <v>80.769230769230774</v>
      </c>
      <c r="F30" s="5">
        <f ca="1">VLOOKUP($B30,'Summary Calculations (hide)'!$D$15:$U$67,16,0)</f>
        <v>0</v>
      </c>
      <c r="G30" s="5">
        <f t="shared" ca="1" si="1"/>
        <v>80.769230769230774</v>
      </c>
      <c r="H30" s="5">
        <f t="shared" ca="1" si="2"/>
        <v>80.769230769230774</v>
      </c>
      <c r="I30" s="67">
        <f ca="1">IF(OFFSET(Planning!$E$25,0,ROW(A27),1,1)&lt;&gt;"",-'Planning (hide)'!$G30,0)</f>
        <v>0</v>
      </c>
      <c r="J30" s="67">
        <f ca="1">IF(OFFSET(Planning!$E$25,COLUMN(A27),ROW(A27),1,1)&lt;&gt;"",OFFSET(Planning!$D$25,COLUMN(A27),0,1,1),0)</f>
        <v>0</v>
      </c>
      <c r="K30" s="67">
        <f ca="1">IF(OFFSET(Planning!$E$25,COLUMN(B27),ROW(B27),1,1)&lt;&gt;"",OFFSET(Planning!$D$25,COLUMN(B27),0,1,1),0)</f>
        <v>0</v>
      </c>
      <c r="L30" s="67">
        <f ca="1">IF(OFFSET(Planning!$E$25,COLUMN(C27),ROW(C27),1,1)&lt;&gt;"",OFFSET(Planning!$D$25,COLUMN(C27),0,1,1),0)</f>
        <v>0</v>
      </c>
      <c r="M30" s="67">
        <f ca="1">IF(OFFSET(Planning!$E$25,COLUMN(D27),ROW(D27),1,1)&lt;&gt;"",OFFSET(Planning!$D$25,COLUMN(D27),0,1,1),0)</f>
        <v>0</v>
      </c>
      <c r="N30" s="67">
        <f ca="1">IF(OFFSET(Planning!$E$25,COLUMN(E27),ROW(E27),1,1)&lt;&gt;"",OFFSET(Planning!$D$25,COLUMN(E27),0,1,1),0)</f>
        <v>0</v>
      </c>
      <c r="O30" s="67">
        <f ca="1">IF(OFFSET(Planning!$E$25,COLUMN(F27),ROW(F27),1,1)&lt;&gt;"",OFFSET(Planning!$D$25,COLUMN(F27),0,1,1),0)</f>
        <v>0</v>
      </c>
      <c r="P30" s="67">
        <f ca="1">IF(OFFSET(Planning!$E$25,COLUMN(G27),ROW(G27),1,1)&lt;&gt;"",OFFSET(Planning!$D$25,COLUMN(G27),0,1,1),0)</f>
        <v>0</v>
      </c>
      <c r="Q30" s="67">
        <f ca="1">IF(OFFSET(Planning!$E$25,COLUMN(H27),ROW(H27),1,1)&lt;&gt;"",OFFSET(Planning!$D$25,COLUMN(H27),0,1,1),0)</f>
        <v>0</v>
      </c>
      <c r="R30" s="67">
        <f ca="1">IF(OFFSET(Planning!$E$25,COLUMN(I27),ROW(I27),1,1)&lt;&gt;"",OFFSET(Planning!$D$25,COLUMN(I27),0,1,1),0)</f>
        <v>0</v>
      </c>
      <c r="S30" s="67">
        <f ca="1">IF(OFFSET(Planning!$E$25,COLUMN(J27),ROW(J27),1,1)&lt;&gt;"",OFFSET(Planning!$D$25,COLUMN(J27),0,1,1),0)</f>
        <v>0</v>
      </c>
      <c r="T30" s="67">
        <f ca="1">IF(OFFSET(Planning!$E$25,COLUMN(K27),ROW(K27),1,1)&lt;&gt;"",OFFSET(Planning!$D$25,COLUMN(K27),0,1,1),0)</f>
        <v>0</v>
      </c>
      <c r="U30" s="67">
        <f ca="1">IF(OFFSET(Planning!$E$25,COLUMN(L27),ROW(L27),1,1)&lt;&gt;"",OFFSET(Planning!$D$25,COLUMN(L27),0,1,1),0)</f>
        <v>0</v>
      </c>
      <c r="V30" s="67">
        <f ca="1">IF(OFFSET(Planning!$E$25,COLUMN(M27),ROW(M27),1,1)&lt;&gt;"",OFFSET(Planning!$D$25,COLUMN(M27),0,1,1),0)</f>
        <v>0</v>
      </c>
      <c r="W30" s="67">
        <f ca="1">IF(OFFSET(Planning!$E$25,COLUMN(N27),ROW(N27),1,1)&lt;&gt;"",OFFSET(Planning!$D$25,COLUMN(N27),0,1,1),0)</f>
        <v>0</v>
      </c>
      <c r="X30" s="67">
        <f ca="1">IF(OFFSET(Planning!$E$25,COLUMN(O27),ROW(O27),1,1)&lt;&gt;"",OFFSET(Planning!$D$25,COLUMN(O27),0,1,1),0)</f>
        <v>0</v>
      </c>
      <c r="Y30" s="67">
        <f ca="1">IF(OFFSET(Planning!$E$25,COLUMN(P27),ROW(P27),1,1)&lt;&gt;"",OFFSET(Planning!$D$25,COLUMN(P27),0,1,1),0)</f>
        <v>0</v>
      </c>
      <c r="Z30" s="67">
        <f ca="1">IF(OFFSET(Planning!$E$25,COLUMN(Q27),ROW(Q27),1,1)&lt;&gt;"",OFFSET(Planning!$D$25,COLUMN(Q27),0,1,1),0)</f>
        <v>0</v>
      </c>
      <c r="AA30" s="67">
        <f ca="1">IF(OFFSET(Planning!$E$25,COLUMN(R27),ROW(R27),1,1)&lt;&gt;"",OFFSET(Planning!$D$25,COLUMN(R27),0,1,1),0)</f>
        <v>0</v>
      </c>
      <c r="AB30" s="67">
        <f ca="1">IF(OFFSET(Planning!$E$25,COLUMN(S27),ROW(S27),1,1)&lt;&gt;"",OFFSET(Planning!$D$25,COLUMN(S27),0,1,1),0)</f>
        <v>0</v>
      </c>
      <c r="AC30" s="67">
        <f ca="1">IF(OFFSET(Planning!$E$25,COLUMN(T27),ROW(T27),1,1)&lt;&gt;"",OFFSET(Planning!$D$25,COLUMN(T27),0,1,1),0)</f>
        <v>0</v>
      </c>
      <c r="AD30" s="67">
        <f ca="1">VLOOKUP($B30,'Summary Calculations (hide)'!$D$15:$U$67,17,0)</f>
        <v>62.021699999999996</v>
      </c>
      <c r="AE30" s="67">
        <f ca="1">VLOOKUP($B30,'Summary Calculations (hide)'!$D$15:$U$67,18,0)</f>
        <v>6.2021700000000095</v>
      </c>
    </row>
    <row r="31" spans="1:31" x14ac:dyDescent="0.25">
      <c r="A31" s="87">
        <f t="shared" ca="1" si="3"/>
        <v>44123</v>
      </c>
      <c r="B31" s="67">
        <f t="shared" ca="1" si="0"/>
        <v>43</v>
      </c>
      <c r="C31" s="5">
        <f ca="1">IF(Planning!$C$8="No",VLOOKUP(B31,'Summary Calculations (hide)'!$D$15:$U$67,17,0),IF('Demand adjustments for Covid'!$F$9="Yes",'Demand background (hide)'!DS31,VLOOKUP(B31,'Summary Calculations (hide)'!$D$15:$F$67,2,0))*IF(Planning!$C$11="",1,1+Planning!$C$11)*'Summary Calculations (hide)'!$L$4/IF(Summary!$C$8="Patients",'Summary Calculations (hide)'!$I$9,1))</f>
        <v>70.024499999999989</v>
      </c>
      <c r="D31" s="5">
        <f ca="1">IF(Planning!$C$8="No",VLOOKUP('Planning (hide)'!B31,'Summary Calculations (hide)'!$D$15:$U$67,18,0),IF('Demand adjustments for Covid'!$F$9="Yes",'Demand background (hide)'!DT31,VLOOKUP(B31,'Summary Calculations (hide)'!$D$15:$F$67,3,0))*IF(Planning!$C$11="",1,1+Planning!$C$11)*'Summary Calculations (hide)'!$L$4/IF(Summary!$C$8="Patients",'Summary Calculations (hide)'!$I$9,1))-IF(Planning!$C$8="No",0,C31)</f>
        <v>7.0024499999999961</v>
      </c>
      <c r="E31" s="5">
        <f ca="1">VLOOKUP($B31,'Summary Calculations (hide)'!$D$15:$U$67,15,0)</f>
        <v>80.769230769230774</v>
      </c>
      <c r="F31" s="5">
        <f ca="1">VLOOKUP($B31,'Summary Calculations (hide)'!$D$15:$U$67,16,0)</f>
        <v>0</v>
      </c>
      <c r="G31" s="5">
        <f t="shared" ca="1" si="1"/>
        <v>80.769230769230774</v>
      </c>
      <c r="H31" s="5">
        <f t="shared" ca="1" si="2"/>
        <v>80.769230769230774</v>
      </c>
      <c r="I31" s="67">
        <f ca="1">IF(OFFSET(Planning!$E$25,0,ROW(A28),1,1)&lt;&gt;"",-'Planning (hide)'!$G31,0)</f>
        <v>0</v>
      </c>
      <c r="J31" s="67">
        <f ca="1">IF(OFFSET(Planning!$E$25,COLUMN(A28),ROW(A28),1,1)&lt;&gt;"",OFFSET(Planning!$D$25,COLUMN(A28),0,1,1),0)</f>
        <v>0</v>
      </c>
      <c r="K31" s="67">
        <f ca="1">IF(OFFSET(Planning!$E$25,COLUMN(B28),ROW(B28),1,1)&lt;&gt;"",OFFSET(Planning!$D$25,COLUMN(B28),0,1,1),0)</f>
        <v>0</v>
      </c>
      <c r="L31" s="67">
        <f ca="1">IF(OFFSET(Planning!$E$25,COLUMN(C28),ROW(C28),1,1)&lt;&gt;"",OFFSET(Planning!$D$25,COLUMN(C28),0,1,1),0)</f>
        <v>0</v>
      </c>
      <c r="M31" s="67">
        <f ca="1">IF(OFFSET(Planning!$E$25,COLUMN(D28),ROW(D28),1,1)&lt;&gt;"",OFFSET(Planning!$D$25,COLUMN(D28),0,1,1),0)</f>
        <v>0</v>
      </c>
      <c r="N31" s="67">
        <f ca="1">IF(OFFSET(Planning!$E$25,COLUMN(E28),ROW(E28),1,1)&lt;&gt;"",OFFSET(Planning!$D$25,COLUMN(E28),0,1,1),0)</f>
        <v>0</v>
      </c>
      <c r="O31" s="67">
        <f ca="1">IF(OFFSET(Planning!$E$25,COLUMN(F28),ROW(F28),1,1)&lt;&gt;"",OFFSET(Planning!$D$25,COLUMN(F28),0,1,1),0)</f>
        <v>0</v>
      </c>
      <c r="P31" s="67">
        <f ca="1">IF(OFFSET(Planning!$E$25,COLUMN(G28),ROW(G28),1,1)&lt;&gt;"",OFFSET(Planning!$D$25,COLUMN(G28),0,1,1),0)</f>
        <v>0</v>
      </c>
      <c r="Q31" s="67">
        <f ca="1">IF(OFFSET(Planning!$E$25,COLUMN(H28),ROW(H28),1,1)&lt;&gt;"",OFFSET(Planning!$D$25,COLUMN(H28),0,1,1),0)</f>
        <v>0</v>
      </c>
      <c r="R31" s="67">
        <f ca="1">IF(OFFSET(Planning!$E$25,COLUMN(I28),ROW(I28),1,1)&lt;&gt;"",OFFSET(Planning!$D$25,COLUMN(I28),0,1,1),0)</f>
        <v>0</v>
      </c>
      <c r="S31" s="67">
        <f ca="1">IF(OFFSET(Planning!$E$25,COLUMN(J28),ROW(J28),1,1)&lt;&gt;"",OFFSET(Planning!$D$25,COLUMN(J28),0,1,1),0)</f>
        <v>0</v>
      </c>
      <c r="T31" s="67">
        <f ca="1">IF(OFFSET(Planning!$E$25,COLUMN(K28),ROW(K28),1,1)&lt;&gt;"",OFFSET(Planning!$D$25,COLUMN(K28),0,1,1),0)</f>
        <v>0</v>
      </c>
      <c r="U31" s="67">
        <f ca="1">IF(OFFSET(Planning!$E$25,COLUMN(L28),ROW(L28),1,1)&lt;&gt;"",OFFSET(Planning!$D$25,COLUMN(L28),0,1,1),0)</f>
        <v>0</v>
      </c>
      <c r="V31" s="67">
        <f ca="1">IF(OFFSET(Planning!$E$25,COLUMN(M28),ROW(M28),1,1)&lt;&gt;"",OFFSET(Planning!$D$25,COLUMN(M28),0,1,1),0)</f>
        <v>0</v>
      </c>
      <c r="W31" s="67">
        <f ca="1">IF(OFFSET(Planning!$E$25,COLUMN(N28),ROW(N28),1,1)&lt;&gt;"",OFFSET(Planning!$D$25,COLUMN(N28),0,1,1),0)</f>
        <v>0</v>
      </c>
      <c r="X31" s="67">
        <f ca="1">IF(OFFSET(Planning!$E$25,COLUMN(O28),ROW(O28),1,1)&lt;&gt;"",OFFSET(Planning!$D$25,COLUMN(O28),0,1,1),0)</f>
        <v>0</v>
      </c>
      <c r="Y31" s="67">
        <f ca="1">IF(OFFSET(Planning!$E$25,COLUMN(P28),ROW(P28),1,1)&lt;&gt;"",OFFSET(Planning!$D$25,COLUMN(P28),0,1,1),0)</f>
        <v>0</v>
      </c>
      <c r="Z31" s="67">
        <f ca="1">IF(OFFSET(Planning!$E$25,COLUMN(Q28),ROW(Q28),1,1)&lt;&gt;"",OFFSET(Planning!$D$25,COLUMN(Q28),0,1,1),0)</f>
        <v>0</v>
      </c>
      <c r="AA31" s="67">
        <f ca="1">IF(OFFSET(Planning!$E$25,COLUMN(R28),ROW(R28),1,1)&lt;&gt;"",OFFSET(Planning!$D$25,COLUMN(R28),0,1,1),0)</f>
        <v>0</v>
      </c>
      <c r="AB31" s="67">
        <f ca="1">IF(OFFSET(Planning!$E$25,COLUMN(S28),ROW(S28),1,1)&lt;&gt;"",OFFSET(Planning!$D$25,COLUMN(S28),0,1,1),0)</f>
        <v>0</v>
      </c>
      <c r="AC31" s="67">
        <f ca="1">IF(OFFSET(Planning!$E$25,COLUMN(T28),ROW(T28),1,1)&lt;&gt;"",OFFSET(Planning!$D$25,COLUMN(T28),0,1,1),0)</f>
        <v>0</v>
      </c>
      <c r="AD31" s="67">
        <f ca="1">VLOOKUP($B31,'Summary Calculations (hide)'!$D$15:$U$67,17,0)</f>
        <v>70.024499999999989</v>
      </c>
      <c r="AE31" s="67">
        <f ca="1">VLOOKUP($B31,'Summary Calculations (hide)'!$D$15:$U$67,18,0)</f>
        <v>7.0024499999999961</v>
      </c>
    </row>
    <row r="32" spans="1:31" x14ac:dyDescent="0.25">
      <c r="A32" s="87">
        <f t="shared" ca="1" si="3"/>
        <v>44130</v>
      </c>
      <c r="B32" s="67">
        <f t="shared" ca="1" si="0"/>
        <v>44</v>
      </c>
      <c r="C32" s="5">
        <f ca="1">IF(Planning!$C$8="No",VLOOKUP(B32,'Summary Calculations (hide)'!$D$15:$U$67,17,0),IF('Demand adjustments for Covid'!$F$9="Yes",'Demand background (hide)'!DS32,VLOOKUP(B32,'Summary Calculations (hide)'!$D$15:$F$67,2,0))*IF(Planning!$C$11="",1,1+Planning!$C$11)*'Summary Calculations (hide)'!$L$4/IF(Summary!$C$8="Patients",'Summary Calculations (hide)'!$I$9,1))</f>
        <v>74.025899999999993</v>
      </c>
      <c r="D32" s="5">
        <f ca="1">IF(Planning!$C$8="No",VLOOKUP('Planning (hide)'!B32,'Summary Calculations (hide)'!$D$15:$U$67,18,0),IF('Demand adjustments for Covid'!$F$9="Yes",'Demand background (hide)'!DT32,VLOOKUP(B32,'Summary Calculations (hide)'!$D$15:$F$67,3,0))*IF(Planning!$C$11="",1,1+Planning!$C$11)*'Summary Calculations (hide)'!$L$4/IF(Summary!$C$8="Patients",'Summary Calculations (hide)'!$I$9,1))-IF(Planning!$C$8="No",0,C32)</f>
        <v>7.4025900000000036</v>
      </c>
      <c r="E32" s="5">
        <f ca="1">VLOOKUP($B32,'Summary Calculations (hide)'!$D$15:$U$67,15,0)</f>
        <v>80.769230769230774</v>
      </c>
      <c r="F32" s="5">
        <f ca="1">VLOOKUP($B32,'Summary Calculations (hide)'!$D$15:$U$67,16,0)</f>
        <v>0</v>
      </c>
      <c r="G32" s="5">
        <f t="shared" ca="1" si="1"/>
        <v>80.769230769230774</v>
      </c>
      <c r="H32" s="5">
        <f t="shared" ca="1" si="2"/>
        <v>80.769230769230774</v>
      </c>
      <c r="I32" s="67">
        <f ca="1">IF(OFFSET(Planning!$E$25,0,ROW(A29),1,1)&lt;&gt;"",-'Planning (hide)'!$G32,0)</f>
        <v>0</v>
      </c>
      <c r="J32" s="67">
        <f ca="1">IF(OFFSET(Planning!$E$25,COLUMN(A29),ROW(A29),1,1)&lt;&gt;"",OFFSET(Planning!$D$25,COLUMN(A29),0,1,1),0)</f>
        <v>0</v>
      </c>
      <c r="K32" s="67">
        <f ca="1">IF(OFFSET(Planning!$E$25,COLUMN(B29),ROW(B29),1,1)&lt;&gt;"",OFFSET(Planning!$D$25,COLUMN(B29),0,1,1),0)</f>
        <v>0</v>
      </c>
      <c r="L32" s="67">
        <f ca="1">IF(OFFSET(Planning!$E$25,COLUMN(C29),ROW(C29),1,1)&lt;&gt;"",OFFSET(Planning!$D$25,COLUMN(C29),0,1,1),0)</f>
        <v>0</v>
      </c>
      <c r="M32" s="67">
        <f ca="1">IF(OFFSET(Planning!$E$25,COLUMN(D29),ROW(D29),1,1)&lt;&gt;"",OFFSET(Planning!$D$25,COLUMN(D29),0,1,1),0)</f>
        <v>0</v>
      </c>
      <c r="N32" s="67">
        <f ca="1">IF(OFFSET(Planning!$E$25,COLUMN(E29),ROW(E29),1,1)&lt;&gt;"",OFFSET(Planning!$D$25,COLUMN(E29),0,1,1),0)</f>
        <v>0</v>
      </c>
      <c r="O32" s="67">
        <f ca="1">IF(OFFSET(Planning!$E$25,COLUMN(F29),ROW(F29),1,1)&lt;&gt;"",OFFSET(Planning!$D$25,COLUMN(F29),0,1,1),0)</f>
        <v>0</v>
      </c>
      <c r="P32" s="67">
        <f ca="1">IF(OFFSET(Planning!$E$25,COLUMN(G29),ROW(G29),1,1)&lt;&gt;"",OFFSET(Planning!$D$25,COLUMN(G29),0,1,1),0)</f>
        <v>0</v>
      </c>
      <c r="Q32" s="67">
        <f ca="1">IF(OFFSET(Planning!$E$25,COLUMN(H29),ROW(H29),1,1)&lt;&gt;"",OFFSET(Planning!$D$25,COLUMN(H29),0,1,1),0)</f>
        <v>0</v>
      </c>
      <c r="R32" s="67">
        <f ca="1">IF(OFFSET(Planning!$E$25,COLUMN(I29),ROW(I29),1,1)&lt;&gt;"",OFFSET(Planning!$D$25,COLUMN(I29),0,1,1),0)</f>
        <v>0</v>
      </c>
      <c r="S32" s="67">
        <f ca="1">IF(OFFSET(Planning!$E$25,COLUMN(J29),ROW(J29),1,1)&lt;&gt;"",OFFSET(Planning!$D$25,COLUMN(J29),0,1,1),0)</f>
        <v>0</v>
      </c>
      <c r="T32" s="67">
        <f ca="1">IF(OFFSET(Planning!$E$25,COLUMN(K29),ROW(K29),1,1)&lt;&gt;"",OFFSET(Planning!$D$25,COLUMN(K29),0,1,1),0)</f>
        <v>0</v>
      </c>
      <c r="U32" s="67">
        <f ca="1">IF(OFFSET(Planning!$E$25,COLUMN(L29),ROW(L29),1,1)&lt;&gt;"",OFFSET(Planning!$D$25,COLUMN(L29),0,1,1),0)</f>
        <v>0</v>
      </c>
      <c r="V32" s="67">
        <f ca="1">IF(OFFSET(Planning!$E$25,COLUMN(M29),ROW(M29),1,1)&lt;&gt;"",OFFSET(Planning!$D$25,COLUMN(M29),0,1,1),0)</f>
        <v>0</v>
      </c>
      <c r="W32" s="67">
        <f ca="1">IF(OFFSET(Planning!$E$25,COLUMN(N29),ROW(N29),1,1)&lt;&gt;"",OFFSET(Planning!$D$25,COLUMN(N29),0,1,1),0)</f>
        <v>0</v>
      </c>
      <c r="X32" s="67">
        <f ca="1">IF(OFFSET(Planning!$E$25,COLUMN(O29),ROW(O29),1,1)&lt;&gt;"",OFFSET(Planning!$D$25,COLUMN(O29),0,1,1),0)</f>
        <v>0</v>
      </c>
      <c r="Y32" s="67">
        <f ca="1">IF(OFFSET(Planning!$E$25,COLUMN(P29),ROW(P29),1,1)&lt;&gt;"",OFFSET(Planning!$D$25,COLUMN(P29),0,1,1),0)</f>
        <v>0</v>
      </c>
      <c r="Z32" s="67">
        <f ca="1">IF(OFFSET(Planning!$E$25,COLUMN(Q29),ROW(Q29),1,1)&lt;&gt;"",OFFSET(Planning!$D$25,COLUMN(Q29),0,1,1),0)</f>
        <v>0</v>
      </c>
      <c r="AA32" s="67">
        <f ca="1">IF(OFFSET(Planning!$E$25,COLUMN(R29),ROW(R29),1,1)&lt;&gt;"",OFFSET(Planning!$D$25,COLUMN(R29),0,1,1),0)</f>
        <v>0</v>
      </c>
      <c r="AB32" s="67">
        <f ca="1">IF(OFFSET(Planning!$E$25,COLUMN(S29),ROW(S29),1,1)&lt;&gt;"",OFFSET(Planning!$D$25,COLUMN(S29),0,1,1),0)</f>
        <v>0</v>
      </c>
      <c r="AC32" s="67">
        <f ca="1">IF(OFFSET(Planning!$E$25,COLUMN(T29),ROW(T29),1,1)&lt;&gt;"",OFFSET(Planning!$D$25,COLUMN(T29),0,1,1),0)</f>
        <v>0</v>
      </c>
      <c r="AD32" s="67">
        <f ca="1">VLOOKUP($B32,'Summary Calculations (hide)'!$D$15:$U$67,17,0)</f>
        <v>74.025899999999993</v>
      </c>
      <c r="AE32" s="67">
        <f ca="1">VLOOKUP($B32,'Summary Calculations (hide)'!$D$15:$U$67,18,0)</f>
        <v>7.4025900000000036</v>
      </c>
    </row>
    <row r="33" spans="1:31" x14ac:dyDescent="0.25">
      <c r="A33" s="87">
        <f t="shared" ca="1" si="3"/>
        <v>44137</v>
      </c>
      <c r="B33" s="67">
        <f t="shared" ca="1" si="0"/>
        <v>45</v>
      </c>
      <c r="C33" s="5">
        <f ca="1">IF(Planning!$C$8="No",VLOOKUP(B33,'Summary Calculations (hide)'!$D$15:$U$67,17,0),IF('Demand adjustments for Covid'!$F$9="Yes",'Demand background (hide)'!DS33,VLOOKUP(B33,'Summary Calculations (hide)'!$D$15:$F$67,2,0))*IF(Planning!$C$11="",1,1+Planning!$C$11)*'Summary Calculations (hide)'!$L$4/IF(Summary!$C$8="Patients",'Summary Calculations (hide)'!$I$9,1))</f>
        <v>75.02624999999999</v>
      </c>
      <c r="D33" s="5">
        <f ca="1">IF(Planning!$C$8="No",VLOOKUP('Planning (hide)'!B33,'Summary Calculations (hide)'!$D$15:$U$67,18,0),IF('Demand adjustments for Covid'!$F$9="Yes",'Demand background (hide)'!DT33,VLOOKUP(B33,'Summary Calculations (hide)'!$D$15:$F$67,3,0))*IF(Planning!$C$11="",1,1+Planning!$C$11)*'Summary Calculations (hide)'!$L$4/IF(Summary!$C$8="Patients",'Summary Calculations (hide)'!$I$9,1))-IF(Planning!$C$8="No",0,C33)</f>
        <v>7.5026249999999948</v>
      </c>
      <c r="E33" s="5">
        <f ca="1">VLOOKUP($B33,'Summary Calculations (hide)'!$D$15:$U$67,15,0)</f>
        <v>80.769230769230774</v>
      </c>
      <c r="F33" s="5">
        <f ca="1">VLOOKUP($B33,'Summary Calculations (hide)'!$D$15:$U$67,16,0)</f>
        <v>0</v>
      </c>
      <c r="G33" s="5">
        <f t="shared" ca="1" si="1"/>
        <v>80.769230769230774</v>
      </c>
      <c r="H33" s="5">
        <f t="shared" ca="1" si="2"/>
        <v>80.769230769230774</v>
      </c>
      <c r="I33" s="67">
        <f ca="1">IF(OFFSET(Planning!$E$25,0,ROW(A30),1,1)&lt;&gt;"",-'Planning (hide)'!$G33,0)</f>
        <v>0</v>
      </c>
      <c r="J33" s="67">
        <f ca="1">IF(OFFSET(Planning!$E$25,COLUMN(A30),ROW(A30),1,1)&lt;&gt;"",OFFSET(Planning!$D$25,COLUMN(A30),0,1,1),0)</f>
        <v>0</v>
      </c>
      <c r="K33" s="67">
        <f ca="1">IF(OFFSET(Planning!$E$25,COLUMN(B30),ROW(B30),1,1)&lt;&gt;"",OFFSET(Planning!$D$25,COLUMN(B30),0,1,1),0)</f>
        <v>0</v>
      </c>
      <c r="L33" s="67">
        <f ca="1">IF(OFFSET(Planning!$E$25,COLUMN(C30),ROW(C30),1,1)&lt;&gt;"",OFFSET(Planning!$D$25,COLUMN(C30),0,1,1),0)</f>
        <v>0</v>
      </c>
      <c r="M33" s="67">
        <f ca="1">IF(OFFSET(Planning!$E$25,COLUMN(D30),ROW(D30),1,1)&lt;&gt;"",OFFSET(Planning!$D$25,COLUMN(D30),0,1,1),0)</f>
        <v>0</v>
      </c>
      <c r="N33" s="67">
        <f ca="1">IF(OFFSET(Planning!$E$25,COLUMN(E30),ROW(E30),1,1)&lt;&gt;"",OFFSET(Planning!$D$25,COLUMN(E30),0,1,1),0)</f>
        <v>0</v>
      </c>
      <c r="O33" s="67">
        <f ca="1">IF(OFFSET(Planning!$E$25,COLUMN(F30),ROW(F30),1,1)&lt;&gt;"",OFFSET(Planning!$D$25,COLUMN(F30),0,1,1),0)</f>
        <v>0</v>
      </c>
      <c r="P33" s="67">
        <f ca="1">IF(OFFSET(Planning!$E$25,COLUMN(G30),ROW(G30),1,1)&lt;&gt;"",OFFSET(Planning!$D$25,COLUMN(G30),0,1,1),0)</f>
        <v>0</v>
      </c>
      <c r="Q33" s="67">
        <f ca="1">IF(OFFSET(Planning!$E$25,COLUMN(H30),ROW(H30),1,1)&lt;&gt;"",OFFSET(Planning!$D$25,COLUMN(H30),0,1,1),0)</f>
        <v>0</v>
      </c>
      <c r="R33" s="67">
        <f ca="1">IF(OFFSET(Planning!$E$25,COLUMN(I30),ROW(I30),1,1)&lt;&gt;"",OFFSET(Planning!$D$25,COLUMN(I30),0,1,1),0)</f>
        <v>0</v>
      </c>
      <c r="S33" s="67">
        <f ca="1">IF(OFFSET(Planning!$E$25,COLUMN(J30),ROW(J30),1,1)&lt;&gt;"",OFFSET(Planning!$D$25,COLUMN(J30),0,1,1),0)</f>
        <v>0</v>
      </c>
      <c r="T33" s="67">
        <f ca="1">IF(OFFSET(Planning!$E$25,COLUMN(K30),ROW(K30),1,1)&lt;&gt;"",OFFSET(Planning!$D$25,COLUMN(K30),0,1,1),0)</f>
        <v>0</v>
      </c>
      <c r="U33" s="67">
        <f ca="1">IF(OFFSET(Planning!$E$25,COLUMN(L30),ROW(L30),1,1)&lt;&gt;"",OFFSET(Planning!$D$25,COLUMN(L30),0,1,1),0)</f>
        <v>0</v>
      </c>
      <c r="V33" s="67">
        <f ca="1">IF(OFFSET(Planning!$E$25,COLUMN(M30),ROW(M30),1,1)&lt;&gt;"",OFFSET(Planning!$D$25,COLUMN(M30),0,1,1),0)</f>
        <v>0</v>
      </c>
      <c r="W33" s="67">
        <f ca="1">IF(OFFSET(Planning!$E$25,COLUMN(N30),ROW(N30),1,1)&lt;&gt;"",OFFSET(Planning!$D$25,COLUMN(N30),0,1,1),0)</f>
        <v>0</v>
      </c>
      <c r="X33" s="67">
        <f ca="1">IF(OFFSET(Planning!$E$25,COLUMN(O30),ROW(O30),1,1)&lt;&gt;"",OFFSET(Planning!$D$25,COLUMN(O30),0,1,1),0)</f>
        <v>0</v>
      </c>
      <c r="Y33" s="67">
        <f ca="1">IF(OFFSET(Planning!$E$25,COLUMN(P30),ROW(P30),1,1)&lt;&gt;"",OFFSET(Planning!$D$25,COLUMN(P30),0,1,1),0)</f>
        <v>0</v>
      </c>
      <c r="Z33" s="67">
        <f ca="1">IF(OFFSET(Planning!$E$25,COLUMN(Q30),ROW(Q30),1,1)&lt;&gt;"",OFFSET(Planning!$D$25,COLUMN(Q30),0,1,1),0)</f>
        <v>0</v>
      </c>
      <c r="AA33" s="67">
        <f ca="1">IF(OFFSET(Planning!$E$25,COLUMN(R30),ROW(R30),1,1)&lt;&gt;"",OFFSET(Planning!$D$25,COLUMN(R30),0,1,1),0)</f>
        <v>0</v>
      </c>
      <c r="AB33" s="67">
        <f ca="1">IF(OFFSET(Planning!$E$25,COLUMN(S30),ROW(S30),1,1)&lt;&gt;"",OFFSET(Planning!$D$25,COLUMN(S30),0,1,1),0)</f>
        <v>0</v>
      </c>
      <c r="AC33" s="67">
        <f ca="1">IF(OFFSET(Planning!$E$25,COLUMN(T30),ROW(T30),1,1)&lt;&gt;"",OFFSET(Planning!$D$25,COLUMN(T30),0,1,1),0)</f>
        <v>0</v>
      </c>
      <c r="AD33" s="67">
        <f ca="1">VLOOKUP($B33,'Summary Calculations (hide)'!$D$15:$U$67,17,0)</f>
        <v>75.02624999999999</v>
      </c>
      <c r="AE33" s="67">
        <f ca="1">VLOOKUP($B33,'Summary Calculations (hide)'!$D$15:$U$67,18,0)</f>
        <v>7.502625000000009</v>
      </c>
    </row>
    <row r="34" spans="1:31" x14ac:dyDescent="0.25">
      <c r="A34" s="87">
        <f t="shared" ca="1" si="3"/>
        <v>44144</v>
      </c>
      <c r="B34" s="67">
        <f t="shared" ca="1" si="0"/>
        <v>46</v>
      </c>
      <c r="C34" s="5">
        <f ca="1">IF(Planning!$C$8="No",VLOOKUP(B34,'Summary Calculations (hide)'!$D$15:$U$67,17,0),IF('Demand adjustments for Covid'!$F$9="Yes",'Demand background (hide)'!DS34,VLOOKUP(B34,'Summary Calculations (hide)'!$D$15:$F$67,2,0))*IF(Planning!$C$11="",1,1+Planning!$C$11)*'Summary Calculations (hide)'!$L$4/IF(Summary!$C$8="Patients",'Summary Calculations (hide)'!$I$9,1))</f>
        <v>71.024849999999986</v>
      </c>
      <c r="D34" s="5">
        <f ca="1">IF(Planning!$C$8="No",VLOOKUP('Planning (hide)'!B34,'Summary Calculations (hide)'!$D$15:$U$67,18,0),IF('Demand adjustments for Covid'!$F$9="Yes",'Demand background (hide)'!DT34,VLOOKUP(B34,'Summary Calculations (hide)'!$D$15:$F$67,3,0))*IF(Planning!$C$11="",1,1+Planning!$C$11)*'Summary Calculations (hide)'!$L$4/IF(Summary!$C$8="Patients",'Summary Calculations (hide)'!$I$9,1))-IF(Planning!$C$8="No",0,C34)</f>
        <v>7.1024850000000157</v>
      </c>
      <c r="E34" s="5">
        <f ca="1">VLOOKUP($B34,'Summary Calculations (hide)'!$D$15:$U$67,15,0)</f>
        <v>80.769230769230774</v>
      </c>
      <c r="F34" s="5">
        <f ca="1">VLOOKUP($B34,'Summary Calculations (hide)'!$D$15:$U$67,16,0)</f>
        <v>0</v>
      </c>
      <c r="G34" s="5">
        <f t="shared" ca="1" si="1"/>
        <v>80.769230769230774</v>
      </c>
      <c r="H34" s="5">
        <f t="shared" ca="1" si="2"/>
        <v>80.769230769230774</v>
      </c>
      <c r="I34" s="67">
        <f ca="1">IF(OFFSET(Planning!$E$25,0,ROW(A31),1,1)&lt;&gt;"",-'Planning (hide)'!$G34,0)</f>
        <v>0</v>
      </c>
      <c r="J34" s="67">
        <f ca="1">IF(OFFSET(Planning!$E$25,COLUMN(A31),ROW(A31),1,1)&lt;&gt;"",OFFSET(Planning!$D$25,COLUMN(A31),0,1,1),0)</f>
        <v>0</v>
      </c>
      <c r="K34" s="67">
        <f ca="1">IF(OFFSET(Planning!$E$25,COLUMN(B31),ROW(B31),1,1)&lt;&gt;"",OFFSET(Planning!$D$25,COLUMN(B31),0,1,1),0)</f>
        <v>0</v>
      </c>
      <c r="L34" s="67">
        <f ca="1">IF(OFFSET(Planning!$E$25,COLUMN(C31),ROW(C31),1,1)&lt;&gt;"",OFFSET(Planning!$D$25,COLUMN(C31),0,1,1),0)</f>
        <v>0</v>
      </c>
      <c r="M34" s="67">
        <f ca="1">IF(OFFSET(Planning!$E$25,COLUMN(D31),ROW(D31),1,1)&lt;&gt;"",OFFSET(Planning!$D$25,COLUMN(D31),0,1,1),0)</f>
        <v>0</v>
      </c>
      <c r="N34" s="67">
        <f ca="1">IF(OFFSET(Planning!$E$25,COLUMN(E31),ROW(E31),1,1)&lt;&gt;"",OFFSET(Planning!$D$25,COLUMN(E31),0,1,1),0)</f>
        <v>0</v>
      </c>
      <c r="O34" s="67">
        <f ca="1">IF(OFFSET(Planning!$E$25,COLUMN(F31),ROW(F31),1,1)&lt;&gt;"",OFFSET(Planning!$D$25,COLUMN(F31),0,1,1),0)</f>
        <v>0</v>
      </c>
      <c r="P34" s="67">
        <f ca="1">IF(OFFSET(Planning!$E$25,COLUMN(G31),ROW(G31),1,1)&lt;&gt;"",OFFSET(Planning!$D$25,COLUMN(G31),0,1,1),0)</f>
        <v>0</v>
      </c>
      <c r="Q34" s="67">
        <f ca="1">IF(OFFSET(Planning!$E$25,COLUMN(H31),ROW(H31),1,1)&lt;&gt;"",OFFSET(Planning!$D$25,COLUMN(H31),0,1,1),0)</f>
        <v>0</v>
      </c>
      <c r="R34" s="67">
        <f ca="1">IF(OFFSET(Planning!$E$25,COLUMN(I31),ROW(I31),1,1)&lt;&gt;"",OFFSET(Planning!$D$25,COLUMN(I31),0,1,1),0)</f>
        <v>0</v>
      </c>
      <c r="S34" s="67">
        <f ca="1">IF(OFFSET(Planning!$E$25,COLUMN(J31),ROW(J31),1,1)&lt;&gt;"",OFFSET(Planning!$D$25,COLUMN(J31),0,1,1),0)</f>
        <v>0</v>
      </c>
      <c r="T34" s="67">
        <f ca="1">IF(OFFSET(Planning!$E$25,COLUMN(K31),ROW(K31),1,1)&lt;&gt;"",OFFSET(Planning!$D$25,COLUMN(K31),0,1,1),0)</f>
        <v>0</v>
      </c>
      <c r="U34" s="67">
        <f ca="1">IF(OFFSET(Planning!$E$25,COLUMN(L31),ROW(L31),1,1)&lt;&gt;"",OFFSET(Planning!$D$25,COLUMN(L31),0,1,1),0)</f>
        <v>0</v>
      </c>
      <c r="V34" s="67">
        <f ca="1">IF(OFFSET(Planning!$E$25,COLUMN(M31),ROW(M31),1,1)&lt;&gt;"",OFFSET(Planning!$D$25,COLUMN(M31),0,1,1),0)</f>
        <v>0</v>
      </c>
      <c r="W34" s="67">
        <f ca="1">IF(OFFSET(Planning!$E$25,COLUMN(N31),ROW(N31),1,1)&lt;&gt;"",OFFSET(Planning!$D$25,COLUMN(N31),0,1,1),0)</f>
        <v>0</v>
      </c>
      <c r="X34" s="67">
        <f ca="1">IF(OFFSET(Planning!$E$25,COLUMN(O31),ROW(O31),1,1)&lt;&gt;"",OFFSET(Planning!$D$25,COLUMN(O31),0,1,1),0)</f>
        <v>0</v>
      </c>
      <c r="Y34" s="67">
        <f ca="1">IF(OFFSET(Planning!$E$25,COLUMN(P31),ROW(P31),1,1)&lt;&gt;"",OFFSET(Planning!$D$25,COLUMN(P31),0,1,1),0)</f>
        <v>0</v>
      </c>
      <c r="Z34" s="67">
        <f ca="1">IF(OFFSET(Planning!$E$25,COLUMN(Q31),ROW(Q31),1,1)&lt;&gt;"",OFFSET(Planning!$D$25,COLUMN(Q31),0,1,1),0)</f>
        <v>0</v>
      </c>
      <c r="AA34" s="67">
        <f ca="1">IF(OFFSET(Planning!$E$25,COLUMN(R31),ROW(R31),1,1)&lt;&gt;"",OFFSET(Planning!$D$25,COLUMN(R31),0,1,1),0)</f>
        <v>0</v>
      </c>
      <c r="AB34" s="67">
        <f ca="1">IF(OFFSET(Planning!$E$25,COLUMN(S31),ROW(S31),1,1)&lt;&gt;"",OFFSET(Planning!$D$25,COLUMN(S31),0,1,1),0)</f>
        <v>0</v>
      </c>
      <c r="AC34" s="67">
        <f ca="1">IF(OFFSET(Planning!$E$25,COLUMN(T31),ROW(T31),1,1)&lt;&gt;"",OFFSET(Planning!$D$25,COLUMN(T31),0,1,1),0)</f>
        <v>0</v>
      </c>
      <c r="AD34" s="67">
        <f ca="1">VLOOKUP($B34,'Summary Calculations (hide)'!$D$15:$U$67,17,0)</f>
        <v>71.024850000000001</v>
      </c>
      <c r="AE34" s="67">
        <f ca="1">VLOOKUP($B34,'Summary Calculations (hide)'!$D$15:$U$67,18,0)</f>
        <v>7.1024850000000015</v>
      </c>
    </row>
    <row r="35" spans="1:31" x14ac:dyDescent="0.25">
      <c r="A35" s="87">
        <f t="shared" ca="1" si="3"/>
        <v>44151</v>
      </c>
      <c r="B35" s="67">
        <f t="shared" ca="1" si="0"/>
        <v>47</v>
      </c>
      <c r="C35" s="5">
        <f ca="1">IF(Planning!$C$8="No",VLOOKUP(B35,'Summary Calculations (hide)'!$D$15:$U$67,17,0),IF('Demand adjustments for Covid'!$F$9="Yes",'Demand background (hide)'!DS35,VLOOKUP(B35,'Summary Calculations (hide)'!$D$15:$F$67,2,0))*IF(Planning!$C$11="",1,1+Planning!$C$11)*'Summary Calculations (hide)'!$L$4/IF(Summary!$C$8="Patients",'Summary Calculations (hide)'!$I$9,1))</f>
        <v>66.023099999999985</v>
      </c>
      <c r="D35" s="5">
        <f ca="1">IF(Planning!$C$8="No",VLOOKUP('Planning (hide)'!B35,'Summary Calculations (hide)'!$D$15:$U$67,18,0),IF('Demand adjustments for Covid'!$F$9="Yes",'Demand background (hide)'!DT35,VLOOKUP(B35,'Summary Calculations (hide)'!$D$15:$F$67,3,0))*IF(Planning!$C$11="",1,1+Planning!$C$11)*'Summary Calculations (hide)'!$L$4/IF(Summary!$C$8="Patients",'Summary Calculations (hide)'!$I$9,1))-IF(Planning!$C$8="No",0,C35)</f>
        <v>6.602310000000017</v>
      </c>
      <c r="E35" s="5">
        <f ca="1">VLOOKUP($B35,'Summary Calculations (hide)'!$D$15:$U$67,15,0)</f>
        <v>80.769230769230774</v>
      </c>
      <c r="F35" s="5">
        <f ca="1">VLOOKUP($B35,'Summary Calculations (hide)'!$D$15:$U$67,16,0)</f>
        <v>0</v>
      </c>
      <c r="G35" s="5">
        <f t="shared" ca="1" si="1"/>
        <v>80.769230769230774</v>
      </c>
      <c r="H35" s="5">
        <f t="shared" ca="1" si="2"/>
        <v>80.769230769230774</v>
      </c>
      <c r="I35" s="67">
        <f ca="1">IF(OFFSET(Planning!$E$25,0,ROW(A32),1,1)&lt;&gt;"",-'Planning (hide)'!$G35,0)</f>
        <v>0</v>
      </c>
      <c r="J35" s="67">
        <f ca="1">IF(OFFSET(Planning!$E$25,COLUMN(A32),ROW(A32),1,1)&lt;&gt;"",OFFSET(Planning!$D$25,COLUMN(A32),0,1,1),0)</f>
        <v>0</v>
      </c>
      <c r="K35" s="67">
        <f ca="1">IF(OFFSET(Planning!$E$25,COLUMN(B32),ROW(B32),1,1)&lt;&gt;"",OFFSET(Planning!$D$25,COLUMN(B32),0,1,1),0)</f>
        <v>0</v>
      </c>
      <c r="L35" s="67">
        <f ca="1">IF(OFFSET(Planning!$E$25,COLUMN(C32),ROW(C32),1,1)&lt;&gt;"",OFFSET(Planning!$D$25,COLUMN(C32),0,1,1),0)</f>
        <v>0</v>
      </c>
      <c r="M35" s="67">
        <f ca="1">IF(OFFSET(Planning!$E$25,COLUMN(D32),ROW(D32),1,1)&lt;&gt;"",OFFSET(Planning!$D$25,COLUMN(D32),0,1,1),0)</f>
        <v>0</v>
      </c>
      <c r="N35" s="67">
        <f ca="1">IF(OFFSET(Planning!$E$25,COLUMN(E32),ROW(E32),1,1)&lt;&gt;"",OFFSET(Planning!$D$25,COLUMN(E32),0,1,1),0)</f>
        <v>0</v>
      </c>
      <c r="O35" s="67">
        <f ca="1">IF(OFFSET(Planning!$E$25,COLUMN(F32),ROW(F32),1,1)&lt;&gt;"",OFFSET(Planning!$D$25,COLUMN(F32),0,1,1),0)</f>
        <v>0</v>
      </c>
      <c r="P35" s="67">
        <f ca="1">IF(OFFSET(Planning!$E$25,COLUMN(G32),ROW(G32),1,1)&lt;&gt;"",OFFSET(Planning!$D$25,COLUMN(G32),0,1,1),0)</f>
        <v>0</v>
      </c>
      <c r="Q35" s="67">
        <f ca="1">IF(OFFSET(Planning!$E$25,COLUMN(H32),ROW(H32),1,1)&lt;&gt;"",OFFSET(Planning!$D$25,COLUMN(H32),0,1,1),0)</f>
        <v>0</v>
      </c>
      <c r="R35" s="67">
        <f ca="1">IF(OFFSET(Planning!$E$25,COLUMN(I32),ROW(I32),1,1)&lt;&gt;"",OFFSET(Planning!$D$25,COLUMN(I32),0,1,1),0)</f>
        <v>0</v>
      </c>
      <c r="S35" s="67">
        <f ca="1">IF(OFFSET(Planning!$E$25,COLUMN(J32),ROW(J32),1,1)&lt;&gt;"",OFFSET(Planning!$D$25,COLUMN(J32),0,1,1),0)</f>
        <v>0</v>
      </c>
      <c r="T35" s="67">
        <f ca="1">IF(OFFSET(Planning!$E$25,COLUMN(K32),ROW(K32),1,1)&lt;&gt;"",OFFSET(Planning!$D$25,COLUMN(K32),0,1,1),0)</f>
        <v>0</v>
      </c>
      <c r="U35" s="67">
        <f ca="1">IF(OFFSET(Planning!$E$25,COLUMN(L32),ROW(L32),1,1)&lt;&gt;"",OFFSET(Planning!$D$25,COLUMN(L32),0,1,1),0)</f>
        <v>0</v>
      </c>
      <c r="V35" s="67">
        <f ca="1">IF(OFFSET(Planning!$E$25,COLUMN(M32),ROW(M32),1,1)&lt;&gt;"",OFFSET(Planning!$D$25,COLUMN(M32),0,1,1),0)</f>
        <v>0</v>
      </c>
      <c r="W35" s="67">
        <f ca="1">IF(OFFSET(Planning!$E$25,COLUMN(N32),ROW(N32),1,1)&lt;&gt;"",OFFSET(Planning!$D$25,COLUMN(N32),0,1,1),0)</f>
        <v>0</v>
      </c>
      <c r="X35" s="67">
        <f ca="1">IF(OFFSET(Planning!$E$25,COLUMN(O32),ROW(O32),1,1)&lt;&gt;"",OFFSET(Planning!$D$25,COLUMN(O32),0,1,1),0)</f>
        <v>0</v>
      </c>
      <c r="Y35" s="67">
        <f ca="1">IF(OFFSET(Planning!$E$25,COLUMN(P32),ROW(P32),1,1)&lt;&gt;"",OFFSET(Planning!$D$25,COLUMN(P32),0,1,1),0)</f>
        <v>0</v>
      </c>
      <c r="Z35" s="67">
        <f ca="1">IF(OFFSET(Planning!$E$25,COLUMN(Q32),ROW(Q32),1,1)&lt;&gt;"",OFFSET(Planning!$D$25,COLUMN(Q32),0,1,1),0)</f>
        <v>0</v>
      </c>
      <c r="AA35" s="67">
        <f ca="1">IF(OFFSET(Planning!$E$25,COLUMN(R32),ROW(R32),1,1)&lt;&gt;"",OFFSET(Planning!$D$25,COLUMN(R32),0,1,1),0)</f>
        <v>0</v>
      </c>
      <c r="AB35" s="67">
        <f ca="1">IF(OFFSET(Planning!$E$25,COLUMN(S32),ROW(S32),1,1)&lt;&gt;"",OFFSET(Planning!$D$25,COLUMN(S32),0,1,1),0)</f>
        <v>0</v>
      </c>
      <c r="AC35" s="67">
        <f ca="1">IF(OFFSET(Planning!$E$25,COLUMN(T32),ROW(T32),1,1)&lt;&gt;"",OFFSET(Planning!$D$25,COLUMN(T32),0,1,1),0)</f>
        <v>0</v>
      </c>
      <c r="AD35" s="67">
        <f ca="1">VLOOKUP($B35,'Summary Calculations (hide)'!$D$15:$U$67,17,0)</f>
        <v>66.023099999999985</v>
      </c>
      <c r="AE35" s="67">
        <f ca="1">VLOOKUP($B35,'Summary Calculations (hide)'!$D$15:$U$67,18,0)</f>
        <v>6.6023100000000028</v>
      </c>
    </row>
    <row r="36" spans="1:31" x14ac:dyDescent="0.25">
      <c r="A36" s="87">
        <f t="shared" ca="1" si="3"/>
        <v>44158</v>
      </c>
      <c r="B36" s="67">
        <f t="shared" ca="1" si="0"/>
        <v>48</v>
      </c>
      <c r="C36" s="5">
        <f ca="1">IF(Planning!$C$8="No",VLOOKUP(B36,'Summary Calculations (hide)'!$D$15:$U$67,17,0),IF('Demand adjustments for Covid'!$F$9="Yes",'Demand background (hide)'!DS36,VLOOKUP(B36,'Summary Calculations (hide)'!$D$15:$F$67,2,0))*IF(Planning!$C$11="",1,1+Planning!$C$11)*'Summary Calculations (hide)'!$L$4/IF(Summary!$C$8="Patients",'Summary Calculations (hide)'!$I$9,1))</f>
        <v>68.023799999999994</v>
      </c>
      <c r="D36" s="5">
        <f ca="1">IF(Planning!$C$8="No",VLOOKUP('Planning (hide)'!B36,'Summary Calculations (hide)'!$D$15:$U$67,18,0),IF('Demand adjustments for Covid'!$F$9="Yes",'Demand background (hide)'!DT36,VLOOKUP(B36,'Summary Calculations (hide)'!$D$15:$F$67,3,0))*IF(Planning!$C$11="",1,1+Planning!$C$11)*'Summary Calculations (hide)'!$L$4/IF(Summary!$C$8="Patients",'Summary Calculations (hide)'!$I$9,1))-IF(Planning!$C$8="No",0,C36)</f>
        <v>6.8023799999999994</v>
      </c>
      <c r="E36" s="5">
        <f ca="1">VLOOKUP($B36,'Summary Calculations (hide)'!$D$15:$U$67,15,0)</f>
        <v>80.769230769230774</v>
      </c>
      <c r="F36" s="5">
        <f ca="1">VLOOKUP($B36,'Summary Calculations (hide)'!$D$15:$U$67,16,0)</f>
        <v>0</v>
      </c>
      <c r="G36" s="5">
        <f t="shared" ca="1" si="1"/>
        <v>80.769230769230774</v>
      </c>
      <c r="H36" s="5">
        <f t="shared" ca="1" si="2"/>
        <v>80.769230769230774</v>
      </c>
      <c r="I36" s="67">
        <f ca="1">IF(OFFSET(Planning!$E$25,0,ROW(A33),1,1)&lt;&gt;"",-'Planning (hide)'!$G36,0)</f>
        <v>0</v>
      </c>
      <c r="J36" s="67">
        <f ca="1">IF(OFFSET(Planning!$E$25,COLUMN(A33),ROW(A33),1,1)&lt;&gt;"",OFFSET(Planning!$D$25,COLUMN(A33),0,1,1),0)</f>
        <v>0</v>
      </c>
      <c r="K36" s="67">
        <f ca="1">IF(OFFSET(Planning!$E$25,COLUMN(B33),ROW(B33),1,1)&lt;&gt;"",OFFSET(Planning!$D$25,COLUMN(B33),0,1,1),0)</f>
        <v>0</v>
      </c>
      <c r="L36" s="67">
        <f ca="1">IF(OFFSET(Planning!$E$25,COLUMN(C33),ROW(C33),1,1)&lt;&gt;"",OFFSET(Planning!$D$25,COLUMN(C33),0,1,1),0)</f>
        <v>0</v>
      </c>
      <c r="M36" s="67">
        <f ca="1">IF(OFFSET(Planning!$E$25,COLUMN(D33),ROW(D33),1,1)&lt;&gt;"",OFFSET(Planning!$D$25,COLUMN(D33),0,1,1),0)</f>
        <v>0</v>
      </c>
      <c r="N36" s="67">
        <f ca="1">IF(OFFSET(Planning!$E$25,COLUMN(E33),ROW(E33),1,1)&lt;&gt;"",OFFSET(Planning!$D$25,COLUMN(E33),0,1,1),0)</f>
        <v>0</v>
      </c>
      <c r="O36" s="67">
        <f ca="1">IF(OFFSET(Planning!$E$25,COLUMN(F33),ROW(F33),1,1)&lt;&gt;"",OFFSET(Planning!$D$25,COLUMN(F33),0,1,1),0)</f>
        <v>0</v>
      </c>
      <c r="P36" s="67">
        <f ca="1">IF(OFFSET(Planning!$E$25,COLUMN(G33),ROW(G33),1,1)&lt;&gt;"",OFFSET(Planning!$D$25,COLUMN(G33),0,1,1),0)</f>
        <v>0</v>
      </c>
      <c r="Q36" s="67">
        <f ca="1">IF(OFFSET(Planning!$E$25,COLUMN(H33),ROW(H33),1,1)&lt;&gt;"",OFFSET(Planning!$D$25,COLUMN(H33),0,1,1),0)</f>
        <v>0</v>
      </c>
      <c r="R36" s="67">
        <f ca="1">IF(OFFSET(Planning!$E$25,COLUMN(I33),ROW(I33),1,1)&lt;&gt;"",OFFSET(Planning!$D$25,COLUMN(I33),0,1,1),0)</f>
        <v>0</v>
      </c>
      <c r="S36" s="67">
        <f ca="1">IF(OFFSET(Planning!$E$25,COLUMN(J33),ROW(J33),1,1)&lt;&gt;"",OFFSET(Planning!$D$25,COLUMN(J33),0,1,1),0)</f>
        <v>0</v>
      </c>
      <c r="T36" s="67">
        <f ca="1">IF(OFFSET(Planning!$E$25,COLUMN(K33),ROW(K33),1,1)&lt;&gt;"",OFFSET(Planning!$D$25,COLUMN(K33),0,1,1),0)</f>
        <v>0</v>
      </c>
      <c r="U36" s="67">
        <f ca="1">IF(OFFSET(Planning!$E$25,COLUMN(L33),ROW(L33),1,1)&lt;&gt;"",OFFSET(Planning!$D$25,COLUMN(L33),0,1,1),0)</f>
        <v>0</v>
      </c>
      <c r="V36" s="67">
        <f ca="1">IF(OFFSET(Planning!$E$25,COLUMN(M33),ROW(M33),1,1)&lt;&gt;"",OFFSET(Planning!$D$25,COLUMN(M33),0,1,1),0)</f>
        <v>0</v>
      </c>
      <c r="W36" s="67">
        <f ca="1">IF(OFFSET(Planning!$E$25,COLUMN(N33),ROW(N33),1,1)&lt;&gt;"",OFFSET(Planning!$D$25,COLUMN(N33),0,1,1),0)</f>
        <v>0</v>
      </c>
      <c r="X36" s="67">
        <f ca="1">IF(OFFSET(Planning!$E$25,COLUMN(O33),ROW(O33),1,1)&lt;&gt;"",OFFSET(Planning!$D$25,COLUMN(O33),0,1,1),0)</f>
        <v>0</v>
      </c>
      <c r="Y36" s="67">
        <f ca="1">IF(OFFSET(Planning!$E$25,COLUMN(P33),ROW(P33),1,1)&lt;&gt;"",OFFSET(Planning!$D$25,COLUMN(P33),0,1,1),0)</f>
        <v>0</v>
      </c>
      <c r="Z36" s="67">
        <f ca="1">IF(OFFSET(Planning!$E$25,COLUMN(Q33),ROW(Q33),1,1)&lt;&gt;"",OFFSET(Planning!$D$25,COLUMN(Q33),0,1,1),0)</f>
        <v>0</v>
      </c>
      <c r="AA36" s="67">
        <f ca="1">IF(OFFSET(Planning!$E$25,COLUMN(R33),ROW(R33),1,1)&lt;&gt;"",OFFSET(Planning!$D$25,COLUMN(R33),0,1,1),0)</f>
        <v>0</v>
      </c>
      <c r="AB36" s="67">
        <f ca="1">IF(OFFSET(Planning!$E$25,COLUMN(S33),ROW(S33),1,1)&lt;&gt;"",OFFSET(Planning!$D$25,COLUMN(S33),0,1,1),0)</f>
        <v>0</v>
      </c>
      <c r="AC36" s="67">
        <f ca="1">IF(OFFSET(Planning!$E$25,COLUMN(T33),ROW(T33),1,1)&lt;&gt;"",OFFSET(Planning!$D$25,COLUMN(T33),0,1,1),0)</f>
        <v>0</v>
      </c>
      <c r="AD36" s="67">
        <f ca="1">VLOOKUP($B36,'Summary Calculations (hide)'!$D$15:$U$67,17,0)</f>
        <v>68.023799999999994</v>
      </c>
      <c r="AE36" s="67">
        <f ca="1">VLOOKUP($B36,'Summary Calculations (hide)'!$D$15:$U$67,18,0)</f>
        <v>6.8023799999999994</v>
      </c>
    </row>
    <row r="37" spans="1:31" x14ac:dyDescent="0.25">
      <c r="A37" s="87">
        <f t="shared" ca="1" si="3"/>
        <v>44165</v>
      </c>
      <c r="B37" s="67">
        <f t="shared" ca="1" si="0"/>
        <v>49</v>
      </c>
      <c r="C37" s="5">
        <f ca="1">IF(Planning!$C$8="No",VLOOKUP(B37,'Summary Calculations (hide)'!$D$15:$U$67,17,0),IF('Demand adjustments for Covid'!$F$9="Yes",'Demand background (hide)'!DS37,VLOOKUP(B37,'Summary Calculations (hide)'!$D$15:$F$67,2,0))*IF(Planning!$C$11="",1,1+Planning!$C$11)*'Summary Calculations (hide)'!$L$4/IF(Summary!$C$8="Patients",'Summary Calculations (hide)'!$I$9,1))</f>
        <v>70.024499999999989</v>
      </c>
      <c r="D37" s="5">
        <f ca="1">IF(Planning!$C$8="No",VLOOKUP('Planning (hide)'!B37,'Summary Calculations (hide)'!$D$15:$U$67,18,0),IF('Demand adjustments for Covid'!$F$9="Yes",'Demand background (hide)'!DT37,VLOOKUP(B37,'Summary Calculations (hide)'!$D$15:$F$67,3,0))*IF(Planning!$C$11="",1,1+Planning!$C$11)*'Summary Calculations (hide)'!$L$4/IF(Summary!$C$8="Patients",'Summary Calculations (hide)'!$I$9,1))-IF(Planning!$C$8="No",0,C37)</f>
        <v>7.0024499999999961</v>
      </c>
      <c r="E37" s="5">
        <f ca="1">VLOOKUP($B37,'Summary Calculations (hide)'!$D$15:$U$67,15,0)</f>
        <v>80.769230769230774</v>
      </c>
      <c r="F37" s="5">
        <f ca="1">VLOOKUP($B37,'Summary Calculations (hide)'!$D$15:$U$67,16,0)</f>
        <v>0</v>
      </c>
      <c r="G37" s="5">
        <f t="shared" ca="1" si="1"/>
        <v>80.769230769230774</v>
      </c>
      <c r="H37" s="5">
        <f t="shared" ca="1" si="2"/>
        <v>80.769230769230774</v>
      </c>
      <c r="I37" s="67">
        <f ca="1">IF(OFFSET(Planning!$E$25,0,ROW(A34),1,1)&lt;&gt;"",-'Planning (hide)'!$G37,0)</f>
        <v>0</v>
      </c>
      <c r="J37" s="67">
        <f ca="1">IF(OFFSET(Planning!$E$25,COLUMN(A34),ROW(A34),1,1)&lt;&gt;"",OFFSET(Planning!$D$25,COLUMN(A34),0,1,1),0)</f>
        <v>0</v>
      </c>
      <c r="K37" s="67">
        <f ca="1">IF(OFFSET(Planning!$E$25,COLUMN(B34),ROW(B34),1,1)&lt;&gt;"",OFFSET(Planning!$D$25,COLUMN(B34),0,1,1),0)</f>
        <v>0</v>
      </c>
      <c r="L37" s="67">
        <f ca="1">IF(OFFSET(Planning!$E$25,COLUMN(C34),ROW(C34),1,1)&lt;&gt;"",OFFSET(Planning!$D$25,COLUMN(C34),0,1,1),0)</f>
        <v>0</v>
      </c>
      <c r="M37" s="67">
        <f ca="1">IF(OFFSET(Planning!$E$25,COLUMN(D34),ROW(D34),1,1)&lt;&gt;"",OFFSET(Planning!$D$25,COLUMN(D34),0,1,1),0)</f>
        <v>0</v>
      </c>
      <c r="N37" s="67">
        <f ca="1">IF(OFFSET(Planning!$E$25,COLUMN(E34),ROW(E34),1,1)&lt;&gt;"",OFFSET(Planning!$D$25,COLUMN(E34),0,1,1),0)</f>
        <v>0</v>
      </c>
      <c r="O37" s="67">
        <f ca="1">IF(OFFSET(Planning!$E$25,COLUMN(F34),ROW(F34),1,1)&lt;&gt;"",OFFSET(Planning!$D$25,COLUMN(F34),0,1,1),0)</f>
        <v>0</v>
      </c>
      <c r="P37" s="67">
        <f ca="1">IF(OFFSET(Planning!$E$25,COLUMN(G34),ROW(G34),1,1)&lt;&gt;"",OFFSET(Planning!$D$25,COLUMN(G34),0,1,1),0)</f>
        <v>0</v>
      </c>
      <c r="Q37" s="67">
        <f ca="1">IF(OFFSET(Planning!$E$25,COLUMN(H34),ROW(H34),1,1)&lt;&gt;"",OFFSET(Planning!$D$25,COLUMN(H34),0,1,1),0)</f>
        <v>0</v>
      </c>
      <c r="R37" s="67">
        <f ca="1">IF(OFFSET(Planning!$E$25,COLUMN(I34),ROW(I34),1,1)&lt;&gt;"",OFFSET(Planning!$D$25,COLUMN(I34),0,1,1),0)</f>
        <v>0</v>
      </c>
      <c r="S37" s="67">
        <f ca="1">IF(OFFSET(Planning!$E$25,COLUMN(J34),ROW(J34),1,1)&lt;&gt;"",OFFSET(Planning!$D$25,COLUMN(J34),0,1,1),0)</f>
        <v>0</v>
      </c>
      <c r="T37" s="67">
        <f ca="1">IF(OFFSET(Planning!$E$25,COLUMN(K34),ROW(K34),1,1)&lt;&gt;"",OFFSET(Planning!$D$25,COLUMN(K34),0,1,1),0)</f>
        <v>0</v>
      </c>
      <c r="U37" s="67">
        <f ca="1">IF(OFFSET(Planning!$E$25,COLUMN(L34),ROW(L34),1,1)&lt;&gt;"",OFFSET(Planning!$D$25,COLUMN(L34),0,1,1),0)</f>
        <v>0</v>
      </c>
      <c r="V37" s="67">
        <f ca="1">IF(OFFSET(Planning!$E$25,COLUMN(M34),ROW(M34),1,1)&lt;&gt;"",OFFSET(Planning!$D$25,COLUMN(M34),0,1,1),0)</f>
        <v>0</v>
      </c>
      <c r="W37" s="67">
        <f ca="1">IF(OFFSET(Planning!$E$25,COLUMN(N34),ROW(N34),1,1)&lt;&gt;"",OFFSET(Planning!$D$25,COLUMN(N34),0,1,1),0)</f>
        <v>0</v>
      </c>
      <c r="X37" s="67">
        <f ca="1">IF(OFFSET(Planning!$E$25,COLUMN(O34),ROW(O34),1,1)&lt;&gt;"",OFFSET(Planning!$D$25,COLUMN(O34),0,1,1),0)</f>
        <v>0</v>
      </c>
      <c r="Y37" s="67">
        <f ca="1">IF(OFFSET(Planning!$E$25,COLUMN(P34),ROW(P34),1,1)&lt;&gt;"",OFFSET(Planning!$D$25,COLUMN(P34),0,1,1),0)</f>
        <v>0</v>
      </c>
      <c r="Z37" s="67">
        <f ca="1">IF(OFFSET(Planning!$E$25,COLUMN(Q34),ROW(Q34),1,1)&lt;&gt;"",OFFSET(Planning!$D$25,COLUMN(Q34),0,1,1),0)</f>
        <v>0</v>
      </c>
      <c r="AA37" s="67">
        <f ca="1">IF(OFFSET(Planning!$E$25,COLUMN(R34),ROW(R34),1,1)&lt;&gt;"",OFFSET(Planning!$D$25,COLUMN(R34),0,1,1),0)</f>
        <v>0</v>
      </c>
      <c r="AB37" s="67">
        <f ca="1">IF(OFFSET(Planning!$E$25,COLUMN(S34),ROW(S34),1,1)&lt;&gt;"",OFFSET(Planning!$D$25,COLUMN(S34),0,1,1),0)</f>
        <v>0</v>
      </c>
      <c r="AC37" s="67">
        <f ca="1">IF(OFFSET(Planning!$E$25,COLUMN(T34),ROW(T34),1,1)&lt;&gt;"",OFFSET(Planning!$D$25,COLUMN(T34),0,1,1),0)</f>
        <v>0</v>
      </c>
      <c r="AD37" s="67">
        <f ca="1">VLOOKUP($B37,'Summary Calculations (hide)'!$D$15:$U$67,17,0)</f>
        <v>70.024499999999989</v>
      </c>
      <c r="AE37" s="67">
        <f ca="1">VLOOKUP($B37,'Summary Calculations (hide)'!$D$15:$U$67,18,0)</f>
        <v>7.0024499999999961</v>
      </c>
    </row>
    <row r="38" spans="1:31" x14ac:dyDescent="0.25">
      <c r="A38" s="87">
        <f t="shared" ca="1" si="3"/>
        <v>44172</v>
      </c>
      <c r="B38" s="67">
        <f t="shared" ca="1" si="0"/>
        <v>50</v>
      </c>
      <c r="C38" s="5">
        <f ca="1">IF(Planning!$C$8="No",VLOOKUP(B38,'Summary Calculations (hide)'!$D$15:$U$67,17,0),IF('Demand adjustments for Covid'!$F$9="Yes",'Demand background (hide)'!DS38,VLOOKUP(B38,'Summary Calculations (hide)'!$D$15:$F$67,2,0))*IF(Planning!$C$11="",1,1+Planning!$C$11)*'Summary Calculations (hide)'!$L$4/IF(Summary!$C$8="Patients",'Summary Calculations (hide)'!$I$9,1))</f>
        <v>72.025199999999984</v>
      </c>
      <c r="D38" s="5">
        <f ca="1">IF(Planning!$C$8="No",VLOOKUP('Planning (hide)'!B38,'Summary Calculations (hide)'!$D$15:$U$67,18,0),IF('Demand adjustments for Covid'!$F$9="Yes",'Demand background (hide)'!DT38,VLOOKUP(B38,'Summary Calculations (hide)'!$D$15:$F$67,3,0))*IF(Planning!$C$11="",1,1+Planning!$C$11)*'Summary Calculations (hide)'!$L$4/IF(Summary!$C$8="Patients",'Summary Calculations (hide)'!$I$9,1))-IF(Planning!$C$8="No",0,C38)</f>
        <v>7.2025200000000069</v>
      </c>
      <c r="E38" s="5">
        <f ca="1">VLOOKUP($B38,'Summary Calculations (hide)'!$D$15:$U$67,15,0)</f>
        <v>80.769230769230774</v>
      </c>
      <c r="F38" s="5">
        <f ca="1">VLOOKUP($B38,'Summary Calculations (hide)'!$D$15:$U$67,16,0)</f>
        <v>0</v>
      </c>
      <c r="G38" s="5">
        <f t="shared" ca="1" si="1"/>
        <v>80.769230769230774</v>
      </c>
      <c r="H38" s="5">
        <f t="shared" ca="1" si="2"/>
        <v>80.769230769230774</v>
      </c>
      <c r="I38" s="67">
        <f ca="1">IF(OFFSET(Planning!$E$25,0,ROW(A35),1,1)&lt;&gt;"",-'Planning (hide)'!$G38,0)</f>
        <v>0</v>
      </c>
      <c r="J38" s="67">
        <f ca="1">IF(OFFSET(Planning!$E$25,COLUMN(A35),ROW(A35),1,1)&lt;&gt;"",OFFSET(Planning!$D$25,COLUMN(A35),0,1,1),0)</f>
        <v>0</v>
      </c>
      <c r="K38" s="67">
        <f ca="1">IF(OFFSET(Planning!$E$25,COLUMN(B35),ROW(B35),1,1)&lt;&gt;"",OFFSET(Planning!$D$25,COLUMN(B35),0,1,1),0)</f>
        <v>0</v>
      </c>
      <c r="L38" s="67">
        <f ca="1">IF(OFFSET(Planning!$E$25,COLUMN(C35),ROW(C35),1,1)&lt;&gt;"",OFFSET(Planning!$D$25,COLUMN(C35),0,1,1),0)</f>
        <v>0</v>
      </c>
      <c r="M38" s="67">
        <f ca="1">IF(OFFSET(Planning!$E$25,COLUMN(D35),ROW(D35),1,1)&lt;&gt;"",OFFSET(Planning!$D$25,COLUMN(D35),0,1,1),0)</f>
        <v>0</v>
      </c>
      <c r="N38" s="67">
        <f ca="1">IF(OFFSET(Planning!$E$25,COLUMN(E35),ROW(E35),1,1)&lt;&gt;"",OFFSET(Planning!$D$25,COLUMN(E35),0,1,1),0)</f>
        <v>0</v>
      </c>
      <c r="O38" s="67">
        <f ca="1">IF(OFFSET(Planning!$E$25,COLUMN(F35),ROW(F35),1,1)&lt;&gt;"",OFFSET(Planning!$D$25,COLUMN(F35),0,1,1),0)</f>
        <v>0</v>
      </c>
      <c r="P38" s="67">
        <f ca="1">IF(OFFSET(Planning!$E$25,COLUMN(G35),ROW(G35),1,1)&lt;&gt;"",OFFSET(Planning!$D$25,COLUMN(G35),0,1,1),0)</f>
        <v>0</v>
      </c>
      <c r="Q38" s="67">
        <f ca="1">IF(OFFSET(Planning!$E$25,COLUMN(H35),ROW(H35),1,1)&lt;&gt;"",OFFSET(Planning!$D$25,COLUMN(H35),0,1,1),0)</f>
        <v>0</v>
      </c>
      <c r="R38" s="67">
        <f ca="1">IF(OFFSET(Planning!$E$25,COLUMN(I35),ROW(I35),1,1)&lt;&gt;"",OFFSET(Planning!$D$25,COLUMN(I35),0,1,1),0)</f>
        <v>0</v>
      </c>
      <c r="S38" s="67">
        <f ca="1">IF(OFFSET(Planning!$E$25,COLUMN(J35),ROW(J35),1,1)&lt;&gt;"",OFFSET(Planning!$D$25,COLUMN(J35),0,1,1),0)</f>
        <v>0</v>
      </c>
      <c r="T38" s="67">
        <f ca="1">IF(OFFSET(Planning!$E$25,COLUMN(K35),ROW(K35),1,1)&lt;&gt;"",OFFSET(Planning!$D$25,COLUMN(K35),0,1,1),0)</f>
        <v>0</v>
      </c>
      <c r="U38" s="67">
        <f ca="1">IF(OFFSET(Planning!$E$25,COLUMN(L35),ROW(L35),1,1)&lt;&gt;"",OFFSET(Planning!$D$25,COLUMN(L35),0,1,1),0)</f>
        <v>0</v>
      </c>
      <c r="V38" s="67">
        <f ca="1">IF(OFFSET(Planning!$E$25,COLUMN(M35),ROW(M35),1,1)&lt;&gt;"",OFFSET(Planning!$D$25,COLUMN(M35),0,1,1),0)</f>
        <v>0</v>
      </c>
      <c r="W38" s="67">
        <f ca="1">IF(OFFSET(Planning!$E$25,COLUMN(N35),ROW(N35),1,1)&lt;&gt;"",OFFSET(Planning!$D$25,COLUMN(N35),0,1,1),0)</f>
        <v>0</v>
      </c>
      <c r="X38" s="67">
        <f ca="1">IF(OFFSET(Planning!$E$25,COLUMN(O35),ROW(O35),1,1)&lt;&gt;"",OFFSET(Planning!$D$25,COLUMN(O35),0,1,1),0)</f>
        <v>0</v>
      </c>
      <c r="Y38" s="67">
        <f ca="1">IF(OFFSET(Planning!$E$25,COLUMN(P35),ROW(P35),1,1)&lt;&gt;"",OFFSET(Planning!$D$25,COLUMN(P35),0,1,1),0)</f>
        <v>0</v>
      </c>
      <c r="Z38" s="67">
        <f ca="1">IF(OFFSET(Planning!$E$25,COLUMN(Q35),ROW(Q35),1,1)&lt;&gt;"",OFFSET(Planning!$D$25,COLUMN(Q35),0,1,1),0)</f>
        <v>0</v>
      </c>
      <c r="AA38" s="67">
        <f ca="1">IF(OFFSET(Planning!$E$25,COLUMN(R35),ROW(R35),1,1)&lt;&gt;"",OFFSET(Planning!$D$25,COLUMN(R35),0,1,1),0)</f>
        <v>0</v>
      </c>
      <c r="AB38" s="67">
        <f ca="1">IF(OFFSET(Planning!$E$25,COLUMN(S35),ROW(S35),1,1)&lt;&gt;"",OFFSET(Planning!$D$25,COLUMN(S35),0,1,1),0)</f>
        <v>0</v>
      </c>
      <c r="AC38" s="67">
        <f ca="1">IF(OFFSET(Planning!$E$25,COLUMN(T35),ROW(T35),1,1)&lt;&gt;"",OFFSET(Planning!$D$25,COLUMN(T35),0,1,1),0)</f>
        <v>0</v>
      </c>
      <c r="AD38" s="67">
        <f ca="1">VLOOKUP($B38,'Summary Calculations (hide)'!$D$15:$U$67,17,0)</f>
        <v>72.025199999999984</v>
      </c>
      <c r="AE38" s="67">
        <f ca="1">VLOOKUP($B38,'Summary Calculations (hide)'!$D$15:$U$67,18,0)</f>
        <v>7.2025200000000069</v>
      </c>
    </row>
    <row r="39" spans="1:31" x14ac:dyDescent="0.25">
      <c r="A39" s="87">
        <f t="shared" ca="1" si="3"/>
        <v>44179</v>
      </c>
      <c r="B39" s="67">
        <f t="shared" ca="1" si="0"/>
        <v>51</v>
      </c>
      <c r="C39" s="5">
        <f ca="1">IF(Planning!$C$8="No",VLOOKUP(B39,'Summary Calculations (hide)'!$D$15:$U$67,17,0),IF('Demand adjustments for Covid'!$F$9="Yes",'Demand background (hide)'!DS39,VLOOKUP(B39,'Summary Calculations (hide)'!$D$15:$F$67,2,0))*IF(Planning!$C$11="",1,1+Planning!$C$11)*'Summary Calculations (hide)'!$L$4/IF(Summary!$C$8="Patients",'Summary Calculations (hide)'!$I$9,1))</f>
        <v>62.021699999999989</v>
      </c>
      <c r="D39" s="5">
        <f ca="1">IF(Planning!$C$8="No",VLOOKUP('Planning (hide)'!B39,'Summary Calculations (hide)'!$D$15:$U$67,18,0),IF('Demand adjustments for Covid'!$F$9="Yes",'Demand background (hide)'!DT39,VLOOKUP(B39,'Summary Calculations (hide)'!$D$15:$F$67,3,0))*IF(Planning!$C$11="",1,1+Planning!$C$11)*'Summary Calculations (hide)'!$L$4/IF(Summary!$C$8="Patients",'Summary Calculations (hide)'!$I$9,1))-IF(Planning!$C$8="No",0,C39)</f>
        <v>6.2021700000000024</v>
      </c>
      <c r="E39" s="5">
        <f ca="1">VLOOKUP($B39,'Summary Calculations (hide)'!$D$15:$U$67,15,0)</f>
        <v>80.769230769230774</v>
      </c>
      <c r="F39" s="5">
        <f ca="1">VLOOKUP($B39,'Summary Calculations (hide)'!$D$15:$U$67,16,0)</f>
        <v>0</v>
      </c>
      <c r="G39" s="5">
        <f t="shared" ca="1" si="1"/>
        <v>80.769230769230774</v>
      </c>
      <c r="H39" s="5">
        <f t="shared" ca="1" si="2"/>
        <v>80.769230769230774</v>
      </c>
      <c r="I39" s="67">
        <f ca="1">IF(OFFSET(Planning!$E$25,0,ROW(A36),1,1)&lt;&gt;"",-'Planning (hide)'!$G39,0)</f>
        <v>0</v>
      </c>
      <c r="J39" s="67">
        <f ca="1">IF(OFFSET(Planning!$E$25,COLUMN(A36),ROW(A36),1,1)&lt;&gt;"",OFFSET(Planning!$D$25,COLUMN(A36),0,1,1),0)</f>
        <v>0</v>
      </c>
      <c r="K39" s="67">
        <f ca="1">IF(OFFSET(Planning!$E$25,COLUMN(B36),ROW(B36),1,1)&lt;&gt;"",OFFSET(Planning!$D$25,COLUMN(B36),0,1,1),0)</f>
        <v>0</v>
      </c>
      <c r="L39" s="67">
        <f ca="1">IF(OFFSET(Planning!$E$25,COLUMN(C36),ROW(C36),1,1)&lt;&gt;"",OFFSET(Planning!$D$25,COLUMN(C36),0,1,1),0)</f>
        <v>0</v>
      </c>
      <c r="M39" s="67">
        <f ca="1">IF(OFFSET(Planning!$E$25,COLUMN(D36),ROW(D36),1,1)&lt;&gt;"",OFFSET(Planning!$D$25,COLUMN(D36),0,1,1),0)</f>
        <v>0</v>
      </c>
      <c r="N39" s="67">
        <f ca="1">IF(OFFSET(Planning!$E$25,COLUMN(E36),ROW(E36),1,1)&lt;&gt;"",OFFSET(Planning!$D$25,COLUMN(E36),0,1,1),0)</f>
        <v>0</v>
      </c>
      <c r="O39" s="67">
        <f ca="1">IF(OFFSET(Planning!$E$25,COLUMN(F36),ROW(F36),1,1)&lt;&gt;"",OFFSET(Planning!$D$25,COLUMN(F36),0,1,1),0)</f>
        <v>0</v>
      </c>
      <c r="P39" s="67">
        <f ca="1">IF(OFFSET(Planning!$E$25,COLUMN(G36),ROW(G36),1,1)&lt;&gt;"",OFFSET(Planning!$D$25,COLUMN(G36),0,1,1),0)</f>
        <v>0</v>
      </c>
      <c r="Q39" s="67">
        <f ca="1">IF(OFFSET(Planning!$E$25,COLUMN(H36),ROW(H36),1,1)&lt;&gt;"",OFFSET(Planning!$D$25,COLUMN(H36),0,1,1),0)</f>
        <v>0</v>
      </c>
      <c r="R39" s="67">
        <f ca="1">IF(OFFSET(Planning!$E$25,COLUMN(I36),ROW(I36),1,1)&lt;&gt;"",OFFSET(Planning!$D$25,COLUMN(I36),0,1,1),0)</f>
        <v>0</v>
      </c>
      <c r="S39" s="67">
        <f ca="1">IF(OFFSET(Planning!$E$25,COLUMN(J36),ROW(J36),1,1)&lt;&gt;"",OFFSET(Planning!$D$25,COLUMN(J36),0,1,1),0)</f>
        <v>0</v>
      </c>
      <c r="T39" s="67">
        <f ca="1">IF(OFFSET(Planning!$E$25,COLUMN(K36),ROW(K36),1,1)&lt;&gt;"",OFFSET(Planning!$D$25,COLUMN(K36),0,1,1),0)</f>
        <v>0</v>
      </c>
      <c r="U39" s="67">
        <f ca="1">IF(OFFSET(Planning!$E$25,COLUMN(L36),ROW(L36),1,1)&lt;&gt;"",OFFSET(Planning!$D$25,COLUMN(L36),0,1,1),0)</f>
        <v>0</v>
      </c>
      <c r="V39" s="67">
        <f ca="1">IF(OFFSET(Planning!$E$25,COLUMN(M36),ROW(M36),1,1)&lt;&gt;"",OFFSET(Planning!$D$25,COLUMN(M36),0,1,1),0)</f>
        <v>0</v>
      </c>
      <c r="W39" s="67">
        <f ca="1">IF(OFFSET(Planning!$E$25,COLUMN(N36),ROW(N36),1,1)&lt;&gt;"",OFFSET(Planning!$D$25,COLUMN(N36),0,1,1),0)</f>
        <v>0</v>
      </c>
      <c r="X39" s="67">
        <f ca="1">IF(OFFSET(Planning!$E$25,COLUMN(O36),ROW(O36),1,1)&lt;&gt;"",OFFSET(Planning!$D$25,COLUMN(O36),0,1,1),0)</f>
        <v>0</v>
      </c>
      <c r="Y39" s="67">
        <f ca="1">IF(OFFSET(Planning!$E$25,COLUMN(P36),ROW(P36),1,1)&lt;&gt;"",OFFSET(Planning!$D$25,COLUMN(P36),0,1,1),0)</f>
        <v>0</v>
      </c>
      <c r="Z39" s="67">
        <f ca="1">IF(OFFSET(Planning!$E$25,COLUMN(Q36),ROW(Q36),1,1)&lt;&gt;"",OFFSET(Planning!$D$25,COLUMN(Q36),0,1,1),0)</f>
        <v>0</v>
      </c>
      <c r="AA39" s="67">
        <f ca="1">IF(OFFSET(Planning!$E$25,COLUMN(R36),ROW(R36),1,1)&lt;&gt;"",OFFSET(Planning!$D$25,COLUMN(R36),0,1,1),0)</f>
        <v>0</v>
      </c>
      <c r="AB39" s="67">
        <f ca="1">IF(OFFSET(Planning!$E$25,COLUMN(S36),ROW(S36),1,1)&lt;&gt;"",OFFSET(Planning!$D$25,COLUMN(S36),0,1,1),0)</f>
        <v>0</v>
      </c>
      <c r="AC39" s="67">
        <f ca="1">IF(OFFSET(Planning!$E$25,COLUMN(T36),ROW(T36),1,1)&lt;&gt;"",OFFSET(Planning!$D$25,COLUMN(T36),0,1,1),0)</f>
        <v>0</v>
      </c>
      <c r="AD39" s="67">
        <f ca="1">VLOOKUP($B39,'Summary Calculations (hide)'!$D$15:$U$67,17,0)</f>
        <v>62.021699999999996</v>
      </c>
      <c r="AE39" s="67">
        <f ca="1">VLOOKUP($B39,'Summary Calculations (hide)'!$D$15:$U$67,18,0)</f>
        <v>6.2021700000000095</v>
      </c>
    </row>
    <row r="40" spans="1:31" x14ac:dyDescent="0.25">
      <c r="A40" s="87">
        <f t="shared" ca="1" si="3"/>
        <v>44186</v>
      </c>
      <c r="B40" s="67">
        <f t="shared" ca="1" si="0"/>
        <v>52</v>
      </c>
      <c r="C40" s="5">
        <f ca="1">IF(Planning!$C$8="No",VLOOKUP(B40,'Summary Calculations (hide)'!$D$15:$U$67,17,0),IF('Demand adjustments for Covid'!$F$9="Yes",'Demand background (hide)'!DS40,VLOOKUP(B40,'Summary Calculations (hide)'!$D$15:$F$67,2,0))*IF(Planning!$C$11="",1,1+Planning!$C$11)*'Summary Calculations (hide)'!$L$4/IF(Summary!$C$8="Patients",'Summary Calculations (hide)'!$I$9,1))</f>
        <v>71.024849999999986</v>
      </c>
      <c r="D40" s="5">
        <f ca="1">IF(Planning!$C$8="No",VLOOKUP('Planning (hide)'!B40,'Summary Calculations (hide)'!$D$15:$U$67,18,0),IF('Demand adjustments for Covid'!$F$9="Yes",'Demand background (hide)'!DT40,VLOOKUP(B40,'Summary Calculations (hide)'!$D$15:$F$67,3,0))*IF(Planning!$C$11="",1,1+Planning!$C$11)*'Summary Calculations (hide)'!$L$4/IF(Summary!$C$8="Patients",'Summary Calculations (hide)'!$I$9,1))-IF(Planning!$C$8="No",0,C40)</f>
        <v>7.1024850000000157</v>
      </c>
      <c r="E40" s="5">
        <f ca="1">VLOOKUP($B40,'Summary Calculations (hide)'!$D$15:$U$67,15,0)</f>
        <v>80.769230769230774</v>
      </c>
      <c r="F40" s="5">
        <f ca="1">VLOOKUP($B40,'Summary Calculations (hide)'!$D$15:$U$67,16,0)</f>
        <v>0</v>
      </c>
      <c r="G40" s="5">
        <f t="shared" ca="1" si="1"/>
        <v>80.769230769230774</v>
      </c>
      <c r="H40" s="5">
        <f t="shared" ca="1" si="2"/>
        <v>80.769230769230774</v>
      </c>
      <c r="I40" s="67">
        <f ca="1">IF(OFFSET(Planning!$E$25,0,ROW(A37),1,1)&lt;&gt;"",-'Planning (hide)'!$G40,0)</f>
        <v>0</v>
      </c>
      <c r="J40" s="67">
        <f ca="1">IF(OFFSET(Planning!$E$25,COLUMN(A37),ROW(A37),1,1)&lt;&gt;"",OFFSET(Planning!$D$25,COLUMN(A37),0,1,1),0)</f>
        <v>0</v>
      </c>
      <c r="K40" s="67">
        <f ca="1">IF(OFFSET(Planning!$E$25,COLUMN(B37),ROW(B37),1,1)&lt;&gt;"",OFFSET(Planning!$D$25,COLUMN(B37),0,1,1),0)</f>
        <v>0</v>
      </c>
      <c r="L40" s="67">
        <f ca="1">IF(OFFSET(Planning!$E$25,COLUMN(C37),ROW(C37),1,1)&lt;&gt;"",OFFSET(Planning!$D$25,COLUMN(C37),0,1,1),0)</f>
        <v>0</v>
      </c>
      <c r="M40" s="67">
        <f ca="1">IF(OFFSET(Planning!$E$25,COLUMN(D37),ROW(D37),1,1)&lt;&gt;"",OFFSET(Planning!$D$25,COLUMN(D37),0,1,1),0)</f>
        <v>0</v>
      </c>
      <c r="N40" s="67">
        <f ca="1">IF(OFFSET(Planning!$E$25,COLUMN(E37),ROW(E37),1,1)&lt;&gt;"",OFFSET(Planning!$D$25,COLUMN(E37),0,1,1),0)</f>
        <v>0</v>
      </c>
      <c r="O40" s="67">
        <f ca="1">IF(OFFSET(Planning!$E$25,COLUMN(F37),ROW(F37),1,1)&lt;&gt;"",OFFSET(Planning!$D$25,COLUMN(F37),0,1,1),0)</f>
        <v>0</v>
      </c>
      <c r="P40" s="67">
        <f ca="1">IF(OFFSET(Planning!$E$25,COLUMN(G37),ROW(G37),1,1)&lt;&gt;"",OFFSET(Planning!$D$25,COLUMN(G37),0,1,1),0)</f>
        <v>0</v>
      </c>
      <c r="Q40" s="67">
        <f ca="1">IF(OFFSET(Planning!$E$25,COLUMN(H37),ROW(H37),1,1)&lt;&gt;"",OFFSET(Planning!$D$25,COLUMN(H37),0,1,1),0)</f>
        <v>0</v>
      </c>
      <c r="R40" s="67">
        <f ca="1">IF(OFFSET(Planning!$E$25,COLUMN(I37),ROW(I37),1,1)&lt;&gt;"",OFFSET(Planning!$D$25,COLUMN(I37),0,1,1),0)</f>
        <v>0</v>
      </c>
      <c r="S40" s="67">
        <f ca="1">IF(OFFSET(Planning!$E$25,COLUMN(J37),ROW(J37),1,1)&lt;&gt;"",OFFSET(Planning!$D$25,COLUMN(J37),0,1,1),0)</f>
        <v>0</v>
      </c>
      <c r="T40" s="67">
        <f ca="1">IF(OFFSET(Planning!$E$25,COLUMN(K37),ROW(K37),1,1)&lt;&gt;"",OFFSET(Planning!$D$25,COLUMN(K37),0,1,1),0)</f>
        <v>0</v>
      </c>
      <c r="U40" s="67">
        <f ca="1">IF(OFFSET(Planning!$E$25,COLUMN(L37),ROW(L37),1,1)&lt;&gt;"",OFFSET(Planning!$D$25,COLUMN(L37),0,1,1),0)</f>
        <v>0</v>
      </c>
      <c r="V40" s="67">
        <f ca="1">IF(OFFSET(Planning!$E$25,COLUMN(M37),ROW(M37),1,1)&lt;&gt;"",OFFSET(Planning!$D$25,COLUMN(M37),0,1,1),0)</f>
        <v>0</v>
      </c>
      <c r="W40" s="67">
        <f ca="1">IF(OFFSET(Planning!$E$25,COLUMN(N37),ROW(N37),1,1)&lt;&gt;"",OFFSET(Planning!$D$25,COLUMN(N37),0,1,1),0)</f>
        <v>0</v>
      </c>
      <c r="X40" s="67">
        <f ca="1">IF(OFFSET(Planning!$E$25,COLUMN(O37),ROW(O37),1,1)&lt;&gt;"",OFFSET(Planning!$D$25,COLUMN(O37),0,1,1),0)</f>
        <v>0</v>
      </c>
      <c r="Y40" s="67">
        <f ca="1">IF(OFFSET(Planning!$E$25,COLUMN(P37),ROW(P37),1,1)&lt;&gt;"",OFFSET(Planning!$D$25,COLUMN(P37),0,1,1),0)</f>
        <v>0</v>
      </c>
      <c r="Z40" s="67">
        <f ca="1">IF(OFFSET(Planning!$E$25,COLUMN(Q37),ROW(Q37),1,1)&lt;&gt;"",OFFSET(Planning!$D$25,COLUMN(Q37),0,1,1),0)</f>
        <v>0</v>
      </c>
      <c r="AA40" s="67">
        <f ca="1">IF(OFFSET(Planning!$E$25,COLUMN(R37),ROW(R37),1,1)&lt;&gt;"",OFFSET(Planning!$D$25,COLUMN(R37),0,1,1),0)</f>
        <v>0</v>
      </c>
      <c r="AB40" s="67">
        <f ca="1">IF(OFFSET(Planning!$E$25,COLUMN(S37),ROW(S37),1,1)&lt;&gt;"",OFFSET(Planning!$D$25,COLUMN(S37),0,1,1),0)</f>
        <v>0</v>
      </c>
      <c r="AC40" s="67">
        <f ca="1">IF(OFFSET(Planning!$E$25,COLUMN(T37),ROW(T37),1,1)&lt;&gt;"",OFFSET(Planning!$D$25,COLUMN(T37),0,1,1),0)</f>
        <v>0</v>
      </c>
      <c r="AD40" s="67">
        <f ca="1">VLOOKUP($B40,'Summary Calculations (hide)'!$D$15:$U$67,17,0)</f>
        <v>71.024850000000001</v>
      </c>
      <c r="AE40" s="67">
        <f ca="1">VLOOKUP($B40,'Summary Calculations (hide)'!$D$15:$U$67,18,0)</f>
        <v>7.1024850000000015</v>
      </c>
    </row>
    <row r="41" spans="1:31" x14ac:dyDescent="0.25">
      <c r="A41" s="87">
        <f t="shared" ca="1" si="3"/>
        <v>44193</v>
      </c>
      <c r="B41" s="67">
        <f t="shared" ca="1" si="0"/>
        <v>1</v>
      </c>
      <c r="C41" s="5">
        <f ca="1">IF(Planning!$C$8="No",VLOOKUP(B41,'Summary Calculations (hide)'!$D$15:$U$67,17,0),IF('Demand adjustments for Covid'!$F$9="Yes",'Demand background (hide)'!DS41,VLOOKUP(B41,'Summary Calculations (hide)'!$D$15:$F$67,2,0))*IF(Planning!$C$11="",1,1+Planning!$C$11)*'Summary Calculations (hide)'!$L$4/IF(Summary!$C$8="Patients",'Summary Calculations (hide)'!$I$9,1))</f>
        <v>71.024849999999986</v>
      </c>
      <c r="D41" s="5">
        <f ca="1">IF(Planning!$C$8="No",VLOOKUP('Planning (hide)'!B41,'Summary Calculations (hide)'!$D$15:$U$67,18,0),IF('Demand adjustments for Covid'!$F$9="Yes",'Demand background (hide)'!DT41,VLOOKUP(B41,'Summary Calculations (hide)'!$D$15:$F$67,3,0))*IF(Planning!$C$11="",1,1+Planning!$C$11)*'Summary Calculations (hide)'!$L$4/IF(Summary!$C$8="Patients",'Summary Calculations (hide)'!$I$9,1))-IF(Planning!$C$8="No",0,C41)</f>
        <v>7.1024850000000157</v>
      </c>
      <c r="E41" s="5">
        <f ca="1">VLOOKUP($B41,'Summary Calculations (hide)'!$D$15:$U$67,15,0)</f>
        <v>80.769230769230774</v>
      </c>
      <c r="F41" s="5">
        <f ca="1">VLOOKUP($B41,'Summary Calculations (hide)'!$D$15:$U$67,16,0)</f>
        <v>0</v>
      </c>
      <c r="G41" s="5">
        <f t="shared" ca="1" si="1"/>
        <v>80.769230769230774</v>
      </c>
      <c r="H41" s="5">
        <f t="shared" ca="1" si="2"/>
        <v>80.769230769230774</v>
      </c>
      <c r="I41" s="67">
        <f ca="1">IF(OFFSET(Planning!$E$25,0,ROW(A38),1,1)&lt;&gt;"",-'Planning (hide)'!$G41,0)</f>
        <v>0</v>
      </c>
      <c r="J41" s="67">
        <f ca="1">IF(OFFSET(Planning!$E$25,COLUMN(A38),ROW(A38),1,1)&lt;&gt;"",OFFSET(Planning!$D$25,COLUMN(A38),0,1,1),0)</f>
        <v>0</v>
      </c>
      <c r="K41" s="67">
        <f ca="1">IF(OFFSET(Planning!$E$25,COLUMN(B38),ROW(B38),1,1)&lt;&gt;"",OFFSET(Planning!$D$25,COLUMN(B38),0,1,1),0)</f>
        <v>0</v>
      </c>
      <c r="L41" s="67">
        <f ca="1">IF(OFFSET(Planning!$E$25,COLUMN(C38),ROW(C38),1,1)&lt;&gt;"",OFFSET(Planning!$D$25,COLUMN(C38),0,1,1),0)</f>
        <v>0</v>
      </c>
      <c r="M41" s="67">
        <f ca="1">IF(OFFSET(Planning!$E$25,COLUMN(D38),ROW(D38),1,1)&lt;&gt;"",OFFSET(Planning!$D$25,COLUMN(D38),0,1,1),0)</f>
        <v>0</v>
      </c>
      <c r="N41" s="67">
        <f ca="1">IF(OFFSET(Planning!$E$25,COLUMN(E38),ROW(E38),1,1)&lt;&gt;"",OFFSET(Planning!$D$25,COLUMN(E38),0,1,1),0)</f>
        <v>0</v>
      </c>
      <c r="O41" s="67">
        <f ca="1">IF(OFFSET(Planning!$E$25,COLUMN(F38),ROW(F38),1,1)&lt;&gt;"",OFFSET(Planning!$D$25,COLUMN(F38),0,1,1),0)</f>
        <v>0</v>
      </c>
      <c r="P41" s="67">
        <f ca="1">IF(OFFSET(Planning!$E$25,COLUMN(G38),ROW(G38),1,1)&lt;&gt;"",OFFSET(Planning!$D$25,COLUMN(G38),0,1,1),0)</f>
        <v>0</v>
      </c>
      <c r="Q41" s="67">
        <f ca="1">IF(OFFSET(Planning!$E$25,COLUMN(H38),ROW(H38),1,1)&lt;&gt;"",OFFSET(Planning!$D$25,COLUMN(H38),0,1,1),0)</f>
        <v>0</v>
      </c>
      <c r="R41" s="67">
        <f ca="1">IF(OFFSET(Planning!$E$25,COLUMN(I38),ROW(I38),1,1)&lt;&gt;"",OFFSET(Planning!$D$25,COLUMN(I38),0,1,1),0)</f>
        <v>0</v>
      </c>
      <c r="S41" s="67">
        <f ca="1">IF(OFFSET(Planning!$E$25,COLUMN(J38),ROW(J38),1,1)&lt;&gt;"",OFFSET(Planning!$D$25,COLUMN(J38),0,1,1),0)</f>
        <v>0</v>
      </c>
      <c r="T41" s="67">
        <f ca="1">IF(OFFSET(Planning!$E$25,COLUMN(K38),ROW(K38),1,1)&lt;&gt;"",OFFSET(Planning!$D$25,COLUMN(K38),0,1,1),0)</f>
        <v>0</v>
      </c>
      <c r="U41" s="67">
        <f ca="1">IF(OFFSET(Planning!$E$25,COLUMN(L38),ROW(L38),1,1)&lt;&gt;"",OFFSET(Planning!$D$25,COLUMN(L38),0,1,1),0)</f>
        <v>0</v>
      </c>
      <c r="V41" s="67">
        <f ca="1">IF(OFFSET(Planning!$E$25,COLUMN(M38),ROW(M38),1,1)&lt;&gt;"",OFFSET(Planning!$D$25,COLUMN(M38),0,1,1),0)</f>
        <v>0</v>
      </c>
      <c r="W41" s="67">
        <f ca="1">IF(OFFSET(Planning!$E$25,COLUMN(N38),ROW(N38),1,1)&lt;&gt;"",OFFSET(Planning!$D$25,COLUMN(N38),0,1,1),0)</f>
        <v>0</v>
      </c>
      <c r="X41" s="67">
        <f ca="1">IF(OFFSET(Planning!$E$25,COLUMN(O38),ROW(O38),1,1)&lt;&gt;"",OFFSET(Planning!$D$25,COLUMN(O38),0,1,1),0)</f>
        <v>0</v>
      </c>
      <c r="Y41" s="67">
        <f ca="1">IF(OFFSET(Planning!$E$25,COLUMN(P38),ROW(P38),1,1)&lt;&gt;"",OFFSET(Planning!$D$25,COLUMN(P38),0,1,1),0)</f>
        <v>0</v>
      </c>
      <c r="Z41" s="67">
        <f ca="1">IF(OFFSET(Planning!$E$25,COLUMN(Q38),ROW(Q38),1,1)&lt;&gt;"",OFFSET(Planning!$D$25,COLUMN(Q38),0,1,1),0)</f>
        <v>0</v>
      </c>
      <c r="AA41" s="67">
        <f ca="1">IF(OFFSET(Planning!$E$25,COLUMN(R38),ROW(R38),1,1)&lt;&gt;"",OFFSET(Planning!$D$25,COLUMN(R38),0,1,1),0)</f>
        <v>0</v>
      </c>
      <c r="AB41" s="67">
        <f ca="1">IF(OFFSET(Planning!$E$25,COLUMN(S38),ROW(S38),1,1)&lt;&gt;"",OFFSET(Planning!$D$25,COLUMN(S38),0,1,1),0)</f>
        <v>0</v>
      </c>
      <c r="AC41" s="67">
        <f ca="1">IF(OFFSET(Planning!$E$25,COLUMN(T38),ROW(T38),1,1)&lt;&gt;"",OFFSET(Planning!$D$25,COLUMN(T38),0,1,1),0)</f>
        <v>0</v>
      </c>
      <c r="AD41" s="67">
        <f ca="1">VLOOKUP($B41,'Summary Calculations (hide)'!$D$15:$U$67,17,0)</f>
        <v>70.024499999999989</v>
      </c>
      <c r="AE41" s="67">
        <f ca="1">VLOOKUP($B41,'Summary Calculations (hide)'!$D$15:$U$67,18,0)</f>
        <v>7.0024499999999961</v>
      </c>
    </row>
    <row r="42" spans="1:31" x14ac:dyDescent="0.25">
      <c r="A42" s="87">
        <f ca="1">A41+7</f>
        <v>44200</v>
      </c>
      <c r="B42" s="67">
        <f t="shared" ca="1" si="0"/>
        <v>2</v>
      </c>
      <c r="C42" s="5">
        <f ca="1">IF(Planning!$C$8="No",VLOOKUP(B42,'Summary Calculations (hide)'!$D$15:$U$67,17,0),IF('Demand adjustments for Covid'!$F$9="Yes",'Demand background (hide)'!DS42,VLOOKUP(B42,'Summary Calculations (hide)'!$D$15:$F$67,2,0))*IF(Planning!$C$11="",1,1+Planning!$C$11)*'Summary Calculations (hide)'!$L$4/IF(Summary!$C$8="Patients",'Summary Calculations (hide)'!$I$9,1))</f>
        <v>70.024499999999989</v>
      </c>
      <c r="D42" s="5">
        <f ca="1">IF(Planning!$C$8="No",VLOOKUP('Planning (hide)'!B42,'Summary Calculations (hide)'!$D$15:$U$67,18,0),IF('Demand adjustments for Covid'!$F$9="Yes",'Demand background (hide)'!DT42,VLOOKUP(B42,'Summary Calculations (hide)'!$D$15:$F$67,3,0))*IF(Planning!$C$11="",1,1+Planning!$C$11)*'Summary Calculations (hide)'!$L$4/IF(Summary!$C$8="Patients",'Summary Calculations (hide)'!$I$9,1))-IF(Planning!$C$8="No",0,C42)</f>
        <v>7.0024499999999961</v>
      </c>
      <c r="E42" s="5">
        <f ca="1">VLOOKUP($B42,'Summary Calculations (hide)'!$D$15:$U$67,15,0)</f>
        <v>80.769230769230774</v>
      </c>
      <c r="F42" s="5">
        <f ca="1">VLOOKUP($B42,'Summary Calculations (hide)'!$D$15:$U$67,16,0)</f>
        <v>0</v>
      </c>
      <c r="G42" s="5">
        <f t="shared" ca="1" si="1"/>
        <v>80.769230769230774</v>
      </c>
      <c r="H42" s="5">
        <f t="shared" ca="1" si="2"/>
        <v>80.769230769230774</v>
      </c>
      <c r="I42" s="67">
        <f ca="1">IF(OFFSET(Planning!$E$25,0,ROW(A39),1,1)&lt;&gt;"",-'Planning (hide)'!$G42,0)</f>
        <v>0</v>
      </c>
      <c r="J42" s="67">
        <f ca="1">IF(OFFSET(Planning!$E$25,COLUMN(A39),ROW(A39),1,1)&lt;&gt;"",OFFSET(Planning!$D$25,COLUMN(A39),0,1,1),0)</f>
        <v>0</v>
      </c>
      <c r="K42" s="67">
        <f ca="1">IF(OFFSET(Planning!$E$25,COLUMN(B39),ROW(B39),1,1)&lt;&gt;"",OFFSET(Planning!$D$25,COLUMN(B39),0,1,1),0)</f>
        <v>0</v>
      </c>
      <c r="L42" s="67">
        <f ca="1">IF(OFFSET(Planning!$E$25,COLUMN(C39),ROW(C39),1,1)&lt;&gt;"",OFFSET(Planning!$D$25,COLUMN(C39),0,1,1),0)</f>
        <v>0</v>
      </c>
      <c r="M42" s="67">
        <f ca="1">IF(OFFSET(Planning!$E$25,COLUMN(D39),ROW(D39),1,1)&lt;&gt;"",OFFSET(Planning!$D$25,COLUMN(D39),0,1,1),0)</f>
        <v>0</v>
      </c>
      <c r="N42" s="67">
        <f ca="1">IF(OFFSET(Planning!$E$25,COLUMN(E39),ROW(E39),1,1)&lt;&gt;"",OFFSET(Planning!$D$25,COLUMN(E39),0,1,1),0)</f>
        <v>0</v>
      </c>
      <c r="O42" s="67">
        <f ca="1">IF(OFFSET(Planning!$E$25,COLUMN(F39),ROW(F39),1,1)&lt;&gt;"",OFFSET(Planning!$D$25,COLUMN(F39),0,1,1),0)</f>
        <v>0</v>
      </c>
      <c r="P42" s="67">
        <f ca="1">IF(OFFSET(Planning!$E$25,COLUMN(G39),ROW(G39),1,1)&lt;&gt;"",OFFSET(Planning!$D$25,COLUMN(G39),0,1,1),0)</f>
        <v>0</v>
      </c>
      <c r="Q42" s="67">
        <f ca="1">IF(OFFSET(Planning!$E$25,COLUMN(H39),ROW(H39),1,1)&lt;&gt;"",OFFSET(Planning!$D$25,COLUMN(H39),0,1,1),0)</f>
        <v>0</v>
      </c>
      <c r="R42" s="67">
        <f ca="1">IF(OFFSET(Planning!$E$25,COLUMN(I39),ROW(I39),1,1)&lt;&gt;"",OFFSET(Planning!$D$25,COLUMN(I39),0,1,1),0)</f>
        <v>0</v>
      </c>
      <c r="S42" s="67">
        <f ca="1">IF(OFFSET(Planning!$E$25,COLUMN(J39),ROW(J39),1,1)&lt;&gt;"",OFFSET(Planning!$D$25,COLUMN(J39),0,1,1),0)</f>
        <v>0</v>
      </c>
      <c r="T42" s="67">
        <f ca="1">IF(OFFSET(Planning!$E$25,COLUMN(K39),ROW(K39),1,1)&lt;&gt;"",OFFSET(Planning!$D$25,COLUMN(K39),0,1,1),0)</f>
        <v>0</v>
      </c>
      <c r="U42" s="67">
        <f ca="1">IF(OFFSET(Planning!$E$25,COLUMN(L39),ROW(L39),1,1)&lt;&gt;"",OFFSET(Planning!$D$25,COLUMN(L39),0,1,1),0)</f>
        <v>0</v>
      </c>
      <c r="V42" s="67">
        <f ca="1">IF(OFFSET(Planning!$E$25,COLUMN(M39),ROW(M39),1,1)&lt;&gt;"",OFFSET(Planning!$D$25,COLUMN(M39),0,1,1),0)</f>
        <v>0</v>
      </c>
      <c r="W42" s="67">
        <f ca="1">IF(OFFSET(Planning!$E$25,COLUMN(N39),ROW(N39),1,1)&lt;&gt;"",OFFSET(Planning!$D$25,COLUMN(N39),0,1,1),0)</f>
        <v>0</v>
      </c>
      <c r="X42" s="67">
        <f ca="1">IF(OFFSET(Planning!$E$25,COLUMN(O39),ROW(O39),1,1)&lt;&gt;"",OFFSET(Planning!$D$25,COLUMN(O39),0,1,1),0)</f>
        <v>0</v>
      </c>
      <c r="Y42" s="67">
        <f ca="1">IF(OFFSET(Planning!$E$25,COLUMN(P39),ROW(P39),1,1)&lt;&gt;"",OFFSET(Planning!$D$25,COLUMN(P39),0,1,1),0)</f>
        <v>0</v>
      </c>
      <c r="Z42" s="67">
        <f ca="1">IF(OFFSET(Planning!$E$25,COLUMN(Q39),ROW(Q39),1,1)&lt;&gt;"",OFFSET(Planning!$D$25,COLUMN(Q39),0,1,1),0)</f>
        <v>0</v>
      </c>
      <c r="AA42" s="67">
        <f ca="1">IF(OFFSET(Planning!$E$25,COLUMN(R39),ROW(R39),1,1)&lt;&gt;"",OFFSET(Planning!$D$25,COLUMN(R39),0,1,1),0)</f>
        <v>0</v>
      </c>
      <c r="AB42" s="67">
        <f ca="1">IF(OFFSET(Planning!$E$25,COLUMN(S39),ROW(S39),1,1)&lt;&gt;"",OFFSET(Planning!$D$25,COLUMN(S39),0,1,1),0)</f>
        <v>0</v>
      </c>
      <c r="AC42" s="67">
        <f ca="1">IF(OFFSET(Planning!$E$25,COLUMN(T39),ROW(T39),1,1)&lt;&gt;"",OFFSET(Planning!$D$25,COLUMN(T39),0,1,1),0)</f>
        <v>0</v>
      </c>
      <c r="AD42" s="67">
        <f ca="1">VLOOKUP($B42,'Summary Calculations (hide)'!$D$15:$U$67,17,0)</f>
        <v>65.022750000000002</v>
      </c>
      <c r="AE42" s="67">
        <f ca="1">VLOOKUP($B42,'Summary Calculations (hide)'!$D$15:$U$67,18,0)</f>
        <v>6.5022749999999974</v>
      </c>
    </row>
    <row r="43" spans="1:31" x14ac:dyDescent="0.25">
      <c r="A43" s="87">
        <f t="shared" ca="1" si="3"/>
        <v>44207</v>
      </c>
      <c r="B43" s="67">
        <f t="shared" ca="1" si="0"/>
        <v>3</v>
      </c>
      <c r="C43" s="5">
        <f ca="1">IF(Planning!$C$8="No",VLOOKUP(B43,'Summary Calculations (hide)'!$D$15:$U$67,17,0),IF('Demand adjustments for Covid'!$F$9="Yes",'Demand background (hide)'!DS43,VLOOKUP(B43,'Summary Calculations (hide)'!$D$15:$F$67,2,0))*IF(Planning!$C$11="",1,1+Planning!$C$11)*'Summary Calculations (hide)'!$L$4/IF(Summary!$C$8="Patients",'Summary Calculations (hide)'!$I$9,1))</f>
        <v>65.022749999999988</v>
      </c>
      <c r="D43" s="5">
        <f ca="1">IF(Planning!$C$8="No",VLOOKUP('Planning (hide)'!B43,'Summary Calculations (hide)'!$D$15:$U$67,18,0),IF('Demand adjustments for Covid'!$F$9="Yes",'Demand background (hide)'!DT43,VLOOKUP(B43,'Summary Calculations (hide)'!$D$15:$F$67,3,0))*IF(Planning!$C$11="",1,1+Planning!$C$11)*'Summary Calculations (hide)'!$L$4/IF(Summary!$C$8="Patients",'Summary Calculations (hide)'!$I$9,1))-IF(Planning!$C$8="No",0,C43)</f>
        <v>6.5022749999999974</v>
      </c>
      <c r="E43" s="5">
        <f ca="1">VLOOKUP($B43,'Summary Calculations (hide)'!$D$15:$U$67,15,0)</f>
        <v>80.769230769230774</v>
      </c>
      <c r="F43" s="5">
        <f ca="1">VLOOKUP($B43,'Summary Calculations (hide)'!$D$15:$U$67,16,0)</f>
        <v>0</v>
      </c>
      <c r="G43" s="5">
        <f t="shared" ca="1" si="1"/>
        <v>80.769230769230774</v>
      </c>
      <c r="H43" s="5">
        <f t="shared" ca="1" si="2"/>
        <v>80.769230769230774</v>
      </c>
      <c r="I43" s="67">
        <f ca="1">IF(OFFSET(Planning!$E$25,0,ROW(A40),1,1)&lt;&gt;"",-'Planning (hide)'!$G43,0)</f>
        <v>0</v>
      </c>
      <c r="J43" s="67">
        <f ca="1">IF(OFFSET(Planning!$E$25,COLUMN(A40),ROW(A40),1,1)&lt;&gt;"",OFFSET(Planning!$D$25,COLUMN(A40),0,1,1),0)</f>
        <v>0</v>
      </c>
      <c r="K43" s="67">
        <f ca="1">IF(OFFSET(Planning!$E$25,COLUMN(B40),ROW(B40),1,1)&lt;&gt;"",OFFSET(Planning!$D$25,COLUMN(B40),0,1,1),0)</f>
        <v>0</v>
      </c>
      <c r="L43" s="67">
        <f ca="1">IF(OFFSET(Planning!$E$25,COLUMN(C40),ROW(C40),1,1)&lt;&gt;"",OFFSET(Planning!$D$25,COLUMN(C40),0,1,1),0)</f>
        <v>0</v>
      </c>
      <c r="M43" s="67">
        <f ca="1">IF(OFFSET(Planning!$E$25,COLUMN(D40),ROW(D40),1,1)&lt;&gt;"",OFFSET(Planning!$D$25,COLUMN(D40),0,1,1),0)</f>
        <v>0</v>
      </c>
      <c r="N43" s="67">
        <f ca="1">IF(OFFSET(Planning!$E$25,COLUMN(E40),ROW(E40),1,1)&lt;&gt;"",OFFSET(Planning!$D$25,COLUMN(E40),0,1,1),0)</f>
        <v>0</v>
      </c>
      <c r="O43" s="67">
        <f ca="1">IF(OFFSET(Planning!$E$25,COLUMN(F40),ROW(F40),1,1)&lt;&gt;"",OFFSET(Planning!$D$25,COLUMN(F40),0,1,1),0)</f>
        <v>0</v>
      </c>
      <c r="P43" s="67">
        <f ca="1">IF(OFFSET(Planning!$E$25,COLUMN(G40),ROW(G40),1,1)&lt;&gt;"",OFFSET(Planning!$D$25,COLUMN(G40),0,1,1),0)</f>
        <v>0</v>
      </c>
      <c r="Q43" s="67">
        <f ca="1">IF(OFFSET(Planning!$E$25,COLUMN(H40),ROW(H40),1,1)&lt;&gt;"",OFFSET(Planning!$D$25,COLUMN(H40),0,1,1),0)</f>
        <v>0</v>
      </c>
      <c r="R43" s="67">
        <f ca="1">IF(OFFSET(Planning!$E$25,COLUMN(I40),ROW(I40),1,1)&lt;&gt;"",OFFSET(Planning!$D$25,COLUMN(I40),0,1,1),0)</f>
        <v>0</v>
      </c>
      <c r="S43" s="67">
        <f ca="1">IF(OFFSET(Planning!$E$25,COLUMN(J40),ROW(J40),1,1)&lt;&gt;"",OFFSET(Planning!$D$25,COLUMN(J40),0,1,1),0)</f>
        <v>0</v>
      </c>
      <c r="T43" s="67">
        <f ca="1">IF(OFFSET(Planning!$E$25,COLUMN(K40),ROW(K40),1,1)&lt;&gt;"",OFFSET(Planning!$D$25,COLUMN(K40),0,1,1),0)</f>
        <v>0</v>
      </c>
      <c r="U43" s="67">
        <f ca="1">IF(OFFSET(Planning!$E$25,COLUMN(L40),ROW(L40),1,1)&lt;&gt;"",OFFSET(Planning!$D$25,COLUMN(L40),0,1,1),0)</f>
        <v>0</v>
      </c>
      <c r="V43" s="67">
        <f ca="1">IF(OFFSET(Planning!$E$25,COLUMN(M40),ROW(M40),1,1)&lt;&gt;"",OFFSET(Planning!$D$25,COLUMN(M40),0,1,1),0)</f>
        <v>0</v>
      </c>
      <c r="W43" s="67">
        <f ca="1">IF(OFFSET(Planning!$E$25,COLUMN(N40),ROW(N40),1,1)&lt;&gt;"",OFFSET(Planning!$D$25,COLUMN(N40),0,1,1),0)</f>
        <v>0</v>
      </c>
      <c r="X43" s="67">
        <f ca="1">IF(OFFSET(Planning!$E$25,COLUMN(O40),ROW(O40),1,1)&lt;&gt;"",OFFSET(Planning!$D$25,COLUMN(O40),0,1,1),0)</f>
        <v>0</v>
      </c>
      <c r="Y43" s="67">
        <f ca="1">IF(OFFSET(Planning!$E$25,COLUMN(P40),ROW(P40),1,1)&lt;&gt;"",OFFSET(Planning!$D$25,COLUMN(P40),0,1,1),0)</f>
        <v>0</v>
      </c>
      <c r="Z43" s="67">
        <f ca="1">IF(OFFSET(Planning!$E$25,COLUMN(Q40),ROW(Q40),1,1)&lt;&gt;"",OFFSET(Planning!$D$25,COLUMN(Q40),0,1,1),0)</f>
        <v>0</v>
      </c>
      <c r="AA43" s="67">
        <f ca="1">IF(OFFSET(Planning!$E$25,COLUMN(R40),ROW(R40),1,1)&lt;&gt;"",OFFSET(Planning!$D$25,COLUMN(R40),0,1,1),0)</f>
        <v>0</v>
      </c>
      <c r="AB43" s="67">
        <f ca="1">IF(OFFSET(Planning!$E$25,COLUMN(S40),ROW(S40),1,1)&lt;&gt;"",OFFSET(Planning!$D$25,COLUMN(S40),0,1,1),0)</f>
        <v>0</v>
      </c>
      <c r="AC43" s="67">
        <f ca="1">IF(OFFSET(Planning!$E$25,COLUMN(T40),ROW(T40),1,1)&lt;&gt;"",OFFSET(Planning!$D$25,COLUMN(T40),0,1,1),0)</f>
        <v>0</v>
      </c>
      <c r="AD43" s="67">
        <f ca="1">VLOOKUP($B43,'Summary Calculations (hide)'!$D$15:$U$67,17,0)</f>
        <v>60.020999999999994</v>
      </c>
      <c r="AE43" s="67">
        <f ca="1">VLOOKUP($B43,'Summary Calculations (hide)'!$D$15:$U$67,18,0)</f>
        <v>6.0020999999999916</v>
      </c>
    </row>
    <row r="44" spans="1:31" x14ac:dyDescent="0.25">
      <c r="A44" s="87">
        <f t="shared" ca="1" si="3"/>
        <v>44214</v>
      </c>
      <c r="B44" s="67">
        <f t="shared" ca="1" si="0"/>
        <v>4</v>
      </c>
      <c r="C44" s="5">
        <f ca="1">IF(Planning!$C$8="No",VLOOKUP(B44,'Summary Calculations (hide)'!$D$15:$U$67,17,0),IF('Demand adjustments for Covid'!$F$9="Yes",'Demand background (hide)'!DS44,VLOOKUP(B44,'Summary Calculations (hide)'!$D$15:$F$67,2,0))*IF(Planning!$C$11="",1,1+Planning!$C$11)*'Summary Calculations (hide)'!$L$4/IF(Summary!$C$8="Patients",'Summary Calculations (hide)'!$I$9,1))</f>
        <v>60.020999999999994</v>
      </c>
      <c r="D44" s="5">
        <f ca="1">IF(Planning!$C$8="No",VLOOKUP('Planning (hide)'!B44,'Summary Calculations (hide)'!$D$15:$U$67,18,0),IF('Demand adjustments for Covid'!$F$9="Yes",'Demand background (hide)'!DT44,VLOOKUP(B44,'Summary Calculations (hide)'!$D$15:$F$67,3,0))*IF(Planning!$C$11="",1,1+Planning!$C$11)*'Summary Calculations (hide)'!$L$4/IF(Summary!$C$8="Patients",'Summary Calculations (hide)'!$I$9,1))-IF(Planning!$C$8="No",0,C44)</f>
        <v>6.0020999999999916</v>
      </c>
      <c r="E44" s="5">
        <f ca="1">VLOOKUP($B44,'Summary Calculations (hide)'!$D$15:$U$67,15,0)</f>
        <v>80.769230769230774</v>
      </c>
      <c r="F44" s="5">
        <f ca="1">VLOOKUP($B44,'Summary Calculations (hide)'!$D$15:$U$67,16,0)</f>
        <v>0</v>
      </c>
      <c r="G44" s="5">
        <f t="shared" ca="1" si="1"/>
        <v>80.769230769230774</v>
      </c>
      <c r="H44" s="5">
        <f t="shared" ca="1" si="2"/>
        <v>80.769230769230774</v>
      </c>
      <c r="I44" s="67">
        <f ca="1">IF(OFFSET(Planning!$E$25,0,ROW(A41),1,1)&lt;&gt;"",-'Planning (hide)'!$G44,0)</f>
        <v>0</v>
      </c>
      <c r="J44" s="67">
        <f ca="1">IF(OFFSET(Planning!$E$25,COLUMN(A41),ROW(A41),1,1)&lt;&gt;"",OFFSET(Planning!$D$25,COLUMN(A41),0,1,1),0)</f>
        <v>0</v>
      </c>
      <c r="K44" s="67">
        <f ca="1">IF(OFFSET(Planning!$E$25,COLUMN(B41),ROW(B41),1,1)&lt;&gt;"",OFFSET(Planning!$D$25,COLUMN(B41),0,1,1),0)</f>
        <v>0</v>
      </c>
      <c r="L44" s="67">
        <f ca="1">IF(OFFSET(Planning!$E$25,COLUMN(C41),ROW(C41),1,1)&lt;&gt;"",OFFSET(Planning!$D$25,COLUMN(C41),0,1,1),0)</f>
        <v>0</v>
      </c>
      <c r="M44" s="67">
        <f ca="1">IF(OFFSET(Planning!$E$25,COLUMN(D41),ROW(D41),1,1)&lt;&gt;"",OFFSET(Planning!$D$25,COLUMN(D41),0,1,1),0)</f>
        <v>0</v>
      </c>
      <c r="N44" s="67">
        <f ca="1">IF(OFFSET(Planning!$E$25,COLUMN(E41),ROW(E41),1,1)&lt;&gt;"",OFFSET(Planning!$D$25,COLUMN(E41),0,1,1),0)</f>
        <v>0</v>
      </c>
      <c r="O44" s="67">
        <f ca="1">IF(OFFSET(Planning!$E$25,COLUMN(F41),ROW(F41),1,1)&lt;&gt;"",OFFSET(Planning!$D$25,COLUMN(F41),0,1,1),0)</f>
        <v>0</v>
      </c>
      <c r="P44" s="67">
        <f ca="1">IF(OFFSET(Planning!$E$25,COLUMN(G41),ROW(G41),1,1)&lt;&gt;"",OFFSET(Planning!$D$25,COLUMN(G41),0,1,1),0)</f>
        <v>0</v>
      </c>
      <c r="Q44" s="67">
        <f ca="1">IF(OFFSET(Planning!$E$25,COLUMN(H41),ROW(H41),1,1)&lt;&gt;"",OFFSET(Planning!$D$25,COLUMN(H41),0,1,1),0)</f>
        <v>0</v>
      </c>
      <c r="R44" s="67">
        <f ca="1">IF(OFFSET(Planning!$E$25,COLUMN(I41),ROW(I41),1,1)&lt;&gt;"",OFFSET(Planning!$D$25,COLUMN(I41),0,1,1),0)</f>
        <v>0</v>
      </c>
      <c r="S44" s="67">
        <f ca="1">IF(OFFSET(Planning!$E$25,COLUMN(J41),ROW(J41),1,1)&lt;&gt;"",OFFSET(Planning!$D$25,COLUMN(J41),0,1,1),0)</f>
        <v>0</v>
      </c>
      <c r="T44" s="67">
        <f ca="1">IF(OFFSET(Planning!$E$25,COLUMN(K41),ROW(K41),1,1)&lt;&gt;"",OFFSET(Planning!$D$25,COLUMN(K41),0,1,1),0)</f>
        <v>0</v>
      </c>
      <c r="U44" s="67">
        <f ca="1">IF(OFFSET(Planning!$E$25,COLUMN(L41),ROW(L41),1,1)&lt;&gt;"",OFFSET(Planning!$D$25,COLUMN(L41),0,1,1),0)</f>
        <v>0</v>
      </c>
      <c r="V44" s="67">
        <f ca="1">IF(OFFSET(Planning!$E$25,COLUMN(M41),ROW(M41),1,1)&lt;&gt;"",OFFSET(Planning!$D$25,COLUMN(M41),0,1,1),0)</f>
        <v>0</v>
      </c>
      <c r="W44" s="67">
        <f ca="1">IF(OFFSET(Planning!$E$25,COLUMN(N41),ROW(N41),1,1)&lt;&gt;"",OFFSET(Planning!$D$25,COLUMN(N41),0,1,1),0)</f>
        <v>0</v>
      </c>
      <c r="X44" s="67">
        <f ca="1">IF(OFFSET(Planning!$E$25,COLUMN(O41),ROW(O41),1,1)&lt;&gt;"",OFFSET(Planning!$D$25,COLUMN(O41),0,1,1),0)</f>
        <v>0</v>
      </c>
      <c r="Y44" s="67">
        <f ca="1">IF(OFFSET(Planning!$E$25,COLUMN(P41),ROW(P41),1,1)&lt;&gt;"",OFFSET(Planning!$D$25,COLUMN(P41),0,1,1),0)</f>
        <v>0</v>
      </c>
      <c r="Z44" s="67">
        <f ca="1">IF(OFFSET(Planning!$E$25,COLUMN(Q41),ROW(Q41),1,1)&lt;&gt;"",OFFSET(Planning!$D$25,COLUMN(Q41),0,1,1),0)</f>
        <v>0</v>
      </c>
      <c r="AA44" s="67">
        <f ca="1">IF(OFFSET(Planning!$E$25,COLUMN(R41),ROW(R41),1,1)&lt;&gt;"",OFFSET(Planning!$D$25,COLUMN(R41),0,1,1),0)</f>
        <v>0</v>
      </c>
      <c r="AB44" s="67">
        <f ca="1">IF(OFFSET(Planning!$E$25,COLUMN(S41),ROW(S41),1,1)&lt;&gt;"",OFFSET(Planning!$D$25,COLUMN(S41),0,1,1),0)</f>
        <v>0</v>
      </c>
      <c r="AC44" s="67">
        <f ca="1">IF(OFFSET(Planning!$E$25,COLUMN(T41),ROW(T41),1,1)&lt;&gt;"",OFFSET(Planning!$D$25,COLUMN(T41),0,1,1),0)</f>
        <v>0</v>
      </c>
      <c r="AD44" s="67">
        <f ca="1">VLOOKUP($B44,'Summary Calculations (hide)'!$D$15:$U$67,17,0)</f>
        <v>75.02624999999999</v>
      </c>
      <c r="AE44" s="67">
        <f ca="1">VLOOKUP($B44,'Summary Calculations (hide)'!$D$15:$U$67,18,0)</f>
        <v>7.502625000000009</v>
      </c>
    </row>
    <row r="45" spans="1:31" x14ac:dyDescent="0.25">
      <c r="A45" s="87">
        <f t="shared" ca="1" si="3"/>
        <v>44221</v>
      </c>
      <c r="B45" s="67">
        <f t="shared" ca="1" si="0"/>
        <v>5</v>
      </c>
      <c r="C45" s="5">
        <f ca="1">IF(Planning!$C$8="No",VLOOKUP(B45,'Summary Calculations (hide)'!$D$15:$U$67,17,0),IF('Demand adjustments for Covid'!$F$9="Yes",'Demand background (hide)'!DS45,VLOOKUP(B45,'Summary Calculations (hide)'!$D$15:$F$67,2,0))*IF(Planning!$C$11="",1,1+Planning!$C$11)*'Summary Calculations (hide)'!$L$4/IF(Summary!$C$8="Patients",'Summary Calculations (hide)'!$I$9,1))</f>
        <v>75.02624999999999</v>
      </c>
      <c r="D45" s="5">
        <f ca="1">IF(Planning!$C$8="No",VLOOKUP('Planning (hide)'!B45,'Summary Calculations (hide)'!$D$15:$U$67,18,0),IF('Demand adjustments for Covid'!$F$9="Yes",'Demand background (hide)'!DT45,VLOOKUP(B45,'Summary Calculations (hide)'!$D$15:$F$67,3,0))*IF(Planning!$C$11="",1,1+Planning!$C$11)*'Summary Calculations (hide)'!$L$4/IF(Summary!$C$8="Patients",'Summary Calculations (hide)'!$I$9,1))-IF(Planning!$C$8="No",0,C45)</f>
        <v>7.5026249999999948</v>
      </c>
      <c r="E45" s="5">
        <f ca="1">VLOOKUP($B45,'Summary Calculations (hide)'!$D$15:$U$67,15,0)</f>
        <v>80.769230769230774</v>
      </c>
      <c r="F45" s="5">
        <f ca="1">VLOOKUP($B45,'Summary Calculations (hide)'!$D$15:$U$67,16,0)</f>
        <v>0</v>
      </c>
      <c r="G45" s="5">
        <f t="shared" ca="1" si="1"/>
        <v>80.769230769230774</v>
      </c>
      <c r="H45" s="5">
        <f t="shared" ca="1" si="2"/>
        <v>80.769230769230774</v>
      </c>
      <c r="I45" s="67">
        <f ca="1">IF(OFFSET(Planning!$E$25,0,ROW(A42),1,1)&lt;&gt;"",-'Planning (hide)'!$G45,0)</f>
        <v>0</v>
      </c>
      <c r="J45" s="67">
        <f ca="1">IF(OFFSET(Planning!$E$25,COLUMN(A42),ROW(A42),1,1)&lt;&gt;"",OFFSET(Planning!$D$25,COLUMN(A42),0,1,1),0)</f>
        <v>0</v>
      </c>
      <c r="K45" s="67">
        <f ca="1">IF(OFFSET(Planning!$E$25,COLUMN(B42),ROW(B42),1,1)&lt;&gt;"",OFFSET(Planning!$D$25,COLUMN(B42),0,1,1),0)</f>
        <v>0</v>
      </c>
      <c r="L45" s="67">
        <f ca="1">IF(OFFSET(Planning!$E$25,COLUMN(C42),ROW(C42),1,1)&lt;&gt;"",OFFSET(Planning!$D$25,COLUMN(C42),0,1,1),0)</f>
        <v>0</v>
      </c>
      <c r="M45" s="67">
        <f ca="1">IF(OFFSET(Planning!$E$25,COLUMN(D42),ROW(D42),1,1)&lt;&gt;"",OFFSET(Planning!$D$25,COLUMN(D42),0,1,1),0)</f>
        <v>0</v>
      </c>
      <c r="N45" s="67">
        <f ca="1">IF(OFFSET(Planning!$E$25,COLUMN(E42),ROW(E42),1,1)&lt;&gt;"",OFFSET(Planning!$D$25,COLUMN(E42),0,1,1),0)</f>
        <v>0</v>
      </c>
      <c r="O45" s="67">
        <f ca="1">IF(OFFSET(Planning!$E$25,COLUMN(F42),ROW(F42),1,1)&lt;&gt;"",OFFSET(Planning!$D$25,COLUMN(F42),0,1,1),0)</f>
        <v>0</v>
      </c>
      <c r="P45" s="67">
        <f ca="1">IF(OFFSET(Planning!$E$25,COLUMN(G42),ROW(G42),1,1)&lt;&gt;"",OFFSET(Planning!$D$25,COLUMN(G42),0,1,1),0)</f>
        <v>0</v>
      </c>
      <c r="Q45" s="67">
        <f ca="1">IF(OFFSET(Planning!$E$25,COLUMN(H42),ROW(H42),1,1)&lt;&gt;"",OFFSET(Planning!$D$25,COLUMN(H42),0,1,1),0)</f>
        <v>0</v>
      </c>
      <c r="R45" s="67">
        <f ca="1">IF(OFFSET(Planning!$E$25,COLUMN(I42),ROW(I42),1,1)&lt;&gt;"",OFFSET(Planning!$D$25,COLUMN(I42),0,1,1),0)</f>
        <v>0</v>
      </c>
      <c r="S45" s="67">
        <f ca="1">IF(OFFSET(Planning!$E$25,COLUMN(J42),ROW(J42),1,1)&lt;&gt;"",OFFSET(Planning!$D$25,COLUMN(J42),0,1,1),0)</f>
        <v>0</v>
      </c>
      <c r="T45" s="67">
        <f ca="1">IF(OFFSET(Planning!$E$25,COLUMN(K42),ROW(K42),1,1)&lt;&gt;"",OFFSET(Planning!$D$25,COLUMN(K42),0,1,1),0)</f>
        <v>0</v>
      </c>
      <c r="U45" s="67">
        <f ca="1">IF(OFFSET(Planning!$E$25,COLUMN(L42),ROW(L42),1,1)&lt;&gt;"",OFFSET(Planning!$D$25,COLUMN(L42),0,1,1),0)</f>
        <v>0</v>
      </c>
      <c r="V45" s="67">
        <f ca="1">IF(OFFSET(Planning!$E$25,COLUMN(M42),ROW(M42),1,1)&lt;&gt;"",OFFSET(Planning!$D$25,COLUMN(M42),0,1,1),0)</f>
        <v>0</v>
      </c>
      <c r="W45" s="67">
        <f ca="1">IF(OFFSET(Planning!$E$25,COLUMN(N42),ROW(N42),1,1)&lt;&gt;"",OFFSET(Planning!$D$25,COLUMN(N42),0,1,1),0)</f>
        <v>0</v>
      </c>
      <c r="X45" s="67">
        <f ca="1">IF(OFFSET(Planning!$E$25,COLUMN(O42),ROW(O42),1,1)&lt;&gt;"",OFFSET(Planning!$D$25,COLUMN(O42),0,1,1),0)</f>
        <v>0</v>
      </c>
      <c r="Y45" s="67">
        <f ca="1">IF(OFFSET(Planning!$E$25,COLUMN(P42),ROW(P42),1,1)&lt;&gt;"",OFFSET(Planning!$D$25,COLUMN(P42),0,1,1),0)</f>
        <v>0</v>
      </c>
      <c r="Z45" s="67">
        <f ca="1">IF(OFFSET(Planning!$E$25,COLUMN(Q42),ROW(Q42),1,1)&lt;&gt;"",OFFSET(Planning!$D$25,COLUMN(Q42),0,1,1),0)</f>
        <v>0</v>
      </c>
      <c r="AA45" s="67">
        <f ca="1">IF(OFFSET(Planning!$E$25,COLUMN(R42),ROW(R42),1,1)&lt;&gt;"",OFFSET(Planning!$D$25,COLUMN(R42),0,1,1),0)</f>
        <v>0</v>
      </c>
      <c r="AB45" s="67">
        <f ca="1">IF(OFFSET(Planning!$E$25,COLUMN(S42),ROW(S42),1,1)&lt;&gt;"",OFFSET(Planning!$D$25,COLUMN(S42),0,1,1),0)</f>
        <v>0</v>
      </c>
      <c r="AC45" s="67">
        <f ca="1">IF(OFFSET(Planning!$E$25,COLUMN(T42),ROW(T42),1,1)&lt;&gt;"",OFFSET(Planning!$D$25,COLUMN(T42),0,1,1),0)</f>
        <v>0</v>
      </c>
      <c r="AD45" s="67">
        <f ca="1">VLOOKUP($B45,'Summary Calculations (hide)'!$D$15:$U$67,17,0)</f>
        <v>77.026949999999985</v>
      </c>
      <c r="AE45" s="67">
        <f ca="1">VLOOKUP($B45,'Summary Calculations (hide)'!$D$15:$U$67,18,0)</f>
        <v>7.7026950000000198</v>
      </c>
    </row>
    <row r="46" spans="1:31" x14ac:dyDescent="0.25">
      <c r="A46" s="87">
        <f t="shared" ca="1" si="3"/>
        <v>44228</v>
      </c>
      <c r="B46" s="67">
        <f t="shared" ca="1" si="0"/>
        <v>6</v>
      </c>
      <c r="C46" s="5">
        <f ca="1">IF(Planning!$C$8="No",VLOOKUP(B46,'Summary Calculations (hide)'!$D$15:$U$67,17,0),IF('Demand adjustments for Covid'!$F$9="Yes",'Demand background (hide)'!DS46,VLOOKUP(B46,'Summary Calculations (hide)'!$D$15:$F$67,2,0))*IF(Planning!$C$11="",1,1+Planning!$C$11)*'Summary Calculations (hide)'!$L$4/IF(Summary!$C$8="Patients",'Summary Calculations (hide)'!$I$9,1))</f>
        <v>77.026949999999985</v>
      </c>
      <c r="D46" s="5">
        <f ca="1">IF(Planning!$C$8="No",VLOOKUP('Planning (hide)'!B46,'Summary Calculations (hide)'!$D$15:$U$67,18,0),IF('Demand adjustments for Covid'!$F$9="Yes",'Demand background (hide)'!DT46,VLOOKUP(B46,'Summary Calculations (hide)'!$D$15:$F$67,3,0))*IF(Planning!$C$11="",1,1+Planning!$C$11)*'Summary Calculations (hide)'!$L$4/IF(Summary!$C$8="Patients",'Summary Calculations (hide)'!$I$9,1))-IF(Planning!$C$8="No",0,C46)</f>
        <v>7.7026950000000056</v>
      </c>
      <c r="E46" s="5">
        <f ca="1">VLOOKUP($B46,'Summary Calculations (hide)'!$D$15:$U$67,15,0)</f>
        <v>80.769230769230774</v>
      </c>
      <c r="F46" s="5">
        <f ca="1">VLOOKUP($B46,'Summary Calculations (hide)'!$D$15:$U$67,16,0)</f>
        <v>0</v>
      </c>
      <c r="G46" s="5">
        <f t="shared" ca="1" si="1"/>
        <v>80.769230769230774</v>
      </c>
      <c r="H46" s="5">
        <f t="shared" ca="1" si="2"/>
        <v>80.769230769230774</v>
      </c>
      <c r="I46" s="67">
        <f ca="1">IF(OFFSET(Planning!$E$25,0,ROW(A43),1,1)&lt;&gt;"",-'Planning (hide)'!$G46,0)</f>
        <v>0</v>
      </c>
      <c r="J46" s="67">
        <f ca="1">IF(OFFSET(Planning!$E$25,COLUMN(A43),ROW(A43),1,1)&lt;&gt;"",OFFSET(Planning!$D$25,COLUMN(A43),0,1,1),0)</f>
        <v>0</v>
      </c>
      <c r="K46" s="67">
        <f ca="1">IF(OFFSET(Planning!$E$25,COLUMN(B43),ROW(B43),1,1)&lt;&gt;"",OFFSET(Planning!$D$25,COLUMN(B43),0,1,1),0)</f>
        <v>0</v>
      </c>
      <c r="L46" s="67">
        <f ca="1">IF(OFFSET(Planning!$E$25,COLUMN(C43),ROW(C43),1,1)&lt;&gt;"",OFFSET(Planning!$D$25,COLUMN(C43),0,1,1),0)</f>
        <v>0</v>
      </c>
      <c r="M46" s="67">
        <f ca="1">IF(OFFSET(Planning!$E$25,COLUMN(D43),ROW(D43),1,1)&lt;&gt;"",OFFSET(Planning!$D$25,COLUMN(D43),0,1,1),0)</f>
        <v>0</v>
      </c>
      <c r="N46" s="67">
        <f ca="1">IF(OFFSET(Planning!$E$25,COLUMN(E43),ROW(E43),1,1)&lt;&gt;"",OFFSET(Planning!$D$25,COLUMN(E43),0,1,1),0)</f>
        <v>0</v>
      </c>
      <c r="O46" s="67">
        <f ca="1">IF(OFFSET(Planning!$E$25,COLUMN(F43),ROW(F43),1,1)&lt;&gt;"",OFFSET(Planning!$D$25,COLUMN(F43),0,1,1),0)</f>
        <v>0</v>
      </c>
      <c r="P46" s="67">
        <f ca="1">IF(OFFSET(Planning!$E$25,COLUMN(G43),ROW(G43),1,1)&lt;&gt;"",OFFSET(Planning!$D$25,COLUMN(G43),0,1,1),0)</f>
        <v>0</v>
      </c>
      <c r="Q46" s="67">
        <f ca="1">IF(OFFSET(Planning!$E$25,COLUMN(H43),ROW(H43),1,1)&lt;&gt;"",OFFSET(Planning!$D$25,COLUMN(H43),0,1,1),0)</f>
        <v>0</v>
      </c>
      <c r="R46" s="67">
        <f ca="1">IF(OFFSET(Planning!$E$25,COLUMN(I43),ROW(I43),1,1)&lt;&gt;"",OFFSET(Planning!$D$25,COLUMN(I43),0,1,1),0)</f>
        <v>0</v>
      </c>
      <c r="S46" s="67">
        <f ca="1">IF(OFFSET(Planning!$E$25,COLUMN(J43),ROW(J43),1,1)&lt;&gt;"",OFFSET(Planning!$D$25,COLUMN(J43),0,1,1),0)</f>
        <v>0</v>
      </c>
      <c r="T46" s="67">
        <f ca="1">IF(OFFSET(Planning!$E$25,COLUMN(K43),ROW(K43),1,1)&lt;&gt;"",OFFSET(Planning!$D$25,COLUMN(K43),0,1,1),0)</f>
        <v>0</v>
      </c>
      <c r="U46" s="67">
        <f ca="1">IF(OFFSET(Planning!$E$25,COLUMN(L43),ROW(L43),1,1)&lt;&gt;"",OFFSET(Planning!$D$25,COLUMN(L43),0,1,1),0)</f>
        <v>0</v>
      </c>
      <c r="V46" s="67">
        <f ca="1">IF(OFFSET(Planning!$E$25,COLUMN(M43),ROW(M43),1,1)&lt;&gt;"",OFFSET(Planning!$D$25,COLUMN(M43),0,1,1),0)</f>
        <v>0</v>
      </c>
      <c r="W46" s="67">
        <f ca="1">IF(OFFSET(Planning!$E$25,COLUMN(N43),ROW(N43),1,1)&lt;&gt;"",OFFSET(Planning!$D$25,COLUMN(N43),0,1,1),0)</f>
        <v>0</v>
      </c>
      <c r="X46" s="67">
        <f ca="1">IF(OFFSET(Planning!$E$25,COLUMN(O43),ROW(O43),1,1)&lt;&gt;"",OFFSET(Planning!$D$25,COLUMN(O43),0,1,1),0)</f>
        <v>0</v>
      </c>
      <c r="Y46" s="67">
        <f ca="1">IF(OFFSET(Planning!$E$25,COLUMN(P43),ROW(P43),1,1)&lt;&gt;"",OFFSET(Planning!$D$25,COLUMN(P43),0,1,1),0)</f>
        <v>0</v>
      </c>
      <c r="Z46" s="67">
        <f ca="1">IF(OFFSET(Planning!$E$25,COLUMN(Q43),ROW(Q43),1,1)&lt;&gt;"",OFFSET(Planning!$D$25,COLUMN(Q43),0,1,1),0)</f>
        <v>0</v>
      </c>
      <c r="AA46" s="67">
        <f ca="1">IF(OFFSET(Planning!$E$25,COLUMN(R43),ROW(R43),1,1)&lt;&gt;"",OFFSET(Planning!$D$25,COLUMN(R43),0,1,1),0)</f>
        <v>0</v>
      </c>
      <c r="AB46" s="67">
        <f ca="1">IF(OFFSET(Planning!$E$25,COLUMN(S43),ROW(S43),1,1)&lt;&gt;"",OFFSET(Planning!$D$25,COLUMN(S43),0,1,1),0)</f>
        <v>0</v>
      </c>
      <c r="AC46" s="67">
        <f ca="1">IF(OFFSET(Planning!$E$25,COLUMN(T43),ROW(T43),1,1)&lt;&gt;"",OFFSET(Planning!$D$25,COLUMN(T43),0,1,1),0)</f>
        <v>0</v>
      </c>
      <c r="AD46" s="67">
        <f ca="1">VLOOKUP($B46,'Summary Calculations (hide)'!$D$15:$U$67,17,0)</f>
        <v>70.024499999999989</v>
      </c>
      <c r="AE46" s="67">
        <f ca="1">VLOOKUP($B46,'Summary Calculations (hide)'!$D$15:$U$67,18,0)</f>
        <v>7.0024499999999961</v>
      </c>
    </row>
    <row r="47" spans="1:31" x14ac:dyDescent="0.25">
      <c r="A47" s="87">
        <f t="shared" ca="1" si="3"/>
        <v>44235</v>
      </c>
      <c r="B47" s="67">
        <f t="shared" ca="1" si="0"/>
        <v>7</v>
      </c>
      <c r="C47" s="5">
        <f ca="1">IF(Planning!$C$8="No",VLOOKUP(B47,'Summary Calculations (hide)'!$D$15:$U$67,17,0),IF('Demand adjustments for Covid'!$F$9="Yes",'Demand background (hide)'!DS47,VLOOKUP(B47,'Summary Calculations (hide)'!$D$15:$F$67,2,0))*IF(Planning!$C$11="",1,1+Planning!$C$11)*'Summary Calculations (hide)'!$L$4/IF(Summary!$C$8="Patients",'Summary Calculations (hide)'!$I$9,1))</f>
        <v>70.024499999999989</v>
      </c>
      <c r="D47" s="5">
        <f ca="1">IF(Planning!$C$8="No",VLOOKUP('Planning (hide)'!B47,'Summary Calculations (hide)'!$D$15:$U$67,18,0),IF('Demand adjustments for Covid'!$F$9="Yes",'Demand background (hide)'!DT47,VLOOKUP(B47,'Summary Calculations (hide)'!$D$15:$F$67,3,0))*IF(Planning!$C$11="",1,1+Planning!$C$11)*'Summary Calculations (hide)'!$L$4/IF(Summary!$C$8="Patients",'Summary Calculations (hide)'!$I$9,1))-IF(Planning!$C$8="No",0,C47)</f>
        <v>7.0024499999999961</v>
      </c>
      <c r="E47" s="5">
        <f ca="1">VLOOKUP($B47,'Summary Calculations (hide)'!$D$15:$U$67,15,0)</f>
        <v>80.769230769230774</v>
      </c>
      <c r="F47" s="5">
        <f ca="1">VLOOKUP($B47,'Summary Calculations (hide)'!$D$15:$U$67,16,0)</f>
        <v>0</v>
      </c>
      <c r="G47" s="5">
        <f t="shared" ca="1" si="1"/>
        <v>80.769230769230774</v>
      </c>
      <c r="H47" s="5">
        <f t="shared" ca="1" si="2"/>
        <v>80.769230769230774</v>
      </c>
      <c r="I47" s="67">
        <f ca="1">IF(OFFSET(Planning!$E$25,0,ROW(A44),1,1)&lt;&gt;"",-'Planning (hide)'!$G47,0)</f>
        <v>0</v>
      </c>
      <c r="J47" s="67">
        <f ca="1">IF(OFFSET(Planning!$E$25,COLUMN(A44),ROW(A44),1,1)&lt;&gt;"",OFFSET(Planning!$D$25,COLUMN(A44),0,1,1),0)</f>
        <v>0</v>
      </c>
      <c r="K47" s="67">
        <f ca="1">IF(OFFSET(Planning!$E$25,COLUMN(B44),ROW(B44),1,1)&lt;&gt;"",OFFSET(Planning!$D$25,COLUMN(B44),0,1,1),0)</f>
        <v>0</v>
      </c>
      <c r="L47" s="67">
        <f ca="1">IF(OFFSET(Planning!$E$25,COLUMN(C44),ROW(C44),1,1)&lt;&gt;"",OFFSET(Planning!$D$25,COLUMN(C44),0,1,1),0)</f>
        <v>0</v>
      </c>
      <c r="M47" s="67">
        <f ca="1">IF(OFFSET(Planning!$E$25,COLUMN(D44),ROW(D44),1,1)&lt;&gt;"",OFFSET(Planning!$D$25,COLUMN(D44),0,1,1),0)</f>
        <v>0</v>
      </c>
      <c r="N47" s="67">
        <f ca="1">IF(OFFSET(Planning!$E$25,COLUMN(E44),ROW(E44),1,1)&lt;&gt;"",OFFSET(Planning!$D$25,COLUMN(E44),0,1,1),0)</f>
        <v>0</v>
      </c>
      <c r="O47" s="67">
        <f ca="1">IF(OFFSET(Planning!$E$25,COLUMN(F44),ROW(F44),1,1)&lt;&gt;"",OFFSET(Planning!$D$25,COLUMN(F44),0,1,1),0)</f>
        <v>0</v>
      </c>
      <c r="P47" s="67">
        <f ca="1">IF(OFFSET(Planning!$E$25,COLUMN(G44),ROW(G44),1,1)&lt;&gt;"",OFFSET(Planning!$D$25,COLUMN(G44),0,1,1),0)</f>
        <v>0</v>
      </c>
      <c r="Q47" s="67">
        <f ca="1">IF(OFFSET(Planning!$E$25,COLUMN(H44),ROW(H44),1,1)&lt;&gt;"",OFFSET(Planning!$D$25,COLUMN(H44),0,1,1),0)</f>
        <v>0</v>
      </c>
      <c r="R47" s="67">
        <f ca="1">IF(OFFSET(Planning!$E$25,COLUMN(I44),ROW(I44),1,1)&lt;&gt;"",OFFSET(Planning!$D$25,COLUMN(I44),0,1,1),0)</f>
        <v>0</v>
      </c>
      <c r="S47" s="67">
        <f ca="1">IF(OFFSET(Planning!$E$25,COLUMN(J44),ROW(J44),1,1)&lt;&gt;"",OFFSET(Planning!$D$25,COLUMN(J44),0,1,1),0)</f>
        <v>0</v>
      </c>
      <c r="T47" s="67">
        <f ca="1">IF(OFFSET(Planning!$E$25,COLUMN(K44),ROW(K44),1,1)&lt;&gt;"",OFFSET(Planning!$D$25,COLUMN(K44),0,1,1),0)</f>
        <v>0</v>
      </c>
      <c r="U47" s="67">
        <f ca="1">IF(OFFSET(Planning!$E$25,COLUMN(L44),ROW(L44),1,1)&lt;&gt;"",OFFSET(Planning!$D$25,COLUMN(L44),0,1,1),0)</f>
        <v>0</v>
      </c>
      <c r="V47" s="67">
        <f ca="1">IF(OFFSET(Planning!$E$25,COLUMN(M44),ROW(M44),1,1)&lt;&gt;"",OFFSET(Planning!$D$25,COLUMN(M44),0,1,1),0)</f>
        <v>0</v>
      </c>
      <c r="W47" s="67">
        <f ca="1">IF(OFFSET(Planning!$E$25,COLUMN(N44),ROW(N44),1,1)&lt;&gt;"",OFFSET(Planning!$D$25,COLUMN(N44),0,1,1),0)</f>
        <v>0</v>
      </c>
      <c r="X47" s="67">
        <f ca="1">IF(OFFSET(Planning!$E$25,COLUMN(O44),ROW(O44),1,1)&lt;&gt;"",OFFSET(Planning!$D$25,COLUMN(O44),0,1,1),0)</f>
        <v>0</v>
      </c>
      <c r="Y47" s="67">
        <f ca="1">IF(OFFSET(Planning!$E$25,COLUMN(P44),ROW(P44),1,1)&lt;&gt;"",OFFSET(Planning!$D$25,COLUMN(P44),0,1,1),0)</f>
        <v>0</v>
      </c>
      <c r="Z47" s="67">
        <f ca="1">IF(OFFSET(Planning!$E$25,COLUMN(Q44),ROW(Q44),1,1)&lt;&gt;"",OFFSET(Planning!$D$25,COLUMN(Q44),0,1,1),0)</f>
        <v>0</v>
      </c>
      <c r="AA47" s="67">
        <f ca="1">IF(OFFSET(Planning!$E$25,COLUMN(R44),ROW(R44),1,1)&lt;&gt;"",OFFSET(Planning!$D$25,COLUMN(R44),0,1,1),0)</f>
        <v>0</v>
      </c>
      <c r="AB47" s="67">
        <f ca="1">IF(OFFSET(Planning!$E$25,COLUMN(S44),ROW(S44),1,1)&lt;&gt;"",OFFSET(Planning!$D$25,COLUMN(S44),0,1,1),0)</f>
        <v>0</v>
      </c>
      <c r="AC47" s="67">
        <f ca="1">IF(OFFSET(Planning!$E$25,COLUMN(T44),ROW(T44),1,1)&lt;&gt;"",OFFSET(Planning!$D$25,COLUMN(T44),0,1,1),0)</f>
        <v>0</v>
      </c>
      <c r="AD47" s="67">
        <f ca="1">VLOOKUP($B47,'Summary Calculations (hide)'!$D$15:$U$67,17,0)</f>
        <v>68.023799999999994</v>
      </c>
      <c r="AE47" s="67">
        <f ca="1">VLOOKUP($B47,'Summary Calculations (hide)'!$D$15:$U$67,18,0)</f>
        <v>6.8023799999999994</v>
      </c>
    </row>
    <row r="48" spans="1:31" x14ac:dyDescent="0.25">
      <c r="A48" s="87">
        <f t="shared" ca="1" si="3"/>
        <v>44242</v>
      </c>
      <c r="B48" s="67">
        <f t="shared" ca="1" si="0"/>
        <v>8</v>
      </c>
      <c r="C48" s="5">
        <f ca="1">IF(Planning!$C$8="No",VLOOKUP(B48,'Summary Calculations (hide)'!$D$15:$U$67,17,0),IF('Demand adjustments for Covid'!$F$9="Yes",'Demand background (hide)'!DS48,VLOOKUP(B48,'Summary Calculations (hide)'!$D$15:$F$67,2,0))*IF(Planning!$C$11="",1,1+Planning!$C$11)*'Summary Calculations (hide)'!$L$4/IF(Summary!$C$8="Patients",'Summary Calculations (hide)'!$I$9,1))</f>
        <v>68.023799999999994</v>
      </c>
      <c r="D48" s="5">
        <f ca="1">IF(Planning!$C$8="No",VLOOKUP('Planning (hide)'!B48,'Summary Calculations (hide)'!$D$15:$U$67,18,0),IF('Demand adjustments for Covid'!$F$9="Yes",'Demand background (hide)'!DT48,VLOOKUP(B48,'Summary Calculations (hide)'!$D$15:$F$67,3,0))*IF(Planning!$C$11="",1,1+Planning!$C$11)*'Summary Calculations (hide)'!$L$4/IF(Summary!$C$8="Patients",'Summary Calculations (hide)'!$I$9,1))-IF(Planning!$C$8="No",0,C48)</f>
        <v>6.8023799999999994</v>
      </c>
      <c r="E48" s="5">
        <f ca="1">VLOOKUP($B48,'Summary Calculations (hide)'!$D$15:$U$67,15,0)</f>
        <v>80.769230769230774</v>
      </c>
      <c r="F48" s="5">
        <f ca="1">VLOOKUP($B48,'Summary Calculations (hide)'!$D$15:$U$67,16,0)</f>
        <v>0</v>
      </c>
      <c r="G48" s="5">
        <f t="shared" ca="1" si="1"/>
        <v>80.769230769230774</v>
      </c>
      <c r="H48" s="5">
        <f t="shared" ca="1" si="2"/>
        <v>80.769230769230774</v>
      </c>
      <c r="I48" s="67">
        <f ca="1">IF(OFFSET(Planning!$E$25,0,ROW(A45),1,1)&lt;&gt;"",-'Planning (hide)'!$G48,0)</f>
        <v>0</v>
      </c>
      <c r="J48" s="67">
        <f ca="1">IF(OFFSET(Planning!$E$25,COLUMN(A45),ROW(A45),1,1)&lt;&gt;"",OFFSET(Planning!$D$25,COLUMN(A45),0,1,1),0)</f>
        <v>0</v>
      </c>
      <c r="K48" s="67">
        <f ca="1">IF(OFFSET(Planning!$E$25,COLUMN(B45),ROW(B45),1,1)&lt;&gt;"",OFFSET(Planning!$D$25,COLUMN(B45),0,1,1),0)</f>
        <v>0</v>
      </c>
      <c r="L48" s="67">
        <f ca="1">IF(OFFSET(Planning!$E$25,COLUMN(C45),ROW(C45),1,1)&lt;&gt;"",OFFSET(Planning!$D$25,COLUMN(C45),0,1,1),0)</f>
        <v>0</v>
      </c>
      <c r="M48" s="67">
        <f ca="1">IF(OFFSET(Planning!$E$25,COLUMN(D45),ROW(D45),1,1)&lt;&gt;"",OFFSET(Planning!$D$25,COLUMN(D45),0,1,1),0)</f>
        <v>0</v>
      </c>
      <c r="N48" s="67">
        <f ca="1">IF(OFFSET(Planning!$E$25,COLUMN(E45),ROW(E45),1,1)&lt;&gt;"",OFFSET(Planning!$D$25,COLUMN(E45),0,1,1),0)</f>
        <v>0</v>
      </c>
      <c r="O48" s="67">
        <f ca="1">IF(OFFSET(Planning!$E$25,COLUMN(F45),ROW(F45),1,1)&lt;&gt;"",OFFSET(Planning!$D$25,COLUMN(F45),0,1,1),0)</f>
        <v>0</v>
      </c>
      <c r="P48" s="67">
        <f ca="1">IF(OFFSET(Planning!$E$25,COLUMN(G45),ROW(G45),1,1)&lt;&gt;"",OFFSET(Planning!$D$25,COLUMN(G45),0,1,1),0)</f>
        <v>0</v>
      </c>
      <c r="Q48" s="67">
        <f ca="1">IF(OFFSET(Planning!$E$25,COLUMN(H45),ROW(H45),1,1)&lt;&gt;"",OFFSET(Planning!$D$25,COLUMN(H45),0,1,1),0)</f>
        <v>0</v>
      </c>
      <c r="R48" s="67">
        <f ca="1">IF(OFFSET(Planning!$E$25,COLUMN(I45),ROW(I45),1,1)&lt;&gt;"",OFFSET(Planning!$D$25,COLUMN(I45),0,1,1),0)</f>
        <v>0</v>
      </c>
      <c r="S48" s="67">
        <f ca="1">IF(OFFSET(Planning!$E$25,COLUMN(J45),ROW(J45),1,1)&lt;&gt;"",OFFSET(Planning!$D$25,COLUMN(J45),0,1,1),0)</f>
        <v>0</v>
      </c>
      <c r="T48" s="67">
        <f ca="1">IF(OFFSET(Planning!$E$25,COLUMN(K45),ROW(K45),1,1)&lt;&gt;"",OFFSET(Planning!$D$25,COLUMN(K45),0,1,1),0)</f>
        <v>0</v>
      </c>
      <c r="U48" s="67">
        <f ca="1">IF(OFFSET(Planning!$E$25,COLUMN(L45),ROW(L45),1,1)&lt;&gt;"",OFFSET(Planning!$D$25,COLUMN(L45),0,1,1),0)</f>
        <v>0</v>
      </c>
      <c r="V48" s="67">
        <f ca="1">IF(OFFSET(Planning!$E$25,COLUMN(M45),ROW(M45),1,1)&lt;&gt;"",OFFSET(Planning!$D$25,COLUMN(M45),0,1,1),0)</f>
        <v>0</v>
      </c>
      <c r="W48" s="67">
        <f ca="1">IF(OFFSET(Planning!$E$25,COLUMN(N45),ROW(N45),1,1)&lt;&gt;"",OFFSET(Planning!$D$25,COLUMN(N45),0,1,1),0)</f>
        <v>0</v>
      </c>
      <c r="X48" s="67">
        <f ca="1">IF(OFFSET(Planning!$E$25,COLUMN(O45),ROW(O45),1,1)&lt;&gt;"",OFFSET(Planning!$D$25,COLUMN(O45),0,1,1),0)</f>
        <v>0</v>
      </c>
      <c r="Y48" s="67">
        <f ca="1">IF(OFFSET(Planning!$E$25,COLUMN(P45),ROW(P45),1,1)&lt;&gt;"",OFFSET(Planning!$D$25,COLUMN(P45),0,1,1),0)</f>
        <v>0</v>
      </c>
      <c r="Z48" s="67">
        <f ca="1">IF(OFFSET(Planning!$E$25,COLUMN(Q45),ROW(Q45),1,1)&lt;&gt;"",OFFSET(Planning!$D$25,COLUMN(Q45),0,1,1),0)</f>
        <v>0</v>
      </c>
      <c r="AA48" s="67">
        <f ca="1">IF(OFFSET(Planning!$E$25,COLUMN(R45),ROW(R45),1,1)&lt;&gt;"",OFFSET(Planning!$D$25,COLUMN(R45),0,1,1),0)</f>
        <v>0</v>
      </c>
      <c r="AB48" s="67">
        <f ca="1">IF(OFFSET(Planning!$E$25,COLUMN(S45),ROW(S45),1,1)&lt;&gt;"",OFFSET(Planning!$D$25,COLUMN(S45),0,1,1),0)</f>
        <v>0</v>
      </c>
      <c r="AC48" s="67">
        <f ca="1">IF(OFFSET(Planning!$E$25,COLUMN(T45),ROW(T45),1,1)&lt;&gt;"",OFFSET(Planning!$D$25,COLUMN(T45),0,1,1),0)</f>
        <v>0</v>
      </c>
      <c r="AD48" s="67">
        <f ca="1">VLOOKUP($B48,'Summary Calculations (hide)'!$D$15:$U$67,17,0)</f>
        <v>76.026600000000002</v>
      </c>
      <c r="AE48" s="67">
        <f ca="1">VLOOKUP($B48,'Summary Calculations (hide)'!$D$15:$U$67,18,0)</f>
        <v>7.6026600000000002</v>
      </c>
    </row>
    <row r="49" spans="1:31" x14ac:dyDescent="0.25">
      <c r="A49" s="87">
        <f t="shared" ca="1" si="3"/>
        <v>44249</v>
      </c>
      <c r="B49" s="67">
        <f t="shared" ca="1" si="0"/>
        <v>9</v>
      </c>
      <c r="C49" s="5">
        <f ca="1">IF(Planning!$C$8="No",VLOOKUP(B49,'Summary Calculations (hide)'!$D$15:$U$67,17,0),IF('Demand adjustments for Covid'!$F$9="Yes",'Demand background (hide)'!DS49,VLOOKUP(B49,'Summary Calculations (hide)'!$D$15:$F$67,2,0))*IF(Planning!$C$11="",1,1+Planning!$C$11)*'Summary Calculations (hide)'!$L$4/IF(Summary!$C$8="Patients",'Summary Calculations (hide)'!$I$9,1))</f>
        <v>76.026599999999988</v>
      </c>
      <c r="D49" s="5">
        <f ca="1">IF(Planning!$C$8="No",VLOOKUP('Planning (hide)'!B49,'Summary Calculations (hide)'!$D$15:$U$67,18,0),IF('Demand adjustments for Covid'!$F$9="Yes",'Demand background (hide)'!DT49,VLOOKUP(B49,'Summary Calculations (hide)'!$D$15:$F$67,3,0))*IF(Planning!$C$11="",1,1+Planning!$C$11)*'Summary Calculations (hide)'!$L$4/IF(Summary!$C$8="Patients",'Summary Calculations (hide)'!$I$9,1))-IF(Planning!$C$8="No",0,C49)</f>
        <v>7.6026600000000144</v>
      </c>
      <c r="E49" s="5">
        <f ca="1">VLOOKUP($B49,'Summary Calculations (hide)'!$D$15:$U$67,15,0)</f>
        <v>80.769230769230774</v>
      </c>
      <c r="F49" s="5">
        <f ca="1">VLOOKUP($B49,'Summary Calculations (hide)'!$D$15:$U$67,16,0)</f>
        <v>0</v>
      </c>
      <c r="G49" s="5">
        <f t="shared" ca="1" si="1"/>
        <v>80.769230769230774</v>
      </c>
      <c r="H49" s="5">
        <f t="shared" ca="1" si="2"/>
        <v>80.769230769230774</v>
      </c>
      <c r="I49" s="67">
        <f ca="1">IF(OFFSET(Planning!$E$25,0,ROW(A46),1,1)&lt;&gt;"",-'Planning (hide)'!$G49,0)</f>
        <v>0</v>
      </c>
      <c r="J49" s="67">
        <f ca="1">IF(OFFSET(Planning!$E$25,COLUMN(A46),ROW(A46),1,1)&lt;&gt;"",OFFSET(Planning!$D$25,COLUMN(A46),0,1,1),0)</f>
        <v>0</v>
      </c>
      <c r="K49" s="67">
        <f ca="1">IF(OFFSET(Planning!$E$25,COLUMN(B46),ROW(B46),1,1)&lt;&gt;"",OFFSET(Planning!$D$25,COLUMN(B46),0,1,1),0)</f>
        <v>0</v>
      </c>
      <c r="L49" s="67">
        <f ca="1">IF(OFFSET(Planning!$E$25,COLUMN(C46),ROW(C46),1,1)&lt;&gt;"",OFFSET(Planning!$D$25,COLUMN(C46),0,1,1),0)</f>
        <v>0</v>
      </c>
      <c r="M49" s="67">
        <f ca="1">IF(OFFSET(Planning!$E$25,COLUMN(D46),ROW(D46),1,1)&lt;&gt;"",OFFSET(Planning!$D$25,COLUMN(D46),0,1,1),0)</f>
        <v>0</v>
      </c>
      <c r="N49" s="67">
        <f ca="1">IF(OFFSET(Planning!$E$25,COLUMN(E46),ROW(E46),1,1)&lt;&gt;"",OFFSET(Planning!$D$25,COLUMN(E46),0,1,1),0)</f>
        <v>0</v>
      </c>
      <c r="O49" s="67">
        <f ca="1">IF(OFFSET(Planning!$E$25,COLUMN(F46),ROW(F46),1,1)&lt;&gt;"",OFFSET(Planning!$D$25,COLUMN(F46),0,1,1),0)</f>
        <v>0</v>
      </c>
      <c r="P49" s="67">
        <f ca="1">IF(OFFSET(Planning!$E$25,COLUMN(G46),ROW(G46),1,1)&lt;&gt;"",OFFSET(Planning!$D$25,COLUMN(G46),0,1,1),0)</f>
        <v>0</v>
      </c>
      <c r="Q49" s="67">
        <f ca="1">IF(OFFSET(Planning!$E$25,COLUMN(H46),ROW(H46),1,1)&lt;&gt;"",OFFSET(Planning!$D$25,COLUMN(H46),0,1,1),0)</f>
        <v>0</v>
      </c>
      <c r="R49" s="67">
        <f ca="1">IF(OFFSET(Planning!$E$25,COLUMN(I46),ROW(I46),1,1)&lt;&gt;"",OFFSET(Planning!$D$25,COLUMN(I46),0,1,1),0)</f>
        <v>0</v>
      </c>
      <c r="S49" s="67">
        <f ca="1">IF(OFFSET(Planning!$E$25,COLUMN(J46),ROW(J46),1,1)&lt;&gt;"",OFFSET(Planning!$D$25,COLUMN(J46),0,1,1),0)</f>
        <v>0</v>
      </c>
      <c r="T49" s="67">
        <f ca="1">IF(OFFSET(Planning!$E$25,COLUMN(K46),ROW(K46),1,1)&lt;&gt;"",OFFSET(Planning!$D$25,COLUMN(K46),0,1,1),0)</f>
        <v>0</v>
      </c>
      <c r="U49" s="67">
        <f ca="1">IF(OFFSET(Planning!$E$25,COLUMN(L46),ROW(L46),1,1)&lt;&gt;"",OFFSET(Planning!$D$25,COLUMN(L46),0,1,1),0)</f>
        <v>0</v>
      </c>
      <c r="V49" s="67">
        <f ca="1">IF(OFFSET(Planning!$E$25,COLUMN(M46),ROW(M46),1,1)&lt;&gt;"",OFFSET(Planning!$D$25,COLUMN(M46),0,1,1),0)</f>
        <v>0</v>
      </c>
      <c r="W49" s="67">
        <f ca="1">IF(OFFSET(Planning!$E$25,COLUMN(N46),ROW(N46),1,1)&lt;&gt;"",OFFSET(Planning!$D$25,COLUMN(N46),0,1,1),0)</f>
        <v>0</v>
      </c>
      <c r="X49" s="67">
        <f ca="1">IF(OFFSET(Planning!$E$25,COLUMN(O46),ROW(O46),1,1)&lt;&gt;"",OFFSET(Planning!$D$25,COLUMN(O46),0,1,1),0)</f>
        <v>0</v>
      </c>
      <c r="Y49" s="67">
        <f ca="1">IF(OFFSET(Planning!$E$25,COLUMN(P46),ROW(P46),1,1)&lt;&gt;"",OFFSET(Planning!$D$25,COLUMN(P46),0,1,1),0)</f>
        <v>0</v>
      </c>
      <c r="Z49" s="67">
        <f ca="1">IF(OFFSET(Planning!$E$25,COLUMN(Q46),ROW(Q46),1,1)&lt;&gt;"",OFFSET(Planning!$D$25,COLUMN(Q46),0,1,1),0)</f>
        <v>0</v>
      </c>
      <c r="AA49" s="67">
        <f ca="1">IF(OFFSET(Planning!$E$25,COLUMN(R46),ROW(R46),1,1)&lt;&gt;"",OFFSET(Planning!$D$25,COLUMN(R46),0,1,1),0)</f>
        <v>0</v>
      </c>
      <c r="AB49" s="67">
        <f ca="1">IF(OFFSET(Planning!$E$25,COLUMN(S46),ROW(S46),1,1)&lt;&gt;"",OFFSET(Planning!$D$25,COLUMN(S46),0,1,1),0)</f>
        <v>0</v>
      </c>
      <c r="AC49" s="67">
        <f ca="1">IF(OFFSET(Planning!$E$25,COLUMN(T46),ROW(T46),1,1)&lt;&gt;"",OFFSET(Planning!$D$25,COLUMN(T46),0,1,1),0)</f>
        <v>0</v>
      </c>
      <c r="AD49" s="67">
        <f ca="1">VLOOKUP($B49,'Summary Calculations (hide)'!$D$15:$U$67,17,0)</f>
        <v>74.025899999999993</v>
      </c>
      <c r="AE49" s="67">
        <f ca="1">VLOOKUP($B49,'Summary Calculations (hide)'!$D$15:$U$67,18,0)</f>
        <v>7.4025900000000036</v>
      </c>
    </row>
    <row r="50" spans="1:31" x14ac:dyDescent="0.25">
      <c r="A50" s="87">
        <f t="shared" ca="1" si="3"/>
        <v>44256</v>
      </c>
      <c r="B50" s="67">
        <f t="shared" ca="1" si="0"/>
        <v>10</v>
      </c>
      <c r="C50" s="5">
        <f ca="1">IF(Planning!$C$8="No",VLOOKUP(B50,'Summary Calculations (hide)'!$D$15:$U$67,17,0),IF('Demand adjustments for Covid'!$F$9="Yes",'Demand background (hide)'!DS50,VLOOKUP(B50,'Summary Calculations (hide)'!$D$15:$F$67,2,0))*IF(Planning!$C$11="",1,1+Planning!$C$11)*'Summary Calculations (hide)'!$L$4/IF(Summary!$C$8="Patients",'Summary Calculations (hide)'!$I$9,1))</f>
        <v>74.025899999999993</v>
      </c>
      <c r="D50" s="5">
        <f ca="1">IF(Planning!$C$8="No",VLOOKUP('Planning (hide)'!B50,'Summary Calculations (hide)'!$D$15:$U$67,18,0),IF('Demand adjustments for Covid'!$F$9="Yes",'Demand background (hide)'!DT50,VLOOKUP(B50,'Summary Calculations (hide)'!$D$15:$F$67,3,0))*IF(Planning!$C$11="",1,1+Planning!$C$11)*'Summary Calculations (hide)'!$L$4/IF(Summary!$C$8="Patients",'Summary Calculations (hide)'!$I$9,1))-IF(Planning!$C$8="No",0,C50)</f>
        <v>7.4025900000000036</v>
      </c>
      <c r="E50" s="5">
        <f ca="1">VLOOKUP($B50,'Summary Calculations (hide)'!$D$15:$U$67,15,0)</f>
        <v>80.769230769230774</v>
      </c>
      <c r="F50" s="5">
        <f ca="1">VLOOKUP($B50,'Summary Calculations (hide)'!$D$15:$U$67,16,0)</f>
        <v>0</v>
      </c>
      <c r="G50" s="5">
        <f t="shared" ca="1" si="1"/>
        <v>80.769230769230774</v>
      </c>
      <c r="H50" s="5">
        <f t="shared" ca="1" si="2"/>
        <v>80.769230769230774</v>
      </c>
      <c r="I50" s="67">
        <f ca="1">IF(OFFSET(Planning!$E$25,0,ROW(A47),1,1)&lt;&gt;"",-'Planning (hide)'!$G50,0)</f>
        <v>0</v>
      </c>
      <c r="J50" s="67">
        <f ca="1">IF(OFFSET(Planning!$E$25,COLUMN(A47),ROW(A47),1,1)&lt;&gt;"",OFFSET(Planning!$D$25,COLUMN(A47),0,1,1),0)</f>
        <v>0</v>
      </c>
      <c r="K50" s="67">
        <f ca="1">IF(OFFSET(Planning!$E$25,COLUMN(B47),ROW(B47),1,1)&lt;&gt;"",OFFSET(Planning!$D$25,COLUMN(B47),0,1,1),0)</f>
        <v>0</v>
      </c>
      <c r="L50" s="67">
        <f ca="1">IF(OFFSET(Planning!$E$25,COLUMN(C47),ROW(C47),1,1)&lt;&gt;"",OFFSET(Planning!$D$25,COLUMN(C47),0,1,1),0)</f>
        <v>0</v>
      </c>
      <c r="M50" s="67">
        <f ca="1">IF(OFFSET(Planning!$E$25,COLUMN(D47),ROW(D47),1,1)&lt;&gt;"",OFFSET(Planning!$D$25,COLUMN(D47),0,1,1),0)</f>
        <v>0</v>
      </c>
      <c r="N50" s="67">
        <f ca="1">IF(OFFSET(Planning!$E$25,COLUMN(E47),ROW(E47),1,1)&lt;&gt;"",OFFSET(Planning!$D$25,COLUMN(E47),0,1,1),0)</f>
        <v>0</v>
      </c>
      <c r="O50" s="67">
        <f ca="1">IF(OFFSET(Planning!$E$25,COLUMN(F47),ROW(F47),1,1)&lt;&gt;"",OFFSET(Planning!$D$25,COLUMN(F47),0,1,1),0)</f>
        <v>0</v>
      </c>
      <c r="P50" s="67">
        <f ca="1">IF(OFFSET(Planning!$E$25,COLUMN(G47),ROW(G47),1,1)&lt;&gt;"",OFFSET(Planning!$D$25,COLUMN(G47),0,1,1),0)</f>
        <v>0</v>
      </c>
      <c r="Q50" s="67">
        <f ca="1">IF(OFFSET(Planning!$E$25,COLUMN(H47),ROW(H47),1,1)&lt;&gt;"",OFFSET(Planning!$D$25,COLUMN(H47),0,1,1),0)</f>
        <v>0</v>
      </c>
      <c r="R50" s="67">
        <f ca="1">IF(OFFSET(Planning!$E$25,COLUMN(I47),ROW(I47),1,1)&lt;&gt;"",OFFSET(Planning!$D$25,COLUMN(I47),0,1,1),0)</f>
        <v>0</v>
      </c>
      <c r="S50" s="67">
        <f ca="1">IF(OFFSET(Planning!$E$25,COLUMN(J47),ROW(J47),1,1)&lt;&gt;"",OFFSET(Planning!$D$25,COLUMN(J47),0,1,1),0)</f>
        <v>0</v>
      </c>
      <c r="T50" s="67">
        <f ca="1">IF(OFFSET(Planning!$E$25,COLUMN(K47),ROW(K47),1,1)&lt;&gt;"",OFFSET(Planning!$D$25,COLUMN(K47),0,1,1),0)</f>
        <v>0</v>
      </c>
      <c r="U50" s="67">
        <f ca="1">IF(OFFSET(Planning!$E$25,COLUMN(L47),ROW(L47),1,1)&lt;&gt;"",OFFSET(Planning!$D$25,COLUMN(L47),0,1,1),0)</f>
        <v>0</v>
      </c>
      <c r="V50" s="67">
        <f ca="1">IF(OFFSET(Planning!$E$25,COLUMN(M47),ROW(M47),1,1)&lt;&gt;"",OFFSET(Planning!$D$25,COLUMN(M47),0,1,1),0)</f>
        <v>0</v>
      </c>
      <c r="W50" s="67">
        <f ca="1">IF(OFFSET(Planning!$E$25,COLUMN(N47),ROW(N47),1,1)&lt;&gt;"",OFFSET(Planning!$D$25,COLUMN(N47),0,1,1),0)</f>
        <v>0</v>
      </c>
      <c r="X50" s="67">
        <f ca="1">IF(OFFSET(Planning!$E$25,COLUMN(O47),ROW(O47),1,1)&lt;&gt;"",OFFSET(Planning!$D$25,COLUMN(O47),0,1,1),0)</f>
        <v>0</v>
      </c>
      <c r="Y50" s="67">
        <f ca="1">IF(OFFSET(Planning!$E$25,COLUMN(P47),ROW(P47),1,1)&lt;&gt;"",OFFSET(Planning!$D$25,COLUMN(P47),0,1,1),0)</f>
        <v>0</v>
      </c>
      <c r="Z50" s="67">
        <f ca="1">IF(OFFSET(Planning!$E$25,COLUMN(Q47),ROW(Q47),1,1)&lt;&gt;"",OFFSET(Planning!$D$25,COLUMN(Q47),0,1,1),0)</f>
        <v>0</v>
      </c>
      <c r="AA50" s="67">
        <f ca="1">IF(OFFSET(Planning!$E$25,COLUMN(R47),ROW(R47),1,1)&lt;&gt;"",OFFSET(Planning!$D$25,COLUMN(R47),0,1,1),0)</f>
        <v>0</v>
      </c>
      <c r="AB50" s="67">
        <f ca="1">IF(OFFSET(Planning!$E$25,COLUMN(S47),ROW(S47),1,1)&lt;&gt;"",OFFSET(Planning!$D$25,COLUMN(S47),0,1,1),0)</f>
        <v>0</v>
      </c>
      <c r="AC50" s="67">
        <f ca="1">IF(OFFSET(Planning!$E$25,COLUMN(T47),ROW(T47),1,1)&lt;&gt;"",OFFSET(Planning!$D$25,COLUMN(T47),0,1,1),0)</f>
        <v>0</v>
      </c>
      <c r="AD50" s="67">
        <f ca="1">VLOOKUP($B50,'Summary Calculations (hide)'!$D$15:$U$67,17,0)</f>
        <v>74.025899999999993</v>
      </c>
      <c r="AE50" s="67">
        <f ca="1">VLOOKUP($B50,'Summary Calculations (hide)'!$D$15:$U$67,18,0)</f>
        <v>7.4025900000000036</v>
      </c>
    </row>
    <row r="51" spans="1:31" x14ac:dyDescent="0.25">
      <c r="A51" s="87">
        <f t="shared" ca="1" si="3"/>
        <v>44263</v>
      </c>
      <c r="B51" s="67">
        <f t="shared" ca="1" si="0"/>
        <v>11</v>
      </c>
      <c r="C51" s="5">
        <f ca="1">IF(Planning!$C$8="No",VLOOKUP(B51,'Summary Calculations (hide)'!$D$15:$U$67,17,0),IF('Demand adjustments for Covid'!$F$9="Yes",'Demand background (hide)'!DS51,VLOOKUP(B51,'Summary Calculations (hide)'!$D$15:$F$67,2,0))*IF(Planning!$C$11="",1,1+Planning!$C$11)*'Summary Calculations (hide)'!$L$4/IF(Summary!$C$8="Patients",'Summary Calculations (hide)'!$I$9,1))</f>
        <v>74.025899999999993</v>
      </c>
      <c r="D51" s="5">
        <f ca="1">IF(Planning!$C$8="No",VLOOKUP('Planning (hide)'!B51,'Summary Calculations (hide)'!$D$15:$U$67,18,0),IF('Demand adjustments for Covid'!$F$9="Yes",'Demand background (hide)'!DT51,VLOOKUP(B51,'Summary Calculations (hide)'!$D$15:$F$67,3,0))*IF(Planning!$C$11="",1,1+Planning!$C$11)*'Summary Calculations (hide)'!$L$4/IF(Summary!$C$8="Patients",'Summary Calculations (hide)'!$I$9,1))-IF(Planning!$C$8="No",0,C51)</f>
        <v>7.4025900000000036</v>
      </c>
      <c r="E51" s="5">
        <f ca="1">VLOOKUP($B51,'Summary Calculations (hide)'!$D$15:$U$67,15,0)</f>
        <v>80.769230769230774</v>
      </c>
      <c r="F51" s="5">
        <f ca="1">VLOOKUP($B51,'Summary Calculations (hide)'!$D$15:$U$67,16,0)</f>
        <v>0</v>
      </c>
      <c r="G51" s="5">
        <f t="shared" ca="1" si="1"/>
        <v>80.769230769230774</v>
      </c>
      <c r="H51" s="5">
        <f t="shared" ca="1" si="2"/>
        <v>80.769230769230774</v>
      </c>
      <c r="I51" s="67">
        <f ca="1">IF(OFFSET(Planning!$E$25,0,ROW(A48),1,1)&lt;&gt;"",-'Planning (hide)'!$G51,0)</f>
        <v>0</v>
      </c>
      <c r="J51" s="67">
        <f ca="1">IF(OFFSET(Planning!$E$25,COLUMN(A48),ROW(A48),1,1)&lt;&gt;"",OFFSET(Planning!$D$25,COLUMN(A48),0,1,1),0)</f>
        <v>0</v>
      </c>
      <c r="K51" s="67">
        <f ca="1">IF(OFFSET(Planning!$E$25,COLUMN(B48),ROW(B48),1,1)&lt;&gt;"",OFFSET(Planning!$D$25,COLUMN(B48),0,1,1),0)</f>
        <v>0</v>
      </c>
      <c r="L51" s="67">
        <f ca="1">IF(OFFSET(Planning!$E$25,COLUMN(C48),ROW(C48),1,1)&lt;&gt;"",OFFSET(Planning!$D$25,COLUMN(C48),0,1,1),0)</f>
        <v>0</v>
      </c>
      <c r="M51" s="67">
        <f ca="1">IF(OFFSET(Planning!$E$25,COLUMN(D48),ROW(D48),1,1)&lt;&gt;"",OFFSET(Planning!$D$25,COLUMN(D48),0,1,1),0)</f>
        <v>0</v>
      </c>
      <c r="N51" s="67">
        <f ca="1">IF(OFFSET(Planning!$E$25,COLUMN(E48),ROW(E48),1,1)&lt;&gt;"",OFFSET(Planning!$D$25,COLUMN(E48),0,1,1),0)</f>
        <v>0</v>
      </c>
      <c r="O51" s="67">
        <f ca="1">IF(OFFSET(Planning!$E$25,COLUMN(F48),ROW(F48),1,1)&lt;&gt;"",OFFSET(Planning!$D$25,COLUMN(F48),0,1,1),0)</f>
        <v>0</v>
      </c>
      <c r="P51" s="67">
        <f ca="1">IF(OFFSET(Planning!$E$25,COLUMN(G48),ROW(G48),1,1)&lt;&gt;"",OFFSET(Planning!$D$25,COLUMN(G48),0,1,1),0)</f>
        <v>0</v>
      </c>
      <c r="Q51" s="67">
        <f ca="1">IF(OFFSET(Planning!$E$25,COLUMN(H48),ROW(H48),1,1)&lt;&gt;"",OFFSET(Planning!$D$25,COLUMN(H48),0,1,1),0)</f>
        <v>0</v>
      </c>
      <c r="R51" s="67">
        <f ca="1">IF(OFFSET(Planning!$E$25,COLUMN(I48),ROW(I48),1,1)&lt;&gt;"",OFFSET(Planning!$D$25,COLUMN(I48),0,1,1),0)</f>
        <v>0</v>
      </c>
      <c r="S51" s="67">
        <f ca="1">IF(OFFSET(Planning!$E$25,COLUMN(J48),ROW(J48),1,1)&lt;&gt;"",OFFSET(Planning!$D$25,COLUMN(J48),0,1,1),0)</f>
        <v>0</v>
      </c>
      <c r="T51" s="67">
        <f ca="1">IF(OFFSET(Planning!$E$25,COLUMN(K48),ROW(K48),1,1)&lt;&gt;"",OFFSET(Planning!$D$25,COLUMN(K48),0,1,1),0)</f>
        <v>0</v>
      </c>
      <c r="U51" s="67">
        <f ca="1">IF(OFFSET(Planning!$E$25,COLUMN(L48),ROW(L48),1,1)&lt;&gt;"",OFFSET(Planning!$D$25,COLUMN(L48),0,1,1),0)</f>
        <v>0</v>
      </c>
      <c r="V51" s="67">
        <f ca="1">IF(OFFSET(Planning!$E$25,COLUMN(M48),ROW(M48),1,1)&lt;&gt;"",OFFSET(Planning!$D$25,COLUMN(M48),0,1,1),0)</f>
        <v>0</v>
      </c>
      <c r="W51" s="67">
        <f ca="1">IF(OFFSET(Planning!$E$25,COLUMN(N48),ROW(N48),1,1)&lt;&gt;"",OFFSET(Planning!$D$25,COLUMN(N48),0,1,1),0)</f>
        <v>0</v>
      </c>
      <c r="X51" s="67">
        <f ca="1">IF(OFFSET(Planning!$E$25,COLUMN(O48),ROW(O48),1,1)&lt;&gt;"",OFFSET(Planning!$D$25,COLUMN(O48),0,1,1),0)</f>
        <v>0</v>
      </c>
      <c r="Y51" s="67">
        <f ca="1">IF(OFFSET(Planning!$E$25,COLUMN(P48),ROW(P48),1,1)&lt;&gt;"",OFFSET(Planning!$D$25,COLUMN(P48),0,1,1),0)</f>
        <v>0</v>
      </c>
      <c r="Z51" s="67">
        <f ca="1">IF(OFFSET(Planning!$E$25,COLUMN(Q48),ROW(Q48),1,1)&lt;&gt;"",OFFSET(Planning!$D$25,COLUMN(Q48),0,1,1),0)</f>
        <v>0</v>
      </c>
      <c r="AA51" s="67">
        <f ca="1">IF(OFFSET(Planning!$E$25,COLUMN(R48),ROW(R48),1,1)&lt;&gt;"",OFFSET(Planning!$D$25,COLUMN(R48),0,1,1),0)</f>
        <v>0</v>
      </c>
      <c r="AB51" s="67">
        <f ca="1">IF(OFFSET(Planning!$E$25,COLUMN(S48),ROW(S48),1,1)&lt;&gt;"",OFFSET(Planning!$D$25,COLUMN(S48),0,1,1),0)</f>
        <v>0</v>
      </c>
      <c r="AC51" s="67">
        <f ca="1">IF(OFFSET(Planning!$E$25,COLUMN(T48),ROW(T48),1,1)&lt;&gt;"",OFFSET(Planning!$D$25,COLUMN(T48),0,1,1),0)</f>
        <v>0</v>
      </c>
      <c r="AD51" s="67">
        <f ca="1">VLOOKUP($B51,'Summary Calculations (hide)'!$D$15:$U$67,17,0)</f>
        <v>70.024499999999989</v>
      </c>
      <c r="AE51" s="67">
        <f ca="1">VLOOKUP($B51,'Summary Calculations (hide)'!$D$15:$U$67,18,0)</f>
        <v>7.0024499999999961</v>
      </c>
    </row>
    <row r="52" spans="1:31" x14ac:dyDescent="0.25">
      <c r="A52" s="87">
        <f t="shared" ca="1" si="3"/>
        <v>44270</v>
      </c>
      <c r="B52" s="67">
        <f t="shared" ca="1" si="0"/>
        <v>12</v>
      </c>
      <c r="C52" s="5">
        <f ca="1">IF(Planning!$C$8="No",VLOOKUP(B52,'Summary Calculations (hide)'!$D$15:$U$67,17,0),IF('Demand adjustments for Covid'!$F$9="Yes",'Demand background (hide)'!DS52,VLOOKUP(B52,'Summary Calculations (hide)'!$D$15:$F$67,2,0))*IF(Planning!$C$11="",1,1+Planning!$C$11)*'Summary Calculations (hide)'!$L$4/IF(Summary!$C$8="Patients",'Summary Calculations (hide)'!$I$9,1))</f>
        <v>70.024499999999989</v>
      </c>
      <c r="D52" s="5">
        <f ca="1">IF(Planning!$C$8="No",VLOOKUP('Planning (hide)'!B52,'Summary Calculations (hide)'!$D$15:$U$67,18,0),IF('Demand adjustments for Covid'!$F$9="Yes",'Demand background (hide)'!DT52,VLOOKUP(B52,'Summary Calculations (hide)'!$D$15:$F$67,3,0))*IF(Planning!$C$11="",1,1+Planning!$C$11)*'Summary Calculations (hide)'!$L$4/IF(Summary!$C$8="Patients",'Summary Calculations (hide)'!$I$9,1))-IF(Planning!$C$8="No",0,C52)</f>
        <v>7.0024499999999961</v>
      </c>
      <c r="E52" s="5">
        <f ca="1">VLOOKUP($B52,'Summary Calculations (hide)'!$D$15:$U$67,15,0)</f>
        <v>80.769230769230774</v>
      </c>
      <c r="F52" s="5">
        <f ca="1">VLOOKUP($B52,'Summary Calculations (hide)'!$D$15:$U$67,16,0)</f>
        <v>0</v>
      </c>
      <c r="G52" s="5">
        <f t="shared" ca="1" si="1"/>
        <v>80.769230769230774</v>
      </c>
      <c r="H52" s="5">
        <f t="shared" ca="1" si="2"/>
        <v>80.769230769230774</v>
      </c>
      <c r="I52" s="67">
        <f ca="1">IF(OFFSET(Planning!$E$25,0,ROW(A49),1,1)&lt;&gt;"",-'Planning (hide)'!$G52,0)</f>
        <v>0</v>
      </c>
      <c r="J52" s="67">
        <f ca="1">IF(OFFSET(Planning!$E$25,COLUMN(A49),ROW(A49),1,1)&lt;&gt;"",OFFSET(Planning!$D$25,COLUMN(A49),0,1,1),0)</f>
        <v>0</v>
      </c>
      <c r="K52" s="67">
        <f ca="1">IF(OFFSET(Planning!$E$25,COLUMN(B49),ROW(B49),1,1)&lt;&gt;"",OFFSET(Planning!$D$25,COLUMN(B49),0,1,1),0)</f>
        <v>0</v>
      </c>
      <c r="L52" s="67">
        <f ca="1">IF(OFFSET(Planning!$E$25,COLUMN(C49),ROW(C49),1,1)&lt;&gt;"",OFFSET(Planning!$D$25,COLUMN(C49),0,1,1),0)</f>
        <v>0</v>
      </c>
      <c r="M52" s="67">
        <f ca="1">IF(OFFSET(Planning!$E$25,COLUMN(D49),ROW(D49),1,1)&lt;&gt;"",OFFSET(Planning!$D$25,COLUMN(D49),0,1,1),0)</f>
        <v>0</v>
      </c>
      <c r="N52" s="67">
        <f ca="1">IF(OFFSET(Planning!$E$25,COLUMN(E49),ROW(E49),1,1)&lt;&gt;"",OFFSET(Planning!$D$25,COLUMN(E49),0,1,1),0)</f>
        <v>0</v>
      </c>
      <c r="O52" s="67">
        <f ca="1">IF(OFFSET(Planning!$E$25,COLUMN(F49),ROW(F49),1,1)&lt;&gt;"",OFFSET(Planning!$D$25,COLUMN(F49),0,1,1),0)</f>
        <v>0</v>
      </c>
      <c r="P52" s="67">
        <f ca="1">IF(OFFSET(Planning!$E$25,COLUMN(G49),ROW(G49),1,1)&lt;&gt;"",OFFSET(Planning!$D$25,COLUMN(G49),0,1,1),0)</f>
        <v>0</v>
      </c>
      <c r="Q52" s="67">
        <f ca="1">IF(OFFSET(Planning!$E$25,COLUMN(H49),ROW(H49),1,1)&lt;&gt;"",OFFSET(Planning!$D$25,COLUMN(H49),0,1,1),0)</f>
        <v>0</v>
      </c>
      <c r="R52" s="67">
        <f ca="1">IF(OFFSET(Planning!$E$25,COLUMN(I49),ROW(I49),1,1)&lt;&gt;"",OFFSET(Planning!$D$25,COLUMN(I49),0,1,1),0)</f>
        <v>0</v>
      </c>
      <c r="S52" s="67">
        <f ca="1">IF(OFFSET(Planning!$E$25,COLUMN(J49),ROW(J49),1,1)&lt;&gt;"",OFFSET(Planning!$D$25,COLUMN(J49),0,1,1),0)</f>
        <v>0</v>
      </c>
      <c r="T52" s="67">
        <f ca="1">IF(OFFSET(Planning!$E$25,COLUMN(K49),ROW(K49),1,1)&lt;&gt;"",OFFSET(Planning!$D$25,COLUMN(K49),0,1,1),0)</f>
        <v>0</v>
      </c>
      <c r="U52" s="67">
        <f ca="1">IF(OFFSET(Planning!$E$25,COLUMN(L49),ROW(L49),1,1)&lt;&gt;"",OFFSET(Planning!$D$25,COLUMN(L49),0,1,1),0)</f>
        <v>0</v>
      </c>
      <c r="V52" s="67">
        <f ca="1">IF(OFFSET(Planning!$E$25,COLUMN(M49),ROW(M49),1,1)&lt;&gt;"",OFFSET(Planning!$D$25,COLUMN(M49),0,1,1),0)</f>
        <v>0</v>
      </c>
      <c r="W52" s="67">
        <f ca="1">IF(OFFSET(Planning!$E$25,COLUMN(N49),ROW(N49),1,1)&lt;&gt;"",OFFSET(Planning!$D$25,COLUMN(N49),0,1,1),0)</f>
        <v>0</v>
      </c>
      <c r="X52" s="67">
        <f ca="1">IF(OFFSET(Planning!$E$25,COLUMN(O49),ROW(O49),1,1)&lt;&gt;"",OFFSET(Planning!$D$25,COLUMN(O49),0,1,1),0)</f>
        <v>0</v>
      </c>
      <c r="Y52" s="67">
        <f ca="1">IF(OFFSET(Planning!$E$25,COLUMN(P49),ROW(P49),1,1)&lt;&gt;"",OFFSET(Planning!$D$25,COLUMN(P49),0,1,1),0)</f>
        <v>0</v>
      </c>
      <c r="Z52" s="67">
        <f ca="1">IF(OFFSET(Planning!$E$25,COLUMN(Q49),ROW(Q49),1,1)&lt;&gt;"",OFFSET(Planning!$D$25,COLUMN(Q49),0,1,1),0)</f>
        <v>0</v>
      </c>
      <c r="AA52" s="67">
        <f ca="1">IF(OFFSET(Planning!$E$25,COLUMN(R49),ROW(R49),1,1)&lt;&gt;"",OFFSET(Planning!$D$25,COLUMN(R49),0,1,1),0)</f>
        <v>0</v>
      </c>
      <c r="AB52" s="67">
        <f ca="1">IF(OFFSET(Planning!$E$25,COLUMN(S49),ROW(S49),1,1)&lt;&gt;"",OFFSET(Planning!$D$25,COLUMN(S49),0,1,1),0)</f>
        <v>0</v>
      </c>
      <c r="AC52" s="67">
        <f ca="1">IF(OFFSET(Planning!$E$25,COLUMN(T49),ROW(T49),1,1)&lt;&gt;"",OFFSET(Planning!$D$25,COLUMN(T49),0,1,1),0)</f>
        <v>0</v>
      </c>
      <c r="AD52" s="67">
        <f ca="1">VLOOKUP($B52,'Summary Calculations (hide)'!$D$15:$U$67,17,0)</f>
        <v>76.026600000000002</v>
      </c>
      <c r="AE52" s="67">
        <f ca="1">VLOOKUP($B52,'Summary Calculations (hide)'!$D$15:$U$67,18,0)</f>
        <v>7.6026600000000002</v>
      </c>
    </row>
    <row r="53" spans="1:31" x14ac:dyDescent="0.25">
      <c r="A53" s="87">
        <f t="shared" ca="1" si="3"/>
        <v>44277</v>
      </c>
      <c r="B53" s="67">
        <f t="shared" ca="1" si="0"/>
        <v>13</v>
      </c>
      <c r="C53" s="5">
        <f ca="1">IF(Planning!$C$8="No",VLOOKUP(B53,'Summary Calculations (hide)'!$D$15:$U$67,17,0),IF('Demand adjustments for Covid'!$F$9="Yes",'Demand background (hide)'!DS53,VLOOKUP(B53,'Summary Calculations (hide)'!$D$15:$F$67,2,0))*IF(Planning!$C$11="",1,1+Planning!$C$11)*'Summary Calculations (hide)'!$L$4/IF(Summary!$C$8="Patients",'Summary Calculations (hide)'!$I$9,1))</f>
        <v>76.026599999999988</v>
      </c>
      <c r="D53" s="5">
        <f ca="1">IF(Planning!$C$8="No",VLOOKUP('Planning (hide)'!B53,'Summary Calculations (hide)'!$D$15:$U$67,18,0),IF('Demand adjustments for Covid'!$F$9="Yes",'Demand background (hide)'!DT53,VLOOKUP(B53,'Summary Calculations (hide)'!$D$15:$F$67,3,0))*IF(Planning!$C$11="",1,1+Planning!$C$11)*'Summary Calculations (hide)'!$L$4/IF(Summary!$C$8="Patients",'Summary Calculations (hide)'!$I$9,1))-IF(Planning!$C$8="No",0,C53)</f>
        <v>7.6026600000000144</v>
      </c>
      <c r="E53" s="5">
        <f ca="1">VLOOKUP($B53,'Summary Calculations (hide)'!$D$15:$U$67,15,0)</f>
        <v>80.769230769230774</v>
      </c>
      <c r="F53" s="5">
        <f ca="1">VLOOKUP($B53,'Summary Calculations (hide)'!$D$15:$U$67,16,0)</f>
        <v>0</v>
      </c>
      <c r="G53" s="5">
        <f t="shared" ca="1" si="1"/>
        <v>80.769230769230774</v>
      </c>
      <c r="H53" s="5">
        <f t="shared" ca="1" si="2"/>
        <v>80.769230769230774</v>
      </c>
      <c r="I53" s="67">
        <f ca="1">IF(OFFSET(Planning!$E$25,0,ROW(A50),1,1)&lt;&gt;"",-'Planning (hide)'!$G53,0)</f>
        <v>0</v>
      </c>
      <c r="J53" s="67">
        <f ca="1">IF(OFFSET(Planning!$E$25,COLUMN(A50),ROW(A50),1,1)&lt;&gt;"",OFFSET(Planning!$D$25,COLUMN(A50),0,1,1),0)</f>
        <v>0</v>
      </c>
      <c r="K53" s="67">
        <f ca="1">IF(OFFSET(Planning!$E$25,COLUMN(B50),ROW(B50),1,1)&lt;&gt;"",OFFSET(Planning!$D$25,COLUMN(B50),0,1,1),0)</f>
        <v>0</v>
      </c>
      <c r="L53" s="67">
        <f ca="1">IF(OFFSET(Planning!$E$25,COLUMN(C50),ROW(C50),1,1)&lt;&gt;"",OFFSET(Planning!$D$25,COLUMN(C50),0,1,1),0)</f>
        <v>0</v>
      </c>
      <c r="M53" s="67">
        <f ca="1">IF(OFFSET(Planning!$E$25,COLUMN(D50),ROW(D50),1,1)&lt;&gt;"",OFFSET(Planning!$D$25,COLUMN(D50),0,1,1),0)</f>
        <v>0</v>
      </c>
      <c r="N53" s="67">
        <f ca="1">IF(OFFSET(Planning!$E$25,COLUMN(E50),ROW(E50),1,1)&lt;&gt;"",OFFSET(Planning!$D$25,COLUMN(E50),0,1,1),0)</f>
        <v>0</v>
      </c>
      <c r="O53" s="67">
        <f ca="1">IF(OFFSET(Planning!$E$25,COLUMN(F50),ROW(F50),1,1)&lt;&gt;"",OFFSET(Planning!$D$25,COLUMN(F50),0,1,1),0)</f>
        <v>0</v>
      </c>
      <c r="P53" s="67">
        <f ca="1">IF(OFFSET(Planning!$E$25,COLUMN(G50),ROW(G50),1,1)&lt;&gt;"",OFFSET(Planning!$D$25,COLUMN(G50),0,1,1),0)</f>
        <v>0</v>
      </c>
      <c r="Q53" s="67">
        <f ca="1">IF(OFFSET(Planning!$E$25,COLUMN(H50),ROW(H50),1,1)&lt;&gt;"",OFFSET(Planning!$D$25,COLUMN(H50),0,1,1),0)</f>
        <v>0</v>
      </c>
      <c r="R53" s="67">
        <f ca="1">IF(OFFSET(Planning!$E$25,COLUMN(I50),ROW(I50),1,1)&lt;&gt;"",OFFSET(Planning!$D$25,COLUMN(I50),0,1,1),0)</f>
        <v>0</v>
      </c>
      <c r="S53" s="67">
        <f ca="1">IF(OFFSET(Planning!$E$25,COLUMN(J50),ROW(J50),1,1)&lt;&gt;"",OFFSET(Planning!$D$25,COLUMN(J50),0,1,1),0)</f>
        <v>0</v>
      </c>
      <c r="T53" s="67">
        <f ca="1">IF(OFFSET(Planning!$E$25,COLUMN(K50),ROW(K50),1,1)&lt;&gt;"",OFFSET(Planning!$D$25,COLUMN(K50),0,1,1),0)</f>
        <v>0</v>
      </c>
      <c r="U53" s="67">
        <f ca="1">IF(OFFSET(Planning!$E$25,COLUMN(L50),ROW(L50),1,1)&lt;&gt;"",OFFSET(Planning!$D$25,COLUMN(L50),0,1,1),0)</f>
        <v>0</v>
      </c>
      <c r="V53" s="67">
        <f ca="1">IF(OFFSET(Planning!$E$25,COLUMN(M50),ROW(M50),1,1)&lt;&gt;"",OFFSET(Planning!$D$25,COLUMN(M50),0,1,1),0)</f>
        <v>0</v>
      </c>
      <c r="W53" s="67">
        <f ca="1">IF(OFFSET(Planning!$E$25,COLUMN(N50),ROW(N50),1,1)&lt;&gt;"",OFFSET(Planning!$D$25,COLUMN(N50),0,1,1),0)</f>
        <v>0</v>
      </c>
      <c r="X53" s="67">
        <f ca="1">IF(OFFSET(Planning!$E$25,COLUMN(O50),ROW(O50),1,1)&lt;&gt;"",OFFSET(Planning!$D$25,COLUMN(O50),0,1,1),0)</f>
        <v>0</v>
      </c>
      <c r="Y53" s="67">
        <f ca="1">IF(OFFSET(Planning!$E$25,COLUMN(P50),ROW(P50),1,1)&lt;&gt;"",OFFSET(Planning!$D$25,COLUMN(P50),0,1,1),0)</f>
        <v>0</v>
      </c>
      <c r="Z53" s="67">
        <f ca="1">IF(OFFSET(Planning!$E$25,COLUMN(Q50),ROW(Q50),1,1)&lt;&gt;"",OFFSET(Planning!$D$25,COLUMN(Q50),0,1,1),0)</f>
        <v>0</v>
      </c>
      <c r="AA53" s="67">
        <f ca="1">IF(OFFSET(Planning!$E$25,COLUMN(R50),ROW(R50),1,1)&lt;&gt;"",OFFSET(Planning!$D$25,COLUMN(R50),0,1,1),0)</f>
        <v>0</v>
      </c>
      <c r="AB53" s="67">
        <f ca="1">IF(OFFSET(Planning!$E$25,COLUMN(S50),ROW(S50),1,1)&lt;&gt;"",OFFSET(Planning!$D$25,COLUMN(S50),0,1,1),0)</f>
        <v>0</v>
      </c>
      <c r="AC53" s="67">
        <f ca="1">IF(OFFSET(Planning!$E$25,COLUMN(T50),ROW(T50),1,1)&lt;&gt;"",OFFSET(Planning!$D$25,COLUMN(T50),0,1,1),0)</f>
        <v>0</v>
      </c>
      <c r="AD53" s="67">
        <f ca="1">VLOOKUP($B53,'Summary Calculations (hide)'!$D$15:$U$67,17,0)</f>
        <v>73.025549999999996</v>
      </c>
      <c r="AE53" s="67">
        <f ca="1">VLOOKUP($B53,'Summary Calculations (hide)'!$D$15:$U$67,18,0)</f>
        <v>7.3025550000000123</v>
      </c>
    </row>
    <row r="54" spans="1:31" x14ac:dyDescent="0.25">
      <c r="A54" s="87">
        <f t="shared" ca="1" si="3"/>
        <v>44284</v>
      </c>
      <c r="B54" s="67">
        <f t="shared" ca="1" si="0"/>
        <v>14</v>
      </c>
      <c r="C54" s="5">
        <f ca="1">IF(Planning!$C$8="No",VLOOKUP(B54,'Summary Calculations (hide)'!$D$15:$U$67,17,0),IF('Demand adjustments for Covid'!$F$9="Yes",'Demand background (hide)'!DS54,VLOOKUP(B54,'Summary Calculations (hide)'!$D$15:$F$67,2,0))*IF(Planning!$C$11="",1,1+Planning!$C$11)*'Summary Calculations (hide)'!$L$4/IF(Summary!$C$8="Patients",'Summary Calculations (hide)'!$I$9,1))</f>
        <v>73.025549999999996</v>
      </c>
      <c r="D54" s="5">
        <f ca="1">IF(Planning!$C$8="No",VLOOKUP('Planning (hide)'!B54,'Summary Calculations (hide)'!$D$15:$U$67,18,0),IF('Demand adjustments for Covid'!$F$9="Yes",'Demand background (hide)'!DT54,VLOOKUP(B54,'Summary Calculations (hide)'!$D$15:$F$67,3,0))*IF(Planning!$C$11="",1,1+Planning!$C$11)*'Summary Calculations (hide)'!$L$4/IF(Summary!$C$8="Patients",'Summary Calculations (hide)'!$I$9,1))-IF(Planning!$C$8="No",0,C54)</f>
        <v>7.3025549999999981</v>
      </c>
      <c r="E54" s="5">
        <f ca="1">VLOOKUP($B54,'Summary Calculations (hide)'!$D$15:$U$67,15,0)</f>
        <v>80.769230769230774</v>
      </c>
      <c r="F54" s="5">
        <f ca="1">VLOOKUP($B54,'Summary Calculations (hide)'!$D$15:$U$67,16,0)</f>
        <v>0</v>
      </c>
      <c r="G54" s="5">
        <f t="shared" ca="1" si="1"/>
        <v>80.769230769230774</v>
      </c>
      <c r="H54" s="5">
        <f t="shared" ca="1" si="2"/>
        <v>80.769230769230774</v>
      </c>
      <c r="I54" s="67">
        <f ca="1">IF(OFFSET(Planning!$E$25,0,ROW(A51),1,1)&lt;&gt;"",-'Planning (hide)'!$G54,0)</f>
        <v>0</v>
      </c>
      <c r="J54" s="67">
        <f ca="1">IF(OFFSET(Planning!$E$25,COLUMN(A51),ROW(A51),1,1)&lt;&gt;"",OFFSET(Planning!$D$25,COLUMN(A51),0,1,1),0)</f>
        <v>0</v>
      </c>
      <c r="K54" s="67">
        <f ca="1">IF(OFFSET(Planning!$E$25,COLUMN(B51),ROW(B51),1,1)&lt;&gt;"",OFFSET(Planning!$D$25,COLUMN(B51),0,1,1),0)</f>
        <v>0</v>
      </c>
      <c r="L54" s="67">
        <f ca="1">IF(OFFSET(Planning!$E$25,COLUMN(C51),ROW(C51),1,1)&lt;&gt;"",OFFSET(Planning!$D$25,COLUMN(C51),0,1,1),0)</f>
        <v>0</v>
      </c>
      <c r="M54" s="67">
        <f ca="1">IF(OFFSET(Planning!$E$25,COLUMN(D51),ROW(D51),1,1)&lt;&gt;"",OFFSET(Planning!$D$25,COLUMN(D51),0,1,1),0)</f>
        <v>0</v>
      </c>
      <c r="N54" s="67">
        <f ca="1">IF(OFFSET(Planning!$E$25,COLUMN(E51),ROW(E51),1,1)&lt;&gt;"",OFFSET(Planning!$D$25,COLUMN(E51),0,1,1),0)</f>
        <v>0</v>
      </c>
      <c r="O54" s="67">
        <f ca="1">IF(OFFSET(Planning!$E$25,COLUMN(F51),ROW(F51),1,1)&lt;&gt;"",OFFSET(Planning!$D$25,COLUMN(F51),0,1,1),0)</f>
        <v>0</v>
      </c>
      <c r="P54" s="67">
        <f ca="1">IF(OFFSET(Planning!$E$25,COLUMN(G51),ROW(G51),1,1)&lt;&gt;"",OFFSET(Planning!$D$25,COLUMN(G51),0,1,1),0)</f>
        <v>0</v>
      </c>
      <c r="Q54" s="67">
        <f ca="1">IF(OFFSET(Planning!$E$25,COLUMN(H51),ROW(H51),1,1)&lt;&gt;"",OFFSET(Planning!$D$25,COLUMN(H51),0,1,1),0)</f>
        <v>0</v>
      </c>
      <c r="R54" s="67">
        <f ca="1">IF(OFFSET(Planning!$E$25,COLUMN(I51),ROW(I51),1,1)&lt;&gt;"",OFFSET(Planning!$D$25,COLUMN(I51),0,1,1),0)</f>
        <v>0</v>
      </c>
      <c r="S54" s="67">
        <f ca="1">IF(OFFSET(Planning!$E$25,COLUMN(J51),ROW(J51),1,1)&lt;&gt;"",OFFSET(Planning!$D$25,COLUMN(J51),0,1,1),0)</f>
        <v>0</v>
      </c>
      <c r="T54" s="67">
        <f ca="1">IF(OFFSET(Planning!$E$25,COLUMN(K51),ROW(K51),1,1)&lt;&gt;"",OFFSET(Planning!$D$25,COLUMN(K51),0,1,1),0)</f>
        <v>0</v>
      </c>
      <c r="U54" s="67">
        <f ca="1">IF(OFFSET(Planning!$E$25,COLUMN(L51),ROW(L51),1,1)&lt;&gt;"",OFFSET(Planning!$D$25,COLUMN(L51),0,1,1),0)</f>
        <v>0</v>
      </c>
      <c r="V54" s="67">
        <f ca="1">IF(OFFSET(Planning!$E$25,COLUMN(M51),ROW(M51),1,1)&lt;&gt;"",OFFSET(Planning!$D$25,COLUMN(M51),0,1,1),0)</f>
        <v>0</v>
      </c>
      <c r="W54" s="67">
        <f ca="1">IF(OFFSET(Planning!$E$25,COLUMN(N51),ROW(N51),1,1)&lt;&gt;"",OFFSET(Planning!$D$25,COLUMN(N51),0,1,1),0)</f>
        <v>0</v>
      </c>
      <c r="X54" s="67">
        <f ca="1">IF(OFFSET(Planning!$E$25,COLUMN(O51),ROW(O51),1,1)&lt;&gt;"",OFFSET(Planning!$D$25,COLUMN(O51),0,1,1),0)</f>
        <v>0</v>
      </c>
      <c r="Y54" s="67">
        <f ca="1">IF(OFFSET(Planning!$E$25,COLUMN(P51),ROW(P51),1,1)&lt;&gt;"",OFFSET(Planning!$D$25,COLUMN(P51),0,1,1),0)</f>
        <v>0</v>
      </c>
      <c r="Z54" s="67">
        <f ca="1">IF(OFFSET(Planning!$E$25,COLUMN(Q51),ROW(Q51),1,1)&lt;&gt;"",OFFSET(Planning!$D$25,COLUMN(Q51),0,1,1),0)</f>
        <v>0</v>
      </c>
      <c r="AA54" s="67">
        <f ca="1">IF(OFFSET(Planning!$E$25,COLUMN(R51),ROW(R51),1,1)&lt;&gt;"",OFFSET(Planning!$D$25,COLUMN(R51),0,1,1),0)</f>
        <v>0</v>
      </c>
      <c r="AB54" s="67">
        <f ca="1">IF(OFFSET(Planning!$E$25,COLUMN(S51),ROW(S51),1,1)&lt;&gt;"",OFFSET(Planning!$D$25,COLUMN(S51),0,1,1),0)</f>
        <v>0</v>
      </c>
      <c r="AC54" s="67">
        <f ca="1">IF(OFFSET(Planning!$E$25,COLUMN(T51),ROW(T51),1,1)&lt;&gt;"",OFFSET(Planning!$D$25,COLUMN(T51),0,1,1),0)</f>
        <v>0</v>
      </c>
      <c r="AD54" s="67">
        <f ca="1">VLOOKUP($B54,'Summary Calculations (hide)'!$D$15:$U$67,17,0)</f>
        <v>65.022750000000002</v>
      </c>
      <c r="AE54" s="67">
        <f ca="1">VLOOKUP($B54,'Summary Calculations (hide)'!$D$15:$U$67,18,0)</f>
        <v>6.5022749999999974</v>
      </c>
    </row>
    <row r="55" spans="1:31" x14ac:dyDescent="0.25">
      <c r="A55" s="87">
        <f t="shared" ca="1" si="3"/>
        <v>44291</v>
      </c>
      <c r="B55" s="67">
        <f t="shared" ca="1" si="0"/>
        <v>15</v>
      </c>
      <c r="C55" s="5">
        <f ca="1">IF(Planning!$C$8="No",VLOOKUP(B55,'Summary Calculations (hide)'!$D$15:$U$67,17,0),IF('Demand adjustments for Covid'!$F$9="Yes",'Demand background (hide)'!DS55,VLOOKUP(B55,'Summary Calculations (hide)'!$D$15:$F$67,2,0))*IF(Planning!$C$11="",1,1+Planning!$C$11)*'Summary Calculations (hide)'!$L$4/IF(Summary!$C$8="Patients",'Summary Calculations (hide)'!$I$9,1))</f>
        <v>65.022749999999988</v>
      </c>
      <c r="D55" s="5">
        <f ca="1">IF(Planning!$C$8="No",VLOOKUP('Planning (hide)'!B55,'Summary Calculations (hide)'!$D$15:$U$67,18,0),IF('Demand adjustments for Covid'!$F$9="Yes",'Demand background (hide)'!DT55,VLOOKUP(B55,'Summary Calculations (hide)'!$D$15:$F$67,3,0))*IF(Planning!$C$11="",1,1+Planning!$C$11)*'Summary Calculations (hide)'!$L$4/IF(Summary!$C$8="Patients",'Summary Calculations (hide)'!$I$9,1))-IF(Planning!$C$8="No",0,C55)</f>
        <v>6.5022749999999974</v>
      </c>
      <c r="E55" s="5">
        <f ca="1">VLOOKUP($B55,'Summary Calculations (hide)'!$D$15:$U$67,15,0)</f>
        <v>80.769230769230774</v>
      </c>
      <c r="F55" s="5">
        <f ca="1">VLOOKUP($B55,'Summary Calculations (hide)'!$D$15:$U$67,16,0)</f>
        <v>0</v>
      </c>
      <c r="G55" s="5">
        <f t="shared" ca="1" si="1"/>
        <v>80.769230769230774</v>
      </c>
      <c r="H55" s="5">
        <f t="shared" ca="1" si="2"/>
        <v>80.769230769230774</v>
      </c>
      <c r="I55" s="67">
        <f ca="1">IF(OFFSET(Planning!$E$25,0,ROW(A52),1,1)&lt;&gt;"",-'Planning (hide)'!$G55,0)</f>
        <v>0</v>
      </c>
      <c r="J55" s="67">
        <f ca="1">IF(OFFSET(Planning!$E$25,COLUMN(A52),ROW(A52),1,1)&lt;&gt;"",OFFSET(Planning!$D$25,COLUMN(A52),0,1,1),0)</f>
        <v>0</v>
      </c>
      <c r="K55" s="67">
        <f ca="1">IF(OFFSET(Planning!$E$25,COLUMN(B52),ROW(B52),1,1)&lt;&gt;"",OFFSET(Planning!$D$25,COLUMN(B52),0,1,1),0)</f>
        <v>0</v>
      </c>
      <c r="L55" s="67">
        <f ca="1">IF(OFFSET(Planning!$E$25,COLUMN(C52),ROW(C52),1,1)&lt;&gt;"",OFFSET(Planning!$D$25,COLUMN(C52),0,1,1),0)</f>
        <v>0</v>
      </c>
      <c r="M55" s="67">
        <f ca="1">IF(OFFSET(Planning!$E$25,COLUMN(D52),ROW(D52),1,1)&lt;&gt;"",OFFSET(Planning!$D$25,COLUMN(D52),0,1,1),0)</f>
        <v>0</v>
      </c>
      <c r="N55" s="67">
        <f ca="1">IF(OFFSET(Planning!$E$25,COLUMN(E52),ROW(E52),1,1)&lt;&gt;"",OFFSET(Planning!$D$25,COLUMN(E52),0,1,1),0)</f>
        <v>0</v>
      </c>
      <c r="O55" s="67">
        <f ca="1">IF(OFFSET(Planning!$E$25,COLUMN(F52),ROW(F52),1,1)&lt;&gt;"",OFFSET(Planning!$D$25,COLUMN(F52),0,1,1),0)</f>
        <v>0</v>
      </c>
      <c r="P55" s="67">
        <f ca="1">IF(OFFSET(Planning!$E$25,COLUMN(G52),ROW(G52),1,1)&lt;&gt;"",OFFSET(Planning!$D$25,COLUMN(G52),0,1,1),0)</f>
        <v>0</v>
      </c>
      <c r="Q55" s="67">
        <f ca="1">IF(OFFSET(Planning!$E$25,COLUMN(H52),ROW(H52),1,1)&lt;&gt;"",OFFSET(Planning!$D$25,COLUMN(H52),0,1,1),0)</f>
        <v>0</v>
      </c>
      <c r="R55" s="67">
        <f ca="1">IF(OFFSET(Planning!$E$25,COLUMN(I52),ROW(I52),1,1)&lt;&gt;"",OFFSET(Planning!$D$25,COLUMN(I52),0,1,1),0)</f>
        <v>0</v>
      </c>
      <c r="S55" s="67">
        <f ca="1">IF(OFFSET(Planning!$E$25,COLUMN(J52),ROW(J52),1,1)&lt;&gt;"",OFFSET(Planning!$D$25,COLUMN(J52),0,1,1),0)</f>
        <v>0</v>
      </c>
      <c r="T55" s="67">
        <f ca="1">IF(OFFSET(Planning!$E$25,COLUMN(K52),ROW(K52),1,1)&lt;&gt;"",OFFSET(Planning!$D$25,COLUMN(K52),0,1,1),0)</f>
        <v>0</v>
      </c>
      <c r="U55" s="67">
        <f ca="1">IF(OFFSET(Planning!$E$25,COLUMN(L52),ROW(L52),1,1)&lt;&gt;"",OFFSET(Planning!$D$25,COLUMN(L52),0,1,1),0)</f>
        <v>0</v>
      </c>
      <c r="V55" s="67">
        <f ca="1">IF(OFFSET(Planning!$E$25,COLUMN(M52),ROW(M52),1,1)&lt;&gt;"",OFFSET(Planning!$D$25,COLUMN(M52),0,1,1),0)</f>
        <v>0</v>
      </c>
      <c r="W55" s="67">
        <f ca="1">IF(OFFSET(Planning!$E$25,COLUMN(N52),ROW(N52),1,1)&lt;&gt;"",OFFSET(Planning!$D$25,COLUMN(N52),0,1,1),0)</f>
        <v>0</v>
      </c>
      <c r="X55" s="67">
        <f ca="1">IF(OFFSET(Planning!$E$25,COLUMN(O52),ROW(O52),1,1)&lt;&gt;"",OFFSET(Planning!$D$25,COLUMN(O52),0,1,1),0)</f>
        <v>0</v>
      </c>
      <c r="Y55" s="67">
        <f ca="1">IF(OFFSET(Planning!$E$25,COLUMN(P52),ROW(P52),1,1)&lt;&gt;"",OFFSET(Planning!$D$25,COLUMN(P52),0,1,1),0)</f>
        <v>0</v>
      </c>
      <c r="Z55" s="67">
        <f ca="1">IF(OFFSET(Planning!$E$25,COLUMN(Q52),ROW(Q52),1,1)&lt;&gt;"",OFFSET(Planning!$D$25,COLUMN(Q52),0,1,1),0)</f>
        <v>0</v>
      </c>
      <c r="AA55" s="67">
        <f ca="1">IF(OFFSET(Planning!$E$25,COLUMN(R52),ROW(R52),1,1)&lt;&gt;"",OFFSET(Planning!$D$25,COLUMN(R52),0,1,1),0)</f>
        <v>0</v>
      </c>
      <c r="AB55" s="67">
        <f ca="1">IF(OFFSET(Planning!$E$25,COLUMN(S52),ROW(S52),1,1)&lt;&gt;"",OFFSET(Planning!$D$25,COLUMN(S52),0,1,1),0)</f>
        <v>0</v>
      </c>
      <c r="AC55" s="67">
        <f ca="1">IF(OFFSET(Planning!$E$25,COLUMN(T52),ROW(T52),1,1)&lt;&gt;"",OFFSET(Planning!$D$25,COLUMN(T52),0,1,1),0)</f>
        <v>0</v>
      </c>
      <c r="AD55" s="67">
        <f ca="1">VLOOKUP($B55,'Summary Calculations (hide)'!$D$15:$U$67,17,0)</f>
        <v>71.024850000000001</v>
      </c>
      <c r="AE55" s="67">
        <f ca="1">VLOOKUP($B55,'Summary Calculations (hide)'!$D$15:$U$67,18,0)</f>
        <v>6.6523274999999984</v>
      </c>
    </row>
  </sheetData>
  <pageMargins left="0.7" right="0.7" top="0.75" bottom="0.75" header="0.3" footer="0.3"/>
  <legacy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7"/>
  <dimension ref="A3:C18"/>
  <sheetViews>
    <sheetView workbookViewId="0">
      <selection activeCell="C18" sqref="C18"/>
    </sheetView>
  </sheetViews>
  <sheetFormatPr defaultRowHeight="13.8" x14ac:dyDescent="0.25"/>
  <cols>
    <col min="1" max="1" width="36.19921875" customWidth="1"/>
    <col min="2" max="2" width="38.09765625" customWidth="1"/>
  </cols>
  <sheetData>
    <row r="3" spans="1:3" x14ac:dyDescent="0.25">
      <c r="A3" s="166" t="s">
        <v>528</v>
      </c>
      <c r="B3" s="166" t="s">
        <v>11</v>
      </c>
    </row>
    <row r="4" spans="1:3" x14ac:dyDescent="0.25">
      <c r="A4" s="167" t="s">
        <v>529</v>
      </c>
      <c r="B4" s="167" t="s">
        <v>530</v>
      </c>
      <c r="C4" s="5">
        <f ca="1">'Summary Calculations (hide)'!X72</f>
        <v>71.024849999999901</v>
      </c>
    </row>
    <row r="5" spans="1:3" x14ac:dyDescent="0.25">
      <c r="A5" s="167" t="s">
        <v>531</v>
      </c>
      <c r="B5" s="167" t="s">
        <v>532</v>
      </c>
      <c r="C5" s="5">
        <f ca="1">'Summary Calculations (hide)'!M70</f>
        <v>64.097898113207549</v>
      </c>
    </row>
    <row r="6" spans="1:3" x14ac:dyDescent="0.25">
      <c r="A6" s="167" t="s">
        <v>533</v>
      </c>
      <c r="B6" s="167" t="s">
        <v>534</v>
      </c>
      <c r="C6" s="5">
        <f ca="1">'Summary Calculations (hide)'!N70</f>
        <v>70.250050613207534</v>
      </c>
    </row>
    <row r="7" spans="1:3" ht="41.4" x14ac:dyDescent="0.25">
      <c r="A7" s="167" t="s">
        <v>99</v>
      </c>
      <c r="B7" s="167" t="s">
        <v>535</v>
      </c>
      <c r="C7">
        <f ca="1">'Parameters calculator (hide)'!B45</f>
        <v>7.9999999999999988E-2</v>
      </c>
    </row>
    <row r="8" spans="1:3" ht="27.6" x14ac:dyDescent="0.25">
      <c r="A8" s="167" t="s">
        <v>536</v>
      </c>
      <c r="B8" s="167" t="s">
        <v>537</v>
      </c>
      <c r="C8">
        <f ca="1">'Parameters calculator (hide)'!B46</f>
        <v>0.2</v>
      </c>
    </row>
    <row r="9" spans="1:3" ht="41.4" x14ac:dyDescent="0.25">
      <c r="A9" s="167" t="s">
        <v>538</v>
      </c>
      <c r="B9" s="167" t="s">
        <v>539</v>
      </c>
      <c r="C9">
        <v>0</v>
      </c>
    </row>
    <row r="10" spans="1:3" ht="27.6" x14ac:dyDescent="0.25">
      <c r="A10" s="167" t="s">
        <v>540</v>
      </c>
      <c r="B10" s="167" t="s">
        <v>541</v>
      </c>
      <c r="C10">
        <v>0</v>
      </c>
    </row>
    <row r="11" spans="1:3" ht="41.4" x14ac:dyDescent="0.25">
      <c r="A11" s="167" t="s">
        <v>542</v>
      </c>
      <c r="B11" s="167" t="s">
        <v>543</v>
      </c>
      <c r="C11">
        <f ca="1">'Parameters calculator (hide)'!B47</f>
        <v>0.8</v>
      </c>
    </row>
    <row r="12" spans="1:3" x14ac:dyDescent="0.25">
      <c r="A12" s="167" t="s">
        <v>494</v>
      </c>
      <c r="B12" s="167" t="s">
        <v>544</v>
      </c>
      <c r="C12" s="5">
        <f ca="1">SUM('Summary Calculations (hide)'!R70:S70)</f>
        <v>75.500725689404987</v>
      </c>
    </row>
    <row r="13" spans="1:3" x14ac:dyDescent="0.25">
      <c r="A13" s="167" t="s">
        <v>545</v>
      </c>
      <c r="B13" s="167" t="s">
        <v>546</v>
      </c>
      <c r="C13" s="5">
        <f ca="1">'Parameters calculator (hide)'!F63</f>
        <v>284</v>
      </c>
    </row>
    <row r="14" spans="1:3" x14ac:dyDescent="0.25">
      <c r="A14" s="167" t="s">
        <v>547</v>
      </c>
      <c r="B14" s="167" t="s">
        <v>548</v>
      </c>
      <c r="C14" s="5">
        <f ca="1">'Parameters calculator (hide)'!B79</f>
        <v>76</v>
      </c>
    </row>
    <row r="15" spans="1:3" x14ac:dyDescent="0.25">
      <c r="A15" s="167" t="s">
        <v>75</v>
      </c>
      <c r="B15" s="167" t="s">
        <v>549</v>
      </c>
      <c r="C15">
        <f ca="1">'Parameters calculator (hide)'!B43+'Parameters calculator (hide)'!B44</f>
        <v>6.0999999999999999E-2</v>
      </c>
    </row>
    <row r="16" spans="1:3" x14ac:dyDescent="0.25">
      <c r="A16" s="167" t="s">
        <v>550</v>
      </c>
      <c r="B16" s="167" t="s">
        <v>551</v>
      </c>
      <c r="C16">
        <v>0</v>
      </c>
    </row>
    <row r="17" spans="1:3" x14ac:dyDescent="0.25">
      <c r="A17" s="167" t="s">
        <v>552</v>
      </c>
      <c r="B17" s="167" t="s">
        <v>553</v>
      </c>
      <c r="C17">
        <f>IF(Summary!$C$8="Patients",0,1)</f>
        <v>0</v>
      </c>
    </row>
    <row r="18" spans="1:3" ht="27.6" x14ac:dyDescent="0.25">
      <c r="A18" s="167" t="s">
        <v>554</v>
      </c>
      <c r="B18" s="167" t="s">
        <v>555</v>
      </c>
      <c r="C18">
        <f>IF(C17=0,1,'Summary Calculations (hide)'!$I$9)</f>
        <v>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27</vt:i4>
      </vt:variant>
    </vt:vector>
  </HeadingPairs>
  <TitlesOfParts>
    <vt:vector size="57" baseType="lpstr">
      <vt:lpstr>Version control</vt:lpstr>
      <vt:lpstr>List</vt:lpstr>
      <vt:lpstr>Control sheet (hide)</vt:lpstr>
      <vt:lpstr>Notes</vt:lpstr>
      <vt:lpstr>Setup</vt:lpstr>
      <vt:lpstr>Demand</vt:lpstr>
      <vt:lpstr>Demand background (hide)</vt:lpstr>
      <vt:lpstr>Demand adjustments for Covid</vt:lpstr>
      <vt:lpstr>SPC Chart</vt:lpstr>
      <vt:lpstr>SPC background (hide)</vt:lpstr>
      <vt:lpstr>Planned</vt:lpstr>
      <vt:lpstr>Planned background (hide)</vt:lpstr>
      <vt:lpstr>Planned SPC</vt:lpstr>
      <vt:lpstr>Capacity</vt:lpstr>
      <vt:lpstr>Critical resources</vt:lpstr>
      <vt:lpstr>Capacity setup</vt:lpstr>
      <vt:lpstr>Capacity summary</vt:lpstr>
      <vt:lpstr>Critical resources (hide)</vt:lpstr>
      <vt:lpstr>Capacity calculation (hide)</vt:lpstr>
      <vt:lpstr>Parameters</vt:lpstr>
      <vt:lpstr>Parameters calculator</vt:lpstr>
      <vt:lpstr>Parameters calculator (hide)</vt:lpstr>
      <vt:lpstr>Pathway</vt:lpstr>
      <vt:lpstr>Summary</vt:lpstr>
      <vt:lpstr>Lock (hide)</vt:lpstr>
      <vt:lpstr>Summary Calculations (hide)</vt:lpstr>
      <vt:lpstr>WL PI Backing (hide)</vt:lpstr>
      <vt:lpstr>Planning</vt:lpstr>
      <vt:lpstr>Planning (hide)</vt:lpstr>
      <vt:lpstr>Export (hide)</vt:lpstr>
      <vt:lpstr>Cap_Chart_Xaxis</vt:lpstr>
      <vt:lpstr>Emergency1</vt:lpstr>
      <vt:lpstr>Emergency2</vt:lpstr>
      <vt:lpstr>Emergency3</vt:lpstr>
      <vt:lpstr>Emergency4</vt:lpstr>
      <vt:lpstr>MaxRows</vt:lpstr>
      <vt:lpstr>Mean1</vt:lpstr>
      <vt:lpstr>Mean2</vt:lpstr>
      <vt:lpstr>Mean3</vt:lpstr>
      <vt:lpstr>Mean4</vt:lpstr>
      <vt:lpstr>Num_Modalities</vt:lpstr>
      <vt:lpstr>PercLower1</vt:lpstr>
      <vt:lpstr>PercLower2</vt:lpstr>
      <vt:lpstr>PercLower3</vt:lpstr>
      <vt:lpstr>PercLower4</vt:lpstr>
      <vt:lpstr>PercUpper1</vt:lpstr>
      <vt:lpstr>PercUpper2</vt:lpstr>
      <vt:lpstr>PercUpper3</vt:lpstr>
      <vt:lpstr>PercUpper4</vt:lpstr>
      <vt:lpstr>PMaxRows</vt:lpstr>
      <vt:lpstr>Range_Blank</vt:lpstr>
      <vt:lpstr>SampleLength</vt:lpstr>
      <vt:lpstr>Sigma1</vt:lpstr>
      <vt:lpstr>Sigma2</vt:lpstr>
      <vt:lpstr>Sigma3</vt:lpstr>
      <vt:lpstr>Sigma4</vt:lpstr>
      <vt:lpstr>SPC_Type</vt:lpstr>
    </vt:vector>
  </TitlesOfParts>
  <Company>IMS3</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Khunpha, Keith</dc:creator>
  <cp:lastModifiedBy>Khunpha, Keith</cp:lastModifiedBy>
  <dcterms:created xsi:type="dcterms:W3CDTF">2018-01-30T12:52:20Z</dcterms:created>
  <dcterms:modified xsi:type="dcterms:W3CDTF">2020-06-16T19:15:07Z</dcterms:modified>
</cp:coreProperties>
</file>